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codeName="ThisWorkbook" defaultThemeVersion="124226"/>
  <mc:AlternateContent xmlns:mc="http://schemas.openxmlformats.org/markup-compatibility/2006">
    <mc:Choice Requires="x15">
      <x15ac:absPath xmlns:x15ac="http://schemas.microsoft.com/office/spreadsheetml/2010/11/ac" url="C:\Users\Parvin_Aslanov\Desktop\bulleten\"/>
    </mc:Choice>
  </mc:AlternateContent>
  <xr:revisionPtr revIDLastSave="0" documentId="13_ncr:1_{AF835668-728C-4FFF-B30E-E5E22A106DBB}" xr6:coauthVersionLast="47" xr6:coauthVersionMax="47" xr10:uidLastSave="{00000000-0000-0000-0000-000000000000}"/>
  <bookViews>
    <workbookView xWindow="-120" yWindow="-120" windowWidth="29040" windowHeight="15720" tabRatio="906" xr2:uid="{00000000-000D-0000-FFFF-FFFF00000000}"/>
  </bookViews>
  <sheets>
    <sheet name="Mündəricat" sheetId="118" r:id="rId1"/>
    <sheet name="Table of contents" sheetId="199" state="hidden" r:id="rId2"/>
    <sheet name="1.1" sheetId="225" r:id="rId3"/>
    <sheet name="1.2" sheetId="117" r:id="rId4"/>
    <sheet name="1.3" sheetId="106" r:id="rId5"/>
    <sheet name="1.4" sheetId="231" r:id="rId6"/>
    <sheet name="1.5" sheetId="236" r:id="rId7"/>
    <sheet name="1.6" sheetId="181" r:id="rId8"/>
    <sheet name="1.6.1" sheetId="185" r:id="rId9"/>
    <sheet name="2.1" sheetId="8" r:id="rId10"/>
    <sheet name="2.2" sheetId="208" r:id="rId11"/>
    <sheet name="2.3" sheetId="10" r:id="rId12"/>
    <sheet name="2.4" sheetId="86" r:id="rId13"/>
    <sheet name="2.5" sheetId="12" r:id="rId14"/>
    <sheet name="2.6" sheetId="15" r:id="rId15"/>
    <sheet name="2.7" sheetId="14" r:id="rId16"/>
    <sheet name="2.7.d." sheetId="122" r:id="rId17"/>
    <sheet name="2.7.1" sheetId="194" r:id="rId18"/>
    <sheet name="2.8" sheetId="92" r:id="rId19"/>
    <sheet name="2.8.d." sheetId="123" r:id="rId20"/>
    <sheet name="2.8.1" sheetId="97" r:id="rId21"/>
    <sheet name="2.8.2" sheetId="98" r:id="rId22"/>
    <sheet name="2.8.3" sheetId="99" r:id="rId23"/>
    <sheet name="2.8.4" sheetId="100" r:id="rId24"/>
    <sheet name="2.8.5" sheetId="101" r:id="rId25"/>
    <sheet name="2.8.6" sheetId="102" r:id="rId26"/>
    <sheet name="2.8.7" sheetId="103" r:id="rId27"/>
    <sheet name="2.8.8" sheetId="104" r:id="rId28"/>
    <sheet name="2.8.9" sheetId="105" r:id="rId29"/>
    <sheet name="2.9" sheetId="48" r:id="rId30"/>
    <sheet name="2.10" sheetId="17" r:id="rId31"/>
    <sheet name="2.11" sheetId="219" r:id="rId32"/>
    <sheet name="2.12" sheetId="23" r:id="rId33"/>
    <sheet name="2.13" sheetId="220" r:id="rId34"/>
    <sheet name="2.14" sheetId="20" r:id="rId35"/>
    <sheet name="2.15" sheetId="223" r:id="rId36"/>
    <sheet name="2.16" sheetId="25" r:id="rId37"/>
    <sheet name="2.16.1" sheetId="184" r:id="rId38"/>
    <sheet name="3.1 " sheetId="160" r:id="rId39"/>
    <sheet name="3.2" sheetId="29" r:id="rId40"/>
    <sheet name="3.2.1" sheetId="170" r:id="rId41"/>
    <sheet name="3.3 " sheetId="221" r:id="rId42"/>
    <sheet name="3.4" sheetId="95" r:id="rId43"/>
    <sheet name="3.5" sheetId="32" r:id="rId44"/>
    <sheet name="3.6" sheetId="33" r:id="rId45"/>
    <sheet name="4.1" sheetId="209" r:id="rId46"/>
    <sheet name="4.2" sheetId="210" r:id="rId47"/>
    <sheet name="4.3" sheetId="211" r:id="rId48"/>
    <sheet name="4.4" sheetId="226" r:id="rId49"/>
    <sheet name="4.5" sheetId="213" r:id="rId50"/>
    <sheet name="4.6" sheetId="214" r:id="rId51"/>
    <sheet name="4.7" sheetId="215" r:id="rId52"/>
    <sheet name="4.8" sheetId="216" r:id="rId53"/>
    <sheet name="4.9" sheetId="217" r:id="rId54"/>
    <sheet name="4.10" sheetId="218" r:id="rId55"/>
    <sheet name="5.1" sheetId="188" r:id="rId56"/>
    <sheet name="5.2" sheetId="189" r:id="rId57"/>
    <sheet name="5.3" sheetId="190" r:id="rId58"/>
    <sheet name="5.4" sheetId="191" r:id="rId59"/>
    <sheet name="5.5" sheetId="192" r:id="rId60"/>
    <sheet name="5.6" sheetId="198" r:id="rId61"/>
    <sheet name="5.7" sheetId="206" r:id="rId62"/>
    <sheet name="5.8" sheetId="230" r:id="rId63"/>
    <sheet name="5.9" sheetId="248" r:id="rId64"/>
    <sheet name="6.1" sheetId="249" r:id="rId65"/>
    <sheet name="6.2" sheetId="250" r:id="rId66"/>
    <sheet name="7" sheetId="136" r:id="rId67"/>
    <sheet name="8" sheetId="135" r:id="rId68"/>
  </sheets>
  <externalReferences>
    <externalReference r:id="rId69"/>
    <externalReference r:id="rId70"/>
    <externalReference r:id="rId71"/>
    <externalReference r:id="rId72"/>
    <externalReference r:id="rId73"/>
    <externalReference r:id="rId74"/>
    <externalReference r:id="rId75"/>
    <externalReference r:id="rId76"/>
    <externalReference r:id="rId77"/>
  </externalReferences>
  <definedNames>
    <definedName name="__LF_ffffffde__ffffffe6_ki_LFdr1_iNdEx_646" localSheetId="17">'[1]ST-2SD.ST'!$A$81</definedName>
    <definedName name="__LF_ffffffde__ffffffe6_ki_LFdr1_iNdEx_646" localSheetId="16">'[1]ST-2SD.ST'!$A$81</definedName>
    <definedName name="__LF_ffffffde__ffffffe6_ki_LFdr1_iNdEx_646" localSheetId="19">'[1]ST-2SD.ST'!$A$81</definedName>
    <definedName name="__LF_ffffffde__ffffffe6_ki_LFdr1_iNdEx_646" localSheetId="62">'[1]ST-2SD.ST'!$A$81</definedName>
    <definedName name="__LF_ffffffde__ffffffe6_ki_LFdr1_iNdEx_646" localSheetId="63">'[2]ST-2SD.ST'!$A$81</definedName>
    <definedName name="__LF_ffffffde__ffffffe6_ki_LFdr1_iNdEx_646" localSheetId="64">'[3]ST-2SD.ST'!$A$81</definedName>
    <definedName name="__LF_ffffffde__ffffffe6_ki_LFdr1_iNdEx_646" localSheetId="65">'[3]ST-2SD.ST'!$A$81</definedName>
    <definedName name="__LF_ffffffde__ffffffe6_ki_LFdr1_iNdEx_646" localSheetId="67">'[1]ST-2SD.ST'!$A$81</definedName>
    <definedName name="__LF_ffffffde__ffffffe6_ki_LFdr1_iNdEx_646">'[1]ST-2SD.ST'!$A$81</definedName>
    <definedName name="__LF_ffffffde_u_fffffffe_a_LFdr1_iNdEx_645" localSheetId="17">'[1]ST-2SD.ST'!$A$80</definedName>
    <definedName name="__LF_ffffffde_u_fffffffe_a_LFdr1_iNdEx_645" localSheetId="16">'[1]ST-2SD.ST'!$A$80</definedName>
    <definedName name="__LF_ffffffde_u_fffffffe_a_LFdr1_iNdEx_645" localSheetId="19">'[1]ST-2SD.ST'!$A$80</definedName>
    <definedName name="__LF_ffffffde_u_fffffffe_a_LFdr1_iNdEx_645" localSheetId="62">'[1]ST-2SD.ST'!$A$80</definedName>
    <definedName name="__LF_ffffffde_u_fffffffe_a_LFdr1_iNdEx_645" localSheetId="63">'[2]ST-2SD.ST'!$A$80</definedName>
    <definedName name="__LF_ffffffde_u_fffffffe_a_LFdr1_iNdEx_645" localSheetId="64">'[3]ST-2SD.ST'!$A$80</definedName>
    <definedName name="__LF_ffffffde_u_fffffffe_a_LFdr1_iNdEx_645" localSheetId="65">'[3]ST-2SD.ST'!$A$80</definedName>
    <definedName name="__LF_ffffffde_u_fffffffe_a_LFdr1_iNdEx_645" localSheetId="67">'[1]ST-2SD.ST'!$A$80</definedName>
    <definedName name="__LF_ffffffde_u_fffffffe_a_LFdr1_iNdEx_645">'[1]ST-2SD.ST'!$A$80</definedName>
    <definedName name="__LFA_fffffff0_dam_LFdr1_iNdEx_584" localSheetId="17">'[1]ST-2SD.ST'!$A$19</definedName>
    <definedName name="__LFA_fffffff0_dam_LFdr1_iNdEx_584" localSheetId="16">'[1]ST-2SD.ST'!$A$19</definedName>
    <definedName name="__LFA_fffffff0_dam_LFdr1_iNdEx_584" localSheetId="19">'[1]ST-2SD.ST'!$A$19</definedName>
    <definedName name="__LFA_fffffff0_dam_LFdr1_iNdEx_584" localSheetId="62">'[1]ST-2SD.ST'!$A$19</definedName>
    <definedName name="__LFA_fffffff0_dam_LFdr1_iNdEx_584" localSheetId="63">'[2]ST-2SD.ST'!$A$19</definedName>
    <definedName name="__LFA_fffffff0_dam_LFdr1_iNdEx_584" localSheetId="64">'[3]ST-2SD.ST'!$A$19</definedName>
    <definedName name="__LFA_fffffff0_dam_LFdr1_iNdEx_584" localSheetId="65">'[3]ST-2SD.ST'!$A$19</definedName>
    <definedName name="__LFA_fffffff0_dam_LFdr1_iNdEx_584" localSheetId="67">'[1]ST-2SD.ST'!$A$19</definedName>
    <definedName name="__LFA_fffffff0_dam_LFdr1_iNdEx_584">'[1]ST-2SD.ST'!$A$19</definedName>
    <definedName name="__LFAstara_LFdr1_iNdEx_582" localSheetId="17">'[1]ST-2SD.ST'!$A$17</definedName>
    <definedName name="__LFAstara_LFdr1_iNdEx_582" localSheetId="16">'[1]ST-2SD.ST'!$A$17</definedName>
    <definedName name="__LFAstara_LFdr1_iNdEx_582" localSheetId="19">'[1]ST-2SD.ST'!$A$17</definedName>
    <definedName name="__LFAstara_LFdr1_iNdEx_582" localSheetId="62">'[1]ST-2SD.ST'!$A$17</definedName>
    <definedName name="__LFAstara_LFdr1_iNdEx_582" localSheetId="63">'[2]ST-2SD.ST'!$A$17</definedName>
    <definedName name="__LFAstara_LFdr1_iNdEx_582" localSheetId="64">'[3]ST-2SD.ST'!$A$17</definedName>
    <definedName name="__LFAstara_LFdr1_iNdEx_582" localSheetId="65">'[3]ST-2SD.ST'!$A$17</definedName>
    <definedName name="__LFAstara_LFdr1_iNdEx_582" localSheetId="67">'[1]ST-2SD.ST'!$A$17</definedName>
    <definedName name="__LFAstara_LFdr1_iNdEx_582">'[1]ST-2SD.ST'!$A$17</definedName>
    <definedName name="__LFBak_fffffffd__LFdr1_iNdEx_588" localSheetId="17">'[1]ST-2SD.ST'!$A$23</definedName>
    <definedName name="__LFBak_fffffffd__LFdr1_iNdEx_588" localSheetId="16">'[1]ST-2SD.ST'!$A$23</definedName>
    <definedName name="__LFBak_fffffffd__LFdr1_iNdEx_588" localSheetId="19">'[1]ST-2SD.ST'!$A$23</definedName>
    <definedName name="__LFBak_fffffffd__LFdr1_iNdEx_588" localSheetId="62">'[1]ST-2SD.ST'!$A$23</definedName>
    <definedName name="__LFBak_fffffffd__LFdr1_iNdEx_588" localSheetId="63">'[2]ST-2SD.ST'!$A$23</definedName>
    <definedName name="__LFBak_fffffffd__LFdr1_iNdEx_588" localSheetId="64">'[3]ST-2SD.ST'!$A$23</definedName>
    <definedName name="__LFBak_fffffffd__LFdr1_iNdEx_588" localSheetId="65">'[3]ST-2SD.ST'!$A$23</definedName>
    <definedName name="__LFBak_fffffffd__LFdr1_iNdEx_588" localSheetId="67">'[1]ST-2SD.ST'!$A$23</definedName>
    <definedName name="__LFBak_fffffffd__LFdr1_iNdEx_588">'[1]ST-2SD.ST'!$A$23</definedName>
    <definedName name="__LFBalak_ffffffe6_n_LFdr1_iNdEx_589" localSheetId="17">'[1]ST-2SD.ST'!$A$24</definedName>
    <definedName name="__LFBalak_ffffffe6_n_LFdr1_iNdEx_589" localSheetId="16">'[1]ST-2SD.ST'!$A$24</definedName>
    <definedName name="__LFBalak_ffffffe6_n_LFdr1_iNdEx_589" localSheetId="19">'[1]ST-2SD.ST'!$A$24</definedName>
    <definedName name="__LFBalak_ffffffe6_n_LFdr1_iNdEx_589" localSheetId="62">'[1]ST-2SD.ST'!$A$24</definedName>
    <definedName name="__LFBalak_ffffffe6_n_LFdr1_iNdEx_589" localSheetId="63">'[2]ST-2SD.ST'!$A$24</definedName>
    <definedName name="__LFBalak_ffffffe6_n_LFdr1_iNdEx_589" localSheetId="64">'[3]ST-2SD.ST'!$A$24</definedName>
    <definedName name="__LFBalak_ffffffe6_n_LFdr1_iNdEx_589" localSheetId="65">'[3]ST-2SD.ST'!$A$24</definedName>
    <definedName name="__LFBalak_ffffffe6_n_LFdr1_iNdEx_589" localSheetId="67">'[1]ST-2SD.ST'!$A$24</definedName>
    <definedName name="__LFBalak_ffffffe6_n_LFdr1_iNdEx_589">'[1]ST-2SD.ST'!$A$24</definedName>
    <definedName name="__LFC_ffffffe6_bray_fffffffd_l_LFdr1_iNdEx_593" localSheetId="17">'[1]ST-2SD.ST'!$A$28</definedName>
    <definedName name="__LFC_ffffffe6_bray_fffffffd_l_LFdr1_iNdEx_593" localSheetId="16">'[1]ST-2SD.ST'!$A$28</definedName>
    <definedName name="__LFC_ffffffe6_bray_fffffffd_l_LFdr1_iNdEx_593" localSheetId="19">'[1]ST-2SD.ST'!$A$28</definedName>
    <definedName name="__LFC_ffffffe6_bray_fffffffd_l_LFdr1_iNdEx_593" localSheetId="62">'[1]ST-2SD.ST'!$A$28</definedName>
    <definedName name="__LFC_ffffffe6_bray_fffffffd_l_LFdr1_iNdEx_593" localSheetId="63">'[2]ST-2SD.ST'!$A$28</definedName>
    <definedName name="__LFC_ffffffe6_bray_fffffffd_l_LFdr1_iNdEx_593" localSheetId="64">'[3]ST-2SD.ST'!$A$28</definedName>
    <definedName name="__LFC_ffffffe6_bray_fffffffd_l_LFdr1_iNdEx_593" localSheetId="65">'[3]ST-2SD.ST'!$A$28</definedName>
    <definedName name="__LFC_ffffffe6_bray_fffffffd_l_LFdr1_iNdEx_593" localSheetId="67">'[1]ST-2SD.ST'!$A$28</definedName>
    <definedName name="__LFC_ffffffe6_bray_fffffffd_l_LFdr1_iNdEx_593">'[1]ST-2SD.ST'!$A$28</definedName>
    <definedName name="__LFC_ffffffe6_lilabad_LFdr1_iNdEx_594" localSheetId="17">'[1]ST-2SD.ST'!$A$29</definedName>
    <definedName name="__LFC_ffffffe6_lilabad_LFdr1_iNdEx_594" localSheetId="16">'[1]ST-2SD.ST'!$A$29</definedName>
    <definedName name="__LFC_ffffffe6_lilabad_LFdr1_iNdEx_594" localSheetId="19">'[1]ST-2SD.ST'!$A$29</definedName>
    <definedName name="__LFC_ffffffe6_lilabad_LFdr1_iNdEx_594" localSheetId="62">'[1]ST-2SD.ST'!$A$29</definedName>
    <definedName name="__LFC_ffffffe6_lilabad_LFdr1_iNdEx_594" localSheetId="63">'[2]ST-2SD.ST'!$A$29</definedName>
    <definedName name="__LFC_ffffffe6_lilabad_LFdr1_iNdEx_594" localSheetId="64">'[3]ST-2SD.ST'!$A$29</definedName>
    <definedName name="__LFC_ffffffe6_lilabad_LFdr1_iNdEx_594" localSheetId="65">'[3]ST-2SD.ST'!$A$29</definedName>
    <definedName name="__LFC_ffffffe6_lilabad_LFdr1_iNdEx_594" localSheetId="67">'[1]ST-2SD.ST'!$A$29</definedName>
    <definedName name="__LFC_ffffffe6_lilabad_LFdr1_iNdEx_594">'[1]ST-2SD.ST'!$A$29</definedName>
    <definedName name="__LFD_ffffffe6_v_ffffffe6__ffffffe7_i_LFdr1_iNdEx_597" localSheetId="17">'[1]ST-2SD.ST'!$A$32</definedName>
    <definedName name="__LFD_ffffffe6_v_ffffffe6__ffffffe7_i_LFdr1_iNdEx_597" localSheetId="16">'[1]ST-2SD.ST'!$A$32</definedName>
    <definedName name="__LFD_ffffffe6_v_ffffffe6__ffffffe7_i_LFdr1_iNdEx_597" localSheetId="19">'[1]ST-2SD.ST'!$A$32</definedName>
    <definedName name="__LFD_ffffffe6_v_ffffffe6__ffffffe7_i_LFdr1_iNdEx_597" localSheetId="62">'[1]ST-2SD.ST'!$A$32</definedName>
    <definedName name="__LFD_ffffffe6_v_ffffffe6__ffffffe7_i_LFdr1_iNdEx_597" localSheetId="63">'[2]ST-2SD.ST'!$A$32</definedName>
    <definedName name="__LFD_ffffffe6_v_ffffffe6__ffffffe7_i_LFdr1_iNdEx_597" localSheetId="64">'[3]ST-2SD.ST'!$A$32</definedName>
    <definedName name="__LFD_ffffffe6_v_ffffffe6__ffffffe7_i_LFdr1_iNdEx_597" localSheetId="65">'[3]ST-2SD.ST'!$A$32</definedName>
    <definedName name="__LFD_ffffffe6_v_ffffffe6__ffffffe7_i_LFdr1_iNdEx_597" localSheetId="67">'[1]ST-2SD.ST'!$A$32</definedName>
    <definedName name="__LFD_ffffffe6_v_ffffffe6__ffffffe7_i_LFdr1_iNdEx_597">'[1]ST-2SD.ST'!$A$32</definedName>
    <definedName name="__LFF_fffffffc_zuli_LFdr1_iNdEx_598" localSheetId="17">'[1]ST-2SD.ST'!$A$33</definedName>
    <definedName name="__LFF_fffffffc_zuli_LFdr1_iNdEx_598" localSheetId="16">'[1]ST-2SD.ST'!$A$33</definedName>
    <definedName name="__LFF_fffffffc_zuli_LFdr1_iNdEx_598" localSheetId="19">'[1]ST-2SD.ST'!$A$33</definedName>
    <definedName name="__LFF_fffffffc_zuli_LFdr1_iNdEx_598" localSheetId="62">'[1]ST-2SD.ST'!$A$33</definedName>
    <definedName name="__LFF_fffffffc_zuli_LFdr1_iNdEx_598" localSheetId="63">'[2]ST-2SD.ST'!$A$33</definedName>
    <definedName name="__LFF_fffffffc_zuli_LFdr1_iNdEx_598" localSheetId="64">'[3]ST-2SD.ST'!$A$33</definedName>
    <definedName name="__LFF_fffffffc_zuli_LFdr1_iNdEx_598" localSheetId="65">'[3]ST-2SD.ST'!$A$33</definedName>
    <definedName name="__LFF_fffffffc_zuli_LFdr1_iNdEx_598" localSheetId="67">'[1]ST-2SD.ST'!$A$33</definedName>
    <definedName name="__LFF_fffffffc_zuli_LFdr1_iNdEx_598">'[1]ST-2SD.ST'!$A$33</definedName>
    <definedName name="__LFXa_ffffffe7_maz_LFdr1_iNdEx_632" localSheetId="17">'[1]ST-2SD.ST'!$A$67</definedName>
    <definedName name="__LFXa_ffffffe7_maz_LFdr1_iNdEx_632" localSheetId="16">'[1]ST-2SD.ST'!$A$67</definedName>
    <definedName name="__LFXa_ffffffe7_maz_LFdr1_iNdEx_632" localSheetId="19">'[1]ST-2SD.ST'!$A$67</definedName>
    <definedName name="__LFXa_ffffffe7_maz_LFdr1_iNdEx_632" localSheetId="62">'[1]ST-2SD.ST'!$A$67</definedName>
    <definedName name="__LFXa_ffffffe7_maz_LFdr1_iNdEx_632" localSheetId="63">'[2]ST-2SD.ST'!$A$67</definedName>
    <definedName name="__LFXa_ffffffe7_maz_LFdr1_iNdEx_632" localSheetId="64">'[3]ST-2SD.ST'!$A$67</definedName>
    <definedName name="__LFXa_ffffffe7_maz_LFdr1_iNdEx_632" localSheetId="65">'[3]ST-2SD.ST'!$A$67</definedName>
    <definedName name="__LFXa_ffffffe7_maz_LFdr1_iNdEx_632" localSheetId="67">'[1]ST-2SD.ST'!$A$67</definedName>
    <definedName name="__LFXa_ffffffe7_maz_LFdr1_iNdEx_632">'[1]ST-2SD.ST'!$A$67</definedName>
    <definedName name="__LFXocal_fffffffd__LFdr1_iNdEx_633" localSheetId="17">'[1]ST-2SD.ST'!$A$68</definedName>
    <definedName name="__LFXocal_fffffffd__LFdr1_iNdEx_633" localSheetId="16">'[1]ST-2SD.ST'!$A$68</definedName>
    <definedName name="__LFXocal_fffffffd__LFdr1_iNdEx_633" localSheetId="19">'[1]ST-2SD.ST'!$A$68</definedName>
    <definedName name="__LFXocal_fffffffd__LFdr1_iNdEx_633" localSheetId="62">'[1]ST-2SD.ST'!$A$68</definedName>
    <definedName name="__LFXocal_fffffffd__LFdr1_iNdEx_633" localSheetId="63">'[2]ST-2SD.ST'!$A$68</definedName>
    <definedName name="__LFXocal_fffffffd__LFdr1_iNdEx_633" localSheetId="64">'[3]ST-2SD.ST'!$A$68</definedName>
    <definedName name="__LFXocal_fffffffd__LFdr1_iNdEx_633" localSheetId="65">'[3]ST-2SD.ST'!$A$68</definedName>
    <definedName name="__LFXocal_fffffffd__LFdr1_iNdEx_633" localSheetId="67">'[1]ST-2SD.ST'!$A$68</definedName>
    <definedName name="__LFXocal_fffffffd__LFdr1_iNdEx_633">'[1]ST-2SD.ST'!$A$68</definedName>
    <definedName name="__LFXocav_ffffffe6_nd_LFdr1_iNdEx_634" localSheetId="17">'[1]ST-2SD.ST'!$A$69</definedName>
    <definedName name="__LFXocav_ffffffe6_nd_LFdr1_iNdEx_634" localSheetId="16">'[1]ST-2SD.ST'!$A$69</definedName>
    <definedName name="__LFXocav_ffffffe6_nd_LFdr1_iNdEx_634" localSheetId="19">'[1]ST-2SD.ST'!$A$69</definedName>
    <definedName name="__LFXocav_ffffffe6_nd_LFdr1_iNdEx_634" localSheetId="62">'[1]ST-2SD.ST'!$A$69</definedName>
    <definedName name="__LFXocav_ffffffe6_nd_LFdr1_iNdEx_634" localSheetId="63">'[2]ST-2SD.ST'!$A$69</definedName>
    <definedName name="__LFXocav_ffffffe6_nd_LFdr1_iNdEx_634" localSheetId="64">'[3]ST-2SD.ST'!$A$69</definedName>
    <definedName name="__LFXocav_ffffffe6_nd_LFdr1_iNdEx_634" localSheetId="65">'[3]ST-2SD.ST'!$A$69</definedName>
    <definedName name="__LFXocav_ffffffe6_nd_LFdr1_iNdEx_634" localSheetId="67">'[1]ST-2SD.ST'!$A$69</definedName>
    <definedName name="__LFXocav_ffffffe6_nd_LFdr1_iNdEx_634">'[1]ST-2SD.ST'!$A$69</definedName>
    <definedName name="__LFK_ffffffe6_lb_ffffffe6_c_ffffffe6_r_LFdr1_iNdEx_604" localSheetId="17">'[1]ST-2SD.ST'!$A$39</definedName>
    <definedName name="__LFK_ffffffe6_lb_ffffffe6_c_ffffffe6_r_LFdr1_iNdEx_604" localSheetId="16">'[1]ST-2SD.ST'!$A$39</definedName>
    <definedName name="__LFK_ffffffe6_lb_ffffffe6_c_ffffffe6_r_LFdr1_iNdEx_604" localSheetId="19">'[1]ST-2SD.ST'!$A$39</definedName>
    <definedName name="__LFK_ffffffe6_lb_ffffffe6_c_ffffffe6_r_LFdr1_iNdEx_604" localSheetId="62">'[1]ST-2SD.ST'!$A$39</definedName>
    <definedName name="__LFK_ffffffe6_lb_ffffffe6_c_ffffffe6_r_LFdr1_iNdEx_604" localSheetId="63">'[2]ST-2SD.ST'!$A$39</definedName>
    <definedName name="__LFK_ffffffe6_lb_ffffffe6_c_ffffffe6_r_LFdr1_iNdEx_604" localSheetId="64">'[3]ST-2SD.ST'!$A$39</definedName>
    <definedName name="__LFK_ffffffe6_lb_ffffffe6_c_ffffffe6_r_LFdr1_iNdEx_604" localSheetId="65">'[3]ST-2SD.ST'!$A$39</definedName>
    <definedName name="__LFK_ffffffe6_lb_ffffffe6_c_ffffffe6_r_LFdr1_iNdEx_604" localSheetId="67">'[1]ST-2SD.ST'!$A$39</definedName>
    <definedName name="__LFK_ffffffe6_lb_ffffffe6_c_ffffffe6_r_LFdr1_iNdEx_604">'[1]ST-2SD.ST'!$A$39</definedName>
    <definedName name="__LFQ_ffffffe6_b_ffffffe6_l_ffffffe6__LFdr1_iNdEx_621" localSheetId="17">'[1]ST-2SD.ST'!$A$56</definedName>
    <definedName name="__LFQ_ffffffe6_b_ffffffe6_l_ffffffe6__LFdr1_iNdEx_621" localSheetId="16">'[1]ST-2SD.ST'!$A$56</definedName>
    <definedName name="__LFQ_ffffffe6_b_ffffffe6_l_ffffffe6__LFdr1_iNdEx_621" localSheetId="19">'[1]ST-2SD.ST'!$A$56</definedName>
    <definedName name="__LFQ_ffffffe6_b_ffffffe6_l_ffffffe6__LFdr1_iNdEx_621" localSheetId="62">'[1]ST-2SD.ST'!$A$56</definedName>
    <definedName name="__LFQ_ffffffe6_b_ffffffe6_l_ffffffe6__LFdr1_iNdEx_621" localSheetId="63">'[2]ST-2SD.ST'!$A$56</definedName>
    <definedName name="__LFQ_ffffffe6_b_ffffffe6_l_ffffffe6__LFdr1_iNdEx_621" localSheetId="64">'[3]ST-2SD.ST'!$A$56</definedName>
    <definedName name="__LFQ_ffffffe6_b_ffffffe6_l_ffffffe6__LFdr1_iNdEx_621" localSheetId="65">'[3]ST-2SD.ST'!$A$56</definedName>
    <definedName name="__LFQ_ffffffe6_b_ffffffe6_l_ffffffe6__LFdr1_iNdEx_621" localSheetId="67">'[1]ST-2SD.ST'!$A$56</definedName>
    <definedName name="__LFQ_ffffffe6_b_ffffffe6_l_ffffffe6__LFdr1_iNdEx_621">'[1]ST-2SD.ST'!$A$56</definedName>
    <definedName name="__LFQax_LFdr1_iNdEx_615" localSheetId="17">'[1]ST-2SD.ST'!$A$50</definedName>
    <definedName name="__LFQax_LFdr1_iNdEx_615" localSheetId="16">'[1]ST-2SD.ST'!$A$50</definedName>
    <definedName name="__LFQax_LFdr1_iNdEx_615" localSheetId="19">'[1]ST-2SD.ST'!$A$50</definedName>
    <definedName name="__LFQax_LFdr1_iNdEx_615" localSheetId="62">'[1]ST-2SD.ST'!$A$50</definedName>
    <definedName name="__LFQax_LFdr1_iNdEx_615" localSheetId="63">'[2]ST-2SD.ST'!$A$50</definedName>
    <definedName name="__LFQax_LFdr1_iNdEx_615" localSheetId="64">'[3]ST-2SD.ST'!$A$50</definedName>
    <definedName name="__LFQax_LFdr1_iNdEx_615" localSheetId="65">'[3]ST-2SD.ST'!$A$50</definedName>
    <definedName name="__LFQax_LFdr1_iNdEx_615" localSheetId="67">'[1]ST-2SD.ST'!$A$50</definedName>
    <definedName name="__LFQax_LFdr1_iNdEx_615">'[1]ST-2SD.ST'!$A$50</definedName>
    <definedName name="__LFQuba_LFdr1_iNdEx_618" localSheetId="17">'[1]ST-2SD.ST'!$A$53</definedName>
    <definedName name="__LFQuba_LFdr1_iNdEx_618" localSheetId="16">'[1]ST-2SD.ST'!$A$53</definedName>
    <definedName name="__LFQuba_LFdr1_iNdEx_618" localSheetId="19">'[1]ST-2SD.ST'!$A$53</definedName>
    <definedName name="__LFQuba_LFdr1_iNdEx_618" localSheetId="62">'[1]ST-2SD.ST'!$A$53</definedName>
    <definedName name="__LFQuba_LFdr1_iNdEx_618" localSheetId="63">'[2]ST-2SD.ST'!$A$53</definedName>
    <definedName name="__LFQuba_LFdr1_iNdEx_618" localSheetId="64">'[3]ST-2SD.ST'!$A$53</definedName>
    <definedName name="__LFQuba_LFdr1_iNdEx_618" localSheetId="65">'[3]ST-2SD.ST'!$A$53</definedName>
    <definedName name="__LFQuba_LFdr1_iNdEx_618" localSheetId="67">'[1]ST-2SD.ST'!$A$53</definedName>
    <definedName name="__LFQuba_LFdr1_iNdEx_618">'[1]ST-2SD.ST'!$A$53</definedName>
    <definedName name="__LFQubadl_fffffffd__LFdr1_iNdEx_619" localSheetId="17">'[1]ST-2SD.ST'!$A$54</definedName>
    <definedName name="__LFQubadl_fffffffd__LFdr1_iNdEx_619" localSheetId="16">'[1]ST-2SD.ST'!$A$54</definedName>
    <definedName name="__LFQubadl_fffffffd__LFdr1_iNdEx_619" localSheetId="19">'[1]ST-2SD.ST'!$A$54</definedName>
    <definedName name="__LFQubadl_fffffffd__LFdr1_iNdEx_619" localSheetId="62">'[1]ST-2SD.ST'!$A$54</definedName>
    <definedName name="__LFQubadl_fffffffd__LFdr1_iNdEx_619" localSheetId="63">'[2]ST-2SD.ST'!$A$54</definedName>
    <definedName name="__LFQubadl_fffffffd__LFdr1_iNdEx_619" localSheetId="64">'[3]ST-2SD.ST'!$A$54</definedName>
    <definedName name="__LFQubadl_fffffffd__LFdr1_iNdEx_619" localSheetId="65">'[3]ST-2SD.ST'!$A$54</definedName>
    <definedName name="__LFQubadl_fffffffd__LFdr1_iNdEx_619" localSheetId="67">'[1]ST-2SD.ST'!$A$54</definedName>
    <definedName name="__LFQubadl_fffffffd__LFdr1_iNdEx_619">'[1]ST-2SD.ST'!$A$54</definedName>
    <definedName name="__LFQusar_LFdr1_iNdEx_620" localSheetId="17">'[1]ST-2SD.ST'!$A$55</definedName>
    <definedName name="__LFQusar_LFdr1_iNdEx_620" localSheetId="16">'[1]ST-2SD.ST'!$A$55</definedName>
    <definedName name="__LFQusar_LFdr1_iNdEx_620" localSheetId="19">'[1]ST-2SD.ST'!$A$55</definedName>
    <definedName name="__LFQusar_LFdr1_iNdEx_620" localSheetId="62">'[1]ST-2SD.ST'!$A$55</definedName>
    <definedName name="__LFQusar_LFdr1_iNdEx_620" localSheetId="63">'[2]ST-2SD.ST'!$A$55</definedName>
    <definedName name="__LFQusar_LFdr1_iNdEx_620" localSheetId="64">'[3]ST-2SD.ST'!$A$55</definedName>
    <definedName name="__LFQusar_LFdr1_iNdEx_620" localSheetId="65">'[3]ST-2SD.ST'!$A$55</definedName>
    <definedName name="__LFQusar_LFdr1_iNdEx_620" localSheetId="67">'[1]ST-2SD.ST'!$A$55</definedName>
    <definedName name="__LFQusar_LFdr1_iNdEx_620">'[1]ST-2SD.ST'!$A$55</definedName>
    <definedName name="__LFL_ffffffe6_nk_ffffffe6_ran_LFdr1_iNdEx_608" localSheetId="17">'[1]ST-2SD.ST'!$A$43</definedName>
    <definedName name="__LFL_ffffffe6_nk_ffffffe6_ran_LFdr1_iNdEx_608" localSheetId="16">'[1]ST-2SD.ST'!$A$43</definedName>
    <definedName name="__LFL_ffffffe6_nk_ffffffe6_ran_LFdr1_iNdEx_608" localSheetId="19">'[1]ST-2SD.ST'!$A$43</definedName>
    <definedName name="__LFL_ffffffe6_nk_ffffffe6_ran_LFdr1_iNdEx_608" localSheetId="62">'[1]ST-2SD.ST'!$A$43</definedName>
    <definedName name="__LFL_ffffffe6_nk_ffffffe6_ran_LFdr1_iNdEx_608" localSheetId="63">'[2]ST-2SD.ST'!$A$43</definedName>
    <definedName name="__LFL_ffffffe6_nk_ffffffe6_ran_LFdr1_iNdEx_608" localSheetId="64">'[3]ST-2SD.ST'!$A$43</definedName>
    <definedName name="__LFL_ffffffe6_nk_ffffffe6_ran_LFdr1_iNdEx_608" localSheetId="65">'[3]ST-2SD.ST'!$A$43</definedName>
    <definedName name="__LFL_ffffffe6_nk_ffffffe6_ran_LFdr1_iNdEx_608" localSheetId="67">'[1]ST-2SD.ST'!$A$43</definedName>
    <definedName name="__LFL_ffffffe6_nk_ffffffe6_ran_LFdr1_iNdEx_608">'[1]ST-2SD.ST'!$A$43</definedName>
    <definedName name="__LFLa_ffffffe7__fffffffd_n_LFdr1_iNdEx_606" localSheetId="17">'[1]ST-2SD.ST'!$A$41</definedName>
    <definedName name="__LFLa_ffffffe7__fffffffd_n_LFdr1_iNdEx_606" localSheetId="16">'[1]ST-2SD.ST'!$A$41</definedName>
    <definedName name="__LFLa_ffffffe7__fffffffd_n_LFdr1_iNdEx_606" localSheetId="19">'[1]ST-2SD.ST'!$A$41</definedName>
    <definedName name="__LFLa_ffffffe7__fffffffd_n_LFdr1_iNdEx_606" localSheetId="62">'[1]ST-2SD.ST'!$A$41</definedName>
    <definedName name="__LFLa_ffffffe7__fffffffd_n_LFdr1_iNdEx_606" localSheetId="63">'[2]ST-2SD.ST'!$A$41</definedName>
    <definedName name="__LFLa_ffffffe7__fffffffd_n_LFdr1_iNdEx_606" localSheetId="64">'[3]ST-2SD.ST'!$A$41</definedName>
    <definedName name="__LFLa_ffffffe7__fffffffd_n_LFdr1_iNdEx_606" localSheetId="65">'[3]ST-2SD.ST'!$A$41</definedName>
    <definedName name="__LFLa_ffffffe7__fffffffd_n_LFdr1_iNdEx_606" localSheetId="67">'[1]ST-2SD.ST'!$A$41</definedName>
    <definedName name="__LFLa_ffffffe7__fffffffd_n_LFdr1_iNdEx_606">'[1]ST-2SD.ST'!$A$41</definedName>
    <definedName name="__LFLerik_LFdr1_iNdEx_607" localSheetId="17">'[1]ST-2SD.ST'!$A$42</definedName>
    <definedName name="__LFLerik_LFdr1_iNdEx_607" localSheetId="16">'[1]ST-2SD.ST'!$A$42</definedName>
    <definedName name="__LFLerik_LFdr1_iNdEx_607" localSheetId="19">'[1]ST-2SD.ST'!$A$42</definedName>
    <definedName name="__LFLerik_LFdr1_iNdEx_607" localSheetId="62">'[1]ST-2SD.ST'!$A$42</definedName>
    <definedName name="__LFLerik_LFdr1_iNdEx_607" localSheetId="63">'[2]ST-2SD.ST'!$A$42</definedName>
    <definedName name="__LFLerik_LFdr1_iNdEx_607" localSheetId="64">'[3]ST-2SD.ST'!$A$42</definedName>
    <definedName name="__LFLerik_LFdr1_iNdEx_607" localSheetId="65">'[3]ST-2SD.ST'!$A$42</definedName>
    <definedName name="__LFLerik_LFdr1_iNdEx_607" localSheetId="67">'[1]ST-2SD.ST'!$A$42</definedName>
    <definedName name="__LFLerik_LFdr1_iNdEx_607">'[1]ST-2SD.ST'!$A$42</definedName>
    <definedName name="__LFMasall_fffffffd__LFdr1_iNdEx_609" localSheetId="17">'[1]ST-2SD.ST'!$A$44</definedName>
    <definedName name="__LFMasall_fffffffd__LFdr1_iNdEx_609" localSheetId="16">'[1]ST-2SD.ST'!$A$44</definedName>
    <definedName name="__LFMasall_fffffffd__LFdr1_iNdEx_609" localSheetId="19">'[1]ST-2SD.ST'!$A$44</definedName>
    <definedName name="__LFMasall_fffffffd__LFdr1_iNdEx_609" localSheetId="62">'[1]ST-2SD.ST'!$A$44</definedName>
    <definedName name="__LFMasall_fffffffd__LFdr1_iNdEx_609" localSheetId="63">'[2]ST-2SD.ST'!$A$44</definedName>
    <definedName name="__LFMasall_fffffffd__LFdr1_iNdEx_609" localSheetId="64">'[3]ST-2SD.ST'!$A$44</definedName>
    <definedName name="__LFMasall_fffffffd__LFdr1_iNdEx_609" localSheetId="65">'[3]ST-2SD.ST'!$A$44</definedName>
    <definedName name="__LFMasall_fffffffd__LFdr1_iNdEx_609" localSheetId="67">'[1]ST-2SD.ST'!$A$44</definedName>
    <definedName name="__LFMasall_fffffffd__LFdr1_iNdEx_609">'[1]ST-2SD.ST'!$A$44</definedName>
    <definedName name="__LFNax_ffffffe7__fffffffd_van_LFdr1_iNdEx_612" localSheetId="17">'[1]ST-2SD.ST'!$A$47</definedName>
    <definedName name="__LFNax_ffffffe7__fffffffd_van_LFdr1_iNdEx_612" localSheetId="16">'[1]ST-2SD.ST'!$A$47</definedName>
    <definedName name="__LFNax_ffffffe7__fffffffd_van_LFdr1_iNdEx_612" localSheetId="19">'[1]ST-2SD.ST'!$A$47</definedName>
    <definedName name="__LFNax_ffffffe7__fffffffd_van_LFdr1_iNdEx_612" localSheetId="62">'[1]ST-2SD.ST'!$A$47</definedName>
    <definedName name="__LFNax_ffffffe7__fffffffd_van_LFdr1_iNdEx_612" localSheetId="63">'[2]ST-2SD.ST'!$A$47</definedName>
    <definedName name="__LFNax_ffffffe7__fffffffd_van_LFdr1_iNdEx_612" localSheetId="64">'[3]ST-2SD.ST'!$A$47</definedName>
    <definedName name="__LFNax_ffffffe7__fffffffd_van_LFdr1_iNdEx_612" localSheetId="65">'[3]ST-2SD.ST'!$A$47</definedName>
    <definedName name="__LFNax_ffffffe7__fffffffd_van_LFdr1_iNdEx_612" localSheetId="67">'[1]ST-2SD.ST'!$A$47</definedName>
    <definedName name="__LFNax_ffffffe7__fffffffd_van_LFdr1_iNdEx_612">'[1]ST-2SD.ST'!$A$47</definedName>
    <definedName name="__LFO_fffffff0_uz_LFdr1_iNdEx_614" localSheetId="17">'[1]ST-2SD.ST'!$A$49</definedName>
    <definedName name="__LFO_fffffff0_uz_LFdr1_iNdEx_614" localSheetId="16">'[1]ST-2SD.ST'!$A$49</definedName>
    <definedName name="__LFO_fffffff0_uz_LFdr1_iNdEx_614" localSheetId="19">'[1]ST-2SD.ST'!$A$49</definedName>
    <definedName name="__LFO_fffffff0_uz_LFdr1_iNdEx_614" localSheetId="62">'[1]ST-2SD.ST'!$A$49</definedName>
    <definedName name="__LFO_fffffff0_uz_LFdr1_iNdEx_614" localSheetId="63">'[2]ST-2SD.ST'!$A$49</definedName>
    <definedName name="__LFO_fffffff0_uz_LFdr1_iNdEx_614" localSheetId="64">'[3]ST-2SD.ST'!$A$49</definedName>
    <definedName name="__LFO_fffffff0_uz_LFdr1_iNdEx_614" localSheetId="65">'[3]ST-2SD.ST'!$A$49</definedName>
    <definedName name="__LFO_fffffff0_uz_LFdr1_iNdEx_614" localSheetId="67">'[1]ST-2SD.ST'!$A$49</definedName>
    <definedName name="__LFO_fffffff0_uz_LFdr1_iNdEx_614">'[1]ST-2SD.ST'!$A$49</definedName>
    <definedName name="__LFSiy_ffffffe6_z_ffffffe6_n_LFdr1_iNdEx_626" localSheetId="17">'[1]ST-2SD.ST'!$A$61</definedName>
    <definedName name="__LFSiy_ffffffe6_z_ffffffe6_n_LFdr1_iNdEx_626" localSheetId="16">'[1]ST-2SD.ST'!$A$61</definedName>
    <definedName name="__LFSiy_ffffffe6_z_ffffffe6_n_LFdr1_iNdEx_626" localSheetId="19">'[1]ST-2SD.ST'!$A$61</definedName>
    <definedName name="__LFSiy_ffffffe6_z_ffffffe6_n_LFdr1_iNdEx_626" localSheetId="62">'[1]ST-2SD.ST'!$A$61</definedName>
    <definedName name="__LFSiy_ffffffe6_z_ffffffe6_n_LFdr1_iNdEx_626" localSheetId="63">'[2]ST-2SD.ST'!$A$61</definedName>
    <definedName name="__LFSiy_ffffffe6_z_ffffffe6_n_LFdr1_iNdEx_626" localSheetId="64">'[3]ST-2SD.ST'!$A$61</definedName>
    <definedName name="__LFSiy_ffffffe6_z_ffffffe6_n_LFdr1_iNdEx_626" localSheetId="65">'[3]ST-2SD.ST'!$A$61</definedName>
    <definedName name="__LFSiy_ffffffe6_z_ffffffe6_n_LFdr1_iNdEx_626" localSheetId="67">'[1]ST-2SD.ST'!$A$61</definedName>
    <definedName name="__LFSiy_ffffffe6_z_ffffffe6_n_LFdr1_iNdEx_626">'[1]ST-2SD.ST'!$A$61</definedName>
    <definedName name="__LFT_ffffffe6_rt_ffffffe6_r_LFdr1_iNdEx_629" localSheetId="17">'[1]ST-2SD.ST'!$A$64</definedName>
    <definedName name="__LFT_ffffffe6_rt_ffffffe6_r_LFdr1_iNdEx_629" localSheetId="16">'[1]ST-2SD.ST'!$A$64</definedName>
    <definedName name="__LFT_ffffffe6_rt_ffffffe6_r_LFdr1_iNdEx_629" localSheetId="19">'[1]ST-2SD.ST'!$A$64</definedName>
    <definedName name="__LFT_ffffffe6_rt_ffffffe6_r_LFdr1_iNdEx_629" localSheetId="62">'[1]ST-2SD.ST'!$A$64</definedName>
    <definedName name="__LFT_ffffffe6_rt_ffffffe6_r_LFdr1_iNdEx_629" localSheetId="63">'[2]ST-2SD.ST'!$A$64</definedName>
    <definedName name="__LFT_ffffffe6_rt_ffffffe6_r_LFdr1_iNdEx_629" localSheetId="64">'[3]ST-2SD.ST'!$A$64</definedName>
    <definedName name="__LFT_ffffffe6_rt_ffffffe6_r_LFdr1_iNdEx_629" localSheetId="65">'[3]ST-2SD.ST'!$A$64</definedName>
    <definedName name="__LFT_ffffffe6_rt_ffffffe6_r_LFdr1_iNdEx_629" localSheetId="67">'[1]ST-2SD.ST'!$A$64</definedName>
    <definedName name="__LFT_ffffffe6_rt_ffffffe6_r_LFdr1_iNdEx_629">'[1]ST-2SD.ST'!$A$64</definedName>
    <definedName name="__LFYard_fffffffd_ml_fffffffd__LFdr1_iNdEx_636" localSheetId="17">'[1]ST-2SD.ST'!$A$71</definedName>
    <definedName name="__LFYard_fffffffd_ml_fffffffd__LFdr1_iNdEx_636" localSheetId="16">'[1]ST-2SD.ST'!$A$71</definedName>
    <definedName name="__LFYard_fffffffd_ml_fffffffd__LFdr1_iNdEx_636" localSheetId="19">'[1]ST-2SD.ST'!$A$71</definedName>
    <definedName name="__LFYard_fffffffd_ml_fffffffd__LFdr1_iNdEx_636" localSheetId="62">'[1]ST-2SD.ST'!$A$71</definedName>
    <definedName name="__LFYard_fffffffd_ml_fffffffd__LFdr1_iNdEx_636" localSheetId="63">'[2]ST-2SD.ST'!$A$71</definedName>
    <definedName name="__LFYard_fffffffd_ml_fffffffd__LFdr1_iNdEx_636" localSheetId="64">'[3]ST-2SD.ST'!$A$71</definedName>
    <definedName name="__LFYard_fffffffd_ml_fffffffd__LFdr1_iNdEx_636" localSheetId="65">'[3]ST-2SD.ST'!$A$71</definedName>
    <definedName name="__LFYard_fffffffd_ml_fffffffd__LFdr1_iNdEx_636" localSheetId="67">'[1]ST-2SD.ST'!$A$71</definedName>
    <definedName name="__LFYard_fffffffd_ml_fffffffd__LFdr1_iNdEx_636">'[1]ST-2SD.ST'!$A$71</definedName>
    <definedName name="__LFZ_ffffffe6_ngilan_LFdr1_iNdEx_639" localSheetId="17">'[1]ST-2SD.ST'!$A$74</definedName>
    <definedName name="__LFZ_ffffffe6_ngilan_LFdr1_iNdEx_639" localSheetId="16">'[1]ST-2SD.ST'!$A$74</definedName>
    <definedName name="__LFZ_ffffffe6_ngilan_LFdr1_iNdEx_639" localSheetId="19">'[1]ST-2SD.ST'!$A$74</definedName>
    <definedName name="__LFZ_ffffffe6_ngilan_LFdr1_iNdEx_639" localSheetId="62">'[1]ST-2SD.ST'!$A$74</definedName>
    <definedName name="__LFZ_ffffffe6_ngilan_LFdr1_iNdEx_639" localSheetId="63">'[2]ST-2SD.ST'!$A$74</definedName>
    <definedName name="__LFZ_ffffffe6_ngilan_LFdr1_iNdEx_639" localSheetId="64">'[3]ST-2SD.ST'!$A$74</definedName>
    <definedName name="__LFZ_ffffffe6_ngilan_LFdr1_iNdEx_639" localSheetId="65">'[3]ST-2SD.ST'!$A$74</definedName>
    <definedName name="__LFZ_ffffffe6_ngilan_LFdr1_iNdEx_639" localSheetId="67">'[1]ST-2SD.ST'!$A$74</definedName>
    <definedName name="__LFZ_ffffffe6_ngilan_LFdr1_iNdEx_639">'[1]ST-2SD.ST'!$A$74</definedName>
    <definedName name="__LFZaqatala_LFdr1_iNdEx_638" localSheetId="17">'[1]ST-2SD.ST'!$A$73</definedName>
    <definedName name="__LFZaqatala_LFdr1_iNdEx_638" localSheetId="16">'[1]ST-2SD.ST'!$A$73</definedName>
    <definedName name="__LFZaqatala_LFdr1_iNdEx_638" localSheetId="19">'[1]ST-2SD.ST'!$A$73</definedName>
    <definedName name="__LFZaqatala_LFdr1_iNdEx_638" localSheetId="62">'[1]ST-2SD.ST'!$A$73</definedName>
    <definedName name="__LFZaqatala_LFdr1_iNdEx_638" localSheetId="63">'[2]ST-2SD.ST'!$A$73</definedName>
    <definedName name="__LFZaqatala_LFdr1_iNdEx_638" localSheetId="64">'[3]ST-2SD.ST'!$A$73</definedName>
    <definedName name="__LFZaqatala_LFdr1_iNdEx_638" localSheetId="65">'[3]ST-2SD.ST'!$A$73</definedName>
    <definedName name="__LFZaqatala_LFdr1_iNdEx_638" localSheetId="67">'[1]ST-2SD.ST'!$A$73</definedName>
    <definedName name="__LFZaqatala_LFdr1_iNdEx_638">'[1]ST-2SD.ST'!$A$73</definedName>
    <definedName name="_b2_iNdEx_2" localSheetId="7">'[4]3.6'!#REF!</definedName>
    <definedName name="_b2_iNdEx_2" localSheetId="8">'[4]3.6'!#REF!</definedName>
    <definedName name="_b2_iNdEx_2" localSheetId="35">'[4]3.6'!#REF!</definedName>
    <definedName name="_b2_iNdEx_2" localSheetId="37">'[4]3.6'!#REF!</definedName>
    <definedName name="_b2_iNdEx_2" localSheetId="17">'[4]3.6'!#REF!</definedName>
    <definedName name="_b2_iNdEx_2" localSheetId="16">'[4]3.6'!#REF!</definedName>
    <definedName name="_b2_iNdEx_2" localSheetId="20">'[4]3.6'!#REF!</definedName>
    <definedName name="_b2_iNdEx_2" localSheetId="21">'[4]3.6'!#REF!</definedName>
    <definedName name="_b2_iNdEx_2" localSheetId="22">'[4]3.6'!#REF!</definedName>
    <definedName name="_b2_iNdEx_2" localSheetId="23">'[4]3.6'!#REF!</definedName>
    <definedName name="_b2_iNdEx_2" localSheetId="24">'[4]3.6'!#REF!</definedName>
    <definedName name="_b2_iNdEx_2" localSheetId="25">'[4]3.6'!#REF!</definedName>
    <definedName name="_b2_iNdEx_2" localSheetId="26">'[4]3.6'!#REF!</definedName>
    <definedName name="_b2_iNdEx_2" localSheetId="27">'[4]3.6'!#REF!</definedName>
    <definedName name="_b2_iNdEx_2" localSheetId="28">'[4]3.6'!#REF!</definedName>
    <definedName name="_b2_iNdEx_2" localSheetId="19">'[4]3.6'!#REF!</definedName>
    <definedName name="_b2_iNdEx_2" localSheetId="38">'[4]3.6'!#REF!</definedName>
    <definedName name="_b2_iNdEx_2" localSheetId="42">'[5]3.6'!#REF!</definedName>
    <definedName name="_b2_iNdEx_2" localSheetId="45">'[4]3.6'!#REF!</definedName>
    <definedName name="_b2_iNdEx_2" localSheetId="54">'[4]3.6'!#REF!</definedName>
    <definedName name="_b2_iNdEx_2" localSheetId="46">'[4]3.6'!#REF!</definedName>
    <definedName name="_b2_iNdEx_2" localSheetId="47">'[4]3.6'!#REF!</definedName>
    <definedName name="_b2_iNdEx_2" localSheetId="48">'[4]3.6'!#REF!</definedName>
    <definedName name="_b2_iNdEx_2" localSheetId="49">'[4]3.6'!#REF!</definedName>
    <definedName name="_b2_iNdEx_2" localSheetId="50">'[4]3.6'!#REF!</definedName>
    <definedName name="_b2_iNdEx_2" localSheetId="51">'[4]3.6'!#REF!</definedName>
    <definedName name="_b2_iNdEx_2" localSheetId="52">'[4]3.6'!#REF!</definedName>
    <definedName name="_b2_iNdEx_2" localSheetId="53">'[4]3.6'!#REF!</definedName>
    <definedName name="_b2_iNdEx_2" localSheetId="59">'[4]3.6'!#REF!</definedName>
    <definedName name="_b2_iNdEx_2" localSheetId="60">'[4]3.6'!#REF!</definedName>
    <definedName name="_b2_iNdEx_2" localSheetId="61">'[4]3.6'!#REF!</definedName>
    <definedName name="_b2_iNdEx_2" localSheetId="62">'[4]3.6'!#REF!</definedName>
    <definedName name="_b2_iNdEx_2" localSheetId="63">'[6]3.6'!#REF!</definedName>
    <definedName name="_b2_iNdEx_2" localSheetId="67">'[4]3.6'!#REF!</definedName>
    <definedName name="_b2_iNdEx_2" localSheetId="1">'[4]3.6'!#REF!</definedName>
    <definedName name="_b2_iNdEx_2">'[4]3.6'!#REF!</definedName>
    <definedName name="_c1_iNdEx_3" localSheetId="7">'[4]3.6'!#REF!</definedName>
    <definedName name="_c1_iNdEx_3" localSheetId="8">'[4]3.6'!#REF!</definedName>
    <definedName name="_c1_iNdEx_3" localSheetId="35">'[4]3.6'!#REF!</definedName>
    <definedName name="_c1_iNdEx_3" localSheetId="37">'[4]3.6'!#REF!</definedName>
    <definedName name="_c1_iNdEx_3" localSheetId="17">'[4]3.6'!#REF!</definedName>
    <definedName name="_c1_iNdEx_3" localSheetId="16">'[4]3.6'!#REF!</definedName>
    <definedName name="_c1_iNdEx_3" localSheetId="20">'[4]3.6'!#REF!</definedName>
    <definedName name="_c1_iNdEx_3" localSheetId="21">'[4]3.6'!#REF!</definedName>
    <definedName name="_c1_iNdEx_3" localSheetId="22">'[4]3.6'!#REF!</definedName>
    <definedName name="_c1_iNdEx_3" localSheetId="23">'[4]3.6'!#REF!</definedName>
    <definedName name="_c1_iNdEx_3" localSheetId="24">'[4]3.6'!#REF!</definedName>
    <definedName name="_c1_iNdEx_3" localSheetId="25">'[4]3.6'!#REF!</definedName>
    <definedName name="_c1_iNdEx_3" localSheetId="26">'[4]3.6'!#REF!</definedName>
    <definedName name="_c1_iNdEx_3" localSheetId="27">'[4]3.6'!#REF!</definedName>
    <definedName name="_c1_iNdEx_3" localSheetId="28">'[4]3.6'!#REF!</definedName>
    <definedName name="_c1_iNdEx_3" localSheetId="19">'[4]3.6'!#REF!</definedName>
    <definedName name="_c1_iNdEx_3" localSheetId="38">'[4]3.6'!#REF!</definedName>
    <definedName name="_c1_iNdEx_3" localSheetId="42">'[5]3.6'!#REF!</definedName>
    <definedName name="_c1_iNdEx_3" localSheetId="45">'[4]3.6'!#REF!</definedName>
    <definedName name="_c1_iNdEx_3" localSheetId="54">'[4]3.6'!#REF!</definedName>
    <definedName name="_c1_iNdEx_3" localSheetId="46">'[4]3.6'!#REF!</definedName>
    <definedName name="_c1_iNdEx_3" localSheetId="47">'[4]3.6'!#REF!</definedName>
    <definedName name="_c1_iNdEx_3" localSheetId="48">'[4]3.6'!#REF!</definedName>
    <definedName name="_c1_iNdEx_3" localSheetId="49">'[4]3.6'!#REF!</definedName>
    <definedName name="_c1_iNdEx_3" localSheetId="50">'[4]3.6'!#REF!</definedName>
    <definedName name="_c1_iNdEx_3" localSheetId="51">'[4]3.6'!#REF!</definedName>
    <definedName name="_c1_iNdEx_3" localSheetId="52">'[4]3.6'!#REF!</definedName>
    <definedName name="_c1_iNdEx_3" localSheetId="53">'[4]3.6'!#REF!</definedName>
    <definedName name="_c1_iNdEx_3" localSheetId="59">'[4]3.6'!#REF!</definedName>
    <definedName name="_c1_iNdEx_3" localSheetId="60">'[4]3.6'!#REF!</definedName>
    <definedName name="_c1_iNdEx_3" localSheetId="61">'[4]3.6'!#REF!</definedName>
    <definedName name="_c1_iNdEx_3" localSheetId="62">'[4]3.6'!#REF!</definedName>
    <definedName name="_c1_iNdEx_3" localSheetId="63">'[6]3.6'!#REF!</definedName>
    <definedName name="_c1_iNdEx_3" localSheetId="67">'[4]3.6'!#REF!</definedName>
    <definedName name="_c1_iNdEx_3" localSheetId="1">'[4]3.6'!#REF!</definedName>
    <definedName name="_c1_iNdEx_3">'[4]3.6'!#REF!</definedName>
    <definedName name="_c2_iNdEx_4" localSheetId="7">'[4]3.6'!#REF!</definedName>
    <definedName name="_c2_iNdEx_4" localSheetId="8">'[4]3.6'!#REF!</definedName>
    <definedName name="_c2_iNdEx_4" localSheetId="35">'[4]3.6'!#REF!</definedName>
    <definedName name="_c2_iNdEx_4" localSheetId="37">'[4]3.6'!#REF!</definedName>
    <definedName name="_c2_iNdEx_4" localSheetId="17">'[4]3.6'!#REF!</definedName>
    <definedName name="_c2_iNdEx_4" localSheetId="16">'[4]3.6'!#REF!</definedName>
    <definedName name="_c2_iNdEx_4" localSheetId="20">'[4]3.6'!#REF!</definedName>
    <definedName name="_c2_iNdEx_4" localSheetId="21">'[4]3.6'!#REF!</definedName>
    <definedName name="_c2_iNdEx_4" localSheetId="22">'[4]3.6'!#REF!</definedName>
    <definedName name="_c2_iNdEx_4" localSheetId="23">'[4]3.6'!#REF!</definedName>
    <definedName name="_c2_iNdEx_4" localSheetId="24">'[4]3.6'!#REF!</definedName>
    <definedName name="_c2_iNdEx_4" localSheetId="25">'[4]3.6'!#REF!</definedName>
    <definedName name="_c2_iNdEx_4" localSheetId="26">'[4]3.6'!#REF!</definedName>
    <definedName name="_c2_iNdEx_4" localSheetId="27">'[4]3.6'!#REF!</definedName>
    <definedName name="_c2_iNdEx_4" localSheetId="28">'[4]3.6'!#REF!</definedName>
    <definedName name="_c2_iNdEx_4" localSheetId="19">'[4]3.6'!#REF!</definedName>
    <definedName name="_c2_iNdEx_4" localSheetId="38">'[4]3.6'!#REF!</definedName>
    <definedName name="_c2_iNdEx_4" localSheetId="42">'[5]3.6'!#REF!</definedName>
    <definedName name="_c2_iNdEx_4" localSheetId="45">'[4]3.6'!#REF!</definedName>
    <definedName name="_c2_iNdEx_4" localSheetId="54">'[4]3.6'!#REF!</definedName>
    <definedName name="_c2_iNdEx_4" localSheetId="46">'[4]3.6'!#REF!</definedName>
    <definedName name="_c2_iNdEx_4" localSheetId="47">'[4]3.6'!#REF!</definedName>
    <definedName name="_c2_iNdEx_4" localSheetId="48">'[4]3.6'!#REF!</definedName>
    <definedName name="_c2_iNdEx_4" localSheetId="49">'[4]3.6'!#REF!</definedName>
    <definedName name="_c2_iNdEx_4" localSheetId="50">'[4]3.6'!#REF!</definedName>
    <definedName name="_c2_iNdEx_4" localSheetId="51">'[4]3.6'!#REF!</definedName>
    <definedName name="_c2_iNdEx_4" localSheetId="52">'[4]3.6'!#REF!</definedName>
    <definedName name="_c2_iNdEx_4" localSheetId="53">'[4]3.6'!#REF!</definedName>
    <definedName name="_c2_iNdEx_4" localSheetId="59">'[4]3.6'!#REF!</definedName>
    <definedName name="_c2_iNdEx_4" localSheetId="60">'[4]3.6'!#REF!</definedName>
    <definedName name="_c2_iNdEx_4" localSheetId="61">'[4]3.6'!#REF!</definedName>
    <definedName name="_c2_iNdEx_4" localSheetId="62">'[4]3.6'!#REF!</definedName>
    <definedName name="_c2_iNdEx_4" localSheetId="63">'[6]3.6'!#REF!</definedName>
    <definedName name="_c2_iNdEx_4" localSheetId="67">'[4]3.6'!#REF!</definedName>
    <definedName name="_c2_iNdEx_4" localSheetId="1">'[4]3.6'!#REF!</definedName>
    <definedName name="_c2_iNdEx_4">'[4]3.6'!#REF!</definedName>
    <definedName name="_c3_iNdEx_5" localSheetId="7">'[4]3.6'!#REF!</definedName>
    <definedName name="_c3_iNdEx_5" localSheetId="8">'[4]3.6'!#REF!</definedName>
    <definedName name="_c3_iNdEx_5" localSheetId="35">'[4]3.6'!#REF!</definedName>
    <definedName name="_c3_iNdEx_5" localSheetId="37">'[4]3.6'!#REF!</definedName>
    <definedName name="_c3_iNdEx_5" localSheetId="17">'[4]3.6'!#REF!</definedName>
    <definedName name="_c3_iNdEx_5" localSheetId="16">'[4]3.6'!#REF!</definedName>
    <definedName name="_c3_iNdEx_5" localSheetId="20">'[4]3.6'!#REF!</definedName>
    <definedName name="_c3_iNdEx_5" localSheetId="21">'[4]3.6'!#REF!</definedName>
    <definedName name="_c3_iNdEx_5" localSheetId="22">'[4]3.6'!#REF!</definedName>
    <definedName name="_c3_iNdEx_5" localSheetId="23">'[4]3.6'!#REF!</definedName>
    <definedName name="_c3_iNdEx_5" localSheetId="24">'[4]3.6'!#REF!</definedName>
    <definedName name="_c3_iNdEx_5" localSheetId="25">'[4]3.6'!#REF!</definedName>
    <definedName name="_c3_iNdEx_5" localSheetId="26">'[4]3.6'!#REF!</definedName>
    <definedName name="_c3_iNdEx_5" localSheetId="27">'[4]3.6'!#REF!</definedName>
    <definedName name="_c3_iNdEx_5" localSheetId="28">'[4]3.6'!#REF!</definedName>
    <definedName name="_c3_iNdEx_5" localSheetId="19">'[4]3.6'!#REF!</definedName>
    <definedName name="_c3_iNdEx_5" localSheetId="38">'[4]3.6'!#REF!</definedName>
    <definedName name="_c3_iNdEx_5" localSheetId="42">'[5]3.6'!#REF!</definedName>
    <definedName name="_c3_iNdEx_5" localSheetId="45">'[4]3.6'!#REF!</definedName>
    <definedName name="_c3_iNdEx_5" localSheetId="54">'[4]3.6'!#REF!</definedName>
    <definedName name="_c3_iNdEx_5" localSheetId="46">'[4]3.6'!#REF!</definedName>
    <definedName name="_c3_iNdEx_5" localSheetId="47">'[4]3.6'!#REF!</definedName>
    <definedName name="_c3_iNdEx_5" localSheetId="48">'[4]3.6'!#REF!</definedName>
    <definedName name="_c3_iNdEx_5" localSheetId="49">'[4]3.6'!#REF!</definedName>
    <definedName name="_c3_iNdEx_5" localSheetId="50">'[4]3.6'!#REF!</definedName>
    <definedName name="_c3_iNdEx_5" localSheetId="51">'[4]3.6'!#REF!</definedName>
    <definedName name="_c3_iNdEx_5" localSheetId="52">'[4]3.6'!#REF!</definedName>
    <definedName name="_c3_iNdEx_5" localSheetId="53">'[4]3.6'!#REF!</definedName>
    <definedName name="_c3_iNdEx_5" localSheetId="59">'[4]3.6'!#REF!</definedName>
    <definedName name="_c3_iNdEx_5" localSheetId="60">'[4]3.6'!#REF!</definedName>
    <definedName name="_c3_iNdEx_5" localSheetId="61">'[4]3.6'!#REF!</definedName>
    <definedName name="_c3_iNdEx_5" localSheetId="62">'[4]3.6'!#REF!</definedName>
    <definedName name="_c3_iNdEx_5" localSheetId="63">'[6]3.6'!#REF!</definedName>
    <definedName name="_c3_iNdEx_5" localSheetId="67">'[4]3.6'!#REF!</definedName>
    <definedName name="_c3_iNdEx_5" localSheetId="1">'[4]3.6'!#REF!</definedName>
    <definedName name="_c3_iNdEx_5">'[4]3.6'!#REF!</definedName>
    <definedName name="_c4_iNdEx_6" localSheetId="7">'[4]3.6'!#REF!</definedName>
    <definedName name="_c4_iNdEx_6" localSheetId="8">'[4]3.6'!#REF!</definedName>
    <definedName name="_c4_iNdEx_6" localSheetId="35">'[4]3.6'!#REF!</definedName>
    <definedName name="_c4_iNdEx_6" localSheetId="37">'[4]3.6'!#REF!</definedName>
    <definedName name="_c4_iNdEx_6" localSheetId="17">'[4]3.6'!#REF!</definedName>
    <definedName name="_c4_iNdEx_6" localSheetId="16">'[4]3.6'!#REF!</definedName>
    <definedName name="_c4_iNdEx_6" localSheetId="20">'[4]3.6'!#REF!</definedName>
    <definedName name="_c4_iNdEx_6" localSheetId="21">'[4]3.6'!#REF!</definedName>
    <definedName name="_c4_iNdEx_6" localSheetId="22">'[4]3.6'!#REF!</definedName>
    <definedName name="_c4_iNdEx_6" localSheetId="23">'[4]3.6'!#REF!</definedName>
    <definedName name="_c4_iNdEx_6" localSheetId="24">'[4]3.6'!#REF!</definedName>
    <definedName name="_c4_iNdEx_6" localSheetId="25">'[4]3.6'!#REF!</definedName>
    <definedName name="_c4_iNdEx_6" localSheetId="26">'[4]3.6'!#REF!</definedName>
    <definedName name="_c4_iNdEx_6" localSheetId="27">'[4]3.6'!#REF!</definedName>
    <definedName name="_c4_iNdEx_6" localSheetId="28">'[4]3.6'!#REF!</definedName>
    <definedName name="_c4_iNdEx_6" localSheetId="19">'[4]3.6'!#REF!</definedName>
    <definedName name="_c4_iNdEx_6" localSheetId="38">'[4]3.6'!#REF!</definedName>
    <definedName name="_c4_iNdEx_6" localSheetId="42">'[5]3.6'!#REF!</definedName>
    <definedName name="_c4_iNdEx_6" localSheetId="45">'[4]3.6'!#REF!</definedName>
    <definedName name="_c4_iNdEx_6" localSheetId="54">'[4]3.6'!#REF!</definedName>
    <definedName name="_c4_iNdEx_6" localSheetId="46">'[4]3.6'!#REF!</definedName>
    <definedName name="_c4_iNdEx_6" localSheetId="47">'[4]3.6'!#REF!</definedName>
    <definedName name="_c4_iNdEx_6" localSheetId="48">'[4]3.6'!#REF!</definedName>
    <definedName name="_c4_iNdEx_6" localSheetId="49">'[4]3.6'!#REF!</definedName>
    <definedName name="_c4_iNdEx_6" localSheetId="50">'[4]3.6'!#REF!</definedName>
    <definedName name="_c4_iNdEx_6" localSheetId="51">'[4]3.6'!#REF!</definedName>
    <definedName name="_c4_iNdEx_6" localSheetId="52">'[4]3.6'!#REF!</definedName>
    <definedName name="_c4_iNdEx_6" localSheetId="53">'[4]3.6'!#REF!</definedName>
    <definedName name="_c4_iNdEx_6" localSheetId="59">'[4]3.6'!#REF!</definedName>
    <definedName name="_c4_iNdEx_6" localSheetId="60">'[4]3.6'!#REF!</definedName>
    <definedName name="_c4_iNdEx_6" localSheetId="61">'[4]3.6'!#REF!</definedName>
    <definedName name="_c4_iNdEx_6" localSheetId="62">'[4]3.6'!#REF!</definedName>
    <definedName name="_c4_iNdEx_6" localSheetId="63">'[6]3.6'!#REF!</definedName>
    <definedName name="_c4_iNdEx_6" localSheetId="67">'[4]3.6'!#REF!</definedName>
    <definedName name="_c4_iNdEx_6" localSheetId="1">'[4]3.6'!#REF!</definedName>
    <definedName name="_c4_iNdEx_6">'[4]3.6'!#REF!</definedName>
    <definedName name="_c5_iNdEx_7" localSheetId="7">'[4]3.6'!#REF!</definedName>
    <definedName name="_c5_iNdEx_7" localSheetId="8">'[4]3.6'!#REF!</definedName>
    <definedName name="_c5_iNdEx_7" localSheetId="35">'[4]3.6'!#REF!</definedName>
    <definedName name="_c5_iNdEx_7" localSheetId="37">'[4]3.6'!#REF!</definedName>
    <definedName name="_c5_iNdEx_7" localSheetId="17">'[4]3.6'!#REF!</definedName>
    <definedName name="_c5_iNdEx_7" localSheetId="16">'[4]3.6'!#REF!</definedName>
    <definedName name="_c5_iNdEx_7" localSheetId="20">'[4]3.6'!#REF!</definedName>
    <definedName name="_c5_iNdEx_7" localSheetId="21">'[4]3.6'!#REF!</definedName>
    <definedName name="_c5_iNdEx_7" localSheetId="22">'[4]3.6'!#REF!</definedName>
    <definedName name="_c5_iNdEx_7" localSheetId="23">'[4]3.6'!#REF!</definedName>
    <definedName name="_c5_iNdEx_7" localSheetId="24">'[4]3.6'!#REF!</definedName>
    <definedName name="_c5_iNdEx_7" localSheetId="25">'[4]3.6'!#REF!</definedName>
    <definedName name="_c5_iNdEx_7" localSheetId="26">'[4]3.6'!#REF!</definedName>
    <definedName name="_c5_iNdEx_7" localSheetId="27">'[4]3.6'!#REF!</definedName>
    <definedName name="_c5_iNdEx_7" localSheetId="28">'[4]3.6'!#REF!</definedName>
    <definedName name="_c5_iNdEx_7" localSheetId="19">'[4]3.6'!#REF!</definedName>
    <definedName name="_c5_iNdEx_7" localSheetId="38">'[4]3.6'!#REF!</definedName>
    <definedName name="_c5_iNdEx_7" localSheetId="42">'[5]3.6'!#REF!</definedName>
    <definedName name="_c5_iNdEx_7" localSheetId="45">'[4]3.6'!#REF!</definedName>
    <definedName name="_c5_iNdEx_7" localSheetId="54">'[4]3.6'!#REF!</definedName>
    <definedName name="_c5_iNdEx_7" localSheetId="46">'[4]3.6'!#REF!</definedName>
    <definedName name="_c5_iNdEx_7" localSheetId="47">'[4]3.6'!#REF!</definedName>
    <definedName name="_c5_iNdEx_7" localSheetId="48">'[4]3.6'!#REF!</definedName>
    <definedName name="_c5_iNdEx_7" localSheetId="49">'[4]3.6'!#REF!</definedName>
    <definedName name="_c5_iNdEx_7" localSheetId="50">'[4]3.6'!#REF!</definedName>
    <definedName name="_c5_iNdEx_7" localSheetId="51">'[4]3.6'!#REF!</definedName>
    <definedName name="_c5_iNdEx_7" localSheetId="52">'[4]3.6'!#REF!</definedName>
    <definedName name="_c5_iNdEx_7" localSheetId="53">'[4]3.6'!#REF!</definedName>
    <definedName name="_c5_iNdEx_7" localSheetId="59">'[4]3.6'!#REF!</definedName>
    <definedName name="_c5_iNdEx_7" localSheetId="60">'[4]3.6'!#REF!</definedName>
    <definedName name="_c5_iNdEx_7" localSheetId="61">'[4]3.6'!#REF!</definedName>
    <definedName name="_c5_iNdEx_7" localSheetId="62">'[4]3.6'!#REF!</definedName>
    <definedName name="_c5_iNdEx_7" localSheetId="63">'[6]3.6'!#REF!</definedName>
    <definedName name="_c5_iNdEx_7" localSheetId="67">'[4]3.6'!#REF!</definedName>
    <definedName name="_c5_iNdEx_7" localSheetId="1">'[4]3.6'!#REF!</definedName>
    <definedName name="_c5_iNdEx_7">'[4]3.6'!#REF!</definedName>
    <definedName name="_c6_iNdEx_8" localSheetId="7">'[4]3.6'!#REF!</definedName>
    <definedName name="_c6_iNdEx_8" localSheetId="8">'[4]3.6'!#REF!</definedName>
    <definedName name="_c6_iNdEx_8" localSheetId="35">'[4]3.6'!#REF!</definedName>
    <definedName name="_c6_iNdEx_8" localSheetId="37">'[4]3.6'!#REF!</definedName>
    <definedName name="_c6_iNdEx_8" localSheetId="17">'[4]3.6'!#REF!</definedName>
    <definedName name="_c6_iNdEx_8" localSheetId="16">'[4]3.6'!#REF!</definedName>
    <definedName name="_c6_iNdEx_8" localSheetId="20">'[4]3.6'!#REF!</definedName>
    <definedName name="_c6_iNdEx_8" localSheetId="21">'[4]3.6'!#REF!</definedName>
    <definedName name="_c6_iNdEx_8" localSheetId="22">'[4]3.6'!#REF!</definedName>
    <definedName name="_c6_iNdEx_8" localSheetId="23">'[4]3.6'!#REF!</definedName>
    <definedName name="_c6_iNdEx_8" localSheetId="24">'[4]3.6'!#REF!</definedName>
    <definedName name="_c6_iNdEx_8" localSheetId="25">'[4]3.6'!#REF!</definedName>
    <definedName name="_c6_iNdEx_8" localSheetId="26">'[4]3.6'!#REF!</definedName>
    <definedName name="_c6_iNdEx_8" localSheetId="27">'[4]3.6'!#REF!</definedName>
    <definedName name="_c6_iNdEx_8" localSheetId="28">'[4]3.6'!#REF!</definedName>
    <definedName name="_c6_iNdEx_8" localSheetId="19">'[4]3.6'!#REF!</definedName>
    <definedName name="_c6_iNdEx_8" localSheetId="38">'[4]3.6'!#REF!</definedName>
    <definedName name="_c6_iNdEx_8" localSheetId="42">'[5]3.6'!#REF!</definedName>
    <definedName name="_c6_iNdEx_8" localSheetId="45">'[4]3.6'!#REF!</definedName>
    <definedName name="_c6_iNdEx_8" localSheetId="54">'[4]3.6'!#REF!</definedName>
    <definedName name="_c6_iNdEx_8" localSheetId="46">'[4]3.6'!#REF!</definedName>
    <definedName name="_c6_iNdEx_8" localSheetId="47">'[4]3.6'!#REF!</definedName>
    <definedName name="_c6_iNdEx_8" localSheetId="48">'[4]3.6'!#REF!</definedName>
    <definedName name="_c6_iNdEx_8" localSheetId="49">'[4]3.6'!#REF!</definedName>
    <definedName name="_c6_iNdEx_8" localSheetId="50">'[4]3.6'!#REF!</definedName>
    <definedName name="_c6_iNdEx_8" localSheetId="51">'[4]3.6'!#REF!</definedName>
    <definedName name="_c6_iNdEx_8" localSheetId="52">'[4]3.6'!#REF!</definedName>
    <definedName name="_c6_iNdEx_8" localSheetId="53">'[4]3.6'!#REF!</definedName>
    <definedName name="_c6_iNdEx_8" localSheetId="59">'[4]3.6'!#REF!</definedName>
    <definedName name="_c6_iNdEx_8" localSheetId="60">'[4]3.6'!#REF!</definedName>
    <definedName name="_c6_iNdEx_8" localSheetId="61">'[4]3.6'!#REF!</definedName>
    <definedName name="_c6_iNdEx_8" localSheetId="62">'[4]3.6'!#REF!</definedName>
    <definedName name="_c6_iNdEx_8" localSheetId="63">'[6]3.6'!#REF!</definedName>
    <definedName name="_c6_iNdEx_8" localSheetId="67">'[4]3.6'!#REF!</definedName>
    <definedName name="_c6_iNdEx_8" localSheetId="1">'[4]3.6'!#REF!</definedName>
    <definedName name="_c6_iNdEx_8">'[4]3.6'!#REF!</definedName>
    <definedName name="_c7_iNdEx_9" localSheetId="7">'[4]3.6'!#REF!</definedName>
    <definedName name="_c7_iNdEx_9" localSheetId="8">'[4]3.6'!#REF!</definedName>
    <definedName name="_c7_iNdEx_9" localSheetId="35">'[4]3.6'!#REF!</definedName>
    <definedName name="_c7_iNdEx_9" localSheetId="37">'[4]3.6'!#REF!</definedName>
    <definedName name="_c7_iNdEx_9" localSheetId="17">'[4]3.6'!#REF!</definedName>
    <definedName name="_c7_iNdEx_9" localSheetId="16">'[4]3.6'!#REF!</definedName>
    <definedName name="_c7_iNdEx_9" localSheetId="20">'[4]3.6'!#REF!</definedName>
    <definedName name="_c7_iNdEx_9" localSheetId="21">'[4]3.6'!#REF!</definedName>
    <definedName name="_c7_iNdEx_9" localSheetId="22">'[4]3.6'!#REF!</definedName>
    <definedName name="_c7_iNdEx_9" localSheetId="23">'[4]3.6'!#REF!</definedName>
    <definedName name="_c7_iNdEx_9" localSheetId="24">'[4]3.6'!#REF!</definedName>
    <definedName name="_c7_iNdEx_9" localSheetId="25">'[4]3.6'!#REF!</definedName>
    <definedName name="_c7_iNdEx_9" localSheetId="26">'[4]3.6'!#REF!</definedName>
    <definedName name="_c7_iNdEx_9" localSheetId="27">'[4]3.6'!#REF!</definedName>
    <definedName name="_c7_iNdEx_9" localSheetId="28">'[4]3.6'!#REF!</definedName>
    <definedName name="_c7_iNdEx_9" localSheetId="19">'[4]3.6'!#REF!</definedName>
    <definedName name="_c7_iNdEx_9" localSheetId="38">'[4]3.6'!#REF!</definedName>
    <definedName name="_c7_iNdEx_9" localSheetId="42">'[5]3.6'!#REF!</definedName>
    <definedName name="_c7_iNdEx_9" localSheetId="45">'[4]3.6'!#REF!</definedName>
    <definedName name="_c7_iNdEx_9" localSheetId="54">'[4]3.6'!#REF!</definedName>
    <definedName name="_c7_iNdEx_9" localSheetId="46">'[4]3.6'!#REF!</definedName>
    <definedName name="_c7_iNdEx_9" localSheetId="47">'[4]3.6'!#REF!</definedName>
    <definedName name="_c7_iNdEx_9" localSheetId="48">'[4]3.6'!#REF!</definedName>
    <definedName name="_c7_iNdEx_9" localSheetId="49">'[4]3.6'!#REF!</definedName>
    <definedName name="_c7_iNdEx_9" localSheetId="50">'[4]3.6'!#REF!</definedName>
    <definedName name="_c7_iNdEx_9" localSheetId="51">'[4]3.6'!#REF!</definedName>
    <definedName name="_c7_iNdEx_9" localSheetId="52">'[4]3.6'!#REF!</definedName>
    <definedName name="_c7_iNdEx_9" localSheetId="53">'[4]3.6'!#REF!</definedName>
    <definedName name="_c7_iNdEx_9" localSheetId="59">'[4]3.6'!#REF!</definedName>
    <definedName name="_c7_iNdEx_9" localSheetId="60">'[4]3.6'!#REF!</definedName>
    <definedName name="_c7_iNdEx_9" localSheetId="61">'[4]3.6'!#REF!</definedName>
    <definedName name="_c7_iNdEx_9" localSheetId="62">'[4]3.6'!#REF!</definedName>
    <definedName name="_c7_iNdEx_9" localSheetId="63">'[6]3.6'!#REF!</definedName>
    <definedName name="_c7_iNdEx_9" localSheetId="67">'[4]3.6'!#REF!</definedName>
    <definedName name="_c7_iNdEx_9" localSheetId="1">'[4]3.6'!#REF!</definedName>
    <definedName name="_c7_iNdEx_9">'[4]3.6'!#REF!</definedName>
    <definedName name="_c8_iNdEx_10" localSheetId="7">'[4]3.6'!#REF!</definedName>
    <definedName name="_c8_iNdEx_10" localSheetId="8">'[4]3.6'!#REF!</definedName>
    <definedName name="_c8_iNdEx_10" localSheetId="35">'[4]3.6'!#REF!</definedName>
    <definedName name="_c8_iNdEx_10" localSheetId="37">'[4]3.6'!#REF!</definedName>
    <definedName name="_c8_iNdEx_10" localSheetId="17">'[4]3.6'!#REF!</definedName>
    <definedName name="_c8_iNdEx_10" localSheetId="16">'[4]3.6'!#REF!</definedName>
    <definedName name="_c8_iNdEx_10" localSheetId="20">'[4]3.6'!#REF!</definedName>
    <definedName name="_c8_iNdEx_10" localSheetId="21">'[4]3.6'!#REF!</definedName>
    <definedName name="_c8_iNdEx_10" localSheetId="22">'[4]3.6'!#REF!</definedName>
    <definedName name="_c8_iNdEx_10" localSheetId="23">'[4]3.6'!#REF!</definedName>
    <definedName name="_c8_iNdEx_10" localSheetId="24">'[4]3.6'!#REF!</definedName>
    <definedName name="_c8_iNdEx_10" localSheetId="25">'[4]3.6'!#REF!</definedName>
    <definedName name="_c8_iNdEx_10" localSheetId="26">'[4]3.6'!#REF!</definedName>
    <definedName name="_c8_iNdEx_10" localSheetId="27">'[4]3.6'!#REF!</definedName>
    <definedName name="_c8_iNdEx_10" localSheetId="28">'[4]3.6'!#REF!</definedName>
    <definedName name="_c8_iNdEx_10" localSheetId="19">'[4]3.6'!#REF!</definedName>
    <definedName name="_c8_iNdEx_10" localSheetId="38">'[4]3.6'!#REF!</definedName>
    <definedName name="_c8_iNdEx_10" localSheetId="42">'[5]3.6'!#REF!</definedName>
    <definedName name="_c8_iNdEx_10" localSheetId="45">'[4]3.6'!#REF!</definedName>
    <definedName name="_c8_iNdEx_10" localSheetId="54">'[4]3.6'!#REF!</definedName>
    <definedName name="_c8_iNdEx_10" localSheetId="46">'[4]3.6'!#REF!</definedName>
    <definedName name="_c8_iNdEx_10" localSheetId="47">'[4]3.6'!#REF!</definedName>
    <definedName name="_c8_iNdEx_10" localSheetId="48">'[4]3.6'!#REF!</definedName>
    <definedName name="_c8_iNdEx_10" localSheetId="49">'[4]3.6'!#REF!</definedName>
    <definedName name="_c8_iNdEx_10" localSheetId="50">'[4]3.6'!#REF!</definedName>
    <definedName name="_c8_iNdEx_10" localSheetId="51">'[4]3.6'!#REF!</definedName>
    <definedName name="_c8_iNdEx_10" localSheetId="52">'[4]3.6'!#REF!</definedName>
    <definedName name="_c8_iNdEx_10" localSheetId="53">'[4]3.6'!#REF!</definedName>
    <definedName name="_c8_iNdEx_10" localSheetId="59">'[4]3.6'!#REF!</definedName>
    <definedName name="_c8_iNdEx_10" localSheetId="60">'[4]3.6'!#REF!</definedName>
    <definedName name="_c8_iNdEx_10" localSheetId="61">'[4]3.6'!#REF!</definedName>
    <definedName name="_c8_iNdEx_10" localSheetId="62">'[4]3.6'!#REF!</definedName>
    <definedName name="_c8_iNdEx_10" localSheetId="63">'[6]3.6'!#REF!</definedName>
    <definedName name="_c8_iNdEx_10" localSheetId="67">'[4]3.6'!#REF!</definedName>
    <definedName name="_c8_iNdEx_10" localSheetId="1">'[4]3.6'!#REF!</definedName>
    <definedName name="_c8_iNdEx_10">'[4]3.6'!#REF!</definedName>
    <definedName name="_h1_iNdEx_11" localSheetId="17">'[4]3.6 (2)'!$A$2</definedName>
    <definedName name="_h1_iNdEx_11" localSheetId="16">'[4]3.6 (2)'!$A$2</definedName>
    <definedName name="_h1_iNdEx_11" localSheetId="19">'[4]3.6 (2)'!$A$2</definedName>
    <definedName name="_h1_iNdEx_11" localSheetId="42">'[5]3.6 (2)'!$A$2</definedName>
    <definedName name="_h1_iNdEx_11" localSheetId="60">'[4]3.6 (2)'!$A$2</definedName>
    <definedName name="_h1_iNdEx_11" localSheetId="61">'[4]3.6 (2)'!$A$2</definedName>
    <definedName name="_h1_iNdEx_11" localSheetId="62">'[4]3.6 (2)'!$A$2</definedName>
    <definedName name="_h1_iNdEx_11" localSheetId="63">'[6]3.6 (2)'!$A$2</definedName>
    <definedName name="_h1_iNdEx_11" localSheetId="67">'[4]3.6 (2)'!$A$2</definedName>
    <definedName name="_h1_iNdEx_11">'[4]3.6 (2)'!$A$2</definedName>
    <definedName name="_h10_iNdEx_38" localSheetId="17">'[4]3.6 (2)'!$A$30</definedName>
    <definedName name="_h10_iNdEx_38" localSheetId="16">'[4]3.6 (2)'!$A$30</definedName>
    <definedName name="_h10_iNdEx_38" localSheetId="19">'[4]3.6 (2)'!$A$30</definedName>
    <definedName name="_h10_iNdEx_38" localSheetId="42">'[5]3.6 (2)'!$A$30</definedName>
    <definedName name="_h10_iNdEx_38" localSheetId="60">'[4]3.6 (2)'!$A$30</definedName>
    <definedName name="_h10_iNdEx_38" localSheetId="61">'[4]3.6 (2)'!$A$30</definedName>
    <definedName name="_h10_iNdEx_38" localSheetId="62">'[4]3.6 (2)'!$A$30</definedName>
    <definedName name="_h10_iNdEx_38" localSheetId="63">'[6]3.6 (2)'!$A$30</definedName>
    <definedName name="_h10_iNdEx_38" localSheetId="67">'[4]3.6 (2)'!$A$30</definedName>
    <definedName name="_h10_iNdEx_38">'[4]3.6 (2)'!$A$30</definedName>
    <definedName name="_h11_iNdEx_39" localSheetId="17">'[4]3.6 (2)'!$A$31</definedName>
    <definedName name="_h11_iNdEx_39" localSheetId="16">'[4]3.6 (2)'!$A$31</definedName>
    <definedName name="_h11_iNdEx_39" localSheetId="19">'[4]3.6 (2)'!$A$31</definedName>
    <definedName name="_h11_iNdEx_39" localSheetId="42">'[5]3.6 (2)'!$A$31</definedName>
    <definedName name="_h11_iNdEx_39" localSheetId="60">'[4]3.6 (2)'!$A$31</definedName>
    <definedName name="_h11_iNdEx_39" localSheetId="61">'[4]3.6 (2)'!$A$31</definedName>
    <definedName name="_h11_iNdEx_39" localSheetId="62">'[4]3.6 (2)'!$A$31</definedName>
    <definedName name="_h11_iNdEx_39" localSheetId="63">'[6]3.6 (2)'!$A$31</definedName>
    <definedName name="_h11_iNdEx_39" localSheetId="67">'[4]3.6 (2)'!$A$31</definedName>
    <definedName name="_h11_iNdEx_39">'[4]3.6 (2)'!$A$31</definedName>
    <definedName name="_h12_iNdEx_40" localSheetId="7">'[4]3.6'!#REF!</definedName>
    <definedName name="_h12_iNdEx_40" localSheetId="8">'[4]3.6'!#REF!</definedName>
    <definedName name="_h12_iNdEx_40" localSheetId="35">'[4]3.6'!#REF!</definedName>
    <definedName name="_h12_iNdEx_40" localSheetId="37">'[4]3.6'!#REF!</definedName>
    <definedName name="_h12_iNdEx_40" localSheetId="17">'[4]3.6'!#REF!</definedName>
    <definedName name="_h12_iNdEx_40" localSheetId="16">'[4]3.6'!#REF!</definedName>
    <definedName name="_h12_iNdEx_40" localSheetId="20">'[4]3.6'!#REF!</definedName>
    <definedName name="_h12_iNdEx_40" localSheetId="21">'[4]3.6'!#REF!</definedName>
    <definedName name="_h12_iNdEx_40" localSheetId="22">'[4]3.6'!#REF!</definedName>
    <definedName name="_h12_iNdEx_40" localSheetId="23">'[4]3.6'!#REF!</definedName>
    <definedName name="_h12_iNdEx_40" localSheetId="24">'[4]3.6'!#REF!</definedName>
    <definedName name="_h12_iNdEx_40" localSheetId="25">'[4]3.6'!#REF!</definedName>
    <definedName name="_h12_iNdEx_40" localSheetId="26">'[4]3.6'!#REF!</definedName>
    <definedName name="_h12_iNdEx_40" localSheetId="27">'[4]3.6'!#REF!</definedName>
    <definedName name="_h12_iNdEx_40" localSheetId="28">'[4]3.6'!#REF!</definedName>
    <definedName name="_h12_iNdEx_40" localSheetId="19">'[4]3.6'!#REF!</definedName>
    <definedName name="_h12_iNdEx_40" localSheetId="38">'[4]3.6'!#REF!</definedName>
    <definedName name="_h12_iNdEx_40" localSheetId="42">'[5]3.6'!#REF!</definedName>
    <definedName name="_h12_iNdEx_40" localSheetId="45">'[4]3.6'!#REF!</definedName>
    <definedName name="_h12_iNdEx_40" localSheetId="54">'[4]3.6'!#REF!</definedName>
    <definedName name="_h12_iNdEx_40" localSheetId="46">'[4]3.6'!#REF!</definedName>
    <definedName name="_h12_iNdEx_40" localSheetId="47">'[4]3.6'!#REF!</definedName>
    <definedName name="_h12_iNdEx_40" localSheetId="48">'[4]3.6'!#REF!</definedName>
    <definedName name="_h12_iNdEx_40" localSheetId="49">'[4]3.6'!#REF!</definedName>
    <definedName name="_h12_iNdEx_40" localSheetId="50">'[4]3.6'!#REF!</definedName>
    <definedName name="_h12_iNdEx_40" localSheetId="51">'[4]3.6'!#REF!</definedName>
    <definedName name="_h12_iNdEx_40" localSheetId="52">'[4]3.6'!#REF!</definedName>
    <definedName name="_h12_iNdEx_40" localSheetId="53">'[4]3.6'!#REF!</definedName>
    <definedName name="_h12_iNdEx_40" localSheetId="59">'[4]3.6'!#REF!</definedName>
    <definedName name="_h12_iNdEx_40" localSheetId="60">'[4]3.6'!#REF!</definedName>
    <definedName name="_h12_iNdEx_40" localSheetId="61">'[4]3.6'!#REF!</definedName>
    <definedName name="_h12_iNdEx_40" localSheetId="62">'[4]3.6'!#REF!</definedName>
    <definedName name="_h12_iNdEx_40" localSheetId="63">'[6]3.6'!#REF!</definedName>
    <definedName name="_h12_iNdEx_40" localSheetId="67">'[4]3.6'!#REF!</definedName>
    <definedName name="_h12_iNdEx_40" localSheetId="1">'[4]3.6'!#REF!</definedName>
    <definedName name="_h12_iNdEx_40">'[4]3.6'!#REF!</definedName>
    <definedName name="_h13_iNdEx_42" localSheetId="17">'[4]3.6 (2)'!$A$33</definedName>
    <definedName name="_h13_iNdEx_42" localSheetId="16">'[4]3.6 (2)'!$A$33</definedName>
    <definedName name="_h13_iNdEx_42" localSheetId="19">'[4]3.6 (2)'!$A$33</definedName>
    <definedName name="_h13_iNdEx_42" localSheetId="42">'[5]3.6 (2)'!$A$33</definedName>
    <definedName name="_h13_iNdEx_42" localSheetId="60">'[4]3.6 (2)'!$A$33</definedName>
    <definedName name="_h13_iNdEx_42" localSheetId="61">'[4]3.6 (2)'!$A$33</definedName>
    <definedName name="_h13_iNdEx_42" localSheetId="62">'[4]3.6 (2)'!$A$33</definedName>
    <definedName name="_h13_iNdEx_42" localSheetId="63">'[6]3.6 (2)'!$A$33</definedName>
    <definedName name="_h13_iNdEx_42" localSheetId="67">'[4]3.6 (2)'!$A$33</definedName>
    <definedName name="_h13_iNdEx_42">'[4]3.6 (2)'!$A$33</definedName>
    <definedName name="_h14_iNdEx_47" localSheetId="17">'[4]3.6 (2)'!$A$37</definedName>
    <definedName name="_h14_iNdEx_47" localSheetId="16">'[4]3.6 (2)'!$A$37</definedName>
    <definedName name="_h14_iNdEx_47" localSheetId="19">'[4]3.6 (2)'!$A$37</definedName>
    <definedName name="_h14_iNdEx_47" localSheetId="42">'[5]3.6 (2)'!$A$37</definedName>
    <definedName name="_h14_iNdEx_47" localSheetId="60">'[4]3.6 (2)'!$A$37</definedName>
    <definedName name="_h14_iNdEx_47" localSheetId="61">'[4]3.6 (2)'!$A$37</definedName>
    <definedName name="_h14_iNdEx_47" localSheetId="62">'[4]3.6 (2)'!$A$37</definedName>
    <definedName name="_h14_iNdEx_47" localSheetId="63">'[6]3.6 (2)'!$A$37</definedName>
    <definedName name="_h14_iNdEx_47" localSheetId="67">'[4]3.6 (2)'!$A$37</definedName>
    <definedName name="_h14_iNdEx_47">'[4]3.6 (2)'!$A$37</definedName>
    <definedName name="_h15_iNdEx_55" localSheetId="7">'[4]3.6'!#REF!</definedName>
    <definedName name="_h15_iNdEx_55" localSheetId="8">'[4]3.6'!#REF!</definedName>
    <definedName name="_h15_iNdEx_55" localSheetId="35">'[4]3.6'!#REF!</definedName>
    <definedName name="_h15_iNdEx_55" localSheetId="37">'[4]3.6'!#REF!</definedName>
    <definedName name="_h15_iNdEx_55" localSheetId="17">'[4]3.6'!#REF!</definedName>
    <definedName name="_h15_iNdEx_55" localSheetId="16">'[4]3.6'!#REF!</definedName>
    <definedName name="_h15_iNdEx_55" localSheetId="20">'[4]3.6'!#REF!</definedName>
    <definedName name="_h15_iNdEx_55" localSheetId="21">'[4]3.6'!#REF!</definedName>
    <definedName name="_h15_iNdEx_55" localSheetId="22">'[4]3.6'!#REF!</definedName>
    <definedName name="_h15_iNdEx_55" localSheetId="23">'[4]3.6'!#REF!</definedName>
    <definedName name="_h15_iNdEx_55" localSheetId="24">'[4]3.6'!#REF!</definedName>
    <definedName name="_h15_iNdEx_55" localSheetId="25">'[4]3.6'!#REF!</definedName>
    <definedName name="_h15_iNdEx_55" localSheetId="26">'[4]3.6'!#REF!</definedName>
    <definedName name="_h15_iNdEx_55" localSheetId="27">'[4]3.6'!#REF!</definedName>
    <definedName name="_h15_iNdEx_55" localSheetId="28">'[4]3.6'!#REF!</definedName>
    <definedName name="_h15_iNdEx_55" localSheetId="19">'[4]3.6'!#REF!</definedName>
    <definedName name="_h15_iNdEx_55" localSheetId="38">'[4]3.6'!#REF!</definedName>
    <definedName name="_h15_iNdEx_55" localSheetId="42">'[5]3.6'!#REF!</definedName>
    <definedName name="_h15_iNdEx_55" localSheetId="45">'[4]3.6'!#REF!</definedName>
    <definedName name="_h15_iNdEx_55" localSheetId="54">'[4]3.6'!#REF!</definedName>
    <definedName name="_h15_iNdEx_55" localSheetId="46">'[4]3.6'!#REF!</definedName>
    <definedName name="_h15_iNdEx_55" localSheetId="47">'[4]3.6'!#REF!</definedName>
    <definedName name="_h15_iNdEx_55" localSheetId="48">'[4]3.6'!#REF!</definedName>
    <definedName name="_h15_iNdEx_55" localSheetId="49">'[4]3.6'!#REF!</definedName>
    <definedName name="_h15_iNdEx_55" localSheetId="50">'[4]3.6'!#REF!</definedName>
    <definedName name="_h15_iNdEx_55" localSheetId="51">'[4]3.6'!#REF!</definedName>
    <definedName name="_h15_iNdEx_55" localSheetId="52">'[4]3.6'!#REF!</definedName>
    <definedName name="_h15_iNdEx_55" localSheetId="53">'[4]3.6'!#REF!</definedName>
    <definedName name="_h15_iNdEx_55" localSheetId="59">'[4]3.6'!#REF!</definedName>
    <definedName name="_h15_iNdEx_55" localSheetId="60">'[4]3.6'!#REF!</definedName>
    <definedName name="_h15_iNdEx_55" localSheetId="61">'[4]3.6'!#REF!</definedName>
    <definedName name="_h15_iNdEx_55" localSheetId="62">'[4]3.6'!#REF!</definedName>
    <definedName name="_h15_iNdEx_55" localSheetId="63">'[6]3.6'!#REF!</definedName>
    <definedName name="_h15_iNdEx_55" localSheetId="67">'[4]3.6'!#REF!</definedName>
    <definedName name="_h15_iNdEx_55" localSheetId="1">'[4]3.6'!#REF!</definedName>
    <definedName name="_h15_iNdEx_55">'[4]3.6'!#REF!</definedName>
    <definedName name="_h2_iNdEx_12" localSheetId="17">'[4]3.6 (2)'!$A$4</definedName>
    <definedName name="_h2_iNdEx_12" localSheetId="16">'[4]3.6 (2)'!$A$4</definedName>
    <definedName name="_h2_iNdEx_12" localSheetId="19">'[4]3.6 (2)'!$A$4</definedName>
    <definedName name="_h2_iNdEx_12" localSheetId="42">'[5]3.6 (2)'!$A$4</definedName>
    <definedName name="_h2_iNdEx_12" localSheetId="60">'[4]3.6 (2)'!$A$4</definedName>
    <definedName name="_h2_iNdEx_12" localSheetId="61">'[4]3.6 (2)'!$A$4</definedName>
    <definedName name="_h2_iNdEx_12" localSheetId="62">'[4]3.6 (2)'!$A$4</definedName>
    <definedName name="_h2_iNdEx_12" localSheetId="63">'[6]3.6 (2)'!$A$4</definedName>
    <definedName name="_h2_iNdEx_12" localSheetId="67">'[4]3.6 (2)'!$A$4</definedName>
    <definedName name="_h2_iNdEx_12">'[4]3.6 (2)'!$A$4</definedName>
    <definedName name="_h3_iNdEx_13" localSheetId="17">'[4]3.6 (2)'!$A$13</definedName>
    <definedName name="_h3_iNdEx_13" localSheetId="16">'[4]3.6 (2)'!$A$13</definedName>
    <definedName name="_h3_iNdEx_13" localSheetId="19">'[4]3.6 (2)'!$A$13</definedName>
    <definedName name="_h3_iNdEx_13" localSheetId="42">'[5]3.6 (2)'!$A$13</definedName>
    <definedName name="_h3_iNdEx_13" localSheetId="60">'[4]3.6 (2)'!$A$13</definedName>
    <definedName name="_h3_iNdEx_13" localSheetId="61">'[4]3.6 (2)'!$A$13</definedName>
    <definedName name="_h3_iNdEx_13" localSheetId="62">'[4]3.6 (2)'!$A$13</definedName>
    <definedName name="_h3_iNdEx_13" localSheetId="63">'[6]3.6 (2)'!$A$13</definedName>
    <definedName name="_h3_iNdEx_13" localSheetId="67">'[4]3.6 (2)'!$A$13</definedName>
    <definedName name="_h3_iNdEx_13">'[4]3.6 (2)'!$A$13</definedName>
    <definedName name="_h4_iNdEx_14" localSheetId="17">'[4]3.6 (2)'!$A$14</definedName>
    <definedName name="_h4_iNdEx_14" localSheetId="16">'[4]3.6 (2)'!$A$14</definedName>
    <definedName name="_h4_iNdEx_14" localSheetId="19">'[4]3.6 (2)'!$A$14</definedName>
    <definedName name="_h4_iNdEx_14" localSheetId="42">'[5]3.6 (2)'!$A$14</definedName>
    <definedName name="_h4_iNdEx_14" localSheetId="60">'[4]3.6 (2)'!$A$14</definedName>
    <definedName name="_h4_iNdEx_14" localSheetId="61">'[4]3.6 (2)'!$A$14</definedName>
    <definedName name="_h4_iNdEx_14" localSheetId="62">'[4]3.6 (2)'!$A$14</definedName>
    <definedName name="_h4_iNdEx_14" localSheetId="63">'[6]3.6 (2)'!$A$14</definedName>
    <definedName name="_h4_iNdEx_14" localSheetId="67">'[4]3.6 (2)'!$A$14</definedName>
    <definedName name="_h4_iNdEx_14">'[4]3.6 (2)'!$A$14</definedName>
    <definedName name="_h5_iNdEx_15" localSheetId="7">'[4]3.6'!#REF!</definedName>
    <definedName name="_h5_iNdEx_15" localSheetId="8">'[4]3.6'!#REF!</definedName>
    <definedName name="_h5_iNdEx_15" localSheetId="35">'[4]3.6'!#REF!</definedName>
    <definedName name="_h5_iNdEx_15" localSheetId="37">'[4]3.6'!#REF!</definedName>
    <definedName name="_h5_iNdEx_15" localSheetId="17">'[4]3.6'!#REF!</definedName>
    <definedName name="_h5_iNdEx_15" localSheetId="16">'[4]3.6'!#REF!</definedName>
    <definedName name="_h5_iNdEx_15" localSheetId="20">'[4]3.6'!#REF!</definedName>
    <definedName name="_h5_iNdEx_15" localSheetId="21">'[4]3.6'!#REF!</definedName>
    <definedName name="_h5_iNdEx_15" localSheetId="22">'[4]3.6'!#REF!</definedName>
    <definedName name="_h5_iNdEx_15" localSheetId="23">'[4]3.6'!#REF!</definedName>
    <definedName name="_h5_iNdEx_15" localSheetId="24">'[4]3.6'!#REF!</definedName>
    <definedName name="_h5_iNdEx_15" localSheetId="25">'[4]3.6'!#REF!</definedName>
    <definedName name="_h5_iNdEx_15" localSheetId="26">'[4]3.6'!#REF!</definedName>
    <definedName name="_h5_iNdEx_15" localSheetId="27">'[4]3.6'!#REF!</definedName>
    <definedName name="_h5_iNdEx_15" localSheetId="28">'[4]3.6'!#REF!</definedName>
    <definedName name="_h5_iNdEx_15" localSheetId="19">'[4]3.6'!#REF!</definedName>
    <definedName name="_h5_iNdEx_15" localSheetId="38">'[4]3.6'!#REF!</definedName>
    <definedName name="_h5_iNdEx_15" localSheetId="42">'[5]3.6'!#REF!</definedName>
    <definedName name="_h5_iNdEx_15" localSheetId="45">'[4]3.6'!#REF!</definedName>
    <definedName name="_h5_iNdEx_15" localSheetId="54">'[4]3.6'!#REF!</definedName>
    <definedName name="_h5_iNdEx_15" localSheetId="46">'[4]3.6'!#REF!</definedName>
    <definedName name="_h5_iNdEx_15" localSheetId="47">'[4]3.6'!#REF!</definedName>
    <definedName name="_h5_iNdEx_15" localSheetId="48">'[4]3.6'!#REF!</definedName>
    <definedName name="_h5_iNdEx_15" localSheetId="49">'[4]3.6'!#REF!</definedName>
    <definedName name="_h5_iNdEx_15" localSheetId="50">'[4]3.6'!#REF!</definedName>
    <definedName name="_h5_iNdEx_15" localSheetId="51">'[4]3.6'!#REF!</definedName>
    <definedName name="_h5_iNdEx_15" localSheetId="52">'[4]3.6'!#REF!</definedName>
    <definedName name="_h5_iNdEx_15" localSheetId="53">'[4]3.6'!#REF!</definedName>
    <definedName name="_h5_iNdEx_15" localSheetId="59">'[4]3.6'!#REF!</definedName>
    <definedName name="_h5_iNdEx_15" localSheetId="60">'[4]3.6'!#REF!</definedName>
    <definedName name="_h5_iNdEx_15" localSheetId="61">'[4]3.6'!#REF!</definedName>
    <definedName name="_h5_iNdEx_15" localSheetId="62">'[4]3.6'!#REF!</definedName>
    <definedName name="_h5_iNdEx_15" localSheetId="63">'[6]3.6'!#REF!</definedName>
    <definedName name="_h5_iNdEx_15" localSheetId="67">'[4]3.6'!#REF!</definedName>
    <definedName name="_h5_iNdEx_15" localSheetId="1">'[4]3.6'!#REF!</definedName>
    <definedName name="_h5_iNdEx_15">'[4]3.6'!#REF!</definedName>
    <definedName name="_h6_iNdEx_17" localSheetId="17">'[4]3.6 (2)'!$A$16</definedName>
    <definedName name="_h6_iNdEx_17" localSheetId="16">'[4]3.6 (2)'!$A$16</definedName>
    <definedName name="_h6_iNdEx_17" localSheetId="19">'[4]3.6 (2)'!$A$16</definedName>
    <definedName name="_h6_iNdEx_17" localSheetId="42">'[5]3.6 (2)'!$A$16</definedName>
    <definedName name="_h6_iNdEx_17" localSheetId="60">'[4]3.6 (2)'!$A$16</definedName>
    <definedName name="_h6_iNdEx_17" localSheetId="61">'[4]3.6 (2)'!$A$16</definedName>
    <definedName name="_h6_iNdEx_17" localSheetId="62">'[4]3.6 (2)'!$A$16</definedName>
    <definedName name="_h6_iNdEx_17" localSheetId="63">'[6]3.6 (2)'!$A$16</definedName>
    <definedName name="_h6_iNdEx_17" localSheetId="67">'[4]3.6 (2)'!$A$16</definedName>
    <definedName name="_h6_iNdEx_17">'[4]3.6 (2)'!$A$16</definedName>
    <definedName name="_h7_iNdEx_22" localSheetId="17">'[4]3.6 (2)'!$A$20</definedName>
    <definedName name="_h7_iNdEx_22" localSheetId="16">'[4]3.6 (2)'!$A$20</definedName>
    <definedName name="_h7_iNdEx_22" localSheetId="19">'[4]3.6 (2)'!$A$20</definedName>
    <definedName name="_h7_iNdEx_22" localSheetId="42">'[5]3.6 (2)'!$A$20</definedName>
    <definedName name="_h7_iNdEx_22" localSheetId="60">'[4]3.6 (2)'!$A$20</definedName>
    <definedName name="_h7_iNdEx_22" localSheetId="61">'[4]3.6 (2)'!$A$20</definedName>
    <definedName name="_h7_iNdEx_22" localSheetId="62">'[4]3.6 (2)'!$A$20</definedName>
    <definedName name="_h7_iNdEx_22" localSheetId="63">'[6]3.6 (2)'!$A$20</definedName>
    <definedName name="_h7_iNdEx_22" localSheetId="67">'[4]3.6 (2)'!$A$20</definedName>
    <definedName name="_h7_iNdEx_22">'[4]3.6 (2)'!$A$20</definedName>
    <definedName name="_h8_iNdEx_28" localSheetId="17">'[4]3.6 (2)'!$A$26</definedName>
    <definedName name="_h8_iNdEx_28" localSheetId="16">'[4]3.6 (2)'!$A$26</definedName>
    <definedName name="_h8_iNdEx_28" localSheetId="19">'[4]3.6 (2)'!$A$26</definedName>
    <definedName name="_h8_iNdEx_28" localSheetId="42">'[5]3.6 (2)'!$A$26</definedName>
    <definedName name="_h8_iNdEx_28" localSheetId="60">'[4]3.6 (2)'!$A$26</definedName>
    <definedName name="_h8_iNdEx_28" localSheetId="61">'[4]3.6 (2)'!$A$26</definedName>
    <definedName name="_h8_iNdEx_28" localSheetId="62">'[4]3.6 (2)'!$A$26</definedName>
    <definedName name="_h8_iNdEx_28" localSheetId="63">'[6]3.6 (2)'!$A$26</definedName>
    <definedName name="_h8_iNdEx_28" localSheetId="67">'[4]3.6 (2)'!$A$26</definedName>
    <definedName name="_h8_iNdEx_28">'[4]3.6 (2)'!$A$26</definedName>
    <definedName name="_h9_iNdEx_37" localSheetId="7">'[4]3.6'!#REF!</definedName>
    <definedName name="_h9_iNdEx_37" localSheetId="8">'[4]3.6'!#REF!</definedName>
    <definedName name="_h9_iNdEx_37" localSheetId="35">'[4]3.6'!#REF!</definedName>
    <definedName name="_h9_iNdEx_37" localSheetId="37">'[4]3.6'!#REF!</definedName>
    <definedName name="_h9_iNdEx_37" localSheetId="17">'[4]3.6'!#REF!</definedName>
    <definedName name="_h9_iNdEx_37" localSheetId="16">'[4]3.6'!#REF!</definedName>
    <definedName name="_h9_iNdEx_37" localSheetId="20">'[4]3.6'!#REF!</definedName>
    <definedName name="_h9_iNdEx_37" localSheetId="21">'[4]3.6'!#REF!</definedName>
    <definedName name="_h9_iNdEx_37" localSheetId="22">'[4]3.6'!#REF!</definedName>
    <definedName name="_h9_iNdEx_37" localSheetId="23">'[4]3.6'!#REF!</definedName>
    <definedName name="_h9_iNdEx_37" localSheetId="24">'[4]3.6'!#REF!</definedName>
    <definedName name="_h9_iNdEx_37" localSheetId="25">'[4]3.6'!#REF!</definedName>
    <definedName name="_h9_iNdEx_37" localSheetId="26">'[4]3.6'!#REF!</definedName>
    <definedName name="_h9_iNdEx_37" localSheetId="27">'[4]3.6'!#REF!</definedName>
    <definedName name="_h9_iNdEx_37" localSheetId="28">'[4]3.6'!#REF!</definedName>
    <definedName name="_h9_iNdEx_37" localSheetId="19">'[4]3.6'!#REF!</definedName>
    <definedName name="_h9_iNdEx_37" localSheetId="38">'[4]3.6'!#REF!</definedName>
    <definedName name="_h9_iNdEx_37" localSheetId="42">'[5]3.6'!#REF!</definedName>
    <definedName name="_h9_iNdEx_37" localSheetId="45">'[4]3.6'!#REF!</definedName>
    <definedName name="_h9_iNdEx_37" localSheetId="54">'[4]3.6'!#REF!</definedName>
    <definedName name="_h9_iNdEx_37" localSheetId="46">'[4]3.6'!#REF!</definedName>
    <definedName name="_h9_iNdEx_37" localSheetId="47">'[4]3.6'!#REF!</definedName>
    <definedName name="_h9_iNdEx_37" localSheetId="48">'[4]3.6'!#REF!</definedName>
    <definedName name="_h9_iNdEx_37" localSheetId="49">'[4]3.6'!#REF!</definedName>
    <definedName name="_h9_iNdEx_37" localSheetId="50">'[4]3.6'!#REF!</definedName>
    <definedName name="_h9_iNdEx_37" localSheetId="51">'[4]3.6'!#REF!</definedName>
    <definedName name="_h9_iNdEx_37" localSheetId="52">'[4]3.6'!#REF!</definedName>
    <definedName name="_h9_iNdEx_37" localSheetId="53">'[4]3.6'!#REF!</definedName>
    <definedName name="_h9_iNdEx_37" localSheetId="59">'[4]3.6'!#REF!</definedName>
    <definedName name="_h9_iNdEx_37" localSheetId="60">'[4]3.6'!#REF!</definedName>
    <definedName name="_h9_iNdEx_37" localSheetId="61">'[4]3.6'!#REF!</definedName>
    <definedName name="_h9_iNdEx_37" localSheetId="62">'[4]3.6'!#REF!</definedName>
    <definedName name="_h9_iNdEx_37" localSheetId="63">'[6]3.6'!#REF!</definedName>
    <definedName name="_h9_iNdEx_37" localSheetId="67">'[4]3.6'!#REF!</definedName>
    <definedName name="_h9_iNdEx_37" localSheetId="1">'[4]3.6'!#REF!</definedName>
    <definedName name="_h9_iNdEx_37">'[4]3.6'!#REF!</definedName>
    <definedName name="_r1_iNdEx_16" localSheetId="17">'[4]3.6 (2)'!$A$15</definedName>
    <definedName name="_r1_iNdEx_16" localSheetId="16">'[4]3.6 (2)'!$A$15</definedName>
    <definedName name="_r1_iNdEx_16" localSheetId="19">'[4]3.6 (2)'!$A$15</definedName>
    <definedName name="_r1_iNdEx_16" localSheetId="42">'[5]3.6 (2)'!$A$15</definedName>
    <definedName name="_r1_iNdEx_16" localSheetId="60">'[4]3.6 (2)'!$A$15</definedName>
    <definedName name="_r1_iNdEx_16" localSheetId="61">'[4]3.6 (2)'!$A$15</definedName>
    <definedName name="_r1_iNdEx_16" localSheetId="62">'[4]3.6 (2)'!$A$15</definedName>
    <definedName name="_r1_iNdEx_16" localSheetId="63">'[6]3.6 (2)'!$A$15</definedName>
    <definedName name="_r1_iNdEx_16" localSheetId="67">'[4]3.6 (2)'!$A$15</definedName>
    <definedName name="_r1_iNdEx_16">'[4]3.6 (2)'!$A$15</definedName>
    <definedName name="_r10_iNdEx_27" localSheetId="17">'[4]3.6 (2)'!$A$25</definedName>
    <definedName name="_r10_iNdEx_27" localSheetId="16">'[4]3.6 (2)'!$A$25</definedName>
    <definedName name="_r10_iNdEx_27" localSheetId="19">'[4]3.6 (2)'!$A$25</definedName>
    <definedName name="_r10_iNdEx_27" localSheetId="42">'[5]3.6 (2)'!$A$25</definedName>
    <definedName name="_r10_iNdEx_27" localSheetId="60">'[4]3.6 (2)'!$A$25</definedName>
    <definedName name="_r10_iNdEx_27" localSheetId="61">'[4]3.6 (2)'!$A$25</definedName>
    <definedName name="_r10_iNdEx_27" localSheetId="62">'[4]3.6 (2)'!$A$25</definedName>
    <definedName name="_r10_iNdEx_27" localSheetId="63">'[6]3.6 (2)'!$A$25</definedName>
    <definedName name="_r10_iNdEx_27" localSheetId="67">'[4]3.6 (2)'!$A$25</definedName>
    <definedName name="_r10_iNdEx_27">'[4]3.6 (2)'!$A$25</definedName>
    <definedName name="_r11_iNdEx_29" localSheetId="17">'[4]3.6 (2)'!$A$27</definedName>
    <definedName name="_r11_iNdEx_29" localSheetId="16">'[4]3.6 (2)'!$A$27</definedName>
    <definedName name="_r11_iNdEx_29" localSheetId="19">'[4]3.6 (2)'!$A$27</definedName>
    <definedName name="_r11_iNdEx_29" localSheetId="42">'[5]3.6 (2)'!$A$27</definedName>
    <definedName name="_r11_iNdEx_29" localSheetId="60">'[4]3.6 (2)'!$A$27</definedName>
    <definedName name="_r11_iNdEx_29" localSheetId="61">'[4]3.6 (2)'!$A$27</definedName>
    <definedName name="_r11_iNdEx_29" localSheetId="62">'[4]3.6 (2)'!$A$27</definedName>
    <definedName name="_r11_iNdEx_29" localSheetId="63">'[6]3.6 (2)'!$A$27</definedName>
    <definedName name="_r11_iNdEx_29" localSheetId="67">'[4]3.6 (2)'!$A$27</definedName>
    <definedName name="_r11_iNdEx_29">'[4]3.6 (2)'!$A$27</definedName>
    <definedName name="_r12_iNdEx_30" localSheetId="7">'[4]3.6'!#REF!</definedName>
    <definedName name="_r12_iNdEx_30" localSheetId="8">'[4]3.6'!#REF!</definedName>
    <definedName name="_r12_iNdEx_30" localSheetId="35">'[4]3.6'!#REF!</definedName>
    <definedName name="_r12_iNdEx_30" localSheetId="37">'[4]3.6'!#REF!</definedName>
    <definedName name="_r12_iNdEx_30" localSheetId="17">'[4]3.6'!#REF!</definedName>
    <definedName name="_r12_iNdEx_30" localSheetId="16">'[4]3.6'!#REF!</definedName>
    <definedName name="_r12_iNdEx_30" localSheetId="20">'[4]3.6'!#REF!</definedName>
    <definedName name="_r12_iNdEx_30" localSheetId="21">'[4]3.6'!#REF!</definedName>
    <definedName name="_r12_iNdEx_30" localSheetId="22">'[4]3.6'!#REF!</definedName>
    <definedName name="_r12_iNdEx_30" localSheetId="23">'[4]3.6'!#REF!</definedName>
    <definedName name="_r12_iNdEx_30" localSheetId="24">'[4]3.6'!#REF!</definedName>
    <definedName name="_r12_iNdEx_30" localSheetId="25">'[4]3.6'!#REF!</definedName>
    <definedName name="_r12_iNdEx_30" localSheetId="26">'[4]3.6'!#REF!</definedName>
    <definedName name="_r12_iNdEx_30" localSheetId="27">'[4]3.6'!#REF!</definedName>
    <definedName name="_r12_iNdEx_30" localSheetId="28">'[4]3.6'!#REF!</definedName>
    <definedName name="_r12_iNdEx_30" localSheetId="19">'[4]3.6'!#REF!</definedName>
    <definedName name="_r12_iNdEx_30" localSheetId="38">'[4]3.6'!#REF!</definedName>
    <definedName name="_r12_iNdEx_30" localSheetId="42">'[5]3.6'!#REF!</definedName>
    <definedName name="_r12_iNdEx_30" localSheetId="45">'[4]3.6'!#REF!</definedName>
    <definedName name="_r12_iNdEx_30" localSheetId="54">'[4]3.6'!#REF!</definedName>
    <definedName name="_r12_iNdEx_30" localSheetId="46">'[4]3.6'!#REF!</definedName>
    <definedName name="_r12_iNdEx_30" localSheetId="47">'[4]3.6'!#REF!</definedName>
    <definedName name="_r12_iNdEx_30" localSheetId="48">'[4]3.6'!#REF!</definedName>
    <definedName name="_r12_iNdEx_30" localSheetId="49">'[4]3.6'!#REF!</definedName>
    <definedName name="_r12_iNdEx_30" localSheetId="50">'[4]3.6'!#REF!</definedName>
    <definedName name="_r12_iNdEx_30" localSheetId="51">'[4]3.6'!#REF!</definedName>
    <definedName name="_r12_iNdEx_30" localSheetId="52">'[4]3.6'!#REF!</definedName>
    <definedName name="_r12_iNdEx_30" localSheetId="53">'[4]3.6'!#REF!</definedName>
    <definedName name="_r12_iNdEx_30" localSheetId="59">'[4]3.6'!#REF!</definedName>
    <definedName name="_r12_iNdEx_30" localSheetId="60">'[4]3.6'!#REF!</definedName>
    <definedName name="_r12_iNdEx_30" localSheetId="61">'[4]3.6'!#REF!</definedName>
    <definedName name="_r12_iNdEx_30" localSheetId="62">'[4]3.6'!#REF!</definedName>
    <definedName name="_r12_iNdEx_30" localSheetId="63">'[6]3.6'!#REF!</definedName>
    <definedName name="_r12_iNdEx_30" localSheetId="67">'[4]3.6'!#REF!</definedName>
    <definedName name="_r12_iNdEx_30" localSheetId="1">'[4]3.6'!#REF!</definedName>
    <definedName name="_r12_iNdEx_30">'[4]3.6'!#REF!</definedName>
    <definedName name="_r13_iNdEx_31" localSheetId="7">'[4]3.6'!#REF!</definedName>
    <definedName name="_r13_iNdEx_31" localSheetId="8">'[4]3.6'!#REF!</definedName>
    <definedName name="_r13_iNdEx_31" localSheetId="35">'[4]3.6'!#REF!</definedName>
    <definedName name="_r13_iNdEx_31" localSheetId="37">'[4]3.6'!#REF!</definedName>
    <definedName name="_r13_iNdEx_31" localSheetId="17">'[4]3.6'!#REF!</definedName>
    <definedName name="_r13_iNdEx_31" localSheetId="16">'[4]3.6'!#REF!</definedName>
    <definedName name="_r13_iNdEx_31" localSheetId="20">'[4]3.6'!#REF!</definedName>
    <definedName name="_r13_iNdEx_31" localSheetId="21">'[4]3.6'!#REF!</definedName>
    <definedName name="_r13_iNdEx_31" localSheetId="22">'[4]3.6'!#REF!</definedName>
    <definedName name="_r13_iNdEx_31" localSheetId="23">'[4]3.6'!#REF!</definedName>
    <definedName name="_r13_iNdEx_31" localSheetId="24">'[4]3.6'!#REF!</definedName>
    <definedName name="_r13_iNdEx_31" localSheetId="25">'[4]3.6'!#REF!</definedName>
    <definedName name="_r13_iNdEx_31" localSheetId="26">'[4]3.6'!#REF!</definedName>
    <definedName name="_r13_iNdEx_31" localSheetId="27">'[4]3.6'!#REF!</definedName>
    <definedName name="_r13_iNdEx_31" localSheetId="28">'[4]3.6'!#REF!</definedName>
    <definedName name="_r13_iNdEx_31" localSheetId="19">'[4]3.6'!#REF!</definedName>
    <definedName name="_r13_iNdEx_31" localSheetId="38">'[4]3.6'!#REF!</definedName>
    <definedName name="_r13_iNdEx_31" localSheetId="42">'[5]3.6'!#REF!</definedName>
    <definedName name="_r13_iNdEx_31" localSheetId="45">'[4]3.6'!#REF!</definedName>
    <definedName name="_r13_iNdEx_31" localSheetId="54">'[4]3.6'!#REF!</definedName>
    <definedName name="_r13_iNdEx_31" localSheetId="46">'[4]3.6'!#REF!</definedName>
    <definedName name="_r13_iNdEx_31" localSheetId="47">'[4]3.6'!#REF!</definedName>
    <definedName name="_r13_iNdEx_31" localSheetId="48">'[4]3.6'!#REF!</definedName>
    <definedName name="_r13_iNdEx_31" localSheetId="49">'[4]3.6'!#REF!</definedName>
    <definedName name="_r13_iNdEx_31" localSheetId="50">'[4]3.6'!#REF!</definedName>
    <definedName name="_r13_iNdEx_31" localSheetId="51">'[4]3.6'!#REF!</definedName>
    <definedName name="_r13_iNdEx_31" localSheetId="52">'[4]3.6'!#REF!</definedName>
    <definedName name="_r13_iNdEx_31" localSheetId="53">'[4]3.6'!#REF!</definedName>
    <definedName name="_r13_iNdEx_31" localSheetId="59">'[4]3.6'!#REF!</definedName>
    <definedName name="_r13_iNdEx_31" localSheetId="60">'[4]3.6'!#REF!</definedName>
    <definedName name="_r13_iNdEx_31" localSheetId="61">'[4]3.6'!#REF!</definedName>
    <definedName name="_r13_iNdEx_31" localSheetId="62">'[4]3.6'!#REF!</definedName>
    <definedName name="_r13_iNdEx_31" localSheetId="63">'[6]3.6'!#REF!</definedName>
    <definedName name="_r13_iNdEx_31" localSheetId="67">'[4]3.6'!#REF!</definedName>
    <definedName name="_r13_iNdEx_31" localSheetId="1">'[4]3.6'!#REF!</definedName>
    <definedName name="_r13_iNdEx_31">'[4]3.6'!#REF!</definedName>
    <definedName name="_r14_iNdEx_32" localSheetId="7">'[4]3.6'!#REF!</definedName>
    <definedName name="_r14_iNdEx_32" localSheetId="8">'[4]3.6'!#REF!</definedName>
    <definedName name="_r14_iNdEx_32" localSheetId="35">'[4]3.6'!#REF!</definedName>
    <definedName name="_r14_iNdEx_32" localSheetId="37">'[4]3.6'!#REF!</definedName>
    <definedName name="_r14_iNdEx_32" localSheetId="17">'[4]3.6'!#REF!</definedName>
    <definedName name="_r14_iNdEx_32" localSheetId="16">'[4]3.6'!#REF!</definedName>
    <definedName name="_r14_iNdEx_32" localSheetId="20">'[4]3.6'!#REF!</definedName>
    <definedName name="_r14_iNdEx_32" localSheetId="21">'[4]3.6'!#REF!</definedName>
    <definedName name="_r14_iNdEx_32" localSheetId="22">'[4]3.6'!#REF!</definedName>
    <definedName name="_r14_iNdEx_32" localSheetId="23">'[4]3.6'!#REF!</definedName>
    <definedName name="_r14_iNdEx_32" localSheetId="24">'[4]3.6'!#REF!</definedName>
    <definedName name="_r14_iNdEx_32" localSheetId="25">'[4]3.6'!#REF!</definedName>
    <definedName name="_r14_iNdEx_32" localSheetId="26">'[4]3.6'!#REF!</definedName>
    <definedName name="_r14_iNdEx_32" localSheetId="27">'[4]3.6'!#REF!</definedName>
    <definedName name="_r14_iNdEx_32" localSheetId="28">'[4]3.6'!#REF!</definedName>
    <definedName name="_r14_iNdEx_32" localSheetId="19">'[4]3.6'!#REF!</definedName>
    <definedName name="_r14_iNdEx_32" localSheetId="38">'[4]3.6'!#REF!</definedName>
    <definedName name="_r14_iNdEx_32" localSheetId="42">'[5]3.6'!#REF!</definedName>
    <definedName name="_r14_iNdEx_32" localSheetId="45">'[4]3.6'!#REF!</definedName>
    <definedName name="_r14_iNdEx_32" localSheetId="54">'[4]3.6'!#REF!</definedName>
    <definedName name="_r14_iNdEx_32" localSheetId="46">'[4]3.6'!#REF!</definedName>
    <definedName name="_r14_iNdEx_32" localSheetId="47">'[4]3.6'!#REF!</definedName>
    <definedName name="_r14_iNdEx_32" localSheetId="48">'[4]3.6'!#REF!</definedName>
    <definedName name="_r14_iNdEx_32" localSheetId="49">'[4]3.6'!#REF!</definedName>
    <definedName name="_r14_iNdEx_32" localSheetId="50">'[4]3.6'!#REF!</definedName>
    <definedName name="_r14_iNdEx_32" localSheetId="51">'[4]3.6'!#REF!</definedName>
    <definedName name="_r14_iNdEx_32" localSheetId="52">'[4]3.6'!#REF!</definedName>
    <definedName name="_r14_iNdEx_32" localSheetId="53">'[4]3.6'!#REF!</definedName>
    <definedName name="_r14_iNdEx_32" localSheetId="59">'[4]3.6'!#REF!</definedName>
    <definedName name="_r14_iNdEx_32" localSheetId="60">'[4]3.6'!#REF!</definedName>
    <definedName name="_r14_iNdEx_32" localSheetId="61">'[4]3.6'!#REF!</definedName>
    <definedName name="_r14_iNdEx_32" localSheetId="62">'[4]3.6'!#REF!</definedName>
    <definedName name="_r14_iNdEx_32" localSheetId="63">'[6]3.6'!#REF!</definedName>
    <definedName name="_r14_iNdEx_32" localSheetId="67">'[4]3.6'!#REF!</definedName>
    <definedName name="_r14_iNdEx_32" localSheetId="1">'[4]3.6'!#REF!</definedName>
    <definedName name="_r14_iNdEx_32">'[4]3.6'!#REF!</definedName>
    <definedName name="_r15_iNdEx_33" localSheetId="7">'[4]3.6'!#REF!</definedName>
    <definedName name="_r15_iNdEx_33" localSheetId="8">'[4]3.6'!#REF!</definedName>
    <definedName name="_r15_iNdEx_33" localSheetId="35">'[4]3.6'!#REF!</definedName>
    <definedName name="_r15_iNdEx_33" localSheetId="37">'[4]3.6'!#REF!</definedName>
    <definedName name="_r15_iNdEx_33" localSheetId="17">'[4]3.6'!#REF!</definedName>
    <definedName name="_r15_iNdEx_33" localSheetId="16">'[4]3.6'!#REF!</definedName>
    <definedName name="_r15_iNdEx_33" localSheetId="20">'[4]3.6'!#REF!</definedName>
    <definedName name="_r15_iNdEx_33" localSheetId="21">'[4]3.6'!#REF!</definedName>
    <definedName name="_r15_iNdEx_33" localSheetId="22">'[4]3.6'!#REF!</definedName>
    <definedName name="_r15_iNdEx_33" localSheetId="23">'[4]3.6'!#REF!</definedName>
    <definedName name="_r15_iNdEx_33" localSheetId="24">'[4]3.6'!#REF!</definedName>
    <definedName name="_r15_iNdEx_33" localSheetId="25">'[4]3.6'!#REF!</definedName>
    <definedName name="_r15_iNdEx_33" localSheetId="26">'[4]3.6'!#REF!</definedName>
    <definedName name="_r15_iNdEx_33" localSheetId="27">'[4]3.6'!#REF!</definedName>
    <definedName name="_r15_iNdEx_33" localSheetId="28">'[4]3.6'!#REF!</definedName>
    <definedName name="_r15_iNdEx_33" localSheetId="19">'[4]3.6'!#REF!</definedName>
    <definedName name="_r15_iNdEx_33" localSheetId="38">'[4]3.6'!#REF!</definedName>
    <definedName name="_r15_iNdEx_33" localSheetId="42">'[5]3.6'!#REF!</definedName>
    <definedName name="_r15_iNdEx_33" localSheetId="45">'[4]3.6'!#REF!</definedName>
    <definedName name="_r15_iNdEx_33" localSheetId="54">'[4]3.6'!#REF!</definedName>
    <definedName name="_r15_iNdEx_33" localSheetId="46">'[4]3.6'!#REF!</definedName>
    <definedName name="_r15_iNdEx_33" localSheetId="47">'[4]3.6'!#REF!</definedName>
    <definedName name="_r15_iNdEx_33" localSheetId="48">'[4]3.6'!#REF!</definedName>
    <definedName name="_r15_iNdEx_33" localSheetId="49">'[4]3.6'!#REF!</definedName>
    <definedName name="_r15_iNdEx_33" localSheetId="50">'[4]3.6'!#REF!</definedName>
    <definedName name="_r15_iNdEx_33" localSheetId="51">'[4]3.6'!#REF!</definedName>
    <definedName name="_r15_iNdEx_33" localSheetId="52">'[4]3.6'!#REF!</definedName>
    <definedName name="_r15_iNdEx_33" localSheetId="53">'[4]3.6'!#REF!</definedName>
    <definedName name="_r15_iNdEx_33" localSheetId="59">'[4]3.6'!#REF!</definedName>
    <definedName name="_r15_iNdEx_33" localSheetId="60">'[4]3.6'!#REF!</definedName>
    <definedName name="_r15_iNdEx_33" localSheetId="61">'[4]3.6'!#REF!</definedName>
    <definedName name="_r15_iNdEx_33" localSheetId="62">'[4]3.6'!#REF!</definedName>
    <definedName name="_r15_iNdEx_33" localSheetId="63">'[6]3.6'!#REF!</definedName>
    <definedName name="_r15_iNdEx_33" localSheetId="67">'[4]3.6'!#REF!</definedName>
    <definedName name="_r15_iNdEx_33" localSheetId="1">'[4]3.6'!#REF!</definedName>
    <definedName name="_r15_iNdEx_33">'[4]3.6'!#REF!</definedName>
    <definedName name="_r16_iNdEx_34" localSheetId="7">'[4]3.6'!#REF!</definedName>
    <definedName name="_r16_iNdEx_34" localSheetId="8">'[4]3.6'!#REF!</definedName>
    <definedName name="_r16_iNdEx_34" localSheetId="35">'[4]3.6'!#REF!</definedName>
    <definedName name="_r16_iNdEx_34" localSheetId="37">'[4]3.6'!#REF!</definedName>
    <definedName name="_r16_iNdEx_34" localSheetId="17">'[4]3.6'!#REF!</definedName>
    <definedName name="_r16_iNdEx_34" localSheetId="16">'[4]3.6'!#REF!</definedName>
    <definedName name="_r16_iNdEx_34" localSheetId="20">'[4]3.6'!#REF!</definedName>
    <definedName name="_r16_iNdEx_34" localSheetId="21">'[4]3.6'!#REF!</definedName>
    <definedName name="_r16_iNdEx_34" localSheetId="22">'[4]3.6'!#REF!</definedName>
    <definedName name="_r16_iNdEx_34" localSheetId="23">'[4]3.6'!#REF!</definedName>
    <definedName name="_r16_iNdEx_34" localSheetId="24">'[4]3.6'!#REF!</definedName>
    <definedName name="_r16_iNdEx_34" localSheetId="25">'[4]3.6'!#REF!</definedName>
    <definedName name="_r16_iNdEx_34" localSheetId="26">'[4]3.6'!#REF!</definedName>
    <definedName name="_r16_iNdEx_34" localSheetId="27">'[4]3.6'!#REF!</definedName>
    <definedName name="_r16_iNdEx_34" localSheetId="28">'[4]3.6'!#REF!</definedName>
    <definedName name="_r16_iNdEx_34" localSheetId="19">'[4]3.6'!#REF!</definedName>
    <definedName name="_r16_iNdEx_34" localSheetId="38">'[4]3.6'!#REF!</definedName>
    <definedName name="_r16_iNdEx_34" localSheetId="42">'[5]3.6'!#REF!</definedName>
    <definedName name="_r16_iNdEx_34" localSheetId="45">'[4]3.6'!#REF!</definedName>
    <definedName name="_r16_iNdEx_34" localSheetId="54">'[4]3.6'!#REF!</definedName>
    <definedName name="_r16_iNdEx_34" localSheetId="46">'[4]3.6'!#REF!</definedName>
    <definedName name="_r16_iNdEx_34" localSheetId="47">'[4]3.6'!#REF!</definedName>
    <definedName name="_r16_iNdEx_34" localSheetId="48">'[4]3.6'!#REF!</definedName>
    <definedName name="_r16_iNdEx_34" localSheetId="49">'[4]3.6'!#REF!</definedName>
    <definedName name="_r16_iNdEx_34" localSheetId="50">'[4]3.6'!#REF!</definedName>
    <definedName name="_r16_iNdEx_34" localSheetId="51">'[4]3.6'!#REF!</definedName>
    <definedName name="_r16_iNdEx_34" localSheetId="52">'[4]3.6'!#REF!</definedName>
    <definedName name="_r16_iNdEx_34" localSheetId="53">'[4]3.6'!#REF!</definedName>
    <definedName name="_r16_iNdEx_34" localSheetId="59">'[4]3.6'!#REF!</definedName>
    <definedName name="_r16_iNdEx_34" localSheetId="60">'[4]3.6'!#REF!</definedName>
    <definedName name="_r16_iNdEx_34" localSheetId="61">'[4]3.6'!#REF!</definedName>
    <definedName name="_r16_iNdEx_34" localSheetId="62">'[4]3.6'!#REF!</definedName>
    <definedName name="_r16_iNdEx_34" localSheetId="63">'[6]3.6'!#REF!</definedName>
    <definedName name="_r16_iNdEx_34" localSheetId="67">'[4]3.6'!#REF!</definedName>
    <definedName name="_r16_iNdEx_34" localSheetId="1">'[4]3.6'!#REF!</definedName>
    <definedName name="_r16_iNdEx_34">'[4]3.6'!#REF!</definedName>
    <definedName name="_r17_iNdEx_35" localSheetId="7">'[4]3.6'!#REF!</definedName>
    <definedName name="_r17_iNdEx_35" localSheetId="8">'[4]3.6'!#REF!</definedName>
    <definedName name="_r17_iNdEx_35" localSheetId="35">'[4]3.6'!#REF!</definedName>
    <definedName name="_r17_iNdEx_35" localSheetId="37">'[4]3.6'!#REF!</definedName>
    <definedName name="_r17_iNdEx_35" localSheetId="17">'[4]3.6'!#REF!</definedName>
    <definedName name="_r17_iNdEx_35" localSheetId="16">'[4]3.6'!#REF!</definedName>
    <definedName name="_r17_iNdEx_35" localSheetId="20">'[4]3.6'!#REF!</definedName>
    <definedName name="_r17_iNdEx_35" localSheetId="21">'[4]3.6'!#REF!</definedName>
    <definedName name="_r17_iNdEx_35" localSheetId="22">'[4]3.6'!#REF!</definedName>
    <definedName name="_r17_iNdEx_35" localSheetId="23">'[4]3.6'!#REF!</definedName>
    <definedName name="_r17_iNdEx_35" localSheetId="24">'[4]3.6'!#REF!</definedName>
    <definedName name="_r17_iNdEx_35" localSheetId="25">'[4]3.6'!#REF!</definedName>
    <definedName name="_r17_iNdEx_35" localSheetId="26">'[4]3.6'!#REF!</definedName>
    <definedName name="_r17_iNdEx_35" localSheetId="27">'[4]3.6'!#REF!</definedName>
    <definedName name="_r17_iNdEx_35" localSheetId="28">'[4]3.6'!#REF!</definedName>
    <definedName name="_r17_iNdEx_35" localSheetId="19">'[4]3.6'!#REF!</definedName>
    <definedName name="_r17_iNdEx_35" localSheetId="38">'[4]3.6'!#REF!</definedName>
    <definedName name="_r17_iNdEx_35" localSheetId="42">'[5]3.6'!#REF!</definedName>
    <definedName name="_r17_iNdEx_35" localSheetId="45">'[4]3.6'!#REF!</definedName>
    <definedName name="_r17_iNdEx_35" localSheetId="54">'[4]3.6'!#REF!</definedName>
    <definedName name="_r17_iNdEx_35" localSheetId="46">'[4]3.6'!#REF!</definedName>
    <definedName name="_r17_iNdEx_35" localSheetId="47">'[4]3.6'!#REF!</definedName>
    <definedName name="_r17_iNdEx_35" localSheetId="48">'[4]3.6'!#REF!</definedName>
    <definedName name="_r17_iNdEx_35" localSheetId="49">'[4]3.6'!#REF!</definedName>
    <definedName name="_r17_iNdEx_35" localSheetId="50">'[4]3.6'!#REF!</definedName>
    <definedName name="_r17_iNdEx_35" localSheetId="51">'[4]3.6'!#REF!</definedName>
    <definedName name="_r17_iNdEx_35" localSheetId="52">'[4]3.6'!#REF!</definedName>
    <definedName name="_r17_iNdEx_35" localSheetId="53">'[4]3.6'!#REF!</definedName>
    <definedName name="_r17_iNdEx_35" localSheetId="59">'[4]3.6'!#REF!</definedName>
    <definedName name="_r17_iNdEx_35" localSheetId="60">'[4]3.6'!#REF!</definedName>
    <definedName name="_r17_iNdEx_35" localSheetId="61">'[4]3.6'!#REF!</definedName>
    <definedName name="_r17_iNdEx_35" localSheetId="62">'[4]3.6'!#REF!</definedName>
    <definedName name="_r17_iNdEx_35" localSheetId="63">'[6]3.6'!#REF!</definedName>
    <definedName name="_r17_iNdEx_35" localSheetId="67">'[4]3.6'!#REF!</definedName>
    <definedName name="_r17_iNdEx_35" localSheetId="1">'[4]3.6'!#REF!</definedName>
    <definedName name="_r17_iNdEx_35">'[4]3.6'!#REF!</definedName>
    <definedName name="_r18_iNdEx_36" localSheetId="7">'[4]3.6'!#REF!</definedName>
    <definedName name="_r18_iNdEx_36" localSheetId="8">'[4]3.6'!#REF!</definedName>
    <definedName name="_r18_iNdEx_36" localSheetId="35">'[4]3.6'!#REF!</definedName>
    <definedName name="_r18_iNdEx_36" localSheetId="37">'[4]3.6'!#REF!</definedName>
    <definedName name="_r18_iNdEx_36" localSheetId="17">'[4]3.6'!#REF!</definedName>
    <definedName name="_r18_iNdEx_36" localSheetId="16">'[4]3.6'!#REF!</definedName>
    <definedName name="_r18_iNdEx_36" localSheetId="20">'[4]3.6'!#REF!</definedName>
    <definedName name="_r18_iNdEx_36" localSheetId="21">'[4]3.6'!#REF!</definedName>
    <definedName name="_r18_iNdEx_36" localSheetId="22">'[4]3.6'!#REF!</definedName>
    <definedName name="_r18_iNdEx_36" localSheetId="23">'[4]3.6'!#REF!</definedName>
    <definedName name="_r18_iNdEx_36" localSheetId="24">'[4]3.6'!#REF!</definedName>
    <definedName name="_r18_iNdEx_36" localSheetId="25">'[4]3.6'!#REF!</definedName>
    <definedName name="_r18_iNdEx_36" localSheetId="26">'[4]3.6'!#REF!</definedName>
    <definedName name="_r18_iNdEx_36" localSheetId="27">'[4]3.6'!#REF!</definedName>
    <definedName name="_r18_iNdEx_36" localSheetId="28">'[4]3.6'!#REF!</definedName>
    <definedName name="_r18_iNdEx_36" localSheetId="19">'[4]3.6'!#REF!</definedName>
    <definedName name="_r18_iNdEx_36" localSheetId="38">'[4]3.6'!#REF!</definedName>
    <definedName name="_r18_iNdEx_36" localSheetId="42">'[5]3.6'!#REF!</definedName>
    <definedName name="_r18_iNdEx_36" localSheetId="45">'[4]3.6'!#REF!</definedName>
    <definedName name="_r18_iNdEx_36" localSheetId="54">'[4]3.6'!#REF!</definedName>
    <definedName name="_r18_iNdEx_36" localSheetId="46">'[4]3.6'!#REF!</definedName>
    <definedName name="_r18_iNdEx_36" localSheetId="47">'[4]3.6'!#REF!</definedName>
    <definedName name="_r18_iNdEx_36" localSheetId="48">'[4]3.6'!#REF!</definedName>
    <definedName name="_r18_iNdEx_36" localSheetId="49">'[4]3.6'!#REF!</definedName>
    <definedName name="_r18_iNdEx_36" localSheetId="50">'[4]3.6'!#REF!</definedName>
    <definedName name="_r18_iNdEx_36" localSheetId="51">'[4]3.6'!#REF!</definedName>
    <definedName name="_r18_iNdEx_36" localSheetId="52">'[4]3.6'!#REF!</definedName>
    <definedName name="_r18_iNdEx_36" localSheetId="53">'[4]3.6'!#REF!</definedName>
    <definedName name="_r18_iNdEx_36" localSheetId="59">'[4]3.6'!#REF!</definedName>
    <definedName name="_r18_iNdEx_36" localSheetId="60">'[4]3.6'!#REF!</definedName>
    <definedName name="_r18_iNdEx_36" localSheetId="61">'[4]3.6'!#REF!</definedName>
    <definedName name="_r18_iNdEx_36" localSheetId="62">'[4]3.6'!#REF!</definedName>
    <definedName name="_r18_iNdEx_36" localSheetId="63">'[6]3.6'!#REF!</definedName>
    <definedName name="_r18_iNdEx_36" localSheetId="67">'[4]3.6'!#REF!</definedName>
    <definedName name="_r18_iNdEx_36" localSheetId="1">'[4]3.6'!#REF!</definedName>
    <definedName name="_r18_iNdEx_36">'[4]3.6'!#REF!</definedName>
    <definedName name="_r19_iNdEx_41" localSheetId="17">'[4]3.6 (2)'!$A$32</definedName>
    <definedName name="_r19_iNdEx_41" localSheetId="16">'[4]3.6 (2)'!$A$32</definedName>
    <definedName name="_r19_iNdEx_41" localSheetId="19">'[4]3.6 (2)'!$A$32</definedName>
    <definedName name="_r19_iNdEx_41" localSheetId="42">'[5]3.6 (2)'!$A$32</definedName>
    <definedName name="_r19_iNdEx_41" localSheetId="60">'[4]3.6 (2)'!$A$32</definedName>
    <definedName name="_r19_iNdEx_41" localSheetId="61">'[4]3.6 (2)'!$A$32</definedName>
    <definedName name="_r19_iNdEx_41" localSheetId="62">'[4]3.6 (2)'!$A$32</definedName>
    <definedName name="_r19_iNdEx_41" localSheetId="63">'[6]3.6 (2)'!$A$32</definedName>
    <definedName name="_r19_iNdEx_41" localSheetId="67">'[4]3.6 (2)'!$A$32</definedName>
    <definedName name="_r19_iNdEx_41">'[4]3.6 (2)'!$A$32</definedName>
    <definedName name="_r2_iNdEx_18" localSheetId="7">'[4]3.6'!#REF!</definedName>
    <definedName name="_r2_iNdEx_18" localSheetId="8">'[4]3.6'!#REF!</definedName>
    <definedName name="_r2_iNdEx_18" localSheetId="35">'[4]3.6'!#REF!</definedName>
    <definedName name="_r2_iNdEx_18" localSheetId="37">'[4]3.6'!#REF!</definedName>
    <definedName name="_r2_iNdEx_18" localSheetId="17">'[4]3.6'!#REF!</definedName>
    <definedName name="_r2_iNdEx_18" localSheetId="16">'[4]3.6'!#REF!</definedName>
    <definedName name="_r2_iNdEx_18" localSheetId="20">'[4]3.6'!#REF!</definedName>
    <definedName name="_r2_iNdEx_18" localSheetId="21">'[4]3.6'!#REF!</definedName>
    <definedName name="_r2_iNdEx_18" localSheetId="22">'[4]3.6'!#REF!</definedName>
    <definedName name="_r2_iNdEx_18" localSheetId="23">'[4]3.6'!#REF!</definedName>
    <definedName name="_r2_iNdEx_18" localSheetId="24">'[4]3.6'!#REF!</definedName>
    <definedName name="_r2_iNdEx_18" localSheetId="25">'[4]3.6'!#REF!</definedName>
    <definedName name="_r2_iNdEx_18" localSheetId="26">'[4]3.6'!#REF!</definedName>
    <definedName name="_r2_iNdEx_18" localSheetId="27">'[4]3.6'!#REF!</definedName>
    <definedName name="_r2_iNdEx_18" localSheetId="28">'[4]3.6'!#REF!</definedName>
    <definedName name="_r2_iNdEx_18" localSheetId="19">'[4]3.6'!#REF!</definedName>
    <definedName name="_r2_iNdEx_18" localSheetId="38">'[4]3.6'!#REF!</definedName>
    <definedName name="_r2_iNdEx_18" localSheetId="42">'[5]3.6'!#REF!</definedName>
    <definedName name="_r2_iNdEx_18" localSheetId="45">'[4]3.6'!#REF!</definedName>
    <definedName name="_r2_iNdEx_18" localSheetId="54">'[4]3.6'!#REF!</definedName>
    <definedName name="_r2_iNdEx_18" localSheetId="46">'[4]3.6'!#REF!</definedName>
    <definedName name="_r2_iNdEx_18" localSheetId="47">'[4]3.6'!#REF!</definedName>
    <definedName name="_r2_iNdEx_18" localSheetId="48">'[4]3.6'!#REF!</definedName>
    <definedName name="_r2_iNdEx_18" localSheetId="49">'[4]3.6'!#REF!</definedName>
    <definedName name="_r2_iNdEx_18" localSheetId="50">'[4]3.6'!#REF!</definedName>
    <definedName name="_r2_iNdEx_18" localSheetId="51">'[4]3.6'!#REF!</definedName>
    <definedName name="_r2_iNdEx_18" localSheetId="52">'[4]3.6'!#REF!</definedName>
    <definedName name="_r2_iNdEx_18" localSheetId="53">'[4]3.6'!#REF!</definedName>
    <definedName name="_r2_iNdEx_18" localSheetId="59">'[4]3.6'!#REF!</definedName>
    <definedName name="_r2_iNdEx_18" localSheetId="60">'[4]3.6'!#REF!</definedName>
    <definedName name="_r2_iNdEx_18" localSheetId="61">'[4]3.6'!#REF!</definedName>
    <definedName name="_r2_iNdEx_18" localSheetId="62">'[4]3.6'!#REF!</definedName>
    <definedName name="_r2_iNdEx_18" localSheetId="63">'[6]3.6'!#REF!</definedName>
    <definedName name="_r2_iNdEx_18" localSheetId="67">'[4]3.6'!#REF!</definedName>
    <definedName name="_r2_iNdEx_18" localSheetId="1">'[4]3.6'!#REF!</definedName>
    <definedName name="_r2_iNdEx_18">'[4]3.6'!#REF!</definedName>
    <definedName name="_r20_iNdEx_43" localSheetId="7">'[4]3.6'!#REF!</definedName>
    <definedName name="_r20_iNdEx_43" localSheetId="8">'[4]3.6'!#REF!</definedName>
    <definedName name="_r20_iNdEx_43" localSheetId="35">'[4]3.6'!#REF!</definedName>
    <definedName name="_r20_iNdEx_43" localSheetId="37">'[4]3.6'!#REF!</definedName>
    <definedName name="_r20_iNdEx_43" localSheetId="17">'[4]3.6'!#REF!</definedName>
    <definedName name="_r20_iNdEx_43" localSheetId="16">'[4]3.6'!#REF!</definedName>
    <definedName name="_r20_iNdEx_43" localSheetId="20">'[4]3.6'!#REF!</definedName>
    <definedName name="_r20_iNdEx_43" localSheetId="21">'[4]3.6'!#REF!</definedName>
    <definedName name="_r20_iNdEx_43" localSheetId="22">'[4]3.6'!#REF!</definedName>
    <definedName name="_r20_iNdEx_43" localSheetId="23">'[4]3.6'!#REF!</definedName>
    <definedName name="_r20_iNdEx_43" localSheetId="24">'[4]3.6'!#REF!</definedName>
    <definedName name="_r20_iNdEx_43" localSheetId="25">'[4]3.6'!#REF!</definedName>
    <definedName name="_r20_iNdEx_43" localSheetId="26">'[4]3.6'!#REF!</definedName>
    <definedName name="_r20_iNdEx_43" localSheetId="27">'[4]3.6'!#REF!</definedName>
    <definedName name="_r20_iNdEx_43" localSheetId="28">'[4]3.6'!#REF!</definedName>
    <definedName name="_r20_iNdEx_43" localSheetId="19">'[4]3.6'!#REF!</definedName>
    <definedName name="_r20_iNdEx_43" localSheetId="38">'[4]3.6'!#REF!</definedName>
    <definedName name="_r20_iNdEx_43" localSheetId="42">'[5]3.6'!#REF!</definedName>
    <definedName name="_r20_iNdEx_43" localSheetId="45">'[4]3.6'!#REF!</definedName>
    <definedName name="_r20_iNdEx_43" localSheetId="54">'[4]3.6'!#REF!</definedName>
    <definedName name="_r20_iNdEx_43" localSheetId="46">'[4]3.6'!#REF!</definedName>
    <definedName name="_r20_iNdEx_43" localSheetId="47">'[4]3.6'!#REF!</definedName>
    <definedName name="_r20_iNdEx_43" localSheetId="48">'[4]3.6'!#REF!</definedName>
    <definedName name="_r20_iNdEx_43" localSheetId="49">'[4]3.6'!#REF!</definedName>
    <definedName name="_r20_iNdEx_43" localSheetId="50">'[4]3.6'!#REF!</definedName>
    <definedName name="_r20_iNdEx_43" localSheetId="51">'[4]3.6'!#REF!</definedName>
    <definedName name="_r20_iNdEx_43" localSheetId="52">'[4]3.6'!#REF!</definedName>
    <definedName name="_r20_iNdEx_43" localSheetId="53">'[4]3.6'!#REF!</definedName>
    <definedName name="_r20_iNdEx_43" localSheetId="59">'[4]3.6'!#REF!</definedName>
    <definedName name="_r20_iNdEx_43" localSheetId="60">'[4]3.6'!#REF!</definedName>
    <definedName name="_r20_iNdEx_43" localSheetId="61">'[4]3.6'!#REF!</definedName>
    <definedName name="_r20_iNdEx_43" localSheetId="62">'[4]3.6'!#REF!</definedName>
    <definedName name="_r20_iNdEx_43" localSheetId="63">'[6]3.6'!#REF!</definedName>
    <definedName name="_r20_iNdEx_43" localSheetId="67">'[4]3.6'!#REF!</definedName>
    <definedName name="_r20_iNdEx_43" localSheetId="1">'[4]3.6'!#REF!</definedName>
    <definedName name="_r20_iNdEx_43">'[4]3.6'!#REF!</definedName>
    <definedName name="_r21_iNdEx_44" localSheetId="17">'[4]3.6 (2)'!$A$34</definedName>
    <definedName name="_r21_iNdEx_44" localSheetId="16">'[4]3.6 (2)'!$A$34</definedName>
    <definedName name="_r21_iNdEx_44" localSheetId="19">'[4]3.6 (2)'!$A$34</definedName>
    <definedName name="_r21_iNdEx_44" localSheetId="42">'[5]3.6 (2)'!$A$34</definedName>
    <definedName name="_r21_iNdEx_44" localSheetId="60">'[4]3.6 (2)'!$A$34</definedName>
    <definedName name="_r21_iNdEx_44" localSheetId="61">'[4]3.6 (2)'!$A$34</definedName>
    <definedName name="_r21_iNdEx_44" localSheetId="62">'[4]3.6 (2)'!$A$34</definedName>
    <definedName name="_r21_iNdEx_44" localSheetId="63">'[6]3.6 (2)'!$A$34</definedName>
    <definedName name="_r21_iNdEx_44" localSheetId="67">'[4]3.6 (2)'!$A$34</definedName>
    <definedName name="_r21_iNdEx_44">'[4]3.6 (2)'!$A$34</definedName>
    <definedName name="_r22_iNdEx_45" localSheetId="17">'[4]3.6 (2)'!$A$35</definedName>
    <definedName name="_r22_iNdEx_45" localSheetId="16">'[4]3.6 (2)'!$A$35</definedName>
    <definedName name="_r22_iNdEx_45" localSheetId="19">'[4]3.6 (2)'!$A$35</definedName>
    <definedName name="_r22_iNdEx_45" localSheetId="42">'[5]3.6 (2)'!$A$35</definedName>
    <definedName name="_r22_iNdEx_45" localSheetId="60">'[4]3.6 (2)'!$A$35</definedName>
    <definedName name="_r22_iNdEx_45" localSheetId="61">'[4]3.6 (2)'!$A$35</definedName>
    <definedName name="_r22_iNdEx_45" localSheetId="62">'[4]3.6 (2)'!$A$35</definedName>
    <definedName name="_r22_iNdEx_45" localSheetId="63">'[6]3.6 (2)'!$A$35</definedName>
    <definedName name="_r22_iNdEx_45" localSheetId="67">'[4]3.6 (2)'!$A$35</definedName>
    <definedName name="_r22_iNdEx_45">'[4]3.6 (2)'!$A$35</definedName>
    <definedName name="_r23_iNdEx_46" localSheetId="17">'[4]3.6 (2)'!$A$36</definedName>
    <definedName name="_r23_iNdEx_46" localSheetId="16">'[4]3.6 (2)'!$A$36</definedName>
    <definedName name="_r23_iNdEx_46" localSheetId="19">'[4]3.6 (2)'!$A$36</definedName>
    <definedName name="_r23_iNdEx_46" localSheetId="42">'[5]3.6 (2)'!$A$36</definedName>
    <definedName name="_r23_iNdEx_46" localSheetId="60">'[4]3.6 (2)'!$A$36</definedName>
    <definedName name="_r23_iNdEx_46" localSheetId="61">'[4]3.6 (2)'!$A$36</definedName>
    <definedName name="_r23_iNdEx_46" localSheetId="62">'[4]3.6 (2)'!$A$36</definedName>
    <definedName name="_r23_iNdEx_46" localSheetId="63">'[6]3.6 (2)'!$A$36</definedName>
    <definedName name="_r23_iNdEx_46" localSheetId="67">'[4]3.6 (2)'!$A$36</definedName>
    <definedName name="_r23_iNdEx_46">'[4]3.6 (2)'!$A$36</definedName>
    <definedName name="_r24_iNdEx_48" localSheetId="17">'[4]3.6 (2)'!$A$38</definedName>
    <definedName name="_r24_iNdEx_48" localSheetId="16">'[4]3.6 (2)'!$A$38</definedName>
    <definedName name="_r24_iNdEx_48" localSheetId="19">'[4]3.6 (2)'!$A$38</definedName>
    <definedName name="_r24_iNdEx_48" localSheetId="42">'[5]3.6 (2)'!$A$38</definedName>
    <definedName name="_r24_iNdEx_48" localSheetId="60">'[4]3.6 (2)'!$A$38</definedName>
    <definedName name="_r24_iNdEx_48" localSheetId="61">'[4]3.6 (2)'!$A$38</definedName>
    <definedName name="_r24_iNdEx_48" localSheetId="62">'[4]3.6 (2)'!$A$38</definedName>
    <definedName name="_r24_iNdEx_48" localSheetId="63">'[6]3.6 (2)'!$A$38</definedName>
    <definedName name="_r24_iNdEx_48" localSheetId="67">'[4]3.6 (2)'!$A$38</definedName>
    <definedName name="_r24_iNdEx_48">'[4]3.6 (2)'!$A$38</definedName>
    <definedName name="_r25_iNdEx_49" localSheetId="17">'[4]3.6 (2)'!$A$39</definedName>
    <definedName name="_r25_iNdEx_49" localSheetId="16">'[4]3.6 (2)'!$A$39</definedName>
    <definedName name="_r25_iNdEx_49" localSheetId="19">'[4]3.6 (2)'!$A$39</definedName>
    <definedName name="_r25_iNdEx_49" localSheetId="42">'[5]3.6 (2)'!$A$39</definedName>
    <definedName name="_r25_iNdEx_49" localSheetId="60">'[4]3.6 (2)'!$A$39</definedName>
    <definedName name="_r25_iNdEx_49" localSheetId="61">'[4]3.6 (2)'!$A$39</definedName>
    <definedName name="_r25_iNdEx_49" localSheetId="62">'[4]3.6 (2)'!$A$39</definedName>
    <definedName name="_r25_iNdEx_49" localSheetId="63">'[6]3.6 (2)'!$A$39</definedName>
    <definedName name="_r25_iNdEx_49" localSheetId="67">'[4]3.6 (2)'!$A$39</definedName>
    <definedName name="_r25_iNdEx_49">'[4]3.6 (2)'!$A$39</definedName>
    <definedName name="_r26_iNdEx_50" localSheetId="17">'[4]3.6 (2)'!$A$40</definedName>
    <definedName name="_r26_iNdEx_50" localSheetId="16">'[4]3.6 (2)'!$A$40</definedName>
    <definedName name="_r26_iNdEx_50" localSheetId="19">'[4]3.6 (2)'!$A$40</definedName>
    <definedName name="_r26_iNdEx_50" localSheetId="42">'[5]3.6 (2)'!$A$40</definedName>
    <definedName name="_r26_iNdEx_50" localSheetId="60">'[4]3.6 (2)'!$A$40</definedName>
    <definedName name="_r26_iNdEx_50" localSheetId="61">'[4]3.6 (2)'!$A$40</definedName>
    <definedName name="_r26_iNdEx_50" localSheetId="62">'[4]3.6 (2)'!$A$40</definedName>
    <definedName name="_r26_iNdEx_50" localSheetId="63">'[6]3.6 (2)'!$A$40</definedName>
    <definedName name="_r26_iNdEx_50" localSheetId="67">'[4]3.6 (2)'!$A$40</definedName>
    <definedName name="_r26_iNdEx_50">'[4]3.6 (2)'!$A$40</definedName>
    <definedName name="_r27_iNdEx_51" localSheetId="17">'[4]3.6 (2)'!$A$41</definedName>
    <definedName name="_r27_iNdEx_51" localSheetId="16">'[4]3.6 (2)'!$A$41</definedName>
    <definedName name="_r27_iNdEx_51" localSheetId="19">'[4]3.6 (2)'!$A$41</definedName>
    <definedName name="_r27_iNdEx_51" localSheetId="42">'[5]3.6 (2)'!$A$41</definedName>
    <definedName name="_r27_iNdEx_51" localSheetId="60">'[4]3.6 (2)'!$A$41</definedName>
    <definedName name="_r27_iNdEx_51" localSheetId="61">'[4]3.6 (2)'!$A$41</definedName>
    <definedName name="_r27_iNdEx_51" localSheetId="62">'[4]3.6 (2)'!$A$41</definedName>
    <definedName name="_r27_iNdEx_51" localSheetId="63">'[6]3.6 (2)'!$A$41</definedName>
    <definedName name="_r27_iNdEx_51" localSheetId="67">'[4]3.6 (2)'!$A$41</definedName>
    <definedName name="_r27_iNdEx_51">'[4]3.6 (2)'!$A$41</definedName>
    <definedName name="_r28_iNdEx_52" localSheetId="17">'[4]3.6 (2)'!$A$42</definedName>
    <definedName name="_r28_iNdEx_52" localSheetId="16">'[4]3.6 (2)'!$A$42</definedName>
    <definedName name="_r28_iNdEx_52" localSheetId="19">'[4]3.6 (2)'!$A$42</definedName>
    <definedName name="_r28_iNdEx_52" localSheetId="42">'[5]3.6 (2)'!$A$42</definedName>
    <definedName name="_r28_iNdEx_52" localSheetId="60">'[4]3.6 (2)'!$A$42</definedName>
    <definedName name="_r28_iNdEx_52" localSheetId="61">'[4]3.6 (2)'!$A$42</definedName>
    <definedName name="_r28_iNdEx_52" localSheetId="62">'[4]3.6 (2)'!$A$42</definedName>
    <definedName name="_r28_iNdEx_52" localSheetId="63">'[6]3.6 (2)'!$A$42</definedName>
    <definedName name="_r28_iNdEx_52" localSheetId="67">'[4]3.6 (2)'!$A$42</definedName>
    <definedName name="_r28_iNdEx_52">'[4]3.6 (2)'!$A$42</definedName>
    <definedName name="_r29_iNdEx_53" localSheetId="17">'[4]3.6 (2)'!$A$43</definedName>
    <definedName name="_r29_iNdEx_53" localSheetId="16">'[4]3.6 (2)'!$A$43</definedName>
    <definedName name="_r29_iNdEx_53" localSheetId="19">'[4]3.6 (2)'!$A$43</definedName>
    <definedName name="_r29_iNdEx_53" localSheetId="42">'[5]3.6 (2)'!$A$43</definedName>
    <definedName name="_r29_iNdEx_53" localSheetId="60">'[4]3.6 (2)'!$A$43</definedName>
    <definedName name="_r29_iNdEx_53" localSheetId="61">'[4]3.6 (2)'!$A$43</definedName>
    <definedName name="_r29_iNdEx_53" localSheetId="62">'[4]3.6 (2)'!$A$43</definedName>
    <definedName name="_r29_iNdEx_53" localSheetId="63">'[6]3.6 (2)'!$A$43</definedName>
    <definedName name="_r29_iNdEx_53" localSheetId="67">'[4]3.6 (2)'!$A$43</definedName>
    <definedName name="_r29_iNdEx_53">'[4]3.6 (2)'!$A$43</definedName>
    <definedName name="_r3_iNdEx_19" localSheetId="17">'[4]3.6 (2)'!$A$17</definedName>
    <definedName name="_r3_iNdEx_19" localSheetId="16">'[4]3.6 (2)'!$A$17</definedName>
    <definedName name="_r3_iNdEx_19" localSheetId="19">'[4]3.6 (2)'!$A$17</definedName>
    <definedName name="_r3_iNdEx_19" localSheetId="42">'[5]3.6 (2)'!$A$17</definedName>
    <definedName name="_r3_iNdEx_19" localSheetId="60">'[4]3.6 (2)'!$A$17</definedName>
    <definedName name="_r3_iNdEx_19" localSheetId="61">'[4]3.6 (2)'!$A$17</definedName>
    <definedName name="_r3_iNdEx_19" localSheetId="62">'[4]3.6 (2)'!$A$17</definedName>
    <definedName name="_r3_iNdEx_19" localSheetId="63">'[6]3.6 (2)'!$A$17</definedName>
    <definedName name="_r3_iNdEx_19" localSheetId="67">'[4]3.6 (2)'!$A$17</definedName>
    <definedName name="_r3_iNdEx_19">'[4]3.6 (2)'!$A$17</definedName>
    <definedName name="_r30_iNdEx_54" localSheetId="7">'[4]3.6'!#REF!</definedName>
    <definedName name="_r30_iNdEx_54" localSheetId="8">'[4]3.6'!#REF!</definedName>
    <definedName name="_r30_iNdEx_54" localSheetId="35">'[4]3.6'!#REF!</definedName>
    <definedName name="_r30_iNdEx_54" localSheetId="37">'[4]3.6'!#REF!</definedName>
    <definedName name="_r30_iNdEx_54" localSheetId="17">'[4]3.6'!#REF!</definedName>
    <definedName name="_r30_iNdEx_54" localSheetId="16">'[4]3.6'!#REF!</definedName>
    <definedName name="_r30_iNdEx_54" localSheetId="20">'[4]3.6'!#REF!</definedName>
    <definedName name="_r30_iNdEx_54" localSheetId="21">'[4]3.6'!#REF!</definedName>
    <definedName name="_r30_iNdEx_54" localSheetId="22">'[4]3.6'!#REF!</definedName>
    <definedName name="_r30_iNdEx_54" localSheetId="23">'[4]3.6'!#REF!</definedName>
    <definedName name="_r30_iNdEx_54" localSheetId="24">'[4]3.6'!#REF!</definedName>
    <definedName name="_r30_iNdEx_54" localSheetId="25">'[4]3.6'!#REF!</definedName>
    <definedName name="_r30_iNdEx_54" localSheetId="26">'[4]3.6'!#REF!</definedName>
    <definedName name="_r30_iNdEx_54" localSheetId="27">'[4]3.6'!#REF!</definedName>
    <definedName name="_r30_iNdEx_54" localSheetId="28">'[4]3.6'!#REF!</definedName>
    <definedName name="_r30_iNdEx_54" localSheetId="19">'[4]3.6'!#REF!</definedName>
    <definedName name="_r30_iNdEx_54" localSheetId="38">'[4]3.6'!#REF!</definedName>
    <definedName name="_r30_iNdEx_54" localSheetId="42">'[5]3.6'!#REF!</definedName>
    <definedName name="_r30_iNdEx_54" localSheetId="45">'[4]3.6'!#REF!</definedName>
    <definedName name="_r30_iNdEx_54" localSheetId="54">'[4]3.6'!#REF!</definedName>
    <definedName name="_r30_iNdEx_54" localSheetId="46">'[4]3.6'!#REF!</definedName>
    <definedName name="_r30_iNdEx_54" localSheetId="47">'[4]3.6'!#REF!</definedName>
    <definedName name="_r30_iNdEx_54" localSheetId="48">'[4]3.6'!#REF!</definedName>
    <definedName name="_r30_iNdEx_54" localSheetId="49">'[4]3.6'!#REF!</definedName>
    <definedName name="_r30_iNdEx_54" localSheetId="50">'[4]3.6'!#REF!</definedName>
    <definedName name="_r30_iNdEx_54" localSheetId="51">'[4]3.6'!#REF!</definedName>
    <definedName name="_r30_iNdEx_54" localSheetId="52">'[4]3.6'!#REF!</definedName>
    <definedName name="_r30_iNdEx_54" localSheetId="53">'[4]3.6'!#REF!</definedName>
    <definedName name="_r30_iNdEx_54" localSheetId="59">'[4]3.6'!#REF!</definedName>
    <definedName name="_r30_iNdEx_54" localSheetId="60">'[4]3.6'!#REF!</definedName>
    <definedName name="_r30_iNdEx_54" localSheetId="61">'[4]3.6'!#REF!</definedName>
    <definedName name="_r30_iNdEx_54" localSheetId="62">'[4]3.6'!#REF!</definedName>
    <definedName name="_r30_iNdEx_54" localSheetId="63">'[6]3.6'!#REF!</definedName>
    <definedName name="_r30_iNdEx_54" localSheetId="67">'[4]3.6'!#REF!</definedName>
    <definedName name="_r30_iNdEx_54" localSheetId="1">'[4]3.6'!#REF!</definedName>
    <definedName name="_r30_iNdEx_54">'[4]3.6'!#REF!</definedName>
    <definedName name="_r31_iNdEx_56" localSheetId="7">'[4]3.6'!#REF!</definedName>
    <definedName name="_r31_iNdEx_56" localSheetId="8">'[4]3.6'!#REF!</definedName>
    <definedName name="_r31_iNdEx_56" localSheetId="35">'[4]3.6'!#REF!</definedName>
    <definedName name="_r31_iNdEx_56" localSheetId="37">'[4]3.6'!#REF!</definedName>
    <definedName name="_r31_iNdEx_56" localSheetId="17">'[4]3.6'!#REF!</definedName>
    <definedName name="_r31_iNdEx_56" localSheetId="16">'[4]3.6'!#REF!</definedName>
    <definedName name="_r31_iNdEx_56" localSheetId="20">'[4]3.6'!#REF!</definedName>
    <definedName name="_r31_iNdEx_56" localSheetId="21">'[4]3.6'!#REF!</definedName>
    <definedName name="_r31_iNdEx_56" localSheetId="22">'[4]3.6'!#REF!</definedName>
    <definedName name="_r31_iNdEx_56" localSheetId="23">'[4]3.6'!#REF!</definedName>
    <definedName name="_r31_iNdEx_56" localSheetId="24">'[4]3.6'!#REF!</definedName>
    <definedName name="_r31_iNdEx_56" localSheetId="25">'[4]3.6'!#REF!</definedName>
    <definedName name="_r31_iNdEx_56" localSheetId="26">'[4]3.6'!#REF!</definedName>
    <definedName name="_r31_iNdEx_56" localSheetId="27">'[4]3.6'!#REF!</definedName>
    <definedName name="_r31_iNdEx_56" localSheetId="28">'[4]3.6'!#REF!</definedName>
    <definedName name="_r31_iNdEx_56" localSheetId="19">'[4]3.6'!#REF!</definedName>
    <definedName name="_r31_iNdEx_56" localSheetId="38">'[4]3.6'!#REF!</definedName>
    <definedName name="_r31_iNdEx_56" localSheetId="42">'[5]3.6'!#REF!</definedName>
    <definedName name="_r31_iNdEx_56" localSheetId="45">'[4]3.6'!#REF!</definedName>
    <definedName name="_r31_iNdEx_56" localSheetId="54">'[4]3.6'!#REF!</definedName>
    <definedName name="_r31_iNdEx_56" localSheetId="46">'[4]3.6'!#REF!</definedName>
    <definedName name="_r31_iNdEx_56" localSheetId="47">'[4]3.6'!#REF!</definedName>
    <definedName name="_r31_iNdEx_56" localSheetId="48">'[4]3.6'!#REF!</definedName>
    <definedName name="_r31_iNdEx_56" localSheetId="49">'[4]3.6'!#REF!</definedName>
    <definedName name="_r31_iNdEx_56" localSheetId="50">'[4]3.6'!#REF!</definedName>
    <definedName name="_r31_iNdEx_56" localSheetId="51">'[4]3.6'!#REF!</definedName>
    <definedName name="_r31_iNdEx_56" localSheetId="52">'[4]3.6'!#REF!</definedName>
    <definedName name="_r31_iNdEx_56" localSheetId="53">'[4]3.6'!#REF!</definedName>
    <definedName name="_r31_iNdEx_56" localSheetId="59">'[4]3.6'!#REF!</definedName>
    <definedName name="_r31_iNdEx_56" localSheetId="60">'[4]3.6'!#REF!</definedName>
    <definedName name="_r31_iNdEx_56" localSheetId="61">'[4]3.6'!#REF!</definedName>
    <definedName name="_r31_iNdEx_56" localSheetId="62">'[4]3.6'!#REF!</definedName>
    <definedName name="_r31_iNdEx_56" localSheetId="63">'[6]3.6'!#REF!</definedName>
    <definedName name="_r31_iNdEx_56" localSheetId="67">'[4]3.6'!#REF!</definedName>
    <definedName name="_r31_iNdEx_56" localSheetId="1">'[4]3.6'!#REF!</definedName>
    <definedName name="_r31_iNdEx_56">'[4]3.6'!#REF!</definedName>
    <definedName name="_r32_iNdEx_57" localSheetId="7">'[4]3.6'!#REF!</definedName>
    <definedName name="_r32_iNdEx_57" localSheetId="8">'[4]3.6'!#REF!</definedName>
    <definedName name="_r32_iNdEx_57" localSheetId="35">'[4]3.6'!#REF!</definedName>
    <definedName name="_r32_iNdEx_57" localSheetId="37">'[4]3.6'!#REF!</definedName>
    <definedName name="_r32_iNdEx_57" localSheetId="17">'[4]3.6'!#REF!</definedName>
    <definedName name="_r32_iNdEx_57" localSheetId="16">'[4]3.6'!#REF!</definedName>
    <definedName name="_r32_iNdEx_57" localSheetId="20">'[4]3.6'!#REF!</definedName>
    <definedName name="_r32_iNdEx_57" localSheetId="21">'[4]3.6'!#REF!</definedName>
    <definedName name="_r32_iNdEx_57" localSheetId="22">'[4]3.6'!#REF!</definedName>
    <definedName name="_r32_iNdEx_57" localSheetId="23">'[4]3.6'!#REF!</definedName>
    <definedName name="_r32_iNdEx_57" localSheetId="24">'[4]3.6'!#REF!</definedName>
    <definedName name="_r32_iNdEx_57" localSheetId="25">'[4]3.6'!#REF!</definedName>
    <definedName name="_r32_iNdEx_57" localSheetId="26">'[4]3.6'!#REF!</definedName>
    <definedName name="_r32_iNdEx_57" localSheetId="27">'[4]3.6'!#REF!</definedName>
    <definedName name="_r32_iNdEx_57" localSheetId="28">'[4]3.6'!#REF!</definedName>
    <definedName name="_r32_iNdEx_57" localSheetId="19">'[4]3.6'!#REF!</definedName>
    <definedName name="_r32_iNdEx_57" localSheetId="38">'[4]3.6'!#REF!</definedName>
    <definedName name="_r32_iNdEx_57" localSheetId="42">'[5]3.6'!#REF!</definedName>
    <definedName name="_r32_iNdEx_57" localSheetId="45">'[4]3.6'!#REF!</definedName>
    <definedName name="_r32_iNdEx_57" localSheetId="54">'[4]3.6'!#REF!</definedName>
    <definedName name="_r32_iNdEx_57" localSheetId="46">'[4]3.6'!#REF!</definedName>
    <definedName name="_r32_iNdEx_57" localSheetId="47">'[4]3.6'!#REF!</definedName>
    <definedName name="_r32_iNdEx_57" localSheetId="48">'[4]3.6'!#REF!</definedName>
    <definedName name="_r32_iNdEx_57" localSheetId="49">'[4]3.6'!#REF!</definedName>
    <definedName name="_r32_iNdEx_57" localSheetId="50">'[4]3.6'!#REF!</definedName>
    <definedName name="_r32_iNdEx_57" localSheetId="51">'[4]3.6'!#REF!</definedName>
    <definedName name="_r32_iNdEx_57" localSheetId="52">'[4]3.6'!#REF!</definedName>
    <definedName name="_r32_iNdEx_57" localSheetId="53">'[4]3.6'!#REF!</definedName>
    <definedName name="_r32_iNdEx_57" localSheetId="59">'[4]3.6'!#REF!</definedName>
    <definedName name="_r32_iNdEx_57" localSheetId="60">'[4]3.6'!#REF!</definedName>
    <definedName name="_r32_iNdEx_57" localSheetId="61">'[4]3.6'!#REF!</definedName>
    <definedName name="_r32_iNdEx_57" localSheetId="62">'[4]3.6'!#REF!</definedName>
    <definedName name="_r32_iNdEx_57" localSheetId="63">'[6]3.6'!#REF!</definedName>
    <definedName name="_r32_iNdEx_57" localSheetId="67">'[4]3.6'!#REF!</definedName>
    <definedName name="_r32_iNdEx_57" localSheetId="1">'[4]3.6'!#REF!</definedName>
    <definedName name="_r32_iNdEx_57">'[4]3.6'!#REF!</definedName>
    <definedName name="_r33_iNdEx_58" localSheetId="7">'[4]3.6'!#REF!</definedName>
    <definedName name="_r33_iNdEx_58" localSheetId="8">'[4]3.6'!#REF!</definedName>
    <definedName name="_r33_iNdEx_58" localSheetId="35">'[4]3.6'!#REF!</definedName>
    <definedName name="_r33_iNdEx_58" localSheetId="37">'[4]3.6'!#REF!</definedName>
    <definedName name="_r33_iNdEx_58" localSheetId="17">'[4]3.6'!#REF!</definedName>
    <definedName name="_r33_iNdEx_58" localSheetId="16">'[4]3.6'!#REF!</definedName>
    <definedName name="_r33_iNdEx_58" localSheetId="20">'[4]3.6'!#REF!</definedName>
    <definedName name="_r33_iNdEx_58" localSheetId="21">'[4]3.6'!#REF!</definedName>
    <definedName name="_r33_iNdEx_58" localSheetId="22">'[4]3.6'!#REF!</definedName>
    <definedName name="_r33_iNdEx_58" localSheetId="23">'[4]3.6'!#REF!</definedName>
    <definedName name="_r33_iNdEx_58" localSheetId="24">'[4]3.6'!#REF!</definedName>
    <definedName name="_r33_iNdEx_58" localSheetId="25">'[4]3.6'!#REF!</definedName>
    <definedName name="_r33_iNdEx_58" localSheetId="26">'[4]3.6'!#REF!</definedName>
    <definedName name="_r33_iNdEx_58" localSheetId="27">'[4]3.6'!#REF!</definedName>
    <definedName name="_r33_iNdEx_58" localSheetId="28">'[4]3.6'!#REF!</definedName>
    <definedName name="_r33_iNdEx_58" localSheetId="19">'[4]3.6'!#REF!</definedName>
    <definedName name="_r33_iNdEx_58" localSheetId="38">'[4]3.6'!#REF!</definedName>
    <definedName name="_r33_iNdEx_58" localSheetId="42">'[5]3.6'!#REF!</definedName>
    <definedName name="_r33_iNdEx_58" localSheetId="45">'[4]3.6'!#REF!</definedName>
    <definedName name="_r33_iNdEx_58" localSheetId="54">'[4]3.6'!#REF!</definedName>
    <definedName name="_r33_iNdEx_58" localSheetId="46">'[4]3.6'!#REF!</definedName>
    <definedName name="_r33_iNdEx_58" localSheetId="47">'[4]3.6'!#REF!</definedName>
    <definedName name="_r33_iNdEx_58" localSheetId="48">'[4]3.6'!#REF!</definedName>
    <definedName name="_r33_iNdEx_58" localSheetId="49">'[4]3.6'!#REF!</definedName>
    <definedName name="_r33_iNdEx_58" localSheetId="50">'[4]3.6'!#REF!</definedName>
    <definedName name="_r33_iNdEx_58" localSheetId="51">'[4]3.6'!#REF!</definedName>
    <definedName name="_r33_iNdEx_58" localSheetId="52">'[4]3.6'!#REF!</definedName>
    <definedName name="_r33_iNdEx_58" localSheetId="53">'[4]3.6'!#REF!</definedName>
    <definedName name="_r33_iNdEx_58" localSheetId="59">'[4]3.6'!#REF!</definedName>
    <definedName name="_r33_iNdEx_58" localSheetId="60">'[4]3.6'!#REF!</definedName>
    <definedName name="_r33_iNdEx_58" localSheetId="61">'[4]3.6'!#REF!</definedName>
    <definedName name="_r33_iNdEx_58" localSheetId="62">'[4]3.6'!#REF!</definedName>
    <definedName name="_r33_iNdEx_58" localSheetId="63">'[6]3.6'!#REF!</definedName>
    <definedName name="_r33_iNdEx_58" localSheetId="67">'[4]3.6'!#REF!</definedName>
    <definedName name="_r33_iNdEx_58" localSheetId="1">'[4]3.6'!#REF!</definedName>
    <definedName name="_r33_iNdEx_58">'[4]3.6'!#REF!</definedName>
    <definedName name="_r34_iNdEx_59" localSheetId="7">'[4]3.6'!#REF!</definedName>
    <definedName name="_r34_iNdEx_59" localSheetId="8">'[4]3.6'!#REF!</definedName>
    <definedName name="_r34_iNdEx_59" localSheetId="35">'[4]3.6'!#REF!</definedName>
    <definedName name="_r34_iNdEx_59" localSheetId="37">'[4]3.6'!#REF!</definedName>
    <definedName name="_r34_iNdEx_59" localSheetId="17">'[4]3.6'!#REF!</definedName>
    <definedName name="_r34_iNdEx_59" localSheetId="16">'[4]3.6'!#REF!</definedName>
    <definedName name="_r34_iNdEx_59" localSheetId="20">'[4]3.6'!#REF!</definedName>
    <definedName name="_r34_iNdEx_59" localSheetId="21">'[4]3.6'!#REF!</definedName>
    <definedName name="_r34_iNdEx_59" localSheetId="22">'[4]3.6'!#REF!</definedName>
    <definedName name="_r34_iNdEx_59" localSheetId="23">'[4]3.6'!#REF!</definedName>
    <definedName name="_r34_iNdEx_59" localSheetId="24">'[4]3.6'!#REF!</definedName>
    <definedName name="_r34_iNdEx_59" localSheetId="25">'[4]3.6'!#REF!</definedName>
    <definedName name="_r34_iNdEx_59" localSheetId="26">'[4]3.6'!#REF!</definedName>
    <definedName name="_r34_iNdEx_59" localSheetId="27">'[4]3.6'!#REF!</definedName>
    <definedName name="_r34_iNdEx_59" localSheetId="28">'[4]3.6'!#REF!</definedName>
    <definedName name="_r34_iNdEx_59" localSheetId="19">'[4]3.6'!#REF!</definedName>
    <definedName name="_r34_iNdEx_59" localSheetId="38">'[4]3.6'!#REF!</definedName>
    <definedName name="_r34_iNdEx_59" localSheetId="42">'[5]3.6'!#REF!</definedName>
    <definedName name="_r34_iNdEx_59" localSheetId="45">'[4]3.6'!#REF!</definedName>
    <definedName name="_r34_iNdEx_59" localSheetId="54">'[4]3.6'!#REF!</definedName>
    <definedName name="_r34_iNdEx_59" localSheetId="46">'[4]3.6'!#REF!</definedName>
    <definedName name="_r34_iNdEx_59" localSheetId="47">'[4]3.6'!#REF!</definedName>
    <definedName name="_r34_iNdEx_59" localSheetId="48">'[4]3.6'!#REF!</definedName>
    <definedName name="_r34_iNdEx_59" localSheetId="49">'[4]3.6'!#REF!</definedName>
    <definedName name="_r34_iNdEx_59" localSheetId="50">'[4]3.6'!#REF!</definedName>
    <definedName name="_r34_iNdEx_59" localSheetId="51">'[4]3.6'!#REF!</definedName>
    <definedName name="_r34_iNdEx_59" localSheetId="52">'[4]3.6'!#REF!</definedName>
    <definedName name="_r34_iNdEx_59" localSheetId="53">'[4]3.6'!#REF!</definedName>
    <definedName name="_r34_iNdEx_59" localSheetId="59">'[4]3.6'!#REF!</definedName>
    <definedName name="_r34_iNdEx_59" localSheetId="60">'[4]3.6'!#REF!</definedName>
    <definedName name="_r34_iNdEx_59" localSheetId="61">'[4]3.6'!#REF!</definedName>
    <definedName name="_r34_iNdEx_59" localSheetId="62">'[4]3.6'!#REF!</definedName>
    <definedName name="_r34_iNdEx_59" localSheetId="63">'[6]3.6'!#REF!</definedName>
    <definedName name="_r34_iNdEx_59" localSheetId="67">'[4]3.6'!#REF!</definedName>
    <definedName name="_r34_iNdEx_59" localSheetId="1">'[4]3.6'!#REF!</definedName>
    <definedName name="_r34_iNdEx_59">'[4]3.6'!#REF!</definedName>
    <definedName name="_r4_iNdEx_20" localSheetId="17">'[4]3.6 (2)'!$A$18</definedName>
    <definedName name="_r4_iNdEx_20" localSheetId="16">'[4]3.6 (2)'!$A$18</definedName>
    <definedName name="_r4_iNdEx_20" localSheetId="19">'[4]3.6 (2)'!$A$18</definedName>
    <definedName name="_r4_iNdEx_20" localSheetId="42">'[5]3.6 (2)'!$A$18</definedName>
    <definedName name="_r4_iNdEx_20" localSheetId="60">'[4]3.6 (2)'!$A$18</definedName>
    <definedName name="_r4_iNdEx_20" localSheetId="61">'[4]3.6 (2)'!$A$18</definedName>
    <definedName name="_r4_iNdEx_20" localSheetId="62">'[4]3.6 (2)'!$A$18</definedName>
    <definedName name="_r4_iNdEx_20" localSheetId="63">'[6]3.6 (2)'!$A$18</definedName>
    <definedName name="_r4_iNdEx_20" localSheetId="67">'[4]3.6 (2)'!$A$18</definedName>
    <definedName name="_r4_iNdEx_20">'[4]3.6 (2)'!$A$18</definedName>
    <definedName name="_r5_iNdEx_21" localSheetId="17">'[4]3.6 (2)'!$A$19</definedName>
    <definedName name="_r5_iNdEx_21" localSheetId="16">'[4]3.6 (2)'!$A$19</definedName>
    <definedName name="_r5_iNdEx_21" localSheetId="19">'[4]3.6 (2)'!$A$19</definedName>
    <definedName name="_r5_iNdEx_21" localSheetId="42">'[5]3.6 (2)'!$A$19</definedName>
    <definedName name="_r5_iNdEx_21" localSheetId="60">'[4]3.6 (2)'!$A$19</definedName>
    <definedName name="_r5_iNdEx_21" localSheetId="61">'[4]3.6 (2)'!$A$19</definedName>
    <definedName name="_r5_iNdEx_21" localSheetId="62">'[4]3.6 (2)'!$A$19</definedName>
    <definedName name="_r5_iNdEx_21" localSheetId="63">'[6]3.6 (2)'!$A$19</definedName>
    <definedName name="_r5_iNdEx_21" localSheetId="67">'[4]3.6 (2)'!$A$19</definedName>
    <definedName name="_r5_iNdEx_21">'[4]3.6 (2)'!$A$19</definedName>
    <definedName name="_r6_iNdEx_23" localSheetId="17">'[4]3.6 (2)'!$A$21</definedName>
    <definedName name="_r6_iNdEx_23" localSheetId="16">'[4]3.6 (2)'!$A$21</definedName>
    <definedName name="_r6_iNdEx_23" localSheetId="19">'[4]3.6 (2)'!$A$21</definedName>
    <definedName name="_r6_iNdEx_23" localSheetId="42">'[5]3.6 (2)'!$A$21</definedName>
    <definedName name="_r6_iNdEx_23" localSheetId="60">'[4]3.6 (2)'!$A$21</definedName>
    <definedName name="_r6_iNdEx_23" localSheetId="61">'[4]3.6 (2)'!$A$21</definedName>
    <definedName name="_r6_iNdEx_23" localSheetId="62">'[4]3.6 (2)'!$A$21</definedName>
    <definedName name="_r6_iNdEx_23" localSheetId="63">'[6]3.6 (2)'!$A$21</definedName>
    <definedName name="_r6_iNdEx_23" localSheetId="67">'[4]3.6 (2)'!$A$21</definedName>
    <definedName name="_r6_iNdEx_23">'[4]3.6 (2)'!$A$21</definedName>
    <definedName name="_r7_iNdEx_24" localSheetId="17">'[4]3.6 (2)'!$A$22</definedName>
    <definedName name="_r7_iNdEx_24" localSheetId="16">'[4]3.6 (2)'!$A$22</definedName>
    <definedName name="_r7_iNdEx_24" localSheetId="19">'[4]3.6 (2)'!$A$22</definedName>
    <definedName name="_r7_iNdEx_24" localSheetId="42">'[5]3.6 (2)'!$A$22</definedName>
    <definedName name="_r7_iNdEx_24" localSheetId="60">'[4]3.6 (2)'!$A$22</definedName>
    <definedName name="_r7_iNdEx_24" localSheetId="61">'[4]3.6 (2)'!$A$22</definedName>
    <definedName name="_r7_iNdEx_24" localSheetId="62">'[4]3.6 (2)'!$A$22</definedName>
    <definedName name="_r7_iNdEx_24" localSheetId="63">'[6]3.6 (2)'!$A$22</definedName>
    <definedName name="_r7_iNdEx_24" localSheetId="67">'[4]3.6 (2)'!$A$22</definedName>
    <definedName name="_r7_iNdEx_24">'[4]3.6 (2)'!$A$22</definedName>
    <definedName name="_r8_iNdEx_25" localSheetId="17">'[4]3.6 (2)'!$A$23</definedName>
    <definedName name="_r8_iNdEx_25" localSheetId="16">'[4]3.6 (2)'!$A$23</definedName>
    <definedName name="_r8_iNdEx_25" localSheetId="19">'[4]3.6 (2)'!$A$23</definedName>
    <definedName name="_r8_iNdEx_25" localSheetId="42">'[5]3.6 (2)'!$A$23</definedName>
    <definedName name="_r8_iNdEx_25" localSheetId="60">'[4]3.6 (2)'!$A$23</definedName>
    <definedName name="_r8_iNdEx_25" localSheetId="61">'[4]3.6 (2)'!$A$23</definedName>
    <definedName name="_r8_iNdEx_25" localSheetId="62">'[4]3.6 (2)'!$A$23</definedName>
    <definedName name="_r8_iNdEx_25" localSheetId="63">'[6]3.6 (2)'!$A$23</definedName>
    <definedName name="_r8_iNdEx_25" localSheetId="67">'[4]3.6 (2)'!$A$23</definedName>
    <definedName name="_r8_iNdEx_25">'[4]3.6 (2)'!$A$23</definedName>
    <definedName name="_r9_iNdEx_26" localSheetId="17">'[4]3.6 (2)'!$A$24</definedName>
    <definedName name="_r9_iNdEx_26" localSheetId="16">'[4]3.6 (2)'!$A$24</definedName>
    <definedName name="_r9_iNdEx_26" localSheetId="19">'[4]3.6 (2)'!$A$24</definedName>
    <definedName name="_r9_iNdEx_26" localSheetId="42">'[5]3.6 (2)'!$A$24</definedName>
    <definedName name="_r9_iNdEx_26" localSheetId="60">'[4]3.6 (2)'!$A$24</definedName>
    <definedName name="_r9_iNdEx_26" localSheetId="61">'[4]3.6 (2)'!$A$24</definedName>
    <definedName name="_r9_iNdEx_26" localSheetId="62">'[4]3.6 (2)'!$A$24</definedName>
    <definedName name="_r9_iNdEx_26" localSheetId="63">'[6]3.6 (2)'!$A$24</definedName>
    <definedName name="_r9_iNdEx_26" localSheetId="67">'[4]3.6 (2)'!$A$24</definedName>
    <definedName name="_r9_iNdEx_26">'[4]3.6 (2)'!$A$24</definedName>
    <definedName name="_rid_Tb1_iNdEx_1" localSheetId="7">'[4]3.6'!#REF!</definedName>
    <definedName name="_rid_Tb1_iNdEx_1" localSheetId="8">'[4]3.6'!#REF!</definedName>
    <definedName name="_rid_Tb1_iNdEx_1" localSheetId="35">'[4]3.6'!#REF!</definedName>
    <definedName name="_rid_Tb1_iNdEx_1" localSheetId="37">'[4]3.6'!#REF!</definedName>
    <definedName name="_rid_Tb1_iNdEx_1" localSheetId="17">'[4]3.6'!#REF!</definedName>
    <definedName name="_rid_Tb1_iNdEx_1" localSheetId="16">'[4]3.6'!#REF!</definedName>
    <definedName name="_rid_Tb1_iNdEx_1" localSheetId="20">'[4]3.6'!#REF!</definedName>
    <definedName name="_rid_Tb1_iNdEx_1" localSheetId="21">'[4]3.6'!#REF!</definedName>
    <definedName name="_rid_Tb1_iNdEx_1" localSheetId="22">'[4]3.6'!#REF!</definedName>
    <definedName name="_rid_Tb1_iNdEx_1" localSheetId="23">'[4]3.6'!#REF!</definedName>
    <definedName name="_rid_Tb1_iNdEx_1" localSheetId="24">'[4]3.6'!#REF!</definedName>
    <definedName name="_rid_Tb1_iNdEx_1" localSheetId="25">'[4]3.6'!#REF!</definedName>
    <definedName name="_rid_Tb1_iNdEx_1" localSheetId="26">'[4]3.6'!#REF!</definedName>
    <definedName name="_rid_Tb1_iNdEx_1" localSheetId="27">'[4]3.6'!#REF!</definedName>
    <definedName name="_rid_Tb1_iNdEx_1" localSheetId="28">'[4]3.6'!#REF!</definedName>
    <definedName name="_rid_Tb1_iNdEx_1" localSheetId="19">'[4]3.6'!#REF!</definedName>
    <definedName name="_rid_Tb1_iNdEx_1" localSheetId="38">'[4]3.6'!#REF!</definedName>
    <definedName name="_rid_Tb1_iNdEx_1" localSheetId="42">'[5]3.6'!#REF!</definedName>
    <definedName name="_rid_Tb1_iNdEx_1" localSheetId="45">'[4]3.6'!#REF!</definedName>
    <definedName name="_rid_Tb1_iNdEx_1" localSheetId="54">'[4]3.6'!#REF!</definedName>
    <definedName name="_rid_Tb1_iNdEx_1" localSheetId="46">'[4]3.6'!#REF!</definedName>
    <definedName name="_rid_Tb1_iNdEx_1" localSheetId="47">'[4]3.6'!#REF!</definedName>
    <definedName name="_rid_Tb1_iNdEx_1" localSheetId="48">'[4]3.6'!#REF!</definedName>
    <definedName name="_rid_Tb1_iNdEx_1" localSheetId="49">'[4]3.6'!#REF!</definedName>
    <definedName name="_rid_Tb1_iNdEx_1" localSheetId="50">'[4]3.6'!#REF!</definedName>
    <definedName name="_rid_Tb1_iNdEx_1" localSheetId="51">'[4]3.6'!#REF!</definedName>
    <definedName name="_rid_Tb1_iNdEx_1" localSheetId="52">'[4]3.6'!#REF!</definedName>
    <definedName name="_rid_Tb1_iNdEx_1" localSheetId="53">'[4]3.6'!#REF!</definedName>
    <definedName name="_rid_Tb1_iNdEx_1" localSheetId="59">'[4]3.6'!#REF!</definedName>
    <definedName name="_rid_Tb1_iNdEx_1" localSheetId="60">'[4]3.6'!#REF!</definedName>
    <definedName name="_rid_Tb1_iNdEx_1" localSheetId="61">'[4]3.6'!#REF!</definedName>
    <definedName name="_rid_Tb1_iNdEx_1" localSheetId="62">'[4]3.6'!#REF!</definedName>
    <definedName name="_rid_Tb1_iNdEx_1" localSheetId="63">'[6]3.6'!#REF!</definedName>
    <definedName name="_rid_Tb1_iNdEx_1" localSheetId="67">'[4]3.6'!#REF!</definedName>
    <definedName name="_rid_Tb1_iNdEx_1" localSheetId="1">'[4]3.6'!#REF!</definedName>
    <definedName name="_rid_Tb1_iNdEx_1">'[4]3.6'!#REF!</definedName>
    <definedName name="fdfdfdf" localSheetId="17">'[7]ST-2SD.ST'!$A$23</definedName>
    <definedName name="fdfdfdf" localSheetId="16">'[7]ST-2SD.ST'!$A$23</definedName>
    <definedName name="fdfdfdf" localSheetId="19">'[7]ST-2SD.ST'!$A$23</definedName>
    <definedName name="fdfdfdf" localSheetId="62">'[7]ST-2SD.ST'!$A$23</definedName>
    <definedName name="fdfdfdf" localSheetId="63">'[8]ST-2SD.ST'!$A$23</definedName>
    <definedName name="fdfdfdf" localSheetId="64">'[9]ST-2SD.ST'!$A$23</definedName>
    <definedName name="fdfdfdf" localSheetId="65">'[9]ST-2SD.ST'!$A$23</definedName>
    <definedName name="fdfdfdf" localSheetId="67">'[7]ST-2SD.ST'!$A$23</definedName>
    <definedName name="fdfdfdf">'[7]ST-2SD.ST'!$A$23</definedName>
    <definedName name="lerik" localSheetId="17">'[7]ST-2SD.ST'!$A$42</definedName>
    <definedName name="lerik" localSheetId="16">'[7]ST-2SD.ST'!$A$42</definedName>
    <definedName name="lerik" localSheetId="19">'[7]ST-2SD.ST'!$A$42</definedName>
    <definedName name="lerik" localSheetId="62">'[7]ST-2SD.ST'!$A$42</definedName>
    <definedName name="lerik" localSheetId="63">'[8]ST-2SD.ST'!$A$42</definedName>
    <definedName name="lerik" localSheetId="64">'[9]ST-2SD.ST'!$A$42</definedName>
    <definedName name="lerik" localSheetId="65">'[9]ST-2SD.ST'!$A$42</definedName>
    <definedName name="lerik" localSheetId="67">'[7]ST-2SD.ST'!$A$42</definedName>
    <definedName name="lerik">'[7]ST-2SD.ST'!$A$42</definedName>
    <definedName name="_xlnm.Print_Area" localSheetId="2">'1.1'!$A$1:$O$291</definedName>
    <definedName name="_xlnm.Print_Area" localSheetId="3">'1.2'!$A$1:$D$24</definedName>
    <definedName name="_xlnm.Print_Area" localSheetId="4">'1.3'!$A$1:$H$288</definedName>
    <definedName name="_xlnm.Print_Area" localSheetId="5">'1.4'!$A$1:$DF$64</definedName>
    <definedName name="_xlnm.Print_Area" localSheetId="6">'1.5'!$A$1:$P$186</definedName>
    <definedName name="_xlnm.Print_Area" localSheetId="7">'1.6'!$A$1:$E$270</definedName>
    <definedName name="_xlnm.Print_Area" localSheetId="8">'1.6.1'!$A$1:$O$272</definedName>
    <definedName name="_xlnm.Print_Area" localSheetId="9">'2.1'!$A$1:$G$285</definedName>
    <definedName name="_xlnm.Print_Area" localSheetId="30">'2.10'!$A$1:$P$42</definedName>
    <definedName name="_xlnm.Print_Area" localSheetId="31">'2.11'!$A$1:$R$285</definedName>
    <definedName name="_xlnm.Print_Area" localSheetId="32">'2.12'!$A$1:$F$284</definedName>
    <definedName name="_xlnm.Print_Area" localSheetId="33">'2.13'!$A$1:$AE$215</definedName>
    <definedName name="_xlnm.Print_Area" localSheetId="34">'2.14'!$A$1:$O$42</definedName>
    <definedName name="_xlnm.Print_Area" localSheetId="35">'2.15'!$A$1:$H$90</definedName>
    <definedName name="_xlnm.Print_Area" localSheetId="36">'2.16'!$A$1:$AO$294</definedName>
    <definedName name="_xlnm.Print_Area" localSheetId="37">'2.16.1'!$A$1:$O$80</definedName>
    <definedName name="_xlnm.Print_Area" localSheetId="10">'2.2'!$A$1:$F$284</definedName>
    <definedName name="_xlnm.Print_Area" localSheetId="11">'2.3'!$A$1:$G$285</definedName>
    <definedName name="_xlnm.Print_Area" localSheetId="12">'2.4'!$A$1:$M$294</definedName>
    <definedName name="_xlnm.Print_Area" localSheetId="13">'2.5'!$A$1:$G$286</definedName>
    <definedName name="_xlnm.Print_Area" localSheetId="14">'2.6'!$A$1:$L$285</definedName>
    <definedName name="_xlnm.Print_Area" localSheetId="15">'2.7'!$A$1:$O$288</definedName>
    <definedName name="_xlnm.Print_Area" localSheetId="17">'2.7.1'!$A$1:$H$95</definedName>
    <definedName name="_xlnm.Print_Area" localSheetId="16">'2.7.d.'!$A$1:$V$86</definedName>
    <definedName name="_xlnm.Print_Area" localSheetId="18">'2.8'!$A$1:$AI$288</definedName>
    <definedName name="_xlnm.Print_Area" localSheetId="20">'2.8.1'!$A$1:$EU$51</definedName>
    <definedName name="_xlnm.Print_Area" localSheetId="21">'2.8.2'!$A$1:$EU$36</definedName>
    <definedName name="_xlnm.Print_Area" localSheetId="22">'2.8.3'!$A$1:$EV$36</definedName>
    <definedName name="_xlnm.Print_Area" localSheetId="23">'2.8.4'!$A$1:$EU$36</definedName>
    <definedName name="_xlnm.Print_Area" localSheetId="24">'2.8.5'!$A$1:$EU$36</definedName>
    <definedName name="_xlnm.Print_Area" localSheetId="25">'2.8.6'!$A$1:$EU$36</definedName>
    <definedName name="_xlnm.Print_Area" localSheetId="26">'2.8.7'!$A$1:$EU$36</definedName>
    <definedName name="_xlnm.Print_Area" localSheetId="27">'2.8.8'!$A$1:$EU$36</definedName>
    <definedName name="_xlnm.Print_Area" localSheetId="28">'2.8.9'!$A$1:$EU$36</definedName>
    <definedName name="_xlnm.Print_Area" localSheetId="19">'2.8.d.'!$A$1:$AG$85</definedName>
    <definedName name="_xlnm.Print_Area" localSheetId="29">'2.9'!$A$1:$I$217</definedName>
    <definedName name="_xlnm.Print_Area" localSheetId="38">'3.1 '!$A$1:$P$293</definedName>
    <definedName name="_xlnm.Print_Area" localSheetId="39">'3.2'!$B$1:$AE$760</definedName>
    <definedName name="_xlnm.Print_Area" localSheetId="40">'3.2.1'!$A$1:$E$242</definedName>
    <definedName name="_xlnm.Print_Area" localSheetId="41">'3.3 '!$A$1:$L$1216</definedName>
    <definedName name="_xlnm.Print_Area" localSheetId="42">'3.4'!$A$1:$L$1042</definedName>
    <definedName name="_xlnm.Print_Area" localSheetId="43">'3.5'!$A$1:$I$288</definedName>
    <definedName name="_xlnm.Print_Area" localSheetId="44">'3.6'!$A$1:$M$295</definedName>
    <definedName name="_xlnm.Print_Area" localSheetId="45">'4.1'!$A$1:$J$286</definedName>
    <definedName name="_xlnm.Print_Area" localSheetId="54">'4.10'!$A$1:$G$71</definedName>
    <definedName name="_xlnm.Print_Area" localSheetId="46">'4.2'!$A$1:$BN$29</definedName>
    <definedName name="_xlnm.Print_Area" localSheetId="47">'4.3'!$A$1:$M$242</definedName>
    <definedName name="_xlnm.Print_Area" localSheetId="48">'4.4'!$A$1:$F$28</definedName>
    <definedName name="_xlnm.Print_Area" localSheetId="50">'4.6'!$A$1:$O$214</definedName>
    <definedName name="_xlnm.Print_Area" localSheetId="51">'4.7'!$A$1:$P$218</definedName>
    <definedName name="_xlnm.Print_Area" localSheetId="52">'4.8'!$A$1:$D$25</definedName>
    <definedName name="_xlnm.Print_Area" localSheetId="53">'4.9'!$A$1:$G$283</definedName>
    <definedName name="_xlnm.Print_Area" localSheetId="55">'5.1'!$A$1:$CE$22</definedName>
    <definedName name="_xlnm.Print_Area" localSheetId="56">'5.2'!$A$1:$ED$52</definedName>
    <definedName name="_xlnm.Print_Area" localSheetId="57">'5.3'!$A$1:$BP$34</definedName>
    <definedName name="_xlnm.Print_Area" localSheetId="58">'5.4'!$A$1:$BP$13</definedName>
    <definedName name="_xlnm.Print_Area" localSheetId="59">'5.5'!$A$1:$AR$10</definedName>
    <definedName name="_xlnm.Print_Area" localSheetId="60">'5.6'!$A$1:$AR$17</definedName>
    <definedName name="_xlnm.Print_Area" localSheetId="61">'5.7'!$A$1:$AA$13</definedName>
    <definedName name="_xlnm.Print_Area" localSheetId="62">'5.8'!$A$1:$T$17</definedName>
    <definedName name="_xlnm.Print_Area" localSheetId="63">'5.9'!$A$1:$K$8</definedName>
    <definedName name="_xlnm.Print_Area" localSheetId="64">'6.1'!$A$1:$HS$44</definedName>
    <definedName name="_xlnm.Print_Area" localSheetId="65">'6.2'!$A$1:$GV$62</definedName>
    <definedName name="_xlnm.Print_Area" localSheetId="66">'7'!$A$1:$W$154</definedName>
    <definedName name="_xlnm.Print_Area" localSheetId="67">'8'!$A$1:$M$24</definedName>
    <definedName name="_xlnm.Print_Area" localSheetId="0">Mündəricat!$A$1:$B$71</definedName>
    <definedName name="_xlnm.Print_Area" localSheetId="1">'Table of contents'!$A$1:$B$71</definedName>
    <definedName name="_xlnm.Print_Titles" localSheetId="33">'2.13'!$A:$A,'2.13'!$2:$3</definedName>
    <definedName name="_xlnm.Print_Titles" localSheetId="18">'2.8'!$A:$A,'2.8'!$2:$3</definedName>
    <definedName name="_xlnm.Print_Titles" localSheetId="19">'2.8.d.'!$A:$A,'2.8.d.'!$2:$3</definedName>
    <definedName name="_xlnm.Print_Titles" localSheetId="49">'4.5'!$A:$A</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80" i="217" l="1"/>
  <c r="G281" i="217"/>
  <c r="D280" i="217"/>
  <c r="D281" i="217"/>
  <c r="J280" i="209" l="1"/>
  <c r="J281" i="209"/>
  <c r="G280" i="209"/>
  <c r="G281" i="209"/>
  <c r="D280" i="209"/>
  <c r="D281" i="209"/>
  <c r="J288" i="86" l="1"/>
  <c r="I288" i="86"/>
  <c r="J289" i="86"/>
  <c r="I289" i="86"/>
  <c r="J290" i="86"/>
  <c r="I290" i="86"/>
  <c r="J291" i="86"/>
  <c r="I291" i="86"/>
  <c r="P184" i="236"/>
  <c r="O184" i="236"/>
  <c r="O183" i="236" s="1"/>
  <c r="M184" i="236"/>
  <c r="K184" i="236"/>
  <c r="H184" i="236"/>
  <c r="I184" i="236" s="1"/>
  <c r="G184" i="236"/>
  <c r="E184" i="236"/>
  <c r="B184" i="236"/>
  <c r="C183" i="236" s="1"/>
  <c r="P183" i="236"/>
  <c r="M183" i="236"/>
  <c r="L183" i="236"/>
  <c r="K183" i="236"/>
  <c r="J183" i="236"/>
  <c r="I183" i="236"/>
  <c r="H183" i="236"/>
  <c r="G183" i="236"/>
  <c r="F183" i="236"/>
  <c r="E183" i="236"/>
  <c r="D183" i="236"/>
  <c r="P181" i="236"/>
  <c r="O181" i="236"/>
  <c r="M181" i="236"/>
  <c r="K181" i="236"/>
  <c r="H181" i="236"/>
  <c r="I181" i="236" s="1"/>
  <c r="G181" i="236"/>
  <c r="E181" i="236"/>
  <c r="C181" i="236"/>
  <c r="B181" i="236"/>
  <c r="N181" i="236" s="1"/>
  <c r="P180" i="236"/>
  <c r="O180" i="236"/>
  <c r="M180" i="236"/>
  <c r="K180" i="236"/>
  <c r="H180" i="236"/>
  <c r="I180" i="236" s="1"/>
  <c r="G180" i="236"/>
  <c r="E180" i="236"/>
  <c r="B180" i="236"/>
  <c r="N180" i="236" s="1"/>
  <c r="P179" i="236"/>
  <c r="O179" i="236"/>
  <c r="M179" i="236"/>
  <c r="K179" i="236"/>
  <c r="H179" i="236"/>
  <c r="I179" i="236" s="1"/>
  <c r="G179" i="236"/>
  <c r="E179" i="236"/>
  <c r="B179" i="236"/>
  <c r="N179" i="236" s="1"/>
  <c r="P178" i="236"/>
  <c r="P177" i="236" s="1"/>
  <c r="O178" i="236"/>
  <c r="M178" i="236"/>
  <c r="K178" i="236"/>
  <c r="H178" i="236"/>
  <c r="I178" i="236" s="1"/>
  <c r="G178" i="236"/>
  <c r="E178" i="236"/>
  <c r="B178" i="236"/>
  <c r="B177" i="236" s="1"/>
  <c r="O177" i="236"/>
  <c r="M177" i="236"/>
  <c r="L177" i="236"/>
  <c r="K177" i="236"/>
  <c r="J177" i="236"/>
  <c r="G177" i="236"/>
  <c r="F177" i="236"/>
  <c r="E177" i="236"/>
  <c r="D177" i="236"/>
  <c r="C177" i="236"/>
  <c r="C180" i="236" l="1"/>
  <c r="C179" i="236"/>
  <c r="C184" i="236"/>
  <c r="C178" i="236"/>
  <c r="H177" i="236"/>
  <c r="I177" i="236"/>
  <c r="N178" i="236"/>
  <c r="N177" i="236" s="1"/>
  <c r="B183" i="236"/>
  <c r="N184" i="236"/>
  <c r="N183" i="236" s="1"/>
  <c r="DB60" i="250" l="1"/>
  <c r="L60" i="250"/>
  <c r="J60" i="250"/>
  <c r="GA56" i="250"/>
  <c r="GA54" i="250" s="1"/>
  <c r="GA50" i="250" s="1"/>
  <c r="GK55" i="250"/>
  <c r="GK54" i="250" s="1"/>
  <c r="GK50" i="250" s="1"/>
  <c r="GI55" i="250"/>
  <c r="GG55" i="250"/>
  <c r="GG54" i="250" s="1"/>
  <c r="GG50" i="250" s="1"/>
  <c r="GE55" i="250"/>
  <c r="GE54" i="250" s="1"/>
  <c r="GE50" i="250" s="1"/>
  <c r="GC55" i="250"/>
  <c r="GA55" i="250"/>
  <c r="FY55" i="250"/>
  <c r="FW55" i="250"/>
  <c r="FW54" i="250" s="1"/>
  <c r="FW50" i="250" s="1"/>
  <c r="GU54" i="250"/>
  <c r="GT54" i="250"/>
  <c r="GT50" i="250" s="1"/>
  <c r="GS54" i="250"/>
  <c r="GR54" i="250"/>
  <c r="GR50" i="250" s="1"/>
  <c r="GQ54" i="250"/>
  <c r="GQ50" i="250" s="1"/>
  <c r="GP54" i="250"/>
  <c r="GO54" i="250"/>
  <c r="GN54" i="250"/>
  <c r="GN50" i="250" s="1"/>
  <c r="GM54" i="250"/>
  <c r="GL54" i="250"/>
  <c r="GJ54" i="250"/>
  <c r="GJ50" i="250" s="1"/>
  <c r="GI54" i="250"/>
  <c r="GH54" i="250"/>
  <c r="GF54" i="250"/>
  <c r="GF50" i="250" s="1"/>
  <c r="GD54" i="250"/>
  <c r="GC54" i="250"/>
  <c r="GC50" i="250" s="1"/>
  <c r="GB54" i="250"/>
  <c r="GB50" i="250" s="1"/>
  <c r="FZ54" i="250"/>
  <c r="FY54" i="250"/>
  <c r="FY50" i="250" s="1"/>
  <c r="FX54" i="250"/>
  <c r="FX50" i="250" s="1"/>
  <c r="FV54" i="250"/>
  <c r="FU54" i="250"/>
  <c r="FT54" i="250"/>
  <c r="FS54" i="250"/>
  <c r="FR54" i="250"/>
  <c r="FQ54" i="250"/>
  <c r="FQ50" i="250" s="1"/>
  <c r="FP54" i="250"/>
  <c r="FP50" i="250" s="1"/>
  <c r="FO54" i="250"/>
  <c r="FN54" i="250"/>
  <c r="FM54" i="250"/>
  <c r="FM50" i="250" s="1"/>
  <c r="FL54" i="250"/>
  <c r="FL50" i="250" s="1"/>
  <c r="FK54" i="250"/>
  <c r="FK50" i="250" s="1"/>
  <c r="FJ54" i="250"/>
  <c r="FI54" i="250"/>
  <c r="FH54" i="250"/>
  <c r="FG54" i="250"/>
  <c r="FF54" i="250"/>
  <c r="FE54" i="250"/>
  <c r="FD54" i="250"/>
  <c r="FD50" i="250" s="1"/>
  <c r="FC54" i="250"/>
  <c r="FB54" i="250"/>
  <c r="FA54" i="250"/>
  <c r="FA50" i="250" s="1"/>
  <c r="EZ54" i="250"/>
  <c r="EZ50" i="250" s="1"/>
  <c r="EY54" i="250"/>
  <c r="EY50" i="250" s="1"/>
  <c r="EX54" i="250"/>
  <c r="EW54" i="250"/>
  <c r="EV54" i="250"/>
  <c r="EV50" i="250" s="1"/>
  <c r="EU54" i="250"/>
  <c r="EU50" i="250" s="1"/>
  <c r="ET54" i="250"/>
  <c r="ES54" i="250"/>
  <c r="ES50" i="250" s="1"/>
  <c r="ER54" i="250"/>
  <c r="ER50" i="250" s="1"/>
  <c r="EQ54" i="250"/>
  <c r="EP54" i="250"/>
  <c r="EO54" i="250"/>
  <c r="EO50" i="250" s="1"/>
  <c r="EN54" i="250"/>
  <c r="EN50" i="250" s="1"/>
  <c r="EM54" i="250"/>
  <c r="EM50" i="250" s="1"/>
  <c r="EL54" i="250"/>
  <c r="EK54" i="250"/>
  <c r="EJ54" i="250"/>
  <c r="EJ50" i="250" s="1"/>
  <c r="EI54" i="250"/>
  <c r="EI50" i="250" s="1"/>
  <c r="EH54" i="250"/>
  <c r="EG54" i="250"/>
  <c r="EG50" i="250" s="1"/>
  <c r="EF54" i="250"/>
  <c r="EF50" i="250" s="1"/>
  <c r="EE54" i="250"/>
  <c r="ED54" i="250"/>
  <c r="EC54" i="250"/>
  <c r="EC50" i="250" s="1"/>
  <c r="EB54" i="250"/>
  <c r="EB50" i="250" s="1"/>
  <c r="EA54" i="250"/>
  <c r="DZ54" i="250"/>
  <c r="DY54" i="250"/>
  <c r="DX54" i="250"/>
  <c r="DW54" i="250"/>
  <c r="DV54" i="250"/>
  <c r="DU54" i="250"/>
  <c r="DU50" i="250" s="1"/>
  <c r="DT54" i="250"/>
  <c r="DT50" i="250" s="1"/>
  <c r="DS54" i="250"/>
  <c r="DR54" i="250"/>
  <c r="DQ54" i="250"/>
  <c r="DQ50" i="250" s="1"/>
  <c r="DP54" i="250"/>
  <c r="DP50" i="250" s="1"/>
  <c r="DO54" i="250"/>
  <c r="DO50" i="250" s="1"/>
  <c r="DN54" i="250"/>
  <c r="DM54" i="250"/>
  <c r="DL54" i="250"/>
  <c r="DK54" i="250"/>
  <c r="DJ54" i="250"/>
  <c r="DI54" i="250"/>
  <c r="DH54" i="250"/>
  <c r="DH50" i="250" s="1"/>
  <c r="DG54" i="250"/>
  <c r="DF54" i="250"/>
  <c r="DE54" i="250"/>
  <c r="DE50" i="250" s="1"/>
  <c r="DD54" i="250"/>
  <c r="DD50" i="250" s="1"/>
  <c r="DC54" i="250"/>
  <c r="DC50" i="250" s="1"/>
  <c r="DB54" i="250"/>
  <c r="DA54" i="250"/>
  <c r="CZ54" i="250"/>
  <c r="CZ50" i="250" s="1"/>
  <c r="CY54" i="250"/>
  <c r="CY50" i="250" s="1"/>
  <c r="CX54" i="250"/>
  <c r="CW54" i="250"/>
  <c r="CW50" i="250" s="1"/>
  <c r="CV54" i="250"/>
  <c r="CV50" i="250" s="1"/>
  <c r="CU54" i="250"/>
  <c r="CT54" i="250"/>
  <c r="CS54" i="250"/>
  <c r="CS50" i="250" s="1"/>
  <c r="CR54" i="250"/>
  <c r="CR50" i="250" s="1"/>
  <c r="CQ54" i="250"/>
  <c r="CQ50" i="250" s="1"/>
  <c r="CP54" i="250"/>
  <c r="CO54" i="250"/>
  <c r="CN54" i="250"/>
  <c r="CN50" i="250" s="1"/>
  <c r="CM54" i="250"/>
  <c r="CM50" i="250" s="1"/>
  <c r="CL54" i="250"/>
  <c r="CK54" i="250"/>
  <c r="CK50" i="250" s="1"/>
  <c r="CJ54" i="250"/>
  <c r="CJ50" i="250" s="1"/>
  <c r="CI54" i="250"/>
  <c r="CH54" i="250"/>
  <c r="CG54" i="250"/>
  <c r="CG50" i="250" s="1"/>
  <c r="CF54" i="250"/>
  <c r="CF50" i="250" s="1"/>
  <c r="CE54" i="250"/>
  <c r="CE50" i="250" s="1"/>
  <c r="CD54" i="250"/>
  <c r="CC54" i="250"/>
  <c r="CB54" i="250"/>
  <c r="CA54" i="250"/>
  <c r="BZ54" i="250"/>
  <c r="BY54" i="250"/>
  <c r="BY50" i="250" s="1"/>
  <c r="BX54" i="250"/>
  <c r="BX50" i="250" s="1"/>
  <c r="BW54" i="250"/>
  <c r="BV54" i="250"/>
  <c r="BU54" i="250"/>
  <c r="BU50" i="250" s="1"/>
  <c r="BT54" i="250"/>
  <c r="BT50" i="250" s="1"/>
  <c r="BS54" i="250"/>
  <c r="BS50" i="250" s="1"/>
  <c r="BR54" i="250"/>
  <c r="BQ54" i="250"/>
  <c r="BP54" i="250"/>
  <c r="BO54" i="250"/>
  <c r="BN54" i="250"/>
  <c r="BM54" i="250"/>
  <c r="BL54" i="250"/>
  <c r="BL50" i="250" s="1"/>
  <c r="BK54" i="250"/>
  <c r="BJ54" i="250"/>
  <c r="BI54" i="250"/>
  <c r="BI50" i="250" s="1"/>
  <c r="BH54" i="250"/>
  <c r="BH50" i="250" s="1"/>
  <c r="BG54" i="250"/>
  <c r="BG50" i="250" s="1"/>
  <c r="BF54" i="250"/>
  <c r="BE54" i="250"/>
  <c r="BD54" i="250"/>
  <c r="BD50" i="250" s="1"/>
  <c r="BC54" i="250"/>
  <c r="BC50" i="250" s="1"/>
  <c r="BB54" i="250"/>
  <c r="BA54" i="250"/>
  <c r="AZ54" i="250"/>
  <c r="AZ50" i="250" s="1"/>
  <c r="AY54" i="250"/>
  <c r="AX54" i="250"/>
  <c r="AW54" i="250"/>
  <c r="AW50" i="250" s="1"/>
  <c r="AV54" i="250"/>
  <c r="AV50" i="250" s="1"/>
  <c r="AU54" i="250"/>
  <c r="AU50" i="250" s="1"/>
  <c r="AT54" i="250"/>
  <c r="AS54" i="250"/>
  <c r="AR54" i="250"/>
  <c r="AR50" i="250" s="1"/>
  <c r="AQ54" i="250"/>
  <c r="AQ50" i="250" s="1"/>
  <c r="AP54" i="250"/>
  <c r="AO54" i="250"/>
  <c r="AO50" i="250" s="1"/>
  <c r="AN54" i="250"/>
  <c r="AN50" i="250" s="1"/>
  <c r="AM54" i="250"/>
  <c r="AL54" i="250"/>
  <c r="AK54" i="250"/>
  <c r="AK50" i="250" s="1"/>
  <c r="AJ54" i="250"/>
  <c r="AJ50" i="250" s="1"/>
  <c r="AI54" i="250"/>
  <c r="AH54" i="250"/>
  <c r="AG54" i="250"/>
  <c r="AF54" i="250"/>
  <c r="AE54" i="250"/>
  <c r="AD54" i="250"/>
  <c r="AC54" i="250"/>
  <c r="AC50" i="250" s="1"/>
  <c r="AB54" i="250"/>
  <c r="AB50" i="250" s="1"/>
  <c r="AA54" i="250"/>
  <c r="Z54" i="250"/>
  <c r="Y54" i="250"/>
  <c r="Y50" i="250" s="1"/>
  <c r="X54" i="250"/>
  <c r="X50" i="250" s="1"/>
  <c r="W54" i="250"/>
  <c r="W50" i="250" s="1"/>
  <c r="V54" i="250"/>
  <c r="U54" i="250"/>
  <c r="T54" i="250"/>
  <c r="S54" i="250"/>
  <c r="R54" i="250"/>
  <c r="Q54" i="250"/>
  <c r="P54" i="250"/>
  <c r="P50" i="250" s="1"/>
  <c r="O54" i="250"/>
  <c r="N54" i="250"/>
  <c r="M54" i="250"/>
  <c r="M50" i="250" s="1"/>
  <c r="L54" i="250"/>
  <c r="L50" i="250" s="1"/>
  <c r="K54" i="250"/>
  <c r="K50" i="250" s="1"/>
  <c r="J54" i="250"/>
  <c r="I54" i="250"/>
  <c r="H54" i="250"/>
  <c r="H50" i="250" s="1"/>
  <c r="G54" i="250"/>
  <c r="G50" i="250" s="1"/>
  <c r="F54" i="250"/>
  <c r="E54" i="250"/>
  <c r="E50" i="250" s="1"/>
  <c r="D54" i="250"/>
  <c r="D50" i="250" s="1"/>
  <c r="C54" i="250"/>
  <c r="B54" i="250"/>
  <c r="GU50" i="250"/>
  <c r="GS50" i="250"/>
  <c r="GP50" i="250"/>
  <c r="GO50" i="250"/>
  <c r="GM50" i="250"/>
  <c r="GL50" i="250"/>
  <c r="GI50" i="250"/>
  <c r="GH50" i="250"/>
  <c r="GD50" i="250"/>
  <c r="FZ50" i="250"/>
  <c r="FV50" i="250"/>
  <c r="FU50" i="250"/>
  <c r="FT50" i="250"/>
  <c r="FS50" i="250"/>
  <c r="FR50" i="250"/>
  <c r="FO50" i="250"/>
  <c r="FN50" i="250"/>
  <c r="FJ50" i="250"/>
  <c r="FI50" i="250"/>
  <c r="FH50" i="250"/>
  <c r="FG50" i="250"/>
  <c r="FF50" i="250"/>
  <c r="FE50" i="250"/>
  <c r="FC50" i="250"/>
  <c r="FB50" i="250"/>
  <c r="EX50" i="250"/>
  <c r="EW50" i="250"/>
  <c r="ET50" i="250"/>
  <c r="EQ50" i="250"/>
  <c r="EP50" i="250"/>
  <c r="EL50" i="250"/>
  <c r="EK50" i="250"/>
  <c r="EH50" i="250"/>
  <c r="EE50" i="250"/>
  <c r="ED50" i="250"/>
  <c r="EA50" i="250"/>
  <c r="DZ50" i="250"/>
  <c r="DY50" i="250"/>
  <c r="DX50" i="250"/>
  <c r="DW50" i="250"/>
  <c r="DV50" i="250"/>
  <c r="DS50" i="250"/>
  <c r="DR50" i="250"/>
  <c r="DN50" i="250"/>
  <c r="DM50" i="250"/>
  <c r="DL50" i="250"/>
  <c r="DK50" i="250"/>
  <c r="DJ50" i="250"/>
  <c r="DI50" i="250"/>
  <c r="DG50" i="250"/>
  <c r="DF50" i="250"/>
  <c r="DB50" i="250"/>
  <c r="DA50" i="250"/>
  <c r="CX50" i="250"/>
  <c r="CU50" i="250"/>
  <c r="CT50" i="250"/>
  <c r="CP50" i="250"/>
  <c r="CO50" i="250"/>
  <c r="CL50" i="250"/>
  <c r="CI50" i="250"/>
  <c r="CH50" i="250"/>
  <c r="CD50" i="250"/>
  <c r="CC50" i="250"/>
  <c r="CB50" i="250"/>
  <c r="CA50" i="250"/>
  <c r="BZ50" i="250"/>
  <c r="BW50" i="250"/>
  <c r="BV50" i="250"/>
  <c r="BR50" i="250"/>
  <c r="BQ50" i="250"/>
  <c r="BP50" i="250"/>
  <c r="BO50" i="250"/>
  <c r="BN50" i="250"/>
  <c r="BM50" i="250"/>
  <c r="BK50" i="250"/>
  <c r="BJ50" i="250"/>
  <c r="BF50" i="250"/>
  <c r="BE50" i="250"/>
  <c r="BB50" i="250"/>
  <c r="BA50" i="250"/>
  <c r="AY50" i="250"/>
  <c r="AX50" i="250"/>
  <c r="AT50" i="250"/>
  <c r="AS50" i="250"/>
  <c r="AP50" i="250"/>
  <c r="AM50" i="250"/>
  <c r="AL50" i="250"/>
  <c r="AI50" i="250"/>
  <c r="AH50" i="250"/>
  <c r="AG50" i="250"/>
  <c r="AF50" i="250"/>
  <c r="AE50" i="250"/>
  <c r="AD50" i="250"/>
  <c r="AA50" i="250"/>
  <c r="Z50" i="250"/>
  <c r="V50" i="250"/>
  <c r="U50" i="250"/>
  <c r="T50" i="250"/>
  <c r="S50" i="250"/>
  <c r="R50" i="250"/>
  <c r="Q50" i="250"/>
  <c r="O50" i="250"/>
  <c r="N50" i="250"/>
  <c r="J50" i="250"/>
  <c r="I50" i="250"/>
  <c r="F50" i="250"/>
  <c r="C50" i="250"/>
  <c r="B50" i="250"/>
  <c r="GU36" i="250"/>
  <c r="GT36" i="250"/>
  <c r="GS36" i="250"/>
  <c r="GR36" i="250"/>
  <c r="GQ36" i="250"/>
  <c r="GP36" i="250"/>
  <c r="GO36" i="250"/>
  <c r="GN36" i="250"/>
  <c r="GM36" i="250"/>
  <c r="GL36" i="250"/>
  <c r="GK36" i="250"/>
  <c r="GJ36" i="250"/>
  <c r="GI36" i="250"/>
  <c r="GH36" i="250"/>
  <c r="GG36" i="250"/>
  <c r="GF36" i="250"/>
  <c r="GE36" i="250"/>
  <c r="GD36" i="250"/>
  <c r="GC36" i="250"/>
  <c r="GB36" i="250"/>
  <c r="GA36" i="250"/>
  <c r="FZ36" i="250"/>
  <c r="FY36" i="250"/>
  <c r="FX36" i="250"/>
  <c r="FW36" i="250"/>
  <c r="FV36" i="250"/>
  <c r="FU36" i="250"/>
  <c r="FT36" i="250"/>
  <c r="FS36" i="250"/>
  <c r="FR36" i="250"/>
  <c r="FQ36" i="250"/>
  <c r="FP36" i="250"/>
  <c r="FO36" i="250"/>
  <c r="FN36" i="250"/>
  <c r="FM36" i="250"/>
  <c r="FL36" i="250"/>
  <c r="FK36" i="250"/>
  <c r="FJ36" i="250"/>
  <c r="FI36" i="250"/>
  <c r="FH36" i="250"/>
  <c r="FG36" i="250"/>
  <c r="FF36" i="250"/>
  <c r="FE36" i="250"/>
  <c r="FD36" i="250"/>
  <c r="FC36" i="250"/>
  <c r="FB36" i="250"/>
  <c r="FA36" i="250"/>
  <c r="EZ36" i="250"/>
  <c r="EY36" i="250"/>
  <c r="EX36" i="250"/>
  <c r="EW36" i="250"/>
  <c r="EV36" i="250"/>
  <c r="EU36" i="250"/>
  <c r="ET36" i="250"/>
  <c r="ES36" i="250"/>
  <c r="ER36" i="250"/>
  <c r="EQ36" i="250"/>
  <c r="EP36" i="250"/>
  <c r="EO36" i="250"/>
  <c r="EN36" i="250"/>
  <c r="EM36" i="250"/>
  <c r="EL36" i="250"/>
  <c r="EK36" i="250"/>
  <c r="EJ36" i="250"/>
  <c r="EI36" i="250"/>
  <c r="EH36" i="250"/>
  <c r="EG36" i="250"/>
  <c r="EF36" i="250"/>
  <c r="EE36" i="250"/>
  <c r="ED36" i="250"/>
  <c r="EC36" i="250"/>
  <c r="EB36" i="250"/>
  <c r="EA36" i="250"/>
  <c r="DZ36" i="250"/>
  <c r="DY36" i="250"/>
  <c r="DX36" i="250"/>
  <c r="DW36" i="250"/>
  <c r="DV36" i="250"/>
  <c r="DU36" i="250"/>
  <c r="DT36" i="250"/>
  <c r="DS36" i="250"/>
  <c r="DR36" i="250"/>
  <c r="DQ36" i="250"/>
  <c r="DP36" i="250"/>
  <c r="DO36" i="250"/>
  <c r="DN36" i="250"/>
  <c r="DM36" i="250"/>
  <c r="DL36" i="250"/>
  <c r="DK36" i="250"/>
  <c r="DJ36" i="250"/>
  <c r="DI36" i="250"/>
  <c r="DH36" i="250"/>
  <c r="DG36" i="250"/>
  <c r="DF36" i="250"/>
  <c r="DE36" i="250"/>
  <c r="DD36" i="250"/>
  <c r="DC36" i="250"/>
  <c r="DB36" i="250"/>
  <c r="DA36" i="250"/>
  <c r="CZ36" i="250"/>
  <c r="CY36" i="250"/>
  <c r="CX36" i="250"/>
  <c r="CW36" i="250"/>
  <c r="CV36" i="250"/>
  <c r="CU36" i="250"/>
  <c r="CT36" i="250"/>
  <c r="CS36" i="250"/>
  <c r="CR36" i="250"/>
  <c r="CQ36" i="250"/>
  <c r="CP36" i="250"/>
  <c r="CO36" i="250"/>
  <c r="CN36" i="250"/>
  <c r="CM36" i="250"/>
  <c r="CL36" i="250"/>
  <c r="CK36" i="250"/>
  <c r="CJ36" i="250"/>
  <c r="CI36" i="250"/>
  <c r="CH36" i="250"/>
  <c r="CG36" i="250"/>
  <c r="CF36" i="250"/>
  <c r="CE36" i="250"/>
  <c r="CD36" i="250"/>
  <c r="CC36" i="250"/>
  <c r="CB36" i="250"/>
  <c r="CA36" i="250"/>
  <c r="BZ36" i="250"/>
  <c r="BY36" i="250"/>
  <c r="BX36" i="250"/>
  <c r="BW36" i="250"/>
  <c r="BV36" i="250"/>
  <c r="BU36" i="250"/>
  <c r="BT36" i="250"/>
  <c r="BS36" i="250"/>
  <c r="BR36" i="250"/>
  <c r="BQ36" i="250"/>
  <c r="BP36" i="250"/>
  <c r="BO36" i="250"/>
  <c r="BN36" i="250"/>
  <c r="BM36" i="250"/>
  <c r="BL36" i="250"/>
  <c r="BK36" i="250"/>
  <c r="BJ36" i="250"/>
  <c r="BI36" i="250"/>
  <c r="BH36" i="250"/>
  <c r="BG36" i="250"/>
  <c r="BF36" i="250"/>
  <c r="BE36" i="250"/>
  <c r="BD36" i="250"/>
  <c r="BC36" i="250"/>
  <c r="BB36" i="250"/>
  <c r="BA36" i="250"/>
  <c r="AZ36" i="250"/>
  <c r="AY36" i="250"/>
  <c r="AX36" i="250"/>
  <c r="AW36" i="250"/>
  <c r="AV36" i="250"/>
  <c r="AU36" i="250"/>
  <c r="AT36" i="250"/>
  <c r="AS36" i="250"/>
  <c r="AR36" i="250"/>
  <c r="AQ36" i="250"/>
  <c r="AP36" i="250"/>
  <c r="AO36" i="250"/>
  <c r="AN36" i="250"/>
  <c r="AM36" i="250"/>
  <c r="AL36" i="250"/>
  <c r="AK36" i="250"/>
  <c r="AJ36" i="250"/>
  <c r="AI36" i="250"/>
  <c r="AH36" i="250"/>
  <c r="AG36" i="250"/>
  <c r="AF36" i="250"/>
  <c r="AE36" i="250"/>
  <c r="AD36" i="250"/>
  <c r="AC36" i="250"/>
  <c r="AB36" i="250"/>
  <c r="AA36" i="250"/>
  <c r="Z36" i="250"/>
  <c r="Y36" i="250"/>
  <c r="X36" i="250"/>
  <c r="W36" i="250"/>
  <c r="V36" i="250"/>
  <c r="U36" i="250"/>
  <c r="T36" i="250"/>
  <c r="S36" i="250"/>
  <c r="R36" i="250"/>
  <c r="Q36" i="250"/>
  <c r="P36" i="250"/>
  <c r="O36" i="250"/>
  <c r="N36" i="250"/>
  <c r="M36" i="250"/>
  <c r="L36" i="250"/>
  <c r="K36" i="250"/>
  <c r="J36" i="250"/>
  <c r="I36" i="250"/>
  <c r="H36" i="250"/>
  <c r="G36" i="250"/>
  <c r="F36" i="250"/>
  <c r="E36" i="250"/>
  <c r="D36" i="250"/>
  <c r="C36" i="250"/>
  <c r="B36" i="250"/>
  <c r="GA27" i="250"/>
  <c r="GA26" i="250"/>
  <c r="GA24" i="250" s="1"/>
  <c r="GA23" i="250" s="1"/>
  <c r="GU24" i="250"/>
  <c r="GT24" i="250"/>
  <c r="GS24" i="250"/>
  <c r="GS23" i="250" s="1"/>
  <c r="GR24" i="250"/>
  <c r="GR23" i="250" s="1"/>
  <c r="GR18" i="250" s="1"/>
  <c r="GQ24" i="250"/>
  <c r="GP24" i="250"/>
  <c r="GP23" i="250" s="1"/>
  <c r="GO24" i="250"/>
  <c r="GN24" i="250"/>
  <c r="GN23" i="250" s="1"/>
  <c r="GM24" i="250"/>
  <c r="GL24" i="250"/>
  <c r="GK24" i="250"/>
  <c r="GK23" i="250" s="1"/>
  <c r="GJ24" i="250"/>
  <c r="GJ23" i="250" s="1"/>
  <c r="GI24" i="250"/>
  <c r="GH24" i="250"/>
  <c r="GG24" i="250"/>
  <c r="GG23" i="250" s="1"/>
  <c r="GG18" i="250" s="1"/>
  <c r="GG11" i="250" s="1"/>
  <c r="GG60" i="250" s="1"/>
  <c r="GF24" i="250"/>
  <c r="GF23" i="250" s="1"/>
  <c r="GF18" i="250" s="1"/>
  <c r="GE24" i="250"/>
  <c r="GD24" i="250"/>
  <c r="GD23" i="250" s="1"/>
  <c r="GC24" i="250"/>
  <c r="GB24" i="250"/>
  <c r="FZ24" i="250"/>
  <c r="FY24" i="250"/>
  <c r="FX24" i="250"/>
  <c r="FX23" i="250" s="1"/>
  <c r="FX18" i="250" s="1"/>
  <c r="FW24" i="250"/>
  <c r="FW23" i="250" s="1"/>
  <c r="FV24" i="250"/>
  <c r="FU24" i="250"/>
  <c r="FT24" i="250"/>
  <c r="FT23" i="250" s="1"/>
  <c r="FT18" i="250" s="1"/>
  <c r="FS24" i="250"/>
  <c r="FR24" i="250"/>
  <c r="FQ24" i="250"/>
  <c r="FP24" i="250"/>
  <c r="FO24" i="250"/>
  <c r="FN24" i="250"/>
  <c r="FM24" i="250"/>
  <c r="FM23" i="250" s="1"/>
  <c r="FM18" i="250" s="1"/>
  <c r="FM11" i="250" s="1"/>
  <c r="FM60" i="250" s="1"/>
  <c r="FL24" i="250"/>
  <c r="FL23" i="250" s="1"/>
  <c r="FL18" i="250" s="1"/>
  <c r="FK24" i="250"/>
  <c r="FK23" i="250" s="1"/>
  <c r="FJ24" i="250"/>
  <c r="FI24" i="250"/>
  <c r="FI23" i="250" s="1"/>
  <c r="FH24" i="250"/>
  <c r="FH23" i="250" s="1"/>
  <c r="FH18" i="250" s="1"/>
  <c r="FG24" i="250"/>
  <c r="FF24" i="250"/>
  <c r="FE24" i="250"/>
  <c r="FD24" i="250"/>
  <c r="FC24" i="250"/>
  <c r="FB24" i="250"/>
  <c r="FA24" i="250"/>
  <c r="FA23" i="250" s="1"/>
  <c r="FA18" i="250" s="1"/>
  <c r="FA11" i="250" s="1"/>
  <c r="FA60" i="250" s="1"/>
  <c r="EZ24" i="250"/>
  <c r="EY24" i="250"/>
  <c r="EY23" i="250" s="1"/>
  <c r="EY18" i="250" s="1"/>
  <c r="EX24" i="250"/>
  <c r="EW24" i="250"/>
  <c r="EW23" i="250" s="1"/>
  <c r="EV24" i="250"/>
  <c r="EV23" i="250" s="1"/>
  <c r="EV18" i="250" s="1"/>
  <c r="EU24" i="250"/>
  <c r="ET24" i="250"/>
  <c r="ET23" i="250" s="1"/>
  <c r="ES24" i="250"/>
  <c r="ER24" i="250"/>
  <c r="EQ24" i="250"/>
  <c r="EP24" i="250"/>
  <c r="EO24" i="250"/>
  <c r="EN24" i="250"/>
  <c r="EN23" i="250" s="1"/>
  <c r="EN18" i="250" s="1"/>
  <c r="EN11" i="250" s="1"/>
  <c r="EN60" i="250" s="1"/>
  <c r="EM24" i="250"/>
  <c r="EL24" i="250"/>
  <c r="EK24" i="250"/>
  <c r="EJ24" i="250"/>
  <c r="EJ23" i="250" s="1"/>
  <c r="EJ18" i="250" s="1"/>
  <c r="EI24" i="250"/>
  <c r="EH24" i="250"/>
  <c r="EH23" i="250" s="1"/>
  <c r="EG24" i="250"/>
  <c r="EF24" i="250"/>
  <c r="EF23" i="250" s="1"/>
  <c r="EE24" i="250"/>
  <c r="EE23" i="250" s="1"/>
  <c r="ED24" i="250"/>
  <c r="EC24" i="250"/>
  <c r="EB24" i="250"/>
  <c r="EB23" i="250" s="1"/>
  <c r="EA24" i="250"/>
  <c r="DZ24" i="250"/>
  <c r="DY24" i="250"/>
  <c r="DX24" i="250"/>
  <c r="DX23" i="250" s="1"/>
  <c r="DX18" i="250" s="1"/>
  <c r="DX11" i="250" s="1"/>
  <c r="DX60" i="250" s="1"/>
  <c r="DW24" i="250"/>
  <c r="DV24" i="250"/>
  <c r="DV23" i="250" s="1"/>
  <c r="DU24" i="250"/>
  <c r="DT24" i="250"/>
  <c r="DT23" i="250" s="1"/>
  <c r="DS24" i="250"/>
  <c r="DR24" i="250"/>
  <c r="DQ24" i="250"/>
  <c r="DQ23" i="250" s="1"/>
  <c r="DQ18" i="250" s="1"/>
  <c r="DP24" i="250"/>
  <c r="DP23" i="250" s="1"/>
  <c r="DP18" i="250" s="1"/>
  <c r="DO24" i="250"/>
  <c r="DO23" i="250" s="1"/>
  <c r="DO18" i="250" s="1"/>
  <c r="DN24" i="250"/>
  <c r="DM24" i="250"/>
  <c r="DM23" i="250" s="1"/>
  <c r="DM18" i="250" s="1"/>
  <c r="DM11" i="250" s="1"/>
  <c r="DM60" i="250" s="1"/>
  <c r="DL24" i="250"/>
  <c r="DL23" i="250" s="1"/>
  <c r="DL18" i="250" s="1"/>
  <c r="DK24" i="250"/>
  <c r="DJ24" i="250"/>
  <c r="DJ23" i="250" s="1"/>
  <c r="DI24" i="250"/>
  <c r="DH24" i="250"/>
  <c r="DG24" i="250"/>
  <c r="DF24" i="250"/>
  <c r="DE24" i="250"/>
  <c r="DD24" i="250"/>
  <c r="DD23" i="250" s="1"/>
  <c r="DD18" i="250" s="1"/>
  <c r="DD11" i="250" s="1"/>
  <c r="DD60" i="250" s="1"/>
  <c r="DC24" i="250"/>
  <c r="DC23" i="250" s="1"/>
  <c r="DB24" i="250"/>
  <c r="DA24" i="250"/>
  <c r="CZ24" i="250"/>
  <c r="CZ23" i="250" s="1"/>
  <c r="CZ18" i="250" s="1"/>
  <c r="CY24" i="250"/>
  <c r="CX24" i="250"/>
  <c r="CX23" i="250" s="1"/>
  <c r="CW24" i="250"/>
  <c r="CV24" i="250"/>
  <c r="CU24" i="250"/>
  <c r="CT24" i="250"/>
  <c r="CS24" i="250"/>
  <c r="CR24" i="250"/>
  <c r="CR23" i="250" s="1"/>
  <c r="CR18" i="250" s="1"/>
  <c r="CQ24" i="250"/>
  <c r="CQ23" i="250" s="1"/>
  <c r="CP24" i="250"/>
  <c r="CO24" i="250"/>
  <c r="CO23" i="250" s="1"/>
  <c r="CN24" i="250"/>
  <c r="CN23" i="250" s="1"/>
  <c r="CN18" i="250" s="1"/>
  <c r="CM24" i="250"/>
  <c r="CL24" i="250"/>
  <c r="CK24" i="250"/>
  <c r="CJ24" i="250"/>
  <c r="CI24" i="250"/>
  <c r="CH24" i="250"/>
  <c r="CG24" i="250"/>
  <c r="CF24" i="250"/>
  <c r="CF23" i="250" s="1"/>
  <c r="CF18" i="250" s="1"/>
  <c r="CE24" i="250"/>
  <c r="CD24" i="250"/>
  <c r="CC24" i="250"/>
  <c r="CC23" i="250" s="1"/>
  <c r="CC18" i="250" s="1"/>
  <c r="CB24" i="250"/>
  <c r="CB23" i="250" s="1"/>
  <c r="CB18" i="250" s="1"/>
  <c r="CA24" i="250"/>
  <c r="BZ24" i="250"/>
  <c r="BZ23" i="250" s="1"/>
  <c r="BY24" i="250"/>
  <c r="BX24" i="250"/>
  <c r="BW24" i="250"/>
  <c r="BV24" i="250"/>
  <c r="BU24" i="250"/>
  <c r="BT24" i="250"/>
  <c r="BT23" i="250" s="1"/>
  <c r="BS24" i="250"/>
  <c r="BR24" i="250"/>
  <c r="BQ24" i="250"/>
  <c r="BQ23" i="250" s="1"/>
  <c r="BQ18" i="250" s="1"/>
  <c r="BP24" i="250"/>
  <c r="BP23" i="250" s="1"/>
  <c r="BP18" i="250" s="1"/>
  <c r="BO24" i="250"/>
  <c r="BN24" i="250"/>
  <c r="BN23" i="250" s="1"/>
  <c r="BM24" i="250"/>
  <c r="BL24" i="250"/>
  <c r="BL23" i="250" s="1"/>
  <c r="BK24" i="250"/>
  <c r="BK23" i="250" s="1"/>
  <c r="BJ24" i="250"/>
  <c r="BI24" i="250"/>
  <c r="BH24" i="250"/>
  <c r="BH23" i="250" s="1"/>
  <c r="BH18" i="250" s="1"/>
  <c r="BG24" i="250"/>
  <c r="BF24" i="250"/>
  <c r="BE24" i="250"/>
  <c r="BE23" i="250" s="1"/>
  <c r="BD24" i="250"/>
  <c r="BD23" i="250" s="1"/>
  <c r="BD18" i="250" s="1"/>
  <c r="BD11" i="250" s="1"/>
  <c r="BD60" i="250" s="1"/>
  <c r="BC24" i="250"/>
  <c r="BB24" i="250"/>
  <c r="BA24" i="250"/>
  <c r="AZ24" i="250"/>
  <c r="AZ23" i="250" s="1"/>
  <c r="AY24" i="250"/>
  <c r="AX24" i="250"/>
  <c r="AW24" i="250"/>
  <c r="AW23" i="250" s="1"/>
  <c r="AV24" i="250"/>
  <c r="AV23" i="250" s="1"/>
  <c r="AU24" i="250"/>
  <c r="AT24" i="250"/>
  <c r="AS24" i="250"/>
  <c r="AS23" i="250" s="1"/>
  <c r="AR24" i="250"/>
  <c r="AR23" i="250" s="1"/>
  <c r="AR18" i="250" s="1"/>
  <c r="AQ24" i="250"/>
  <c r="AP24" i="250"/>
  <c r="AP23" i="250" s="1"/>
  <c r="AO24" i="250"/>
  <c r="AN24" i="250"/>
  <c r="AM24" i="250"/>
  <c r="AL24" i="250"/>
  <c r="AK24" i="250"/>
  <c r="AJ24" i="250"/>
  <c r="AJ23" i="250" s="1"/>
  <c r="AJ18" i="250" s="1"/>
  <c r="AJ11" i="250" s="1"/>
  <c r="AJ60" i="250" s="1"/>
  <c r="AI24" i="250"/>
  <c r="AI23" i="250" s="1"/>
  <c r="AH24" i="250"/>
  <c r="AG24" i="250"/>
  <c r="AG23" i="250" s="1"/>
  <c r="AG18" i="250" s="1"/>
  <c r="AF24" i="250"/>
  <c r="AF23" i="250" s="1"/>
  <c r="AF18" i="250" s="1"/>
  <c r="AE24" i="250"/>
  <c r="AD24" i="250"/>
  <c r="AD23" i="250" s="1"/>
  <c r="AC24" i="250"/>
  <c r="AB24" i="250"/>
  <c r="AA24" i="250"/>
  <c r="Z24" i="250"/>
  <c r="Y24" i="250"/>
  <c r="X24" i="250"/>
  <c r="X23" i="250" s="1"/>
  <c r="X18" i="250" s="1"/>
  <c r="W24" i="250"/>
  <c r="W23" i="250" s="1"/>
  <c r="V24" i="250"/>
  <c r="U24" i="250"/>
  <c r="U23" i="250" s="1"/>
  <c r="T24" i="250"/>
  <c r="T23" i="250" s="1"/>
  <c r="T18" i="250" s="1"/>
  <c r="S24" i="250"/>
  <c r="R24" i="250"/>
  <c r="Q24" i="250"/>
  <c r="P24" i="250"/>
  <c r="O24" i="250"/>
  <c r="N24" i="250"/>
  <c r="M24" i="250"/>
  <c r="M23" i="250" s="1"/>
  <c r="M18" i="250" s="1"/>
  <c r="M11" i="250" s="1"/>
  <c r="M60" i="250" s="1"/>
  <c r="L24" i="250"/>
  <c r="L23" i="250" s="1"/>
  <c r="K24" i="250"/>
  <c r="J24" i="250"/>
  <c r="I24" i="250"/>
  <c r="I23" i="250" s="1"/>
  <c r="H24" i="250"/>
  <c r="H23" i="250" s="1"/>
  <c r="H18" i="250" s="1"/>
  <c r="G24" i="250"/>
  <c r="F24" i="250"/>
  <c r="F23" i="250" s="1"/>
  <c r="E24" i="250"/>
  <c r="D24" i="250"/>
  <c r="C24" i="250"/>
  <c r="B24" i="250"/>
  <c r="GU23" i="250"/>
  <c r="GT23" i="250"/>
  <c r="GQ23" i="250"/>
  <c r="GO23" i="250"/>
  <c r="GO18" i="250" s="1"/>
  <c r="GO11" i="250" s="1"/>
  <c r="GO60" i="250" s="1"/>
  <c r="GM23" i="250"/>
  <c r="GL23" i="250"/>
  <c r="GI23" i="250"/>
  <c r="GI18" i="250" s="1"/>
  <c r="GH23" i="250"/>
  <c r="GE23" i="250"/>
  <c r="GC23" i="250"/>
  <c r="GB23" i="250"/>
  <c r="FZ23" i="250"/>
  <c r="FY23" i="250"/>
  <c r="FY18" i="250" s="1"/>
  <c r="FV23" i="250"/>
  <c r="FU23" i="250"/>
  <c r="FU18" i="250" s="1"/>
  <c r="FU11" i="250" s="1"/>
  <c r="FU60" i="250" s="1"/>
  <c r="FS23" i="250"/>
  <c r="FR23" i="250"/>
  <c r="FQ23" i="250"/>
  <c r="FP23" i="250"/>
  <c r="FO23" i="250"/>
  <c r="FN23" i="250"/>
  <c r="FJ23" i="250"/>
  <c r="FG23" i="250"/>
  <c r="FF23" i="250"/>
  <c r="FE23" i="250"/>
  <c r="FE18" i="250" s="1"/>
  <c r="FE11" i="250" s="1"/>
  <c r="FE60" i="250" s="1"/>
  <c r="FD23" i="250"/>
  <c r="FC23" i="250"/>
  <c r="FB23" i="250"/>
  <c r="EX23" i="250"/>
  <c r="EU23" i="250"/>
  <c r="ES23" i="250"/>
  <c r="ER23" i="250"/>
  <c r="EQ23" i="250"/>
  <c r="EP23" i="250"/>
  <c r="EO23" i="250"/>
  <c r="EM23" i="250"/>
  <c r="EM18" i="250" s="1"/>
  <c r="EM11" i="250" s="1"/>
  <c r="EL23" i="250"/>
  <c r="EK23" i="250"/>
  <c r="EK18" i="250" s="1"/>
  <c r="EK11" i="250" s="1"/>
  <c r="EK60" i="250" s="1"/>
  <c r="EI23" i="250"/>
  <c r="EG23" i="250"/>
  <c r="ED23" i="250"/>
  <c r="EC23" i="250"/>
  <c r="EA23" i="250"/>
  <c r="DZ23" i="250"/>
  <c r="DY23" i="250"/>
  <c r="DW23" i="250"/>
  <c r="DU23" i="250"/>
  <c r="DS23" i="250"/>
  <c r="DR23" i="250"/>
  <c r="DN23" i="250"/>
  <c r="DK23" i="250"/>
  <c r="DI23" i="250"/>
  <c r="DH23" i="250"/>
  <c r="DG23" i="250"/>
  <c r="DF23" i="250"/>
  <c r="DE23" i="250"/>
  <c r="DB23" i="250"/>
  <c r="DA23" i="250"/>
  <c r="DA18" i="250" s="1"/>
  <c r="DA11" i="250" s="1"/>
  <c r="DA60" i="250" s="1"/>
  <c r="CY23" i="250"/>
  <c r="CW23" i="250"/>
  <c r="CV23" i="250"/>
  <c r="CU23" i="250"/>
  <c r="CT23" i="250"/>
  <c r="CS23" i="250"/>
  <c r="CP23" i="250"/>
  <c r="CM23" i="250"/>
  <c r="CL23" i="250"/>
  <c r="CK23" i="250"/>
  <c r="CK18" i="250" s="1"/>
  <c r="CK11" i="250" s="1"/>
  <c r="CK60" i="250" s="1"/>
  <c r="CJ23" i="250"/>
  <c r="CI23" i="250"/>
  <c r="CH23" i="250"/>
  <c r="CG23" i="250"/>
  <c r="CE23" i="250"/>
  <c r="CD23" i="250"/>
  <c r="CA23" i="250"/>
  <c r="BY23" i="250"/>
  <c r="BX23" i="250"/>
  <c r="BW23" i="250"/>
  <c r="BV23" i="250"/>
  <c r="BU23" i="250"/>
  <c r="BS23" i="250"/>
  <c r="BR23" i="250"/>
  <c r="BO23" i="250"/>
  <c r="BM23" i="250"/>
  <c r="BJ23" i="250"/>
  <c r="BI23" i="250"/>
  <c r="BG23" i="250"/>
  <c r="BF23" i="250"/>
  <c r="BC23" i="250"/>
  <c r="BB23" i="250"/>
  <c r="BA23" i="250"/>
  <c r="BA18" i="250" s="1"/>
  <c r="BA11" i="250" s="1"/>
  <c r="BA60" i="250" s="1"/>
  <c r="AY23" i="250"/>
  <c r="AX23" i="250"/>
  <c r="AU23" i="250"/>
  <c r="AT23" i="250"/>
  <c r="AQ23" i="250"/>
  <c r="AO23" i="250"/>
  <c r="AN23" i="250"/>
  <c r="AM23" i="250"/>
  <c r="AL23" i="250"/>
  <c r="AK23" i="250"/>
  <c r="AK18" i="250" s="1"/>
  <c r="AH23" i="250"/>
  <c r="AE23" i="250"/>
  <c r="AC23" i="250"/>
  <c r="AB23" i="250"/>
  <c r="AA23" i="250"/>
  <c r="Z23" i="250"/>
  <c r="Y23" i="250"/>
  <c r="V23" i="250"/>
  <c r="S23" i="250"/>
  <c r="R23" i="250"/>
  <c r="Q23" i="250"/>
  <c r="Q18" i="250" s="1"/>
  <c r="P23" i="250"/>
  <c r="O23" i="250"/>
  <c r="N23" i="250"/>
  <c r="K23" i="250"/>
  <c r="J23" i="250"/>
  <c r="G23" i="250"/>
  <c r="E23" i="250"/>
  <c r="D23" i="250"/>
  <c r="C23" i="250"/>
  <c r="B23" i="250"/>
  <c r="GA21" i="250"/>
  <c r="GA20" i="250"/>
  <c r="GU19" i="250"/>
  <c r="GU18" i="250" s="1"/>
  <c r="GT19" i="250"/>
  <c r="GT18" i="250" s="1"/>
  <c r="GT11" i="250" s="1"/>
  <c r="GT60" i="250" s="1"/>
  <c r="GS19" i="250"/>
  <c r="GR19" i="250"/>
  <c r="GQ19" i="250"/>
  <c r="GQ18" i="250" s="1"/>
  <c r="GP19" i="250"/>
  <c r="GO19" i="250"/>
  <c r="GN19" i="250"/>
  <c r="GM19" i="250"/>
  <c r="GM18" i="250" s="1"/>
  <c r="GM11" i="250" s="1"/>
  <c r="GM60" i="250" s="1"/>
  <c r="GL19" i="250"/>
  <c r="GL18" i="250" s="1"/>
  <c r="GK19" i="250"/>
  <c r="GJ19" i="250"/>
  <c r="GI19" i="250"/>
  <c r="GH19" i="250"/>
  <c r="GG19" i="250"/>
  <c r="GF19" i="250"/>
  <c r="GE19" i="250"/>
  <c r="GD19" i="250"/>
  <c r="GC19" i="250"/>
  <c r="GB19" i="250"/>
  <c r="GB18" i="250" s="1"/>
  <c r="GB11" i="250" s="1"/>
  <c r="GB60" i="250" s="1"/>
  <c r="GA19" i="250"/>
  <c r="FZ19" i="250"/>
  <c r="FZ18" i="250" s="1"/>
  <c r="FY19" i="250"/>
  <c r="FX19" i="250"/>
  <c r="FW19" i="250"/>
  <c r="FW18" i="250" s="1"/>
  <c r="FV19" i="250"/>
  <c r="FV18" i="250" s="1"/>
  <c r="FU19" i="250"/>
  <c r="FT19" i="250"/>
  <c r="FS19" i="250"/>
  <c r="FS18" i="250" s="1"/>
  <c r="FR19" i="250"/>
  <c r="FQ19" i="250"/>
  <c r="FP19" i="250"/>
  <c r="FO19" i="250"/>
  <c r="FO18" i="250" s="1"/>
  <c r="FO11" i="250" s="1"/>
  <c r="FO60" i="250" s="1"/>
  <c r="FN19" i="250"/>
  <c r="FN18" i="250" s="1"/>
  <c r="FM19" i="250"/>
  <c r="FL19" i="250"/>
  <c r="FK19" i="250"/>
  <c r="FJ19" i="250"/>
  <c r="FJ18" i="250" s="1"/>
  <c r="FI19" i="250"/>
  <c r="FH19" i="250"/>
  <c r="FG19" i="250"/>
  <c r="FG18" i="250" s="1"/>
  <c r="FF19" i="250"/>
  <c r="FE19" i="250"/>
  <c r="FD19" i="250"/>
  <c r="FD18" i="250" s="1"/>
  <c r="FD11" i="250" s="1"/>
  <c r="FD60" i="250" s="1"/>
  <c r="FC19" i="250"/>
  <c r="FC18" i="250" s="1"/>
  <c r="FC11" i="250" s="1"/>
  <c r="FC60" i="250" s="1"/>
  <c r="FB19" i="250"/>
  <c r="FA19" i="250"/>
  <c r="EZ19" i="250"/>
  <c r="EY19" i="250"/>
  <c r="EX19" i="250"/>
  <c r="EX18" i="250" s="1"/>
  <c r="EW19" i="250"/>
  <c r="EV19" i="250"/>
  <c r="EU19" i="250"/>
  <c r="EU18" i="250" s="1"/>
  <c r="ET19" i="250"/>
  <c r="ES19" i="250"/>
  <c r="ER19" i="250"/>
  <c r="EQ19" i="250"/>
  <c r="EP19" i="250"/>
  <c r="EP18" i="250" s="1"/>
  <c r="EO19" i="250"/>
  <c r="EO18" i="250" s="1"/>
  <c r="EO11" i="250" s="1"/>
  <c r="EO60" i="250" s="1"/>
  <c r="EN19" i="250"/>
  <c r="EM19" i="250"/>
  <c r="EL19" i="250"/>
  <c r="EK19" i="250"/>
  <c r="EJ19" i="250"/>
  <c r="EI19" i="250"/>
  <c r="EI18" i="250" s="1"/>
  <c r="EH19" i="250"/>
  <c r="EG19" i="250"/>
  <c r="EF19" i="250"/>
  <c r="EE19" i="250"/>
  <c r="EE18" i="250" s="1"/>
  <c r="EE11" i="250" s="1"/>
  <c r="EE60" i="250" s="1"/>
  <c r="ED19" i="250"/>
  <c r="ED18" i="250" s="1"/>
  <c r="EC19" i="250"/>
  <c r="EB19" i="250"/>
  <c r="EA19" i="250"/>
  <c r="DZ19" i="250"/>
  <c r="DY19" i="250"/>
  <c r="DY18" i="250" s="1"/>
  <c r="DX19" i="250"/>
  <c r="DW19" i="250"/>
  <c r="DW18" i="250" s="1"/>
  <c r="DV19" i="250"/>
  <c r="DU19" i="250"/>
  <c r="DT19" i="250"/>
  <c r="DT18" i="250" s="1"/>
  <c r="DT11" i="250" s="1"/>
  <c r="DT60" i="250" s="1"/>
  <c r="DS19" i="250"/>
  <c r="DS18" i="250" s="1"/>
  <c r="DR19" i="250"/>
  <c r="DR18" i="250" s="1"/>
  <c r="DQ19" i="250"/>
  <c r="DP19" i="250"/>
  <c r="DO19" i="250"/>
  <c r="DN19" i="250"/>
  <c r="DM19" i="250"/>
  <c r="DL19" i="250"/>
  <c r="DK19" i="250"/>
  <c r="DJ19" i="250"/>
  <c r="DI19" i="250"/>
  <c r="DH19" i="250"/>
  <c r="DH18" i="250" s="1"/>
  <c r="DH11" i="250" s="1"/>
  <c r="DH60" i="250" s="1"/>
  <c r="DG19" i="250"/>
  <c r="DG18" i="250" s="1"/>
  <c r="DG11" i="250" s="1"/>
  <c r="DG60" i="250" s="1"/>
  <c r="DF19" i="250"/>
  <c r="DF18" i="250" s="1"/>
  <c r="DE19" i="250"/>
  <c r="DD19" i="250"/>
  <c r="DC19" i="250"/>
  <c r="DB19" i="250"/>
  <c r="DA19" i="250"/>
  <c r="CZ19" i="250"/>
  <c r="CY19" i="250"/>
  <c r="CX19" i="250"/>
  <c r="CW19" i="250"/>
  <c r="CV19" i="250"/>
  <c r="CV18" i="250" s="1"/>
  <c r="CV11" i="250" s="1"/>
  <c r="CV60" i="250" s="1"/>
  <c r="CU19" i="250"/>
  <c r="CU18" i="250" s="1"/>
  <c r="CU11" i="250" s="1"/>
  <c r="CU60" i="250" s="1"/>
  <c r="CT19" i="250"/>
  <c r="CT18" i="250" s="1"/>
  <c r="CS19" i="250"/>
  <c r="CR19" i="250"/>
  <c r="CQ19" i="250"/>
  <c r="CP19" i="250"/>
  <c r="CO19" i="250"/>
  <c r="CO18" i="250" s="1"/>
  <c r="CO11" i="250" s="1"/>
  <c r="CO60" i="250" s="1"/>
  <c r="CN19" i="250"/>
  <c r="CM19" i="250"/>
  <c r="CM18" i="250" s="1"/>
  <c r="CL19" i="250"/>
  <c r="CK19" i="250"/>
  <c r="CJ19" i="250"/>
  <c r="CJ18" i="250" s="1"/>
  <c r="CJ11" i="250" s="1"/>
  <c r="CJ60" i="250" s="1"/>
  <c r="CI19" i="250"/>
  <c r="CI18" i="250" s="1"/>
  <c r="CI11" i="250" s="1"/>
  <c r="CI60" i="250" s="1"/>
  <c r="CH19" i="250"/>
  <c r="CH18" i="250" s="1"/>
  <c r="CG19" i="250"/>
  <c r="CF19" i="250"/>
  <c r="CE19" i="250"/>
  <c r="CD19" i="250"/>
  <c r="CC19" i="250"/>
  <c r="CB19" i="250"/>
  <c r="CA19" i="250"/>
  <c r="BZ19" i="250"/>
  <c r="BY19" i="250"/>
  <c r="BX19" i="250"/>
  <c r="BX18" i="250" s="1"/>
  <c r="BX11" i="250" s="1"/>
  <c r="BX60" i="250" s="1"/>
  <c r="BW19" i="250"/>
  <c r="BW18" i="250" s="1"/>
  <c r="BW11" i="250" s="1"/>
  <c r="BW60" i="250" s="1"/>
  <c r="BV19" i="250"/>
  <c r="BV18" i="250" s="1"/>
  <c r="BU19" i="250"/>
  <c r="BT19" i="250"/>
  <c r="BS19" i="250"/>
  <c r="BR19" i="250"/>
  <c r="BR18" i="250" s="1"/>
  <c r="BQ19" i="250"/>
  <c r="BP19" i="250"/>
  <c r="BO19" i="250"/>
  <c r="BN19" i="250"/>
  <c r="BM19" i="250"/>
  <c r="BL19" i="250"/>
  <c r="BL18" i="250" s="1"/>
  <c r="BL11" i="250" s="1"/>
  <c r="BL60" i="250" s="1"/>
  <c r="BK19" i="250"/>
  <c r="BK18" i="250" s="1"/>
  <c r="BK11" i="250" s="1"/>
  <c r="BK60" i="250" s="1"/>
  <c r="BJ19" i="250"/>
  <c r="BJ18" i="250" s="1"/>
  <c r="BI19" i="250"/>
  <c r="BH19" i="250"/>
  <c r="BG19" i="250"/>
  <c r="BG18" i="250" s="1"/>
  <c r="BG11" i="250" s="1"/>
  <c r="BG60" i="250" s="1"/>
  <c r="BF19" i="250"/>
  <c r="BE19" i="250"/>
  <c r="BD19" i="250"/>
  <c r="BC19" i="250"/>
  <c r="BC18" i="250" s="1"/>
  <c r="BB19" i="250"/>
  <c r="BA19" i="250"/>
  <c r="AZ19" i="250"/>
  <c r="AZ18" i="250" s="1"/>
  <c r="AZ11" i="250" s="1"/>
  <c r="AZ60" i="250" s="1"/>
  <c r="AY19" i="250"/>
  <c r="AY18" i="250" s="1"/>
  <c r="AY11" i="250" s="1"/>
  <c r="AY60" i="250" s="1"/>
  <c r="AX19" i="250"/>
  <c r="AX18" i="250" s="1"/>
  <c r="AW19" i="250"/>
  <c r="AV19" i="250"/>
  <c r="AU19" i="250"/>
  <c r="AU18" i="250" s="1"/>
  <c r="AT19" i="250"/>
  <c r="AS19" i="250"/>
  <c r="AR19" i="250"/>
  <c r="AQ19" i="250"/>
  <c r="AP19" i="250"/>
  <c r="AO19" i="250"/>
  <c r="AN19" i="250"/>
  <c r="AN18" i="250" s="1"/>
  <c r="AN11" i="250" s="1"/>
  <c r="AN60" i="250" s="1"/>
  <c r="AM19" i="250"/>
  <c r="AM18" i="250" s="1"/>
  <c r="AM11" i="250" s="1"/>
  <c r="AM60" i="250" s="1"/>
  <c r="AL19" i="250"/>
  <c r="AL18" i="250" s="1"/>
  <c r="AK19" i="250"/>
  <c r="AJ19" i="250"/>
  <c r="AI19" i="250"/>
  <c r="AH19" i="250"/>
  <c r="AH18" i="250" s="1"/>
  <c r="AG19" i="250"/>
  <c r="AF19" i="250"/>
  <c r="AE19" i="250"/>
  <c r="AE18" i="250" s="1"/>
  <c r="AD19" i="250"/>
  <c r="AC19" i="250"/>
  <c r="AB19" i="250"/>
  <c r="AB18" i="250" s="1"/>
  <c r="AB11" i="250" s="1"/>
  <c r="AB60" i="250" s="1"/>
  <c r="AA19" i="250"/>
  <c r="AA18" i="250" s="1"/>
  <c r="AA11" i="250" s="1"/>
  <c r="AA60" i="250" s="1"/>
  <c r="Z19" i="250"/>
  <c r="Z18" i="250" s="1"/>
  <c r="Y19" i="250"/>
  <c r="X19" i="250"/>
  <c r="W19" i="250"/>
  <c r="W18" i="250" s="1"/>
  <c r="V19" i="250"/>
  <c r="V18" i="250" s="1"/>
  <c r="U19" i="250"/>
  <c r="T19" i="250"/>
  <c r="S19" i="250"/>
  <c r="S18" i="250" s="1"/>
  <c r="R19" i="250"/>
  <c r="Q19" i="250"/>
  <c r="P19" i="250"/>
  <c r="P18" i="250" s="1"/>
  <c r="P11" i="250" s="1"/>
  <c r="P60" i="250" s="1"/>
  <c r="O19" i="250"/>
  <c r="O18" i="250" s="1"/>
  <c r="O11" i="250" s="1"/>
  <c r="O60" i="250" s="1"/>
  <c r="N19" i="250"/>
  <c r="N18" i="250" s="1"/>
  <c r="M19" i="250"/>
  <c r="L19" i="250"/>
  <c r="K19" i="250"/>
  <c r="J19" i="250"/>
  <c r="I19" i="250"/>
  <c r="H19" i="250"/>
  <c r="G19" i="250"/>
  <c r="G18" i="250" s="1"/>
  <c r="F19" i="250"/>
  <c r="E19" i="250"/>
  <c r="E18" i="250" s="1"/>
  <c r="E11" i="250" s="1"/>
  <c r="D19" i="250"/>
  <c r="D18" i="250" s="1"/>
  <c r="D11" i="250" s="1"/>
  <c r="D60" i="250" s="1"/>
  <c r="C19" i="250"/>
  <c r="C18" i="250" s="1"/>
  <c r="C11" i="250" s="1"/>
  <c r="C60" i="250" s="1"/>
  <c r="B19" i="250"/>
  <c r="B18" i="250" s="1"/>
  <c r="GJ18" i="250"/>
  <c r="GE18" i="250"/>
  <c r="GC18" i="250"/>
  <c r="GC11" i="250" s="1"/>
  <c r="GC60" i="250" s="1"/>
  <c r="FQ18" i="250"/>
  <c r="FP18" i="250"/>
  <c r="FP11" i="250" s="1"/>
  <c r="FP60" i="250" s="1"/>
  <c r="FK18" i="250"/>
  <c r="ES18" i="250"/>
  <c r="ER18" i="250"/>
  <c r="ER11" i="250" s="1"/>
  <c r="ER60" i="250" s="1"/>
  <c r="EQ18" i="250"/>
  <c r="EQ11" i="250" s="1"/>
  <c r="EQ60" i="250" s="1"/>
  <c r="EG18" i="250"/>
  <c r="EG11" i="250" s="1"/>
  <c r="EG60" i="250" s="1"/>
  <c r="EC18" i="250"/>
  <c r="EB18" i="250"/>
  <c r="EA18" i="250"/>
  <c r="DZ18" i="250"/>
  <c r="DZ11" i="250" s="1"/>
  <c r="DZ60" i="250" s="1"/>
  <c r="DN18" i="250"/>
  <c r="DN11" i="250" s="1"/>
  <c r="DN60" i="250" s="1"/>
  <c r="DK18" i="250"/>
  <c r="DI18" i="250"/>
  <c r="DI11" i="250" s="1"/>
  <c r="DC18" i="250"/>
  <c r="DB18" i="250"/>
  <c r="CY18" i="250"/>
  <c r="CW18" i="250"/>
  <c r="CW11" i="250" s="1"/>
  <c r="CQ18" i="250"/>
  <c r="CP18" i="250"/>
  <c r="CP11" i="250" s="1"/>
  <c r="CP60" i="250" s="1"/>
  <c r="CG18" i="250"/>
  <c r="CG11" i="250" s="1"/>
  <c r="CG60" i="250" s="1"/>
  <c r="CD18" i="250"/>
  <c r="CD11" i="250" s="1"/>
  <c r="CD60" i="250" s="1"/>
  <c r="CA18" i="250"/>
  <c r="BY18" i="250"/>
  <c r="BY11" i="250" s="1"/>
  <c r="BY60" i="250" s="1"/>
  <c r="BT18" i="250"/>
  <c r="BO18" i="250"/>
  <c r="BM18" i="250"/>
  <c r="BM11" i="250" s="1"/>
  <c r="BM60" i="250" s="1"/>
  <c r="BI18" i="250"/>
  <c r="AW18" i="250"/>
  <c r="AW11" i="250" s="1"/>
  <c r="AW60" i="250" s="1"/>
  <c r="AV18" i="250"/>
  <c r="AT18" i="250"/>
  <c r="AT11" i="250" s="1"/>
  <c r="AT60" i="250" s="1"/>
  <c r="AQ18" i="250"/>
  <c r="AO18" i="250"/>
  <c r="AI18" i="250"/>
  <c r="AC18" i="250"/>
  <c r="AC11" i="250" s="1"/>
  <c r="AC60" i="250" s="1"/>
  <c r="Y18" i="250"/>
  <c r="Y11" i="250" s="1"/>
  <c r="Y60" i="250" s="1"/>
  <c r="L18" i="250"/>
  <c r="K18" i="250"/>
  <c r="J18" i="250"/>
  <c r="I18" i="250"/>
  <c r="GU13" i="250"/>
  <c r="GT13" i="250"/>
  <c r="GS13" i="250"/>
  <c r="GR13" i="250"/>
  <c r="GR11" i="250" s="1"/>
  <c r="GR60" i="250" s="1"/>
  <c r="GQ13" i="250"/>
  <c r="GQ11" i="250" s="1"/>
  <c r="GQ60" i="250" s="1"/>
  <c r="GP13" i="250"/>
  <c r="GO13" i="250"/>
  <c r="GN13" i="250"/>
  <c r="GM13" i="250"/>
  <c r="GL13" i="250"/>
  <c r="GK13" i="250"/>
  <c r="GJ13" i="250"/>
  <c r="GI13" i="250"/>
  <c r="GH13" i="250"/>
  <c r="GG13" i="250"/>
  <c r="GF13" i="250"/>
  <c r="GF11" i="250" s="1"/>
  <c r="GF60" i="250" s="1"/>
  <c r="GE13" i="250"/>
  <c r="GE11" i="250" s="1"/>
  <c r="GD13" i="250"/>
  <c r="GC13" i="250"/>
  <c r="GB13" i="250"/>
  <c r="GA13" i="250"/>
  <c r="FZ13" i="250"/>
  <c r="FY13" i="250"/>
  <c r="FX13" i="250"/>
  <c r="FW13" i="250"/>
  <c r="FW11" i="250" s="1"/>
  <c r="FV13" i="250"/>
  <c r="FU13" i="250"/>
  <c r="FT13" i="250"/>
  <c r="FS13" i="250"/>
  <c r="FS11" i="250" s="1"/>
  <c r="FS60" i="250" s="1"/>
  <c r="FR13" i="250"/>
  <c r="FQ13" i="250"/>
  <c r="FP13" i="250"/>
  <c r="FO13" i="250"/>
  <c r="FN13" i="250"/>
  <c r="FM13" i="250"/>
  <c r="FL13" i="250"/>
  <c r="FK13" i="250"/>
  <c r="FK11" i="250" s="1"/>
  <c r="FK60" i="250" s="1"/>
  <c r="FJ13" i="250"/>
  <c r="FI13" i="250"/>
  <c r="FH13" i="250"/>
  <c r="FH11" i="250" s="1"/>
  <c r="FH60" i="250" s="1"/>
  <c r="FG13" i="250"/>
  <c r="FG11" i="250" s="1"/>
  <c r="FG60" i="250" s="1"/>
  <c r="FF13" i="250"/>
  <c r="FE13" i="250"/>
  <c r="FD13" i="250"/>
  <c r="FC13" i="250"/>
  <c r="FB13" i="250"/>
  <c r="FA13" i="250"/>
  <c r="EZ13" i="250"/>
  <c r="EY13" i="250"/>
  <c r="EX13" i="250"/>
  <c r="EX11" i="250" s="1"/>
  <c r="EX60" i="250" s="1"/>
  <c r="EW13" i="250"/>
  <c r="EV13" i="250"/>
  <c r="EU13" i="250"/>
  <c r="EU11" i="250" s="1"/>
  <c r="EU60" i="250" s="1"/>
  <c r="ET13" i="250"/>
  <c r="ES13" i="250"/>
  <c r="ER13" i="250"/>
  <c r="EQ13" i="250"/>
  <c r="EP13" i="250"/>
  <c r="EO13" i="250"/>
  <c r="EN13" i="250"/>
  <c r="EM13" i="250"/>
  <c r="EL13" i="250"/>
  <c r="EK13" i="250"/>
  <c r="EJ13" i="250"/>
  <c r="EI13" i="250"/>
  <c r="EH13" i="250"/>
  <c r="EG13" i="250"/>
  <c r="EF13" i="250"/>
  <c r="EE13" i="250"/>
  <c r="ED13" i="250"/>
  <c r="EC13" i="250"/>
  <c r="EB13" i="250"/>
  <c r="EB11" i="250" s="1"/>
  <c r="EB60" i="250" s="1"/>
  <c r="EA13" i="250"/>
  <c r="EA11" i="250" s="1"/>
  <c r="EA60" i="250" s="1"/>
  <c r="DZ13" i="250"/>
  <c r="DY13" i="250"/>
  <c r="DX13" i="250"/>
  <c r="DW13" i="250"/>
  <c r="DV13" i="250"/>
  <c r="DU13" i="250"/>
  <c r="DT13" i="250"/>
  <c r="DS13" i="250"/>
  <c r="DR13" i="250"/>
  <c r="DQ13" i="250"/>
  <c r="DP13" i="250"/>
  <c r="DO13" i="250"/>
  <c r="DN13" i="250"/>
  <c r="DM13" i="250"/>
  <c r="DL13" i="250"/>
  <c r="DK13" i="250"/>
  <c r="DK11" i="250" s="1"/>
  <c r="DK60" i="250" s="1"/>
  <c r="DJ13" i="250"/>
  <c r="DI13" i="250"/>
  <c r="DH13" i="250"/>
  <c r="DG13" i="250"/>
  <c r="DF13" i="250"/>
  <c r="DE13" i="250"/>
  <c r="DD13" i="250"/>
  <c r="DC13" i="250"/>
  <c r="DB13" i="250"/>
  <c r="DA13" i="250"/>
  <c r="CZ13" i="250"/>
  <c r="CY13" i="250"/>
  <c r="CY11" i="250" s="1"/>
  <c r="CY60" i="250" s="1"/>
  <c r="CX13" i="250"/>
  <c r="CW13" i="250"/>
  <c r="CV13" i="250"/>
  <c r="CU13" i="250"/>
  <c r="CT13" i="250"/>
  <c r="CS13" i="250"/>
  <c r="CR13" i="250"/>
  <c r="CR11" i="250" s="1"/>
  <c r="CR60" i="250" s="1"/>
  <c r="CQ13" i="250"/>
  <c r="CQ11" i="250" s="1"/>
  <c r="CP13" i="250"/>
  <c r="CO13" i="250"/>
  <c r="CN13" i="250"/>
  <c r="CM13" i="250"/>
  <c r="CM11" i="250" s="1"/>
  <c r="CM60" i="250" s="1"/>
  <c r="CL13" i="250"/>
  <c r="CK13" i="250"/>
  <c r="CJ13" i="250"/>
  <c r="CI13" i="250"/>
  <c r="CH13" i="250"/>
  <c r="CG13" i="250"/>
  <c r="CF13" i="250"/>
  <c r="CF11" i="250" s="1"/>
  <c r="CF60" i="250" s="1"/>
  <c r="CE13" i="250"/>
  <c r="CD13" i="250"/>
  <c r="CC13" i="250"/>
  <c r="CB13" i="250"/>
  <c r="CA13" i="250"/>
  <c r="CA11" i="250" s="1"/>
  <c r="CA60" i="250" s="1"/>
  <c r="BZ13" i="250"/>
  <c r="BY13" i="250"/>
  <c r="BX13" i="250"/>
  <c r="BW13" i="250"/>
  <c r="BV13" i="250"/>
  <c r="BU13" i="250"/>
  <c r="BT13" i="250"/>
  <c r="BS13" i="250"/>
  <c r="BR13" i="250"/>
  <c r="BR11" i="250" s="1"/>
  <c r="BR60" i="250" s="1"/>
  <c r="BQ13" i="250"/>
  <c r="BP13" i="250"/>
  <c r="BO13" i="250"/>
  <c r="BO11" i="250" s="1"/>
  <c r="BO60" i="250" s="1"/>
  <c r="BN13" i="250"/>
  <c r="BM13" i="250"/>
  <c r="BL13" i="250"/>
  <c r="BK13" i="250"/>
  <c r="BJ13" i="250"/>
  <c r="BI13" i="250"/>
  <c r="BH13" i="250"/>
  <c r="BG13" i="250"/>
  <c r="BF13" i="250"/>
  <c r="BE13" i="250"/>
  <c r="BD13" i="250"/>
  <c r="BC13" i="250"/>
  <c r="BC11" i="250" s="1"/>
  <c r="BC60" i="250" s="1"/>
  <c r="BB13" i="250"/>
  <c r="BA13" i="250"/>
  <c r="AZ13" i="250"/>
  <c r="AY13" i="250"/>
  <c r="AX13" i="250"/>
  <c r="AW13" i="250"/>
  <c r="AV13" i="250"/>
  <c r="AU13" i="250"/>
  <c r="AU11" i="250" s="1"/>
  <c r="AT13" i="250"/>
  <c r="AS13" i="250"/>
  <c r="AR13" i="250"/>
  <c r="AR11" i="250" s="1"/>
  <c r="AR60" i="250" s="1"/>
  <c r="AQ13" i="250"/>
  <c r="AQ11" i="250" s="1"/>
  <c r="AQ60" i="250" s="1"/>
  <c r="AP13" i="250"/>
  <c r="AO13" i="250"/>
  <c r="AN13" i="250"/>
  <c r="AM13" i="250"/>
  <c r="AL13" i="250"/>
  <c r="AK13" i="250"/>
  <c r="AJ13" i="250"/>
  <c r="AI13" i="250"/>
  <c r="AI11" i="250" s="1"/>
  <c r="AI60" i="250" s="1"/>
  <c r="AH13" i="250"/>
  <c r="AG13" i="250"/>
  <c r="AF13" i="250"/>
  <c r="AF11" i="250" s="1"/>
  <c r="AF60" i="250" s="1"/>
  <c r="AE13" i="250"/>
  <c r="AE11" i="250" s="1"/>
  <c r="AE60" i="250" s="1"/>
  <c r="AD13" i="250"/>
  <c r="AC13" i="250"/>
  <c r="AB13" i="250"/>
  <c r="AA13" i="250"/>
  <c r="Z13" i="250"/>
  <c r="Y13" i="250"/>
  <c r="X13" i="250"/>
  <c r="W13" i="250"/>
  <c r="V13" i="250"/>
  <c r="U13" i="250"/>
  <c r="T13" i="250"/>
  <c r="S13" i="250"/>
  <c r="S11" i="250" s="1"/>
  <c r="S60" i="250" s="1"/>
  <c r="R13" i="250"/>
  <c r="Q13" i="250"/>
  <c r="P13" i="250"/>
  <c r="O13" i="250"/>
  <c r="N13" i="250"/>
  <c r="M13" i="250"/>
  <c r="L13" i="250"/>
  <c r="K13" i="250"/>
  <c r="J13" i="250"/>
  <c r="I13" i="250"/>
  <c r="H13" i="250"/>
  <c r="G13" i="250"/>
  <c r="G11" i="250" s="1"/>
  <c r="G60" i="250" s="1"/>
  <c r="F13" i="250"/>
  <c r="E13" i="250"/>
  <c r="D13" i="250"/>
  <c r="C13" i="250"/>
  <c r="B13" i="250"/>
  <c r="FX11" i="250"/>
  <c r="FX60" i="250" s="1"/>
  <c r="FQ11" i="250"/>
  <c r="FQ60" i="250" s="1"/>
  <c r="ES11" i="250"/>
  <c r="ES60" i="250" s="1"/>
  <c r="EI11" i="250"/>
  <c r="EI60" i="250" s="1"/>
  <c r="EC11" i="250"/>
  <c r="EC60" i="250" s="1"/>
  <c r="DS11" i="250"/>
  <c r="DS60" i="250" s="1"/>
  <c r="DQ11" i="250"/>
  <c r="DQ60" i="250" s="1"/>
  <c r="DC11" i="250"/>
  <c r="DC60" i="250" s="1"/>
  <c r="DB11" i="250"/>
  <c r="BT11" i="250"/>
  <c r="BT60" i="250" s="1"/>
  <c r="BH11" i="250"/>
  <c r="BH60" i="250" s="1"/>
  <c r="AO11" i="250"/>
  <c r="AO60" i="250" s="1"/>
  <c r="AH11" i="250"/>
  <c r="AH60" i="250" s="1"/>
  <c r="Q11" i="250"/>
  <c r="Q60" i="250" s="1"/>
  <c r="L11" i="250"/>
  <c r="J11" i="250"/>
  <c r="H11" i="250"/>
  <c r="H60" i="250" s="1"/>
  <c r="F11" i="250" l="1"/>
  <c r="F60" i="250" s="1"/>
  <c r="GE60" i="250"/>
  <c r="FB18" i="250"/>
  <c r="BB11" i="250"/>
  <c r="BB60" i="250" s="1"/>
  <c r="BN11" i="250"/>
  <c r="BN60" i="250" s="1"/>
  <c r="CX11" i="250"/>
  <c r="CX60" i="250" s="1"/>
  <c r="T11" i="250"/>
  <c r="T60" i="250" s="1"/>
  <c r="BP11" i="250"/>
  <c r="BP60" i="250" s="1"/>
  <c r="CB11" i="250"/>
  <c r="CB60" i="250" s="1"/>
  <c r="CN11" i="250"/>
  <c r="CN60" i="250" s="1"/>
  <c r="CZ11" i="250"/>
  <c r="CZ60" i="250" s="1"/>
  <c r="FT11" i="250"/>
  <c r="FT60" i="250" s="1"/>
  <c r="GA18" i="250"/>
  <c r="GA11" i="250" s="1"/>
  <c r="GA60" i="250" s="1"/>
  <c r="AU60" i="250"/>
  <c r="DO11" i="250"/>
  <c r="DO60" i="250" s="1"/>
  <c r="U11" i="250"/>
  <c r="U60" i="250" s="1"/>
  <c r="CW60" i="250"/>
  <c r="AG11" i="250"/>
  <c r="AG60" i="250" s="1"/>
  <c r="BQ11" i="250"/>
  <c r="BQ60" i="250" s="1"/>
  <c r="CC11" i="250"/>
  <c r="CC60" i="250" s="1"/>
  <c r="EM60" i="250"/>
  <c r="E60" i="250"/>
  <c r="W11" i="250"/>
  <c r="W60" i="250" s="1"/>
  <c r="CQ60" i="250"/>
  <c r="GU11" i="250"/>
  <c r="GU60" i="250" s="1"/>
  <c r="DP11" i="250"/>
  <c r="DP60" i="250" s="1"/>
  <c r="DI60" i="250"/>
  <c r="GS18" i="250"/>
  <c r="GS11" i="250" s="1"/>
  <c r="GS60" i="250" s="1"/>
  <c r="GN18" i="250"/>
  <c r="GN11" i="250" s="1"/>
  <c r="GN60" i="250" s="1"/>
  <c r="EF18" i="250"/>
  <c r="EF11" i="250" s="1"/>
  <c r="EF60" i="250" s="1"/>
  <c r="CL11" i="250"/>
  <c r="CL60" i="250" s="1"/>
  <c r="DJ11" i="250"/>
  <c r="DJ60" i="250" s="1"/>
  <c r="DV11" i="250"/>
  <c r="DV60" i="250" s="1"/>
  <c r="DU18" i="250"/>
  <c r="DU11" i="250" s="1"/>
  <c r="DU60" i="250" s="1"/>
  <c r="DW11" i="250"/>
  <c r="DW60" i="250" s="1"/>
  <c r="DL11" i="250"/>
  <c r="DL60" i="250" s="1"/>
  <c r="EV11" i="250"/>
  <c r="EV60" i="250" s="1"/>
  <c r="I11" i="250"/>
  <c r="I60" i="250" s="1"/>
  <c r="DY11" i="250"/>
  <c r="DY60" i="250" s="1"/>
  <c r="EW11" i="250"/>
  <c r="EW60" i="250" s="1"/>
  <c r="FI11" i="250"/>
  <c r="FI60" i="250" s="1"/>
  <c r="V11" i="250"/>
  <c r="V60" i="250" s="1"/>
  <c r="EL11" i="250"/>
  <c r="EL60" i="250" s="1"/>
  <c r="FJ11" i="250"/>
  <c r="FJ60" i="250" s="1"/>
  <c r="FV11" i="250"/>
  <c r="FV60" i="250" s="1"/>
  <c r="U18" i="250"/>
  <c r="AS18" i="250"/>
  <c r="AS11" i="250" s="1"/>
  <c r="AS60" i="250" s="1"/>
  <c r="BE18" i="250"/>
  <c r="BE11" i="250" s="1"/>
  <c r="BE60" i="250" s="1"/>
  <c r="EW18" i="250"/>
  <c r="FI18" i="250"/>
  <c r="EJ11" i="250"/>
  <c r="EJ60" i="250" s="1"/>
  <c r="K11" i="250"/>
  <c r="K60" i="250" s="1"/>
  <c r="FW60" i="250"/>
  <c r="GH18" i="250"/>
  <c r="GH11" i="250" s="1"/>
  <c r="GH60" i="250" s="1"/>
  <c r="GI11" i="250"/>
  <c r="GI60" i="250" s="1"/>
  <c r="BF18" i="250"/>
  <c r="BF11" i="250" s="1"/>
  <c r="BF60" i="250" s="1"/>
  <c r="EZ23" i="250"/>
  <c r="EZ18" i="250" s="1"/>
  <c r="EZ11" i="250" s="1"/>
  <c r="EZ60" i="250" s="1"/>
  <c r="AV11" i="250"/>
  <c r="AV60" i="250" s="1"/>
  <c r="FL11" i="250"/>
  <c r="FL60" i="250" s="1"/>
  <c r="EY11" i="250"/>
  <c r="EY60" i="250" s="1"/>
  <c r="EL18" i="250"/>
  <c r="BS18" i="250"/>
  <c r="BS11" i="250" s="1"/>
  <c r="BS60" i="250" s="1"/>
  <c r="AK11" i="250"/>
  <c r="AK60" i="250" s="1"/>
  <c r="BI11" i="250"/>
  <c r="BI60" i="250" s="1"/>
  <c r="FY11" i="250"/>
  <c r="FY60" i="250" s="1"/>
  <c r="X11" i="250"/>
  <c r="X60" i="250" s="1"/>
  <c r="GJ11" i="250"/>
  <c r="GJ60" i="250" s="1"/>
  <c r="CE18" i="250"/>
  <c r="CE11" i="250" s="1"/>
  <c r="CE60" i="250" s="1"/>
  <c r="BU18" i="250"/>
  <c r="BU11" i="250" s="1"/>
  <c r="BU60" i="250" s="1"/>
  <c r="CS18" i="250"/>
  <c r="CS11" i="250" s="1"/>
  <c r="CS60" i="250" s="1"/>
  <c r="DE18" i="250"/>
  <c r="DE11" i="250" s="1"/>
  <c r="DE60" i="250" s="1"/>
  <c r="GK18" i="250"/>
  <c r="GK11" i="250" s="1"/>
  <c r="GK60" i="250" s="1"/>
  <c r="B11" i="250"/>
  <c r="B60" i="250" s="1"/>
  <c r="N11" i="250"/>
  <c r="N60" i="250" s="1"/>
  <c r="AL11" i="250"/>
  <c r="AL60" i="250" s="1"/>
  <c r="AX11" i="250"/>
  <c r="AX60" i="250" s="1"/>
  <c r="BJ11" i="250"/>
  <c r="BJ60" i="250" s="1"/>
  <c r="BV11" i="250"/>
  <c r="BV60" i="250" s="1"/>
  <c r="CH11" i="250"/>
  <c r="CH60" i="250" s="1"/>
  <c r="CT11" i="250"/>
  <c r="CT60" i="250" s="1"/>
  <c r="DF11" i="250"/>
  <c r="DF60" i="250" s="1"/>
  <c r="DR11" i="250"/>
  <c r="DR60" i="250" s="1"/>
  <c r="ED11" i="250"/>
  <c r="ED60" i="250" s="1"/>
  <c r="EP11" i="250"/>
  <c r="EP60" i="250" s="1"/>
  <c r="FB11" i="250"/>
  <c r="FB60" i="250" s="1"/>
  <c r="FN11" i="250"/>
  <c r="FN60" i="250" s="1"/>
  <c r="FZ11" i="250"/>
  <c r="FZ60" i="250" s="1"/>
  <c r="GL11" i="250"/>
  <c r="GL60" i="250" s="1"/>
  <c r="Z11" i="250"/>
  <c r="Z60" i="250" s="1"/>
  <c r="F18" i="250"/>
  <c r="R18" i="250"/>
  <c r="R11" i="250" s="1"/>
  <c r="R60" i="250" s="1"/>
  <c r="AD18" i="250"/>
  <c r="AD11" i="250" s="1"/>
  <c r="AD60" i="250" s="1"/>
  <c r="AP18" i="250"/>
  <c r="AP11" i="250" s="1"/>
  <c r="AP60" i="250" s="1"/>
  <c r="BB18" i="250"/>
  <c r="BN18" i="250"/>
  <c r="BZ18" i="250"/>
  <c r="BZ11" i="250" s="1"/>
  <c r="BZ60" i="250" s="1"/>
  <c r="CL18" i="250"/>
  <c r="CX18" i="250"/>
  <c r="DJ18" i="250"/>
  <c r="DV18" i="250"/>
  <c r="EH18" i="250"/>
  <c r="EH11" i="250" s="1"/>
  <c r="EH60" i="250" s="1"/>
  <c r="ET18" i="250"/>
  <c r="ET11" i="250" s="1"/>
  <c r="ET60" i="250" s="1"/>
  <c r="FF18" i="250"/>
  <c r="FF11" i="250" s="1"/>
  <c r="FF60" i="250" s="1"/>
  <c r="FR18" i="250"/>
  <c r="FR11" i="250" s="1"/>
  <c r="FR60" i="250" s="1"/>
  <c r="GD18" i="250"/>
  <c r="GD11" i="250" s="1"/>
  <c r="GD60" i="250" s="1"/>
  <c r="GP18" i="250"/>
  <c r="GP11" i="250" s="1"/>
  <c r="GP60" i="250" s="1"/>
  <c r="HR42" i="249" l="1"/>
  <c r="HQ42" i="249"/>
  <c r="HP42" i="249"/>
  <c r="HO42" i="249"/>
  <c r="HN42" i="249"/>
  <c r="HM42" i="249"/>
  <c r="HL42" i="249"/>
  <c r="HK42" i="249"/>
  <c r="GY42" i="249"/>
  <c r="GX42" i="249"/>
  <c r="GA42" i="249"/>
  <c r="FZ42" i="249"/>
  <c r="FY42" i="249"/>
  <c r="EQ42" i="249"/>
  <c r="DS42" i="249"/>
  <c r="DR42" i="249"/>
  <c r="CU42" i="249"/>
  <c r="CT42" i="249"/>
  <c r="CS42" i="249"/>
  <c r="BL42" i="249"/>
  <c r="AN42" i="249"/>
  <c r="P42" i="249"/>
  <c r="HJ28" i="249"/>
  <c r="HJ42" i="249" s="1"/>
  <c r="HI28" i="249"/>
  <c r="HI42" i="249" s="1"/>
  <c r="HH28" i="249"/>
  <c r="HH42" i="249" s="1"/>
  <c r="HG28" i="249"/>
  <c r="HG42" i="249" s="1"/>
  <c r="HF28" i="249"/>
  <c r="HF42" i="249" s="1"/>
  <c r="HE28" i="249"/>
  <c r="HE42" i="249" s="1"/>
  <c r="HD28" i="249"/>
  <c r="HD42" i="249" s="1"/>
  <c r="HC28" i="249"/>
  <c r="HC42" i="249" s="1"/>
  <c r="HB28" i="249"/>
  <c r="HB42" i="249" s="1"/>
  <c r="HA28" i="249"/>
  <c r="HA42" i="249" s="1"/>
  <c r="GZ28" i="249"/>
  <c r="GZ42" i="249" s="1"/>
  <c r="GY28" i="249"/>
  <c r="GX28" i="249"/>
  <c r="GW28" i="249"/>
  <c r="GW42" i="249" s="1"/>
  <c r="GV28" i="249"/>
  <c r="GV42" i="249" s="1"/>
  <c r="GU28" i="249"/>
  <c r="GU42" i="249" s="1"/>
  <c r="GT28" i="249"/>
  <c r="GT42" i="249" s="1"/>
  <c r="GS28" i="249"/>
  <c r="GS42" i="249" s="1"/>
  <c r="GR28" i="249"/>
  <c r="GR42" i="249" s="1"/>
  <c r="GQ28" i="249"/>
  <c r="GQ42" i="249" s="1"/>
  <c r="GP28" i="249"/>
  <c r="GP42" i="249" s="1"/>
  <c r="GO28" i="249"/>
  <c r="GO42" i="249" s="1"/>
  <c r="GN28" i="249"/>
  <c r="GN42" i="249" s="1"/>
  <c r="GM28" i="249"/>
  <c r="GM42" i="249" s="1"/>
  <c r="GL28" i="249"/>
  <c r="GL42" i="249" s="1"/>
  <c r="GK28" i="249"/>
  <c r="GK42" i="249" s="1"/>
  <c r="GJ28" i="249"/>
  <c r="GJ42" i="249" s="1"/>
  <c r="GI28" i="249"/>
  <c r="GI42" i="249" s="1"/>
  <c r="GH28" i="249"/>
  <c r="GH42" i="249" s="1"/>
  <c r="GG28" i="249"/>
  <c r="GG42" i="249" s="1"/>
  <c r="GF28" i="249"/>
  <c r="GF42" i="249" s="1"/>
  <c r="GE28" i="249"/>
  <c r="GE42" i="249" s="1"/>
  <c r="GD28" i="249"/>
  <c r="GD42" i="249" s="1"/>
  <c r="GC28" i="249"/>
  <c r="GC42" i="249" s="1"/>
  <c r="GB28" i="249"/>
  <c r="GB42" i="249" s="1"/>
  <c r="GA28" i="249"/>
  <c r="FZ28" i="249"/>
  <c r="FY28" i="249"/>
  <c r="FX28" i="249"/>
  <c r="FX42" i="249" s="1"/>
  <c r="FW28" i="249"/>
  <c r="FW42" i="249" s="1"/>
  <c r="FV28" i="249"/>
  <c r="FV42" i="249" s="1"/>
  <c r="FU28" i="249"/>
  <c r="FU42" i="249" s="1"/>
  <c r="FT28" i="249"/>
  <c r="FT42" i="249" s="1"/>
  <c r="FS28" i="249"/>
  <c r="FS42" i="249" s="1"/>
  <c r="FR28" i="249"/>
  <c r="FR42" i="249" s="1"/>
  <c r="FQ28" i="249"/>
  <c r="FQ42" i="249" s="1"/>
  <c r="FP28" i="249"/>
  <c r="FP42" i="249" s="1"/>
  <c r="FO28" i="249"/>
  <c r="FO42" i="249" s="1"/>
  <c r="FN28" i="249"/>
  <c r="FN42" i="249" s="1"/>
  <c r="FM28" i="249"/>
  <c r="FM42" i="249" s="1"/>
  <c r="FL28" i="249"/>
  <c r="FL42" i="249" s="1"/>
  <c r="FK28" i="249"/>
  <c r="FK42" i="249" s="1"/>
  <c r="FJ28" i="249"/>
  <c r="FJ42" i="249" s="1"/>
  <c r="FI28" i="249"/>
  <c r="FI42" i="249" s="1"/>
  <c r="FH28" i="249"/>
  <c r="FH42" i="249" s="1"/>
  <c r="FG28" i="249"/>
  <c r="FG42" i="249" s="1"/>
  <c r="FF28" i="249"/>
  <c r="FF42" i="249" s="1"/>
  <c r="FE28" i="249"/>
  <c r="FE42" i="249" s="1"/>
  <c r="FD28" i="249"/>
  <c r="FD42" i="249" s="1"/>
  <c r="FC28" i="249"/>
  <c r="FC42" i="249" s="1"/>
  <c r="FB28" i="249"/>
  <c r="FB42" i="249" s="1"/>
  <c r="FA28" i="249"/>
  <c r="FA42" i="249" s="1"/>
  <c r="EZ28" i="249"/>
  <c r="EZ42" i="249" s="1"/>
  <c r="EY28" i="249"/>
  <c r="EY42" i="249" s="1"/>
  <c r="EX28" i="249"/>
  <c r="EX42" i="249" s="1"/>
  <c r="EW28" i="249"/>
  <c r="EW42" i="249" s="1"/>
  <c r="EV28" i="249"/>
  <c r="EV42" i="249" s="1"/>
  <c r="EU28" i="249"/>
  <c r="EU42" i="249" s="1"/>
  <c r="ET28" i="249"/>
  <c r="ET42" i="249" s="1"/>
  <c r="ES28" i="249"/>
  <c r="ES42" i="249" s="1"/>
  <c r="ER28" i="249"/>
  <c r="ER42" i="249" s="1"/>
  <c r="EQ28" i="249"/>
  <c r="EP28" i="249"/>
  <c r="EP42" i="249" s="1"/>
  <c r="EO28" i="249"/>
  <c r="EO42" i="249" s="1"/>
  <c r="EN28" i="249"/>
  <c r="EN42" i="249" s="1"/>
  <c r="EM28" i="249"/>
  <c r="EM42" i="249" s="1"/>
  <c r="EL28" i="249"/>
  <c r="EL42" i="249" s="1"/>
  <c r="EK28" i="249"/>
  <c r="EK42" i="249" s="1"/>
  <c r="EJ28" i="249"/>
  <c r="EJ42" i="249" s="1"/>
  <c r="EI28" i="249"/>
  <c r="EI42" i="249" s="1"/>
  <c r="EH28" i="249"/>
  <c r="EH42" i="249" s="1"/>
  <c r="EG28" i="249"/>
  <c r="EG42" i="249" s="1"/>
  <c r="EF28" i="249"/>
  <c r="EF42" i="249" s="1"/>
  <c r="EE28" i="249"/>
  <c r="EE42" i="249" s="1"/>
  <c r="ED28" i="249"/>
  <c r="ED42" i="249" s="1"/>
  <c r="EC28" i="249"/>
  <c r="EC42" i="249" s="1"/>
  <c r="EB28" i="249"/>
  <c r="EB42" i="249" s="1"/>
  <c r="EA28" i="249"/>
  <c r="EA42" i="249" s="1"/>
  <c r="DZ28" i="249"/>
  <c r="DZ42" i="249" s="1"/>
  <c r="DY28" i="249"/>
  <c r="DY42" i="249" s="1"/>
  <c r="DX28" i="249"/>
  <c r="DX42" i="249" s="1"/>
  <c r="DW28" i="249"/>
  <c r="DW42" i="249" s="1"/>
  <c r="DV28" i="249"/>
  <c r="DV42" i="249" s="1"/>
  <c r="DU28" i="249"/>
  <c r="DU42" i="249" s="1"/>
  <c r="DT28" i="249"/>
  <c r="DT42" i="249" s="1"/>
  <c r="DS28" i="249"/>
  <c r="DR28" i="249"/>
  <c r="DQ28" i="249"/>
  <c r="DQ42" i="249" s="1"/>
  <c r="DP28" i="249"/>
  <c r="DP42" i="249" s="1"/>
  <c r="DO28" i="249"/>
  <c r="DO42" i="249" s="1"/>
  <c r="DN28" i="249"/>
  <c r="DN42" i="249" s="1"/>
  <c r="DM28" i="249"/>
  <c r="DM42" i="249" s="1"/>
  <c r="DL28" i="249"/>
  <c r="DL42" i="249" s="1"/>
  <c r="DK28" i="249"/>
  <c r="DK42" i="249" s="1"/>
  <c r="DJ28" i="249"/>
  <c r="DJ42" i="249" s="1"/>
  <c r="DI28" i="249"/>
  <c r="DI42" i="249" s="1"/>
  <c r="DH28" i="249"/>
  <c r="DH42" i="249" s="1"/>
  <c r="DG28" i="249"/>
  <c r="DG42" i="249" s="1"/>
  <c r="DF28" i="249"/>
  <c r="DF42" i="249" s="1"/>
  <c r="DE28" i="249"/>
  <c r="DE42" i="249" s="1"/>
  <c r="DD28" i="249"/>
  <c r="DD42" i="249" s="1"/>
  <c r="DC28" i="249"/>
  <c r="DC42" i="249" s="1"/>
  <c r="DB28" i="249"/>
  <c r="DB42" i="249" s="1"/>
  <c r="DA28" i="249"/>
  <c r="DA42" i="249" s="1"/>
  <c r="CZ28" i="249"/>
  <c r="CZ42" i="249" s="1"/>
  <c r="CY28" i="249"/>
  <c r="CY42" i="249" s="1"/>
  <c r="CX28" i="249"/>
  <c r="CX42" i="249" s="1"/>
  <c r="CW28" i="249"/>
  <c r="CW42" i="249" s="1"/>
  <c r="CV28" i="249"/>
  <c r="CV42" i="249" s="1"/>
  <c r="CU28" i="249"/>
  <c r="CT28" i="249"/>
  <c r="CS28" i="249"/>
  <c r="CR28" i="249"/>
  <c r="CR42" i="249" s="1"/>
  <c r="CQ28" i="249"/>
  <c r="CQ42" i="249" s="1"/>
  <c r="CP28" i="249"/>
  <c r="CP42" i="249" s="1"/>
  <c r="CO28" i="249"/>
  <c r="CO42" i="249" s="1"/>
  <c r="CN28" i="249"/>
  <c r="CN42" i="249" s="1"/>
  <c r="CM28" i="249"/>
  <c r="CM42" i="249" s="1"/>
  <c r="CL28" i="249"/>
  <c r="CL42" i="249" s="1"/>
  <c r="CK28" i="249"/>
  <c r="CK42" i="249" s="1"/>
  <c r="CJ28" i="249"/>
  <c r="CJ42" i="249" s="1"/>
  <c r="CI28" i="249"/>
  <c r="CI42" i="249" s="1"/>
  <c r="CH28" i="249"/>
  <c r="CH42" i="249" s="1"/>
  <c r="CG28" i="249"/>
  <c r="CG42" i="249" s="1"/>
  <c r="CF28" i="249"/>
  <c r="CF42" i="249" s="1"/>
  <c r="CE28" i="249"/>
  <c r="CE42" i="249" s="1"/>
  <c r="CD28" i="249"/>
  <c r="CD42" i="249" s="1"/>
  <c r="CC28" i="249"/>
  <c r="CC42" i="249" s="1"/>
  <c r="CB28" i="249"/>
  <c r="CB42" i="249" s="1"/>
  <c r="CA28" i="249"/>
  <c r="CA42" i="249" s="1"/>
  <c r="BZ28" i="249"/>
  <c r="BZ42" i="249" s="1"/>
  <c r="BY28" i="249"/>
  <c r="BY42" i="249" s="1"/>
  <c r="BX28" i="249"/>
  <c r="BX42" i="249" s="1"/>
  <c r="BW28" i="249"/>
  <c r="BW42" i="249" s="1"/>
  <c r="BV28" i="249"/>
  <c r="BV42" i="249" s="1"/>
  <c r="BU28" i="249"/>
  <c r="BU42" i="249" s="1"/>
  <c r="BT28" i="249"/>
  <c r="BT42" i="249" s="1"/>
  <c r="BS28" i="249"/>
  <c r="BS42" i="249" s="1"/>
  <c r="BR28" i="249"/>
  <c r="BR42" i="249" s="1"/>
  <c r="BQ28" i="249"/>
  <c r="BQ42" i="249" s="1"/>
  <c r="BP28" i="249"/>
  <c r="BP42" i="249" s="1"/>
  <c r="BO28" i="249"/>
  <c r="BO42" i="249" s="1"/>
  <c r="BN28" i="249"/>
  <c r="BN42" i="249" s="1"/>
  <c r="BM28" i="249"/>
  <c r="BM42" i="249" s="1"/>
  <c r="BL28" i="249"/>
  <c r="BK28" i="249"/>
  <c r="BK42" i="249" s="1"/>
  <c r="BJ28" i="249"/>
  <c r="BJ42" i="249" s="1"/>
  <c r="BI28" i="249"/>
  <c r="BI42" i="249" s="1"/>
  <c r="BH28" i="249"/>
  <c r="BH42" i="249" s="1"/>
  <c r="BG28" i="249"/>
  <c r="BG42" i="249" s="1"/>
  <c r="BF28" i="249"/>
  <c r="BF42" i="249" s="1"/>
  <c r="BE28" i="249"/>
  <c r="BE42" i="249" s="1"/>
  <c r="BD28" i="249"/>
  <c r="BD42" i="249" s="1"/>
  <c r="BC28" i="249"/>
  <c r="BC42" i="249" s="1"/>
  <c r="BB28" i="249"/>
  <c r="BB42" i="249" s="1"/>
  <c r="BA28" i="249"/>
  <c r="BA42" i="249" s="1"/>
  <c r="AZ28" i="249"/>
  <c r="AZ42" i="249" s="1"/>
  <c r="AY28" i="249"/>
  <c r="AY42" i="249" s="1"/>
  <c r="AX28" i="249"/>
  <c r="AX42" i="249" s="1"/>
  <c r="AW28" i="249"/>
  <c r="AW42" i="249" s="1"/>
  <c r="AV28" i="249"/>
  <c r="AV42" i="249" s="1"/>
  <c r="AU28" i="249"/>
  <c r="AU42" i="249" s="1"/>
  <c r="AT28" i="249"/>
  <c r="AT42" i="249" s="1"/>
  <c r="AS28" i="249"/>
  <c r="AS42" i="249" s="1"/>
  <c r="AR28" i="249"/>
  <c r="AR42" i="249" s="1"/>
  <c r="AQ28" i="249"/>
  <c r="AQ42" i="249" s="1"/>
  <c r="AP28" i="249"/>
  <c r="AP42" i="249" s="1"/>
  <c r="AO28" i="249"/>
  <c r="AO42" i="249" s="1"/>
  <c r="AN28" i="249"/>
  <c r="AM28" i="249"/>
  <c r="AM42" i="249" s="1"/>
  <c r="AL28" i="249"/>
  <c r="AL42" i="249" s="1"/>
  <c r="AK28" i="249"/>
  <c r="AK42" i="249" s="1"/>
  <c r="AJ28" i="249"/>
  <c r="AJ42" i="249" s="1"/>
  <c r="AI28" i="249"/>
  <c r="AI42" i="249" s="1"/>
  <c r="AH28" i="249"/>
  <c r="AH42" i="249" s="1"/>
  <c r="AG28" i="249"/>
  <c r="AG42" i="249" s="1"/>
  <c r="AF28" i="249"/>
  <c r="AF42" i="249" s="1"/>
  <c r="AE28" i="249"/>
  <c r="AE42" i="249" s="1"/>
  <c r="AD28" i="249"/>
  <c r="AD42" i="249" s="1"/>
  <c r="AC28" i="249"/>
  <c r="AC42" i="249" s="1"/>
  <c r="AB28" i="249"/>
  <c r="AB42" i="249" s="1"/>
  <c r="AA28" i="249"/>
  <c r="AA42" i="249" s="1"/>
  <c r="Z28" i="249"/>
  <c r="Z42" i="249" s="1"/>
  <c r="Y28" i="249"/>
  <c r="Y42" i="249" s="1"/>
  <c r="X28" i="249"/>
  <c r="X42" i="249" s="1"/>
  <c r="W28" i="249"/>
  <c r="W42" i="249" s="1"/>
  <c r="V28" i="249"/>
  <c r="V42" i="249" s="1"/>
  <c r="U28" i="249"/>
  <c r="U42" i="249" s="1"/>
  <c r="T28" i="249"/>
  <c r="T42" i="249" s="1"/>
  <c r="S28" i="249"/>
  <c r="S42" i="249" s="1"/>
  <c r="R28" i="249"/>
  <c r="R42" i="249" s="1"/>
  <c r="Q28" i="249"/>
  <c r="Q42" i="249" s="1"/>
  <c r="P28" i="249"/>
  <c r="O28" i="249"/>
  <c r="O42" i="249" s="1"/>
  <c r="N28" i="249"/>
  <c r="N42" i="249" s="1"/>
  <c r="M28" i="249"/>
  <c r="M42" i="249" s="1"/>
  <c r="L28" i="249"/>
  <c r="L42" i="249" s="1"/>
  <c r="K28" i="249"/>
  <c r="K42" i="249" s="1"/>
  <c r="J28" i="249"/>
  <c r="J42" i="249" s="1"/>
  <c r="I28" i="249"/>
  <c r="I42" i="249" s="1"/>
  <c r="H28" i="249"/>
  <c r="H42" i="249" s="1"/>
  <c r="G28" i="249"/>
  <c r="G42" i="249" s="1"/>
  <c r="F28" i="249"/>
  <c r="F42" i="249" s="1"/>
  <c r="E28" i="249"/>
  <c r="E42" i="249" s="1"/>
  <c r="D28" i="249"/>
  <c r="D42" i="249" s="1"/>
  <c r="C28" i="249"/>
  <c r="C42" i="249" s="1"/>
  <c r="D81" i="123" l="1"/>
  <c r="D82" i="123"/>
  <c r="D83" i="123"/>
  <c r="X284" i="92"/>
  <c r="X285" i="92"/>
  <c r="X286" i="92"/>
  <c r="AH285" i="92"/>
  <c r="AH286" i="92"/>
  <c r="AF285" i="92"/>
  <c r="AF286" i="92"/>
  <c r="AD285" i="92"/>
  <c r="AD286" i="92"/>
  <c r="AB285" i="92"/>
  <c r="AB286" i="92"/>
  <c r="Z285" i="92"/>
  <c r="Z286" i="92"/>
  <c r="Y285" i="92"/>
  <c r="Y286" i="92"/>
  <c r="V285" i="92"/>
  <c r="V286" i="92"/>
  <c r="T285" i="92"/>
  <c r="T286" i="92"/>
  <c r="R285" i="92"/>
  <c r="R286" i="92"/>
  <c r="P285" i="92"/>
  <c r="P286" i="92"/>
  <c r="N285" i="92"/>
  <c r="N286" i="92"/>
  <c r="L285" i="92"/>
  <c r="L286" i="92"/>
  <c r="J285" i="92"/>
  <c r="J286" i="92"/>
  <c r="H285" i="92"/>
  <c r="H286" i="92"/>
  <c r="F285" i="92"/>
  <c r="F286" i="92"/>
  <c r="D285" i="92"/>
  <c r="D286" i="92"/>
  <c r="L282" i="15"/>
  <c r="L283" i="15"/>
  <c r="J282" i="15"/>
  <c r="J283" i="15"/>
  <c r="H282" i="15"/>
  <c r="H283" i="15"/>
  <c r="F282" i="15"/>
  <c r="F283" i="15"/>
  <c r="D282" i="15"/>
  <c r="D283" i="15"/>
  <c r="C283" i="219"/>
  <c r="H283" i="219"/>
  <c r="G278" i="217" l="1"/>
  <c r="G279" i="217"/>
  <c r="D278" i="217"/>
  <c r="D279" i="217"/>
  <c r="J279" i="209" l="1"/>
  <c r="G279" i="209"/>
  <c r="D279" i="209"/>
  <c r="G292" i="86" l="1"/>
  <c r="AH284" i="92" l="1"/>
  <c r="AF284" i="92"/>
  <c r="AD284" i="92"/>
  <c r="AB284" i="92"/>
  <c r="Y284" i="92"/>
  <c r="Z284" i="92" s="1"/>
  <c r="V284" i="92"/>
  <c r="T284" i="92"/>
  <c r="R284" i="92"/>
  <c r="P284" i="92"/>
  <c r="N284" i="92"/>
  <c r="L284" i="92"/>
  <c r="J284" i="92"/>
  <c r="H284" i="92"/>
  <c r="F284" i="92"/>
  <c r="D284" i="92"/>
  <c r="L281" i="15"/>
  <c r="J281" i="15"/>
  <c r="H281" i="15"/>
  <c r="F281" i="15"/>
  <c r="D281" i="15"/>
  <c r="G281" i="106" l="1"/>
  <c r="F281" i="106"/>
  <c r="F242" i="106"/>
  <c r="G242" i="106" s="1"/>
  <c r="F255" i="106"/>
  <c r="G255" i="106" s="1"/>
  <c r="F268" i="106"/>
  <c r="G268" i="106" s="1"/>
  <c r="J278" i="209" l="1"/>
  <c r="G278" i="209"/>
  <c r="D278" i="209"/>
  <c r="D80" i="123" l="1"/>
  <c r="B287" i="32" l="1"/>
  <c r="I287" i="32" s="1"/>
  <c r="E287" i="32"/>
  <c r="H287" i="32" l="1"/>
  <c r="AH283" i="92"/>
  <c r="AF283" i="92"/>
  <c r="AD283" i="92"/>
  <c r="AB283" i="92"/>
  <c r="Y283" i="92"/>
  <c r="Z283" i="92" s="1"/>
  <c r="X283" i="92"/>
  <c r="V283" i="92"/>
  <c r="T283" i="92"/>
  <c r="R283" i="92"/>
  <c r="P283" i="92"/>
  <c r="N283" i="92"/>
  <c r="L283" i="92"/>
  <c r="J283" i="92"/>
  <c r="H283" i="92"/>
  <c r="F283" i="92"/>
  <c r="D283" i="92"/>
  <c r="L280" i="15" l="1"/>
  <c r="J280" i="15"/>
  <c r="H280" i="15"/>
  <c r="F280" i="15"/>
  <c r="D280" i="15"/>
  <c r="P175" i="236" l="1"/>
  <c r="O175" i="236"/>
  <c r="M175" i="236"/>
  <c r="K175" i="236"/>
  <c r="H175" i="236"/>
  <c r="G175" i="236"/>
  <c r="E175" i="236"/>
  <c r="B175" i="236"/>
  <c r="P174" i="236"/>
  <c r="O174" i="236"/>
  <c r="M174" i="236"/>
  <c r="K174" i="236"/>
  <c r="H174" i="236"/>
  <c r="G174" i="236"/>
  <c r="E174" i="236"/>
  <c r="B174" i="236"/>
  <c r="P173" i="236"/>
  <c r="O173" i="236"/>
  <c r="M173" i="236"/>
  <c r="K173" i="236"/>
  <c r="H173" i="236"/>
  <c r="G173" i="236"/>
  <c r="E173" i="236"/>
  <c r="B173" i="236"/>
  <c r="P172" i="236"/>
  <c r="O172" i="236"/>
  <c r="M172" i="236"/>
  <c r="K172" i="236"/>
  <c r="H172" i="236"/>
  <c r="G172" i="236"/>
  <c r="E172" i="236"/>
  <c r="B172" i="236"/>
  <c r="M171" i="236"/>
  <c r="L171" i="236"/>
  <c r="K171" i="236"/>
  <c r="J171" i="236"/>
  <c r="G171" i="236"/>
  <c r="F171" i="236"/>
  <c r="E171" i="236"/>
  <c r="D171" i="236"/>
  <c r="P169" i="236"/>
  <c r="O169" i="236"/>
  <c r="M169" i="236"/>
  <c r="K169" i="236"/>
  <c r="H169" i="236"/>
  <c r="I169" i="236" s="1"/>
  <c r="G169" i="236"/>
  <c r="E169" i="236"/>
  <c r="B169" i="236"/>
  <c r="P168" i="236"/>
  <c r="O168" i="236"/>
  <c r="M168" i="236"/>
  <c r="K168" i="236"/>
  <c r="H168" i="236"/>
  <c r="G168" i="236"/>
  <c r="E168" i="236"/>
  <c r="B168" i="236"/>
  <c r="N168" i="236" s="1"/>
  <c r="P167" i="236"/>
  <c r="O167" i="236"/>
  <c r="M167" i="236"/>
  <c r="K167" i="236"/>
  <c r="H167" i="236"/>
  <c r="I167" i="236" s="1"/>
  <c r="G167" i="236"/>
  <c r="E167" i="236"/>
  <c r="B167" i="236"/>
  <c r="P166" i="236"/>
  <c r="O166" i="236"/>
  <c r="M166" i="236"/>
  <c r="K166" i="236"/>
  <c r="H166" i="236"/>
  <c r="I166" i="236" s="1"/>
  <c r="G166" i="236"/>
  <c r="E166" i="236"/>
  <c r="B166" i="236"/>
  <c r="M165" i="236"/>
  <c r="L165" i="236"/>
  <c r="K165" i="236"/>
  <c r="J165" i="236"/>
  <c r="G165" i="236"/>
  <c r="F165" i="236"/>
  <c r="E165" i="236"/>
  <c r="D165" i="236"/>
  <c r="E160" i="236"/>
  <c r="P159" i="236"/>
  <c r="O159" i="236"/>
  <c r="N159" i="236"/>
  <c r="L159" i="236"/>
  <c r="J159" i="236"/>
  <c r="H159" i="236"/>
  <c r="F159" i="236"/>
  <c r="D159" i="236"/>
  <c r="B159" i="236"/>
  <c r="L157" i="236"/>
  <c r="L153" i="236" s="1"/>
  <c r="H156" i="236"/>
  <c r="E156" i="236"/>
  <c r="C156" i="236"/>
  <c r="P155" i="236"/>
  <c r="L155" i="236"/>
  <c r="M155" i="236" s="1"/>
  <c r="J155" i="236"/>
  <c r="J157" i="236" s="1"/>
  <c r="K153" i="236" s="1"/>
  <c r="F155" i="236"/>
  <c r="F157" i="236" s="1"/>
  <c r="G157" i="236" s="1"/>
  <c r="D155" i="236"/>
  <c r="O155" i="236" s="1"/>
  <c r="P154" i="236"/>
  <c r="O154" i="236"/>
  <c r="M154" i="236"/>
  <c r="K154" i="236"/>
  <c r="H154" i="236"/>
  <c r="N154" i="236" s="1"/>
  <c r="G154" i="236"/>
  <c r="E154" i="236"/>
  <c r="B154" i="236"/>
  <c r="C154" i="236" s="1"/>
  <c r="P147" i="236"/>
  <c r="O147" i="236"/>
  <c r="N147" i="236"/>
  <c r="M147" i="236"/>
  <c r="L147" i="236"/>
  <c r="K147" i="236"/>
  <c r="J147" i="236"/>
  <c r="H147" i="236"/>
  <c r="G147" i="236"/>
  <c r="F147" i="236"/>
  <c r="E147" i="236"/>
  <c r="D147" i="236"/>
  <c r="B147" i="236"/>
  <c r="P145" i="236"/>
  <c r="O145" i="236"/>
  <c r="H145" i="236"/>
  <c r="B145" i="236"/>
  <c r="P144" i="236"/>
  <c r="O144" i="236"/>
  <c r="K144" i="236"/>
  <c r="H144" i="236"/>
  <c r="B144" i="236"/>
  <c r="P143" i="236"/>
  <c r="O143" i="236"/>
  <c r="M143" i="236"/>
  <c r="K143" i="236"/>
  <c r="H143" i="236"/>
  <c r="G143" i="236"/>
  <c r="E143" i="236"/>
  <c r="B143" i="236"/>
  <c r="P142" i="236"/>
  <c r="O142" i="236"/>
  <c r="O141" i="236" s="1"/>
  <c r="M142" i="236"/>
  <c r="K142" i="236"/>
  <c r="H142" i="236"/>
  <c r="G142" i="236"/>
  <c r="E142" i="236"/>
  <c r="B142" i="236"/>
  <c r="L141" i="236"/>
  <c r="J141" i="236"/>
  <c r="F141" i="236"/>
  <c r="D141" i="236"/>
  <c r="J139" i="236"/>
  <c r="K141" i="236" s="1"/>
  <c r="O138" i="236"/>
  <c r="L138" i="236"/>
  <c r="J138" i="236"/>
  <c r="K138" i="236" s="1"/>
  <c r="F138" i="236"/>
  <c r="G144" i="236" s="1"/>
  <c r="D138" i="236"/>
  <c r="B138" i="236"/>
  <c r="P137" i="236"/>
  <c r="O137" i="236"/>
  <c r="M137" i="236"/>
  <c r="K137" i="236"/>
  <c r="H137" i="236"/>
  <c r="G137" i="236"/>
  <c r="E137" i="236"/>
  <c r="B137" i="236"/>
  <c r="P136" i="236"/>
  <c r="O136" i="236"/>
  <c r="M136" i="236"/>
  <c r="K136" i="236"/>
  <c r="H136" i="236"/>
  <c r="G136" i="236"/>
  <c r="E136" i="236"/>
  <c r="B136" i="236"/>
  <c r="N136" i="236" s="1"/>
  <c r="P133" i="236"/>
  <c r="O133" i="236"/>
  <c r="M133" i="236"/>
  <c r="K133" i="236"/>
  <c r="H133" i="236"/>
  <c r="G133" i="236"/>
  <c r="E133" i="236"/>
  <c r="B133" i="236"/>
  <c r="N133" i="236" s="1"/>
  <c r="P132" i="236"/>
  <c r="O132" i="236"/>
  <c r="M132" i="236"/>
  <c r="K132" i="236"/>
  <c r="H132" i="236"/>
  <c r="I132" i="236" s="1"/>
  <c r="G132" i="236"/>
  <c r="E132" i="236"/>
  <c r="B132" i="236"/>
  <c r="P131" i="236"/>
  <c r="O131" i="236"/>
  <c r="M131" i="236"/>
  <c r="K131" i="236"/>
  <c r="H131" i="236"/>
  <c r="G131" i="236"/>
  <c r="E131" i="236"/>
  <c r="B131" i="236"/>
  <c r="P130" i="236"/>
  <c r="P129" i="236" s="1"/>
  <c r="O130" i="236"/>
  <c r="O129" i="236" s="1"/>
  <c r="M130" i="236"/>
  <c r="K130" i="236"/>
  <c r="H130" i="236"/>
  <c r="I130" i="236" s="1"/>
  <c r="G130" i="236"/>
  <c r="E130" i="236"/>
  <c r="B130" i="236"/>
  <c r="M129" i="236"/>
  <c r="L129" i="236"/>
  <c r="K129" i="236"/>
  <c r="J129" i="236"/>
  <c r="G129" i="236"/>
  <c r="F129" i="236"/>
  <c r="E129" i="236"/>
  <c r="D129" i="236"/>
  <c r="P127" i="236"/>
  <c r="O127" i="236"/>
  <c r="M127" i="236"/>
  <c r="K127" i="236"/>
  <c r="H127" i="236"/>
  <c r="I133" i="236" s="1"/>
  <c r="G127" i="236"/>
  <c r="E127" i="236"/>
  <c r="B127" i="236"/>
  <c r="C127" i="236" s="1"/>
  <c r="P126" i="236"/>
  <c r="O126" i="236"/>
  <c r="M126" i="236"/>
  <c r="K126" i="236"/>
  <c r="H126" i="236"/>
  <c r="I126" i="236" s="1"/>
  <c r="G126" i="236"/>
  <c r="E126" i="236"/>
  <c r="B126" i="236"/>
  <c r="C126" i="236" s="1"/>
  <c r="P125" i="236"/>
  <c r="O125" i="236"/>
  <c r="M125" i="236"/>
  <c r="K125" i="236"/>
  <c r="H125" i="236"/>
  <c r="G125" i="236"/>
  <c r="E125" i="236"/>
  <c r="B125" i="236"/>
  <c r="P124" i="236"/>
  <c r="O124" i="236"/>
  <c r="N124" i="236"/>
  <c r="M124" i="236"/>
  <c r="K124" i="236"/>
  <c r="I124" i="236"/>
  <c r="G124" i="236"/>
  <c r="E124" i="236"/>
  <c r="C124" i="236"/>
  <c r="M123" i="236"/>
  <c r="L123" i="236"/>
  <c r="K123" i="236"/>
  <c r="J123" i="236"/>
  <c r="G123" i="236"/>
  <c r="F123" i="236"/>
  <c r="E123" i="236"/>
  <c r="D123" i="236"/>
  <c r="P61" i="236"/>
  <c r="O61" i="236"/>
  <c r="N61" i="236"/>
  <c r="M61" i="236"/>
  <c r="K61" i="236"/>
  <c r="I61" i="236"/>
  <c r="G61" i="236"/>
  <c r="E61" i="236"/>
  <c r="C61" i="236"/>
  <c r="P60" i="236"/>
  <c r="O60" i="236"/>
  <c r="N60" i="236"/>
  <c r="M60" i="236"/>
  <c r="K60" i="236"/>
  <c r="I60" i="236"/>
  <c r="G60" i="236"/>
  <c r="E60" i="236"/>
  <c r="C60" i="236"/>
  <c r="P59" i="236"/>
  <c r="O59" i="236"/>
  <c r="N59" i="236"/>
  <c r="M59" i="236"/>
  <c r="K59" i="236"/>
  <c r="I59" i="236"/>
  <c r="G59" i="236"/>
  <c r="E59" i="236"/>
  <c r="C59" i="236"/>
  <c r="P58" i="236"/>
  <c r="O58" i="236"/>
  <c r="N58" i="236"/>
  <c r="M58" i="236"/>
  <c r="K58" i="236"/>
  <c r="I58" i="236"/>
  <c r="G58" i="236"/>
  <c r="E58" i="236"/>
  <c r="C58" i="236"/>
  <c r="N57" i="236"/>
  <c r="L57" i="236"/>
  <c r="M57" i="236" s="1"/>
  <c r="J57" i="236"/>
  <c r="O57" i="236" s="1"/>
  <c r="H57" i="236"/>
  <c r="F57" i="236"/>
  <c r="D57" i="236"/>
  <c r="B57" i="236"/>
  <c r="P55" i="236"/>
  <c r="O55" i="236"/>
  <c r="N55" i="236"/>
  <c r="M55" i="236"/>
  <c r="K55" i="236"/>
  <c r="I55" i="236"/>
  <c r="G55" i="236"/>
  <c r="E55" i="236"/>
  <c r="C55" i="236"/>
  <c r="P54" i="236"/>
  <c r="O54" i="236"/>
  <c r="N54" i="236"/>
  <c r="M54" i="236"/>
  <c r="K54" i="236"/>
  <c r="I54" i="236"/>
  <c r="G54" i="236"/>
  <c r="E54" i="236"/>
  <c r="C54" i="236"/>
  <c r="P53" i="236"/>
  <c r="O53" i="236"/>
  <c r="N53" i="236"/>
  <c r="M53" i="236"/>
  <c r="K53" i="236"/>
  <c r="I53" i="236"/>
  <c r="G53" i="236"/>
  <c r="E53" i="236"/>
  <c r="C53" i="236"/>
  <c r="P52" i="236"/>
  <c r="O52" i="236"/>
  <c r="N52" i="236"/>
  <c r="M52" i="236"/>
  <c r="K52" i="236"/>
  <c r="I52" i="236"/>
  <c r="G52" i="236"/>
  <c r="E52" i="236"/>
  <c r="C52" i="236"/>
  <c r="L51" i="236"/>
  <c r="J51" i="236"/>
  <c r="H51" i="236"/>
  <c r="F51" i="236"/>
  <c r="G51" i="236" s="1"/>
  <c r="D51" i="236"/>
  <c r="O51" i="236" s="1"/>
  <c r="B51" i="236"/>
  <c r="C51" i="236" s="1"/>
  <c r="P49" i="236"/>
  <c r="O49" i="236"/>
  <c r="N49" i="236"/>
  <c r="M49" i="236"/>
  <c r="K49" i="236"/>
  <c r="I49" i="236"/>
  <c r="G49" i="236"/>
  <c r="E49" i="236"/>
  <c r="C49" i="236"/>
  <c r="P48" i="236"/>
  <c r="O48" i="236"/>
  <c r="N48" i="236"/>
  <c r="P47" i="236"/>
  <c r="O47" i="236"/>
  <c r="N47" i="236"/>
  <c r="P46" i="236"/>
  <c r="O46" i="236"/>
  <c r="N46" i="236"/>
  <c r="M46" i="236"/>
  <c r="K46" i="236"/>
  <c r="I46" i="236"/>
  <c r="G46" i="236"/>
  <c r="E46" i="236"/>
  <c r="C46" i="236"/>
  <c r="L45" i="236"/>
  <c r="J45" i="236"/>
  <c r="H45" i="236"/>
  <c r="F45" i="236"/>
  <c r="D45" i="236"/>
  <c r="B45" i="236"/>
  <c r="P43" i="236"/>
  <c r="O43" i="236"/>
  <c r="N43" i="236"/>
  <c r="M43" i="236"/>
  <c r="K43" i="236"/>
  <c r="I43" i="236"/>
  <c r="G43" i="236"/>
  <c r="E43" i="236"/>
  <c r="C43" i="236"/>
  <c r="L41" i="236"/>
  <c r="J41" i="236"/>
  <c r="K47" i="236" s="1"/>
  <c r="H41" i="236"/>
  <c r="I41" i="236" s="1"/>
  <c r="F41" i="236"/>
  <c r="D41" i="236"/>
  <c r="B41" i="236"/>
  <c r="C47" i="236" s="1"/>
  <c r="P40" i="236"/>
  <c r="O40" i="236"/>
  <c r="N40" i="236"/>
  <c r="M40" i="236"/>
  <c r="K40" i="236"/>
  <c r="I40" i="236"/>
  <c r="G40" i="236"/>
  <c r="E40" i="236"/>
  <c r="C40" i="236"/>
  <c r="P37" i="236"/>
  <c r="O37" i="236"/>
  <c r="N37" i="236"/>
  <c r="M37" i="236"/>
  <c r="K37" i="236"/>
  <c r="I37" i="236"/>
  <c r="G37" i="236"/>
  <c r="E37" i="236"/>
  <c r="C37" i="236"/>
  <c r="P36" i="236"/>
  <c r="O36" i="236"/>
  <c r="N36" i="236"/>
  <c r="M36" i="236"/>
  <c r="K36" i="236"/>
  <c r="I36" i="236"/>
  <c r="G36" i="236"/>
  <c r="E36" i="236"/>
  <c r="C36" i="236"/>
  <c r="P35" i="236"/>
  <c r="O35" i="236"/>
  <c r="N35" i="236"/>
  <c r="M35" i="236"/>
  <c r="K35" i="236"/>
  <c r="I35" i="236"/>
  <c r="G35" i="236"/>
  <c r="E35" i="236"/>
  <c r="C35" i="236"/>
  <c r="P34" i="236"/>
  <c r="O34" i="236"/>
  <c r="N34" i="236"/>
  <c r="L33" i="236"/>
  <c r="J33" i="236"/>
  <c r="H33" i="236"/>
  <c r="F33" i="236"/>
  <c r="D33" i="236"/>
  <c r="B33" i="236"/>
  <c r="C33" i="236" s="1"/>
  <c r="P31" i="236"/>
  <c r="O31" i="236"/>
  <c r="N31" i="236"/>
  <c r="M31" i="236"/>
  <c r="K31" i="236"/>
  <c r="I31" i="236"/>
  <c r="G31" i="236"/>
  <c r="E31" i="236"/>
  <c r="C31" i="236"/>
  <c r="P30" i="236"/>
  <c r="O30" i="236"/>
  <c r="N30" i="236"/>
  <c r="M30" i="236"/>
  <c r="K30" i="236"/>
  <c r="I30" i="236"/>
  <c r="G30" i="236"/>
  <c r="E30" i="236"/>
  <c r="C30" i="236"/>
  <c r="P29" i="236"/>
  <c r="O29" i="236"/>
  <c r="N29" i="236"/>
  <c r="M29" i="236"/>
  <c r="K29" i="236"/>
  <c r="I29" i="236"/>
  <c r="G29" i="236"/>
  <c r="E29" i="236"/>
  <c r="C29" i="236"/>
  <c r="P28" i="236"/>
  <c r="O28" i="236"/>
  <c r="N28" i="236"/>
  <c r="M28" i="236"/>
  <c r="K28" i="236"/>
  <c r="I28" i="236"/>
  <c r="G28" i="236"/>
  <c r="E28" i="236"/>
  <c r="C28" i="236"/>
  <c r="L27" i="236"/>
  <c r="J27" i="236"/>
  <c r="K27" i="236" s="1"/>
  <c r="H27" i="236"/>
  <c r="N27" i="236" s="1"/>
  <c r="F27" i="236"/>
  <c r="G33" i="236" s="1"/>
  <c r="D27" i="236"/>
  <c r="B27" i="236"/>
  <c r="P26" i="236"/>
  <c r="O26" i="236"/>
  <c r="N26" i="236"/>
  <c r="P25" i="236"/>
  <c r="O25" i="236"/>
  <c r="N25" i="236"/>
  <c r="P24" i="236"/>
  <c r="O24" i="236"/>
  <c r="N24" i="236"/>
  <c r="P23" i="236"/>
  <c r="O23" i="236"/>
  <c r="N23" i="236"/>
  <c r="L22" i="236"/>
  <c r="M22" i="236" s="1"/>
  <c r="J22" i="236"/>
  <c r="K22" i="236" s="1"/>
  <c r="H22" i="236"/>
  <c r="I22" i="236" s="1"/>
  <c r="F22" i="236"/>
  <c r="G22" i="236" s="1"/>
  <c r="D22" i="236"/>
  <c r="E22" i="236" s="1"/>
  <c r="B22" i="236"/>
  <c r="C22" i="236" s="1"/>
  <c r="P21" i="236"/>
  <c r="O21" i="236"/>
  <c r="N21" i="236"/>
  <c r="M21" i="236"/>
  <c r="K21" i="236"/>
  <c r="I21" i="236"/>
  <c r="G21" i="236"/>
  <c r="E21" i="236"/>
  <c r="C21" i="236"/>
  <c r="P20" i="236"/>
  <c r="O20" i="236"/>
  <c r="N20" i="236"/>
  <c r="M20" i="236"/>
  <c r="P19" i="236"/>
  <c r="O19" i="236"/>
  <c r="N19" i="236"/>
  <c r="BY6" i="236"/>
  <c r="J135" i="236" l="1"/>
  <c r="P57" i="236"/>
  <c r="N145" i="236"/>
  <c r="N143" i="236"/>
  <c r="I33" i="236"/>
  <c r="O33" i="236"/>
  <c r="H155" i="236"/>
  <c r="I155" i="236" s="1"/>
  <c r="O171" i="236"/>
  <c r="N172" i="236"/>
  <c r="C142" i="236"/>
  <c r="B42" i="236"/>
  <c r="C48" i="236" s="1"/>
  <c r="P171" i="236"/>
  <c r="I174" i="236"/>
  <c r="C41" i="236"/>
  <c r="M51" i="236"/>
  <c r="I175" i="236"/>
  <c r="N33" i="236"/>
  <c r="N166" i="236"/>
  <c r="N169" i="236"/>
  <c r="N173" i="236"/>
  <c r="M138" i="236"/>
  <c r="P27" i="236"/>
  <c r="L139" i="236"/>
  <c r="M145" i="236" s="1"/>
  <c r="O27" i="236"/>
  <c r="H42" i="236"/>
  <c r="C57" i="236"/>
  <c r="C147" i="236"/>
  <c r="O123" i="236"/>
  <c r="O22" i="236"/>
  <c r="G57" i="236"/>
  <c r="P123" i="236"/>
  <c r="P141" i="236"/>
  <c r="M144" i="236"/>
  <c r="O165" i="236"/>
  <c r="C166" i="236"/>
  <c r="N41" i="236"/>
  <c r="N167" i="236"/>
  <c r="C42" i="236"/>
  <c r="B141" i="236"/>
  <c r="E57" i="236"/>
  <c r="N138" i="236"/>
  <c r="P22" i="236"/>
  <c r="K51" i="236"/>
  <c r="I57" i="236"/>
  <c r="C131" i="236"/>
  <c r="N127" i="236"/>
  <c r="C143" i="236"/>
  <c r="K155" i="236"/>
  <c r="P165" i="236"/>
  <c r="I147" i="236"/>
  <c r="N45" i="236"/>
  <c r="O45" i="236"/>
  <c r="N144" i="236"/>
  <c r="P45" i="236"/>
  <c r="C132" i="236"/>
  <c r="H138" i="236"/>
  <c r="C165" i="236"/>
  <c r="P138" i="236"/>
  <c r="E27" i="236"/>
  <c r="N126" i="236"/>
  <c r="M159" i="236"/>
  <c r="I172" i="236"/>
  <c r="D42" i="236"/>
  <c r="O41" i="236"/>
  <c r="E47" i="236"/>
  <c r="P33" i="236"/>
  <c r="M33" i="236"/>
  <c r="E41" i="236"/>
  <c r="I51" i="236"/>
  <c r="F42" i="236"/>
  <c r="F39" i="236" s="1"/>
  <c r="G47" i="236"/>
  <c r="G41" i="236"/>
  <c r="P41" i="236"/>
  <c r="C138" i="236"/>
  <c r="K159" i="236"/>
  <c r="C173" i="236"/>
  <c r="M27" i="236"/>
  <c r="E144" i="236"/>
  <c r="E138" i="236"/>
  <c r="D139" i="236"/>
  <c r="E135" i="236" s="1"/>
  <c r="B171" i="236"/>
  <c r="N22" i="236"/>
  <c r="P51" i="236"/>
  <c r="N137" i="236"/>
  <c r="C137" i="236"/>
  <c r="I138" i="236"/>
  <c r="C171" i="236"/>
  <c r="I144" i="236"/>
  <c r="M153" i="236"/>
  <c r="P157" i="236"/>
  <c r="P153" i="236" s="1"/>
  <c r="J153" i="236"/>
  <c r="M157" i="236"/>
  <c r="K33" i="236"/>
  <c r="C27" i="236"/>
  <c r="C129" i="236"/>
  <c r="B129" i="236"/>
  <c r="N130" i="236"/>
  <c r="I129" i="236"/>
  <c r="I131" i="236"/>
  <c r="H129" i="236"/>
  <c r="I137" i="236"/>
  <c r="C130" i="236"/>
  <c r="H157" i="236"/>
  <c r="I157" i="236" s="1"/>
  <c r="K157" i="236"/>
  <c r="C125" i="236"/>
  <c r="I127" i="236"/>
  <c r="B155" i="236"/>
  <c r="C172" i="236"/>
  <c r="K41" i="236"/>
  <c r="B123" i="236"/>
  <c r="C136" i="236"/>
  <c r="I143" i="236"/>
  <c r="E51" i="236"/>
  <c r="M41" i="236"/>
  <c r="M47" i="236"/>
  <c r="I123" i="236"/>
  <c r="H123" i="236"/>
  <c r="I125" i="236"/>
  <c r="H141" i="236"/>
  <c r="G155" i="236"/>
  <c r="C168" i="236"/>
  <c r="N175" i="236"/>
  <c r="I136" i="236"/>
  <c r="G153" i="236"/>
  <c r="I154" i="236"/>
  <c r="B165" i="236"/>
  <c r="C167" i="236"/>
  <c r="C175" i="236"/>
  <c r="I27" i="236"/>
  <c r="N125" i="236"/>
  <c r="N131" i="236"/>
  <c r="M139" i="236"/>
  <c r="N142" i="236"/>
  <c r="I168" i="236"/>
  <c r="H165" i="236"/>
  <c r="N174" i="236"/>
  <c r="J42" i="236"/>
  <c r="C169" i="236"/>
  <c r="G138" i="236"/>
  <c r="E155" i="236"/>
  <c r="I173" i="236"/>
  <c r="I171" i="236"/>
  <c r="L42" i="236"/>
  <c r="L39" i="236" s="1"/>
  <c r="M39" i="236" s="1"/>
  <c r="C123" i="236"/>
  <c r="F139" i="236"/>
  <c r="G141" i="236" s="1"/>
  <c r="C133" i="236"/>
  <c r="K135" i="236"/>
  <c r="I142" i="236"/>
  <c r="H171" i="236"/>
  <c r="E33" i="236"/>
  <c r="N132" i="236"/>
  <c r="K139" i="236"/>
  <c r="F153" i="236"/>
  <c r="D157" i="236"/>
  <c r="G159" i="236"/>
  <c r="E161" i="236"/>
  <c r="G27" i="236"/>
  <c r="K57" i="236"/>
  <c r="C144" i="236"/>
  <c r="K145" i="236"/>
  <c r="C174" i="236"/>
  <c r="I165" i="236"/>
  <c r="I47" i="236"/>
  <c r="N51" i="236"/>
  <c r="N165" i="236" l="1"/>
  <c r="H139" i="236"/>
  <c r="I153" i="236"/>
  <c r="N171" i="236"/>
  <c r="L135" i="236"/>
  <c r="M135" i="236"/>
  <c r="N141" i="236"/>
  <c r="B39" i="236"/>
  <c r="G135" i="236"/>
  <c r="N123" i="236"/>
  <c r="I48" i="236"/>
  <c r="I42" i="236"/>
  <c r="N42" i="236"/>
  <c r="H39" i="236"/>
  <c r="I39" i="236" s="1"/>
  <c r="M141" i="236"/>
  <c r="N155" i="236"/>
  <c r="C155" i="236"/>
  <c r="C161" i="236"/>
  <c r="E157" i="236"/>
  <c r="O157" i="236"/>
  <c r="O153" i="236" s="1"/>
  <c r="B157" i="236"/>
  <c r="E153" i="236"/>
  <c r="K42" i="236"/>
  <c r="K48" i="236"/>
  <c r="N129" i="236"/>
  <c r="H153" i="236"/>
  <c r="D135" i="236"/>
  <c r="P42" i="236"/>
  <c r="G42" i="236"/>
  <c r="G48" i="236"/>
  <c r="I45" i="236"/>
  <c r="C153" i="236"/>
  <c r="E159" i="236"/>
  <c r="G145" i="236"/>
  <c r="G139" i="236"/>
  <c r="P139" i="236"/>
  <c r="P135" i="236" s="1"/>
  <c r="J39" i="236"/>
  <c r="M48" i="236"/>
  <c r="M42" i="236"/>
  <c r="F135" i="236"/>
  <c r="G39" i="236"/>
  <c r="G45" i="236"/>
  <c r="P39" i="236"/>
  <c r="I159" i="236"/>
  <c r="E145" i="236"/>
  <c r="E139" i="236"/>
  <c r="B139" i="236"/>
  <c r="O139" i="236"/>
  <c r="O135" i="236" s="1"/>
  <c r="E42" i="236"/>
  <c r="O42" i="236"/>
  <c r="D39" i="236"/>
  <c r="E48" i="236"/>
  <c r="M45" i="236"/>
  <c r="I139" i="236"/>
  <c r="I145" i="236"/>
  <c r="B153" i="236"/>
  <c r="H135" i="236"/>
  <c r="D153" i="236"/>
  <c r="E141" i="236"/>
  <c r="C39" i="236" l="1"/>
  <c r="C45" i="236"/>
  <c r="N39" i="236"/>
  <c r="I141" i="236"/>
  <c r="I135" i="236"/>
  <c r="N139" i="236"/>
  <c r="N135" i="236" s="1"/>
  <c r="C139" i="236"/>
  <c r="B135" i="236"/>
  <c r="C145" i="236"/>
  <c r="C141" i="236"/>
  <c r="C135" i="236"/>
  <c r="O39" i="236"/>
  <c r="E39" i="236"/>
  <c r="E45" i="236"/>
  <c r="K39" i="236"/>
  <c r="K45" i="236"/>
  <c r="C157" i="236"/>
  <c r="N157" i="236"/>
  <c r="N153" i="236" s="1"/>
  <c r="C159" i="236"/>
  <c r="G277" i="217" l="1"/>
  <c r="D277" i="217"/>
  <c r="J277" i="209" l="1"/>
  <c r="G277" i="209"/>
  <c r="D277" i="209"/>
  <c r="F287" i="106" l="1"/>
  <c r="D79" i="123" l="1"/>
  <c r="AH282" i="92"/>
  <c r="AF282" i="92"/>
  <c r="AD282" i="92"/>
  <c r="AB282" i="92"/>
  <c r="Y282" i="92"/>
  <c r="Z282" i="92" s="1"/>
  <c r="X282" i="92"/>
  <c r="V282" i="92"/>
  <c r="T282" i="92"/>
  <c r="R282" i="92"/>
  <c r="P282" i="92"/>
  <c r="N282" i="92"/>
  <c r="L282" i="92"/>
  <c r="J282" i="92"/>
  <c r="H282" i="92"/>
  <c r="F282" i="92"/>
  <c r="D282" i="92"/>
  <c r="L279" i="15"/>
  <c r="J279" i="15"/>
  <c r="H279" i="15"/>
  <c r="F279" i="15"/>
  <c r="D279" i="15"/>
  <c r="I289" i="33"/>
  <c r="H289" i="33"/>
  <c r="G289" i="33"/>
  <c r="F289" i="33"/>
  <c r="E289" i="33"/>
  <c r="D289" i="33"/>
  <c r="C289" i="33"/>
  <c r="B289" i="33"/>
  <c r="B198" i="48" l="1"/>
  <c r="J22" i="135" l="1"/>
  <c r="G274" i="217" l="1"/>
  <c r="G275" i="217"/>
  <c r="D275" i="217"/>
  <c r="H194" i="214" l="1"/>
  <c r="P197" i="215"/>
  <c r="O197" i="215"/>
  <c r="N197" i="215"/>
  <c r="M197" i="215"/>
  <c r="G52" i="218"/>
  <c r="F52" i="218"/>
  <c r="E52" i="218"/>
  <c r="D52" i="218"/>
  <c r="C52" i="218"/>
  <c r="B52" i="218"/>
  <c r="F263" i="217" l="1"/>
  <c r="E263" i="217"/>
  <c r="C263" i="217"/>
  <c r="B263" i="217"/>
  <c r="D274" i="217"/>
  <c r="C263" i="209" l="1"/>
  <c r="AH271" i="25"/>
  <c r="AG271" i="25"/>
  <c r="AF271" i="25"/>
  <c r="AE271" i="25"/>
  <c r="AD271" i="25"/>
  <c r="AC271" i="25"/>
  <c r="AB271" i="25"/>
  <c r="Z271" i="25"/>
  <c r="Y271" i="25"/>
  <c r="X271" i="25"/>
  <c r="V271" i="25"/>
  <c r="U271" i="25"/>
  <c r="T271" i="25"/>
  <c r="S271" i="25"/>
  <c r="R271" i="25"/>
  <c r="Q271" i="25"/>
  <c r="P271" i="25"/>
  <c r="O271" i="25"/>
  <c r="N271" i="25"/>
  <c r="M271" i="25"/>
  <c r="L271" i="25"/>
  <c r="K271" i="25"/>
  <c r="I271" i="25"/>
  <c r="H271" i="25"/>
  <c r="G271" i="25"/>
  <c r="F271" i="25"/>
  <c r="E271" i="25"/>
  <c r="D271" i="25"/>
  <c r="C271" i="25"/>
  <c r="B271" i="25"/>
  <c r="I281" i="86"/>
  <c r="J281" i="86"/>
  <c r="I282" i="86"/>
  <c r="J282" i="86"/>
  <c r="I283" i="86"/>
  <c r="J283" i="86"/>
  <c r="I284" i="86"/>
  <c r="J284" i="86"/>
  <c r="I285" i="86"/>
  <c r="J285" i="86"/>
  <c r="I286" i="86"/>
  <c r="J286" i="86"/>
  <c r="I292" i="86"/>
  <c r="J292" i="86"/>
  <c r="F280" i="86"/>
  <c r="G280" i="86"/>
  <c r="H280" i="86"/>
  <c r="F281" i="86"/>
  <c r="G281" i="86"/>
  <c r="H281" i="86"/>
  <c r="F282" i="86"/>
  <c r="G282" i="86"/>
  <c r="H282" i="86"/>
  <c r="F283" i="86"/>
  <c r="G283" i="86"/>
  <c r="H283" i="86"/>
  <c r="F284" i="86"/>
  <c r="G284" i="86"/>
  <c r="H284" i="86"/>
  <c r="F285" i="86"/>
  <c r="G285" i="86"/>
  <c r="H285" i="86"/>
  <c r="F286" i="86"/>
  <c r="G286" i="86"/>
  <c r="H286" i="86"/>
  <c r="F292" i="86"/>
  <c r="H292" i="86"/>
  <c r="G279" i="106" l="1"/>
  <c r="G280" i="106"/>
  <c r="G287" i="106"/>
  <c r="E279" i="106"/>
  <c r="E280" i="106"/>
  <c r="E281" i="106"/>
  <c r="E287" i="106"/>
  <c r="C279" i="106"/>
  <c r="C280" i="106"/>
  <c r="C281" i="106"/>
  <c r="C287" i="106"/>
  <c r="I276" i="33" l="1"/>
  <c r="H276" i="33"/>
  <c r="G276" i="33"/>
  <c r="F276" i="33"/>
  <c r="E276" i="33"/>
  <c r="D276" i="33"/>
  <c r="C276" i="33"/>
  <c r="B276" i="33"/>
  <c r="F22" i="135" l="1"/>
  <c r="L22" i="135"/>
  <c r="D76" i="123" l="1"/>
  <c r="D77" i="123"/>
  <c r="AH279" i="92"/>
  <c r="AH280" i="92"/>
  <c r="AF279" i="92"/>
  <c r="AF280" i="92"/>
  <c r="AD279" i="92"/>
  <c r="AD280" i="92"/>
  <c r="AB279" i="92"/>
  <c r="AB280" i="92"/>
  <c r="Y279" i="92"/>
  <c r="Z279" i="92" s="1"/>
  <c r="Y280" i="92"/>
  <c r="Z280" i="92" s="1"/>
  <c r="X279" i="92"/>
  <c r="X280" i="92"/>
  <c r="V279" i="92"/>
  <c r="V280" i="92"/>
  <c r="T279" i="92"/>
  <c r="T280" i="92"/>
  <c r="R279" i="92"/>
  <c r="R280" i="92"/>
  <c r="P279" i="92"/>
  <c r="P280" i="92"/>
  <c r="N279" i="92"/>
  <c r="N280" i="92"/>
  <c r="L279" i="92"/>
  <c r="L280" i="92"/>
  <c r="J279" i="92"/>
  <c r="J280" i="92"/>
  <c r="H279" i="92"/>
  <c r="H280" i="92"/>
  <c r="F279" i="92"/>
  <c r="F280" i="92"/>
  <c r="D279" i="92"/>
  <c r="D280" i="92"/>
  <c r="L276" i="15"/>
  <c r="L277" i="15"/>
  <c r="J276" i="15"/>
  <c r="J277" i="15"/>
  <c r="H276" i="15"/>
  <c r="H277" i="15"/>
  <c r="F276" i="15"/>
  <c r="F277" i="15"/>
  <c r="D276" i="15"/>
  <c r="D277" i="15"/>
  <c r="G263" i="217"/>
  <c r="O194" i="214"/>
  <c r="N194" i="214"/>
  <c r="M194" i="214"/>
  <c r="L194" i="214"/>
  <c r="K194" i="214"/>
  <c r="J194" i="214"/>
  <c r="I194" i="214"/>
  <c r="G194" i="214"/>
  <c r="F194" i="214"/>
  <c r="E194" i="214"/>
  <c r="D194" i="214"/>
  <c r="C194" i="214"/>
  <c r="B194" i="214"/>
  <c r="BM200" i="213"/>
  <c r="BL200" i="213"/>
  <c r="BK200" i="213"/>
  <c r="BJ200" i="213"/>
  <c r="BI200" i="213"/>
  <c r="BH200" i="213"/>
  <c r="BG200" i="213"/>
  <c r="BF200" i="213"/>
  <c r="BE200" i="213"/>
  <c r="BD200" i="213"/>
  <c r="BC200" i="213"/>
  <c r="BB200" i="213"/>
  <c r="BA200" i="213"/>
  <c r="AZ200" i="213"/>
  <c r="AY200" i="213"/>
  <c r="AX200" i="213"/>
  <c r="AW200" i="213"/>
  <c r="AV200" i="213"/>
  <c r="AU200" i="213"/>
  <c r="AT200" i="213"/>
  <c r="AS200" i="213"/>
  <c r="AR200" i="213"/>
  <c r="AQ200" i="213"/>
  <c r="AP200" i="213"/>
  <c r="AO200" i="213"/>
  <c r="AN200" i="213"/>
  <c r="AM200" i="213"/>
  <c r="AL200" i="213"/>
  <c r="AK200" i="213"/>
  <c r="AJ200" i="213"/>
  <c r="AI200" i="213"/>
  <c r="AH200" i="213"/>
  <c r="AG200" i="213"/>
  <c r="AF200" i="213"/>
  <c r="AE200" i="213"/>
  <c r="AD200" i="213"/>
  <c r="AC200" i="213"/>
  <c r="AB200" i="213"/>
  <c r="AA200" i="213"/>
  <c r="Z200" i="213"/>
  <c r="Y200" i="213"/>
  <c r="X200" i="213"/>
  <c r="W200" i="213"/>
  <c r="V200" i="213"/>
  <c r="U200" i="213"/>
  <c r="T200" i="213"/>
  <c r="S200" i="213"/>
  <c r="R200" i="213"/>
  <c r="Q200" i="213"/>
  <c r="P200" i="213"/>
  <c r="O200" i="213"/>
  <c r="N200" i="213"/>
  <c r="M200" i="213"/>
  <c r="L200" i="213"/>
  <c r="K200" i="213"/>
  <c r="J200" i="213"/>
  <c r="I200" i="213"/>
  <c r="H200" i="213"/>
  <c r="I263" i="209"/>
  <c r="H263" i="209"/>
  <c r="F263" i="209"/>
  <c r="E263" i="209"/>
  <c r="B263" i="209"/>
  <c r="I198" i="48"/>
  <c r="H198" i="48"/>
  <c r="G198" i="48"/>
  <c r="F198" i="48"/>
  <c r="E198" i="48"/>
  <c r="D198" i="48"/>
  <c r="C198" i="48"/>
  <c r="EU35" i="99"/>
  <c r="EU31" i="99"/>
  <c r="EU27" i="99"/>
  <c r="EU23" i="99"/>
  <c r="EU19" i="99"/>
  <c r="EU15" i="99"/>
  <c r="EU11" i="99"/>
  <c r="D263" i="217" l="1"/>
  <c r="J263" i="209"/>
  <c r="D263" i="209"/>
  <c r="G263" i="209"/>
  <c r="ET35" i="102"/>
  <c r="ET31" i="102"/>
  <c r="ET27" i="102"/>
  <c r="ET23" i="102"/>
  <c r="ET19" i="102"/>
  <c r="ET15" i="102"/>
  <c r="ET11" i="102"/>
  <c r="M283" i="219" l="1"/>
  <c r="B283" i="219" s="1"/>
  <c r="G278" i="106" l="1"/>
  <c r="G277" i="106"/>
  <c r="E278" i="106"/>
  <c r="E277" i="106"/>
  <c r="C278" i="106"/>
  <c r="C277" i="106"/>
  <c r="M7" i="230" l="1"/>
  <c r="J275" i="209"/>
  <c r="J274" i="209"/>
  <c r="G275" i="209"/>
  <c r="G274" i="209"/>
  <c r="D275" i="209"/>
  <c r="D274" i="209"/>
  <c r="EN35" i="102"/>
  <c r="EN31" i="102"/>
  <c r="EN27" i="102"/>
  <c r="EN23" i="102"/>
  <c r="EN19" i="102"/>
  <c r="EN15" i="102"/>
  <c r="EN11" i="102"/>
  <c r="EO35" i="99"/>
  <c r="EO31" i="99"/>
  <c r="EO27" i="99"/>
  <c r="EO23" i="99"/>
  <c r="EO19" i="99"/>
  <c r="EO15" i="99"/>
  <c r="EO11" i="99"/>
  <c r="V278" i="92" l="1"/>
  <c r="CE61" i="231"/>
  <c r="CD61" i="231"/>
  <c r="CC61" i="231"/>
  <c r="BR60" i="231"/>
  <c r="BT60" i="231" s="1"/>
  <c r="CL59" i="231"/>
  <c r="BR59" i="231"/>
  <c r="BT59" i="231" s="1"/>
  <c r="BN59" i="231"/>
  <c r="BI59" i="231"/>
  <c r="BD59" i="231"/>
  <c r="CL58" i="231"/>
  <c r="BR58" i="231"/>
  <c r="BT58" i="231" s="1"/>
  <c r="BN58" i="231"/>
  <c r="BI58" i="231"/>
  <c r="BD58" i="231"/>
  <c r="CL57" i="231"/>
  <c r="BR57" i="231"/>
  <c r="BT57" i="231" s="1"/>
  <c r="BN57" i="231"/>
  <c r="BI57" i="231"/>
  <c r="BD57" i="231"/>
  <c r="CL56" i="231"/>
  <c r="BR56" i="231"/>
  <c r="BT56" i="231" s="1"/>
  <c r="BN56" i="231"/>
  <c r="BI56" i="231"/>
  <c r="BD56" i="231"/>
  <c r="CL55" i="231"/>
  <c r="BR55" i="231"/>
  <c r="BN55" i="231"/>
  <c r="BI55" i="231"/>
  <c r="BD55" i="231"/>
  <c r="CL54" i="231"/>
  <c r="BR54" i="231"/>
  <c r="BT54" i="231" s="1"/>
  <c r="BN54" i="231"/>
  <c r="BI54" i="231"/>
  <c r="BD54" i="231"/>
  <c r="CF52" i="231"/>
  <c r="CB52" i="231"/>
  <c r="CA52" i="231"/>
  <c r="BZ52" i="231"/>
  <c r="BY52" i="231"/>
  <c r="BX52" i="231"/>
  <c r="BW52" i="231"/>
  <c r="BV52" i="231"/>
  <c r="BU52" i="231"/>
  <c r="BU47" i="231" s="1"/>
  <c r="BS52" i="231"/>
  <c r="BQ52" i="231"/>
  <c r="BP52" i="231"/>
  <c r="BO52" i="231"/>
  <c r="BM52" i="231"/>
  <c r="BL52" i="231"/>
  <c r="BK52" i="231"/>
  <c r="BJ52" i="231"/>
  <c r="BC52" i="231"/>
  <c r="BB52" i="231"/>
  <c r="BA52" i="231"/>
  <c r="AZ52" i="231"/>
  <c r="CL51" i="231"/>
  <c r="BR51" i="231"/>
  <c r="BT51" i="231" s="1"/>
  <c r="BN51" i="231"/>
  <c r="BI51" i="231"/>
  <c r="BD51" i="231"/>
  <c r="CL50" i="231"/>
  <c r="BR50" i="231"/>
  <c r="BT50" i="231" s="1"/>
  <c r="BN50" i="231"/>
  <c r="BI50" i="231"/>
  <c r="BD50" i="231"/>
  <c r="CF48" i="231"/>
  <c r="CB48" i="231"/>
  <c r="CA48" i="231"/>
  <c r="BZ48" i="231"/>
  <c r="BY48" i="231"/>
  <c r="BX48" i="231"/>
  <c r="BW48" i="231"/>
  <c r="BV48" i="231"/>
  <c r="BU48" i="231"/>
  <c r="BS48" i="231"/>
  <c r="BQ48" i="231"/>
  <c r="BP48" i="231"/>
  <c r="BO48" i="231"/>
  <c r="BM48" i="231"/>
  <c r="BL48" i="231"/>
  <c r="BK48" i="231"/>
  <c r="BJ48" i="231"/>
  <c r="BC48" i="231"/>
  <c r="BB48" i="231"/>
  <c r="BA48" i="231"/>
  <c r="AZ48" i="231"/>
  <c r="CL45" i="231"/>
  <c r="BR45" i="231"/>
  <c r="BT45" i="231" s="1"/>
  <c r="BN45" i="231"/>
  <c r="BI45" i="231"/>
  <c r="BD45" i="231"/>
  <c r="CL43" i="231"/>
  <c r="BR43" i="231"/>
  <c r="BT43" i="231" s="1"/>
  <c r="BN43" i="231"/>
  <c r="BI43" i="231"/>
  <c r="BD43" i="231"/>
  <c r="CL42" i="231"/>
  <c r="BR42" i="231"/>
  <c r="BN42" i="231"/>
  <c r="BI42" i="231"/>
  <c r="BD42" i="231"/>
  <c r="CL40" i="231"/>
  <c r="BV40" i="231"/>
  <c r="BU40" i="231"/>
  <c r="BS40" i="231"/>
  <c r="BQ40" i="231"/>
  <c r="BP40" i="231"/>
  <c r="BO40" i="231"/>
  <c r="BM40" i="231"/>
  <c r="BL40" i="231"/>
  <c r="BK40" i="231"/>
  <c r="BJ40" i="231"/>
  <c r="BC40" i="231"/>
  <c r="BB40" i="231"/>
  <c r="BA40" i="231"/>
  <c r="AZ40" i="231"/>
  <c r="CL39" i="231"/>
  <c r="BR39" i="231"/>
  <c r="BT39" i="231" s="1"/>
  <c r="BN39" i="231"/>
  <c r="BI39" i="231"/>
  <c r="BD39" i="231"/>
  <c r="CL37" i="231"/>
  <c r="BR37" i="231"/>
  <c r="BT37" i="231" s="1"/>
  <c r="BN37" i="231"/>
  <c r="BI37" i="231"/>
  <c r="BD37" i="231"/>
  <c r="CL36" i="231"/>
  <c r="BR36" i="231"/>
  <c r="BT36" i="231" s="1"/>
  <c r="BN36" i="231"/>
  <c r="BI36" i="231"/>
  <c r="BD36" i="231"/>
  <c r="CL34" i="231"/>
  <c r="BR34" i="231"/>
  <c r="BT34" i="231" s="1"/>
  <c r="BN34" i="231"/>
  <c r="BI34" i="231"/>
  <c r="BD34" i="231"/>
  <c r="CL33" i="231"/>
  <c r="BR33" i="231"/>
  <c r="BN33" i="231"/>
  <c r="BI33" i="231"/>
  <c r="BD33" i="231"/>
  <c r="CF31" i="231"/>
  <c r="CB31" i="231"/>
  <c r="CA31" i="231"/>
  <c r="BZ31" i="231"/>
  <c r="BY31" i="231"/>
  <c r="BX31" i="231"/>
  <c r="BW31" i="231"/>
  <c r="BV31" i="231"/>
  <c r="BU31" i="231"/>
  <c r="BS31" i="231"/>
  <c r="BQ31" i="231"/>
  <c r="BP31" i="231"/>
  <c r="BO31" i="231"/>
  <c r="BM31" i="231"/>
  <c r="BL31" i="231"/>
  <c r="BK31" i="231"/>
  <c r="BJ31" i="231"/>
  <c r="BC31" i="231"/>
  <c r="BB31" i="231"/>
  <c r="BA31" i="231"/>
  <c r="AZ31" i="231"/>
  <c r="CL29" i="231"/>
  <c r="BR29" i="231"/>
  <c r="BT29" i="231" s="1"/>
  <c r="BN29" i="231"/>
  <c r="BI29" i="231"/>
  <c r="BD29" i="231"/>
  <c r="CL28" i="231"/>
  <c r="BR28" i="231"/>
  <c r="BT28" i="231" s="1"/>
  <c r="BN28" i="231"/>
  <c r="BI28" i="231"/>
  <c r="BD28" i="231"/>
  <c r="CL24" i="231"/>
  <c r="BR24" i="231"/>
  <c r="BT24" i="231" s="1"/>
  <c r="BN24" i="231"/>
  <c r="BI24" i="231"/>
  <c r="BD24" i="231"/>
  <c r="CL23" i="231"/>
  <c r="BR23" i="231"/>
  <c r="BN23" i="231"/>
  <c r="BI23" i="231"/>
  <c r="BD23" i="231"/>
  <c r="CF21" i="231"/>
  <c r="CB21" i="231"/>
  <c r="CA21" i="231"/>
  <c r="BZ21" i="231"/>
  <c r="BY21" i="231"/>
  <c r="BX21" i="231"/>
  <c r="BW21" i="231"/>
  <c r="BV21" i="231"/>
  <c r="BU21" i="231"/>
  <c r="BS21" i="231"/>
  <c r="BQ21" i="231"/>
  <c r="BP21" i="231"/>
  <c r="BO21" i="231"/>
  <c r="BM21" i="231"/>
  <c r="BL21" i="231"/>
  <c r="BK21" i="231"/>
  <c r="BJ21" i="231"/>
  <c r="BC21" i="231"/>
  <c r="BB21" i="231"/>
  <c r="BA21" i="231"/>
  <c r="AZ21" i="231"/>
  <c r="CL19" i="231"/>
  <c r="BR19" i="231"/>
  <c r="BN19" i="231"/>
  <c r="BI19" i="231"/>
  <c r="BD19" i="231"/>
  <c r="CL18" i="231"/>
  <c r="BR18" i="231"/>
  <c r="BT18" i="231" s="1"/>
  <c r="BN18" i="231"/>
  <c r="BI18" i="231"/>
  <c r="BD18" i="231"/>
  <c r="CF16" i="231"/>
  <c r="CB16" i="231"/>
  <c r="CA16" i="231"/>
  <c r="BZ16" i="231"/>
  <c r="BZ9" i="231" s="1"/>
  <c r="BY16" i="231"/>
  <c r="BX16" i="231"/>
  <c r="BW16" i="231"/>
  <c r="BV16" i="231"/>
  <c r="BU16" i="231"/>
  <c r="BS16" i="231"/>
  <c r="BQ16" i="231"/>
  <c r="BP16" i="231"/>
  <c r="BO16" i="231"/>
  <c r="BM16" i="231"/>
  <c r="BL16" i="231"/>
  <c r="BL9" i="231" s="1"/>
  <c r="BK16" i="231"/>
  <c r="BJ16" i="231"/>
  <c r="BC16" i="231"/>
  <c r="BB16" i="231"/>
  <c r="BA16" i="231"/>
  <c r="AZ16" i="231"/>
  <c r="CL14" i="231"/>
  <c r="BR14" i="231"/>
  <c r="BT14" i="231" s="1"/>
  <c r="BN14" i="231"/>
  <c r="BI14" i="231"/>
  <c r="BD14" i="231"/>
  <c r="CL13" i="231"/>
  <c r="BR13" i="231"/>
  <c r="BT13" i="231" s="1"/>
  <c r="BN13" i="231"/>
  <c r="BI13" i="231"/>
  <c r="BD13" i="231"/>
  <c r="CF11" i="231"/>
  <c r="CB11" i="231"/>
  <c r="CA11" i="231"/>
  <c r="BZ11" i="231"/>
  <c r="BY11" i="231"/>
  <c r="BX11" i="231"/>
  <c r="BW11" i="231"/>
  <c r="BV11" i="231"/>
  <c r="BU11" i="231"/>
  <c r="BS11" i="231"/>
  <c r="BQ11" i="231"/>
  <c r="BP11" i="231"/>
  <c r="BO11" i="231"/>
  <c r="BM11" i="231"/>
  <c r="BL11" i="231"/>
  <c r="BK11" i="231"/>
  <c r="BJ11" i="231"/>
  <c r="BC11" i="231"/>
  <c r="BB11" i="231"/>
  <c r="BA11" i="231"/>
  <c r="AZ11" i="231"/>
  <c r="BV47" i="231" l="1"/>
  <c r="CL52" i="231"/>
  <c r="BX47" i="231"/>
  <c r="BI11" i="231"/>
  <c r="BX9" i="231"/>
  <c r="BX7" i="231" s="1"/>
  <c r="BX61" i="231" s="1"/>
  <c r="BN40" i="231"/>
  <c r="BJ47" i="231"/>
  <c r="BD48" i="231"/>
  <c r="BD47" i="231" s="1"/>
  <c r="BW47" i="231"/>
  <c r="BN11" i="231"/>
  <c r="BN9" i="231" s="1"/>
  <c r="BN7" i="231" s="1"/>
  <c r="BY9" i="231"/>
  <c r="BY7" i="231" s="1"/>
  <c r="BR11" i="231"/>
  <c r="BU9" i="231"/>
  <c r="BN16" i="231"/>
  <c r="BV9" i="231"/>
  <c r="BW9" i="231"/>
  <c r="BM9" i="231"/>
  <c r="BS9" i="231"/>
  <c r="BS7" i="231" s="1"/>
  <c r="BZ7" i="231"/>
  <c r="BZ61" i="231" s="1"/>
  <c r="CL31" i="231"/>
  <c r="BZ47" i="231"/>
  <c r="BT48" i="231"/>
  <c r="BL47" i="231"/>
  <c r="CL48" i="231"/>
  <c r="CL47" i="231" s="1"/>
  <c r="BT11" i="231"/>
  <c r="BD31" i="231"/>
  <c r="BK47" i="231"/>
  <c r="BN21" i="231"/>
  <c r="BI31" i="231"/>
  <c r="BJ9" i="231"/>
  <c r="BJ7" i="231" s="1"/>
  <c r="BK9" i="231"/>
  <c r="BK7" i="231" s="1"/>
  <c r="BK61" i="231" s="1"/>
  <c r="BI21" i="231"/>
  <c r="BN31" i="231"/>
  <c r="CF9" i="231"/>
  <c r="CF7" i="231" s="1"/>
  <c r="CL16" i="231"/>
  <c r="BR31" i="231"/>
  <c r="BC47" i="231"/>
  <c r="BO47" i="231"/>
  <c r="BQ9" i="231"/>
  <c r="BQ7" i="231" s="1"/>
  <c r="BD11" i="231"/>
  <c r="BM7" i="231"/>
  <c r="BD52" i="231"/>
  <c r="AZ9" i="231"/>
  <c r="AZ7" i="231" s="1"/>
  <c r="BI48" i="231"/>
  <c r="BA9" i="231"/>
  <c r="BA7" i="231" s="1"/>
  <c r="BI52" i="231"/>
  <c r="BB9" i="231"/>
  <c r="BB7" i="231" s="1"/>
  <c r="BC9" i="231"/>
  <c r="BC7" i="231" s="1"/>
  <c r="BC61" i="231" s="1"/>
  <c r="BR48" i="231"/>
  <c r="BL7" i="231"/>
  <c r="AZ47" i="231"/>
  <c r="BS47" i="231"/>
  <c r="BS61" i="231" s="1"/>
  <c r="BD40" i="231"/>
  <c r="BR21" i="231"/>
  <c r="BI40" i="231"/>
  <c r="BB47" i="231"/>
  <c r="BN48" i="231"/>
  <c r="BY47" i="231"/>
  <c r="BD16" i="231"/>
  <c r="BT23" i="231"/>
  <c r="BT21" i="231" s="1"/>
  <c r="BO9" i="231"/>
  <c r="BO7" i="231" s="1"/>
  <c r="BO61" i="231" s="1"/>
  <c r="BI16" i="231"/>
  <c r="BI9" i="231" s="1"/>
  <c r="BW7" i="231"/>
  <c r="CL21" i="231"/>
  <c r="BR40" i="231"/>
  <c r="CA47" i="231"/>
  <c r="BP9" i="231"/>
  <c r="BP7" i="231" s="1"/>
  <c r="CL11" i="231"/>
  <c r="BM47" i="231"/>
  <c r="BA47" i="231"/>
  <c r="BN52" i="231"/>
  <c r="BR52" i="231"/>
  <c r="BR47" i="231" s="1"/>
  <c r="BT55" i="231"/>
  <c r="BT52" i="231" s="1"/>
  <c r="BR16" i="231"/>
  <c r="BT19" i="231"/>
  <c r="BT16" i="231" s="1"/>
  <c r="BT9" i="231" s="1"/>
  <c r="BD21" i="231"/>
  <c r="BU7" i="231"/>
  <c r="BU61" i="231" s="1"/>
  <c r="BV7" i="231"/>
  <c r="BV61" i="231" s="1"/>
  <c r="CA9" i="231"/>
  <c r="CA7" i="231" s="1"/>
  <c r="CA61" i="231" s="1"/>
  <c r="BT33" i="231"/>
  <c r="BT31" i="231" s="1"/>
  <c r="BP47" i="231"/>
  <c r="CB47" i="231"/>
  <c r="CB9" i="231"/>
  <c r="CB7" i="231" s="1"/>
  <c r="BQ47" i="231"/>
  <c r="CF47" i="231"/>
  <c r="BT42" i="231"/>
  <c r="BT40" i="231" s="1"/>
  <c r="BR9" i="231" l="1"/>
  <c r="BT47" i="231"/>
  <c r="BW61" i="231"/>
  <c r="BJ61" i="231"/>
  <c r="BY61" i="231"/>
  <c r="BB61" i="231"/>
  <c r="BI7" i="231"/>
  <c r="BL61" i="231"/>
  <c r="BD9" i="231"/>
  <c r="BD7" i="231" s="1"/>
  <c r="BT7" i="231"/>
  <c r="BD61" i="231"/>
  <c r="BA61" i="231"/>
  <c r="BQ61" i="231"/>
  <c r="BN47" i="231"/>
  <c r="CL9" i="231"/>
  <c r="CL7" i="231" s="1"/>
  <c r="CL61" i="231" s="1"/>
  <c r="CF61" i="231"/>
  <c r="BP61" i="231"/>
  <c r="AZ61" i="231"/>
  <c r="BI47" i="231"/>
  <c r="BI61" i="231" s="1"/>
  <c r="BM61" i="231"/>
  <c r="BN61" i="231" s="1"/>
  <c r="BR7" i="231"/>
  <c r="BR61" i="231" s="1"/>
  <c r="CB61" i="231"/>
  <c r="BT61" i="231"/>
  <c r="L7" i="230" l="1"/>
  <c r="K7" i="230"/>
  <c r="J7" i="230"/>
  <c r="I7" i="230"/>
  <c r="H7" i="230"/>
  <c r="G7" i="230"/>
  <c r="F7" i="230"/>
  <c r="E7" i="230"/>
  <c r="D7" i="230"/>
  <c r="C7" i="230"/>
  <c r="B7" i="230"/>
  <c r="G272" i="209" l="1"/>
  <c r="G273" i="209"/>
  <c r="J272" i="209"/>
  <c r="J273" i="209"/>
  <c r="D272" i="209"/>
  <c r="D273" i="209"/>
  <c r="G272" i="217"/>
  <c r="G273" i="217"/>
  <c r="D272" i="217"/>
  <c r="D273" i="217"/>
  <c r="E279" i="32" l="1"/>
  <c r="AH245" i="25" l="1"/>
  <c r="AG245" i="25"/>
  <c r="AH232" i="25"/>
  <c r="AG232" i="25"/>
  <c r="AG219" i="25"/>
  <c r="AG206" i="25"/>
  <c r="AG193" i="25"/>
  <c r="AG180" i="25"/>
  <c r="AG167" i="25"/>
  <c r="AG154" i="25"/>
  <c r="AG141" i="25"/>
  <c r="AG128" i="25"/>
  <c r="AH278" i="92"/>
  <c r="AF278" i="92"/>
  <c r="AD278" i="92"/>
  <c r="AB278" i="92"/>
  <c r="Y278" i="92"/>
  <c r="Z278" i="92" s="1"/>
  <c r="X278" i="92"/>
  <c r="T278" i="92"/>
  <c r="R278" i="92"/>
  <c r="P278" i="92"/>
  <c r="N278" i="92"/>
  <c r="L278" i="92"/>
  <c r="J278" i="92"/>
  <c r="H278" i="92"/>
  <c r="F278" i="92"/>
  <c r="D278" i="92"/>
  <c r="D75" i="123"/>
  <c r="L275" i="15"/>
  <c r="J275" i="15"/>
  <c r="H275" i="15"/>
  <c r="F275" i="15"/>
  <c r="D275" i="15"/>
  <c r="M22" i="135" l="1"/>
  <c r="G22" i="135"/>
  <c r="D74" i="123"/>
  <c r="AH277" i="92"/>
  <c r="AF277" i="92"/>
  <c r="AD277" i="92"/>
  <c r="AB277" i="92"/>
  <c r="Y277" i="92"/>
  <c r="Z277" i="92" s="1"/>
  <c r="X277" i="92"/>
  <c r="V277" i="92"/>
  <c r="T277" i="92"/>
  <c r="R277" i="92"/>
  <c r="P277" i="92"/>
  <c r="N277" i="92"/>
  <c r="L277" i="92"/>
  <c r="J277" i="92"/>
  <c r="H277" i="92"/>
  <c r="F277" i="92"/>
  <c r="D277" i="92"/>
  <c r="L273" i="15" l="1"/>
  <c r="L274" i="15"/>
  <c r="J273" i="15"/>
  <c r="J274" i="15"/>
  <c r="H273" i="15"/>
  <c r="H274" i="15"/>
  <c r="F273" i="15"/>
  <c r="F274" i="15"/>
  <c r="D274" i="15"/>
  <c r="D269" i="217" l="1"/>
  <c r="D270" i="217"/>
  <c r="D271" i="217"/>
  <c r="G270" i="217"/>
  <c r="G271" i="217"/>
  <c r="J270" i="209" l="1"/>
  <c r="J271" i="209"/>
  <c r="G270" i="209"/>
  <c r="G271" i="209"/>
  <c r="D270" i="209"/>
  <c r="D271" i="209"/>
  <c r="D70" i="123" l="1"/>
  <c r="D71" i="123"/>
  <c r="D72" i="123"/>
  <c r="D73" i="123"/>
  <c r="AH274" i="92"/>
  <c r="AH275" i="92"/>
  <c r="AH276" i="92"/>
  <c r="AF274" i="92"/>
  <c r="AF275" i="92"/>
  <c r="AF276" i="92"/>
  <c r="AD274" i="92"/>
  <c r="AD275" i="92"/>
  <c r="AD276" i="92"/>
  <c r="AB274" i="92"/>
  <c r="AB275" i="92"/>
  <c r="AB276" i="92"/>
  <c r="Y274" i="92"/>
  <c r="Z274" i="92" s="1"/>
  <c r="Y275" i="92"/>
  <c r="Z275" i="92" s="1"/>
  <c r="Y276" i="92"/>
  <c r="Z276" i="92" s="1"/>
  <c r="X274" i="92"/>
  <c r="X275" i="92"/>
  <c r="X276" i="92"/>
  <c r="V274" i="92"/>
  <c r="V275" i="92"/>
  <c r="V276" i="92"/>
  <c r="T274" i="92"/>
  <c r="T275" i="92"/>
  <c r="T276" i="92"/>
  <c r="R274" i="92"/>
  <c r="R275" i="92"/>
  <c r="R276" i="92"/>
  <c r="P274" i="92"/>
  <c r="P275" i="92"/>
  <c r="P276" i="92"/>
  <c r="N274" i="92"/>
  <c r="N275" i="92"/>
  <c r="N276" i="92"/>
  <c r="L274" i="92"/>
  <c r="L275" i="92"/>
  <c r="L276" i="92"/>
  <c r="J274" i="92"/>
  <c r="J275" i="92"/>
  <c r="J276" i="92"/>
  <c r="H274" i="92"/>
  <c r="H275" i="92"/>
  <c r="H276" i="92"/>
  <c r="F274" i="92"/>
  <c r="F275" i="92"/>
  <c r="F276" i="92"/>
  <c r="D274" i="92"/>
  <c r="D275" i="92"/>
  <c r="D276" i="92"/>
  <c r="L272" i="15" l="1"/>
  <c r="J272" i="15"/>
  <c r="H272" i="15"/>
  <c r="F272" i="15"/>
  <c r="D272" i="15"/>
  <c r="D273" i="15"/>
  <c r="J280" i="86" l="1"/>
  <c r="J279" i="86"/>
  <c r="J278" i="86"/>
  <c r="J277" i="86"/>
  <c r="J276" i="86"/>
  <c r="I280" i="86"/>
  <c r="I279" i="86"/>
  <c r="I278" i="86"/>
  <c r="I277" i="86"/>
  <c r="I276" i="86"/>
  <c r="H279" i="86"/>
  <c r="H278" i="86"/>
  <c r="H277" i="86"/>
  <c r="H276" i="86"/>
  <c r="G279" i="86"/>
  <c r="G278" i="86"/>
  <c r="G277" i="86"/>
  <c r="G276" i="86"/>
  <c r="F279" i="86"/>
  <c r="F278" i="86"/>
  <c r="F277" i="86"/>
  <c r="F276" i="86"/>
  <c r="C276" i="106" l="1"/>
  <c r="Y273" i="92"/>
  <c r="G276" i="106" l="1"/>
  <c r="E276" i="106"/>
  <c r="EJ35" i="102" l="1"/>
  <c r="EJ31" i="102"/>
  <c r="EJ27" i="102"/>
  <c r="EJ23" i="102"/>
  <c r="EJ19" i="102"/>
  <c r="EJ15" i="102"/>
  <c r="EJ11" i="102"/>
  <c r="EK35" i="99"/>
  <c r="EK31" i="99"/>
  <c r="EK27" i="99"/>
  <c r="EK23" i="99"/>
  <c r="EK19" i="99"/>
  <c r="EK15" i="99"/>
  <c r="EK11" i="99"/>
  <c r="G269" i="217"/>
  <c r="J269" i="209" l="1"/>
  <c r="G269" i="209"/>
  <c r="D269" i="209"/>
  <c r="L271" i="15" l="1"/>
  <c r="J271" i="15"/>
  <c r="H271" i="15"/>
  <c r="F271" i="15"/>
  <c r="D271" i="15"/>
  <c r="G268" i="217" l="1"/>
  <c r="D268" i="217"/>
  <c r="J268" i="209" l="1"/>
  <c r="G268" i="209"/>
  <c r="D268" i="209"/>
  <c r="M270" i="219" l="1"/>
  <c r="H270" i="219"/>
  <c r="B270" i="219" l="1"/>
  <c r="D68" i="123"/>
  <c r="D69" i="123"/>
  <c r="AH273" i="92"/>
  <c r="AF273" i="92"/>
  <c r="AD273" i="92"/>
  <c r="AB273" i="92"/>
  <c r="Z273" i="92"/>
  <c r="X273" i="92"/>
  <c r="V273" i="92"/>
  <c r="T273" i="92"/>
  <c r="R273" i="92"/>
  <c r="P273" i="92"/>
  <c r="N273" i="92"/>
  <c r="L273" i="92"/>
  <c r="J273" i="92"/>
  <c r="H273" i="92"/>
  <c r="F273" i="92"/>
  <c r="D273" i="92"/>
  <c r="L270" i="15"/>
  <c r="J270" i="15"/>
  <c r="H270" i="15"/>
  <c r="F270" i="15"/>
  <c r="D270" i="15"/>
  <c r="G265" i="217" l="1"/>
  <c r="G266" i="217"/>
  <c r="G267" i="217"/>
  <c r="D265" i="217"/>
  <c r="D266" i="217"/>
  <c r="D267" i="217"/>
  <c r="J266" i="209"/>
  <c r="J267" i="209"/>
  <c r="G266" i="209"/>
  <c r="G267" i="209"/>
  <c r="D266" i="209"/>
  <c r="D267" i="209"/>
  <c r="AH272" i="92" l="1"/>
  <c r="AF272" i="92"/>
  <c r="AD272" i="92"/>
  <c r="AB272" i="92"/>
  <c r="Y272" i="92"/>
  <c r="Z272" i="92" s="1"/>
  <c r="X272" i="92"/>
  <c r="V272" i="92"/>
  <c r="T272" i="92"/>
  <c r="R272" i="92"/>
  <c r="P272" i="92"/>
  <c r="N272" i="92"/>
  <c r="L272" i="92"/>
  <c r="J272" i="92"/>
  <c r="H272" i="92"/>
  <c r="F272" i="92"/>
  <c r="D272" i="92"/>
  <c r="L269" i="15"/>
  <c r="J269" i="15"/>
  <c r="H269" i="15"/>
  <c r="F269" i="15"/>
  <c r="D269" i="15"/>
  <c r="AH271" i="92" l="1"/>
  <c r="AF271" i="92"/>
  <c r="AD271" i="92"/>
  <c r="AB271" i="92"/>
  <c r="Y271" i="92"/>
  <c r="Z271" i="92" s="1"/>
  <c r="X271" i="92"/>
  <c r="V271" i="92"/>
  <c r="T271" i="92"/>
  <c r="R271" i="92"/>
  <c r="P271" i="92"/>
  <c r="N271" i="92"/>
  <c r="L271" i="92"/>
  <c r="J271" i="92"/>
  <c r="H271" i="92"/>
  <c r="F271" i="92"/>
  <c r="D271" i="92"/>
  <c r="L268" i="15"/>
  <c r="J268" i="15"/>
  <c r="H268" i="15"/>
  <c r="F268" i="15"/>
  <c r="D268" i="15"/>
  <c r="G264" i="217"/>
  <c r="D264" i="217"/>
  <c r="J265" i="209" l="1"/>
  <c r="G265" i="209"/>
  <c r="D265" i="209"/>
  <c r="D64" i="123" l="1"/>
  <c r="D63" i="123"/>
  <c r="D62" i="123"/>
  <c r="D61" i="123"/>
  <c r="D60" i="123"/>
  <c r="D59" i="123"/>
  <c r="D58" i="123"/>
  <c r="D57" i="123"/>
  <c r="D56" i="123"/>
  <c r="D55" i="123"/>
  <c r="D54" i="123"/>
  <c r="D53" i="123"/>
  <c r="D67" i="123"/>
  <c r="D66" i="123"/>
  <c r="N266" i="92"/>
  <c r="N267" i="92"/>
  <c r="N269" i="92"/>
  <c r="N270" i="92"/>
  <c r="AH270" i="92"/>
  <c r="AF270" i="92"/>
  <c r="AD270" i="92"/>
  <c r="AB270" i="92"/>
  <c r="Y270" i="92"/>
  <c r="Z270" i="92" s="1"/>
  <c r="X270" i="92"/>
  <c r="V270" i="92"/>
  <c r="T270" i="92"/>
  <c r="R270" i="92"/>
  <c r="P270" i="92"/>
  <c r="L270" i="92"/>
  <c r="J270" i="92"/>
  <c r="H270" i="92"/>
  <c r="F270" i="92"/>
  <c r="D270" i="92"/>
  <c r="L267" i="15" l="1"/>
  <c r="J267" i="15"/>
  <c r="H267" i="15"/>
  <c r="F267" i="15"/>
  <c r="D267" i="15"/>
  <c r="N258" i="225" l="1"/>
  <c r="N245" i="225"/>
  <c r="N232" i="225"/>
  <c r="N219" i="225"/>
  <c r="N206" i="225"/>
  <c r="N193" i="225"/>
  <c r="N180" i="225"/>
  <c r="N167" i="225"/>
  <c r="N154" i="225"/>
  <c r="N141" i="225"/>
  <c r="N128" i="225"/>
  <c r="N115" i="225"/>
  <c r="N102" i="225"/>
  <c r="G262" i="217" l="1"/>
  <c r="G261" i="217"/>
  <c r="D262" i="217"/>
  <c r="D261" i="217"/>
  <c r="J264" i="209" l="1"/>
  <c r="G264" i="209"/>
  <c r="D264" i="209"/>
  <c r="AH269" i="92" l="1"/>
  <c r="AF269" i="92"/>
  <c r="AD269" i="92"/>
  <c r="AB269" i="92"/>
  <c r="Y269" i="92"/>
  <c r="Z269" i="92" s="1"/>
  <c r="X269" i="92"/>
  <c r="V269" i="92"/>
  <c r="T269" i="92"/>
  <c r="R269" i="92"/>
  <c r="P269" i="92"/>
  <c r="L269" i="92"/>
  <c r="J269" i="92"/>
  <c r="H269" i="92"/>
  <c r="F269" i="92"/>
  <c r="D269" i="92"/>
  <c r="L266" i="15"/>
  <c r="J266" i="15"/>
  <c r="H266" i="15"/>
  <c r="F266" i="15"/>
  <c r="D266" i="15"/>
  <c r="E270" i="32" l="1"/>
  <c r="B270" i="32"/>
  <c r="I270" i="32" s="1"/>
  <c r="H270" i="32" l="1"/>
  <c r="J275" i="86" l="1"/>
  <c r="I275" i="86"/>
  <c r="J273" i="86"/>
  <c r="I273" i="86"/>
  <c r="J272" i="86"/>
  <c r="I272" i="86"/>
  <c r="H275" i="86" l="1"/>
  <c r="G275" i="86"/>
  <c r="F275" i="86"/>
  <c r="I185" i="48" l="1"/>
  <c r="H185" i="48"/>
  <c r="G185" i="48"/>
  <c r="F185" i="48"/>
  <c r="E185" i="48"/>
  <c r="D185" i="48"/>
  <c r="C185" i="48"/>
  <c r="B185" i="48"/>
  <c r="C39" i="218"/>
  <c r="D39" i="218"/>
  <c r="E39" i="218"/>
  <c r="F39" i="218"/>
  <c r="G39" i="218"/>
  <c r="B39" i="218"/>
  <c r="F250" i="217" l="1"/>
  <c r="E250" i="217"/>
  <c r="C250" i="217"/>
  <c r="B250" i="217"/>
  <c r="N184" i="215" l="1"/>
  <c r="O184" i="215"/>
  <c r="P184" i="215"/>
  <c r="M184" i="215"/>
  <c r="C181" i="214"/>
  <c r="D181" i="214"/>
  <c r="E181" i="214"/>
  <c r="F181" i="214"/>
  <c r="G181" i="214"/>
  <c r="H181" i="214"/>
  <c r="I181" i="214"/>
  <c r="J181" i="214"/>
  <c r="K181" i="214"/>
  <c r="L181" i="214"/>
  <c r="M181" i="214"/>
  <c r="N181" i="214"/>
  <c r="O181" i="214"/>
  <c r="B181" i="214"/>
  <c r="I187" i="213"/>
  <c r="J187" i="213"/>
  <c r="K187" i="213"/>
  <c r="L187" i="213"/>
  <c r="M187" i="213"/>
  <c r="N187" i="213"/>
  <c r="O187" i="213"/>
  <c r="P187" i="213"/>
  <c r="Q187" i="213"/>
  <c r="R187" i="213"/>
  <c r="S187" i="213"/>
  <c r="T187" i="213"/>
  <c r="U187" i="213"/>
  <c r="V187" i="213"/>
  <c r="W187" i="213"/>
  <c r="X187" i="213"/>
  <c r="Y187" i="213"/>
  <c r="Z187" i="213"/>
  <c r="AA187" i="213"/>
  <c r="AB187" i="213"/>
  <c r="AC187" i="213"/>
  <c r="AD187" i="213"/>
  <c r="AE187" i="213"/>
  <c r="AF187" i="213"/>
  <c r="AG187" i="213"/>
  <c r="AH187" i="213"/>
  <c r="AI187" i="213"/>
  <c r="AJ187" i="213"/>
  <c r="AK187" i="213"/>
  <c r="AL187" i="213"/>
  <c r="AM187" i="213"/>
  <c r="AN187" i="213"/>
  <c r="AO187" i="213"/>
  <c r="AP187" i="213"/>
  <c r="AQ187" i="213"/>
  <c r="AR187" i="213"/>
  <c r="AS187" i="213"/>
  <c r="AT187" i="213"/>
  <c r="AU187" i="213"/>
  <c r="AV187" i="213"/>
  <c r="AW187" i="213"/>
  <c r="AX187" i="213"/>
  <c r="AY187" i="213"/>
  <c r="AZ187" i="213"/>
  <c r="BA187" i="213"/>
  <c r="BB187" i="213"/>
  <c r="BC187" i="213"/>
  <c r="BD187" i="213"/>
  <c r="BE187" i="213"/>
  <c r="BF187" i="213"/>
  <c r="BG187" i="213"/>
  <c r="BH187" i="213"/>
  <c r="BI187" i="213"/>
  <c r="BJ187" i="213"/>
  <c r="BK187" i="213"/>
  <c r="BL187" i="213"/>
  <c r="BM187" i="213"/>
  <c r="H187" i="213"/>
  <c r="J261" i="209"/>
  <c r="J262" i="209"/>
  <c r="G261" i="209"/>
  <c r="G262" i="209"/>
  <c r="D261" i="209"/>
  <c r="D262" i="209"/>
  <c r="I250" i="209"/>
  <c r="H250" i="209"/>
  <c r="F250" i="209"/>
  <c r="E250" i="209"/>
  <c r="C250" i="209"/>
  <c r="B250" i="209"/>
  <c r="D260" i="209"/>
  <c r="G260" i="209"/>
  <c r="J260" i="209"/>
  <c r="C263" i="33" l="1"/>
  <c r="D263" i="33"/>
  <c r="E263" i="33"/>
  <c r="F263" i="33"/>
  <c r="G263" i="33"/>
  <c r="H263" i="33"/>
  <c r="I263" i="33"/>
  <c r="B263" i="33"/>
  <c r="K22" i="135" l="1"/>
  <c r="E22" i="135"/>
  <c r="ED35" i="99" l="1"/>
  <c r="AH266" i="92"/>
  <c r="AH267" i="92"/>
  <c r="AF266" i="92"/>
  <c r="AF267" i="92"/>
  <c r="AD266" i="92"/>
  <c r="AD267" i="92"/>
  <c r="AB266" i="92"/>
  <c r="AB267" i="92"/>
  <c r="Y266" i="92"/>
  <c r="Z266" i="92" s="1"/>
  <c r="Y267" i="92"/>
  <c r="Z267" i="92" s="1"/>
  <c r="X266" i="92"/>
  <c r="X267" i="92"/>
  <c r="V266" i="92"/>
  <c r="V267" i="92"/>
  <c r="T266" i="92"/>
  <c r="T267" i="92"/>
  <c r="R266" i="92"/>
  <c r="R267" i="92"/>
  <c r="P266" i="92"/>
  <c r="P267" i="92"/>
  <c r="L266" i="92"/>
  <c r="L267" i="92"/>
  <c r="J266" i="92"/>
  <c r="J267" i="92"/>
  <c r="H266" i="92"/>
  <c r="H267" i="92"/>
  <c r="F266" i="92"/>
  <c r="F267" i="92"/>
  <c r="D267" i="92"/>
  <c r="D266" i="92"/>
  <c r="L264" i="15" l="1"/>
  <c r="L263" i="15"/>
  <c r="J264" i="15"/>
  <c r="J263" i="15"/>
  <c r="H264" i="15"/>
  <c r="H263" i="15"/>
  <c r="F264" i="15"/>
  <c r="F263" i="15"/>
  <c r="D264" i="15"/>
  <c r="D263" i="15"/>
  <c r="H270" i="86" l="1"/>
  <c r="H271" i="86"/>
  <c r="H272" i="86"/>
  <c r="H273" i="86"/>
  <c r="G270" i="86"/>
  <c r="G271" i="86"/>
  <c r="G272" i="86"/>
  <c r="G273" i="86"/>
  <c r="F270" i="86"/>
  <c r="F271" i="86"/>
  <c r="F272" i="86"/>
  <c r="F273" i="86"/>
  <c r="I270" i="86" l="1"/>
  <c r="J270" i="86"/>
  <c r="I271" i="86"/>
  <c r="J271" i="86"/>
  <c r="D265" i="92" l="1"/>
  <c r="D250" i="217" l="1"/>
  <c r="G250" i="217"/>
  <c r="G250" i="209" l="1"/>
  <c r="D250" i="209"/>
  <c r="J250" i="209"/>
  <c r="CD60" i="221"/>
  <c r="CD59" i="221"/>
  <c r="CD58" i="221"/>
  <c r="CD57" i="221"/>
  <c r="CD56" i="221"/>
  <c r="CD55" i="221"/>
  <c r="CC53" i="221"/>
  <c r="CD53" i="221" s="1"/>
  <c r="CD52" i="221"/>
  <c r="CD51" i="221"/>
  <c r="CC49" i="221"/>
  <c r="CD49" i="221" s="1"/>
  <c r="CD46" i="221"/>
  <c r="CD44" i="221"/>
  <c r="CD43" i="221"/>
  <c r="CD41" i="221"/>
  <c r="CD40" i="221"/>
  <c r="CD38" i="221"/>
  <c r="CD37" i="221"/>
  <c r="CD35" i="221"/>
  <c r="CD34" i="221"/>
  <c r="CC32" i="221"/>
  <c r="CD32" i="221" s="1"/>
  <c r="CD30" i="221"/>
  <c r="CD29" i="221"/>
  <c r="CD25" i="221"/>
  <c r="CD24" i="221"/>
  <c r="CC22" i="221"/>
  <c r="CD22" i="221" s="1"/>
  <c r="CD20" i="221"/>
  <c r="CD19" i="221"/>
  <c r="CC17" i="221"/>
  <c r="CD15" i="221"/>
  <c r="CD14" i="221"/>
  <c r="CC12" i="221"/>
  <c r="CD12" i="221" s="1"/>
  <c r="BY9" i="221"/>
  <c r="G259" i="217"/>
  <c r="G260" i="217"/>
  <c r="D259" i="217"/>
  <c r="D260" i="217"/>
  <c r="CC48" i="221" l="1"/>
  <c r="CD48" i="221" s="1"/>
  <c r="CC10" i="221"/>
  <c r="CC9" i="221" s="1"/>
  <c r="CD9" i="221" s="1"/>
  <c r="CD17" i="221"/>
  <c r="J259" i="209"/>
  <c r="G259" i="209"/>
  <c r="D259" i="209"/>
  <c r="CD10" i="221" l="1"/>
  <c r="CC62" i="221"/>
  <c r="CD62" i="221" s="1"/>
  <c r="F266" i="106"/>
  <c r="G266" i="106" s="1"/>
  <c r="E266" i="106"/>
  <c r="C266" i="106"/>
  <c r="AH265" i="92" l="1"/>
  <c r="AF265" i="92"/>
  <c r="AD265" i="92"/>
  <c r="AB265" i="92"/>
  <c r="Y265" i="92"/>
  <c r="Z265" i="92" s="1"/>
  <c r="X265" i="92"/>
  <c r="V265" i="92"/>
  <c r="T265" i="92"/>
  <c r="R265" i="92"/>
  <c r="P265" i="92"/>
  <c r="N265" i="92"/>
  <c r="L265" i="92"/>
  <c r="J265" i="92"/>
  <c r="H265" i="92"/>
  <c r="F265" i="92"/>
  <c r="L262" i="15"/>
  <c r="J262" i="15"/>
  <c r="H262" i="15"/>
  <c r="F262" i="15"/>
  <c r="D262" i="15"/>
  <c r="AC75" i="220"/>
  <c r="Z75" i="220"/>
  <c r="V75" i="220"/>
  <c r="S75" i="220"/>
  <c r="O75" i="220"/>
  <c r="L75" i="220"/>
  <c r="J75" i="220"/>
  <c r="I75" i="220"/>
  <c r="G75" i="220"/>
  <c r="F75" i="220"/>
  <c r="AC74" i="220"/>
  <c r="Z74" i="220"/>
  <c r="V74" i="220"/>
  <c r="S74" i="220"/>
  <c r="O74" i="220"/>
  <c r="L74" i="220"/>
  <c r="J74" i="220"/>
  <c r="I74" i="220"/>
  <c r="G74" i="220"/>
  <c r="F74" i="220"/>
  <c r="C74" i="220"/>
  <c r="AC73" i="220"/>
  <c r="Z73" i="220"/>
  <c r="V73" i="220"/>
  <c r="S73" i="220"/>
  <c r="O73" i="220"/>
  <c r="L73" i="220"/>
  <c r="J73" i="220"/>
  <c r="I73" i="220"/>
  <c r="G73" i="220"/>
  <c r="F73" i="220"/>
  <c r="AE72" i="220"/>
  <c r="AD72" i="220"/>
  <c r="AB72" i="220"/>
  <c r="AA72" i="220"/>
  <c r="F72" i="220" s="1"/>
  <c r="X72" i="220"/>
  <c r="W72" i="220"/>
  <c r="U72" i="220"/>
  <c r="T72" i="220"/>
  <c r="Q72" i="220"/>
  <c r="P72" i="220"/>
  <c r="N72" i="220"/>
  <c r="M72" i="220"/>
  <c r="AC71" i="220"/>
  <c r="Z71" i="220"/>
  <c r="V71" i="220"/>
  <c r="S71" i="220"/>
  <c r="R71" i="220" s="1"/>
  <c r="O71" i="220"/>
  <c r="L71" i="220"/>
  <c r="J71" i="220"/>
  <c r="I71" i="220"/>
  <c r="G71" i="220"/>
  <c r="F71" i="220"/>
  <c r="AC70" i="220"/>
  <c r="Z70" i="220"/>
  <c r="Y70" i="220" s="1"/>
  <c r="V70" i="220"/>
  <c r="S70" i="220"/>
  <c r="O70" i="220"/>
  <c r="L70" i="220"/>
  <c r="K70" i="220" s="1"/>
  <c r="J70" i="220"/>
  <c r="I70" i="220"/>
  <c r="G70" i="220"/>
  <c r="F70" i="220"/>
  <c r="AC69" i="220"/>
  <c r="Z69" i="220"/>
  <c r="V69" i="220"/>
  <c r="S69" i="220"/>
  <c r="O69" i="220"/>
  <c r="L69" i="220"/>
  <c r="J69" i="220"/>
  <c r="I69" i="220"/>
  <c r="G69" i="220"/>
  <c r="D69" i="220" s="1"/>
  <c r="F69" i="220"/>
  <c r="AC68" i="220"/>
  <c r="Z68" i="220"/>
  <c r="V68" i="220"/>
  <c r="S68" i="220"/>
  <c r="O68" i="220"/>
  <c r="L68" i="220"/>
  <c r="K68" i="220" s="1"/>
  <c r="J68" i="220"/>
  <c r="I68" i="220"/>
  <c r="G68" i="220"/>
  <c r="F68" i="220"/>
  <c r="E68" i="220" s="1"/>
  <c r="AC67" i="220"/>
  <c r="Z67" i="220"/>
  <c r="V67" i="220"/>
  <c r="S67" i="220"/>
  <c r="O67" i="220"/>
  <c r="L67" i="220"/>
  <c r="J67" i="220"/>
  <c r="I67" i="220"/>
  <c r="H67" i="220" s="1"/>
  <c r="G67" i="220"/>
  <c r="D67" i="220" s="1"/>
  <c r="F67" i="220"/>
  <c r="AC66" i="220"/>
  <c r="Z66" i="220"/>
  <c r="V66" i="220"/>
  <c r="S66" i="220"/>
  <c r="O66" i="220"/>
  <c r="L66" i="220"/>
  <c r="J66" i="220"/>
  <c r="I66" i="220"/>
  <c r="G66" i="220"/>
  <c r="F66" i="220"/>
  <c r="E66" i="220" s="1"/>
  <c r="AC64" i="220"/>
  <c r="Z64" i="220"/>
  <c r="V64" i="220"/>
  <c r="S64" i="220"/>
  <c r="R64" i="220" s="1"/>
  <c r="O64" i="220"/>
  <c r="L64" i="220"/>
  <c r="J64" i="220"/>
  <c r="I64" i="220"/>
  <c r="G64" i="220"/>
  <c r="F64" i="220"/>
  <c r="AC63" i="220"/>
  <c r="Z63" i="220"/>
  <c r="Y63" i="220" s="1"/>
  <c r="V63" i="220"/>
  <c r="S63" i="220"/>
  <c r="R63" i="220" s="1"/>
  <c r="O63" i="220"/>
  <c r="L63" i="220"/>
  <c r="J63" i="220"/>
  <c r="I63" i="220"/>
  <c r="G63" i="220"/>
  <c r="F63" i="220"/>
  <c r="AC62" i="220"/>
  <c r="Z62" i="220"/>
  <c r="V62" i="220"/>
  <c r="S62" i="220"/>
  <c r="O62" i="220"/>
  <c r="L62" i="220"/>
  <c r="K62" i="220" s="1"/>
  <c r="J62" i="220"/>
  <c r="I62" i="220"/>
  <c r="G62" i="220"/>
  <c r="F62" i="220"/>
  <c r="AC61" i="220"/>
  <c r="Z61" i="220"/>
  <c r="V61" i="220"/>
  <c r="R61" i="220" s="1"/>
  <c r="S61" i="220"/>
  <c r="O61" i="220"/>
  <c r="L61" i="220"/>
  <c r="K61" i="220" s="1"/>
  <c r="J61" i="220"/>
  <c r="I61" i="220"/>
  <c r="G61" i="220"/>
  <c r="F61" i="220"/>
  <c r="AC60" i="220"/>
  <c r="Z60" i="220"/>
  <c r="V60" i="220"/>
  <c r="S60" i="220"/>
  <c r="O60" i="220"/>
  <c r="L60" i="220"/>
  <c r="J60" i="220"/>
  <c r="I60" i="220"/>
  <c r="H60" i="220" s="1"/>
  <c r="G60" i="220"/>
  <c r="F60" i="220"/>
  <c r="AC59" i="220"/>
  <c r="Z59" i="220"/>
  <c r="V59" i="220"/>
  <c r="S59" i="220"/>
  <c r="O59" i="220"/>
  <c r="L59" i="220"/>
  <c r="J59" i="220"/>
  <c r="I59" i="220"/>
  <c r="G59" i="220"/>
  <c r="F59" i="220"/>
  <c r="E59" i="220" s="1"/>
  <c r="AC58" i="220"/>
  <c r="Z58" i="220"/>
  <c r="V58" i="220"/>
  <c r="S58" i="220"/>
  <c r="O58" i="220"/>
  <c r="L58" i="220"/>
  <c r="J58" i="220"/>
  <c r="I58" i="220"/>
  <c r="G58" i="220"/>
  <c r="F58" i="220"/>
  <c r="AC57" i="220"/>
  <c r="Z57" i="220"/>
  <c r="Y57" i="220" s="1"/>
  <c r="V57" i="220"/>
  <c r="S57" i="220"/>
  <c r="O57" i="220"/>
  <c r="L57" i="220"/>
  <c r="J57" i="220"/>
  <c r="I57" i="220"/>
  <c r="G57" i="220"/>
  <c r="F57" i="220"/>
  <c r="AC56" i="220"/>
  <c r="Z56" i="220"/>
  <c r="V56" i="220"/>
  <c r="S56" i="220"/>
  <c r="O56" i="220"/>
  <c r="L56" i="220"/>
  <c r="K56" i="220" s="1"/>
  <c r="J56" i="220"/>
  <c r="I56" i="220"/>
  <c r="G56" i="220"/>
  <c r="F56" i="220"/>
  <c r="AC55" i="220"/>
  <c r="Z55" i="220"/>
  <c r="V55" i="220"/>
  <c r="S55" i="220"/>
  <c r="O55" i="220"/>
  <c r="L55" i="220"/>
  <c r="J55" i="220"/>
  <c r="I55" i="220"/>
  <c r="G55" i="220"/>
  <c r="F55" i="220"/>
  <c r="AC54" i="220"/>
  <c r="Z54" i="220"/>
  <c r="V54" i="220"/>
  <c r="S54" i="220"/>
  <c r="O54" i="220"/>
  <c r="L54" i="220"/>
  <c r="J54" i="220"/>
  <c r="I54" i="220"/>
  <c r="G54" i="220"/>
  <c r="D54" i="220" s="1"/>
  <c r="F54" i="220"/>
  <c r="AC53" i="220"/>
  <c r="Z53" i="220"/>
  <c r="V53" i="220"/>
  <c r="S53" i="220"/>
  <c r="O53" i="220"/>
  <c r="L53" i="220"/>
  <c r="J53" i="220"/>
  <c r="I53" i="220"/>
  <c r="G53" i="220"/>
  <c r="F53" i="220"/>
  <c r="AC51" i="220"/>
  <c r="Z51" i="220"/>
  <c r="V51" i="220"/>
  <c r="S51" i="220"/>
  <c r="O51" i="220"/>
  <c r="L51" i="220"/>
  <c r="J51" i="220"/>
  <c r="I51" i="220"/>
  <c r="G51" i="220"/>
  <c r="F51" i="220"/>
  <c r="AC50" i="220"/>
  <c r="Z50" i="220"/>
  <c r="V50" i="220"/>
  <c r="S50" i="220"/>
  <c r="O50" i="220"/>
  <c r="L50" i="220"/>
  <c r="J50" i="220"/>
  <c r="I50" i="220"/>
  <c r="G50" i="220"/>
  <c r="F50" i="220"/>
  <c r="AC49" i="220"/>
  <c r="Z49" i="220"/>
  <c r="V49" i="220"/>
  <c r="S49" i="220"/>
  <c r="O49" i="220"/>
  <c r="L49" i="220"/>
  <c r="K49" i="220" s="1"/>
  <c r="J49" i="220"/>
  <c r="I49" i="220"/>
  <c r="G49" i="220"/>
  <c r="F49" i="220"/>
  <c r="AC48" i="220"/>
  <c r="Z48" i="220"/>
  <c r="V48" i="220"/>
  <c r="S48" i="220"/>
  <c r="O48" i="220"/>
  <c r="L48" i="220"/>
  <c r="J48" i="220"/>
  <c r="I48" i="220"/>
  <c r="G48" i="220"/>
  <c r="F48" i="220"/>
  <c r="AC47" i="220"/>
  <c r="Z47" i="220"/>
  <c r="V47" i="220"/>
  <c r="S47" i="220"/>
  <c r="O47" i="220"/>
  <c r="L47" i="220"/>
  <c r="J47" i="220"/>
  <c r="I47" i="220"/>
  <c r="G47" i="220"/>
  <c r="F47" i="220"/>
  <c r="AC46" i="220"/>
  <c r="Z46" i="220"/>
  <c r="V46" i="220"/>
  <c r="S46" i="220"/>
  <c r="O46" i="220"/>
  <c r="L46" i="220"/>
  <c r="J46" i="220"/>
  <c r="I46" i="220"/>
  <c r="G46" i="220"/>
  <c r="F46" i="220"/>
  <c r="AC45" i="220"/>
  <c r="Z45" i="220"/>
  <c r="V45" i="220"/>
  <c r="S45" i="220"/>
  <c r="R45" i="220" s="1"/>
  <c r="O45" i="220"/>
  <c r="L45" i="220"/>
  <c r="J45" i="220"/>
  <c r="I45" i="220"/>
  <c r="G45" i="220"/>
  <c r="F45" i="220"/>
  <c r="AC44" i="220"/>
  <c r="Z44" i="220"/>
  <c r="V44" i="220"/>
  <c r="S44" i="220"/>
  <c r="R44" i="220" s="1"/>
  <c r="O44" i="220"/>
  <c r="L44" i="220"/>
  <c r="J44" i="220"/>
  <c r="I44" i="220"/>
  <c r="G44" i="220"/>
  <c r="F44" i="220"/>
  <c r="AC43" i="220"/>
  <c r="Z43" i="220"/>
  <c r="V43" i="220"/>
  <c r="S43" i="220"/>
  <c r="O43" i="220"/>
  <c r="L43" i="220"/>
  <c r="J43" i="220"/>
  <c r="I43" i="220"/>
  <c r="G43" i="220"/>
  <c r="F43" i="220"/>
  <c r="AC42" i="220"/>
  <c r="Z42" i="220"/>
  <c r="V42" i="220"/>
  <c r="S42" i="220"/>
  <c r="O42" i="220"/>
  <c r="L42" i="220"/>
  <c r="J42" i="220"/>
  <c r="I42" i="220"/>
  <c r="G42" i="220"/>
  <c r="F42" i="220"/>
  <c r="AC41" i="220"/>
  <c r="Z41" i="220"/>
  <c r="V41" i="220"/>
  <c r="S41" i="220"/>
  <c r="O41" i="220"/>
  <c r="L41" i="220"/>
  <c r="J41" i="220"/>
  <c r="I41" i="220"/>
  <c r="G41" i="220"/>
  <c r="F41" i="220"/>
  <c r="AC40" i="220"/>
  <c r="Z40" i="220"/>
  <c r="V40" i="220"/>
  <c r="S40" i="220"/>
  <c r="O40" i="220"/>
  <c r="L40" i="220"/>
  <c r="J40" i="220"/>
  <c r="I40" i="220"/>
  <c r="G40" i="220"/>
  <c r="F40" i="220"/>
  <c r="AC38" i="220"/>
  <c r="Z38" i="220"/>
  <c r="V38" i="220"/>
  <c r="S38" i="220"/>
  <c r="O38" i="220"/>
  <c r="L38" i="220"/>
  <c r="J38" i="220"/>
  <c r="I38" i="220"/>
  <c r="G38" i="220"/>
  <c r="F38" i="220"/>
  <c r="AC37" i="220"/>
  <c r="Z37" i="220"/>
  <c r="V37" i="220"/>
  <c r="S37" i="220"/>
  <c r="O37" i="220"/>
  <c r="L37" i="220"/>
  <c r="K37" i="220" s="1"/>
  <c r="J37" i="220"/>
  <c r="I37" i="220"/>
  <c r="G37" i="220"/>
  <c r="F37" i="220"/>
  <c r="AC36" i="220"/>
  <c r="Z36" i="220"/>
  <c r="V36" i="220"/>
  <c r="S36" i="220"/>
  <c r="O36" i="220"/>
  <c r="L36" i="220"/>
  <c r="J36" i="220"/>
  <c r="I36" i="220"/>
  <c r="G36" i="220"/>
  <c r="F36" i="220"/>
  <c r="AC35" i="220"/>
  <c r="Z35" i="220"/>
  <c r="V35" i="220"/>
  <c r="S35" i="220"/>
  <c r="O35" i="220"/>
  <c r="L35" i="220"/>
  <c r="J35" i="220"/>
  <c r="I35" i="220"/>
  <c r="G35" i="220"/>
  <c r="F35" i="220"/>
  <c r="AC33" i="220"/>
  <c r="Z33" i="220"/>
  <c r="V33" i="220"/>
  <c r="S33" i="220"/>
  <c r="O33" i="220"/>
  <c r="L33" i="220"/>
  <c r="J33" i="220"/>
  <c r="I33" i="220"/>
  <c r="G33" i="220"/>
  <c r="F33" i="220"/>
  <c r="AC32" i="220"/>
  <c r="Z32" i="220"/>
  <c r="V32" i="220"/>
  <c r="S32" i="220"/>
  <c r="O32" i="220"/>
  <c r="L32" i="220"/>
  <c r="J32" i="220"/>
  <c r="I32" i="220"/>
  <c r="G32" i="220"/>
  <c r="F32" i="220"/>
  <c r="AC31" i="220"/>
  <c r="Z31" i="220"/>
  <c r="V31" i="220"/>
  <c r="S31" i="220"/>
  <c r="O31" i="220"/>
  <c r="L31" i="220"/>
  <c r="J31" i="220"/>
  <c r="I31" i="220"/>
  <c r="G31" i="220"/>
  <c r="F31" i="220"/>
  <c r="AC30" i="220"/>
  <c r="Z30" i="220"/>
  <c r="V30" i="220"/>
  <c r="S30" i="220"/>
  <c r="O30" i="220"/>
  <c r="L30" i="220"/>
  <c r="K30" i="220" s="1"/>
  <c r="J30" i="220"/>
  <c r="I30" i="220"/>
  <c r="G30" i="220"/>
  <c r="F30" i="220"/>
  <c r="AC29" i="220"/>
  <c r="Z29" i="220"/>
  <c r="V29" i="220"/>
  <c r="S29" i="220"/>
  <c r="O29" i="220"/>
  <c r="L29" i="220"/>
  <c r="J29" i="220"/>
  <c r="I29" i="220"/>
  <c r="H29" i="220" s="1"/>
  <c r="G29" i="220"/>
  <c r="F29" i="220"/>
  <c r="AC28" i="220"/>
  <c r="Z28" i="220"/>
  <c r="V28" i="220"/>
  <c r="S28" i="220"/>
  <c r="O28" i="220"/>
  <c r="L28" i="220"/>
  <c r="J28" i="220"/>
  <c r="I28" i="220"/>
  <c r="G28" i="220"/>
  <c r="F28" i="220"/>
  <c r="AC27" i="220"/>
  <c r="Z27" i="220"/>
  <c r="V27" i="220"/>
  <c r="S27" i="220"/>
  <c r="O27" i="220"/>
  <c r="L27" i="220"/>
  <c r="J27" i="220"/>
  <c r="I27" i="220"/>
  <c r="G27" i="220"/>
  <c r="F27" i="220"/>
  <c r="AC25" i="220"/>
  <c r="Z25" i="220"/>
  <c r="V25" i="220"/>
  <c r="S25" i="220"/>
  <c r="O25" i="220"/>
  <c r="L25" i="220"/>
  <c r="J25" i="220"/>
  <c r="I25" i="220"/>
  <c r="G25" i="220"/>
  <c r="F25" i="220"/>
  <c r="AC24" i="220"/>
  <c r="Z24" i="220"/>
  <c r="V24" i="220"/>
  <c r="S24" i="220"/>
  <c r="O24" i="220"/>
  <c r="L24" i="220"/>
  <c r="J24" i="220"/>
  <c r="I24" i="220"/>
  <c r="G24" i="220"/>
  <c r="F24" i="220"/>
  <c r="AC23" i="220"/>
  <c r="Z23" i="220"/>
  <c r="V23" i="220"/>
  <c r="S23" i="220"/>
  <c r="R23" i="220" s="1"/>
  <c r="O23" i="220"/>
  <c r="L23" i="220"/>
  <c r="J23" i="220"/>
  <c r="I23" i="220"/>
  <c r="G23" i="220"/>
  <c r="F23" i="220"/>
  <c r="AC22" i="220"/>
  <c r="Z22" i="220"/>
  <c r="V22" i="220"/>
  <c r="S22" i="220"/>
  <c r="O22" i="220"/>
  <c r="L22" i="220"/>
  <c r="K22" i="220" s="1"/>
  <c r="J22" i="220"/>
  <c r="I22" i="220"/>
  <c r="G22" i="220"/>
  <c r="F22" i="220"/>
  <c r="AC21" i="220"/>
  <c r="Z21" i="220"/>
  <c r="V21" i="220"/>
  <c r="S21" i="220"/>
  <c r="O21" i="220"/>
  <c r="L21" i="220"/>
  <c r="J21" i="220"/>
  <c r="I21" i="220"/>
  <c r="H21" i="220" s="1"/>
  <c r="G21" i="220"/>
  <c r="F21" i="220"/>
  <c r="AC20" i="220"/>
  <c r="Z20" i="220"/>
  <c r="V20" i="220"/>
  <c r="S20" i="220"/>
  <c r="O20" i="220"/>
  <c r="L20" i="220"/>
  <c r="J20" i="220"/>
  <c r="I20" i="220"/>
  <c r="G20" i="220"/>
  <c r="F20" i="220"/>
  <c r="AC19" i="220"/>
  <c r="Z19" i="220"/>
  <c r="Y19" i="220" s="1"/>
  <c r="V19" i="220"/>
  <c r="S19" i="220"/>
  <c r="O19" i="220"/>
  <c r="L19" i="220"/>
  <c r="J19" i="220"/>
  <c r="I19" i="220"/>
  <c r="G19" i="220"/>
  <c r="F19" i="220"/>
  <c r="AC18" i="220"/>
  <c r="Z18" i="220"/>
  <c r="V18" i="220"/>
  <c r="S18" i="220"/>
  <c r="R18" i="220" s="1"/>
  <c r="O18" i="220"/>
  <c r="L18" i="220"/>
  <c r="J18" i="220"/>
  <c r="I18" i="220"/>
  <c r="G18" i="220"/>
  <c r="F18" i="220"/>
  <c r="AC17" i="220"/>
  <c r="Z17" i="220"/>
  <c r="V17" i="220"/>
  <c r="S17" i="220"/>
  <c r="O17" i="220"/>
  <c r="L17" i="220"/>
  <c r="J17" i="220"/>
  <c r="I17" i="220"/>
  <c r="G17" i="220"/>
  <c r="F17" i="220"/>
  <c r="AC16" i="220"/>
  <c r="Z16" i="220"/>
  <c r="V16" i="220"/>
  <c r="S16" i="220"/>
  <c r="O16" i="220"/>
  <c r="L16" i="220"/>
  <c r="J16" i="220"/>
  <c r="I16" i="220"/>
  <c r="H16" i="220" s="1"/>
  <c r="G16" i="220"/>
  <c r="F16" i="220"/>
  <c r="AC15" i="220"/>
  <c r="Z15" i="220"/>
  <c r="V15" i="220"/>
  <c r="S15" i="220"/>
  <c r="O15" i="220"/>
  <c r="L15" i="220"/>
  <c r="J15" i="220"/>
  <c r="I15" i="220"/>
  <c r="G15" i="220"/>
  <c r="F15" i="220"/>
  <c r="AC14" i="220"/>
  <c r="Z14" i="220"/>
  <c r="V14" i="220"/>
  <c r="S14" i="220"/>
  <c r="O14" i="220"/>
  <c r="L14" i="220"/>
  <c r="J14" i="220"/>
  <c r="I14" i="220"/>
  <c r="G14" i="220"/>
  <c r="F14" i="220"/>
  <c r="AC12" i="220"/>
  <c r="Z12" i="220"/>
  <c r="Y12" i="220" s="1"/>
  <c r="V12" i="220"/>
  <c r="S12" i="220"/>
  <c r="O12" i="220"/>
  <c r="L12" i="220"/>
  <c r="J12" i="220"/>
  <c r="I12" i="220"/>
  <c r="G12" i="220"/>
  <c r="F12" i="220"/>
  <c r="M253" i="219"/>
  <c r="M241" i="219"/>
  <c r="Q227" i="219"/>
  <c r="P227" i="219"/>
  <c r="O227" i="219"/>
  <c r="N227" i="219"/>
  <c r="Q225" i="219"/>
  <c r="P225" i="219"/>
  <c r="O225" i="219"/>
  <c r="N225" i="219"/>
  <c r="Q224" i="219"/>
  <c r="P224" i="219"/>
  <c r="O224" i="219"/>
  <c r="N224" i="219"/>
  <c r="Q223" i="219"/>
  <c r="P223" i="219"/>
  <c r="O223" i="219"/>
  <c r="N223" i="219"/>
  <c r="Q222" i="219"/>
  <c r="P222" i="219"/>
  <c r="O222" i="219"/>
  <c r="N222" i="219"/>
  <c r="Q221" i="219"/>
  <c r="P221" i="219"/>
  <c r="O221" i="219"/>
  <c r="N221" i="219"/>
  <c r="Q220" i="219"/>
  <c r="P220" i="219"/>
  <c r="O220" i="219"/>
  <c r="N220" i="219"/>
  <c r="Q219" i="219"/>
  <c r="P219" i="219"/>
  <c r="O219" i="219"/>
  <c r="N219" i="219"/>
  <c r="Q218" i="219"/>
  <c r="P218" i="219"/>
  <c r="O218" i="219"/>
  <c r="N218" i="219"/>
  <c r="Q216" i="219"/>
  <c r="P216" i="219"/>
  <c r="O216" i="219"/>
  <c r="N216" i="219"/>
  <c r="Q215" i="219"/>
  <c r="P215" i="219"/>
  <c r="O215" i="219"/>
  <c r="N215" i="219"/>
  <c r="Q214" i="219"/>
  <c r="P214" i="219"/>
  <c r="O214" i="219"/>
  <c r="N214" i="219"/>
  <c r="Q212" i="219"/>
  <c r="P212" i="219"/>
  <c r="O212" i="219"/>
  <c r="N212" i="219"/>
  <c r="Q211" i="219"/>
  <c r="P211" i="219"/>
  <c r="O211" i="219"/>
  <c r="N211" i="219"/>
  <c r="Q210" i="219"/>
  <c r="P210" i="219"/>
  <c r="O210" i="219"/>
  <c r="N210" i="219"/>
  <c r="Q209" i="219"/>
  <c r="P209" i="219"/>
  <c r="O209" i="219"/>
  <c r="N209" i="219"/>
  <c r="Q208" i="219"/>
  <c r="P208" i="219"/>
  <c r="O208" i="219"/>
  <c r="N208" i="219"/>
  <c r="Q173" i="219"/>
  <c r="P173" i="219"/>
  <c r="O173" i="219"/>
  <c r="N173" i="219"/>
  <c r="M173" i="219"/>
  <c r="Q162" i="219"/>
  <c r="P162" i="219"/>
  <c r="O162" i="219"/>
  <c r="N162" i="219"/>
  <c r="Q160" i="219"/>
  <c r="P160" i="219"/>
  <c r="O160" i="219"/>
  <c r="N160" i="219"/>
  <c r="Q157" i="219"/>
  <c r="P157" i="219"/>
  <c r="O157" i="219"/>
  <c r="N157" i="219"/>
  <c r="M157" i="219" s="1"/>
  <c r="Q153" i="219"/>
  <c r="P153" i="219"/>
  <c r="O153" i="219"/>
  <c r="N153" i="219"/>
  <c r="Q150" i="219"/>
  <c r="P150" i="219"/>
  <c r="O150" i="219"/>
  <c r="N150" i="219"/>
  <c r="Q149" i="219"/>
  <c r="P149" i="219"/>
  <c r="O149" i="219"/>
  <c r="N149" i="219"/>
  <c r="M149" i="219" s="1"/>
  <c r="Q147" i="219"/>
  <c r="P147" i="219"/>
  <c r="O147" i="219"/>
  <c r="N147" i="219"/>
  <c r="Q146" i="219"/>
  <c r="P146" i="219"/>
  <c r="O146" i="219"/>
  <c r="N146" i="219"/>
  <c r="M146" i="219"/>
  <c r="Q145" i="219"/>
  <c r="P145" i="219"/>
  <c r="O145" i="219"/>
  <c r="N145" i="219"/>
  <c r="H145" i="219"/>
  <c r="C145" i="219"/>
  <c r="Q144" i="219"/>
  <c r="P144" i="219"/>
  <c r="O144" i="219"/>
  <c r="N144" i="219"/>
  <c r="H144" i="219"/>
  <c r="C144" i="219"/>
  <c r="Q143" i="219"/>
  <c r="P143" i="219"/>
  <c r="O143" i="219"/>
  <c r="N143" i="219"/>
  <c r="H143" i="219"/>
  <c r="C143" i="219"/>
  <c r="U142" i="219"/>
  <c r="T142" i="219"/>
  <c r="S142" i="219"/>
  <c r="R142" i="219"/>
  <c r="L142" i="219"/>
  <c r="K142" i="219"/>
  <c r="J142" i="219"/>
  <c r="I142" i="219"/>
  <c r="G142" i="219"/>
  <c r="F142" i="219"/>
  <c r="E142" i="219"/>
  <c r="D142" i="219"/>
  <c r="Q141" i="219"/>
  <c r="P141" i="219"/>
  <c r="O141" i="219"/>
  <c r="N141" i="219"/>
  <c r="H141" i="219"/>
  <c r="C141" i="219"/>
  <c r="Q140" i="219"/>
  <c r="P140" i="219"/>
  <c r="O140" i="219"/>
  <c r="N140" i="219"/>
  <c r="H140" i="219"/>
  <c r="C140" i="219"/>
  <c r="Q139" i="219"/>
  <c r="P139" i="219"/>
  <c r="O139" i="219"/>
  <c r="N139" i="219"/>
  <c r="H139" i="219"/>
  <c r="C139" i="219"/>
  <c r="Q138" i="219"/>
  <c r="P138" i="219"/>
  <c r="O138" i="219"/>
  <c r="N138" i="219"/>
  <c r="H138" i="219"/>
  <c r="C138" i="219"/>
  <c r="Q137" i="219"/>
  <c r="P137" i="219"/>
  <c r="O137" i="219"/>
  <c r="N137" i="219"/>
  <c r="H137" i="219"/>
  <c r="C137" i="219"/>
  <c r="Q136" i="219"/>
  <c r="P136" i="219"/>
  <c r="O136" i="219"/>
  <c r="N136" i="219"/>
  <c r="H136" i="219"/>
  <c r="C136" i="219"/>
  <c r="Q134" i="219"/>
  <c r="P134" i="219"/>
  <c r="O134" i="219"/>
  <c r="N134" i="219"/>
  <c r="H134" i="219"/>
  <c r="C134" i="219"/>
  <c r="Q133" i="219"/>
  <c r="P133" i="219"/>
  <c r="O133" i="219"/>
  <c r="N133" i="219"/>
  <c r="H133" i="219"/>
  <c r="C133" i="219"/>
  <c r="Q132" i="219"/>
  <c r="P132" i="219"/>
  <c r="O132" i="219"/>
  <c r="N132" i="219"/>
  <c r="H132" i="219"/>
  <c r="C132" i="219"/>
  <c r="Q131" i="219"/>
  <c r="P131" i="219"/>
  <c r="O131" i="219"/>
  <c r="N131" i="219"/>
  <c r="H131" i="219"/>
  <c r="C131" i="219"/>
  <c r="Q130" i="219"/>
  <c r="P130" i="219"/>
  <c r="O130" i="219"/>
  <c r="N130" i="219"/>
  <c r="H130" i="219"/>
  <c r="C130" i="219"/>
  <c r="Q129" i="219"/>
  <c r="P129" i="219"/>
  <c r="O129" i="219"/>
  <c r="N129" i="219"/>
  <c r="H129" i="219"/>
  <c r="C129" i="219"/>
  <c r="Q128" i="219"/>
  <c r="P128" i="219"/>
  <c r="O128" i="219"/>
  <c r="N128" i="219"/>
  <c r="H128" i="219"/>
  <c r="C128" i="219"/>
  <c r="Q127" i="219"/>
  <c r="P127" i="219"/>
  <c r="O127" i="219"/>
  <c r="N127" i="219"/>
  <c r="H127" i="219"/>
  <c r="C127" i="219"/>
  <c r="Q126" i="219"/>
  <c r="P126" i="219"/>
  <c r="O126" i="219"/>
  <c r="N126" i="219"/>
  <c r="H126" i="219"/>
  <c r="C126" i="219"/>
  <c r="Q125" i="219"/>
  <c r="P125" i="219"/>
  <c r="O125" i="219"/>
  <c r="N125" i="219"/>
  <c r="H125" i="219"/>
  <c r="C125" i="219"/>
  <c r="Q124" i="219"/>
  <c r="P124" i="219"/>
  <c r="O124" i="219"/>
  <c r="N124" i="219"/>
  <c r="H124" i="219"/>
  <c r="C124" i="219"/>
  <c r="Q123" i="219"/>
  <c r="P123" i="219"/>
  <c r="O123" i="219"/>
  <c r="N123" i="219"/>
  <c r="H123" i="219"/>
  <c r="C123" i="219"/>
  <c r="Q121" i="219"/>
  <c r="P121" i="219"/>
  <c r="O121" i="219"/>
  <c r="N121" i="219"/>
  <c r="H121" i="219"/>
  <c r="C121" i="219"/>
  <c r="Q120" i="219"/>
  <c r="P120" i="219"/>
  <c r="O120" i="219"/>
  <c r="N120" i="219"/>
  <c r="H120" i="219"/>
  <c r="C120" i="219"/>
  <c r="Q119" i="219"/>
  <c r="P119" i="219"/>
  <c r="O119" i="219"/>
  <c r="N119" i="219"/>
  <c r="H119" i="219"/>
  <c r="C119" i="219"/>
  <c r="Q118" i="219"/>
  <c r="P118" i="219"/>
  <c r="O118" i="219"/>
  <c r="N118" i="219"/>
  <c r="H118" i="219"/>
  <c r="C118" i="219"/>
  <c r="Q117" i="219"/>
  <c r="P117" i="219"/>
  <c r="O117" i="219"/>
  <c r="N117" i="219"/>
  <c r="H117" i="219"/>
  <c r="C117" i="219"/>
  <c r="Q116" i="219"/>
  <c r="P116" i="219"/>
  <c r="O116" i="219"/>
  <c r="N116" i="219"/>
  <c r="H116" i="219"/>
  <c r="C116" i="219"/>
  <c r="Q115" i="219"/>
  <c r="P115" i="219"/>
  <c r="O115" i="219"/>
  <c r="N115" i="219"/>
  <c r="H115" i="219"/>
  <c r="C115" i="219"/>
  <c r="Q114" i="219"/>
  <c r="P114" i="219"/>
  <c r="O114" i="219"/>
  <c r="N114" i="219"/>
  <c r="H114" i="219"/>
  <c r="C114" i="219"/>
  <c r="Q113" i="219"/>
  <c r="P113" i="219"/>
  <c r="O113" i="219"/>
  <c r="N113" i="219"/>
  <c r="H113" i="219"/>
  <c r="C113" i="219"/>
  <c r="Q112" i="219"/>
  <c r="P112" i="219"/>
  <c r="O112" i="219"/>
  <c r="N112" i="219"/>
  <c r="H112" i="219"/>
  <c r="C112" i="219"/>
  <c r="Q111" i="219"/>
  <c r="P111" i="219"/>
  <c r="O111" i="219"/>
  <c r="N111" i="219"/>
  <c r="H111" i="219"/>
  <c r="C111" i="219"/>
  <c r="Q110" i="219"/>
  <c r="P110" i="219"/>
  <c r="O110" i="219"/>
  <c r="N110" i="219"/>
  <c r="H110" i="219"/>
  <c r="C110" i="219"/>
  <c r="Q108" i="219"/>
  <c r="P108" i="219"/>
  <c r="O108" i="219"/>
  <c r="N108" i="219"/>
  <c r="H108" i="219"/>
  <c r="C108" i="219"/>
  <c r="Q107" i="219"/>
  <c r="P107" i="219"/>
  <c r="O107" i="219"/>
  <c r="N107" i="219"/>
  <c r="H107" i="219"/>
  <c r="C107" i="219"/>
  <c r="Q106" i="219"/>
  <c r="P106" i="219"/>
  <c r="O106" i="219"/>
  <c r="N106" i="219"/>
  <c r="H106" i="219"/>
  <c r="C106" i="219"/>
  <c r="Q105" i="219"/>
  <c r="P105" i="219"/>
  <c r="O105" i="219"/>
  <c r="N105" i="219"/>
  <c r="H105" i="219"/>
  <c r="C105" i="219"/>
  <c r="Q104" i="219"/>
  <c r="P104" i="219"/>
  <c r="O104" i="219"/>
  <c r="N104" i="219"/>
  <c r="H104" i="219"/>
  <c r="C104" i="219"/>
  <c r="Q103" i="219"/>
  <c r="P103" i="219"/>
  <c r="O103" i="219"/>
  <c r="N103" i="219"/>
  <c r="H103" i="219"/>
  <c r="C103" i="219"/>
  <c r="Q102" i="219"/>
  <c r="P102" i="219"/>
  <c r="O102" i="219"/>
  <c r="N102" i="219"/>
  <c r="H102" i="219"/>
  <c r="C102" i="219"/>
  <c r="Q101" i="219"/>
  <c r="P101" i="219"/>
  <c r="O101" i="219"/>
  <c r="N101" i="219"/>
  <c r="H101" i="219"/>
  <c r="C101" i="219"/>
  <c r="Q100" i="219"/>
  <c r="P100" i="219"/>
  <c r="O100" i="219"/>
  <c r="N100" i="219"/>
  <c r="H100" i="219"/>
  <c r="C100" i="219"/>
  <c r="Q99" i="219"/>
  <c r="P99" i="219"/>
  <c r="O99" i="219"/>
  <c r="N99" i="219"/>
  <c r="H99" i="219"/>
  <c r="C99" i="219"/>
  <c r="Q98" i="219"/>
  <c r="P98" i="219"/>
  <c r="O98" i="219"/>
  <c r="N98" i="219"/>
  <c r="H98" i="219"/>
  <c r="C98" i="219"/>
  <c r="Q97" i="219"/>
  <c r="P97" i="219"/>
  <c r="O97" i="219"/>
  <c r="N97" i="219"/>
  <c r="H97" i="219"/>
  <c r="C97" i="219"/>
  <c r="Q95" i="219"/>
  <c r="P95" i="219"/>
  <c r="O95" i="219"/>
  <c r="N95" i="219"/>
  <c r="H95" i="219"/>
  <c r="C95" i="219"/>
  <c r="Q94" i="219"/>
  <c r="P94" i="219"/>
  <c r="O94" i="219"/>
  <c r="N94" i="219"/>
  <c r="H94" i="219"/>
  <c r="C94" i="219"/>
  <c r="Q93" i="219"/>
  <c r="P93" i="219"/>
  <c r="O93" i="219"/>
  <c r="N93" i="219"/>
  <c r="H93" i="219"/>
  <c r="C93" i="219"/>
  <c r="Q92" i="219"/>
  <c r="P92" i="219"/>
  <c r="O92" i="219"/>
  <c r="N92" i="219"/>
  <c r="H92" i="219"/>
  <c r="C92" i="219"/>
  <c r="Q91" i="219"/>
  <c r="P91" i="219"/>
  <c r="O91" i="219"/>
  <c r="N91" i="219"/>
  <c r="H91" i="219"/>
  <c r="C91" i="219"/>
  <c r="Q90" i="219"/>
  <c r="P90" i="219"/>
  <c r="O90" i="219"/>
  <c r="N90" i="219"/>
  <c r="H90" i="219"/>
  <c r="C90" i="219"/>
  <c r="Q89" i="219"/>
  <c r="P89" i="219"/>
  <c r="O89" i="219"/>
  <c r="N89" i="219"/>
  <c r="H89" i="219"/>
  <c r="C89" i="219"/>
  <c r="Q88" i="219"/>
  <c r="P88" i="219"/>
  <c r="O88" i="219"/>
  <c r="N88" i="219"/>
  <c r="H88" i="219"/>
  <c r="C88" i="219"/>
  <c r="Q87" i="219"/>
  <c r="P87" i="219"/>
  <c r="O87" i="219"/>
  <c r="N87" i="219"/>
  <c r="H87" i="219"/>
  <c r="C87" i="219"/>
  <c r="Q86" i="219"/>
  <c r="P86" i="219"/>
  <c r="O86" i="219"/>
  <c r="N86" i="219"/>
  <c r="H86" i="219"/>
  <c r="C86" i="219"/>
  <c r="Q85" i="219"/>
  <c r="P85" i="219"/>
  <c r="O85" i="219"/>
  <c r="N85" i="219"/>
  <c r="H85" i="219"/>
  <c r="C85" i="219"/>
  <c r="Q84" i="219"/>
  <c r="P84" i="219"/>
  <c r="O84" i="219"/>
  <c r="N84" i="219"/>
  <c r="H84" i="219"/>
  <c r="C84" i="219"/>
  <c r="M82" i="219"/>
  <c r="C82" i="219"/>
  <c r="C70" i="219" s="1"/>
  <c r="M81" i="219"/>
  <c r="C81" i="219"/>
  <c r="M80" i="219"/>
  <c r="C80" i="219"/>
  <c r="M79" i="219"/>
  <c r="C79" i="219"/>
  <c r="M78" i="219"/>
  <c r="C78" i="219"/>
  <c r="M77" i="219"/>
  <c r="C77" i="219"/>
  <c r="M76" i="219"/>
  <c r="C76" i="219"/>
  <c r="M75" i="219"/>
  <c r="C75" i="219"/>
  <c r="M74" i="219"/>
  <c r="C74" i="219"/>
  <c r="M73" i="219"/>
  <c r="C73" i="219"/>
  <c r="M72" i="219"/>
  <c r="C72" i="219"/>
  <c r="M71" i="219"/>
  <c r="C71" i="219"/>
  <c r="H70" i="219"/>
  <c r="G70" i="219"/>
  <c r="Q70" i="219" s="1"/>
  <c r="F70" i="219"/>
  <c r="P70" i="219" s="1"/>
  <c r="E70" i="219"/>
  <c r="O70" i="219" s="1"/>
  <c r="D70" i="219"/>
  <c r="N70" i="219" s="1"/>
  <c r="M69" i="219"/>
  <c r="C69" i="219"/>
  <c r="M68" i="219"/>
  <c r="C68" i="219"/>
  <c r="M67" i="219"/>
  <c r="C67" i="219"/>
  <c r="M66" i="219"/>
  <c r="C66" i="219"/>
  <c r="M65" i="219"/>
  <c r="C65" i="219"/>
  <c r="M64" i="219"/>
  <c r="C64" i="219"/>
  <c r="M63" i="219"/>
  <c r="C63" i="219"/>
  <c r="M62" i="219"/>
  <c r="C62" i="219"/>
  <c r="M61" i="219"/>
  <c r="C61" i="219"/>
  <c r="M60" i="219"/>
  <c r="C60" i="219"/>
  <c r="M59" i="219"/>
  <c r="C59" i="219"/>
  <c r="M58" i="219"/>
  <c r="C58" i="219"/>
  <c r="H57" i="219"/>
  <c r="G57" i="219"/>
  <c r="Q57" i="219" s="1"/>
  <c r="F57" i="219"/>
  <c r="P57" i="219" s="1"/>
  <c r="E57" i="219"/>
  <c r="O57" i="219" s="1"/>
  <c r="D57" i="219"/>
  <c r="N57" i="219" s="1"/>
  <c r="M56" i="219"/>
  <c r="C56" i="219"/>
  <c r="C44" i="219" s="1"/>
  <c r="M55" i="219"/>
  <c r="C55" i="219"/>
  <c r="M54" i="219"/>
  <c r="C54" i="219"/>
  <c r="M53" i="219"/>
  <c r="C53" i="219"/>
  <c r="M52" i="219"/>
  <c r="C52" i="219"/>
  <c r="M51" i="219"/>
  <c r="C51" i="219"/>
  <c r="M50" i="219"/>
  <c r="C50" i="219"/>
  <c r="M49" i="219"/>
  <c r="C49" i="219"/>
  <c r="M48" i="219"/>
  <c r="C48" i="219"/>
  <c r="M47" i="219"/>
  <c r="C47" i="219"/>
  <c r="M46" i="219"/>
  <c r="C46" i="219"/>
  <c r="M45" i="219"/>
  <c r="C45" i="219"/>
  <c r="H44" i="219"/>
  <c r="G44" i="219"/>
  <c r="Q44" i="219" s="1"/>
  <c r="F44" i="219"/>
  <c r="P44" i="219" s="1"/>
  <c r="E44" i="219"/>
  <c r="O44" i="219" s="1"/>
  <c r="D44" i="219"/>
  <c r="N44" i="219" s="1"/>
  <c r="M43" i="219"/>
  <c r="C43" i="219"/>
  <c r="M42" i="219"/>
  <c r="C42" i="219"/>
  <c r="M41" i="219"/>
  <c r="C41" i="219"/>
  <c r="M40" i="219"/>
  <c r="C40" i="219"/>
  <c r="B40" i="219" s="1"/>
  <c r="M39" i="219"/>
  <c r="C39" i="219"/>
  <c r="M38" i="219"/>
  <c r="C38" i="219"/>
  <c r="M37" i="219"/>
  <c r="C37" i="219"/>
  <c r="M36" i="219"/>
  <c r="C36" i="219"/>
  <c r="M35" i="219"/>
  <c r="C35" i="219"/>
  <c r="B35" i="219" s="1"/>
  <c r="M34" i="219"/>
  <c r="C34" i="219"/>
  <c r="B34" i="219" s="1"/>
  <c r="M33" i="219"/>
  <c r="C33" i="219"/>
  <c r="M32" i="219"/>
  <c r="C32" i="219"/>
  <c r="M31" i="219"/>
  <c r="C31" i="219"/>
  <c r="M30" i="219"/>
  <c r="C30" i="219"/>
  <c r="M29" i="219"/>
  <c r="C29" i="219"/>
  <c r="M28" i="219"/>
  <c r="C28" i="219"/>
  <c r="M27" i="219"/>
  <c r="C27" i="219"/>
  <c r="M26" i="219"/>
  <c r="C26" i="219"/>
  <c r="M25" i="219"/>
  <c r="C25" i="219"/>
  <c r="M24" i="219"/>
  <c r="C24" i="219"/>
  <c r="M23" i="219"/>
  <c r="C23" i="219"/>
  <c r="B23" i="219" s="1"/>
  <c r="M22" i="219"/>
  <c r="C22" i="219"/>
  <c r="B22" i="219" s="1"/>
  <c r="M21" i="219"/>
  <c r="C21" i="219"/>
  <c r="M20" i="219"/>
  <c r="C20" i="219"/>
  <c r="M19" i="219"/>
  <c r="C19" i="219"/>
  <c r="M18" i="219"/>
  <c r="C18" i="219"/>
  <c r="M17" i="219"/>
  <c r="H17" i="219"/>
  <c r="C17" i="219"/>
  <c r="M16" i="219"/>
  <c r="H16" i="219"/>
  <c r="C16" i="219"/>
  <c r="M15" i="219"/>
  <c r="H15" i="219"/>
  <c r="C15" i="219"/>
  <c r="M14" i="219"/>
  <c r="H14" i="219"/>
  <c r="C14" i="219"/>
  <c r="BS10" i="218"/>
  <c r="BW12" i="218"/>
  <c r="BW10" i="218" s="1"/>
  <c r="B13" i="218"/>
  <c r="C13" i="218"/>
  <c r="D13" i="218"/>
  <c r="E13" i="218"/>
  <c r="F13" i="218"/>
  <c r="G13" i="218"/>
  <c r="B26" i="218"/>
  <c r="C26" i="218"/>
  <c r="D26" i="218"/>
  <c r="E26" i="218"/>
  <c r="F26" i="218"/>
  <c r="G26" i="218"/>
  <c r="BS9" i="217"/>
  <c r="BW13" i="217"/>
  <c r="BX13" i="217" s="1"/>
  <c r="A14" i="217"/>
  <c r="A15" i="217" s="1"/>
  <c r="BX15" i="217"/>
  <c r="BX16" i="217"/>
  <c r="BW18" i="217"/>
  <c r="BX18" i="217" s="1"/>
  <c r="BX20" i="217"/>
  <c r="BX21" i="217"/>
  <c r="BW23" i="217"/>
  <c r="BX23" i="217" s="1"/>
  <c r="BX25" i="217"/>
  <c r="BX26" i="217"/>
  <c r="BX30" i="217"/>
  <c r="BX31" i="217"/>
  <c r="BW33" i="217"/>
  <c r="BX33" i="217" s="1"/>
  <c r="BX35" i="217"/>
  <c r="BX36" i="217"/>
  <c r="BX38" i="217"/>
  <c r="BX39" i="217"/>
  <c r="BX41" i="217"/>
  <c r="BX42" i="217"/>
  <c r="BX44" i="217"/>
  <c r="BX45" i="217"/>
  <c r="BX47" i="217"/>
  <c r="BW50" i="217"/>
  <c r="BX50" i="217" s="1"/>
  <c r="BX52" i="217"/>
  <c r="BX53" i="217"/>
  <c r="BW54" i="217"/>
  <c r="BX54" i="217" s="1"/>
  <c r="BX56" i="217"/>
  <c r="BX57" i="217"/>
  <c r="BX58" i="217"/>
  <c r="BX59" i="217"/>
  <c r="BX60" i="217"/>
  <c r="BX61" i="217"/>
  <c r="B68" i="217"/>
  <c r="C68" i="217"/>
  <c r="E68" i="217"/>
  <c r="F68" i="217"/>
  <c r="D69" i="217"/>
  <c r="G69" i="217"/>
  <c r="D70" i="217"/>
  <c r="G70" i="217"/>
  <c r="D71" i="217"/>
  <c r="G71" i="217"/>
  <c r="D72" i="217"/>
  <c r="G72" i="217"/>
  <c r="D73" i="217"/>
  <c r="G73" i="217"/>
  <c r="D74" i="217"/>
  <c r="G74" i="217"/>
  <c r="D75" i="217"/>
  <c r="G75" i="217"/>
  <c r="D76" i="217"/>
  <c r="G76" i="217"/>
  <c r="D77" i="217"/>
  <c r="G77" i="217"/>
  <c r="D78" i="217"/>
  <c r="G78" i="217"/>
  <c r="D79" i="217"/>
  <c r="G79" i="217"/>
  <c r="D80" i="217"/>
  <c r="G80" i="217"/>
  <c r="B81" i="217"/>
  <c r="C81" i="217"/>
  <c r="E81" i="217"/>
  <c r="F81" i="217"/>
  <c r="B94" i="217"/>
  <c r="C94" i="217"/>
  <c r="E94" i="217"/>
  <c r="F94" i="217"/>
  <c r="B107" i="217"/>
  <c r="C107" i="217"/>
  <c r="E107" i="217"/>
  <c r="F107" i="217"/>
  <c r="B120" i="217"/>
  <c r="C120" i="217"/>
  <c r="E120" i="217"/>
  <c r="F120" i="217"/>
  <c r="B133" i="217"/>
  <c r="C133" i="217"/>
  <c r="E133" i="217"/>
  <c r="F133" i="217"/>
  <c r="B146" i="217"/>
  <c r="C146" i="217"/>
  <c r="E146" i="217"/>
  <c r="F146" i="217"/>
  <c r="B159" i="217"/>
  <c r="C159" i="217"/>
  <c r="E159" i="217"/>
  <c r="F159" i="217"/>
  <c r="B172" i="217"/>
  <c r="C172" i="217"/>
  <c r="E172" i="217"/>
  <c r="F172" i="217"/>
  <c r="D173" i="217"/>
  <c r="G173" i="217"/>
  <c r="D174" i="217"/>
  <c r="G174" i="217"/>
  <c r="D175" i="217"/>
  <c r="G175" i="217"/>
  <c r="D176" i="217"/>
  <c r="G176" i="217"/>
  <c r="D177" i="217"/>
  <c r="G177" i="217"/>
  <c r="D178" i="217"/>
  <c r="G178" i="217"/>
  <c r="D179" i="217"/>
  <c r="G179" i="217"/>
  <c r="D180" i="217"/>
  <c r="G180" i="217"/>
  <c r="D181" i="217"/>
  <c r="G181" i="217"/>
  <c r="D182" i="217"/>
  <c r="G182" i="217"/>
  <c r="D183" i="217"/>
  <c r="G183" i="217"/>
  <c r="D184" i="217"/>
  <c r="G184" i="217"/>
  <c r="B185" i="217"/>
  <c r="C185" i="217"/>
  <c r="E185" i="217"/>
  <c r="F185" i="217"/>
  <c r="D186" i="217"/>
  <c r="G186" i="217"/>
  <c r="D187" i="217"/>
  <c r="G187" i="217"/>
  <c r="D188" i="217"/>
  <c r="G188" i="217"/>
  <c r="D189" i="217"/>
  <c r="G189" i="217"/>
  <c r="D190" i="217"/>
  <c r="G190" i="217"/>
  <c r="D191" i="217"/>
  <c r="G191" i="217"/>
  <c r="D192" i="217"/>
  <c r="G192" i="217"/>
  <c r="D193" i="217"/>
  <c r="G193" i="217"/>
  <c r="D194" i="217"/>
  <c r="G194" i="217"/>
  <c r="D195" i="217"/>
  <c r="G195" i="217"/>
  <c r="D196" i="217"/>
  <c r="G196" i="217"/>
  <c r="D197" i="217"/>
  <c r="G197" i="217"/>
  <c r="B198" i="217"/>
  <c r="C198" i="217"/>
  <c r="E198" i="217"/>
  <c r="F198" i="217"/>
  <c r="D199" i="217"/>
  <c r="G199" i="217"/>
  <c r="D200" i="217"/>
  <c r="G200" i="217"/>
  <c r="D201" i="217"/>
  <c r="G201" i="217"/>
  <c r="D202" i="217"/>
  <c r="G202" i="217"/>
  <c r="D203" i="217"/>
  <c r="G203" i="217"/>
  <c r="D204" i="217"/>
  <c r="G204" i="217"/>
  <c r="D205" i="217"/>
  <c r="G205" i="217"/>
  <c r="D206" i="217"/>
  <c r="G206" i="217"/>
  <c r="D207" i="217"/>
  <c r="G207" i="217"/>
  <c r="D208" i="217"/>
  <c r="G208" i="217"/>
  <c r="D209" i="217"/>
  <c r="G209" i="217"/>
  <c r="D210" i="217"/>
  <c r="G210" i="217"/>
  <c r="B211" i="217"/>
  <c r="C211" i="217"/>
  <c r="E211" i="217"/>
  <c r="F211" i="217"/>
  <c r="D212" i="217"/>
  <c r="G212" i="217"/>
  <c r="D213" i="217"/>
  <c r="G213" i="217"/>
  <c r="D214" i="217"/>
  <c r="G214" i="217"/>
  <c r="D215" i="217"/>
  <c r="G215" i="217"/>
  <c r="D216" i="217"/>
  <c r="G216" i="217"/>
  <c r="D217" i="217"/>
  <c r="G217" i="217"/>
  <c r="D218" i="217"/>
  <c r="G218" i="217"/>
  <c r="D219" i="217"/>
  <c r="G219" i="217"/>
  <c r="D220" i="217"/>
  <c r="G220" i="217"/>
  <c r="D221" i="217"/>
  <c r="G221" i="217"/>
  <c r="D222" i="217"/>
  <c r="G222" i="217"/>
  <c r="D223" i="217"/>
  <c r="G223" i="217"/>
  <c r="B224" i="217"/>
  <c r="C224" i="217"/>
  <c r="D224" i="217" s="1"/>
  <c r="E224" i="217"/>
  <c r="F224" i="217"/>
  <c r="D225" i="217"/>
  <c r="G225" i="217"/>
  <c r="D226" i="217"/>
  <c r="G226" i="217"/>
  <c r="D227" i="217"/>
  <c r="G227" i="217"/>
  <c r="D228" i="217"/>
  <c r="G228" i="217"/>
  <c r="D229" i="217"/>
  <c r="G229" i="217"/>
  <c r="D230" i="217"/>
  <c r="G230" i="217"/>
  <c r="D231" i="217"/>
  <c r="G231" i="217"/>
  <c r="D232" i="217"/>
  <c r="G232" i="217"/>
  <c r="D233" i="217"/>
  <c r="G233" i="217"/>
  <c r="D234" i="217"/>
  <c r="G234" i="217"/>
  <c r="D235" i="217"/>
  <c r="G235" i="217"/>
  <c r="D236" i="217"/>
  <c r="G236" i="217"/>
  <c r="B237" i="217"/>
  <c r="C237" i="217"/>
  <c r="E237" i="217"/>
  <c r="F237" i="217"/>
  <c r="D238" i="217"/>
  <c r="G238" i="217"/>
  <c r="D239" i="217"/>
  <c r="G239" i="217"/>
  <c r="D240" i="217"/>
  <c r="G240" i="217"/>
  <c r="D241" i="217"/>
  <c r="G241" i="217"/>
  <c r="D242" i="217"/>
  <c r="G242" i="217"/>
  <c r="D243" i="217"/>
  <c r="G243" i="217"/>
  <c r="D244" i="217"/>
  <c r="G244" i="217"/>
  <c r="D245" i="217"/>
  <c r="G245" i="217"/>
  <c r="D246" i="217"/>
  <c r="G246" i="217"/>
  <c r="D247" i="217"/>
  <c r="G247" i="217"/>
  <c r="D248" i="217"/>
  <c r="G248" i="217"/>
  <c r="D249" i="217"/>
  <c r="G249" i="217"/>
  <c r="D251" i="217"/>
  <c r="G251" i="217"/>
  <c r="D252" i="217"/>
  <c r="G252" i="217"/>
  <c r="D253" i="217"/>
  <c r="G253" i="217"/>
  <c r="D254" i="217"/>
  <c r="G254" i="217"/>
  <c r="D255" i="217"/>
  <c r="G255" i="217"/>
  <c r="D256" i="217"/>
  <c r="G256" i="217"/>
  <c r="D257" i="217"/>
  <c r="G257" i="217"/>
  <c r="D258" i="217"/>
  <c r="G258" i="217"/>
  <c r="M171" i="215"/>
  <c r="N171" i="215"/>
  <c r="O171" i="215"/>
  <c r="P171" i="215"/>
  <c r="B51" i="214"/>
  <c r="C51" i="214"/>
  <c r="D51" i="214"/>
  <c r="E51" i="214"/>
  <c r="F51" i="214"/>
  <c r="G51" i="214"/>
  <c r="H51" i="214"/>
  <c r="I51" i="214"/>
  <c r="J51" i="214"/>
  <c r="K51" i="214"/>
  <c r="L51" i="214"/>
  <c r="M51" i="214"/>
  <c r="N51" i="214"/>
  <c r="O51" i="214"/>
  <c r="B64" i="214"/>
  <c r="C64" i="214"/>
  <c r="D64" i="214"/>
  <c r="E64" i="214"/>
  <c r="F64" i="214"/>
  <c r="G64" i="214"/>
  <c r="H64" i="214"/>
  <c r="I64" i="214"/>
  <c r="J64" i="214"/>
  <c r="K64" i="214"/>
  <c r="L64" i="214"/>
  <c r="M64" i="214"/>
  <c r="N64" i="214"/>
  <c r="O64" i="214"/>
  <c r="B77" i="214"/>
  <c r="C77" i="214"/>
  <c r="D77" i="214"/>
  <c r="E77" i="214"/>
  <c r="F77" i="214"/>
  <c r="G77" i="214"/>
  <c r="H77" i="214"/>
  <c r="I77" i="214"/>
  <c r="J77" i="214"/>
  <c r="K77" i="214"/>
  <c r="L77" i="214"/>
  <c r="M77" i="214"/>
  <c r="N77" i="214"/>
  <c r="O77" i="214"/>
  <c r="B90" i="214"/>
  <c r="C90" i="214"/>
  <c r="D90" i="214"/>
  <c r="E90" i="214"/>
  <c r="F90" i="214"/>
  <c r="G90" i="214"/>
  <c r="H90" i="214"/>
  <c r="I90" i="214"/>
  <c r="J90" i="214"/>
  <c r="K90" i="214"/>
  <c r="L90" i="214"/>
  <c r="M90" i="214"/>
  <c r="N90" i="214"/>
  <c r="O90" i="214"/>
  <c r="B103" i="214"/>
  <c r="C103" i="214"/>
  <c r="D103" i="214"/>
  <c r="E103" i="214"/>
  <c r="F103" i="214"/>
  <c r="G103" i="214"/>
  <c r="H103" i="214"/>
  <c r="I103" i="214"/>
  <c r="J103" i="214"/>
  <c r="K103" i="214"/>
  <c r="L103" i="214"/>
  <c r="M103" i="214"/>
  <c r="N103" i="214"/>
  <c r="O103" i="214"/>
  <c r="B116" i="214"/>
  <c r="C116" i="214"/>
  <c r="D116" i="214"/>
  <c r="E116" i="214"/>
  <c r="F116" i="214"/>
  <c r="G116" i="214"/>
  <c r="H116" i="214"/>
  <c r="I116" i="214"/>
  <c r="J116" i="214"/>
  <c r="K116" i="214"/>
  <c r="L116" i="214"/>
  <c r="M116" i="214"/>
  <c r="N116" i="214"/>
  <c r="O116" i="214"/>
  <c r="B129" i="214"/>
  <c r="C129" i="214"/>
  <c r="D129" i="214"/>
  <c r="E129" i="214"/>
  <c r="F129" i="214"/>
  <c r="G129" i="214"/>
  <c r="H129" i="214"/>
  <c r="I129" i="214"/>
  <c r="J129" i="214"/>
  <c r="K129" i="214"/>
  <c r="L129" i="214"/>
  <c r="M129" i="214"/>
  <c r="N129" i="214"/>
  <c r="O129" i="214"/>
  <c r="B142" i="214"/>
  <c r="C142" i="214"/>
  <c r="D142" i="214"/>
  <c r="E142" i="214"/>
  <c r="F142" i="214"/>
  <c r="G142" i="214"/>
  <c r="H142" i="214"/>
  <c r="I142" i="214"/>
  <c r="J142" i="214"/>
  <c r="K142" i="214"/>
  <c r="L142" i="214"/>
  <c r="M142" i="214"/>
  <c r="N142" i="214"/>
  <c r="O142" i="214"/>
  <c r="B155" i="214"/>
  <c r="C155" i="214"/>
  <c r="D155" i="214"/>
  <c r="E155" i="214"/>
  <c r="F155" i="214"/>
  <c r="G155" i="214"/>
  <c r="H155" i="214"/>
  <c r="I155" i="214"/>
  <c r="J155" i="214"/>
  <c r="K155" i="214"/>
  <c r="L155" i="214"/>
  <c r="M155" i="214"/>
  <c r="N155" i="214"/>
  <c r="O155" i="214"/>
  <c r="B168" i="214"/>
  <c r="C168" i="214"/>
  <c r="D168" i="214"/>
  <c r="E168" i="214"/>
  <c r="F168" i="214"/>
  <c r="G168" i="214"/>
  <c r="H168" i="214"/>
  <c r="I168" i="214"/>
  <c r="J168" i="214"/>
  <c r="K168" i="214"/>
  <c r="L168" i="214"/>
  <c r="M168" i="214"/>
  <c r="N168" i="214"/>
  <c r="O168" i="214"/>
  <c r="H18" i="213"/>
  <c r="I18" i="213"/>
  <c r="J18" i="213"/>
  <c r="K18" i="213"/>
  <c r="L18" i="213"/>
  <c r="M18" i="213"/>
  <c r="N18" i="213"/>
  <c r="O18" i="213"/>
  <c r="P18" i="213"/>
  <c r="Q18" i="213"/>
  <c r="X18" i="213"/>
  <c r="Y18" i="213"/>
  <c r="AD18" i="213"/>
  <c r="AE18" i="213"/>
  <c r="AF18" i="213"/>
  <c r="AG18" i="213"/>
  <c r="AH18" i="213"/>
  <c r="AI18" i="213"/>
  <c r="AV18" i="213"/>
  <c r="AW18" i="213"/>
  <c r="AX18" i="213"/>
  <c r="AY18" i="213"/>
  <c r="AZ18" i="213"/>
  <c r="BA18" i="213"/>
  <c r="H31" i="213"/>
  <c r="I31" i="213"/>
  <c r="J31" i="213"/>
  <c r="K31" i="213"/>
  <c r="L31" i="213"/>
  <c r="M31" i="213"/>
  <c r="N31" i="213"/>
  <c r="O31" i="213"/>
  <c r="P31" i="213"/>
  <c r="Q31" i="213"/>
  <c r="X31" i="213"/>
  <c r="Y31" i="213"/>
  <c r="AD31" i="213"/>
  <c r="AE31" i="213"/>
  <c r="AF31" i="213"/>
  <c r="AG31" i="213"/>
  <c r="AH31" i="213"/>
  <c r="AI31" i="213"/>
  <c r="AV31" i="213"/>
  <c r="AW31" i="213"/>
  <c r="AX31" i="213"/>
  <c r="AY31" i="213"/>
  <c r="AZ31" i="213"/>
  <c r="BA31" i="213"/>
  <c r="H44" i="213"/>
  <c r="I44" i="213"/>
  <c r="J44" i="213"/>
  <c r="K44" i="213"/>
  <c r="L44" i="213"/>
  <c r="M44" i="213"/>
  <c r="N44" i="213"/>
  <c r="O44" i="213"/>
  <c r="P44" i="213"/>
  <c r="Q44" i="213"/>
  <c r="X44" i="213"/>
  <c r="Y44" i="213"/>
  <c r="AD44" i="213"/>
  <c r="AE44" i="213"/>
  <c r="AF44" i="213"/>
  <c r="AG44" i="213"/>
  <c r="AH44" i="213"/>
  <c r="AI44" i="213"/>
  <c r="AV44" i="213"/>
  <c r="AW44" i="213"/>
  <c r="AX44" i="213"/>
  <c r="AY44" i="213"/>
  <c r="AZ44" i="213"/>
  <c r="BA44" i="213"/>
  <c r="H57" i="213"/>
  <c r="I57" i="213"/>
  <c r="J57" i="213"/>
  <c r="K57" i="213"/>
  <c r="L57" i="213"/>
  <c r="M57" i="213"/>
  <c r="N57" i="213"/>
  <c r="O57" i="213"/>
  <c r="P57" i="213"/>
  <c r="Q57" i="213"/>
  <c r="X57" i="213"/>
  <c r="Y57" i="213"/>
  <c r="AD57" i="213"/>
  <c r="AE57" i="213"/>
  <c r="AF57" i="213"/>
  <c r="AG57" i="213"/>
  <c r="AH57" i="213"/>
  <c r="AI57" i="213"/>
  <c r="AV57" i="213"/>
  <c r="AW57" i="213"/>
  <c r="AX57" i="213"/>
  <c r="AY57" i="213"/>
  <c r="AZ57" i="213"/>
  <c r="BA57" i="213"/>
  <c r="H70" i="213"/>
  <c r="I70" i="213"/>
  <c r="J70" i="213"/>
  <c r="K70" i="213"/>
  <c r="L70" i="213"/>
  <c r="M70" i="213"/>
  <c r="N70" i="213"/>
  <c r="O70" i="213"/>
  <c r="P70" i="213"/>
  <c r="Q70" i="213"/>
  <c r="X70" i="213"/>
  <c r="Y70" i="213"/>
  <c r="AD70" i="213"/>
  <c r="AE70" i="213"/>
  <c r="AF70" i="213"/>
  <c r="AG70" i="213"/>
  <c r="AH70" i="213"/>
  <c r="AI70" i="213"/>
  <c r="AV70" i="213"/>
  <c r="AW70" i="213"/>
  <c r="AX70" i="213"/>
  <c r="AY70" i="213"/>
  <c r="AZ70" i="213"/>
  <c r="BA70" i="213"/>
  <c r="H83" i="213"/>
  <c r="I83" i="213"/>
  <c r="J83" i="213"/>
  <c r="K83" i="213"/>
  <c r="L83" i="213"/>
  <c r="M83" i="213"/>
  <c r="N83" i="213"/>
  <c r="O83" i="213"/>
  <c r="P83" i="213"/>
  <c r="Q83" i="213"/>
  <c r="X83" i="213"/>
  <c r="Y83" i="213"/>
  <c r="AD83" i="213"/>
  <c r="AE83" i="213"/>
  <c r="AF83" i="213"/>
  <c r="AG83" i="213"/>
  <c r="AH83" i="213"/>
  <c r="AI83" i="213"/>
  <c r="AV83" i="213"/>
  <c r="AW83" i="213"/>
  <c r="AX83" i="213"/>
  <c r="AY83" i="213"/>
  <c r="AZ83" i="213"/>
  <c r="BA83" i="213"/>
  <c r="H96" i="213"/>
  <c r="I96" i="213"/>
  <c r="J96" i="213"/>
  <c r="K96" i="213"/>
  <c r="L96" i="213"/>
  <c r="M96" i="213"/>
  <c r="N96" i="213"/>
  <c r="O96" i="213"/>
  <c r="P96" i="213"/>
  <c r="Q96" i="213"/>
  <c r="R96" i="213"/>
  <c r="S96" i="213"/>
  <c r="X96" i="213"/>
  <c r="Y96" i="213"/>
  <c r="Z96" i="213"/>
  <c r="AA96" i="213"/>
  <c r="AB96" i="213"/>
  <c r="AC96" i="213"/>
  <c r="AD96" i="213"/>
  <c r="AE96" i="213"/>
  <c r="AF96" i="213"/>
  <c r="AG96" i="213"/>
  <c r="AH96" i="213"/>
  <c r="AI96" i="213"/>
  <c r="AJ96" i="213"/>
  <c r="AK96" i="213"/>
  <c r="AL96" i="213"/>
  <c r="AM96" i="213"/>
  <c r="AP96" i="213"/>
  <c r="AQ96" i="213"/>
  <c r="AR96" i="213"/>
  <c r="AS96" i="213"/>
  <c r="AT96" i="213"/>
  <c r="AU96" i="213"/>
  <c r="AV96" i="213"/>
  <c r="AW96" i="213"/>
  <c r="AX96" i="213"/>
  <c r="AY96" i="213"/>
  <c r="AZ96" i="213"/>
  <c r="BA96" i="213"/>
  <c r="BB96" i="213"/>
  <c r="BC96" i="213"/>
  <c r="BD96" i="213"/>
  <c r="BE96" i="213"/>
  <c r="BF96" i="213"/>
  <c r="BG96" i="213"/>
  <c r="BH96" i="213"/>
  <c r="BJ96" i="213"/>
  <c r="BL96" i="213"/>
  <c r="H109" i="213"/>
  <c r="I109" i="213"/>
  <c r="J109" i="213"/>
  <c r="K109" i="213"/>
  <c r="L109" i="213"/>
  <c r="M109" i="213"/>
  <c r="N109" i="213"/>
  <c r="O109" i="213"/>
  <c r="P109" i="213"/>
  <c r="Q109" i="213"/>
  <c r="R109" i="213"/>
  <c r="S109" i="213"/>
  <c r="T109" i="213"/>
  <c r="U109" i="213"/>
  <c r="X109" i="213"/>
  <c r="Y109" i="213"/>
  <c r="Z109" i="213"/>
  <c r="AA109" i="213"/>
  <c r="AB109" i="213"/>
  <c r="AC109" i="213"/>
  <c r="AD109" i="213"/>
  <c r="AE109" i="213"/>
  <c r="AF109" i="213"/>
  <c r="AG109" i="213"/>
  <c r="AH109" i="213"/>
  <c r="AI109" i="213"/>
  <c r="AJ109" i="213"/>
  <c r="AK109" i="213"/>
  <c r="AL109" i="213"/>
  <c r="AM109" i="213"/>
  <c r="AP109" i="213"/>
  <c r="AQ109" i="213"/>
  <c r="AR109" i="213"/>
  <c r="AS109" i="213"/>
  <c r="AT109" i="213"/>
  <c r="AU109" i="213"/>
  <c r="AV109" i="213"/>
  <c r="AW109" i="213"/>
  <c r="AX109" i="213"/>
  <c r="AY109" i="213"/>
  <c r="AZ109" i="213"/>
  <c r="BA109" i="213"/>
  <c r="BB109" i="213"/>
  <c r="BC109" i="213"/>
  <c r="BD109" i="213"/>
  <c r="BE109" i="213"/>
  <c r="BF109" i="213"/>
  <c r="BG109" i="213"/>
  <c r="BH109" i="213"/>
  <c r="BI109" i="213"/>
  <c r="BJ109" i="213"/>
  <c r="BK109" i="213"/>
  <c r="BL109" i="213"/>
  <c r="BM109" i="213"/>
  <c r="H122" i="213"/>
  <c r="I122" i="213"/>
  <c r="J122" i="213"/>
  <c r="K122" i="213"/>
  <c r="L122" i="213"/>
  <c r="M122" i="213"/>
  <c r="N122" i="213"/>
  <c r="O122" i="213"/>
  <c r="P122" i="213"/>
  <c r="Q122" i="213"/>
  <c r="R122" i="213"/>
  <c r="S122" i="213"/>
  <c r="T122" i="213"/>
  <c r="U122" i="213"/>
  <c r="X122" i="213"/>
  <c r="Y122" i="213"/>
  <c r="Z122" i="213"/>
  <c r="AA122" i="213"/>
  <c r="AB122" i="213"/>
  <c r="AC122" i="213"/>
  <c r="AD122" i="213"/>
  <c r="AE122" i="213"/>
  <c r="AF122" i="213"/>
  <c r="AG122" i="213"/>
  <c r="AH122" i="213"/>
  <c r="AI122" i="213"/>
  <c r="AJ122" i="213"/>
  <c r="AK122" i="213"/>
  <c r="AL122" i="213"/>
  <c r="AM122" i="213"/>
  <c r="AP122" i="213"/>
  <c r="AQ122" i="213"/>
  <c r="AR122" i="213"/>
  <c r="AS122" i="213"/>
  <c r="AT122" i="213"/>
  <c r="AU122" i="213"/>
  <c r="AV122" i="213"/>
  <c r="AW122" i="213"/>
  <c r="AX122" i="213"/>
  <c r="AY122" i="213"/>
  <c r="AZ122" i="213"/>
  <c r="BA122" i="213"/>
  <c r="BB122" i="213"/>
  <c r="BC122" i="213"/>
  <c r="BD122" i="213"/>
  <c r="BE122" i="213"/>
  <c r="BF122" i="213"/>
  <c r="BG122" i="213"/>
  <c r="BH122" i="213"/>
  <c r="BI122" i="213"/>
  <c r="BJ122" i="213"/>
  <c r="BK122" i="213"/>
  <c r="BL122" i="213"/>
  <c r="BM122" i="213"/>
  <c r="H135" i="213"/>
  <c r="I135" i="213"/>
  <c r="J135" i="213"/>
  <c r="K135" i="213"/>
  <c r="L135" i="213"/>
  <c r="M135" i="213"/>
  <c r="N135" i="213"/>
  <c r="O135" i="213"/>
  <c r="P135" i="213"/>
  <c r="Q135" i="213"/>
  <c r="R135" i="213"/>
  <c r="S135" i="213"/>
  <c r="T135" i="213"/>
  <c r="U135" i="213"/>
  <c r="X135" i="213"/>
  <c r="Y135" i="213"/>
  <c r="Z135" i="213"/>
  <c r="AA135" i="213"/>
  <c r="AB135" i="213"/>
  <c r="AC135" i="213"/>
  <c r="AD135" i="213"/>
  <c r="AE135" i="213"/>
  <c r="AF135" i="213"/>
  <c r="AG135" i="213"/>
  <c r="AH135" i="213"/>
  <c r="AI135" i="213"/>
  <c r="AJ135" i="213"/>
  <c r="AK135" i="213"/>
  <c r="AL135" i="213"/>
  <c r="AM135" i="213"/>
  <c r="AP135" i="213"/>
  <c r="AQ135" i="213"/>
  <c r="AR135" i="213"/>
  <c r="AS135" i="213"/>
  <c r="AT135" i="213"/>
  <c r="AU135" i="213"/>
  <c r="AV135" i="213"/>
  <c r="AW135" i="213"/>
  <c r="AX135" i="213"/>
  <c r="AY135" i="213"/>
  <c r="AZ135" i="213"/>
  <c r="BA135" i="213"/>
  <c r="BB135" i="213"/>
  <c r="BC135" i="213"/>
  <c r="BD135" i="213"/>
  <c r="BE135" i="213"/>
  <c r="BH135" i="213"/>
  <c r="BI135" i="213"/>
  <c r="BJ135" i="213"/>
  <c r="BK135" i="213"/>
  <c r="BL135" i="213"/>
  <c r="BM135" i="213"/>
  <c r="H148" i="213"/>
  <c r="I148" i="213"/>
  <c r="J148" i="213"/>
  <c r="K148" i="213"/>
  <c r="L148" i="213"/>
  <c r="M148" i="213"/>
  <c r="N148" i="213"/>
  <c r="O148" i="213"/>
  <c r="P148" i="213"/>
  <c r="Q148" i="213"/>
  <c r="R148" i="213"/>
  <c r="S148" i="213"/>
  <c r="T148" i="213"/>
  <c r="U148" i="213"/>
  <c r="V148" i="213"/>
  <c r="W148" i="213"/>
  <c r="X148" i="213"/>
  <c r="Y148" i="213"/>
  <c r="Z148" i="213"/>
  <c r="AA148" i="213"/>
  <c r="AB148" i="213"/>
  <c r="AC148" i="213"/>
  <c r="AD148" i="213"/>
  <c r="AE148" i="213"/>
  <c r="AF148" i="213"/>
  <c r="AG148" i="213"/>
  <c r="AH148" i="213"/>
  <c r="AI148" i="213"/>
  <c r="AJ148" i="213"/>
  <c r="AK148" i="213"/>
  <c r="AL148" i="213"/>
  <c r="AM148" i="213"/>
  <c r="AN148" i="213"/>
  <c r="AO148" i="213"/>
  <c r="AP148" i="213"/>
  <c r="AQ148" i="213"/>
  <c r="AR148" i="213"/>
  <c r="AS148" i="213"/>
  <c r="AT148" i="213"/>
  <c r="AU148" i="213"/>
  <c r="AV148" i="213"/>
  <c r="AW148" i="213"/>
  <c r="AX148" i="213"/>
  <c r="AY148" i="213"/>
  <c r="AZ148" i="213"/>
  <c r="BA148" i="213"/>
  <c r="BB148" i="213"/>
  <c r="BC148" i="213"/>
  <c r="BD148" i="213"/>
  <c r="BE148" i="213"/>
  <c r="BF148" i="213"/>
  <c r="BG148" i="213"/>
  <c r="BH148" i="213"/>
  <c r="BI148" i="213"/>
  <c r="BJ148" i="213"/>
  <c r="BK148" i="213"/>
  <c r="BL148" i="213"/>
  <c r="BM148" i="213"/>
  <c r="H161" i="213"/>
  <c r="I161" i="213"/>
  <c r="J161" i="213"/>
  <c r="K161" i="213"/>
  <c r="L161" i="213"/>
  <c r="M161" i="213"/>
  <c r="N161" i="213"/>
  <c r="O161" i="213"/>
  <c r="P161" i="213"/>
  <c r="Q161" i="213"/>
  <c r="R161" i="213"/>
  <c r="S161" i="213"/>
  <c r="T161" i="213"/>
  <c r="U161" i="213"/>
  <c r="V161" i="213"/>
  <c r="W161" i="213"/>
  <c r="X161" i="213"/>
  <c r="Y161" i="213"/>
  <c r="Z161" i="213"/>
  <c r="AA161" i="213"/>
  <c r="AB161" i="213"/>
  <c r="AC161" i="213"/>
  <c r="AD161" i="213"/>
  <c r="AE161" i="213"/>
  <c r="AF161" i="213"/>
  <c r="AG161" i="213"/>
  <c r="AH161" i="213"/>
  <c r="AI161" i="213"/>
  <c r="AJ161" i="213"/>
  <c r="AK161" i="213"/>
  <c r="AL161" i="213"/>
  <c r="AM161" i="213"/>
  <c r="AN161" i="213"/>
  <c r="AO161" i="213"/>
  <c r="AP161" i="213"/>
  <c r="AQ161" i="213"/>
  <c r="AR161" i="213"/>
  <c r="AS161" i="213"/>
  <c r="AT161" i="213"/>
  <c r="AU161" i="213"/>
  <c r="AV161" i="213"/>
  <c r="AW161" i="213"/>
  <c r="AX161" i="213"/>
  <c r="AY161" i="213"/>
  <c r="AZ161" i="213"/>
  <c r="BA161" i="213"/>
  <c r="BB161" i="213"/>
  <c r="BC161" i="213"/>
  <c r="BD161" i="213"/>
  <c r="BE161" i="213"/>
  <c r="BF161" i="213"/>
  <c r="BG161" i="213"/>
  <c r="BH161" i="213"/>
  <c r="BI161" i="213"/>
  <c r="BJ161" i="213"/>
  <c r="BK161" i="213"/>
  <c r="BL161" i="213"/>
  <c r="BM161" i="213"/>
  <c r="H174" i="213"/>
  <c r="I174" i="213"/>
  <c r="J174" i="213"/>
  <c r="K174" i="213"/>
  <c r="L174" i="213"/>
  <c r="M174" i="213"/>
  <c r="N174" i="213"/>
  <c r="O174" i="213"/>
  <c r="P174" i="213"/>
  <c r="Q174" i="213"/>
  <c r="R174" i="213"/>
  <c r="S174" i="213"/>
  <c r="T174" i="213"/>
  <c r="U174" i="213"/>
  <c r="V174" i="213"/>
  <c r="W174" i="213"/>
  <c r="X174" i="213"/>
  <c r="Y174" i="213"/>
  <c r="Z174" i="213"/>
  <c r="AA174" i="213"/>
  <c r="AB174" i="213"/>
  <c r="AC174" i="213"/>
  <c r="AD174" i="213"/>
  <c r="AE174" i="213"/>
  <c r="AF174" i="213"/>
  <c r="AG174" i="213"/>
  <c r="AH174" i="213"/>
  <c r="AI174" i="213"/>
  <c r="AJ174" i="213"/>
  <c r="AK174" i="213"/>
  <c r="AL174" i="213"/>
  <c r="AM174" i="213"/>
  <c r="AN174" i="213"/>
  <c r="AO174" i="213"/>
  <c r="AP174" i="213"/>
  <c r="AQ174" i="213"/>
  <c r="AR174" i="213"/>
  <c r="AS174" i="213"/>
  <c r="AT174" i="213"/>
  <c r="AU174" i="213"/>
  <c r="AV174" i="213"/>
  <c r="AW174" i="213"/>
  <c r="AX174" i="213"/>
  <c r="AY174" i="213"/>
  <c r="AZ174" i="213"/>
  <c r="BA174" i="213"/>
  <c r="BB174" i="213"/>
  <c r="BC174" i="213"/>
  <c r="BD174" i="213"/>
  <c r="BE174" i="213"/>
  <c r="BF174" i="213"/>
  <c r="BG174" i="213"/>
  <c r="BH174" i="213"/>
  <c r="BI174" i="213"/>
  <c r="BJ174" i="213"/>
  <c r="BK174" i="213"/>
  <c r="BL174" i="213"/>
  <c r="BM174" i="213"/>
  <c r="D14" i="211"/>
  <c r="J14" i="211"/>
  <c r="D15" i="211"/>
  <c r="J15" i="211"/>
  <c r="D16" i="211"/>
  <c r="J16" i="211"/>
  <c r="D17" i="211"/>
  <c r="J17" i="211"/>
  <c r="D18" i="211"/>
  <c r="J18" i="211"/>
  <c r="D19" i="211"/>
  <c r="J19" i="211"/>
  <c r="D20" i="211"/>
  <c r="J20" i="211"/>
  <c r="D21" i="211"/>
  <c r="J21" i="211"/>
  <c r="D22" i="211"/>
  <c r="J22" i="211"/>
  <c r="D23" i="211"/>
  <c r="J23" i="211"/>
  <c r="D24" i="211"/>
  <c r="J24" i="211"/>
  <c r="D25" i="211"/>
  <c r="J25" i="211"/>
  <c r="D92" i="211"/>
  <c r="J92" i="211"/>
  <c r="D103" i="211"/>
  <c r="J103" i="211"/>
  <c r="D104" i="211"/>
  <c r="J104" i="211"/>
  <c r="D108" i="211"/>
  <c r="J108" i="211"/>
  <c r="B10" i="210"/>
  <c r="C10" i="210"/>
  <c r="D10" i="210"/>
  <c r="E10" i="210"/>
  <c r="F10" i="210"/>
  <c r="G10" i="210"/>
  <c r="H10" i="210"/>
  <c r="I10" i="210"/>
  <c r="N10" i="210"/>
  <c r="O10" i="210"/>
  <c r="B14" i="210"/>
  <c r="C14" i="210"/>
  <c r="D14" i="210"/>
  <c r="E14" i="210"/>
  <c r="F14" i="210"/>
  <c r="G14" i="210"/>
  <c r="H14" i="210"/>
  <c r="I14" i="210"/>
  <c r="N14" i="210"/>
  <c r="O14" i="210"/>
  <c r="V14" i="210"/>
  <c r="B20" i="210"/>
  <c r="C20" i="210"/>
  <c r="D20" i="210"/>
  <c r="E20" i="210"/>
  <c r="F20" i="210"/>
  <c r="G20" i="210"/>
  <c r="H20" i="210"/>
  <c r="I20" i="210"/>
  <c r="N20" i="210"/>
  <c r="O20" i="210"/>
  <c r="V20" i="210"/>
  <c r="B24" i="210"/>
  <c r="C24" i="210"/>
  <c r="D24" i="210"/>
  <c r="E24" i="210"/>
  <c r="F24" i="210"/>
  <c r="G24" i="210"/>
  <c r="H24" i="210"/>
  <c r="I24" i="210"/>
  <c r="N24" i="210"/>
  <c r="O24" i="210"/>
  <c r="V24" i="210"/>
  <c r="BV9" i="209"/>
  <c r="D12" i="209"/>
  <c r="D13" i="209"/>
  <c r="G13" i="209"/>
  <c r="BZ13" i="209"/>
  <c r="CA13" i="209" s="1"/>
  <c r="A14" i="209"/>
  <c r="A15" i="209" s="1"/>
  <c r="D14" i="209"/>
  <c r="G14" i="209"/>
  <c r="D15" i="209"/>
  <c r="G15" i="209"/>
  <c r="CA15" i="209"/>
  <c r="D16" i="209"/>
  <c r="G16" i="209"/>
  <c r="CA16" i="209"/>
  <c r="D17" i="209"/>
  <c r="G17" i="209"/>
  <c r="D18" i="209"/>
  <c r="G18" i="209"/>
  <c r="BZ18" i="209"/>
  <c r="CA18" i="209" s="1"/>
  <c r="D19" i="209"/>
  <c r="G19" i="209"/>
  <c r="D20" i="209"/>
  <c r="G20" i="209"/>
  <c r="CA20" i="209"/>
  <c r="D21" i="209"/>
  <c r="G21" i="209"/>
  <c r="CA21" i="209"/>
  <c r="D22" i="209"/>
  <c r="G22" i="209"/>
  <c r="D23" i="209"/>
  <c r="G23" i="209"/>
  <c r="BZ23" i="209"/>
  <c r="CA23" i="209" s="1"/>
  <c r="D24" i="209"/>
  <c r="G24" i="209"/>
  <c r="D25" i="209"/>
  <c r="G25" i="209"/>
  <c r="CA25" i="209"/>
  <c r="D26" i="209"/>
  <c r="G26" i="209"/>
  <c r="CA26" i="209"/>
  <c r="D27" i="209"/>
  <c r="G27" i="209"/>
  <c r="D28" i="209"/>
  <c r="G28" i="209"/>
  <c r="D29" i="209"/>
  <c r="G29" i="209"/>
  <c r="D30" i="209"/>
  <c r="G30" i="209"/>
  <c r="CA30" i="209"/>
  <c r="D31" i="209"/>
  <c r="G31" i="209"/>
  <c r="CA31" i="209"/>
  <c r="D32" i="209"/>
  <c r="G32" i="209"/>
  <c r="D33" i="209"/>
  <c r="G33" i="209"/>
  <c r="BZ33" i="209"/>
  <c r="CA33" i="209" s="1"/>
  <c r="D34" i="209"/>
  <c r="G34" i="209"/>
  <c r="D35" i="209"/>
  <c r="G35" i="209"/>
  <c r="CA35" i="209"/>
  <c r="D36" i="209"/>
  <c r="G36" i="209"/>
  <c r="CA36" i="209"/>
  <c r="D37" i="209"/>
  <c r="G37" i="209"/>
  <c r="D38" i="209"/>
  <c r="G38" i="209"/>
  <c r="CA38" i="209"/>
  <c r="D39" i="209"/>
  <c r="G39" i="209"/>
  <c r="CA39" i="209"/>
  <c r="D40" i="209"/>
  <c r="G40" i="209"/>
  <c r="D41" i="209"/>
  <c r="G41" i="209"/>
  <c r="CA41" i="209"/>
  <c r="B42" i="209"/>
  <c r="C42" i="209"/>
  <c r="E42" i="209"/>
  <c r="F42" i="209"/>
  <c r="CA42" i="209"/>
  <c r="D43" i="209"/>
  <c r="G43" i="209"/>
  <c r="D44" i="209"/>
  <c r="G44" i="209"/>
  <c r="CA44" i="209"/>
  <c r="D45" i="209"/>
  <c r="G45" i="209"/>
  <c r="CA45" i="209"/>
  <c r="D46" i="209"/>
  <c r="G46" i="209"/>
  <c r="D47" i="209"/>
  <c r="G47" i="209"/>
  <c r="CA47" i="209"/>
  <c r="D48" i="209"/>
  <c r="G48" i="209"/>
  <c r="D49" i="209"/>
  <c r="G49" i="209"/>
  <c r="D50" i="209"/>
  <c r="G50" i="209"/>
  <c r="BZ50" i="209"/>
  <c r="CA50" i="209" s="1"/>
  <c r="D51" i="209"/>
  <c r="G51" i="209"/>
  <c r="D52" i="209"/>
  <c r="G52" i="209"/>
  <c r="CA52" i="209"/>
  <c r="D53" i="209"/>
  <c r="G53" i="209"/>
  <c r="CA53" i="209"/>
  <c r="D54" i="209"/>
  <c r="G54" i="209"/>
  <c r="BZ54" i="209"/>
  <c r="CA54" i="209" s="1"/>
  <c r="D55" i="209"/>
  <c r="G55" i="209"/>
  <c r="D56" i="209"/>
  <c r="G56" i="209"/>
  <c r="CA56" i="209"/>
  <c r="D57" i="209"/>
  <c r="G57" i="209"/>
  <c r="CA57" i="209"/>
  <c r="D58" i="209"/>
  <c r="G58" i="209"/>
  <c r="CA58" i="209"/>
  <c r="D59" i="209"/>
  <c r="G59" i="209"/>
  <c r="CA59" i="209"/>
  <c r="G60" i="209"/>
  <c r="CA60" i="209"/>
  <c r="D61" i="209"/>
  <c r="G61" i="209"/>
  <c r="CA61" i="209"/>
  <c r="D62" i="209"/>
  <c r="G62" i="209"/>
  <c r="D63" i="209"/>
  <c r="G63" i="209"/>
  <c r="D64" i="209"/>
  <c r="G64" i="209"/>
  <c r="D65" i="209"/>
  <c r="G65" i="209"/>
  <c r="D66" i="209"/>
  <c r="G66" i="209"/>
  <c r="D67" i="209"/>
  <c r="G67" i="209"/>
  <c r="B68" i="209"/>
  <c r="C68" i="209"/>
  <c r="E68" i="209"/>
  <c r="F68" i="209"/>
  <c r="D69" i="209"/>
  <c r="G69" i="209"/>
  <c r="D70" i="209"/>
  <c r="G70" i="209"/>
  <c r="D71" i="209"/>
  <c r="G71" i="209"/>
  <c r="D72" i="209"/>
  <c r="G72" i="209"/>
  <c r="D73" i="209"/>
  <c r="G73" i="209"/>
  <c r="D74" i="209"/>
  <c r="G74" i="209"/>
  <c r="D75" i="209"/>
  <c r="G75" i="209"/>
  <c r="D76" i="209"/>
  <c r="G76" i="209"/>
  <c r="D77" i="209"/>
  <c r="G77" i="209"/>
  <c r="D78" i="209"/>
  <c r="G78" i="209"/>
  <c r="D79" i="209"/>
  <c r="G79" i="209"/>
  <c r="D80" i="209"/>
  <c r="G80" i="209"/>
  <c r="B81" i="209"/>
  <c r="C81" i="209"/>
  <c r="E81" i="209"/>
  <c r="F81" i="209"/>
  <c r="B94" i="209"/>
  <c r="C94" i="209"/>
  <c r="E94" i="209"/>
  <c r="F94" i="209"/>
  <c r="B107" i="209"/>
  <c r="C107" i="209"/>
  <c r="E107" i="209"/>
  <c r="F107" i="209"/>
  <c r="B120" i="209"/>
  <c r="C120" i="209"/>
  <c r="E120" i="209"/>
  <c r="F120" i="209"/>
  <c r="B133" i="209"/>
  <c r="C133" i="209"/>
  <c r="E133" i="209"/>
  <c r="F133" i="209"/>
  <c r="B146" i="209"/>
  <c r="C146" i="209"/>
  <c r="E146" i="209"/>
  <c r="F146" i="209"/>
  <c r="B159" i="209"/>
  <c r="C159" i="209"/>
  <c r="E159" i="209"/>
  <c r="F159" i="209"/>
  <c r="B172" i="209"/>
  <c r="C172" i="209"/>
  <c r="E172" i="209"/>
  <c r="F172" i="209"/>
  <c r="D173" i="209"/>
  <c r="G173" i="209"/>
  <c r="D174" i="209"/>
  <c r="G174" i="209"/>
  <c r="D175" i="209"/>
  <c r="G175" i="209"/>
  <c r="D176" i="209"/>
  <c r="G176" i="209"/>
  <c r="D177" i="209"/>
  <c r="G177" i="209"/>
  <c r="D178" i="209"/>
  <c r="G178" i="209"/>
  <c r="D179" i="209"/>
  <c r="G179" i="209"/>
  <c r="D180" i="209"/>
  <c r="G180" i="209"/>
  <c r="D181" i="209"/>
  <c r="G181" i="209"/>
  <c r="D182" i="209"/>
  <c r="G182" i="209"/>
  <c r="D183" i="209"/>
  <c r="G183" i="209"/>
  <c r="D184" i="209"/>
  <c r="G184" i="209"/>
  <c r="B185" i="209"/>
  <c r="C185" i="209"/>
  <c r="E185" i="209"/>
  <c r="F185" i="209"/>
  <c r="D186" i="209"/>
  <c r="G186" i="209"/>
  <c r="D187" i="209"/>
  <c r="G187" i="209"/>
  <c r="D188" i="209"/>
  <c r="G188" i="209"/>
  <c r="D189" i="209"/>
  <c r="G189" i="209"/>
  <c r="D190" i="209"/>
  <c r="G190" i="209"/>
  <c r="D191" i="209"/>
  <c r="G191" i="209"/>
  <c r="D192" i="209"/>
  <c r="G192" i="209"/>
  <c r="D193" i="209"/>
  <c r="G193" i="209"/>
  <c r="D194" i="209"/>
  <c r="G194" i="209"/>
  <c r="D195" i="209"/>
  <c r="G195" i="209"/>
  <c r="D196" i="209"/>
  <c r="G196" i="209"/>
  <c r="D197" i="209"/>
  <c r="G197" i="209"/>
  <c r="B198" i="209"/>
  <c r="C198" i="209"/>
  <c r="E198" i="209"/>
  <c r="F198" i="209"/>
  <c r="D199" i="209"/>
  <c r="G199" i="209"/>
  <c r="D200" i="209"/>
  <c r="G200" i="209"/>
  <c r="D201" i="209"/>
  <c r="G201" i="209"/>
  <c r="D202" i="209"/>
  <c r="G202" i="209"/>
  <c r="D203" i="209"/>
  <c r="G203" i="209"/>
  <c r="D204" i="209"/>
  <c r="G204" i="209"/>
  <c r="D205" i="209"/>
  <c r="G205" i="209"/>
  <c r="D206" i="209"/>
  <c r="G206" i="209"/>
  <c r="D207" i="209"/>
  <c r="G207" i="209"/>
  <c r="D208" i="209"/>
  <c r="G208" i="209"/>
  <c r="D209" i="209"/>
  <c r="G209" i="209"/>
  <c r="D210" i="209"/>
  <c r="G210" i="209"/>
  <c r="B211" i="209"/>
  <c r="C211" i="209"/>
  <c r="E211" i="209"/>
  <c r="F211" i="209"/>
  <c r="D212" i="209"/>
  <c r="G212" i="209"/>
  <c r="D213" i="209"/>
  <c r="G213" i="209"/>
  <c r="D214" i="209"/>
  <c r="G214" i="209"/>
  <c r="D215" i="209"/>
  <c r="G215" i="209"/>
  <c r="D216" i="209"/>
  <c r="G216" i="209"/>
  <c r="D217" i="209"/>
  <c r="G217" i="209"/>
  <c r="D218" i="209"/>
  <c r="G218" i="209"/>
  <c r="D219" i="209"/>
  <c r="G219" i="209"/>
  <c r="D220" i="209"/>
  <c r="G220" i="209"/>
  <c r="D221" i="209"/>
  <c r="G221" i="209"/>
  <c r="J221" i="209"/>
  <c r="D222" i="209"/>
  <c r="G222" i="209"/>
  <c r="J222" i="209"/>
  <c r="D223" i="209"/>
  <c r="G223" i="209"/>
  <c r="J223" i="209"/>
  <c r="B224" i="209"/>
  <c r="C224" i="209"/>
  <c r="E224" i="209"/>
  <c r="F224" i="209"/>
  <c r="H224" i="209"/>
  <c r="I224" i="209"/>
  <c r="D225" i="209"/>
  <c r="G225" i="209"/>
  <c r="J225" i="209"/>
  <c r="D226" i="209"/>
  <c r="G226" i="209"/>
  <c r="J226" i="209"/>
  <c r="D227" i="209"/>
  <c r="G227" i="209"/>
  <c r="J227" i="209"/>
  <c r="D228" i="209"/>
  <c r="G228" i="209"/>
  <c r="J228" i="209"/>
  <c r="D229" i="209"/>
  <c r="G229" i="209"/>
  <c r="J229" i="209"/>
  <c r="D230" i="209"/>
  <c r="G230" i="209"/>
  <c r="J230" i="209"/>
  <c r="D231" i="209"/>
  <c r="G231" i="209"/>
  <c r="J231" i="209"/>
  <c r="D232" i="209"/>
  <c r="G232" i="209"/>
  <c r="J232" i="209"/>
  <c r="D233" i="209"/>
  <c r="G233" i="209"/>
  <c r="J233" i="209"/>
  <c r="D234" i="209"/>
  <c r="G234" i="209"/>
  <c r="J234" i="209"/>
  <c r="D235" i="209"/>
  <c r="G235" i="209"/>
  <c r="J235" i="209"/>
  <c r="D236" i="209"/>
  <c r="G236" i="209"/>
  <c r="J236" i="209"/>
  <c r="B237" i="209"/>
  <c r="C237" i="209"/>
  <c r="E237" i="209"/>
  <c r="F237" i="209"/>
  <c r="H237" i="209"/>
  <c r="I237" i="209"/>
  <c r="D238" i="209"/>
  <c r="G238" i="209"/>
  <c r="J238" i="209"/>
  <c r="D239" i="209"/>
  <c r="G239" i="209"/>
  <c r="J239" i="209"/>
  <c r="D240" i="209"/>
  <c r="G240" i="209"/>
  <c r="J240" i="209"/>
  <c r="D241" i="209"/>
  <c r="G241" i="209"/>
  <c r="J241" i="209"/>
  <c r="D242" i="209"/>
  <c r="G242" i="209"/>
  <c r="J242" i="209"/>
  <c r="D243" i="209"/>
  <c r="G243" i="209"/>
  <c r="J243" i="209"/>
  <c r="D244" i="209"/>
  <c r="G244" i="209"/>
  <c r="J244" i="209"/>
  <c r="D245" i="209"/>
  <c r="G245" i="209"/>
  <c r="J245" i="209"/>
  <c r="D246" i="209"/>
  <c r="G246" i="209"/>
  <c r="J246" i="209"/>
  <c r="D247" i="209"/>
  <c r="G247" i="209"/>
  <c r="J247" i="209"/>
  <c r="D248" i="209"/>
  <c r="G248" i="209"/>
  <c r="J248" i="209"/>
  <c r="D249" i="209"/>
  <c r="G249" i="209"/>
  <c r="J249" i="209"/>
  <c r="D251" i="209"/>
  <c r="G251" i="209"/>
  <c r="J251" i="209"/>
  <c r="D252" i="209"/>
  <c r="G252" i="209"/>
  <c r="J252" i="209"/>
  <c r="D253" i="209"/>
  <c r="G253" i="209"/>
  <c r="J253" i="209"/>
  <c r="D254" i="209"/>
  <c r="G254" i="209"/>
  <c r="J254" i="209"/>
  <c r="D255" i="209"/>
  <c r="G255" i="209"/>
  <c r="J255" i="209"/>
  <c r="D256" i="209"/>
  <c r="G256" i="209"/>
  <c r="J256" i="209"/>
  <c r="D257" i="209"/>
  <c r="G257" i="209"/>
  <c r="J257" i="209"/>
  <c r="D258" i="209"/>
  <c r="G258" i="209"/>
  <c r="J258" i="209"/>
  <c r="R27" i="220" l="1"/>
  <c r="H45" i="220"/>
  <c r="E57" i="220"/>
  <c r="H58" i="220"/>
  <c r="K59" i="220"/>
  <c r="B80" i="219"/>
  <c r="D211" i="217"/>
  <c r="D172" i="217"/>
  <c r="G198" i="209"/>
  <c r="E14" i="220"/>
  <c r="K16" i="220"/>
  <c r="R57" i="220"/>
  <c r="G120" i="209"/>
  <c r="D28" i="220"/>
  <c r="B41" i="219"/>
  <c r="B62" i="219"/>
  <c r="G81" i="209"/>
  <c r="G224" i="209"/>
  <c r="G133" i="209"/>
  <c r="G94" i="209"/>
  <c r="E74" i="220"/>
  <c r="H75" i="220"/>
  <c r="B18" i="219"/>
  <c r="B30" i="219"/>
  <c r="B42" i="219"/>
  <c r="B63" i="219"/>
  <c r="B26" i="219"/>
  <c r="D16" i="220"/>
  <c r="D22" i="220"/>
  <c r="K24" i="220"/>
  <c r="K31" i="220"/>
  <c r="Y33" i="220"/>
  <c r="R40" i="220"/>
  <c r="K51" i="220"/>
  <c r="G198" i="217"/>
  <c r="K75" i="220"/>
  <c r="G107" i="217"/>
  <c r="C50" i="220"/>
  <c r="C46" i="220"/>
  <c r="H32" i="220"/>
  <c r="R35" i="220"/>
  <c r="H40" i="220"/>
  <c r="R42" i="220"/>
  <c r="Y43" i="220"/>
  <c r="R48" i="220"/>
  <c r="H53" i="220"/>
  <c r="H59" i="220"/>
  <c r="G159" i="217"/>
  <c r="S72" i="220"/>
  <c r="R58" i="220"/>
  <c r="Y46" i="220"/>
  <c r="D66" i="220"/>
  <c r="D73" i="220"/>
  <c r="K12" i="220"/>
  <c r="R14" i="220"/>
  <c r="C17" i="220"/>
  <c r="H18" i="220"/>
  <c r="R20" i="220"/>
  <c r="E23" i="220"/>
  <c r="Y62" i="220"/>
  <c r="H66" i="220"/>
  <c r="Y69" i="220"/>
  <c r="B59" i="219"/>
  <c r="G211" i="217"/>
  <c r="G172" i="217"/>
  <c r="G237" i="217"/>
  <c r="G146" i="209"/>
  <c r="E25" i="220"/>
  <c r="H27" i="220"/>
  <c r="K28" i="220"/>
  <c r="Y45" i="220"/>
  <c r="R59" i="220"/>
  <c r="Y60" i="220"/>
  <c r="C63" i="220"/>
  <c r="H64" i="220"/>
  <c r="D25" i="220"/>
  <c r="Y37" i="220"/>
  <c r="H25" i="220"/>
  <c r="R28" i="220"/>
  <c r="Y44" i="220"/>
  <c r="E55" i="220"/>
  <c r="K64" i="220"/>
  <c r="R41" i="220"/>
  <c r="E44" i="220"/>
  <c r="Y50" i="220"/>
  <c r="Y73" i="220"/>
  <c r="E21" i="220"/>
  <c r="R24" i="220"/>
  <c r="Y25" i="220"/>
  <c r="H51" i="220"/>
  <c r="D14" i="220"/>
  <c r="D42" i="220"/>
  <c r="D50" i="220"/>
  <c r="E19" i="220"/>
  <c r="R37" i="220"/>
  <c r="Y38" i="220"/>
  <c r="H42" i="220"/>
  <c r="K43" i="220"/>
  <c r="E48" i="220"/>
  <c r="H73" i="220"/>
  <c r="B73" i="219"/>
  <c r="B79" i="219"/>
  <c r="M214" i="219"/>
  <c r="M221" i="219"/>
  <c r="B31" i="219"/>
  <c r="BX10" i="218"/>
  <c r="G120" i="217"/>
  <c r="G81" i="217"/>
  <c r="D159" i="217"/>
  <c r="G237" i="209"/>
  <c r="D185" i="209"/>
  <c r="R15" i="220"/>
  <c r="Y22" i="220"/>
  <c r="Y30" i="220"/>
  <c r="H33" i="220"/>
  <c r="D41" i="220"/>
  <c r="H49" i="220"/>
  <c r="D57" i="220"/>
  <c r="R60" i="220"/>
  <c r="H41" i="220"/>
  <c r="K50" i="220"/>
  <c r="D56" i="220"/>
  <c r="H56" i="220"/>
  <c r="D17" i="220"/>
  <c r="K18" i="220"/>
  <c r="E30" i="220"/>
  <c r="H31" i="220"/>
  <c r="R33" i="220"/>
  <c r="E37" i="220"/>
  <c r="H55" i="220"/>
  <c r="E61" i="220"/>
  <c r="K66" i="220"/>
  <c r="R67" i="220"/>
  <c r="C70" i="220"/>
  <c r="H71" i="220"/>
  <c r="B33" i="219"/>
  <c r="B17" i="219"/>
  <c r="B72" i="219"/>
  <c r="B78" i="219"/>
  <c r="M97" i="219"/>
  <c r="B97" i="219" s="1"/>
  <c r="M105" i="219"/>
  <c r="B105" i="219" s="1"/>
  <c r="M110" i="219"/>
  <c r="B110" i="219" s="1"/>
  <c r="M123" i="219"/>
  <c r="B123" i="219" s="1"/>
  <c r="M136" i="219"/>
  <c r="B136" i="219" s="1"/>
  <c r="M138" i="219"/>
  <c r="B138" i="219" s="1"/>
  <c r="H12" i="220"/>
  <c r="K21" i="220"/>
  <c r="R30" i="220"/>
  <c r="Y31" i="220"/>
  <c r="K36" i="220"/>
  <c r="R38" i="220"/>
  <c r="Y40" i="220"/>
  <c r="H43" i="220"/>
  <c r="E50" i="220"/>
  <c r="Y58" i="220"/>
  <c r="R75" i="220"/>
  <c r="R74" i="220"/>
  <c r="H19" i="220"/>
  <c r="R21" i="220"/>
  <c r="Y74" i="220"/>
  <c r="E40" i="220"/>
  <c r="K15" i="220"/>
  <c r="Y17" i="220"/>
  <c r="D20" i="220"/>
  <c r="H28" i="220"/>
  <c r="D53" i="220"/>
  <c r="K55" i="220"/>
  <c r="B16" i="219"/>
  <c r="B21" i="219"/>
  <c r="B76" i="219"/>
  <c r="M92" i="219"/>
  <c r="B92" i="219" s="1"/>
  <c r="B68" i="219"/>
  <c r="B15" i="219"/>
  <c r="B20" i="219"/>
  <c r="B75" i="219"/>
  <c r="B81" i="219"/>
  <c r="M113" i="219"/>
  <c r="B113" i="219" s="1"/>
  <c r="M115" i="219"/>
  <c r="B115" i="219" s="1"/>
  <c r="M128" i="219"/>
  <c r="B128" i="219" s="1"/>
  <c r="M141" i="219"/>
  <c r="B141" i="219" s="1"/>
  <c r="D133" i="217"/>
  <c r="D107" i="217"/>
  <c r="D237" i="217"/>
  <c r="D198" i="217"/>
  <c r="H37" i="220"/>
  <c r="K47" i="220"/>
  <c r="Y53" i="220"/>
  <c r="C19" i="220"/>
  <c r="D45" i="220"/>
  <c r="E53" i="220"/>
  <c r="D55" i="220"/>
  <c r="Y66" i="220"/>
  <c r="V72" i="220"/>
  <c r="D18" i="220"/>
  <c r="D19" i="220"/>
  <c r="Y23" i="220"/>
  <c r="D27" i="220"/>
  <c r="K29" i="220"/>
  <c r="Y32" i="220"/>
  <c r="K38" i="220"/>
  <c r="D43" i="220"/>
  <c r="D44" i="220"/>
  <c r="R47" i="220"/>
  <c r="C53" i="220"/>
  <c r="K58" i="220"/>
  <c r="H68" i="220"/>
  <c r="K69" i="220"/>
  <c r="R70" i="220"/>
  <c r="Z72" i="220"/>
  <c r="H35" i="220"/>
  <c r="H15" i="220"/>
  <c r="H48" i="220"/>
  <c r="R55" i="220"/>
  <c r="H62" i="220"/>
  <c r="K63" i="220"/>
  <c r="I72" i="220"/>
  <c r="C72" i="220" s="1"/>
  <c r="Y56" i="220"/>
  <c r="C30" i="220"/>
  <c r="D46" i="220"/>
  <c r="B46" i="220" s="1"/>
  <c r="R54" i="220"/>
  <c r="E70" i="220"/>
  <c r="E32" i="220"/>
  <c r="Y18" i="220"/>
  <c r="D29" i="220"/>
  <c r="D30" i="220"/>
  <c r="H46" i="220"/>
  <c r="R51" i="220"/>
  <c r="D60" i="220"/>
  <c r="R66" i="220"/>
  <c r="K74" i="220"/>
  <c r="B14" i="219"/>
  <c r="M90" i="219"/>
  <c r="B90" i="219" s="1"/>
  <c r="B46" i="219"/>
  <c r="M209" i="219"/>
  <c r="B27" i="219"/>
  <c r="B49" i="219"/>
  <c r="B55" i="219"/>
  <c r="Q142" i="219"/>
  <c r="M102" i="219"/>
  <c r="B102" i="219" s="1"/>
  <c r="M215" i="219"/>
  <c r="M144" i="219"/>
  <c r="B144" i="219" s="1"/>
  <c r="M118" i="219"/>
  <c r="B118" i="219" s="1"/>
  <c r="B37" i="219"/>
  <c r="B29" i="219"/>
  <c r="B67" i="219"/>
  <c r="B77" i="219"/>
  <c r="G133" i="217"/>
  <c r="D68" i="217"/>
  <c r="G94" i="217"/>
  <c r="D94" i="217"/>
  <c r="G224" i="217"/>
  <c r="J237" i="209"/>
  <c r="J224" i="209"/>
  <c r="D224" i="209"/>
  <c r="D159" i="209"/>
  <c r="D42" i="209"/>
  <c r="D211" i="209"/>
  <c r="G211" i="209"/>
  <c r="D81" i="209"/>
  <c r="G107" i="209"/>
  <c r="D32" i="220"/>
  <c r="D62" i="220"/>
  <c r="D70" i="220"/>
  <c r="R16" i="220"/>
  <c r="H23" i="220"/>
  <c r="H36" i="220"/>
  <c r="K41" i="220"/>
  <c r="Y55" i="220"/>
  <c r="D63" i="220"/>
  <c r="C66" i="220"/>
  <c r="D68" i="220"/>
  <c r="Y16" i="220"/>
  <c r="D21" i="220"/>
  <c r="H22" i="220"/>
  <c r="R25" i="220"/>
  <c r="Y27" i="220"/>
  <c r="D33" i="220"/>
  <c r="K40" i="220"/>
  <c r="K44" i="220"/>
  <c r="K45" i="220"/>
  <c r="R46" i="220"/>
  <c r="C57" i="220"/>
  <c r="H61" i="220"/>
  <c r="H69" i="220"/>
  <c r="Y75" i="220"/>
  <c r="R22" i="220"/>
  <c r="Y36" i="220"/>
  <c r="C44" i="220"/>
  <c r="K71" i="220"/>
  <c r="Y48" i="220"/>
  <c r="R31" i="220"/>
  <c r="D49" i="220"/>
  <c r="R68" i="220"/>
  <c r="K53" i="220"/>
  <c r="D37" i="220"/>
  <c r="D40" i="220"/>
  <c r="D47" i="220"/>
  <c r="Y68" i="220"/>
  <c r="Y15" i="220"/>
  <c r="K33" i="220"/>
  <c r="Y42" i="220"/>
  <c r="D59" i="220"/>
  <c r="R17" i="220"/>
  <c r="Y20" i="220"/>
  <c r="D23" i="220"/>
  <c r="R29" i="220"/>
  <c r="E35" i="220"/>
  <c r="D36" i="220"/>
  <c r="C37" i="220"/>
  <c r="R50" i="220"/>
  <c r="R53" i="220"/>
  <c r="Y59" i="220"/>
  <c r="E63" i="220"/>
  <c r="B19" i="219"/>
  <c r="B51" i="219"/>
  <c r="B71" i="219"/>
  <c r="M100" i="219"/>
  <c r="B100" i="219" s="1"/>
  <c r="M106" i="219"/>
  <c r="B106" i="219" s="1"/>
  <c r="M220" i="219"/>
  <c r="B43" i="219"/>
  <c r="B47" i="219"/>
  <c r="B58" i="219"/>
  <c r="B69" i="219"/>
  <c r="M99" i="219"/>
  <c r="B99" i="219" s="1"/>
  <c r="N142" i="219"/>
  <c r="B48" i="219"/>
  <c r="B64" i="219"/>
  <c r="O142" i="219"/>
  <c r="M211" i="219"/>
  <c r="B52" i="219"/>
  <c r="B74" i="219"/>
  <c r="M116" i="219"/>
  <c r="B116" i="219" s="1"/>
  <c r="M219" i="219"/>
  <c r="M222" i="219"/>
  <c r="M225" i="219"/>
  <c r="M121" i="219"/>
  <c r="B121" i="219" s="1"/>
  <c r="B65" i="219"/>
  <c r="M84" i="219"/>
  <c r="B84" i="219" s="1"/>
  <c r="B28" i="219"/>
  <c r="B39" i="219"/>
  <c r="B66" i="219"/>
  <c r="M87" i="219"/>
  <c r="B87" i="219" s="1"/>
  <c r="M89" i="219"/>
  <c r="B89" i="219" s="1"/>
  <c r="M125" i="219"/>
  <c r="B125" i="219" s="1"/>
  <c r="M131" i="219"/>
  <c r="B131" i="219" s="1"/>
  <c r="G185" i="217"/>
  <c r="D185" i="217"/>
  <c r="D146" i="217"/>
  <c r="D81" i="217"/>
  <c r="BW11" i="217"/>
  <c r="BX11" i="217" s="1"/>
  <c r="G68" i="217"/>
  <c r="G185" i="209"/>
  <c r="D133" i="209"/>
  <c r="G159" i="209"/>
  <c r="D94" i="209"/>
  <c r="D198" i="209"/>
  <c r="G172" i="209"/>
  <c r="D107" i="209"/>
  <c r="G68" i="209"/>
  <c r="M139" i="219"/>
  <c r="B139" i="219" s="1"/>
  <c r="M88" i="219"/>
  <c r="B88" i="219" s="1"/>
  <c r="M218" i="219"/>
  <c r="B36" i="219"/>
  <c r="B45" i="219"/>
  <c r="B50" i="219"/>
  <c r="B82" i="219"/>
  <c r="B61" i="219"/>
  <c r="M103" i="219"/>
  <c r="B103" i="219" s="1"/>
  <c r="M208" i="219"/>
  <c r="B56" i="219"/>
  <c r="M101" i="219"/>
  <c r="B101" i="219" s="1"/>
  <c r="M126" i="219"/>
  <c r="B126" i="219" s="1"/>
  <c r="M153" i="219"/>
  <c r="M114" i="219"/>
  <c r="B114" i="219" s="1"/>
  <c r="M108" i="219"/>
  <c r="B108" i="219" s="1"/>
  <c r="M93" i="219"/>
  <c r="B93" i="219" s="1"/>
  <c r="M112" i="219"/>
  <c r="B112" i="219" s="1"/>
  <c r="M117" i="219"/>
  <c r="B117" i="219" s="1"/>
  <c r="M132" i="219"/>
  <c r="B132" i="219" s="1"/>
  <c r="M134" i="219"/>
  <c r="B134" i="219" s="1"/>
  <c r="M145" i="219"/>
  <c r="B145" i="219" s="1"/>
  <c r="B38" i="219"/>
  <c r="M95" i="219"/>
  <c r="B95" i="219" s="1"/>
  <c r="M143" i="219"/>
  <c r="B143" i="219" s="1"/>
  <c r="M223" i="219"/>
  <c r="B25" i="219"/>
  <c r="B54" i="219"/>
  <c r="M104" i="219"/>
  <c r="B104" i="219" s="1"/>
  <c r="C57" i="219"/>
  <c r="B60" i="219"/>
  <c r="M86" i="219"/>
  <c r="B86" i="219" s="1"/>
  <c r="M91" i="219"/>
  <c r="B91" i="219" s="1"/>
  <c r="H142" i="219"/>
  <c r="H14" i="220"/>
  <c r="E17" i="220"/>
  <c r="R32" i="220"/>
  <c r="H38" i="220"/>
  <c r="C40" i="220"/>
  <c r="E42" i="220"/>
  <c r="K46" i="220"/>
  <c r="K48" i="220"/>
  <c r="Y54" i="220"/>
  <c r="R56" i="220"/>
  <c r="Y67" i="220"/>
  <c r="R69" i="220"/>
  <c r="O72" i="220"/>
  <c r="AC72" i="220"/>
  <c r="Y21" i="220"/>
  <c r="K60" i="220"/>
  <c r="K14" i="220"/>
  <c r="R36" i="220"/>
  <c r="H50" i="220"/>
  <c r="D51" i="220"/>
  <c r="H63" i="220"/>
  <c r="D64" i="220"/>
  <c r="R12" i="220"/>
  <c r="H17" i="220"/>
  <c r="K27" i="220"/>
  <c r="Y35" i="220"/>
  <c r="D38" i="220"/>
  <c r="C23" i="220"/>
  <c r="C32" i="220"/>
  <c r="K42" i="220"/>
  <c r="Y47" i="220"/>
  <c r="R49" i="220"/>
  <c r="H54" i="220"/>
  <c r="Y71" i="220"/>
  <c r="H74" i="220"/>
  <c r="H20" i="220"/>
  <c r="Y24" i="220"/>
  <c r="H30" i="220"/>
  <c r="D31" i="220"/>
  <c r="D35" i="220"/>
  <c r="E46" i="220"/>
  <c r="Y49" i="220"/>
  <c r="R62" i="220"/>
  <c r="D75" i="220"/>
  <c r="E12" i="220"/>
  <c r="Y14" i="220"/>
  <c r="Y61" i="220"/>
  <c r="D12" i="220"/>
  <c r="H44" i="220"/>
  <c r="D48" i="220"/>
  <c r="K54" i="220"/>
  <c r="C59" i="220"/>
  <c r="K67" i="220"/>
  <c r="G72" i="220"/>
  <c r="E72" i="220" s="1"/>
  <c r="K73" i="220"/>
  <c r="E15" i="220"/>
  <c r="K20" i="220"/>
  <c r="D24" i="220"/>
  <c r="Y28" i="220"/>
  <c r="Y29" i="220"/>
  <c r="H57" i="220"/>
  <c r="D58" i="220"/>
  <c r="D61" i="220"/>
  <c r="L72" i="220"/>
  <c r="C14" i="220"/>
  <c r="D15" i="220"/>
  <c r="R19" i="220"/>
  <c r="H24" i="220"/>
  <c r="C25" i="220"/>
  <c r="E28" i="220"/>
  <c r="K32" i="220"/>
  <c r="K35" i="220"/>
  <c r="Y41" i="220"/>
  <c r="R43" i="220"/>
  <c r="H47" i="220"/>
  <c r="Y51" i="220"/>
  <c r="K57" i="220"/>
  <c r="Y64" i="220"/>
  <c r="H70" i="220"/>
  <c r="D71" i="220"/>
  <c r="R73" i="220"/>
  <c r="BW49" i="217"/>
  <c r="BX49" i="217" s="1"/>
  <c r="G146" i="217"/>
  <c r="D120" i="217"/>
  <c r="D68" i="209"/>
  <c r="BZ49" i="209"/>
  <c r="CA49" i="209" s="1"/>
  <c r="D120" i="209"/>
  <c r="D146" i="209"/>
  <c r="D172" i="209"/>
  <c r="BZ11" i="209"/>
  <c r="CA11" i="209" s="1"/>
  <c r="D237" i="209"/>
  <c r="G42" i="209"/>
  <c r="M124" i="219"/>
  <c r="B124" i="219" s="1"/>
  <c r="M120" i="219"/>
  <c r="B120" i="219" s="1"/>
  <c r="B32" i="219"/>
  <c r="M94" i="219"/>
  <c r="B94" i="219" s="1"/>
  <c r="M107" i="219"/>
  <c r="B107" i="219" s="1"/>
  <c r="M130" i="219"/>
  <c r="B130" i="219" s="1"/>
  <c r="C142" i="219"/>
  <c r="M216" i="219"/>
  <c r="M133" i="219"/>
  <c r="B133" i="219" s="1"/>
  <c r="M85" i="219"/>
  <c r="B85" i="219" s="1"/>
  <c r="M111" i="219"/>
  <c r="B111" i="219" s="1"/>
  <c r="M212" i="219"/>
  <c r="B24" i="219"/>
  <c r="B53" i="219"/>
  <c r="M119" i="219"/>
  <c r="B119" i="219" s="1"/>
  <c r="M140" i="219"/>
  <c r="B140" i="219" s="1"/>
  <c r="M210" i="219"/>
  <c r="M98" i="219"/>
  <c r="B98" i="219" s="1"/>
  <c r="P142" i="219"/>
  <c r="M129" i="219"/>
  <c r="B129" i="219" s="1"/>
  <c r="M150" i="219"/>
  <c r="M224" i="219"/>
  <c r="M127" i="219"/>
  <c r="B127" i="219" s="1"/>
  <c r="M147" i="219"/>
  <c r="M227" i="219"/>
  <c r="M137" i="219"/>
  <c r="B137" i="219" s="1"/>
  <c r="E29" i="220"/>
  <c r="C29" i="220"/>
  <c r="E73" i="220"/>
  <c r="C73" i="220"/>
  <c r="E20" i="220"/>
  <c r="C20" i="220"/>
  <c r="E27" i="220"/>
  <c r="C27" i="220"/>
  <c r="E33" i="220"/>
  <c r="C33" i="220"/>
  <c r="E41" i="220"/>
  <c r="C41" i="220"/>
  <c r="E47" i="220"/>
  <c r="C47" i="220"/>
  <c r="E54" i="220"/>
  <c r="C54" i="220"/>
  <c r="B54" i="220" s="1"/>
  <c r="E60" i="220"/>
  <c r="C60" i="220"/>
  <c r="E67" i="220"/>
  <c r="C67" i="220"/>
  <c r="B67" i="220" s="1"/>
  <c r="J72" i="220"/>
  <c r="E16" i="220"/>
  <c r="C16" i="220"/>
  <c r="E36" i="220"/>
  <c r="C36" i="220"/>
  <c r="B36" i="220" s="1"/>
  <c r="E43" i="220"/>
  <c r="C43" i="220"/>
  <c r="E49" i="220"/>
  <c r="C49" i="220"/>
  <c r="E56" i="220"/>
  <c r="C56" i="220"/>
  <c r="E69" i="220"/>
  <c r="C69" i="220"/>
  <c r="B69" i="220" s="1"/>
  <c r="D74" i="220"/>
  <c r="B74" i="220" s="1"/>
  <c r="C15" i="220"/>
  <c r="K19" i="220"/>
  <c r="C21" i="220"/>
  <c r="K25" i="220"/>
  <c r="C28" i="220"/>
  <c r="C35" i="220"/>
  <c r="C42" i="220"/>
  <c r="C48" i="220"/>
  <c r="C55" i="220"/>
  <c r="C61" i="220"/>
  <c r="C68" i="220"/>
  <c r="E22" i="220"/>
  <c r="C22" i="220"/>
  <c r="B22" i="220" s="1"/>
  <c r="C12" i="220"/>
  <c r="E18" i="220"/>
  <c r="C18" i="220"/>
  <c r="E24" i="220"/>
  <c r="C24" i="220"/>
  <c r="E31" i="220"/>
  <c r="C31" i="220"/>
  <c r="E38" i="220"/>
  <c r="C38" i="220"/>
  <c r="E45" i="220"/>
  <c r="C45" i="220"/>
  <c r="E51" i="220"/>
  <c r="C51" i="220"/>
  <c r="E58" i="220"/>
  <c r="C58" i="220"/>
  <c r="E64" i="220"/>
  <c r="C64" i="220"/>
  <c r="E71" i="220"/>
  <c r="C71" i="220"/>
  <c r="E62" i="220"/>
  <c r="C62" i="220"/>
  <c r="K17" i="220"/>
  <c r="K23" i="220"/>
  <c r="E75" i="220"/>
  <c r="C75" i="220"/>
  <c r="M57" i="219"/>
  <c r="M70" i="219"/>
  <c r="B70" i="219" s="1"/>
  <c r="M44" i="219"/>
  <c r="B44" i="219" s="1"/>
  <c r="BX12" i="218"/>
  <c r="B28" i="220" l="1"/>
  <c r="R72" i="220"/>
  <c r="B16" i="220"/>
  <c r="B66" i="220"/>
  <c r="B50" i="220"/>
  <c r="B63" i="220"/>
  <c r="B21" i="220"/>
  <c r="B41" i="220"/>
  <c r="BW9" i="217"/>
  <c r="BW63" i="217" s="1"/>
  <c r="BX63" i="217" s="1"/>
  <c r="B57" i="220"/>
  <c r="B17" i="220"/>
  <c r="B14" i="220"/>
  <c r="B73" i="220"/>
  <c r="B42" i="220"/>
  <c r="Y72" i="220"/>
  <c r="B25" i="220"/>
  <c r="B27" i="220"/>
  <c r="B53" i="220"/>
  <c r="B70" i="220"/>
  <c r="B56" i="220"/>
  <c r="B30" i="220"/>
  <c r="B40" i="220"/>
  <c r="B47" i="220"/>
  <c r="B29" i="220"/>
  <c r="B37" i="220"/>
  <c r="B60" i="220"/>
  <c r="B55" i="220"/>
  <c r="B20" i="220"/>
  <c r="B19" i="220"/>
  <c r="B44" i="220"/>
  <c r="B43" i="220"/>
  <c r="B18" i="220"/>
  <c r="B51" i="220"/>
  <c r="B32" i="220"/>
  <c r="B12" i="220"/>
  <c r="B45" i="220"/>
  <c r="B33" i="220"/>
  <c r="B68" i="220"/>
  <c r="B62" i="220"/>
  <c r="B57" i="219"/>
  <c r="BZ9" i="209"/>
  <c r="CA9" i="209" s="1"/>
  <c r="B38" i="220"/>
  <c r="B59" i="220"/>
  <c r="B71" i="220"/>
  <c r="B49" i="220"/>
  <c r="K72" i="220"/>
  <c r="B64" i="220"/>
  <c r="B23" i="220"/>
  <c r="M142" i="219"/>
  <c r="B142" i="219" s="1"/>
  <c r="B15" i="220"/>
  <c r="B75" i="220"/>
  <c r="B31" i="220"/>
  <c r="B61" i="220"/>
  <c r="B48" i="220"/>
  <c r="B35" i="220"/>
  <c r="B24" i="220"/>
  <c r="B58" i="220"/>
  <c r="H72" i="220"/>
  <c r="D72" i="220"/>
  <c r="B72" i="220" s="1"/>
  <c r="BX9" i="217"/>
  <c r="DY35" i="103"/>
  <c r="DZ35" i="102"/>
  <c r="DZ31" i="102"/>
  <c r="DZ27" i="102"/>
  <c r="DZ23" i="102"/>
  <c r="DZ19" i="102"/>
  <c r="DZ15" i="102"/>
  <c r="DZ11" i="102"/>
  <c r="EA35" i="99"/>
  <c r="EA31" i="99"/>
  <c r="EA27" i="99"/>
  <c r="EA23" i="99"/>
  <c r="EA19" i="99"/>
  <c r="EA15" i="99"/>
  <c r="EA11" i="99"/>
  <c r="AH264" i="92"/>
  <c r="AF264" i="92"/>
  <c r="AD264" i="92"/>
  <c r="AB264" i="92"/>
  <c r="Y264" i="92"/>
  <c r="Z264" i="92" s="1"/>
  <c r="X264" i="92"/>
  <c r="V264" i="92"/>
  <c r="T264" i="92"/>
  <c r="R264" i="92"/>
  <c r="P264" i="92"/>
  <c r="N264" i="92"/>
  <c r="L264" i="92"/>
  <c r="J264" i="92"/>
  <c r="H264" i="92"/>
  <c r="F264" i="92"/>
  <c r="D264" i="92"/>
  <c r="L261" i="15"/>
  <c r="J261" i="15"/>
  <c r="H261" i="15"/>
  <c r="F261" i="15"/>
  <c r="D261" i="15"/>
  <c r="BZ63" i="209" l="1"/>
  <c r="CA63" i="209" s="1"/>
  <c r="H269" i="86" l="1"/>
  <c r="H268" i="86"/>
  <c r="H267" i="86"/>
  <c r="H266" i="86"/>
  <c r="H265" i="86"/>
  <c r="H264" i="86"/>
  <c r="H263" i="86"/>
  <c r="H262" i="86"/>
  <c r="H260" i="86"/>
  <c r="H259" i="86"/>
  <c r="H258" i="86"/>
  <c r="H257" i="86"/>
  <c r="H256" i="86"/>
  <c r="H255" i="86"/>
  <c r="H254" i="86"/>
  <c r="H253" i="86"/>
  <c r="H252" i="86"/>
  <c r="H251" i="86"/>
  <c r="H250" i="86"/>
  <c r="H249" i="86"/>
  <c r="H248" i="86"/>
  <c r="G269" i="86"/>
  <c r="G268" i="86"/>
  <c r="G267" i="86"/>
  <c r="G266" i="86"/>
  <c r="G265" i="86"/>
  <c r="G264" i="86"/>
  <c r="G263" i="86"/>
  <c r="G262" i="86"/>
  <c r="G260" i="86"/>
  <c r="G259" i="86"/>
  <c r="G258" i="86"/>
  <c r="G257" i="86"/>
  <c r="G256" i="86"/>
  <c r="G255" i="86"/>
  <c r="G254" i="86"/>
  <c r="G253" i="86"/>
  <c r="G252" i="86"/>
  <c r="G251" i="86"/>
  <c r="G250" i="86"/>
  <c r="G249" i="86"/>
  <c r="G248" i="86"/>
  <c r="F269" i="86"/>
  <c r="F268" i="86"/>
  <c r="F267" i="86"/>
  <c r="F266" i="86"/>
  <c r="F265" i="86"/>
  <c r="F264" i="86"/>
  <c r="F263" i="86"/>
  <c r="F262" i="86"/>
  <c r="F260" i="86"/>
  <c r="F259" i="86"/>
  <c r="F258" i="86"/>
  <c r="F257" i="86"/>
  <c r="F256" i="86"/>
  <c r="F255" i="86"/>
  <c r="F254" i="86"/>
  <c r="F253" i="86"/>
  <c r="F252" i="86"/>
  <c r="F251" i="86"/>
  <c r="F250" i="86"/>
  <c r="F249" i="86"/>
  <c r="F248" i="86"/>
  <c r="J269" i="86" l="1"/>
  <c r="I269" i="86"/>
  <c r="DZ35" i="99" l="1"/>
  <c r="DZ31" i="99"/>
  <c r="DZ27" i="99"/>
  <c r="DZ23" i="99"/>
  <c r="DZ19" i="99"/>
  <c r="DZ15" i="99"/>
  <c r="DZ11" i="99"/>
  <c r="AH263" i="92" l="1"/>
  <c r="AF263" i="92"/>
  <c r="AD263" i="92"/>
  <c r="AB263" i="92"/>
  <c r="Y263" i="92"/>
  <c r="Z263" i="92" s="1"/>
  <c r="X263" i="92"/>
  <c r="V263" i="92"/>
  <c r="T263" i="92"/>
  <c r="R263" i="92"/>
  <c r="P263" i="92"/>
  <c r="N263" i="92"/>
  <c r="L263" i="92"/>
  <c r="J263" i="92"/>
  <c r="H263" i="92"/>
  <c r="F263" i="92"/>
  <c r="D263" i="92"/>
  <c r="L260" i="15"/>
  <c r="J260" i="15"/>
  <c r="H260" i="15"/>
  <c r="F260" i="15"/>
  <c r="D260" i="15"/>
  <c r="J268" i="86" l="1"/>
  <c r="I268" i="86"/>
  <c r="J267" i="86"/>
  <c r="I267" i="86"/>
  <c r="J266" i="86"/>
  <c r="I266" i="86"/>
  <c r="J265" i="86"/>
  <c r="I265" i="86"/>
  <c r="J264" i="86"/>
  <c r="I264" i="86"/>
  <c r="J263" i="86"/>
  <c r="I263" i="86"/>
  <c r="J262" i="86"/>
  <c r="I262" i="86"/>
  <c r="I260" i="86"/>
  <c r="AH262" i="92" l="1"/>
  <c r="AF262" i="92"/>
  <c r="AD262" i="92"/>
  <c r="AB262" i="92"/>
  <c r="Y262" i="92"/>
  <c r="Z262" i="92" s="1"/>
  <c r="X262" i="92"/>
  <c r="V262" i="92"/>
  <c r="T262" i="92"/>
  <c r="R262" i="92"/>
  <c r="P262" i="92"/>
  <c r="N262" i="92"/>
  <c r="L262" i="92"/>
  <c r="J262" i="92"/>
  <c r="H262" i="92"/>
  <c r="F262" i="92"/>
  <c r="D262" i="92"/>
  <c r="L259" i="15" l="1"/>
  <c r="J259" i="15"/>
  <c r="H259" i="15"/>
  <c r="F259" i="15"/>
  <c r="D259" i="15"/>
  <c r="G245" i="106" l="1"/>
  <c r="G246" i="106"/>
  <c r="G247" i="106"/>
  <c r="G248" i="106"/>
  <c r="G249" i="106"/>
  <c r="G250" i="106"/>
  <c r="G251" i="106"/>
  <c r="G252" i="106"/>
  <c r="G253" i="106"/>
  <c r="G254" i="106"/>
  <c r="G244" i="106"/>
  <c r="G232" i="106"/>
  <c r="G233" i="106"/>
  <c r="G234" i="106"/>
  <c r="G241" i="106"/>
  <c r="G206" i="106"/>
  <c r="G207" i="106"/>
  <c r="G208" i="106"/>
  <c r="G209" i="106"/>
  <c r="G210" i="106"/>
  <c r="G211" i="106"/>
  <c r="G216" i="106"/>
  <c r="G205" i="106"/>
  <c r="G193" i="106"/>
  <c r="G194" i="106"/>
  <c r="G195" i="106"/>
  <c r="G196" i="106"/>
  <c r="G197" i="106"/>
  <c r="G198" i="106"/>
  <c r="G199" i="106"/>
  <c r="G200" i="106"/>
  <c r="G201" i="106"/>
  <c r="G202" i="106"/>
  <c r="G203" i="106"/>
  <c r="G192" i="106"/>
  <c r="G180" i="106"/>
  <c r="G181" i="106"/>
  <c r="G182" i="106"/>
  <c r="G183" i="106"/>
  <c r="G184" i="106"/>
  <c r="G185" i="106"/>
  <c r="G186" i="106"/>
  <c r="G187" i="106"/>
  <c r="G188" i="106"/>
  <c r="G189" i="106"/>
  <c r="G190" i="106"/>
  <c r="G179" i="106"/>
  <c r="G169" i="106"/>
  <c r="G170" i="106"/>
  <c r="G171" i="106"/>
  <c r="G172" i="106"/>
  <c r="G173" i="106"/>
  <c r="G174" i="106"/>
  <c r="G175" i="106"/>
  <c r="G176" i="106"/>
  <c r="G177" i="106"/>
  <c r="G166" i="106"/>
  <c r="G154" i="106"/>
  <c r="G155" i="106"/>
  <c r="G156" i="106"/>
  <c r="G157" i="106"/>
  <c r="G158" i="106"/>
  <c r="G159" i="106"/>
  <c r="G160" i="106"/>
  <c r="G161" i="106"/>
  <c r="G162" i="106"/>
  <c r="G163" i="106"/>
  <c r="G164" i="106"/>
  <c r="G147" i="106"/>
  <c r="G148" i="106"/>
  <c r="G149" i="106"/>
  <c r="G151" i="106"/>
  <c r="G138" i="106"/>
  <c r="E262" i="32" l="1"/>
  <c r="B262" i="32"/>
  <c r="I262" i="32" s="1"/>
  <c r="H262" i="32" l="1"/>
  <c r="AH261" i="92" l="1"/>
  <c r="AF261" i="92"/>
  <c r="AD261" i="92"/>
  <c r="AB261" i="92"/>
  <c r="Y261" i="92"/>
  <c r="Z261" i="92" s="1"/>
  <c r="X261" i="92"/>
  <c r="V261" i="92"/>
  <c r="T261" i="92"/>
  <c r="R261" i="92"/>
  <c r="P261" i="92"/>
  <c r="N261" i="92"/>
  <c r="L261" i="92"/>
  <c r="J261" i="92"/>
  <c r="H261" i="92"/>
  <c r="F261" i="92"/>
  <c r="D261" i="92"/>
  <c r="L258" i="15"/>
  <c r="J258" i="15"/>
  <c r="H258" i="15"/>
  <c r="F258" i="15"/>
  <c r="D258" i="15"/>
  <c r="B9" i="206" l="1"/>
  <c r="H261" i="32" l="1"/>
  <c r="I261" i="32"/>
  <c r="DV35" i="102" l="1"/>
  <c r="DV31" i="102"/>
  <c r="DV27" i="102"/>
  <c r="DV23" i="102"/>
  <c r="DV19" i="102"/>
  <c r="DV15" i="102"/>
  <c r="DV11" i="102"/>
  <c r="DW35" i="99"/>
  <c r="DW31" i="99"/>
  <c r="DW27" i="99"/>
  <c r="DW23" i="99"/>
  <c r="DW19" i="99"/>
  <c r="DW15" i="99"/>
  <c r="DW11" i="99"/>
  <c r="AH260" i="92"/>
  <c r="AF260" i="92"/>
  <c r="AD260" i="92"/>
  <c r="AB260" i="92"/>
  <c r="Y260" i="92"/>
  <c r="Z260" i="92" s="1"/>
  <c r="X260" i="92"/>
  <c r="V260" i="92"/>
  <c r="T260" i="92"/>
  <c r="R260" i="92"/>
  <c r="P260" i="92"/>
  <c r="N260" i="92"/>
  <c r="L260" i="92"/>
  <c r="J260" i="92"/>
  <c r="H260" i="92"/>
  <c r="F260" i="92"/>
  <c r="D260" i="92"/>
  <c r="L257" i="15" l="1"/>
  <c r="J257" i="15"/>
  <c r="H257" i="15"/>
  <c r="F257" i="15"/>
  <c r="D257" i="15"/>
  <c r="I260" i="32" l="1"/>
  <c r="H260" i="32"/>
  <c r="E260" i="32"/>
  <c r="DU35" i="102" l="1"/>
  <c r="DU31" i="102"/>
  <c r="DU27" i="102"/>
  <c r="DU23" i="102"/>
  <c r="DU19" i="102"/>
  <c r="DU15" i="102"/>
  <c r="DU11" i="102"/>
  <c r="DV35" i="99"/>
  <c r="DV31" i="99"/>
  <c r="DV27" i="99"/>
  <c r="DV23" i="99"/>
  <c r="DV19" i="99"/>
  <c r="DV15" i="99"/>
  <c r="DV11" i="99"/>
  <c r="AH259" i="92"/>
  <c r="AF259" i="92"/>
  <c r="AD259" i="92"/>
  <c r="AB259" i="92"/>
  <c r="Y259" i="92"/>
  <c r="Z259" i="92" s="1"/>
  <c r="X259" i="92"/>
  <c r="V259" i="92"/>
  <c r="T259" i="92"/>
  <c r="R259" i="92"/>
  <c r="P259" i="92"/>
  <c r="N259" i="92"/>
  <c r="L259" i="92"/>
  <c r="J259" i="92"/>
  <c r="H259" i="92"/>
  <c r="F259" i="92"/>
  <c r="D259" i="92"/>
  <c r="L256" i="15"/>
  <c r="J256" i="15"/>
  <c r="H256" i="15"/>
  <c r="F256" i="15"/>
  <c r="D256" i="15"/>
  <c r="B258" i="32" l="1"/>
  <c r="H258" i="32" s="1"/>
  <c r="B259" i="32"/>
  <c r="H259" i="32" s="1"/>
  <c r="I259" i="32" l="1"/>
  <c r="I258" i="32"/>
  <c r="AH258" i="92"/>
  <c r="AF258" i="92"/>
  <c r="AD258" i="92"/>
  <c r="AB258" i="92"/>
  <c r="Y258" i="92"/>
  <c r="Z258" i="92" s="1"/>
  <c r="X258" i="92"/>
  <c r="V258" i="92"/>
  <c r="T258" i="92"/>
  <c r="R258" i="92"/>
  <c r="P258" i="92"/>
  <c r="N258" i="92"/>
  <c r="L258" i="92"/>
  <c r="J258" i="92"/>
  <c r="H258" i="92"/>
  <c r="F258" i="92"/>
  <c r="D258" i="92"/>
  <c r="L255" i="15"/>
  <c r="J255" i="15"/>
  <c r="H255" i="15"/>
  <c r="F255" i="15"/>
  <c r="D255" i="15"/>
  <c r="F65" i="194" l="1"/>
  <c r="C65" i="194"/>
  <c r="F64" i="194"/>
  <c r="C64" i="194"/>
  <c r="F62" i="194"/>
  <c r="C62" i="194"/>
  <c r="F61" i="194"/>
  <c r="C61" i="194"/>
  <c r="F60" i="194"/>
  <c r="C60" i="194"/>
  <c r="F57" i="194"/>
  <c r="C57" i="194"/>
  <c r="F56" i="194"/>
  <c r="C56" i="194"/>
  <c r="F55" i="194"/>
  <c r="C55" i="194"/>
  <c r="F54" i="194"/>
  <c r="C54" i="194"/>
  <c r="F53" i="194"/>
  <c r="C53" i="194"/>
  <c r="F52" i="194"/>
  <c r="C52" i="194"/>
  <c r="F51" i="194"/>
  <c r="C51" i="194"/>
  <c r="F49" i="194"/>
  <c r="C49" i="194"/>
  <c r="F48" i="194"/>
  <c r="C48" i="194"/>
  <c r="F47" i="194"/>
  <c r="C47" i="194"/>
  <c r="F46" i="194"/>
  <c r="C46" i="194"/>
  <c r="F45" i="194"/>
  <c r="C45" i="194"/>
  <c r="F44" i="194"/>
  <c r="C44" i="194"/>
  <c r="F43" i="194"/>
  <c r="C43" i="194"/>
  <c r="F42" i="194"/>
  <c r="C42" i="194"/>
  <c r="F41" i="194"/>
  <c r="C41" i="194"/>
  <c r="F40" i="194"/>
  <c r="C40" i="194"/>
  <c r="F39" i="194"/>
  <c r="C39" i="194"/>
  <c r="F38" i="194"/>
  <c r="C38" i="194"/>
  <c r="F36" i="194"/>
  <c r="C36" i="194"/>
  <c r="F35" i="194"/>
  <c r="C35" i="194"/>
  <c r="F34" i="194"/>
  <c r="C34" i="194"/>
  <c r="F33" i="194"/>
  <c r="C33" i="194"/>
  <c r="F32" i="194"/>
  <c r="C32" i="194"/>
  <c r="F31" i="194"/>
  <c r="C31" i="194"/>
  <c r="F30" i="194"/>
  <c r="C30" i="194"/>
  <c r="F29" i="194"/>
  <c r="C29" i="194"/>
  <c r="F28" i="194"/>
  <c r="C28" i="194"/>
  <c r="F27" i="194"/>
  <c r="C27" i="194"/>
  <c r="F26" i="194"/>
  <c r="C26" i="194"/>
  <c r="F23" i="194"/>
  <c r="C23" i="194"/>
  <c r="F22" i="194"/>
  <c r="C22" i="194"/>
  <c r="F21" i="194"/>
  <c r="C21" i="194"/>
  <c r="F20" i="194"/>
  <c r="C20" i="194"/>
  <c r="F19" i="194"/>
  <c r="C19" i="194"/>
  <c r="F18" i="194"/>
  <c r="C18" i="194"/>
  <c r="F17" i="194"/>
  <c r="C17" i="194"/>
  <c r="F16" i="194"/>
  <c r="C16" i="194"/>
  <c r="F15" i="194"/>
  <c r="C15" i="194"/>
  <c r="F14" i="194"/>
  <c r="C14" i="194"/>
  <c r="F13" i="194"/>
  <c r="C13" i="194"/>
  <c r="F12" i="194"/>
  <c r="C12" i="194"/>
  <c r="BR10" i="194"/>
  <c r="BS10" i="194" s="1"/>
  <c r="BR8" i="194"/>
  <c r="BN8" i="194"/>
  <c r="B60" i="194" l="1"/>
  <c r="B61" i="194"/>
  <c r="B64" i="194"/>
  <c r="B65" i="194"/>
  <c r="BS8" i="194"/>
  <c r="B62" i="194"/>
  <c r="AH257" i="92"/>
  <c r="AF257" i="92"/>
  <c r="AD257" i="92"/>
  <c r="AB257" i="92"/>
  <c r="Y257" i="92"/>
  <c r="Z257" i="92" s="1"/>
  <c r="X257" i="92"/>
  <c r="V257" i="92"/>
  <c r="T257" i="92"/>
  <c r="R257" i="92"/>
  <c r="P257" i="92"/>
  <c r="N257" i="92"/>
  <c r="L257" i="92"/>
  <c r="J257" i="92"/>
  <c r="H257" i="92"/>
  <c r="F257" i="92"/>
  <c r="D257" i="92"/>
  <c r="L254" i="15" l="1"/>
  <c r="J254" i="15"/>
  <c r="H254" i="15"/>
  <c r="F254" i="15"/>
  <c r="D254" i="15"/>
  <c r="E255" i="32" l="1"/>
  <c r="B257" i="32" l="1"/>
  <c r="I257" i="32" s="1"/>
  <c r="H257" i="32" l="1"/>
  <c r="E10" i="191"/>
  <c r="D10" i="191"/>
  <c r="C9" i="191"/>
  <c r="B9" i="191"/>
  <c r="C7" i="191"/>
  <c r="B7" i="191"/>
  <c r="DS35" i="99" l="1"/>
  <c r="DS31" i="99"/>
  <c r="DS27" i="99"/>
  <c r="DS23" i="99"/>
  <c r="DS19" i="99"/>
  <c r="DS15" i="99"/>
  <c r="DS11" i="99"/>
  <c r="AH256" i="92"/>
  <c r="AF256" i="92"/>
  <c r="AD256" i="92"/>
  <c r="AB256" i="92"/>
  <c r="Y256" i="92"/>
  <c r="Z256" i="92" s="1"/>
  <c r="X256" i="92"/>
  <c r="V256" i="92"/>
  <c r="T256" i="92"/>
  <c r="R256" i="92"/>
  <c r="P256" i="92"/>
  <c r="N256" i="92"/>
  <c r="L256" i="92"/>
  <c r="J256" i="92"/>
  <c r="H256" i="92"/>
  <c r="F256" i="92"/>
  <c r="D256" i="92"/>
  <c r="L253" i="15"/>
  <c r="J253" i="15"/>
  <c r="H253" i="15"/>
  <c r="F253" i="15"/>
  <c r="D253" i="15"/>
  <c r="B172" i="48" l="1"/>
  <c r="C172" i="48"/>
  <c r="E172" i="48"/>
  <c r="D172" i="48"/>
  <c r="I172" i="48"/>
  <c r="H172" i="48"/>
  <c r="G172" i="48"/>
  <c r="F172" i="48"/>
  <c r="J260" i="86" l="1"/>
  <c r="I250" i="33" l="1"/>
  <c r="H250" i="33"/>
  <c r="G250" i="33"/>
  <c r="F250" i="33"/>
  <c r="E250" i="33"/>
  <c r="D250" i="33"/>
  <c r="C250" i="33"/>
  <c r="B250" i="33"/>
  <c r="AF245" i="25" l="1"/>
  <c r="AE245" i="25"/>
  <c r="AD245" i="25"/>
  <c r="AC245" i="25"/>
  <c r="AB245" i="25"/>
  <c r="AA245" i="25"/>
  <c r="Z245" i="25"/>
  <c r="Y245" i="25"/>
  <c r="X245" i="25"/>
  <c r="W245" i="25"/>
  <c r="V245" i="25"/>
  <c r="U245" i="25"/>
  <c r="T245" i="25"/>
  <c r="S245" i="25"/>
  <c r="R245" i="25"/>
  <c r="Q245" i="25"/>
  <c r="P245" i="25"/>
  <c r="O245" i="25"/>
  <c r="N245" i="25"/>
  <c r="M245" i="25"/>
  <c r="L245" i="25"/>
  <c r="K245" i="25"/>
  <c r="J245" i="25"/>
  <c r="I245" i="25"/>
  <c r="H245" i="25"/>
  <c r="G245" i="25"/>
  <c r="F245" i="25"/>
  <c r="E245" i="25"/>
  <c r="D245" i="25"/>
  <c r="C245" i="25"/>
  <c r="B245" i="25"/>
  <c r="D22" i="135" l="1"/>
  <c r="DQ35" i="102" l="1"/>
  <c r="DQ31" i="102"/>
  <c r="DQ27" i="102"/>
  <c r="DQ23" i="102"/>
  <c r="DQ19" i="102"/>
  <c r="DQ15" i="102"/>
  <c r="DQ11" i="102"/>
  <c r="DR35" i="99"/>
  <c r="DR31" i="99"/>
  <c r="DR27" i="99"/>
  <c r="DR23" i="99"/>
  <c r="DR19" i="99"/>
  <c r="DR15" i="99"/>
  <c r="DR11" i="99"/>
  <c r="AH253" i="92" l="1"/>
  <c r="AH254" i="92"/>
  <c r="AF253" i="92"/>
  <c r="AF254" i="92"/>
  <c r="Y253" i="92"/>
  <c r="Z253" i="92" s="1"/>
  <c r="Y254" i="92"/>
  <c r="Z254" i="92" s="1"/>
  <c r="AD253" i="92"/>
  <c r="AD254" i="92"/>
  <c r="AB253" i="92"/>
  <c r="AB254" i="92"/>
  <c r="X253" i="92"/>
  <c r="X254" i="92"/>
  <c r="V253" i="92"/>
  <c r="V254" i="92"/>
  <c r="T253" i="92"/>
  <c r="T254" i="92"/>
  <c r="R253" i="92"/>
  <c r="R254" i="92"/>
  <c r="P253" i="92"/>
  <c r="P254" i="92"/>
  <c r="N253" i="92"/>
  <c r="N254" i="92"/>
  <c r="L253" i="92"/>
  <c r="L254" i="92"/>
  <c r="J253" i="92"/>
  <c r="J254" i="92"/>
  <c r="H253" i="92"/>
  <c r="H254" i="92"/>
  <c r="F253" i="92"/>
  <c r="F254" i="92"/>
  <c r="D253" i="92"/>
  <c r="D254" i="92"/>
  <c r="L251" i="15"/>
  <c r="J251" i="15"/>
  <c r="H251" i="15"/>
  <c r="F251" i="15"/>
  <c r="D251" i="15"/>
  <c r="Y112" i="92" l="1"/>
  <c r="Y111" i="92"/>
  <c r="Y110" i="92"/>
  <c r="Y109" i="92"/>
  <c r="Y108" i="92"/>
  <c r="Y107" i="92"/>
  <c r="Y106" i="92"/>
  <c r="Y105" i="92"/>
  <c r="Y104" i="92"/>
  <c r="Y103" i="92"/>
  <c r="Y102" i="92"/>
  <c r="Y101" i="92"/>
  <c r="Y100" i="92"/>
  <c r="Y99" i="92"/>
  <c r="Y98" i="92"/>
  <c r="Y97" i="92"/>
  <c r="Y96" i="92"/>
  <c r="Y95" i="92"/>
  <c r="Y94" i="92"/>
  <c r="Y93" i="92"/>
  <c r="Y92" i="92"/>
  <c r="Y91" i="92"/>
  <c r="Y90" i="92"/>
  <c r="Y89" i="92"/>
  <c r="Y88" i="92"/>
  <c r="Y87" i="92"/>
  <c r="Y86" i="92"/>
  <c r="Y85" i="92"/>
  <c r="Y84" i="92"/>
  <c r="Y83" i="92"/>
  <c r="Y82" i="92"/>
  <c r="Y81" i="92"/>
  <c r="Y80" i="92"/>
  <c r="Y79" i="92"/>
  <c r="Y78" i="92"/>
  <c r="Y77" i="92"/>
  <c r="Y76" i="92"/>
  <c r="Y75" i="92"/>
  <c r="Y74" i="92"/>
  <c r="Y72" i="92"/>
  <c r="Y71" i="92"/>
  <c r="Y70" i="92"/>
  <c r="Y69" i="92"/>
  <c r="Y68" i="92"/>
  <c r="Y67" i="92"/>
  <c r="Y66" i="92"/>
  <c r="Y65" i="92"/>
  <c r="Y64" i="92"/>
  <c r="Y63" i="92"/>
  <c r="Y62" i="92"/>
  <c r="Y61" i="92"/>
  <c r="Y59" i="92"/>
  <c r="Y58" i="92"/>
  <c r="Y57" i="92"/>
  <c r="Y56" i="92"/>
  <c r="Y55" i="92"/>
  <c r="Y54" i="92"/>
  <c r="Y53" i="92"/>
  <c r="Y52" i="92"/>
  <c r="Y51" i="92"/>
  <c r="Y50" i="92"/>
  <c r="Y49" i="92"/>
  <c r="Y48" i="92"/>
  <c r="Y46" i="92"/>
  <c r="Y45" i="92"/>
  <c r="Y44" i="92"/>
  <c r="Y43" i="92"/>
  <c r="Y42" i="92"/>
  <c r="Y41" i="92"/>
  <c r="Y40" i="92"/>
  <c r="Y39" i="92"/>
  <c r="Y38" i="92"/>
  <c r="Y37" i="92"/>
  <c r="Y36" i="92"/>
  <c r="Y35" i="92"/>
  <c r="Y33" i="92"/>
  <c r="AH229" i="92"/>
  <c r="AF229" i="92"/>
  <c r="AD229" i="92"/>
  <c r="AB229" i="92"/>
  <c r="Y229" i="92"/>
  <c r="Z229" i="92" s="1"/>
  <c r="X229" i="92"/>
  <c r="V229" i="92"/>
  <c r="T229" i="92"/>
  <c r="R229" i="92"/>
  <c r="P229" i="92"/>
  <c r="N229" i="92"/>
  <c r="L229" i="92"/>
  <c r="J229" i="92"/>
  <c r="H229" i="92"/>
  <c r="F229" i="92"/>
  <c r="D229" i="92"/>
  <c r="AH242" i="92"/>
  <c r="AF242" i="92"/>
  <c r="AD242" i="92"/>
  <c r="AB242" i="92"/>
  <c r="Y242" i="92"/>
  <c r="Z242" i="92" s="1"/>
  <c r="X242" i="92"/>
  <c r="V242" i="92"/>
  <c r="T242" i="92"/>
  <c r="R242" i="92"/>
  <c r="P242" i="92"/>
  <c r="N242" i="92"/>
  <c r="L242" i="92"/>
  <c r="J242" i="92"/>
  <c r="H242" i="92"/>
  <c r="F242" i="92"/>
  <c r="D242" i="92"/>
  <c r="Y164" i="92" l="1"/>
  <c r="Y177" i="92"/>
  <c r="Y190" i="92"/>
  <c r="Y203" i="92"/>
  <c r="Y216" i="92"/>
  <c r="L250" i="15" l="1"/>
  <c r="J250" i="15"/>
  <c r="H250" i="15"/>
  <c r="F250" i="15"/>
  <c r="D250" i="15"/>
  <c r="DP35" i="102" l="1"/>
  <c r="DP31" i="102"/>
  <c r="DP27" i="102"/>
  <c r="DP23" i="102"/>
  <c r="DP19" i="102"/>
  <c r="DP15" i="102"/>
  <c r="DP11" i="102"/>
  <c r="E56" i="181" l="1"/>
  <c r="D56" i="181"/>
  <c r="C56" i="181"/>
  <c r="B56" i="181"/>
  <c r="E43" i="181"/>
  <c r="D43" i="181"/>
  <c r="C43" i="181"/>
  <c r="B43" i="181"/>
  <c r="E30" i="181"/>
  <c r="D30" i="181"/>
  <c r="C30" i="181"/>
  <c r="B30" i="181"/>
  <c r="E17" i="181"/>
  <c r="D17" i="181"/>
  <c r="C17" i="181"/>
  <c r="B17" i="181"/>
  <c r="J258" i="86" l="1"/>
  <c r="J257" i="86"/>
  <c r="J256" i="86"/>
  <c r="J255" i="86"/>
  <c r="I258" i="86"/>
  <c r="I257" i="86"/>
  <c r="I256" i="86"/>
  <c r="I255" i="86"/>
  <c r="DO35" i="102" l="1"/>
  <c r="DO31" i="102"/>
  <c r="DO27" i="102"/>
  <c r="DO23" i="102"/>
  <c r="DO19" i="102"/>
  <c r="DO15" i="102"/>
  <c r="DO11" i="102"/>
  <c r="DP35" i="99"/>
  <c r="DP31" i="99"/>
  <c r="DP27" i="99"/>
  <c r="DP23" i="99"/>
  <c r="DP19" i="99"/>
  <c r="DP15" i="99"/>
  <c r="DP11" i="99"/>
  <c r="D49" i="123"/>
  <c r="AH252" i="92" l="1"/>
  <c r="AF252" i="92"/>
  <c r="AD252" i="92"/>
  <c r="AB252" i="92"/>
  <c r="Y252" i="92"/>
  <c r="Z252" i="92" s="1"/>
  <c r="X252" i="92"/>
  <c r="V252" i="92"/>
  <c r="T252" i="92"/>
  <c r="R252" i="92"/>
  <c r="P252" i="92"/>
  <c r="N252" i="92"/>
  <c r="L252" i="92"/>
  <c r="J252" i="92"/>
  <c r="H252" i="92"/>
  <c r="F252" i="92"/>
  <c r="D252" i="92"/>
  <c r="L249" i="15"/>
  <c r="J249" i="15"/>
  <c r="H249" i="15"/>
  <c r="F249" i="15"/>
  <c r="D249" i="15"/>
  <c r="Y251" i="92" l="1"/>
  <c r="DN35" i="102" l="1"/>
  <c r="DN31" i="102"/>
  <c r="DN27" i="102"/>
  <c r="DN23" i="102"/>
  <c r="DN19" i="102"/>
  <c r="DN15" i="102"/>
  <c r="DN11" i="102"/>
  <c r="DO35" i="99"/>
  <c r="DO31" i="99"/>
  <c r="DO27" i="99"/>
  <c r="DO23" i="99"/>
  <c r="DO19" i="99"/>
  <c r="DO15" i="99"/>
  <c r="DO11" i="99"/>
  <c r="D47" i="123" l="1"/>
  <c r="D48" i="123"/>
  <c r="AH251" i="92"/>
  <c r="AF251" i="92"/>
  <c r="AD251" i="92"/>
  <c r="AB251" i="92"/>
  <c r="Z251" i="92"/>
  <c r="X251" i="92"/>
  <c r="V251" i="92"/>
  <c r="T251" i="92"/>
  <c r="R251" i="92"/>
  <c r="P251" i="92"/>
  <c r="N251" i="92"/>
  <c r="L251" i="92"/>
  <c r="J251" i="92"/>
  <c r="H251" i="92"/>
  <c r="F251" i="92"/>
  <c r="D251" i="92"/>
  <c r="L248" i="15"/>
  <c r="J248" i="15"/>
  <c r="H248" i="15"/>
  <c r="F248" i="15"/>
  <c r="D248" i="15"/>
  <c r="P222" i="160" l="1"/>
  <c r="O222" i="160"/>
  <c r="F222" i="160"/>
  <c r="E222" i="160"/>
  <c r="D222" i="160"/>
  <c r="C222" i="160"/>
  <c r="B222" i="160"/>
  <c r="P220" i="160"/>
  <c r="P209" i="160"/>
  <c r="O209" i="160"/>
  <c r="F209" i="160"/>
  <c r="E209" i="160"/>
  <c r="D209" i="160"/>
  <c r="C209" i="160"/>
  <c r="B209" i="160"/>
  <c r="P198" i="160"/>
  <c r="P197" i="160"/>
  <c r="P196" i="160"/>
  <c r="O196" i="160"/>
  <c r="F196" i="160"/>
  <c r="E196" i="160"/>
  <c r="D196" i="160"/>
  <c r="C196" i="160"/>
  <c r="B196" i="160"/>
  <c r="P195" i="160"/>
  <c r="P183" i="160" s="1"/>
  <c r="P194" i="160"/>
  <c r="P193" i="160"/>
  <c r="O183" i="160"/>
  <c r="H183" i="160"/>
  <c r="G183" i="160"/>
  <c r="F183" i="160"/>
  <c r="E183" i="160"/>
  <c r="D183" i="160"/>
  <c r="C183" i="160"/>
  <c r="B183" i="160"/>
  <c r="P170" i="160"/>
  <c r="O170" i="160"/>
  <c r="H170" i="160"/>
  <c r="G170" i="160"/>
  <c r="F170" i="160"/>
  <c r="E170" i="160"/>
  <c r="D170" i="160"/>
  <c r="C170" i="160"/>
  <c r="B170" i="160"/>
  <c r="P157" i="160"/>
  <c r="O157" i="160"/>
  <c r="H157" i="160"/>
  <c r="G157" i="160"/>
  <c r="F157" i="160"/>
  <c r="E157" i="160"/>
  <c r="D157" i="160"/>
  <c r="C157" i="160"/>
  <c r="B157" i="160"/>
  <c r="P144" i="160"/>
  <c r="O144" i="160"/>
  <c r="H144" i="160"/>
  <c r="G144" i="160"/>
  <c r="F144" i="160"/>
  <c r="E144" i="160"/>
  <c r="D144" i="160"/>
  <c r="C144" i="160"/>
  <c r="B144" i="160"/>
  <c r="W148" i="136" l="1"/>
  <c r="R148" i="136"/>
  <c r="M148" i="136"/>
  <c r="G148" i="136"/>
  <c r="I22" i="135" l="1"/>
  <c r="H22" i="135"/>
  <c r="C22" i="135"/>
  <c r="B22" i="135"/>
  <c r="D46" i="123" l="1"/>
  <c r="D45" i="123"/>
  <c r="D44" i="123"/>
  <c r="D43" i="123"/>
  <c r="D42" i="123"/>
  <c r="D41" i="123"/>
  <c r="D40" i="123"/>
  <c r="D38" i="123"/>
  <c r="D37" i="123"/>
  <c r="D36" i="123"/>
  <c r="D35" i="123"/>
  <c r="D34" i="123"/>
  <c r="D33" i="123"/>
  <c r="D32" i="123"/>
  <c r="D31" i="123"/>
  <c r="D30" i="123"/>
  <c r="D29" i="123"/>
  <c r="D28" i="123"/>
  <c r="D27" i="123"/>
  <c r="D25" i="123"/>
  <c r="D24" i="123"/>
  <c r="D23" i="123"/>
  <c r="D22" i="123"/>
  <c r="D21" i="123"/>
  <c r="D20" i="123"/>
  <c r="D19" i="123"/>
  <c r="D16" i="123"/>
  <c r="D15" i="123"/>
  <c r="D14" i="123"/>
  <c r="CJ13" i="122"/>
  <c r="CI11" i="122"/>
  <c r="CJ11" i="122" s="1"/>
  <c r="CE7" i="122"/>
  <c r="CI9" i="122" l="1"/>
  <c r="CJ9" i="122" s="1"/>
  <c r="CI7" i="122" l="1"/>
  <c r="CJ7" i="122" s="1"/>
  <c r="AH250" i="92"/>
  <c r="AF250" i="92"/>
  <c r="AD250" i="92"/>
  <c r="AB250" i="92"/>
  <c r="Y250" i="92"/>
  <c r="Z250" i="92" s="1"/>
  <c r="X250" i="92"/>
  <c r="V250" i="92"/>
  <c r="T250" i="92"/>
  <c r="R250" i="92"/>
  <c r="P250" i="92"/>
  <c r="N250" i="92"/>
  <c r="L250" i="92"/>
  <c r="J250" i="92"/>
  <c r="H250" i="92"/>
  <c r="F250" i="92"/>
  <c r="D250" i="92"/>
  <c r="L247" i="15"/>
  <c r="J247" i="15"/>
  <c r="H247" i="15"/>
  <c r="F247" i="15"/>
  <c r="D247" i="15"/>
  <c r="Y249" i="92" l="1"/>
  <c r="Z249" i="92" s="1"/>
  <c r="AH249" i="92"/>
  <c r="AF249" i="92"/>
  <c r="AD249" i="92"/>
  <c r="AB249" i="92"/>
  <c r="X249" i="92"/>
  <c r="V249" i="92"/>
  <c r="T249" i="92"/>
  <c r="R249" i="92"/>
  <c r="P249" i="92"/>
  <c r="N249" i="92"/>
  <c r="L249" i="92"/>
  <c r="J249" i="92"/>
  <c r="H249" i="92"/>
  <c r="F249" i="92"/>
  <c r="D249" i="92"/>
  <c r="D246" i="15"/>
  <c r="F246" i="15"/>
  <c r="H246" i="15"/>
  <c r="L246" i="15"/>
  <c r="J246" i="15"/>
  <c r="J254" i="86"/>
  <c r="J253" i="86"/>
  <c r="J252" i="86"/>
  <c r="J251" i="86"/>
  <c r="J250" i="86"/>
  <c r="I254" i="86"/>
  <c r="I253" i="86"/>
  <c r="I252" i="86"/>
  <c r="I251" i="86"/>
  <c r="I250" i="86"/>
  <c r="Y248" i="92" l="1"/>
  <c r="AH248" i="92" l="1"/>
  <c r="AF248" i="92"/>
  <c r="AD248" i="92"/>
  <c r="AB248" i="92"/>
  <c r="Z248" i="92"/>
  <c r="X248" i="92"/>
  <c r="V248" i="92"/>
  <c r="T248" i="92"/>
  <c r="R248" i="92"/>
  <c r="P248" i="92"/>
  <c r="N248" i="92"/>
  <c r="L248" i="92"/>
  <c r="J248" i="92"/>
  <c r="H248" i="92"/>
  <c r="F248" i="92"/>
  <c r="D248" i="92"/>
  <c r="L245" i="15"/>
  <c r="J245" i="15"/>
  <c r="H245" i="15"/>
  <c r="F245" i="15"/>
  <c r="D245" i="15"/>
  <c r="Y247" i="92" l="1"/>
  <c r="Z247" i="92" s="1"/>
  <c r="AH247" i="92"/>
  <c r="AF247" i="92"/>
  <c r="AD247" i="92"/>
  <c r="AB247" i="92"/>
  <c r="X247" i="92"/>
  <c r="V247" i="92"/>
  <c r="T247" i="92"/>
  <c r="R247" i="92"/>
  <c r="P247" i="92"/>
  <c r="N247" i="92"/>
  <c r="L247" i="92"/>
  <c r="J247" i="92"/>
  <c r="H247" i="92"/>
  <c r="F247" i="92"/>
  <c r="D247" i="92"/>
  <c r="L244" i="15"/>
  <c r="J244" i="15"/>
  <c r="H244" i="15"/>
  <c r="F244" i="15"/>
  <c r="D244" i="15"/>
  <c r="DI35" i="102" l="1"/>
  <c r="DI31" i="102"/>
  <c r="DI27" i="102"/>
  <c r="DI23" i="102"/>
  <c r="DI19" i="102"/>
  <c r="DI15" i="102"/>
  <c r="DI11" i="102"/>
  <c r="DJ35" i="99"/>
  <c r="DJ31" i="99"/>
  <c r="DJ27" i="99"/>
  <c r="DJ23" i="99"/>
  <c r="DJ19" i="99"/>
  <c r="DJ15" i="99"/>
  <c r="DJ11" i="99"/>
  <c r="AH246" i="92"/>
  <c r="AF246" i="92"/>
  <c r="AD246" i="92"/>
  <c r="AB246" i="92"/>
  <c r="Y246" i="92"/>
  <c r="Z246" i="92" s="1"/>
  <c r="X246" i="92"/>
  <c r="V246" i="92"/>
  <c r="T246" i="92"/>
  <c r="R246" i="92"/>
  <c r="P246" i="92"/>
  <c r="N246" i="92"/>
  <c r="L246" i="92"/>
  <c r="J246" i="92"/>
  <c r="H246" i="92"/>
  <c r="F246" i="92"/>
  <c r="D246" i="92"/>
  <c r="L243" i="15"/>
  <c r="J243" i="15"/>
  <c r="H243" i="15"/>
  <c r="F243" i="15"/>
  <c r="D243" i="15"/>
  <c r="AH245" i="92" l="1"/>
  <c r="AF245" i="92"/>
  <c r="AD245" i="92"/>
  <c r="AB245" i="92"/>
  <c r="Y245" i="92"/>
  <c r="Z245" i="92" s="1"/>
  <c r="X245" i="92"/>
  <c r="V245" i="92"/>
  <c r="T245" i="92"/>
  <c r="R245" i="92"/>
  <c r="P245" i="92"/>
  <c r="N245" i="92"/>
  <c r="L245" i="92"/>
  <c r="J245" i="92"/>
  <c r="H245" i="92"/>
  <c r="F245" i="92"/>
  <c r="D245" i="92"/>
  <c r="L242" i="15"/>
  <c r="J242" i="15"/>
  <c r="H242" i="15"/>
  <c r="F242" i="15"/>
  <c r="D242" i="15"/>
  <c r="E244" i="32" l="1"/>
  <c r="E245" i="32"/>
  <c r="E246" i="32"/>
  <c r="Y244" i="92" l="1"/>
  <c r="AH244" i="92" l="1"/>
  <c r="AF244" i="92"/>
  <c r="AD244" i="92"/>
  <c r="AB244" i="92"/>
  <c r="Z244" i="92"/>
  <c r="X244" i="92"/>
  <c r="V244" i="92"/>
  <c r="T244" i="92"/>
  <c r="R244" i="92"/>
  <c r="P244" i="92"/>
  <c r="N244" i="92"/>
  <c r="L244" i="92"/>
  <c r="J244" i="92"/>
  <c r="H244" i="92"/>
  <c r="F244" i="92"/>
  <c r="D244" i="92"/>
  <c r="L241" i="15"/>
  <c r="J241" i="15"/>
  <c r="H241" i="15"/>
  <c r="F241" i="15"/>
  <c r="D241" i="15"/>
  <c r="G146" i="33" l="1"/>
  <c r="G94" i="33"/>
  <c r="G81" i="33"/>
  <c r="G59" i="33"/>
  <c r="G46" i="33"/>
  <c r="G33" i="33"/>
  <c r="D146" i="33" l="1"/>
  <c r="D94" i="33"/>
  <c r="D81" i="33"/>
  <c r="D59" i="33"/>
  <c r="D46" i="33"/>
  <c r="D33" i="33"/>
  <c r="C146" i="33"/>
  <c r="C94" i="33"/>
  <c r="C81" i="33"/>
  <c r="C59" i="33"/>
  <c r="C46" i="33"/>
  <c r="C33" i="33"/>
  <c r="DG35" i="102" l="1"/>
  <c r="DG31" i="102"/>
  <c r="DG27" i="102"/>
  <c r="DG23" i="102"/>
  <c r="DG19" i="102"/>
  <c r="DG15" i="102"/>
  <c r="DG11" i="102"/>
  <c r="DH35" i="99"/>
  <c r="DH31" i="99"/>
  <c r="DH27" i="99"/>
  <c r="DH23" i="99"/>
  <c r="DH19" i="99"/>
  <c r="DH15" i="99"/>
  <c r="DH11" i="99"/>
  <c r="B245" i="32" l="1"/>
  <c r="I245" i="32" s="1"/>
  <c r="H245" i="32" l="1"/>
  <c r="M249" i="86" l="1"/>
  <c r="J249" i="86" s="1"/>
  <c r="L249" i="86"/>
  <c r="I249" i="86" s="1"/>
  <c r="AH243" i="92" l="1"/>
  <c r="AF243" i="92"/>
  <c r="AD243" i="92"/>
  <c r="AB243" i="92"/>
  <c r="Y243" i="92"/>
  <c r="Z243" i="92" s="1"/>
  <c r="X243" i="92"/>
  <c r="V243" i="92"/>
  <c r="T243" i="92"/>
  <c r="R243" i="92"/>
  <c r="P243" i="92"/>
  <c r="N243" i="92"/>
  <c r="L243" i="92"/>
  <c r="J243" i="92"/>
  <c r="H243" i="92"/>
  <c r="F243" i="92"/>
  <c r="D243" i="92"/>
  <c r="L240" i="15"/>
  <c r="J240" i="15"/>
  <c r="H240" i="15"/>
  <c r="F240" i="15"/>
  <c r="D240" i="15"/>
  <c r="Y239" i="92" l="1"/>
  <c r="Y240" i="92"/>
  <c r="Y241" i="92"/>
  <c r="E242" i="32" l="1"/>
  <c r="B242" i="32"/>
  <c r="H242" i="32" s="1"/>
  <c r="E241" i="32"/>
  <c r="B241" i="32"/>
  <c r="I241" i="32" s="1"/>
  <c r="I242" i="32" l="1"/>
  <c r="H241" i="32"/>
  <c r="I159" i="48" l="1"/>
  <c r="H159" i="48"/>
  <c r="G159" i="48"/>
  <c r="F159" i="48"/>
  <c r="E159" i="48"/>
  <c r="D159" i="48"/>
  <c r="C159" i="48"/>
  <c r="B159" i="48"/>
  <c r="I146" i="48"/>
  <c r="H146" i="48"/>
  <c r="G146" i="48"/>
  <c r="F146" i="48"/>
  <c r="E146" i="48"/>
  <c r="D146" i="48"/>
  <c r="C146" i="48"/>
  <c r="B146" i="48"/>
  <c r="I133" i="48"/>
  <c r="H133" i="48"/>
  <c r="G133" i="48"/>
  <c r="F133" i="48"/>
  <c r="E133" i="48"/>
  <c r="D133" i="48"/>
  <c r="C133" i="48"/>
  <c r="B133" i="48"/>
  <c r="I120" i="48"/>
  <c r="H120" i="48"/>
  <c r="G120" i="48"/>
  <c r="F120" i="48"/>
  <c r="E120" i="48"/>
  <c r="D120" i="48"/>
  <c r="C120" i="48"/>
  <c r="B120" i="48"/>
  <c r="I107" i="48"/>
  <c r="H107" i="48"/>
  <c r="G107" i="48"/>
  <c r="F107" i="48"/>
  <c r="E107" i="48"/>
  <c r="D107" i="48"/>
  <c r="C107" i="48"/>
  <c r="B107" i="48"/>
  <c r="I94" i="48"/>
  <c r="H94" i="48"/>
  <c r="G94" i="48"/>
  <c r="F94" i="48"/>
  <c r="E94" i="48"/>
  <c r="D94" i="48"/>
  <c r="C94" i="48"/>
  <c r="B94" i="48"/>
  <c r="I81" i="48"/>
  <c r="H81" i="48"/>
  <c r="G81" i="48"/>
  <c r="F81" i="48"/>
  <c r="E81" i="48"/>
  <c r="D81" i="48"/>
  <c r="C81" i="48"/>
  <c r="B81" i="48"/>
  <c r="I68" i="48"/>
  <c r="H68" i="48"/>
  <c r="G68" i="48"/>
  <c r="F68" i="48"/>
  <c r="E68" i="48"/>
  <c r="D68" i="48"/>
  <c r="C68" i="48"/>
  <c r="B68" i="48"/>
  <c r="I55" i="48"/>
  <c r="H55" i="48"/>
  <c r="G55" i="48"/>
  <c r="F55" i="48"/>
  <c r="E55" i="48"/>
  <c r="D55" i="48"/>
  <c r="C55" i="48"/>
  <c r="B55" i="48"/>
  <c r="I29" i="48"/>
  <c r="H29" i="48"/>
  <c r="G29" i="48"/>
  <c r="F29" i="48"/>
  <c r="E29" i="48"/>
  <c r="D29" i="48"/>
  <c r="C29" i="48"/>
  <c r="B29" i="48"/>
  <c r="I42" i="48"/>
  <c r="H42" i="48"/>
  <c r="G42" i="48"/>
  <c r="F42" i="48"/>
  <c r="E42" i="48"/>
  <c r="D42" i="48"/>
  <c r="C42" i="48"/>
  <c r="B42" i="48"/>
  <c r="I15" i="48"/>
  <c r="H15" i="48"/>
  <c r="G15" i="48"/>
  <c r="F15" i="48"/>
  <c r="E15" i="48"/>
  <c r="D15" i="48"/>
  <c r="C15" i="48"/>
  <c r="B15" i="48"/>
  <c r="M246" i="86" l="1"/>
  <c r="J246" i="86" s="1"/>
  <c r="L246" i="86"/>
  <c r="M247" i="86"/>
  <c r="L247" i="86"/>
  <c r="H246" i="86"/>
  <c r="F246" i="86"/>
  <c r="G246" i="86"/>
  <c r="I246" i="86" l="1"/>
  <c r="D240" i="92"/>
  <c r="D241" i="92"/>
  <c r="F240" i="92"/>
  <c r="F241" i="92"/>
  <c r="H240" i="92"/>
  <c r="H241" i="92"/>
  <c r="J240" i="92"/>
  <c r="J241" i="92"/>
  <c r="L240" i="92"/>
  <c r="L241" i="92"/>
  <c r="N240" i="92"/>
  <c r="N241" i="92"/>
  <c r="P240" i="92"/>
  <c r="P241" i="92"/>
  <c r="R240" i="92"/>
  <c r="R241" i="92"/>
  <c r="T239" i="92"/>
  <c r="T240" i="92"/>
  <c r="T241" i="92"/>
  <c r="V239" i="92"/>
  <c r="V240" i="92"/>
  <c r="V241" i="92"/>
  <c r="X239" i="92"/>
  <c r="X240" i="92"/>
  <c r="X241" i="92"/>
  <c r="Z239" i="92"/>
  <c r="Z240" i="92"/>
  <c r="Z241" i="92"/>
  <c r="AB239" i="92"/>
  <c r="AB240" i="92"/>
  <c r="AB241" i="92"/>
  <c r="AD239" i="92"/>
  <c r="AD240" i="92"/>
  <c r="AD241" i="92"/>
  <c r="AH237" i="92"/>
  <c r="AH238" i="92"/>
  <c r="AH239" i="92"/>
  <c r="AH240" i="92"/>
  <c r="AH241" i="92"/>
  <c r="AF237" i="92"/>
  <c r="AF238" i="92"/>
  <c r="AF239" i="92"/>
  <c r="AF240" i="92"/>
  <c r="AF241" i="92"/>
  <c r="C232" i="25" l="1"/>
  <c r="D232" i="25"/>
  <c r="E232" i="25"/>
  <c r="F232" i="25"/>
  <c r="G232" i="25"/>
  <c r="H232" i="25"/>
  <c r="I232" i="25"/>
  <c r="J232" i="25"/>
  <c r="K232" i="25"/>
  <c r="L232" i="25"/>
  <c r="M232" i="25"/>
  <c r="N232" i="25"/>
  <c r="O232" i="25"/>
  <c r="P232" i="25"/>
  <c r="Q232" i="25"/>
  <c r="R232" i="25"/>
  <c r="S232" i="25"/>
  <c r="T232" i="25"/>
  <c r="U232" i="25"/>
  <c r="V232" i="25"/>
  <c r="W232" i="25"/>
  <c r="X232" i="25"/>
  <c r="Y232" i="25"/>
  <c r="Z232" i="25"/>
  <c r="AA232" i="25"/>
  <c r="AB232" i="25"/>
  <c r="AC232" i="25"/>
  <c r="AD232" i="25"/>
  <c r="AE232" i="25"/>
  <c r="AF232" i="25"/>
  <c r="B232" i="25"/>
  <c r="D238" i="15" l="1"/>
  <c r="J238" i="15"/>
  <c r="H238" i="15"/>
  <c r="F238" i="15"/>
  <c r="L238" i="15" l="1"/>
  <c r="J247" i="86" l="1"/>
  <c r="H247" i="86"/>
  <c r="F247" i="86"/>
  <c r="G247" i="86"/>
  <c r="I247" i="86" l="1"/>
  <c r="BY7" i="106" l="1"/>
  <c r="F17" i="106"/>
  <c r="G17" i="106"/>
  <c r="F18" i="106"/>
  <c r="G18" i="106"/>
  <c r="F19" i="106"/>
  <c r="G19" i="106"/>
  <c r="F20" i="106"/>
  <c r="G20" i="106"/>
  <c r="F21" i="106"/>
  <c r="G21" i="106"/>
  <c r="F22" i="106"/>
  <c r="F23" i="106"/>
  <c r="F24" i="106"/>
  <c r="F25" i="106"/>
  <c r="F26" i="106"/>
  <c r="F27" i="106"/>
  <c r="F28" i="106"/>
  <c r="F29" i="106"/>
  <c r="F30" i="106"/>
  <c r="F31" i="106"/>
  <c r="F32" i="106"/>
  <c r="F33" i="106"/>
  <c r="F34" i="106"/>
  <c r="F35" i="106"/>
  <c r="F36" i="106"/>
  <c r="F37" i="106"/>
  <c r="F38" i="106"/>
  <c r="F39" i="106"/>
  <c r="C40" i="106"/>
  <c r="E40" i="106"/>
  <c r="F40" i="106"/>
  <c r="G40" i="106" s="1"/>
  <c r="C41" i="106"/>
  <c r="E41" i="106"/>
  <c r="F41" i="106"/>
  <c r="G41" i="106" s="1"/>
  <c r="C42" i="106"/>
  <c r="E42" i="106"/>
  <c r="F42" i="106"/>
  <c r="G42" i="106" s="1"/>
  <c r="C43" i="106"/>
  <c r="E43" i="106"/>
  <c r="F43" i="106"/>
  <c r="G43" i="106" s="1"/>
  <c r="C44" i="106"/>
  <c r="E44" i="106"/>
  <c r="F44" i="106"/>
  <c r="G44" i="106" s="1"/>
  <c r="C45" i="106"/>
  <c r="E45" i="106"/>
  <c r="F45" i="106"/>
  <c r="G45" i="106" s="1"/>
  <c r="C46" i="106"/>
  <c r="E46" i="106"/>
  <c r="F46" i="106"/>
  <c r="G46" i="106" s="1"/>
  <c r="C47" i="106"/>
  <c r="E47" i="106"/>
  <c r="F47" i="106"/>
  <c r="G47" i="106" s="1"/>
  <c r="F48" i="106"/>
  <c r="F49" i="106"/>
  <c r="C50" i="106"/>
  <c r="E50" i="106"/>
  <c r="F50" i="106"/>
  <c r="G50" i="106" s="1"/>
  <c r="C51" i="106"/>
  <c r="E51" i="106"/>
  <c r="F51" i="106"/>
  <c r="G51" i="106" s="1"/>
  <c r="C52" i="106"/>
  <c r="E52" i="106"/>
  <c r="F52" i="106"/>
  <c r="G52" i="106" s="1"/>
  <c r="C53" i="106"/>
  <c r="E53" i="106"/>
  <c r="F53" i="106"/>
  <c r="G53" i="106" s="1"/>
  <c r="C54" i="106"/>
  <c r="E54" i="106"/>
  <c r="F54" i="106"/>
  <c r="G54" i="106" s="1"/>
  <c r="C55" i="106"/>
  <c r="E55" i="106"/>
  <c r="F55" i="106"/>
  <c r="G55" i="106" s="1"/>
  <c r="C56" i="106"/>
  <c r="E56" i="106"/>
  <c r="F56" i="106"/>
  <c r="G56" i="106" s="1"/>
  <c r="C57" i="106"/>
  <c r="E57" i="106"/>
  <c r="F57" i="106"/>
  <c r="G57" i="106" s="1"/>
  <c r="C58" i="106"/>
  <c r="E58" i="106"/>
  <c r="F58" i="106"/>
  <c r="G58" i="106" s="1"/>
  <c r="C59" i="106"/>
  <c r="E59" i="106"/>
  <c r="F59" i="106"/>
  <c r="G59" i="106" s="1"/>
  <c r="C60" i="106"/>
  <c r="E60" i="106"/>
  <c r="F60" i="106"/>
  <c r="G60" i="106" s="1"/>
  <c r="C61" i="106"/>
  <c r="E61" i="106"/>
  <c r="F61" i="106"/>
  <c r="G61" i="106" s="1"/>
  <c r="F62" i="106"/>
  <c r="C63" i="106"/>
  <c r="E63" i="106"/>
  <c r="F63" i="106"/>
  <c r="G63" i="106" s="1"/>
  <c r="C64" i="106"/>
  <c r="E64" i="106"/>
  <c r="F64" i="106"/>
  <c r="G64" i="106" s="1"/>
  <c r="C65" i="106"/>
  <c r="E65" i="106"/>
  <c r="F65" i="106"/>
  <c r="G65" i="106" s="1"/>
  <c r="C66" i="106"/>
  <c r="E66" i="106"/>
  <c r="F66" i="106"/>
  <c r="G66" i="106" s="1"/>
  <c r="C67" i="106"/>
  <c r="E67" i="106"/>
  <c r="F67" i="106"/>
  <c r="G67" i="106" s="1"/>
  <c r="C68" i="106"/>
  <c r="E68" i="106"/>
  <c r="F68" i="106"/>
  <c r="G68" i="106" s="1"/>
  <c r="C69" i="106"/>
  <c r="E69" i="106"/>
  <c r="F69" i="106"/>
  <c r="G69" i="106" s="1"/>
  <c r="C70" i="106"/>
  <c r="E70" i="106"/>
  <c r="F70" i="106"/>
  <c r="G70" i="106" s="1"/>
  <c r="C71" i="106"/>
  <c r="E71" i="106"/>
  <c r="F71" i="106"/>
  <c r="G71" i="106" s="1"/>
  <c r="C72" i="106"/>
  <c r="E72" i="106"/>
  <c r="F72" i="106"/>
  <c r="G72" i="106" s="1"/>
  <c r="C73" i="106"/>
  <c r="E73" i="106"/>
  <c r="F73" i="106"/>
  <c r="G73" i="106" s="1"/>
  <c r="F74" i="106"/>
  <c r="F75" i="106"/>
  <c r="C76" i="106"/>
  <c r="C77" i="106"/>
  <c r="C78" i="106"/>
  <c r="C79" i="106"/>
  <c r="C80" i="106"/>
  <c r="C81" i="106"/>
  <c r="F81" i="106"/>
  <c r="C82" i="106"/>
  <c r="C83" i="106"/>
  <c r="E83" i="106"/>
  <c r="G83" i="106"/>
  <c r="C84" i="106"/>
  <c r="E84" i="106"/>
  <c r="G84" i="106"/>
  <c r="C85" i="106"/>
  <c r="E85" i="106"/>
  <c r="G85" i="106"/>
  <c r="C86" i="106"/>
  <c r="E86" i="106"/>
  <c r="G86" i="106"/>
  <c r="C103" i="106"/>
  <c r="E103" i="106"/>
  <c r="F103" i="106"/>
  <c r="G103" i="106" s="1"/>
  <c r="C104" i="106"/>
  <c r="E104" i="106"/>
  <c r="F104" i="106"/>
  <c r="G104" i="106" s="1"/>
  <c r="C105" i="106"/>
  <c r="E105" i="106"/>
  <c r="F105" i="106"/>
  <c r="G105" i="106" s="1"/>
  <c r="C106" i="106"/>
  <c r="E106" i="106"/>
  <c r="F106" i="106"/>
  <c r="G106" i="106" s="1"/>
  <c r="C107" i="106"/>
  <c r="E107" i="106"/>
  <c r="F107" i="106"/>
  <c r="G107" i="106" s="1"/>
  <c r="C108" i="106"/>
  <c r="E108" i="106"/>
  <c r="F108" i="106"/>
  <c r="G108" i="106" s="1"/>
  <c r="C109" i="106"/>
  <c r="E109" i="106"/>
  <c r="F109" i="106"/>
  <c r="G109" i="106" s="1"/>
  <c r="C110" i="106"/>
  <c r="E110" i="106"/>
  <c r="F110" i="106"/>
  <c r="G110" i="106" s="1"/>
  <c r="C111" i="106"/>
  <c r="E111" i="106"/>
  <c r="F111" i="106"/>
  <c r="G111" i="106" s="1"/>
  <c r="C112" i="106"/>
  <c r="E112" i="106"/>
  <c r="F112" i="106"/>
  <c r="G112" i="106" s="1"/>
  <c r="C113" i="106"/>
  <c r="E113" i="106"/>
  <c r="F113" i="106"/>
  <c r="G113" i="106" s="1"/>
  <c r="F114" i="106"/>
  <c r="C115" i="106"/>
  <c r="E115" i="106"/>
  <c r="F115" i="106"/>
  <c r="G115" i="106" s="1"/>
  <c r="C116" i="106"/>
  <c r="E116" i="106"/>
  <c r="F116" i="106"/>
  <c r="G116" i="106" s="1"/>
  <c r="C117" i="106"/>
  <c r="E117" i="106"/>
  <c r="F117" i="106"/>
  <c r="G117" i="106" s="1"/>
  <c r="C118" i="106"/>
  <c r="E118" i="106"/>
  <c r="F118" i="106"/>
  <c r="G118" i="106" s="1"/>
  <c r="C119" i="106"/>
  <c r="E119" i="106"/>
  <c r="F119" i="106"/>
  <c r="G119" i="106" s="1"/>
  <c r="C120" i="106"/>
  <c r="E120" i="106"/>
  <c r="F120" i="106"/>
  <c r="G120" i="106" s="1"/>
  <c r="C121" i="106"/>
  <c r="E121" i="106"/>
  <c r="F121" i="106"/>
  <c r="G121" i="106" s="1"/>
  <c r="C122" i="106"/>
  <c r="E122" i="106"/>
  <c r="F122" i="106"/>
  <c r="G122" i="106" s="1"/>
  <c r="C123" i="106"/>
  <c r="E123" i="106"/>
  <c r="F123" i="106"/>
  <c r="G123" i="106" s="1"/>
  <c r="C124" i="106"/>
  <c r="E124" i="106"/>
  <c r="F124" i="106"/>
  <c r="G124" i="106" s="1"/>
  <c r="C125" i="106"/>
  <c r="E125" i="106"/>
  <c r="F125" i="106"/>
  <c r="G125" i="106" s="1"/>
  <c r="F127" i="106"/>
  <c r="C128" i="106"/>
  <c r="E128" i="106"/>
  <c r="F128" i="106"/>
  <c r="G128" i="106" s="1"/>
  <c r="C129" i="106"/>
  <c r="E129" i="106"/>
  <c r="F129" i="106"/>
  <c r="G129" i="106" s="1"/>
  <c r="C130" i="106"/>
  <c r="E130" i="106"/>
  <c r="F130" i="106"/>
  <c r="G130" i="106" s="1"/>
  <c r="C131" i="106"/>
  <c r="E131" i="106"/>
  <c r="F131" i="106"/>
  <c r="G131" i="106" s="1"/>
  <c r="C132" i="106"/>
  <c r="E132" i="106"/>
  <c r="F132" i="106"/>
  <c r="G132" i="106" s="1"/>
  <c r="C133" i="106"/>
  <c r="E133" i="106"/>
  <c r="F133" i="106"/>
  <c r="G133" i="106" s="1"/>
  <c r="C134" i="106"/>
  <c r="E134" i="106"/>
  <c r="F134" i="106"/>
  <c r="G134" i="106" s="1"/>
  <c r="C135" i="106"/>
  <c r="E135" i="106"/>
  <c r="F135" i="106"/>
  <c r="G135" i="106" s="1"/>
  <c r="C136" i="106"/>
  <c r="E136" i="106"/>
  <c r="F136" i="106"/>
  <c r="G136" i="106" s="1"/>
  <c r="C137" i="106"/>
  <c r="E137" i="106"/>
  <c r="F137" i="106"/>
  <c r="G137" i="106" s="1"/>
  <c r="F139" i="106"/>
  <c r="C140" i="106"/>
  <c r="E140" i="106"/>
  <c r="F140" i="106"/>
  <c r="G140" i="106" s="1"/>
  <c r="C141" i="106"/>
  <c r="E141" i="106"/>
  <c r="F141" i="106"/>
  <c r="G141" i="106" s="1"/>
  <c r="C142" i="106"/>
  <c r="E142" i="106"/>
  <c r="F142" i="106"/>
  <c r="G142" i="106" s="1"/>
  <c r="C143" i="106"/>
  <c r="E143" i="106"/>
  <c r="F143" i="106"/>
  <c r="G143" i="106" s="1"/>
  <c r="C144" i="106"/>
  <c r="E144" i="106"/>
  <c r="F144" i="106"/>
  <c r="G144" i="106" s="1"/>
  <c r="C145" i="106"/>
  <c r="E145" i="106"/>
  <c r="F145" i="106"/>
  <c r="G145" i="106" s="1"/>
  <c r="C146" i="106"/>
  <c r="E146" i="106"/>
  <c r="F146" i="106"/>
  <c r="G146" i="106" s="1"/>
  <c r="C150" i="106"/>
  <c r="E150" i="106"/>
  <c r="F150" i="106"/>
  <c r="G150" i="106" s="1"/>
  <c r="F152" i="106"/>
  <c r="G153" i="106"/>
  <c r="C164" i="106"/>
  <c r="F165" i="106"/>
  <c r="E167" i="106"/>
  <c r="F167" i="106"/>
  <c r="G167" i="106" s="1"/>
  <c r="C168" i="106"/>
  <c r="E168" i="106"/>
  <c r="F168" i="106"/>
  <c r="G168" i="106" s="1"/>
  <c r="F178" i="106"/>
  <c r="F191" i="106"/>
  <c r="C198" i="106"/>
  <c r="F204" i="106"/>
  <c r="C212" i="106"/>
  <c r="E212" i="106"/>
  <c r="F212" i="106"/>
  <c r="G212" i="106" s="1"/>
  <c r="C213" i="106"/>
  <c r="E213" i="106"/>
  <c r="F213" i="106"/>
  <c r="G213" i="106" s="1"/>
  <c r="C214" i="106"/>
  <c r="E214" i="106"/>
  <c r="F214" i="106"/>
  <c r="G214" i="106" s="1"/>
  <c r="C215" i="106"/>
  <c r="E215" i="106"/>
  <c r="F215" i="106"/>
  <c r="G215" i="106" s="1"/>
  <c r="F217" i="106"/>
  <c r="C218" i="106"/>
  <c r="E218" i="106"/>
  <c r="F218" i="106"/>
  <c r="G218" i="106" s="1"/>
  <c r="C219" i="106"/>
  <c r="E219" i="106"/>
  <c r="F219" i="106"/>
  <c r="G219" i="106" s="1"/>
  <c r="C220" i="106"/>
  <c r="E220" i="106"/>
  <c r="F220" i="106"/>
  <c r="G220" i="106" s="1"/>
  <c r="C221" i="106"/>
  <c r="E221" i="106"/>
  <c r="F221" i="106"/>
  <c r="G221" i="106" s="1"/>
  <c r="C222" i="106"/>
  <c r="E222" i="106"/>
  <c r="F222" i="106"/>
  <c r="G222" i="106" s="1"/>
  <c r="C223" i="106"/>
  <c r="E223" i="106"/>
  <c r="F223" i="106"/>
  <c r="G223" i="106" s="1"/>
  <c r="C224" i="106"/>
  <c r="E224" i="106"/>
  <c r="F224" i="106"/>
  <c r="G224" i="106" s="1"/>
  <c r="C225" i="106"/>
  <c r="E225" i="106"/>
  <c r="F225" i="106"/>
  <c r="G225" i="106" s="1"/>
  <c r="C226" i="106"/>
  <c r="E226" i="106"/>
  <c r="F226" i="106"/>
  <c r="G226" i="106" s="1"/>
  <c r="C227" i="106"/>
  <c r="E227" i="106"/>
  <c r="F227" i="106"/>
  <c r="G227" i="106" s="1"/>
  <c r="C228" i="106"/>
  <c r="E228" i="106"/>
  <c r="F228" i="106"/>
  <c r="G228" i="106" s="1"/>
  <c r="C229" i="106"/>
  <c r="E229" i="106"/>
  <c r="F229" i="106"/>
  <c r="G229" i="106" s="1"/>
  <c r="C231" i="106"/>
  <c r="E231" i="106"/>
  <c r="G231" i="106"/>
  <c r="C232" i="106"/>
  <c r="E232" i="106"/>
  <c r="C233" i="106"/>
  <c r="E233" i="106"/>
  <c r="C234" i="106"/>
  <c r="E234" i="106"/>
  <c r="C235" i="106"/>
  <c r="E235" i="106"/>
  <c r="F235" i="106"/>
  <c r="G235" i="106" s="1"/>
  <c r="C236" i="106"/>
  <c r="E236" i="106"/>
  <c r="F236" i="106"/>
  <c r="G236" i="106" s="1"/>
  <c r="C237" i="106"/>
  <c r="E237" i="106"/>
  <c r="F237" i="106"/>
  <c r="G237" i="106" s="1"/>
  <c r="C238" i="106"/>
  <c r="E238" i="106"/>
  <c r="F238" i="106"/>
  <c r="G238" i="106" s="1"/>
  <c r="C239" i="106"/>
  <c r="E239" i="106"/>
  <c r="F239" i="106"/>
  <c r="G239" i="106" s="1"/>
  <c r="C240" i="106"/>
  <c r="E240" i="106"/>
  <c r="F240" i="106"/>
  <c r="G240" i="106" s="1"/>
  <c r="DC35" i="102" l="1"/>
  <c r="DC31" i="102"/>
  <c r="DC27" i="102"/>
  <c r="DC23" i="102"/>
  <c r="DC19" i="102"/>
  <c r="DC15" i="102"/>
  <c r="DC11" i="102"/>
  <c r="DD35" i="99"/>
  <c r="DD31" i="99"/>
  <c r="DD27" i="99"/>
  <c r="DD23" i="99"/>
  <c r="DD19" i="99"/>
  <c r="DD15" i="99"/>
  <c r="DD11" i="99"/>
  <c r="L237" i="15"/>
  <c r="J237" i="15"/>
  <c r="H237" i="15"/>
  <c r="F237" i="15"/>
  <c r="D237" i="15"/>
  <c r="CR35" i="105" l="1"/>
  <c r="CQ35" i="105"/>
  <c r="CP35" i="105"/>
  <c r="CO35" i="105"/>
  <c r="CN35" i="105"/>
  <c r="CM35" i="105"/>
  <c r="CL35" i="105"/>
  <c r="CK35" i="105"/>
  <c r="CJ35" i="105"/>
  <c r="CI35" i="105"/>
  <c r="CH35" i="105"/>
  <c r="CG35" i="105"/>
  <c r="CF35" i="105"/>
  <c r="CE35" i="105"/>
  <c r="BD35" i="105"/>
  <c r="AR35" i="105"/>
  <c r="AP35" i="105"/>
  <c r="AO35" i="105"/>
  <c r="AN35" i="105"/>
  <c r="AM35" i="105"/>
  <c r="AK35" i="105"/>
  <c r="AJ35" i="105"/>
  <c r="AH35" i="105"/>
  <c r="AB35" i="105"/>
  <c r="V35" i="105"/>
  <c r="U35" i="105"/>
  <c r="T35" i="105"/>
  <c r="S35" i="105"/>
  <c r="R35" i="105"/>
  <c r="Q35" i="105"/>
  <c r="P35" i="105"/>
  <c r="O35" i="105"/>
  <c r="N35" i="105"/>
  <c r="M35" i="105"/>
  <c r="L35" i="105"/>
  <c r="K35" i="105"/>
  <c r="J35" i="105"/>
  <c r="I35" i="105"/>
  <c r="H35" i="105"/>
  <c r="G35" i="105"/>
  <c r="F35" i="105"/>
  <c r="E35" i="105"/>
  <c r="D35" i="105"/>
  <c r="C35" i="105"/>
  <c r="B35" i="105"/>
  <c r="CR31" i="105"/>
  <c r="CQ31" i="105"/>
  <c r="CP31" i="105"/>
  <c r="CO31" i="105"/>
  <c r="CN31" i="105"/>
  <c r="CM31" i="105"/>
  <c r="CL31" i="105"/>
  <c r="CK31" i="105"/>
  <c r="CJ31" i="105"/>
  <c r="CI31" i="105"/>
  <c r="CH31" i="105"/>
  <c r="CG31" i="105"/>
  <c r="CF31" i="105"/>
  <c r="CE31" i="105"/>
  <c r="BD31" i="105"/>
  <c r="AT31" i="105"/>
  <c r="AR31" i="105"/>
  <c r="AP31" i="105"/>
  <c r="AO31" i="105"/>
  <c r="AN31" i="105"/>
  <c r="AM31" i="105"/>
  <c r="AK31" i="105"/>
  <c r="AJ31" i="105"/>
  <c r="AH31" i="105"/>
  <c r="AB31" i="105"/>
  <c r="V31" i="105"/>
  <c r="U31" i="105"/>
  <c r="T31" i="105"/>
  <c r="S31" i="105"/>
  <c r="R31" i="105"/>
  <c r="Q31" i="105"/>
  <c r="P31" i="105"/>
  <c r="O31" i="105"/>
  <c r="N31" i="105"/>
  <c r="M31" i="105"/>
  <c r="L31" i="105"/>
  <c r="K31" i="105"/>
  <c r="J31" i="105"/>
  <c r="I31" i="105"/>
  <c r="H31" i="105"/>
  <c r="G31" i="105"/>
  <c r="F31" i="105"/>
  <c r="E31" i="105"/>
  <c r="D31" i="105"/>
  <c r="C31" i="105"/>
  <c r="B31" i="105"/>
  <c r="CR27" i="105"/>
  <c r="CQ27" i="105"/>
  <c r="CP27" i="105"/>
  <c r="CO27" i="105"/>
  <c r="CN27" i="105"/>
  <c r="CM27" i="105"/>
  <c r="CL27" i="105"/>
  <c r="CK27" i="105"/>
  <c r="CJ27" i="105"/>
  <c r="CI27" i="105"/>
  <c r="CH27" i="105"/>
  <c r="CG27" i="105"/>
  <c r="CF27" i="105"/>
  <c r="CE27" i="105"/>
  <c r="BD27" i="105"/>
  <c r="AR27" i="105"/>
  <c r="AP27" i="105"/>
  <c r="AO27" i="105"/>
  <c r="AN27" i="105"/>
  <c r="AM27" i="105"/>
  <c r="AK27" i="105"/>
  <c r="AJ27" i="105"/>
  <c r="AH27" i="105"/>
  <c r="AB27" i="105"/>
  <c r="V27" i="105"/>
  <c r="U27" i="105"/>
  <c r="T27" i="105"/>
  <c r="S27" i="105"/>
  <c r="R27" i="105"/>
  <c r="Q27" i="105"/>
  <c r="P27" i="105"/>
  <c r="O27" i="105"/>
  <c r="N27" i="105"/>
  <c r="M27" i="105"/>
  <c r="L27" i="105"/>
  <c r="K27" i="105"/>
  <c r="J27" i="105"/>
  <c r="I27" i="105"/>
  <c r="H27" i="105"/>
  <c r="G27" i="105"/>
  <c r="F27" i="105"/>
  <c r="E27" i="105"/>
  <c r="D27" i="105"/>
  <c r="C27" i="105"/>
  <c r="B27" i="105"/>
  <c r="AT26" i="105"/>
  <c r="AT34" i="105" s="1"/>
  <c r="AT25" i="105"/>
  <c r="AT33" i="105" s="1"/>
  <c r="CR23" i="105"/>
  <c r="CQ23" i="105"/>
  <c r="CP23" i="105"/>
  <c r="CO23" i="105"/>
  <c r="CN23" i="105"/>
  <c r="CM23" i="105"/>
  <c r="CL23" i="105"/>
  <c r="CK23" i="105"/>
  <c r="CJ23" i="105"/>
  <c r="CI23" i="105"/>
  <c r="CH23" i="105"/>
  <c r="CG23" i="105"/>
  <c r="CF23" i="105"/>
  <c r="CE23" i="105"/>
  <c r="BD23" i="105"/>
  <c r="AR23" i="105"/>
  <c r="AP23" i="105"/>
  <c r="AO23" i="105"/>
  <c r="AN23" i="105"/>
  <c r="AM23" i="105"/>
  <c r="AK23" i="105"/>
  <c r="AJ23" i="105"/>
  <c r="AH23" i="105"/>
  <c r="AB23" i="105"/>
  <c r="V23" i="105"/>
  <c r="U23" i="105"/>
  <c r="T23" i="105"/>
  <c r="S23" i="105"/>
  <c r="R23" i="105"/>
  <c r="Q23" i="105"/>
  <c r="P23" i="105"/>
  <c r="O23" i="105"/>
  <c r="N23" i="105"/>
  <c r="M23" i="105"/>
  <c r="L23" i="105"/>
  <c r="K23" i="105"/>
  <c r="J23" i="105"/>
  <c r="I23" i="105"/>
  <c r="H23" i="105"/>
  <c r="G23" i="105"/>
  <c r="F23" i="105"/>
  <c r="E23" i="105"/>
  <c r="D23" i="105"/>
  <c r="C23" i="105"/>
  <c r="B23" i="105"/>
  <c r="AT22" i="105"/>
  <c r="AT21" i="105"/>
  <c r="CR19" i="105"/>
  <c r="CQ19" i="105"/>
  <c r="CP19" i="105"/>
  <c r="CO19" i="105"/>
  <c r="CN19" i="105"/>
  <c r="CM19" i="105"/>
  <c r="CL19" i="105"/>
  <c r="CK19" i="105"/>
  <c r="CJ19" i="105"/>
  <c r="CI19" i="105"/>
  <c r="CH19" i="105"/>
  <c r="CG19" i="105"/>
  <c r="CF19" i="105"/>
  <c r="CE19" i="105"/>
  <c r="BD19" i="105"/>
  <c r="AT19" i="105"/>
  <c r="AR19" i="105"/>
  <c r="AP19" i="105"/>
  <c r="AO19" i="105"/>
  <c r="AN19" i="105"/>
  <c r="AM19" i="105"/>
  <c r="AK19" i="105"/>
  <c r="AJ19" i="105"/>
  <c r="AH19" i="105"/>
  <c r="AB19" i="105"/>
  <c r="V19" i="105"/>
  <c r="U19" i="105"/>
  <c r="T19" i="105"/>
  <c r="S19" i="105"/>
  <c r="R19" i="105"/>
  <c r="Q19" i="105"/>
  <c r="P19" i="105"/>
  <c r="O19" i="105"/>
  <c r="N19" i="105"/>
  <c r="M19" i="105"/>
  <c r="L19" i="105"/>
  <c r="K19" i="105"/>
  <c r="J19" i="105"/>
  <c r="I19" i="105"/>
  <c r="H19" i="105"/>
  <c r="G19" i="105"/>
  <c r="F19" i="105"/>
  <c r="E19" i="105"/>
  <c r="D19" i="105"/>
  <c r="C19" i="105"/>
  <c r="B19" i="105"/>
  <c r="CR15" i="105"/>
  <c r="CQ15" i="105"/>
  <c r="CP15" i="105"/>
  <c r="CO15" i="105"/>
  <c r="CN15" i="105"/>
  <c r="CM15" i="105"/>
  <c r="CL15" i="105"/>
  <c r="CK15" i="105"/>
  <c r="CJ15" i="105"/>
  <c r="CI15" i="105"/>
  <c r="CH15" i="105"/>
  <c r="CG15" i="105"/>
  <c r="CF15" i="105"/>
  <c r="CE15" i="105"/>
  <c r="BD15" i="105"/>
  <c r="AT15" i="105"/>
  <c r="AR15" i="105"/>
  <c r="AP15" i="105"/>
  <c r="AO15" i="105"/>
  <c r="AN15" i="105"/>
  <c r="AM15" i="105"/>
  <c r="AK15" i="105"/>
  <c r="AJ15" i="105"/>
  <c r="AH15" i="105"/>
  <c r="AB15" i="105"/>
  <c r="V15" i="105"/>
  <c r="U15" i="105"/>
  <c r="T15" i="105"/>
  <c r="S15" i="105"/>
  <c r="R15" i="105"/>
  <c r="Q15" i="105"/>
  <c r="P15" i="105"/>
  <c r="O15" i="105"/>
  <c r="N15" i="105"/>
  <c r="M15" i="105"/>
  <c r="L15" i="105"/>
  <c r="K15" i="105"/>
  <c r="J15" i="105"/>
  <c r="I15" i="105"/>
  <c r="H15" i="105"/>
  <c r="G15" i="105"/>
  <c r="F15" i="105"/>
  <c r="E15" i="105"/>
  <c r="D15" i="105"/>
  <c r="C15" i="105"/>
  <c r="B15" i="105"/>
  <c r="CR11" i="105"/>
  <c r="CQ11" i="105"/>
  <c r="CP11" i="105"/>
  <c r="CO11" i="105"/>
  <c r="CN11" i="105"/>
  <c r="CM11" i="105"/>
  <c r="CL11" i="105"/>
  <c r="CK11" i="105"/>
  <c r="CJ11" i="105"/>
  <c r="CI11" i="105"/>
  <c r="CH11" i="105"/>
  <c r="CG11" i="105"/>
  <c r="CF11" i="105"/>
  <c r="CE11" i="105"/>
  <c r="BD11" i="105"/>
  <c r="AT11" i="105"/>
  <c r="AR11" i="105"/>
  <c r="AP11" i="105"/>
  <c r="AO11" i="105"/>
  <c r="AN11" i="105"/>
  <c r="AM11" i="105"/>
  <c r="AK11" i="105"/>
  <c r="AJ11" i="105"/>
  <c r="AH11" i="105"/>
  <c r="AB11" i="105"/>
  <c r="V11" i="105"/>
  <c r="U11" i="105"/>
  <c r="T11" i="105"/>
  <c r="S11" i="105"/>
  <c r="R11" i="105"/>
  <c r="Q11" i="105"/>
  <c r="P11" i="105"/>
  <c r="O11" i="105"/>
  <c r="N11" i="105"/>
  <c r="M11" i="105"/>
  <c r="L11" i="105"/>
  <c r="K11" i="105"/>
  <c r="J11" i="105"/>
  <c r="I11" i="105"/>
  <c r="H11" i="105"/>
  <c r="G11" i="105"/>
  <c r="F11" i="105"/>
  <c r="E11" i="105"/>
  <c r="D11" i="105"/>
  <c r="C11" i="105"/>
  <c r="B11" i="105"/>
  <c r="CR35" i="104"/>
  <c r="CQ35" i="104"/>
  <c r="CP35" i="104"/>
  <c r="CO35" i="104"/>
  <c r="CN35" i="104"/>
  <c r="CM35" i="104"/>
  <c r="CL35" i="104"/>
  <c r="CK35" i="104"/>
  <c r="CJ35" i="104"/>
  <c r="CI35" i="104"/>
  <c r="CH35" i="104"/>
  <c r="CG35" i="104"/>
  <c r="CF35" i="104"/>
  <c r="CE35" i="104"/>
  <c r="BD35" i="104"/>
  <c r="AS35" i="104"/>
  <c r="AR35" i="104"/>
  <c r="AP35" i="104"/>
  <c r="AO35" i="104"/>
  <c r="AN35" i="104"/>
  <c r="AM35" i="104"/>
  <c r="AK35" i="104"/>
  <c r="AJ35" i="104"/>
  <c r="AH35" i="104"/>
  <c r="AB35" i="104"/>
  <c r="V35" i="104"/>
  <c r="U35" i="104"/>
  <c r="T35" i="104"/>
  <c r="S35" i="104"/>
  <c r="R35" i="104"/>
  <c r="Q35" i="104"/>
  <c r="P35" i="104"/>
  <c r="O35" i="104"/>
  <c r="N35" i="104"/>
  <c r="M35" i="104"/>
  <c r="L35" i="104"/>
  <c r="K35" i="104"/>
  <c r="J35" i="104"/>
  <c r="I35" i="104"/>
  <c r="H35" i="104"/>
  <c r="G35" i="104"/>
  <c r="F35" i="104"/>
  <c r="E35" i="104"/>
  <c r="D35" i="104"/>
  <c r="C35" i="104"/>
  <c r="B35" i="104"/>
  <c r="CR31" i="104"/>
  <c r="CQ31" i="104"/>
  <c r="CP31" i="104"/>
  <c r="CO31" i="104"/>
  <c r="CN31" i="104"/>
  <c r="CM31" i="104"/>
  <c r="CL31" i="104"/>
  <c r="CK31" i="104"/>
  <c r="CJ31" i="104"/>
  <c r="CI31" i="104"/>
  <c r="CH31" i="104"/>
  <c r="CG31" i="104"/>
  <c r="CF31" i="104"/>
  <c r="CE31" i="104"/>
  <c r="BD31" i="104"/>
  <c r="AT31" i="104"/>
  <c r="AS31" i="104"/>
  <c r="AR31" i="104"/>
  <c r="AP31" i="104"/>
  <c r="AO31" i="104"/>
  <c r="AN31" i="104"/>
  <c r="AM31" i="104"/>
  <c r="AK31" i="104"/>
  <c r="AJ31" i="104"/>
  <c r="AH31" i="104"/>
  <c r="AB31" i="104"/>
  <c r="V31" i="104"/>
  <c r="U31" i="104"/>
  <c r="T31" i="104"/>
  <c r="S31" i="104"/>
  <c r="R31" i="104"/>
  <c r="Q31" i="104"/>
  <c r="P31" i="104"/>
  <c r="O31" i="104"/>
  <c r="N31" i="104"/>
  <c r="M31" i="104"/>
  <c r="L31" i="104"/>
  <c r="K31" i="104"/>
  <c r="J31" i="104"/>
  <c r="I31" i="104"/>
  <c r="H31" i="104"/>
  <c r="G31" i="104"/>
  <c r="F31" i="104"/>
  <c r="E31" i="104"/>
  <c r="D31" i="104"/>
  <c r="C31" i="104"/>
  <c r="B31" i="104"/>
  <c r="CR27" i="104"/>
  <c r="CQ27" i="104"/>
  <c r="CP27" i="104"/>
  <c r="CO27" i="104"/>
  <c r="CN27" i="104"/>
  <c r="CM27" i="104"/>
  <c r="CL27" i="104"/>
  <c r="CK27" i="104"/>
  <c r="CJ27" i="104"/>
  <c r="CI27" i="104"/>
  <c r="CH27" i="104"/>
  <c r="CG27" i="104"/>
  <c r="CF27" i="104"/>
  <c r="CE27" i="104"/>
  <c r="BD27" i="104"/>
  <c r="AS27" i="104"/>
  <c r="AR27" i="104"/>
  <c r="AP27" i="104"/>
  <c r="AO27" i="104"/>
  <c r="AN27" i="104"/>
  <c r="AM27" i="104"/>
  <c r="AK27" i="104"/>
  <c r="AJ27" i="104"/>
  <c r="AH27" i="104"/>
  <c r="AB27" i="104"/>
  <c r="V27" i="104"/>
  <c r="U27" i="104"/>
  <c r="T27" i="104"/>
  <c r="S27" i="104"/>
  <c r="R27" i="104"/>
  <c r="Q27" i="104"/>
  <c r="P27" i="104"/>
  <c r="O27" i="104"/>
  <c r="N27" i="104"/>
  <c r="M27" i="104"/>
  <c r="L27" i="104"/>
  <c r="K27" i="104"/>
  <c r="J27" i="104"/>
  <c r="I27" i="104"/>
  <c r="H27" i="104"/>
  <c r="G27" i="104"/>
  <c r="F27" i="104"/>
  <c r="E27" i="104"/>
  <c r="D27" i="104"/>
  <c r="C27" i="104"/>
  <c r="B27" i="104"/>
  <c r="AT26" i="104"/>
  <c r="AT34" i="104" s="1"/>
  <c r="AT25" i="104"/>
  <c r="AT33" i="104" s="1"/>
  <c r="CR23" i="104"/>
  <c r="CQ23" i="104"/>
  <c r="CP23" i="104"/>
  <c r="CO23" i="104"/>
  <c r="CN23" i="104"/>
  <c r="CM23" i="104"/>
  <c r="CL23" i="104"/>
  <c r="CK23" i="104"/>
  <c r="CJ23" i="104"/>
  <c r="CI23" i="104"/>
  <c r="CH23" i="104"/>
  <c r="CG23" i="104"/>
  <c r="CF23" i="104"/>
  <c r="CE23" i="104"/>
  <c r="BD23" i="104"/>
  <c r="AS23" i="104"/>
  <c r="AR23" i="104"/>
  <c r="AP23" i="104"/>
  <c r="AO23" i="104"/>
  <c r="AN23" i="104"/>
  <c r="AM23" i="104"/>
  <c r="AK23" i="104"/>
  <c r="AJ23" i="104"/>
  <c r="AH23" i="104"/>
  <c r="AB23" i="104"/>
  <c r="V23" i="104"/>
  <c r="U23" i="104"/>
  <c r="T23" i="104"/>
  <c r="S23" i="104"/>
  <c r="R23" i="104"/>
  <c r="Q23" i="104"/>
  <c r="P23" i="104"/>
  <c r="O23" i="104"/>
  <c r="N23" i="104"/>
  <c r="M23" i="104"/>
  <c r="L23" i="104"/>
  <c r="K23" i="104"/>
  <c r="J23" i="104"/>
  <c r="I23" i="104"/>
  <c r="H23" i="104"/>
  <c r="G23" i="104"/>
  <c r="F23" i="104"/>
  <c r="E23" i="104"/>
  <c r="D23" i="104"/>
  <c r="C23" i="104"/>
  <c r="B23" i="104"/>
  <c r="AT22" i="104"/>
  <c r="AT21" i="104"/>
  <c r="CR19" i="104"/>
  <c r="CQ19" i="104"/>
  <c r="CP19" i="104"/>
  <c r="CO19" i="104"/>
  <c r="CN19" i="104"/>
  <c r="CM19" i="104"/>
  <c r="CL19" i="104"/>
  <c r="CK19" i="104"/>
  <c r="CJ19" i="104"/>
  <c r="CI19" i="104"/>
  <c r="CH19" i="104"/>
  <c r="CG19" i="104"/>
  <c r="CF19" i="104"/>
  <c r="CE19" i="104"/>
  <c r="BD19" i="104"/>
  <c r="AT19" i="104"/>
  <c r="AS19" i="104"/>
  <c r="AR19" i="104"/>
  <c r="AP19" i="104"/>
  <c r="AO19" i="104"/>
  <c r="AN19" i="104"/>
  <c r="AM19" i="104"/>
  <c r="AK19" i="104"/>
  <c r="AJ19" i="104"/>
  <c r="AH19" i="104"/>
  <c r="AB19" i="104"/>
  <c r="V19" i="104"/>
  <c r="U19" i="104"/>
  <c r="T19" i="104"/>
  <c r="S19" i="104"/>
  <c r="R19" i="104"/>
  <c r="Q19" i="104"/>
  <c r="P19" i="104"/>
  <c r="O19" i="104"/>
  <c r="N19" i="104"/>
  <c r="M19" i="104"/>
  <c r="L19" i="104"/>
  <c r="K19" i="104"/>
  <c r="J19" i="104"/>
  <c r="I19" i="104"/>
  <c r="H19" i="104"/>
  <c r="G19" i="104"/>
  <c r="F19" i="104"/>
  <c r="E19" i="104"/>
  <c r="D19" i="104"/>
  <c r="C19" i="104"/>
  <c r="B19" i="104"/>
  <c r="CR15" i="104"/>
  <c r="CQ15" i="104"/>
  <c r="CP15" i="104"/>
  <c r="CO15" i="104"/>
  <c r="CN15" i="104"/>
  <c r="CM15" i="104"/>
  <c r="CL15" i="104"/>
  <c r="CK15" i="104"/>
  <c r="CJ15" i="104"/>
  <c r="CI15" i="104"/>
  <c r="CH15" i="104"/>
  <c r="CG15" i="104"/>
  <c r="CF15" i="104"/>
  <c r="CE15" i="104"/>
  <c r="BD15" i="104"/>
  <c r="AT15" i="104"/>
  <c r="AS15" i="104"/>
  <c r="AR15" i="104"/>
  <c r="AP15" i="104"/>
  <c r="AO15" i="104"/>
  <c r="AN15" i="104"/>
  <c r="AM15" i="104"/>
  <c r="AK15" i="104"/>
  <c r="AJ15" i="104"/>
  <c r="AH15" i="104"/>
  <c r="AB15" i="104"/>
  <c r="V15" i="104"/>
  <c r="U15" i="104"/>
  <c r="T15" i="104"/>
  <c r="S15" i="104"/>
  <c r="R15" i="104"/>
  <c r="Q15" i="104"/>
  <c r="P15" i="104"/>
  <c r="O15" i="104"/>
  <c r="N15" i="104"/>
  <c r="M15" i="104"/>
  <c r="L15" i="104"/>
  <c r="K15" i="104"/>
  <c r="J15" i="104"/>
  <c r="I15" i="104"/>
  <c r="H15" i="104"/>
  <c r="G15" i="104"/>
  <c r="F15" i="104"/>
  <c r="E15" i="104"/>
  <c r="D15" i="104"/>
  <c r="C15" i="104"/>
  <c r="B15" i="104"/>
  <c r="CR11" i="104"/>
  <c r="CQ11" i="104"/>
  <c r="CP11" i="104"/>
  <c r="CO11" i="104"/>
  <c r="CN11" i="104"/>
  <c r="CM11" i="104"/>
  <c r="CL11" i="104"/>
  <c r="CK11" i="104"/>
  <c r="CJ11" i="104"/>
  <c r="CI11" i="104"/>
  <c r="CH11" i="104"/>
  <c r="CG11" i="104"/>
  <c r="CF11" i="104"/>
  <c r="CE11" i="104"/>
  <c r="BD11" i="104"/>
  <c r="AT11" i="104"/>
  <c r="AS11" i="104"/>
  <c r="AR11" i="104"/>
  <c r="AP11" i="104"/>
  <c r="AO11" i="104"/>
  <c r="AN11" i="104"/>
  <c r="AM11" i="104"/>
  <c r="AK11" i="104"/>
  <c r="AJ11" i="104"/>
  <c r="AH11" i="104"/>
  <c r="AB11" i="104"/>
  <c r="V11" i="104"/>
  <c r="U11" i="104"/>
  <c r="T11" i="104"/>
  <c r="S11" i="104"/>
  <c r="R11" i="104"/>
  <c r="Q11" i="104"/>
  <c r="P11" i="104"/>
  <c r="O11" i="104"/>
  <c r="N11" i="104"/>
  <c r="M11" i="104"/>
  <c r="L11" i="104"/>
  <c r="K11" i="104"/>
  <c r="J11" i="104"/>
  <c r="I11" i="104"/>
  <c r="H11" i="104"/>
  <c r="G11" i="104"/>
  <c r="F11" i="104"/>
  <c r="E11" i="104"/>
  <c r="D11" i="104"/>
  <c r="C11" i="104"/>
  <c r="B11" i="104"/>
  <c r="CS35" i="103"/>
  <c r="CR35" i="103"/>
  <c r="CQ35" i="103"/>
  <c r="CP35" i="103"/>
  <c r="CO35" i="103"/>
  <c r="CN35" i="103"/>
  <c r="CM35" i="103"/>
  <c r="CL35" i="103"/>
  <c r="CK35" i="103"/>
  <c r="CJ35" i="103"/>
  <c r="CI35" i="103"/>
  <c r="CH35" i="103"/>
  <c r="CG35" i="103"/>
  <c r="CF35" i="103"/>
  <c r="CE35" i="103"/>
  <c r="BD35" i="103"/>
  <c r="AS35" i="103"/>
  <c r="AR35" i="103"/>
  <c r="AP35" i="103"/>
  <c r="AO35" i="103"/>
  <c r="AN35" i="103"/>
  <c r="AM35" i="103"/>
  <c r="AK35" i="103"/>
  <c r="AJ35" i="103"/>
  <c r="AH35" i="103"/>
  <c r="V35" i="103"/>
  <c r="U35" i="103"/>
  <c r="T35" i="103"/>
  <c r="S35" i="103"/>
  <c r="R35" i="103"/>
  <c r="Q35" i="103"/>
  <c r="P35" i="103"/>
  <c r="O35" i="103"/>
  <c r="N35" i="103"/>
  <c r="M35" i="103"/>
  <c r="L35" i="103"/>
  <c r="K35" i="103"/>
  <c r="J35" i="103"/>
  <c r="I35" i="103"/>
  <c r="H35" i="103"/>
  <c r="G35" i="103"/>
  <c r="F35" i="103"/>
  <c r="E35" i="103"/>
  <c r="D35" i="103"/>
  <c r="C35" i="103"/>
  <c r="B35" i="103"/>
  <c r="CS31" i="103"/>
  <c r="CR31" i="103"/>
  <c r="CQ31" i="103"/>
  <c r="CP31" i="103"/>
  <c r="CO31" i="103"/>
  <c r="CN31" i="103"/>
  <c r="CM31" i="103"/>
  <c r="CL31" i="103"/>
  <c r="CK31" i="103"/>
  <c r="CJ31" i="103"/>
  <c r="CI31" i="103"/>
  <c r="CH31" i="103"/>
  <c r="CG31" i="103"/>
  <c r="CF31" i="103"/>
  <c r="CE31" i="103"/>
  <c r="BD31" i="103"/>
  <c r="AT31" i="103"/>
  <c r="AS31" i="103"/>
  <c r="AR31" i="103"/>
  <c r="AP31" i="103"/>
  <c r="AO31" i="103"/>
  <c r="AN31" i="103"/>
  <c r="AM31" i="103"/>
  <c r="AK31" i="103"/>
  <c r="AJ31" i="103"/>
  <c r="AH31" i="103"/>
  <c r="V31" i="103"/>
  <c r="U31" i="103"/>
  <c r="T31" i="103"/>
  <c r="S31" i="103"/>
  <c r="R31" i="103"/>
  <c r="Q31" i="103"/>
  <c r="P31" i="103"/>
  <c r="O31" i="103"/>
  <c r="N31" i="103"/>
  <c r="M31" i="103"/>
  <c r="L31" i="103"/>
  <c r="K31" i="103"/>
  <c r="J31" i="103"/>
  <c r="I31" i="103"/>
  <c r="H31" i="103"/>
  <c r="G31" i="103"/>
  <c r="F31" i="103"/>
  <c r="E31" i="103"/>
  <c r="D31" i="103"/>
  <c r="C31" i="103"/>
  <c r="B31" i="103"/>
  <c r="CS27" i="103"/>
  <c r="CR27" i="103"/>
  <c r="CQ27" i="103"/>
  <c r="CP27" i="103"/>
  <c r="CO27" i="103"/>
  <c r="BD27" i="103"/>
  <c r="AS27" i="103"/>
  <c r="AR27" i="103"/>
  <c r="AP27" i="103"/>
  <c r="AO27" i="103"/>
  <c r="AN27" i="103"/>
  <c r="AM27" i="103"/>
  <c r="AK27" i="103"/>
  <c r="AJ27" i="103"/>
  <c r="AH27" i="103"/>
  <c r="V27" i="103"/>
  <c r="U27" i="103"/>
  <c r="T27" i="103"/>
  <c r="S27" i="103"/>
  <c r="R27" i="103"/>
  <c r="Q27" i="103"/>
  <c r="P27" i="103"/>
  <c r="O27" i="103"/>
  <c r="N27" i="103"/>
  <c r="M27" i="103"/>
  <c r="L27" i="103"/>
  <c r="K27" i="103"/>
  <c r="J27" i="103"/>
  <c r="I27" i="103"/>
  <c r="H27" i="103"/>
  <c r="G27" i="103"/>
  <c r="F27" i="103"/>
  <c r="E27" i="103"/>
  <c r="D27" i="103"/>
  <c r="C27" i="103"/>
  <c r="B27" i="103"/>
  <c r="AT26" i="103"/>
  <c r="AT34" i="103" s="1"/>
  <c r="AT25" i="103"/>
  <c r="AT33" i="103" s="1"/>
  <c r="CS23" i="103"/>
  <c r="CR23" i="103"/>
  <c r="CQ23" i="103"/>
  <c r="CP23" i="103"/>
  <c r="CO23" i="103"/>
  <c r="CN23" i="103"/>
  <c r="CM23" i="103"/>
  <c r="CL23" i="103"/>
  <c r="CK23" i="103"/>
  <c r="CJ23" i="103"/>
  <c r="CI23" i="103"/>
  <c r="CH23" i="103"/>
  <c r="CG23" i="103"/>
  <c r="CF23" i="103"/>
  <c r="CE23" i="103"/>
  <c r="BD23" i="103"/>
  <c r="AS23" i="103"/>
  <c r="AR23" i="103"/>
  <c r="AP23" i="103"/>
  <c r="AO23" i="103"/>
  <c r="AN23" i="103"/>
  <c r="AM23" i="103"/>
  <c r="AK23" i="103"/>
  <c r="AJ23" i="103"/>
  <c r="AH23" i="103"/>
  <c r="V23" i="103"/>
  <c r="U23" i="103"/>
  <c r="T23" i="103"/>
  <c r="S23" i="103"/>
  <c r="R23" i="103"/>
  <c r="Q23" i="103"/>
  <c r="P23" i="103"/>
  <c r="O23" i="103"/>
  <c r="N23" i="103"/>
  <c r="M23" i="103"/>
  <c r="L23" i="103"/>
  <c r="K23" i="103"/>
  <c r="J23" i="103"/>
  <c r="I23" i="103"/>
  <c r="H23" i="103"/>
  <c r="G23" i="103"/>
  <c r="F23" i="103"/>
  <c r="E23" i="103"/>
  <c r="D23" i="103"/>
  <c r="C23" i="103"/>
  <c r="B23" i="103"/>
  <c r="AT22" i="103"/>
  <c r="AT21" i="103"/>
  <c r="CS19" i="103"/>
  <c r="CR19" i="103"/>
  <c r="CQ19" i="103"/>
  <c r="CP19" i="103"/>
  <c r="CO19" i="103"/>
  <c r="CN19" i="103"/>
  <c r="CM19" i="103"/>
  <c r="CL19" i="103"/>
  <c r="CK19" i="103"/>
  <c r="CJ19" i="103"/>
  <c r="CI19" i="103"/>
  <c r="CH19" i="103"/>
  <c r="CG19" i="103"/>
  <c r="CF19" i="103"/>
  <c r="CE19" i="103"/>
  <c r="BD19" i="103"/>
  <c r="AT19" i="103"/>
  <c r="AS19" i="103"/>
  <c r="AR19" i="103"/>
  <c r="AP19" i="103"/>
  <c r="AO19" i="103"/>
  <c r="AN19" i="103"/>
  <c r="AM19" i="103"/>
  <c r="AK19" i="103"/>
  <c r="AJ19" i="103"/>
  <c r="AH19" i="103"/>
  <c r="V19" i="103"/>
  <c r="U19" i="103"/>
  <c r="T19" i="103"/>
  <c r="S19" i="103"/>
  <c r="R19" i="103"/>
  <c r="Q19" i="103"/>
  <c r="P19" i="103"/>
  <c r="O19" i="103"/>
  <c r="N19" i="103"/>
  <c r="M19" i="103"/>
  <c r="L19" i="103"/>
  <c r="K19" i="103"/>
  <c r="J19" i="103"/>
  <c r="I19" i="103"/>
  <c r="H19" i="103"/>
  <c r="G19" i="103"/>
  <c r="F19" i="103"/>
  <c r="E19" i="103"/>
  <c r="D19" i="103"/>
  <c r="C19" i="103"/>
  <c r="B19" i="103"/>
  <c r="CS15" i="103"/>
  <c r="CR15" i="103"/>
  <c r="CQ15" i="103"/>
  <c r="CP15" i="103"/>
  <c r="CO15" i="103"/>
  <c r="CN15" i="103"/>
  <c r="CM15" i="103"/>
  <c r="CL15" i="103"/>
  <c r="CK15" i="103"/>
  <c r="CJ15" i="103"/>
  <c r="CI15" i="103"/>
  <c r="CH15" i="103"/>
  <c r="CG15" i="103"/>
  <c r="CF15" i="103"/>
  <c r="CE15" i="103"/>
  <c r="BD15" i="103"/>
  <c r="AT15" i="103"/>
  <c r="AS15" i="103"/>
  <c r="AR15" i="103"/>
  <c r="AP15" i="103"/>
  <c r="AO15" i="103"/>
  <c r="AN15" i="103"/>
  <c r="AM15" i="103"/>
  <c r="AK15" i="103"/>
  <c r="AJ15" i="103"/>
  <c r="AH15" i="103"/>
  <c r="V15" i="103"/>
  <c r="U15" i="103"/>
  <c r="T15" i="103"/>
  <c r="S15" i="103"/>
  <c r="R15" i="103"/>
  <c r="Q15" i="103"/>
  <c r="P15" i="103"/>
  <c r="O15" i="103"/>
  <c r="N15" i="103"/>
  <c r="M15" i="103"/>
  <c r="L15" i="103"/>
  <c r="K15" i="103"/>
  <c r="J15" i="103"/>
  <c r="I15" i="103"/>
  <c r="H15" i="103"/>
  <c r="G15" i="103"/>
  <c r="F15" i="103"/>
  <c r="E15" i="103"/>
  <c r="D15" i="103"/>
  <c r="C15" i="103"/>
  <c r="B15" i="103"/>
  <c r="CS11" i="103"/>
  <c r="CR11" i="103"/>
  <c r="CQ11" i="103"/>
  <c r="CP11" i="103"/>
  <c r="CO11" i="103"/>
  <c r="CN11" i="103"/>
  <c r="CM11" i="103"/>
  <c r="CL11" i="103"/>
  <c r="CK11" i="103"/>
  <c r="CJ11" i="103"/>
  <c r="CJ27" i="103" s="1"/>
  <c r="CI11" i="103"/>
  <c r="CH11" i="103"/>
  <c r="CG11" i="103"/>
  <c r="CF11" i="103"/>
  <c r="CE11" i="103"/>
  <c r="BD11" i="103"/>
  <c r="AT11" i="103"/>
  <c r="AS11" i="103"/>
  <c r="AR11" i="103"/>
  <c r="AP11" i="103"/>
  <c r="AO11" i="103"/>
  <c r="AN11" i="103"/>
  <c r="AM11" i="103"/>
  <c r="AK11" i="103"/>
  <c r="AJ11" i="103"/>
  <c r="AH11" i="103"/>
  <c r="V11" i="103"/>
  <c r="U11" i="103"/>
  <c r="T11" i="103"/>
  <c r="S11" i="103"/>
  <c r="R11" i="103"/>
  <c r="Q11" i="103"/>
  <c r="P11" i="103"/>
  <c r="O11" i="103"/>
  <c r="N11" i="103"/>
  <c r="M11" i="103"/>
  <c r="L11" i="103"/>
  <c r="K11" i="103"/>
  <c r="J11" i="103"/>
  <c r="I11" i="103"/>
  <c r="H11" i="103"/>
  <c r="G11" i="103"/>
  <c r="F11" i="103"/>
  <c r="E11" i="103"/>
  <c r="D11" i="103"/>
  <c r="C11" i="103"/>
  <c r="B11" i="103"/>
  <c r="CU35" i="102"/>
  <c r="CS35" i="102"/>
  <c r="CR35" i="102"/>
  <c r="CQ35" i="102"/>
  <c r="CP35" i="102"/>
  <c r="CO35" i="102"/>
  <c r="CN35" i="102"/>
  <c r="CM35" i="102"/>
  <c r="CL35" i="102"/>
  <c r="CK35" i="102"/>
  <c r="CJ35" i="102"/>
  <c r="CI35" i="102"/>
  <c r="CH35" i="102"/>
  <c r="CG35" i="102"/>
  <c r="CF35" i="102"/>
  <c r="CE35" i="102"/>
  <c r="BD35" i="102"/>
  <c r="AS35" i="102"/>
  <c r="AP35" i="102"/>
  <c r="AO35" i="102"/>
  <c r="AN35" i="102"/>
  <c r="AM35" i="102"/>
  <c r="AK35" i="102"/>
  <c r="AJ35" i="102"/>
  <c r="AH35" i="102"/>
  <c r="AB35" i="102"/>
  <c r="V35" i="102"/>
  <c r="U35" i="102"/>
  <c r="T35" i="102"/>
  <c r="S35" i="102"/>
  <c r="R35" i="102"/>
  <c r="Q35" i="102"/>
  <c r="P35" i="102"/>
  <c r="O35" i="102"/>
  <c r="N35" i="102"/>
  <c r="M35" i="102"/>
  <c r="L35" i="102"/>
  <c r="K35" i="102"/>
  <c r="J35" i="102"/>
  <c r="I35" i="102"/>
  <c r="H35" i="102"/>
  <c r="G35" i="102"/>
  <c r="F35" i="102"/>
  <c r="E35" i="102"/>
  <c r="D35" i="102"/>
  <c r="C35" i="102"/>
  <c r="B35" i="102"/>
  <c r="CU31" i="102"/>
  <c r="CS31" i="102"/>
  <c r="CR31" i="102"/>
  <c r="CQ31" i="102"/>
  <c r="CP31" i="102"/>
  <c r="CO31" i="102"/>
  <c r="CN31" i="102"/>
  <c r="CM31" i="102"/>
  <c r="CL31" i="102"/>
  <c r="CK31" i="102"/>
  <c r="CJ31" i="102"/>
  <c r="CI31" i="102"/>
  <c r="CH31" i="102"/>
  <c r="CG31" i="102"/>
  <c r="CF31" i="102"/>
  <c r="CE31" i="102"/>
  <c r="BD31" i="102"/>
  <c r="AT31" i="102"/>
  <c r="AS31" i="102"/>
  <c r="AP31" i="102"/>
  <c r="AO31" i="102"/>
  <c r="AN31" i="102"/>
  <c r="AM31" i="102"/>
  <c r="AK31" i="102"/>
  <c r="AJ31" i="102"/>
  <c r="AH31" i="102"/>
  <c r="AB31" i="102"/>
  <c r="V31" i="102"/>
  <c r="U31" i="102"/>
  <c r="T31" i="102"/>
  <c r="S31" i="102"/>
  <c r="R31" i="102"/>
  <c r="Q31" i="102"/>
  <c r="P31" i="102"/>
  <c r="O31" i="102"/>
  <c r="N31" i="102"/>
  <c r="M31" i="102"/>
  <c r="L31" i="102"/>
  <c r="K31" i="102"/>
  <c r="J31" i="102"/>
  <c r="I31" i="102"/>
  <c r="H31" i="102"/>
  <c r="G31" i="102"/>
  <c r="F31" i="102"/>
  <c r="E31" i="102"/>
  <c r="D31" i="102"/>
  <c r="C31" i="102"/>
  <c r="B31" i="102"/>
  <c r="CU27" i="102"/>
  <c r="CS27" i="102"/>
  <c r="CR27" i="102"/>
  <c r="CQ27" i="102"/>
  <c r="CP27" i="102"/>
  <c r="CO27" i="102"/>
  <c r="CN27" i="102"/>
  <c r="CM27" i="102"/>
  <c r="CL27" i="102"/>
  <c r="CK27" i="102"/>
  <c r="CJ27" i="102"/>
  <c r="CI27" i="102"/>
  <c r="CH27" i="102"/>
  <c r="CG27" i="102"/>
  <c r="CF27" i="102"/>
  <c r="CE27" i="102"/>
  <c r="BD27" i="102"/>
  <c r="AS27" i="102"/>
  <c r="AP27" i="102"/>
  <c r="AO27" i="102"/>
  <c r="AN27" i="102"/>
  <c r="AM27" i="102"/>
  <c r="AK27" i="102"/>
  <c r="AJ27" i="102"/>
  <c r="AH27" i="102"/>
  <c r="AB27" i="102"/>
  <c r="V27" i="102"/>
  <c r="U27" i="102"/>
  <c r="T27" i="102"/>
  <c r="S27" i="102"/>
  <c r="R27" i="102"/>
  <c r="Q27" i="102"/>
  <c r="P27" i="102"/>
  <c r="O27" i="102"/>
  <c r="N27" i="102"/>
  <c r="M27" i="102"/>
  <c r="L27" i="102"/>
  <c r="K27" i="102"/>
  <c r="J27" i="102"/>
  <c r="I27" i="102"/>
  <c r="H27" i="102"/>
  <c r="G27" i="102"/>
  <c r="F27" i="102"/>
  <c r="E27" i="102"/>
  <c r="D27" i="102"/>
  <c r="C27" i="102"/>
  <c r="B27" i="102"/>
  <c r="AT26" i="102"/>
  <c r="AT34" i="102" s="1"/>
  <c r="AT25" i="102"/>
  <c r="AT33" i="102" s="1"/>
  <c r="CU23" i="102"/>
  <c r="CS23" i="102"/>
  <c r="CR23" i="102"/>
  <c r="CQ23" i="102"/>
  <c r="CP23" i="102"/>
  <c r="CO23" i="102"/>
  <c r="CN23" i="102"/>
  <c r="CM23" i="102"/>
  <c r="CL23" i="102"/>
  <c r="CK23" i="102"/>
  <c r="CJ23" i="102"/>
  <c r="CI23" i="102"/>
  <c r="CH23" i="102"/>
  <c r="CG23" i="102"/>
  <c r="CF23" i="102"/>
  <c r="CE23" i="102"/>
  <c r="BD23" i="102"/>
  <c r="AS23" i="102"/>
  <c r="AP23" i="102"/>
  <c r="AO23" i="102"/>
  <c r="AN23" i="102"/>
  <c r="AM23" i="102"/>
  <c r="AK23" i="102"/>
  <c r="AJ23" i="102"/>
  <c r="AH23" i="102"/>
  <c r="AB23" i="102"/>
  <c r="V23" i="102"/>
  <c r="U23" i="102"/>
  <c r="T23" i="102"/>
  <c r="S23" i="102"/>
  <c r="R23" i="102"/>
  <c r="Q23" i="102"/>
  <c r="P23" i="102"/>
  <c r="O23" i="102"/>
  <c r="N23" i="102"/>
  <c r="M23" i="102"/>
  <c r="L23" i="102"/>
  <c r="K23" i="102"/>
  <c r="J23" i="102"/>
  <c r="I23" i="102"/>
  <c r="H23" i="102"/>
  <c r="G23" i="102"/>
  <c r="F23" i="102"/>
  <c r="E23" i="102"/>
  <c r="D23" i="102"/>
  <c r="C23" i="102"/>
  <c r="B23" i="102"/>
  <c r="AT22" i="102"/>
  <c r="AT21" i="102"/>
  <c r="CU19" i="102"/>
  <c r="CS19" i="102"/>
  <c r="CR19" i="102"/>
  <c r="CQ19" i="102"/>
  <c r="CP19" i="102"/>
  <c r="CO19" i="102"/>
  <c r="CN19" i="102"/>
  <c r="CM19" i="102"/>
  <c r="CL19" i="102"/>
  <c r="CK19" i="102"/>
  <c r="CJ19" i="102"/>
  <c r="CI19" i="102"/>
  <c r="CH19" i="102"/>
  <c r="CG19" i="102"/>
  <c r="CF19" i="102"/>
  <c r="CE19" i="102"/>
  <c r="BD19" i="102"/>
  <c r="AT19" i="102"/>
  <c r="AS19" i="102"/>
  <c r="AP19" i="102"/>
  <c r="AO19" i="102"/>
  <c r="AN19" i="102"/>
  <c r="AM19" i="102"/>
  <c r="AK19" i="102"/>
  <c r="AJ19" i="102"/>
  <c r="AH19" i="102"/>
  <c r="AB19" i="102"/>
  <c r="V19" i="102"/>
  <c r="U19" i="102"/>
  <c r="T19" i="102"/>
  <c r="S19" i="102"/>
  <c r="R19" i="102"/>
  <c r="Q19" i="102"/>
  <c r="P19" i="102"/>
  <c r="O19" i="102"/>
  <c r="N19" i="102"/>
  <c r="M19" i="102"/>
  <c r="L19" i="102"/>
  <c r="K19" i="102"/>
  <c r="J19" i="102"/>
  <c r="I19" i="102"/>
  <c r="H19" i="102"/>
  <c r="G19" i="102"/>
  <c r="F19" i="102"/>
  <c r="E19" i="102"/>
  <c r="D19" i="102"/>
  <c r="C19" i="102"/>
  <c r="B19" i="102"/>
  <c r="CU15" i="102"/>
  <c r="CS15" i="102"/>
  <c r="CR15" i="102"/>
  <c r="CQ15" i="102"/>
  <c r="CP15" i="102"/>
  <c r="CO15" i="102"/>
  <c r="CN15" i="102"/>
  <c r="CM15" i="102"/>
  <c r="CL15" i="102"/>
  <c r="CK15" i="102"/>
  <c r="CJ15" i="102"/>
  <c r="CI15" i="102"/>
  <c r="CH15" i="102"/>
  <c r="CG15" i="102"/>
  <c r="CF15" i="102"/>
  <c r="CE15" i="102"/>
  <c r="BD15" i="102"/>
  <c r="AT15" i="102"/>
  <c r="AT23" i="102" s="1"/>
  <c r="AS15" i="102"/>
  <c r="AP15" i="102"/>
  <c r="AO15" i="102"/>
  <c r="AN15" i="102"/>
  <c r="AM15" i="102"/>
  <c r="AK15" i="102"/>
  <c r="AJ15" i="102"/>
  <c r="AH15" i="102"/>
  <c r="AB15" i="102"/>
  <c r="V15" i="102"/>
  <c r="U15" i="102"/>
  <c r="T15" i="102"/>
  <c r="S15" i="102"/>
  <c r="R15" i="102"/>
  <c r="Q15" i="102"/>
  <c r="P15" i="102"/>
  <c r="O15" i="102"/>
  <c r="N15" i="102"/>
  <c r="M15" i="102"/>
  <c r="L15" i="102"/>
  <c r="K15" i="102"/>
  <c r="J15" i="102"/>
  <c r="I15" i="102"/>
  <c r="H15" i="102"/>
  <c r="G15" i="102"/>
  <c r="F15" i="102"/>
  <c r="E15" i="102"/>
  <c r="D15" i="102"/>
  <c r="C15" i="102"/>
  <c r="B15" i="102"/>
  <c r="CU11" i="102"/>
  <c r="CS11" i="102"/>
  <c r="CR11" i="102"/>
  <c r="CQ11" i="102"/>
  <c r="CP11" i="102"/>
  <c r="CO11" i="102"/>
  <c r="CN11" i="102"/>
  <c r="CM11" i="102"/>
  <c r="CL11" i="102"/>
  <c r="CK11" i="102"/>
  <c r="CJ11" i="102"/>
  <c r="CI11" i="102"/>
  <c r="CH11" i="102"/>
  <c r="CG11" i="102"/>
  <c r="CF11" i="102"/>
  <c r="CE11" i="102"/>
  <c r="BD11" i="102"/>
  <c r="AT11" i="102"/>
  <c r="AS11" i="102"/>
  <c r="AP11" i="102"/>
  <c r="AO11" i="102"/>
  <c r="AN11" i="102"/>
  <c r="AM11" i="102"/>
  <c r="AK11" i="102"/>
  <c r="AJ11" i="102"/>
  <c r="AH11" i="102"/>
  <c r="AB11" i="102"/>
  <c r="V11" i="102"/>
  <c r="U11" i="102"/>
  <c r="T11" i="102"/>
  <c r="S11" i="102"/>
  <c r="R11" i="102"/>
  <c r="Q11" i="102"/>
  <c r="P11" i="102"/>
  <c r="O11" i="102"/>
  <c r="N11" i="102"/>
  <c r="M11" i="102"/>
  <c r="L11" i="102"/>
  <c r="K11" i="102"/>
  <c r="J11" i="102"/>
  <c r="I11" i="102"/>
  <c r="H11" i="102"/>
  <c r="G11" i="102"/>
  <c r="F11" i="102"/>
  <c r="E11" i="102"/>
  <c r="D11" i="102"/>
  <c r="C11" i="102"/>
  <c r="B11" i="102"/>
  <c r="CS35" i="101"/>
  <c r="CR35" i="101"/>
  <c r="CQ35" i="101"/>
  <c r="CP35" i="101"/>
  <c r="CO35" i="101"/>
  <c r="CN35" i="101"/>
  <c r="CM35" i="101"/>
  <c r="CL35" i="101"/>
  <c r="CK35" i="101"/>
  <c r="CJ35" i="101"/>
  <c r="CI35" i="101"/>
  <c r="CH35" i="101"/>
  <c r="CG35" i="101"/>
  <c r="CF35" i="101"/>
  <c r="CE35" i="101"/>
  <c r="BD35" i="101"/>
  <c r="AS35" i="101"/>
  <c r="AP35" i="101"/>
  <c r="AO35" i="101"/>
  <c r="AN35" i="101"/>
  <c r="AM35" i="101"/>
  <c r="AK35" i="101"/>
  <c r="AH35" i="101"/>
  <c r="V35" i="101"/>
  <c r="U35" i="101"/>
  <c r="T35" i="101"/>
  <c r="S35" i="101"/>
  <c r="R35" i="101"/>
  <c r="Q35" i="101"/>
  <c r="P35" i="101"/>
  <c r="O35" i="101"/>
  <c r="N35" i="101"/>
  <c r="M35" i="101"/>
  <c r="L35" i="101"/>
  <c r="K35" i="101"/>
  <c r="J35" i="101"/>
  <c r="I35" i="101"/>
  <c r="H35" i="101"/>
  <c r="G35" i="101"/>
  <c r="F35" i="101"/>
  <c r="E35" i="101"/>
  <c r="D35" i="101"/>
  <c r="C35" i="101"/>
  <c r="B35" i="101"/>
  <c r="AT34" i="101"/>
  <c r="CS31" i="101"/>
  <c r="CR31" i="101"/>
  <c r="CQ31" i="101"/>
  <c r="CP31" i="101"/>
  <c r="CO31" i="101"/>
  <c r="CN31" i="101"/>
  <c r="CM31" i="101"/>
  <c r="CL31" i="101"/>
  <c r="CK31" i="101"/>
  <c r="CJ31" i="101"/>
  <c r="CI31" i="101"/>
  <c r="CH31" i="101"/>
  <c r="CG31" i="101"/>
  <c r="CF31" i="101"/>
  <c r="CE31" i="101"/>
  <c r="BD31" i="101"/>
  <c r="AT31" i="101"/>
  <c r="AS31" i="101"/>
  <c r="AP31" i="101"/>
  <c r="AO31" i="101"/>
  <c r="AN31" i="101"/>
  <c r="AM31" i="101"/>
  <c r="AK31" i="101"/>
  <c r="AH31" i="101"/>
  <c r="V31" i="101"/>
  <c r="U31" i="101"/>
  <c r="T31" i="101"/>
  <c r="S31" i="101"/>
  <c r="R31" i="101"/>
  <c r="Q31" i="101"/>
  <c r="P31" i="101"/>
  <c r="O31" i="101"/>
  <c r="N31" i="101"/>
  <c r="M31" i="101"/>
  <c r="L31" i="101"/>
  <c r="K31" i="101"/>
  <c r="J31" i="101"/>
  <c r="I31" i="101"/>
  <c r="H31" i="101"/>
  <c r="G31" i="101"/>
  <c r="F31" i="101"/>
  <c r="E31" i="101"/>
  <c r="D31" i="101"/>
  <c r="C31" i="101"/>
  <c r="B31" i="101"/>
  <c r="CS27" i="101"/>
  <c r="CR27" i="101"/>
  <c r="CQ27" i="101"/>
  <c r="CP27" i="101"/>
  <c r="CO27" i="101"/>
  <c r="CN27" i="101"/>
  <c r="CM27" i="101"/>
  <c r="CL27" i="101"/>
  <c r="CK27" i="101"/>
  <c r="CJ27" i="101"/>
  <c r="CI27" i="101"/>
  <c r="CH27" i="101"/>
  <c r="CG27" i="101"/>
  <c r="CF27" i="101"/>
  <c r="CE27" i="101"/>
  <c r="BD27" i="101"/>
  <c r="AS27" i="101"/>
  <c r="AP27" i="101"/>
  <c r="AO27" i="101"/>
  <c r="AN27" i="101"/>
  <c r="AM27" i="101"/>
  <c r="AK27" i="101"/>
  <c r="AH27" i="101"/>
  <c r="V27" i="101"/>
  <c r="U27" i="101"/>
  <c r="T27" i="101"/>
  <c r="S27" i="101"/>
  <c r="R27" i="101"/>
  <c r="Q27" i="101"/>
  <c r="P27" i="101"/>
  <c r="O27" i="101"/>
  <c r="N27" i="101"/>
  <c r="M27" i="101"/>
  <c r="L27" i="101"/>
  <c r="K27" i="101"/>
  <c r="J27" i="101"/>
  <c r="I27" i="101"/>
  <c r="H27" i="101"/>
  <c r="G27" i="101"/>
  <c r="F27" i="101"/>
  <c r="E27" i="101"/>
  <c r="D27" i="101"/>
  <c r="C27" i="101"/>
  <c r="B27" i="101"/>
  <c r="AT26" i="101"/>
  <c r="AT25" i="101"/>
  <c r="AT33" i="101" s="1"/>
  <c r="CS23" i="101"/>
  <c r="CR23" i="101"/>
  <c r="CQ23" i="101"/>
  <c r="CP23" i="101"/>
  <c r="CO23" i="101"/>
  <c r="CN23" i="101"/>
  <c r="CM23" i="101"/>
  <c r="CL23" i="101"/>
  <c r="CK23" i="101"/>
  <c r="CJ23" i="101"/>
  <c r="CI23" i="101"/>
  <c r="CH23" i="101"/>
  <c r="CG23" i="101"/>
  <c r="CF23" i="101"/>
  <c r="CE23" i="101"/>
  <c r="BD23" i="101"/>
  <c r="AS23" i="101"/>
  <c r="AP23" i="101"/>
  <c r="AO23" i="101"/>
  <c r="AN23" i="101"/>
  <c r="AM23" i="101"/>
  <c r="AK23" i="101"/>
  <c r="AH23" i="101"/>
  <c r="V23" i="101"/>
  <c r="U23" i="101"/>
  <c r="T23" i="101"/>
  <c r="S23" i="101"/>
  <c r="R23" i="101"/>
  <c r="Q23" i="101"/>
  <c r="P23" i="101"/>
  <c r="O23" i="101"/>
  <c r="N23" i="101"/>
  <c r="M23" i="101"/>
  <c r="L23" i="101"/>
  <c r="K23" i="101"/>
  <c r="J23" i="101"/>
  <c r="I23" i="101"/>
  <c r="H23" i="101"/>
  <c r="G23" i="101"/>
  <c r="F23" i="101"/>
  <c r="E23" i="101"/>
  <c r="D23" i="101"/>
  <c r="C23" i="101"/>
  <c r="B23" i="101"/>
  <c r="AT22" i="101"/>
  <c r="AT21" i="101"/>
  <c r="CS19" i="101"/>
  <c r="CR19" i="101"/>
  <c r="CQ19" i="101"/>
  <c r="CP19" i="101"/>
  <c r="CO19" i="101"/>
  <c r="CN19" i="101"/>
  <c r="CM19" i="101"/>
  <c r="CL19" i="101"/>
  <c r="CK19" i="101"/>
  <c r="CJ19" i="101"/>
  <c r="CI19" i="101"/>
  <c r="CH19" i="101"/>
  <c r="CG19" i="101"/>
  <c r="CF19" i="101"/>
  <c r="CE19" i="101"/>
  <c r="BD19" i="101"/>
  <c r="AT19" i="101"/>
  <c r="AS19" i="101"/>
  <c r="AP19" i="101"/>
  <c r="AO19" i="101"/>
  <c r="AN19" i="101"/>
  <c r="AM19" i="101"/>
  <c r="AK19" i="101"/>
  <c r="AH19" i="101"/>
  <c r="V19" i="101"/>
  <c r="U19" i="101"/>
  <c r="T19" i="101"/>
  <c r="S19" i="101"/>
  <c r="R19" i="101"/>
  <c r="Q19" i="101"/>
  <c r="P19" i="101"/>
  <c r="O19" i="101"/>
  <c r="N19" i="101"/>
  <c r="M19" i="101"/>
  <c r="L19" i="101"/>
  <c r="K19" i="101"/>
  <c r="J19" i="101"/>
  <c r="I19" i="101"/>
  <c r="H19" i="101"/>
  <c r="G19" i="101"/>
  <c r="F19" i="101"/>
  <c r="E19" i="101"/>
  <c r="D19" i="101"/>
  <c r="C19" i="101"/>
  <c r="B19" i="101"/>
  <c r="CS15" i="101"/>
  <c r="CR15" i="101"/>
  <c r="CQ15" i="101"/>
  <c r="CP15" i="101"/>
  <c r="CO15" i="101"/>
  <c r="CN15" i="101"/>
  <c r="CM15" i="101"/>
  <c r="CL15" i="101"/>
  <c r="CK15" i="101"/>
  <c r="CJ15" i="101"/>
  <c r="CI15" i="101"/>
  <c r="CH15" i="101"/>
  <c r="CG15" i="101"/>
  <c r="CF15" i="101"/>
  <c r="CE15" i="101"/>
  <c r="BD15" i="101"/>
  <c r="AT15" i="101"/>
  <c r="AS15" i="101"/>
  <c r="AP15" i="101"/>
  <c r="AO15" i="101"/>
  <c r="AN15" i="101"/>
  <c r="AM15" i="101"/>
  <c r="AK15" i="101"/>
  <c r="AH15" i="101"/>
  <c r="V15" i="101"/>
  <c r="U15" i="101"/>
  <c r="T15" i="101"/>
  <c r="S15" i="101"/>
  <c r="R15" i="101"/>
  <c r="Q15" i="101"/>
  <c r="P15" i="101"/>
  <c r="O15" i="101"/>
  <c r="N15" i="101"/>
  <c r="M15" i="101"/>
  <c r="L15" i="101"/>
  <c r="K15" i="101"/>
  <c r="J15" i="101"/>
  <c r="I15" i="101"/>
  <c r="H15" i="101"/>
  <c r="G15" i="101"/>
  <c r="F15" i="101"/>
  <c r="E15" i="101"/>
  <c r="D15" i="101"/>
  <c r="C15" i="101"/>
  <c r="B15" i="101"/>
  <c r="CS11" i="101"/>
  <c r="CR11" i="101"/>
  <c r="CQ11" i="101"/>
  <c r="CP11" i="101"/>
  <c r="CO11" i="101"/>
  <c r="CN11" i="101"/>
  <c r="CM11" i="101"/>
  <c r="CL11" i="101"/>
  <c r="CK11" i="101"/>
  <c r="CJ11" i="101"/>
  <c r="CI11" i="101"/>
  <c r="CH11" i="101"/>
  <c r="CG11" i="101"/>
  <c r="CF11" i="101"/>
  <c r="CE11" i="101"/>
  <c r="BD11" i="101"/>
  <c r="AT11" i="101"/>
  <c r="AS11" i="101"/>
  <c r="AP11" i="101"/>
  <c r="AO11" i="101"/>
  <c r="AN11" i="101"/>
  <c r="AM11" i="101"/>
  <c r="AK11" i="101"/>
  <c r="AH11" i="101"/>
  <c r="V11" i="101"/>
  <c r="U11" i="101"/>
  <c r="T11" i="101"/>
  <c r="S11" i="101"/>
  <c r="R11" i="101"/>
  <c r="Q11" i="101"/>
  <c r="P11" i="101"/>
  <c r="O11" i="101"/>
  <c r="N11" i="101"/>
  <c r="M11" i="101"/>
  <c r="L11" i="101"/>
  <c r="K11" i="101"/>
  <c r="J11" i="101"/>
  <c r="I11" i="101"/>
  <c r="H11" i="101"/>
  <c r="G11" i="101"/>
  <c r="F11" i="101"/>
  <c r="E11" i="101"/>
  <c r="D11" i="101"/>
  <c r="C11" i="101"/>
  <c r="B11" i="101"/>
  <c r="CS35" i="100"/>
  <c r="CR35" i="100"/>
  <c r="CQ35" i="100"/>
  <c r="CP35" i="100"/>
  <c r="CO35" i="100"/>
  <c r="CN35" i="100"/>
  <c r="CM35" i="100"/>
  <c r="CL35" i="100"/>
  <c r="CK35" i="100"/>
  <c r="CJ35" i="100"/>
  <c r="CI35" i="100"/>
  <c r="CH35" i="100"/>
  <c r="CG35" i="100"/>
  <c r="CF35" i="100"/>
  <c r="CE35" i="100"/>
  <c r="BD35" i="100"/>
  <c r="AS35" i="100"/>
  <c r="AR35" i="100"/>
  <c r="AP35" i="100"/>
  <c r="AO35" i="100"/>
  <c r="AN35" i="100"/>
  <c r="AM35" i="100"/>
  <c r="AK35" i="100"/>
  <c r="AJ35" i="100"/>
  <c r="AH35" i="100"/>
  <c r="V35" i="100"/>
  <c r="U35" i="100"/>
  <c r="T35" i="100"/>
  <c r="S35" i="100"/>
  <c r="R35" i="100"/>
  <c r="Q35" i="100"/>
  <c r="P35" i="100"/>
  <c r="O35" i="100"/>
  <c r="N35" i="100"/>
  <c r="M35" i="100"/>
  <c r="L35" i="100"/>
  <c r="K35" i="100"/>
  <c r="J35" i="100"/>
  <c r="I35" i="100"/>
  <c r="H35" i="100"/>
  <c r="G35" i="100"/>
  <c r="F35" i="100"/>
  <c r="E35" i="100"/>
  <c r="D35" i="100"/>
  <c r="C35" i="100"/>
  <c r="B35" i="100"/>
  <c r="CS31" i="100"/>
  <c r="CR31" i="100"/>
  <c r="CQ31" i="100"/>
  <c r="CP31" i="100"/>
  <c r="CO31" i="100"/>
  <c r="CN31" i="100"/>
  <c r="CM31" i="100"/>
  <c r="CL31" i="100"/>
  <c r="CK31" i="100"/>
  <c r="CJ31" i="100"/>
  <c r="CI31" i="100"/>
  <c r="CH31" i="100"/>
  <c r="CG31" i="100"/>
  <c r="CF31" i="100"/>
  <c r="CE31" i="100"/>
  <c r="BD31" i="100"/>
  <c r="AT31" i="100"/>
  <c r="AS31" i="100"/>
  <c r="AR31" i="100"/>
  <c r="AP31" i="100"/>
  <c r="AO31" i="100"/>
  <c r="AN31" i="100"/>
  <c r="AM31" i="100"/>
  <c r="AK31" i="100"/>
  <c r="AJ31" i="100"/>
  <c r="AH31" i="100"/>
  <c r="V31" i="100"/>
  <c r="U31" i="100"/>
  <c r="T31" i="100"/>
  <c r="S31" i="100"/>
  <c r="R31" i="100"/>
  <c r="Q31" i="100"/>
  <c r="P31" i="100"/>
  <c r="O31" i="100"/>
  <c r="N31" i="100"/>
  <c r="M31" i="100"/>
  <c r="L31" i="100"/>
  <c r="K31" i="100"/>
  <c r="J31" i="100"/>
  <c r="I31" i="100"/>
  <c r="H31" i="100"/>
  <c r="G31" i="100"/>
  <c r="F31" i="100"/>
  <c r="E31" i="100"/>
  <c r="D31" i="100"/>
  <c r="C31" i="100"/>
  <c r="B31" i="100"/>
  <c r="CS27" i="100"/>
  <c r="CR27" i="100"/>
  <c r="CQ27" i="100"/>
  <c r="CP27" i="100"/>
  <c r="CO27" i="100"/>
  <c r="BD27" i="100"/>
  <c r="AS27" i="100"/>
  <c r="AR27" i="100"/>
  <c r="AP27" i="100"/>
  <c r="AO27" i="100"/>
  <c r="AN27" i="100"/>
  <c r="AM27" i="100"/>
  <c r="AK27" i="100"/>
  <c r="AJ27" i="100"/>
  <c r="AH27" i="100"/>
  <c r="V27" i="100"/>
  <c r="U27" i="100"/>
  <c r="T27" i="100"/>
  <c r="S27" i="100"/>
  <c r="R27" i="100"/>
  <c r="Q27" i="100"/>
  <c r="P27" i="100"/>
  <c r="O27" i="100"/>
  <c r="N27" i="100"/>
  <c r="M27" i="100"/>
  <c r="L27" i="100"/>
  <c r="K27" i="100"/>
  <c r="J27" i="100"/>
  <c r="I27" i="100"/>
  <c r="H27" i="100"/>
  <c r="G27" i="100"/>
  <c r="F27" i="100"/>
  <c r="E27" i="100"/>
  <c r="D27" i="100"/>
  <c r="C27" i="100"/>
  <c r="B27" i="100"/>
  <c r="AT26" i="100"/>
  <c r="AT34" i="100" s="1"/>
  <c r="AT25" i="100"/>
  <c r="AT33" i="100" s="1"/>
  <c r="CS23" i="100"/>
  <c r="CR23" i="100"/>
  <c r="CQ23" i="100"/>
  <c r="CP23" i="100"/>
  <c r="CO23" i="100"/>
  <c r="CN23" i="100"/>
  <c r="CM23" i="100"/>
  <c r="CL23" i="100"/>
  <c r="CK23" i="100"/>
  <c r="CJ23" i="100"/>
  <c r="CI23" i="100"/>
  <c r="CH23" i="100"/>
  <c r="CG23" i="100"/>
  <c r="CF23" i="100"/>
  <c r="CE23" i="100"/>
  <c r="BD23" i="100"/>
  <c r="AS23" i="100"/>
  <c r="AR23" i="100"/>
  <c r="AP23" i="100"/>
  <c r="AO23" i="100"/>
  <c r="AN23" i="100"/>
  <c r="AM23" i="100"/>
  <c r="AK23" i="100"/>
  <c r="AJ23" i="100"/>
  <c r="AH23" i="100"/>
  <c r="V23" i="100"/>
  <c r="U23" i="100"/>
  <c r="T23" i="100"/>
  <c r="S23" i="100"/>
  <c r="R23" i="100"/>
  <c r="Q23" i="100"/>
  <c r="P23" i="100"/>
  <c r="O23" i="100"/>
  <c r="N23" i="100"/>
  <c r="M23" i="100"/>
  <c r="L23" i="100"/>
  <c r="K23" i="100"/>
  <c r="J23" i="100"/>
  <c r="I23" i="100"/>
  <c r="H23" i="100"/>
  <c r="G23" i="100"/>
  <c r="F23" i="100"/>
  <c r="E23" i="100"/>
  <c r="D23" i="100"/>
  <c r="C23" i="100"/>
  <c r="B23" i="100"/>
  <c r="AT22" i="100"/>
  <c r="AT21" i="100"/>
  <c r="CS19" i="100"/>
  <c r="CR19" i="100"/>
  <c r="CQ19" i="100"/>
  <c r="CP19" i="100"/>
  <c r="CO19" i="100"/>
  <c r="CN19" i="100"/>
  <c r="CM19" i="100"/>
  <c r="CL19" i="100"/>
  <c r="CK19" i="100"/>
  <c r="CJ19" i="100"/>
  <c r="CI19" i="100"/>
  <c r="CH19" i="100"/>
  <c r="CG19" i="100"/>
  <c r="CF19" i="100"/>
  <c r="CE19" i="100"/>
  <c r="BD19" i="100"/>
  <c r="AT19" i="100"/>
  <c r="AS19" i="100"/>
  <c r="AR19" i="100"/>
  <c r="AP19" i="100"/>
  <c r="AO19" i="100"/>
  <c r="AN19" i="100"/>
  <c r="AM19" i="100"/>
  <c r="AK19" i="100"/>
  <c r="AJ19" i="100"/>
  <c r="AH19" i="100"/>
  <c r="V19" i="100"/>
  <c r="U19" i="100"/>
  <c r="T19" i="100"/>
  <c r="S19" i="100"/>
  <c r="R19" i="100"/>
  <c r="Q19" i="100"/>
  <c r="P19" i="100"/>
  <c r="O19" i="100"/>
  <c r="N19" i="100"/>
  <c r="M19" i="100"/>
  <c r="L19" i="100"/>
  <c r="K19" i="100"/>
  <c r="J19" i="100"/>
  <c r="I19" i="100"/>
  <c r="H19" i="100"/>
  <c r="G19" i="100"/>
  <c r="F19" i="100"/>
  <c r="E19" i="100"/>
  <c r="D19" i="100"/>
  <c r="C19" i="100"/>
  <c r="B19" i="100"/>
  <c r="CS15" i="100"/>
  <c r="CR15" i="100"/>
  <c r="CQ15" i="100"/>
  <c r="CP15" i="100"/>
  <c r="CO15" i="100"/>
  <c r="CN15" i="100"/>
  <c r="CM15" i="100"/>
  <c r="CL15" i="100"/>
  <c r="CK15" i="100"/>
  <c r="CJ15" i="100"/>
  <c r="CI15" i="100"/>
  <c r="CH15" i="100"/>
  <c r="CG15" i="100"/>
  <c r="CF15" i="100"/>
  <c r="CE15" i="100"/>
  <c r="BD15" i="100"/>
  <c r="AT15" i="100"/>
  <c r="AS15" i="100"/>
  <c r="AR15" i="100"/>
  <c r="AP15" i="100"/>
  <c r="AO15" i="100"/>
  <c r="AN15" i="100"/>
  <c r="AM15" i="100"/>
  <c r="AK15" i="100"/>
  <c r="AJ15" i="100"/>
  <c r="AH15" i="100"/>
  <c r="V15" i="100"/>
  <c r="U15" i="100"/>
  <c r="T15" i="100"/>
  <c r="S15" i="100"/>
  <c r="R15" i="100"/>
  <c r="Q15" i="100"/>
  <c r="P15" i="100"/>
  <c r="O15" i="100"/>
  <c r="N15" i="100"/>
  <c r="M15" i="100"/>
  <c r="L15" i="100"/>
  <c r="K15" i="100"/>
  <c r="J15" i="100"/>
  <c r="I15" i="100"/>
  <c r="H15" i="100"/>
  <c r="G15" i="100"/>
  <c r="F15" i="100"/>
  <c r="E15" i="100"/>
  <c r="D15" i="100"/>
  <c r="C15" i="100"/>
  <c r="B15" i="100"/>
  <c r="CS11" i="100"/>
  <c r="CR11" i="100"/>
  <c r="CQ11" i="100"/>
  <c r="CP11" i="100"/>
  <c r="CO11" i="100"/>
  <c r="CN11" i="100"/>
  <c r="CM11" i="100"/>
  <c r="CL11" i="100"/>
  <c r="CK11" i="100"/>
  <c r="CJ11" i="100"/>
  <c r="CI11" i="100"/>
  <c r="CH11" i="100"/>
  <c r="CG11" i="100"/>
  <c r="CF11" i="100"/>
  <c r="CE11" i="100"/>
  <c r="BD11" i="100"/>
  <c r="AT11" i="100"/>
  <c r="AS11" i="100"/>
  <c r="AR11" i="100"/>
  <c r="AP11" i="100"/>
  <c r="AO11" i="100"/>
  <c r="AN11" i="100"/>
  <c r="AM11" i="100"/>
  <c r="AK11" i="100"/>
  <c r="AJ11" i="100"/>
  <c r="AH11" i="100"/>
  <c r="V11" i="100"/>
  <c r="U11" i="100"/>
  <c r="T11" i="100"/>
  <c r="S11" i="100"/>
  <c r="R11" i="100"/>
  <c r="Q11" i="100"/>
  <c r="P11" i="100"/>
  <c r="O11" i="100"/>
  <c r="N11" i="100"/>
  <c r="M11" i="100"/>
  <c r="L11" i="100"/>
  <c r="K11" i="100"/>
  <c r="J11" i="100"/>
  <c r="I11" i="100"/>
  <c r="H11" i="100"/>
  <c r="G11" i="100"/>
  <c r="F11" i="100"/>
  <c r="E11" i="100"/>
  <c r="D11" i="100"/>
  <c r="C11" i="100"/>
  <c r="B11" i="100"/>
  <c r="CV35" i="99"/>
  <c r="CT35" i="99"/>
  <c r="CS35" i="99"/>
  <c r="CR35" i="99"/>
  <c r="CQ35" i="99"/>
  <c r="CP35" i="99"/>
  <c r="CO35" i="99"/>
  <c r="CN35" i="99"/>
  <c r="CM35" i="99"/>
  <c r="CL35" i="99"/>
  <c r="CK35" i="99"/>
  <c r="CJ35" i="99"/>
  <c r="CI35" i="99"/>
  <c r="CH35" i="99"/>
  <c r="CG35" i="99"/>
  <c r="CF35" i="99"/>
  <c r="BE35" i="99"/>
  <c r="AT35" i="99"/>
  <c r="AS35" i="99"/>
  <c r="AQ35" i="99"/>
  <c r="AP35" i="99"/>
  <c r="AO35" i="99"/>
  <c r="AN35" i="99"/>
  <c r="AL35" i="99"/>
  <c r="AK35" i="99"/>
  <c r="AI35" i="99"/>
  <c r="V35" i="99"/>
  <c r="U35" i="99"/>
  <c r="T35" i="99"/>
  <c r="S35" i="99"/>
  <c r="R35" i="99"/>
  <c r="Q35" i="99"/>
  <c r="P35" i="99"/>
  <c r="O35" i="99"/>
  <c r="N35" i="99"/>
  <c r="M35" i="99"/>
  <c r="L35" i="99"/>
  <c r="K35" i="99"/>
  <c r="J35" i="99"/>
  <c r="I35" i="99"/>
  <c r="H35" i="99"/>
  <c r="G35" i="99"/>
  <c r="F35" i="99"/>
  <c r="E35" i="99"/>
  <c r="D35" i="99"/>
  <c r="C35" i="99"/>
  <c r="B35" i="99"/>
  <c r="BK34" i="99"/>
  <c r="BK33" i="99"/>
  <c r="CV31" i="99"/>
  <c r="CT31" i="99"/>
  <c r="CS31" i="99"/>
  <c r="CR31" i="99"/>
  <c r="CQ31" i="99"/>
  <c r="CP31" i="99"/>
  <c r="CO31" i="99"/>
  <c r="CN31" i="99"/>
  <c r="CM31" i="99"/>
  <c r="CL31" i="99"/>
  <c r="CK31" i="99"/>
  <c r="CJ31" i="99"/>
  <c r="CI31" i="99"/>
  <c r="CH31" i="99"/>
  <c r="CG31" i="99"/>
  <c r="CF31" i="99"/>
  <c r="BK31" i="99"/>
  <c r="BE31" i="99"/>
  <c r="AU31" i="99"/>
  <c r="AT31" i="99"/>
  <c r="AS31" i="99"/>
  <c r="AQ31" i="99"/>
  <c r="AP31" i="99"/>
  <c r="AO31" i="99"/>
  <c r="AN31" i="99"/>
  <c r="AL31" i="99"/>
  <c r="AK31" i="99"/>
  <c r="AI31" i="99"/>
  <c r="V31" i="99"/>
  <c r="U31" i="99"/>
  <c r="T31" i="99"/>
  <c r="S31" i="99"/>
  <c r="R31" i="99"/>
  <c r="Q31" i="99"/>
  <c r="P31" i="99"/>
  <c r="O31" i="99"/>
  <c r="N31" i="99"/>
  <c r="M31" i="99"/>
  <c r="L31" i="99"/>
  <c r="K31" i="99"/>
  <c r="J31" i="99"/>
  <c r="I31" i="99"/>
  <c r="H31" i="99"/>
  <c r="G31" i="99"/>
  <c r="F31" i="99"/>
  <c r="E31" i="99"/>
  <c r="D31" i="99"/>
  <c r="C31" i="99"/>
  <c r="B31" i="99"/>
  <c r="CV27" i="99"/>
  <c r="CT27" i="99"/>
  <c r="CS27" i="99"/>
  <c r="CR27" i="99"/>
  <c r="CQ27" i="99"/>
  <c r="CP27" i="99"/>
  <c r="CO27" i="99"/>
  <c r="BK27" i="99"/>
  <c r="BE27" i="99"/>
  <c r="AT27" i="99"/>
  <c r="AS27" i="99"/>
  <c r="AQ27" i="99"/>
  <c r="AP27" i="99"/>
  <c r="AO27" i="99"/>
  <c r="AN27" i="99"/>
  <c r="AL27" i="99"/>
  <c r="AK27" i="99"/>
  <c r="AI27" i="99"/>
  <c r="V27" i="99"/>
  <c r="U27" i="99"/>
  <c r="T27" i="99"/>
  <c r="S27" i="99"/>
  <c r="R27" i="99"/>
  <c r="Q27" i="99"/>
  <c r="P27" i="99"/>
  <c r="O27" i="99"/>
  <c r="N27" i="99"/>
  <c r="M27" i="99"/>
  <c r="L27" i="99"/>
  <c r="K27" i="99"/>
  <c r="J27" i="99"/>
  <c r="I27" i="99"/>
  <c r="H27" i="99"/>
  <c r="G27" i="99"/>
  <c r="F27" i="99"/>
  <c r="E27" i="99"/>
  <c r="D27" i="99"/>
  <c r="C27" i="99"/>
  <c r="B27" i="99"/>
  <c r="AU26" i="99"/>
  <c r="AU34" i="99" s="1"/>
  <c r="AU25" i="99"/>
  <c r="AU33" i="99" s="1"/>
  <c r="CV23" i="99"/>
  <c r="CT23" i="99"/>
  <c r="CS23" i="99"/>
  <c r="CR23" i="99"/>
  <c r="CQ23" i="99"/>
  <c r="CP23" i="99"/>
  <c r="CO23" i="99"/>
  <c r="CN23" i="99"/>
  <c r="CM23" i="99"/>
  <c r="CL23" i="99"/>
  <c r="CK23" i="99"/>
  <c r="CJ23" i="99"/>
  <c r="CI23" i="99"/>
  <c r="CH23" i="99"/>
  <c r="CG23" i="99"/>
  <c r="CF23" i="99"/>
  <c r="BE23" i="99"/>
  <c r="AT23" i="99"/>
  <c r="AS23" i="99"/>
  <c r="AQ23" i="99"/>
  <c r="AP23" i="99"/>
  <c r="AO23" i="99"/>
  <c r="AN23" i="99"/>
  <c r="AL23" i="99"/>
  <c r="AK23" i="99"/>
  <c r="AI23" i="99"/>
  <c r="V23" i="99"/>
  <c r="U23" i="99"/>
  <c r="T23" i="99"/>
  <c r="S23" i="99"/>
  <c r="R23" i="99"/>
  <c r="Q23" i="99"/>
  <c r="P23" i="99"/>
  <c r="O23" i="99"/>
  <c r="N23" i="99"/>
  <c r="M23" i="99"/>
  <c r="L23" i="99"/>
  <c r="K23" i="99"/>
  <c r="J23" i="99"/>
  <c r="I23" i="99"/>
  <c r="H23" i="99"/>
  <c r="G23" i="99"/>
  <c r="F23" i="99"/>
  <c r="E23" i="99"/>
  <c r="D23" i="99"/>
  <c r="C23" i="99"/>
  <c r="B23" i="99"/>
  <c r="BK22" i="99"/>
  <c r="AU22" i="99"/>
  <c r="BK21" i="99"/>
  <c r="AU21" i="99"/>
  <c r="CV19" i="99"/>
  <c r="CT19" i="99"/>
  <c r="CS19" i="99"/>
  <c r="CR19" i="99"/>
  <c r="CQ19" i="99"/>
  <c r="CP19" i="99"/>
  <c r="CO19" i="99"/>
  <c r="CN19" i="99"/>
  <c r="CM19" i="99"/>
  <c r="CL19" i="99"/>
  <c r="CK19" i="99"/>
  <c r="CJ19" i="99"/>
  <c r="CI19" i="99"/>
  <c r="CH19" i="99"/>
  <c r="CG19" i="99"/>
  <c r="CF19" i="99"/>
  <c r="BK19" i="99"/>
  <c r="BE19" i="99"/>
  <c r="AU19" i="99"/>
  <c r="AT19" i="99"/>
  <c r="AS19" i="99"/>
  <c r="AQ19" i="99"/>
  <c r="AP19" i="99"/>
  <c r="AO19" i="99"/>
  <c r="AN19" i="99"/>
  <c r="AL19" i="99"/>
  <c r="AK19" i="99"/>
  <c r="AI19" i="99"/>
  <c r="V19" i="99"/>
  <c r="U19" i="99"/>
  <c r="T19" i="99"/>
  <c r="S19" i="99"/>
  <c r="R19" i="99"/>
  <c r="Q19" i="99"/>
  <c r="P19" i="99"/>
  <c r="O19" i="99"/>
  <c r="N19" i="99"/>
  <c r="M19" i="99"/>
  <c r="L19" i="99"/>
  <c r="K19" i="99"/>
  <c r="J19" i="99"/>
  <c r="I19" i="99"/>
  <c r="H19" i="99"/>
  <c r="G19" i="99"/>
  <c r="F19" i="99"/>
  <c r="E19" i="99"/>
  <c r="D19" i="99"/>
  <c r="C19" i="99"/>
  <c r="B19" i="99"/>
  <c r="CV15" i="99"/>
  <c r="CT15" i="99"/>
  <c r="CS15" i="99"/>
  <c r="CR15" i="99"/>
  <c r="CQ15" i="99"/>
  <c r="CP15" i="99"/>
  <c r="CO15" i="99"/>
  <c r="CN15" i="99"/>
  <c r="CM15" i="99"/>
  <c r="CL15" i="99"/>
  <c r="CK15" i="99"/>
  <c r="CJ15" i="99"/>
  <c r="CI15" i="99"/>
  <c r="CH15" i="99"/>
  <c r="CG15" i="99"/>
  <c r="CF15" i="99"/>
  <c r="BK15" i="99"/>
  <c r="BE15" i="99"/>
  <c r="AU15" i="99"/>
  <c r="AU23" i="99" s="1"/>
  <c r="AT15" i="99"/>
  <c r="AS15" i="99"/>
  <c r="AQ15" i="99"/>
  <c r="AP15" i="99"/>
  <c r="AO15" i="99"/>
  <c r="AN15" i="99"/>
  <c r="AL15" i="99"/>
  <c r="AK15" i="99"/>
  <c r="AI15" i="99"/>
  <c r="V15" i="99"/>
  <c r="U15" i="99"/>
  <c r="T15" i="99"/>
  <c r="S15" i="99"/>
  <c r="R15" i="99"/>
  <c r="Q15" i="99"/>
  <c r="P15" i="99"/>
  <c r="O15" i="99"/>
  <c r="N15" i="99"/>
  <c r="M15" i="99"/>
  <c r="L15" i="99"/>
  <c r="K15" i="99"/>
  <c r="J15" i="99"/>
  <c r="I15" i="99"/>
  <c r="H15" i="99"/>
  <c r="G15" i="99"/>
  <c r="F15" i="99"/>
  <c r="E15" i="99"/>
  <c r="D15" i="99"/>
  <c r="C15" i="99"/>
  <c r="B15" i="99"/>
  <c r="CW11" i="99"/>
  <c r="CV11" i="99"/>
  <c r="CT11" i="99"/>
  <c r="CS11" i="99"/>
  <c r="CR11" i="99"/>
  <c r="CQ11" i="99"/>
  <c r="CP11" i="99"/>
  <c r="CO11" i="99"/>
  <c r="CN11" i="99"/>
  <c r="CM11" i="99"/>
  <c r="CL11" i="99"/>
  <c r="CK11" i="99"/>
  <c r="CJ11" i="99"/>
  <c r="CI11" i="99"/>
  <c r="CH11" i="99"/>
  <c r="CG11" i="99"/>
  <c r="CF11" i="99"/>
  <c r="BK11" i="99"/>
  <c r="BE11" i="99"/>
  <c r="AU11" i="99"/>
  <c r="AT11" i="99"/>
  <c r="AS11" i="99"/>
  <c r="AQ11" i="99"/>
  <c r="AP11" i="99"/>
  <c r="AO11" i="99"/>
  <c r="AN11" i="99"/>
  <c r="AL11" i="99"/>
  <c r="AK11" i="99"/>
  <c r="AI11" i="99"/>
  <c r="V11" i="99"/>
  <c r="U11" i="99"/>
  <c r="T11" i="99"/>
  <c r="S11" i="99"/>
  <c r="R11" i="99"/>
  <c r="Q11" i="99"/>
  <c r="P11" i="99"/>
  <c r="O11" i="99"/>
  <c r="N11" i="99"/>
  <c r="M11" i="99"/>
  <c r="L11" i="99"/>
  <c r="K11" i="99"/>
  <c r="J11" i="99"/>
  <c r="I11" i="99"/>
  <c r="H11" i="99"/>
  <c r="G11" i="99"/>
  <c r="F11" i="99"/>
  <c r="E11" i="99"/>
  <c r="D11" i="99"/>
  <c r="C11" i="99"/>
  <c r="B11" i="99"/>
  <c r="CR35" i="98"/>
  <c r="CQ35" i="98"/>
  <c r="CP35" i="98"/>
  <c r="CO35" i="98"/>
  <c r="CD35" i="98"/>
  <c r="BD35" i="98"/>
  <c r="AO35" i="98"/>
  <c r="AN35" i="98"/>
  <c r="AM35" i="98"/>
  <c r="AK35" i="98"/>
  <c r="AJ35" i="98"/>
  <c r="AH35" i="98"/>
  <c r="AB35" i="98"/>
  <c r="V35" i="98"/>
  <c r="U35" i="98"/>
  <c r="T35" i="98"/>
  <c r="S35" i="98"/>
  <c r="R35" i="98"/>
  <c r="Q35" i="98"/>
  <c r="P35" i="98"/>
  <c r="O35" i="98"/>
  <c r="N35" i="98"/>
  <c r="M35" i="98"/>
  <c r="L35" i="98"/>
  <c r="K35" i="98"/>
  <c r="J35" i="98"/>
  <c r="I35" i="98"/>
  <c r="H35" i="98"/>
  <c r="G35" i="98"/>
  <c r="F35" i="98"/>
  <c r="E35" i="98"/>
  <c r="D35" i="98"/>
  <c r="C35" i="98"/>
  <c r="B35" i="98"/>
  <c r="CR31" i="98"/>
  <c r="CQ31" i="98"/>
  <c r="CP31" i="98"/>
  <c r="CO31" i="98"/>
  <c r="CN31" i="98"/>
  <c r="CM31" i="98"/>
  <c r="CL31" i="98"/>
  <c r="CK31" i="98"/>
  <c r="CJ31" i="98"/>
  <c r="CI31" i="98"/>
  <c r="CH31" i="98"/>
  <c r="CG31" i="98"/>
  <c r="CF31" i="98"/>
  <c r="CE31" i="98"/>
  <c r="BD31" i="98"/>
  <c r="AT31" i="98"/>
  <c r="AO31" i="98"/>
  <c r="AN31" i="98"/>
  <c r="AM31" i="98"/>
  <c r="AK31" i="98"/>
  <c r="AJ31" i="98"/>
  <c r="AH31" i="98"/>
  <c r="AB31" i="98"/>
  <c r="V31" i="98"/>
  <c r="U31" i="98"/>
  <c r="T31" i="98"/>
  <c r="S31" i="98"/>
  <c r="R31" i="98"/>
  <c r="Q31" i="98"/>
  <c r="P31" i="98"/>
  <c r="O31" i="98"/>
  <c r="N31" i="98"/>
  <c r="M31" i="98"/>
  <c r="L31" i="98"/>
  <c r="K31" i="98"/>
  <c r="J31" i="98"/>
  <c r="I31" i="98"/>
  <c r="H31" i="98"/>
  <c r="G31" i="98"/>
  <c r="F31" i="98"/>
  <c r="E31" i="98"/>
  <c r="D31" i="98"/>
  <c r="C31" i="98"/>
  <c r="B31" i="98"/>
  <c r="CR27" i="98"/>
  <c r="CQ27" i="98"/>
  <c r="CP27" i="98"/>
  <c r="CO27" i="98"/>
  <c r="AO27" i="98"/>
  <c r="AN27" i="98"/>
  <c r="AM27" i="98"/>
  <c r="AK27" i="98"/>
  <c r="AJ27" i="98"/>
  <c r="AH27" i="98"/>
  <c r="AB27" i="98"/>
  <c r="V27" i="98"/>
  <c r="U27" i="98"/>
  <c r="T27" i="98"/>
  <c r="S27" i="98"/>
  <c r="R27" i="98"/>
  <c r="Q27" i="98"/>
  <c r="P27" i="98"/>
  <c r="O27" i="98"/>
  <c r="N27" i="98"/>
  <c r="M27" i="98"/>
  <c r="L27" i="98"/>
  <c r="K27" i="98"/>
  <c r="J27" i="98"/>
  <c r="I27" i="98"/>
  <c r="H27" i="98"/>
  <c r="G27" i="98"/>
  <c r="F27" i="98"/>
  <c r="E27" i="98"/>
  <c r="D27" i="98"/>
  <c r="C27" i="98"/>
  <c r="B27" i="98"/>
  <c r="AT26" i="98"/>
  <c r="AT34" i="98" s="1"/>
  <c r="AT25" i="98"/>
  <c r="AT33" i="98" s="1"/>
  <c r="CR23" i="98"/>
  <c r="CQ23" i="98"/>
  <c r="CP23" i="98"/>
  <c r="CO23" i="98"/>
  <c r="BD23" i="98"/>
  <c r="AO23" i="98"/>
  <c r="AN23" i="98"/>
  <c r="AM23" i="98"/>
  <c r="AK23" i="98"/>
  <c r="AJ23" i="98"/>
  <c r="AH23" i="98"/>
  <c r="AB23" i="98"/>
  <c r="V23" i="98"/>
  <c r="U23" i="98"/>
  <c r="T23" i="98"/>
  <c r="S23" i="98"/>
  <c r="R23" i="98"/>
  <c r="Q23" i="98"/>
  <c r="P23" i="98"/>
  <c r="O23" i="98"/>
  <c r="N23" i="98"/>
  <c r="M23" i="98"/>
  <c r="L23" i="98"/>
  <c r="K23" i="98"/>
  <c r="J23" i="98"/>
  <c r="I23" i="98"/>
  <c r="H23" i="98"/>
  <c r="G23" i="98"/>
  <c r="F23" i="98"/>
  <c r="E23" i="98"/>
  <c r="D23" i="98"/>
  <c r="C23" i="98"/>
  <c r="B23" i="98"/>
  <c r="AT22" i="98"/>
  <c r="AT21" i="98"/>
  <c r="CR19" i="98"/>
  <c r="CQ19" i="98"/>
  <c r="CP19" i="98"/>
  <c r="CO19" i="98"/>
  <c r="CN19" i="98"/>
  <c r="CM19" i="98"/>
  <c r="CL19" i="98"/>
  <c r="CK19" i="98"/>
  <c r="CJ19" i="98"/>
  <c r="CI19" i="98"/>
  <c r="CH19" i="98"/>
  <c r="CG19" i="98"/>
  <c r="CF19" i="98"/>
  <c r="CE19" i="98"/>
  <c r="CD19" i="98"/>
  <c r="CD23" i="98" s="1"/>
  <c r="BD19" i="98"/>
  <c r="AT19" i="98"/>
  <c r="AO19" i="98"/>
  <c r="AN19" i="98"/>
  <c r="AM19" i="98"/>
  <c r="AK19" i="98"/>
  <c r="AJ19" i="98"/>
  <c r="AH19" i="98"/>
  <c r="AB19" i="98"/>
  <c r="V19" i="98"/>
  <c r="U19" i="98"/>
  <c r="T19" i="98"/>
  <c r="S19" i="98"/>
  <c r="R19" i="98"/>
  <c r="Q19" i="98"/>
  <c r="P19" i="98"/>
  <c r="O19" i="98"/>
  <c r="N19" i="98"/>
  <c r="M19" i="98"/>
  <c r="L19" i="98"/>
  <c r="K19" i="98"/>
  <c r="J19" i="98"/>
  <c r="I19" i="98"/>
  <c r="H19" i="98"/>
  <c r="G19" i="98"/>
  <c r="F19" i="98"/>
  <c r="E19" i="98"/>
  <c r="D19" i="98"/>
  <c r="C19" i="98"/>
  <c r="B19" i="98"/>
  <c r="CR15" i="98"/>
  <c r="CQ15" i="98"/>
  <c r="CP15" i="98"/>
  <c r="CO15" i="98"/>
  <c r="CN15" i="98"/>
  <c r="CN23" i="98" s="1"/>
  <c r="CM15" i="98"/>
  <c r="CL15" i="98"/>
  <c r="CK15" i="98"/>
  <c r="CJ15" i="98"/>
  <c r="CI15" i="98"/>
  <c r="CH15" i="98"/>
  <c r="CG15" i="98"/>
  <c r="CF15" i="98"/>
  <c r="CE15" i="98"/>
  <c r="BD15" i="98"/>
  <c r="AT15" i="98"/>
  <c r="AT23" i="98" s="1"/>
  <c r="AO15" i="98"/>
  <c r="AN15" i="98"/>
  <c r="AM15" i="98"/>
  <c r="AK15" i="98"/>
  <c r="AJ15" i="98"/>
  <c r="AH15" i="98"/>
  <c r="AB15" i="98"/>
  <c r="V15" i="98"/>
  <c r="U15" i="98"/>
  <c r="T15" i="98"/>
  <c r="S15" i="98"/>
  <c r="R15" i="98"/>
  <c r="Q15" i="98"/>
  <c r="P15" i="98"/>
  <c r="O15" i="98"/>
  <c r="N15" i="98"/>
  <c r="M15" i="98"/>
  <c r="L15" i="98"/>
  <c r="K15" i="98"/>
  <c r="J15" i="98"/>
  <c r="I15" i="98"/>
  <c r="H15" i="98"/>
  <c r="G15" i="98"/>
  <c r="F15" i="98"/>
  <c r="E15" i="98"/>
  <c r="D15" i="98"/>
  <c r="C15" i="98"/>
  <c r="B15" i="98"/>
  <c r="CR11" i="98"/>
  <c r="CQ11" i="98"/>
  <c r="CP11" i="98"/>
  <c r="CO11" i="98"/>
  <c r="CN11" i="98"/>
  <c r="CM11" i="98"/>
  <c r="CL11" i="98"/>
  <c r="CK11" i="98"/>
  <c r="CK27" i="98" s="1"/>
  <c r="CJ11" i="98"/>
  <c r="CI11" i="98"/>
  <c r="CH11" i="98"/>
  <c r="CG11" i="98"/>
  <c r="CF11" i="98"/>
  <c r="CE11" i="98"/>
  <c r="BD11" i="98"/>
  <c r="AT11" i="98"/>
  <c r="AO11" i="98"/>
  <c r="AN11" i="98"/>
  <c r="AM11" i="98"/>
  <c r="AK11" i="98"/>
  <c r="AJ11" i="98"/>
  <c r="AH11" i="98"/>
  <c r="AB11" i="98"/>
  <c r="V11" i="98"/>
  <c r="U11" i="98"/>
  <c r="T11" i="98"/>
  <c r="S11" i="98"/>
  <c r="R11" i="98"/>
  <c r="Q11" i="98"/>
  <c r="P11" i="98"/>
  <c r="O11" i="98"/>
  <c r="N11" i="98"/>
  <c r="M11" i="98"/>
  <c r="L11" i="98"/>
  <c r="K11" i="98"/>
  <c r="J11" i="98"/>
  <c r="I11" i="98"/>
  <c r="H11" i="98"/>
  <c r="G11" i="98"/>
  <c r="F11" i="98"/>
  <c r="E11" i="98"/>
  <c r="D11" i="98"/>
  <c r="C11" i="98"/>
  <c r="B11" i="98"/>
  <c r="BD12" i="97"/>
  <c r="BE12" i="97"/>
  <c r="BD14" i="97"/>
  <c r="BE14" i="97"/>
  <c r="CI27" i="99" l="1"/>
  <c r="AT27" i="102"/>
  <c r="CH27" i="99"/>
  <c r="AT35" i="102"/>
  <c r="AT23" i="101"/>
  <c r="CK27" i="99"/>
  <c r="CJ27" i="99"/>
  <c r="AT23" i="105"/>
  <c r="CN27" i="103"/>
  <c r="AT23" i="103"/>
  <c r="CG23" i="98"/>
  <c r="CK23" i="98"/>
  <c r="CK27" i="103"/>
  <c r="CG27" i="103"/>
  <c r="AT27" i="103"/>
  <c r="AT35" i="103" s="1"/>
  <c r="CE27" i="103"/>
  <c r="CN27" i="100"/>
  <c r="AT27" i="100"/>
  <c r="AT35" i="100" s="1"/>
  <c r="CF27" i="100"/>
  <c r="CI27" i="100"/>
  <c r="AT23" i="100"/>
  <c r="CK27" i="100"/>
  <c r="CF27" i="99"/>
  <c r="CM27" i="99"/>
  <c r="CE27" i="98"/>
  <c r="CE35" i="98" s="1"/>
  <c r="CI23" i="98"/>
  <c r="CF23" i="98"/>
  <c r="CF27" i="98"/>
  <c r="CF35" i="98" s="1"/>
  <c r="CJ23" i="98"/>
  <c r="CK35" i="98"/>
  <c r="CG27" i="98"/>
  <c r="CG35" i="98" s="1"/>
  <c r="BD27" i="98"/>
  <c r="CH23" i="98"/>
  <c r="CH27" i="98"/>
  <c r="CH35" i="98" s="1"/>
  <c r="CM27" i="98"/>
  <c r="CM35" i="98" s="1"/>
  <c r="CG27" i="99"/>
  <c r="CE27" i="100"/>
  <c r="CM27" i="103"/>
  <c r="CI27" i="98"/>
  <c r="CI35" i="98" s="1"/>
  <c r="CG27" i="100"/>
  <c r="BK35" i="99"/>
  <c r="CH27" i="100"/>
  <c r="CL23" i="98"/>
  <c r="CL27" i="98"/>
  <c r="CL35" i="98" s="1"/>
  <c r="CJ27" i="100"/>
  <c r="AT27" i="101"/>
  <c r="AT35" i="101" s="1"/>
  <c r="CF27" i="103"/>
  <c r="CJ27" i="98"/>
  <c r="CJ35" i="98" s="1"/>
  <c r="CN27" i="99"/>
  <c r="CL27" i="100"/>
  <c r="CH27" i="103"/>
  <c r="CL27" i="103"/>
  <c r="CE23" i="98"/>
  <c r="CN27" i="98"/>
  <c r="CN35" i="98" s="1"/>
  <c r="AT27" i="98"/>
  <c r="AT35" i="98" s="1"/>
  <c r="AU27" i="99"/>
  <c r="AU35" i="99" s="1"/>
  <c r="CM27" i="100"/>
  <c r="CI27" i="103"/>
  <c r="BK23" i="99"/>
  <c r="CL27" i="99"/>
  <c r="AT27" i="105"/>
  <c r="AT35" i="105" s="1"/>
  <c r="AT27" i="104"/>
  <c r="AT35" i="104" s="1"/>
  <c r="AT23" i="104"/>
  <c r="CM23" i="98"/>
  <c r="Y238" i="92"/>
  <c r="L245" i="86" l="1"/>
  <c r="M245" i="86"/>
  <c r="J245" i="86" s="1"/>
  <c r="G245" i="86"/>
  <c r="F245" i="86"/>
  <c r="H245" i="86"/>
  <c r="I245" i="86" l="1"/>
  <c r="E240" i="32"/>
  <c r="B240" i="32" l="1"/>
  <c r="H240" i="32" s="1"/>
  <c r="I240" i="32" l="1"/>
  <c r="R239" i="92" l="1"/>
  <c r="P239" i="92"/>
  <c r="N239" i="92"/>
  <c r="L239" i="92"/>
  <c r="J239" i="92"/>
  <c r="H239" i="92"/>
  <c r="F239" i="92"/>
  <c r="D239" i="92"/>
  <c r="L236" i="15"/>
  <c r="J236" i="15"/>
  <c r="H236" i="15"/>
  <c r="F236" i="15"/>
  <c r="D236" i="15"/>
  <c r="AD238" i="92" l="1"/>
  <c r="AB238" i="92"/>
  <c r="Z238" i="92"/>
  <c r="X238" i="92"/>
  <c r="V238" i="92"/>
  <c r="T238" i="92"/>
  <c r="R238" i="92"/>
  <c r="P238" i="92"/>
  <c r="N238" i="92"/>
  <c r="L238" i="92"/>
  <c r="J238" i="92"/>
  <c r="H238" i="92"/>
  <c r="F238" i="92"/>
  <c r="D238" i="92"/>
  <c r="L235" i="15"/>
  <c r="J235" i="15"/>
  <c r="H235" i="15"/>
  <c r="F235" i="15"/>
  <c r="D235" i="15"/>
  <c r="B239" i="32" l="1"/>
  <c r="H239" i="32" s="1"/>
  <c r="E239" i="32"/>
  <c r="I239" i="32" l="1"/>
  <c r="H244" i="86"/>
  <c r="L244" i="86"/>
  <c r="M244" i="86"/>
  <c r="J244" i="86" s="1"/>
  <c r="F244" i="86"/>
  <c r="G244" i="86"/>
  <c r="I244" i="86" l="1"/>
  <c r="AF219" i="25" l="1"/>
  <c r="AE219" i="25"/>
  <c r="AF206" i="25"/>
  <c r="AE206" i="25"/>
  <c r="AF193" i="25"/>
  <c r="AE193" i="25"/>
  <c r="AF180" i="25"/>
  <c r="AE180" i="25"/>
  <c r="AF167" i="25"/>
  <c r="AE167" i="25"/>
  <c r="AF154" i="25"/>
  <c r="AE154" i="25"/>
  <c r="AF141" i="25"/>
  <c r="AE141" i="25"/>
  <c r="AF128" i="25"/>
  <c r="AE128" i="25"/>
  <c r="Y237" i="92" l="1"/>
  <c r="E238" i="32" l="1"/>
  <c r="F243" i="86" l="1"/>
  <c r="G243" i="86"/>
  <c r="H243" i="86"/>
  <c r="L243" i="86"/>
  <c r="I243" i="86" s="1"/>
  <c r="M243" i="86"/>
  <c r="J243" i="86" s="1"/>
  <c r="AD219" i="25" l="1"/>
  <c r="AC219" i="25"/>
  <c r="AB219" i="25"/>
  <c r="AA219" i="25"/>
  <c r="Z219" i="25"/>
  <c r="Y219" i="25"/>
  <c r="X219" i="25"/>
  <c r="W219" i="25"/>
  <c r="V219" i="25"/>
  <c r="U219" i="25"/>
  <c r="T219" i="25"/>
  <c r="S219" i="25"/>
  <c r="R219" i="25"/>
  <c r="Q219" i="25"/>
  <c r="P219" i="25"/>
  <c r="O219" i="25"/>
  <c r="N219" i="25"/>
  <c r="M219" i="25"/>
  <c r="L219" i="25"/>
  <c r="K219" i="25"/>
  <c r="J219" i="25"/>
  <c r="I219" i="25"/>
  <c r="H219" i="25"/>
  <c r="G219" i="25"/>
  <c r="F219" i="25"/>
  <c r="E219" i="25"/>
  <c r="D219" i="25"/>
  <c r="C219" i="25"/>
  <c r="B219" i="25"/>
  <c r="AD206" i="25"/>
  <c r="AC206" i="25"/>
  <c r="AB206" i="25"/>
  <c r="AA206" i="25"/>
  <c r="Z206" i="25"/>
  <c r="Y206" i="25"/>
  <c r="X206" i="25"/>
  <c r="W206" i="25"/>
  <c r="V206" i="25"/>
  <c r="U206" i="25"/>
  <c r="T206" i="25"/>
  <c r="S206" i="25"/>
  <c r="R206" i="25"/>
  <c r="Q206" i="25"/>
  <c r="P206" i="25"/>
  <c r="O206" i="25"/>
  <c r="N206" i="25"/>
  <c r="M206" i="25"/>
  <c r="L206" i="25"/>
  <c r="K206" i="25"/>
  <c r="J206" i="25"/>
  <c r="I206" i="25"/>
  <c r="H206" i="25"/>
  <c r="G206" i="25"/>
  <c r="F206" i="25"/>
  <c r="E206" i="25"/>
  <c r="D206" i="25"/>
  <c r="C206" i="25"/>
  <c r="B206" i="25"/>
  <c r="J213" i="15" l="1"/>
  <c r="J214" i="15"/>
  <c r="J215" i="15"/>
  <c r="J216" i="15"/>
  <c r="J219" i="15"/>
  <c r="J220" i="15"/>
  <c r="J221" i="15"/>
  <c r="J222" i="15"/>
  <c r="J223" i="15"/>
  <c r="J224" i="15"/>
  <c r="J225" i="15"/>
  <c r="AD237" i="92" l="1"/>
  <c r="AB237" i="92"/>
  <c r="Z237" i="92"/>
  <c r="X237" i="92"/>
  <c r="V237" i="92"/>
  <c r="T237" i="92"/>
  <c r="R237" i="92"/>
  <c r="P237" i="92"/>
  <c r="N237" i="92"/>
  <c r="L237" i="92"/>
  <c r="J237" i="92"/>
  <c r="H237" i="92"/>
  <c r="F237" i="92"/>
  <c r="D237" i="92"/>
  <c r="L233" i="15"/>
  <c r="L234" i="15"/>
  <c r="J233" i="15"/>
  <c r="J234" i="15"/>
  <c r="H233" i="15"/>
  <c r="H234" i="15"/>
  <c r="F233" i="15"/>
  <c r="F234" i="15"/>
  <c r="D233" i="15"/>
  <c r="D234" i="15"/>
  <c r="E237" i="32" l="1"/>
  <c r="AH236" i="92" l="1"/>
  <c r="AF236" i="92"/>
  <c r="AD236" i="92"/>
  <c r="AB236" i="92"/>
  <c r="Y236" i="92"/>
  <c r="Z236" i="92" s="1"/>
  <c r="X236" i="92"/>
  <c r="V236" i="92"/>
  <c r="T236" i="92"/>
  <c r="R236" i="92"/>
  <c r="P236" i="92"/>
  <c r="N236" i="92"/>
  <c r="L236" i="92"/>
  <c r="J236" i="92"/>
  <c r="H236" i="92"/>
  <c r="F236" i="92"/>
  <c r="D236" i="92"/>
  <c r="L242" i="86" l="1"/>
  <c r="I242" i="86" s="1"/>
  <c r="M242" i="86"/>
  <c r="J242" i="86" s="1"/>
  <c r="F242" i="86"/>
  <c r="G242" i="86"/>
  <c r="H242" i="86"/>
  <c r="Y232" i="92" l="1"/>
  <c r="Y233" i="92"/>
  <c r="Y234" i="92"/>
  <c r="Y235" i="92"/>
  <c r="AH235" i="92" l="1"/>
  <c r="AF235" i="92"/>
  <c r="AD235" i="92"/>
  <c r="AB235" i="92"/>
  <c r="Z235" i="92"/>
  <c r="X235" i="92"/>
  <c r="V235" i="92"/>
  <c r="T235" i="92"/>
  <c r="R235" i="92"/>
  <c r="P235" i="92"/>
  <c r="N235" i="92"/>
  <c r="L235" i="92"/>
  <c r="J235" i="92"/>
  <c r="H235" i="92"/>
  <c r="F235" i="92"/>
  <c r="D235" i="92"/>
  <c r="D232" i="15"/>
  <c r="F232" i="15"/>
  <c r="H232" i="15"/>
  <c r="J232" i="15"/>
  <c r="L232" i="15"/>
  <c r="E236" i="32" l="1"/>
  <c r="G241" i="86" l="1"/>
  <c r="H241" i="86"/>
  <c r="L241" i="86"/>
  <c r="I241" i="86" s="1"/>
  <c r="M241" i="86"/>
  <c r="J241" i="86" s="1"/>
  <c r="F241" i="86"/>
  <c r="AH234" i="92" l="1"/>
  <c r="AF234" i="92"/>
  <c r="AD234" i="92"/>
  <c r="AB234" i="92"/>
  <c r="Z234" i="92"/>
  <c r="X234" i="92"/>
  <c r="V234" i="92"/>
  <c r="T234" i="92"/>
  <c r="R234" i="92"/>
  <c r="P234" i="92"/>
  <c r="N234" i="92"/>
  <c r="L234" i="92"/>
  <c r="J234" i="92"/>
  <c r="H234" i="92"/>
  <c r="F234" i="92"/>
  <c r="D234" i="92"/>
  <c r="AH233" i="92"/>
  <c r="AF233" i="92"/>
  <c r="AD233" i="92"/>
  <c r="AB233" i="92"/>
  <c r="Z233" i="92"/>
  <c r="X233" i="92"/>
  <c r="V233" i="92"/>
  <c r="T233" i="92"/>
  <c r="R233" i="92"/>
  <c r="P233" i="92"/>
  <c r="N233" i="92"/>
  <c r="L233" i="92"/>
  <c r="J233" i="92"/>
  <c r="H233" i="92"/>
  <c r="F233" i="92"/>
  <c r="D233" i="92"/>
  <c r="AH232" i="92"/>
  <c r="AF232" i="92"/>
  <c r="AD232" i="92"/>
  <c r="AB232" i="92"/>
  <c r="Z232" i="92"/>
  <c r="X232" i="92"/>
  <c r="V232" i="92"/>
  <c r="T232" i="92"/>
  <c r="R232" i="92"/>
  <c r="P232" i="92"/>
  <c r="N232" i="92"/>
  <c r="L232" i="92"/>
  <c r="J232" i="92"/>
  <c r="H232" i="92"/>
  <c r="F232" i="92"/>
  <c r="D232" i="92"/>
  <c r="AH231" i="92"/>
  <c r="AF231" i="92"/>
  <c r="AD231" i="92"/>
  <c r="AB231" i="92"/>
  <c r="Y231" i="92"/>
  <c r="Z231" i="92" s="1"/>
  <c r="X231" i="92"/>
  <c r="V231" i="92"/>
  <c r="T231" i="92"/>
  <c r="R231" i="92"/>
  <c r="P231" i="92"/>
  <c r="N231" i="92"/>
  <c r="L231" i="92"/>
  <c r="J231" i="92"/>
  <c r="H231" i="92"/>
  <c r="F231" i="92"/>
  <c r="D231" i="92"/>
  <c r="AH230" i="92"/>
  <c r="AF230" i="92"/>
  <c r="AD230" i="92"/>
  <c r="AB230" i="92"/>
  <c r="Y230" i="92"/>
  <c r="Z230" i="92" s="1"/>
  <c r="X230" i="92"/>
  <c r="V230" i="92"/>
  <c r="T230" i="92"/>
  <c r="R230" i="92"/>
  <c r="P230" i="92"/>
  <c r="N230" i="92"/>
  <c r="L230" i="92"/>
  <c r="J230" i="92"/>
  <c r="H230" i="92"/>
  <c r="F230" i="92"/>
  <c r="D230" i="92"/>
  <c r="AH228" i="92"/>
  <c r="AF228" i="92"/>
  <c r="AD228" i="92"/>
  <c r="AB228" i="92"/>
  <c r="Y228" i="92"/>
  <c r="Z228" i="92" s="1"/>
  <c r="X228" i="92"/>
  <c r="V228" i="92"/>
  <c r="T228" i="92"/>
  <c r="R228" i="92"/>
  <c r="P228" i="92"/>
  <c r="N228" i="92"/>
  <c r="L228" i="92"/>
  <c r="J228" i="92"/>
  <c r="H228" i="92"/>
  <c r="F228" i="92"/>
  <c r="D228" i="92"/>
  <c r="AH227" i="92"/>
  <c r="AF227" i="92"/>
  <c r="AD227" i="92"/>
  <c r="AB227" i="92"/>
  <c r="Y227" i="92"/>
  <c r="Z227" i="92" s="1"/>
  <c r="X227" i="92"/>
  <c r="V227" i="92"/>
  <c r="T227" i="92"/>
  <c r="R227" i="92"/>
  <c r="P227" i="92"/>
  <c r="N227" i="92"/>
  <c r="L227" i="92"/>
  <c r="J227" i="92"/>
  <c r="H227" i="92"/>
  <c r="F227" i="92"/>
  <c r="D227" i="92"/>
  <c r="AH226" i="92"/>
  <c r="AF226" i="92"/>
  <c r="AD226" i="92"/>
  <c r="AB226" i="92"/>
  <c r="Y226" i="92"/>
  <c r="Z226" i="92" s="1"/>
  <c r="X226" i="92"/>
  <c r="V226" i="92"/>
  <c r="T226" i="92"/>
  <c r="R226" i="92"/>
  <c r="P226" i="92"/>
  <c r="N226" i="92"/>
  <c r="L226" i="92"/>
  <c r="J226" i="92"/>
  <c r="H226" i="92"/>
  <c r="F226" i="92"/>
  <c r="D226" i="92"/>
  <c r="AH225" i="92"/>
  <c r="AF225" i="92"/>
  <c r="AD225" i="92"/>
  <c r="AB225" i="92"/>
  <c r="Y225" i="92"/>
  <c r="Z225" i="92" s="1"/>
  <c r="X225" i="92"/>
  <c r="V225" i="92"/>
  <c r="T225" i="92"/>
  <c r="R225" i="92"/>
  <c r="P225" i="92"/>
  <c r="N225" i="92"/>
  <c r="L225" i="92"/>
  <c r="J225" i="92"/>
  <c r="H225" i="92"/>
  <c r="F225" i="92"/>
  <c r="D225" i="92"/>
  <c r="AH224" i="92"/>
  <c r="AF224" i="92"/>
  <c r="AD224" i="92"/>
  <c r="AB224" i="92"/>
  <c r="Y224" i="92"/>
  <c r="Z224" i="92" s="1"/>
  <c r="X224" i="92"/>
  <c r="V224" i="92"/>
  <c r="T224" i="92"/>
  <c r="R224" i="92"/>
  <c r="P224" i="92"/>
  <c r="N224" i="92"/>
  <c r="L224" i="92"/>
  <c r="J224" i="92"/>
  <c r="H224" i="92"/>
  <c r="F224" i="92"/>
  <c r="D224" i="92"/>
  <c r="AH223" i="92"/>
  <c r="AF223" i="92"/>
  <c r="AD223" i="92"/>
  <c r="AB223" i="92"/>
  <c r="Y223" i="92"/>
  <c r="Z223" i="92" s="1"/>
  <c r="X223" i="92"/>
  <c r="V223" i="92"/>
  <c r="T223" i="92"/>
  <c r="R223" i="92"/>
  <c r="P223" i="92"/>
  <c r="N223" i="92"/>
  <c r="L223" i="92"/>
  <c r="J223" i="92"/>
  <c r="H223" i="92"/>
  <c r="F223" i="92"/>
  <c r="D223" i="92"/>
  <c r="AH222" i="92"/>
  <c r="AF222" i="92"/>
  <c r="AD222" i="92"/>
  <c r="AB222" i="92"/>
  <c r="Y222" i="92"/>
  <c r="Z222" i="92" s="1"/>
  <c r="X222" i="92"/>
  <c r="V222" i="92"/>
  <c r="T222" i="92"/>
  <c r="R222" i="92"/>
  <c r="P222" i="92"/>
  <c r="N222" i="92"/>
  <c r="L222" i="92"/>
  <c r="J222" i="92"/>
  <c r="H222" i="92"/>
  <c r="F222" i="92"/>
  <c r="D222" i="92"/>
  <c r="AH219" i="92"/>
  <c r="AF219" i="92"/>
  <c r="AD219" i="92"/>
  <c r="AB219" i="92"/>
  <c r="Y219" i="92"/>
  <c r="Z219" i="92" s="1"/>
  <c r="X219" i="92"/>
  <c r="V219" i="92"/>
  <c r="T219" i="92"/>
  <c r="R219" i="92"/>
  <c r="P219" i="92"/>
  <c r="N219" i="92"/>
  <c r="L219" i="92"/>
  <c r="J219" i="92"/>
  <c r="H219" i="92"/>
  <c r="F219" i="92"/>
  <c r="D219" i="92"/>
  <c r="AH218" i="92"/>
  <c r="AF218" i="92"/>
  <c r="AD218" i="92"/>
  <c r="AB218" i="92"/>
  <c r="Y218" i="92"/>
  <c r="Z218" i="92" s="1"/>
  <c r="X218" i="92"/>
  <c r="V218" i="92"/>
  <c r="T218" i="92"/>
  <c r="R218" i="92"/>
  <c r="P218" i="92"/>
  <c r="N218" i="92"/>
  <c r="L218" i="92"/>
  <c r="J218" i="92"/>
  <c r="H218" i="92"/>
  <c r="F218" i="92"/>
  <c r="D218" i="92"/>
  <c r="AH217" i="92"/>
  <c r="AF217" i="92"/>
  <c r="AD217" i="92"/>
  <c r="AB217" i="92"/>
  <c r="Y217" i="92"/>
  <c r="Z217" i="92" s="1"/>
  <c r="X217" i="92"/>
  <c r="V217" i="92"/>
  <c r="T217" i="92"/>
  <c r="R217" i="92"/>
  <c r="P217" i="92"/>
  <c r="N217" i="92"/>
  <c r="L217" i="92"/>
  <c r="J217" i="92"/>
  <c r="H217" i="92"/>
  <c r="F217" i="92"/>
  <c r="D217" i="92"/>
  <c r="AH215" i="92"/>
  <c r="AF215" i="92"/>
  <c r="AD215" i="92"/>
  <c r="AB215" i="92"/>
  <c r="Y215" i="92"/>
  <c r="Z215" i="92" s="1"/>
  <c r="X215" i="92"/>
  <c r="V215" i="92"/>
  <c r="T215" i="92"/>
  <c r="R215" i="92"/>
  <c r="P215" i="92"/>
  <c r="N215" i="92"/>
  <c r="L215" i="92"/>
  <c r="J215" i="92"/>
  <c r="H215" i="92"/>
  <c r="F215" i="92"/>
  <c r="D215" i="92"/>
  <c r="AH214" i="92"/>
  <c r="AF214" i="92"/>
  <c r="AD214" i="92"/>
  <c r="AB214" i="92"/>
  <c r="Y214" i="92"/>
  <c r="Z214" i="92" s="1"/>
  <c r="X214" i="92"/>
  <c r="V214" i="92"/>
  <c r="T214" i="92"/>
  <c r="R214" i="92"/>
  <c r="P214" i="92"/>
  <c r="N214" i="92"/>
  <c r="L214" i="92"/>
  <c r="J214" i="92"/>
  <c r="H214" i="92"/>
  <c r="F214" i="92"/>
  <c r="D214" i="92"/>
  <c r="AH213" i="92"/>
  <c r="AF213" i="92"/>
  <c r="AD213" i="92"/>
  <c r="AB213" i="92"/>
  <c r="Y213" i="92"/>
  <c r="Z213" i="92" s="1"/>
  <c r="X213" i="92"/>
  <c r="V213" i="92"/>
  <c r="T213" i="92"/>
  <c r="R213" i="92"/>
  <c r="P213" i="92"/>
  <c r="N213" i="92"/>
  <c r="L213" i="92"/>
  <c r="J213" i="92"/>
  <c r="H213" i="92"/>
  <c r="F213" i="92"/>
  <c r="D213" i="92"/>
  <c r="AH212" i="92"/>
  <c r="AF212" i="92"/>
  <c r="AD212" i="92"/>
  <c r="AB212" i="92"/>
  <c r="Y212" i="92"/>
  <c r="Z212" i="92" s="1"/>
  <c r="X212" i="92"/>
  <c r="V212" i="92"/>
  <c r="T212" i="92"/>
  <c r="R212" i="92"/>
  <c r="P212" i="92"/>
  <c r="N212" i="92"/>
  <c r="L212" i="92"/>
  <c r="J212" i="92"/>
  <c r="H212" i="92"/>
  <c r="F212" i="92"/>
  <c r="D212" i="92"/>
  <c r="AH211" i="92"/>
  <c r="AF211" i="92"/>
  <c r="AD211" i="92"/>
  <c r="AB211" i="92"/>
  <c r="Y211" i="92"/>
  <c r="Z211" i="92" s="1"/>
  <c r="X211" i="92"/>
  <c r="V211" i="92"/>
  <c r="T211" i="92"/>
  <c r="R211" i="92"/>
  <c r="P211" i="92"/>
  <c r="N211" i="92"/>
  <c r="L211" i="92"/>
  <c r="J211" i="92"/>
  <c r="H211" i="92"/>
  <c r="F211" i="92"/>
  <c r="D211" i="92"/>
  <c r="AH210" i="92"/>
  <c r="AF210" i="92"/>
  <c r="AD210" i="92"/>
  <c r="AB210" i="92"/>
  <c r="Z210" i="92"/>
  <c r="X210" i="92"/>
  <c r="V210" i="92"/>
  <c r="T210" i="92"/>
  <c r="R210" i="92"/>
  <c r="P210" i="92"/>
  <c r="N210" i="92"/>
  <c r="L210" i="92"/>
  <c r="J210" i="92"/>
  <c r="H210" i="92"/>
  <c r="F210" i="92"/>
  <c r="D210" i="92"/>
  <c r="AH209" i="92"/>
  <c r="AF209" i="92"/>
  <c r="AD209" i="92"/>
  <c r="AB209" i="92"/>
  <c r="Z209" i="92"/>
  <c r="X209" i="92"/>
  <c r="V209" i="92"/>
  <c r="T209" i="92"/>
  <c r="R209" i="92"/>
  <c r="P209" i="92"/>
  <c r="N209" i="92"/>
  <c r="L209" i="92"/>
  <c r="J209" i="92"/>
  <c r="H209" i="92"/>
  <c r="F209" i="92"/>
  <c r="D209" i="92"/>
  <c r="AH208" i="92"/>
  <c r="AF208" i="92"/>
  <c r="AD208" i="92"/>
  <c r="AB208" i="92"/>
  <c r="Z208" i="92"/>
  <c r="X208" i="92"/>
  <c r="V208" i="92"/>
  <c r="T208" i="92"/>
  <c r="R208" i="92"/>
  <c r="P208" i="92"/>
  <c r="N208" i="92"/>
  <c r="L208" i="92"/>
  <c r="J208" i="92"/>
  <c r="H208" i="92"/>
  <c r="F208" i="92"/>
  <c r="D208" i="92"/>
  <c r="AH207" i="92"/>
  <c r="AF207" i="92"/>
  <c r="AD207" i="92"/>
  <c r="AB207" i="92"/>
  <c r="Z207" i="92"/>
  <c r="X207" i="92"/>
  <c r="V207" i="92"/>
  <c r="T207" i="92"/>
  <c r="R207" i="92"/>
  <c r="P207" i="92"/>
  <c r="N207" i="92"/>
  <c r="L207" i="92"/>
  <c r="J207" i="92"/>
  <c r="H207" i="92"/>
  <c r="F207" i="92"/>
  <c r="D207" i="92"/>
  <c r="AH206" i="92"/>
  <c r="AF206" i="92"/>
  <c r="AD206" i="92"/>
  <c r="AB206" i="92"/>
  <c r="Z206" i="92"/>
  <c r="X206" i="92"/>
  <c r="V206" i="92"/>
  <c r="T206" i="92"/>
  <c r="R206" i="92"/>
  <c r="P206" i="92"/>
  <c r="N206" i="92"/>
  <c r="L206" i="92"/>
  <c r="J206" i="92"/>
  <c r="H206" i="92"/>
  <c r="F206" i="92"/>
  <c r="D206" i="92"/>
  <c r="AH205" i="92"/>
  <c r="AF205" i="92"/>
  <c r="AD205" i="92"/>
  <c r="AB205" i="92"/>
  <c r="Z205" i="92"/>
  <c r="X205" i="92"/>
  <c r="V205" i="92"/>
  <c r="T205" i="92"/>
  <c r="R205" i="92"/>
  <c r="P205" i="92"/>
  <c r="N205" i="92"/>
  <c r="L205" i="92"/>
  <c r="J205" i="92"/>
  <c r="H205" i="92"/>
  <c r="F205" i="92"/>
  <c r="D205" i="92"/>
  <c r="AH204" i="92"/>
  <c r="AF204" i="92"/>
  <c r="AD204" i="92"/>
  <c r="AB204" i="92"/>
  <c r="Z204" i="92"/>
  <c r="X204" i="92"/>
  <c r="V204" i="92"/>
  <c r="T204" i="92"/>
  <c r="R204" i="92"/>
  <c r="P204" i="92"/>
  <c r="N204" i="92"/>
  <c r="L204" i="92"/>
  <c r="J204" i="92"/>
  <c r="H204" i="92"/>
  <c r="F204" i="92"/>
  <c r="D204" i="92"/>
  <c r="AH202" i="92"/>
  <c r="AF202" i="92"/>
  <c r="AD202" i="92"/>
  <c r="AB202" i="92"/>
  <c r="Z202" i="92"/>
  <c r="X202" i="92"/>
  <c r="V202" i="92"/>
  <c r="T202" i="92"/>
  <c r="R202" i="92"/>
  <c r="P202" i="92"/>
  <c r="N202" i="92"/>
  <c r="L202" i="92"/>
  <c r="J202" i="92"/>
  <c r="H202" i="92"/>
  <c r="F202" i="92"/>
  <c r="D202" i="92"/>
  <c r="AH201" i="92"/>
  <c r="AF201" i="92"/>
  <c r="AD201" i="92"/>
  <c r="AB201" i="92"/>
  <c r="Z201" i="92"/>
  <c r="X201" i="92"/>
  <c r="V201" i="92"/>
  <c r="T201" i="92"/>
  <c r="R201" i="92"/>
  <c r="P201" i="92"/>
  <c r="N201" i="92"/>
  <c r="L201" i="92"/>
  <c r="J201" i="92"/>
  <c r="H201" i="92"/>
  <c r="F201" i="92"/>
  <c r="D201" i="92"/>
  <c r="AH200" i="92"/>
  <c r="AF200" i="92"/>
  <c r="AD200" i="92"/>
  <c r="AB200" i="92"/>
  <c r="Z200" i="92"/>
  <c r="X200" i="92"/>
  <c r="V200" i="92"/>
  <c r="T200" i="92"/>
  <c r="R200" i="92"/>
  <c r="P200" i="92"/>
  <c r="N200" i="92"/>
  <c r="L200" i="92"/>
  <c r="J200" i="92"/>
  <c r="H200" i="92"/>
  <c r="F200" i="92"/>
  <c r="D200" i="92"/>
  <c r="AH199" i="92"/>
  <c r="AF199" i="92"/>
  <c r="AD199" i="92"/>
  <c r="AB199" i="92"/>
  <c r="Z199" i="92"/>
  <c r="X199" i="92"/>
  <c r="V199" i="92"/>
  <c r="T199" i="92"/>
  <c r="R199" i="92"/>
  <c r="P199" i="92"/>
  <c r="N199" i="92"/>
  <c r="L199" i="92"/>
  <c r="J199" i="92"/>
  <c r="H199" i="92"/>
  <c r="F199" i="92"/>
  <c r="D199" i="92"/>
  <c r="AH198" i="92"/>
  <c r="AF198" i="92"/>
  <c r="AD198" i="92"/>
  <c r="AB198" i="92"/>
  <c r="Z198" i="92"/>
  <c r="X198" i="92"/>
  <c r="V198" i="92"/>
  <c r="T198" i="92"/>
  <c r="R198" i="92"/>
  <c r="P198" i="92"/>
  <c r="N198" i="92"/>
  <c r="L198" i="92"/>
  <c r="J198" i="92"/>
  <c r="H198" i="92"/>
  <c r="F198" i="92"/>
  <c r="D198" i="92"/>
  <c r="AH197" i="92"/>
  <c r="AF197" i="92"/>
  <c r="AD197" i="92"/>
  <c r="AB197" i="92"/>
  <c r="Z197" i="92"/>
  <c r="X197" i="92"/>
  <c r="V197" i="92"/>
  <c r="T197" i="92"/>
  <c r="R197" i="92"/>
  <c r="P197" i="92"/>
  <c r="N197" i="92"/>
  <c r="L197" i="92"/>
  <c r="J197" i="92"/>
  <c r="H197" i="92"/>
  <c r="F197" i="92"/>
  <c r="D197" i="92"/>
  <c r="AH196" i="92"/>
  <c r="AF196" i="92"/>
  <c r="AD196" i="92"/>
  <c r="AB196" i="92"/>
  <c r="Y196" i="92"/>
  <c r="Z196" i="92" s="1"/>
  <c r="X196" i="92"/>
  <c r="V196" i="92"/>
  <c r="T196" i="92"/>
  <c r="R196" i="92"/>
  <c r="P196" i="92"/>
  <c r="N196" i="92"/>
  <c r="L196" i="92"/>
  <c r="J196" i="92"/>
  <c r="H196" i="92"/>
  <c r="F196" i="92"/>
  <c r="D196" i="92"/>
  <c r="AH195" i="92"/>
  <c r="AF195" i="92"/>
  <c r="AD195" i="92"/>
  <c r="AB195" i="92"/>
  <c r="Z195" i="92"/>
  <c r="X195" i="92"/>
  <c r="V195" i="92"/>
  <c r="T195" i="92"/>
  <c r="R195" i="92"/>
  <c r="P195" i="92"/>
  <c r="N195" i="92"/>
  <c r="L195" i="92"/>
  <c r="J195" i="92"/>
  <c r="H195" i="92"/>
  <c r="F195" i="92"/>
  <c r="D195" i="92"/>
  <c r="AH194" i="92"/>
  <c r="AF194" i="92"/>
  <c r="AD194" i="92"/>
  <c r="AB194" i="92"/>
  <c r="Z194" i="92"/>
  <c r="X194" i="92"/>
  <c r="V194" i="92"/>
  <c r="T194" i="92"/>
  <c r="R194" i="92"/>
  <c r="P194" i="92"/>
  <c r="N194" i="92"/>
  <c r="L194" i="92"/>
  <c r="J194" i="92"/>
  <c r="H194" i="92"/>
  <c r="F194" i="92"/>
  <c r="D194" i="92"/>
  <c r="AH193" i="92"/>
  <c r="AF193" i="92"/>
  <c r="AD193" i="92"/>
  <c r="AB193" i="92"/>
  <c r="Z193" i="92"/>
  <c r="X193" i="92"/>
  <c r="V193" i="92"/>
  <c r="T193" i="92"/>
  <c r="R193" i="92"/>
  <c r="P193" i="92"/>
  <c r="N193" i="92"/>
  <c r="L193" i="92"/>
  <c r="J193" i="92"/>
  <c r="H193" i="92"/>
  <c r="F193" i="92"/>
  <c r="D193" i="92"/>
  <c r="AH192" i="92"/>
  <c r="AF192" i="92"/>
  <c r="AD192" i="92"/>
  <c r="AB192" i="92"/>
  <c r="Z192" i="92"/>
  <c r="X192" i="92"/>
  <c r="V192" i="92"/>
  <c r="T192" i="92"/>
  <c r="R192" i="92"/>
  <c r="P192" i="92"/>
  <c r="N192" i="92"/>
  <c r="L192" i="92"/>
  <c r="J192" i="92"/>
  <c r="H192" i="92"/>
  <c r="F192" i="92"/>
  <c r="D192" i="92"/>
  <c r="AH191" i="92"/>
  <c r="AF191" i="92"/>
  <c r="AD191" i="92"/>
  <c r="AB191" i="92"/>
  <c r="Z191" i="92"/>
  <c r="X191" i="92"/>
  <c r="V191" i="92"/>
  <c r="T191" i="92"/>
  <c r="R191" i="92"/>
  <c r="P191" i="92"/>
  <c r="N191" i="92"/>
  <c r="L191" i="92"/>
  <c r="J191" i="92"/>
  <c r="H191" i="92"/>
  <c r="F191" i="92"/>
  <c r="D191" i="92"/>
  <c r="T189" i="92"/>
  <c r="T188" i="92"/>
  <c r="T187" i="92"/>
  <c r="T186" i="92"/>
  <c r="T185" i="92"/>
  <c r="T184" i="92"/>
  <c r="T183" i="92"/>
  <c r="T182" i="92"/>
  <c r="T181" i="92"/>
  <c r="T180" i="92"/>
  <c r="T179" i="92"/>
  <c r="T178" i="92"/>
  <c r="T176" i="92"/>
  <c r="T175" i="92"/>
  <c r="T174" i="92"/>
  <c r="T173" i="92"/>
  <c r="T172" i="92"/>
  <c r="T171" i="92"/>
  <c r="T170" i="92"/>
  <c r="T169" i="92"/>
  <c r="T168" i="92"/>
  <c r="T167" i="92"/>
  <c r="T166" i="92"/>
  <c r="AH165" i="92"/>
  <c r="AF165" i="92"/>
  <c r="AD165" i="92"/>
  <c r="AB165" i="92"/>
  <c r="Y165" i="92"/>
  <c r="Z165" i="92" s="1"/>
  <c r="X165" i="92"/>
  <c r="V165" i="92"/>
  <c r="T165" i="92"/>
  <c r="R165" i="92"/>
  <c r="P165" i="92"/>
  <c r="N165" i="92"/>
  <c r="L165" i="92"/>
  <c r="J165" i="92"/>
  <c r="H165" i="92"/>
  <c r="F165" i="92"/>
  <c r="D165" i="92"/>
  <c r="AH163" i="92"/>
  <c r="AF163" i="92"/>
  <c r="AD163" i="92"/>
  <c r="AB163" i="92"/>
  <c r="Y163" i="92"/>
  <c r="Z163" i="92" s="1"/>
  <c r="X163" i="92"/>
  <c r="V163" i="92"/>
  <c r="T163" i="92"/>
  <c r="R163" i="92"/>
  <c r="P163" i="92"/>
  <c r="N163" i="92"/>
  <c r="L163" i="92"/>
  <c r="J163" i="92"/>
  <c r="H163" i="92"/>
  <c r="F163" i="92"/>
  <c r="AH162" i="92"/>
  <c r="AF162" i="92"/>
  <c r="AD162" i="92"/>
  <c r="AB162" i="92"/>
  <c r="Y162" i="92"/>
  <c r="Z162" i="92" s="1"/>
  <c r="X162" i="92"/>
  <c r="V162" i="92"/>
  <c r="T162" i="92"/>
  <c r="R162" i="92"/>
  <c r="P162" i="92"/>
  <c r="N162" i="92"/>
  <c r="L162" i="92"/>
  <c r="J162" i="92"/>
  <c r="H162" i="92"/>
  <c r="F162" i="92"/>
  <c r="D162" i="92"/>
  <c r="T159" i="92"/>
  <c r="T158" i="92"/>
  <c r="T157" i="92"/>
  <c r="T156" i="92"/>
  <c r="T155" i="92"/>
  <c r="AH154" i="92"/>
  <c r="AF154" i="92"/>
  <c r="AD154" i="92"/>
  <c r="AB154" i="92"/>
  <c r="Y154" i="92"/>
  <c r="Z154" i="92" s="1"/>
  <c r="X154" i="92"/>
  <c r="V154" i="92"/>
  <c r="T154" i="92"/>
  <c r="R154" i="92"/>
  <c r="P154" i="92"/>
  <c r="N154" i="92"/>
  <c r="L154" i="92"/>
  <c r="J154" i="92"/>
  <c r="H154" i="92"/>
  <c r="F154" i="92"/>
  <c r="D154" i="92"/>
  <c r="AH153" i="92"/>
  <c r="AF153" i="92"/>
  <c r="AD153" i="92"/>
  <c r="AB153" i="92"/>
  <c r="Y153" i="92"/>
  <c r="Z153" i="92" s="1"/>
  <c r="X153" i="92"/>
  <c r="T153" i="92"/>
  <c r="F153" i="92"/>
  <c r="AH152" i="92"/>
  <c r="AF152" i="92"/>
  <c r="AD152" i="92"/>
  <c r="AB152" i="92"/>
  <c r="Y152" i="92"/>
  <c r="Z152" i="92" s="1"/>
  <c r="X152" i="92"/>
  <c r="T152" i="92"/>
  <c r="P152" i="92"/>
  <c r="N152" i="92"/>
  <c r="L152" i="92"/>
  <c r="J152" i="92"/>
  <c r="H152" i="92"/>
  <c r="F152" i="92"/>
  <c r="D152" i="92"/>
  <c r="AI150" i="92"/>
  <c r="S150" i="92"/>
  <c r="C150" i="92"/>
  <c r="B150" i="92"/>
  <c r="P150" i="92" s="1"/>
  <c r="T149" i="92"/>
  <c r="R149" i="92"/>
  <c r="L149" i="92"/>
  <c r="AH148" i="92"/>
  <c r="AF148" i="92"/>
  <c r="AD148" i="92"/>
  <c r="AB148" i="92"/>
  <c r="Y148" i="92"/>
  <c r="Z148" i="92" s="1"/>
  <c r="X148" i="92"/>
  <c r="V148" i="92"/>
  <c r="T148" i="92"/>
  <c r="R148" i="92"/>
  <c r="P148" i="92"/>
  <c r="N148" i="92"/>
  <c r="L148" i="92"/>
  <c r="J148" i="92"/>
  <c r="H148" i="92"/>
  <c r="F148" i="92"/>
  <c r="D148" i="92"/>
  <c r="AH147" i="92"/>
  <c r="AF147" i="92"/>
  <c r="AD147" i="92"/>
  <c r="AB147" i="92"/>
  <c r="Y147" i="92"/>
  <c r="Z147" i="92" s="1"/>
  <c r="X147" i="92"/>
  <c r="V147" i="92"/>
  <c r="T147" i="92"/>
  <c r="R147" i="92"/>
  <c r="P147" i="92"/>
  <c r="N147" i="92"/>
  <c r="L147" i="92"/>
  <c r="J147" i="92"/>
  <c r="H147" i="92"/>
  <c r="F147" i="92"/>
  <c r="D147" i="92"/>
  <c r="AH146" i="92"/>
  <c r="AF146" i="92"/>
  <c r="AD146" i="92"/>
  <c r="AB146" i="92"/>
  <c r="Y146" i="92"/>
  <c r="Z146" i="92" s="1"/>
  <c r="X146" i="92"/>
  <c r="V146" i="92"/>
  <c r="T146" i="92"/>
  <c r="R146" i="92"/>
  <c r="P146" i="92"/>
  <c r="N146" i="92"/>
  <c r="L146" i="92"/>
  <c r="J146" i="92"/>
  <c r="H146" i="92"/>
  <c r="F146" i="92"/>
  <c r="D146" i="92"/>
  <c r="AI145" i="92"/>
  <c r="AG145" i="92"/>
  <c r="AH145" i="92" s="1"/>
  <c r="AE145" i="92"/>
  <c r="AF145" i="92" s="1"/>
  <c r="AC145" i="92"/>
  <c r="AD145" i="92" s="1"/>
  <c r="AB145" i="92"/>
  <c r="X145" i="92"/>
  <c r="V145" i="92"/>
  <c r="T145" i="92"/>
  <c r="R145" i="92"/>
  <c r="O145" i="92"/>
  <c r="P145" i="92" s="1"/>
  <c r="M145" i="92"/>
  <c r="N145" i="92" s="1"/>
  <c r="K145" i="92"/>
  <c r="L145" i="92" s="1"/>
  <c r="J145" i="92"/>
  <c r="G145" i="92"/>
  <c r="F145" i="92"/>
  <c r="D145" i="92"/>
  <c r="AH144" i="92"/>
  <c r="AF144" i="92"/>
  <c r="AD144" i="92"/>
  <c r="AB144" i="92"/>
  <c r="Y144" i="92"/>
  <c r="Z144" i="92" s="1"/>
  <c r="X144" i="92"/>
  <c r="V144" i="92"/>
  <c r="T144" i="92"/>
  <c r="R144" i="92"/>
  <c r="P144" i="92"/>
  <c r="N144" i="92"/>
  <c r="L144" i="92"/>
  <c r="J144" i="92"/>
  <c r="H144" i="92"/>
  <c r="F144" i="92"/>
  <c r="D144" i="92"/>
  <c r="AH143" i="92"/>
  <c r="AF143" i="92"/>
  <c r="AD143" i="92"/>
  <c r="AB143" i="92"/>
  <c r="Y143" i="92"/>
  <c r="Z143" i="92" s="1"/>
  <c r="X143" i="92"/>
  <c r="V143" i="92"/>
  <c r="T143" i="92"/>
  <c r="R143" i="92"/>
  <c r="P143" i="92"/>
  <c r="N143" i="92"/>
  <c r="L143" i="92"/>
  <c r="J143" i="92"/>
  <c r="H143" i="92"/>
  <c r="F143" i="92"/>
  <c r="D143" i="92"/>
  <c r="AH142" i="92"/>
  <c r="AF142" i="92"/>
  <c r="AD142" i="92"/>
  <c r="AB142" i="92"/>
  <c r="Y142" i="92"/>
  <c r="Z142" i="92" s="1"/>
  <c r="X142" i="92"/>
  <c r="V142" i="92"/>
  <c r="T142" i="92"/>
  <c r="R142" i="92"/>
  <c r="P142" i="92"/>
  <c r="N142" i="92"/>
  <c r="L142" i="92"/>
  <c r="J142" i="92"/>
  <c r="H142" i="92"/>
  <c r="F142" i="92"/>
  <c r="D142" i="92"/>
  <c r="AH141" i="92"/>
  <c r="AF141" i="92"/>
  <c r="AD141" i="92"/>
  <c r="AB141" i="92"/>
  <c r="Y141" i="92"/>
  <c r="Z141" i="92" s="1"/>
  <c r="X141" i="92"/>
  <c r="V141" i="92"/>
  <c r="T141" i="92"/>
  <c r="R141" i="92"/>
  <c r="P141" i="92"/>
  <c r="N141" i="92"/>
  <c r="L141" i="92"/>
  <c r="J141" i="92"/>
  <c r="H141" i="92"/>
  <c r="F141" i="92"/>
  <c r="D141" i="92"/>
  <c r="AH140" i="92"/>
  <c r="AF140" i="92"/>
  <c r="AD140" i="92"/>
  <c r="AB140" i="92"/>
  <c r="Y140" i="92"/>
  <c r="Z140" i="92" s="1"/>
  <c r="X140" i="92"/>
  <c r="V140" i="92"/>
  <c r="T140" i="92"/>
  <c r="R140" i="92"/>
  <c r="P140" i="92"/>
  <c r="N140" i="92"/>
  <c r="L140" i="92"/>
  <c r="J140" i="92"/>
  <c r="H140" i="92"/>
  <c r="F140" i="92"/>
  <c r="D140" i="92"/>
  <c r="AH139" i="92"/>
  <c r="AF139" i="92"/>
  <c r="AD139" i="92"/>
  <c r="AB139" i="92"/>
  <c r="Y139" i="92"/>
  <c r="Z139" i="92" s="1"/>
  <c r="X139" i="92"/>
  <c r="V139" i="92"/>
  <c r="T139" i="92"/>
  <c r="R139" i="92"/>
  <c r="P139" i="92"/>
  <c r="N139" i="92"/>
  <c r="L139" i="92"/>
  <c r="J139" i="92"/>
  <c r="H139" i="92"/>
  <c r="F139" i="92"/>
  <c r="D139" i="92"/>
  <c r="AH137" i="92"/>
  <c r="AF137" i="92"/>
  <c r="AD137" i="92"/>
  <c r="AB137" i="92"/>
  <c r="Y137" i="92"/>
  <c r="Z137" i="92" s="1"/>
  <c r="X137" i="92"/>
  <c r="V137" i="92"/>
  <c r="T137" i="92"/>
  <c r="R137" i="92"/>
  <c r="P137" i="92"/>
  <c r="N137" i="92"/>
  <c r="L137" i="92"/>
  <c r="J137" i="92"/>
  <c r="H137" i="92"/>
  <c r="F137" i="92"/>
  <c r="D137" i="92"/>
  <c r="AH136" i="92"/>
  <c r="AF136" i="92"/>
  <c r="AD136" i="92"/>
  <c r="AB136" i="92"/>
  <c r="Y136" i="92"/>
  <c r="Z136" i="92" s="1"/>
  <c r="X136" i="92"/>
  <c r="V136" i="92"/>
  <c r="T136" i="92"/>
  <c r="R136" i="92"/>
  <c r="P136" i="92"/>
  <c r="N136" i="92"/>
  <c r="L136" i="92"/>
  <c r="J136" i="92"/>
  <c r="H136" i="92"/>
  <c r="F136" i="92"/>
  <c r="D136" i="92"/>
  <c r="AH135" i="92"/>
  <c r="AF135" i="92"/>
  <c r="AD135" i="92"/>
  <c r="AB135" i="92"/>
  <c r="Y135" i="92"/>
  <c r="Z135" i="92" s="1"/>
  <c r="X135" i="92"/>
  <c r="V135" i="92"/>
  <c r="T135" i="92"/>
  <c r="R135" i="92"/>
  <c r="P135" i="92"/>
  <c r="N135" i="92"/>
  <c r="L135" i="92"/>
  <c r="J135" i="92"/>
  <c r="H135" i="92"/>
  <c r="F135" i="92"/>
  <c r="D135" i="92"/>
  <c r="AH134" i="92"/>
  <c r="AF134" i="92"/>
  <c r="AD134" i="92"/>
  <c r="AB134" i="92"/>
  <c r="Y134" i="92"/>
  <c r="Z134" i="92" s="1"/>
  <c r="X134" i="92"/>
  <c r="V134" i="92"/>
  <c r="T134" i="92"/>
  <c r="R134" i="92"/>
  <c r="P134" i="92"/>
  <c r="N134" i="92"/>
  <c r="L134" i="92"/>
  <c r="J134" i="92"/>
  <c r="H134" i="92"/>
  <c r="F134" i="92"/>
  <c r="D134" i="92"/>
  <c r="AH133" i="92"/>
  <c r="AF133" i="92"/>
  <c r="AD133" i="92"/>
  <c r="AB133" i="92"/>
  <c r="Y133" i="92"/>
  <c r="Z133" i="92" s="1"/>
  <c r="X133" i="92"/>
  <c r="V133" i="92"/>
  <c r="T133" i="92"/>
  <c r="R133" i="92"/>
  <c r="P133" i="92"/>
  <c r="N133" i="92"/>
  <c r="L133" i="92"/>
  <c r="J133" i="92"/>
  <c r="H133" i="92"/>
  <c r="F133" i="92"/>
  <c r="D133" i="92"/>
  <c r="AH132" i="92"/>
  <c r="AF132" i="92"/>
  <c r="AD132" i="92"/>
  <c r="AB132" i="92"/>
  <c r="Y132" i="92"/>
  <c r="Z132" i="92" s="1"/>
  <c r="X132" i="92"/>
  <c r="V132" i="92"/>
  <c r="T132" i="92"/>
  <c r="R132" i="92"/>
  <c r="P132" i="92"/>
  <c r="N132" i="92"/>
  <c r="L132" i="92"/>
  <c r="J132" i="92"/>
  <c r="H132" i="92"/>
  <c r="F132" i="92"/>
  <c r="D132" i="92"/>
  <c r="AH131" i="92"/>
  <c r="AF131" i="92"/>
  <c r="AD131" i="92"/>
  <c r="AB131" i="92"/>
  <c r="Y131" i="92"/>
  <c r="Z131" i="92" s="1"/>
  <c r="X131" i="92"/>
  <c r="V131" i="92"/>
  <c r="T131" i="92"/>
  <c r="R131" i="92"/>
  <c r="P131" i="92"/>
  <c r="N131" i="92"/>
  <c r="L131" i="92"/>
  <c r="J131" i="92"/>
  <c r="H131" i="92"/>
  <c r="F131" i="92"/>
  <c r="D131" i="92"/>
  <c r="AH130" i="92"/>
  <c r="AF130" i="92"/>
  <c r="AD130" i="92"/>
  <c r="AB130" i="92"/>
  <c r="Y130" i="92"/>
  <c r="Z130" i="92" s="1"/>
  <c r="X130" i="92"/>
  <c r="V130" i="92"/>
  <c r="T130" i="92"/>
  <c r="R130" i="92"/>
  <c r="P130" i="92"/>
  <c r="N130" i="92"/>
  <c r="L130" i="92"/>
  <c r="J130" i="92"/>
  <c r="H130" i="92"/>
  <c r="F130" i="92"/>
  <c r="D130" i="92"/>
  <c r="AH129" i="92"/>
  <c r="AF129" i="92"/>
  <c r="AD129" i="92"/>
  <c r="AB129" i="92"/>
  <c r="Y129" i="92"/>
  <c r="Z129" i="92" s="1"/>
  <c r="X129" i="92"/>
  <c r="V129" i="92"/>
  <c r="T129" i="92"/>
  <c r="R129" i="92"/>
  <c r="P129" i="92"/>
  <c r="N129" i="92"/>
  <c r="L129" i="92"/>
  <c r="J129" i="92"/>
  <c r="H129" i="92"/>
  <c r="F129" i="92"/>
  <c r="D129" i="92"/>
  <c r="AH128" i="92"/>
  <c r="AF128" i="92"/>
  <c r="AD128" i="92"/>
  <c r="AB128" i="92"/>
  <c r="Y128" i="92"/>
  <c r="Z128" i="92" s="1"/>
  <c r="X128" i="92"/>
  <c r="V128" i="92"/>
  <c r="T128" i="92"/>
  <c r="R128" i="92"/>
  <c r="P128" i="92"/>
  <c r="N128" i="92"/>
  <c r="L128" i="92"/>
  <c r="J128" i="92"/>
  <c r="H128" i="92"/>
  <c r="F128" i="92"/>
  <c r="D128" i="92"/>
  <c r="AH127" i="92"/>
  <c r="AF127" i="92"/>
  <c r="AD127" i="92"/>
  <c r="AB127" i="92"/>
  <c r="Y127" i="92"/>
  <c r="Z127" i="92" s="1"/>
  <c r="X127" i="92"/>
  <c r="V127" i="92"/>
  <c r="T127" i="92"/>
  <c r="R127" i="92"/>
  <c r="P127" i="92"/>
  <c r="N127" i="92"/>
  <c r="L127" i="92"/>
  <c r="J127" i="92"/>
  <c r="H127" i="92"/>
  <c r="F127" i="92"/>
  <c r="D127" i="92"/>
  <c r="AH126" i="92"/>
  <c r="AF126" i="92"/>
  <c r="AD126" i="92"/>
  <c r="AB126" i="92"/>
  <c r="Y126" i="92"/>
  <c r="Z126" i="92" s="1"/>
  <c r="X126" i="92"/>
  <c r="V126" i="92"/>
  <c r="T126" i="92"/>
  <c r="R126" i="92"/>
  <c r="P126" i="92"/>
  <c r="N126" i="92"/>
  <c r="L126" i="92"/>
  <c r="J126" i="92"/>
  <c r="H126" i="92"/>
  <c r="F126" i="92"/>
  <c r="D126" i="92"/>
  <c r="AH124" i="92"/>
  <c r="AF124" i="92"/>
  <c r="AD124" i="92"/>
  <c r="AB124" i="92"/>
  <c r="Y124" i="92"/>
  <c r="Z124" i="92" s="1"/>
  <c r="X124" i="92"/>
  <c r="V124" i="92"/>
  <c r="T124" i="92"/>
  <c r="R124" i="92"/>
  <c r="P124" i="92"/>
  <c r="N124" i="92"/>
  <c r="L124" i="92"/>
  <c r="J124" i="92"/>
  <c r="H124" i="92"/>
  <c r="F124" i="92"/>
  <c r="D124" i="92"/>
  <c r="AH123" i="92"/>
  <c r="AF123" i="92"/>
  <c r="AD123" i="92"/>
  <c r="AB123" i="92"/>
  <c r="Y123" i="92"/>
  <c r="Z123" i="92" s="1"/>
  <c r="X123" i="92"/>
  <c r="V123" i="92"/>
  <c r="T123" i="92"/>
  <c r="R123" i="92"/>
  <c r="P123" i="92"/>
  <c r="N123" i="92"/>
  <c r="L123" i="92"/>
  <c r="J123" i="92"/>
  <c r="H123" i="92"/>
  <c r="F123" i="92"/>
  <c r="D123" i="92"/>
  <c r="AH122" i="92"/>
  <c r="AF122" i="92"/>
  <c r="AD122" i="92"/>
  <c r="AB122" i="92"/>
  <c r="Y122" i="92"/>
  <c r="Z122" i="92" s="1"/>
  <c r="X122" i="92"/>
  <c r="V122" i="92"/>
  <c r="T122" i="92"/>
  <c r="R122" i="92"/>
  <c r="P122" i="92"/>
  <c r="N122" i="92"/>
  <c r="L122" i="92"/>
  <c r="J122" i="92"/>
  <c r="H122" i="92"/>
  <c r="F122" i="92"/>
  <c r="D122" i="92"/>
  <c r="AH121" i="92"/>
  <c r="AF121" i="92"/>
  <c r="AD121" i="92"/>
  <c r="AB121" i="92"/>
  <c r="Y121" i="92"/>
  <c r="Z121" i="92" s="1"/>
  <c r="X121" i="92"/>
  <c r="V121" i="92"/>
  <c r="T121" i="92"/>
  <c r="R121" i="92"/>
  <c r="P121" i="92"/>
  <c r="N121" i="92"/>
  <c r="L121" i="92"/>
  <c r="J121" i="92"/>
  <c r="H121" i="92"/>
  <c r="F121" i="92"/>
  <c r="D121" i="92"/>
  <c r="AH120" i="92"/>
  <c r="AF120" i="92"/>
  <c r="AD120" i="92"/>
  <c r="AB120" i="92"/>
  <c r="Y120" i="92"/>
  <c r="Z120" i="92" s="1"/>
  <c r="X120" i="92"/>
  <c r="V120" i="92"/>
  <c r="T120" i="92"/>
  <c r="R120" i="92"/>
  <c r="P120" i="92"/>
  <c r="N120" i="92"/>
  <c r="L120" i="92"/>
  <c r="J120" i="92"/>
  <c r="H120" i="92"/>
  <c r="F120" i="92"/>
  <c r="D120" i="92"/>
  <c r="AH119" i="92"/>
  <c r="AF119" i="92"/>
  <c r="AD119" i="92"/>
  <c r="AB119" i="92"/>
  <c r="Y119" i="92"/>
  <c r="Z119" i="92" s="1"/>
  <c r="X119" i="92"/>
  <c r="V119" i="92"/>
  <c r="T119" i="92"/>
  <c r="R119" i="92"/>
  <c r="P119" i="92"/>
  <c r="N119" i="92"/>
  <c r="L119" i="92"/>
  <c r="J119" i="92"/>
  <c r="H119" i="92"/>
  <c r="F119" i="92"/>
  <c r="D119" i="92"/>
  <c r="AH118" i="92"/>
  <c r="AF118" i="92"/>
  <c r="AD118" i="92"/>
  <c r="AB118" i="92"/>
  <c r="Y118" i="92"/>
  <c r="Z118" i="92" s="1"/>
  <c r="X118" i="92"/>
  <c r="V118" i="92"/>
  <c r="T118" i="92"/>
  <c r="R118" i="92"/>
  <c r="P118" i="92"/>
  <c r="N118" i="92"/>
  <c r="L118" i="92"/>
  <c r="J118" i="92"/>
  <c r="H118" i="92"/>
  <c r="F118" i="92"/>
  <c r="D118" i="92"/>
  <c r="AH117" i="92"/>
  <c r="AF117" i="92"/>
  <c r="AD117" i="92"/>
  <c r="AB117" i="92"/>
  <c r="Y117" i="92"/>
  <c r="Z117" i="92" s="1"/>
  <c r="X117" i="92"/>
  <c r="V117" i="92"/>
  <c r="T117" i="92"/>
  <c r="R117" i="92"/>
  <c r="P117" i="92"/>
  <c r="N117" i="92"/>
  <c r="L117" i="92"/>
  <c r="J117" i="92"/>
  <c r="H117" i="92"/>
  <c r="F117" i="92"/>
  <c r="D117" i="92"/>
  <c r="AH116" i="92"/>
  <c r="AF116" i="92"/>
  <c r="AD116" i="92"/>
  <c r="AB116" i="92"/>
  <c r="Y116" i="92"/>
  <c r="Z116" i="92" s="1"/>
  <c r="X116" i="92"/>
  <c r="V116" i="92"/>
  <c r="T116" i="92"/>
  <c r="R116" i="92"/>
  <c r="P116" i="92"/>
  <c r="N116" i="92"/>
  <c r="L116" i="92"/>
  <c r="J116" i="92"/>
  <c r="H116" i="92"/>
  <c r="F116" i="92"/>
  <c r="D116" i="92"/>
  <c r="AH115" i="92"/>
  <c r="AF115" i="92"/>
  <c r="AD115" i="92"/>
  <c r="AB115" i="92"/>
  <c r="Y115" i="92"/>
  <c r="Z115" i="92" s="1"/>
  <c r="X115" i="92"/>
  <c r="V115" i="92"/>
  <c r="T115" i="92"/>
  <c r="R115" i="92"/>
  <c r="P115" i="92"/>
  <c r="N115" i="92"/>
  <c r="L115" i="92"/>
  <c r="J115" i="92"/>
  <c r="H115" i="92"/>
  <c r="F115" i="92"/>
  <c r="D115" i="92"/>
  <c r="AH114" i="92"/>
  <c r="AF114" i="92"/>
  <c r="AD114" i="92"/>
  <c r="AB114" i="92"/>
  <c r="Y114" i="92"/>
  <c r="Z114" i="92" s="1"/>
  <c r="X114" i="92"/>
  <c r="V114" i="92"/>
  <c r="T114" i="92"/>
  <c r="R114" i="92"/>
  <c r="P114" i="92"/>
  <c r="N114" i="92"/>
  <c r="L114" i="92"/>
  <c r="J114" i="92"/>
  <c r="H114" i="92"/>
  <c r="F114" i="92"/>
  <c r="D114" i="92"/>
  <c r="AH113" i="92"/>
  <c r="AF113" i="92"/>
  <c r="AD113" i="92"/>
  <c r="AB113" i="92"/>
  <c r="Y113" i="92"/>
  <c r="Z113" i="92" s="1"/>
  <c r="X113" i="92"/>
  <c r="V113" i="92"/>
  <c r="T113" i="92"/>
  <c r="R113" i="92"/>
  <c r="P113" i="92"/>
  <c r="N113" i="92"/>
  <c r="L113" i="92"/>
  <c r="J113" i="92"/>
  <c r="H113" i="92"/>
  <c r="F113" i="92"/>
  <c r="D113" i="92"/>
  <c r="AH111" i="92"/>
  <c r="AF111" i="92"/>
  <c r="AD111" i="92"/>
  <c r="AB111" i="92"/>
  <c r="Z111" i="92"/>
  <c r="X111" i="92"/>
  <c r="V111" i="92"/>
  <c r="T111" i="92"/>
  <c r="R111" i="92"/>
  <c r="P111" i="92"/>
  <c r="N111" i="92"/>
  <c r="L111" i="92"/>
  <c r="J111" i="92"/>
  <c r="H111" i="92"/>
  <c r="F111" i="92"/>
  <c r="D111" i="92"/>
  <c r="AH110" i="92"/>
  <c r="AF110" i="92"/>
  <c r="AD110" i="92"/>
  <c r="AB110" i="92"/>
  <c r="Z110" i="92"/>
  <c r="X110" i="92"/>
  <c r="V110" i="92"/>
  <c r="T110" i="92"/>
  <c r="R110" i="92"/>
  <c r="P110" i="92"/>
  <c r="N110" i="92"/>
  <c r="L110" i="92"/>
  <c r="J110" i="92"/>
  <c r="H110" i="92"/>
  <c r="F110" i="92"/>
  <c r="D110" i="92"/>
  <c r="AH109" i="92"/>
  <c r="AF109" i="92"/>
  <c r="AD109" i="92"/>
  <c r="AB109" i="92"/>
  <c r="Z109" i="92"/>
  <c r="X109" i="92"/>
  <c r="V109" i="92"/>
  <c r="T109" i="92"/>
  <c r="R109" i="92"/>
  <c r="P109" i="92"/>
  <c r="N109" i="92"/>
  <c r="L109" i="92"/>
  <c r="J109" i="92"/>
  <c r="H109" i="92"/>
  <c r="F109" i="92"/>
  <c r="D109" i="92"/>
  <c r="AH108" i="92"/>
  <c r="AF108" i="92"/>
  <c r="AD108" i="92"/>
  <c r="AB108" i="92"/>
  <c r="Z108" i="92"/>
  <c r="X108" i="92"/>
  <c r="V108" i="92"/>
  <c r="T108" i="92"/>
  <c r="R108" i="92"/>
  <c r="P108" i="92"/>
  <c r="N108" i="92"/>
  <c r="L108" i="92"/>
  <c r="J108" i="92"/>
  <c r="H108" i="92"/>
  <c r="F108" i="92"/>
  <c r="D108" i="92"/>
  <c r="AH107" i="92"/>
  <c r="AF107" i="92"/>
  <c r="AD107" i="92"/>
  <c r="AB107" i="92"/>
  <c r="Z107" i="92"/>
  <c r="X107" i="92"/>
  <c r="V107" i="92"/>
  <c r="T107" i="92"/>
  <c r="R107" i="92"/>
  <c r="P107" i="92"/>
  <c r="N107" i="92"/>
  <c r="L107" i="92"/>
  <c r="J107" i="92"/>
  <c r="H107" i="92"/>
  <c r="F107" i="92"/>
  <c r="D107" i="92"/>
  <c r="AH106" i="92"/>
  <c r="AF106" i="92"/>
  <c r="AD106" i="92"/>
  <c r="AB106" i="92"/>
  <c r="Z106" i="92"/>
  <c r="X106" i="92"/>
  <c r="V106" i="92"/>
  <c r="T106" i="92"/>
  <c r="R106" i="92"/>
  <c r="P106" i="92"/>
  <c r="N106" i="92"/>
  <c r="L106" i="92"/>
  <c r="J106" i="92"/>
  <c r="H106" i="92"/>
  <c r="F106" i="92"/>
  <c r="D106" i="92"/>
  <c r="AH105" i="92"/>
  <c r="AF105" i="92"/>
  <c r="AD105" i="92"/>
  <c r="AB105" i="92"/>
  <c r="Z105" i="92"/>
  <c r="X105" i="92"/>
  <c r="V105" i="92"/>
  <c r="T105" i="92"/>
  <c r="R105" i="92"/>
  <c r="P105" i="92"/>
  <c r="N105" i="92"/>
  <c r="L105" i="92"/>
  <c r="J105" i="92"/>
  <c r="H105" i="92"/>
  <c r="F105" i="92"/>
  <c r="D105" i="92"/>
  <c r="AH104" i="92"/>
  <c r="AF104" i="92"/>
  <c r="AD104" i="92"/>
  <c r="AB104" i="92"/>
  <c r="Z104" i="92"/>
  <c r="X104" i="92"/>
  <c r="V104" i="92"/>
  <c r="T104" i="92"/>
  <c r="R104" i="92"/>
  <c r="P104" i="92"/>
  <c r="N104" i="92"/>
  <c r="L104" i="92"/>
  <c r="J104" i="92"/>
  <c r="H104" i="92"/>
  <c r="F104" i="92"/>
  <c r="D104" i="92"/>
  <c r="AH103" i="92"/>
  <c r="AF103" i="92"/>
  <c r="AD103" i="92"/>
  <c r="AB103" i="92"/>
  <c r="Z103" i="92"/>
  <c r="X103" i="92"/>
  <c r="V103" i="92"/>
  <c r="T103" i="92"/>
  <c r="R103" i="92"/>
  <c r="P103" i="92"/>
  <c r="N103" i="92"/>
  <c r="L103" i="92"/>
  <c r="J103" i="92"/>
  <c r="H103" i="92"/>
  <c r="F103" i="92"/>
  <c r="D103" i="92"/>
  <c r="AH102" i="92"/>
  <c r="AF102" i="92"/>
  <c r="AD102" i="92"/>
  <c r="AB102" i="92"/>
  <c r="Z102" i="92"/>
  <c r="X102" i="92"/>
  <c r="V102" i="92"/>
  <c r="T102" i="92"/>
  <c r="R102" i="92"/>
  <c r="P102" i="92"/>
  <c r="N102" i="92"/>
  <c r="L102" i="92"/>
  <c r="J102" i="92"/>
  <c r="H102" i="92"/>
  <c r="F102" i="92"/>
  <c r="D102" i="92"/>
  <c r="AH101" i="92"/>
  <c r="AF101" i="92"/>
  <c r="AD101" i="92"/>
  <c r="AB101" i="92"/>
  <c r="Z101" i="92"/>
  <c r="X101" i="92"/>
  <c r="V101" i="92"/>
  <c r="T101" i="92"/>
  <c r="R101" i="92"/>
  <c r="P101" i="92"/>
  <c r="N101" i="92"/>
  <c r="L101" i="92"/>
  <c r="J101" i="92"/>
  <c r="H101" i="92"/>
  <c r="F101" i="92"/>
  <c r="D101" i="92"/>
  <c r="AH100" i="92"/>
  <c r="AF100" i="92"/>
  <c r="AD100" i="92"/>
  <c r="AB100" i="92"/>
  <c r="Z100" i="92"/>
  <c r="X100" i="92"/>
  <c r="V100" i="92"/>
  <c r="T100" i="92"/>
  <c r="R100" i="92"/>
  <c r="P100" i="92"/>
  <c r="N100" i="92"/>
  <c r="L100" i="92"/>
  <c r="J100" i="92"/>
  <c r="H100" i="92"/>
  <c r="F100" i="92"/>
  <c r="D100" i="92"/>
  <c r="AH98" i="92"/>
  <c r="AF98" i="92"/>
  <c r="AD98" i="92"/>
  <c r="AB98" i="92"/>
  <c r="Z98" i="92"/>
  <c r="X98" i="92"/>
  <c r="V98" i="92"/>
  <c r="T98" i="92"/>
  <c r="R98" i="92"/>
  <c r="P98" i="92"/>
  <c r="N98" i="92"/>
  <c r="L98" i="92"/>
  <c r="J98" i="92"/>
  <c r="H98" i="92"/>
  <c r="F98" i="92"/>
  <c r="D98" i="92"/>
  <c r="AH97" i="92"/>
  <c r="AF97" i="92"/>
  <c r="AD97" i="92"/>
  <c r="AB97" i="92"/>
  <c r="Z97" i="92"/>
  <c r="X97" i="92"/>
  <c r="V97" i="92"/>
  <c r="T97" i="92"/>
  <c r="R97" i="92"/>
  <c r="P97" i="92"/>
  <c r="N97" i="92"/>
  <c r="L97" i="92"/>
  <c r="J97" i="92"/>
  <c r="H97" i="92"/>
  <c r="F97" i="92"/>
  <c r="D97" i="92"/>
  <c r="AH96" i="92"/>
  <c r="AF96" i="92"/>
  <c r="AD96" i="92"/>
  <c r="AB96" i="92"/>
  <c r="Z96" i="92"/>
  <c r="X96" i="92"/>
  <c r="V96" i="92"/>
  <c r="T96" i="92"/>
  <c r="R96" i="92"/>
  <c r="P96" i="92"/>
  <c r="N96" i="92"/>
  <c r="L96" i="92"/>
  <c r="J96" i="92"/>
  <c r="H96" i="92"/>
  <c r="F96" i="92"/>
  <c r="D96" i="92"/>
  <c r="AH95" i="92"/>
  <c r="AF95" i="92"/>
  <c r="AD95" i="92"/>
  <c r="AB95" i="92"/>
  <c r="Z95" i="92"/>
  <c r="X95" i="92"/>
  <c r="V95" i="92"/>
  <c r="T95" i="92"/>
  <c r="R95" i="92"/>
  <c r="P95" i="92"/>
  <c r="N95" i="92"/>
  <c r="L95" i="92"/>
  <c r="J95" i="92"/>
  <c r="H95" i="92"/>
  <c r="F95" i="92"/>
  <c r="D95" i="92"/>
  <c r="AH94" i="92"/>
  <c r="AF94" i="92"/>
  <c r="AD94" i="92"/>
  <c r="AB94" i="92"/>
  <c r="Z94" i="92"/>
  <c r="X94" i="92"/>
  <c r="V94" i="92"/>
  <c r="T94" i="92"/>
  <c r="R94" i="92"/>
  <c r="P94" i="92"/>
  <c r="N94" i="92"/>
  <c r="L94" i="92"/>
  <c r="J94" i="92"/>
  <c r="H94" i="92"/>
  <c r="F94" i="92"/>
  <c r="D94" i="92"/>
  <c r="AH93" i="92"/>
  <c r="AF93" i="92"/>
  <c r="AD93" i="92"/>
  <c r="AB93" i="92"/>
  <c r="Z93" i="92"/>
  <c r="X93" i="92"/>
  <c r="V93" i="92"/>
  <c r="T93" i="92"/>
  <c r="R93" i="92"/>
  <c r="P93" i="92"/>
  <c r="N93" i="92"/>
  <c r="L93" i="92"/>
  <c r="J93" i="92"/>
  <c r="H93" i="92"/>
  <c r="F93" i="92"/>
  <c r="D93" i="92"/>
  <c r="AH92" i="92"/>
  <c r="AF92" i="92"/>
  <c r="AD92" i="92"/>
  <c r="AB92" i="92"/>
  <c r="Z92" i="92"/>
  <c r="X92" i="92"/>
  <c r="V92" i="92"/>
  <c r="T92" i="92"/>
  <c r="R92" i="92"/>
  <c r="P92" i="92"/>
  <c r="N92" i="92"/>
  <c r="L92" i="92"/>
  <c r="J92" i="92"/>
  <c r="H92" i="92"/>
  <c r="F92" i="92"/>
  <c r="D92" i="92"/>
  <c r="AH91" i="92"/>
  <c r="AF91" i="92"/>
  <c r="AD91" i="92"/>
  <c r="AB91" i="92"/>
  <c r="Z91" i="92"/>
  <c r="X91" i="92"/>
  <c r="V91" i="92"/>
  <c r="T91" i="92"/>
  <c r="R91" i="92"/>
  <c r="P91" i="92"/>
  <c r="N91" i="92"/>
  <c r="L91" i="92"/>
  <c r="J91" i="92"/>
  <c r="H91" i="92"/>
  <c r="F91" i="92"/>
  <c r="D91" i="92"/>
  <c r="AH90" i="92"/>
  <c r="AF90" i="92"/>
  <c r="AD90" i="92"/>
  <c r="AB90" i="92"/>
  <c r="Z90" i="92"/>
  <c r="X90" i="92"/>
  <c r="V90" i="92"/>
  <c r="T90" i="92"/>
  <c r="R90" i="92"/>
  <c r="P90" i="92"/>
  <c r="N90" i="92"/>
  <c r="L90" i="92"/>
  <c r="J90" i="92"/>
  <c r="H90" i="92"/>
  <c r="F90" i="92"/>
  <c r="D90" i="92"/>
  <c r="AH89" i="92"/>
  <c r="AF89" i="92"/>
  <c r="AD89" i="92"/>
  <c r="AB89" i="92"/>
  <c r="Z89" i="92"/>
  <c r="X89" i="92"/>
  <c r="V89" i="92"/>
  <c r="T89" i="92"/>
  <c r="R89" i="92"/>
  <c r="P89" i="92"/>
  <c r="N89" i="92"/>
  <c r="L89" i="92"/>
  <c r="J89" i="92"/>
  <c r="H89" i="92"/>
  <c r="F89" i="92"/>
  <c r="D89" i="92"/>
  <c r="AH88" i="92"/>
  <c r="AF88" i="92"/>
  <c r="AD88" i="92"/>
  <c r="AB88" i="92"/>
  <c r="Z88" i="92"/>
  <c r="X88" i="92"/>
  <c r="V88" i="92"/>
  <c r="T88" i="92"/>
  <c r="R88" i="92"/>
  <c r="P88" i="92"/>
  <c r="N88" i="92"/>
  <c r="L88" i="92"/>
  <c r="J88" i="92"/>
  <c r="H88" i="92"/>
  <c r="F88" i="92"/>
  <c r="D88" i="92"/>
  <c r="AH87" i="92"/>
  <c r="AF87" i="92"/>
  <c r="AD87" i="92"/>
  <c r="AB87" i="92"/>
  <c r="Z87" i="92"/>
  <c r="X87" i="92"/>
  <c r="V87" i="92"/>
  <c r="T87" i="92"/>
  <c r="R87" i="92"/>
  <c r="P87" i="92"/>
  <c r="N87" i="92"/>
  <c r="L87" i="92"/>
  <c r="J87" i="92"/>
  <c r="H87" i="92"/>
  <c r="F87" i="92"/>
  <c r="D87" i="92"/>
  <c r="AH85" i="92"/>
  <c r="AH73" i="92" s="1"/>
  <c r="AF85" i="92"/>
  <c r="AF73" i="92" s="1"/>
  <c r="AD85" i="92"/>
  <c r="AD73" i="92" s="1"/>
  <c r="AB85" i="92"/>
  <c r="AB73" i="92" s="1"/>
  <c r="Z85" i="92"/>
  <c r="Z73" i="92" s="1"/>
  <c r="X85" i="92"/>
  <c r="X73" i="92" s="1"/>
  <c r="V85" i="92"/>
  <c r="V73" i="92" s="1"/>
  <c r="T85" i="92"/>
  <c r="T73" i="92" s="1"/>
  <c r="R85" i="92"/>
  <c r="R73" i="92" s="1"/>
  <c r="P85" i="92"/>
  <c r="P73" i="92" s="1"/>
  <c r="N85" i="92"/>
  <c r="N73" i="92" s="1"/>
  <c r="L85" i="92"/>
  <c r="L73" i="92" s="1"/>
  <c r="J85" i="92"/>
  <c r="J73" i="92" s="1"/>
  <c r="H85" i="92"/>
  <c r="H73" i="92" s="1"/>
  <c r="F85" i="92"/>
  <c r="F73" i="92" s="1"/>
  <c r="D85" i="92"/>
  <c r="D73" i="92" s="1"/>
  <c r="AH84" i="92"/>
  <c r="AF84" i="92"/>
  <c r="AD84" i="92"/>
  <c r="AB84" i="92"/>
  <c r="Z84" i="92"/>
  <c r="X84" i="92"/>
  <c r="V84" i="92"/>
  <c r="T84" i="92"/>
  <c r="R84" i="92"/>
  <c r="P84" i="92"/>
  <c r="N84" i="92"/>
  <c r="L84" i="92"/>
  <c r="J84" i="92"/>
  <c r="H84" i="92"/>
  <c r="F84" i="92"/>
  <c r="D84" i="92"/>
  <c r="AH83" i="92"/>
  <c r="AF83" i="92"/>
  <c r="AD83" i="92"/>
  <c r="AB83" i="92"/>
  <c r="Z83" i="92"/>
  <c r="X83" i="92"/>
  <c r="V83" i="92"/>
  <c r="T83" i="92"/>
  <c r="R83" i="92"/>
  <c r="P83" i="92"/>
  <c r="N83" i="92"/>
  <c r="L83" i="92"/>
  <c r="J83" i="92"/>
  <c r="H83" i="92"/>
  <c r="F83" i="92"/>
  <c r="D83" i="92"/>
  <c r="AH82" i="92"/>
  <c r="AF82" i="92"/>
  <c r="AD82" i="92"/>
  <c r="AB82" i="92"/>
  <c r="Z82" i="92"/>
  <c r="X82" i="92"/>
  <c r="V82" i="92"/>
  <c r="T82" i="92"/>
  <c r="R82" i="92"/>
  <c r="P82" i="92"/>
  <c r="N82" i="92"/>
  <c r="L82" i="92"/>
  <c r="J82" i="92"/>
  <c r="H82" i="92"/>
  <c r="F82" i="92"/>
  <c r="D82" i="92"/>
  <c r="AH81" i="92"/>
  <c r="AF81" i="92"/>
  <c r="AD81" i="92"/>
  <c r="AB81" i="92"/>
  <c r="Z81" i="92"/>
  <c r="X81" i="92"/>
  <c r="V81" i="92"/>
  <c r="T81" i="92"/>
  <c r="R81" i="92"/>
  <c r="P81" i="92"/>
  <c r="N81" i="92"/>
  <c r="L81" i="92"/>
  <c r="J81" i="92"/>
  <c r="H81" i="92"/>
  <c r="F81" i="92"/>
  <c r="D81" i="92"/>
  <c r="AH80" i="92"/>
  <c r="AF80" i="92"/>
  <c r="AD80" i="92"/>
  <c r="AB80" i="92"/>
  <c r="Z80" i="92"/>
  <c r="X80" i="92"/>
  <c r="V80" i="92"/>
  <c r="T80" i="92"/>
  <c r="R80" i="92"/>
  <c r="P80" i="92"/>
  <c r="N80" i="92"/>
  <c r="L80" i="92"/>
  <c r="J80" i="92"/>
  <c r="H80" i="92"/>
  <c r="F80" i="92"/>
  <c r="D80" i="92"/>
  <c r="AH79" i="92"/>
  <c r="AF79" i="92"/>
  <c r="AD79" i="92"/>
  <c r="AB79" i="92"/>
  <c r="Z79" i="92"/>
  <c r="X79" i="92"/>
  <c r="T79" i="92"/>
  <c r="R79" i="92"/>
  <c r="P79" i="92"/>
  <c r="N79" i="92"/>
  <c r="L79" i="92"/>
  <c r="J79" i="92"/>
  <c r="H79" i="92"/>
  <c r="F79" i="92"/>
  <c r="D79" i="92"/>
  <c r="AH78" i="92"/>
  <c r="AF78" i="92"/>
  <c r="AD78" i="92"/>
  <c r="AB78" i="92"/>
  <c r="Z78" i="92"/>
  <c r="X78" i="92"/>
  <c r="V78" i="92"/>
  <c r="T78" i="92"/>
  <c r="R78" i="92"/>
  <c r="P78" i="92"/>
  <c r="N78" i="92"/>
  <c r="L78" i="92"/>
  <c r="J78" i="92"/>
  <c r="H78" i="92"/>
  <c r="F78" i="92"/>
  <c r="D78" i="92"/>
  <c r="AH77" i="92"/>
  <c r="AF77" i="92"/>
  <c r="AD77" i="92"/>
  <c r="AB77" i="92"/>
  <c r="Z77" i="92"/>
  <c r="X77" i="92"/>
  <c r="V77" i="92"/>
  <c r="T77" i="92"/>
  <c r="R77" i="92"/>
  <c r="P77" i="92"/>
  <c r="N77" i="92"/>
  <c r="L77" i="92"/>
  <c r="J77" i="92"/>
  <c r="H77" i="92"/>
  <c r="F77" i="92"/>
  <c r="D77" i="92"/>
  <c r="AH76" i="92"/>
  <c r="AF76" i="92"/>
  <c r="AD76" i="92"/>
  <c r="AB76" i="92"/>
  <c r="Z76" i="92"/>
  <c r="X76" i="92"/>
  <c r="V76" i="92"/>
  <c r="T76" i="92"/>
  <c r="R76" i="92"/>
  <c r="P76" i="92"/>
  <c r="N76" i="92"/>
  <c r="L76" i="92"/>
  <c r="J76" i="92"/>
  <c r="H76" i="92"/>
  <c r="F76" i="92"/>
  <c r="D76" i="92"/>
  <c r="AH75" i="92"/>
  <c r="AF75" i="92"/>
  <c r="AD75" i="92"/>
  <c r="AB75" i="92"/>
  <c r="Z75" i="92"/>
  <c r="X75" i="92"/>
  <c r="V75" i="92"/>
  <c r="T75" i="92"/>
  <c r="R75" i="92"/>
  <c r="P75" i="92"/>
  <c r="N75" i="92"/>
  <c r="L75" i="92"/>
  <c r="J75" i="92"/>
  <c r="H75" i="92"/>
  <c r="F75" i="92"/>
  <c r="D75" i="92"/>
  <c r="AH74" i="92"/>
  <c r="AF74" i="92"/>
  <c r="AD74" i="92"/>
  <c r="AB74" i="92"/>
  <c r="Z74" i="92"/>
  <c r="X74" i="92"/>
  <c r="V74" i="92"/>
  <c r="T74" i="92"/>
  <c r="R74" i="92"/>
  <c r="P74" i="92"/>
  <c r="N74" i="92"/>
  <c r="L74" i="92"/>
  <c r="J74" i="92"/>
  <c r="H74" i="92"/>
  <c r="F74" i="92"/>
  <c r="D74" i="92"/>
  <c r="AI73" i="92"/>
  <c r="AG73" i="92"/>
  <c r="AE73" i="92"/>
  <c r="AC73" i="92"/>
  <c r="AA73" i="92"/>
  <c r="W73" i="92"/>
  <c r="U73" i="92"/>
  <c r="S73" i="92"/>
  <c r="Q73" i="92"/>
  <c r="O73" i="92"/>
  <c r="M73" i="92"/>
  <c r="K73" i="92"/>
  <c r="I73" i="92"/>
  <c r="G73" i="92"/>
  <c r="E73" i="92"/>
  <c r="C73" i="92"/>
  <c r="B73" i="92"/>
  <c r="AH72" i="92"/>
  <c r="AH60" i="92" s="1"/>
  <c r="AF72" i="92"/>
  <c r="AF60" i="92" s="1"/>
  <c r="AD72" i="92"/>
  <c r="AD60" i="92" s="1"/>
  <c r="AB72" i="92"/>
  <c r="AB60" i="92" s="1"/>
  <c r="Z72" i="92"/>
  <c r="Z60" i="92" s="1"/>
  <c r="X72" i="92"/>
  <c r="X60" i="92" s="1"/>
  <c r="V72" i="92"/>
  <c r="V60" i="92" s="1"/>
  <c r="T72" i="92"/>
  <c r="T60" i="92" s="1"/>
  <c r="R72" i="92"/>
  <c r="R60" i="92" s="1"/>
  <c r="P72" i="92"/>
  <c r="P60" i="92" s="1"/>
  <c r="N72" i="92"/>
  <c r="N60" i="92" s="1"/>
  <c r="L72" i="92"/>
  <c r="L60" i="92" s="1"/>
  <c r="J72" i="92"/>
  <c r="J60" i="92" s="1"/>
  <c r="H72" i="92"/>
  <c r="H60" i="92" s="1"/>
  <c r="F72" i="92"/>
  <c r="F60" i="92" s="1"/>
  <c r="D72" i="92"/>
  <c r="D60" i="92" s="1"/>
  <c r="AH71" i="92"/>
  <c r="AF71" i="92"/>
  <c r="AD71" i="92"/>
  <c r="AB71" i="92"/>
  <c r="Z71" i="92"/>
  <c r="X71" i="92"/>
  <c r="V71" i="92"/>
  <c r="T71" i="92"/>
  <c r="R71" i="92"/>
  <c r="P71" i="92"/>
  <c r="N71" i="92"/>
  <c r="L71" i="92"/>
  <c r="J71" i="92"/>
  <c r="H71" i="92"/>
  <c r="F71" i="92"/>
  <c r="D71" i="92"/>
  <c r="AH70" i="92"/>
  <c r="AF70" i="92"/>
  <c r="AD70" i="92"/>
  <c r="AB70" i="92"/>
  <c r="Z70" i="92"/>
  <c r="X70" i="92"/>
  <c r="V70" i="92"/>
  <c r="T70" i="92"/>
  <c r="R70" i="92"/>
  <c r="P70" i="92"/>
  <c r="N70" i="92"/>
  <c r="L70" i="92"/>
  <c r="J70" i="92"/>
  <c r="H70" i="92"/>
  <c r="F70" i="92"/>
  <c r="D70" i="92"/>
  <c r="AH69" i="92"/>
  <c r="AF69" i="92"/>
  <c r="AD69" i="92"/>
  <c r="AB69" i="92"/>
  <c r="Z69" i="92"/>
  <c r="X69" i="92"/>
  <c r="V69" i="92"/>
  <c r="T69" i="92"/>
  <c r="R69" i="92"/>
  <c r="P69" i="92"/>
  <c r="N69" i="92"/>
  <c r="L69" i="92"/>
  <c r="J69" i="92"/>
  <c r="H69" i="92"/>
  <c r="F69" i="92"/>
  <c r="D69" i="92"/>
  <c r="AH68" i="92"/>
  <c r="AF68" i="92"/>
  <c r="AD68" i="92"/>
  <c r="AB68" i="92"/>
  <c r="Z68" i="92"/>
  <c r="X68" i="92"/>
  <c r="V68" i="92"/>
  <c r="T68" i="92"/>
  <c r="R68" i="92"/>
  <c r="P68" i="92"/>
  <c r="N68" i="92"/>
  <c r="L68" i="92"/>
  <c r="J68" i="92"/>
  <c r="H68" i="92"/>
  <c r="F68" i="92"/>
  <c r="D68" i="92"/>
  <c r="AH67" i="92"/>
  <c r="AF67" i="92"/>
  <c r="AD67" i="92"/>
  <c r="AB67" i="92"/>
  <c r="Z67" i="92"/>
  <c r="X67" i="92"/>
  <c r="V67" i="92"/>
  <c r="T67" i="92"/>
  <c r="R67" i="92"/>
  <c r="P67" i="92"/>
  <c r="N67" i="92"/>
  <c r="L67" i="92"/>
  <c r="J67" i="92"/>
  <c r="H67" i="92"/>
  <c r="F67" i="92"/>
  <c r="D67" i="92"/>
  <c r="AH66" i="92"/>
  <c r="AF66" i="92"/>
  <c r="AD66" i="92"/>
  <c r="AB66" i="92"/>
  <c r="Z66" i="92"/>
  <c r="X66" i="92"/>
  <c r="V66" i="92"/>
  <c r="T66" i="92"/>
  <c r="R66" i="92"/>
  <c r="P66" i="92"/>
  <c r="N66" i="92"/>
  <c r="L66" i="92"/>
  <c r="J66" i="92"/>
  <c r="H66" i="92"/>
  <c r="F66" i="92"/>
  <c r="D66" i="92"/>
  <c r="AH65" i="92"/>
  <c r="AF65" i="92"/>
  <c r="AD65" i="92"/>
  <c r="AB65" i="92"/>
  <c r="Z65" i="92"/>
  <c r="X65" i="92"/>
  <c r="V65" i="92"/>
  <c r="T65" i="92"/>
  <c r="R65" i="92"/>
  <c r="P65" i="92"/>
  <c r="N65" i="92"/>
  <c r="L65" i="92"/>
  <c r="J65" i="92"/>
  <c r="H65" i="92"/>
  <c r="F65" i="92"/>
  <c r="D65" i="92"/>
  <c r="AH64" i="92"/>
  <c r="AF64" i="92"/>
  <c r="AD64" i="92"/>
  <c r="AB64" i="92"/>
  <c r="Z64" i="92"/>
  <c r="X64" i="92"/>
  <c r="V64" i="92"/>
  <c r="T64" i="92"/>
  <c r="R64" i="92"/>
  <c r="P64" i="92"/>
  <c r="N64" i="92"/>
  <c r="L64" i="92"/>
  <c r="J64" i="92"/>
  <c r="H64" i="92"/>
  <c r="F64" i="92"/>
  <c r="D64" i="92"/>
  <c r="AH63" i="92"/>
  <c r="AF63" i="92"/>
  <c r="AD63" i="92"/>
  <c r="AB63" i="92"/>
  <c r="Z63" i="92"/>
  <c r="X63" i="92"/>
  <c r="V63" i="92"/>
  <c r="T63" i="92"/>
  <c r="R63" i="92"/>
  <c r="P63" i="92"/>
  <c r="N63" i="92"/>
  <c r="L63" i="92"/>
  <c r="J63" i="92"/>
  <c r="H63" i="92"/>
  <c r="F63" i="92"/>
  <c r="D63" i="92"/>
  <c r="AH62" i="92"/>
  <c r="AF62" i="92"/>
  <c r="AD62" i="92"/>
  <c r="AB62" i="92"/>
  <c r="Z62" i="92"/>
  <c r="X62" i="92"/>
  <c r="V62" i="92"/>
  <c r="T62" i="92"/>
  <c r="R62" i="92"/>
  <c r="P62" i="92"/>
  <c r="N62" i="92"/>
  <c r="L62" i="92"/>
  <c r="J62" i="92"/>
  <c r="H62" i="92"/>
  <c r="F62" i="92"/>
  <c r="D62" i="92"/>
  <c r="CC61" i="92"/>
  <c r="CD61" i="92" s="1"/>
  <c r="AH61" i="92"/>
  <c r="AF61" i="92"/>
  <c r="AD61" i="92"/>
  <c r="AB61" i="92"/>
  <c r="Z61" i="92"/>
  <c r="X61" i="92"/>
  <c r="V61" i="92"/>
  <c r="T61" i="92"/>
  <c r="R61" i="92"/>
  <c r="P61" i="92"/>
  <c r="N61" i="92"/>
  <c r="L61" i="92"/>
  <c r="J61" i="92"/>
  <c r="H61" i="92"/>
  <c r="F61" i="92"/>
  <c r="D61" i="92"/>
  <c r="AI60" i="92"/>
  <c r="AG60" i="92"/>
  <c r="AE60" i="92"/>
  <c r="AC60" i="92"/>
  <c r="AA60" i="92"/>
  <c r="W60" i="92"/>
  <c r="U60" i="92"/>
  <c r="S60" i="92"/>
  <c r="Q60" i="92"/>
  <c r="O60" i="92"/>
  <c r="M60" i="92"/>
  <c r="K60" i="92"/>
  <c r="I60" i="92"/>
  <c r="G60" i="92"/>
  <c r="E60" i="92"/>
  <c r="C60" i="92"/>
  <c r="B60" i="92"/>
  <c r="CD59" i="92"/>
  <c r="AH59" i="92"/>
  <c r="AH47" i="92" s="1"/>
  <c r="AF59" i="92"/>
  <c r="AF47" i="92" s="1"/>
  <c r="AD59" i="92"/>
  <c r="AD47" i="92" s="1"/>
  <c r="AB59" i="92"/>
  <c r="AB47" i="92" s="1"/>
  <c r="Z59" i="92"/>
  <c r="Z47" i="92" s="1"/>
  <c r="X59" i="92"/>
  <c r="X47" i="92" s="1"/>
  <c r="V59" i="92"/>
  <c r="V47" i="92" s="1"/>
  <c r="T59" i="92"/>
  <c r="T47" i="92" s="1"/>
  <c r="R59" i="92"/>
  <c r="R47" i="92" s="1"/>
  <c r="P59" i="92"/>
  <c r="P47" i="92" s="1"/>
  <c r="N59" i="92"/>
  <c r="N47" i="92" s="1"/>
  <c r="L59" i="92"/>
  <c r="L47" i="92" s="1"/>
  <c r="J59" i="92"/>
  <c r="J47" i="92" s="1"/>
  <c r="H59" i="92"/>
  <c r="H47" i="92" s="1"/>
  <c r="F59" i="92"/>
  <c r="F47" i="92" s="1"/>
  <c r="D59" i="92"/>
  <c r="D47" i="92" s="1"/>
  <c r="CD58" i="92"/>
  <c r="AH58" i="92"/>
  <c r="AF58" i="92"/>
  <c r="AD58" i="92"/>
  <c r="AB58" i="92"/>
  <c r="Z58" i="92"/>
  <c r="X58" i="92"/>
  <c r="V58" i="92"/>
  <c r="T58" i="92"/>
  <c r="R58" i="92"/>
  <c r="P58" i="92"/>
  <c r="N58" i="92"/>
  <c r="L58" i="92"/>
  <c r="J58" i="92"/>
  <c r="H58" i="92"/>
  <c r="F58" i="92"/>
  <c r="D58" i="92"/>
  <c r="CD57" i="92"/>
  <c r="AH57" i="92"/>
  <c r="AF57" i="92"/>
  <c r="AD57" i="92"/>
  <c r="AB57" i="92"/>
  <c r="Z57" i="92"/>
  <c r="X57" i="92"/>
  <c r="V57" i="92"/>
  <c r="T57" i="92"/>
  <c r="R57" i="92"/>
  <c r="P57" i="92"/>
  <c r="N57" i="92"/>
  <c r="L57" i="92"/>
  <c r="J57" i="92"/>
  <c r="H57" i="92"/>
  <c r="F57" i="92"/>
  <c r="D57" i="92"/>
  <c r="CD56" i="92"/>
  <c r="AH56" i="92"/>
  <c r="AF56" i="92"/>
  <c r="AD56" i="92"/>
  <c r="AB56" i="92"/>
  <c r="Z56" i="92"/>
  <c r="X56" i="92"/>
  <c r="V56" i="92"/>
  <c r="T56" i="92"/>
  <c r="R56" i="92"/>
  <c r="P56" i="92"/>
  <c r="N56" i="92"/>
  <c r="L56" i="92"/>
  <c r="J56" i="92"/>
  <c r="H56" i="92"/>
  <c r="F56" i="92"/>
  <c r="D56" i="92"/>
  <c r="CD55" i="92"/>
  <c r="AH55" i="92"/>
  <c r="AF55" i="92"/>
  <c r="AD55" i="92"/>
  <c r="AB55" i="92"/>
  <c r="Z55" i="92"/>
  <c r="X55" i="92"/>
  <c r="V55" i="92"/>
  <c r="T55" i="92"/>
  <c r="R55" i="92"/>
  <c r="P55" i="92"/>
  <c r="N55" i="92"/>
  <c r="L55" i="92"/>
  <c r="J55" i="92"/>
  <c r="H55" i="92"/>
  <c r="F55" i="92"/>
  <c r="D55" i="92"/>
  <c r="CD54" i="92"/>
  <c r="AH54" i="92"/>
  <c r="AF54" i="92"/>
  <c r="AD54" i="92"/>
  <c r="AB54" i="92"/>
  <c r="Z54" i="92"/>
  <c r="X54" i="92"/>
  <c r="V54" i="92"/>
  <c r="T54" i="92"/>
  <c r="R54" i="92"/>
  <c r="P54" i="92"/>
  <c r="N54" i="92"/>
  <c r="L54" i="92"/>
  <c r="J54" i="92"/>
  <c r="H54" i="92"/>
  <c r="F54" i="92"/>
  <c r="D54" i="92"/>
  <c r="AH53" i="92"/>
  <c r="AF53" i="92"/>
  <c r="AD53" i="92"/>
  <c r="AB53" i="92"/>
  <c r="Z53" i="92"/>
  <c r="X53" i="92"/>
  <c r="V53" i="92"/>
  <c r="T53" i="92"/>
  <c r="R53" i="92"/>
  <c r="P53" i="92"/>
  <c r="N53" i="92"/>
  <c r="L53" i="92"/>
  <c r="J53" i="92"/>
  <c r="H53" i="92"/>
  <c r="F53" i="92"/>
  <c r="D53" i="92"/>
  <c r="CC52" i="92"/>
  <c r="CD52" i="92" s="1"/>
  <c r="AH52" i="92"/>
  <c r="AF52" i="92"/>
  <c r="AD52" i="92"/>
  <c r="AB52" i="92"/>
  <c r="Z52" i="92"/>
  <c r="X52" i="92"/>
  <c r="V52" i="92"/>
  <c r="R52" i="92"/>
  <c r="P52" i="92"/>
  <c r="N52" i="92"/>
  <c r="L52" i="92"/>
  <c r="J52" i="92"/>
  <c r="H52" i="92"/>
  <c r="F52" i="92"/>
  <c r="D52" i="92"/>
  <c r="CD51" i="92"/>
  <c r="AH51" i="92"/>
  <c r="AF51" i="92"/>
  <c r="AD51" i="92"/>
  <c r="AB51" i="92"/>
  <c r="Z51" i="92"/>
  <c r="X51" i="92"/>
  <c r="V51" i="92"/>
  <c r="R51" i="92"/>
  <c r="P51" i="92"/>
  <c r="N51" i="92"/>
  <c r="L51" i="92"/>
  <c r="J51" i="92"/>
  <c r="H51" i="92"/>
  <c r="F51" i="92"/>
  <c r="D51" i="92"/>
  <c r="CD50" i="92"/>
  <c r="AH50" i="92"/>
  <c r="AF50" i="92"/>
  <c r="AD50" i="92"/>
  <c r="AB50" i="92"/>
  <c r="Z50" i="92"/>
  <c r="X50" i="92"/>
  <c r="V50" i="92"/>
  <c r="T50" i="92"/>
  <c r="R50" i="92"/>
  <c r="P50" i="92"/>
  <c r="N50" i="92"/>
  <c r="L50" i="92"/>
  <c r="J50" i="92"/>
  <c r="H50" i="92"/>
  <c r="F50" i="92"/>
  <c r="D50" i="92"/>
  <c r="AH49" i="92"/>
  <c r="AF49" i="92"/>
  <c r="AD49" i="92"/>
  <c r="AB49" i="92"/>
  <c r="Z49" i="92"/>
  <c r="X49" i="92"/>
  <c r="V49" i="92"/>
  <c r="R49" i="92"/>
  <c r="P49" i="92"/>
  <c r="N49" i="92"/>
  <c r="L49" i="92"/>
  <c r="J49" i="92"/>
  <c r="H49" i="92"/>
  <c r="F49" i="92"/>
  <c r="D49" i="92"/>
  <c r="CC48" i="92"/>
  <c r="CD48" i="92" s="1"/>
  <c r="AH48" i="92"/>
  <c r="AF48" i="92"/>
  <c r="AD48" i="92"/>
  <c r="AB48" i="92"/>
  <c r="Z48" i="92"/>
  <c r="X48" i="92"/>
  <c r="V48" i="92"/>
  <c r="R48" i="92"/>
  <c r="P48" i="92"/>
  <c r="N48" i="92"/>
  <c r="L48" i="92"/>
  <c r="J48" i="92"/>
  <c r="H48" i="92"/>
  <c r="F48" i="92"/>
  <c r="D48" i="92"/>
  <c r="AI47" i="92"/>
  <c r="AG47" i="92"/>
  <c r="AE47" i="92"/>
  <c r="AC47" i="92"/>
  <c r="AA47" i="92"/>
  <c r="W47" i="92"/>
  <c r="U47" i="92"/>
  <c r="S47" i="92"/>
  <c r="Q47" i="92"/>
  <c r="O47" i="92"/>
  <c r="M47" i="92"/>
  <c r="K47" i="92"/>
  <c r="I47" i="92"/>
  <c r="G47" i="92"/>
  <c r="E47" i="92"/>
  <c r="C47" i="92"/>
  <c r="B47" i="92"/>
  <c r="AH46" i="92"/>
  <c r="AH34" i="92" s="1"/>
  <c r="AF46" i="92"/>
  <c r="AF34" i="92" s="1"/>
  <c r="AD46" i="92"/>
  <c r="AD34" i="92" s="1"/>
  <c r="AB46" i="92"/>
  <c r="AB34" i="92" s="1"/>
  <c r="Z46" i="92"/>
  <c r="Z34" i="92" s="1"/>
  <c r="X46" i="92"/>
  <c r="X34" i="92" s="1"/>
  <c r="V46" i="92"/>
  <c r="V34" i="92" s="1"/>
  <c r="T46" i="92"/>
  <c r="T34" i="92" s="1"/>
  <c r="R46" i="92"/>
  <c r="R34" i="92" s="1"/>
  <c r="P46" i="92"/>
  <c r="P34" i="92" s="1"/>
  <c r="N46" i="92"/>
  <c r="N34" i="92" s="1"/>
  <c r="L46" i="92"/>
  <c r="L34" i="92" s="1"/>
  <c r="J46" i="92"/>
  <c r="J34" i="92" s="1"/>
  <c r="H46" i="92"/>
  <c r="H34" i="92" s="1"/>
  <c r="F46" i="92"/>
  <c r="F34" i="92" s="1"/>
  <c r="D46" i="92"/>
  <c r="D34" i="92" s="1"/>
  <c r="AH45" i="92"/>
  <c r="AF45" i="92"/>
  <c r="AD45" i="92"/>
  <c r="AB45" i="92"/>
  <c r="Z45" i="92"/>
  <c r="X45" i="92"/>
  <c r="V45" i="92"/>
  <c r="R45" i="92"/>
  <c r="P45" i="92"/>
  <c r="N45" i="92"/>
  <c r="L45" i="92"/>
  <c r="J45" i="92"/>
  <c r="H45" i="92"/>
  <c r="F45" i="92"/>
  <c r="D45" i="92"/>
  <c r="AH44" i="92"/>
  <c r="AF44" i="92"/>
  <c r="AD44" i="92"/>
  <c r="AB44" i="92"/>
  <c r="Z44" i="92"/>
  <c r="X44" i="92"/>
  <c r="V44" i="92"/>
  <c r="R44" i="92"/>
  <c r="P44" i="92"/>
  <c r="N44" i="92"/>
  <c r="L44" i="92"/>
  <c r="J44" i="92"/>
  <c r="H44" i="92"/>
  <c r="F44" i="92"/>
  <c r="D44" i="92"/>
  <c r="AH43" i="92"/>
  <c r="AF43" i="92"/>
  <c r="AD43" i="92"/>
  <c r="AB43" i="92"/>
  <c r="Z43" i="92"/>
  <c r="X43" i="92"/>
  <c r="V43" i="92"/>
  <c r="R43" i="92"/>
  <c r="P43" i="92"/>
  <c r="N43" i="92"/>
  <c r="L43" i="92"/>
  <c r="J43" i="92"/>
  <c r="H43" i="92"/>
  <c r="F43" i="92"/>
  <c r="D43" i="92"/>
  <c r="AH42" i="92"/>
  <c r="AF42" i="92"/>
  <c r="AD42" i="92"/>
  <c r="AB42" i="92"/>
  <c r="Z42" i="92"/>
  <c r="X42" i="92"/>
  <c r="V42" i="92"/>
  <c r="R42" i="92"/>
  <c r="P42" i="92"/>
  <c r="N42" i="92"/>
  <c r="L42" i="92"/>
  <c r="J42" i="92"/>
  <c r="H42" i="92"/>
  <c r="F42" i="92"/>
  <c r="D42" i="92"/>
  <c r="AH41" i="92"/>
  <c r="AF41" i="92"/>
  <c r="AD41" i="92"/>
  <c r="AB41" i="92"/>
  <c r="Z41" i="92"/>
  <c r="X41" i="92"/>
  <c r="V41" i="92"/>
  <c r="R41" i="92"/>
  <c r="P41" i="92"/>
  <c r="N41" i="92"/>
  <c r="L41" i="92"/>
  <c r="J41" i="92"/>
  <c r="H41" i="92"/>
  <c r="F41" i="92"/>
  <c r="D41" i="92"/>
  <c r="AH40" i="92"/>
  <c r="AF40" i="92"/>
  <c r="AD40" i="92"/>
  <c r="AB40" i="92"/>
  <c r="Z40" i="92"/>
  <c r="X40" i="92"/>
  <c r="V40" i="92"/>
  <c r="R40" i="92"/>
  <c r="P40" i="92"/>
  <c r="N40" i="92"/>
  <c r="L40" i="92"/>
  <c r="J40" i="92"/>
  <c r="H40" i="92"/>
  <c r="F40" i="92"/>
  <c r="D40" i="92"/>
  <c r="AH39" i="92"/>
  <c r="AF39" i="92"/>
  <c r="AD39" i="92"/>
  <c r="AB39" i="92"/>
  <c r="Z39" i="92"/>
  <c r="X39" i="92"/>
  <c r="V39" i="92"/>
  <c r="R39" i="92"/>
  <c r="P39" i="92"/>
  <c r="N39" i="92"/>
  <c r="L39" i="92"/>
  <c r="J39" i="92"/>
  <c r="H39" i="92"/>
  <c r="F39" i="92"/>
  <c r="D39" i="92"/>
  <c r="AH38" i="92"/>
  <c r="AF38" i="92"/>
  <c r="AD38" i="92"/>
  <c r="AB38" i="92"/>
  <c r="Z38" i="92"/>
  <c r="X38" i="92"/>
  <c r="V38" i="92"/>
  <c r="R38" i="92"/>
  <c r="P38" i="92"/>
  <c r="N38" i="92"/>
  <c r="L38" i="92"/>
  <c r="J38" i="92"/>
  <c r="H38" i="92"/>
  <c r="F38" i="92"/>
  <c r="D38" i="92"/>
  <c r="AH37" i="92"/>
  <c r="AF37" i="92"/>
  <c r="AD37" i="92"/>
  <c r="AB37" i="92"/>
  <c r="Z37" i="92"/>
  <c r="X37" i="92"/>
  <c r="V37" i="92"/>
  <c r="R37" i="92"/>
  <c r="P37" i="92"/>
  <c r="N37" i="92"/>
  <c r="L37" i="92"/>
  <c r="J37" i="92"/>
  <c r="H37" i="92"/>
  <c r="F37" i="92"/>
  <c r="D37" i="92"/>
  <c r="AH36" i="92"/>
  <c r="AF36" i="92"/>
  <c r="AD36" i="92"/>
  <c r="AB36" i="92"/>
  <c r="Z36" i="92"/>
  <c r="X36" i="92"/>
  <c r="V36" i="92"/>
  <c r="R36" i="92"/>
  <c r="P36" i="92"/>
  <c r="N36" i="92"/>
  <c r="L36" i="92"/>
  <c r="J36" i="92"/>
  <c r="H36" i="92"/>
  <c r="F36" i="92"/>
  <c r="D36" i="92"/>
  <c r="AH35" i="92"/>
  <c r="AF35" i="92"/>
  <c r="AD35" i="92"/>
  <c r="AB35" i="92"/>
  <c r="Z35" i="92"/>
  <c r="X35" i="92"/>
  <c r="V35" i="92"/>
  <c r="R35" i="92"/>
  <c r="P35" i="92"/>
  <c r="N35" i="92"/>
  <c r="L35" i="92"/>
  <c r="J35" i="92"/>
  <c r="H35" i="92"/>
  <c r="F35" i="92"/>
  <c r="D35" i="92"/>
  <c r="AI34" i="92"/>
  <c r="AG34" i="92"/>
  <c r="AE34" i="92"/>
  <c r="AC34" i="92"/>
  <c r="AA34" i="92"/>
  <c r="W34" i="92"/>
  <c r="U34" i="92"/>
  <c r="S34" i="92"/>
  <c r="Q34" i="92"/>
  <c r="O34" i="92"/>
  <c r="M34" i="92"/>
  <c r="K34" i="92"/>
  <c r="I34" i="92"/>
  <c r="G34" i="92"/>
  <c r="E34" i="92"/>
  <c r="C34" i="92"/>
  <c r="B34" i="92"/>
  <c r="AI32" i="92"/>
  <c r="AI20" i="92" s="1"/>
  <c r="AH32" i="92"/>
  <c r="AH20" i="92" s="1"/>
  <c r="AF32" i="92"/>
  <c r="AF20" i="92" s="1"/>
  <c r="AD32" i="92"/>
  <c r="AD20" i="92" s="1"/>
  <c r="AB32" i="92"/>
  <c r="AB20" i="92" s="1"/>
  <c r="W32" i="92"/>
  <c r="W20" i="92" s="1"/>
  <c r="V32" i="92"/>
  <c r="V20" i="92" s="1"/>
  <c r="R32" i="92"/>
  <c r="R20" i="92" s="1"/>
  <c r="O32" i="92"/>
  <c r="P32" i="92" s="1"/>
  <c r="P20" i="92" s="1"/>
  <c r="M32" i="92"/>
  <c r="N32" i="92" s="1"/>
  <c r="N20" i="92" s="1"/>
  <c r="K32" i="92"/>
  <c r="L32" i="92" s="1"/>
  <c r="L20" i="92" s="1"/>
  <c r="J32" i="92"/>
  <c r="J20" i="92" s="1"/>
  <c r="G32" i="92"/>
  <c r="G20" i="92" s="1"/>
  <c r="E32" i="92"/>
  <c r="D32" i="92"/>
  <c r="D20" i="92" s="1"/>
  <c r="AI31" i="92"/>
  <c r="AH31" i="92"/>
  <c r="AF31" i="92"/>
  <c r="AD31" i="92"/>
  <c r="AB31" i="92"/>
  <c r="W31" i="92"/>
  <c r="X31" i="92" s="1"/>
  <c r="V31" i="92"/>
  <c r="R31" i="92"/>
  <c r="O31" i="92"/>
  <c r="P31" i="92" s="1"/>
  <c r="M31" i="92"/>
  <c r="N31" i="92" s="1"/>
  <c r="K31" i="92"/>
  <c r="L31" i="92" s="1"/>
  <c r="J31" i="92"/>
  <c r="G31" i="92"/>
  <c r="H31" i="92" s="1"/>
  <c r="E31" i="92"/>
  <c r="D31" i="92"/>
  <c r="AI30" i="92"/>
  <c r="AH30" i="92"/>
  <c r="AF30" i="92"/>
  <c r="AD30" i="92"/>
  <c r="AB30" i="92"/>
  <c r="X30" i="92"/>
  <c r="V30" i="92"/>
  <c r="R30" i="92"/>
  <c r="O30" i="92"/>
  <c r="P30" i="92" s="1"/>
  <c r="M30" i="92"/>
  <c r="N30" i="92" s="1"/>
  <c r="K30" i="92"/>
  <c r="L30" i="92" s="1"/>
  <c r="J30" i="92"/>
  <c r="G30" i="92"/>
  <c r="E30" i="92"/>
  <c r="F30" i="92" s="1"/>
  <c r="D30" i="92"/>
  <c r="AH29" i="92"/>
  <c r="AF29" i="92"/>
  <c r="AD29" i="92"/>
  <c r="AB29" i="92"/>
  <c r="W29" i="92"/>
  <c r="X29" i="92" s="1"/>
  <c r="V29" i="92"/>
  <c r="R29" i="92"/>
  <c r="O29" i="92"/>
  <c r="P29" i="92" s="1"/>
  <c r="M29" i="92"/>
  <c r="N29" i="92" s="1"/>
  <c r="K29" i="92"/>
  <c r="J29" i="92"/>
  <c r="G29" i="92"/>
  <c r="H29" i="92" s="1"/>
  <c r="E29" i="92"/>
  <c r="D29" i="92"/>
  <c r="AI28" i="92"/>
  <c r="AH28" i="92"/>
  <c r="AF28" i="92"/>
  <c r="AD28" i="92"/>
  <c r="AB28" i="92"/>
  <c r="W28" i="92"/>
  <c r="X28" i="92" s="1"/>
  <c r="V28" i="92"/>
  <c r="R28" i="92"/>
  <c r="O28" i="92"/>
  <c r="P28" i="92" s="1"/>
  <c r="M28" i="92"/>
  <c r="N28" i="92" s="1"/>
  <c r="K28" i="92"/>
  <c r="L28" i="92" s="1"/>
  <c r="J28" i="92"/>
  <c r="G28" i="92"/>
  <c r="H28" i="92" s="1"/>
  <c r="E28" i="92"/>
  <c r="D28" i="92"/>
  <c r="AI27" i="92"/>
  <c r="AH27" i="92"/>
  <c r="AF27" i="92"/>
  <c r="AD27" i="92"/>
  <c r="AB27" i="92"/>
  <c r="W27" i="92"/>
  <c r="X27" i="92" s="1"/>
  <c r="V27" i="92"/>
  <c r="R27" i="92"/>
  <c r="O27" i="92"/>
  <c r="P27" i="92" s="1"/>
  <c r="M27" i="92"/>
  <c r="N27" i="92" s="1"/>
  <c r="K27" i="92"/>
  <c r="L27" i="92" s="1"/>
  <c r="J27" i="92"/>
  <c r="G27" i="92"/>
  <c r="H27" i="92" s="1"/>
  <c r="E27" i="92"/>
  <c r="D27" i="92"/>
  <c r="AI26" i="92"/>
  <c r="AH26" i="92"/>
  <c r="AF26" i="92"/>
  <c r="AD26" i="92"/>
  <c r="AB26" i="92"/>
  <c r="W26" i="92"/>
  <c r="X26" i="92" s="1"/>
  <c r="V26" i="92"/>
  <c r="R26" i="92"/>
  <c r="O26" i="92"/>
  <c r="P26" i="92" s="1"/>
  <c r="M26" i="92"/>
  <c r="N26" i="92" s="1"/>
  <c r="K26" i="92"/>
  <c r="L26" i="92" s="1"/>
  <c r="J26" i="92"/>
  <c r="G26" i="92"/>
  <c r="H26" i="92" s="1"/>
  <c r="E26" i="92"/>
  <c r="D26" i="92"/>
  <c r="AI25" i="92"/>
  <c r="AH25" i="92"/>
  <c r="AF25" i="92"/>
  <c r="AD25" i="92"/>
  <c r="AB25" i="92"/>
  <c r="W25" i="92"/>
  <c r="X25" i="92" s="1"/>
  <c r="V25" i="92"/>
  <c r="R25" i="92"/>
  <c r="O25" i="92"/>
  <c r="P25" i="92" s="1"/>
  <c r="M25" i="92"/>
  <c r="N25" i="92" s="1"/>
  <c r="K25" i="92"/>
  <c r="L25" i="92" s="1"/>
  <c r="J25" i="92"/>
  <c r="G25" i="92"/>
  <c r="H25" i="92" s="1"/>
  <c r="E25" i="92"/>
  <c r="D25" i="92"/>
  <c r="AI24" i="92"/>
  <c r="AH24" i="92"/>
  <c r="AF24" i="92"/>
  <c r="AD24" i="92"/>
  <c r="AB24" i="92"/>
  <c r="W24" i="92"/>
  <c r="X24" i="92" s="1"/>
  <c r="V24" i="92"/>
  <c r="R24" i="92"/>
  <c r="O24" i="92"/>
  <c r="P24" i="92" s="1"/>
  <c r="M24" i="92"/>
  <c r="N24" i="92" s="1"/>
  <c r="K24" i="92"/>
  <c r="L24" i="92" s="1"/>
  <c r="J24" i="92"/>
  <c r="G24" i="92"/>
  <c r="H24" i="92" s="1"/>
  <c r="E24" i="92"/>
  <c r="D24" i="92"/>
  <c r="AI23" i="92"/>
  <c r="AH23" i="92"/>
  <c r="AF23" i="92"/>
  <c r="AD23" i="92"/>
  <c r="AB23" i="92"/>
  <c r="W23" i="92"/>
  <c r="X23" i="92" s="1"/>
  <c r="V23" i="92"/>
  <c r="R23" i="92"/>
  <c r="O23" i="92"/>
  <c r="P23" i="92" s="1"/>
  <c r="M23" i="92"/>
  <c r="N23" i="92" s="1"/>
  <c r="K23" i="92"/>
  <c r="L23" i="92" s="1"/>
  <c r="J23" i="92"/>
  <c r="G23" i="92"/>
  <c r="H23" i="92" s="1"/>
  <c r="E23" i="92"/>
  <c r="F23" i="92" s="1"/>
  <c r="D23" i="92"/>
  <c r="AI22" i="92"/>
  <c r="AH22" i="92"/>
  <c r="AF22" i="92"/>
  <c r="AD22" i="92"/>
  <c r="AB22" i="92"/>
  <c r="W22" i="92"/>
  <c r="X22" i="92" s="1"/>
  <c r="V22" i="92"/>
  <c r="R22" i="92"/>
  <c r="O22" i="92"/>
  <c r="P22" i="92" s="1"/>
  <c r="M22" i="92"/>
  <c r="N22" i="92" s="1"/>
  <c r="K22" i="92"/>
  <c r="L22" i="92" s="1"/>
  <c r="J22" i="92"/>
  <c r="G22" i="92"/>
  <c r="H22" i="92" s="1"/>
  <c r="E22" i="92"/>
  <c r="D22" i="92"/>
  <c r="AI21" i="92"/>
  <c r="AH21" i="92"/>
  <c r="AF21" i="92"/>
  <c r="AD21" i="92"/>
  <c r="AB21" i="92"/>
  <c r="W21" i="92"/>
  <c r="X21" i="92" s="1"/>
  <c r="V21" i="92"/>
  <c r="R21" i="92"/>
  <c r="O21" i="92"/>
  <c r="P21" i="92" s="1"/>
  <c r="M21" i="92"/>
  <c r="N21" i="92" s="1"/>
  <c r="K21" i="92"/>
  <c r="J21" i="92"/>
  <c r="G21" i="92"/>
  <c r="H21" i="92" s="1"/>
  <c r="E21" i="92"/>
  <c r="D21" i="92"/>
  <c r="AG20" i="92"/>
  <c r="AE20" i="92"/>
  <c r="AC20" i="92"/>
  <c r="AA20" i="92"/>
  <c r="U20" i="92"/>
  <c r="Q20" i="92"/>
  <c r="I20" i="92"/>
  <c r="C20" i="92"/>
  <c r="B20" i="92"/>
  <c r="AH19" i="92"/>
  <c r="AF19" i="92"/>
  <c r="AD19" i="92"/>
  <c r="AB19" i="92"/>
  <c r="X19" i="92"/>
  <c r="V19" i="92"/>
  <c r="R19" i="92"/>
  <c r="O19" i="92"/>
  <c r="Y19" i="92" s="1"/>
  <c r="Z19" i="92" s="1"/>
  <c r="N19" i="92"/>
  <c r="L19" i="92"/>
  <c r="J19" i="92"/>
  <c r="H19" i="92"/>
  <c r="F19" i="92"/>
  <c r="D19" i="92"/>
  <c r="AI18" i="92"/>
  <c r="AH18" i="92"/>
  <c r="AF18" i="92"/>
  <c r="AD18" i="92"/>
  <c r="AB18" i="92"/>
  <c r="W18" i="92"/>
  <c r="U18" i="92"/>
  <c r="V18" i="92" s="1"/>
  <c r="Q18" i="92"/>
  <c r="R18" i="92" s="1"/>
  <c r="P18" i="92"/>
  <c r="M18" i="92"/>
  <c r="N18" i="92" s="1"/>
  <c r="K18" i="92"/>
  <c r="L18" i="92" s="1"/>
  <c r="I18" i="92"/>
  <c r="J18" i="92" s="1"/>
  <c r="G18" i="92"/>
  <c r="H18" i="92" s="1"/>
  <c r="E18" i="92"/>
  <c r="F18" i="92" s="1"/>
  <c r="D18" i="92"/>
  <c r="Y17" i="92"/>
  <c r="Z17" i="92" s="1"/>
  <c r="X17" i="92"/>
  <c r="V17" i="92"/>
  <c r="R17" i="92"/>
  <c r="P17" i="92"/>
  <c r="N17" i="92"/>
  <c r="L17" i="92"/>
  <c r="J17" i="92"/>
  <c r="H17" i="92"/>
  <c r="F17" i="92"/>
  <c r="D17" i="92"/>
  <c r="Z16" i="92"/>
  <c r="X16" i="92"/>
  <c r="V16" i="92"/>
  <c r="R16" i="92"/>
  <c r="P16" i="92"/>
  <c r="N16" i="92"/>
  <c r="L16" i="92"/>
  <c r="J16" i="92"/>
  <c r="H16" i="92"/>
  <c r="F16" i="92"/>
  <c r="D16" i="92"/>
  <c r="Z15" i="92"/>
  <c r="X15" i="92"/>
  <c r="R15" i="92"/>
  <c r="P15" i="92"/>
  <c r="N15" i="92"/>
  <c r="L15" i="92"/>
  <c r="J15" i="92"/>
  <c r="H15" i="92"/>
  <c r="F15" i="92"/>
  <c r="M20" i="92" l="1"/>
  <c r="O20" i="92"/>
  <c r="Y31" i="92"/>
  <c r="Z31" i="92" s="1"/>
  <c r="Y73" i="92"/>
  <c r="F28" i="92"/>
  <c r="Y28" i="92"/>
  <c r="F25" i="92"/>
  <c r="Y25" i="92"/>
  <c r="Z25" i="92" s="1"/>
  <c r="F31" i="92"/>
  <c r="Y47" i="92"/>
  <c r="Y60" i="92"/>
  <c r="F29" i="92"/>
  <c r="Y29" i="92"/>
  <c r="Z29" i="92" s="1"/>
  <c r="Y30" i="92"/>
  <c r="Z30" i="92" s="1"/>
  <c r="Y34" i="92"/>
  <c r="F26" i="92"/>
  <c r="Y26" i="92"/>
  <c r="Z26" i="92" s="1"/>
  <c r="Y23" i="92"/>
  <c r="Z23" i="92" s="1"/>
  <c r="F21" i="92"/>
  <c r="Y21" i="92"/>
  <c r="Z21" i="92" s="1"/>
  <c r="F27" i="92"/>
  <c r="Y27" i="92"/>
  <c r="Z27" i="92" s="1"/>
  <c r="Y24" i="92"/>
  <c r="Z24" i="92" s="1"/>
  <c r="F32" i="92"/>
  <c r="F20" i="92" s="1"/>
  <c r="Y32" i="92"/>
  <c r="P19" i="92"/>
  <c r="F22" i="92"/>
  <c r="Y22" i="92"/>
  <c r="Z22" i="92" s="1"/>
  <c r="Y150" i="92"/>
  <c r="Z150" i="92" s="1"/>
  <c r="Y18" i="92"/>
  <c r="Z18" i="92" s="1"/>
  <c r="K20" i="92"/>
  <c r="F150" i="92"/>
  <c r="Y145" i="92"/>
  <c r="Z145" i="92" s="1"/>
  <c r="H150" i="92"/>
  <c r="J150" i="92"/>
  <c r="T150" i="92"/>
  <c r="X150" i="92"/>
  <c r="X18" i="92"/>
  <c r="L21" i="92"/>
  <c r="F24" i="92"/>
  <c r="L29" i="92"/>
  <c r="H32" i="92"/>
  <c r="H20" i="92" s="1"/>
  <c r="D150" i="92"/>
  <c r="Z28" i="92"/>
  <c r="H145" i="92"/>
  <c r="X32" i="92"/>
  <c r="X20" i="92" s="1"/>
  <c r="H30" i="92"/>
  <c r="E20" i="92"/>
  <c r="L150" i="92"/>
  <c r="AF150" i="92"/>
  <c r="N150" i="92"/>
  <c r="Y20" i="92" l="1"/>
  <c r="Z32" i="92"/>
  <c r="Z20" i="92" s="1"/>
  <c r="E235" i="32" l="1"/>
  <c r="L240" i="86" l="1"/>
  <c r="I240" i="86" s="1"/>
  <c r="M240" i="86"/>
  <c r="J240" i="86" s="1"/>
  <c r="F240" i="86"/>
  <c r="G240" i="86"/>
  <c r="H240" i="86"/>
  <c r="L231" i="15" l="1"/>
  <c r="J231" i="15"/>
  <c r="H231" i="15"/>
  <c r="F231" i="15"/>
  <c r="D231" i="15"/>
  <c r="L228" i="15" l="1"/>
  <c r="L229" i="15"/>
  <c r="L230" i="15"/>
  <c r="J228" i="15"/>
  <c r="J229" i="15"/>
  <c r="J230" i="15"/>
  <c r="H228" i="15"/>
  <c r="H229" i="15"/>
  <c r="H230" i="15"/>
  <c r="F228" i="15"/>
  <c r="F229" i="15"/>
  <c r="F230" i="15"/>
  <c r="D228" i="15"/>
  <c r="D229" i="15"/>
  <c r="D230" i="15"/>
  <c r="M239" i="86" l="1"/>
  <c r="J239" i="86" s="1"/>
  <c r="L239" i="86"/>
  <c r="I239" i="86" s="1"/>
  <c r="F239" i="86"/>
  <c r="G239" i="86"/>
  <c r="H239" i="86"/>
  <c r="E234" i="32" l="1"/>
  <c r="E233" i="32" l="1"/>
  <c r="M238" i="86" l="1"/>
  <c r="J238" i="86" s="1"/>
  <c r="L238" i="86"/>
  <c r="I238" i="86" s="1"/>
  <c r="H238" i="86"/>
  <c r="G238" i="86"/>
  <c r="F238" i="86"/>
  <c r="E232" i="32" l="1"/>
  <c r="F43" i="12" l="1"/>
  <c r="L135" i="15" l="1"/>
  <c r="I135" i="15"/>
  <c r="J135" i="15" s="1"/>
  <c r="G135" i="15"/>
  <c r="H135" i="15" s="1"/>
  <c r="F135" i="15"/>
  <c r="D135" i="15"/>
  <c r="M237" i="86" l="1"/>
  <c r="J237" i="86" s="1"/>
  <c r="L237" i="86"/>
  <c r="I237" i="86" s="1"/>
  <c r="F237" i="86" l="1"/>
  <c r="G237" i="86"/>
  <c r="H237" i="86"/>
  <c r="L227" i="15" l="1"/>
  <c r="J227" i="15"/>
  <c r="H227" i="15"/>
  <c r="F227" i="15"/>
  <c r="D227" i="15"/>
  <c r="M236" i="86" l="1"/>
  <c r="K236" i="86" s="1"/>
  <c r="L236" i="86"/>
  <c r="H236" i="86"/>
  <c r="G236" i="86"/>
  <c r="F236" i="86"/>
  <c r="H234" i="86"/>
  <c r="G234" i="86"/>
  <c r="F234" i="86"/>
  <c r="H233" i="86"/>
  <c r="G233" i="86"/>
  <c r="F233" i="86"/>
  <c r="H232" i="86"/>
  <c r="G232" i="86"/>
  <c r="F232" i="86"/>
  <c r="H231" i="86"/>
  <c r="G231" i="86"/>
  <c r="F231" i="86"/>
  <c r="H230" i="86"/>
  <c r="G230" i="86"/>
  <c r="F230" i="86"/>
  <c r="H229" i="86"/>
  <c r="G229" i="86"/>
  <c r="F229" i="86"/>
  <c r="H228" i="86"/>
  <c r="G228" i="86"/>
  <c r="F228" i="86"/>
  <c r="H227" i="86"/>
  <c r="G227" i="86"/>
  <c r="F227" i="86"/>
  <c r="H226" i="86"/>
  <c r="G226" i="86"/>
  <c r="F226" i="86"/>
  <c r="H225" i="86"/>
  <c r="G225" i="86"/>
  <c r="F225" i="86"/>
  <c r="H224" i="86"/>
  <c r="G224" i="86"/>
  <c r="F224" i="86"/>
  <c r="H223" i="86"/>
  <c r="G223" i="86"/>
  <c r="F223" i="86"/>
  <c r="H221" i="86"/>
  <c r="G221" i="86"/>
  <c r="F221" i="86"/>
  <c r="H220" i="86"/>
  <c r="G220" i="86"/>
  <c r="F220" i="86"/>
  <c r="H219" i="86"/>
  <c r="G219" i="86"/>
  <c r="F219" i="86"/>
  <c r="H218" i="86"/>
  <c r="G218" i="86"/>
  <c r="F218" i="86"/>
  <c r="H217" i="86"/>
  <c r="G217" i="86"/>
  <c r="F217" i="86"/>
  <c r="H216" i="86"/>
  <c r="G216" i="86"/>
  <c r="F216" i="86"/>
  <c r="H215" i="86"/>
  <c r="G215" i="86"/>
  <c r="F215" i="86"/>
  <c r="H214" i="86"/>
  <c r="G214" i="86"/>
  <c r="F214" i="86"/>
  <c r="H213" i="86"/>
  <c r="G213" i="86"/>
  <c r="F213" i="86"/>
  <c r="H212" i="86"/>
  <c r="G212" i="86"/>
  <c r="F212" i="86"/>
  <c r="H211" i="86"/>
  <c r="G211" i="86"/>
  <c r="F211" i="86"/>
  <c r="H210" i="86"/>
  <c r="G210" i="86"/>
  <c r="F210" i="86"/>
  <c r="H208" i="86"/>
  <c r="G208" i="86"/>
  <c r="F208" i="86"/>
  <c r="H207" i="86"/>
  <c r="G207" i="86"/>
  <c r="F207" i="86"/>
  <c r="H206" i="86"/>
  <c r="G206" i="86"/>
  <c r="F206" i="86"/>
  <c r="H205" i="86"/>
  <c r="G205" i="86"/>
  <c r="F205" i="86"/>
  <c r="H204" i="86"/>
  <c r="G204" i="86"/>
  <c r="F204" i="86"/>
  <c r="H203" i="86"/>
  <c r="G203" i="86"/>
  <c r="F203" i="86"/>
  <c r="H202" i="86"/>
  <c r="G202" i="86"/>
  <c r="F202" i="86"/>
  <c r="H201" i="86"/>
  <c r="G201" i="86"/>
  <c r="F201" i="86"/>
  <c r="H200" i="86"/>
  <c r="G200" i="86"/>
  <c r="F200" i="86"/>
  <c r="H199" i="86"/>
  <c r="G199" i="86"/>
  <c r="F199" i="86"/>
  <c r="H198" i="86"/>
  <c r="G198" i="86"/>
  <c r="F198" i="86"/>
  <c r="H197" i="86"/>
  <c r="G197" i="86"/>
  <c r="F197" i="86"/>
  <c r="H195" i="86"/>
  <c r="G195" i="86"/>
  <c r="F195" i="86"/>
  <c r="H194" i="86"/>
  <c r="G194" i="86"/>
  <c r="F194" i="86"/>
  <c r="H193" i="86"/>
  <c r="G193" i="86"/>
  <c r="F193" i="86"/>
  <c r="H192" i="86"/>
  <c r="G192" i="86"/>
  <c r="F192" i="86"/>
  <c r="H191" i="86"/>
  <c r="G191" i="86"/>
  <c r="F191" i="86"/>
  <c r="H190" i="86"/>
  <c r="G190" i="86"/>
  <c r="F190" i="86"/>
  <c r="H189" i="86"/>
  <c r="G189" i="86"/>
  <c r="F189" i="86"/>
  <c r="H188" i="86"/>
  <c r="G188" i="86"/>
  <c r="F188" i="86"/>
  <c r="H187" i="86"/>
  <c r="G187" i="86"/>
  <c r="F187" i="86"/>
  <c r="H186" i="86"/>
  <c r="G186" i="86"/>
  <c r="F186" i="86"/>
  <c r="H185" i="86"/>
  <c r="G185" i="86"/>
  <c r="F185" i="86"/>
  <c r="H184" i="86"/>
  <c r="G184" i="86"/>
  <c r="F184" i="86"/>
  <c r="H182" i="86"/>
  <c r="G182" i="86"/>
  <c r="F182" i="86"/>
  <c r="H181" i="86"/>
  <c r="G181" i="86"/>
  <c r="F181" i="86"/>
  <c r="H180" i="86"/>
  <c r="G180" i="86"/>
  <c r="F180" i="86"/>
  <c r="H179" i="86"/>
  <c r="G179" i="86"/>
  <c r="F179" i="86"/>
  <c r="H178" i="86"/>
  <c r="G178" i="86"/>
  <c r="F178" i="86"/>
  <c r="H177" i="86"/>
  <c r="G177" i="86"/>
  <c r="F177" i="86"/>
  <c r="H176" i="86"/>
  <c r="G176" i="86"/>
  <c r="F176" i="86"/>
  <c r="H175" i="86"/>
  <c r="G175" i="86"/>
  <c r="F175" i="86"/>
  <c r="H174" i="86"/>
  <c r="G174" i="86"/>
  <c r="F174" i="86"/>
  <c r="H173" i="86"/>
  <c r="G173" i="86"/>
  <c r="F173" i="86"/>
  <c r="H172" i="86"/>
  <c r="G172" i="86"/>
  <c r="F172" i="86"/>
  <c r="H171" i="86"/>
  <c r="G171" i="86"/>
  <c r="F171" i="86"/>
  <c r="H169" i="86"/>
  <c r="G169" i="86"/>
  <c r="F169" i="86"/>
  <c r="H168" i="86"/>
  <c r="G168" i="86"/>
  <c r="F168" i="86"/>
  <c r="H167" i="86"/>
  <c r="G167" i="86"/>
  <c r="F167" i="86"/>
  <c r="H166" i="86"/>
  <c r="G166" i="86"/>
  <c r="F166" i="86"/>
  <c r="H165" i="86"/>
  <c r="G165" i="86"/>
  <c r="F165" i="86"/>
  <c r="H164" i="86"/>
  <c r="G164" i="86"/>
  <c r="F164" i="86"/>
  <c r="J163" i="86"/>
  <c r="I163" i="86"/>
  <c r="H163" i="86"/>
  <c r="G163" i="86"/>
  <c r="F163" i="86"/>
  <c r="H162" i="86"/>
  <c r="G162" i="86"/>
  <c r="F162" i="86"/>
  <c r="H161" i="86"/>
  <c r="G161" i="86"/>
  <c r="F161" i="86"/>
  <c r="J160" i="86"/>
  <c r="I160" i="86"/>
  <c r="H160" i="86"/>
  <c r="G160" i="86"/>
  <c r="F160" i="86"/>
  <c r="J159" i="86"/>
  <c r="I159" i="86"/>
  <c r="H159" i="86"/>
  <c r="G159" i="86"/>
  <c r="F159" i="86"/>
  <c r="J158" i="86"/>
  <c r="I158" i="86"/>
  <c r="H158" i="86"/>
  <c r="G158" i="86"/>
  <c r="F158" i="86"/>
  <c r="H156" i="86"/>
  <c r="G156" i="86"/>
  <c r="F156" i="86"/>
  <c r="J155" i="86"/>
  <c r="I155" i="86"/>
  <c r="H155" i="86"/>
  <c r="G155" i="86"/>
  <c r="F155" i="86"/>
  <c r="J154" i="86"/>
  <c r="I154" i="86"/>
  <c r="H154" i="86"/>
  <c r="G154" i="86"/>
  <c r="F154" i="86"/>
  <c r="J153" i="86"/>
  <c r="I153" i="86"/>
  <c r="H153" i="86"/>
  <c r="G153" i="86"/>
  <c r="F153" i="86"/>
  <c r="J152" i="86"/>
  <c r="I152" i="86"/>
  <c r="H152" i="86"/>
  <c r="G152" i="86"/>
  <c r="F152" i="86"/>
  <c r="J151" i="86"/>
  <c r="I151" i="86"/>
  <c r="H151" i="86"/>
  <c r="G151" i="86"/>
  <c r="F151" i="86"/>
  <c r="J150" i="86"/>
  <c r="I150" i="86"/>
  <c r="H150" i="86"/>
  <c r="G150" i="86"/>
  <c r="F150" i="86"/>
  <c r="J149" i="86"/>
  <c r="I149" i="86"/>
  <c r="H149" i="86"/>
  <c r="G149" i="86"/>
  <c r="F149" i="86"/>
  <c r="J148" i="86"/>
  <c r="I148" i="86"/>
  <c r="H148" i="86"/>
  <c r="G148" i="86"/>
  <c r="F148" i="86"/>
  <c r="J147" i="86"/>
  <c r="I147" i="86"/>
  <c r="H147" i="86"/>
  <c r="G147" i="86"/>
  <c r="F147" i="86"/>
  <c r="J146" i="86"/>
  <c r="I146" i="86"/>
  <c r="H146" i="86"/>
  <c r="G146" i="86"/>
  <c r="F146" i="86"/>
  <c r="J145" i="86"/>
  <c r="I145" i="86"/>
  <c r="H145" i="86"/>
  <c r="G145" i="86"/>
  <c r="F145" i="86"/>
  <c r="J143" i="86"/>
  <c r="I143" i="86"/>
  <c r="H143" i="86"/>
  <c r="G143" i="86"/>
  <c r="F143" i="86"/>
  <c r="H142" i="86"/>
  <c r="G142" i="86"/>
  <c r="F142" i="86"/>
  <c r="H141" i="86"/>
  <c r="G141" i="86"/>
  <c r="F141" i="86"/>
  <c r="H140" i="86"/>
  <c r="G140" i="86"/>
  <c r="F140" i="86"/>
  <c r="H139" i="86"/>
  <c r="G139" i="86"/>
  <c r="F139" i="86"/>
  <c r="H138" i="86"/>
  <c r="G138" i="86"/>
  <c r="F138" i="86"/>
  <c r="H137" i="86"/>
  <c r="G137" i="86"/>
  <c r="F137" i="86"/>
  <c r="H136" i="86"/>
  <c r="G136" i="86"/>
  <c r="F136" i="86"/>
  <c r="H135" i="86"/>
  <c r="G135" i="86"/>
  <c r="F135" i="86"/>
  <c r="H134" i="86"/>
  <c r="G134" i="86"/>
  <c r="F134" i="86"/>
  <c r="H133" i="86"/>
  <c r="G133" i="86"/>
  <c r="F133" i="86"/>
  <c r="H132" i="86"/>
  <c r="G132" i="86"/>
  <c r="F132" i="86"/>
  <c r="J131" i="86"/>
  <c r="I131" i="86"/>
  <c r="G131" i="86"/>
  <c r="F131" i="86"/>
  <c r="J130" i="86"/>
  <c r="I130" i="86"/>
  <c r="H130" i="86"/>
  <c r="G130" i="86"/>
  <c r="F130" i="86"/>
  <c r="J129" i="86"/>
  <c r="I129" i="86"/>
  <c r="H129" i="86"/>
  <c r="G129" i="86"/>
  <c r="F129" i="86"/>
  <c r="J128" i="86"/>
  <c r="I128" i="86"/>
  <c r="H128" i="86"/>
  <c r="G128" i="86"/>
  <c r="F128" i="86"/>
  <c r="J127" i="86"/>
  <c r="I127" i="86"/>
  <c r="H127" i="86"/>
  <c r="G127" i="86"/>
  <c r="F127" i="86"/>
  <c r="J126" i="86"/>
  <c r="I126" i="86"/>
  <c r="H126" i="86"/>
  <c r="G126" i="86"/>
  <c r="F126" i="86"/>
  <c r="J125" i="86"/>
  <c r="I125" i="86"/>
  <c r="H125" i="86"/>
  <c r="G125" i="86"/>
  <c r="F125" i="86"/>
  <c r="J124" i="86"/>
  <c r="I124" i="86"/>
  <c r="H124" i="86"/>
  <c r="G124" i="86"/>
  <c r="F124" i="86"/>
  <c r="J123" i="86"/>
  <c r="I123" i="86"/>
  <c r="H123" i="86"/>
  <c r="G123" i="86"/>
  <c r="F123" i="86"/>
  <c r="J122" i="86"/>
  <c r="I122" i="86"/>
  <c r="H122" i="86"/>
  <c r="G122" i="86"/>
  <c r="F122" i="86"/>
  <c r="J121" i="86"/>
  <c r="I121" i="86"/>
  <c r="H121" i="86"/>
  <c r="G121" i="86"/>
  <c r="F121" i="86"/>
  <c r="J120" i="86"/>
  <c r="I120" i="86"/>
  <c r="H120" i="86"/>
  <c r="G120" i="86"/>
  <c r="F120" i="86"/>
  <c r="J119" i="86"/>
  <c r="I119" i="86"/>
  <c r="H119" i="86"/>
  <c r="G119" i="86"/>
  <c r="F119" i="86"/>
  <c r="J118" i="86"/>
  <c r="I118" i="86"/>
  <c r="G118" i="86"/>
  <c r="F118" i="86"/>
  <c r="J117" i="86"/>
  <c r="I117" i="86"/>
  <c r="H117" i="86"/>
  <c r="G117" i="86"/>
  <c r="F117" i="86"/>
  <c r="J116" i="86"/>
  <c r="I116" i="86"/>
  <c r="H116" i="86"/>
  <c r="G116" i="86"/>
  <c r="F116" i="86"/>
  <c r="J115" i="86"/>
  <c r="I115" i="86"/>
  <c r="H115" i="86"/>
  <c r="G115" i="86"/>
  <c r="F115" i="86"/>
  <c r="J114" i="86"/>
  <c r="I114" i="86"/>
  <c r="H114" i="86"/>
  <c r="G114" i="86"/>
  <c r="F114" i="86"/>
  <c r="J113" i="86"/>
  <c r="I113" i="86"/>
  <c r="H113" i="86"/>
  <c r="G113" i="86"/>
  <c r="F113" i="86"/>
  <c r="J112" i="86"/>
  <c r="I112" i="86"/>
  <c r="H112" i="86"/>
  <c r="G112" i="86"/>
  <c r="F112" i="86"/>
  <c r="J111" i="86"/>
  <c r="I111" i="86"/>
  <c r="H111" i="86"/>
  <c r="G111" i="86"/>
  <c r="F111" i="86"/>
  <c r="J110" i="86"/>
  <c r="I110" i="86"/>
  <c r="H110" i="86"/>
  <c r="G110" i="86"/>
  <c r="F110" i="86"/>
  <c r="J109" i="86"/>
  <c r="I109" i="86"/>
  <c r="H109" i="86"/>
  <c r="G109" i="86"/>
  <c r="F109" i="86"/>
  <c r="H108" i="86"/>
  <c r="G108" i="86"/>
  <c r="F108" i="86"/>
  <c r="H107" i="86"/>
  <c r="G107" i="86"/>
  <c r="F107" i="86"/>
  <c r="H106" i="86"/>
  <c r="G106" i="86"/>
  <c r="F106" i="86"/>
  <c r="H104" i="86"/>
  <c r="G104" i="86"/>
  <c r="F104" i="86"/>
  <c r="H103" i="86"/>
  <c r="G103" i="86"/>
  <c r="F103" i="86"/>
  <c r="H102" i="86"/>
  <c r="G102" i="86"/>
  <c r="F102" i="86"/>
  <c r="H101" i="86"/>
  <c r="G101" i="86"/>
  <c r="F101" i="86"/>
  <c r="H100" i="86"/>
  <c r="G100" i="86"/>
  <c r="F100" i="86"/>
  <c r="H99" i="86"/>
  <c r="G99" i="86"/>
  <c r="F99" i="86"/>
  <c r="H98" i="86"/>
  <c r="G98" i="86"/>
  <c r="F98" i="86"/>
  <c r="H97" i="86"/>
  <c r="G97" i="86"/>
  <c r="F97" i="86"/>
  <c r="H96" i="86"/>
  <c r="G96" i="86"/>
  <c r="F96" i="86"/>
  <c r="H95" i="86"/>
  <c r="G95" i="86"/>
  <c r="F95" i="86"/>
  <c r="H94" i="86"/>
  <c r="G94" i="86"/>
  <c r="F94" i="86"/>
  <c r="H93" i="86"/>
  <c r="G93" i="86"/>
  <c r="F93" i="86"/>
  <c r="H91" i="86"/>
  <c r="H79" i="86" s="1"/>
  <c r="G91" i="86"/>
  <c r="G79" i="86" s="1"/>
  <c r="F91" i="86"/>
  <c r="F79" i="86" s="1"/>
  <c r="H90" i="86"/>
  <c r="G90" i="86"/>
  <c r="F90" i="86"/>
  <c r="H89" i="86"/>
  <c r="G89" i="86"/>
  <c r="F89" i="86"/>
  <c r="H88" i="86"/>
  <c r="G88" i="86"/>
  <c r="F88" i="86"/>
  <c r="H87" i="86"/>
  <c r="G87" i="86"/>
  <c r="F87" i="86"/>
  <c r="H86" i="86"/>
  <c r="G86" i="86"/>
  <c r="F86" i="86"/>
  <c r="H85" i="86"/>
  <c r="G85" i="86"/>
  <c r="F85" i="86"/>
  <c r="H84" i="86"/>
  <c r="G84" i="86"/>
  <c r="F84" i="86"/>
  <c r="H83" i="86"/>
  <c r="G83" i="86"/>
  <c r="F83" i="86"/>
  <c r="H82" i="86"/>
  <c r="G82" i="86"/>
  <c r="F82" i="86"/>
  <c r="H81" i="86"/>
  <c r="G81" i="86"/>
  <c r="F81" i="86"/>
  <c r="H80" i="86"/>
  <c r="G80" i="86"/>
  <c r="F80" i="86"/>
  <c r="J79" i="86"/>
  <c r="I79" i="86"/>
  <c r="J78" i="86"/>
  <c r="J66" i="86" s="1"/>
  <c r="I78" i="86"/>
  <c r="I66" i="86" s="1"/>
  <c r="H78" i="86"/>
  <c r="H66" i="86" s="1"/>
  <c r="G78" i="86"/>
  <c r="G66" i="86" s="1"/>
  <c r="F78" i="86"/>
  <c r="F66" i="86" s="1"/>
  <c r="J77" i="86"/>
  <c r="I77" i="86"/>
  <c r="H77" i="86"/>
  <c r="G77" i="86"/>
  <c r="F77" i="86"/>
  <c r="J76" i="86"/>
  <c r="I76" i="86"/>
  <c r="H76" i="86"/>
  <c r="G76" i="86"/>
  <c r="F76" i="86"/>
  <c r="J75" i="86"/>
  <c r="I75" i="86"/>
  <c r="H75" i="86"/>
  <c r="G75" i="86"/>
  <c r="F75" i="86"/>
  <c r="J74" i="86"/>
  <c r="I74" i="86"/>
  <c r="H74" i="86"/>
  <c r="G74" i="86"/>
  <c r="F74" i="86"/>
  <c r="J73" i="86"/>
  <c r="I73" i="86"/>
  <c r="H73" i="86"/>
  <c r="G73" i="86"/>
  <c r="F73" i="86"/>
  <c r="J72" i="86"/>
  <c r="I72" i="86"/>
  <c r="H72" i="86"/>
  <c r="G72" i="86"/>
  <c r="F72" i="86"/>
  <c r="J71" i="86"/>
  <c r="I71" i="86"/>
  <c r="H71" i="86"/>
  <c r="G71" i="86"/>
  <c r="F71" i="86"/>
  <c r="J70" i="86"/>
  <c r="I70" i="86"/>
  <c r="H70" i="86"/>
  <c r="G70" i="86"/>
  <c r="F70" i="86"/>
  <c r="J69" i="86"/>
  <c r="I69" i="86"/>
  <c r="H69" i="86"/>
  <c r="G69" i="86"/>
  <c r="F69" i="86"/>
  <c r="J68" i="86"/>
  <c r="I68" i="86"/>
  <c r="H68" i="86"/>
  <c r="G68" i="86"/>
  <c r="F68" i="86"/>
  <c r="J67" i="86"/>
  <c r="I67" i="86"/>
  <c r="H67" i="86"/>
  <c r="G67" i="86"/>
  <c r="F67" i="86"/>
  <c r="J65" i="86"/>
  <c r="J53" i="86" s="1"/>
  <c r="I65" i="86"/>
  <c r="I53" i="86" s="1"/>
  <c r="H65" i="86"/>
  <c r="H53" i="86" s="1"/>
  <c r="G65" i="86"/>
  <c r="G53" i="86" s="1"/>
  <c r="F65" i="86"/>
  <c r="F53" i="86" s="1"/>
  <c r="J64" i="86"/>
  <c r="I64" i="86"/>
  <c r="H64" i="86"/>
  <c r="G64" i="86"/>
  <c r="F64" i="86"/>
  <c r="J63" i="86"/>
  <c r="I63" i="86"/>
  <c r="H63" i="86"/>
  <c r="G63" i="86"/>
  <c r="F63" i="86"/>
  <c r="J62" i="86"/>
  <c r="I62" i="86"/>
  <c r="H62" i="86"/>
  <c r="G62" i="86"/>
  <c r="F62" i="86"/>
  <c r="J61" i="86"/>
  <c r="I61" i="86"/>
  <c r="H61" i="86"/>
  <c r="G61" i="86"/>
  <c r="F61" i="86"/>
  <c r="J60" i="86"/>
  <c r="I60" i="86"/>
  <c r="H60" i="86"/>
  <c r="G60" i="86"/>
  <c r="F60" i="86"/>
  <c r="CE59" i="86"/>
  <c r="J59" i="86"/>
  <c r="I59" i="86"/>
  <c r="H59" i="86"/>
  <c r="G59" i="86"/>
  <c r="F59" i="86"/>
  <c r="CE58" i="86"/>
  <c r="J58" i="86"/>
  <c r="I58" i="86"/>
  <c r="H58" i="86"/>
  <c r="G58" i="86"/>
  <c r="F58" i="86"/>
  <c r="CE57" i="86"/>
  <c r="J57" i="86"/>
  <c r="I57" i="86"/>
  <c r="H57" i="86"/>
  <c r="G57" i="86"/>
  <c r="F57" i="86"/>
  <c r="CE56" i="86"/>
  <c r="J56" i="86"/>
  <c r="I56" i="86"/>
  <c r="H56" i="86"/>
  <c r="G56" i="86"/>
  <c r="F56" i="86"/>
  <c r="CE55" i="86"/>
  <c r="J55" i="86"/>
  <c r="I55" i="86"/>
  <c r="H55" i="86"/>
  <c r="G55" i="86"/>
  <c r="F55" i="86"/>
  <c r="CE54" i="86"/>
  <c r="J54" i="86"/>
  <c r="I54" i="86"/>
  <c r="H54" i="86"/>
  <c r="G54" i="86"/>
  <c r="F54" i="86"/>
  <c r="CD52" i="86"/>
  <c r="CE52" i="86" s="1"/>
  <c r="H52" i="86"/>
  <c r="H40" i="86" s="1"/>
  <c r="G52" i="86"/>
  <c r="G40" i="86" s="1"/>
  <c r="F52" i="86"/>
  <c r="F40" i="86" s="1"/>
  <c r="CE51" i="86"/>
  <c r="H51" i="86"/>
  <c r="G51" i="86"/>
  <c r="F51" i="86"/>
  <c r="CE50" i="86"/>
  <c r="H50" i="86"/>
  <c r="G50" i="86"/>
  <c r="F50" i="86"/>
  <c r="H49" i="86"/>
  <c r="G49" i="86"/>
  <c r="F49" i="86"/>
  <c r="CD48" i="86"/>
  <c r="CE48" i="86" s="1"/>
  <c r="H48" i="86"/>
  <c r="G48" i="86"/>
  <c r="F48" i="86"/>
  <c r="H47" i="86"/>
  <c r="G47" i="86"/>
  <c r="F47" i="86"/>
  <c r="H46" i="86"/>
  <c r="G46" i="86"/>
  <c r="F46" i="86"/>
  <c r="CE45" i="86"/>
  <c r="H45" i="86"/>
  <c r="G45" i="86"/>
  <c r="F45" i="86"/>
  <c r="H44" i="86"/>
  <c r="G44" i="86"/>
  <c r="F44" i="86"/>
  <c r="CE43" i="86"/>
  <c r="H43" i="86"/>
  <c r="G43" i="86"/>
  <c r="F43" i="86"/>
  <c r="CE42" i="86"/>
  <c r="H42" i="86"/>
  <c r="G42" i="86"/>
  <c r="F42" i="86"/>
  <c r="H41" i="86"/>
  <c r="G41" i="86"/>
  <c r="F41" i="86"/>
  <c r="CE40" i="86"/>
  <c r="J40" i="86"/>
  <c r="I40" i="86"/>
  <c r="CE39" i="86"/>
  <c r="H39" i="86"/>
  <c r="H27" i="86" s="1"/>
  <c r="G39" i="86"/>
  <c r="G27" i="86" s="1"/>
  <c r="F39" i="86"/>
  <c r="H38" i="86"/>
  <c r="G38" i="86"/>
  <c r="F38" i="86"/>
  <c r="CE37" i="86"/>
  <c r="H37" i="86"/>
  <c r="G37" i="86"/>
  <c r="F37" i="86"/>
  <c r="CE36" i="86"/>
  <c r="H36" i="86"/>
  <c r="G36" i="86"/>
  <c r="F36" i="86"/>
  <c r="H35" i="86"/>
  <c r="G35" i="86"/>
  <c r="F35" i="86"/>
  <c r="CE34" i="86"/>
  <c r="H34" i="86"/>
  <c r="G34" i="86"/>
  <c r="F34" i="86"/>
  <c r="CE33" i="86"/>
  <c r="H33" i="86"/>
  <c r="G33" i="86"/>
  <c r="F33" i="86"/>
  <c r="H32" i="86"/>
  <c r="G32" i="86"/>
  <c r="F32" i="86"/>
  <c r="CD31" i="86"/>
  <c r="CE31" i="86" s="1"/>
  <c r="H31" i="86"/>
  <c r="G31" i="86"/>
  <c r="F31" i="86"/>
  <c r="H30" i="86"/>
  <c r="G30" i="86"/>
  <c r="F30" i="86"/>
  <c r="CE29" i="86"/>
  <c r="H29" i="86"/>
  <c r="G29" i="86"/>
  <c r="F29" i="86"/>
  <c r="CE28" i="86"/>
  <c r="H28" i="86"/>
  <c r="G28" i="86"/>
  <c r="F28" i="86"/>
  <c r="J27" i="86"/>
  <c r="I27" i="86"/>
  <c r="F27" i="86"/>
  <c r="H26" i="86"/>
  <c r="G26" i="86"/>
  <c r="F26" i="86"/>
  <c r="H25" i="86"/>
  <c r="G25" i="86"/>
  <c r="F25" i="86"/>
  <c r="CE24" i="86"/>
  <c r="H24" i="86"/>
  <c r="G24" i="86"/>
  <c r="F24" i="86"/>
  <c r="CE23" i="86"/>
  <c r="H23" i="86"/>
  <c r="G23" i="86"/>
  <c r="F23" i="86"/>
  <c r="H22" i="86"/>
  <c r="G22" i="86"/>
  <c r="F22" i="86"/>
  <c r="CD21" i="86"/>
  <c r="CE21" i="86" s="1"/>
  <c r="H20" i="86"/>
  <c r="G20" i="86"/>
  <c r="F20" i="86"/>
  <c r="CE19" i="86"/>
  <c r="D19" i="86"/>
  <c r="C19" i="86"/>
  <c r="B19" i="86"/>
  <c r="CE18" i="86"/>
  <c r="E18" i="86"/>
  <c r="D18" i="86"/>
  <c r="C18" i="86"/>
  <c r="B18" i="86"/>
  <c r="E17" i="86"/>
  <c r="D17" i="86"/>
  <c r="C17" i="86"/>
  <c r="B17" i="86"/>
  <c r="A17" i="86"/>
  <c r="A18" i="86" s="1"/>
  <c r="A19" i="86" s="1"/>
  <c r="A20" i="86" s="1"/>
  <c r="A22" i="86" s="1"/>
  <c r="A23" i="86" s="1"/>
  <c r="A24" i="86" s="1"/>
  <c r="A25" i="86" s="1"/>
  <c r="A26" i="86" s="1"/>
  <c r="CD16" i="86"/>
  <c r="CE16" i="86" s="1"/>
  <c r="E16" i="86"/>
  <c r="D16" i="86"/>
  <c r="C16" i="86"/>
  <c r="B16" i="86"/>
  <c r="CE14" i="86"/>
  <c r="CE13" i="86"/>
  <c r="CD11" i="86"/>
  <c r="CE11" i="86" s="1"/>
  <c r="BZ7" i="86"/>
  <c r="H18" i="86" l="1"/>
  <c r="F16" i="86"/>
  <c r="H17" i="86"/>
  <c r="F18" i="86"/>
  <c r="H16" i="86"/>
  <c r="H19" i="86"/>
  <c r="G17" i="86"/>
  <c r="G19" i="86"/>
  <c r="G16" i="86"/>
  <c r="G18" i="86"/>
  <c r="F17" i="86"/>
  <c r="CD47" i="86"/>
  <c r="CE47" i="86" s="1"/>
  <c r="CD9" i="86"/>
  <c r="CE9" i="86" s="1"/>
  <c r="F19" i="86"/>
  <c r="CD7" i="86" l="1"/>
  <c r="CD61" i="86" s="1"/>
  <c r="CE61" i="86" s="1"/>
  <c r="CE7" i="86" l="1"/>
  <c r="E231" i="32"/>
  <c r="E229" i="32"/>
  <c r="E228" i="32"/>
  <c r="K112" i="14" l="1"/>
  <c r="J112" i="14"/>
  <c r="E112" i="14"/>
  <c r="D112" i="14"/>
  <c r="B112" i="14" l="1"/>
  <c r="C112" i="14"/>
  <c r="B109" i="15" l="1"/>
  <c r="J109" i="15" s="1"/>
  <c r="D109" i="15" l="1"/>
  <c r="F109" i="15"/>
  <c r="L109" i="15"/>
  <c r="H109" i="15"/>
  <c r="H213" i="15" l="1"/>
  <c r="H225" i="15" l="1"/>
  <c r="L225" i="15" l="1"/>
  <c r="F225" i="15"/>
  <c r="D225" i="15"/>
  <c r="H224" i="15" l="1"/>
  <c r="L224" i="15"/>
  <c r="F224" i="15"/>
  <c r="D224" i="15"/>
  <c r="H223" i="15"/>
  <c r="E227" i="32"/>
  <c r="L223" i="15"/>
  <c r="F223" i="15"/>
  <c r="D223" i="15"/>
  <c r="L222" i="15"/>
  <c r="H222" i="15"/>
  <c r="F222" i="15"/>
  <c r="D222" i="15"/>
  <c r="E226" i="32"/>
  <c r="A12" i="10"/>
  <c r="A13" i="10" s="1"/>
  <c r="A14" i="10" s="1"/>
  <c r="A15" i="10" s="1"/>
  <c r="S37" i="17"/>
  <c r="E225" i="32"/>
  <c r="AE586" i="29"/>
  <c r="D221" i="15"/>
  <c r="F221" i="15"/>
  <c r="H221" i="15"/>
  <c r="L221" i="15"/>
  <c r="H220" i="15"/>
  <c r="F220" i="15"/>
  <c r="L220" i="15"/>
  <c r="D220" i="15"/>
  <c r="E224" i="32"/>
  <c r="E223" i="32"/>
  <c r="E222" i="32"/>
  <c r="E221" i="32"/>
  <c r="E220" i="32"/>
  <c r="E219" i="32"/>
  <c r="E218" i="32"/>
  <c r="E206" i="32"/>
  <c r="E207" i="32"/>
  <c r="E208" i="32"/>
  <c r="E209" i="32"/>
  <c r="E210" i="32"/>
  <c r="E211" i="32"/>
  <c r="E212" i="32"/>
  <c r="E213" i="32"/>
  <c r="E214" i="32"/>
  <c r="E215" i="32"/>
  <c r="E216" i="32"/>
  <c r="AE583" i="29"/>
  <c r="F219" i="15"/>
  <c r="D219" i="15"/>
  <c r="L219" i="15"/>
  <c r="AE580" i="29"/>
  <c r="H219" i="15"/>
  <c r="AE577" i="29"/>
  <c r="AE574" i="29"/>
  <c r="AE571" i="29"/>
  <c r="H216" i="15"/>
  <c r="L216" i="15"/>
  <c r="F216" i="15"/>
  <c r="D216" i="15"/>
  <c r="F215" i="15"/>
  <c r="H215" i="15"/>
  <c r="L215" i="15"/>
  <c r="D215" i="15"/>
  <c r="AE568" i="29"/>
  <c r="L214" i="15"/>
  <c r="H214" i="15"/>
  <c r="F214" i="15"/>
  <c r="D214" i="15"/>
  <c r="AE565" i="29"/>
  <c r="B214" i="32"/>
  <c r="B215" i="32"/>
  <c r="B216" i="32"/>
  <c r="E205" i="32"/>
  <c r="L212" i="15"/>
  <c r="J212" i="15"/>
  <c r="H212" i="15"/>
  <c r="F212" i="15"/>
  <c r="D212" i="15"/>
  <c r="AE562" i="29"/>
  <c r="AE559" i="29"/>
  <c r="L209" i="15"/>
  <c r="L210" i="15"/>
  <c r="L211" i="15"/>
  <c r="J210" i="15"/>
  <c r="J211" i="15"/>
  <c r="H210" i="15"/>
  <c r="H211" i="15"/>
  <c r="F210" i="15"/>
  <c r="F211" i="15"/>
  <c r="D210" i="15"/>
  <c r="D211" i="15"/>
  <c r="B206" i="32"/>
  <c r="B207" i="32"/>
  <c r="B208" i="32"/>
  <c r="B209" i="32"/>
  <c r="B210" i="32"/>
  <c r="B211" i="32"/>
  <c r="B212" i="32"/>
  <c r="B213" i="32"/>
  <c r="B205" i="32"/>
  <c r="AE556" i="29"/>
  <c r="F209" i="15"/>
  <c r="D209" i="15"/>
  <c r="H209" i="15"/>
  <c r="J209" i="15"/>
  <c r="AE553" i="29"/>
  <c r="D208" i="15"/>
  <c r="F208" i="15"/>
  <c r="L208" i="15"/>
  <c r="J208" i="15"/>
  <c r="H208" i="15"/>
  <c r="AD193" i="25"/>
  <c r="AC193" i="25"/>
  <c r="AB193" i="25"/>
  <c r="AA193" i="25"/>
  <c r="Z193" i="25"/>
  <c r="Y193" i="25"/>
  <c r="X193" i="25"/>
  <c r="W193" i="25"/>
  <c r="V193" i="25"/>
  <c r="U193" i="25"/>
  <c r="T193" i="25"/>
  <c r="S193" i="25"/>
  <c r="R193" i="25"/>
  <c r="Q193" i="25"/>
  <c r="P193" i="25"/>
  <c r="O193" i="25"/>
  <c r="N193" i="25"/>
  <c r="M193" i="25"/>
  <c r="L193" i="25"/>
  <c r="K193" i="25"/>
  <c r="J193" i="25"/>
  <c r="I193" i="25"/>
  <c r="H193" i="25"/>
  <c r="G193" i="25"/>
  <c r="F193" i="25"/>
  <c r="E193" i="25"/>
  <c r="D193" i="25"/>
  <c r="C193" i="25"/>
  <c r="B193" i="25"/>
  <c r="L187" i="15"/>
  <c r="J187" i="15"/>
  <c r="H187" i="15"/>
  <c r="F187" i="15"/>
  <c r="D187" i="15"/>
  <c r="I178" i="32"/>
  <c r="H178" i="32"/>
  <c r="E178" i="32"/>
  <c r="E165" i="32"/>
  <c r="E139" i="32"/>
  <c r="B139" i="32"/>
  <c r="I139" i="32" s="1"/>
  <c r="E126" i="32"/>
  <c r="B126" i="32"/>
  <c r="I126" i="32" s="1"/>
  <c r="H193" i="15"/>
  <c r="L192" i="15"/>
  <c r="J192" i="15"/>
  <c r="H192" i="15"/>
  <c r="F192" i="15"/>
  <c r="D192" i="15"/>
  <c r="CD53" i="8"/>
  <c r="CD50" i="10"/>
  <c r="CB55" i="12"/>
  <c r="CD57" i="15"/>
  <c r="CD56" i="14"/>
  <c r="CD57" i="48"/>
  <c r="CD57" i="23"/>
  <c r="CD57" i="32"/>
  <c r="CD57" i="33"/>
  <c r="CD54" i="8"/>
  <c r="CD51" i="10"/>
  <c r="CB56" i="12"/>
  <c r="CD58" i="15"/>
  <c r="CD57" i="14"/>
  <c r="CD58" i="48"/>
  <c r="CD58" i="23"/>
  <c r="CD58" i="32"/>
  <c r="CD58" i="33"/>
  <c r="CD55" i="8"/>
  <c r="CD52" i="10"/>
  <c r="CB57" i="12"/>
  <c r="CD59" i="15"/>
  <c r="CD58" i="14"/>
  <c r="CD59" i="48"/>
  <c r="CD59" i="23"/>
  <c r="CD59" i="32"/>
  <c r="CD59" i="33"/>
  <c r="CD56" i="8"/>
  <c r="CD53" i="10"/>
  <c r="CB58" i="12"/>
  <c r="CD60" i="15"/>
  <c r="CD59" i="14"/>
  <c r="CD60" i="48"/>
  <c r="CD60" i="23"/>
  <c r="CD60" i="32"/>
  <c r="CD60" i="33"/>
  <c r="CD30" i="8"/>
  <c r="CD27" i="10"/>
  <c r="CB32" i="12"/>
  <c r="CD34" i="15"/>
  <c r="CD33" i="14"/>
  <c r="CD34" i="48"/>
  <c r="CD34" i="23"/>
  <c r="CD34" i="32"/>
  <c r="CD34" i="33"/>
  <c r="CC49" i="8"/>
  <c r="CD49" i="8" s="1"/>
  <c r="CC46" i="10"/>
  <c r="CD46" i="10" s="1"/>
  <c r="CA51" i="12"/>
  <c r="CB51" i="12" s="1"/>
  <c r="CC53" i="15"/>
  <c r="CD53" i="15" s="1"/>
  <c r="CC52" i="14"/>
  <c r="CD52" i="14" s="1"/>
  <c r="CC53" i="48"/>
  <c r="CD53" i="48" s="1"/>
  <c r="CC53" i="23"/>
  <c r="CD53" i="23" s="1"/>
  <c r="CC53" i="32"/>
  <c r="CD53" i="32" s="1"/>
  <c r="CC53" i="33"/>
  <c r="CD53" i="33" s="1"/>
  <c r="CC18" i="8"/>
  <c r="CD18" i="8" s="1"/>
  <c r="CC15" i="10"/>
  <c r="CD15" i="10" s="1"/>
  <c r="CA20" i="12"/>
  <c r="CB20" i="12" s="1"/>
  <c r="CC22" i="15"/>
  <c r="CD22" i="15" s="1"/>
  <c r="CC21" i="14"/>
  <c r="CD21" i="14" s="1"/>
  <c r="CC22" i="48"/>
  <c r="CD22" i="48" s="1"/>
  <c r="CC22" i="23"/>
  <c r="CD22" i="23" s="1"/>
  <c r="CA19" i="20"/>
  <c r="CC22" i="32"/>
  <c r="CD22" i="32"/>
  <c r="CC22" i="33"/>
  <c r="CD22" i="33" s="1"/>
  <c r="CC13" i="8"/>
  <c r="CD13" i="8" s="1"/>
  <c r="CC10" i="10"/>
  <c r="CD10" i="10" s="1"/>
  <c r="CA15" i="12"/>
  <c r="CB15" i="12" s="1"/>
  <c r="CC17" i="15"/>
  <c r="CD17" i="15" s="1"/>
  <c r="CC16" i="14"/>
  <c r="CC17" i="48"/>
  <c r="CD17" i="48" s="1"/>
  <c r="CC17" i="23"/>
  <c r="CA17" i="20"/>
  <c r="CB17" i="20" s="1"/>
  <c r="CC17" i="32"/>
  <c r="CD17" i="32" s="1"/>
  <c r="CC17" i="33"/>
  <c r="CD17" i="33" s="1"/>
  <c r="CC8" i="8"/>
  <c r="CD8" i="8" s="1"/>
  <c r="CA10" i="12"/>
  <c r="CB10" i="12" s="1"/>
  <c r="CC12" i="15"/>
  <c r="CD12" i="15" s="1"/>
  <c r="CC11" i="14"/>
  <c r="CD11" i="14" s="1"/>
  <c r="CC12" i="48"/>
  <c r="CD12" i="48" s="1"/>
  <c r="CC12" i="23"/>
  <c r="CD12" i="23" s="1"/>
  <c r="CA12" i="20"/>
  <c r="CC12" i="32"/>
  <c r="CC12" i="33"/>
  <c r="CD12" i="33" s="1"/>
  <c r="CC28" i="8"/>
  <c r="CD28" i="8" s="1"/>
  <c r="CC25" i="10"/>
  <c r="CD25" i="10" s="1"/>
  <c r="CA30" i="12"/>
  <c r="CB30" i="12" s="1"/>
  <c r="CC32" i="15"/>
  <c r="CD32" i="15" s="1"/>
  <c r="CC31" i="14"/>
  <c r="CC32" i="48"/>
  <c r="CD32" i="48" s="1"/>
  <c r="CC32" i="23"/>
  <c r="CD32" i="23" s="1"/>
  <c r="CC32" i="32"/>
  <c r="CD32" i="32" s="1"/>
  <c r="CC32" i="33"/>
  <c r="CD32" i="33" s="1"/>
  <c r="CD31" i="8"/>
  <c r="CD28" i="10"/>
  <c r="CB33" i="12"/>
  <c r="CD35" i="15"/>
  <c r="CD34" i="14"/>
  <c r="CD35" i="48"/>
  <c r="CD35" i="23"/>
  <c r="CD35" i="32"/>
  <c r="CD35" i="33"/>
  <c r="BW7" i="12"/>
  <c r="BY8" i="15"/>
  <c r="BY7" i="14"/>
  <c r="BY8" i="48"/>
  <c r="BY8" i="23"/>
  <c r="BW8" i="20"/>
  <c r="BY8" i="32"/>
  <c r="BY8" i="33"/>
  <c r="CD10" i="8"/>
  <c r="CB12" i="12"/>
  <c r="CD14" i="15"/>
  <c r="CD13" i="14"/>
  <c r="CD14" i="48"/>
  <c r="CD14" i="23"/>
  <c r="CB14" i="20"/>
  <c r="CD14" i="32"/>
  <c r="CD14" i="33"/>
  <c r="CC45" i="8"/>
  <c r="CD45" i="8" s="1"/>
  <c r="CC42" i="10"/>
  <c r="CD42" i="10" s="1"/>
  <c r="CA47" i="12"/>
  <c r="CC49" i="15"/>
  <c r="CC48" i="14"/>
  <c r="CD48" i="14" s="1"/>
  <c r="CC49" i="48"/>
  <c r="CD49" i="48" s="1"/>
  <c r="CC49" i="23"/>
  <c r="CA23" i="20"/>
  <c r="CB23" i="20" s="1"/>
  <c r="CC49" i="32"/>
  <c r="CD49" i="32" s="1"/>
  <c r="CC49" i="33"/>
  <c r="CD49" i="33" s="1"/>
  <c r="CD11" i="8"/>
  <c r="CD15" i="8"/>
  <c r="CD16" i="8"/>
  <c r="CD20" i="8"/>
  <c r="CD21" i="8"/>
  <c r="CD25" i="8"/>
  <c r="CD26" i="8"/>
  <c r="CD33" i="8"/>
  <c r="CD34" i="8"/>
  <c r="CD36" i="8"/>
  <c r="CD37" i="8"/>
  <c r="CD39" i="8"/>
  <c r="CD40" i="8"/>
  <c r="CD42" i="8"/>
  <c r="CD47" i="8"/>
  <c r="CD48" i="8"/>
  <c r="CD51" i="8"/>
  <c r="CD52" i="8"/>
  <c r="CD12" i="10"/>
  <c r="CD13" i="10"/>
  <c r="CD17" i="10"/>
  <c r="CD18" i="10"/>
  <c r="CD22" i="10"/>
  <c r="CD23" i="10"/>
  <c r="CD30" i="10"/>
  <c r="CD31" i="10"/>
  <c r="CD33" i="10"/>
  <c r="CD34" i="10"/>
  <c r="CD36" i="10"/>
  <c r="CD37" i="10"/>
  <c r="CD39" i="10"/>
  <c r="CD44" i="10"/>
  <c r="CD45" i="10"/>
  <c r="CD48" i="10"/>
  <c r="CD49" i="10"/>
  <c r="CB13" i="12"/>
  <c r="CB17" i="12"/>
  <c r="CB18" i="12"/>
  <c r="CB22" i="12"/>
  <c r="CB23" i="12"/>
  <c r="CB27" i="12"/>
  <c r="CB28" i="12"/>
  <c r="CB35" i="12"/>
  <c r="CB36" i="12"/>
  <c r="CB38" i="12"/>
  <c r="CB39" i="12"/>
  <c r="CB41" i="12"/>
  <c r="CB42" i="12"/>
  <c r="CB44" i="12"/>
  <c r="CB49" i="12"/>
  <c r="CB50" i="12"/>
  <c r="CB53" i="12"/>
  <c r="CB54" i="12"/>
  <c r="CD15" i="15"/>
  <c r="CD19" i="15"/>
  <c r="CD20" i="15"/>
  <c r="CD24" i="15"/>
  <c r="CD25" i="15"/>
  <c r="CD29" i="15"/>
  <c r="CD30" i="15"/>
  <c r="CD37" i="15"/>
  <c r="CD38" i="15"/>
  <c r="CD40" i="15"/>
  <c r="CD41" i="15"/>
  <c r="CD43" i="15"/>
  <c r="CD44" i="15"/>
  <c r="CD46" i="15"/>
  <c r="CD51" i="15"/>
  <c r="CD52" i="15"/>
  <c r="CD55" i="15"/>
  <c r="CD56" i="15"/>
  <c r="CD14" i="14"/>
  <c r="CD18" i="14"/>
  <c r="CD19" i="14"/>
  <c r="CD23" i="14"/>
  <c r="CD24" i="14"/>
  <c r="CD28" i="14"/>
  <c r="CD29" i="14"/>
  <c r="CD36" i="14"/>
  <c r="CD37" i="14"/>
  <c r="CD39" i="14"/>
  <c r="CD40" i="14"/>
  <c r="CD42" i="14"/>
  <c r="CD43" i="14"/>
  <c r="CD45" i="14"/>
  <c r="CD50" i="14"/>
  <c r="CD51" i="14"/>
  <c r="CD54" i="14"/>
  <c r="CD55" i="14"/>
  <c r="CD15" i="48"/>
  <c r="CD19" i="48"/>
  <c r="CD20" i="48"/>
  <c r="CD24" i="48"/>
  <c r="CD25" i="48"/>
  <c r="CD29" i="48"/>
  <c r="CD30" i="48"/>
  <c r="CD37" i="48"/>
  <c r="CD38" i="48"/>
  <c r="CD40" i="48"/>
  <c r="CD41" i="48"/>
  <c r="CD43" i="48"/>
  <c r="CD44" i="48"/>
  <c r="CD46" i="48"/>
  <c r="CD51" i="48"/>
  <c r="CD52" i="48"/>
  <c r="CD55" i="48"/>
  <c r="CD56" i="48"/>
  <c r="CD15" i="23"/>
  <c r="CD19" i="23"/>
  <c r="CD20" i="23"/>
  <c r="CD24" i="23"/>
  <c r="CD25" i="23"/>
  <c r="CD29" i="23"/>
  <c r="CD30" i="23"/>
  <c r="CD37" i="23"/>
  <c r="CD38" i="23"/>
  <c r="CD40" i="23"/>
  <c r="CD41" i="23"/>
  <c r="CD43" i="23"/>
  <c r="CD44" i="23"/>
  <c r="CD46" i="23"/>
  <c r="CD51" i="23"/>
  <c r="CD52" i="23"/>
  <c r="CD55" i="23"/>
  <c r="CD56" i="23"/>
  <c r="CB15" i="20"/>
  <c r="CB19" i="20"/>
  <c r="CD15" i="32"/>
  <c r="CD19" i="32"/>
  <c r="CD20" i="32"/>
  <c r="CD24" i="32"/>
  <c r="CD25" i="32"/>
  <c r="CD29" i="32"/>
  <c r="CD30" i="32"/>
  <c r="CD37" i="32"/>
  <c r="CD38" i="32"/>
  <c r="CD40" i="32"/>
  <c r="CD41" i="32"/>
  <c r="CD43" i="32"/>
  <c r="CD44" i="32"/>
  <c r="CD46" i="32"/>
  <c r="CD51" i="32"/>
  <c r="CD52" i="32"/>
  <c r="CD55" i="32"/>
  <c r="CD56" i="32"/>
  <c r="CD15" i="33"/>
  <c r="CD19" i="33"/>
  <c r="CD20" i="33"/>
  <c r="CD24" i="33"/>
  <c r="CD25" i="33"/>
  <c r="CD29" i="33"/>
  <c r="CD30" i="33"/>
  <c r="CD37" i="33"/>
  <c r="CD38" i="33"/>
  <c r="CD40" i="33"/>
  <c r="CD41" i="33"/>
  <c r="CD43" i="33"/>
  <c r="CD44" i="33"/>
  <c r="CD46" i="33"/>
  <c r="CD51" i="33"/>
  <c r="CD52" i="33"/>
  <c r="CD55" i="33"/>
  <c r="CD56" i="33"/>
  <c r="I190" i="32"/>
  <c r="H190" i="32"/>
  <c r="E190" i="32"/>
  <c r="AD180" i="25"/>
  <c r="AC180" i="25"/>
  <c r="AB180" i="25"/>
  <c r="AA180" i="25"/>
  <c r="Z180" i="25"/>
  <c r="Y180" i="25"/>
  <c r="X180" i="25"/>
  <c r="W180" i="25"/>
  <c r="V180" i="25"/>
  <c r="U180" i="25"/>
  <c r="T180" i="25"/>
  <c r="S180" i="25"/>
  <c r="R180" i="25"/>
  <c r="Q180" i="25"/>
  <c r="P180" i="25"/>
  <c r="O180" i="25"/>
  <c r="N180" i="25"/>
  <c r="M180" i="25"/>
  <c r="L180" i="25"/>
  <c r="K180" i="25"/>
  <c r="J180" i="25"/>
  <c r="I180" i="25"/>
  <c r="H180" i="25"/>
  <c r="G180" i="25"/>
  <c r="F180" i="25"/>
  <c r="E180" i="25"/>
  <c r="D180" i="25"/>
  <c r="C180" i="25"/>
  <c r="B180" i="25"/>
  <c r="E189" i="32"/>
  <c r="B33" i="33"/>
  <c r="E33" i="33"/>
  <c r="F33" i="33"/>
  <c r="H33" i="33"/>
  <c r="I33" i="33"/>
  <c r="B46" i="33"/>
  <c r="E46" i="33"/>
  <c r="F46" i="33"/>
  <c r="H46" i="33"/>
  <c r="I46" i="33"/>
  <c r="B59" i="33"/>
  <c r="E59" i="33"/>
  <c r="F59" i="33"/>
  <c r="H59" i="33"/>
  <c r="I59" i="33"/>
  <c r="B81" i="33"/>
  <c r="E81" i="33"/>
  <c r="F81" i="33"/>
  <c r="H81" i="33"/>
  <c r="I81" i="33"/>
  <c r="B94" i="33"/>
  <c r="E94" i="33"/>
  <c r="F94" i="33"/>
  <c r="H94" i="33"/>
  <c r="I94" i="33"/>
  <c r="B146" i="33"/>
  <c r="E146" i="33"/>
  <c r="F146" i="33"/>
  <c r="H146" i="33"/>
  <c r="I146" i="33"/>
  <c r="B33" i="32"/>
  <c r="C33" i="32"/>
  <c r="D33" i="32"/>
  <c r="E33" i="32"/>
  <c r="F33" i="32"/>
  <c r="G33" i="32"/>
  <c r="H33" i="32"/>
  <c r="I33" i="32"/>
  <c r="B47" i="32"/>
  <c r="C47" i="32"/>
  <c r="D47" i="32"/>
  <c r="E47" i="32"/>
  <c r="F47" i="32"/>
  <c r="G47" i="32"/>
  <c r="H47" i="32"/>
  <c r="I47" i="32"/>
  <c r="B61" i="32"/>
  <c r="C61" i="32"/>
  <c r="D61" i="32"/>
  <c r="E61" i="32"/>
  <c r="F61" i="32"/>
  <c r="G61" i="32"/>
  <c r="H61" i="32"/>
  <c r="I61" i="32"/>
  <c r="B74" i="32"/>
  <c r="C74" i="32"/>
  <c r="D74" i="32"/>
  <c r="E74" i="32"/>
  <c r="F74" i="32"/>
  <c r="G74" i="32"/>
  <c r="H74" i="32"/>
  <c r="I74" i="32"/>
  <c r="B108" i="32"/>
  <c r="H108" i="32" s="1"/>
  <c r="E108" i="32"/>
  <c r="B109" i="32"/>
  <c r="H109" i="32" s="1"/>
  <c r="E109" i="32"/>
  <c r="E110" i="32"/>
  <c r="H110" i="32"/>
  <c r="I110" i="32"/>
  <c r="E111" i="32"/>
  <c r="H111" i="32"/>
  <c r="I111" i="32"/>
  <c r="E112" i="32"/>
  <c r="H112" i="32"/>
  <c r="I112" i="32"/>
  <c r="B113" i="32"/>
  <c r="I113" i="32" s="1"/>
  <c r="E113" i="32"/>
  <c r="B114" i="32"/>
  <c r="H114" i="32" s="1"/>
  <c r="E114" i="32"/>
  <c r="B115" i="32"/>
  <c r="H115" i="32" s="1"/>
  <c r="E115" i="32"/>
  <c r="B116" i="32"/>
  <c r="H116" i="32" s="1"/>
  <c r="E116" i="32"/>
  <c r="B117" i="32"/>
  <c r="H117" i="32" s="1"/>
  <c r="E117" i="32"/>
  <c r="B118" i="32"/>
  <c r="I118" i="32" s="1"/>
  <c r="E118" i="32"/>
  <c r="B119" i="32"/>
  <c r="I119" i="32" s="1"/>
  <c r="E119" i="32"/>
  <c r="B120" i="32"/>
  <c r="I120" i="32" s="1"/>
  <c r="E120" i="32"/>
  <c r="B121" i="32"/>
  <c r="H121" i="32" s="1"/>
  <c r="E121" i="32"/>
  <c r="B122" i="32"/>
  <c r="H122" i="32" s="1"/>
  <c r="E122" i="32"/>
  <c r="B123" i="32"/>
  <c r="H123" i="32" s="1"/>
  <c r="E123" i="32"/>
  <c r="B124" i="32"/>
  <c r="H124" i="32" s="1"/>
  <c r="E124" i="32"/>
  <c r="B125" i="32"/>
  <c r="I125" i="32" s="1"/>
  <c r="E125" i="32"/>
  <c r="B127" i="32"/>
  <c r="H127" i="32" s="1"/>
  <c r="E127" i="32"/>
  <c r="B128" i="32"/>
  <c r="I128" i="32" s="1"/>
  <c r="E128" i="32"/>
  <c r="B129" i="32"/>
  <c r="H129" i="32" s="1"/>
  <c r="E129" i="32"/>
  <c r="B130" i="32"/>
  <c r="H130" i="32" s="1"/>
  <c r="E130" i="32"/>
  <c r="B131" i="32"/>
  <c r="H131" i="32" s="1"/>
  <c r="E131" i="32"/>
  <c r="B132" i="32"/>
  <c r="I132" i="32" s="1"/>
  <c r="E132" i="32"/>
  <c r="B133" i="32"/>
  <c r="H133" i="32" s="1"/>
  <c r="E133" i="32"/>
  <c r="B134" i="32"/>
  <c r="I134" i="32" s="1"/>
  <c r="E134" i="32"/>
  <c r="B135" i="32"/>
  <c r="I135" i="32" s="1"/>
  <c r="E135" i="32"/>
  <c r="B136" i="32"/>
  <c r="I136" i="32" s="1"/>
  <c r="E136" i="32"/>
  <c r="B137" i="32"/>
  <c r="H137" i="32" s="1"/>
  <c r="E137" i="32"/>
  <c r="B138" i="32"/>
  <c r="I138" i="32" s="1"/>
  <c r="E138" i="32"/>
  <c r="B140" i="32"/>
  <c r="H140" i="32" s="1"/>
  <c r="E140" i="32"/>
  <c r="B141" i="32"/>
  <c r="H141" i="32" s="1"/>
  <c r="E141" i="32"/>
  <c r="B142" i="32"/>
  <c r="H142" i="32" s="1"/>
  <c r="E142" i="32"/>
  <c r="B143" i="32"/>
  <c r="I143" i="32" s="1"/>
  <c r="E143" i="32"/>
  <c r="B144" i="32"/>
  <c r="H144" i="32" s="1"/>
  <c r="E144" i="32"/>
  <c r="B145" i="32"/>
  <c r="I145" i="32" s="1"/>
  <c r="E145" i="32"/>
  <c r="B146" i="32"/>
  <c r="H146" i="32" s="1"/>
  <c r="E146" i="32"/>
  <c r="B147" i="32"/>
  <c r="I147" i="32" s="1"/>
  <c r="B148" i="32"/>
  <c r="H148" i="32" s="1"/>
  <c r="B149" i="32"/>
  <c r="I149" i="32" s="1"/>
  <c r="E149" i="32"/>
  <c r="B150" i="32"/>
  <c r="I150" i="32" s="1"/>
  <c r="E150" i="32"/>
  <c r="B151" i="32"/>
  <c r="H151" i="32" s="1"/>
  <c r="E151" i="32"/>
  <c r="E153" i="32"/>
  <c r="H153" i="32"/>
  <c r="I153" i="32"/>
  <c r="E154" i="32"/>
  <c r="H154" i="32"/>
  <c r="I154" i="32"/>
  <c r="E155" i="32"/>
  <c r="H155" i="32"/>
  <c r="I155" i="32"/>
  <c r="E167" i="32"/>
  <c r="E168" i="32"/>
  <c r="E177" i="32"/>
  <c r="AE184" i="29"/>
  <c r="AE187" i="29"/>
  <c r="AE190" i="29"/>
  <c r="AE193" i="29"/>
  <c r="AE196" i="29"/>
  <c r="AE199" i="29"/>
  <c r="AE202" i="29"/>
  <c r="AE205" i="29"/>
  <c r="AE208" i="29"/>
  <c r="AE211" i="29"/>
  <c r="AE214" i="29"/>
  <c r="AE217" i="29"/>
  <c r="AE220" i="29"/>
  <c r="AE223" i="29"/>
  <c r="AE226" i="29"/>
  <c r="AE229" i="29"/>
  <c r="AE232" i="29"/>
  <c r="AE235" i="29"/>
  <c r="AE238" i="29"/>
  <c r="AE241" i="29"/>
  <c r="AE244" i="29"/>
  <c r="AE247" i="29"/>
  <c r="AE250" i="29"/>
  <c r="AE253" i="29"/>
  <c r="AE256" i="29"/>
  <c r="AE259" i="29"/>
  <c r="AE262" i="29"/>
  <c r="AE265" i="29"/>
  <c r="AE268" i="29"/>
  <c r="AE271" i="29"/>
  <c r="AE274" i="29"/>
  <c r="AE277" i="29"/>
  <c r="AE280" i="29"/>
  <c r="AE283" i="29"/>
  <c r="AE286" i="29"/>
  <c r="AE289" i="29"/>
  <c r="AE292" i="29"/>
  <c r="AE295" i="29"/>
  <c r="AE298" i="29"/>
  <c r="AE301" i="29"/>
  <c r="AE304" i="29"/>
  <c r="AE307" i="29"/>
  <c r="AE310" i="29"/>
  <c r="AE313" i="29"/>
  <c r="AE316" i="29"/>
  <c r="AE319" i="29"/>
  <c r="AE322" i="29"/>
  <c r="AE325" i="29"/>
  <c r="AE328" i="29"/>
  <c r="AE331" i="29"/>
  <c r="AE334" i="29"/>
  <c r="AE337" i="29"/>
  <c r="AE340" i="29"/>
  <c r="AE343" i="29"/>
  <c r="AE346" i="29"/>
  <c r="AE349" i="29"/>
  <c r="AE352" i="29"/>
  <c r="AE355" i="29"/>
  <c r="AE358" i="29"/>
  <c r="AE361" i="29"/>
  <c r="AE364" i="29"/>
  <c r="AE367" i="29"/>
  <c r="AE370" i="29"/>
  <c r="AE373" i="29"/>
  <c r="AE376" i="29"/>
  <c r="B128"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B141" i="25"/>
  <c r="C141" i="25"/>
  <c r="D141" i="25"/>
  <c r="E141" i="25"/>
  <c r="F141" i="25"/>
  <c r="G141" i="25"/>
  <c r="H141" i="25"/>
  <c r="I141" i="25"/>
  <c r="J141" i="25"/>
  <c r="K141" i="25"/>
  <c r="L141" i="25"/>
  <c r="M141" i="25"/>
  <c r="N141" i="25"/>
  <c r="O141" i="25"/>
  <c r="P141" i="25"/>
  <c r="Q141" i="25"/>
  <c r="R141" i="25"/>
  <c r="S141" i="25"/>
  <c r="T141" i="25"/>
  <c r="U141" i="25"/>
  <c r="V141" i="25"/>
  <c r="W141" i="25"/>
  <c r="X141" i="25"/>
  <c r="Y141" i="25"/>
  <c r="Z141" i="25"/>
  <c r="AA141" i="25"/>
  <c r="AB141" i="25"/>
  <c r="AC141" i="25"/>
  <c r="AD141" i="25"/>
  <c r="B154" i="25"/>
  <c r="C154" i="25"/>
  <c r="D154" i="25"/>
  <c r="E154" i="25"/>
  <c r="F154" i="25"/>
  <c r="G154" i="25"/>
  <c r="H154" i="25"/>
  <c r="I154" i="25"/>
  <c r="J154" i="25"/>
  <c r="K154" i="25"/>
  <c r="L154" i="25"/>
  <c r="M154" i="25"/>
  <c r="N154" i="25"/>
  <c r="O154" i="25"/>
  <c r="P154" i="25"/>
  <c r="Q154" i="25"/>
  <c r="R154" i="25"/>
  <c r="S154" i="25"/>
  <c r="T154" i="25"/>
  <c r="U154" i="25"/>
  <c r="V154" i="25"/>
  <c r="W154" i="25"/>
  <c r="X154" i="25"/>
  <c r="Y154" i="25"/>
  <c r="Z154" i="25"/>
  <c r="AA154" i="25"/>
  <c r="AB154" i="25"/>
  <c r="AC154" i="25"/>
  <c r="AD154" i="25"/>
  <c r="B167" i="25"/>
  <c r="C167" i="25"/>
  <c r="D167" i="25"/>
  <c r="E167" i="25"/>
  <c r="F167" i="25"/>
  <c r="G167" i="25"/>
  <c r="H167" i="25"/>
  <c r="I167" i="25"/>
  <c r="J167" i="25"/>
  <c r="K167" i="25"/>
  <c r="L167" i="25"/>
  <c r="M167" i="25"/>
  <c r="N167" i="25"/>
  <c r="O167" i="25"/>
  <c r="P167" i="25"/>
  <c r="Q167" i="25"/>
  <c r="R167" i="25"/>
  <c r="S167" i="25"/>
  <c r="T167" i="25"/>
  <c r="U167" i="25"/>
  <c r="V167" i="25"/>
  <c r="W167" i="25"/>
  <c r="X167" i="25"/>
  <c r="Y167" i="25"/>
  <c r="Z167" i="25"/>
  <c r="AA167" i="25"/>
  <c r="AB167" i="25"/>
  <c r="AC167" i="25"/>
  <c r="AD167" i="25"/>
  <c r="B17" i="23"/>
  <c r="C17" i="23"/>
  <c r="D17" i="23"/>
  <c r="E17" i="23"/>
  <c r="F17" i="23"/>
  <c r="B30" i="23"/>
  <c r="C30" i="23"/>
  <c r="D30" i="23"/>
  <c r="E30" i="23"/>
  <c r="F30" i="23"/>
  <c r="C43" i="23"/>
  <c r="D43" i="23"/>
  <c r="E43" i="23"/>
  <c r="F43" i="23"/>
  <c r="B55" i="23"/>
  <c r="B43" i="23" s="1"/>
  <c r="C56" i="23"/>
  <c r="D56" i="23"/>
  <c r="E56" i="23"/>
  <c r="F56" i="23"/>
  <c r="B68" i="23"/>
  <c r="B56" i="23" s="1"/>
  <c r="C69" i="23"/>
  <c r="D69" i="23"/>
  <c r="E69" i="23"/>
  <c r="F69" i="23"/>
  <c r="B70" i="23"/>
  <c r="B71" i="23"/>
  <c r="B72" i="23"/>
  <c r="B73" i="23"/>
  <c r="B74" i="23"/>
  <c r="B75" i="23"/>
  <c r="B76" i="23"/>
  <c r="B77" i="23"/>
  <c r="B78" i="23"/>
  <c r="B79" i="23"/>
  <c r="B80" i="23"/>
  <c r="B81" i="23"/>
  <c r="B69" i="23" s="1"/>
  <c r="B83" i="23"/>
  <c r="B84" i="23"/>
  <c r="B85" i="23"/>
  <c r="B86" i="23"/>
  <c r="B87" i="23"/>
  <c r="B88" i="23"/>
  <c r="B89" i="23"/>
  <c r="B90" i="23"/>
  <c r="B91" i="23"/>
  <c r="B92" i="23"/>
  <c r="B93" i="23"/>
  <c r="B94" i="23"/>
  <c r="B96" i="23"/>
  <c r="B97" i="23"/>
  <c r="B98" i="23"/>
  <c r="B99" i="23"/>
  <c r="B100" i="23"/>
  <c r="B101" i="23"/>
  <c r="B102" i="23"/>
  <c r="B103" i="23"/>
  <c r="B104" i="23"/>
  <c r="B105" i="23"/>
  <c r="B106" i="23"/>
  <c r="B107" i="23"/>
  <c r="B109" i="23"/>
  <c r="B110" i="23"/>
  <c r="B111" i="23"/>
  <c r="B112" i="23"/>
  <c r="B113" i="23"/>
  <c r="B114" i="23"/>
  <c r="B115" i="23"/>
  <c r="B116" i="23"/>
  <c r="B117" i="23"/>
  <c r="B118" i="23"/>
  <c r="B119" i="23"/>
  <c r="B120" i="23"/>
  <c r="B122" i="23"/>
  <c r="B123" i="23"/>
  <c r="B124" i="23"/>
  <c r="B125" i="23"/>
  <c r="B126" i="23"/>
  <c r="B127" i="23"/>
  <c r="B128" i="23"/>
  <c r="B129" i="23"/>
  <c r="B130" i="23"/>
  <c r="B131" i="23"/>
  <c r="B132" i="23"/>
  <c r="B133" i="23"/>
  <c r="B135" i="23"/>
  <c r="B136" i="23"/>
  <c r="B137" i="23"/>
  <c r="B138" i="23"/>
  <c r="B139" i="23"/>
  <c r="B140" i="23"/>
  <c r="C141" i="23"/>
  <c r="D141" i="23"/>
  <c r="E141" i="23"/>
  <c r="F141" i="23"/>
  <c r="B142" i="23"/>
  <c r="B143" i="23"/>
  <c r="B144" i="23"/>
  <c r="B145" i="23"/>
  <c r="B146" i="23"/>
  <c r="B159" i="23"/>
  <c r="B161" i="23"/>
  <c r="B163" i="23"/>
  <c r="B164" i="23"/>
  <c r="D14" i="14"/>
  <c r="E14" i="14"/>
  <c r="J14" i="14"/>
  <c r="K14" i="14"/>
  <c r="D15" i="14"/>
  <c r="E15" i="14"/>
  <c r="J15" i="14"/>
  <c r="K15" i="14"/>
  <c r="D16" i="14"/>
  <c r="E16" i="14"/>
  <c r="J16" i="14"/>
  <c r="K16" i="14"/>
  <c r="D17" i="14"/>
  <c r="E17" i="14"/>
  <c r="J17" i="14"/>
  <c r="K17" i="14"/>
  <c r="F18" i="14"/>
  <c r="G18" i="14"/>
  <c r="H18" i="14"/>
  <c r="I18" i="14"/>
  <c r="L18" i="14"/>
  <c r="M18" i="14"/>
  <c r="N18" i="14"/>
  <c r="O18" i="14"/>
  <c r="D19" i="14"/>
  <c r="E19" i="14"/>
  <c r="J19" i="14"/>
  <c r="K19" i="14"/>
  <c r="D20" i="14"/>
  <c r="E20" i="14"/>
  <c r="J20" i="14"/>
  <c r="K20" i="14"/>
  <c r="D21" i="14"/>
  <c r="E21" i="14"/>
  <c r="J21" i="14"/>
  <c r="K21" i="14"/>
  <c r="D22" i="14"/>
  <c r="E22" i="14"/>
  <c r="J22" i="14"/>
  <c r="K22" i="14"/>
  <c r="D23" i="14"/>
  <c r="E23" i="14"/>
  <c r="J23" i="14"/>
  <c r="K23" i="14"/>
  <c r="D24" i="14"/>
  <c r="E24" i="14"/>
  <c r="J24" i="14"/>
  <c r="K24" i="14"/>
  <c r="D25" i="14"/>
  <c r="E25" i="14"/>
  <c r="J25" i="14"/>
  <c r="K25" i="14"/>
  <c r="D26" i="14"/>
  <c r="E26" i="14"/>
  <c r="J26" i="14"/>
  <c r="K26" i="14"/>
  <c r="D27" i="14"/>
  <c r="E27" i="14"/>
  <c r="J27" i="14"/>
  <c r="K27" i="14"/>
  <c r="D28" i="14"/>
  <c r="E28" i="14"/>
  <c r="J28" i="14"/>
  <c r="K28" i="14"/>
  <c r="D29" i="14"/>
  <c r="E29" i="14"/>
  <c r="J29" i="14"/>
  <c r="K29" i="14"/>
  <c r="D30" i="14"/>
  <c r="D18" i="14" s="1"/>
  <c r="E30" i="14"/>
  <c r="E18" i="14" s="1"/>
  <c r="J30" i="14"/>
  <c r="J18" i="14" s="1"/>
  <c r="K30" i="14"/>
  <c r="K18" i="14" s="1"/>
  <c r="F32" i="14"/>
  <c r="G32" i="14"/>
  <c r="H32" i="14"/>
  <c r="I32" i="14"/>
  <c r="L32" i="14"/>
  <c r="M32" i="14"/>
  <c r="N32" i="14"/>
  <c r="O32" i="14"/>
  <c r="D33" i="14"/>
  <c r="E33" i="14"/>
  <c r="J33" i="14"/>
  <c r="K33" i="14"/>
  <c r="D34" i="14"/>
  <c r="E34" i="14"/>
  <c r="J34" i="14"/>
  <c r="K34" i="14"/>
  <c r="D35" i="14"/>
  <c r="E35" i="14"/>
  <c r="J35" i="14"/>
  <c r="K35" i="14"/>
  <c r="D36" i="14"/>
  <c r="E36" i="14"/>
  <c r="J36" i="14"/>
  <c r="K36" i="14"/>
  <c r="D37" i="14"/>
  <c r="E37" i="14"/>
  <c r="J37" i="14"/>
  <c r="K37" i="14"/>
  <c r="D38" i="14"/>
  <c r="E38" i="14"/>
  <c r="J38" i="14"/>
  <c r="K38" i="14"/>
  <c r="D39" i="14"/>
  <c r="E39" i="14"/>
  <c r="J39" i="14"/>
  <c r="K39" i="14"/>
  <c r="D40" i="14"/>
  <c r="E40" i="14"/>
  <c r="J40" i="14"/>
  <c r="K40" i="14"/>
  <c r="D41" i="14"/>
  <c r="E41" i="14"/>
  <c r="J41" i="14"/>
  <c r="K41" i="14"/>
  <c r="D42" i="14"/>
  <c r="E42" i="14"/>
  <c r="J42" i="14"/>
  <c r="K42" i="14"/>
  <c r="D43" i="14"/>
  <c r="E43" i="14"/>
  <c r="J43" i="14"/>
  <c r="K43" i="14"/>
  <c r="D44" i="14"/>
  <c r="E44" i="14"/>
  <c r="E32" i="14" s="1"/>
  <c r="J44" i="14"/>
  <c r="J32" i="14" s="1"/>
  <c r="K44" i="14"/>
  <c r="K32" i="14" s="1"/>
  <c r="F46" i="14"/>
  <c r="G46" i="14"/>
  <c r="H46" i="14"/>
  <c r="I46" i="14"/>
  <c r="L46" i="14"/>
  <c r="M46" i="14"/>
  <c r="N46" i="14"/>
  <c r="O46" i="14"/>
  <c r="D47" i="14"/>
  <c r="E47" i="14"/>
  <c r="J47" i="14"/>
  <c r="K47" i="14"/>
  <c r="D48" i="14"/>
  <c r="E48" i="14"/>
  <c r="J48" i="14"/>
  <c r="K48" i="14"/>
  <c r="D49" i="14"/>
  <c r="E49" i="14"/>
  <c r="J49" i="14"/>
  <c r="K49" i="14"/>
  <c r="D50" i="14"/>
  <c r="E50" i="14"/>
  <c r="J50" i="14"/>
  <c r="K50" i="14"/>
  <c r="D51" i="14"/>
  <c r="E51" i="14"/>
  <c r="J51" i="14"/>
  <c r="K51" i="14"/>
  <c r="D52" i="14"/>
  <c r="E52" i="14"/>
  <c r="J52" i="14"/>
  <c r="K52" i="14"/>
  <c r="D53" i="14"/>
  <c r="E53" i="14"/>
  <c r="J53" i="14"/>
  <c r="K53" i="14"/>
  <c r="D54" i="14"/>
  <c r="E54" i="14"/>
  <c r="J54" i="14"/>
  <c r="K54" i="14"/>
  <c r="D55" i="14"/>
  <c r="E55" i="14"/>
  <c r="J55" i="14"/>
  <c r="K55" i="14"/>
  <c r="D56" i="14"/>
  <c r="E56" i="14"/>
  <c r="J56" i="14"/>
  <c r="K56" i="14"/>
  <c r="D57" i="14"/>
  <c r="E57" i="14"/>
  <c r="J57" i="14"/>
  <c r="K57" i="14"/>
  <c r="D58" i="14"/>
  <c r="D46" i="14" s="1"/>
  <c r="E58" i="14"/>
  <c r="J58" i="14"/>
  <c r="J46" i="14" s="1"/>
  <c r="K58" i="14"/>
  <c r="K46" i="14" s="1"/>
  <c r="F60" i="14"/>
  <c r="G60" i="14"/>
  <c r="H60" i="14"/>
  <c r="I60" i="14"/>
  <c r="L60" i="14"/>
  <c r="M60" i="14"/>
  <c r="N60" i="14"/>
  <c r="O60" i="14"/>
  <c r="D61" i="14"/>
  <c r="E61" i="14"/>
  <c r="J61" i="14"/>
  <c r="K61" i="14"/>
  <c r="D62" i="14"/>
  <c r="E62" i="14"/>
  <c r="J62" i="14"/>
  <c r="K62" i="14"/>
  <c r="D63" i="14"/>
  <c r="E63" i="14"/>
  <c r="J63" i="14"/>
  <c r="K63" i="14"/>
  <c r="D64" i="14"/>
  <c r="E64" i="14"/>
  <c r="J64" i="14"/>
  <c r="K64" i="14"/>
  <c r="D65" i="14"/>
  <c r="E65" i="14"/>
  <c r="J65" i="14"/>
  <c r="K65" i="14"/>
  <c r="D66" i="14"/>
  <c r="E66" i="14"/>
  <c r="J66" i="14"/>
  <c r="K66" i="14"/>
  <c r="D67" i="14"/>
  <c r="E67" i="14"/>
  <c r="J67" i="14"/>
  <c r="K67" i="14"/>
  <c r="D68" i="14"/>
  <c r="E68" i="14"/>
  <c r="J68" i="14"/>
  <c r="K68" i="14"/>
  <c r="D69" i="14"/>
  <c r="E69" i="14"/>
  <c r="J69" i="14"/>
  <c r="K69" i="14"/>
  <c r="D70" i="14"/>
  <c r="E70" i="14"/>
  <c r="J70" i="14"/>
  <c r="K70" i="14"/>
  <c r="D71" i="14"/>
  <c r="E71" i="14"/>
  <c r="J71" i="14"/>
  <c r="K71" i="14"/>
  <c r="D72" i="14"/>
  <c r="D60" i="14" s="1"/>
  <c r="E72" i="14"/>
  <c r="E60" i="14" s="1"/>
  <c r="J72" i="14"/>
  <c r="J60" i="14" s="1"/>
  <c r="K72" i="14"/>
  <c r="K60" i="14" s="1"/>
  <c r="F73" i="14"/>
  <c r="G73" i="14"/>
  <c r="H73" i="14"/>
  <c r="I73" i="14"/>
  <c r="L73" i="14"/>
  <c r="M73" i="14"/>
  <c r="N73" i="14"/>
  <c r="O73" i="14"/>
  <c r="D74" i="14"/>
  <c r="E74" i="14"/>
  <c r="J74" i="14"/>
  <c r="K74" i="14"/>
  <c r="D75" i="14"/>
  <c r="B75" i="14" s="1"/>
  <c r="E75" i="14"/>
  <c r="K75" i="14"/>
  <c r="D76" i="14"/>
  <c r="B76" i="14" s="1"/>
  <c r="E76" i="14"/>
  <c r="K76" i="14"/>
  <c r="D77" i="14"/>
  <c r="E77" i="14"/>
  <c r="J77" i="14"/>
  <c r="K77" i="14"/>
  <c r="D78" i="14"/>
  <c r="E78" i="14"/>
  <c r="J78" i="14"/>
  <c r="K78" i="14"/>
  <c r="D79" i="14"/>
  <c r="E79" i="14"/>
  <c r="J79" i="14"/>
  <c r="K79" i="14"/>
  <c r="D80" i="14"/>
  <c r="E80" i="14"/>
  <c r="J80" i="14"/>
  <c r="K80" i="14"/>
  <c r="D81" i="14"/>
  <c r="E81" i="14"/>
  <c r="J81" i="14"/>
  <c r="K81" i="14"/>
  <c r="D82" i="14"/>
  <c r="E82" i="14"/>
  <c r="J82" i="14"/>
  <c r="K82" i="14"/>
  <c r="D83" i="14"/>
  <c r="E83" i="14"/>
  <c r="J83" i="14"/>
  <c r="K83" i="14"/>
  <c r="D84" i="14"/>
  <c r="E84" i="14"/>
  <c r="J84" i="14"/>
  <c r="K84" i="14"/>
  <c r="D85" i="14"/>
  <c r="D73" i="14" s="1"/>
  <c r="E85" i="14"/>
  <c r="E73" i="14" s="1"/>
  <c r="J85" i="14"/>
  <c r="J73" i="14" s="1"/>
  <c r="K85" i="14"/>
  <c r="K73" i="14" s="1"/>
  <c r="D87" i="14"/>
  <c r="E87" i="14"/>
  <c r="J87" i="14"/>
  <c r="K87" i="14"/>
  <c r="D88" i="14"/>
  <c r="E88" i="14"/>
  <c r="J88" i="14"/>
  <c r="K88" i="14"/>
  <c r="D89" i="14"/>
  <c r="E89" i="14"/>
  <c r="J89" i="14"/>
  <c r="K89" i="14"/>
  <c r="D90" i="14"/>
  <c r="E90" i="14"/>
  <c r="J90" i="14"/>
  <c r="K90" i="14"/>
  <c r="D91" i="14"/>
  <c r="E91" i="14"/>
  <c r="J91" i="14"/>
  <c r="K91" i="14"/>
  <c r="D92" i="14"/>
  <c r="E92" i="14"/>
  <c r="J92" i="14"/>
  <c r="K92" i="14"/>
  <c r="D93" i="14"/>
  <c r="E93" i="14"/>
  <c r="J93" i="14"/>
  <c r="K93" i="14"/>
  <c r="D94" i="14"/>
  <c r="E94" i="14"/>
  <c r="J94" i="14"/>
  <c r="K94" i="14"/>
  <c r="D95" i="14"/>
  <c r="E95" i="14"/>
  <c r="J95" i="14"/>
  <c r="K95" i="14"/>
  <c r="D96" i="14"/>
  <c r="E96" i="14"/>
  <c r="J96" i="14"/>
  <c r="K96" i="14"/>
  <c r="D97" i="14"/>
  <c r="E97" i="14"/>
  <c r="J97" i="14"/>
  <c r="K97" i="14"/>
  <c r="D98" i="14"/>
  <c r="E98" i="14"/>
  <c r="J98" i="14"/>
  <c r="K98" i="14"/>
  <c r="D100" i="14"/>
  <c r="E100" i="14"/>
  <c r="J100" i="14"/>
  <c r="K100" i="14"/>
  <c r="D101" i="14"/>
  <c r="E101" i="14"/>
  <c r="J101" i="14"/>
  <c r="K101" i="14"/>
  <c r="D102" i="14"/>
  <c r="E102" i="14"/>
  <c r="J102" i="14"/>
  <c r="K102" i="14"/>
  <c r="D103" i="14"/>
  <c r="E103" i="14"/>
  <c r="J103" i="14"/>
  <c r="K103" i="14"/>
  <c r="D104" i="14"/>
  <c r="E104" i="14"/>
  <c r="J104" i="14"/>
  <c r="K104" i="14"/>
  <c r="D105" i="14"/>
  <c r="E105" i="14"/>
  <c r="J105" i="14"/>
  <c r="K105" i="14"/>
  <c r="D106" i="14"/>
  <c r="E106" i="14"/>
  <c r="J106" i="14"/>
  <c r="K106" i="14"/>
  <c r="D107" i="14"/>
  <c r="E107" i="14"/>
  <c r="J107" i="14"/>
  <c r="K107" i="14"/>
  <c r="D108" i="14"/>
  <c r="E108" i="14"/>
  <c r="J108" i="14"/>
  <c r="K108" i="14"/>
  <c r="D109" i="14"/>
  <c r="E109" i="14"/>
  <c r="J109" i="14"/>
  <c r="K109" i="14"/>
  <c r="D110" i="14"/>
  <c r="E110" i="14"/>
  <c r="J110" i="14"/>
  <c r="K110" i="14"/>
  <c r="D111" i="14"/>
  <c r="E111" i="14"/>
  <c r="J111" i="14"/>
  <c r="K111" i="14"/>
  <c r="D113" i="14"/>
  <c r="E113" i="14"/>
  <c r="J113" i="14"/>
  <c r="K113" i="14"/>
  <c r="D114" i="14"/>
  <c r="E114" i="14"/>
  <c r="J114" i="14"/>
  <c r="K114" i="14"/>
  <c r="D115" i="14"/>
  <c r="E115" i="14"/>
  <c r="J115" i="14"/>
  <c r="K115" i="14"/>
  <c r="D116" i="14"/>
  <c r="E116" i="14"/>
  <c r="J116" i="14"/>
  <c r="K116" i="14"/>
  <c r="D117" i="14"/>
  <c r="E117" i="14"/>
  <c r="J117" i="14"/>
  <c r="K117" i="14"/>
  <c r="D118" i="14"/>
  <c r="E118" i="14"/>
  <c r="J118" i="14"/>
  <c r="K118" i="14"/>
  <c r="D119" i="14"/>
  <c r="E119" i="14"/>
  <c r="J119" i="14"/>
  <c r="K119" i="14"/>
  <c r="D120" i="14"/>
  <c r="E120" i="14"/>
  <c r="J120" i="14"/>
  <c r="K120" i="14"/>
  <c r="D121" i="14"/>
  <c r="E121" i="14"/>
  <c r="J121" i="14"/>
  <c r="K121" i="14"/>
  <c r="D122" i="14"/>
  <c r="E122" i="14"/>
  <c r="J122" i="14"/>
  <c r="K122" i="14"/>
  <c r="D123" i="14"/>
  <c r="E123" i="14"/>
  <c r="J123" i="14"/>
  <c r="K123" i="14"/>
  <c r="D124" i="14"/>
  <c r="E124" i="14"/>
  <c r="J124" i="14"/>
  <c r="K124" i="14"/>
  <c r="D126" i="14"/>
  <c r="E126" i="14"/>
  <c r="J126" i="14"/>
  <c r="K126" i="14"/>
  <c r="D127" i="14"/>
  <c r="E127" i="14"/>
  <c r="J127" i="14"/>
  <c r="K127" i="14"/>
  <c r="D128" i="14"/>
  <c r="E128" i="14"/>
  <c r="J128" i="14"/>
  <c r="K128" i="14"/>
  <c r="D129" i="14"/>
  <c r="E129" i="14"/>
  <c r="J129" i="14"/>
  <c r="K129" i="14"/>
  <c r="D130" i="14"/>
  <c r="E130" i="14"/>
  <c r="J130" i="14"/>
  <c r="K130" i="14"/>
  <c r="D131" i="14"/>
  <c r="E131" i="14"/>
  <c r="J131" i="14"/>
  <c r="K131" i="14"/>
  <c r="D132" i="14"/>
  <c r="E132" i="14"/>
  <c r="J132" i="14"/>
  <c r="K132" i="14"/>
  <c r="D133" i="14"/>
  <c r="E133" i="14"/>
  <c r="J133" i="14"/>
  <c r="K133" i="14"/>
  <c r="D134" i="14"/>
  <c r="E134" i="14"/>
  <c r="J134" i="14"/>
  <c r="K134" i="14"/>
  <c r="D135" i="14"/>
  <c r="E135" i="14"/>
  <c r="J135" i="14"/>
  <c r="K135" i="14"/>
  <c r="D136" i="14"/>
  <c r="E136" i="14"/>
  <c r="J136" i="14"/>
  <c r="K136" i="14"/>
  <c r="D137" i="14"/>
  <c r="E137" i="14"/>
  <c r="J137" i="14"/>
  <c r="K137" i="14"/>
  <c r="D139" i="14"/>
  <c r="E139" i="14"/>
  <c r="J139" i="14"/>
  <c r="K139" i="14"/>
  <c r="D140" i="14"/>
  <c r="E140" i="14"/>
  <c r="J140" i="14"/>
  <c r="K140" i="14"/>
  <c r="D141" i="14"/>
  <c r="E141" i="14"/>
  <c r="J141" i="14"/>
  <c r="K141" i="14"/>
  <c r="D142" i="14"/>
  <c r="E142" i="14"/>
  <c r="J142" i="14"/>
  <c r="K142" i="14"/>
  <c r="D145" i="14"/>
  <c r="E145" i="14"/>
  <c r="J145" i="14"/>
  <c r="K145" i="14"/>
  <c r="D146" i="14"/>
  <c r="J146" i="14"/>
  <c r="K146" i="14"/>
  <c r="C146" i="14" s="1"/>
  <c r="D147" i="14"/>
  <c r="E147" i="14"/>
  <c r="J147" i="14"/>
  <c r="K147" i="14"/>
  <c r="D148" i="14"/>
  <c r="E148" i="14"/>
  <c r="J148" i="14"/>
  <c r="K148" i="14"/>
  <c r="D149" i="14"/>
  <c r="E149" i="14"/>
  <c r="J149" i="14"/>
  <c r="K149" i="14"/>
  <c r="D12" i="15"/>
  <c r="F12" i="15"/>
  <c r="H12" i="15"/>
  <c r="J12" i="15"/>
  <c r="D13" i="15"/>
  <c r="F13" i="15"/>
  <c r="H13" i="15"/>
  <c r="J13" i="15"/>
  <c r="L13" i="15"/>
  <c r="B14" i="15"/>
  <c r="H14" i="15" s="1"/>
  <c r="B15" i="15"/>
  <c r="C15" i="15"/>
  <c r="G15" i="15"/>
  <c r="I15" i="15"/>
  <c r="K15" i="15"/>
  <c r="D16" i="15"/>
  <c r="F16" i="15"/>
  <c r="H16" i="15"/>
  <c r="J16" i="15"/>
  <c r="L16" i="15"/>
  <c r="B18" i="15"/>
  <c r="C18" i="15"/>
  <c r="E18" i="15"/>
  <c r="G18" i="15"/>
  <c r="I18" i="15"/>
  <c r="K18" i="15"/>
  <c r="D19" i="15"/>
  <c r="F19" i="15"/>
  <c r="H19" i="15"/>
  <c r="J19" i="15"/>
  <c r="L19" i="15"/>
  <c r="D20" i="15"/>
  <c r="F20" i="15"/>
  <c r="H20" i="15"/>
  <c r="J20" i="15"/>
  <c r="L20" i="15"/>
  <c r="D21" i="15"/>
  <c r="F21" i="15"/>
  <c r="H21" i="15"/>
  <c r="J21" i="15"/>
  <c r="L21" i="15"/>
  <c r="D22" i="15"/>
  <c r="F22" i="15"/>
  <c r="H22" i="15"/>
  <c r="J22" i="15"/>
  <c r="L22" i="15"/>
  <c r="D23" i="15"/>
  <c r="F23" i="15"/>
  <c r="H23" i="15"/>
  <c r="J23" i="15"/>
  <c r="L23" i="15"/>
  <c r="D24" i="15"/>
  <c r="F24" i="15"/>
  <c r="H24" i="15"/>
  <c r="J24" i="15"/>
  <c r="L24" i="15"/>
  <c r="D25" i="15"/>
  <c r="F25" i="15"/>
  <c r="H25" i="15"/>
  <c r="J25" i="15"/>
  <c r="L25" i="15"/>
  <c r="D26" i="15"/>
  <c r="F26" i="15"/>
  <c r="H26" i="15"/>
  <c r="J26" i="15"/>
  <c r="L26" i="15"/>
  <c r="D27" i="15"/>
  <c r="F27" i="15"/>
  <c r="H27" i="15"/>
  <c r="J27" i="15"/>
  <c r="L27" i="15"/>
  <c r="D28" i="15"/>
  <c r="F28" i="15"/>
  <c r="H28" i="15"/>
  <c r="J28" i="15"/>
  <c r="L28" i="15"/>
  <c r="D29" i="15"/>
  <c r="F29" i="15"/>
  <c r="H29" i="15"/>
  <c r="J29" i="15"/>
  <c r="L29" i="15"/>
  <c r="D30" i="15"/>
  <c r="D18" i="15" s="1"/>
  <c r="F30" i="15"/>
  <c r="F18" i="15" s="1"/>
  <c r="H30" i="15"/>
  <c r="H18" i="15" s="1"/>
  <c r="J30" i="15"/>
  <c r="J18" i="15" s="1"/>
  <c r="L30" i="15"/>
  <c r="L18" i="15" s="1"/>
  <c r="B31" i="15"/>
  <c r="E31" i="15"/>
  <c r="G31" i="15"/>
  <c r="I31" i="15"/>
  <c r="K31" i="15"/>
  <c r="D32" i="15"/>
  <c r="F32" i="15"/>
  <c r="H32" i="15"/>
  <c r="J32" i="15"/>
  <c r="L32" i="15"/>
  <c r="D33" i="15"/>
  <c r="F33" i="15"/>
  <c r="H33" i="15"/>
  <c r="J33" i="15"/>
  <c r="L33" i="15"/>
  <c r="D34" i="15"/>
  <c r="F34" i="15"/>
  <c r="H34" i="15"/>
  <c r="J34" i="15"/>
  <c r="L34" i="15"/>
  <c r="D35" i="15"/>
  <c r="F35" i="15"/>
  <c r="H35" i="15"/>
  <c r="J35" i="15"/>
  <c r="L35" i="15"/>
  <c r="D36" i="15"/>
  <c r="F36" i="15"/>
  <c r="H36" i="15"/>
  <c r="J36" i="15"/>
  <c r="L36" i="15"/>
  <c r="C37" i="15"/>
  <c r="D37" i="15" s="1"/>
  <c r="F37" i="15"/>
  <c r="H37" i="15"/>
  <c r="J37" i="15"/>
  <c r="L37" i="15"/>
  <c r="C38" i="15"/>
  <c r="D38" i="15" s="1"/>
  <c r="F38" i="15"/>
  <c r="H38" i="15"/>
  <c r="J38" i="15"/>
  <c r="L38" i="15"/>
  <c r="C39" i="15"/>
  <c r="D39" i="15" s="1"/>
  <c r="F39" i="15"/>
  <c r="H39" i="15"/>
  <c r="J39" i="15"/>
  <c r="L39" i="15"/>
  <c r="C40" i="15"/>
  <c r="D40" i="15" s="1"/>
  <c r="F40" i="15"/>
  <c r="H40" i="15"/>
  <c r="J40" i="15"/>
  <c r="L40" i="15"/>
  <c r="C41" i="15"/>
  <c r="D41" i="15" s="1"/>
  <c r="F41" i="15"/>
  <c r="H41" i="15"/>
  <c r="J41" i="15"/>
  <c r="L41" i="15"/>
  <c r="C42" i="15"/>
  <c r="D42" i="15" s="1"/>
  <c r="F42" i="15"/>
  <c r="H42" i="15"/>
  <c r="J42" i="15"/>
  <c r="L42" i="15"/>
  <c r="C43" i="15"/>
  <c r="C31" i="15" s="1"/>
  <c r="F43" i="15"/>
  <c r="F31" i="15" s="1"/>
  <c r="H43" i="15"/>
  <c r="H31" i="15" s="1"/>
  <c r="J43" i="15"/>
  <c r="J31" i="15" s="1"/>
  <c r="L43" i="15"/>
  <c r="L31" i="15" s="1"/>
  <c r="B44" i="15"/>
  <c r="E44" i="15"/>
  <c r="G44" i="15"/>
  <c r="I44" i="15"/>
  <c r="K44" i="15"/>
  <c r="C45" i="15"/>
  <c r="D45" i="15" s="1"/>
  <c r="F45" i="15"/>
  <c r="H45" i="15"/>
  <c r="J45" i="15"/>
  <c r="L45" i="15"/>
  <c r="C46" i="15"/>
  <c r="D46" i="15" s="1"/>
  <c r="F46" i="15"/>
  <c r="H46" i="15"/>
  <c r="J46" i="15"/>
  <c r="L46" i="15"/>
  <c r="C47" i="15"/>
  <c r="D47" i="15" s="1"/>
  <c r="F47" i="15"/>
  <c r="H47" i="15"/>
  <c r="J47" i="15"/>
  <c r="L47" i="15"/>
  <c r="C48" i="15"/>
  <c r="D48" i="15" s="1"/>
  <c r="F48" i="15"/>
  <c r="H48" i="15"/>
  <c r="J48" i="15"/>
  <c r="L48" i="15"/>
  <c r="C49" i="15"/>
  <c r="D49" i="15" s="1"/>
  <c r="F49" i="15"/>
  <c r="H49" i="15"/>
  <c r="J49" i="15"/>
  <c r="L49" i="15"/>
  <c r="C50" i="15"/>
  <c r="D50" i="15" s="1"/>
  <c r="F50" i="15"/>
  <c r="H50" i="15"/>
  <c r="J50" i="15"/>
  <c r="L50" i="15"/>
  <c r="C51" i="15"/>
  <c r="D51" i="15" s="1"/>
  <c r="F51" i="15"/>
  <c r="H51" i="15"/>
  <c r="J51" i="15"/>
  <c r="L51" i="15"/>
  <c r="C52" i="15"/>
  <c r="D52" i="15" s="1"/>
  <c r="F52" i="15"/>
  <c r="H52" i="15"/>
  <c r="J52" i="15"/>
  <c r="L52" i="15"/>
  <c r="C53" i="15"/>
  <c r="D53" i="15" s="1"/>
  <c r="F53" i="15"/>
  <c r="H53" i="15"/>
  <c r="J53" i="15"/>
  <c r="L53" i="15"/>
  <c r="C54" i="15"/>
  <c r="D54" i="15" s="1"/>
  <c r="F54" i="15"/>
  <c r="H54" i="15"/>
  <c r="J54" i="15"/>
  <c r="L54" i="15"/>
  <c r="C55" i="15"/>
  <c r="D55" i="15" s="1"/>
  <c r="F55" i="15"/>
  <c r="H55" i="15"/>
  <c r="J55" i="15"/>
  <c r="L55" i="15"/>
  <c r="C56" i="15"/>
  <c r="D56" i="15" s="1"/>
  <c r="D44" i="15" s="1"/>
  <c r="F56" i="15"/>
  <c r="F44" i="15" s="1"/>
  <c r="H56" i="15"/>
  <c r="H44" i="15" s="1"/>
  <c r="J56" i="15"/>
  <c r="J44" i="15" s="1"/>
  <c r="L56" i="15"/>
  <c r="L44" i="15" s="1"/>
  <c r="B57" i="15"/>
  <c r="C57" i="15"/>
  <c r="D57" i="15"/>
  <c r="E57" i="15"/>
  <c r="F57" i="15"/>
  <c r="G57" i="15"/>
  <c r="H57" i="15"/>
  <c r="I57" i="15"/>
  <c r="J57" i="15"/>
  <c r="K57" i="15"/>
  <c r="L57" i="15"/>
  <c r="C58" i="15"/>
  <c r="D58" i="15" s="1"/>
  <c r="F58" i="15"/>
  <c r="H58" i="15"/>
  <c r="J58" i="15"/>
  <c r="L58" i="15"/>
  <c r="C59" i="15"/>
  <c r="D59" i="15" s="1"/>
  <c r="F59" i="15"/>
  <c r="H59" i="15"/>
  <c r="J59" i="15"/>
  <c r="L59" i="15"/>
  <c r="C60" i="15"/>
  <c r="D60" i="15" s="1"/>
  <c r="F60" i="15"/>
  <c r="H60" i="15"/>
  <c r="J60" i="15"/>
  <c r="L60" i="15"/>
  <c r="C61" i="15"/>
  <c r="D61" i="15" s="1"/>
  <c r="F61" i="15"/>
  <c r="H61" i="15"/>
  <c r="J61" i="15"/>
  <c r="L61" i="15"/>
  <c r="C62" i="15"/>
  <c r="D62" i="15" s="1"/>
  <c r="F62" i="15"/>
  <c r="H62" i="15"/>
  <c r="J62" i="15"/>
  <c r="L62" i="15"/>
  <c r="C63" i="15"/>
  <c r="D63" i="15" s="1"/>
  <c r="F63" i="15"/>
  <c r="H63" i="15"/>
  <c r="J63" i="15"/>
  <c r="L63" i="15"/>
  <c r="B70" i="15"/>
  <c r="C70" i="15"/>
  <c r="D70" i="15"/>
  <c r="E70" i="15"/>
  <c r="F70" i="15"/>
  <c r="G70" i="15"/>
  <c r="H70" i="15"/>
  <c r="I70" i="15"/>
  <c r="J70" i="15"/>
  <c r="K70" i="15"/>
  <c r="L70" i="15"/>
  <c r="C84" i="15"/>
  <c r="D84" i="15" s="1"/>
  <c r="F84" i="15"/>
  <c r="H84" i="15"/>
  <c r="J84" i="15"/>
  <c r="L84" i="15"/>
  <c r="C85" i="15"/>
  <c r="D85" i="15" s="1"/>
  <c r="F85" i="15"/>
  <c r="H85" i="15"/>
  <c r="J85" i="15"/>
  <c r="L85" i="15"/>
  <c r="C86" i="15"/>
  <c r="D86" i="15" s="1"/>
  <c r="F86" i="15"/>
  <c r="H86" i="15"/>
  <c r="J86" i="15"/>
  <c r="L86" i="15"/>
  <c r="C87" i="15"/>
  <c r="D87" i="15" s="1"/>
  <c r="F87" i="15"/>
  <c r="H87" i="15"/>
  <c r="J87" i="15"/>
  <c r="L87" i="15"/>
  <c r="C88" i="15"/>
  <c r="D88" i="15" s="1"/>
  <c r="F88" i="15"/>
  <c r="H88" i="15"/>
  <c r="J88" i="15"/>
  <c r="L88" i="15"/>
  <c r="C89" i="15"/>
  <c r="D89" i="15" s="1"/>
  <c r="F89" i="15"/>
  <c r="H89" i="15"/>
  <c r="J89" i="15"/>
  <c r="L89" i="15"/>
  <c r="C90" i="15"/>
  <c r="D90" i="15" s="1"/>
  <c r="F90" i="15"/>
  <c r="H90" i="15"/>
  <c r="J90" i="15"/>
  <c r="L90" i="15"/>
  <c r="C91" i="15"/>
  <c r="D91" i="15" s="1"/>
  <c r="F91" i="15"/>
  <c r="H91" i="15"/>
  <c r="J91" i="15"/>
  <c r="L91" i="15"/>
  <c r="C92" i="15"/>
  <c r="D92" i="15" s="1"/>
  <c r="F92" i="15"/>
  <c r="H92" i="15"/>
  <c r="J92" i="15"/>
  <c r="L92" i="15"/>
  <c r="C93" i="15"/>
  <c r="D93" i="15" s="1"/>
  <c r="F93" i="15"/>
  <c r="H93" i="15"/>
  <c r="J93" i="15"/>
  <c r="L93" i="15"/>
  <c r="C94" i="15"/>
  <c r="D94" i="15" s="1"/>
  <c r="F94" i="15"/>
  <c r="H94" i="15"/>
  <c r="J94" i="15"/>
  <c r="L94" i="15"/>
  <c r="C95" i="15"/>
  <c r="D95" i="15" s="1"/>
  <c r="F95" i="15"/>
  <c r="H95" i="15"/>
  <c r="J95" i="15"/>
  <c r="L95" i="15"/>
  <c r="B97" i="15"/>
  <c r="D97" i="15" s="1"/>
  <c r="B98" i="15"/>
  <c r="D98" i="15" s="1"/>
  <c r="B99" i="15"/>
  <c r="L99" i="15" s="1"/>
  <c r="B100" i="15"/>
  <c r="D100" i="15" s="1"/>
  <c r="B101" i="15"/>
  <c r="H101" i="15" s="1"/>
  <c r="B102" i="15"/>
  <c r="H102" i="15" s="1"/>
  <c r="B103" i="15"/>
  <c r="H103" i="15" s="1"/>
  <c r="B104" i="15"/>
  <c r="D104" i="15" s="1"/>
  <c r="B105" i="15"/>
  <c r="L105" i="15" s="1"/>
  <c r="B106" i="15"/>
  <c r="L106" i="15" s="1"/>
  <c r="B107" i="15"/>
  <c r="F107" i="15" s="1"/>
  <c r="B108" i="15"/>
  <c r="F108" i="15" s="1"/>
  <c r="B110" i="15"/>
  <c r="D110" i="15" s="1"/>
  <c r="B111" i="15"/>
  <c r="L111" i="15" s="1"/>
  <c r="B112" i="15"/>
  <c r="F112" i="15" s="1"/>
  <c r="B113" i="15"/>
  <c r="D113" i="15" s="1"/>
  <c r="B114" i="15"/>
  <c r="D114" i="15" s="1"/>
  <c r="B115" i="15"/>
  <c r="L115" i="15" s="1"/>
  <c r="B116" i="15"/>
  <c r="F116" i="15" s="1"/>
  <c r="B117" i="15"/>
  <c r="J117" i="15" s="1"/>
  <c r="B118" i="15"/>
  <c r="J118" i="15" s="1"/>
  <c r="B119" i="15"/>
  <c r="H119" i="15" s="1"/>
  <c r="B120" i="15"/>
  <c r="D120" i="15" s="1"/>
  <c r="B121" i="15"/>
  <c r="F121" i="15" s="1"/>
  <c r="B123" i="15"/>
  <c r="D123" i="15" s="1"/>
  <c r="B124" i="15"/>
  <c r="L124" i="15" s="1"/>
  <c r="B125" i="15"/>
  <c r="D125" i="15" s="1"/>
  <c r="B126" i="15"/>
  <c r="D126" i="15" s="1"/>
  <c r="B127" i="15"/>
  <c r="J127" i="15" s="1"/>
  <c r="B128" i="15"/>
  <c r="L128" i="15" s="1"/>
  <c r="B129" i="15"/>
  <c r="L129" i="15" s="1"/>
  <c r="B130" i="15"/>
  <c r="F130" i="15" s="1"/>
  <c r="B131" i="15"/>
  <c r="F131" i="15" s="1"/>
  <c r="B132" i="15"/>
  <c r="L132" i="15" s="1"/>
  <c r="B133" i="15"/>
  <c r="D133" i="15" s="1"/>
  <c r="B134" i="15"/>
  <c r="D134" i="15" s="1"/>
  <c r="B136" i="15"/>
  <c r="J136" i="15" s="1"/>
  <c r="B137" i="15"/>
  <c r="L137" i="15" s="1"/>
  <c r="B138" i="15"/>
  <c r="D138" i="15" s="1"/>
  <c r="B139" i="15"/>
  <c r="F139" i="15" s="1"/>
  <c r="B140" i="15"/>
  <c r="L140" i="15" s="1"/>
  <c r="B141" i="15"/>
  <c r="D141" i="15" s="1"/>
  <c r="B142" i="15"/>
  <c r="H142" i="15" s="1"/>
  <c r="D143" i="15"/>
  <c r="F143" i="15"/>
  <c r="H143" i="15"/>
  <c r="J143" i="15"/>
  <c r="L143" i="15"/>
  <c r="D144" i="15"/>
  <c r="F144" i="15"/>
  <c r="H144" i="15"/>
  <c r="J144" i="15"/>
  <c r="L144" i="15"/>
  <c r="D145" i="15"/>
  <c r="F145" i="15"/>
  <c r="H145" i="15"/>
  <c r="J145" i="15"/>
  <c r="L145" i="15"/>
  <c r="D146" i="15"/>
  <c r="E146" i="15"/>
  <c r="F146" i="15" s="1"/>
  <c r="G146" i="15"/>
  <c r="H146" i="15"/>
  <c r="I146" i="15"/>
  <c r="J146" i="15" s="1"/>
  <c r="L146" i="15"/>
  <c r="D147" i="15"/>
  <c r="F147" i="15"/>
  <c r="G147" i="15"/>
  <c r="H147" i="15" s="1"/>
  <c r="I147" i="15"/>
  <c r="J147" i="15" s="1"/>
  <c r="L147" i="15"/>
  <c r="D149" i="15"/>
  <c r="E149" i="15"/>
  <c r="F149" i="15" s="1"/>
  <c r="G149" i="15"/>
  <c r="H149" i="15" s="1"/>
  <c r="I149" i="15"/>
  <c r="J149" i="15" s="1"/>
  <c r="L149" i="15"/>
  <c r="D150" i="15"/>
  <c r="F150" i="15"/>
  <c r="H150" i="15"/>
  <c r="J150" i="15"/>
  <c r="L150" i="15"/>
  <c r="D151" i="15"/>
  <c r="F151" i="15"/>
  <c r="H151" i="15"/>
  <c r="J151" i="15"/>
  <c r="L151" i="15"/>
  <c r="D154" i="15"/>
  <c r="F154" i="15"/>
  <c r="H154" i="15"/>
  <c r="J154" i="15"/>
  <c r="L154" i="15"/>
  <c r="D157" i="15"/>
  <c r="F157" i="15"/>
  <c r="H157" i="15"/>
  <c r="J157" i="15"/>
  <c r="L157" i="15"/>
  <c r="H158" i="15"/>
  <c r="J158" i="15"/>
  <c r="L177" i="15"/>
  <c r="L178" i="15"/>
  <c r="D179" i="15"/>
  <c r="F179" i="15"/>
  <c r="H179" i="15"/>
  <c r="J179" i="15"/>
  <c r="L179" i="15"/>
  <c r="G10" i="12"/>
  <c r="A11" i="12"/>
  <c r="A12" i="12" s="1"/>
  <c r="A13" i="12" s="1"/>
  <c r="A14" i="12" s="1"/>
  <c r="A15" i="12" s="1"/>
  <c r="A16" i="12" s="1"/>
  <c r="A17" i="12" s="1"/>
  <c r="A18" i="12" s="1"/>
  <c r="A19" i="12" s="1"/>
  <c r="G11" i="12"/>
  <c r="G12" i="12"/>
  <c r="G13" i="12"/>
  <c r="G14" i="12"/>
  <c r="G15" i="12"/>
  <c r="G16" i="12"/>
  <c r="G17" i="12"/>
  <c r="G18" i="12"/>
  <c r="G19" i="12"/>
  <c r="G20" i="12"/>
  <c r="G21" i="12"/>
  <c r="G22" i="12"/>
  <c r="G23" i="12"/>
  <c r="G24" i="12"/>
  <c r="G25" i="12"/>
  <c r="G26" i="12"/>
  <c r="G27" i="12"/>
  <c r="G28" i="12"/>
  <c r="G29" i="12"/>
  <c r="G30" i="12"/>
  <c r="G31" i="12"/>
  <c r="G32" i="12"/>
  <c r="G34" i="12"/>
  <c r="G35" i="12"/>
  <c r="G36" i="12"/>
  <c r="F37" i="12"/>
  <c r="G37" i="12"/>
  <c r="F38" i="12"/>
  <c r="G38" i="12"/>
  <c r="F39" i="12"/>
  <c r="G39" i="12"/>
  <c r="F40" i="12"/>
  <c r="G40" i="12"/>
  <c r="F41" i="12"/>
  <c r="G41" i="12"/>
  <c r="F42" i="12"/>
  <c r="G42" i="12"/>
  <c r="G43" i="12"/>
  <c r="G44" i="12"/>
  <c r="F45" i="12"/>
  <c r="G45" i="12"/>
  <c r="F47" i="12"/>
  <c r="G47" i="12"/>
  <c r="F48" i="12"/>
  <c r="G48" i="12"/>
  <c r="F49" i="12"/>
  <c r="G49" i="12"/>
  <c r="F50" i="12"/>
  <c r="G50" i="12"/>
  <c r="F51" i="12"/>
  <c r="G51" i="12"/>
  <c r="F52" i="12"/>
  <c r="G52" i="12"/>
  <c r="F53" i="12"/>
  <c r="G53" i="12"/>
  <c r="G54" i="12"/>
  <c r="G55" i="12"/>
  <c r="F56" i="12"/>
  <c r="G56" i="12"/>
  <c r="F57" i="12"/>
  <c r="G57" i="12"/>
  <c r="F58" i="12"/>
  <c r="G58" i="12"/>
  <c r="F60" i="12"/>
  <c r="G60" i="12"/>
  <c r="F61" i="12"/>
  <c r="G61" i="12"/>
  <c r="F62" i="12"/>
  <c r="G62" i="12"/>
  <c r="F63" i="12"/>
  <c r="G63" i="12"/>
  <c r="G64" i="12"/>
  <c r="F65" i="12"/>
  <c r="G65" i="12"/>
  <c r="F66" i="12"/>
  <c r="G66" i="12"/>
  <c r="F67" i="12"/>
  <c r="G67" i="12"/>
  <c r="G68" i="12"/>
  <c r="G69" i="12"/>
  <c r="G70" i="12"/>
  <c r="G71" i="12"/>
  <c r="G73" i="12"/>
  <c r="F74" i="12"/>
  <c r="G74" i="12"/>
  <c r="F75" i="12"/>
  <c r="G75" i="12"/>
  <c r="F76" i="12"/>
  <c r="G76" i="12"/>
  <c r="F77" i="12"/>
  <c r="G77" i="12"/>
  <c r="F78" i="12"/>
  <c r="G78" i="12"/>
  <c r="F79" i="12"/>
  <c r="G79" i="12"/>
  <c r="F80" i="12"/>
  <c r="G80" i="12"/>
  <c r="F81" i="12"/>
  <c r="G81" i="12"/>
  <c r="F82" i="12"/>
  <c r="G82" i="12"/>
  <c r="F83" i="12"/>
  <c r="G83" i="12"/>
  <c r="F84" i="12"/>
  <c r="G84" i="12"/>
  <c r="F151" i="12"/>
  <c r="G151" i="12"/>
  <c r="CB12" i="20"/>
  <c r="J107" i="15" l="1"/>
  <c r="C19" i="14"/>
  <c r="F126" i="15"/>
  <c r="D101" i="15"/>
  <c r="L14" i="15"/>
  <c r="CC10" i="32"/>
  <c r="CC8" i="32" s="1"/>
  <c r="CD8" i="32" s="1"/>
  <c r="H126" i="15"/>
  <c r="F14" i="15"/>
  <c r="F100" i="15"/>
  <c r="J113" i="15"/>
  <c r="D14" i="15"/>
  <c r="J101" i="15"/>
  <c r="F101" i="15"/>
  <c r="J126" i="15"/>
  <c r="L101" i="15"/>
  <c r="L126" i="15"/>
  <c r="H140" i="15"/>
  <c r="H113" i="15"/>
  <c r="J14" i="15"/>
  <c r="H132" i="32"/>
  <c r="H145" i="32"/>
  <c r="H113" i="32"/>
  <c r="H125" i="32"/>
  <c r="B63" i="14"/>
  <c r="B48" i="14"/>
  <c r="C77" i="14"/>
  <c r="B55" i="14"/>
  <c r="B133" i="14"/>
  <c r="B114" i="14"/>
  <c r="B84" i="14"/>
  <c r="C66" i="14"/>
  <c r="C54" i="14"/>
  <c r="C16" i="14"/>
  <c r="C145" i="14"/>
  <c r="H99" i="15"/>
  <c r="H138" i="15"/>
  <c r="I148" i="32"/>
  <c r="CD12" i="32"/>
  <c r="H108" i="15"/>
  <c r="B103" i="14"/>
  <c r="D131" i="15"/>
  <c r="CC9" i="10"/>
  <c r="CD9" i="10" s="1"/>
  <c r="H147" i="32"/>
  <c r="H123" i="15"/>
  <c r="H130" i="15"/>
  <c r="J104" i="15"/>
  <c r="L104" i="15"/>
  <c r="B134" i="14"/>
  <c r="B17" i="14"/>
  <c r="H131" i="15"/>
  <c r="L133" i="15"/>
  <c r="F104" i="15"/>
  <c r="L131" i="15"/>
  <c r="I115" i="32"/>
  <c r="H143" i="32"/>
  <c r="I141" i="32"/>
  <c r="H134" i="32"/>
  <c r="I124" i="32"/>
  <c r="H135" i="32"/>
  <c r="H118" i="32"/>
  <c r="I121" i="32"/>
  <c r="I129" i="32"/>
  <c r="I137" i="32"/>
  <c r="C58" i="14"/>
  <c r="C46" i="14" s="1"/>
  <c r="C43" i="14"/>
  <c r="C37" i="14"/>
  <c r="C14" i="14"/>
  <c r="B30" i="14"/>
  <c r="B18" i="14" s="1"/>
  <c r="B57" i="14"/>
  <c r="B42" i="14"/>
  <c r="B44" i="14"/>
  <c r="B32" i="14" s="1"/>
  <c r="B23" i="14"/>
  <c r="C30" i="14"/>
  <c r="C18" i="14" s="1"/>
  <c r="J98" i="15"/>
  <c r="F123" i="15"/>
  <c r="D108" i="15"/>
  <c r="J97" i="15"/>
  <c r="J108" i="15"/>
  <c r="L123" i="15"/>
  <c r="L108" i="15"/>
  <c r="H104" i="15"/>
  <c r="H107" i="15"/>
  <c r="J110" i="15"/>
  <c r="J123" i="15"/>
  <c r="D137" i="15"/>
  <c r="CC48" i="48"/>
  <c r="CD48" i="48" s="1"/>
  <c r="I133" i="32"/>
  <c r="H138" i="32"/>
  <c r="I146" i="32"/>
  <c r="I151" i="32"/>
  <c r="I131" i="32"/>
  <c r="H119" i="32"/>
  <c r="I127" i="32"/>
  <c r="I114" i="32"/>
  <c r="I144" i="32"/>
  <c r="I109" i="32"/>
  <c r="H139" i="32"/>
  <c r="I108" i="32"/>
  <c r="CC48" i="23"/>
  <c r="CD48" i="23" s="1"/>
  <c r="B147" i="14"/>
  <c r="C141" i="14"/>
  <c r="C62" i="14"/>
  <c r="C56" i="14"/>
  <c r="C47" i="14"/>
  <c r="C35" i="14"/>
  <c r="B105" i="14"/>
  <c r="B72" i="14"/>
  <c r="B60" i="14" s="1"/>
  <c r="B34" i="14"/>
  <c r="B14" i="14"/>
  <c r="F138" i="15"/>
  <c r="D107" i="15"/>
  <c r="H134" i="15"/>
  <c r="J138" i="15"/>
  <c r="H100" i="15"/>
  <c r="J125" i="15"/>
  <c r="H118" i="15"/>
  <c r="J100" i="15"/>
  <c r="L138" i="15"/>
  <c r="F132" i="15"/>
  <c r="D99" i="15"/>
  <c r="J131" i="15"/>
  <c r="J132" i="15"/>
  <c r="L107" i="15"/>
  <c r="L100" i="15"/>
  <c r="H137" i="15"/>
  <c r="L119" i="15"/>
  <c r="J99" i="15"/>
  <c r="H132" i="15"/>
  <c r="L110" i="15"/>
  <c r="D132" i="15"/>
  <c r="D43" i="15"/>
  <c r="D31" i="15" s="1"/>
  <c r="F103" i="15"/>
  <c r="I117" i="32"/>
  <c r="I123" i="32"/>
  <c r="B142" i="14"/>
  <c r="B135" i="14"/>
  <c r="B116" i="14"/>
  <c r="B109" i="14"/>
  <c r="B100" i="14"/>
  <c r="B38" i="14"/>
  <c r="B20" i="14"/>
  <c r="B15" i="14"/>
  <c r="CA10" i="20"/>
  <c r="I142" i="32"/>
  <c r="C108" i="14"/>
  <c r="C92" i="14"/>
  <c r="C22" i="14"/>
  <c r="H114" i="15"/>
  <c r="B131" i="14"/>
  <c r="B111" i="14"/>
  <c r="B89" i="14"/>
  <c r="CC9" i="14"/>
  <c r="CD9" i="14" s="1"/>
  <c r="L141" i="15"/>
  <c r="CC47" i="14"/>
  <c r="CD47" i="14" s="1"/>
  <c r="J140" i="15"/>
  <c r="H149" i="32"/>
  <c r="F141" i="15"/>
  <c r="B145" i="14"/>
  <c r="B136" i="14"/>
  <c r="B61" i="14"/>
  <c r="B25" i="14"/>
  <c r="B19" i="14"/>
  <c r="H141" i="15"/>
  <c r="C85" i="14"/>
  <c r="C73" i="14" s="1"/>
  <c r="D32" i="14"/>
  <c r="C88" i="14"/>
  <c r="J141" i="15"/>
  <c r="J114" i="15"/>
  <c r="H126" i="32"/>
  <c r="F114" i="15"/>
  <c r="H136" i="32"/>
  <c r="L15" i="15"/>
  <c r="B21" i="14"/>
  <c r="CC48" i="15"/>
  <c r="CD48" i="15" s="1"/>
  <c r="I130" i="32"/>
  <c r="L120" i="15"/>
  <c r="C83" i="14"/>
  <c r="CC48" i="33"/>
  <c r="CD48" i="33" s="1"/>
  <c r="CC44" i="8"/>
  <c r="CD44" i="8" s="1"/>
  <c r="L103" i="15"/>
  <c r="CC10" i="33"/>
  <c r="D139" i="15"/>
  <c r="D103" i="15"/>
  <c r="D105" i="15"/>
  <c r="L113" i="15"/>
  <c r="F111" i="15"/>
  <c r="F99" i="15"/>
  <c r="B130" i="14"/>
  <c r="B115" i="14"/>
  <c r="C104" i="14"/>
  <c r="C100" i="14"/>
  <c r="C97" i="14"/>
  <c r="B67" i="14"/>
  <c r="B65" i="14"/>
  <c r="C51" i="14"/>
  <c r="H111" i="15"/>
  <c r="I140" i="32"/>
  <c r="F119" i="15"/>
  <c r="J128" i="15"/>
  <c r="C140" i="14"/>
  <c r="C135" i="14"/>
  <c r="C133" i="14"/>
  <c r="C131" i="14"/>
  <c r="C129" i="14"/>
  <c r="C127" i="14"/>
  <c r="C114" i="14"/>
  <c r="D119" i="15"/>
  <c r="I116" i="32"/>
  <c r="H128" i="15"/>
  <c r="CD16" i="14"/>
  <c r="H139" i="15"/>
  <c r="F128" i="15"/>
  <c r="D15" i="15"/>
  <c r="B140" i="14"/>
  <c r="B127" i="14"/>
  <c r="B122" i="14"/>
  <c r="C105" i="14"/>
  <c r="B80" i="14"/>
  <c r="B70" i="14"/>
  <c r="B43" i="14"/>
  <c r="B39" i="14"/>
  <c r="C33" i="14"/>
  <c r="C27" i="14"/>
  <c r="C25" i="14"/>
  <c r="C23" i="14"/>
  <c r="H150" i="32"/>
  <c r="H120" i="32"/>
  <c r="CC48" i="32"/>
  <c r="CD48" i="32" s="1"/>
  <c r="J103" i="15"/>
  <c r="L130" i="15"/>
  <c r="H105" i="15"/>
  <c r="J105" i="15"/>
  <c r="L139" i="15"/>
  <c r="B141" i="23"/>
  <c r="H128" i="32"/>
  <c r="J130" i="15"/>
  <c r="B58" i="14"/>
  <c r="B46" i="14" s="1"/>
  <c r="F113" i="15"/>
  <c r="B85" i="14"/>
  <c r="B73" i="14" s="1"/>
  <c r="B148" i="14"/>
  <c r="B107" i="14"/>
  <c r="B90" i="14"/>
  <c r="B88" i="14"/>
  <c r="B52" i="14"/>
  <c r="C42" i="14"/>
  <c r="C40" i="14"/>
  <c r="C38" i="14"/>
  <c r="J111" i="15"/>
  <c r="B79" i="14"/>
  <c r="B77" i="14"/>
  <c r="B36" i="14"/>
  <c r="C24" i="14"/>
  <c r="C20" i="14"/>
  <c r="C17" i="14"/>
  <c r="D130" i="15"/>
  <c r="J139" i="15"/>
  <c r="D111" i="15"/>
  <c r="J119" i="15"/>
  <c r="C130" i="14"/>
  <c r="B91" i="14"/>
  <c r="C71" i="14"/>
  <c r="C69" i="14"/>
  <c r="C39" i="14"/>
  <c r="B28" i="14"/>
  <c r="B24" i="14"/>
  <c r="CD49" i="23"/>
  <c r="C72" i="14"/>
  <c r="C60" i="14" s="1"/>
  <c r="B83" i="14"/>
  <c r="B40" i="14"/>
  <c r="C34" i="14"/>
  <c r="B29" i="14"/>
  <c r="CD31" i="14"/>
  <c r="C148" i="14"/>
  <c r="B146" i="14"/>
  <c r="B137" i="14"/>
  <c r="C126" i="14"/>
  <c r="C121" i="14"/>
  <c r="B113" i="14"/>
  <c r="B110" i="14"/>
  <c r="B97" i="14"/>
  <c r="B95" i="14"/>
  <c r="C63" i="14"/>
  <c r="B56" i="14"/>
  <c r="B54" i="14"/>
  <c r="C113" i="14"/>
  <c r="C110" i="14"/>
  <c r="B81" i="14"/>
  <c r="C50" i="14"/>
  <c r="C48" i="14"/>
  <c r="C41" i="14"/>
  <c r="C28" i="14"/>
  <c r="C70" i="14"/>
  <c r="B101" i="14"/>
  <c r="B68" i="14"/>
  <c r="C55" i="14"/>
  <c r="B35" i="14"/>
  <c r="E46" i="14"/>
  <c r="C147" i="14"/>
  <c r="B129" i="14"/>
  <c r="B104" i="14"/>
  <c r="B98" i="14"/>
  <c r="B96" i="14"/>
  <c r="C74" i="14"/>
  <c r="C64" i="14"/>
  <c r="B53" i="14"/>
  <c r="B141" i="14"/>
  <c r="C139" i="14"/>
  <c r="C136" i="14"/>
  <c r="B102" i="14"/>
  <c r="C90" i="14"/>
  <c r="B74" i="14"/>
  <c r="L112" i="15"/>
  <c r="H120" i="15"/>
  <c r="H110" i="15"/>
  <c r="F105" i="15"/>
  <c r="F133" i="15"/>
  <c r="H127" i="15"/>
  <c r="L127" i="15"/>
  <c r="CC10" i="15"/>
  <c r="L97" i="15"/>
  <c r="H97" i="15"/>
  <c r="J120" i="15"/>
  <c r="F97" i="15"/>
  <c r="F120" i="15"/>
  <c r="F127" i="15"/>
  <c r="H106" i="15"/>
  <c r="D127" i="15"/>
  <c r="H112" i="15"/>
  <c r="J112" i="15"/>
  <c r="CC41" i="10"/>
  <c r="CD41" i="10" s="1"/>
  <c r="CA46" i="12"/>
  <c r="CB46" i="12" s="1"/>
  <c r="L117" i="15"/>
  <c r="D129" i="15"/>
  <c r="F142" i="15"/>
  <c r="F129" i="15"/>
  <c r="L102" i="15"/>
  <c r="L98" i="15"/>
  <c r="D117" i="15"/>
  <c r="F125" i="15"/>
  <c r="F136" i="15"/>
  <c r="H136" i="15"/>
  <c r="H129" i="15"/>
  <c r="J102" i="15"/>
  <c r="J137" i="15"/>
  <c r="C137" i="14"/>
  <c r="C134" i="14"/>
  <c r="B132" i="14"/>
  <c r="C124" i="14"/>
  <c r="C122" i="14"/>
  <c r="B119" i="14"/>
  <c r="C115" i="14"/>
  <c r="C102" i="14"/>
  <c r="C68" i="14"/>
  <c r="B50" i="14"/>
  <c r="B41" i="14"/>
  <c r="H117" i="15"/>
  <c r="L118" i="15"/>
  <c r="L125" i="15"/>
  <c r="H98" i="15"/>
  <c r="L136" i="15"/>
  <c r="F124" i="15"/>
  <c r="J106" i="15"/>
  <c r="D140" i="15"/>
  <c r="H133" i="15"/>
  <c r="C132" i="14"/>
  <c r="B82" i="14"/>
  <c r="C53" i="14"/>
  <c r="C21" i="14"/>
  <c r="J129" i="15"/>
  <c r="D124" i="15"/>
  <c r="F98" i="15"/>
  <c r="D142" i="15"/>
  <c r="H15" i="15"/>
  <c r="I122" i="32"/>
  <c r="D118" i="15"/>
  <c r="D136" i="15"/>
  <c r="F118" i="15"/>
  <c r="F140" i="15"/>
  <c r="H125" i="15"/>
  <c r="D128" i="15"/>
  <c r="F102" i="15"/>
  <c r="L142" i="15"/>
  <c r="B124" i="14"/>
  <c r="C120" i="14"/>
  <c r="B78" i="14"/>
  <c r="B64" i="14"/>
  <c r="C49" i="14"/>
  <c r="B26" i="14"/>
  <c r="CD17" i="23"/>
  <c r="CC10" i="23"/>
  <c r="L114" i="15"/>
  <c r="D102" i="15"/>
  <c r="F106" i="15"/>
  <c r="J133" i="15"/>
  <c r="J142" i="15"/>
  <c r="C142" i="14"/>
  <c r="B128" i="14"/>
  <c r="B120" i="14"/>
  <c r="C75" i="14"/>
  <c r="B71" i="14"/>
  <c r="C67" i="14"/>
  <c r="B49" i="14"/>
  <c r="C29" i="14"/>
  <c r="H124" i="15"/>
  <c r="C44" i="14"/>
  <c r="C32" i="14" s="1"/>
  <c r="F117" i="15"/>
  <c r="D106" i="15"/>
  <c r="L134" i="15"/>
  <c r="F137" i="15"/>
  <c r="J124" i="15"/>
  <c r="F15" i="15"/>
  <c r="B139" i="14"/>
  <c r="C128" i="14"/>
  <c r="B126" i="14"/>
  <c r="C106" i="14"/>
  <c r="C89" i="14"/>
  <c r="B69" i="14"/>
  <c r="C118" i="14"/>
  <c r="C107" i="14"/>
  <c r="B66" i="14"/>
  <c r="B51" i="14"/>
  <c r="C36" i="14"/>
  <c r="C26" i="14"/>
  <c r="C15" i="14"/>
  <c r="B118" i="14"/>
  <c r="C111" i="14"/>
  <c r="C98" i="14"/>
  <c r="C87" i="14"/>
  <c r="C80" i="14"/>
  <c r="C61" i="14"/>
  <c r="C57" i="14"/>
  <c r="C52" i="14"/>
  <c r="B33" i="14"/>
  <c r="CB47" i="12"/>
  <c r="C109" i="14"/>
  <c r="B106" i="14"/>
  <c r="C101" i="14"/>
  <c r="C84" i="14"/>
  <c r="B108" i="14"/>
  <c r="C103" i="14"/>
  <c r="B92" i="14"/>
  <c r="B87" i="14"/>
  <c r="C81" i="14"/>
  <c r="C76" i="14"/>
  <c r="C65" i="14"/>
  <c r="B47" i="14"/>
  <c r="C91" i="14"/>
  <c r="C82" i="14"/>
  <c r="B62" i="14"/>
  <c r="B37" i="14"/>
  <c r="B27" i="14"/>
  <c r="B22" i="14"/>
  <c r="B16" i="14"/>
  <c r="B123" i="14"/>
  <c r="C123" i="14"/>
  <c r="C116" i="14"/>
  <c r="B121" i="14"/>
  <c r="C119" i="14"/>
  <c r="C117" i="14"/>
  <c r="B117" i="14"/>
  <c r="L121" i="15"/>
  <c r="J121" i="15"/>
  <c r="L116" i="15"/>
  <c r="H121" i="15"/>
  <c r="D115" i="15"/>
  <c r="F115" i="15"/>
  <c r="J116" i="15"/>
  <c r="H115" i="15"/>
  <c r="H116" i="15"/>
  <c r="D112" i="15"/>
  <c r="D121" i="15"/>
  <c r="D116" i="15"/>
  <c r="J115" i="15"/>
  <c r="CC10" i="48"/>
  <c r="J134" i="15"/>
  <c r="C44" i="15"/>
  <c r="F134" i="15"/>
  <c r="F110" i="15"/>
  <c r="J15" i="15"/>
  <c r="CA8" i="12"/>
  <c r="CD49" i="15"/>
  <c r="CD10" i="32" l="1"/>
  <c r="CC7" i="14"/>
  <c r="CD7" i="14" s="1"/>
  <c r="CC61" i="14"/>
  <c r="CD61" i="14" s="1"/>
  <c r="CB10" i="20"/>
  <c r="CA8" i="20"/>
  <c r="CB8" i="20" s="1"/>
  <c r="CC58" i="8"/>
  <c r="CD58" i="8" s="1"/>
  <c r="CC55" i="10"/>
  <c r="CD55" i="10" s="1"/>
  <c r="CD10" i="33"/>
  <c r="CC8" i="33"/>
  <c r="CC62" i="32"/>
  <c r="CD62" i="32" s="1"/>
  <c r="CC8" i="15"/>
  <c r="CD10" i="15"/>
  <c r="CD10" i="23"/>
  <c r="CC8" i="23"/>
  <c r="CC8" i="48"/>
  <c r="CD10" i="48"/>
  <c r="CA7" i="12"/>
  <c r="CB8" i="12"/>
  <c r="CD8" i="33" l="1"/>
  <c r="CC62" i="33"/>
  <c r="CD62" i="33" s="1"/>
  <c r="CD8" i="15"/>
  <c r="CC62" i="15"/>
  <c r="CD62" i="15" s="1"/>
  <c r="CC62" i="23"/>
  <c r="CD62" i="23" s="1"/>
  <c r="CD8" i="23"/>
  <c r="CD8" i="48"/>
  <c r="CC62" i="48"/>
  <c r="CD62" i="48" s="1"/>
  <c r="CA60" i="12"/>
  <c r="CB60" i="12" s="1"/>
  <c r="CB7" i="12"/>
</calcChain>
</file>

<file path=xl/sharedStrings.xml><?xml version="1.0" encoding="utf-8"?>
<sst xmlns="http://schemas.openxmlformats.org/spreadsheetml/2006/main" count="20226" uniqueCount="4325">
  <si>
    <t>Ümumi daxili məhsul (ÜDM)</t>
  </si>
  <si>
    <t>ÜDM-in deflyatoru</t>
  </si>
  <si>
    <t>Əsas kapitala investisiya</t>
  </si>
  <si>
    <t>Əhalinin nominal gəlirləri</t>
  </si>
  <si>
    <t>Cəmi,</t>
  </si>
  <si>
    <t>Artım tempi, %</t>
  </si>
  <si>
    <t>əvvəlki aya nisbətən, %</t>
  </si>
  <si>
    <t>orta illik, %</t>
  </si>
  <si>
    <t>mln. manat</t>
  </si>
  <si>
    <t>Gross Domestic Product</t>
  </si>
  <si>
    <t>GDP deflator</t>
  </si>
  <si>
    <t>Capital investments</t>
  </si>
  <si>
    <t>Nominal income of population</t>
  </si>
  <si>
    <t xml:space="preserve">Consumer Price Index </t>
  </si>
  <si>
    <t>Total,</t>
  </si>
  <si>
    <t>Growth rate, %</t>
  </si>
  <si>
    <t>monthly, %</t>
  </si>
  <si>
    <t>Annual average, %</t>
  </si>
  <si>
    <t>01</t>
  </si>
  <si>
    <t>02</t>
  </si>
  <si>
    <t>03</t>
  </si>
  <si>
    <t>04</t>
  </si>
  <si>
    <t>05</t>
  </si>
  <si>
    <t>06</t>
  </si>
  <si>
    <t>07</t>
  </si>
  <si>
    <t>08</t>
  </si>
  <si>
    <t>09</t>
  </si>
  <si>
    <t>10</t>
  </si>
  <si>
    <t>11</t>
  </si>
  <si>
    <t>12</t>
  </si>
  <si>
    <t>1647,0</t>
  </si>
  <si>
    <t>3273.1</t>
  </si>
  <si>
    <t>5145.4</t>
  </si>
  <si>
    <t>6884.2</t>
  </si>
  <si>
    <t>8763.2</t>
  </si>
  <si>
    <t>10672,4</t>
  </si>
  <si>
    <t>12739,7</t>
  </si>
  <si>
    <t>14816,4</t>
  </si>
  <si>
    <t>16608,0</t>
  </si>
  <si>
    <t>20818,0</t>
  </si>
  <si>
    <t>2286,0</t>
  </si>
  <si>
    <t>4767,0</t>
  </si>
  <si>
    <t>23017.1</t>
  </si>
  <si>
    <t>2009</t>
  </si>
  <si>
    <t>8996.0</t>
  </si>
  <si>
    <t>11366.1</t>
  </si>
  <si>
    <t>17336,5</t>
  </si>
  <si>
    <t>20628,0</t>
  </si>
  <si>
    <t>2010</t>
  </si>
  <si>
    <t>Dövlət maliyyəsi</t>
  </si>
  <si>
    <t>Büdcə gəlirləri,</t>
  </si>
  <si>
    <t>ÜDM-də xüsusi</t>
  </si>
  <si>
    <t>Büdcə xərcləri,</t>
  </si>
  <si>
    <t>Büdcə kəsiri(-)</t>
  </si>
  <si>
    <t xml:space="preserve">ÜDM-də xüsusi </t>
  </si>
  <si>
    <t xml:space="preserve"> çəkisi, %</t>
  </si>
  <si>
    <t>profisiti(+)</t>
  </si>
  <si>
    <t>çəkisi, %-lə</t>
  </si>
  <si>
    <t>Public Finance</t>
  </si>
  <si>
    <t>as a share of</t>
  </si>
  <si>
    <t xml:space="preserve">Budget deficit(-) </t>
  </si>
  <si>
    <t>GDP, %</t>
  </si>
  <si>
    <t>surplus (+)</t>
  </si>
  <si>
    <t>milyon ABŞ dolları / million US dollars</t>
  </si>
  <si>
    <t>RII, 2004     QII, 2004</t>
  </si>
  <si>
    <t>RIII, 2004     QIII, 2004</t>
  </si>
  <si>
    <t>RII, 2005     QII, 2005</t>
  </si>
  <si>
    <t>RIII, 2005     QIII, 2005</t>
  </si>
  <si>
    <t>RIV, 2005     QIV, 2005</t>
  </si>
  <si>
    <t>RII, 2006     QII, 2006</t>
  </si>
  <si>
    <t>RIII, 2006     QIII, 2006</t>
  </si>
  <si>
    <r>
      <t xml:space="preserve">Cari Hesab                                                   </t>
    </r>
    <r>
      <rPr>
        <sz val="10"/>
        <rFont val="Times New Roman"/>
        <family val="1"/>
      </rPr>
      <t xml:space="preserve">  </t>
    </r>
  </si>
  <si>
    <t>Current Account</t>
  </si>
  <si>
    <t xml:space="preserve">     Xarici ticarət balansı</t>
  </si>
  <si>
    <t xml:space="preserve">     Foreign Trade Balance</t>
  </si>
  <si>
    <r>
      <t xml:space="preserve">       </t>
    </r>
    <r>
      <rPr>
        <b/>
        <sz val="10"/>
        <rFont val="Times New Roman"/>
        <family val="1"/>
      </rPr>
      <t xml:space="preserve">   Malların ixracı</t>
    </r>
  </si>
  <si>
    <t xml:space="preserve">          Export of goods</t>
  </si>
  <si>
    <t xml:space="preserve">                  Neft-qaz sektoru</t>
  </si>
  <si>
    <t xml:space="preserve">                  Oil and gas sector</t>
  </si>
  <si>
    <t xml:space="preserve">                  Digər sektorlar</t>
  </si>
  <si>
    <t xml:space="preserve">                  Other sectors</t>
  </si>
  <si>
    <r>
      <t xml:space="preserve">       </t>
    </r>
    <r>
      <rPr>
        <b/>
        <sz val="10"/>
        <rFont val="Times New Roman"/>
        <family val="1"/>
      </rPr>
      <t xml:space="preserve">    Malların idxalı</t>
    </r>
  </si>
  <si>
    <t xml:space="preserve">           Import of goods</t>
  </si>
  <si>
    <t xml:space="preserve">      Xidmətlər Balansı</t>
  </si>
  <si>
    <t xml:space="preserve">      Balance of services</t>
  </si>
  <si>
    <t xml:space="preserve">                  Cəmi xidmətlərdən</t>
  </si>
  <si>
    <t xml:space="preserve">                  Out of total services</t>
  </si>
  <si>
    <t xml:space="preserve">                        Nəqliyyat</t>
  </si>
  <si>
    <t xml:space="preserve">                        Transport</t>
  </si>
  <si>
    <t xml:space="preserve">                        Tikinti</t>
  </si>
  <si>
    <t xml:space="preserve">                        Construction </t>
  </si>
  <si>
    <r>
      <t xml:space="preserve">       </t>
    </r>
    <r>
      <rPr>
        <b/>
        <sz val="10"/>
        <rFont val="Times New Roman"/>
        <family val="1"/>
      </rPr>
      <t xml:space="preserve">   Fiziki şəxslərin pul baratları</t>
    </r>
  </si>
  <si>
    <t xml:space="preserve">             Remittances of individuals</t>
  </si>
  <si>
    <t>-</t>
  </si>
  <si>
    <t>Balans</t>
  </si>
  <si>
    <t>Balance</t>
  </si>
  <si>
    <t>Ticarət balansı</t>
  </si>
  <si>
    <t>Uzaq xarici dövlətlərə</t>
  </si>
  <si>
    <t>MDB dövlətlərinə</t>
  </si>
  <si>
    <t>Uzaq xarici dövlətlərdən</t>
  </si>
  <si>
    <t>Uzaq xarici dövlətlər üzrə</t>
  </si>
  <si>
    <t>MDB dövlətləri üzrə</t>
  </si>
  <si>
    <t>Exports (FOB)</t>
  </si>
  <si>
    <t>Imports (FOB)</t>
  </si>
  <si>
    <t>Trade balance</t>
  </si>
  <si>
    <t>Total</t>
  </si>
  <si>
    <t>of which</t>
  </si>
  <si>
    <t>To non-CIS countries</t>
  </si>
  <si>
    <t>To CIS countries</t>
  </si>
  <si>
    <t>From non-CIS countries</t>
  </si>
  <si>
    <t>From CIS countries</t>
  </si>
  <si>
    <t>On non-CIS countries</t>
  </si>
  <si>
    <t>On CIS countries</t>
  </si>
  <si>
    <t>total</t>
  </si>
  <si>
    <t>2008</t>
  </si>
  <si>
    <t xml:space="preserve"> </t>
  </si>
  <si>
    <t>Xalis Xarici Aktivlər</t>
  </si>
  <si>
    <t>Xalis Daxili Aktivlər</t>
  </si>
  <si>
    <t>Net Foreign Assets</t>
  </si>
  <si>
    <t>Net Domestic Assets</t>
  </si>
  <si>
    <t>Broad money</t>
  </si>
  <si>
    <t>2007</t>
  </si>
  <si>
    <t>o cümlədən</t>
  </si>
  <si>
    <t xml:space="preserve">o cümlədən </t>
  </si>
  <si>
    <t>Məcmu xarici aktivlər</t>
  </si>
  <si>
    <t>Pul multiplikatoru</t>
  </si>
  <si>
    <t>M3 pul aqreqatının pul bazasına nisbəti</t>
  </si>
  <si>
    <t>M2 pul aqreqatının manatla pul bazasına nisbəti</t>
  </si>
  <si>
    <t>M1 pul aqreqatı</t>
  </si>
  <si>
    <t>Banklardan kənarda nağd pul(M0)</t>
  </si>
  <si>
    <t>Broad Money Supply (M3)</t>
  </si>
  <si>
    <t xml:space="preserve"> of which</t>
  </si>
  <si>
    <t>Money multiplier</t>
  </si>
  <si>
    <t>M2 money aggregate</t>
  </si>
  <si>
    <t>M1 money aggregate</t>
  </si>
  <si>
    <t>Cash outside banks (M0)</t>
  </si>
  <si>
    <t>Pul bazası</t>
  </si>
  <si>
    <t xml:space="preserve">Dövriyyədə olan nağd pul kütləsinin pul bazasına nisbəti, % </t>
  </si>
  <si>
    <t>Dövriyyədə olan nağd pullar</t>
  </si>
  <si>
    <t>Məcburi ehtiyatlar</t>
  </si>
  <si>
    <t>Ratio of cash in circulation to Monetary base, %</t>
  </si>
  <si>
    <t>Cash in circulation</t>
  </si>
  <si>
    <t>Required reserves</t>
  </si>
  <si>
    <t>Cəmi kreditlər</t>
  </si>
  <si>
    <t>o cümlədən:</t>
  </si>
  <si>
    <t xml:space="preserve">Cəmi </t>
  </si>
  <si>
    <t>Qısamüddətli</t>
  </si>
  <si>
    <t>Uzunmüddətli</t>
  </si>
  <si>
    <t>vaxtı keçmiş</t>
  </si>
  <si>
    <t>of which:</t>
  </si>
  <si>
    <t>overdue</t>
  </si>
  <si>
    <t>Cəmi kredit qoyuluşları</t>
  </si>
  <si>
    <t>Dövlət bankları</t>
  </si>
  <si>
    <t>Özəl banklar</t>
  </si>
  <si>
    <t>Qeyri-bank kredit təşkilatları</t>
  </si>
  <si>
    <t>Cəmi</t>
  </si>
  <si>
    <t>o cümlədən, xarici kapitallı banklar</t>
  </si>
  <si>
    <t>bundan 100%-li xarici kapitallı banklar</t>
  </si>
  <si>
    <t>mln.manat</t>
  </si>
  <si>
    <t>xüsusi çəkisi, %</t>
  </si>
  <si>
    <t xml:space="preserve"> State owned banks</t>
  </si>
  <si>
    <t>Private banks</t>
  </si>
  <si>
    <t>of which, with foreign capital</t>
  </si>
  <si>
    <t>of which, with 100% foreign capital</t>
  </si>
  <si>
    <t>share,%</t>
  </si>
  <si>
    <t>Maliyyə sektoruna kredit qoyuluşu</t>
  </si>
  <si>
    <t>Ticarət və xidmət sektoru</t>
  </si>
  <si>
    <t>Sənaye və istehsal sektoru</t>
  </si>
  <si>
    <t>Ev təsərrüfatlarına</t>
  </si>
  <si>
    <t>Digər sektorlar</t>
  </si>
  <si>
    <t xml:space="preserve">Akkreditivlər üzrə </t>
  </si>
  <si>
    <t>Faktorinq əməliyyatları</t>
  </si>
  <si>
    <t>vaxtı keçmiş kredit</t>
  </si>
  <si>
    <t>xüsusi çəkisi, %-lə</t>
  </si>
  <si>
    <t>cəmi</t>
  </si>
  <si>
    <t>Trade and services</t>
  </si>
  <si>
    <t>Industry and manufacturing</t>
  </si>
  <si>
    <t>Households</t>
  </si>
  <si>
    <t>Other sectors</t>
  </si>
  <si>
    <t>share, %</t>
  </si>
  <si>
    <t xml:space="preserve"> - </t>
  </si>
  <si>
    <t>2006</t>
  </si>
  <si>
    <t>Tarix</t>
  </si>
  <si>
    <t>ondan</t>
  </si>
  <si>
    <t xml:space="preserve"> Rezidentlər</t>
  </si>
  <si>
    <t>Qeyri-rezidentlər</t>
  </si>
  <si>
    <t>Qısamüddətli əmanətlər</t>
  </si>
  <si>
    <t>Manatla</t>
  </si>
  <si>
    <t>Uzunmüddətli əmanətlər</t>
  </si>
  <si>
    <t>manatla</t>
  </si>
  <si>
    <t>Rezidentlər</t>
  </si>
  <si>
    <t xml:space="preserve"> Qeyri-rezidentlər</t>
  </si>
  <si>
    <t>orta % 
 dərəcəsi</t>
  </si>
  <si>
    <t>Qısamüddətli kreditlər</t>
  </si>
  <si>
    <t>Uzunmüddətli kreditlər</t>
  </si>
  <si>
    <t>milli valyutada</t>
  </si>
  <si>
    <t>məbləğ</t>
  </si>
  <si>
    <t>Azərbaycan Respublikası</t>
  </si>
  <si>
    <t>Dağlıq Şirvan iqtisadi rayonu</t>
  </si>
  <si>
    <t>Quba-Xaçmaz iqtisadi rayonu</t>
  </si>
  <si>
    <t>Şəki-Zaqatala iqtisadi rayonu</t>
  </si>
  <si>
    <t>Naxçıvan iqtisadi rayonu</t>
  </si>
  <si>
    <t>Tələb olunanadək əmanətlər</t>
  </si>
  <si>
    <t>Müddətli əmanətlər</t>
  </si>
  <si>
    <t>Cəmi depozitlər</t>
  </si>
  <si>
    <t>Ev təsərrüfatları</t>
  </si>
  <si>
    <t>Qeyri-maliyyə təşkilatları</t>
  </si>
  <si>
    <t>xarici valyuta ilə</t>
  </si>
  <si>
    <t>tələb olunanadək</t>
  </si>
  <si>
    <t>müddətli</t>
  </si>
  <si>
    <t>Total deposits</t>
  </si>
  <si>
    <t xml:space="preserve">Total </t>
  </si>
  <si>
    <t>in manat</t>
  </si>
  <si>
    <t>in foreign currency</t>
  </si>
  <si>
    <t>demand deposits</t>
  </si>
  <si>
    <t>time deposits</t>
  </si>
  <si>
    <t>Fiziki şəxslərdən cəlb edilmiş vəsaitlər üzrə</t>
  </si>
  <si>
    <t>01.10.1992-30.04.1993</t>
  </si>
  <si>
    <t xml:space="preserve">  - Demand deposits</t>
  </si>
  <si>
    <t xml:space="preserve">  - from 1 month to 1 year</t>
  </si>
  <si>
    <t xml:space="preserve">  - over 1 year</t>
  </si>
  <si>
    <t>01.05.1993-30.05.1993</t>
  </si>
  <si>
    <t xml:space="preserve">  - from 1 year to 3 years</t>
  </si>
  <si>
    <t xml:space="preserve">  - over 3 year</t>
  </si>
  <si>
    <t>31.05.93 - 19.12.93</t>
  </si>
  <si>
    <t>20.12.93 - 30.04.94</t>
  </si>
  <si>
    <t>01.05.94 - 30.06.94</t>
  </si>
  <si>
    <t>01.07.94 - 31.12.94</t>
  </si>
  <si>
    <t>01.01.95 - 31.03.95</t>
  </si>
  <si>
    <t>01.04.95 - 28.02.97</t>
  </si>
  <si>
    <t>01.03.97 - 01.11.99</t>
  </si>
  <si>
    <t>02.11.99 - 31.12.2002</t>
  </si>
  <si>
    <t>01.01.2003 - 31.01.2006</t>
  </si>
  <si>
    <t xml:space="preserve"> - 1 ilədək  </t>
  </si>
  <si>
    <t xml:space="preserve">  - till a year</t>
  </si>
  <si>
    <t>01.02.2006 - 15.07.2008</t>
  </si>
  <si>
    <t>16.07.2008 - 13.10.2008</t>
  </si>
  <si>
    <t>16.07.2008 - 14.10.2008</t>
  </si>
  <si>
    <t>14.10.2008 - 30.11.2008</t>
  </si>
  <si>
    <t>14.10.2008 - 01.12.2008</t>
  </si>
  <si>
    <t>01.12.2008 - 31.01.2009</t>
  </si>
  <si>
    <t>01.02.2009 - 01.03.2009</t>
  </si>
  <si>
    <t>ABŞ dolları</t>
  </si>
  <si>
    <t>AVRO</t>
  </si>
  <si>
    <t>Avstraliya dolları</t>
  </si>
  <si>
    <t>BƏƏ dirhəmi</t>
  </si>
  <si>
    <t>Çin yuanı</t>
  </si>
  <si>
    <t>Danimarka kronu</t>
  </si>
  <si>
    <t>Honkong dolları</t>
  </si>
  <si>
    <t>İngilis funt sterlinqi</t>
  </si>
  <si>
    <t>İsveç kronu</t>
  </si>
  <si>
    <t>İsveçrə frankı</t>
  </si>
  <si>
    <t>Israil şekeli</t>
  </si>
  <si>
    <t>Kanada dolları</t>
  </si>
  <si>
    <t>Kuveyt dinarı</t>
  </si>
  <si>
    <t>Norveç kronu</t>
  </si>
  <si>
    <t>Polşa zlotası</t>
  </si>
  <si>
    <t>Sinqapur dolları</t>
  </si>
  <si>
    <t>Türk lirəsi*</t>
  </si>
  <si>
    <t>Yapon yeni**</t>
  </si>
  <si>
    <t>Gürcü larisi</t>
  </si>
  <si>
    <t>Qırğız somu</t>
  </si>
  <si>
    <t>Moldova leyi</t>
  </si>
  <si>
    <t>Özbək somu**</t>
  </si>
  <si>
    <t>Rusiya rublu</t>
  </si>
  <si>
    <t>Ukrayna qrivnası</t>
  </si>
  <si>
    <t>US dollar</t>
  </si>
  <si>
    <t>EURO</t>
  </si>
  <si>
    <t>Australian dollar</t>
  </si>
  <si>
    <t>UAE dirham</t>
  </si>
  <si>
    <t>Chinese yuan</t>
  </si>
  <si>
    <t>Danish crown</t>
  </si>
  <si>
    <t>Hong Kong dollar</t>
  </si>
  <si>
    <t>British pound</t>
  </si>
  <si>
    <t>Swedish crown</t>
  </si>
  <si>
    <t>Swiss franc</t>
  </si>
  <si>
    <t>Israel shekel</t>
  </si>
  <si>
    <t>Canadian dollar</t>
  </si>
  <si>
    <t>Kuwaiti dinar</t>
  </si>
  <si>
    <t>Norwegian crown</t>
  </si>
  <si>
    <t>Polland zlot</t>
  </si>
  <si>
    <t>Singaporean dollar</t>
  </si>
  <si>
    <t>Turkish lira*</t>
  </si>
  <si>
    <t>Japanese yen**</t>
  </si>
  <si>
    <t>Georgian lari</t>
  </si>
  <si>
    <t>Kyrgyz Som</t>
  </si>
  <si>
    <t>Moldovan leu</t>
  </si>
  <si>
    <t>Uzbek som**</t>
  </si>
  <si>
    <t>Ukrainian hryvnia</t>
  </si>
  <si>
    <t>Date</t>
  </si>
  <si>
    <t>2005</t>
  </si>
  <si>
    <t>9</t>
  </si>
  <si>
    <t>7</t>
  </si>
  <si>
    <t>8</t>
  </si>
  <si>
    <t>5</t>
  </si>
  <si>
    <t>3</t>
  </si>
  <si>
    <t>2</t>
  </si>
  <si>
    <t>Verilmiş kreditlər üzrə</t>
  </si>
  <si>
    <t>Banklararası kreditlər üzrə</t>
  </si>
  <si>
    <t>Orta faiz</t>
  </si>
  <si>
    <t>Hüquqi</t>
  </si>
  <si>
    <t xml:space="preserve">Fiziki </t>
  </si>
  <si>
    <t>1 aya</t>
  </si>
  <si>
    <t>1 - aydan</t>
  </si>
  <si>
    <t>3 - aydan</t>
  </si>
  <si>
    <t>6 - aydan</t>
  </si>
  <si>
    <t>9 - aydan</t>
  </si>
  <si>
    <t>1 - ildən</t>
  </si>
  <si>
    <t xml:space="preserve">5 - ildən </t>
  </si>
  <si>
    <t xml:space="preserve">3 - ildən </t>
  </si>
  <si>
    <t>10 ildən</t>
  </si>
  <si>
    <t>30-90</t>
  </si>
  <si>
    <t>90-180</t>
  </si>
  <si>
    <t>180-360</t>
  </si>
  <si>
    <t>1 ildən</t>
  </si>
  <si>
    <t>dərəcəsi</t>
  </si>
  <si>
    <t>şəxslər</t>
  </si>
  <si>
    <t>qədər</t>
  </si>
  <si>
    <t>3 aya qədər</t>
  </si>
  <si>
    <t>6 aya qədər</t>
  </si>
  <si>
    <t>9 aya qədər</t>
  </si>
  <si>
    <t>1 ilə qədər</t>
  </si>
  <si>
    <t>5 ilə qədər</t>
  </si>
  <si>
    <t>artıq</t>
  </si>
  <si>
    <t>3 ilə qədər</t>
  </si>
  <si>
    <t>10 ilə qədər</t>
  </si>
  <si>
    <t>günədək</t>
  </si>
  <si>
    <t>günlük</t>
  </si>
  <si>
    <t>yuxarı</t>
  </si>
  <si>
    <t>Legal</t>
  </si>
  <si>
    <t>Individuals</t>
  </si>
  <si>
    <t>up to</t>
  </si>
  <si>
    <t>from 1 month</t>
  </si>
  <si>
    <t>from 3 months</t>
  </si>
  <si>
    <t>from 6 month</t>
  </si>
  <si>
    <t>from 9 month</t>
  </si>
  <si>
    <t>from 1 year</t>
  </si>
  <si>
    <t>from 3 years</t>
  </si>
  <si>
    <t>from 5 years</t>
  </si>
  <si>
    <t>over</t>
  </si>
  <si>
    <t>till</t>
  </si>
  <si>
    <t>entities</t>
  </si>
  <si>
    <t>1 month</t>
  </si>
  <si>
    <t>to 3 months</t>
  </si>
  <si>
    <t>to 6 months</t>
  </si>
  <si>
    <t>to 9 months</t>
  </si>
  <si>
    <t>to 1 year</t>
  </si>
  <si>
    <t>to 5 years</t>
  </si>
  <si>
    <t>5 years</t>
  </si>
  <si>
    <t>to 3 years</t>
  </si>
  <si>
    <t>to 10 years</t>
  </si>
  <si>
    <t>10 years</t>
  </si>
  <si>
    <t>30 days</t>
  </si>
  <si>
    <t>days</t>
  </si>
  <si>
    <t>1 year</t>
  </si>
  <si>
    <t xml:space="preserve"> -</t>
  </si>
  <si>
    <t>in national currency</t>
  </si>
  <si>
    <t>Xarici valyuta ilə</t>
  </si>
  <si>
    <t>01.02.2005</t>
  </si>
  <si>
    <t>01.03.2005</t>
  </si>
  <si>
    <t>01.04.2005</t>
  </si>
  <si>
    <t>01.05.2005</t>
  </si>
  <si>
    <t>01.06.2005</t>
  </si>
  <si>
    <t>01.07.2005</t>
  </si>
  <si>
    <t>01.08.2005</t>
  </si>
  <si>
    <t>01.09.2005</t>
  </si>
  <si>
    <t>01.10.2005</t>
  </si>
  <si>
    <t>01.11.2005</t>
  </si>
  <si>
    <t>01.12.2005</t>
  </si>
  <si>
    <t>01.02.2006</t>
  </si>
  <si>
    <t>01.03.2006</t>
  </si>
  <si>
    <t>01.04.2006</t>
  </si>
  <si>
    <t>01.05.2006</t>
  </si>
  <si>
    <t>01.06.2006</t>
  </si>
  <si>
    <t>Hərracın tarixi</t>
  </si>
  <si>
    <t>Tədavül müddəti (gün)</t>
  </si>
  <si>
    <t xml:space="preserve"> Ödəmə tarixi</t>
  </si>
  <si>
    <t>Nominal üzrə (mln. manat)</t>
  </si>
  <si>
    <t>Gəlirlilik (%)</t>
  </si>
  <si>
    <t>Auksionda iştirakçıların sayı</t>
  </si>
  <si>
    <t xml:space="preserve">Emissiyanın həcmi </t>
  </si>
  <si>
    <t xml:space="preserve">Təqdim olunmş sifarişlərin həcmi </t>
  </si>
  <si>
    <t>min.</t>
  </si>
  <si>
    <t>maks.</t>
  </si>
  <si>
    <t>orta ölçülmüş</t>
  </si>
  <si>
    <t>Date of auction</t>
  </si>
  <si>
    <t>Term (days)</t>
  </si>
  <si>
    <t>Maturity date</t>
  </si>
  <si>
    <t xml:space="preserve">   </t>
  </si>
  <si>
    <t>Yield ( % )</t>
  </si>
  <si>
    <t>Number of bidders at the auction</t>
  </si>
  <si>
    <t>The volume of bids</t>
  </si>
  <si>
    <t>max.</t>
  </si>
  <si>
    <t>weighted average</t>
  </si>
  <si>
    <t>10200113S</t>
  </si>
  <si>
    <t>10200213S</t>
  </si>
  <si>
    <t>10200313S</t>
  </si>
  <si>
    <t>10600413S</t>
  </si>
  <si>
    <t>10900513S</t>
  </si>
  <si>
    <t>10200613S</t>
  </si>
  <si>
    <t>10200713S</t>
  </si>
  <si>
    <t>10200813S</t>
  </si>
  <si>
    <t>10200913S</t>
  </si>
  <si>
    <t>10301013S</t>
  </si>
  <si>
    <t>10501113S</t>
  </si>
  <si>
    <t>10200115S</t>
  </si>
  <si>
    <t>10200215S</t>
  </si>
  <si>
    <t>10200315S</t>
  </si>
  <si>
    <t>10300415S</t>
  </si>
  <si>
    <t>10500515S</t>
  </si>
  <si>
    <t>10200615S</t>
  </si>
  <si>
    <t>10300715S</t>
  </si>
  <si>
    <t>10200815S</t>
  </si>
  <si>
    <t>10201015S</t>
  </si>
  <si>
    <t>10301115S</t>
  </si>
  <si>
    <t>10201215S</t>
  </si>
  <si>
    <t>10501315S</t>
  </si>
  <si>
    <t>10201415S</t>
  </si>
  <si>
    <t>10301515S</t>
  </si>
  <si>
    <t>10201615S</t>
  </si>
  <si>
    <t>10501715S</t>
  </si>
  <si>
    <t>10201815S</t>
  </si>
  <si>
    <t>10201915S</t>
  </si>
  <si>
    <t>10302015S</t>
  </si>
  <si>
    <t>10502115S</t>
  </si>
  <si>
    <t>10202215S</t>
  </si>
  <si>
    <t>10202315S</t>
  </si>
  <si>
    <t>10502415S</t>
  </si>
  <si>
    <t>10302515S</t>
  </si>
  <si>
    <t>10502615S</t>
  </si>
  <si>
    <t>10202715S</t>
  </si>
  <si>
    <t>10202815S</t>
  </si>
  <si>
    <t>10302915S</t>
  </si>
  <si>
    <t>10503015S</t>
  </si>
  <si>
    <t>10303115S</t>
  </si>
  <si>
    <t>10503215S</t>
  </si>
  <si>
    <t>10303315S</t>
  </si>
  <si>
    <t>10503415S</t>
  </si>
  <si>
    <t>10303515S</t>
  </si>
  <si>
    <t>10503615S</t>
  </si>
  <si>
    <t>10503715S</t>
  </si>
  <si>
    <t>10300117S</t>
  </si>
  <si>
    <t>10500217S</t>
  </si>
  <si>
    <t>10300317S</t>
  </si>
  <si>
    <t>10300517S</t>
  </si>
  <si>
    <t>10300617S</t>
  </si>
  <si>
    <t>10500417S</t>
  </si>
  <si>
    <t>10200717S</t>
  </si>
  <si>
    <t>10200817S</t>
  </si>
  <si>
    <t>10300917S</t>
  </si>
  <si>
    <t>10201017S</t>
  </si>
  <si>
    <t>10201117S</t>
  </si>
  <si>
    <t>10201217S</t>
  </si>
  <si>
    <t>10201317S</t>
  </si>
  <si>
    <t>10500120S</t>
  </si>
  <si>
    <t>10500220S</t>
  </si>
  <si>
    <t>10300320S</t>
  </si>
  <si>
    <t>10300420S</t>
  </si>
  <si>
    <t>10500520S</t>
  </si>
  <si>
    <t>10300820S</t>
  </si>
  <si>
    <t>10500920S</t>
  </si>
  <si>
    <t>10501020S</t>
  </si>
  <si>
    <t>10501220S</t>
  </si>
  <si>
    <t>10501320S</t>
  </si>
  <si>
    <t>10301120S</t>
  </si>
  <si>
    <t>10501420S</t>
  </si>
  <si>
    <t>10501520S</t>
  </si>
  <si>
    <t>10301620S</t>
  </si>
  <si>
    <t>10301720S</t>
  </si>
  <si>
    <t>10501820S</t>
  </si>
  <si>
    <t>10301920S</t>
  </si>
  <si>
    <t>10302120S</t>
  </si>
  <si>
    <t>10502220S</t>
  </si>
  <si>
    <t>10302320S</t>
  </si>
  <si>
    <t>10502420S</t>
  </si>
  <si>
    <t>10202520S</t>
  </si>
  <si>
    <t>10302620S</t>
  </si>
  <si>
    <t>10302720S</t>
  </si>
  <si>
    <t>10502820S</t>
  </si>
  <si>
    <t>10202920S</t>
  </si>
  <si>
    <t>10303020S</t>
  </si>
  <si>
    <t>10503120S</t>
  </si>
  <si>
    <t>10303220S</t>
  </si>
  <si>
    <t>10203320S</t>
  </si>
  <si>
    <t>10303420S</t>
  </si>
  <si>
    <t>10503520S</t>
  </si>
  <si>
    <t>10303620S</t>
  </si>
  <si>
    <t>10504020S</t>
  </si>
  <si>
    <t>10204120S</t>
  </si>
  <si>
    <t>10304220S</t>
  </si>
  <si>
    <t>10504320S</t>
  </si>
  <si>
    <t>10204420S</t>
  </si>
  <si>
    <t>10304520S</t>
  </si>
  <si>
    <t>10504620S</t>
  </si>
  <si>
    <t>10304720S</t>
  </si>
  <si>
    <t>10504820S</t>
  </si>
  <si>
    <t>10204920S</t>
  </si>
  <si>
    <t>10305020S</t>
  </si>
  <si>
    <t>10505120S</t>
  </si>
  <si>
    <t>10305220S</t>
  </si>
  <si>
    <t>10505320S</t>
  </si>
  <si>
    <t>10205420S</t>
  </si>
  <si>
    <t>10305520S</t>
  </si>
  <si>
    <t>10505620S</t>
  </si>
  <si>
    <t>10205720S</t>
  </si>
  <si>
    <t>10305820S</t>
  </si>
  <si>
    <t>10206020S</t>
  </si>
  <si>
    <t>10206120S</t>
  </si>
  <si>
    <t>10206220S</t>
  </si>
  <si>
    <t>10206320S</t>
  </si>
  <si>
    <t>10306420S</t>
  </si>
  <si>
    <t>10306520S</t>
  </si>
  <si>
    <t>10306620S</t>
  </si>
  <si>
    <t>10306720S</t>
  </si>
  <si>
    <t>10106820S</t>
  </si>
  <si>
    <t>10106920S</t>
  </si>
  <si>
    <t>10100222S</t>
  </si>
  <si>
    <t>10200322S</t>
  </si>
  <si>
    <t>10500422S</t>
  </si>
  <si>
    <t>10300522S</t>
  </si>
  <si>
    <t>10100622S</t>
  </si>
  <si>
    <t>10200722S</t>
  </si>
  <si>
    <t>10500822S</t>
  </si>
  <si>
    <t>10300922S</t>
  </si>
  <si>
    <t>10700123S</t>
  </si>
  <si>
    <t>10201122S</t>
  </si>
  <si>
    <t>50100721S</t>
  </si>
  <si>
    <t>10501222S</t>
  </si>
  <si>
    <t>10101022S</t>
  </si>
  <si>
    <t>10301322S</t>
  </si>
  <si>
    <t>10700223S</t>
  </si>
  <si>
    <t>10101422S</t>
  </si>
  <si>
    <t>10201522S</t>
  </si>
  <si>
    <t>10501622S</t>
  </si>
  <si>
    <t>10301722S</t>
  </si>
  <si>
    <t>10700323S</t>
  </si>
  <si>
    <t>10501922S</t>
  </si>
  <si>
    <t>10101822S</t>
  </si>
  <si>
    <t>10202022S</t>
  </si>
  <si>
    <t>10302122S</t>
  </si>
  <si>
    <t>10700423S</t>
  </si>
  <si>
    <t>10502322S</t>
  </si>
  <si>
    <t>10102222S</t>
  </si>
  <si>
    <t>10202422S</t>
  </si>
  <si>
    <t>10302522S</t>
  </si>
  <si>
    <t>10800623S</t>
  </si>
  <si>
    <t>10102622S</t>
  </si>
  <si>
    <t>10502722S</t>
  </si>
  <si>
    <t>10202822S</t>
  </si>
  <si>
    <t>10302922S</t>
  </si>
  <si>
    <t>10700723S</t>
  </si>
  <si>
    <t>10800823S</t>
  </si>
  <si>
    <t>10103022S</t>
  </si>
  <si>
    <t>10503122S</t>
  </si>
  <si>
    <t>10203222S</t>
  </si>
  <si>
    <t>10303322S</t>
  </si>
  <si>
    <t>10700923S</t>
  </si>
  <si>
    <t>10801023S</t>
  </si>
  <si>
    <t>10503522S</t>
  </si>
  <si>
    <t>10103422S</t>
  </si>
  <si>
    <t>10203622S</t>
  </si>
  <si>
    <t>10303722S</t>
  </si>
  <si>
    <t>10701123S</t>
  </si>
  <si>
    <t>10801223S</t>
  </si>
  <si>
    <t>10103822S</t>
  </si>
  <si>
    <t>10503922S</t>
  </si>
  <si>
    <t xml:space="preserve">10204022S </t>
  </si>
  <si>
    <t>10304122S</t>
  </si>
  <si>
    <t>10701323S</t>
  </si>
  <si>
    <t>10801423S</t>
  </si>
  <si>
    <t>10104222S</t>
  </si>
  <si>
    <t>10504322S</t>
  </si>
  <si>
    <t>10204342S</t>
  </si>
  <si>
    <t>10304522S</t>
  </si>
  <si>
    <t>10801623S</t>
  </si>
  <si>
    <t>10701523S</t>
  </si>
  <si>
    <t>10504722S</t>
  </si>
  <si>
    <t>10104622S</t>
  </si>
  <si>
    <t>10204822S</t>
  </si>
  <si>
    <t>10304922S</t>
  </si>
  <si>
    <t>10701723S</t>
  </si>
  <si>
    <t>10801823S</t>
  </si>
  <si>
    <t>10105022S</t>
  </si>
  <si>
    <t>10505122S</t>
  </si>
  <si>
    <t>10205222S</t>
  </si>
  <si>
    <t>10305322S</t>
  </si>
  <si>
    <t>10802023S</t>
  </si>
  <si>
    <t>10701923S</t>
  </si>
  <si>
    <t>10105422S</t>
  </si>
  <si>
    <t>10505522S</t>
  </si>
  <si>
    <t>10205622S</t>
  </si>
  <si>
    <t>10305722S</t>
  </si>
  <si>
    <t>10702123S</t>
  </si>
  <si>
    <t>10802223S</t>
  </si>
  <si>
    <t>10105822S</t>
  </si>
  <si>
    <t>10505922S</t>
  </si>
  <si>
    <t>10206022S</t>
  </si>
  <si>
    <t>10306122S</t>
  </si>
  <si>
    <t>10702323S</t>
  </si>
  <si>
    <t>10802423S</t>
  </si>
  <si>
    <t xml:space="preserve">10506322S </t>
  </si>
  <si>
    <t>10106222S</t>
  </si>
  <si>
    <t>10206422S</t>
  </si>
  <si>
    <t>10702523S</t>
  </si>
  <si>
    <t>10802623S</t>
  </si>
  <si>
    <t>10506722S</t>
  </si>
  <si>
    <t>10106622S</t>
  </si>
  <si>
    <t>10206822S</t>
  </si>
  <si>
    <t>10306922S</t>
  </si>
  <si>
    <t>10702723S</t>
  </si>
  <si>
    <t>10802823S</t>
  </si>
  <si>
    <t>10107022S</t>
  </si>
  <si>
    <t>10507122S</t>
  </si>
  <si>
    <t>10207222S</t>
  </si>
  <si>
    <t>10307322S</t>
  </si>
  <si>
    <t xml:space="preserve">10803023S </t>
  </si>
  <si>
    <t>10702923S</t>
  </si>
  <si>
    <t>10507522S</t>
  </si>
  <si>
    <t>10107422S</t>
  </si>
  <si>
    <t>10207622S</t>
  </si>
  <si>
    <t>10307722S</t>
  </si>
  <si>
    <t>10500124S</t>
  </si>
  <si>
    <t>10703123S</t>
  </si>
  <si>
    <t xml:space="preserve">10803223S </t>
  </si>
  <si>
    <t>10507922S</t>
  </si>
  <si>
    <t>10107822S</t>
  </si>
  <si>
    <t>10208022S</t>
  </si>
  <si>
    <t>10308122S</t>
  </si>
  <si>
    <t>10500224S</t>
  </si>
  <si>
    <t>10803423S</t>
  </si>
  <si>
    <t>10703323S</t>
  </si>
  <si>
    <t>10108222S</t>
  </si>
  <si>
    <t>10508322S</t>
  </si>
  <si>
    <t>10208422S</t>
  </si>
  <si>
    <t>13208522S</t>
  </si>
  <si>
    <t>10500324S</t>
  </si>
  <si>
    <t>10703523S</t>
  </si>
  <si>
    <t>10803623S</t>
  </si>
  <si>
    <t>10108622S</t>
  </si>
  <si>
    <t>10508722S</t>
  </si>
  <si>
    <t>10308922S</t>
  </si>
  <si>
    <t>10500424S</t>
  </si>
  <si>
    <t>10803823S</t>
  </si>
  <si>
    <t>10703723S</t>
  </si>
  <si>
    <t>10109022S</t>
  </si>
  <si>
    <t>10509122S</t>
  </si>
  <si>
    <t>10209222S</t>
  </si>
  <si>
    <t>10309322S</t>
  </si>
  <si>
    <t>10500524S</t>
  </si>
  <si>
    <t>10804023S</t>
  </si>
  <si>
    <t>10703923S</t>
  </si>
  <si>
    <t>10100126S</t>
  </si>
  <si>
    <t>10100226S</t>
  </si>
  <si>
    <t>10500326S</t>
  </si>
  <si>
    <t>10200426S</t>
  </si>
  <si>
    <t>10300526S</t>
  </si>
  <si>
    <t>10500228S</t>
  </si>
  <si>
    <t>10100626S</t>
  </si>
  <si>
    <t>10500726S</t>
  </si>
  <si>
    <t>10200826S</t>
  </si>
  <si>
    <t>10300926S</t>
  </si>
  <si>
    <t>10500328S</t>
  </si>
  <si>
    <t>10701027S</t>
  </si>
  <si>
    <t>10501026S</t>
  </si>
  <si>
    <t>10201126S</t>
  </si>
  <si>
    <t>10301226S</t>
  </si>
  <si>
    <t>10500428S</t>
  </si>
  <si>
    <t>10700227S</t>
  </si>
  <si>
    <t>10101326S</t>
  </si>
  <si>
    <t>10501426S</t>
  </si>
  <si>
    <t>10201526S</t>
  </si>
  <si>
    <t>10301626S</t>
  </si>
  <si>
    <t>10700327S</t>
  </si>
  <si>
    <t>10500528S</t>
  </si>
  <si>
    <t>10101726S</t>
  </si>
  <si>
    <t>10501826S</t>
  </si>
  <si>
    <t>10201926S</t>
  </si>
  <si>
    <t>10500628S</t>
  </si>
  <si>
    <t>10302026S</t>
  </si>
  <si>
    <t>10502226S</t>
  </si>
  <si>
    <t>10102126S</t>
  </si>
  <si>
    <t>10202326S</t>
  </si>
  <si>
    <t>10302426S</t>
  </si>
  <si>
    <t>10500728S</t>
  </si>
  <si>
    <t>25000129S</t>
  </si>
  <si>
    <t>10700527S</t>
  </si>
  <si>
    <t>10800627S</t>
  </si>
  <si>
    <t>10102526S</t>
  </si>
  <si>
    <t>10502626S</t>
  </si>
  <si>
    <t>10202726S</t>
  </si>
  <si>
    <t>10302826S</t>
  </si>
  <si>
    <t>10500828S</t>
  </si>
  <si>
    <t>10700727S</t>
  </si>
  <si>
    <t>10800827S</t>
  </si>
  <si>
    <t>10102926S</t>
  </si>
  <si>
    <t>10503026S</t>
  </si>
  <si>
    <t>10203126S</t>
  </si>
  <si>
    <t>10303226S</t>
  </si>
  <si>
    <t>10500928S</t>
  </si>
  <si>
    <t>10700927S</t>
  </si>
  <si>
    <t>10801027S</t>
  </si>
  <si>
    <t>10103326S</t>
  </si>
  <si>
    <t>10503426S</t>
  </si>
  <si>
    <t>10203526S</t>
  </si>
  <si>
    <t>10303626S</t>
  </si>
  <si>
    <t>10501028S</t>
  </si>
  <si>
    <t>10701127S</t>
  </si>
  <si>
    <t>10801227S</t>
  </si>
  <si>
    <t>10503826S</t>
  </si>
  <si>
    <t>10103726S</t>
  </si>
  <si>
    <t>10203926S</t>
  </si>
  <si>
    <t>10304026S</t>
  </si>
  <si>
    <t>10501128S</t>
  </si>
  <si>
    <t>10801427S</t>
  </si>
  <si>
    <t>10701327S</t>
  </si>
  <si>
    <t>10104126S</t>
  </si>
  <si>
    <t>10204326S</t>
  </si>
  <si>
    <t>10504226S</t>
  </si>
  <si>
    <t>10501228S</t>
  </si>
  <si>
    <t>10304426S</t>
  </si>
  <si>
    <t>10801627S</t>
  </si>
  <si>
    <t>10701527S</t>
  </si>
  <si>
    <t>10504526S</t>
  </si>
  <si>
    <t>10504626S</t>
  </si>
  <si>
    <t>10504726S</t>
  </si>
  <si>
    <t>10304826S</t>
  </si>
  <si>
    <t>10501328S</t>
  </si>
  <si>
    <t>10701727S</t>
  </si>
  <si>
    <t>10801827S</t>
  </si>
  <si>
    <t>10505026S</t>
  </si>
  <si>
    <t>10104926S</t>
  </si>
  <si>
    <t>10205126S</t>
  </si>
  <si>
    <t>10305226S</t>
  </si>
  <si>
    <t>10501428S</t>
  </si>
  <si>
    <t>10701927S</t>
  </si>
  <si>
    <t>10802627S</t>
  </si>
  <si>
    <t>10105326S</t>
  </si>
  <si>
    <t>10505426S</t>
  </si>
  <si>
    <t>10501528S</t>
  </si>
  <si>
    <t>10305626S</t>
  </si>
  <si>
    <t>10702127S</t>
  </si>
  <si>
    <t>10802227S</t>
  </si>
  <si>
    <t>10105726S</t>
  </si>
  <si>
    <t>10505826S</t>
  </si>
  <si>
    <t>10205926S</t>
  </si>
  <si>
    <t>10306026S</t>
  </si>
  <si>
    <t>10501628S</t>
  </si>
  <si>
    <t>10702327S</t>
  </si>
  <si>
    <t>10802427S</t>
  </si>
  <si>
    <t>10206226S</t>
  </si>
  <si>
    <t>10106126S</t>
  </si>
  <si>
    <t>10506326S</t>
  </si>
  <si>
    <t>10306426S</t>
  </si>
  <si>
    <t>10501728S</t>
  </si>
  <si>
    <t>10702527S</t>
  </si>
  <si>
    <t>10106526S</t>
  </si>
  <si>
    <t>10506626S</t>
  </si>
  <si>
    <t>10206726S</t>
  </si>
  <si>
    <t>10306826S</t>
  </si>
  <si>
    <t>10501828S</t>
  </si>
  <si>
    <t>10702727S</t>
  </si>
  <si>
    <t>10802827S</t>
  </si>
  <si>
    <t>10507026S</t>
  </si>
  <si>
    <t>10106926S</t>
  </si>
  <si>
    <t>10207126S</t>
  </si>
  <si>
    <t>10307226S</t>
  </si>
  <si>
    <t>10501928S</t>
  </si>
  <si>
    <t>10803027S</t>
  </si>
  <si>
    <t>10702927S</t>
  </si>
  <si>
    <t>10107326S</t>
  </si>
  <si>
    <t>10207426S</t>
  </si>
  <si>
    <t>10507526S</t>
  </si>
  <si>
    <t>10307626S</t>
  </si>
  <si>
    <t>10502028S</t>
  </si>
  <si>
    <t>10703127S</t>
  </si>
  <si>
    <t>10803227S</t>
  </si>
  <si>
    <t>10107726S</t>
  </si>
  <si>
    <t>10207826S</t>
  </si>
  <si>
    <t>10507926S</t>
  </si>
  <si>
    <t>10502128S</t>
  </si>
  <si>
    <t>10308026S</t>
  </si>
  <si>
    <t>10803427S</t>
  </si>
  <si>
    <t>10703327S</t>
  </si>
  <si>
    <t>10108126S</t>
  </si>
  <si>
    <t>10208226S</t>
  </si>
  <si>
    <t>10508326S</t>
  </si>
  <si>
    <t>10308426S</t>
  </si>
  <si>
    <t>10208526S</t>
  </si>
  <si>
    <t>10502228S</t>
  </si>
  <si>
    <t>10703527S</t>
  </si>
  <si>
    <t>10803627S</t>
  </si>
  <si>
    <t xml:space="preserve">Notların dövlət qeydiyyat nömrəsi </t>
  </si>
  <si>
    <t>State registration number of notes</t>
  </si>
  <si>
    <t>Term (day)</t>
  </si>
  <si>
    <t>Volume placed at  auction</t>
  </si>
  <si>
    <t>Volume placed at the secondary market</t>
  </si>
  <si>
    <t>average weighted</t>
  </si>
  <si>
    <t>50102216S</t>
  </si>
  <si>
    <t>50102316S</t>
  </si>
  <si>
    <t>50102416S</t>
  </si>
  <si>
    <t>50102516S</t>
  </si>
  <si>
    <t>50102616S</t>
  </si>
  <si>
    <t>50102716S</t>
  </si>
  <si>
    <t>50102816S</t>
  </si>
  <si>
    <t>50102916S</t>
  </si>
  <si>
    <t>50103016S</t>
  </si>
  <si>
    <t>50103116S</t>
  </si>
  <si>
    <t>50103216S</t>
  </si>
  <si>
    <t>50103316S</t>
  </si>
  <si>
    <t>50103416S</t>
  </si>
  <si>
    <t>50103516S</t>
  </si>
  <si>
    <t>50103616S</t>
  </si>
  <si>
    <t>50103716S</t>
  </si>
  <si>
    <t>50103816S</t>
  </si>
  <si>
    <t>50103916S</t>
  </si>
  <si>
    <t>50104016S</t>
  </si>
  <si>
    <t>50104116S</t>
  </si>
  <si>
    <t>50104216S</t>
  </si>
  <si>
    <t>50104316S</t>
  </si>
  <si>
    <t>50100118S</t>
  </si>
  <si>
    <t>50100218S</t>
  </si>
  <si>
    <t>50100318S</t>
  </si>
  <si>
    <t>50100418S</t>
  </si>
  <si>
    <t>50100518S</t>
  </si>
  <si>
    <t>50100618S</t>
  </si>
  <si>
    <t>50100718S</t>
  </si>
  <si>
    <t>50100818S</t>
  </si>
  <si>
    <t>50100918S</t>
  </si>
  <si>
    <t>50101018S</t>
  </si>
  <si>
    <t>50100119S</t>
  </si>
  <si>
    <t>50100219S</t>
  </si>
  <si>
    <t>50100319S</t>
  </si>
  <si>
    <t>50100419S</t>
  </si>
  <si>
    <t>50100519S</t>
  </si>
  <si>
    <t>50100619S</t>
  </si>
  <si>
    <t>50100719S</t>
  </si>
  <si>
    <t>50100819S</t>
  </si>
  <si>
    <t>50100919S</t>
  </si>
  <si>
    <t>50101019S</t>
  </si>
  <si>
    <t>50101119S</t>
  </si>
  <si>
    <t>50101219S</t>
  </si>
  <si>
    <t>50101319S</t>
  </si>
  <si>
    <t>50101419S</t>
  </si>
  <si>
    <t>50101519S</t>
  </si>
  <si>
    <t>50101619S</t>
  </si>
  <si>
    <t>50101719S</t>
  </si>
  <si>
    <t>50101819S</t>
  </si>
  <si>
    <t>50101919S</t>
  </si>
  <si>
    <t>50102119S</t>
  </si>
  <si>
    <t>50102219S</t>
  </si>
  <si>
    <t>50102319S</t>
  </si>
  <si>
    <t>50102419S</t>
  </si>
  <si>
    <t>50102519S</t>
  </si>
  <si>
    <t>50102619S</t>
  </si>
  <si>
    <t>50102719S</t>
  </si>
  <si>
    <t>50102819S</t>
  </si>
  <si>
    <t>50102919S</t>
  </si>
  <si>
    <t>50103019S</t>
  </si>
  <si>
    <t>50103119S</t>
  </si>
  <si>
    <t>50103219S</t>
  </si>
  <si>
    <t>50103319S</t>
  </si>
  <si>
    <t>50103419S</t>
  </si>
  <si>
    <t>50103519S</t>
  </si>
  <si>
    <t>50103619S</t>
  </si>
  <si>
    <t>50103719S</t>
  </si>
  <si>
    <t>50103819S</t>
  </si>
  <si>
    <t>50103919S</t>
  </si>
  <si>
    <t>50104019S</t>
  </si>
  <si>
    <t>50104119S</t>
  </si>
  <si>
    <t>50104219S</t>
  </si>
  <si>
    <t>50104319S</t>
  </si>
  <si>
    <t>50104419S</t>
  </si>
  <si>
    <t>50104519S</t>
  </si>
  <si>
    <t>50104619S</t>
  </si>
  <si>
    <t>50104719S</t>
  </si>
  <si>
    <t>50104819S</t>
  </si>
  <si>
    <t>50104919S</t>
  </si>
  <si>
    <t>50105019S</t>
  </si>
  <si>
    <t>50105119S</t>
  </si>
  <si>
    <t>50105219S</t>
  </si>
  <si>
    <t>50100121S</t>
  </si>
  <si>
    <t>50100221S</t>
  </si>
  <si>
    <t>50100321S</t>
  </si>
  <si>
    <t>50100421S</t>
  </si>
  <si>
    <t>50100521S</t>
  </si>
  <si>
    <t>50100621S</t>
  </si>
  <si>
    <t>50100821S</t>
  </si>
  <si>
    <t>50100921S</t>
  </si>
  <si>
    <t>50101021S</t>
  </si>
  <si>
    <t>50101121S</t>
  </si>
  <si>
    <t>50101221S</t>
  </si>
  <si>
    <t>50101321S</t>
  </si>
  <si>
    <t>50101421S</t>
  </si>
  <si>
    <t>50101521S</t>
  </si>
  <si>
    <t>50101621S</t>
  </si>
  <si>
    <t>50101721S</t>
  </si>
  <si>
    <t>50101821S</t>
  </si>
  <si>
    <t>50101921S</t>
  </si>
  <si>
    <t>50102121S</t>
  </si>
  <si>
    <t>50102221S</t>
  </si>
  <si>
    <t>50102321S</t>
  </si>
  <si>
    <t>50102421S</t>
  </si>
  <si>
    <t>50102521S</t>
  </si>
  <si>
    <t>50102621S</t>
  </si>
  <si>
    <t>50102721S</t>
  </si>
  <si>
    <t>50102821S</t>
  </si>
  <si>
    <t>50102921S</t>
  </si>
  <si>
    <t>50103021S</t>
  </si>
  <si>
    <t>50103121S</t>
  </si>
  <si>
    <t>50103221S</t>
  </si>
  <si>
    <t>50103321S</t>
  </si>
  <si>
    <t>50103421S</t>
  </si>
  <si>
    <t>50103521S</t>
  </si>
  <si>
    <t>50103621S</t>
  </si>
  <si>
    <t>50103721S</t>
  </si>
  <si>
    <t>50103821S</t>
  </si>
  <si>
    <t>50103921S</t>
  </si>
  <si>
    <t>50104021S</t>
  </si>
  <si>
    <t>50104121S</t>
  </si>
  <si>
    <t>50104321S</t>
  </si>
  <si>
    <t>50104421S</t>
  </si>
  <si>
    <t>50104521S</t>
  </si>
  <si>
    <t>50104621S</t>
  </si>
  <si>
    <t>50104721S</t>
  </si>
  <si>
    <t>50104821S</t>
  </si>
  <si>
    <t>50104921S</t>
  </si>
  <si>
    <t>50105021S</t>
  </si>
  <si>
    <t>50105121S</t>
  </si>
  <si>
    <t>50100125S</t>
  </si>
  <si>
    <t>50100225S</t>
  </si>
  <si>
    <t>50100325S</t>
  </si>
  <si>
    <t>50100425S</t>
  </si>
  <si>
    <t>50100525S</t>
  </si>
  <si>
    <t>50100625S</t>
  </si>
  <si>
    <t>50100725S</t>
  </si>
  <si>
    <t>50100825S</t>
  </si>
  <si>
    <t>50100925S</t>
  </si>
  <si>
    <t>50101025S</t>
  </si>
  <si>
    <t>50101125S</t>
  </si>
  <si>
    <t>50101225S</t>
  </si>
  <si>
    <t>50101325S</t>
  </si>
  <si>
    <t>50101425S</t>
  </si>
  <si>
    <t>50101525S</t>
  </si>
  <si>
    <t>50101625S</t>
  </si>
  <si>
    <t>50101725S</t>
  </si>
  <si>
    <t>50101825S</t>
  </si>
  <si>
    <t>50101925S</t>
  </si>
  <si>
    <t>50102125S</t>
  </si>
  <si>
    <t>50102225S</t>
  </si>
  <si>
    <t>50102325S</t>
  </si>
  <si>
    <t>50102425S</t>
  </si>
  <si>
    <t>50102525S</t>
  </si>
  <si>
    <t>50102625S</t>
  </si>
  <si>
    <t>50102725S</t>
  </si>
  <si>
    <t>50102825S</t>
  </si>
  <si>
    <t>50102925S</t>
  </si>
  <si>
    <t>50103025S</t>
  </si>
  <si>
    <t>50103125S</t>
  </si>
  <si>
    <t>50103225S</t>
  </si>
  <si>
    <t>50103325S</t>
  </si>
  <si>
    <t>50103425S</t>
  </si>
  <si>
    <t>50103525S</t>
  </si>
  <si>
    <t>50103625S</t>
  </si>
  <si>
    <t>50103725S</t>
  </si>
  <si>
    <t>50103825S</t>
  </si>
  <si>
    <t>50103925S</t>
  </si>
  <si>
    <t>50104025S</t>
  </si>
  <si>
    <t>50104125S</t>
  </si>
  <si>
    <t>50104225S</t>
  </si>
  <si>
    <t>50104325S</t>
  </si>
  <si>
    <t>50104425S</t>
  </si>
  <si>
    <t>50104525S</t>
  </si>
  <si>
    <t>50104625S</t>
  </si>
  <si>
    <t>AMB-in notları</t>
  </si>
  <si>
    <t>CBA notes</t>
  </si>
  <si>
    <t>Cədvəl 3.6. Nağd xarici valyuta ilə mübadilə əməliyyatları</t>
  </si>
  <si>
    <t xml:space="preserve">US $               </t>
  </si>
  <si>
    <t>GBP ₤</t>
  </si>
  <si>
    <t>EURO €</t>
  </si>
  <si>
    <t>Alış (min valyuta vahidi)</t>
  </si>
  <si>
    <t>Satış (min valyuta vahidi)</t>
  </si>
  <si>
    <t>Orta məzənnə, manat</t>
  </si>
  <si>
    <t xml:space="preserve">Purchase   (thousand c.u)     </t>
  </si>
  <si>
    <t xml:space="preserve">Sale (thousand c.u)     </t>
  </si>
  <si>
    <t>Average exchange rate, manat</t>
  </si>
  <si>
    <t>III rüb</t>
  </si>
  <si>
    <t>01.01.2004</t>
  </si>
  <si>
    <t>dekabr</t>
  </si>
  <si>
    <t>1,5</t>
  </si>
  <si>
    <t xml:space="preserve">Dövriyyədə olan ödəniş kartlarının ümumi sayından: </t>
  </si>
  <si>
    <t>Debet kartları</t>
  </si>
  <si>
    <t>Kredit kartları</t>
  </si>
  <si>
    <t>Sayı, min əməliyyat</t>
  </si>
  <si>
    <t>Transactions  with debit cards</t>
  </si>
  <si>
    <t>Number of transactions, thousand</t>
  </si>
  <si>
    <t>Amount of transactions, mln. manat</t>
  </si>
  <si>
    <t>ATM</t>
  </si>
  <si>
    <t>cari hesablardan</t>
  </si>
  <si>
    <t>fiziki şəxslər</t>
  </si>
  <si>
    <t>ondan: sahibkarlıqla məşğul olanlar</t>
  </si>
  <si>
    <t>hüquqi şəxslər</t>
  </si>
  <si>
    <t>cari hesablar</t>
  </si>
  <si>
    <t>depozit hesabları</t>
  </si>
  <si>
    <t xml:space="preserve">Banklar tərəfindən verilmiş ipoteka kreditləri </t>
  </si>
  <si>
    <t>Kreditin müddəti (ay)</t>
  </si>
  <si>
    <t>Faiz dərəcəsi</t>
  </si>
  <si>
    <t>Aylıq ödəniş, AZN</t>
  </si>
  <si>
    <t>Sürətli pul köçürmə sistemləri</t>
  </si>
  <si>
    <t>Banka daxil olmalar</t>
  </si>
  <si>
    <t>Bankdan kənara köçürmələr</t>
  </si>
  <si>
    <t>inflow</t>
  </si>
  <si>
    <t>outflow</t>
  </si>
  <si>
    <t>Amount per  transaction, thousand manat</t>
  </si>
  <si>
    <t>Amount per  transaction,  manat</t>
  </si>
  <si>
    <t>.</t>
  </si>
  <si>
    <t>1</t>
  </si>
  <si>
    <t>4</t>
  </si>
  <si>
    <t>6</t>
  </si>
  <si>
    <t>Bankomatlar</t>
  </si>
  <si>
    <t xml:space="preserve">o cümlədən: </t>
  </si>
  <si>
    <t xml:space="preserve">Bakıda </t>
  </si>
  <si>
    <t>Regionlarda</t>
  </si>
  <si>
    <t xml:space="preserve">o cümlədən Bakıda </t>
  </si>
  <si>
    <t xml:space="preserve">of  which: </t>
  </si>
  <si>
    <t>POS-terminals</t>
  </si>
  <si>
    <t>From total of POS-terminals</t>
  </si>
  <si>
    <t>in Baku</t>
  </si>
  <si>
    <t>in Regions</t>
  </si>
  <si>
    <t>of which: in Baku</t>
  </si>
  <si>
    <t>Remittance system</t>
  </si>
  <si>
    <t>2011</t>
  </si>
  <si>
    <t>Debet kartları ilə aparılan əməliyyatların</t>
  </si>
  <si>
    <t>Kredit kartları ilə aparılan əməliyyatların</t>
  </si>
  <si>
    <t>nağd pulun çıxarılması</t>
  </si>
  <si>
    <t xml:space="preserve">nağdsız ödənişlər </t>
  </si>
  <si>
    <t xml:space="preserve"> POS-terminallar vasitəsilə </t>
  </si>
  <si>
    <t>All payment cards in circulation</t>
  </si>
  <si>
    <t>Transactions with debit and credit cards</t>
  </si>
  <si>
    <t xml:space="preserve">  of which operations inside the country</t>
  </si>
  <si>
    <t xml:space="preserve"> of which operations inside the country</t>
  </si>
  <si>
    <t>Debit cards</t>
  </si>
  <si>
    <t>Credit cards</t>
  </si>
  <si>
    <t>cash withdrawals</t>
  </si>
  <si>
    <t>non-cash payments</t>
  </si>
  <si>
    <t xml:space="preserve">via ATM"s                      </t>
  </si>
  <si>
    <t xml:space="preserve">via ATM"s                       </t>
  </si>
  <si>
    <t>Social cards</t>
  </si>
  <si>
    <t>Others</t>
  </si>
  <si>
    <t xml:space="preserve"> həcmi, manat </t>
  </si>
  <si>
    <t>monthly average operations per 1000 payment card</t>
  </si>
  <si>
    <t>monthly average operations per a ATM</t>
  </si>
  <si>
    <t>monthly average volume of a operations per a ATM</t>
  </si>
  <si>
    <t>volume, thousand manat</t>
  </si>
  <si>
    <t>Overdraft</t>
  </si>
  <si>
    <t xml:space="preserve">Letter of credit </t>
  </si>
  <si>
    <t>Guarantees</t>
  </si>
  <si>
    <t>Factoring operations</t>
  </si>
  <si>
    <t>01.03.2009 - 01.01.2011</t>
  </si>
  <si>
    <t>Hindistan rupisi</t>
  </si>
  <si>
    <t>Səudiyyə Ərəbistanı rialı</t>
  </si>
  <si>
    <t>Cənubi Korea vonu</t>
  </si>
  <si>
    <t>Yeni Zelandiya dolları</t>
  </si>
  <si>
    <t>Indian rupee</t>
  </si>
  <si>
    <t>Saudi riyal</t>
  </si>
  <si>
    <t>Korean won</t>
  </si>
  <si>
    <t>New Zealand dollar</t>
  </si>
  <si>
    <t>I  rüb</t>
  </si>
  <si>
    <t>II  rüb</t>
  </si>
  <si>
    <t>IV rüb</t>
  </si>
  <si>
    <t>İxrac (FOB)</t>
  </si>
  <si>
    <t>İdxal (FOB)</t>
  </si>
  <si>
    <t>01.01.2003</t>
  </si>
  <si>
    <t>01.01.2005</t>
  </si>
  <si>
    <t>01.01.2006</t>
  </si>
  <si>
    <t>10208726S</t>
  </si>
  <si>
    <t>10508826S</t>
  </si>
  <si>
    <t>10108626S</t>
  </si>
  <si>
    <t>10308926S</t>
  </si>
  <si>
    <t>10502328S</t>
  </si>
  <si>
    <t>10703727S</t>
  </si>
  <si>
    <t>10803827S</t>
  </si>
  <si>
    <t>10109026S</t>
  </si>
  <si>
    <t>10209126S</t>
  </si>
  <si>
    <t>10509226S</t>
  </si>
  <si>
    <t>10309326S</t>
  </si>
  <si>
    <t>10502428S</t>
  </si>
  <si>
    <t>10703927S</t>
  </si>
  <si>
    <t>10804027S</t>
  </si>
  <si>
    <t>10100131S</t>
  </si>
  <si>
    <t>10200231S</t>
  </si>
  <si>
    <t>10300331S</t>
  </si>
  <si>
    <t>10500133S</t>
  </si>
  <si>
    <t>10200431S</t>
  </si>
  <si>
    <t>10100531S</t>
  </si>
  <si>
    <t>10300631S</t>
  </si>
  <si>
    <t>10800132S</t>
  </si>
  <si>
    <t>10500233S</t>
  </si>
  <si>
    <t>10100731S</t>
  </si>
  <si>
    <t>10200831S</t>
  </si>
  <si>
    <t>10500333S</t>
  </si>
  <si>
    <t>10300931S</t>
  </si>
  <si>
    <t>10201131S</t>
  </si>
  <si>
    <t>10500433S</t>
  </si>
  <si>
    <t>10301231S</t>
  </si>
  <si>
    <t>10101331S</t>
  </si>
  <si>
    <t>10201431S</t>
  </si>
  <si>
    <t>10301531S</t>
  </si>
  <si>
    <t>10500533S</t>
  </si>
  <si>
    <t>10700232S</t>
  </si>
  <si>
    <t>10101631S</t>
  </si>
  <si>
    <t>10301831S</t>
  </si>
  <si>
    <t>10500633S</t>
  </si>
  <si>
    <t>10800332S</t>
  </si>
  <si>
    <t>50104221S</t>
  </si>
  <si>
    <t>50104725S</t>
  </si>
  <si>
    <t>50104825S</t>
  </si>
  <si>
    <t>50104925S</t>
  </si>
  <si>
    <t>50105025S</t>
  </si>
  <si>
    <t>50105125S</t>
  </si>
  <si>
    <t>50100130S</t>
  </si>
  <si>
    <t>50100230S</t>
  </si>
  <si>
    <t>50100330S</t>
  </si>
  <si>
    <t>50100430S</t>
  </si>
  <si>
    <t>50100530S</t>
  </si>
  <si>
    <t>50100630S</t>
  </si>
  <si>
    <t>50100730S</t>
  </si>
  <si>
    <t>50100830S</t>
  </si>
  <si>
    <t>50100930S</t>
  </si>
  <si>
    <t>50101030S</t>
  </si>
  <si>
    <t>50101130S</t>
  </si>
  <si>
    <t>50101230S</t>
  </si>
  <si>
    <t>50101330S</t>
  </si>
  <si>
    <t>50101430S</t>
  </si>
  <si>
    <t>50101530S</t>
  </si>
  <si>
    <t>50101630S</t>
  </si>
  <si>
    <t>o cümlədən cari hesablar</t>
  </si>
  <si>
    <t>Salary cards</t>
  </si>
  <si>
    <t>Sosial kartlar</t>
  </si>
  <si>
    <t>Digər</t>
  </si>
  <si>
    <t>Hüquqi şəxslərdən cəlb edilmiş vəsaitlər üzrə</t>
  </si>
  <si>
    <t xml:space="preserve">  - Tələb olunanadək</t>
  </si>
  <si>
    <t xml:space="preserve">  - 1 aydan - 1 ilədək</t>
  </si>
  <si>
    <t xml:space="preserve">  - 1 ildən yuxarı</t>
  </si>
  <si>
    <t xml:space="preserve">  - 1 ildən - 3 ilədək</t>
  </si>
  <si>
    <t xml:space="preserve">  - 3 ildən yuxarı</t>
  </si>
  <si>
    <t>xarici valyutada</t>
  </si>
  <si>
    <t>Debet və kredit  kartları vasitəsilə aparılan əməliyyatların</t>
  </si>
  <si>
    <t>orta % dərəcəsi</t>
  </si>
  <si>
    <t>sayı, əməliyyat</t>
  </si>
  <si>
    <t xml:space="preserve">sayı, əməliyyat </t>
  </si>
  <si>
    <t>Geniş mənada pul kütləsi (M3)</t>
  </si>
  <si>
    <t>M2 pul aqreqatı</t>
  </si>
  <si>
    <t xml:space="preserve">           - Daxilolmalar</t>
  </si>
  <si>
    <t xml:space="preserve">Net errors and omissions </t>
  </si>
  <si>
    <t xml:space="preserve">            - Receipts         </t>
  </si>
  <si>
    <t xml:space="preserve">            - Payments</t>
  </si>
  <si>
    <t>Total Loans</t>
  </si>
  <si>
    <t>Long-term loans</t>
  </si>
  <si>
    <t>Short-term loans</t>
  </si>
  <si>
    <t>Total loans</t>
  </si>
  <si>
    <t>Non-bank credit institutions</t>
  </si>
  <si>
    <t>overdue loans</t>
  </si>
  <si>
    <t>Loans to real sector</t>
  </si>
  <si>
    <t>Loans to financial sector</t>
  </si>
  <si>
    <t>Average indicators of the mortgage loans of AMF</t>
  </si>
  <si>
    <t>Terms (month)</t>
  </si>
  <si>
    <t>Interest rate</t>
  </si>
  <si>
    <t>Monthly payment, AZN</t>
  </si>
  <si>
    <t>min manat, thousand manats</t>
  </si>
  <si>
    <t>Regionların adı</t>
  </si>
  <si>
    <t>sərbəst dönərli valyutada (SDV)</t>
  </si>
  <si>
    <t>average interest rate</t>
  </si>
  <si>
    <t>national currency</t>
  </si>
  <si>
    <t>amount</t>
  </si>
  <si>
    <t>Non-financial corporations</t>
  </si>
  <si>
    <t>Milli valyuta ilə</t>
  </si>
  <si>
    <t>milli valyuta ilə</t>
  </si>
  <si>
    <t>Residents</t>
  </si>
  <si>
    <t>Nonresidents</t>
  </si>
  <si>
    <t>Short-term savings</t>
  </si>
  <si>
    <t>Long-term savings</t>
  </si>
  <si>
    <t>of which transaction accounts</t>
  </si>
  <si>
    <t>Demand deposits</t>
  </si>
  <si>
    <t>Time deposits</t>
  </si>
  <si>
    <t>On deposits of households</t>
  </si>
  <si>
    <t>On loans</t>
  </si>
  <si>
    <t>On interbank loans</t>
  </si>
  <si>
    <t>Financial corporations</t>
  </si>
  <si>
    <t>individuals</t>
  </si>
  <si>
    <t>Number of payment cards, thousand (end of period)</t>
  </si>
  <si>
    <t xml:space="preserve">Bir terminala düşən əhalinin sayı, min nəfər </t>
  </si>
  <si>
    <t>volume, manat</t>
  </si>
  <si>
    <t>of which :</t>
  </si>
  <si>
    <t>of which: engaged in entrepreneurial activity</t>
  </si>
  <si>
    <t>Legal entities</t>
  </si>
  <si>
    <t>deposit accounts</t>
  </si>
  <si>
    <t>transaction account</t>
  </si>
  <si>
    <t>from transaction accounts</t>
  </si>
  <si>
    <t>Total loans in national currency</t>
  </si>
  <si>
    <t>Total loans in foreign currency</t>
  </si>
  <si>
    <t>On deposits of legal entities</t>
  </si>
  <si>
    <t>Məbləği, mln.manat</t>
  </si>
  <si>
    <t>MDB dövlətlərindən</t>
  </si>
  <si>
    <t>Region</t>
  </si>
  <si>
    <r>
      <t xml:space="preserve">o cümlədən: / </t>
    </r>
    <r>
      <rPr>
        <i/>
        <sz val="12"/>
        <rFont val="Times New Roman"/>
        <family val="1"/>
        <charset val="162"/>
      </rPr>
      <t>of which:</t>
    </r>
  </si>
  <si>
    <t xml:space="preserve">Geniş pul kütləsi </t>
  </si>
  <si>
    <t>Geniş pul kütləsi, manatla</t>
  </si>
  <si>
    <t>Manatın dövretmə sürəti</t>
  </si>
  <si>
    <t xml:space="preserve">Velocity of money     </t>
  </si>
  <si>
    <t>10202031S</t>
  </si>
  <si>
    <t>10302231S</t>
  </si>
  <si>
    <t>10500733S</t>
  </si>
  <si>
    <t>10102331S</t>
  </si>
  <si>
    <t>10202431S</t>
  </si>
  <si>
    <t>10302531S</t>
  </si>
  <si>
    <t>10800432S</t>
  </si>
  <si>
    <t>10500833S</t>
  </si>
  <si>
    <t>10102631S</t>
  </si>
  <si>
    <t>10202731S</t>
  </si>
  <si>
    <t>10302831S</t>
  </si>
  <si>
    <t>10500933S</t>
  </si>
  <si>
    <t>10700532S</t>
  </si>
  <si>
    <t>10102931S</t>
  </si>
  <si>
    <t>10203031S</t>
  </si>
  <si>
    <t>10303131S</t>
  </si>
  <si>
    <t>10501033S</t>
  </si>
  <si>
    <t>10800632S</t>
  </si>
  <si>
    <t>01.01.2011- 01.05.2011</t>
  </si>
  <si>
    <t xml:space="preserve">ABŞ dolları           </t>
  </si>
  <si>
    <t>Manatla tələb edilənədək depozitlər*</t>
  </si>
  <si>
    <t>Demand deposits in manat*</t>
  </si>
  <si>
    <t>Time deposits in manat*</t>
  </si>
  <si>
    <t>Manatla müddətli depozitlər*</t>
  </si>
  <si>
    <t>Deposits in hard currency*</t>
  </si>
  <si>
    <t>SDV-də depozitlər*</t>
  </si>
  <si>
    <t>10501233S</t>
  </si>
  <si>
    <t>10800732S</t>
  </si>
  <si>
    <t>10103231S</t>
  </si>
  <si>
    <t>10203331S</t>
  </si>
  <si>
    <t>10503431S</t>
  </si>
  <si>
    <t>10303531S</t>
  </si>
  <si>
    <t>10501133S</t>
  </si>
  <si>
    <t>10103631S</t>
  </si>
  <si>
    <t>10203731S</t>
  </si>
  <si>
    <t>10303831S</t>
  </si>
  <si>
    <t>50102630S</t>
  </si>
  <si>
    <t>50102730S</t>
  </si>
  <si>
    <t>50102830S</t>
  </si>
  <si>
    <t>50102930S</t>
  </si>
  <si>
    <t>Maliyyə təşkilatları</t>
  </si>
  <si>
    <t>01.05.2011-01.07.2011</t>
  </si>
  <si>
    <t xml:space="preserve">həcmi,  manat </t>
  </si>
  <si>
    <t>50103030S</t>
  </si>
  <si>
    <t>50103130S</t>
  </si>
  <si>
    <t>50103230S</t>
  </si>
  <si>
    <t>50103330S</t>
  </si>
  <si>
    <t>10501333S</t>
  </si>
  <si>
    <t>10204331S</t>
  </si>
  <si>
    <t>10304431S</t>
  </si>
  <si>
    <t>10501433S</t>
  </si>
  <si>
    <t>50103430S</t>
  </si>
  <si>
    <t>50103530S</t>
  </si>
  <si>
    <t>50103630S</t>
  </si>
  <si>
    <t>50103730S</t>
  </si>
  <si>
    <t>50103830S</t>
  </si>
  <si>
    <t>10501533S</t>
  </si>
  <si>
    <t>10501633S</t>
  </si>
  <si>
    <t>355.1</t>
  </si>
  <si>
    <t>number of people per terminal, thousand person</t>
  </si>
  <si>
    <t>50103930S</t>
  </si>
  <si>
    <t>50104030S</t>
  </si>
  <si>
    <t>50104130S</t>
  </si>
  <si>
    <t>50104230S</t>
  </si>
  <si>
    <t>10501733S</t>
  </si>
  <si>
    <t>10701132S</t>
  </si>
  <si>
    <t>10501833S</t>
  </si>
  <si>
    <t>10801232S</t>
  </si>
  <si>
    <t>III  rüb</t>
  </si>
  <si>
    <t>10105831S</t>
  </si>
  <si>
    <t>10205931S</t>
  </si>
  <si>
    <t>10506031S</t>
  </si>
  <si>
    <t>10306131S</t>
  </si>
  <si>
    <t>10501933S</t>
  </si>
  <si>
    <t>10106231S</t>
  </si>
  <si>
    <t>10206331S</t>
  </si>
  <si>
    <t>10306431S</t>
  </si>
  <si>
    <t>10502033S</t>
  </si>
  <si>
    <t>10801332S</t>
  </si>
  <si>
    <t>50104330S</t>
  </si>
  <si>
    <t>50104430S</t>
  </si>
  <si>
    <t>50104530S</t>
  </si>
  <si>
    <t>50104630S</t>
  </si>
  <si>
    <t>50104730S</t>
  </si>
  <si>
    <t>50104830S</t>
  </si>
  <si>
    <t>50104930S</t>
  </si>
  <si>
    <t>50105030S</t>
  </si>
  <si>
    <t>50105130S</t>
  </si>
  <si>
    <t>10502133S</t>
  </si>
  <si>
    <t>10106831S</t>
  </si>
  <si>
    <t>10206931S</t>
  </si>
  <si>
    <t>10502233S</t>
  </si>
  <si>
    <t>2012</t>
  </si>
  <si>
    <t>50100134S</t>
  </si>
  <si>
    <t>50100234S</t>
  </si>
  <si>
    <t>50100334S</t>
  </si>
  <si>
    <t>50100434S</t>
  </si>
  <si>
    <t>50100534S</t>
  </si>
  <si>
    <t>50100634S</t>
  </si>
  <si>
    <t>50100734S</t>
  </si>
  <si>
    <t>50100834S</t>
  </si>
  <si>
    <t>50100934S</t>
  </si>
  <si>
    <t xml:space="preserve">           - Ödənişlər</t>
  </si>
  <si>
    <t>50101034S</t>
  </si>
  <si>
    <t>50101134S</t>
  </si>
  <si>
    <t>50101234S</t>
  </si>
  <si>
    <t>50101334S</t>
  </si>
  <si>
    <t>50101434S</t>
  </si>
  <si>
    <t>50101534S</t>
  </si>
  <si>
    <t>50101634S</t>
  </si>
  <si>
    <t>50101734S</t>
  </si>
  <si>
    <t>Manatla depozitlər**</t>
  </si>
  <si>
    <t>Xarici valyutada depozitlər**</t>
  </si>
  <si>
    <t>50101834S</t>
  </si>
  <si>
    <t>50101934S</t>
  </si>
  <si>
    <t>50102034S</t>
  </si>
  <si>
    <t>50102134S</t>
  </si>
  <si>
    <t>50102234S</t>
  </si>
  <si>
    <t>50102334S</t>
  </si>
  <si>
    <t>50102434S</t>
  </si>
  <si>
    <t>50102534S</t>
  </si>
  <si>
    <t>50102634S</t>
  </si>
  <si>
    <t>AZ0102002364</t>
  </si>
  <si>
    <t>AZ0101001367</t>
  </si>
  <si>
    <t>AZ0204001371</t>
  </si>
  <si>
    <t>AZ0101008362</t>
  </si>
  <si>
    <t>AZ0104009367</t>
  </si>
  <si>
    <t>AZ0102010367</t>
  </si>
  <si>
    <t>AZ0106003350</t>
  </si>
  <si>
    <t>AZ0204003377</t>
  </si>
  <si>
    <t>AZ0101011366</t>
  </si>
  <si>
    <t>AZ0101012364</t>
  </si>
  <si>
    <t>AZ0102013361</t>
  </si>
  <si>
    <t>AZ0204004375</t>
  </si>
  <si>
    <t>AZ0106004358</t>
  </si>
  <si>
    <t>50102834S</t>
  </si>
  <si>
    <t>50102934S</t>
  </si>
  <si>
    <t>50103034S</t>
  </si>
  <si>
    <t>50103134S</t>
  </si>
  <si>
    <t>50103234S</t>
  </si>
  <si>
    <t>50103334S</t>
  </si>
  <si>
    <t>50103434S</t>
  </si>
  <si>
    <t>50103534S</t>
  </si>
  <si>
    <t>AZ0104016362</t>
  </si>
  <si>
    <t>AZ0101015367</t>
  </si>
  <si>
    <t>AZ0101014360</t>
  </si>
  <si>
    <t>AZ0102017362</t>
  </si>
  <si>
    <t>AZ0204005372</t>
  </si>
  <si>
    <t>AZ0105005356</t>
  </si>
  <si>
    <t>AZ0101018361</t>
  </si>
  <si>
    <t>AZ0101019369</t>
  </si>
  <si>
    <t>AZ0204006370</t>
  </si>
  <si>
    <t>AZ0106006353</t>
  </si>
  <si>
    <t>50103634S</t>
  </si>
  <si>
    <t>50103734S</t>
  </si>
  <si>
    <t>50103834S</t>
  </si>
  <si>
    <t>50103934S</t>
  </si>
  <si>
    <t>AZ0101021365</t>
  </si>
  <si>
    <t>AZ0104023368</t>
  </si>
  <si>
    <t>AZ0101022363</t>
  </si>
  <si>
    <t>AZ0102024368</t>
  </si>
  <si>
    <t>AZ0204007378</t>
  </si>
  <si>
    <t>AZ0106007351</t>
  </si>
  <si>
    <t>AZ0101025366</t>
  </si>
  <si>
    <t>AZ0101026364</t>
  </si>
  <si>
    <t>AZ0102027361</t>
  </si>
  <si>
    <t>AZ0204008376</t>
  </si>
  <si>
    <t>AZ0106008359</t>
  </si>
  <si>
    <t>50104034S</t>
  </si>
  <si>
    <t>50104134S</t>
  </si>
  <si>
    <t>50104234S</t>
  </si>
  <si>
    <t>50104334S</t>
  </si>
  <si>
    <t>50104434S</t>
  </si>
  <si>
    <t>AZ0101028360</t>
  </si>
  <si>
    <t>AZ0101029368</t>
  </si>
  <si>
    <t>AZ0102030365</t>
  </si>
  <si>
    <t>AZ0105009358</t>
  </si>
  <si>
    <t>AZ0204009374</t>
  </si>
  <si>
    <t>AZ0101031364</t>
  </si>
  <si>
    <t>AZ0101032362</t>
  </si>
  <si>
    <t>AZ0102033369</t>
  </si>
  <si>
    <t>AZ0204010372</t>
  </si>
  <si>
    <t>AZ0106010355</t>
  </si>
  <si>
    <t>50104534S</t>
  </si>
  <si>
    <t>50104634S</t>
  </si>
  <si>
    <t>50104734S</t>
  </si>
  <si>
    <t>50104834S</t>
  </si>
  <si>
    <t>AZ0101034368</t>
  </si>
  <si>
    <t>AZ0104036360</t>
  </si>
  <si>
    <t>AZ0101035365</t>
  </si>
  <si>
    <t>AZ0102037360</t>
  </si>
  <si>
    <t>AZ0204011370</t>
  </si>
  <si>
    <t>AZ0106012351</t>
  </si>
  <si>
    <t>AZ0105011354</t>
  </si>
  <si>
    <t>AZ0101038369</t>
  </si>
  <si>
    <t>AZ0101039367</t>
  </si>
  <si>
    <t>AZ0102040364</t>
  </si>
  <si>
    <t>AZ0106013359</t>
  </si>
  <si>
    <t>AZ0204012378</t>
  </si>
  <si>
    <t>50104934S</t>
  </si>
  <si>
    <t>50105034S</t>
  </si>
  <si>
    <t>50105134S</t>
  </si>
  <si>
    <t>50105234S</t>
  </si>
  <si>
    <t>AZ0101041363</t>
  </si>
  <si>
    <t>AZ0101042361</t>
  </si>
  <si>
    <t>AZ0204013376</t>
  </si>
  <si>
    <t>AZ0105014358</t>
  </si>
  <si>
    <t>AZ0101045364</t>
  </si>
  <si>
    <t>AZ0106015351</t>
  </si>
  <si>
    <t>AZ0204014374</t>
  </si>
  <si>
    <t>AZ0102046361</t>
  </si>
  <si>
    <t>01.07.2011-31.01.2012</t>
  </si>
  <si>
    <t xml:space="preserve"> manat</t>
  </si>
  <si>
    <t>manat</t>
  </si>
  <si>
    <t>2013</t>
  </si>
  <si>
    <t>50100138S</t>
  </si>
  <si>
    <t>50100238S</t>
  </si>
  <si>
    <t>50100338S</t>
  </si>
  <si>
    <t>50100438S</t>
  </si>
  <si>
    <t>50100538S</t>
  </si>
  <si>
    <t>50100638S</t>
  </si>
  <si>
    <t>50100738S</t>
  </si>
  <si>
    <t>50100838S</t>
  </si>
  <si>
    <t>50100938S</t>
  </si>
  <si>
    <t>50101038S</t>
  </si>
  <si>
    <t>50101138S</t>
  </si>
  <si>
    <t>50101238S</t>
  </si>
  <si>
    <t>50101338S</t>
  </si>
  <si>
    <t>50101438S</t>
  </si>
  <si>
    <t>50101538S</t>
  </si>
  <si>
    <t>50101638S</t>
  </si>
  <si>
    <t>AZ0204001413</t>
  </si>
  <si>
    <t>AZ0105001405</t>
  </si>
  <si>
    <t>AZ0106002402</t>
  </si>
  <si>
    <t>AZ0102003396</t>
  </si>
  <si>
    <t>AZ0102006399</t>
  </si>
  <si>
    <t>AZ0101005392</t>
  </si>
  <si>
    <t>AZ0104007395</t>
  </si>
  <si>
    <t>AZ0204002411</t>
  </si>
  <si>
    <t>AZ0102008395</t>
  </si>
  <si>
    <t>AZ0105003401</t>
  </si>
  <si>
    <t>AZ0106004408</t>
  </si>
  <si>
    <t>AZ0101009394</t>
  </si>
  <si>
    <t>AZ0102010391</t>
  </si>
  <si>
    <t>AZ0104011397</t>
  </si>
  <si>
    <t>AZ0106006403</t>
  </si>
  <si>
    <t>AZ0105005406</t>
  </si>
  <si>
    <t>AZ0204003419</t>
  </si>
  <si>
    <t>AZ0102012397</t>
  </si>
  <si>
    <t>50101738S</t>
  </si>
  <si>
    <t>50101838S</t>
  </si>
  <si>
    <t>50101938S</t>
  </si>
  <si>
    <t>50102038S</t>
  </si>
  <si>
    <t>50102138S</t>
  </si>
  <si>
    <t>RI, 2013 QI, 2013</t>
  </si>
  <si>
    <t>Kapital hesabı</t>
  </si>
  <si>
    <t xml:space="preserve">      Capital account</t>
  </si>
  <si>
    <t>Maliyyə hesabı</t>
  </si>
  <si>
    <t>Financial account</t>
  </si>
  <si>
    <r>
      <t xml:space="preserve">   </t>
    </r>
    <r>
      <rPr>
        <i/>
        <sz val="10"/>
        <color indexed="8"/>
        <rFont val="Times New Roman"/>
        <family val="1"/>
      </rPr>
      <t>Xalis maliyyə aktivləri  ("+" artım; "-"  azalma)</t>
    </r>
  </si>
  <si>
    <t xml:space="preserve">   Net acquisition of financial assets("+" increase; "-" decrease)                                                </t>
  </si>
  <si>
    <t xml:space="preserve">      o cümlədən: </t>
  </si>
  <si>
    <t xml:space="preserve">     of which :</t>
  </si>
  <si>
    <t xml:space="preserve">      - xaricə yönəldilmiş birbaşa investisiyalar</t>
  </si>
  <si>
    <t xml:space="preserve">    - direct investment abroad</t>
  </si>
  <si>
    <r>
      <t xml:space="preserve">      </t>
    </r>
    <r>
      <rPr>
        <b/>
        <sz val="10"/>
        <color indexed="8"/>
        <rFont val="Times New Roman"/>
        <family val="1"/>
      </rPr>
      <t>- portfel  və digər  investisiyalar</t>
    </r>
  </si>
  <si>
    <t xml:space="preserve">    - portfolio and other investments</t>
  </si>
  <si>
    <t xml:space="preserve">   Xalis maliyyə öhdəlikləri("+" artım; "-"  azalma)</t>
  </si>
  <si>
    <t xml:space="preserve">   Net  incurrence of liabilities ("+" increase; "-" decrease)</t>
  </si>
  <si>
    <t xml:space="preserve">     o cümlədən: </t>
  </si>
  <si>
    <t xml:space="preserve">     - Azərbaycana cəlb olunmuş birbaşa investisiyalar</t>
  </si>
  <si>
    <t xml:space="preserve">     - Direct investment in Azerbaijan</t>
  </si>
  <si>
    <t xml:space="preserve">     - Cəlb olunmuş investisiyaların repatriasiyası  </t>
  </si>
  <si>
    <t xml:space="preserve">     - Repatriation of investments</t>
  </si>
  <si>
    <t xml:space="preserve">      - Neft bonusu </t>
  </si>
  <si>
    <t xml:space="preserve">     - Oil bonus</t>
  </si>
  <si>
    <t xml:space="preserve">      - Portfel  və digər  investisiyalar</t>
  </si>
  <si>
    <t xml:space="preserve">     - Portfolio and other investments</t>
  </si>
  <si>
    <t>Ehtiyat aktivlərinin dəyişməsi,                                      ("+" artım; "-"  azalma)</t>
  </si>
  <si>
    <t>Changes in reserve assets  ("+" increase; "-" decrease)</t>
  </si>
  <si>
    <t>RI, 2012     QI, 2012</t>
  </si>
  <si>
    <t xml:space="preserve">      İlkin gəlirlər</t>
  </si>
  <si>
    <t xml:space="preserve">      Primary income</t>
  </si>
  <si>
    <t xml:space="preserve">     Təkrar gəlirlər</t>
  </si>
  <si>
    <t xml:space="preserve">      Secondary income</t>
  </si>
  <si>
    <t>AZ0101013396</t>
  </si>
  <si>
    <t>AZ0102014393</t>
  </si>
  <si>
    <t>AZ0104015398</t>
  </si>
  <si>
    <t>AZ0102016398</t>
  </si>
  <si>
    <t>AZ0204004417</t>
  </si>
  <si>
    <t>AZ0106008409</t>
  </si>
  <si>
    <t>AZ0105007402</t>
  </si>
  <si>
    <t>AZ0101017397</t>
  </si>
  <si>
    <t>AZ0102018394</t>
  </si>
  <si>
    <t>AZ0104019390</t>
  </si>
  <si>
    <t>AZ0204005414</t>
  </si>
  <si>
    <t>AZ0102020390</t>
  </si>
  <si>
    <t>AZ0106010405</t>
  </si>
  <si>
    <t>AZ0105009408</t>
  </si>
  <si>
    <t>50102238S</t>
  </si>
  <si>
    <t>50102338S</t>
  </si>
  <si>
    <t>50102438S</t>
  </si>
  <si>
    <t>50102538S</t>
  </si>
  <si>
    <t>50102638S</t>
  </si>
  <si>
    <t>50102738S</t>
  </si>
  <si>
    <t>50102838S</t>
  </si>
  <si>
    <t>50102938S</t>
  </si>
  <si>
    <t>50103038S</t>
  </si>
  <si>
    <t>AZ0104023392</t>
  </si>
  <si>
    <t>AZ0106012401</t>
  </si>
  <si>
    <t>AZ0104027393</t>
  </si>
  <si>
    <t>AZ0106014407</t>
  </si>
  <si>
    <t>50103138S</t>
  </si>
  <si>
    <t>50103238S</t>
  </si>
  <si>
    <t>50103338S</t>
  </si>
  <si>
    <t>50103438S</t>
  </si>
  <si>
    <t xml:space="preserve">RII,2013  QII,2013    </t>
  </si>
  <si>
    <t xml:space="preserve">RII,2012  QII,2012    </t>
  </si>
  <si>
    <t>AZ0106016402</t>
  </si>
  <si>
    <t>AZ0101037395</t>
  </si>
  <si>
    <t>AZ0102038392</t>
  </si>
  <si>
    <t>AZ0104039398</t>
  </si>
  <si>
    <t>AZ0204010414</t>
  </si>
  <si>
    <t>AZ0102040398</t>
  </si>
  <si>
    <t>AZ0106020404</t>
  </si>
  <si>
    <t>AZ0105019407</t>
  </si>
  <si>
    <t>AZ0101041397</t>
  </si>
  <si>
    <t>AZ0102042394</t>
  </si>
  <si>
    <t>AZ0104043390</t>
  </si>
  <si>
    <t>AZ0204011412</t>
  </si>
  <si>
    <t>AZ0102044390</t>
  </si>
  <si>
    <t>50103538S</t>
  </si>
  <si>
    <t>50103638S</t>
  </si>
  <si>
    <t>50103738S</t>
  </si>
  <si>
    <t>50103838S</t>
  </si>
  <si>
    <t>13 089.9</t>
  </si>
  <si>
    <t>AZ0102048391</t>
  </si>
  <si>
    <t>AZ0204012410</t>
  </si>
  <si>
    <t>AZ0105023409</t>
  </si>
  <si>
    <t>AZ0106024406</t>
  </si>
  <si>
    <t>AZ0104051393</t>
  </si>
  <si>
    <t>AZ0101049390</t>
  </si>
  <si>
    <t>AZ0102050397</t>
  </si>
  <si>
    <t>AZ0102052393</t>
  </si>
  <si>
    <t>AZ0204013418</t>
  </si>
  <si>
    <t>AZ0105025404</t>
  </si>
  <si>
    <t>AZ0106026401</t>
  </si>
  <si>
    <t>50103938S</t>
  </si>
  <si>
    <t>50104038S</t>
  </si>
  <si>
    <t>50104138S</t>
  </si>
  <si>
    <t>50104238S</t>
  </si>
  <si>
    <t>50104338S</t>
  </si>
  <si>
    <t>RI, 2001    QI, 2001</t>
  </si>
  <si>
    <t>RII, 2001     QII, 2001</t>
  </si>
  <si>
    <t>RIII, 2001     QIII, 2001</t>
  </si>
  <si>
    <t>RIV, 2001     QIV, 2001</t>
  </si>
  <si>
    <t>RI, 2002    QI, 2002</t>
  </si>
  <si>
    <t>RII, 2002     QII, 2002</t>
  </si>
  <si>
    <t>RIII, 2002     QIII, 2002</t>
  </si>
  <si>
    <t>RIV, 2002     QIV, 2002</t>
  </si>
  <si>
    <t>RI, 2003    QI, 2003</t>
  </si>
  <si>
    <t>RII, 2003     QII, 2003</t>
  </si>
  <si>
    <t>RIII, 2003     QIII, 2003</t>
  </si>
  <si>
    <t>RIV, 2003     QIV, 2003</t>
  </si>
  <si>
    <t>RI, 2004    QI, 2004</t>
  </si>
  <si>
    <t>RIV, 2004     QIV, 2004</t>
  </si>
  <si>
    <t>RI, 2005    QI, 2005</t>
  </si>
  <si>
    <t>RI, 2006    QI, 2006</t>
  </si>
  <si>
    <t>RIV, 2006     QIV, 2006</t>
  </si>
  <si>
    <t>RI, 2007    QI, 2007</t>
  </si>
  <si>
    <t>RII, 2007     QII, 2007</t>
  </si>
  <si>
    <t>RIII, 2007     QIII, 2007</t>
  </si>
  <si>
    <t>RIV, 2007     QIV, 2007</t>
  </si>
  <si>
    <t>RI, 2008    QI, 2008</t>
  </si>
  <si>
    <t>RII, 2008     QII, 2008</t>
  </si>
  <si>
    <t>RIII, 2008     QIII, 2008</t>
  </si>
  <si>
    <t>RIV, 2008     QIV, 2008</t>
  </si>
  <si>
    <t>RI, 2009    QI, 2009</t>
  </si>
  <si>
    <t>RII, 2009     QII, 2009</t>
  </si>
  <si>
    <t>RIII, 2009     QIII, 2009</t>
  </si>
  <si>
    <t>RIV, 2009     QIV, 2009</t>
  </si>
  <si>
    <t>RI, 2010    QI, 2010</t>
  </si>
  <si>
    <t>RII, 2010     QII, 2010</t>
  </si>
  <si>
    <t>RIII, 2010     QIII, 2010</t>
  </si>
  <si>
    <t>RIV, 2010     QIV, 2010</t>
  </si>
  <si>
    <t>RI, 2011     QI, 2011</t>
  </si>
  <si>
    <t>RII, 2011     QII, 2011</t>
  </si>
  <si>
    <t>RIII, 2011     QIII, 2011</t>
  </si>
  <si>
    <t>RIV, 2011     QIV, 2011</t>
  </si>
  <si>
    <t>RIII,2012      QIII,2012</t>
  </si>
  <si>
    <t>RIV,2012      QIV,2012</t>
  </si>
  <si>
    <t xml:space="preserve">RIII,2013  QIII,2013    </t>
  </si>
  <si>
    <t>AZ0102054399</t>
  </si>
  <si>
    <t>AZ0101053392</t>
  </si>
  <si>
    <t>AZ0104055394</t>
  </si>
  <si>
    <t>AZ0204014416</t>
  </si>
  <si>
    <t>AZ0102056394</t>
  </si>
  <si>
    <t>AZ0105027400</t>
  </si>
  <si>
    <t>AZ0106028407</t>
  </si>
  <si>
    <t>AZ0102058390</t>
  </si>
  <si>
    <t>AZ0101057393</t>
  </si>
  <si>
    <t>AZ0104059396</t>
  </si>
  <si>
    <t>AZ0102060396</t>
  </si>
  <si>
    <t>AZ0204015413</t>
  </si>
  <si>
    <t>AZ0106030403</t>
  </si>
  <si>
    <t>AZ0105029406</t>
  </si>
  <si>
    <t>50104438S</t>
  </si>
  <si>
    <t>50104538S</t>
  </si>
  <si>
    <t>50104638S</t>
  </si>
  <si>
    <t>50104738S</t>
  </si>
  <si>
    <t>AZ0104063398</t>
  </si>
  <si>
    <t>AZ0204016411</t>
  </si>
  <si>
    <t>AZ0102064398</t>
  </si>
  <si>
    <t>AZ0105031402</t>
  </si>
  <si>
    <t>AZ0106032409</t>
  </si>
  <si>
    <t>AZ0101065396</t>
  </si>
  <si>
    <t>AZ0102066393</t>
  </si>
  <si>
    <t>AZ0104067399</t>
  </si>
  <si>
    <t>AZ0204017419</t>
  </si>
  <si>
    <t>AZ0106034405</t>
  </si>
  <si>
    <t>AZ0105033408</t>
  </si>
  <si>
    <t>50104838S</t>
  </si>
  <si>
    <t>50104938S</t>
  </si>
  <si>
    <t>50105038S</t>
  </si>
  <si>
    <t>50105138S</t>
  </si>
  <si>
    <t>2014</t>
  </si>
  <si>
    <t>Qeyri-neft ÜDM*</t>
  </si>
  <si>
    <t>50100142S</t>
  </si>
  <si>
    <t>50100242S</t>
  </si>
  <si>
    <t>50100342S</t>
  </si>
  <si>
    <t>50100442S</t>
  </si>
  <si>
    <t>50100542S</t>
  </si>
  <si>
    <t>50100642S</t>
  </si>
  <si>
    <t>50100742S</t>
  </si>
  <si>
    <t>50100842S</t>
  </si>
  <si>
    <t>RIV,2013      QIV,2013</t>
  </si>
  <si>
    <t>50100942S</t>
  </si>
  <si>
    <t>50101042S</t>
  </si>
  <si>
    <t>50101142S</t>
  </si>
  <si>
    <t>50101242S</t>
  </si>
  <si>
    <t>50101342S</t>
  </si>
  <si>
    <t>50101442S</t>
  </si>
  <si>
    <t>50101542S</t>
  </si>
  <si>
    <t>AZ0101001433</t>
  </si>
  <si>
    <t>AZ0102002430</t>
  </si>
  <si>
    <t>AZ0104003436</t>
  </si>
  <si>
    <t>AZ0102004436</t>
  </si>
  <si>
    <t>AZ0204001454</t>
  </si>
  <si>
    <t>AZ0105001447</t>
  </si>
  <si>
    <t>AZ0106002444</t>
  </si>
  <si>
    <t>AZ0101005434</t>
  </si>
  <si>
    <t>AZ0102008437</t>
  </si>
  <si>
    <t>AZ0106004440</t>
  </si>
  <si>
    <t>50101642S</t>
  </si>
  <si>
    <t>50101742S</t>
  </si>
  <si>
    <t>50101942S</t>
  </si>
  <si>
    <t>50102042S</t>
  </si>
  <si>
    <t>50102142S</t>
  </si>
  <si>
    <t>RI,2014      QI,2014</t>
  </si>
  <si>
    <t>İstehlak qiymətləri indeksi</t>
  </si>
  <si>
    <t>AZ0101009436</t>
  </si>
  <si>
    <t>AZ0102010433</t>
  </si>
  <si>
    <t>AZ0104011439</t>
  </si>
  <si>
    <t>AZ0102012439</t>
  </si>
  <si>
    <t>AZ0204003450</t>
  </si>
  <si>
    <t>AZ0106006445</t>
  </si>
  <si>
    <t>AZ0105005448</t>
  </si>
  <si>
    <t>AZ0102014435</t>
  </si>
  <si>
    <t>AZ0101013438</t>
  </si>
  <si>
    <t>AZ0104015430</t>
  </si>
  <si>
    <t>AZ0102016430</t>
  </si>
  <si>
    <t>AZ0204004458</t>
  </si>
  <si>
    <t>AZ0106008441</t>
  </si>
  <si>
    <t>AZ0105007444</t>
  </si>
  <si>
    <t>50102242S</t>
  </si>
  <si>
    <t>50102342S</t>
  </si>
  <si>
    <t>50102442S</t>
  </si>
  <si>
    <t>50102542S</t>
  </si>
  <si>
    <t>AZ0102018436</t>
  </si>
  <si>
    <t>AZ0101017439</t>
  </si>
  <si>
    <t>AZ0104019432</t>
  </si>
  <si>
    <t>AZ0102020432</t>
  </si>
  <si>
    <t>AZ0204005455</t>
  </si>
  <si>
    <t>AZ0105009440</t>
  </si>
  <si>
    <t>AZ0106010447</t>
  </si>
  <si>
    <t>AZ0101021431</t>
  </si>
  <si>
    <t>AZ0102022438</t>
  </si>
  <si>
    <t>AZ0104023434</t>
  </si>
  <si>
    <t>AZ0102024434</t>
  </si>
  <si>
    <t>AZ0204006453</t>
  </si>
  <si>
    <t>AZ0105011446</t>
  </si>
  <si>
    <t>AZ0106012443</t>
  </si>
  <si>
    <t>50102642S</t>
  </si>
  <si>
    <t>50102842S</t>
  </si>
  <si>
    <t>50102942S</t>
  </si>
  <si>
    <t>50103042S</t>
  </si>
  <si>
    <t xml:space="preserve">RII,2014  QII,2014    </t>
  </si>
  <si>
    <t>AZ0102025431</t>
  </si>
  <si>
    <t>AZ0204007451</t>
  </si>
  <si>
    <t>AZ0105013442</t>
  </si>
  <si>
    <t>AZ0106014449</t>
  </si>
  <si>
    <t>50103142S</t>
  </si>
  <si>
    <t>50103242S</t>
  </si>
  <si>
    <t>50103342S</t>
  </si>
  <si>
    <t>50103442S</t>
  </si>
  <si>
    <t>01.02.2012-31.07.2014</t>
  </si>
  <si>
    <t>AZ0101030432</t>
  </si>
  <si>
    <t>AZ0102031439</t>
  </si>
  <si>
    <t>AZ0104032435</t>
  </si>
  <si>
    <t>AZ0102033435</t>
  </si>
  <si>
    <t>AZ0204009457</t>
  </si>
  <si>
    <t>AZ0105017443</t>
  </si>
  <si>
    <t>AZ0106018440</t>
  </si>
  <si>
    <t>AZ0101034434</t>
  </si>
  <si>
    <t>AZ0102035430</t>
  </si>
  <si>
    <t>AZ0104036436</t>
  </si>
  <si>
    <t>AZ0102037436</t>
  </si>
  <si>
    <t>AZ0204010455</t>
  </si>
  <si>
    <t>AZ0105019449</t>
  </si>
  <si>
    <t>AZ0106020446</t>
  </si>
  <si>
    <t>50103542S</t>
  </si>
  <si>
    <t>50103642S</t>
  </si>
  <si>
    <t>50103742S</t>
  </si>
  <si>
    <t>50103842S</t>
  </si>
  <si>
    <t>AZ0101038435</t>
  </si>
  <si>
    <t>AZ0104040438</t>
  </si>
  <si>
    <t>AZ0102041438</t>
  </si>
  <si>
    <t>AZ0204011453</t>
  </si>
  <si>
    <t xml:space="preserve">AZ0106022442 </t>
  </si>
  <si>
    <t>AZ0101042437</t>
  </si>
  <si>
    <t>AZ0102043434</t>
  </si>
  <si>
    <t>AZ0104044430</t>
  </si>
  <si>
    <t>AZ0102045439</t>
  </si>
  <si>
    <t>AZ0204012451</t>
  </si>
  <si>
    <t>AZ0105023441</t>
  </si>
  <si>
    <t>AZ0106024448</t>
  </si>
  <si>
    <t>50103942S</t>
  </si>
  <si>
    <t>50104042S</t>
  </si>
  <si>
    <t>50104142S</t>
  </si>
  <si>
    <t>50104242S</t>
  </si>
  <si>
    <t>50104342S</t>
  </si>
  <si>
    <t xml:space="preserve">RIII,2014  QIII,2014    </t>
  </si>
  <si>
    <t>AZ0105025446</t>
  </si>
  <si>
    <t>AZ0106026443</t>
  </si>
  <si>
    <t>AZ0101050437</t>
  </si>
  <si>
    <t>AZ0102051437</t>
  </si>
  <si>
    <t>AZ0104052433</t>
  </si>
  <si>
    <t>AZ0102053433</t>
  </si>
  <si>
    <t>AZ0204014457</t>
  </si>
  <si>
    <t>AZ0105027442</t>
  </si>
  <si>
    <t>AZ0106028449</t>
  </si>
  <si>
    <t>50104442S</t>
  </si>
  <si>
    <t>50104542S</t>
  </si>
  <si>
    <t>50104642S</t>
  </si>
  <si>
    <t>50104742S</t>
  </si>
  <si>
    <t>50104842S</t>
  </si>
  <si>
    <t>50104942S</t>
  </si>
  <si>
    <t>50105042S</t>
  </si>
  <si>
    <t>50105142S</t>
  </si>
  <si>
    <t>50105242S</t>
  </si>
  <si>
    <t>AZ0101054432</t>
  </si>
  <si>
    <t>AZ0102055438</t>
  </si>
  <si>
    <t>AZ0104056434</t>
  </si>
  <si>
    <t>AZ0102057434</t>
  </si>
  <si>
    <t>AZ0204015454</t>
  </si>
  <si>
    <t>AZ0105029448</t>
  </si>
  <si>
    <t>AZ0106030445</t>
  </si>
  <si>
    <t>AZ0101058433</t>
  </si>
  <si>
    <t>AZ0102059430</t>
  </si>
  <si>
    <t>AZ0104060436</t>
  </si>
  <si>
    <t>AZ0102061436</t>
  </si>
  <si>
    <t>AZ0204016452</t>
  </si>
  <si>
    <t>AZ0105031444</t>
  </si>
  <si>
    <t>AZ0106032441</t>
  </si>
  <si>
    <t>The volume of issue</t>
  </si>
  <si>
    <t>The volume placed at  auction</t>
  </si>
  <si>
    <t>CƏMİ-2009</t>
  </si>
  <si>
    <t>10101931S</t>
  </si>
  <si>
    <t>10103931S</t>
  </si>
  <si>
    <t>10204031S</t>
  </si>
  <si>
    <t>10304131S</t>
  </si>
  <si>
    <t>10700832S</t>
  </si>
  <si>
    <t>10104231S</t>
  </si>
  <si>
    <t>10800932S</t>
  </si>
  <si>
    <t>10104531S</t>
  </si>
  <si>
    <t>10204631S</t>
  </si>
  <si>
    <t>10504731S</t>
  </si>
  <si>
    <t>10304831S</t>
  </si>
  <si>
    <t>10104931S</t>
  </si>
  <si>
    <t>10205031S</t>
  </si>
  <si>
    <t>10305131S</t>
  </si>
  <si>
    <t>10801032S</t>
  </si>
  <si>
    <t>10105231S</t>
  </si>
  <si>
    <t>10205331S</t>
  </si>
  <si>
    <t>10305431S</t>
  </si>
  <si>
    <t>10105531S</t>
  </si>
  <si>
    <t>10205631S</t>
  </si>
  <si>
    <t>10305731S</t>
  </si>
  <si>
    <t>AZ0103003361</t>
  </si>
  <si>
    <t>AZ0105001355</t>
  </si>
  <si>
    <t>AZ0101004361</t>
  </si>
  <si>
    <t>AZ0102005367</t>
  </si>
  <si>
    <t>AZ0106002352</t>
  </si>
  <si>
    <t>AZ0103006364</t>
  </si>
  <si>
    <t>AZ0204002379</t>
  </si>
  <si>
    <t>AZ0101021399</t>
  </si>
  <si>
    <t>AZ0101022397</t>
  </si>
  <si>
    <t>AZ0102024392</t>
  </si>
  <si>
    <t>AZ0204006412</t>
  </si>
  <si>
    <t>AZ0105011404</t>
  </si>
  <si>
    <t>AZ0101025390</t>
  </si>
  <si>
    <t>AZ0102026397</t>
  </si>
  <si>
    <t>AZ0204007410</t>
  </si>
  <si>
    <t>AZ0105013400</t>
  </si>
  <si>
    <t>AZ0105021403</t>
  </si>
  <si>
    <t>AZ0106022400</t>
  </si>
  <si>
    <t>AZ0102006431</t>
  </si>
  <si>
    <t>AZ0104007437</t>
  </si>
  <si>
    <t>AZ0204002452</t>
  </si>
  <si>
    <t>AZ0105003443</t>
  </si>
  <si>
    <t>2015</t>
  </si>
  <si>
    <t>50100146S</t>
  </si>
  <si>
    <t>50100246S</t>
  </si>
  <si>
    <t>RIV,2014      QIV,2014</t>
  </si>
  <si>
    <t>50100346S</t>
  </si>
  <si>
    <t>50100446S</t>
  </si>
  <si>
    <t>50100546S</t>
  </si>
  <si>
    <t>50100646S</t>
  </si>
  <si>
    <t>kredit hesabları</t>
  </si>
  <si>
    <t>credit accounts</t>
  </si>
  <si>
    <t>Cari hesablar manatla</t>
  </si>
  <si>
    <t>Müddətli manatla</t>
  </si>
  <si>
    <t>50100746S</t>
  </si>
  <si>
    <t>50100846S</t>
  </si>
  <si>
    <t>50100946S</t>
  </si>
  <si>
    <t>RI,2015      QI,2015</t>
  </si>
  <si>
    <t>RII,2015      QII,2015</t>
  </si>
  <si>
    <t xml:space="preserve"> +</t>
  </si>
  <si>
    <t>19113.5*</t>
  </si>
  <si>
    <t>18566.4*</t>
  </si>
  <si>
    <t>RIII,2015      QIII,2015</t>
  </si>
  <si>
    <t>2015, 9 ay</t>
  </si>
  <si>
    <t>18744.3</t>
  </si>
  <si>
    <t>2016</t>
  </si>
  <si>
    <t>AZ0102001499</t>
  </si>
  <si>
    <t>AZ0104002495</t>
  </si>
  <si>
    <t>AZ0104004491</t>
  </si>
  <si>
    <t>AZ0102003495</t>
  </si>
  <si>
    <t>AZ0102005490</t>
  </si>
  <si>
    <t>RIV,2015      QIV,2015</t>
  </si>
  <si>
    <t>2015, illik</t>
  </si>
  <si>
    <t>50101046S</t>
  </si>
  <si>
    <t>50101146S</t>
  </si>
  <si>
    <t>50101246S</t>
  </si>
  <si>
    <t>50101346S</t>
  </si>
  <si>
    <t>50101446S</t>
  </si>
  <si>
    <t>01.03.2015 - 02.03.2016</t>
  </si>
  <si>
    <t>RI,2016     QI,2016</t>
  </si>
  <si>
    <t xml:space="preserve">Correspondent accounts </t>
  </si>
  <si>
    <t>Müxbir hesablar</t>
  </si>
  <si>
    <t>Deposits in manat**</t>
  </si>
  <si>
    <t>RII,2016     QII,2016</t>
  </si>
  <si>
    <t>AZ0102001515</t>
  </si>
  <si>
    <t>AZ0104002511</t>
  </si>
  <si>
    <t>AZ0101003512</t>
  </si>
  <si>
    <t>AZ0101004510</t>
  </si>
  <si>
    <t>AZ0102005516</t>
  </si>
  <si>
    <t>AZ0101007513</t>
  </si>
  <si>
    <t>AZ0101008511</t>
  </si>
  <si>
    <t>AZ0102009518</t>
  </si>
  <si>
    <t>AZ0104010514</t>
  </si>
  <si>
    <t>AZ0101011515</t>
  </si>
  <si>
    <t>AZ0102006498</t>
  </si>
  <si>
    <t>AZ0102008494</t>
  </si>
  <si>
    <t>AZ0104010498</t>
  </si>
  <si>
    <t>AZ0102009492</t>
  </si>
  <si>
    <t>AZ0102011498</t>
  </si>
  <si>
    <t>AZ0104013492</t>
  </si>
  <si>
    <t>AZ0102012496</t>
  </si>
  <si>
    <t>AZ0102014492</t>
  </si>
  <si>
    <t>AZ0104013518</t>
  </si>
  <si>
    <t>AZ0102012512</t>
  </si>
  <si>
    <t>AZ0104014516</t>
  </si>
  <si>
    <t>AZ0101015516</t>
  </si>
  <si>
    <t>AZ01040165111</t>
  </si>
  <si>
    <t>AZ0102017511</t>
  </si>
  <si>
    <t>AZ0104019515</t>
  </si>
  <si>
    <t>AZ0102018519</t>
  </si>
  <si>
    <t>AZ0101020516</t>
  </si>
  <si>
    <t>AZ0104021511</t>
  </si>
  <si>
    <t>AZ0102022511</t>
  </si>
  <si>
    <t>AZ0102023519</t>
  </si>
  <si>
    <t>50100152S</t>
  </si>
  <si>
    <t>50100252S</t>
  </si>
  <si>
    <t>50100352S</t>
  </si>
  <si>
    <t>50100452S</t>
  </si>
  <si>
    <t>50100552S</t>
  </si>
  <si>
    <t>AZ0101024518</t>
  </si>
  <si>
    <t>AZ0104026510</t>
  </si>
  <si>
    <t>AZ0102025514</t>
  </si>
  <si>
    <t>AZ0102027510</t>
  </si>
  <si>
    <t>AZ0104028516</t>
  </si>
  <si>
    <t>50100652S</t>
  </si>
  <si>
    <t>50100752S</t>
  </si>
  <si>
    <t>50100852S</t>
  </si>
  <si>
    <t>50100952S</t>
  </si>
  <si>
    <t>2017</t>
  </si>
  <si>
    <t>50100153S</t>
  </si>
  <si>
    <t>50100253S</t>
  </si>
  <si>
    <t>50100353S</t>
  </si>
  <si>
    <t>50100453S</t>
  </si>
  <si>
    <t>AZ0104001547</t>
  </si>
  <si>
    <t>AZ0102002547</t>
  </si>
  <si>
    <t>AZ0105001553</t>
  </si>
  <si>
    <t>50100553S</t>
  </si>
  <si>
    <t>50100653S</t>
  </si>
  <si>
    <t>50100753S</t>
  </si>
  <si>
    <t>50200853S</t>
  </si>
  <si>
    <t>RIII,2016     QIII,2016</t>
  </si>
  <si>
    <t>RIV,2016      QIV,2016</t>
  </si>
  <si>
    <t>AZ0102003545</t>
  </si>
  <si>
    <t>AZ0104004541</t>
  </si>
  <si>
    <t>AZ0105002551</t>
  </si>
  <si>
    <t>50100156S</t>
  </si>
  <si>
    <t>50100256S</t>
  </si>
  <si>
    <t>50100356S</t>
  </si>
  <si>
    <t>50100456S</t>
  </si>
  <si>
    <t>AZ0102005540</t>
  </si>
  <si>
    <t>AZ0105003559</t>
  </si>
  <si>
    <t>AZ0104007544</t>
  </si>
  <si>
    <t>AZ0102006548</t>
  </si>
  <si>
    <t>AZ0104008542</t>
  </si>
  <si>
    <t>50100556S</t>
  </si>
  <si>
    <t>50100656S</t>
  </si>
  <si>
    <t>50100756S</t>
  </si>
  <si>
    <t>AZ0104009540</t>
  </si>
  <si>
    <t>AZ0102010540</t>
  </si>
  <si>
    <t>AZ0105004557</t>
  </si>
  <si>
    <t>AZ0104011546</t>
  </si>
  <si>
    <t>50100856S</t>
  </si>
  <si>
    <t>50100956S</t>
  </si>
  <si>
    <t>50101056S</t>
  </si>
  <si>
    <t>50101156S</t>
  </si>
  <si>
    <t>50101256S</t>
  </si>
  <si>
    <t>RI,2017     QI,2017</t>
  </si>
  <si>
    <t xml:space="preserve">   о cümlədən ödəniş kartları ilə</t>
  </si>
  <si>
    <t xml:space="preserve">   Qısamüddətli kredit qoyuluşu</t>
  </si>
  <si>
    <t xml:space="preserve"> O cümlədən sahibkarlıq fəaliyyətilə məşqul olanlara</t>
  </si>
  <si>
    <t xml:space="preserve">    о cümlədən ödəniş kartları ilə</t>
  </si>
  <si>
    <t>Aprel</t>
  </si>
  <si>
    <t>Mart</t>
  </si>
  <si>
    <t>Fevral</t>
  </si>
  <si>
    <t>Yanvar</t>
  </si>
  <si>
    <t>Dekabr</t>
  </si>
  <si>
    <t>Yanvar-Noyabr</t>
  </si>
  <si>
    <t>Yanvar-Oktyabr</t>
  </si>
  <si>
    <t>Yanvar-Sentyabr</t>
  </si>
  <si>
    <t>Yanvar-Avqust</t>
  </si>
  <si>
    <t>Yanvar-İyul</t>
  </si>
  <si>
    <t>Yanvar-İyun</t>
  </si>
  <si>
    <t>Yanvar-May</t>
  </si>
  <si>
    <t>Yanvar-Aprel</t>
  </si>
  <si>
    <t>Yanvar-Mart</t>
  </si>
  <si>
    <t>Yanvar-Fevral</t>
  </si>
  <si>
    <t>Yanvar-Iyun</t>
  </si>
  <si>
    <t xml:space="preserve">  - dövlət mülkiyyətində olan müəssisələrə</t>
  </si>
  <si>
    <t xml:space="preserve">  - özəl müəssisələrə</t>
  </si>
  <si>
    <t>Yanvar-Dekabr</t>
  </si>
  <si>
    <t>Yanvar-Iyul</t>
  </si>
  <si>
    <t>May</t>
  </si>
  <si>
    <t>İyun</t>
  </si>
  <si>
    <t>AZ0102012546</t>
  </si>
  <si>
    <t>AZ0105005554</t>
  </si>
  <si>
    <t>AZ0102013544</t>
  </si>
  <si>
    <t>AZ0104014540</t>
  </si>
  <si>
    <t>50101356S</t>
  </si>
  <si>
    <t>50100157S</t>
  </si>
  <si>
    <t>50100257S</t>
  </si>
  <si>
    <t>50100357S</t>
  </si>
  <si>
    <t>İyul</t>
  </si>
  <si>
    <t>AZ0102015549</t>
  </si>
  <si>
    <t>AZ0104016545</t>
  </si>
  <si>
    <t>AZ0105006552</t>
  </si>
  <si>
    <t>AZ0102017545</t>
  </si>
  <si>
    <t>50100457S</t>
  </si>
  <si>
    <t>50100158S</t>
  </si>
  <si>
    <t>50100258S</t>
  </si>
  <si>
    <t>50100358S</t>
  </si>
  <si>
    <t>RII,2017     QII,2017</t>
  </si>
  <si>
    <t>Avqust</t>
  </si>
  <si>
    <t>AZ0101018544</t>
  </si>
  <si>
    <t>AZ0102019541</t>
  </si>
  <si>
    <t>AZ0104020547</t>
  </si>
  <si>
    <t>AZ0105007550</t>
  </si>
  <si>
    <t>50100159S</t>
  </si>
  <si>
    <t>50100259S</t>
  </si>
  <si>
    <t>50100359S</t>
  </si>
  <si>
    <t>50100160S</t>
  </si>
  <si>
    <t>50100260S</t>
  </si>
  <si>
    <t>Sentyabr</t>
  </si>
  <si>
    <t>AZ0102021547</t>
  </si>
  <si>
    <t>AZ0104022543</t>
  </si>
  <si>
    <t>AZ0102023543</t>
  </si>
  <si>
    <t>AZ0104024549</t>
  </si>
  <si>
    <t>AZ0105008558</t>
  </si>
  <si>
    <t>50100360S</t>
  </si>
  <si>
    <t>50100161S</t>
  </si>
  <si>
    <t>50100261S</t>
  </si>
  <si>
    <t>50100361S</t>
  </si>
  <si>
    <t>Deposits in foreign currency**</t>
  </si>
  <si>
    <t xml:space="preserve">   о cümlədən qeyri-rezidentlərə</t>
  </si>
  <si>
    <t>2127.5**</t>
  </si>
  <si>
    <t>Oktyabr</t>
  </si>
  <si>
    <t>AZ0101025549</t>
  </si>
  <si>
    <t>AZ0104026544</t>
  </si>
  <si>
    <t>AZ0102027544</t>
  </si>
  <si>
    <t>AZ0105009556</t>
  </si>
  <si>
    <t>AZ0106001644</t>
  </si>
  <si>
    <t>50100461S</t>
  </si>
  <si>
    <t>50100262S</t>
  </si>
  <si>
    <t>50100362S</t>
  </si>
  <si>
    <t>50100462S</t>
  </si>
  <si>
    <t xml:space="preserve">  </t>
  </si>
  <si>
    <t>Noyabr</t>
  </si>
  <si>
    <t>AZ0104028540</t>
  </si>
  <si>
    <t>AZ0106002642</t>
  </si>
  <si>
    <t>AZ0105003641</t>
  </si>
  <si>
    <t>AZ0102029540</t>
  </si>
  <si>
    <t>50100562S</t>
  </si>
  <si>
    <t>50100165S</t>
  </si>
  <si>
    <t>50100265S</t>
  </si>
  <si>
    <t>50100365S</t>
  </si>
  <si>
    <t>50100465S</t>
  </si>
  <si>
    <t>RIII,2017     QIII,2017</t>
  </si>
  <si>
    <t>AZ0106004648</t>
  </si>
  <si>
    <t>AZ0105005646</t>
  </si>
  <si>
    <t>AZ0102001630</t>
  </si>
  <si>
    <t>AZ0104002636</t>
  </si>
  <si>
    <t>50100166S</t>
  </si>
  <si>
    <t>50100266S</t>
  </si>
  <si>
    <t>50100366S</t>
  </si>
  <si>
    <t>50100466S</t>
  </si>
  <si>
    <t>2018</t>
  </si>
  <si>
    <t>AZ0104001687</t>
  </si>
  <si>
    <t>AZ0106001693</t>
  </si>
  <si>
    <t>50100167S</t>
  </si>
  <si>
    <t>50100267S</t>
  </si>
  <si>
    <t>50100367S</t>
  </si>
  <si>
    <t>50100467S</t>
  </si>
  <si>
    <t>50100567S</t>
  </si>
  <si>
    <t>İqtisadiyyata tələblər</t>
  </si>
  <si>
    <t>İqtisadiyyata tələblər*</t>
  </si>
  <si>
    <t>AİKZF-in ipoteka portfeli üzrə orta göstəricilər</t>
  </si>
  <si>
    <t>RIV,2017     QIV,2017</t>
  </si>
  <si>
    <t>2017 ILLIK</t>
  </si>
  <si>
    <t>AZ0105002692</t>
  </si>
  <si>
    <t>AZ0104002685</t>
  </si>
  <si>
    <t>AZ0106003699</t>
  </si>
  <si>
    <t>50100667S</t>
  </si>
  <si>
    <t>50100767S</t>
  </si>
  <si>
    <t>50100867S</t>
  </si>
  <si>
    <t>50100967S</t>
  </si>
  <si>
    <t>AZ0105004698</t>
  </si>
  <si>
    <t>AZ0106005694</t>
  </si>
  <si>
    <t>50101067S</t>
  </si>
  <si>
    <t>50101167S</t>
  </si>
  <si>
    <t>50101267S</t>
  </si>
  <si>
    <t>AZ0104003683</t>
  </si>
  <si>
    <t>AZ0106007690</t>
  </si>
  <si>
    <t>AZ0105008699</t>
  </si>
  <si>
    <t>50101367S</t>
  </si>
  <si>
    <t>50101467S</t>
  </si>
  <si>
    <t>50101567S</t>
  </si>
  <si>
    <t>50101667S</t>
  </si>
  <si>
    <t>RI,2018     QI,2018</t>
  </si>
  <si>
    <t>AZ0104004681</t>
  </si>
  <si>
    <t>AZ0106009696</t>
  </si>
  <si>
    <t>50101767S</t>
  </si>
  <si>
    <t>50101867S</t>
  </si>
  <si>
    <t>50101967S</t>
  </si>
  <si>
    <t>50102067S</t>
  </si>
  <si>
    <t>50102167S</t>
  </si>
  <si>
    <t>Əvvəlki ilin müvafiq dövrünə nisbətən dəyişmə, %-lə</t>
  </si>
  <si>
    <t>On a relevant period of previous year, %</t>
  </si>
  <si>
    <t>AZ0104005688</t>
  </si>
  <si>
    <t>AZ0105010695</t>
  </si>
  <si>
    <t>50102267S</t>
  </si>
  <si>
    <t>50100170S</t>
  </si>
  <si>
    <t>50100270S</t>
  </si>
  <si>
    <t>50100370S</t>
  </si>
  <si>
    <t>Nominal orta aylıq əmək haqqı</t>
  </si>
  <si>
    <t>AZ0105011693</t>
  </si>
  <si>
    <t>AZ0104006686</t>
  </si>
  <si>
    <t>AZ0106012690</t>
  </si>
  <si>
    <t>50100470S</t>
  </si>
  <si>
    <t>50100570S</t>
  </si>
  <si>
    <t>50100770S</t>
  </si>
  <si>
    <t>RII,2018     QII,2018</t>
  </si>
  <si>
    <t xml:space="preserve">AZ0105013699 </t>
  </si>
  <si>
    <t>AZ0104007684</t>
  </si>
  <si>
    <t xml:space="preserve">AZ0106014696 </t>
  </si>
  <si>
    <t>50100870S</t>
  </si>
  <si>
    <t>50100970S</t>
  </si>
  <si>
    <t>50101070S</t>
  </si>
  <si>
    <t>50101170S</t>
  </si>
  <si>
    <t>50101270S</t>
  </si>
  <si>
    <t xml:space="preserve">AZ0102008684 </t>
  </si>
  <si>
    <t>AZ0102009682</t>
  </si>
  <si>
    <t xml:space="preserve">AZ0104010688 </t>
  </si>
  <si>
    <t>50101370S</t>
  </si>
  <si>
    <t>50101470S</t>
  </si>
  <si>
    <t>50101570S</t>
  </si>
  <si>
    <t>AZ0105015694</t>
  </si>
  <si>
    <t>AZ0104011686</t>
  </si>
  <si>
    <t>AZ0106016691</t>
  </si>
  <si>
    <t>50101770S</t>
  </si>
  <si>
    <t>50101870S</t>
  </si>
  <si>
    <t>50101970S</t>
  </si>
  <si>
    <t>50100172S</t>
  </si>
  <si>
    <t>50100272S</t>
  </si>
  <si>
    <t>AZ0105017690</t>
  </si>
  <si>
    <t>AZ0104012684</t>
  </si>
  <si>
    <t>AZ0106018697</t>
  </si>
  <si>
    <t>50100372S</t>
  </si>
  <si>
    <t>50100472S</t>
  </si>
  <si>
    <t>50100572S</t>
  </si>
  <si>
    <t>50100672S</t>
  </si>
  <si>
    <t>RIII,2018     QIII,2018</t>
  </si>
  <si>
    <t>AZ0105019696</t>
  </si>
  <si>
    <t>AZ0104013682</t>
  </si>
  <si>
    <t>AZ0106020693</t>
  </si>
  <si>
    <t>50100772S</t>
  </si>
  <si>
    <t>50100872S</t>
  </si>
  <si>
    <t>50100972S</t>
  </si>
  <si>
    <t>50101072S</t>
  </si>
  <si>
    <t>2019</t>
  </si>
  <si>
    <t>AZ0104001745</t>
  </si>
  <si>
    <t>AZ0106001750</t>
  </si>
  <si>
    <t>50100173S</t>
  </si>
  <si>
    <t>50100273S</t>
  </si>
  <si>
    <t>50100373S</t>
  </si>
  <si>
    <t>50100473S</t>
  </si>
  <si>
    <t>50100573S</t>
  </si>
  <si>
    <t xml:space="preserve"> Elektron ticarət vasitəsilə </t>
  </si>
  <si>
    <t>via E-commerce</t>
  </si>
  <si>
    <t xml:space="preserve"> Elektron ticarət</t>
  </si>
  <si>
    <t>RIV,2018      QIV,2018</t>
  </si>
  <si>
    <t>AZ0105002759</t>
  </si>
  <si>
    <t>AZ0104002743</t>
  </si>
  <si>
    <t>AZ0106003756</t>
  </si>
  <si>
    <t>50100673S</t>
  </si>
  <si>
    <t>50100773S</t>
  </si>
  <si>
    <t>50100873S</t>
  </si>
  <si>
    <t>50100973S</t>
  </si>
  <si>
    <t xml:space="preserve">                                                                                                                                                                    ədəd/unit</t>
  </si>
  <si>
    <t>orta %  dərəcəsi</t>
  </si>
  <si>
    <t>AZ0106005751</t>
  </si>
  <si>
    <t>AZ0104003741</t>
  </si>
  <si>
    <t>50101073S</t>
  </si>
  <si>
    <t>50101173S</t>
  </si>
  <si>
    <t>50101273S</t>
  </si>
  <si>
    <t>50101373S</t>
  </si>
  <si>
    <t>AZ0105006750</t>
  </si>
  <si>
    <t>AZ0104004749</t>
  </si>
  <si>
    <t>AZ0106007757</t>
  </si>
  <si>
    <t>50101473S</t>
  </si>
  <si>
    <t>50101573S</t>
  </si>
  <si>
    <t>50101673S</t>
  </si>
  <si>
    <t>50101773S</t>
  </si>
  <si>
    <t>RI,2019     QI,2019</t>
  </si>
  <si>
    <t>AZ0105008756</t>
  </si>
  <si>
    <t>AZ0104005746</t>
  </si>
  <si>
    <t>AZ0106009753</t>
  </si>
  <si>
    <t>50100176S</t>
  </si>
  <si>
    <t>50100276S</t>
  </si>
  <si>
    <t>50100376S</t>
  </si>
  <si>
    <t>50100476S</t>
  </si>
  <si>
    <t>50100576S</t>
  </si>
  <si>
    <t>AZ0105010752</t>
  </si>
  <si>
    <t>AZ0104006744</t>
  </si>
  <si>
    <t>AZ0106011759</t>
  </si>
  <si>
    <t>50100676S</t>
  </si>
  <si>
    <t>50100776S</t>
  </si>
  <si>
    <t>50100876S</t>
  </si>
  <si>
    <t>50100976S</t>
  </si>
  <si>
    <t>AZ0106012757</t>
  </si>
  <si>
    <t>AZ0105013756</t>
  </si>
  <si>
    <t>AZ0104007742</t>
  </si>
  <si>
    <t>AZ0105014754</t>
  </si>
  <si>
    <t>50101076S</t>
  </si>
  <si>
    <t>50101176S</t>
  </si>
  <si>
    <t>50101276S</t>
  </si>
  <si>
    <t>50101376S</t>
  </si>
  <si>
    <t>50101476S</t>
  </si>
  <si>
    <t xml:space="preserve">AZ0105015751 </t>
  </si>
  <si>
    <t>AZ0104008740</t>
  </si>
  <si>
    <t>AZ0106016758</t>
  </si>
  <si>
    <t>50101576S</t>
  </si>
  <si>
    <t>50101676S</t>
  </si>
  <si>
    <t>50101776S</t>
  </si>
  <si>
    <t>50101876S</t>
  </si>
  <si>
    <t>RII,2019     QII,2019</t>
  </si>
  <si>
    <t>AZ0105017757</t>
  </si>
  <si>
    <t>AZ0104009748</t>
  </si>
  <si>
    <t>AZ0106018754</t>
  </si>
  <si>
    <t>50101976S</t>
  </si>
  <si>
    <t>50102076S</t>
  </si>
  <si>
    <t>50102176S</t>
  </si>
  <si>
    <t>50202276S</t>
  </si>
  <si>
    <t>50102376S</t>
  </si>
  <si>
    <t>50102476S</t>
  </si>
  <si>
    <t>50302576S</t>
  </si>
  <si>
    <t>50102776S</t>
  </si>
  <si>
    <t>50402676S</t>
  </si>
  <si>
    <t>50102876S</t>
  </si>
  <si>
    <t>50102976S</t>
  </si>
  <si>
    <t>50103076S</t>
  </si>
  <si>
    <t>RIII,2019     QIII,2019</t>
  </si>
  <si>
    <t>50103176S</t>
  </si>
  <si>
    <t>50103276S</t>
  </si>
  <si>
    <t>50103376S</t>
  </si>
  <si>
    <t>50103476S</t>
  </si>
  <si>
    <t xml:space="preserve">nizamnamə kapitalının 50%-dən az olan hissəsini  təşkil edən </t>
  </si>
  <si>
    <t>Bankların şöbələrinin sayı</t>
  </si>
  <si>
    <t>Bankların filiallarının sayı</t>
  </si>
  <si>
    <t>İlin əvvəlindən lisenziyası ləğv edilmiş bankların sayı</t>
  </si>
  <si>
    <t>İlin əvvəlindən lisenziya alan bankların sayı</t>
  </si>
  <si>
    <t>Xarici kapitallı banklar</t>
  </si>
  <si>
    <t>Bankların sayı</t>
  </si>
  <si>
    <t xml:space="preserve">Maliyyə bazarlarının iştirakçıları haqqında ümumi məlumat </t>
  </si>
  <si>
    <t>13. Cəmi öhdəliklər və kapital</t>
  </si>
  <si>
    <t>12. Cəmi kapital</t>
  </si>
  <si>
    <t>11. Ümumi ehtiyatlar</t>
  </si>
  <si>
    <t>10. Xüsusi kapital</t>
  </si>
  <si>
    <t xml:space="preserve">KAPİTAL </t>
  </si>
  <si>
    <t>9. Cəmi öhdəliklər</t>
  </si>
  <si>
    <t>8. Digər passivlər</t>
  </si>
  <si>
    <t>7. Banklar tərəfindən buraxılmış qiymətli kağızlar</t>
  </si>
  <si>
    <t>6. Digər maliyyə institutlarının kreditləri</t>
  </si>
  <si>
    <t xml:space="preserve">5. Bankların kreditləri </t>
  </si>
  <si>
    <t>4. Maliyyə institutlarının  depozitləri</t>
  </si>
  <si>
    <t>3. Loro hesablar</t>
  </si>
  <si>
    <t>2. Mərkəzi Bankın banklara qarşı tələbləri</t>
  </si>
  <si>
    <t xml:space="preserve">          - sahibkarlıqla məşğul olan fiziki şəxslərin depozitləri</t>
  </si>
  <si>
    <t xml:space="preserve">        1.2.1 müddətli</t>
  </si>
  <si>
    <t xml:space="preserve">       1.1.2 tələbli</t>
  </si>
  <si>
    <t xml:space="preserve">       1.1.1 müddətli</t>
  </si>
  <si>
    <t>1.1 Fiziki şəxslərin depoziti</t>
  </si>
  <si>
    <t>1. Depozitlər (maliyyə institutları istisna olmaqla)</t>
  </si>
  <si>
    <t>Öhdəliklər</t>
  </si>
  <si>
    <t>11. Cəmi aktivlər</t>
  </si>
  <si>
    <t>10. Digər aktivlər (məqsədli ehtiyatlar çıxılmaqla)</t>
  </si>
  <si>
    <t>9. Qeyri-maddi aktivlər</t>
  </si>
  <si>
    <t>8.  Əsas vəsaitlər</t>
  </si>
  <si>
    <t xml:space="preserve">7.2 Xalis kreditlər </t>
  </si>
  <si>
    <t>7.1 Kreditlər üzrə mümkün zərərlərin ödənilməsi üçün məqsədli ehtiyat</t>
  </si>
  <si>
    <t>7. Müştərilərə verilən kreditlər</t>
  </si>
  <si>
    <t>6.1 xalis kreditlər</t>
  </si>
  <si>
    <t>6. Banklar da daxil olmaqla, maliyyə institutlarına kreditlər</t>
  </si>
  <si>
    <t>5. Qiymətli kağızlar</t>
  </si>
  <si>
    <t>4. Banklar da daxil olmaqla, maliyyə institutlarındakı depozitlər</t>
  </si>
  <si>
    <t>3. Nostro hesablar (başqa banklardakı müxbir hesablar)</t>
  </si>
  <si>
    <t xml:space="preserve">1. Nağd vəsaitlər </t>
  </si>
  <si>
    <t>Aktivlər</t>
  </si>
  <si>
    <t>11. Xalis mənfəət (zərər)</t>
  </si>
  <si>
    <t>10. Mənfəətdən vergilər</t>
  </si>
  <si>
    <t>8. Digər gəlirlər (xərclər)</t>
  </si>
  <si>
    <t>5. Qeyri-faiz xərcləri</t>
  </si>
  <si>
    <t>4. Qeyri-faiz gəlirləri</t>
  </si>
  <si>
    <t>2.1 depozitlər üzrə faizlər</t>
  </si>
  <si>
    <t>2. Faiz və onlara bağlı xərclər</t>
  </si>
  <si>
    <t>1. Faiz və gəlirlərin bu qəbildən olan növləri</t>
  </si>
  <si>
    <t>Mənfəət və zərər maddələri</t>
  </si>
  <si>
    <t>7.Aktivlər üzrə mümkün zərərlərin ödənilməsi üçün xüsusi ehtiyatın yaradılmasına ayırmalar (xərclər)</t>
  </si>
  <si>
    <t>Göstəricilər</t>
  </si>
  <si>
    <t>YEKUN</t>
  </si>
  <si>
    <t>Qeyri-həyat sığortası üzrə</t>
  </si>
  <si>
    <t>Həyat sığortası üzrə</t>
  </si>
  <si>
    <t xml:space="preserve"> o cümlədən:</t>
  </si>
  <si>
    <t>İcbari sığortalar üzrə - cəmi:</t>
  </si>
  <si>
    <t xml:space="preserve">      işin dayanması ilə bağlı risklərdən sığorta</t>
  </si>
  <si>
    <t>qarışıq maliyyə risklərinin sığortası,  o cümlədən:</t>
  </si>
  <si>
    <t xml:space="preserve">       kreditlərin sığortası</t>
  </si>
  <si>
    <t>kredit sığortası, o cümlədən:</t>
  </si>
  <si>
    <t xml:space="preserve">       mülki-hüquqi müqavilə üzrə mülki məsuliyyətin sığortası</t>
  </si>
  <si>
    <t xml:space="preserve">       su nəqliyyatı vasitələri sahiblərinin mülki məsuliyyətinin sığortası</t>
  </si>
  <si>
    <t xml:space="preserve">       yük daşıyanın mülki məsuliyyətinin sığortası</t>
  </si>
  <si>
    <t xml:space="preserve">       işəgötürənin məsuliyyət sığortası</t>
  </si>
  <si>
    <t xml:space="preserve">       peşə məsuliyyətinin sığortası</t>
  </si>
  <si>
    <t xml:space="preserve">       avtonəqliyyat vasitələri sahiblərinin mülki məsuliyyətinin sığortası</t>
  </si>
  <si>
    <t xml:space="preserve">       ümumi mülki məsuliyyətin sığortası</t>
  </si>
  <si>
    <t xml:space="preserve">       hava nəqliyyatı vasitələri sahiblərinin mülki məsuliyyətinin sığortası</t>
  </si>
  <si>
    <t>mülki məsuliyyətin sığortası, o cümlədən:</t>
  </si>
  <si>
    <t xml:space="preserve">        - pul və pul sənədlərinin saxtalaşdırılmasından sığorta</t>
  </si>
  <si>
    <t xml:space="preserve">        - işçilərin dələduzluğu sığortası</t>
  </si>
  <si>
    <t xml:space="preserve">     əmlakın sığortası ilə bağlı digər siniflər,  o cümlədən:</t>
  </si>
  <si>
    <t xml:space="preserve">     kənd təsərrüfatı bitkiləri məhsullarının sığortası</t>
  </si>
  <si>
    <t xml:space="preserve">     dəmiryol nəqliyyatı vasitələrinin sığortası</t>
  </si>
  <si>
    <t xml:space="preserve">     su nəqliyyat vasitələrinin sığortası</t>
  </si>
  <si>
    <t xml:space="preserve">     kənd təsərrüfatı heyvanlarının sığortası</t>
  </si>
  <si>
    <t xml:space="preserve">     yüklərin (nəqliyyat) sığortası</t>
  </si>
  <si>
    <t xml:space="preserve">     avtonəqliyyat vasitələrinin sığortası</t>
  </si>
  <si>
    <t xml:space="preserve">     əmlakın yanğından və digər risklərdən sığortası</t>
  </si>
  <si>
    <t xml:space="preserve">     hava nəqliyyatı vasitələrinin sığortası</t>
  </si>
  <si>
    <t>əmlakın sığortası,  o cümlədən:</t>
  </si>
  <si>
    <t>Əmlak sığortası, o cümlədən:</t>
  </si>
  <si>
    <t xml:space="preserve">    fərdi qəza və xəstəlik sığortası</t>
  </si>
  <si>
    <t xml:space="preserve">    xaricə səfər edən vətəndaşların sığortası</t>
  </si>
  <si>
    <t xml:space="preserve">    tibbi sığorta</t>
  </si>
  <si>
    <t>Şəxsi sığorta,  o cümlədən:</t>
  </si>
  <si>
    <t>Qeyri-həyat sığortası üzrə, o cümlədən</t>
  </si>
  <si>
    <t xml:space="preserve">     sağalmaz xəstəliklərdən sığorta</t>
  </si>
  <si>
    <t xml:space="preserve">     əmək qabiliyyətinin sığortası</t>
  </si>
  <si>
    <t xml:space="preserve">     həyatın ölüm halından sığortası</t>
  </si>
  <si>
    <t xml:space="preserve">     həyatın yaşam sığortası</t>
  </si>
  <si>
    <t>Həyat sığortası üzrə, o cümlədən:</t>
  </si>
  <si>
    <t>Könüllü sığortalar üzrə - cəmi:</t>
  </si>
  <si>
    <t>Sığorta ödənişləri</t>
  </si>
  <si>
    <t>yanvar</t>
  </si>
  <si>
    <t>Sığorta sinifləri</t>
  </si>
  <si>
    <t>Sığorta növləri üzrə sığorta haqları və sığorta ödənişləri</t>
  </si>
  <si>
    <t>“Alfa Sığorta” Açıq Səhmdar Cəmiyyəti</t>
  </si>
  <si>
    <t>“Azərqarant Sığorta” Açıq Səhmdar Cəmiyyəti</t>
  </si>
  <si>
    <t>“Buta Sığorta” Açıq Səhmdar Cəmiyyəti</t>
  </si>
  <si>
    <t>“Beynəlxalq Sığorta Şirkəti” Açıq Səhmdar Cəmiyyəti</t>
  </si>
  <si>
    <t>“Başak İnam Sığorta Şirkəti” Açıq Səhmdar Cəmiyyəti</t>
  </si>
  <si>
    <t>“Xalq Sığorta” Açıq Səhmdar Cəmiyyəti</t>
  </si>
  <si>
    <t>"Xalq Həyat" Sığorta Şirkəti Açıq Səhmdar Cəmiyyəti</t>
  </si>
  <si>
    <t>“Standard Insurance” Açıq Səhmdar Cəmiyyəti</t>
  </si>
  <si>
    <t>“Rəvan Sığorta” Açıq Səhmdar Cəmiyyəti</t>
  </si>
  <si>
    <t>“Qala Sığorta” Açıq Səhmdar Cəmiyyəti</t>
  </si>
  <si>
    <t>“Qala Həyat” Sığorta Şirkəti Açıq Səhmdar Cəmiyyəti</t>
  </si>
  <si>
    <t>“Paşa Sığorta” Açıq Səhmdar Cəmiyyəti</t>
  </si>
  <si>
    <t>“Paşa Həyat Sığorta” Açıq Səhmdar Cəmiyyəti</t>
  </si>
  <si>
    <t>"Naxçıvansığorta" Açıq Səhmdar Cəmiyyəti</t>
  </si>
  <si>
    <t>“Meqa Sığorta” Açıq Səhmdar Cəmiyyəti</t>
  </si>
  <si>
    <t>“Günay Sığorta” Açıq Səhmdar Cəmiyyəti</t>
  </si>
  <si>
    <t>“Bakı Sığorta” Açıq Səhmdar Cəmiyyəti</t>
  </si>
  <si>
    <t>“Azərbaycan Sənaye Sığorta” Açıq Səhmdar Cəmiyyəti</t>
  </si>
  <si>
    <t>“AXA MBASK” Sığorta Şirkəti Açıq Səhmdar Cəmiyyəti</t>
  </si>
  <si>
    <t>“Atəşgah” Sığorta Şirkəti Açıq Səhmdar Cəmiyyəti</t>
  </si>
  <si>
    <t>“Atəşgah Həyat” Sığorta Şirkəti Açıq Səhmdar Cəmiyyəti</t>
  </si>
  <si>
    <t>“AtaSığorta” Açıq Səhmdar Cəmiyyəti</t>
  </si>
  <si>
    <t>“A-Qroup Sığorta Şirkəti” Açıq Səhmdar Cəmiyyəti</t>
  </si>
  <si>
    <t>“Amrah Sığorta” Açıq Səhmdar Cəmiyyəti</t>
  </si>
  <si>
    <t>Sığorta Ödənişləri</t>
  </si>
  <si>
    <t>Sığortaçının adı</t>
  </si>
  <si>
    <t>№</t>
  </si>
  <si>
    <t xml:space="preserve">Sığorta şirkətləri üzrə sığorta haqları və sığorta ödənişləri </t>
  </si>
  <si>
    <t xml:space="preserve">Dekabr </t>
  </si>
  <si>
    <t>50103576S</t>
  </si>
  <si>
    <t>50103676S</t>
  </si>
  <si>
    <t>50203776S</t>
  </si>
  <si>
    <t>50103876S</t>
  </si>
  <si>
    <t>50103976S</t>
  </si>
  <si>
    <t>AZ0105019753</t>
  </si>
  <si>
    <t>  05.10.2021</t>
  </si>
  <si>
    <t>AZ0104010746</t>
  </si>
  <si>
    <t>AZ0106020750</t>
  </si>
  <si>
    <t>AZ0105021759</t>
  </si>
  <si>
    <t>AZ0104011744</t>
  </si>
  <si>
    <t>AZ0106022756</t>
  </si>
  <si>
    <t>AZ0105023755</t>
  </si>
  <si>
    <t>AZ0104012742</t>
  </si>
  <si>
    <t>AZ0106024752</t>
  </si>
  <si>
    <t>  20/12/2022</t>
  </si>
  <si>
    <t>2020</t>
  </si>
  <si>
    <t>50200179S</t>
  </si>
  <si>
    <t>50300279S</t>
  </si>
  <si>
    <t>50400379S</t>
  </si>
  <si>
    <t> AZ0105002783</t>
  </si>
  <si>
    <t>AZ0104001778</t>
  </si>
  <si>
    <t>19/1/2021</t>
  </si>
  <si>
    <t>AZ0108001782</t>
  </si>
  <si>
    <t>21/1/2025</t>
  </si>
  <si>
    <t>RIV,2019      QIV,2019</t>
  </si>
  <si>
    <t>AZ0105003781</t>
  </si>
  <si>
    <t>728 </t>
  </si>
  <si>
    <t>12 </t>
  </si>
  <si>
    <t>AZ0104002776</t>
  </si>
  <si>
    <t>364 </t>
  </si>
  <si>
    <t>10 </t>
  </si>
  <si>
    <t>14 </t>
  </si>
  <si>
    <t>1820 </t>
  </si>
  <si>
    <t>11 </t>
  </si>
  <si>
    <t>AZ0106004788</t>
  </si>
  <si>
    <t>1092 </t>
  </si>
  <si>
    <t>25 </t>
  </si>
  <si>
    <t>AZ0105005786</t>
  </si>
  <si>
    <t>15 </t>
  </si>
  <si>
    <t>8 </t>
  </si>
  <si>
    <t>AZ0104003774</t>
  </si>
  <si>
    <t>4 </t>
  </si>
  <si>
    <t>Kənd təsərrüfatı, meşə təsərrüfatı və balıqçılıq sektoru</t>
  </si>
  <si>
    <t>İnşaat və tikinti sektoru</t>
  </si>
  <si>
    <t>Nəqliyyat və rabitə sektoru</t>
  </si>
  <si>
    <t>50200779S</t>
  </si>
  <si>
    <t xml:space="preserve"> Table 3.3. Government bonds</t>
  </si>
  <si>
    <t xml:space="preserve">Dİ-lərin dövlət qeydiyyat nömrəsi </t>
  </si>
  <si>
    <t xml:space="preserve">AZ0104004772 </t>
  </si>
  <si>
    <t xml:space="preserve">AZ0105008780 </t>
  </si>
  <si>
    <t xml:space="preserve">AZ0104005779 </t>
  </si>
  <si>
    <t>Dİ</t>
  </si>
  <si>
    <t>Bonds</t>
  </si>
  <si>
    <t>50101279S</t>
  </si>
  <si>
    <t>50101379S</t>
  </si>
  <si>
    <t>50101479S</t>
  </si>
  <si>
    <t>50101579S</t>
  </si>
  <si>
    <t>50101679S</t>
  </si>
  <si>
    <t>Hərracdankənar əməliyyatlar</t>
  </si>
  <si>
    <t>RI,2020     QI,2020</t>
  </si>
  <si>
    <t xml:space="preserve">AZ0105009788 </t>
  </si>
  <si>
    <t xml:space="preserve">AZ0105010786 </t>
  </si>
  <si>
    <t xml:space="preserve">AZ0104006777 </t>
  </si>
  <si>
    <t>50101779S</t>
  </si>
  <si>
    <t>50101879S</t>
  </si>
  <si>
    <t>50101979S</t>
  </si>
  <si>
    <t>Iyun</t>
  </si>
  <si>
    <t>AZ0106011783 </t>
  </si>
  <si>
    <t>50102079S</t>
  </si>
  <si>
    <t>50102179S</t>
  </si>
  <si>
    <t>50100182S</t>
  </si>
  <si>
    <t>50100282S</t>
  </si>
  <si>
    <t>Iyul</t>
  </si>
  <si>
    <t>50100183S</t>
  </si>
  <si>
    <t>50100283S</t>
  </si>
  <si>
    <t>50100383S</t>
  </si>
  <si>
    <t>50100483S</t>
  </si>
  <si>
    <t>50100583S</t>
  </si>
  <si>
    <t>AZ0105011782</t>
  </si>
  <si>
    <t>AZ0104007775</t>
  </si>
  <si>
    <t>AZ0106013789</t>
  </si>
  <si>
    <t>AZ0105014788</t>
  </si>
  <si>
    <t xml:space="preserve">                                              </t>
  </si>
  <si>
    <t xml:space="preserve">                            </t>
  </si>
  <si>
    <t xml:space="preserve">                                                                                                                                                                                                                                                                                                                                                                                                                                                                                                                                                                                                                                                                                                                                                                                                                                                                                                                                                                                                                                                                                                                                                                                                                                                                                                                                                                                                                                                                                                                                                                                                                                                                                                                                                                                                                                                                                                                                                                                                                                                                                                                                                                                                                                                                                                                                                                                                                                                                                                                                                                                                                                                                                                                                                                                                                                                                                                                                                                                                                                                                                                                                                                                                                                                                                                                                                                                                                                                                                                                                                                                                                                                                                                                                                                                                                                                                                                                                                                                                                                                                                                                                                                                                                                                                                                                                                                                                                                                                                                                                                                                                  </t>
  </si>
  <si>
    <t>Real sektora kredit qoyuluşu</t>
  </si>
  <si>
    <t>50100683S</t>
  </si>
  <si>
    <t>50100783S</t>
  </si>
  <si>
    <t>50100883S</t>
  </si>
  <si>
    <t>50100983S</t>
  </si>
  <si>
    <t>AZ0106016782</t>
  </si>
  <si>
    <t>AZ0108001782 </t>
  </si>
  <si>
    <t>AZ0106017780 </t>
  </si>
  <si>
    <t>RII,2020      QII,2020</t>
  </si>
  <si>
    <t>10201213S</t>
  </si>
  <si>
    <t xml:space="preserve"> 10201413S</t>
  </si>
  <si>
    <t>10501313S</t>
  </si>
  <si>
    <t>10201513S</t>
  </si>
  <si>
    <t>50301613S</t>
  </si>
  <si>
    <t>50301713S</t>
  </si>
  <si>
    <t>10202113S</t>
  </si>
  <si>
    <t>10202213S</t>
  </si>
  <si>
    <t>10302313S</t>
  </si>
  <si>
    <t>10502413S</t>
  </si>
  <si>
    <t>10202513S</t>
  </si>
  <si>
    <t>10202613S</t>
  </si>
  <si>
    <t>10302413S</t>
  </si>
  <si>
    <t>10502513S</t>
  </si>
  <si>
    <t>10202913S</t>
  </si>
  <si>
    <t>10203013S</t>
  </si>
  <si>
    <t>10203113S</t>
  </si>
  <si>
    <t>10303213S</t>
  </si>
  <si>
    <t>10503313S</t>
  </si>
  <si>
    <t>10203213S</t>
  </si>
  <si>
    <t>10203513S</t>
  </si>
  <si>
    <t>10303613S</t>
  </si>
  <si>
    <t>10503713S</t>
  </si>
  <si>
    <t>10203813S</t>
  </si>
  <si>
    <t>10203913S</t>
  </si>
  <si>
    <t>10304013S</t>
  </si>
  <si>
    <t>10204213S</t>
  </si>
  <si>
    <t>10204313S</t>
  </si>
  <si>
    <t>10204413S</t>
  </si>
  <si>
    <t>Yenidənmaliyyələşdirmə</t>
  </si>
  <si>
    <t xml:space="preserve">Lombard </t>
  </si>
  <si>
    <t xml:space="preserve"> Notlar</t>
  </si>
  <si>
    <t>Əks Repo</t>
  </si>
  <si>
    <t>Refinancing</t>
  </si>
  <si>
    <t>Refinancing rate</t>
  </si>
  <si>
    <t>Notes</t>
  </si>
  <si>
    <t>1-day</t>
  </si>
  <si>
    <t>4.75</t>
  </si>
  <si>
    <t>AZ0105018789</t>
  </si>
  <si>
    <t>AZ0104010779</t>
  </si>
  <si>
    <t>AZ0105019787</t>
  </si>
  <si>
    <t>AZ0104011777</t>
  </si>
  <si>
    <t>50101083S</t>
  </si>
  <si>
    <t>50101183S</t>
  </si>
  <si>
    <t>50101283S</t>
  </si>
  <si>
    <t>50101383S</t>
  </si>
  <si>
    <t>50101483S</t>
  </si>
  <si>
    <t>AZ0106020784</t>
  </si>
  <si>
    <t>AZ0104012775</t>
  </si>
  <si>
    <t>AZ0105021783</t>
  </si>
  <si>
    <t>AZ0106022780</t>
  </si>
  <si>
    <t>50101583S</t>
  </si>
  <si>
    <t>50100186S</t>
  </si>
  <si>
    <t>50100286S</t>
  </si>
  <si>
    <t>50100386S</t>
  </si>
  <si>
    <t>RIII,2020     QIII,2020</t>
  </si>
  <si>
    <t>50100486S</t>
  </si>
  <si>
    <t>50100586S</t>
  </si>
  <si>
    <t>50100686S</t>
  </si>
  <si>
    <t>50100786S</t>
  </si>
  <si>
    <t>AZ0105001850</t>
  </si>
  <si>
    <t>AZ0106002857</t>
  </si>
  <si>
    <t>AZ0105003856</t>
  </si>
  <si>
    <t>AZ0106004853</t>
  </si>
  <si>
    <t>AZ0104001844</t>
  </si>
  <si>
    <t>C</t>
  </si>
  <si>
    <t xml:space="preserve"> -  xarici bankların yerli filialları</t>
  </si>
  <si>
    <t>Bankların ATM-lərin sayı</t>
  </si>
  <si>
    <t>Bank işçilərinin sayı</t>
  </si>
  <si>
    <t>Cədvəl 5.2. Bank sektorunun icmal balansı</t>
  </si>
  <si>
    <t>Cədvəl 5.3. Bank sektorunun mənfəət və zərər haqqında hesabatı</t>
  </si>
  <si>
    <t>Portfelin bölgüsü</t>
  </si>
  <si>
    <t xml:space="preserve"> - biznes kreditləri*</t>
  </si>
  <si>
    <t xml:space="preserve"> - istehlak kreditləri</t>
  </si>
  <si>
    <t xml:space="preserve"> - ipoteka kreditləri</t>
  </si>
  <si>
    <t xml:space="preserve"> Cədvəl 5.4. Bankların kredit portfelinin strukturu barədə məlumat</t>
  </si>
  <si>
    <t>Cari hesablar valyuta</t>
  </si>
  <si>
    <t>Müddətli valyuta</t>
  </si>
  <si>
    <t>50100886S</t>
  </si>
  <si>
    <t>50100986S</t>
  </si>
  <si>
    <t>50101086S</t>
  </si>
  <si>
    <t>50101186S</t>
  </si>
  <si>
    <t>50101286S</t>
  </si>
  <si>
    <t>2021</t>
  </si>
  <si>
    <t>50100189S</t>
  </si>
  <si>
    <t>50200289S</t>
  </si>
  <si>
    <t>50300389S</t>
  </si>
  <si>
    <t>50100489S</t>
  </si>
  <si>
    <t>50400589S</t>
  </si>
  <si>
    <t>50100689S</t>
  </si>
  <si>
    <t>nizamnamə kapitalının 50%-dən 100%-ə qədərini təşkil edən</t>
  </si>
  <si>
    <t>AZ0106001883</t>
  </si>
  <si>
    <t>AZ0104001877</t>
  </si>
  <si>
    <t>AZ0105002882</t>
  </si>
  <si>
    <t>AZ0106003889</t>
  </si>
  <si>
    <t>AZ0104002875</t>
  </si>
  <si>
    <t>AZ0106004887</t>
  </si>
  <si>
    <t>AZ0105005885</t>
  </si>
  <si>
    <t>50100789S</t>
  </si>
  <si>
    <t>50100889S</t>
  </si>
  <si>
    <t>50100989S</t>
  </si>
  <si>
    <t>50101089S</t>
  </si>
  <si>
    <t>Aylıq inflyasiya</t>
  </si>
  <si>
    <t>Orta illik inflyasiya</t>
  </si>
  <si>
    <t>Monthly inflation rate</t>
  </si>
  <si>
    <t>Average annual inflation rate</t>
  </si>
  <si>
    <t>RIV,2020      QIV,2020</t>
  </si>
  <si>
    <t>50101189S</t>
  </si>
  <si>
    <t>50101289S</t>
  </si>
  <si>
    <t>50101389S</t>
  </si>
  <si>
    <t>50101489S</t>
  </si>
  <si>
    <t>Yerləşdirilmiş  həcm</t>
  </si>
  <si>
    <t>AZ0106007880</t>
  </si>
  <si>
    <t>AZ0106008888</t>
  </si>
  <si>
    <t>AZ0106009886</t>
  </si>
  <si>
    <t>1092  </t>
  </si>
  <si>
    <t>50101589S</t>
  </si>
  <si>
    <t>50101690S</t>
  </si>
  <si>
    <t>50101790S</t>
  </si>
  <si>
    <t>50101890S</t>
  </si>
  <si>
    <t>AZ0106010884</t>
  </si>
  <si>
    <t>AZ0104004871</t>
  </si>
  <si>
    <t>AZ0105012881</t>
  </si>
  <si>
    <t>AZ0106013888</t>
  </si>
  <si>
    <t>4.30.2020*</t>
  </si>
  <si>
    <t>5.31.2020*</t>
  </si>
  <si>
    <t>30.04.2020  **</t>
  </si>
  <si>
    <t>50101990S</t>
  </si>
  <si>
    <t>50102090S</t>
  </si>
  <si>
    <t>50102190S</t>
  </si>
  <si>
    <t>RI,2021      QI,2021</t>
  </si>
  <si>
    <t>AZ0106014886</t>
  </si>
  <si>
    <t>AZ0104005878</t>
  </si>
  <si>
    <t>AZ0108015881</t>
  </si>
  <si>
    <t>AZ0105016882</t>
  </si>
  <si>
    <t>AZ0106017889</t>
  </si>
  <si>
    <t>31.05.2020 **</t>
  </si>
  <si>
    <t xml:space="preserve">1000 ödəniş kartına düşən əməliyyatların orta aylıq </t>
  </si>
  <si>
    <t>50102290S</t>
  </si>
  <si>
    <t>50102390S</t>
  </si>
  <si>
    <t>50102490S</t>
  </si>
  <si>
    <t>50102590S</t>
  </si>
  <si>
    <t>AZ0106018887</t>
  </si>
  <si>
    <t>AZ0104006876</t>
  </si>
  <si>
    <t>AZ0106020883</t>
  </si>
  <si>
    <t>Nominal average monthly wage</t>
  </si>
  <si>
    <t>50102690S</t>
  </si>
  <si>
    <t>50102790S</t>
  </si>
  <si>
    <t>50102890S</t>
  </si>
  <si>
    <t>50102990S</t>
  </si>
  <si>
    <t>Mədənçıxarma və elektrik enerjisi, qaz, buxar və su təsərrüfatı sektoru</t>
  </si>
  <si>
    <t>Digər sektorlarda fəaliyyət göstərən dövlət mülkiyyətində olan hüquqi şəxslər, bələdiyyələr və ictimai təşkilatlara</t>
  </si>
  <si>
    <t>Büdcə təşkilatlarına və dövlət fondlarına</t>
  </si>
  <si>
    <t>Qarantiyalar üzrə</t>
  </si>
  <si>
    <t xml:space="preserve">Mining, electricity, gas, steam and water </t>
  </si>
  <si>
    <t xml:space="preserve">Agriculture, forestry and fisheries </t>
  </si>
  <si>
    <t>State-owned legal entities, municipalities and public organizations in other sectors</t>
  </si>
  <si>
    <t>Building and construction</t>
  </si>
  <si>
    <t>Transportation and communication</t>
  </si>
  <si>
    <t xml:space="preserve">Budget organizations and state funds </t>
  </si>
  <si>
    <t>RII,2021      QII,2021</t>
  </si>
  <si>
    <t>AZ0108024883</t>
  </si>
  <si>
    <t>AZ0105025883</t>
  </si>
  <si>
    <t>AZ0106027888</t>
  </si>
  <si>
    <t>RUB</t>
  </si>
  <si>
    <t>Uçot faiz dərəcəsi</t>
  </si>
  <si>
    <t>28 günlük notlar üzrə  % dərəcəsi</t>
  </si>
  <si>
    <t>84 günlük not  % dərəcəsi</t>
  </si>
  <si>
    <t>168 günlük not  % dərəcəsi</t>
  </si>
  <si>
    <t>252 günlük not  % dərəcəsi</t>
  </si>
  <si>
    <t>Faiz dəhlizinin aşağı həddi</t>
  </si>
  <si>
    <t>Faiz dəhlizinin yuxarı həddi</t>
  </si>
  <si>
    <t>7,5</t>
  </si>
  <si>
    <t>9,5</t>
  </si>
  <si>
    <t>13</t>
  </si>
  <si>
    <t>14</t>
  </si>
  <si>
    <t>15</t>
  </si>
  <si>
    <t>5,25</t>
  </si>
  <si>
    <t>3,5</t>
  </si>
  <si>
    <t>50103190S</t>
  </si>
  <si>
    <t>50103090S</t>
  </si>
  <si>
    <t>50400679S</t>
  </si>
  <si>
    <t>50300579S</t>
  </si>
  <si>
    <t>50200479S</t>
  </si>
  <si>
    <t>50101669S</t>
  </si>
  <si>
    <t>50100669S</t>
  </si>
  <si>
    <t>2,94,%</t>
  </si>
  <si>
    <t>50102530S</t>
  </si>
  <si>
    <t>50102430S</t>
  </si>
  <si>
    <t>50102330S</t>
  </si>
  <si>
    <t>50102230S</t>
  </si>
  <si>
    <t>50102130S</t>
  </si>
  <si>
    <t>50101930S</t>
  </si>
  <si>
    <t>50101830S</t>
  </si>
  <si>
    <t>50101730S</t>
  </si>
  <si>
    <t xml:space="preserve">                        Nominal (mln. manat)</t>
  </si>
  <si>
    <t>Hərracda yerləşdirilmiş həcm</t>
  </si>
  <si>
    <t xml:space="preserve">Təqdim olunmuş sifarişlərin həcmi </t>
  </si>
  <si>
    <t>Hərracda iştirakçıların sayı</t>
  </si>
  <si>
    <t>Çexiya kronu</t>
  </si>
  <si>
    <t>Czech koruna</t>
  </si>
  <si>
    <t>Sentybar</t>
  </si>
  <si>
    <t>Dövlət büdcəsindən Fonda ayrılmış  vəsait</t>
  </si>
  <si>
    <t>Fond tərəfindən yenidən maliyyələşdirilmiş ipoteka kreditləri</t>
  </si>
  <si>
    <t>Fondun yerləşdirilmiş istiqrazlarının həcmi</t>
  </si>
  <si>
    <t>Banklar tərəfindən verilən məbləğ, AZN</t>
  </si>
  <si>
    <t>The amount of loans issued by banks</t>
  </si>
  <si>
    <t>Refinanced mortgage loans by the fund</t>
  </si>
  <si>
    <t>Allocation  to the Fund from the state budget</t>
  </si>
  <si>
    <t>Mortgage loans issued by banks</t>
  </si>
  <si>
    <t>Volume of the Fund's issued bonds</t>
  </si>
  <si>
    <t>AZ0108028884</t>
  </si>
  <si>
    <t>AZ0106029884</t>
  </si>
  <si>
    <t>AZ0110002927</t>
  </si>
  <si>
    <t>AZ0108030880</t>
  </si>
  <si>
    <t>Bakı iqtisadi rayonu</t>
  </si>
  <si>
    <t>Abşeron-Xızı iqtisadi rayonu</t>
  </si>
  <si>
    <t>Gəncə-Daşkəsən iqtisadi rayonu</t>
  </si>
  <si>
    <t>Qarabağ iqtisadi rayonu</t>
  </si>
  <si>
    <t>Qazax-Tovuz iqtisadi rayonu</t>
  </si>
  <si>
    <t>Lənkəran-Astara iqtisadi rayonu</t>
  </si>
  <si>
    <t>Mərkəzi Aran iqtisadi rayonu</t>
  </si>
  <si>
    <t>Mil-Muğan iqtisadi rayonu</t>
  </si>
  <si>
    <t>Şərqi Zəngəzur iqtisadi rayonu</t>
  </si>
  <si>
    <t>Şirvan-Salyan iqtisadi rayonu</t>
  </si>
  <si>
    <t>50103290S</t>
  </si>
  <si>
    <t>50103390S</t>
  </si>
  <si>
    <t>AZ0108031888</t>
  </si>
  <si>
    <t>AZ0106032888</t>
  </si>
  <si>
    <t>AZ0110003925</t>
  </si>
  <si>
    <t>AZ0108033884</t>
  </si>
  <si>
    <t>min ABŞ dolları / thousand USD</t>
  </si>
  <si>
    <t xml:space="preserve">Broad money, in manat </t>
  </si>
  <si>
    <r>
      <t xml:space="preserve">Note: </t>
    </r>
    <r>
      <rPr>
        <i/>
        <sz val="11"/>
        <color theme="8" tint="-0.249977111117893"/>
        <rFont val="Times New Roman"/>
        <family val="1"/>
      </rPr>
      <t>Based on the IMF's 6-th edition manual, the balance of payment is classified from 2013 according to assets/liabilities.</t>
    </r>
  </si>
  <si>
    <r>
      <t xml:space="preserve">Mənbə: Azərbaycan Respublikasının Mərkəzi Bankı </t>
    </r>
    <r>
      <rPr>
        <i/>
        <sz val="11"/>
        <color theme="8" tint="-0.249977111117893"/>
        <rFont val="Times New Roman"/>
        <family val="1"/>
      </rPr>
      <t>/ Source: The Central Bank of the Republic of Azerbaijan</t>
    </r>
  </si>
  <si>
    <t>Qeyd: BVF-nin tədiyə balansı üzrə yeni (6-cı nəşr) təlimatının tələblərinə uyğun olaraq 2013-cü ildən etibarən tədiyə balansı Aktivlər/Öhdəliklər prinsipi üzrə təsnifləşdirilmişdir.</t>
  </si>
  <si>
    <r>
      <t xml:space="preserve">Mənbə: Azərbaycan Respublikasının Mərkəzi Bankı 
</t>
    </r>
    <r>
      <rPr>
        <i/>
        <sz val="10"/>
        <color theme="8" tint="-0.249977111117893"/>
        <rFont val="Times New Roman"/>
        <family val="1"/>
        <charset val="162"/>
      </rPr>
      <t>Source: Central Bank of the Republic of Azerbaijan</t>
    </r>
  </si>
  <si>
    <r>
      <t xml:space="preserve">Mənbə: Azərbaycan Respublikasının Mərkəzi Bankı 
</t>
    </r>
    <r>
      <rPr>
        <i/>
        <sz val="9"/>
        <color theme="8" tint="-0.249977111117893"/>
        <rFont val="Times New Roman"/>
        <family val="1"/>
      </rPr>
      <t>Source: Central Bank of the Republic of Azerbaijan</t>
    </r>
  </si>
  <si>
    <r>
      <t xml:space="preserve">Mənbə: Azərbaycan Respublikasının Mərkəzi Bankı / </t>
    </r>
    <r>
      <rPr>
        <i/>
        <sz val="9"/>
        <color theme="8" tint="-0.249977111117893"/>
        <rFont val="Times New Roman"/>
        <family val="1"/>
      </rPr>
      <t>Source: The Central Bank of the Republic of Azerbaijan</t>
    </r>
  </si>
  <si>
    <r>
      <t xml:space="preserve">** Qeyri-rezidentlərin və dövlət idarəetmə orqanlarının depozitləri  daxil olmadan / </t>
    </r>
    <r>
      <rPr>
        <i/>
        <sz val="8"/>
        <color theme="8" tint="-0.249977111117893"/>
        <rFont val="Times New Roman"/>
        <family val="1"/>
      </rPr>
      <t xml:space="preserve">The deposits of non-residents and central government are excluded </t>
    </r>
  </si>
  <si>
    <r>
      <t xml:space="preserve">Mənbə: Azərbaycan Respublikasının Mərkəzi Bankı / </t>
    </r>
    <r>
      <rPr>
        <i/>
        <sz val="8"/>
        <color theme="8" tint="-0.249977111117893"/>
        <rFont val="Times New Roman"/>
        <family val="1"/>
      </rPr>
      <t>Source: The Central Bank of the Republic of Azerbaijan</t>
    </r>
  </si>
  <si>
    <r>
      <t xml:space="preserve">Mənbə: Azərbaycan Respublikasının Mərkəzi Bankı / </t>
    </r>
    <r>
      <rPr>
        <i/>
        <sz val="11"/>
        <color theme="8" tint="-0.249977111117893"/>
        <rFont val="Times New Roman"/>
        <family val="1"/>
      </rPr>
      <t>Source: The Central Bank of the Republic of Azerbaijan</t>
    </r>
  </si>
  <si>
    <r>
      <t xml:space="preserve">Mənbə: Azərbaycan Respublikasının Mərkəzi Bankı 
</t>
    </r>
    <r>
      <rPr>
        <i/>
        <sz val="9"/>
        <color theme="8" tint="-0.249977111117893"/>
        <rFont val="Times New Roman"/>
        <family val="1"/>
        <charset val="162"/>
      </rPr>
      <t>Source: Central Bank of the Republic of Azerbaijan</t>
    </r>
  </si>
  <si>
    <r>
      <t xml:space="preserve">Mənbə: Azərbaycan Respublikasının Mərkəzi Bankı  / </t>
    </r>
    <r>
      <rPr>
        <i/>
        <sz val="12"/>
        <color theme="8" tint="-0.249977111117893"/>
        <rFont val="Times New Roman"/>
        <family val="1"/>
      </rPr>
      <t>Source: The Central Bank of the Republic of Azerbaijan</t>
    </r>
  </si>
  <si>
    <r>
      <t xml:space="preserve">Mənbə: Azərbaycan Respublikasının İpoteka və Kredit Zəmanəti Fondu (AİKZF) 
</t>
    </r>
    <r>
      <rPr>
        <i/>
        <sz val="10"/>
        <color theme="8" tint="-0.249977111117893"/>
        <rFont val="Times New Roman"/>
        <family val="1"/>
      </rPr>
      <t>Source: Mortgage and Credit Guarantee Fund of the Republic of Azerbaijan (MCGFA)</t>
    </r>
  </si>
  <si>
    <r>
      <t xml:space="preserve">Mənbə: Azərbaycan Respublikasının Mərkəzi Bankı 
</t>
    </r>
    <r>
      <rPr>
        <i/>
        <sz val="14"/>
        <color theme="8" tint="-0.249977111117893"/>
        <rFont val="Times New Roman"/>
        <family val="1"/>
        <charset val="162"/>
      </rPr>
      <t>Source: The Central Bank of the Republic of Azerbaijan</t>
    </r>
  </si>
  <si>
    <r>
      <t>Qeyd: Göstəricilər Beynəlxalq Valyuta Fondunun "Pul və Maliyyə Statistikası" metodologiyasına əsasən hesablanır. Qeyri-rezidentlərin, dövlət idarəetmə orqanlarının, bələdiyyələrin və ictimai təşkilatların depozitləri daxil olmaqla
Note:</t>
    </r>
    <r>
      <rPr>
        <i/>
        <sz val="11"/>
        <color theme="8" tint="-0.249977111117893"/>
        <rFont val="Times New Roman"/>
        <family val="1"/>
      </rPr>
      <t xml:space="preserve">Deposits of non-residents, central government, public organizations and municipals are included according to methodology of  IMF's "Monetary and Financial Statistics" </t>
    </r>
  </si>
  <si>
    <r>
      <t xml:space="preserve">Qeyd: Göstəricilər Beynəlxalq Valyuta Fondunun "Pul və Maliyyə Statistikası" metodologiyasına əsasən hesablanır. Qeyri-rezidentlərin, dövlət idarəetmə orqanlarının, bələdiyyələrin və ictimai təşkilatların depozitləri daxil olmaqla
</t>
    </r>
    <r>
      <rPr>
        <i/>
        <sz val="9"/>
        <color theme="8" tint="-0.249977111117893"/>
        <rFont val="Times New Roman"/>
        <family val="1"/>
      </rPr>
      <t xml:space="preserve">Note: Deposits of non-residents, central government, public organizations and municipals are included according to methodology of  IMF's "Monetary and Financial Statistics" </t>
    </r>
  </si>
  <si>
    <r>
      <t>Mənbə: Azərbaycan Respublikasının Mərkəzi Bankı /</t>
    </r>
    <r>
      <rPr>
        <i/>
        <sz val="10"/>
        <color theme="8" tint="-0.249977111117893"/>
        <rFont val="Times New Roman"/>
        <family val="1"/>
      </rPr>
      <t xml:space="preserve"> Source: The Central Bank of the Republic of Azerbaijan</t>
    </r>
  </si>
  <si>
    <r>
      <rPr>
        <b/>
        <i/>
        <sz val="9"/>
        <color theme="8" tint="-0.249977111117893"/>
        <rFont val="Times New Roman"/>
        <family val="1"/>
      </rPr>
      <t xml:space="preserve">Mənbə: Azərbaycan Respublikasının Mərkəzi Bankı / </t>
    </r>
    <r>
      <rPr>
        <i/>
        <sz val="9"/>
        <color theme="8" tint="-0.249977111117893"/>
        <rFont val="Times New Roman"/>
        <family val="1"/>
      </rPr>
      <t>Source: The Central Bank of the Republic of Azerbaijan</t>
    </r>
  </si>
  <si>
    <r>
      <t xml:space="preserve">Mənbə: Azərbaycan Respublikasının Mərkəzi Bankı  
</t>
    </r>
    <r>
      <rPr>
        <i/>
        <sz val="14"/>
        <color theme="8" tint="-0.249977111117893"/>
        <rFont val="Times New Roman"/>
        <family val="1"/>
        <charset val="162"/>
      </rPr>
      <t>Source: The Central Bank of the Republic of Azerbaijan</t>
    </r>
  </si>
  <si>
    <r>
      <t xml:space="preserve">Mənbə: Azərbaycan Respublikasının Mərkəzi Bankı 
</t>
    </r>
    <r>
      <rPr>
        <i/>
        <sz val="11"/>
        <color theme="8" tint="-0.249977111117893"/>
        <rFont val="Times New Roman"/>
        <family val="1"/>
      </rPr>
      <t>Source: The Central Bank of the Republic of Azerbaijan</t>
    </r>
  </si>
  <si>
    <r>
      <t xml:space="preserve">Mənbə:  Azərbaycan Respublikasının Mərkəzi Bankı 
</t>
    </r>
    <r>
      <rPr>
        <i/>
        <sz val="8"/>
        <color theme="8" tint="-0.249977111117893"/>
        <rFont val="Times New Roman"/>
        <family val="1"/>
      </rPr>
      <t>Source: The Central Bank of the Republic of Azerbaijan</t>
    </r>
  </si>
  <si>
    <r>
      <t xml:space="preserve">Mənbə: Azərbaycan Respublikasının Mərkəzi Bankı 
</t>
    </r>
    <r>
      <rPr>
        <i/>
        <sz val="10"/>
        <color theme="8" tint="-0.249977111117893"/>
        <rFont val="Times New Roman"/>
        <family val="1"/>
      </rPr>
      <t>Source: The Central Bank of the Republic of Azerbaijan</t>
    </r>
  </si>
  <si>
    <r>
      <t xml:space="preserve">Mənbə: Azərbaycan Respublikasının Mərkəzi Bankı 
</t>
    </r>
    <r>
      <rPr>
        <i/>
        <sz val="9"/>
        <color theme="8" tint="-0.249977111117893"/>
        <rFont val="Times New Roman"/>
        <family val="1"/>
      </rPr>
      <t>Source: The Central Bank of the Republic of Azerbaijan</t>
    </r>
  </si>
  <si>
    <r>
      <t xml:space="preserve">Mənbə: Bakı Fond Birjası 
</t>
    </r>
    <r>
      <rPr>
        <i/>
        <sz val="9"/>
        <color theme="8" tint="-0.249977111117893"/>
        <rFont val="Times New Roman"/>
        <family val="1"/>
      </rPr>
      <t>Source: Baku Stock Exchange</t>
    </r>
  </si>
  <si>
    <r>
      <t xml:space="preserve">Mənbə: Azərbaycan Respublikasının Mərkəzi Bankı 
</t>
    </r>
    <r>
      <rPr>
        <i/>
        <sz val="8"/>
        <color theme="8" tint="-0.249977111117893"/>
        <rFont val="Times New Roman"/>
        <family val="1"/>
      </rPr>
      <t>Source: The Central Bank of the Republic of Azerbaijan</t>
    </r>
  </si>
  <si>
    <r>
      <t>Qeyd: Göstəricilər Beynəlxalq Valyuta Fondunun "Pul və Maliyyə Statistikası" metodologiyasına əsasən hesablanır /</t>
    </r>
    <r>
      <rPr>
        <i/>
        <sz val="10"/>
        <color theme="8" tint="-0.249977111117893"/>
        <rFont val="Times New Roman"/>
        <family val="1"/>
      </rPr>
      <t xml:space="preserve"> Note: According to IMF's "Monetary and Financial Statistics"</t>
    </r>
  </si>
  <si>
    <r>
      <t>Qeyd: Göstəricilər Beynəlxalq Valyuta Fondunun "Pul və Maliyyə Statistikası" metodologiyasına əsasən hesablanır /</t>
    </r>
    <r>
      <rPr>
        <i/>
        <sz val="9"/>
        <color theme="8" tint="-0.249977111117893"/>
        <rFont val="Times New Roman"/>
        <family val="1"/>
      </rPr>
      <t xml:space="preserve"> Note: According to IMF's "Monetary and Financial Statistics"</t>
    </r>
  </si>
  <si>
    <r>
      <t xml:space="preserve">Qeyd: Göstəricilər Beynəlxalq Valyuta Fondunun "Pul və Maliyyə Statistikası" metodologiyasına əsasən hesablanır / Note: </t>
    </r>
    <r>
      <rPr>
        <i/>
        <sz val="12"/>
        <color theme="8" tint="-0.249977111117893"/>
        <rFont val="Times New Roman"/>
        <family val="1"/>
      </rPr>
      <t>According to IMF's "Monetary and Financial Statistics"</t>
    </r>
  </si>
  <si>
    <r>
      <t xml:space="preserve">Qeyd: Göstəricilər Beynəlxalq Valyuta Fondunun "Pul və Maliyyə Statistikası" metodologiyasına əsasən hesablanır.  Fərdi sahibkarlıqla məşğul olan fiziki şəxslərin əmanətləri daxil olmaqla  
Note: </t>
    </r>
    <r>
      <rPr>
        <i/>
        <sz val="10"/>
        <color theme="8" tint="-0.249977111117893"/>
        <rFont val="Times New Roman"/>
        <family val="1"/>
      </rPr>
      <t xml:space="preserve">Deposits of private entrepreneurs are included according to methodology of  IMF's "Monetary and Financial Statistics" </t>
    </r>
  </si>
  <si>
    <t>Cədvəl 3.4. Mərkəzi Bankın notları</t>
  </si>
  <si>
    <t xml:space="preserve">Cədvəl 3.5. Qiymətli kağızlar bazarı üzrə əsas göstəricilər </t>
  </si>
  <si>
    <t>Table 3.5. Main indicators of securities market</t>
  </si>
  <si>
    <t>Table 3.6. Exchange operations with cash foreign currency</t>
  </si>
  <si>
    <t>Cədvəl 1.1. Əsas makroiqtisadi göstəricilər</t>
  </si>
  <si>
    <t>Table 1.1. Main macroeconomic indicators</t>
  </si>
  <si>
    <t>Cədvəl 1.4. Azərbaycan Respublikasının tədiyə balansı</t>
  </si>
  <si>
    <t xml:space="preserve">Table 1.4. Balance of payments of the Republic of Azerbaijan </t>
  </si>
  <si>
    <r>
      <t xml:space="preserve">Cədvəl 1.5. Azərbaycan Respublikasının xarici ticarəti </t>
    </r>
    <r>
      <rPr>
        <b/>
        <i/>
        <sz val="14"/>
        <color rgb="FF366092"/>
        <rFont val="Times New Roman"/>
        <family val="1"/>
      </rPr>
      <t>(tədiyə balansı metodologiyasına əsasən)</t>
    </r>
  </si>
  <si>
    <r>
      <t xml:space="preserve">Table 1.5. Foreign trade of the Republic of Azerbaijan </t>
    </r>
    <r>
      <rPr>
        <i/>
        <sz val="14"/>
        <color rgb="FF366092"/>
        <rFont val="Times New Roman"/>
        <family val="1"/>
      </rPr>
      <t>(based on a balance of payments methodology)</t>
    </r>
  </si>
  <si>
    <r>
      <t xml:space="preserve">Cədvəl 2.1. Pul icmalı </t>
    </r>
    <r>
      <rPr>
        <b/>
        <i/>
        <sz val="11"/>
        <color rgb="FF366092"/>
        <rFont val="Times New Roman"/>
        <family val="1"/>
      </rPr>
      <t>(dövrün sonuna)</t>
    </r>
  </si>
  <si>
    <r>
      <t>Table 2.1. Monetary survey</t>
    </r>
    <r>
      <rPr>
        <i/>
        <sz val="11"/>
        <color rgb="FF366092"/>
        <rFont val="Times New Roman"/>
        <family val="1"/>
      </rPr>
      <t xml:space="preserve"> (end of period)</t>
    </r>
  </si>
  <si>
    <r>
      <t>Table 2.3. Analytical Balance of Commercial banks</t>
    </r>
    <r>
      <rPr>
        <i/>
        <sz val="11"/>
        <color rgb="FF366092"/>
        <rFont val="Times New Roman"/>
        <family val="1"/>
      </rPr>
      <t xml:space="preserve"> (end of period)</t>
    </r>
  </si>
  <si>
    <r>
      <t xml:space="preserve">Cədvəl 2.4. Pul aqreqatları </t>
    </r>
    <r>
      <rPr>
        <b/>
        <i/>
        <sz val="16"/>
        <color rgb="FF366092"/>
        <rFont val="Times New Roman"/>
        <family val="1"/>
      </rPr>
      <t>(dövrün sonuna)</t>
    </r>
  </si>
  <si>
    <r>
      <t xml:space="preserve">  Table 2.4. Money aggregates </t>
    </r>
    <r>
      <rPr>
        <i/>
        <sz val="16"/>
        <color rgb="FF366092"/>
        <rFont val="Times New Roman"/>
        <family val="1"/>
      </rPr>
      <t>(end of period)</t>
    </r>
  </si>
  <si>
    <r>
      <t xml:space="preserve">Table 2.5. Monetary base </t>
    </r>
    <r>
      <rPr>
        <i/>
        <sz val="12"/>
        <color rgb="FF366092"/>
        <rFont val="Times New Roman"/>
        <family val="1"/>
      </rPr>
      <t>(end of period)</t>
    </r>
  </si>
  <si>
    <r>
      <t xml:space="preserve">Table 2.6. The structure of loans to the economy by the type of credit institutions </t>
    </r>
    <r>
      <rPr>
        <i/>
        <sz val="14"/>
        <color rgb="FF366092"/>
        <rFont val="Times New Roman"/>
        <family val="1"/>
      </rPr>
      <t>(end of period)</t>
    </r>
  </si>
  <si>
    <r>
      <t xml:space="preserve">Cədvəl 2.6. İqtisadiyyata kredit qoyuluşlarının kredit təşkilatları üzrə strukturu </t>
    </r>
    <r>
      <rPr>
        <b/>
        <i/>
        <sz val="14"/>
        <color rgb="FF366092"/>
        <rFont val="Times New Roman"/>
        <family val="1"/>
      </rPr>
      <t>(dövrün sonuna)</t>
    </r>
  </si>
  <si>
    <r>
      <t xml:space="preserve">Cədvəl 2.7. Kredit təşkilatlarının müddətlər üzrə kredit qoyuluşları </t>
    </r>
    <r>
      <rPr>
        <b/>
        <i/>
        <sz val="12"/>
        <color rgb="FF366092"/>
        <rFont val="Times New Roman"/>
        <family val="1"/>
      </rPr>
      <t>(dövrün sonuna)</t>
    </r>
  </si>
  <si>
    <r>
      <t xml:space="preserve">Table 2.7. Loans of credit institutions by maturity </t>
    </r>
    <r>
      <rPr>
        <i/>
        <sz val="12"/>
        <color rgb="FF366092"/>
        <rFont val="Times New Roman"/>
        <family val="1"/>
      </rPr>
      <t>(end of period)</t>
    </r>
  </si>
  <si>
    <r>
      <t>Cədvəl 2.8. Kredit qoyuluşlarının sahələr üzrə strukturu</t>
    </r>
    <r>
      <rPr>
        <b/>
        <i/>
        <sz val="20"/>
        <color rgb="FF366092"/>
        <rFont val="Times New Roman"/>
        <family val="1"/>
      </rPr>
      <t xml:space="preserve"> (dövrün sonuna)</t>
    </r>
  </si>
  <si>
    <r>
      <t xml:space="preserve">Table 2.8. Sectoral breakdown of loans </t>
    </r>
    <r>
      <rPr>
        <i/>
        <sz val="20"/>
        <color rgb="FF366092"/>
        <rFont val="Times New Roman"/>
        <family val="1"/>
      </rPr>
      <t>(end of period)</t>
    </r>
  </si>
  <si>
    <t>Cədvəl 2.9. İpoteka kreditləri haqqında məlumat</t>
  </si>
  <si>
    <t>Table 2.9. Mortgage loans</t>
  </si>
  <si>
    <t>Cədvəl 2.10. Regionlar üzrə kredit qoyuluşu</t>
  </si>
  <si>
    <t>Table 2.10. Loans by regions</t>
  </si>
  <si>
    <r>
      <t>Cədvəl 2.11. Kredit təşkilatlarında yerləşdirilmiş depozit və əmanətlər</t>
    </r>
    <r>
      <rPr>
        <b/>
        <i/>
        <sz val="14"/>
        <color rgb="FF366092"/>
        <rFont val="Times New Roman"/>
        <family val="1"/>
        <charset val="162"/>
      </rPr>
      <t xml:space="preserve"> (dövrün sonuna)</t>
    </r>
  </si>
  <si>
    <r>
      <t xml:space="preserve">Table 2.11. Deposits and savings in credit institutions </t>
    </r>
    <r>
      <rPr>
        <i/>
        <sz val="14"/>
        <color rgb="FF366092"/>
        <rFont val="Times New Roman"/>
        <family val="1"/>
        <charset val="162"/>
      </rPr>
      <t>(end of period)</t>
    </r>
  </si>
  <si>
    <r>
      <t xml:space="preserve">Cədvəl 2.12. Cəmi depozit bazasının valyutalar üzrə strukturu </t>
    </r>
    <r>
      <rPr>
        <b/>
        <i/>
        <sz val="12"/>
        <color rgb="FF366092"/>
        <rFont val="Times New Roman"/>
        <family val="1"/>
      </rPr>
      <t>(dövrün sonuna)</t>
    </r>
  </si>
  <si>
    <r>
      <t xml:space="preserve">Table 2.12. Structure of deposits by currencies </t>
    </r>
    <r>
      <rPr>
        <i/>
        <sz val="12"/>
        <color rgb="FF366092"/>
        <rFont val="Times New Roman"/>
        <family val="1"/>
      </rPr>
      <t>(end of period)</t>
    </r>
  </si>
  <si>
    <t xml:space="preserve">Cədvəl 2.13. Fiziki şəxslərin əmanətlərinin strukturu  </t>
  </si>
  <si>
    <t>Cədvəl 2.14. Regionlar üzrə cəlb olunmuş əmanətlər</t>
  </si>
  <si>
    <t>Table 2.14. Savings by regions</t>
  </si>
  <si>
    <r>
      <t xml:space="preserve">Cədvəl 2.15. Mərkəzi Bankın məcburi ehtiyat normaları, </t>
    </r>
    <r>
      <rPr>
        <b/>
        <i/>
        <sz val="14"/>
        <color rgb="FF366092"/>
        <rFont val="Times New Roman"/>
        <family val="1"/>
      </rPr>
      <t>%-lə</t>
    </r>
  </si>
  <si>
    <r>
      <t xml:space="preserve">Table 2.15. Reserve requirements of the CBA, </t>
    </r>
    <r>
      <rPr>
        <i/>
        <sz val="14"/>
        <color rgb="FF366092"/>
        <rFont val="Times New Roman"/>
        <family val="1"/>
      </rPr>
      <t>%</t>
    </r>
  </si>
  <si>
    <t>Table 2.16. Official average exchange rates of manat</t>
  </si>
  <si>
    <t>Cədvəl 3.3. Dövlət istiqrazları</t>
  </si>
  <si>
    <t xml:space="preserve">     o cümlədən</t>
  </si>
  <si>
    <t>valyuta ilə</t>
  </si>
  <si>
    <t xml:space="preserve">   Uzunmüddətli kredit qoyuluşu</t>
  </si>
  <si>
    <t>Cəmi kredit qoyuluşu</t>
  </si>
  <si>
    <t xml:space="preserve">   Qısamüddətli kreditlər</t>
  </si>
  <si>
    <t xml:space="preserve"> xarici valyuta ilə</t>
  </si>
  <si>
    <t xml:space="preserve">   Uzunmüddətli kreditlər</t>
  </si>
  <si>
    <t>Cədvəl 1.3. Azərbaycan Respublikasının dövlət büdcəsinin əsas göstəriciləri</t>
  </si>
  <si>
    <t>Table 1.3. Major indicators of the state budget of the Republic of Azerbaijan</t>
  </si>
  <si>
    <r>
      <t xml:space="preserve">Cədvəl 2.3. Kommersiya banklarının analitik balansı </t>
    </r>
    <r>
      <rPr>
        <b/>
        <i/>
        <sz val="11"/>
        <color rgb="FF366092"/>
        <rFont val="Times New Roman"/>
        <family val="1"/>
      </rPr>
      <t>(dövrün sonuna)</t>
    </r>
  </si>
  <si>
    <t xml:space="preserve">Xarici öhdəliklər </t>
  </si>
  <si>
    <t>Foreign liabilities</t>
  </si>
  <si>
    <t>Ratio of M2 to manat Reserve money</t>
  </si>
  <si>
    <t xml:space="preserve"> Ratio of M3 to Reserve money</t>
  </si>
  <si>
    <t>Pul bazası,  manatla</t>
  </si>
  <si>
    <t>Monetary base</t>
  </si>
  <si>
    <t xml:space="preserve"> Monetary base,
 in manat</t>
  </si>
  <si>
    <t>Xarici valyutada kreditlər</t>
  </si>
  <si>
    <t>Milli valyutada kreditlər</t>
  </si>
  <si>
    <t>İpoteka krediti üzrə maliyyə resurslarının dinamikası, mln. manat</t>
  </si>
  <si>
    <t>Dynamics of the financial resources for mortgage loans, mln. manats</t>
  </si>
  <si>
    <t>Qeyri-rezident bank və maliyyə təşkilatlarından, o cümlədən beynəlxalq maliyyə təşkilatlarından cəlb edilmiş vəsaitlər üzrə</t>
  </si>
  <si>
    <t>On liabilities of nonresident banks and financial institutions, including international financial institutions</t>
  </si>
  <si>
    <t>Dövretmə müddəti (gün)</t>
  </si>
  <si>
    <t>Nominal üzrə dövriyyədəki həcm, mln. manat</t>
  </si>
  <si>
    <t>Outstanding, mln. manat</t>
  </si>
  <si>
    <t>DQK bazarında payı, %</t>
  </si>
  <si>
    <t>Share in state securities market, %</t>
  </si>
  <si>
    <t>Bir ödənişin məbləği, 
min manat</t>
  </si>
  <si>
    <t>Sayı, 
min ədəd</t>
  </si>
  <si>
    <t>Məbləği, 
mln. manat</t>
  </si>
  <si>
    <t>Bir ödənişin məbləği,           manat</t>
  </si>
  <si>
    <t>Məbləği, mln. manat</t>
  </si>
  <si>
    <t>Bir ödənişin məbləği, manat</t>
  </si>
  <si>
    <t>Amount of transactions, 
mln. manat</t>
  </si>
  <si>
    <t xml:space="preserve">Ölkə daxili əməliyyatlardan: </t>
  </si>
  <si>
    <t>Həcmi, mln. manat</t>
  </si>
  <si>
    <t xml:space="preserve">                      Ölkə daxili əməliyyatlardan: </t>
  </si>
  <si>
    <t>Ölkəxarici əməliyyatların</t>
  </si>
  <si>
    <t>Ödəniş kartlarının ümumi sayı, min ədəd, (dövrün sonuna)</t>
  </si>
  <si>
    <t xml:space="preserve">                       Ölkə daxili əməliyyatlardan:</t>
  </si>
  <si>
    <t>Operations inside the country</t>
  </si>
  <si>
    <t>Operations outside the country</t>
  </si>
  <si>
    <t>Non-oil GDP*</t>
  </si>
  <si>
    <t>Gross foreign assets</t>
  </si>
  <si>
    <r>
      <t xml:space="preserve">* Qeyri-rezidentlərin və dövlət idarəetmə orqanlarının depozitləri daxil olmadan / </t>
    </r>
    <r>
      <rPr>
        <i/>
        <sz val="11.5"/>
        <color theme="8" tint="-0.249977111117893"/>
        <rFont val="Times New Roman"/>
        <family val="1"/>
      </rPr>
      <t xml:space="preserve">The deposits of non-residents and central government are excluded </t>
    </r>
  </si>
  <si>
    <r>
      <t xml:space="preserve">Mənbə: Azərbaycan Respublikasının Mərkəzi Bankı / </t>
    </r>
    <r>
      <rPr>
        <i/>
        <sz val="11.5"/>
        <color theme="8" tint="-0.249977111117893"/>
        <rFont val="Times New Roman"/>
        <family val="1"/>
      </rPr>
      <t>Source: The Central Bank of the Republic of Azerbaijan</t>
    </r>
  </si>
  <si>
    <r>
      <t xml:space="preserve">Cədvəl 2.5. Pul bazası </t>
    </r>
    <r>
      <rPr>
        <b/>
        <i/>
        <sz val="12"/>
        <color rgb="FF366092"/>
        <rFont val="Times New Roman"/>
        <family val="1"/>
      </rPr>
      <t>(dövrün sonuna)</t>
    </r>
  </si>
  <si>
    <t>1 day</t>
  </si>
  <si>
    <t>Corridor floor, %</t>
  </si>
  <si>
    <t>Corridor ceiling, %</t>
  </si>
  <si>
    <t>50103490S</t>
  </si>
  <si>
    <t>50103590S</t>
  </si>
  <si>
    <t>AZ0108034882</t>
  </si>
  <si>
    <t>RIII,2021     QIII,2021</t>
  </si>
  <si>
    <r>
      <t xml:space="preserve">Mənbə: Azərbaycan Respublikasının Mərkəzi Bankı, Azərbaycan Respublikası Dövlət Statistika Komitəsi
</t>
    </r>
    <r>
      <rPr>
        <i/>
        <sz val="9"/>
        <color rgb="FF31869B"/>
        <rFont val="Times New Roman"/>
        <family val="1"/>
      </rPr>
      <t>Source: The Central Bank of the Republic of Azerbaijan, The State Committee on Statistics of the Republic of Azerbaijan</t>
    </r>
  </si>
  <si>
    <r>
      <t xml:space="preserve">Mənbə: Azərbaycan Respublikasının Dövlət Statistika Komitəsi
</t>
    </r>
    <r>
      <rPr>
        <i/>
        <sz val="12"/>
        <color rgb="FF31869B"/>
        <rFont val="Times New Roman"/>
        <family val="1"/>
      </rPr>
      <t>Source: The State Committee on Statistics of the Republic of Azerbaijan</t>
    </r>
  </si>
  <si>
    <r>
      <t xml:space="preserve">Cədvəl 1.2. Qiymət indekslərinin dəyişməsi, </t>
    </r>
    <r>
      <rPr>
        <b/>
        <i/>
        <sz val="14"/>
        <color rgb="FF366092"/>
        <rFont val="Times New Roman"/>
        <family val="1"/>
        <charset val="162"/>
      </rPr>
      <t>%-lə</t>
    </r>
  </si>
  <si>
    <r>
      <t xml:space="preserve">Mənbə: Azərbaycan Respublikasının Mərkəzi Bankı, Azərbaycan Respublikası Dövlət Statistika Komitəsi / </t>
    </r>
    <r>
      <rPr>
        <i/>
        <sz val="8"/>
        <color rgb="FF31869B"/>
        <rFont val="Times New Roman"/>
        <family val="1"/>
      </rPr>
      <t>Source: The Central Bank of the Republic of Azerbaijan, The State Committee on Statistics of the Republic of Azerbaijan</t>
    </r>
  </si>
  <si>
    <r>
      <t xml:space="preserve">*Xalis vergilər çıxılmaqla / </t>
    </r>
    <r>
      <rPr>
        <i/>
        <sz val="8"/>
        <color rgb="FF31869B"/>
        <rFont val="Times New Roman"/>
        <family val="1"/>
      </rPr>
      <t>Net taxes are excluded</t>
    </r>
  </si>
  <si>
    <t>AZ0108036887</t>
  </si>
  <si>
    <t>AZ0110005920</t>
  </si>
  <si>
    <t>50103690S</t>
  </si>
  <si>
    <t>50103790S</t>
  </si>
  <si>
    <t>50103890S</t>
  </si>
  <si>
    <t>Claims on economy</t>
  </si>
  <si>
    <t>Claims on economy*</t>
  </si>
  <si>
    <t>AZIPS</t>
  </si>
  <si>
    <t>XÖHKS</t>
  </si>
  <si>
    <t>AÖS*</t>
  </si>
  <si>
    <t>RTGS</t>
  </si>
  <si>
    <t>LVPCSS</t>
  </si>
  <si>
    <t>IPS*</t>
  </si>
  <si>
    <t>interest rate, %</t>
  </si>
  <si>
    <t>interest rate 28 day Notes, %</t>
  </si>
  <si>
    <t>2022</t>
  </si>
  <si>
    <t>50100196S</t>
  </si>
  <si>
    <t>50100296S</t>
  </si>
  <si>
    <t>50200396S</t>
  </si>
  <si>
    <t>AZ0106001941</t>
  </si>
  <si>
    <t>AZ0108003945</t>
  </si>
  <si>
    <t>50100496S</t>
  </si>
  <si>
    <t>50300596S</t>
  </si>
  <si>
    <t>50100696S</t>
  </si>
  <si>
    <t>50100796S</t>
  </si>
  <si>
    <t>50100896S</t>
  </si>
  <si>
    <t>AZ0106004945</t>
  </si>
  <si>
    <t>AZ0110002950</t>
  </si>
  <si>
    <t>AZ0108006948</t>
  </si>
  <si>
    <t>AZ0106007948</t>
  </si>
  <si>
    <t>105,5</t>
  </si>
  <si>
    <t>RIV,2021      QIV,2021</t>
  </si>
  <si>
    <t>AZ0106008946</t>
  </si>
  <si>
    <t>AZ0108009942</t>
  </si>
  <si>
    <t>50100996S</t>
  </si>
  <si>
    <t>50101096S</t>
  </si>
  <si>
    <t>50101196S</t>
  </si>
  <si>
    <t>50101296S</t>
  </si>
  <si>
    <t>50101396S</t>
  </si>
  <si>
    <t>AZ0106011940</t>
  </si>
  <si>
    <t>50201496S</t>
  </si>
  <si>
    <t>50201596S</t>
  </si>
  <si>
    <t>50301696S</t>
  </si>
  <si>
    <t>50401796S</t>
  </si>
  <si>
    <t>50201896S</t>
  </si>
  <si>
    <t>50301996S</t>
  </si>
  <si>
    <t>50402096S</t>
  </si>
  <si>
    <t>50202196S</t>
  </si>
  <si>
    <t>50102296S</t>
  </si>
  <si>
    <t>50402396S</t>
  </si>
  <si>
    <t>50202496S</t>
  </si>
  <si>
    <t>50102596S</t>
  </si>
  <si>
    <t>50302696S</t>
  </si>
  <si>
    <t>50402796S</t>
  </si>
  <si>
    <t>50302896S</t>
  </si>
  <si>
    <t>50302996S</t>
  </si>
  <si>
    <t>50403096S</t>
  </si>
  <si>
    <t>50203196S</t>
  </si>
  <si>
    <t>50103296S</t>
  </si>
  <si>
    <t>50403396S</t>
  </si>
  <si>
    <t>50203496S</t>
  </si>
  <si>
    <t>AZ2001024705</t>
  </si>
  <si>
    <t>AZ2002024704</t>
  </si>
  <si>
    <t>AZ0108013944</t>
  </si>
  <si>
    <t>AZ0106014944</t>
  </si>
  <si>
    <t>RI,2022     QI,2022</t>
  </si>
  <si>
    <t>AZ2003024703</t>
  </si>
  <si>
    <t>AZ2004024702</t>
  </si>
  <si>
    <t>AZ2005024701</t>
  </si>
  <si>
    <t>AZ2006024700</t>
  </si>
  <si>
    <t>AZ2007024709</t>
  </si>
  <si>
    <t>AZ2008024708</t>
  </si>
  <si>
    <t>AZ0108015949</t>
  </si>
  <si>
    <t>AZ0105016940</t>
  </si>
  <si>
    <t>AZ0106017947</t>
  </si>
  <si>
    <t>Average interest rate</t>
  </si>
  <si>
    <t>AZ0108018943</t>
  </si>
  <si>
    <t>AZ0105020942</t>
  </si>
  <si>
    <t>RII,2022      QII,2022</t>
  </si>
  <si>
    <t>AZ0108021947</t>
  </si>
  <si>
    <t>AZ0106022947</t>
  </si>
  <si>
    <t>AZ0105023946</t>
  </si>
  <si>
    <t xml:space="preserve">03.03.2016 - 31.07.2022 </t>
  </si>
  <si>
    <t>03.03.2016 - 31.07.2022</t>
  </si>
  <si>
    <t>01.08.2014 -28.02.2015</t>
  </si>
  <si>
    <t>Mündəricat</t>
  </si>
  <si>
    <t>Əsas makroiqtisadi göstəricilər</t>
  </si>
  <si>
    <t>Azərbaycan Respublikasının dövlət büdcəsinin əsas göstəriciləri</t>
  </si>
  <si>
    <t>Azərbaycan Respublikasının tədiyə balansı</t>
  </si>
  <si>
    <r>
      <t xml:space="preserve">Azərbaycan Respublikasının xarici ticarəti </t>
    </r>
    <r>
      <rPr>
        <i/>
        <sz val="11"/>
        <color rgb="FF366092"/>
        <rFont val="Times New Roman"/>
        <family val="1"/>
      </rPr>
      <t>(tədiyə balansı metodologiyasına əsasən)</t>
    </r>
  </si>
  <si>
    <r>
      <t xml:space="preserve">Manatın xarici valyutalara nisbətən nominal və real effektiv məzənnəsi </t>
    </r>
    <r>
      <rPr>
        <i/>
        <sz val="11"/>
        <color rgb="FF366092"/>
        <rFont val="Times New Roman"/>
        <family val="1"/>
      </rPr>
      <t xml:space="preserve">(dekabr 2000=100) </t>
    </r>
  </si>
  <si>
    <r>
      <t xml:space="preserve">Pul icmalı </t>
    </r>
    <r>
      <rPr>
        <i/>
        <sz val="11"/>
        <color rgb="FF366092"/>
        <rFont val="Times New Roman"/>
        <family val="1"/>
      </rPr>
      <t>(dövrün sonuna)</t>
    </r>
  </si>
  <si>
    <r>
      <t xml:space="preserve">AMB-nin analitik balansı </t>
    </r>
    <r>
      <rPr>
        <i/>
        <sz val="11"/>
        <color rgb="FF366092"/>
        <rFont val="Times New Roman"/>
        <family val="1"/>
      </rPr>
      <t>(dövrün sonuna)</t>
    </r>
  </si>
  <si>
    <r>
      <t xml:space="preserve">Kommersiya banklarının analitik balansı </t>
    </r>
    <r>
      <rPr>
        <i/>
        <sz val="11"/>
        <color rgb="FF366092"/>
        <rFont val="Times New Roman"/>
        <family val="1"/>
      </rPr>
      <t>(dövrün sonuna)</t>
    </r>
  </si>
  <si>
    <r>
      <t xml:space="preserve">Pul aqreqatları </t>
    </r>
    <r>
      <rPr>
        <i/>
        <sz val="11"/>
        <color rgb="FF366092"/>
        <rFont val="Times New Roman"/>
        <family val="1"/>
      </rPr>
      <t>(dövrün sonuna)</t>
    </r>
  </si>
  <si>
    <r>
      <t xml:space="preserve">Pul bazası </t>
    </r>
    <r>
      <rPr>
        <i/>
        <sz val="11"/>
        <color rgb="FF366092"/>
        <rFont val="Times New Roman"/>
        <family val="1"/>
      </rPr>
      <t>(dövrün sonuna)</t>
    </r>
  </si>
  <si>
    <r>
      <t xml:space="preserve">İqtisadiyyata kredit qoyuluşlarının kredit təşkilatları üzrə strukturu </t>
    </r>
    <r>
      <rPr>
        <i/>
        <sz val="11"/>
        <color rgb="FF366092"/>
        <rFont val="Times New Roman"/>
        <family val="1"/>
      </rPr>
      <t>(dövrün sonuna)</t>
    </r>
  </si>
  <si>
    <r>
      <t xml:space="preserve">Kredit təşkilatlarının müddətlər üzrə kredit qoyuluşları </t>
    </r>
    <r>
      <rPr>
        <i/>
        <sz val="11"/>
        <color rgb="FF366092"/>
        <rFont val="Times New Roman"/>
        <family val="1"/>
      </rPr>
      <t>(dövrün sonuna)</t>
    </r>
  </si>
  <si>
    <r>
      <t xml:space="preserve">Kredit qoyuluşlarının sahələr üzrə strukturu </t>
    </r>
    <r>
      <rPr>
        <i/>
        <sz val="11"/>
        <color rgb="FF366092"/>
        <rFont val="Times New Roman"/>
        <family val="1"/>
      </rPr>
      <t>(dövrün sonuna)</t>
    </r>
  </si>
  <si>
    <t>2.8.1</t>
  </si>
  <si>
    <t>Ev təsərrüfatlarına verilən kreditlər</t>
  </si>
  <si>
    <t>2.8.2</t>
  </si>
  <si>
    <t>Ticarət və xidmət sektorunda fəaliyyət göstərən hüquqi şəxslərə verilən kreditlər</t>
  </si>
  <si>
    <t>2.8.3</t>
  </si>
  <si>
    <t>Mədənçıxarma sektorunda fəaliyyət göstərən hüquqi şəxslərə verilən kreditlər</t>
  </si>
  <si>
    <t>2.8.4</t>
  </si>
  <si>
    <t>Elektrik enerjisi, qaz, buxar və su təsərrüfatı sektoruna verilən kreditlər</t>
  </si>
  <si>
    <t>2.8.5</t>
  </si>
  <si>
    <t>Kənd təsərrüfatı, meşə təsərrüfatı və balıqçılıq sektorunda fəaliyyət göstərən hüquqi şəxslərə verilən kreditlər</t>
  </si>
  <si>
    <t>2.8.6</t>
  </si>
  <si>
    <t>İnşaat və tikinti sektorunda fəaliyyət göstərən hüquqi şəxslərə verilən kreditlər</t>
  </si>
  <si>
    <t>2.8.7</t>
  </si>
  <si>
    <t>Daşınmaz əmlak sektorunda fəaliyyət göstərən hüquqi şəxslərə verilən kreditlər</t>
  </si>
  <si>
    <t>2.8.8</t>
  </si>
  <si>
    <t>Sənaye və istehsal sektorunda fəaliyyət göstərən hüquqi şəxslərə verilən kreditlər</t>
  </si>
  <si>
    <t>2.8.9</t>
  </si>
  <si>
    <t>Nəqliyyat və rabitə sektorunda fəaliyyət göstərən hüquqi şəxslərə verilən kreditlər</t>
  </si>
  <si>
    <t>2.9</t>
  </si>
  <si>
    <t>İpoteka kreditləri haqqında məlumat</t>
  </si>
  <si>
    <t>2.10</t>
  </si>
  <si>
    <t>Regionlar üzrə kredit qoyuluşu</t>
  </si>
  <si>
    <t>2.11</t>
  </si>
  <si>
    <t>2.12</t>
  </si>
  <si>
    <r>
      <t>Cəmi depozit bazasının valyutalar üzrə strukturu</t>
    </r>
    <r>
      <rPr>
        <i/>
        <sz val="11"/>
        <color rgb="FF366092"/>
        <rFont val="Times New Roman"/>
        <family val="1"/>
      </rPr>
      <t xml:space="preserve"> (dövrün sonuna)</t>
    </r>
  </si>
  <si>
    <t>2.13</t>
  </si>
  <si>
    <t xml:space="preserve">Fiziki şəxslərin əmanətlərinin strukturu  </t>
  </si>
  <si>
    <t>2.14</t>
  </si>
  <si>
    <t>Regionlar üzrə cəlb olunmuş əmanətlər</t>
  </si>
  <si>
    <t>2.15</t>
  </si>
  <si>
    <t>2.16</t>
  </si>
  <si>
    <t>3.1</t>
  </si>
  <si>
    <t>3.2</t>
  </si>
  <si>
    <t>3.2.1</t>
  </si>
  <si>
    <t>3.3</t>
  </si>
  <si>
    <t>Dövlət istiqrazları</t>
  </si>
  <si>
    <t>3.4</t>
  </si>
  <si>
    <t>Mərkəzi Bankın notları</t>
  </si>
  <si>
    <t>3.5</t>
  </si>
  <si>
    <t xml:space="preserve">Qiymətli kağızlar bazarı üzrə əsas göstəricilər </t>
  </si>
  <si>
    <t>3.6</t>
  </si>
  <si>
    <t>Nağd xarici valyuta ilə mübadilə əməliyyatları</t>
  </si>
  <si>
    <t>4.1</t>
  </si>
  <si>
    <t>4.2</t>
  </si>
  <si>
    <t>Debet və kredit kartları ilə aparılan əməliyyatlar</t>
  </si>
  <si>
    <t>4.3</t>
  </si>
  <si>
    <t>4.4</t>
  </si>
  <si>
    <t>Ödəniş kartları və terminallardan istifadə göstəriciləri</t>
  </si>
  <si>
    <t>4.5</t>
  </si>
  <si>
    <t>5.1</t>
  </si>
  <si>
    <t>5.2</t>
  </si>
  <si>
    <t>Bank sektorunun icmal balansı</t>
  </si>
  <si>
    <t>5.3</t>
  </si>
  <si>
    <t>Bank sektorunun mənfəət və zərər haqqında hesabatı</t>
  </si>
  <si>
    <t>5.4</t>
  </si>
  <si>
    <t>Bankların kredit portfelinin strukturu barədə məlumat</t>
  </si>
  <si>
    <r>
      <t>Kredit təşkilatlarında yerləşdirilmiş depozit və əmanətlər</t>
    </r>
    <r>
      <rPr>
        <i/>
        <sz val="11"/>
        <color rgb="FF366092"/>
        <rFont val="Times New Roman"/>
        <family val="1"/>
      </rPr>
      <t xml:space="preserve"> (dövrün sonuna)</t>
    </r>
  </si>
  <si>
    <r>
      <t xml:space="preserve">Mərkəzi Bankın məcburi ehtiyat normaları, </t>
    </r>
    <r>
      <rPr>
        <i/>
        <sz val="11"/>
        <color rgb="FF366092"/>
        <rFont val="Times New Roman"/>
        <family val="1"/>
      </rPr>
      <t>%-lə</t>
    </r>
  </si>
  <si>
    <r>
      <t>Qiymət indekslərinin dəyişməsi,</t>
    </r>
    <r>
      <rPr>
        <i/>
        <sz val="11"/>
        <color rgb="FF366092"/>
        <rFont val="Times New Roman"/>
        <family val="1"/>
      </rPr>
      <t xml:space="preserve"> %-lə</t>
    </r>
  </si>
  <si>
    <t>Non-bank</t>
  </si>
  <si>
    <t>Bank</t>
  </si>
  <si>
    <t>Letter of credit</t>
  </si>
  <si>
    <t>Household loans</t>
  </si>
  <si>
    <t>Loans</t>
  </si>
  <si>
    <t>Xüsusi çəkisi, %</t>
  </si>
  <si>
    <t>o cümlədən: vaxtı keçmiş kredit</t>
  </si>
  <si>
    <t>Qeyri-bank</t>
  </si>
  <si>
    <t>Kredit portfeli</t>
  </si>
  <si>
    <r>
      <t xml:space="preserve">Table 2.8.d. Sectoral breakdown of loans </t>
    </r>
    <r>
      <rPr>
        <i/>
        <sz val="20"/>
        <color rgb="FF366092"/>
        <rFont val="Times New Roman"/>
        <family val="1"/>
        <charset val="162"/>
      </rPr>
      <t>(end of period)</t>
    </r>
  </si>
  <si>
    <r>
      <t>Cədvəl 2.8.d. Kredit qoyuluşlarının sahələr üzrə strukturu</t>
    </r>
    <r>
      <rPr>
        <b/>
        <i/>
        <sz val="20"/>
        <color rgb="FF366092"/>
        <rFont val="Times New Roman"/>
        <family val="1"/>
        <charset val="162"/>
      </rPr>
      <t xml:space="preserve"> (dövrün sonuna)</t>
    </r>
  </si>
  <si>
    <t>2.8.d.</t>
  </si>
  <si>
    <r>
      <t>Kredit qoyuluşlarının sahələr üzrə strukturu</t>
    </r>
    <r>
      <rPr>
        <sz val="11"/>
        <color rgb="FFFF0000"/>
        <rFont val="Times New Roman"/>
        <family val="1"/>
      </rPr>
      <t xml:space="preserve"> </t>
    </r>
    <r>
      <rPr>
        <i/>
        <sz val="11"/>
        <color rgb="FFFF0000"/>
        <rFont val="Times New Roman"/>
        <family val="1"/>
      </rPr>
      <t>(detallı)</t>
    </r>
  </si>
  <si>
    <t>2.7.d.</t>
  </si>
  <si>
    <r>
      <t xml:space="preserve">Cədvəl 2.7.d. Kredit təşkilatlarının müddətlər üzrə kredit qoyuluşları </t>
    </r>
    <r>
      <rPr>
        <b/>
        <i/>
        <sz val="12"/>
        <color rgb="FF366092"/>
        <rFont val="Times New Roman"/>
        <family val="1"/>
      </rPr>
      <t>(dövrün sonuna)</t>
    </r>
  </si>
  <si>
    <r>
      <t xml:space="preserve">Table 2.7.d. Loans of credit institutions by maturity </t>
    </r>
    <r>
      <rPr>
        <i/>
        <sz val="12"/>
        <color rgb="FF366092"/>
        <rFont val="Times New Roman"/>
        <family val="1"/>
      </rPr>
      <t>(end of period)</t>
    </r>
  </si>
  <si>
    <t>Cəmi kredit portfeli</t>
  </si>
  <si>
    <r>
      <t xml:space="preserve">Kredit təşkilatlarının müddətlər üzrə kredit qoyuluşları </t>
    </r>
    <r>
      <rPr>
        <i/>
        <sz val="11"/>
        <color rgb="FFFF0000"/>
        <rFont val="Times New Roman"/>
        <family val="1"/>
      </rPr>
      <t>(detallı)</t>
    </r>
  </si>
  <si>
    <t>o cümlədən:
vaxtı keçmiş</t>
  </si>
  <si>
    <t>of which:
overdue</t>
  </si>
  <si>
    <r>
      <t>Qeyd: Göstəricilər Beynəlxalq Valyuta Fondunun "Pul və Maliyyə Statistikası" metodologiyasına əsasən hesablanır /</t>
    </r>
    <r>
      <rPr>
        <i/>
        <sz val="9"/>
        <color rgb="FF31869E"/>
        <rFont val="Times New Roman"/>
        <family val="1"/>
      </rPr>
      <t xml:space="preserve"> Note: According to IMF's "Monetary and Financial Statistics"</t>
    </r>
  </si>
  <si>
    <r>
      <t xml:space="preserve">Mənbə: Azərbaycan Respublikasının Mərkəzi Bankı / </t>
    </r>
    <r>
      <rPr>
        <i/>
        <sz val="9"/>
        <color rgb="FF31869E"/>
        <rFont val="Times New Roman"/>
        <family val="1"/>
      </rPr>
      <t>Source: The Central Bank of the Republic of Azerbaijan</t>
    </r>
  </si>
  <si>
    <t>of which: 
overdue loans</t>
  </si>
  <si>
    <r>
      <t xml:space="preserve">Qeyd: Göstəricilər Beynəlxalq Valyuta Fondunun "Pul və Maliyyə Statistikası" metodologiyasına əsasən hesablanır / Note: </t>
    </r>
    <r>
      <rPr>
        <i/>
        <sz val="12"/>
        <color rgb="FF31869E"/>
        <rFont val="Times New Roman"/>
        <family val="1"/>
        <charset val="162"/>
      </rPr>
      <t>According to IMF's "Monetary and Financial Statistics"</t>
    </r>
  </si>
  <si>
    <r>
      <t xml:space="preserve">Mənbə: Azərbaycan Respublikasının Mərkəzi Bankı  / </t>
    </r>
    <r>
      <rPr>
        <i/>
        <sz val="12"/>
        <color rgb="FF31869E"/>
        <rFont val="Times New Roman"/>
        <family val="1"/>
        <charset val="162"/>
      </rPr>
      <t>Source: The Central Bank of the Republic of Azerbaijan</t>
    </r>
  </si>
  <si>
    <t>Xarici valyutada</t>
  </si>
  <si>
    <t xml:space="preserve">1.1 kreditlər üzrə </t>
  </si>
  <si>
    <t xml:space="preserve">  -faiz borcları üzrə yaradılmış məqsədli ehtiyatlar</t>
  </si>
  <si>
    <t>1.2 maliyyə sektorunda yerləşdirilmiş vəsaitlər üzrə</t>
  </si>
  <si>
    <t xml:space="preserve">1.3 qiymətli kağızları üzrə </t>
  </si>
  <si>
    <t>1.4 digər faiz gəliri üzrə</t>
  </si>
  <si>
    <t xml:space="preserve">    -o cümlədən müddətli depozitlər üzrə</t>
  </si>
  <si>
    <t>2.2 maliyyə sektorundan cəlb edilmiş vəsaitlər üzrə</t>
  </si>
  <si>
    <t>3. Xalis faiz gəliri (zərəri)</t>
  </si>
  <si>
    <t>4.1 hesabların aparılması üzrə xidmətlərdən komisyon gəliri</t>
  </si>
  <si>
    <t>4.2 məzənnə dəyişməsi daxil olmaqla, valyuta əməliyyatlarından xalis gəlir (itki)</t>
  </si>
  <si>
    <t xml:space="preserve">4.3 qiymətli kağızların satışı üzrə gəlir (zərər) </t>
  </si>
  <si>
    <t>4.4 digər qeyri-faiz gəlirləri üzrə</t>
  </si>
  <si>
    <t>5.1 əsas vəsaitlərlə bağlı xərclər</t>
  </si>
  <si>
    <t>5.2 xidmətlər üzrə haqq və komissiya xərcləri</t>
  </si>
  <si>
    <t>5.3 digər qeyri-faiz xərcləri üzrə</t>
  </si>
  <si>
    <t>6. Əməliyyat mənfəəti (zərəri)</t>
  </si>
  <si>
    <t>9. Vergilər ödənilənədək mənfəət (zərər)</t>
  </si>
  <si>
    <t xml:space="preserve"> Cədvəl 5.5. Vəsaitlərin mənbəyinə görə biznes kreditləri barədə məlumat</t>
  </si>
  <si>
    <t xml:space="preserve"> - dövlət fondları hesabına</t>
  </si>
  <si>
    <t>Mənbə: Azərbaycan Respublikasının Mərkəzi Bankı  / Source: The Central Bank of the Republic of Azerbaijan</t>
  </si>
  <si>
    <t>Müddətli depozit və əmanətlər üzrə</t>
  </si>
  <si>
    <t>On time deposits and savings</t>
  </si>
  <si>
    <r>
      <t xml:space="preserve">Aylar
</t>
    </r>
    <r>
      <rPr>
        <sz val="12"/>
        <color theme="1"/>
        <rFont val="Times New Roman"/>
        <family val="1"/>
      </rPr>
      <t>Months</t>
    </r>
  </si>
  <si>
    <r>
      <t>Reyestrə daxil edilmiş bildirişlərin sayı</t>
    </r>
    <r>
      <rPr>
        <b/>
        <sz val="12"/>
        <color theme="1"/>
        <rFont val="Calibri"/>
        <family val="2"/>
      </rPr>
      <t>¹</t>
    </r>
  </si>
  <si>
    <r>
      <t>İllər üzrə axtarış sayı</t>
    </r>
    <r>
      <rPr>
        <b/>
        <sz val="12"/>
        <color theme="1"/>
        <rFont val="Calibri"/>
        <family val="2"/>
      </rPr>
      <t>²</t>
    </r>
  </si>
  <si>
    <t>Number of notices entered into the Registry</t>
  </si>
  <si>
    <t>Number of searches by year</t>
  </si>
  <si>
    <t>Cəmi / Total</t>
  </si>
  <si>
    <r>
      <rPr>
        <b/>
        <i/>
        <sz val="10"/>
        <color rgb="FF31869E"/>
        <rFont val="Times New Roman"/>
        <family val="1"/>
      </rPr>
      <t xml:space="preserve">1. Bildiriş – daşınar əmlaka yüklülüyün yaranması, yüklülüyə dəyişikliklər edilməsi, onun xitamı, habelə daşınar əmlak üzərində yüklülüyə etiraz edilməsi ilə bağlı qeydlərin aparılması üçün daşınar əmlakın yüklülüyünün dövlət reyestrinə daxil edilən məlumat.    </t>
    </r>
    <r>
      <rPr>
        <i/>
        <sz val="10"/>
        <color rgb="FF31869E"/>
        <rFont val="Times New Roman"/>
        <family val="1"/>
      </rPr>
      <t xml:space="preserve">
Notice – information filed with the state registry of movable asset encumbrances in order to record origination of, changes to, termination of, as well as objection of encumbrance of a movable asset.</t>
    </r>
  </si>
  <si>
    <r>
      <rPr>
        <b/>
        <i/>
        <sz val="10"/>
        <color rgb="FF31869E"/>
        <rFont val="Times New Roman"/>
        <family val="1"/>
      </rPr>
      <t xml:space="preserve">2. Reyestrə daxil edilmiş bildirişlər üzrə edilmiş axtarışların sayı / </t>
    </r>
    <r>
      <rPr>
        <i/>
        <sz val="10"/>
        <color rgb="FF31869E"/>
        <rFont val="Times New Roman"/>
        <family val="1"/>
      </rPr>
      <t xml:space="preserve">The number of searches made on notices entered into Registry. </t>
    </r>
  </si>
  <si>
    <t xml:space="preserve">S Ə N A Y E </t>
  </si>
  <si>
    <t>T İ K İ N T İ</t>
  </si>
  <si>
    <t xml:space="preserve">P Ə R A K Ə N D Ə   T İ C A R Ə T </t>
  </si>
  <si>
    <t xml:space="preserve">X İ D M Ə T </t>
  </si>
  <si>
    <t xml:space="preserve">Son 3 ayda </t>
  </si>
  <si>
    <t xml:space="preserve">Növbəti 3 ayda </t>
  </si>
  <si>
    <t xml:space="preserve"> Sənaye İnam İndeksi*  </t>
  </si>
  <si>
    <t>Son 3 ayda</t>
  </si>
  <si>
    <t>Növbəti 3 ayda</t>
  </si>
  <si>
    <t xml:space="preserve">  Sifarişlərin icra müddəti, ay</t>
  </si>
  <si>
    <t xml:space="preserve">  Tikinti İnam İndeksi**</t>
  </si>
  <si>
    <t xml:space="preserve">  Xidmət İnam İndeksi****</t>
  </si>
  <si>
    <t xml:space="preserve">  Məhsul istehsalı </t>
  </si>
  <si>
    <t xml:space="preserve">  İcraya qəbul edilmiş sifarişlər  </t>
  </si>
  <si>
    <t xml:space="preserve">  Hazır məhsul ehtiyatı</t>
  </si>
  <si>
    <t xml:space="preserve">  İstehsal gözləntiləri</t>
  </si>
  <si>
    <t xml:space="preserve">  Qiymət gözləntiləri</t>
  </si>
  <si>
    <t xml:space="preserve">  Tikinti işlərinin həcmi</t>
  </si>
  <si>
    <t xml:space="preserve">  İcraya qəbul edilmiş sifarişlər</t>
  </si>
  <si>
    <t xml:space="preserve">  İşçilərin sayının dəyişməsi</t>
  </si>
  <si>
    <t xml:space="preserve">  Faktiki satışlar</t>
  </si>
  <si>
    <t xml:space="preserve">  Mal ehtiyatlarının dəyişməsi</t>
  </si>
  <si>
    <t xml:space="preserve">  Satışlar üzrə gözləntilər</t>
  </si>
  <si>
    <t xml:space="preserve">  Biznes şəraiti</t>
  </si>
  <si>
    <t xml:space="preserve">  Faktiki tələb</t>
  </si>
  <si>
    <t xml:space="preserve">  Tələb gözləntisi </t>
  </si>
  <si>
    <t xml:space="preserve"> INDUSTRY</t>
  </si>
  <si>
    <t>CONSTRUCTION</t>
  </si>
  <si>
    <t>RETAIL TRADE</t>
  </si>
  <si>
    <t>SERVICES</t>
  </si>
  <si>
    <t>Past 3 months</t>
  </si>
  <si>
    <t>Next 3 months</t>
  </si>
  <si>
    <t xml:space="preserve">  Industry Confidence Indicator*  </t>
  </si>
  <si>
    <t xml:space="preserve">  Execution time of orders, month</t>
  </si>
  <si>
    <t xml:space="preserve">  Construction Confidence Indicator**  </t>
  </si>
  <si>
    <t xml:space="preserve">  Retail Trade Confidence Indicator***  </t>
  </si>
  <si>
    <t xml:space="preserve">  Services Confidence Indicator****  </t>
  </si>
  <si>
    <t xml:space="preserve">  Production</t>
  </si>
  <si>
    <t xml:space="preserve">  Total order books</t>
  </si>
  <si>
    <t xml:space="preserve">  Stocks of finished products</t>
  </si>
  <si>
    <t xml:space="preserve">  Production expectations</t>
  </si>
  <si>
    <t xml:space="preserve">  Price expectations</t>
  </si>
  <si>
    <t xml:space="preserve">  Building activity</t>
  </si>
  <si>
    <t xml:space="preserve">  Employment</t>
  </si>
  <si>
    <t>Price expectations</t>
  </si>
  <si>
    <t xml:space="preserve">  Sales</t>
  </si>
  <si>
    <t xml:space="preserve">  Stocks of goods</t>
  </si>
  <si>
    <t xml:space="preserve">  Sales expectations</t>
  </si>
  <si>
    <t xml:space="preserve"> Business situation</t>
  </si>
  <si>
    <t xml:space="preserve">  Current demand</t>
  </si>
  <si>
    <t xml:space="preserve">  Demand expectations</t>
  </si>
  <si>
    <t xml:space="preserve">    min manatla</t>
  </si>
  <si>
    <t>Sığorta Haqqları</t>
  </si>
  <si>
    <t>“AzSığorta” Açıq Səhmdar Cəmiyyəti</t>
  </si>
  <si>
    <t>"Aqrar Sığorta" Açıq Səhmdar Cəmiyyəti</t>
  </si>
  <si>
    <t>Lisenziyası ləğv edilmiş sığortaçılar</t>
  </si>
  <si>
    <t>Sığorta haqqları</t>
  </si>
  <si>
    <t xml:space="preserve">       dəmiryol nəqliyyatı vasitələri sahiblərinin mülki məsuliyyətinin sığortası</t>
  </si>
  <si>
    <t xml:space="preserve">     İstehsalatda bədbəxt hadisələr və peşə xəstəlikləri nəticəsində peşə əmək qabiliyyətinin itirilməsi hallarından icbari sığorta</t>
  </si>
  <si>
    <t xml:space="preserve">təmassız POS-terminallar vasitəsilə </t>
  </si>
  <si>
    <t>Ttransactions with Credit cards</t>
  </si>
  <si>
    <t xml:space="preserve">İyul </t>
  </si>
  <si>
    <t>Göstəricinin adı</t>
  </si>
  <si>
    <t>CƏMİ</t>
  </si>
  <si>
    <t>Regionun adı</t>
  </si>
  <si>
    <t>Bankomatların sayı</t>
  </si>
  <si>
    <t>Şərqi Zəngəzur  iqtisadi rayonu</t>
  </si>
  <si>
    <t>Hesabat ayı üzrə</t>
  </si>
  <si>
    <t>Əməliyyatların sayı (min ədəd)</t>
  </si>
  <si>
    <t>Visa</t>
  </si>
  <si>
    <t>MasterCard</t>
  </si>
  <si>
    <t>American Express</t>
  </si>
  <si>
    <t>UnionPay</t>
  </si>
  <si>
    <t>Digər sistemlər</t>
  </si>
  <si>
    <t>2.7.1</t>
  </si>
  <si>
    <t>Kredit təşkilatlarının müddətlər üzrə yeni kredit qoyuluşları</t>
  </si>
  <si>
    <t>4.6</t>
  </si>
  <si>
    <t>4.7</t>
  </si>
  <si>
    <t>4.8</t>
  </si>
  <si>
    <t>4.9</t>
  </si>
  <si>
    <t>Statistik vahidə məxsus ödəniş xidməti şəbəkəsinin iqtisadi rayonlar üzrə statistikası</t>
  </si>
  <si>
    <t>Statistik vahidə məxsus ödəniş xidməti şəbəkəsində ödəniş kartları vasitəsilə aparılan əməliyyatlar</t>
  </si>
  <si>
    <t>5.5</t>
  </si>
  <si>
    <t>Vəsaitlərin mənbəyinə görə biznes kreditləri barədə məlumat</t>
  </si>
  <si>
    <t>6.1</t>
  </si>
  <si>
    <t>6.2</t>
  </si>
  <si>
    <t xml:space="preserve">Real sektorda İşgüzar Fəallıq İndeksləri </t>
  </si>
  <si>
    <t>min manatla</t>
  </si>
  <si>
    <t xml:space="preserve">Cədvəl 7. Real sektorda İşgüzar Fəallıq İndeksləri </t>
  </si>
  <si>
    <t>Table 7. Business Tendency Indices in Real Sector</t>
  </si>
  <si>
    <r>
      <t xml:space="preserve">* = (məhsul istehsalı – hazır məhsul ehtiyatı + istehsal gözləntiləri)/3   /   </t>
    </r>
    <r>
      <rPr>
        <i/>
        <sz val="10"/>
        <color theme="8" tint="-0.249977111117893"/>
        <rFont val="Times New Roman"/>
        <family val="1"/>
      </rPr>
      <t>= (Production – Stocks of finished products + Production expectations)/3</t>
    </r>
  </si>
  <si>
    <r>
      <t xml:space="preserve">** = (İcraya qəbul edilmiş sifarişlər + İşçilərin sayının dəyişməsi gözləntiləri)/2   /   </t>
    </r>
    <r>
      <rPr>
        <i/>
        <sz val="10"/>
        <color theme="8" tint="-0.249977111117893"/>
        <rFont val="Times New Roman"/>
        <family val="1"/>
      </rPr>
      <t>= (Total order books + Employment expectatoins)/2</t>
    </r>
  </si>
  <si>
    <r>
      <t xml:space="preserve">*** = (faktiki satış – mal ehtiyatlarının dəyişməsi + satış üzrə gözləntilər)/3   /   </t>
    </r>
    <r>
      <rPr>
        <i/>
        <sz val="10"/>
        <color theme="8" tint="-0.249977111117893"/>
        <rFont val="Times New Roman"/>
        <family val="1"/>
      </rPr>
      <t>= (Sales – Stocks of goods + Sales expectations)/3</t>
    </r>
  </si>
  <si>
    <r>
      <t xml:space="preserve">**** = (Biznes şəraiti + Faktiki tələb + Tələb gözləntisi )/3   /    </t>
    </r>
    <r>
      <rPr>
        <i/>
        <sz val="10"/>
        <color theme="8" tint="-0.249977111117893"/>
        <rFont val="Times New Roman"/>
        <family val="1"/>
      </rPr>
      <t xml:space="preserve">= (Business situation + Current demand + Demand expectations )/3 </t>
    </r>
  </si>
  <si>
    <t>January</t>
  </si>
  <si>
    <t>February</t>
  </si>
  <si>
    <t>March</t>
  </si>
  <si>
    <t>April</t>
  </si>
  <si>
    <t>June</t>
  </si>
  <si>
    <t>July</t>
  </si>
  <si>
    <t>August</t>
  </si>
  <si>
    <t>September</t>
  </si>
  <si>
    <t>Indicator</t>
  </si>
  <si>
    <t>Baku economic region</t>
  </si>
  <si>
    <t>Nakhchivan economic region</t>
  </si>
  <si>
    <t>Absheron-Khizi economic region</t>
  </si>
  <si>
    <t>Ganja-Dashkasan economic region</t>
  </si>
  <si>
    <t>Karabakh economic region</t>
  </si>
  <si>
    <t>Gazakh-Tovuz economic region</t>
  </si>
  <si>
    <t>Guba-Khachmaz economic region</t>
  </si>
  <si>
    <t>Lankaran-Astara economic region</t>
  </si>
  <si>
    <t>Central Aran economic region</t>
  </si>
  <si>
    <t>Mil-Mugan economic region</t>
  </si>
  <si>
    <t>Sheki-Zagatala economic region</t>
  </si>
  <si>
    <t>Eastern Zangezur economic region</t>
  </si>
  <si>
    <t>Shirvan-Salyan economic region</t>
  </si>
  <si>
    <t>Number of operations (thousand units)</t>
  </si>
  <si>
    <t>TOTAL</t>
  </si>
  <si>
    <t>Other systems</t>
  </si>
  <si>
    <t>Number of POS-terminals</t>
  </si>
  <si>
    <t>Number of self-service terminals</t>
  </si>
  <si>
    <t>2.7.1. Kredit təşkilatlarının müddətlər üzrə yeni kredit qoyuluşları</t>
  </si>
  <si>
    <t>2.7.1. New loans of credit institutions by maturity</t>
  </si>
  <si>
    <t>AZIPS üzrə / on RTGS</t>
  </si>
  <si>
    <t>Mərkəzi Bank / Central Bank</t>
  </si>
  <si>
    <t>Kommersiya bankları / Commercial banks</t>
  </si>
  <si>
    <t>Digər iştirakçılar / Other participants</t>
  </si>
  <si>
    <t>XÖHKS üzrə / on LVPCSS</t>
  </si>
  <si>
    <t>AÖS üzrə / on IPS</t>
  </si>
  <si>
    <t>Via payment cards issued by non-resident financial institutions</t>
  </si>
  <si>
    <t xml:space="preserve">Qeyri-rezident maliyyə institutlarının emissiya etdiyi ödəniş kartları vasitəsilə </t>
  </si>
  <si>
    <t>Company name</t>
  </si>
  <si>
    <t>january</t>
  </si>
  <si>
    <t>Premiums</t>
  </si>
  <si>
    <t>Claims Paid</t>
  </si>
  <si>
    <t>"A-Group Insurance Company" OJSC</t>
  </si>
  <si>
    <t>"AtaInsurance" OJSC</t>
  </si>
  <si>
    <t>"Ateshgah life"  Insurance Company OJSC</t>
  </si>
  <si>
    <t>"Ateshgah"  Insurance Company OJSC</t>
  </si>
  <si>
    <t>“Azerbaijan Industry Insurance” OJSC </t>
  </si>
  <si>
    <t>"Azsıgorta" OJSC</t>
  </si>
  <si>
    <t>"Baki Insurance" OJSC</t>
  </si>
  <si>
    <t>"Gunay Insurance" OJSC</t>
  </si>
  <si>
    <t>"Silk Way Insurance" OJSC</t>
  </si>
  <si>
    <t>"Mega Insurance" OJSC</t>
  </si>
  <si>
    <t>"NakhchivanInsurance" OJSC</t>
  </si>
  <si>
    <t>"Pasha life Insurance" OJSC</t>
  </si>
  <si>
    <t>"Pasha Insurance" OJSC</t>
  </si>
  <si>
    <t>“Qala Life” Insurance Company OJSC</t>
  </si>
  <si>
    <t>“Qala Insurance" Company OJSC</t>
  </si>
  <si>
    <t>"Khalg Life Insurance" OJSC</t>
  </si>
  <si>
    <t>"Khalg Insurance" OJSC</t>
  </si>
  <si>
    <t>"Mega Life Insurance" OJSC</t>
  </si>
  <si>
    <t>Inactive insurers whose lisences were revoked</t>
  </si>
  <si>
    <t>Amrah Insurance OJSC</t>
  </si>
  <si>
    <t>"AXA MBASK" Insurance Company OJSC</t>
  </si>
  <si>
    <t>“Standard Insurance” OJSC</t>
  </si>
  <si>
    <t>“Bashak İnam Insurance Company” OJSC</t>
  </si>
  <si>
    <t>“International Insurance Company” OJSC</t>
  </si>
  <si>
    <t>“Buta Insurance” OJSC</t>
  </si>
  <si>
    <t>“Azergarant Insurance” OJSC</t>
  </si>
  <si>
    <t>“Alpha Insurance” OKSC</t>
  </si>
  <si>
    <t>"Ravan Insurance" OJSC</t>
  </si>
  <si>
    <t>Types of Insurance</t>
  </si>
  <si>
    <t>October</t>
  </si>
  <si>
    <t>December</t>
  </si>
  <si>
    <t>Voluntary insurance, total:</t>
  </si>
  <si>
    <t>Life insurance, including:</t>
  </si>
  <si>
    <t>endowment insurance</t>
  </si>
  <si>
    <t>death insurance</t>
  </si>
  <si>
    <t>Non-life insurance, including:</t>
  </si>
  <si>
    <t>Personal insurance, including:</t>
  </si>
  <si>
    <t>travel insurance</t>
  </si>
  <si>
    <t>Property insurance, including:</t>
  </si>
  <si>
    <t>property insurance, including:</t>
  </si>
  <si>
    <t>aircraft insurance</t>
  </si>
  <si>
    <t>livestock insurance</t>
  </si>
  <si>
    <t>railway transport insurance</t>
  </si>
  <si>
    <t>crop insurance</t>
  </si>
  <si>
    <t>other property insurances, including:</t>
  </si>
  <si>
    <t xml:space="preserve"> - insurance against counterfeit money </t>
  </si>
  <si>
    <t xml:space="preserve">liability insurance, including: </t>
  </si>
  <si>
    <t xml:space="preserve">aircraft owner's  liability insurance </t>
  </si>
  <si>
    <t>employer's liability insurance</t>
  </si>
  <si>
    <t>credit insurance, including:</t>
  </si>
  <si>
    <t>credit insurance</t>
  </si>
  <si>
    <t>other financial risks insurance, including:</t>
  </si>
  <si>
    <t>Compulsory insurance, total:</t>
  </si>
  <si>
    <t>Life insurance</t>
  </si>
  <si>
    <t>compulsory real estate insurance</t>
  </si>
  <si>
    <t>compulsory personal accident insurance for passengers</t>
  </si>
  <si>
    <t>other compulsory insurances</t>
  </si>
  <si>
    <t>GRAND TOTAL</t>
  </si>
  <si>
    <t xml:space="preserve"> avtonəqliyyat vasitəsi sahiblərinin mülki məsuliyyətinin icbari sığortası</t>
  </si>
  <si>
    <t>daşınmaz əmlakın icbari sığortası</t>
  </si>
  <si>
    <t>daşınmaz əmlakın istismarı ilə bağlı mülki məsuliyyətin icbari sığortası</t>
  </si>
  <si>
    <t>sərnişinlərin icbari fərdi qəza sığortası</t>
  </si>
  <si>
    <t>digər icbari sığorta növləri</t>
  </si>
  <si>
    <t>yanvar-fevral</t>
  </si>
  <si>
    <t>yanvar-mart</t>
  </si>
  <si>
    <t>yanvar-aprel</t>
  </si>
  <si>
    <t>yanvar-may</t>
  </si>
  <si>
    <t>yanvar-iyun</t>
  </si>
  <si>
    <t>yanvar- iyul</t>
  </si>
  <si>
    <t>yanvar-avqust</t>
  </si>
  <si>
    <t>yanvar-sentyabr</t>
  </si>
  <si>
    <t>january-february</t>
  </si>
  <si>
    <t>january-march</t>
  </si>
  <si>
    <t>january-april</t>
  </si>
  <si>
    <t>january-may</t>
  </si>
  <si>
    <t>january-june</t>
  </si>
  <si>
    <t>january-july</t>
  </si>
  <si>
    <t>january-august</t>
  </si>
  <si>
    <t>january-september</t>
  </si>
  <si>
    <t>Noovember</t>
  </si>
  <si>
    <t>yanvar-oktyabr</t>
  </si>
  <si>
    <t>yanvar-noyabr</t>
  </si>
  <si>
    <t>yanvar-dekabr</t>
  </si>
  <si>
    <t>January December</t>
  </si>
  <si>
    <t>January-November</t>
  </si>
  <si>
    <t>January-October</t>
  </si>
  <si>
    <t>Daşınar əmlaka dair Reyestrdə qeydə alınan yüklülüklərin statistikası</t>
  </si>
  <si>
    <t>Cədvəl 8. Daşınar əmlaka dair Reyestrdə qeydə alınan yüklülüklərin statistikası</t>
  </si>
  <si>
    <t>Table 8. Statistics of encumbrances recorded in the Registry about movable property</t>
  </si>
  <si>
    <t>number of transactions</t>
  </si>
  <si>
    <t xml:space="preserve">Via payment cards issued by resident financial institutions (as well as payment cards of the statistical unit) </t>
  </si>
  <si>
    <t>Pul köçürmə sistemləri üzrə əməliyyatlar</t>
  </si>
  <si>
    <t>Milli Ödəniş sistemləri üzrə əməliyyatlar</t>
  </si>
  <si>
    <t>Repo hərrac</t>
  </si>
  <si>
    <t>Əks Repo hərrac</t>
  </si>
  <si>
    <t>Depozit</t>
  </si>
  <si>
    <t>7 gün</t>
  </si>
  <si>
    <t>1 gün</t>
  </si>
  <si>
    <t>Repo auction</t>
  </si>
  <si>
    <t>Reverse Repo auction</t>
  </si>
  <si>
    <t>Reverse Repo</t>
  </si>
  <si>
    <t xml:space="preserve">Deposit </t>
  </si>
  <si>
    <t>7 days</t>
  </si>
  <si>
    <t>interest rate 84 day Notes, %</t>
  </si>
  <si>
    <t>interest rate 168 day Notes, %</t>
  </si>
  <si>
    <t>interest rate 252 day Notes, %</t>
  </si>
  <si>
    <t>Cədvəl 3.1. Mərkəzi Bankın monetar əməliyyatlarının həcmi və faiz dərəcələri (dövrün sonuna)</t>
  </si>
  <si>
    <t>2.3 digər</t>
  </si>
  <si>
    <r>
      <t>Kredit portfeli,</t>
    </r>
    <r>
      <rPr>
        <b/>
        <i/>
        <sz val="17"/>
        <color theme="1"/>
        <rFont val="Times New Roman"/>
        <family val="1"/>
      </rPr>
      <t xml:space="preserve"> </t>
    </r>
  </si>
  <si>
    <t xml:space="preserve">Table 3.1. Volume and interest rates on Central Bank's monetary operations (end of period) </t>
  </si>
  <si>
    <r>
      <t xml:space="preserve">Mərkəzi Bankın monetar əməliyyatlarının həcmi və faiz dərəcələri </t>
    </r>
    <r>
      <rPr>
        <i/>
        <sz val="11"/>
        <color rgb="FF366092"/>
        <rFont val="Times New Roman"/>
        <family val="1"/>
      </rPr>
      <t>(dövrün sonuna)</t>
    </r>
  </si>
  <si>
    <r>
      <t xml:space="preserve">Mənbə: Azərbaycan Respublikasının Mərkəzi Bankı / </t>
    </r>
    <r>
      <rPr>
        <i/>
        <sz val="10"/>
        <color theme="8" tint="-0.249977111117893"/>
        <rFont val="Times New Roman"/>
        <family val="1"/>
      </rPr>
      <t>Source: The Central Bank of the Republic of Azerbaijan</t>
    </r>
  </si>
  <si>
    <r>
      <t>AZIPS - Real Vaxt rejimində Banklararası Milli Hesablaşmalar Sistemi /</t>
    </r>
    <r>
      <rPr>
        <i/>
        <sz val="9"/>
        <color theme="8" tint="-0.249977111117893"/>
        <rFont val="Times New Roman"/>
        <family val="1"/>
      </rPr>
      <t xml:space="preserve"> RTGS - National Interbank Real-Time Gross Settlement Payment System</t>
    </r>
  </si>
  <si>
    <r>
      <t xml:space="preserve">XÖHKS - Xırda Ödənişlər üzrə Hesablaşma Klirinq Sistemi / </t>
    </r>
    <r>
      <rPr>
        <i/>
        <sz val="9"/>
        <color theme="8" tint="-0.249977111117893"/>
        <rFont val="Times New Roman"/>
        <family val="1"/>
      </rPr>
      <t>LVPCSS - Low Value  Payment Clearing and Settlement System</t>
    </r>
  </si>
  <si>
    <r>
      <t xml:space="preserve">AÖS - Ani Ödənişlər Sistemi / </t>
    </r>
    <r>
      <rPr>
        <i/>
        <sz val="9"/>
        <color theme="8" tint="-0.249977111117893"/>
        <rFont val="Times New Roman"/>
        <family val="1"/>
      </rPr>
      <t xml:space="preserve">IPS - Instant Payments System     </t>
    </r>
  </si>
  <si>
    <r>
      <t xml:space="preserve">*Ani Ödənişlər Sistemi (AÖS) 1 oktyabr 2020-ci il tarixindən istismara verilmişdir / </t>
    </r>
    <r>
      <rPr>
        <i/>
        <sz val="9"/>
        <color theme="8" tint="-0.249977111117893"/>
        <rFont val="Times New Roman"/>
        <family val="1"/>
      </rPr>
      <t>IPS (Instant Payments System) has been launched since 1 October 2020.</t>
    </r>
  </si>
  <si>
    <r>
      <t xml:space="preserve">Mənbə: Azərbaycan Respublikasının Mərkəzi Bankı / </t>
    </r>
    <r>
      <rPr>
        <i/>
        <sz val="12"/>
        <color theme="8" tint="-0.249977111117893"/>
        <rFont val="Times New Roman"/>
        <family val="1"/>
      </rPr>
      <t>Source: The Central Bank of the Republic of Azerbaijan</t>
    </r>
  </si>
  <si>
    <r>
      <t xml:space="preserve">Mənbə: Azərbaycan Respublikasının Mərkəzi Bankı / </t>
    </r>
    <r>
      <rPr>
        <i/>
        <sz val="14"/>
        <color theme="8" tint="-0.249977111117893"/>
        <rFont val="Times New Roman"/>
        <family val="1"/>
      </rPr>
      <t>Source: The Central Bank of the Republic of Azerbaijan</t>
    </r>
  </si>
  <si>
    <r>
      <t xml:space="preserve">Mənbə: Azərbaycan Respublikasının Mərkəzi Bankı / </t>
    </r>
    <r>
      <rPr>
        <i/>
        <sz val="16"/>
        <color theme="8" tint="-0.249977111117893"/>
        <rFont val="Times New Roman"/>
        <family val="1"/>
      </rPr>
      <t>Source: The Central Bank of the Republic of Azerbaijan</t>
    </r>
  </si>
  <si>
    <t xml:space="preserve">Cədvəl 5.1. Maliyyə bazarlarının iştirakçıları haqqında ümumi məlumat </t>
  </si>
  <si>
    <t>Table 5.1. General information on Financial Market Participants</t>
  </si>
  <si>
    <t>Table 5.2. Overview of Banking Sector</t>
  </si>
  <si>
    <t>Table 5.3. Profit and Loss statement (Banking Sector)</t>
  </si>
  <si>
    <t xml:space="preserve"> Table 5.4. Information on the structure of banks' loan portfolio</t>
  </si>
  <si>
    <t>Table 5.5. Information on business loans by source of funds</t>
  </si>
  <si>
    <t>Table 2.8.1. Loans to Households*</t>
  </si>
  <si>
    <t>Table 2.8.2. Loans to legal entities operating in retail and services sector*</t>
  </si>
  <si>
    <t>Table 2.8.3. Loans to legal entities operating in mining sector*</t>
  </si>
  <si>
    <t>Table 2.8.4. Loans to legal entities operating in electricity, gas, steam and water sector*</t>
  </si>
  <si>
    <t>Table 2.8.5. Loans to legal entities operating in agricultural, forestry or fisheries sector*</t>
  </si>
  <si>
    <t>Table 2.8.6. Loans to legal entities operating in building and construction sector*</t>
  </si>
  <si>
    <t>Table 2.8.7. Loans to legal entities operating in real estate sector *</t>
  </si>
  <si>
    <t>Table 2.8.8. Loans to legal entities operating in industrial and manufacturing sector*</t>
  </si>
  <si>
    <t>Table 2.8.9. Loans to legal entities operating in transportation and communication sector*</t>
  </si>
  <si>
    <r>
      <t>*Bank olmayan kredit təşkilatları istisna olmaqla (vaxtı keçmiş kreditlər daxil olmadan)/</t>
    </r>
    <r>
      <rPr>
        <i/>
        <sz val="14"/>
        <color theme="8" tint="-0.249977111117893"/>
        <rFont val="Times New Roman"/>
        <family val="1"/>
      </rPr>
      <t xml:space="preserve"> *Excluding non-bank credit organizations (excluding overdue loans)</t>
    </r>
  </si>
  <si>
    <t>Cədvəl 2.8.9. Nəqliyyat və rabitə sektorunda fəaliyyət göstərən hüquqi şəxslərə verilən kreditlər*</t>
  </si>
  <si>
    <t>Cədvəl 2.8.8. Sənaye və istehsal sektorunda fəaliyyət göstərən hüquqi şəxslərə verilən kreditlər*</t>
  </si>
  <si>
    <t>Cədvəl 2.8.7. Daşınmaz əmlak sektorunda fəaliyyət göstərən hüquqi şəxslərə verilən kreditlər*</t>
  </si>
  <si>
    <t>Cədvəl 2.8.6. İnşaat və tikinti sektorunda fəaliyyət göstərən hüquqi şəxslərə verilən kreditlər*</t>
  </si>
  <si>
    <t>Cədvəl 2.8.5. Kənd təsərrüfatı, meşə təsərrüfatı və balıqçılıq sektorunda fəaliyyət göstərən hüquqi şəxslərə verilən kreditlər*</t>
  </si>
  <si>
    <t>Cədvəl 2.8.4. Elektrik enerjisi, qaz, buxar və su təsərrüfatı sektoruna verilən kreditlər*</t>
  </si>
  <si>
    <t>Cədvəl 2.8.3. Mədənçıxarma sektorunda fəaliyyət göstərən hüquqi şəxslərə verilən kreditlər*</t>
  </si>
  <si>
    <t>Cədvəl 2.8.2. Ticarət və xidmət sektorunda fəaliyyət göstərən hüquqi şəxslərə verilən kreditlər*</t>
  </si>
  <si>
    <t>Cədvəl 2.8.1. Ev təsərrüfatlarına verilən kreditlər*</t>
  </si>
  <si>
    <t xml:space="preserve">Bankomatlar vasitəsilə </t>
  </si>
  <si>
    <t>via POS-terminals</t>
  </si>
  <si>
    <t>POS-terminallar</t>
  </si>
  <si>
    <t>Cəmi POS-terminallardan</t>
  </si>
  <si>
    <t xml:space="preserve">o c.: POS-terminallar ticarət və xidmətdə </t>
  </si>
  <si>
    <t xml:space="preserve"> Bankomat üzrə bir əməliyyatın orta aylıq həcmi manat </t>
  </si>
  <si>
    <t>Bir POS-terminala düşən əməliyyatların orta aylıq</t>
  </si>
  <si>
    <t xml:space="preserve"> POS-terminallar üzrə bir əməliyyatın orta aylıq həcmi manat </t>
  </si>
  <si>
    <t>monthly average volume of a operations for POS-terminals</t>
  </si>
  <si>
    <t>of which: POS-terminals in trade and service</t>
  </si>
  <si>
    <t>monthly average operations per a POS-terminal</t>
  </si>
  <si>
    <t>POS-terminals in trade and service</t>
  </si>
  <si>
    <t>ədəd/unit</t>
  </si>
  <si>
    <t>Əməliyyatların həcmi (mln. manat)</t>
  </si>
  <si>
    <t>Cədvəl 3.2. Müddətli depozit və kreditlər üzrə orta faiz dərəcələri</t>
  </si>
  <si>
    <t>Table 3.2. Average interest rates on time deposits and loans</t>
  </si>
  <si>
    <t>Müddətli depozit və kreditlər üzrə orta faiz dərəcələri</t>
  </si>
  <si>
    <t>Yeni cəlb olunmuş müddətli depozit və yeni verilmiş kreditlər üzrə orta faiz dərəcələri</t>
  </si>
  <si>
    <t>Amount of transactions, (mln. manat)</t>
  </si>
  <si>
    <t>Orta ölçülmüş qiymət üzrə gəlirlilik (%)</t>
  </si>
  <si>
    <t>maks. (kəsmə)</t>
  </si>
  <si>
    <t>Government registered number of bonds</t>
  </si>
  <si>
    <t xml:space="preserve">                  Nominal (mln. manat)</t>
  </si>
  <si>
    <t>Yield at the average weighted  price</t>
  </si>
  <si>
    <t>AZ0106006882 </t>
  </si>
  <si>
    <t>16 </t>
  </si>
  <si>
    <t>AZ0104003873 </t>
  </si>
  <si>
    <t xml:space="preserve"> AZ0108019883</t>
  </si>
  <si>
    <t>AZ0105021882 </t>
  </si>
  <si>
    <t>AZ0106022889 </t>
  </si>
  <si>
    <t xml:space="preserve">AZ0106023887 </t>
  </si>
  <si>
    <t>AZ0106026880 </t>
  </si>
  <si>
    <t>AZ0110001929 </t>
  </si>
  <si>
    <t>AZ0106035881 </t>
  </si>
  <si>
    <t>AZ0110004923 </t>
  </si>
  <si>
    <t>AZ0108037885 </t>
  </si>
  <si>
    <t>AZ0105002940 </t>
  </si>
  <si>
    <t>AZ0105010943 </t>
  </si>
  <si>
    <t>AZ0108012946 </t>
  </si>
  <si>
    <t>AZ0104001935 </t>
  </si>
  <si>
    <t>Verilmiş kreditlər üzrə orta faiz dərəcəsi</t>
  </si>
  <si>
    <t>Average interest rate on loans</t>
  </si>
  <si>
    <r>
      <t xml:space="preserve">Mənbə: Azərbaycan Respublikasının Mərkəzi Bankı  
</t>
    </r>
    <r>
      <rPr>
        <i/>
        <sz val="9"/>
        <color theme="8" tint="-0.249977111117893"/>
        <rFont val="Times New Roman"/>
        <family val="1"/>
      </rPr>
      <t>Source: The Central Bank of the Republic of Azerbaijan</t>
    </r>
  </si>
  <si>
    <t>Mountainous Shirvan economic region</t>
  </si>
  <si>
    <t>Cədvəl 3.2.1. Yeni cəlb olunmuş müddətli depozit və yeni verilmiş kreditlər üzrə orta faiz dərəcələri</t>
  </si>
  <si>
    <t>Table 3.2.1 Average interest rates on new time deposits and new loans</t>
  </si>
  <si>
    <t>Müddətli depozit və əmanətlər üzrə orta faiz dərəcəsi</t>
  </si>
  <si>
    <t>Average interest rate on time deposits and savings</t>
  </si>
  <si>
    <t>AZ0108024941</t>
  </si>
  <si>
    <t>AZ0106025940</t>
  </si>
  <si>
    <t>AZ0105026949</t>
  </si>
  <si>
    <t>Cədvəl 4.1. Milli Ödəniş Sistemləri üzrə əməliyyatlar</t>
  </si>
  <si>
    <t>Table 4.1. Transactions through National Payment Systems</t>
  </si>
  <si>
    <t xml:space="preserve">Cədvəl 4.2. Milli Ödəniş Sistemləri vasitəsilə aparılan ödəniş əməliyyatlarının iştirakçılar üzrə bölgüsü </t>
  </si>
  <si>
    <t>Table 4.2. Distribution of payment transactions carried out through the National Payment System by participants</t>
  </si>
  <si>
    <r>
      <t xml:space="preserve">Mənbə: Azərbaycan Respublikasının Mərkəzi Bankı / </t>
    </r>
    <r>
      <rPr>
        <i/>
        <sz val="9"/>
        <color theme="8" tint="-0.249977111117893"/>
        <rFont val="Times New Roman"/>
        <family val="1"/>
        <charset val="162"/>
      </rPr>
      <t>Source: The Central Bank of the Republic of Azerbaijan</t>
    </r>
  </si>
  <si>
    <t>Cədvəl 4.4. Statistik vahidə məxsus ödəniş xidməti şəbəkəsinin iqtisadi rayonlar üzrə statistikası</t>
  </si>
  <si>
    <t>Cədvəl 4.5. Debet və kredit kartları ilə aparılan əməliyyatlar</t>
  </si>
  <si>
    <t xml:space="preserve">Table 4.5. Transactions with debit and credit cards  </t>
  </si>
  <si>
    <r>
      <t>Mənbə: Azərbaycan Respublikasının Mərkəzi Bankı /</t>
    </r>
    <r>
      <rPr>
        <i/>
        <sz val="12"/>
        <color theme="8" tint="-0.249977111117893"/>
        <rFont val="Times New Roman"/>
        <family val="1"/>
        <charset val="162"/>
      </rPr>
      <t xml:space="preserve"> Source: The Central Bank of the Republic of Azerbaijan</t>
    </r>
  </si>
  <si>
    <t>Cədvəl 4.6. Ödəniş kartları və terminallardan istifadə göstəriciləri</t>
  </si>
  <si>
    <t xml:space="preserve">Table 4.6. Statistics on operations with payment cards and terminals </t>
  </si>
  <si>
    <r>
      <t xml:space="preserve">Mənbə: Azərbaycan Respublikasının Mərkəzi Bankı / </t>
    </r>
    <r>
      <rPr>
        <i/>
        <sz val="10"/>
        <color theme="8" tint="-0.249977111117893"/>
        <rFont val="Times New Roman"/>
        <family val="1"/>
        <charset val="162"/>
      </rPr>
      <t>Source: The Central Bank of the Republic of Azerbaijan</t>
    </r>
  </si>
  <si>
    <t>Cədvəl 4.8. Statistik vahidə məxsus ödəniş xidməti şəbəkəsində ödəniş kartları vasitəsilə aparılan əməliyyatlar</t>
  </si>
  <si>
    <t>Table 4.8. Transactions carried out using payment cards in the payment service network belonging to the statistical unit</t>
  </si>
  <si>
    <t>Cədvəl 4.9. Pul köçürmə sistemləri üzrə əməliyyatlar</t>
  </si>
  <si>
    <t>Table 4.9. Money transfer systems</t>
  </si>
  <si>
    <t xml:space="preserve">Milli Ödəniş Sistemləri vasitəsilə aparılan ödəniş əməliyyatlarının iştirakçılar üzrə bölgüsü </t>
  </si>
  <si>
    <t>Table 4.4. Statistics on the payment service network belonging to the statistical unit by economic regions</t>
  </si>
  <si>
    <t xml:space="preserve">Rezident maliyyə institutlarının (həmçinin statistik vahidin ödəniş kartları) emissiya etdiyi ödəniş kartları vasitəsilə </t>
  </si>
  <si>
    <r>
      <t xml:space="preserve">Mənbə: Azərbaycan Respublikasının Mərkəzi Bankı  / </t>
    </r>
    <r>
      <rPr>
        <i/>
        <sz val="9"/>
        <color theme="8" tint="-0.249977111117893"/>
        <rFont val="Times New Roman"/>
        <family val="1"/>
      </rPr>
      <t>Source: The Central Bank of the Republic of Azerbaijan</t>
    </r>
  </si>
  <si>
    <t xml:space="preserve">Bir bankomata düşən əməliyyatların orta aylıq </t>
  </si>
  <si>
    <t>AZ2009024707</t>
  </si>
  <si>
    <t>AZ2010024704</t>
  </si>
  <si>
    <t>AZ2011024703</t>
  </si>
  <si>
    <t>AZ2012024702</t>
  </si>
  <si>
    <t>AZ2013024701</t>
  </si>
  <si>
    <t>AZ2014024700</t>
  </si>
  <si>
    <t>AZ2015024709</t>
  </si>
  <si>
    <t>AZ2016024708</t>
  </si>
  <si>
    <t>AZ2017024707</t>
  </si>
  <si>
    <t>AZ2018024706</t>
  </si>
  <si>
    <t>AZ2019024705</t>
  </si>
  <si>
    <t>AZ2020024702</t>
  </si>
  <si>
    <t>AZ2021024701</t>
  </si>
  <si>
    <t>AZ2022024700</t>
  </si>
  <si>
    <t>AZ2023024709</t>
  </si>
  <si>
    <t>AZ2024024708</t>
  </si>
  <si>
    <t>Budget revenue,</t>
  </si>
  <si>
    <t>Budget expenditure,</t>
  </si>
  <si>
    <t>Table 2.13. Structure of households` savings</t>
  </si>
  <si>
    <t>AZ0108027944</t>
  </si>
  <si>
    <t>AZ0106028944</t>
  </si>
  <si>
    <t>AZ0105029943</t>
  </si>
  <si>
    <t>january-october</t>
  </si>
  <si>
    <t>AZ2025024707</t>
  </si>
  <si>
    <t>AZ2026024706</t>
  </si>
  <si>
    <t>AZ2027024705</t>
  </si>
  <si>
    <t>AZ2028024704</t>
  </si>
  <si>
    <t>AZ2029024703</t>
  </si>
  <si>
    <t>AZ2030024700</t>
  </si>
  <si>
    <t>AZ2031024709</t>
  </si>
  <si>
    <t>AZ2032024708</t>
  </si>
  <si>
    <t>AZ2033024707</t>
  </si>
  <si>
    <t>AZ2034024706</t>
  </si>
  <si>
    <t>AZ2035024705</t>
  </si>
  <si>
    <t>AZ2036024704</t>
  </si>
  <si>
    <t>AZ2037024703</t>
  </si>
  <si>
    <t>AZ2038024702</t>
  </si>
  <si>
    <t>AZ2039024701</t>
  </si>
  <si>
    <t>AZ2040024708</t>
  </si>
  <si>
    <t>AZ2041024707</t>
  </si>
  <si>
    <t>AZ2042024706</t>
  </si>
  <si>
    <t>AZ0108030948</t>
  </si>
  <si>
    <t>AZ0106031948</t>
  </si>
  <si>
    <t>AZ0105032947</t>
  </si>
  <si>
    <t>AZ0104001976</t>
  </si>
  <si>
    <t>AZ0104002974</t>
  </si>
  <si>
    <t>RIII,2022     QIII,2022</t>
  </si>
  <si>
    <t>November</t>
  </si>
  <si>
    <t>Özünəxidmət terminalları vasitəsilə</t>
  </si>
  <si>
    <t>via self-sevice terminals</t>
  </si>
  <si>
    <t>january-november</t>
  </si>
  <si>
    <t>including:</t>
  </si>
  <si>
    <t>accident and occupational diseases insurance</t>
  </si>
  <si>
    <t>critical illness insurance</t>
  </si>
  <si>
    <t>medical insurance</t>
  </si>
  <si>
    <t>personal accident insurance</t>
  </si>
  <si>
    <t>fire &amp; allied perils insurance</t>
  </si>
  <si>
    <t>motor vehicle insurance</t>
  </si>
  <si>
    <t>cargo insurance</t>
  </si>
  <si>
    <t>marine hull insurance</t>
  </si>
  <si>
    <t xml:space="preserve"> - fidelity guarantee insurance</t>
  </si>
  <si>
    <t>general third party liability</t>
  </si>
  <si>
    <t>third party liability insurance of motor insurance</t>
  </si>
  <si>
    <t>professional indemnity insurance</t>
  </si>
  <si>
    <t>carrier's liability insurance</t>
  </si>
  <si>
    <t>marine liability insurance</t>
  </si>
  <si>
    <t>railway liability insurance</t>
  </si>
  <si>
    <t>contractual Liability Insurance</t>
  </si>
  <si>
    <t>business interruption insurance</t>
  </si>
  <si>
    <t>compulsory insurance against loss of professional work capacity as a result of labor accidents and occupational diseases</t>
  </si>
  <si>
    <t>compulsory third party liability insurance of motor vehicles</t>
  </si>
  <si>
    <t>compulsory third party liability insurance associated with the use of the real estate</t>
  </si>
  <si>
    <r>
      <t xml:space="preserve">Cədvəl 1.6. Manatın xarici valyutalara nisbətən nominal və real effektiv məzənnəsi </t>
    </r>
    <r>
      <rPr>
        <b/>
        <i/>
        <sz val="9"/>
        <color rgb="FF366092"/>
        <rFont val="Times New Roman"/>
        <family val="1"/>
      </rPr>
      <t xml:space="preserve">(dekabr 2000=100) </t>
    </r>
  </si>
  <si>
    <r>
      <t xml:space="preserve">Table 1.6. Nominal and real effective exchange rates of manat to foreign currencies </t>
    </r>
    <r>
      <rPr>
        <i/>
        <sz val="9"/>
        <color rgb="FF366092"/>
        <rFont val="Times New Roman"/>
        <family val="1"/>
      </rPr>
      <t xml:space="preserve">(December 2000=100) </t>
    </r>
  </si>
  <si>
    <r>
      <t xml:space="preserve">Nominal effektiv məzənnə </t>
    </r>
    <r>
      <rPr>
        <b/>
        <sz val="10"/>
        <rFont val="Times New Roman"/>
        <family val="1"/>
      </rPr>
      <t>(NEM)</t>
    </r>
  </si>
  <si>
    <t>Real effektiv məzənnə (REM)</t>
  </si>
  <si>
    <t>Ümumi</t>
  </si>
  <si>
    <t>Qeyri-neft sektoru üzrə</t>
  </si>
  <si>
    <t>Nominal effective exchange rate (NEER)</t>
  </si>
  <si>
    <t>Real effective exchange rate (REER)</t>
  </si>
  <si>
    <t>Non-oil sector</t>
  </si>
  <si>
    <t>AZ0104001984</t>
  </si>
  <si>
    <t>AZ0106001990</t>
  </si>
  <si>
    <t>AZ0104100018</t>
  </si>
  <si>
    <t>AZ0105003997</t>
  </si>
  <si>
    <t>AZ0104102014</t>
  </si>
  <si>
    <t>AZ2043024705</t>
  </si>
  <si>
    <t>AZ2044024704</t>
  </si>
  <si>
    <t>AZ2045024703</t>
  </si>
  <si>
    <t>AZ2046024702</t>
  </si>
  <si>
    <t>AZ2047024701</t>
  </si>
  <si>
    <t>AZ2048024700</t>
  </si>
  <si>
    <t>AZ2049024709</t>
  </si>
  <si>
    <t>AZ2050024705</t>
  </si>
  <si>
    <t>AZ2051024704</t>
  </si>
  <si>
    <t>AZ2052024703</t>
  </si>
  <si>
    <t>AZ2053024702</t>
  </si>
  <si>
    <t>AZ2054024701</t>
  </si>
  <si>
    <t>AZ2055024700</t>
  </si>
  <si>
    <t>AZ2056024709</t>
  </si>
  <si>
    <t>january-december</t>
  </si>
  <si>
    <r>
      <t xml:space="preserve">Cədvəl 1.6.1. Manatın əsas ticarət tərəfdaşı olan ölkələrin valyutalarına qarşı real məzənnəsi </t>
    </r>
    <r>
      <rPr>
        <b/>
        <i/>
        <sz val="14"/>
        <color rgb="FF366092"/>
        <rFont val="Times New Roman"/>
        <family val="1"/>
        <charset val="162"/>
      </rPr>
      <t xml:space="preserve">(dekabr 2000=100) </t>
    </r>
  </si>
  <si>
    <r>
      <t>Table 1.6.1. Real exchange rate of manat against the main trade partners (december 2000=100)</t>
    </r>
    <r>
      <rPr>
        <i/>
        <sz val="12"/>
        <color rgb="FF366092"/>
        <rFont val="Times New Roman"/>
        <family val="1"/>
        <charset val="162"/>
      </rPr>
      <t xml:space="preserve"> </t>
    </r>
  </si>
  <si>
    <t>Avro</t>
  </si>
  <si>
    <t>İngiltərə funt sterlinqi</t>
  </si>
  <si>
    <t>Türkiyə lirəsi</t>
  </si>
  <si>
    <t>Gürcüstan larisi</t>
  </si>
  <si>
    <t>Qazaxıstan tengəsi</t>
  </si>
  <si>
    <t>Yaponiya yeni</t>
  </si>
  <si>
    <t>İsrail şekeli</t>
  </si>
  <si>
    <t>Belarus rublu*</t>
  </si>
  <si>
    <t>Cənubi Koreya vonu**</t>
  </si>
  <si>
    <t>İsveçrə frankı***</t>
  </si>
  <si>
    <t>US Dollar</t>
  </si>
  <si>
    <t>Euro</t>
  </si>
  <si>
    <t>British Pound Sterling</t>
  </si>
  <si>
    <t>Turkish Lira</t>
  </si>
  <si>
    <t>Russian Ruble</t>
  </si>
  <si>
    <t>Ukrainian Hryvnia</t>
  </si>
  <si>
    <t>Georgian Lari</t>
  </si>
  <si>
    <t>Kazakh Tenge</t>
  </si>
  <si>
    <t>Japanese Yen</t>
  </si>
  <si>
    <t>Israeli Shekel</t>
  </si>
  <si>
    <t>Chinese Yuan</t>
  </si>
  <si>
    <t>Belarus Ruble</t>
  </si>
  <si>
    <t>South Korean Won</t>
  </si>
  <si>
    <t>Swiss Franc</t>
  </si>
  <si>
    <r>
      <t xml:space="preserve">Mənbə: Azərbaycan Respublikasının Mərkəzi Bankı / </t>
    </r>
    <r>
      <rPr>
        <i/>
        <sz val="10"/>
        <color theme="8" tint="-0.249977111117893"/>
        <rFont val="Times New Roman"/>
        <family val="1"/>
      </rPr>
      <t>Source: Central Bank of the Republic of Azerbaijan</t>
    </r>
  </si>
  <si>
    <t>Belarus rublu</t>
  </si>
  <si>
    <t>Cənubi Koreya vonu</t>
  </si>
  <si>
    <t xml:space="preserve">British Pound </t>
  </si>
  <si>
    <r>
      <rPr>
        <b/>
        <i/>
        <sz val="10"/>
        <color theme="8" tint="-0.249977111117893"/>
        <rFont val="Times New Roman"/>
        <family val="1"/>
      </rPr>
      <t xml:space="preserve">Qeyd: Valyuta məzənnələri aylıq orta götürülmüşdür </t>
    </r>
    <r>
      <rPr>
        <i/>
        <sz val="10"/>
        <color theme="8" tint="-0.249977111117893"/>
        <rFont val="Times New Roman"/>
        <family val="1"/>
      </rPr>
      <t>/ based on monthly average exchange rates</t>
    </r>
  </si>
  <si>
    <t xml:space="preserve">Manatın əsas ticarət tərəfdaşı olan ölkələrin valyutalarına qarşı real məzənnəsi (dekabr 2000=100) </t>
  </si>
  <si>
    <t>1.6.1</t>
  </si>
  <si>
    <t>2.16.1</t>
  </si>
  <si>
    <t>Əsas ticarət tərəfdaşı olan ölkələrin valyutalarının manata qarşı dəyişimi, (ilin əvvəlinə nəzərən %-lə)</t>
  </si>
  <si>
    <t>POS-terminalların sayı</t>
  </si>
  <si>
    <t>Özünəxidmət terminallarının sayı</t>
  </si>
  <si>
    <t>o cümlədən daşınmaz əmlakla əlaqədar əməliyyatlar (ipoteka krediti daxil olmaqla)</t>
  </si>
  <si>
    <t>of which: transactions related real estate (including mortgage loans)</t>
  </si>
  <si>
    <t>Biznes kreditləri</t>
  </si>
  <si>
    <t>2023</t>
  </si>
  <si>
    <t>AZ2057024708</t>
  </si>
  <si>
    <t>AZ2058024707</t>
  </si>
  <si>
    <t>AZ2059024706</t>
  </si>
  <si>
    <t>AZ2060024703</t>
  </si>
  <si>
    <t>AZ2061024702</t>
  </si>
  <si>
    <t>AZ2062024701</t>
  </si>
  <si>
    <t>AZ2063024700</t>
  </si>
  <si>
    <t>AZ2064024709</t>
  </si>
  <si>
    <t>AZ2065024708</t>
  </si>
  <si>
    <t>AZ2066024707</t>
  </si>
  <si>
    <t>AZ2067024706</t>
  </si>
  <si>
    <t>AZ2068024705</t>
  </si>
  <si>
    <t>AZ0201040018</t>
  </si>
  <si>
    <t>AZ0101030010</t>
  </si>
  <si>
    <t>AZ0201040026</t>
  </si>
  <si>
    <t>01.08.2022 - 31.12.2022</t>
  </si>
  <si>
    <t>3077</t>
  </si>
  <si>
    <t>Lokal kartlar</t>
  </si>
  <si>
    <t>Local cards</t>
  </si>
  <si>
    <t xml:space="preserve">Pərakəndə Ticarət İnam İndeksi*** </t>
  </si>
  <si>
    <t>AZ0101030028</t>
  </si>
  <si>
    <t>AZ0201040034</t>
  </si>
  <si>
    <t>AZ0201040042</t>
  </si>
  <si>
    <t>AZ0201040059</t>
  </si>
  <si>
    <t>RIV,2022      QIV,2022</t>
  </si>
  <si>
    <t>Xalis səhvlər və buraxılışlar</t>
  </si>
  <si>
    <t xml:space="preserve"> Table 3.4. Central Bank's notes</t>
  </si>
  <si>
    <t>AZ0101030036</t>
  </si>
  <si>
    <t>AZ0201040067</t>
  </si>
  <si>
    <t xml:space="preserve"> Cədvəl 5.6. Bankların qeyri-işlək kreditlərinin strukturu barədə məlumat</t>
  </si>
  <si>
    <t>Qeyri-işlək kredit (QİK)</t>
  </si>
  <si>
    <t xml:space="preserve"> - biznes kreditləri</t>
  </si>
  <si>
    <t>QİK/Kredit portfeli</t>
  </si>
  <si>
    <t xml:space="preserve"> - biznes (QİK)/biznes kreditləri</t>
  </si>
  <si>
    <t xml:space="preserve"> - istehlak (QİK)/istehlak kreditləri</t>
  </si>
  <si>
    <t xml:space="preserve"> - ipoteka (QİK)/ipoteka kreditləri</t>
  </si>
  <si>
    <t>Table 5.6. Information on the structure of non-performing loans of banks</t>
  </si>
  <si>
    <t>Portfolio distribution</t>
  </si>
  <si>
    <t>Non-performing loans (NPL)</t>
  </si>
  <si>
    <t>- business loans *</t>
  </si>
  <si>
    <t>- consumer loans</t>
  </si>
  <si>
    <t>- mortgage loans</t>
  </si>
  <si>
    <t>NPL / Loan portfolio</t>
  </si>
  <si>
    <t>Number of banks</t>
  </si>
  <si>
    <t>State banks</t>
  </si>
  <si>
    <t>Banks with foreign capital</t>
  </si>
  <si>
    <t>banks with 50% to 100%  foreign capital, of which</t>
  </si>
  <si>
    <t>- local branches of foreign banks</t>
  </si>
  <si>
    <t>bank with less than 50% of the foreign capital</t>
  </si>
  <si>
    <t xml:space="preserve"> The number of banks licensed since the   beginning of the year</t>
  </si>
  <si>
    <t>The number of banks whose licenses have been revoked since the beginning of the year</t>
  </si>
  <si>
    <t>Number of banks' branches</t>
  </si>
  <si>
    <t>Number of banks'divisions</t>
  </si>
  <si>
    <t xml:space="preserve">Number of ATMs </t>
  </si>
  <si>
    <t>Number of employess</t>
  </si>
  <si>
    <t>1. Cash</t>
  </si>
  <si>
    <t>3. Nostro accounts (correspondent accounts with other banks)</t>
  </si>
  <si>
    <t>4. Deposits in financial institutions, including banks</t>
  </si>
  <si>
    <t>5. Securities</t>
  </si>
  <si>
    <t>6. Loans to financial institutions, including banks</t>
  </si>
  <si>
    <t>6.1 net loans</t>
  </si>
  <si>
    <t>7. Loans to customers</t>
  </si>
  <si>
    <t>7.1 Less specific reserves against possible losses on loans</t>
  </si>
  <si>
    <t>7.2 Net loans to customers</t>
  </si>
  <si>
    <t>8. Fixed assets</t>
  </si>
  <si>
    <t>9. Intangible assets</t>
  </si>
  <si>
    <t>10. Other assets (less specific reservers)</t>
  </si>
  <si>
    <t>11. Total Assets</t>
  </si>
  <si>
    <t>Assets</t>
  </si>
  <si>
    <t>Liabilities</t>
  </si>
  <si>
    <t>1. Deposits (excluding financial institutions)</t>
  </si>
  <si>
    <t>1.1 Individuals</t>
  </si>
  <si>
    <t>1.1.1 term deposits</t>
  </si>
  <si>
    <t>1.1.2 current accounts</t>
  </si>
  <si>
    <t>1.2.1 term deposits</t>
  </si>
  <si>
    <t>2. CBAR's claims to banks</t>
  </si>
  <si>
    <t>3. Loro accounts</t>
  </si>
  <si>
    <t>4. Deposits of financial institutions</t>
  </si>
  <si>
    <t>5. Loans of  banks</t>
  </si>
  <si>
    <t>6. Loans from other financial institutions</t>
  </si>
  <si>
    <t>7. Securities issued by banks</t>
  </si>
  <si>
    <t>8. Other liabilities</t>
  </si>
  <si>
    <t>9. Total liabilities</t>
  </si>
  <si>
    <t>Equity</t>
  </si>
  <si>
    <t>10. Equity capital</t>
  </si>
  <si>
    <t>11. General reserves</t>
  </si>
  <si>
    <t>12. Total Capital</t>
  </si>
  <si>
    <t>13. Total liabilities and capital</t>
  </si>
  <si>
    <t>Profit and loss items</t>
  </si>
  <si>
    <t xml:space="preserve">1. Interest and related income </t>
  </si>
  <si>
    <t>1.1 Interest on loans, total</t>
  </si>
  <si>
    <t>- less special provisions on interest</t>
  </si>
  <si>
    <t>1.2 on funds placed in the financial sector</t>
  </si>
  <si>
    <t>1.3 on securities</t>
  </si>
  <si>
    <t>1.4 on other interest income</t>
  </si>
  <si>
    <t>2. Interest expense</t>
  </si>
  <si>
    <t>2.1 interest on deposits</t>
  </si>
  <si>
    <t>- including on time deposits</t>
  </si>
  <si>
    <t>2.2 on funds raised from the financial sector</t>
  </si>
  <si>
    <t>2.3 other</t>
  </si>
  <si>
    <t>3. Net interest profit (loss)</t>
  </si>
  <si>
    <t>4. Non-interest income</t>
  </si>
  <si>
    <t>4.1 commission income from account maintenance services</t>
  </si>
  <si>
    <t>4.2 Net income (loss) from foreign exchange transactions, including exchange rate changes</t>
  </si>
  <si>
    <t>4.3 income (loss) on the sale of securities</t>
  </si>
  <si>
    <t>4.4 on other non-interest income</t>
  </si>
  <si>
    <t>5. Non-interest expenses</t>
  </si>
  <si>
    <t>5.1 costs related to fixed assets</t>
  </si>
  <si>
    <t>5.2 service fees and commission costs</t>
  </si>
  <si>
    <t>5.3 on other non-interest expenses</t>
  </si>
  <si>
    <t>6. Operating profit (loss)</t>
  </si>
  <si>
    <t>7. Loan loss provisions</t>
  </si>
  <si>
    <t>8. Other income (expenses)</t>
  </si>
  <si>
    <t>9. Profit (loss) before taxes</t>
  </si>
  <si>
    <t>10. Profit tax</t>
  </si>
  <si>
    <t>11. Net profit (loss)</t>
  </si>
  <si>
    <t>Loan portfolio</t>
  </si>
  <si>
    <t>including</t>
  </si>
  <si>
    <t>- mortgages</t>
  </si>
  <si>
    <t>Qeyd (Kredit portfelinin bölgüsü prudensial metodologiyaya uyğun olaraq verilmişdir).
*fiziki şəxs sahibkarlara verilmiş kreditlər təyinata uyğun olaraq biznes kreditləri kimi tənsifləşdirilir
Note (The distribution of the loan portfolio is given in accordance with the prudential methodology).
* Loans to individuals are classified as business loans in accordance with the purpose</t>
  </si>
  <si>
    <t xml:space="preserve"> - financed by state funds</t>
  </si>
  <si>
    <t xml:space="preserve">Business loans </t>
  </si>
  <si>
    <t>5.6</t>
  </si>
  <si>
    <t>Bankların qeyri-işlək kreditlərinin strukturu barədə məlumat</t>
  </si>
  <si>
    <t>Qeyd: Prudensial hesabatlılıq metodologiyası əsasında hazırlanmışdır/ Note: It has been prepared on the basis of Prudential reporting methodology</t>
  </si>
  <si>
    <t>2. Claims on CBAR, total*</t>
  </si>
  <si>
    <t>1.2 Legal entities**</t>
  </si>
  <si>
    <t>1.2.2 current*** accounts</t>
  </si>
  <si>
    <t xml:space="preserve">   - deposits of entrepreuners</t>
  </si>
  <si>
    <t xml:space="preserve"> - business NPL / business portfolio</t>
  </si>
  <si>
    <t xml:space="preserve"> - consumer NPL / consumer portfolio</t>
  </si>
  <si>
    <t xml:space="preserve"> - mortgage NPL / mortgage portfolio</t>
  </si>
  <si>
    <t>mln. manatla</t>
  </si>
  <si>
    <t xml:space="preserve">  including:</t>
  </si>
  <si>
    <t xml:space="preserve">- business loans </t>
  </si>
  <si>
    <t>Qeyd: Prudensial yanaşmaya əsasən qeyri-işlək kredit dedikdə əsas borc və ya faiz borcu üzrə 90 gündən yuxarı gecikmədə olan kreditin əsas məbləği nəzərə alınır.
Note: According to the prudential approach, a non-performing loan refers to the principal amount of the loan that is more than 90 days in arrears on principal debt or interest debt</t>
  </si>
  <si>
    <t>AZ0101030044</t>
  </si>
  <si>
    <t>AZ0201040083</t>
  </si>
  <si>
    <t>AZ0201040091</t>
  </si>
  <si>
    <t>AZ0201040109</t>
  </si>
  <si>
    <t>AZ2069024704</t>
  </si>
  <si>
    <t>AZ2070024701</t>
  </si>
  <si>
    <t>AZ2071024700</t>
  </si>
  <si>
    <t>AZ2072024709</t>
  </si>
  <si>
    <t>AZ2073024708</t>
  </si>
  <si>
    <t>AZ2074024707</t>
  </si>
  <si>
    <t>AZ2075024706</t>
  </si>
  <si>
    <t>AZ2076024705</t>
  </si>
  <si>
    <t xml:space="preserve">Cədvəl 2.16. Manatın rəsmi orta məzənnəsi </t>
  </si>
  <si>
    <t xml:space="preserve">Manatın rəsmi orta məzənnəsi </t>
  </si>
  <si>
    <t>Main macroeconomic indicators</t>
  </si>
  <si>
    <t>Major indicators of the state budget of the Republic of Azerbaijan</t>
  </si>
  <si>
    <t xml:space="preserve">Balance of payments of the Republic of Azerbaijan </t>
  </si>
  <si>
    <r>
      <t xml:space="preserve">Table 1.2. Changes of price indicies, </t>
    </r>
    <r>
      <rPr>
        <i/>
        <sz val="14"/>
        <color rgb="FF366092"/>
        <rFont val="Times New Roman"/>
        <family val="1"/>
        <charset val="162"/>
      </rPr>
      <t>%</t>
    </r>
  </si>
  <si>
    <t>Changes of price indicies, %</t>
  </si>
  <si>
    <t>New loans of credit institutions by maturity</t>
  </si>
  <si>
    <t>Loans to Households</t>
  </si>
  <si>
    <t>Loans to legal entities operating in mining sector</t>
  </si>
  <si>
    <t>Loans to legal entities operating in retail and services sector</t>
  </si>
  <si>
    <t>Loans to legal entities operating in electricity, gas, steam and water sector</t>
  </si>
  <si>
    <t>Loans to legal entities operating in agricultural, forestry or fisheries sector</t>
  </si>
  <si>
    <t>Loans to legal entities operating in building and construction sector</t>
  </si>
  <si>
    <t>Loans to legal entities operating in real estate sector</t>
  </si>
  <si>
    <t>Loans to legal entities operating in industrial and manufacturing sector</t>
  </si>
  <si>
    <t>Loans to legal entities operating in transportation and communication sector</t>
  </si>
  <si>
    <t>Mortgage loans</t>
  </si>
  <si>
    <t>Loans by regions</t>
  </si>
  <si>
    <t>Structure of households` savings</t>
  </si>
  <si>
    <t>Savings by regions</t>
  </si>
  <si>
    <t>Reserve requirements of the CBA, %</t>
  </si>
  <si>
    <t>Official average exchange rates of manat</t>
  </si>
  <si>
    <t>Average interest rates on time deposits and loans</t>
  </si>
  <si>
    <t>Average interest rates on new time deposits and new loans</t>
  </si>
  <si>
    <t>Government bonds</t>
  </si>
  <si>
    <t>Central Bank's notes</t>
  </si>
  <si>
    <t>Main indicators of securities market</t>
  </si>
  <si>
    <t>Exchange operations with cash foreign currency</t>
  </si>
  <si>
    <t>Transactions through National Payment Systems</t>
  </si>
  <si>
    <t>Distribution of payment transactions carried out through the National Payment System by participants</t>
  </si>
  <si>
    <t>Statistics on the payment service network belonging to the statistical unit by economic regions</t>
  </si>
  <si>
    <t xml:space="preserve">Transactions with debit and credit cards  </t>
  </si>
  <si>
    <t xml:space="preserve">Statistics on operations with payment cards and terminals </t>
  </si>
  <si>
    <t>Transactions carried out using payment cards in the payment service network belonging to the statistical unit</t>
  </si>
  <si>
    <t>Money transfer systems</t>
  </si>
  <si>
    <t>General information on Financial Market Participants</t>
  </si>
  <si>
    <t>Overview of Banking Sector</t>
  </si>
  <si>
    <t>Information on the structure of banks' loan portfolio</t>
  </si>
  <si>
    <t>Information on business loans by source of funds</t>
  </si>
  <si>
    <t>Information on the structure of non-performing loans of banks</t>
  </si>
  <si>
    <t>Premiums Written and Claims Paid</t>
  </si>
  <si>
    <t>Premiums Written and Claims Paid by Insurance Types</t>
  </si>
  <si>
    <t>Business Tendency Indices in Real Sector</t>
  </si>
  <si>
    <t>Statistics of encumbrances recorded in the Registry about movable property</t>
  </si>
  <si>
    <t>Table of contents</t>
  </si>
  <si>
    <t>Reports</t>
  </si>
  <si>
    <r>
      <t>Foreign trade of the Republic of Azerbaijan</t>
    </r>
    <r>
      <rPr>
        <i/>
        <sz val="11"/>
        <color rgb="FF366092"/>
        <rFont val="Times New Roman"/>
        <family val="1"/>
      </rPr>
      <t xml:space="preserve"> (based on a balance of payments methodology)</t>
    </r>
  </si>
  <si>
    <r>
      <t xml:space="preserve">Nominal and real effective exchange rates of manat to foreign currencies </t>
    </r>
    <r>
      <rPr>
        <i/>
        <sz val="11"/>
        <color rgb="FF366092"/>
        <rFont val="Times New Roman"/>
        <family val="1"/>
      </rPr>
      <t xml:space="preserve">(December 2000=100) </t>
    </r>
  </si>
  <si>
    <r>
      <t xml:space="preserve">Real exchange rate of manat against the main trade partners </t>
    </r>
    <r>
      <rPr>
        <i/>
        <sz val="11"/>
        <color rgb="FF366092"/>
        <rFont val="Times New Roman"/>
        <family val="1"/>
      </rPr>
      <t xml:space="preserve">(december 2000=100) </t>
    </r>
  </si>
  <si>
    <r>
      <t xml:space="preserve">Monetary survey </t>
    </r>
    <r>
      <rPr>
        <i/>
        <sz val="11"/>
        <color rgb="FF366092"/>
        <rFont val="Times New Roman"/>
        <family val="1"/>
      </rPr>
      <t>(end of period)</t>
    </r>
  </si>
  <si>
    <r>
      <t xml:space="preserve">Analytical Balance of CBA </t>
    </r>
    <r>
      <rPr>
        <i/>
        <sz val="11"/>
        <color rgb="FF366092"/>
        <rFont val="Times New Roman"/>
        <family val="1"/>
      </rPr>
      <t>(end of period)</t>
    </r>
  </si>
  <si>
    <r>
      <t xml:space="preserve">Analytical Balance of Commercial banks </t>
    </r>
    <r>
      <rPr>
        <i/>
        <sz val="11"/>
        <color rgb="FF366092"/>
        <rFont val="Times New Roman"/>
        <family val="1"/>
      </rPr>
      <t>(end of period)</t>
    </r>
  </si>
  <si>
    <r>
      <t xml:space="preserve">Money aggregates </t>
    </r>
    <r>
      <rPr>
        <i/>
        <sz val="11"/>
        <color rgb="FF366092"/>
        <rFont val="Times New Roman"/>
        <family val="1"/>
      </rPr>
      <t>(end of period)</t>
    </r>
  </si>
  <si>
    <r>
      <t xml:space="preserve">Monetary base </t>
    </r>
    <r>
      <rPr>
        <i/>
        <sz val="11"/>
        <color rgb="FF366092"/>
        <rFont val="Times New Roman"/>
        <family val="1"/>
      </rPr>
      <t>(end of period)</t>
    </r>
  </si>
  <si>
    <r>
      <t xml:space="preserve">The structure of loans to the economy by the type of credit institutions </t>
    </r>
    <r>
      <rPr>
        <i/>
        <sz val="11"/>
        <color rgb="FF366092"/>
        <rFont val="Times New Roman"/>
        <family val="1"/>
      </rPr>
      <t>(end of period)</t>
    </r>
  </si>
  <si>
    <r>
      <t xml:space="preserve">Loans of credit institutions by maturity </t>
    </r>
    <r>
      <rPr>
        <i/>
        <sz val="11"/>
        <color rgb="FF366092"/>
        <rFont val="Times New Roman"/>
        <family val="1"/>
      </rPr>
      <t>(end of period)</t>
    </r>
  </si>
  <si>
    <r>
      <t xml:space="preserve">Sectoral breakdown of loans </t>
    </r>
    <r>
      <rPr>
        <i/>
        <sz val="11"/>
        <color rgb="FF366092"/>
        <rFont val="Times New Roman"/>
        <family val="1"/>
      </rPr>
      <t>(end of period)</t>
    </r>
  </si>
  <si>
    <r>
      <t xml:space="preserve">Deposits and savings in credit institutions </t>
    </r>
    <r>
      <rPr>
        <i/>
        <sz val="11"/>
        <color rgb="FF366092"/>
        <rFont val="Times New Roman"/>
        <family val="1"/>
      </rPr>
      <t>(end of period)</t>
    </r>
  </si>
  <si>
    <r>
      <t xml:space="preserve">Structure of deposits by currencies </t>
    </r>
    <r>
      <rPr>
        <i/>
        <sz val="11"/>
        <color rgb="FF366092"/>
        <rFont val="Times New Roman"/>
        <family val="1"/>
      </rPr>
      <t>(end of period)</t>
    </r>
  </si>
  <si>
    <r>
      <t xml:space="preserve">Percentage change in exchange rates of currencies of the main trade partners against manat </t>
    </r>
    <r>
      <rPr>
        <i/>
        <sz val="11"/>
        <color rgb="FF366092"/>
        <rFont val="Times New Roman"/>
        <family val="1"/>
      </rPr>
      <t xml:space="preserve">(compared to previous year end, %) </t>
    </r>
  </si>
  <si>
    <r>
      <t xml:space="preserve">Volume and interest rates on Central Bank's monetary operations </t>
    </r>
    <r>
      <rPr>
        <i/>
        <sz val="11"/>
        <color rgb="FF366092"/>
        <rFont val="Times New Roman"/>
        <family val="1"/>
      </rPr>
      <t xml:space="preserve">(end of period) </t>
    </r>
  </si>
  <si>
    <r>
      <t xml:space="preserve">Profit and Loss statement </t>
    </r>
    <r>
      <rPr>
        <i/>
        <sz val="11"/>
        <color rgb="FF366092"/>
        <rFont val="Times New Roman"/>
        <family val="1"/>
      </rPr>
      <t>(Banking Sector)</t>
    </r>
  </si>
  <si>
    <r>
      <t xml:space="preserve">Loans of credit institutions by maturity </t>
    </r>
    <r>
      <rPr>
        <i/>
        <sz val="11"/>
        <color rgb="FFFF0000"/>
        <rFont val="Times New Roman"/>
        <family val="1"/>
      </rPr>
      <t>(detailed)</t>
    </r>
  </si>
  <si>
    <r>
      <t xml:space="preserve">Sectoral breakdown of loans </t>
    </r>
    <r>
      <rPr>
        <i/>
        <sz val="11"/>
        <color rgb="FFFF0000"/>
        <rFont val="Times New Roman"/>
        <family val="1"/>
      </rPr>
      <t>(detailed)</t>
    </r>
  </si>
  <si>
    <t>RI,2023      QI,2023</t>
  </si>
  <si>
    <t>728  </t>
  </si>
  <si>
    <t>21 </t>
  </si>
  <si>
    <t>23 </t>
  </si>
  <si>
    <t>AZ0201040117</t>
  </si>
  <si>
    <t>AZ0201040125</t>
  </si>
  <si>
    <t>AZ0201040133</t>
  </si>
  <si>
    <t>AZ2077024704</t>
  </si>
  <si>
    <t>AZ2078024703</t>
  </si>
  <si>
    <t>AZ2079024702</t>
  </si>
  <si>
    <t>AZ2080024709</t>
  </si>
  <si>
    <t>AZ2081024708</t>
  </si>
  <si>
    <t>AZ2082024707</t>
  </si>
  <si>
    <t>AZ2083024706</t>
  </si>
  <si>
    <t>AZ2084024705</t>
  </si>
  <si>
    <t>AZ2085024704</t>
  </si>
  <si>
    <t>AZ2086024703</t>
  </si>
  <si>
    <t>AZ2087024702</t>
  </si>
  <si>
    <t>AZ2088024701</t>
  </si>
  <si>
    <t>AZ2089024700</t>
  </si>
  <si>
    <t>AZ2090024707</t>
  </si>
  <si>
    <t>AZ2091024706</t>
  </si>
  <si>
    <t>AZ2092024705</t>
  </si>
  <si>
    <t>AZ2093024704</t>
  </si>
  <si>
    <t>AZ2094024703</t>
  </si>
  <si>
    <t>təmassız ödənişləri qəbul edən</t>
  </si>
  <si>
    <t>pərakəndə ticarət, iaşə və digər xidmət müəssisələrində POS-terminallar:</t>
  </si>
  <si>
    <t>Özünəxidmət terminalları</t>
  </si>
  <si>
    <t>Self-service terminals</t>
  </si>
  <si>
    <t>which accepts contactless payments</t>
  </si>
  <si>
    <t>Retail and other service companies</t>
  </si>
  <si>
    <t xml:space="preserve">o cümlədən: təmassız ödənişləri qəbul edən </t>
  </si>
  <si>
    <t>Elektron bankçılıq</t>
  </si>
  <si>
    <t>internet bankçılıq</t>
  </si>
  <si>
    <t>mobil bankçılıq</t>
  </si>
  <si>
    <t>sayı, min əməliyyat</t>
  </si>
  <si>
    <t xml:space="preserve">həcmi,  mln manat </t>
  </si>
  <si>
    <t>Electronic banking</t>
  </si>
  <si>
    <t>internet banking</t>
  </si>
  <si>
    <t>mobile banking</t>
  </si>
  <si>
    <t>number, thousand</t>
  </si>
  <si>
    <t>volume, mln</t>
  </si>
  <si>
    <t>Bank müştərilərinin sayı (dövrün sonuna nəfər)</t>
  </si>
  <si>
    <t>Müştəri hesablarının sayı (dövrün sonuna ədəd)</t>
  </si>
  <si>
    <t>Number of bank customers (people at the end of the period)</t>
  </si>
  <si>
    <t>Number of customer accounts (number at the end of the period)</t>
  </si>
  <si>
    <t>nağdsız ödənişlər</t>
  </si>
  <si>
    <t>ö cümlədən təmassız</t>
  </si>
  <si>
    <t>Cədvəl 4.10. Banklararası Kart Mərkəzi (BKM) vasitəsilə emal olunmuş ödəniş əməliyyatları</t>
  </si>
  <si>
    <t>Table 4.10. Transactions through the Interbank Card Center (ICC)</t>
  </si>
  <si>
    <t>Manat</t>
  </si>
  <si>
    <t>Amount of transactions, mln. units</t>
  </si>
  <si>
    <t>AZN</t>
  </si>
  <si>
    <t>USD</t>
  </si>
  <si>
    <t>EUR</t>
  </si>
  <si>
    <t>Banklararası Kart Mərkəzi (BKM) vasitəsilə emal olunmuş ödəniş əməliyyatları</t>
  </si>
  <si>
    <t>4.10</t>
  </si>
  <si>
    <t>Transactions through the Interbank Card Center (ICC)</t>
  </si>
  <si>
    <t>AZ2095024702</t>
  </si>
  <si>
    <t>AZ2096024701</t>
  </si>
  <si>
    <t>AZ2097024700</t>
  </si>
  <si>
    <t>AZ2098024709</t>
  </si>
  <si>
    <t>AZ2099024708</t>
  </si>
  <si>
    <t>AZ2100024705</t>
  </si>
  <si>
    <t>AZ2101024704</t>
  </si>
  <si>
    <t>AZ2102024703</t>
  </si>
  <si>
    <t>AZ2103024702</t>
  </si>
  <si>
    <t>AZ2104024701</t>
  </si>
  <si>
    <t>AZ2105024700</t>
  </si>
  <si>
    <t>AZ2106024709</t>
  </si>
  <si>
    <t>AZ2107024708</t>
  </si>
  <si>
    <t>AZ2108024707</t>
  </si>
  <si>
    <t>AZ0101030051</t>
  </si>
  <si>
    <t>AZ0201040141</t>
  </si>
  <si>
    <t>AZ0201040158</t>
  </si>
  <si>
    <t>Entrepreneurial subjects` types</t>
  </si>
  <si>
    <t>Business portfolio,</t>
  </si>
  <si>
    <t xml:space="preserve">     including</t>
  </si>
  <si>
    <t>- Large entrepreneurship</t>
  </si>
  <si>
    <t>- Medium entrepreneurship</t>
  </si>
  <si>
    <t>- Small business</t>
  </si>
  <si>
    <t>- Micro entrepreneurship</t>
  </si>
  <si>
    <t xml:space="preserve"> Cədvəl 5.7. Biznes portfelinin sahibkarlıq subyektləri üzrə bölgüsü barədə məlumat</t>
  </si>
  <si>
    <t>Table 5.7. Information about the breakdown of the business portfolio on entrepreneurial subjects</t>
  </si>
  <si>
    <t>Sahibkarlıq subyektlərinin növləri*</t>
  </si>
  <si>
    <t>Biznes portfeli,</t>
  </si>
  <si>
    <t>- İri sahibkarlığa</t>
  </si>
  <si>
    <t>- Orta sahibkarlığa</t>
  </si>
  <si>
    <t>- Kiçik sahibkarlığa</t>
  </si>
  <si>
    <t>- Mikro sahibkarlığa</t>
  </si>
  <si>
    <t xml:space="preserve">* Nazirlər Kabinetinin 21 dekabr 2018-ci il tarixli 556 nömrəli Qərarına uyğun olaraq / In accordance with the Cabinet of Ministers Decision No. 556 dated December 21, 2018
</t>
  </si>
  <si>
    <t>5.7</t>
  </si>
  <si>
    <t>Biznes portfelinin sahibkarlıq subyektləri üzrə bölgüsü barədə məlumat</t>
  </si>
  <si>
    <t>Information about the breakdown of the business portfolio on entrepreneurial subjects</t>
  </si>
  <si>
    <t>AZ2109024706</t>
  </si>
  <si>
    <t>AZ2110024703</t>
  </si>
  <si>
    <t>AZ2112024701</t>
  </si>
  <si>
    <t>AZ2111024702</t>
  </si>
  <si>
    <t>AZ2115024708</t>
  </si>
  <si>
    <t>AZ2114024709</t>
  </si>
  <si>
    <t>AZ2116024707</t>
  </si>
  <si>
    <t>AZ2117024706</t>
  </si>
  <si>
    <t>AZ2119024704</t>
  </si>
  <si>
    <t>AZ2118024705</t>
  </si>
  <si>
    <t>AZ2120024701</t>
  </si>
  <si>
    <t>AZ2121024700</t>
  </si>
  <si>
    <t>AZ2123024708</t>
  </si>
  <si>
    <t>AZ2122024709</t>
  </si>
  <si>
    <t>AZ2124024707</t>
  </si>
  <si>
    <t>AZ0201040166</t>
  </si>
  <si>
    <t>AZ0201040182</t>
  </si>
  <si>
    <t>yanvar-iyul</t>
  </si>
  <si>
    <r>
      <t>Cədvəl 2.2. AMB-nin analitik balansı</t>
    </r>
    <r>
      <rPr>
        <b/>
        <i/>
        <sz val="11"/>
        <color rgb="FF366092"/>
        <rFont val="Times New Roman"/>
        <family val="1"/>
        <charset val="162"/>
      </rPr>
      <t xml:space="preserve"> (dövrün sonuna)</t>
    </r>
  </si>
  <si>
    <r>
      <t xml:space="preserve">Table 2.2. Analytical Balance of CBA </t>
    </r>
    <r>
      <rPr>
        <i/>
        <sz val="11"/>
        <color rgb="FF366092"/>
        <rFont val="Times New Roman"/>
        <family val="1"/>
        <charset val="162"/>
      </rPr>
      <t>(end of period)</t>
    </r>
  </si>
  <si>
    <t>Rəsmi beynəlxalq ehtiyatlar, mln. ABŞ $</t>
  </si>
  <si>
    <t>Mərkəzi hökumətə xalis tələblər</t>
  </si>
  <si>
    <t>Bank və BOKT-lərə xalis tələblər</t>
  </si>
  <si>
    <t xml:space="preserve">Pul bazası </t>
  </si>
  <si>
    <t xml:space="preserve">Pul bazası, manatla </t>
  </si>
  <si>
    <t>Official foreign reserves,  mln. US dollars</t>
  </si>
  <si>
    <t>Net claims on central government</t>
  </si>
  <si>
    <t>Net claims on banks and non-bank credit organizations</t>
  </si>
  <si>
    <t xml:space="preserve">Monetary base </t>
  </si>
  <si>
    <t xml:space="preserve">Monetary base, in manat  </t>
  </si>
  <si>
    <t>RII,2023      QII,2023</t>
  </si>
  <si>
    <t>AZ2125024706</t>
  </si>
  <si>
    <t>AZ2127024704</t>
  </si>
  <si>
    <t>AZ2126024705</t>
  </si>
  <si>
    <t>AZ2128024703</t>
  </si>
  <si>
    <t>AZ2132024707</t>
  </si>
  <si>
    <t>AZ2131024708</t>
  </si>
  <si>
    <t>AZ2133024706</t>
  </si>
  <si>
    <t>AZ2129024702</t>
  </si>
  <si>
    <t>AZ2135024704</t>
  </si>
  <si>
    <t>AZ2137024702</t>
  </si>
  <si>
    <t>AZ2136024703</t>
  </si>
  <si>
    <t>AZ2138024701</t>
  </si>
  <si>
    <t>AZ2140024707</t>
  </si>
  <si>
    <t>AZ2142024705</t>
  </si>
  <si>
    <t>AZ2141024706</t>
  </si>
  <si>
    <t>AZ2143024704</t>
  </si>
  <si>
    <t>AZ2145024702</t>
  </si>
  <si>
    <t>AZ2147024700</t>
  </si>
  <si>
    <t>AZ2146024701</t>
  </si>
  <si>
    <t>AZ2148024709</t>
  </si>
  <si>
    <t>AZ0101030069 </t>
  </si>
  <si>
    <t>AZ0201040190 </t>
  </si>
  <si>
    <t>AZ0201040208 </t>
  </si>
  <si>
    <t>AZ0201040109 </t>
  </si>
  <si>
    <t>AZ0201040216 </t>
  </si>
  <si>
    <t>AZ0101030077</t>
  </si>
  <si>
    <t>AZ0201040224</t>
  </si>
  <si>
    <t>AZ0201040232</t>
  </si>
  <si>
    <t>AZ0201040240</t>
  </si>
  <si>
    <t>Cədvəl 4.7. Müştərilərin bank hesablarının tərkibi və elektron bankçılıq</t>
  </si>
  <si>
    <t>Table 4.7.Structure of customers` bank accounts and electronic banking</t>
  </si>
  <si>
    <t>Müştərilərin bank hesablarının tərkibi və elektron bankçılıq</t>
  </si>
  <si>
    <t>Structure of customers` bank accounts and electronic banking</t>
  </si>
  <si>
    <t>AZ2144024703</t>
  </si>
  <si>
    <t>AZ2150024704</t>
  </si>
  <si>
    <t>AZ2152024702</t>
  </si>
  <si>
    <t>AZ2151024703</t>
  </si>
  <si>
    <t>AZ2153024701</t>
  </si>
  <si>
    <t>AZ2149024708</t>
  </si>
  <si>
    <t>AZ2154024700</t>
  </si>
  <si>
    <t>AZ2156024708</t>
  </si>
  <si>
    <t>AZ2155024709</t>
  </si>
  <si>
    <t>AZ2157024707</t>
  </si>
  <si>
    <t>AZ2160024702</t>
  </si>
  <si>
    <t>AZ2161024701</t>
  </si>
  <si>
    <t>AZ2164024708</t>
  </si>
  <si>
    <t>AZ2163024709</t>
  </si>
  <si>
    <t>AZ2165024707</t>
  </si>
  <si>
    <t>12 aylıq inflyasiya</t>
  </si>
  <si>
    <t>12 month inflation rate</t>
  </si>
  <si>
    <t>AZ0101030085 </t>
  </si>
  <si>
    <t>AZ0201040257 </t>
  </si>
  <si>
    <t>AZ0201040265 </t>
  </si>
  <si>
    <t>AZ0101030093 </t>
  </si>
  <si>
    <t>AZ2168024704</t>
  </si>
  <si>
    <t>AZ2167024705</t>
  </si>
  <si>
    <t>AZ2169024703</t>
  </si>
  <si>
    <t>AZ2172024708</t>
  </si>
  <si>
    <t>AZ2171024709</t>
  </si>
  <si>
    <t>AZ2173024707</t>
  </si>
  <si>
    <t>AZ2175024705</t>
  </si>
  <si>
    <t>AZ2177024703</t>
  </si>
  <si>
    <t>AZ2178024702</t>
  </si>
  <si>
    <t>AZ2179024701</t>
  </si>
  <si>
    <t>Cədvəl 4.3. Statistik vahidə məxsus ödəniş xidməti şəbəkəsi (dövrün sonuna)</t>
  </si>
  <si>
    <t>Table 4.3. Statistics on the payment service network belonging to the statistical unit (end of period)</t>
  </si>
  <si>
    <r>
      <t xml:space="preserve">Statistik vahidə məxsus ödəniş xidməti şəbəkəsi </t>
    </r>
    <r>
      <rPr>
        <i/>
        <sz val="11"/>
        <color rgb="FF366092"/>
        <rFont val="Times New Roman"/>
        <family val="1"/>
      </rPr>
      <t>(dövrün sonuna)</t>
    </r>
  </si>
  <si>
    <r>
      <t xml:space="preserve">Statistics on the payment service network belonging to the statistical unit </t>
    </r>
    <r>
      <rPr>
        <i/>
        <sz val="11"/>
        <color rgb="FF366092"/>
        <rFont val="Times New Roman"/>
        <family val="1"/>
      </rPr>
      <t>(end of period)</t>
    </r>
  </si>
  <si>
    <t>ATMs</t>
  </si>
  <si>
    <t>Əməkhaqqı kartları</t>
  </si>
  <si>
    <t xml:space="preserve">Həcm, mln. manat             </t>
  </si>
  <si>
    <t xml:space="preserve">Həcm, mln. manat        </t>
  </si>
  <si>
    <t xml:space="preserve">volume, mln. manat         </t>
  </si>
  <si>
    <t>AZ2181024707</t>
  </si>
  <si>
    <t>AZ2182024706</t>
  </si>
  <si>
    <t>AZ2183024705</t>
  </si>
  <si>
    <t>AZ2184024704</t>
  </si>
  <si>
    <t>AZ2185024703</t>
  </si>
  <si>
    <t>AZ2186024702</t>
  </si>
  <si>
    <t>AZ0201040273 </t>
  </si>
  <si>
    <t>AZ0201040281 </t>
  </si>
  <si>
    <t>AZ0101030101</t>
  </si>
  <si>
    <t>RIII,2023     QIII,2023</t>
  </si>
  <si>
    <t>Fəaliyyət müddəti və meyarlar</t>
  </si>
  <si>
    <t>Effective period and criteria</t>
  </si>
  <si>
    <t>15.02.2023 -14.08.2023</t>
  </si>
  <si>
    <t xml:space="preserve"> - milli valyutada hüquqi şəxslərin depozitlərinin 1 mlrd. manatdan (xarici valyutada 750 mln. manat ekv.)  az olan hissəsi</t>
  </si>
  <si>
    <t xml:space="preserve"> - for the deposits of legal entities in national currency less than 1 billion manats (in foreign currency the equivalent of the 750 million manats)</t>
  </si>
  <si>
    <t xml:space="preserve"> - milli valyutada hüquqi şəxslərin depozitlərinin 1 mlrd. manatı (xarici valyutada 750 mln. manat ekv.)  üstələyən hissəsi</t>
  </si>
  <si>
    <t xml:space="preserve"> - for the deposits of legal entities in national currency exceeding 1 billion manats (in foreign currency the equivalent of 750 million manats)</t>
  </si>
  <si>
    <t>15.08.2023 - 14.12.2023</t>
  </si>
  <si>
    <t xml:space="preserve"> - milli valyutada hüquqi şəxslərin depozitləri 1 mlrd. manatdan (xarici valyutada 750 mln. manat ekv.)  az olarsa</t>
  </si>
  <si>
    <t xml:space="preserve"> - if the deposits of legal entities in national currency are less than 1 billion manats (in foreign currency the equivalent of the 750 million manats)</t>
  </si>
  <si>
    <t xml:space="preserve"> - milli valyutada hüquqi şəxslərin depozitləri 1 mlrd. manatı (xarici valyutada 750 mln. manat ekv.) üstələyərsə </t>
  </si>
  <si>
    <t xml:space="preserve"> - if deposits of legal entities in national currency exceed 1 billion manats (in foreign currency the equivalent of 750 million manats)</t>
  </si>
  <si>
    <t>15.12.2023 tarixindən</t>
  </si>
  <si>
    <t>from 15.12.2023 up to date</t>
  </si>
  <si>
    <t xml:space="preserve"> - Hüquqi şəxslərin depozitləri≤1 mlrd. AZN (xarici valyutada 750 mln. AZN ekv)
 - Əlaqəli depozitlərin ümumi depozitlərdə payı ≤20%
 - Banka aidiyyəti olan şəxslərin depozitlərinin cəmi depozitlərdə payı ≤20%</t>
  </si>
  <si>
    <t xml:space="preserve"> - Deposits of legal entities ≤1 billion manats (750 million AZN in foreign currency)
  - Share of connected deposits in total deposits ≤20%
  - Share of deposits of related parties in total deposits ≤20%</t>
  </si>
  <si>
    <t xml:space="preserve"> - Hüquqi şəxslərin depozitləri≤1 mlrd. AZN (xarici valyutada 750 mln. AZN ekv)
 - Əlaqəli depozitlərin ümumi depozitlərdə payı &gt;20%
 - Banka aidiyyəti olan şəxslərin depozitlərinin cəmi depozitlərdə payı ≤20%</t>
  </si>
  <si>
    <t xml:space="preserve"> - Deposits of legal entities ≤1 billion manats (750 million AZN in foreign currency)
  - Share of connected deposits in total deposits &gt;20%,
  - Share of deposits of related parties in total deposits ≤20%</t>
  </si>
  <si>
    <t xml:space="preserve"> - Hüquqi şəxslərin depozitləri≤1 mlrd. AZN (xarici valyutada 750 mln. AZN ekv)
 - Əlaqəli depozitlərin ümumi depozitlərdə  payı ≤20%
 - Banka aidiyyəti olan şəxslərin depozitlərinin cəmi depozitlərdə payı &gt;20%</t>
  </si>
  <si>
    <t xml:space="preserve"> - Deposits of legal entities ≤1 billion manats (750 million AZN in foreign currency)
  - Share of connected deposits in total deposits ≤20%
  - Share of deposits of related parties in total deposits &gt;20%</t>
  </si>
  <si>
    <t xml:space="preserve"> - Hüquqi şəxslərin depozitləri≤1 mlrd. AZN (xarici valyutada 750 mln. AZN ekv)
 - Əlaqəli depozitlərin ümumi depozitlərdə payı &gt;20%
 - Banka aidiyyəti olan şəxslərin depozitlərinin cəmi depozitlərdə payı &gt;20%</t>
  </si>
  <si>
    <t xml:space="preserve"> - Deposits of legal entities ≤1 billion manats (750 million AZN in foreign currency)
  - Share of connected deposits in total deposits &gt;20%
  - Share of deposits of related parties in total deposits &gt;20%</t>
  </si>
  <si>
    <t xml:space="preserve"> - Hüquqi şəxslərin depozitləri&gt;1 mlrd. AZN (xarici valyutada 750 mln. AZN ekv)
 - Əlaqəli depozitlərin ümumi depozitlərdə payı ≤20%
 - Banka aidiyyəti olan şəxslərin depozitlərinin cəmi depozitlərdə payı ≤20%</t>
  </si>
  <si>
    <t xml:space="preserve"> - Deposits of legal entities&gt;1 billion manats (750 million AZN in foreign currency)
  - Share of connected deposits in total deposits ≤20%
  - Share of deposits of related parties in total deposits ≤20%</t>
  </si>
  <si>
    <t xml:space="preserve"> - Hüquqi şəxslərin depozitləri&gt;1 mlrd. AZN (xarici valyutada 750 mln. AZN ekv)
 - Əlaqəli depozitlərin ümumi depozitlərdə payı &gt;20%
 - Banka aidiyyəti olan şəxslərin depozitlərinin cəmi depozitlərdə payı ≤20%</t>
  </si>
  <si>
    <t xml:space="preserve"> - Deposits of legal entities&gt;1 billion manats (750 million AZN in foreign currency)
  - Share of connected deposits in total deposits &gt;20%
  - Share of deposits of related parties in total deposits ≤20%</t>
  </si>
  <si>
    <t xml:space="preserve"> - Hüquqi şəxslərin depozitləri&gt;1 mlrd. AZN (xarici valyutada 750 mln. AZN ekv)
 - Əlaqəli depozitlərin ümumi depozitlərdə payı ≤20%
 - Banka aidiyyəti olan şəxslərin depozitlərinin cəmi depozitlərdə payı &gt;20%</t>
  </si>
  <si>
    <t xml:space="preserve"> - Deposits of legal entities&gt;1 billion manats (750 million AZN in foreign currency)
  - Share of connected deposits in total deposits ≤20%
  - Share of deposits of related parties in total deposits &gt;20%</t>
  </si>
  <si>
    <t xml:space="preserve"> - Hüquqi şəxslərin depozitləri&gt;1 mlrd. AZN (xarici valyutada 750 mln. AZN ekv)
 - Əlaqəli depozitlərin ümumi depozitlərdə payı &gt;20%
 - Banka aidiyyəti olan şəxslərin depozitlərinin cəmi depozitlərdə payı &gt;20%</t>
  </si>
  <si>
    <t xml:space="preserve"> - Deposits of legal entities&gt;1 billion manats (750 million AZN in foreign currency)
  - Share of connected deposits in total deposits &gt;20%
  - Share of deposits of related parties in total deposits &gt;20%</t>
  </si>
  <si>
    <t>`</t>
  </si>
  <si>
    <t>3112</t>
  </si>
  <si>
    <t>AZ0201040315</t>
  </si>
  <si>
    <t>AZ0101030119</t>
  </si>
  <si>
    <t>17/12/2024</t>
  </si>
  <si>
    <t>AZ0201040323</t>
  </si>
  <si>
    <t>16/12/2025</t>
  </si>
  <si>
    <t>AZ0201040331</t>
  </si>
  <si>
    <t>17/12/2026</t>
  </si>
  <si>
    <t>AZ0101030127</t>
  </si>
  <si>
    <t>26/12/2024</t>
  </si>
  <si>
    <t>AZ2188024700</t>
  </si>
  <si>
    <t>AZ2189024709</t>
  </si>
  <si>
    <t>AZ2190024706</t>
  </si>
  <si>
    <t>AZ2191024705</t>
  </si>
  <si>
    <t>AZ2192024704</t>
  </si>
  <si>
    <t>AZ2193024703</t>
  </si>
  <si>
    <t>AZ2194024702</t>
  </si>
  <si>
    <t>AZ2195024701</t>
  </si>
  <si>
    <t>2024</t>
  </si>
  <si>
    <t>AZ2196024700</t>
  </si>
  <si>
    <t>AZ2197024709</t>
  </si>
  <si>
    <t>AZ2198024708</t>
  </si>
  <si>
    <t>AZ2199024707</t>
  </si>
  <si>
    <t>AZ2200024704</t>
  </si>
  <si>
    <t>AZ2201024703</t>
  </si>
  <si>
    <t>AZ2202024702</t>
  </si>
  <si>
    <t>AZ2206024708</t>
  </si>
  <si>
    <t>AZ0101060017 </t>
  </si>
  <si>
    <t>13/01/2025</t>
  </si>
  <si>
    <t>AZ0201070023</t>
  </si>
  <si>
    <t>26/01/2027</t>
  </si>
  <si>
    <t>max.
(cut-off)</t>
  </si>
  <si>
    <t>via contactless POS-terminals</t>
  </si>
  <si>
    <t>of which: contactless</t>
  </si>
  <si>
    <t>12 aylıq, %</t>
  </si>
  <si>
    <t>12 month, %</t>
  </si>
  <si>
    <t>AZ2203024701</t>
  </si>
  <si>
    <t>AZ2205024709</t>
  </si>
  <si>
    <t>AZ2207024707</t>
  </si>
  <si>
    <t>AZ2209024705</t>
  </si>
  <si>
    <t>AZ2210024702</t>
  </si>
  <si>
    <t>AZ2213024709</t>
  </si>
  <si>
    <t>AZ2212024700</t>
  </si>
  <si>
    <t>AZ2214024708</t>
  </si>
  <si>
    <t>AZ2217024705</t>
  </si>
  <si>
    <t>AZ2216024706</t>
  </si>
  <si>
    <t>AZ2218024704</t>
  </si>
  <si>
    <t>AZ2221024709</t>
  </si>
  <si>
    <t>AZ0101060025</t>
  </si>
  <si>
    <t>AZ0201070049</t>
  </si>
  <si>
    <t>17/02/2026</t>
  </si>
  <si>
    <t>AZ0201070056</t>
  </si>
  <si>
    <t>23/02/2027</t>
  </si>
  <si>
    <t>RIV,2023      QIV,2023</t>
  </si>
  <si>
    <t>AZ0201070064</t>
  </si>
  <si>
    <t>AZ0101060033</t>
  </si>
  <si>
    <t>18/03/2025</t>
  </si>
  <si>
    <t>AZ0201070080</t>
  </si>
  <si>
    <t>27/03/2026</t>
  </si>
  <si>
    <t>AZ2223024707</t>
  </si>
  <si>
    <t>AZ2224024706</t>
  </si>
  <si>
    <t>AZ2226024704</t>
  </si>
  <si>
    <t>AZ2227024703</t>
  </si>
  <si>
    <t>AZ2229024701</t>
  </si>
  <si>
    <t>AZ2228024702</t>
  </si>
  <si>
    <t>AZ2230024708</t>
  </si>
  <si>
    <t>AZ2231024707</t>
  </si>
  <si>
    <t>AZ2234024704</t>
  </si>
  <si>
    <t>Cədvəl 6.2. Sığorta növləri üzrə sığorta haqları və sığorta ödənişləri*</t>
  </si>
  <si>
    <t>Table 6.2. Premiums Written and Claims Paid by Insurance Types*</t>
  </si>
  <si>
    <t>AZ0101060041</t>
  </si>
  <si>
    <t>AZ0201070098</t>
  </si>
  <si>
    <t>AZ0201070106</t>
  </si>
  <si>
    <t>AZ0101060058</t>
  </si>
  <si>
    <t>AZ0201070114</t>
  </si>
  <si>
    <t>AZ2235024703</t>
  </si>
  <si>
    <t>AZ2237024701</t>
  </si>
  <si>
    <t>AZ2236024702</t>
  </si>
  <si>
    <t>AZ2238024700</t>
  </si>
  <si>
    <t>AZ2239024709</t>
  </si>
  <si>
    <t>AZ2242024704</t>
  </si>
  <si>
    <t>AZ2243024703</t>
  </si>
  <si>
    <t>AZ2245024701</t>
  </si>
  <si>
    <t>AZ2244024702</t>
  </si>
  <si>
    <t>AZ2246024700</t>
  </si>
  <si>
    <t xml:space="preserve">Number of ATMs       </t>
  </si>
  <si>
    <t>AZ2249024707</t>
  </si>
  <si>
    <t>AZ2248024708</t>
  </si>
  <si>
    <t>AZ2250024703</t>
  </si>
  <si>
    <t>AZ2251024702</t>
  </si>
  <si>
    <t>AZ2253024700</t>
  </si>
  <si>
    <t>AZ2255024708</t>
  </si>
  <si>
    <t>AZ2257024706</t>
  </si>
  <si>
    <t>AZ2258024705</t>
  </si>
  <si>
    <t>AZ2260024701</t>
  </si>
  <si>
    <t>AZ2261024700</t>
  </si>
  <si>
    <t>AZ2262024709</t>
  </si>
  <si>
    <t>AZ2264024707</t>
  </si>
  <si>
    <t>3134</t>
  </si>
  <si>
    <t>RI,2024     QI,2024</t>
  </si>
  <si>
    <t>AZ0101060066</t>
  </si>
  <si>
    <t>AZ0201070122</t>
  </si>
  <si>
    <t>AZ0201070130</t>
  </si>
  <si>
    <t>AZ2265024706</t>
  </si>
  <si>
    <t>AZ2267024704</t>
  </si>
  <si>
    <t>AZ2266024705</t>
  </si>
  <si>
    <t>AZ2268024703</t>
  </si>
  <si>
    <t>AZ2269024702</t>
  </si>
  <si>
    <t>AZ2271024708</t>
  </si>
  <si>
    <t>AZ2270024709</t>
  </si>
  <si>
    <t>AZ2272024707</t>
  </si>
  <si>
    <t xml:space="preserve">in foreign currency </t>
  </si>
  <si>
    <t xml:space="preserve">   Short-term loans</t>
  </si>
  <si>
    <t xml:space="preserve">   Long-term loans</t>
  </si>
  <si>
    <t xml:space="preserve">  - Private enterprises</t>
  </si>
  <si>
    <t xml:space="preserve">  - State-owned enterprises</t>
  </si>
  <si>
    <t xml:space="preserve"> in foreign currency</t>
  </si>
  <si>
    <t xml:space="preserve">     mln.manat</t>
  </si>
  <si>
    <t xml:space="preserve">                                                                                                                                                                                          mln. manat</t>
  </si>
  <si>
    <t>oh which: via payment cards</t>
  </si>
  <si>
    <t xml:space="preserve">    mln. manat</t>
  </si>
  <si>
    <t xml:space="preserve"> Of which: loans to entrepreneurs</t>
  </si>
  <si>
    <t>oh which: to nonresidents</t>
  </si>
  <si>
    <t>AZ0101060074</t>
  </si>
  <si>
    <t>AZ0201070148</t>
  </si>
  <si>
    <t>AZ0201070155</t>
  </si>
  <si>
    <t>Cədvəl 6.1. Sığorta şirkətləri üzrə sığorta haqları və sığorta ödənişləri *</t>
  </si>
  <si>
    <t xml:space="preserve">Table 6.1.  Premiums Written and Claims Paid*
 </t>
  </si>
  <si>
    <t>Azərbaycan Respublikası Dövlət Sığorta Kommersiya Şirkəti</t>
  </si>
  <si>
    <t xml:space="preserve">State Insurance Company of the Azerbaijan Republic  </t>
  </si>
  <si>
    <t>* Göstəricilər operativ məlumatlar əsasında verilmişdir.</t>
  </si>
  <si>
    <t>AZ2279024700</t>
  </si>
  <si>
    <t>AZ2281024706</t>
  </si>
  <si>
    <t>AZ2280024707</t>
  </si>
  <si>
    <t>AZ2282024705</t>
  </si>
  <si>
    <t>AZ2283024704</t>
  </si>
  <si>
    <t>AZ2284024703</t>
  </si>
  <si>
    <t>AZ2286024701</t>
  </si>
  <si>
    <t>AZ2287024700</t>
  </si>
  <si>
    <t>AZ2288024709</t>
  </si>
  <si>
    <t>AZ2290024705</t>
  </si>
  <si>
    <t>AZ2291024704</t>
  </si>
  <si>
    <t>AZ2295024700</t>
  </si>
  <si>
    <t>AZ2297024708</t>
  </si>
  <si>
    <t>AZ0101060082</t>
  </si>
  <si>
    <t>AZ0201070163</t>
  </si>
  <si>
    <t>AZ0201070171</t>
  </si>
  <si>
    <t>AZ0201070189</t>
  </si>
  <si>
    <t>AZ0201070197</t>
  </si>
  <si>
    <t>AZ2299024706</t>
  </si>
  <si>
    <t>AZ2301024702</t>
  </si>
  <si>
    <t>AZ2300024703</t>
  </si>
  <si>
    <t>AZ2302024701</t>
  </si>
  <si>
    <t>AZ2307024706</t>
  </si>
  <si>
    <t>AZ2309024704</t>
  </si>
  <si>
    <t>AZ2311024700</t>
  </si>
  <si>
    <t>AZ2312024709</t>
  </si>
  <si>
    <t>AZ2314024707</t>
  </si>
  <si>
    <t>RII,2024      QII,2024</t>
  </si>
  <si>
    <t>II rüb</t>
  </si>
  <si>
    <t>AZ0101060090</t>
  </si>
  <si>
    <t>AZ0201070205</t>
  </si>
  <si>
    <t>AZ0201070213</t>
  </si>
  <si>
    <t>AZ0201070221</t>
  </si>
  <si>
    <t>AZ2319024702</t>
  </si>
  <si>
    <t>AZ2321024708</t>
  </si>
  <si>
    <t>AZ2322024707</t>
  </si>
  <si>
    <t>AZ2323024706</t>
  </si>
  <si>
    <t>AZ2325024704</t>
  </si>
  <si>
    <t>AZ2324024705</t>
  </si>
  <si>
    <t>AZ2326024703</t>
  </si>
  <si>
    <t>AZ2327024702</t>
  </si>
  <si>
    <t>AZ2329024700</t>
  </si>
  <si>
    <t>AZ2328024701</t>
  </si>
  <si>
    <t>AZ2330024707</t>
  </si>
  <si>
    <t>AZ0201070239</t>
  </si>
  <si>
    <t>AZ0201070254</t>
  </si>
  <si>
    <t>AZ2345024700</t>
  </si>
  <si>
    <t>AZ0201070262</t>
  </si>
  <si>
    <t>AZ0201070270</t>
  </si>
  <si>
    <t>AZ0201070288</t>
  </si>
  <si>
    <t>AZ0201070304</t>
  </si>
  <si>
    <t>3253</t>
  </si>
  <si>
    <t>Belarus ruble</t>
  </si>
  <si>
    <t>Türkmən manatı</t>
  </si>
  <si>
    <t>Turkmen manat</t>
  </si>
  <si>
    <t>RIII,2024     QIII,2024</t>
  </si>
  <si>
    <t>Qazaxıstan tenqesi***</t>
  </si>
  <si>
    <t>Kazakh tenge***</t>
  </si>
  <si>
    <t>Rusiya rublu***</t>
  </si>
  <si>
    <t>Russian ruble***</t>
  </si>
  <si>
    <t>İran rialı****</t>
  </si>
  <si>
    <t>Iranian rial****</t>
  </si>
  <si>
    <r>
      <t>**** 01.01.2005 tarixindən etibarən 100 valyuta vahidi, 18.11.2024 tarixindən 10000 valyuta vahidi /</t>
    </r>
    <r>
      <rPr>
        <i/>
        <sz val="11"/>
        <color theme="8" tint="-0.249977111117893"/>
        <rFont val="Times New Roman"/>
        <family val="1"/>
      </rPr>
      <t xml:space="preserve"> 100 currency units since 01.01.2005</t>
    </r>
    <r>
      <rPr>
        <b/>
        <i/>
        <sz val="11"/>
        <color theme="8" tint="-0.249977111117893"/>
        <rFont val="Times New Roman"/>
        <family val="1"/>
      </rPr>
      <t xml:space="preserve">, </t>
    </r>
    <r>
      <rPr>
        <i/>
        <sz val="11"/>
        <color theme="8" tint="-0.249977111117893"/>
        <rFont val="Times New Roman"/>
        <family val="1"/>
      </rPr>
      <t>10000 currency units since 18.11.2024</t>
    </r>
  </si>
  <si>
    <r>
      <t>*** 18.11.2024 tarixindən etibarən 100 valyuta vahidi /</t>
    </r>
    <r>
      <rPr>
        <i/>
        <sz val="11"/>
        <color theme="8" tint="-0.249977111117893"/>
        <rFont val="Times New Roman"/>
        <family val="1"/>
      </rPr>
      <t xml:space="preserve"> 100 currency units since 18.11.2024</t>
    </r>
  </si>
  <si>
    <r>
      <t>** 01.01.2005 tarixindən etibarən 100 valyuta vahidi /</t>
    </r>
    <r>
      <rPr>
        <i/>
        <sz val="11"/>
        <color theme="8" tint="-0.249977111117893"/>
        <rFont val="Times New Roman"/>
        <family val="1"/>
      </rPr>
      <t xml:space="preserve"> 100 currency units since 01.01.2005</t>
    </r>
  </si>
  <si>
    <r>
      <t>* 01.01.2006 tarixinə kimi 1000 valyuta vahidi /</t>
    </r>
    <r>
      <rPr>
        <i/>
        <sz val="11"/>
        <color theme="8" tint="-0.249977111117893"/>
        <rFont val="Times New Roman"/>
        <family val="1"/>
      </rPr>
      <t xml:space="preserve"> 1000 currency units till 01.01.2006</t>
    </r>
  </si>
  <si>
    <t>Bolqarıstan levi</t>
  </si>
  <si>
    <t>Rumıniya leyi</t>
  </si>
  <si>
    <t>Serbiya dinarı</t>
  </si>
  <si>
    <t>Qətər rialı</t>
  </si>
  <si>
    <t>Bulgarian Lev</t>
  </si>
  <si>
    <t>Romanian Lei</t>
  </si>
  <si>
    <t>Serbian Dinar</t>
  </si>
  <si>
    <t>Qatari Rial</t>
  </si>
  <si>
    <t>AZ0201070312</t>
  </si>
  <si>
    <t>AZ0201070320</t>
  </si>
  <si>
    <t>AZ0201070353</t>
  </si>
  <si>
    <t>AZ0101060116</t>
  </si>
  <si>
    <t>AZ0201070361</t>
  </si>
  <si>
    <t>Macarıstan forinti***</t>
  </si>
  <si>
    <t>Hungarian Forint***</t>
  </si>
  <si>
    <t>Pakistan rupisi***</t>
  </si>
  <si>
    <t xml:space="preserve"> Cədvəl 5.8. Biznes portfelinin sahələr üzrə bölgüsü barədə məlumat</t>
  </si>
  <si>
    <t>Sahələr üzrə bölgü</t>
  </si>
  <si>
    <t>Sənaye</t>
  </si>
  <si>
    <t>Kənd təsərrüfatı</t>
  </si>
  <si>
    <t>Tikinti sahəsi</t>
  </si>
  <si>
    <t>Nəqliyyat</t>
  </si>
  <si>
    <t>İnformasiya və Rabitə</t>
  </si>
  <si>
    <t>Ticarət müəssisələrinə kredit</t>
  </si>
  <si>
    <t>Digər qeyri-istehsal və xidmət sahələri</t>
  </si>
  <si>
    <t>5.8</t>
  </si>
  <si>
    <t>Biznes portfelinin sahələr üzrə bölgüsü barədə məlumat</t>
  </si>
  <si>
    <t xml:space="preserve"> Table 5.8. Sectorial breakdown of the business portfolio</t>
  </si>
  <si>
    <t>Sectorial breakdown</t>
  </si>
  <si>
    <t>Industry</t>
  </si>
  <si>
    <t>Agriculture</t>
  </si>
  <si>
    <t>Construction</t>
  </si>
  <si>
    <t>Transport</t>
  </si>
  <si>
    <t>Information and communication</t>
  </si>
  <si>
    <t>Trade</t>
  </si>
  <si>
    <t xml:space="preserve">Other non-production and service sectors </t>
  </si>
  <si>
    <t>Sectorial breakdown of the business portfolio</t>
  </si>
  <si>
    <r>
      <rPr>
        <b/>
        <i/>
        <sz val="13"/>
        <color theme="3"/>
        <rFont val="Palatino Linotype"/>
        <family val="1"/>
      </rPr>
      <t>Note</t>
    </r>
    <r>
      <rPr>
        <i/>
        <sz val="13"/>
        <color theme="3"/>
        <rFont val="Palatino Linotype"/>
        <family val="1"/>
      </rPr>
      <t>: Based on the prudential approach, the table includes sectorial breakdown of the banks' business loans portfolio. The breakdown is maintained in accordance with the purpose of loans.</t>
    </r>
  </si>
  <si>
    <r>
      <t xml:space="preserve">* Hesablanmış faizlər daxil olmaqla, yaradılmış ehtiyatlar çıxılmaqla / </t>
    </r>
    <r>
      <rPr>
        <i/>
        <sz val="8"/>
        <color theme="8" tint="-0.249977111117893"/>
        <rFont val="Times New Roman"/>
        <family val="1"/>
      </rPr>
      <t>Accounted interest are included, excluding provisions</t>
    </r>
  </si>
  <si>
    <t>Pakistani Rupee***</t>
  </si>
  <si>
    <t>AZ0201070379</t>
  </si>
  <si>
    <t>AZ0201070387</t>
  </si>
  <si>
    <t>AZ0201070395</t>
  </si>
  <si>
    <t>AZ0201070403</t>
  </si>
  <si>
    <t>AZ0201070429</t>
  </si>
  <si>
    <t>AZ0101060124</t>
  </si>
  <si>
    <t>AZ0201070437</t>
  </si>
  <si>
    <t>AZ0101060132</t>
  </si>
  <si>
    <r>
      <t xml:space="preserve">Cədvəl 2.16.1. Əsas ticarət tərəfdaşı olan ölkələrin valyutalarının manata qarşı dəyişimi, </t>
    </r>
    <r>
      <rPr>
        <b/>
        <i/>
        <sz val="12"/>
        <color rgb="FF366092"/>
        <rFont val="Times New Roman"/>
        <family val="1"/>
      </rPr>
      <t>(ilin əvvəlinə nəzərən %-lə)</t>
    </r>
  </si>
  <si>
    <r>
      <t xml:space="preserve">Table 2.16.1. Percentage change in exchange rates of currencies of the main trade partners against manat </t>
    </r>
    <r>
      <rPr>
        <i/>
        <sz val="12"/>
        <color rgb="FF366092"/>
        <rFont val="Times New Roman"/>
        <family val="1"/>
      </rPr>
      <t xml:space="preserve">(compared to previous year end, %) </t>
    </r>
  </si>
  <si>
    <t>Sayı, min ədəd</t>
  </si>
  <si>
    <t>Məbləği, milyon valyuta vahidi</t>
  </si>
  <si>
    <t xml:space="preserve"> AZ0201100010</t>
  </si>
  <si>
    <t>AZ0101090014</t>
  </si>
  <si>
    <t>2025</t>
  </si>
  <si>
    <t>Ödənişlərin həcmi (mln. manat) / Amount of payments (mln. manat)</t>
  </si>
  <si>
    <t>Ödənişlərin sayı (min ədəd) / Number of payments (thousand units)</t>
  </si>
  <si>
    <t>AZ2401024701</t>
  </si>
  <si>
    <t>AZ2403024709</t>
  </si>
  <si>
    <t>AZ2402024700</t>
  </si>
  <si>
    <t>AZ2404024708</t>
  </si>
  <si>
    <t>AZ2405024707</t>
  </si>
  <si>
    <t>AZ2407024705</t>
  </si>
  <si>
    <t>AZ2406024706</t>
  </si>
  <si>
    <t>AZ2408024704</t>
  </si>
  <si>
    <t>RIV,2024      QIV,2024</t>
  </si>
  <si>
    <t>“İpək Yolu Sığorta” Açıq Səhmdar Cəmiyyəti</t>
  </si>
  <si>
    <t>"Aqrar Sığorta" OJSC</t>
  </si>
  <si>
    <t>"Meqa Həyat Sığorta" Açıq Səhmdar Cəmiyyəti</t>
  </si>
  <si>
    <t xml:space="preserve">02 </t>
  </si>
  <si>
    <t xml:space="preserve">03 </t>
  </si>
  <si>
    <t>AZ2409024703</t>
  </si>
  <si>
    <t>AZ2411024709</t>
  </si>
  <si>
    <t>AZ2410024700</t>
  </si>
  <si>
    <t>AZ2412024708</t>
  </si>
  <si>
    <t>AZ2413024707</t>
  </si>
  <si>
    <t>AZ2415024705</t>
  </si>
  <si>
    <t>AZ2414024706</t>
  </si>
  <si>
    <t>AZ2416024704</t>
  </si>
  <si>
    <t>AZ2418024702</t>
  </si>
  <si>
    <t>AZ2419024701</t>
  </si>
  <si>
    <t>AZ2420024708</t>
  </si>
  <si>
    <t>AZ2422024706</t>
  </si>
  <si>
    <t>AZ2423024705</t>
  </si>
  <si>
    <t>AZ2421024707</t>
  </si>
  <si>
    <t>AZ2424024704</t>
  </si>
  <si>
    <t>AZ2426024702</t>
  </si>
  <si>
    <t>AZ2425024703</t>
  </si>
  <si>
    <t>AZ2427024701</t>
  </si>
  <si>
    <t>AZ2428024700</t>
  </si>
  <si>
    <t>AZ2430024706</t>
  </si>
  <si>
    <t>AZ2429024709</t>
  </si>
  <si>
    <t>AZ2431024705</t>
  </si>
  <si>
    <t>AZ2432024704</t>
  </si>
  <si>
    <t>AZ2434024702</t>
  </si>
  <si>
    <t>AZ2433024703</t>
  </si>
  <si>
    <t>AZ2435024701</t>
  </si>
  <si>
    <t>AZ2439024707</t>
  </si>
  <si>
    <t>AZ2437024709</t>
  </si>
  <si>
    <t>5.9</t>
  </si>
  <si>
    <t>Göstərici</t>
  </si>
  <si>
    <t xml:space="preserve"> Cədvəl 5.9. Bank sektoru üzrə unikal müddətli əmanətçilərin dinamikası barədə məlumat</t>
  </si>
  <si>
    <t>Bank sektoru üzrə unikal müddətli əmanətçilərin dinamikası barədə məlumat</t>
  </si>
  <si>
    <t>Information on the dynamics of unique term depositors in the banking sector</t>
  </si>
  <si>
    <t xml:space="preserve"> Table 5.9. Information on the dynamics of unique term depositors in the banking sector</t>
  </si>
  <si>
    <t xml:space="preserve"> nəfər/person</t>
  </si>
  <si>
    <t>Bank sektoru üzrə unikal FİN müştəri sayı (müddətli əmanətçilər)</t>
  </si>
  <si>
    <t>Number of unique FIN customers (term depositors) in the banking sector</t>
  </si>
  <si>
    <t>04*</t>
  </si>
  <si>
    <t>*-Müştəri hesablarının sayındakı azalma “Bank hesablarının açılması, aparılması və bağlanması Qaydası”na əsasən qeyri-aktiv müştəri hesablarının bağlanması ilə əlaqədardır./ The decrease in the number of customer accounts is due to the closure of inactive customer accounts in accordance with the "Regulations on opening, maintaining and closing bank accounts".</t>
  </si>
  <si>
    <t>Qeyd: Ticarət tərəfdaşının real məzənnəsinin indeksi müvafiq məzənnənin orta aylıq dəyişimi ilə iki ölkə arasında olan inflyasiya nisbətinin hasili əsasında hesablanır. İki ölkə dedikdə Azərbaycan və müvafiq ticarət tərəfdaşı nəzərdə tutulur/ Note: The real exchange rate index of a trading partner is calculated based on the average monthly change in the relevant exchange rate multiplied by the inflation rate between the two countries. The two countries refer to Azerbaijan and the relevant trading partner.</t>
  </si>
  <si>
    <t>*Belarus rublu 2010-cu il yanvar ayından hesablanmışdır./Belarusian ruble calculated from January 2010.</t>
  </si>
  <si>
    <t>**Cənubi Koreya vonu 2011-ci il yanvar ayından hesablanmışdır./ South Korean won calculated as of January 2011.</t>
  </si>
  <si>
    <t>***İsveçrə frankı 2012-ci il aprel ayından hesablanmışdır/ Swiss franc calculated as of April 2012.</t>
  </si>
  <si>
    <t>Qeyd: 2016-cı ildən AzərPoçt MMC daxil olmaqla/ Note: Azerpost LLC included since 2016</t>
  </si>
  <si>
    <t>Qeyd: Bank sistemi və AzərPoçt MMC üzrə göstəricilər əks olunmuşdur/ Note: Azerpost LLC included since 2016</t>
  </si>
  <si>
    <t>Qeyd: Bank sistemi və AzərPoçt MMC üzrə göstəricilər əks olunmuşdur/Note: Across banking sector and Azerpost LLC</t>
  </si>
  <si>
    <t>May 2025</t>
  </si>
  <si>
    <t>AZ2438024708</t>
  </si>
  <si>
    <t>AZ2436024700</t>
  </si>
  <si>
    <t>AZ2440024704</t>
  </si>
  <si>
    <t>AZ2442024702</t>
  </si>
  <si>
    <t>AZ2441024703</t>
  </si>
  <si>
    <t>AZ2443024701</t>
  </si>
  <si>
    <t>AZ2444024700</t>
  </si>
  <si>
    <t>AZ2446024708</t>
  </si>
  <si>
    <t>AZ2445024709</t>
  </si>
  <si>
    <t>AZ2447024707</t>
  </si>
  <si>
    <t>AZ2448024706</t>
  </si>
  <si>
    <t>AZ2450024701</t>
  </si>
  <si>
    <t>AZ2449024705</t>
  </si>
  <si>
    <t>AZ2451024700</t>
  </si>
  <si>
    <t>AZ2452024709</t>
  </si>
  <si>
    <t>AZ2453024708</t>
  </si>
  <si>
    <r>
      <t xml:space="preserve">Qida məhsulları, içkilər, tütün
</t>
    </r>
    <r>
      <rPr>
        <i/>
        <sz val="12"/>
        <rFont val="Times New Roman"/>
        <family val="1"/>
      </rPr>
      <t>(food products, beverages, tobacco)</t>
    </r>
  </si>
  <si>
    <r>
      <t xml:space="preserve">Qida və qeyri-qida malları 
</t>
    </r>
    <r>
      <rPr>
        <i/>
        <sz val="12"/>
        <rFont val="Times New Roman"/>
        <family val="1"/>
      </rPr>
      <t>(food and non-food products)</t>
    </r>
  </si>
  <si>
    <r>
      <t>Qeyri-qida malları</t>
    </r>
    <r>
      <rPr>
        <i/>
        <sz val="12"/>
        <rFont val="Times New Roman"/>
        <family val="1"/>
        <charset val="162"/>
      </rPr>
      <t xml:space="preserve">
</t>
    </r>
    <r>
      <rPr>
        <i/>
        <sz val="12"/>
        <rFont val="Times New Roman"/>
        <family val="1"/>
      </rPr>
      <t>(non-food products)</t>
    </r>
  </si>
  <si>
    <r>
      <t xml:space="preserve">Ödənişli xidmətlər
</t>
    </r>
    <r>
      <rPr>
        <i/>
        <sz val="12"/>
        <rFont val="Times New Roman"/>
        <family val="1"/>
      </rPr>
      <t>(paid services)</t>
    </r>
  </si>
  <si>
    <r>
      <t xml:space="preserve">Qeyri-qida malları, ödənişli xidmətlər
</t>
    </r>
    <r>
      <rPr>
        <i/>
        <sz val="12"/>
        <rFont val="Times New Roman"/>
        <family val="1"/>
      </rPr>
      <t>(non-food products, paid services)</t>
    </r>
  </si>
  <si>
    <r>
      <t xml:space="preserve">Emal sənayesi
</t>
    </r>
    <r>
      <rPr>
        <i/>
        <sz val="12"/>
        <rFont val="Times New Roman"/>
        <family val="1"/>
      </rPr>
      <t>(manufacturing production)</t>
    </r>
  </si>
  <si>
    <r>
      <t xml:space="preserve">Elektrik enerjisi və qaz 
</t>
    </r>
    <r>
      <rPr>
        <i/>
        <sz val="12"/>
        <rFont val="Times New Roman"/>
        <family val="1"/>
      </rPr>
      <t>(electric power and gas)</t>
    </r>
  </si>
  <si>
    <r>
      <t xml:space="preserve">Heyvandarlıq məhsulları
</t>
    </r>
    <r>
      <rPr>
        <i/>
        <sz val="12"/>
        <rFont val="Times New Roman"/>
        <family val="1"/>
      </rPr>
      <t>(livestock products)</t>
    </r>
  </si>
  <si>
    <r>
      <t>o cümlədən /</t>
    </r>
    <r>
      <rPr>
        <b/>
        <i/>
        <sz val="12"/>
        <rFont val="Times New Roman"/>
        <family val="1"/>
      </rPr>
      <t xml:space="preserve"> </t>
    </r>
    <r>
      <rPr>
        <i/>
        <sz val="12"/>
        <rFont val="Times New Roman"/>
        <family val="1"/>
      </rPr>
      <t>of which:</t>
    </r>
  </si>
  <si>
    <r>
      <t xml:space="preserve">o cümlədən / </t>
    </r>
    <r>
      <rPr>
        <i/>
        <sz val="12"/>
        <rFont val="Times New Roman"/>
        <family val="1"/>
      </rPr>
      <t>of which:</t>
    </r>
  </si>
  <si>
    <r>
      <rPr>
        <b/>
        <sz val="13"/>
        <rFont val="Times New Roman"/>
        <family val="1"/>
      </rPr>
      <t>İstehlak qiymətləri indeksi</t>
    </r>
    <r>
      <rPr>
        <b/>
        <i/>
        <sz val="13"/>
        <rFont val="Times New Roman"/>
        <family val="1"/>
        <charset val="162"/>
      </rPr>
      <t xml:space="preserve">
</t>
    </r>
    <r>
      <rPr>
        <i/>
        <sz val="13"/>
        <rFont val="Times New Roman"/>
        <family val="1"/>
      </rPr>
      <t>(consumer price index)</t>
    </r>
  </si>
  <si>
    <r>
      <t xml:space="preserve">Sənaye məhsullarının istehsalçı qiymət indeksi
</t>
    </r>
    <r>
      <rPr>
        <i/>
        <sz val="13"/>
        <rFont val="Times New Roman"/>
        <family val="1"/>
      </rPr>
      <t>(Producer price index of industrial products)</t>
    </r>
  </si>
  <si>
    <r>
      <rPr>
        <b/>
        <sz val="13"/>
        <rFont val="Times New Roman"/>
        <family val="1"/>
      </rPr>
      <t>Kənd təsərrüfatı məhsullarının istehsalçı qiymət indeksi</t>
    </r>
    <r>
      <rPr>
        <b/>
        <i/>
        <sz val="13"/>
        <rFont val="Times New Roman"/>
        <family val="1"/>
        <charset val="162"/>
      </rPr>
      <t xml:space="preserve">
</t>
    </r>
    <r>
      <rPr>
        <i/>
        <sz val="13"/>
        <rFont val="Times New Roman"/>
        <family val="1"/>
      </rPr>
      <t>(agricultural producer price index)</t>
    </r>
  </si>
  <si>
    <r>
      <t xml:space="preserve">Mədənçıxarma sənayesi 
</t>
    </r>
    <r>
      <rPr>
        <i/>
        <sz val="12"/>
        <rFont val="Times New Roman"/>
        <family val="1"/>
      </rPr>
      <t xml:space="preserve">(mining industry)  </t>
    </r>
    <r>
      <rPr>
        <b/>
        <i/>
        <sz val="12"/>
        <rFont val="Times New Roman"/>
        <family val="1"/>
        <charset val="162"/>
      </rPr>
      <t xml:space="preserve"> </t>
    </r>
  </si>
  <si>
    <t>RI,2025      QI,2025</t>
  </si>
  <si>
    <t xml:space="preserve">                                            31/05/2025</t>
  </si>
  <si>
    <t>3416</t>
  </si>
  <si>
    <t>2. Mərkəzi Bankda müxbir hesablar</t>
  </si>
  <si>
    <t>1.2 Hüquqi şəxslərin depoziti*</t>
  </si>
  <si>
    <t xml:space="preserve">        1.2.2 tələbli**, o cümlədən</t>
  </si>
  <si>
    <t>* Mərkəzi idarəetmə və bələdiyyə idarəetmə orqanlarının depozitləri daxil olmadan, fərdi sahibkarlıqla məşğul olan fiziki şəxslərin depozitləri daxil olmaqla./ * Including deposits of individuals engaged in individual entrepreneurship, excluding deposits without central government and municipal governing bodies</t>
  </si>
  <si>
    <t>** Qeyri-bank maliyyə institutlarının cari hesabları daxil olmaqla./ ** Including current accounts of non-bank financial institutions</t>
  </si>
  <si>
    <r>
      <rPr>
        <b/>
        <i/>
        <sz val="13"/>
        <color theme="3"/>
        <rFont val="Palatino Linotype"/>
        <family val="1"/>
      </rPr>
      <t xml:space="preserve">Qeyd: </t>
    </r>
    <r>
      <rPr>
        <i/>
        <sz val="13"/>
        <color theme="3"/>
        <rFont val="Palatino Linotype"/>
        <family val="1"/>
      </rPr>
      <t>Prudensial yanaşma əsasında bankların biznes portfelinin sahələr üzrə bölgüsü cədvəldə əks olunur. Bölgü biznes kreditlərinin təyinatı üzrə aparılır.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</si>
</sst>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2">
    <numFmt numFmtId="43" formatCode="_-* #,##0.00_-;\-* #,##0.00_-;_-* &quot;-&quot;??_-;_-@_-"/>
    <numFmt numFmtId="164" formatCode="_(&quot;$&quot;* #,##0.00_);_(&quot;$&quot;* \(#,##0.00\);_(&quot;$&quot;* &quot;-&quot;??_);_(@_)"/>
    <numFmt numFmtId="165" formatCode="_(* #,##0.00_);_(* \(#,##0.00\);_(* &quot;-&quot;??_);_(@_)"/>
    <numFmt numFmtId="166" formatCode="0.0"/>
    <numFmt numFmtId="167" formatCode="0.000000"/>
    <numFmt numFmtId="168" formatCode="0.0000"/>
    <numFmt numFmtId="169" formatCode="_-* #,##0.00_р_._-;\-* #,##0.00_р_._-;_-* &quot;-&quot;??_р_._-;_-@_-"/>
    <numFmt numFmtId="170" formatCode="_(* #,##0.0_);_(* \(#,##0.0\);_(* &quot;-&quot;??_);_(@_)"/>
    <numFmt numFmtId="171" formatCode="0.000"/>
    <numFmt numFmtId="172" formatCode="mm/dd/yy"/>
    <numFmt numFmtId="173" formatCode="#,##0.0"/>
    <numFmt numFmtId="174" formatCode="&quot;₼&quot;#,##0.00"/>
    <numFmt numFmtId="175" formatCode="_-* #,##0.0_р_._-;\-* #,##0.0_р_._-;_-* &quot;-&quot;??_р_._-;_-@_-"/>
    <numFmt numFmtId="176" formatCode="0.0;[Red]0.0"/>
    <numFmt numFmtId="177" formatCode="###\ ###\ ###\ ###\ ###\ ##0.00"/>
    <numFmt numFmtId="178" formatCode="0.0%"/>
    <numFmt numFmtId="179" formatCode="#.00"/>
    <numFmt numFmtId="180" formatCode="_-* #,##0.00&quot;$&quot;_-;\-* #,##0.00&quot;$&quot;_-;_-* &quot;-&quot;??&quot;$&quot;_-;_-@_-"/>
    <numFmt numFmtId="181" formatCode="_(* #,##0_);_(* \(#,##0\);_(* &quot;-&quot;??_);_(@_)"/>
    <numFmt numFmtId="182" formatCode="_-* #,##0\ _₽_-;\-* #,##0\ _₽_-;_-* &quot;-&quot;??\ _₽_-;_-@_-"/>
    <numFmt numFmtId="183" formatCode="_-* #,##0.0\ _₽_-;\-* #,##0.0\ _₽_-;_-* &quot;-&quot;??\ _₽_-;_-@_-"/>
    <numFmt numFmtId="184" formatCode="0.00000"/>
    <numFmt numFmtId="185" formatCode="_-* #,##0.00\ _₼_-;\-* #,##0.00\ _₼_-;_-* &quot;-&quot;??\ _₼_-;_-@_-"/>
    <numFmt numFmtId="186" formatCode="0.0000000"/>
    <numFmt numFmtId="187" formatCode="0.000000000000000000"/>
    <numFmt numFmtId="188" formatCode="0.000000000"/>
    <numFmt numFmtId="189" formatCode="0.0000000000"/>
    <numFmt numFmtId="190" formatCode="_-* #,##0\ _₼_-;\-* #,##0\ _₼_-;_-* &quot;-&quot;??\ _₼_-;_-@_-"/>
    <numFmt numFmtId="191" formatCode="#,##0.000000000"/>
    <numFmt numFmtId="192" formatCode="#,##0.000000000000"/>
    <numFmt numFmtId="193" formatCode="0.00000000"/>
    <numFmt numFmtId="194" formatCode="_(* #,##0.0000_);_(* \(#,##0.0000\);_(* &quot;-&quot;??_);_(@_)"/>
    <numFmt numFmtId="195" formatCode="0.00000000000"/>
    <numFmt numFmtId="196" formatCode="_(* #,##0.0_);_(* \(#,##0.0\);_(* &quot;-&quot;?_);_(@_)"/>
    <numFmt numFmtId="197" formatCode="0.00000000000000"/>
    <numFmt numFmtId="198" formatCode="_-* #,##0.0000\ _X_D_R_-;\-* #,##0.0000\ _X_D_R_-;_-* &quot;-&quot;??\ _X_D_R_-;_-@_-"/>
    <numFmt numFmtId="199" formatCode="_-* #,##0.000000\ _X_D_R_-;\-* #,##0.000000\ _X_D_R_-;_-* &quot;-&quot;??\ _X_D_R_-;_-@_-"/>
    <numFmt numFmtId="200" formatCode="_-* #,##0.0\ _X_D_R_-;\-* #,##0.0\ _X_D_R_-;_-* &quot;-&quot;?\ _X_D_R_-;_-@_-"/>
    <numFmt numFmtId="201" formatCode="_-* #,##0.00\ _X_D_R_-;\-* #,##0.00\ _X_D_R_-;_-* &quot;-&quot;??\ _X_D_R_-;_-@_-"/>
    <numFmt numFmtId="202" formatCode="_-* #,##0_-;\-* #,##0_-;_-* &quot;-&quot;??_-;_-@_-"/>
    <numFmt numFmtId="203" formatCode="_(* #,##0.000_);_(* \(#,##0.000\);_(* &quot;-&quot;??_);_(@_)"/>
    <numFmt numFmtId="204" formatCode="_(* #,##0.000000_);_(* \(#,##0.000000\);_(* &quot;-&quot;??_);_(@_)"/>
  </numFmts>
  <fonts count="356">
    <font>
      <sz val="11"/>
      <color theme="1"/>
      <name val="Times New Roman"/>
      <family val="2"/>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0"/>
      <name val="Times New Roman"/>
      <family val="1"/>
    </font>
    <font>
      <b/>
      <sz val="10"/>
      <name val="Times New Roman"/>
      <family val="1"/>
    </font>
    <font>
      <sz val="9"/>
      <name val="Times New Roman"/>
      <family val="1"/>
    </font>
    <font>
      <b/>
      <sz val="11"/>
      <name val="Times New Roman"/>
      <family val="1"/>
    </font>
    <font>
      <sz val="11"/>
      <name val="Times New Roman"/>
      <family val="1"/>
    </font>
    <font>
      <sz val="12"/>
      <name val="Times New Roman"/>
      <family val="1"/>
    </font>
    <font>
      <b/>
      <sz val="9"/>
      <name val="Times New Roman"/>
      <family val="1"/>
    </font>
    <font>
      <i/>
      <sz val="10"/>
      <name val="Times New Roman"/>
      <family val="1"/>
    </font>
    <font>
      <sz val="10"/>
      <name val="Arial"/>
      <family val="2"/>
    </font>
    <font>
      <sz val="11"/>
      <name val="Times New Roman"/>
      <family val="1"/>
      <charset val="162"/>
    </font>
    <font>
      <b/>
      <sz val="14"/>
      <name val="Times New Roman"/>
      <family val="1"/>
      <charset val="162"/>
    </font>
    <font>
      <sz val="14"/>
      <name val="Times New Roman"/>
      <family val="1"/>
      <charset val="162"/>
    </font>
    <font>
      <b/>
      <sz val="11"/>
      <name val="Times New Roman"/>
      <family val="1"/>
      <charset val="162"/>
    </font>
    <font>
      <b/>
      <sz val="10"/>
      <name val="Times New Roman"/>
      <family val="1"/>
      <charset val="162"/>
    </font>
    <font>
      <sz val="10"/>
      <name val="Times New Roman"/>
      <family val="1"/>
      <charset val="162"/>
    </font>
    <font>
      <b/>
      <i/>
      <sz val="10"/>
      <name val="Times New Roman"/>
      <family val="1"/>
      <charset val="162"/>
    </font>
    <font>
      <i/>
      <sz val="10"/>
      <name val="Times New Roman"/>
      <family val="1"/>
      <charset val="162"/>
    </font>
    <font>
      <b/>
      <sz val="12"/>
      <name val="Times New Roman"/>
      <family val="1"/>
      <charset val="162"/>
    </font>
    <font>
      <sz val="12"/>
      <name val="Times New Roman"/>
      <family val="1"/>
      <charset val="162"/>
    </font>
    <font>
      <i/>
      <sz val="11"/>
      <name val="Times New Roman"/>
      <family val="1"/>
      <charset val="162"/>
    </font>
    <font>
      <i/>
      <sz val="12"/>
      <name val="Times New Roman"/>
      <family val="1"/>
    </font>
    <font>
      <b/>
      <sz val="12"/>
      <name val="Times New Roman"/>
      <family val="1"/>
    </font>
    <font>
      <b/>
      <i/>
      <sz val="12"/>
      <name val="Times New Roman"/>
      <family val="1"/>
    </font>
    <font>
      <b/>
      <i/>
      <sz val="11"/>
      <name val="Times New Roman"/>
      <family val="1"/>
      <charset val="204"/>
    </font>
    <font>
      <b/>
      <sz val="10"/>
      <name val="Times New Roman"/>
      <family val="1"/>
      <charset val="204"/>
    </font>
    <font>
      <sz val="10"/>
      <name val="Times New Roman"/>
      <family val="1"/>
      <charset val="204"/>
    </font>
    <font>
      <b/>
      <i/>
      <sz val="10"/>
      <name val="Times New Roman"/>
      <family val="1"/>
    </font>
    <font>
      <b/>
      <i/>
      <sz val="12"/>
      <name val="Times New Roman"/>
      <family val="1"/>
      <charset val="162"/>
    </font>
    <font>
      <sz val="12"/>
      <name val="Times New Roman"/>
      <family val="1"/>
      <charset val="204"/>
    </font>
    <font>
      <b/>
      <sz val="8"/>
      <name val="Times New Roman"/>
      <family val="1"/>
      <charset val="162"/>
    </font>
    <font>
      <b/>
      <i/>
      <sz val="11"/>
      <name val="Times New Roman"/>
      <family val="1"/>
    </font>
    <font>
      <b/>
      <sz val="12"/>
      <name val="Times New Roman"/>
      <family val="1"/>
      <charset val="204"/>
    </font>
    <font>
      <sz val="10"/>
      <name val="Arial"/>
      <family val="2"/>
      <charset val="204"/>
    </font>
    <font>
      <sz val="8"/>
      <name val="Times New Roman"/>
      <family val="1"/>
    </font>
    <font>
      <b/>
      <sz val="8"/>
      <name val="Times New Roman"/>
      <family val="1"/>
    </font>
    <font>
      <sz val="10"/>
      <name val="Arial Cyr"/>
      <family val="2"/>
      <charset val="204"/>
    </font>
    <font>
      <sz val="10"/>
      <name val="Arial Cyr"/>
      <family val="2"/>
      <charset val="204"/>
    </font>
    <font>
      <sz val="11"/>
      <color indexed="8"/>
      <name val="Times New Roman"/>
      <family val="2"/>
    </font>
    <font>
      <sz val="12"/>
      <color indexed="8"/>
      <name val="Times New Roman"/>
      <family val="1"/>
    </font>
    <font>
      <sz val="11"/>
      <color indexed="8"/>
      <name val="Times New Roman"/>
      <family val="1"/>
      <charset val="162"/>
    </font>
    <font>
      <b/>
      <sz val="11"/>
      <color indexed="8"/>
      <name val="Times New Roman"/>
      <family val="1"/>
      <charset val="162"/>
    </font>
    <font>
      <sz val="10"/>
      <color indexed="8"/>
      <name val="Times New Roman"/>
      <family val="1"/>
      <charset val="162"/>
    </font>
    <font>
      <sz val="11"/>
      <color indexed="8"/>
      <name val="Times New Roman"/>
      <family val="1"/>
    </font>
    <font>
      <b/>
      <sz val="11"/>
      <color indexed="8"/>
      <name val="Times New Roman"/>
      <family val="1"/>
    </font>
    <font>
      <b/>
      <sz val="10"/>
      <color indexed="8"/>
      <name val="Times New Roman"/>
      <family val="1"/>
      <charset val="162"/>
    </font>
    <font>
      <b/>
      <sz val="10"/>
      <name val="Arial"/>
      <family val="2"/>
      <charset val="204"/>
    </font>
    <font>
      <sz val="12"/>
      <color indexed="8"/>
      <name val="Times New Roman"/>
      <family val="1"/>
      <charset val="162"/>
    </font>
    <font>
      <i/>
      <sz val="12"/>
      <name val="Times New Roman"/>
      <family val="1"/>
      <charset val="162"/>
    </font>
    <font>
      <b/>
      <sz val="12"/>
      <color indexed="8"/>
      <name val="Times New Roman"/>
      <family val="1"/>
    </font>
    <font>
      <b/>
      <i/>
      <sz val="11"/>
      <name val="Times New Roman"/>
      <family val="1"/>
      <charset val="162"/>
    </font>
    <font>
      <sz val="11"/>
      <color indexed="63"/>
      <name val="Times New Roman"/>
      <family val="1"/>
      <charset val="162"/>
    </font>
    <font>
      <i/>
      <sz val="9"/>
      <name val="Times New Roman"/>
      <family val="1"/>
      <charset val="162"/>
    </font>
    <font>
      <b/>
      <i/>
      <sz val="11"/>
      <color indexed="8"/>
      <name val="Times New Roman"/>
      <family val="1"/>
      <charset val="162"/>
    </font>
    <font>
      <b/>
      <sz val="9"/>
      <color indexed="8"/>
      <name val="Times New Roman"/>
      <family val="1"/>
      <charset val="162"/>
    </font>
    <font>
      <b/>
      <i/>
      <sz val="9"/>
      <name val="Times New Roman"/>
      <family val="1"/>
      <charset val="162"/>
    </font>
    <font>
      <sz val="9"/>
      <color indexed="8"/>
      <name val="Times New Roman"/>
      <family val="1"/>
      <charset val="162"/>
    </font>
    <font>
      <b/>
      <sz val="12"/>
      <color indexed="8"/>
      <name val="Times New Roman"/>
      <family val="1"/>
      <charset val="162"/>
    </font>
    <font>
      <i/>
      <sz val="10"/>
      <color indexed="8"/>
      <name val="Times New Roman"/>
      <family val="1"/>
    </font>
    <font>
      <b/>
      <sz val="10"/>
      <color indexed="8"/>
      <name val="Times New Roman"/>
      <family val="1"/>
    </font>
    <font>
      <sz val="10"/>
      <name val="Arial"/>
      <family val="2"/>
      <charset val="162"/>
    </font>
    <font>
      <b/>
      <i/>
      <sz val="14"/>
      <name val="Arial"/>
      <family val="2"/>
    </font>
    <font>
      <sz val="14"/>
      <name val="Arial"/>
      <family val="2"/>
    </font>
    <font>
      <i/>
      <sz val="14"/>
      <name val="A3 Arial AzLat"/>
      <family val="2"/>
      <charset val="204"/>
    </font>
    <font>
      <b/>
      <sz val="14"/>
      <name val="Arial"/>
      <family val="2"/>
    </font>
    <font>
      <b/>
      <i/>
      <sz val="14"/>
      <name val="A3 Arial AzLat"/>
      <family val="2"/>
      <charset val="204"/>
    </font>
    <font>
      <b/>
      <sz val="14"/>
      <name val="A3 Arial AzLat"/>
      <family val="2"/>
      <charset val="204"/>
    </font>
    <font>
      <sz val="14"/>
      <name val="A3 Arial AzLat"/>
      <family val="2"/>
      <charset val="204"/>
    </font>
    <font>
      <b/>
      <i/>
      <sz val="12"/>
      <name val="A3 Times AzLat"/>
      <family val="1"/>
      <charset val="204"/>
    </font>
    <font>
      <b/>
      <sz val="14"/>
      <name val="A3 Times AzLat"/>
      <family val="1"/>
      <charset val="204"/>
    </font>
    <font>
      <b/>
      <sz val="18"/>
      <name val="A3 Times AzLat"/>
      <family val="1"/>
      <charset val="204"/>
    </font>
    <font>
      <b/>
      <i/>
      <sz val="16"/>
      <name val="A3 Arial AzLat"/>
      <family val="2"/>
      <charset val="204"/>
    </font>
    <font>
      <b/>
      <sz val="18"/>
      <name val="A3 Arial AzLat"/>
      <family val="2"/>
      <charset val="204"/>
    </font>
    <font>
      <b/>
      <i/>
      <sz val="12"/>
      <name val="A3 Arial AzLat"/>
      <family val="2"/>
      <charset val="204"/>
    </font>
    <font>
      <sz val="10"/>
      <name val="A3 Arial AzLat"/>
      <family val="2"/>
      <charset val="204"/>
    </font>
    <font>
      <sz val="10"/>
      <name val="Arial"/>
      <family val="2"/>
    </font>
    <font>
      <sz val="1"/>
      <color indexed="8"/>
      <name val="Courier"/>
      <family val="1"/>
      <charset val="204"/>
    </font>
    <font>
      <b/>
      <sz val="1"/>
      <color indexed="8"/>
      <name val="Courier"/>
      <family val="1"/>
      <charset val="204"/>
    </font>
    <font>
      <sz val="11"/>
      <name val="Tms Rmn"/>
    </font>
    <font>
      <sz val="10"/>
      <name val="Tms Rmn"/>
    </font>
    <font>
      <sz val="10"/>
      <name val="Helv"/>
    </font>
    <font>
      <sz val="12"/>
      <name val="Helv"/>
    </font>
    <font>
      <sz val="10"/>
      <color indexed="8"/>
      <name val="Times New Roman"/>
      <family val="1"/>
    </font>
    <font>
      <b/>
      <sz val="14"/>
      <name val="Times New Roman"/>
      <family val="1"/>
    </font>
    <font>
      <sz val="14"/>
      <name val="Times New Roman"/>
      <family val="1"/>
    </font>
    <font>
      <b/>
      <sz val="14"/>
      <name val="Palatino Linotype"/>
      <family val="1"/>
    </font>
    <font>
      <sz val="14"/>
      <name val="Palatino Linotype"/>
      <family val="1"/>
    </font>
    <font>
      <b/>
      <sz val="18"/>
      <name val="Palatino Linotype"/>
      <family val="1"/>
    </font>
    <font>
      <sz val="16"/>
      <name val="Palatino Linotype"/>
      <family val="1"/>
    </font>
    <font>
      <b/>
      <sz val="16"/>
      <name val="Palatino Linotype"/>
      <family val="1"/>
    </font>
    <font>
      <sz val="14"/>
      <name val="Times New Roman"/>
      <family val="1"/>
      <charset val="204"/>
    </font>
    <font>
      <b/>
      <i/>
      <sz val="14"/>
      <name val="Palatino Linotype"/>
      <family val="1"/>
    </font>
    <font>
      <b/>
      <sz val="36"/>
      <name val="Palatino Linotype"/>
      <family val="1"/>
    </font>
    <font>
      <b/>
      <i/>
      <sz val="16"/>
      <name val="Palatino Linotype"/>
      <family val="1"/>
    </font>
    <font>
      <sz val="11"/>
      <color theme="1"/>
      <name val="Times New Roman"/>
      <family val="2"/>
    </font>
    <font>
      <sz val="11"/>
      <color theme="1"/>
      <name val="Calibri"/>
      <family val="2"/>
      <scheme val="minor"/>
    </font>
    <font>
      <sz val="11"/>
      <color theme="1"/>
      <name val="Calibri"/>
      <family val="2"/>
      <charset val="204"/>
      <scheme val="minor"/>
    </font>
    <font>
      <sz val="11"/>
      <color theme="1"/>
      <name val="Calibri"/>
      <family val="2"/>
    </font>
    <font>
      <sz val="11"/>
      <color theme="1"/>
      <name val="Times New Roman"/>
      <family val="1"/>
      <charset val="162"/>
    </font>
    <font>
      <b/>
      <sz val="11"/>
      <color theme="1"/>
      <name val="Times New Roman"/>
      <family val="1"/>
      <charset val="162"/>
    </font>
    <font>
      <sz val="10"/>
      <color theme="1"/>
      <name val="Times New Roman"/>
      <family val="1"/>
      <charset val="162"/>
    </font>
    <font>
      <b/>
      <sz val="10"/>
      <color theme="1"/>
      <name val="Times New Roman"/>
      <family val="1"/>
      <charset val="162"/>
    </font>
    <font>
      <b/>
      <sz val="11"/>
      <color theme="1"/>
      <name val="Times New Roman"/>
      <family val="1"/>
      <charset val="204"/>
    </font>
    <font>
      <b/>
      <sz val="11"/>
      <color rgb="FF92D050"/>
      <name val="Times New Roman"/>
      <family val="1"/>
      <charset val="162"/>
    </font>
    <font>
      <sz val="11"/>
      <color rgb="FF92D050"/>
      <name val="Times New Roman"/>
      <family val="1"/>
      <charset val="162"/>
    </font>
    <font>
      <b/>
      <sz val="11"/>
      <color rgb="FFFF0000"/>
      <name val="Times New Roman"/>
      <family val="1"/>
      <charset val="162"/>
    </font>
    <font>
      <sz val="10"/>
      <color theme="1"/>
      <name val="Times New Roman"/>
      <family val="1"/>
    </font>
    <font>
      <sz val="11.5"/>
      <color theme="1"/>
      <name val="Times New Roman"/>
      <family val="1"/>
    </font>
    <font>
      <b/>
      <sz val="8"/>
      <color theme="1"/>
      <name val="Calibri"/>
      <family val="2"/>
    </font>
    <font>
      <b/>
      <sz val="10"/>
      <color theme="1"/>
      <name val="Times New Roman"/>
      <family val="1"/>
    </font>
    <font>
      <b/>
      <sz val="11"/>
      <color theme="1"/>
      <name val="Times New Roman"/>
      <family val="1"/>
    </font>
    <font>
      <sz val="12"/>
      <color theme="0" tint="-0.34998626667073579"/>
      <name val="Times New Roman"/>
      <family val="1"/>
      <charset val="162"/>
    </font>
    <font>
      <sz val="11"/>
      <color theme="1"/>
      <name val="A3 Arial AzLat"/>
      <family val="2"/>
      <charset val="204"/>
    </font>
    <font>
      <b/>
      <sz val="10"/>
      <color rgb="FFFF0000"/>
      <name val="Times New Roman"/>
      <family val="1"/>
    </font>
    <font>
      <b/>
      <sz val="10"/>
      <color theme="0"/>
      <name val="Times New Roman"/>
      <family val="1"/>
    </font>
    <font>
      <b/>
      <sz val="12"/>
      <color theme="1"/>
      <name val="Times New Roman"/>
      <family val="1"/>
      <charset val="162"/>
    </font>
    <font>
      <sz val="12"/>
      <color theme="1"/>
      <name val="Times New Roman"/>
      <family val="1"/>
      <charset val="162"/>
    </font>
    <font>
      <sz val="18"/>
      <color theme="1"/>
      <name val="Times New Roman"/>
      <family val="1"/>
      <charset val="162"/>
    </font>
    <font>
      <sz val="12"/>
      <color theme="1"/>
      <name val="Calibri"/>
      <family val="2"/>
      <scheme val="minor"/>
    </font>
    <font>
      <sz val="11"/>
      <color theme="1"/>
      <name val="Palatino Linotype"/>
      <family val="1"/>
    </font>
    <font>
      <sz val="12"/>
      <color theme="1"/>
      <name val="Palatino Linotype"/>
      <family val="1"/>
    </font>
    <font>
      <sz val="14"/>
      <color theme="1"/>
      <name val="Calibri"/>
      <family val="2"/>
      <scheme val="minor"/>
    </font>
    <font>
      <sz val="16"/>
      <color theme="1"/>
      <name val="Palatino Linotype"/>
      <family val="1"/>
    </font>
    <font>
      <sz val="12"/>
      <color theme="1"/>
      <name val="Times New Roman"/>
      <family val="1"/>
      <charset val="204"/>
    </font>
    <font>
      <b/>
      <sz val="14"/>
      <color theme="1"/>
      <name val="Palatino Linotype"/>
      <family val="1"/>
    </font>
    <font>
      <sz val="14"/>
      <color theme="1"/>
      <name val="Palatino Linotype"/>
      <family val="1"/>
    </font>
    <font>
      <sz val="11"/>
      <name val="Calibri"/>
      <family val="2"/>
      <charset val="204"/>
      <scheme val="minor"/>
    </font>
    <font>
      <b/>
      <sz val="16"/>
      <color theme="1"/>
      <name val="Palatino Linotype"/>
      <family val="1"/>
    </font>
    <font>
      <sz val="10"/>
      <color rgb="FFFF0000"/>
      <name val="Arial"/>
      <family val="2"/>
      <charset val="204"/>
    </font>
    <font>
      <b/>
      <sz val="9"/>
      <color rgb="FFFF0000"/>
      <name val="Times New Roman"/>
      <family val="1"/>
      <charset val="162"/>
    </font>
    <font>
      <b/>
      <sz val="12"/>
      <color rgb="FFFF0000"/>
      <name val="Times New Roman"/>
      <family val="1"/>
    </font>
    <font>
      <b/>
      <sz val="9"/>
      <color rgb="FFFF0000"/>
      <name val="Times New Roman"/>
      <family val="1"/>
    </font>
    <font>
      <b/>
      <sz val="11"/>
      <color rgb="FFFF0000"/>
      <name val="Times New Roman"/>
      <family val="1"/>
    </font>
    <font>
      <b/>
      <sz val="14"/>
      <color rgb="FF92D050"/>
      <name val="Times New Roman"/>
      <family val="1"/>
      <charset val="162"/>
    </font>
    <font>
      <b/>
      <sz val="9"/>
      <color rgb="FF92D050"/>
      <name val="Times New Roman"/>
      <family val="1"/>
      <charset val="162"/>
    </font>
    <font>
      <b/>
      <sz val="12"/>
      <color theme="1"/>
      <name val="Times New Roman"/>
      <family val="1"/>
    </font>
    <font>
      <sz val="12"/>
      <color theme="1"/>
      <name val="Times New Roman"/>
      <family val="1"/>
    </font>
    <font>
      <b/>
      <sz val="18"/>
      <color theme="1"/>
      <name val="Times New Roman"/>
      <family val="1"/>
    </font>
    <font>
      <sz val="13"/>
      <color theme="1"/>
      <name val="Palatino Linotype"/>
      <family val="1"/>
    </font>
    <font>
      <sz val="20"/>
      <color theme="1"/>
      <name val="Palatino Linotype"/>
      <family val="1"/>
    </font>
    <font>
      <sz val="11"/>
      <color indexed="8"/>
      <name val="Calibri"/>
      <family val="2"/>
      <scheme val="minor"/>
    </font>
    <font>
      <sz val="14"/>
      <color theme="1"/>
      <name val="Times New Roman"/>
      <family val="2"/>
    </font>
    <font>
      <sz val="11"/>
      <color theme="1"/>
      <name val="Calibri"/>
      <family val="2"/>
    </font>
    <font>
      <b/>
      <sz val="9"/>
      <color theme="1"/>
      <name val="Times New Roman"/>
      <family val="1"/>
    </font>
    <font>
      <sz val="10"/>
      <name val="Arial Cyr"/>
      <family val="2"/>
      <charset val="204"/>
    </font>
    <font>
      <b/>
      <sz val="13"/>
      <name val="Times New Roman"/>
      <family val="1"/>
    </font>
    <font>
      <b/>
      <i/>
      <sz val="13"/>
      <name val="Times New Roman"/>
      <family val="1"/>
    </font>
    <font>
      <b/>
      <i/>
      <sz val="13"/>
      <name val="Times New Roman"/>
      <family val="1"/>
      <charset val="162"/>
    </font>
    <font>
      <sz val="13"/>
      <name val="Times New Roman"/>
      <family val="1"/>
    </font>
    <font>
      <b/>
      <sz val="10"/>
      <color theme="4" tint="-0.249977111117893"/>
      <name val="Times New Roman"/>
      <family val="1"/>
    </font>
    <font>
      <sz val="10"/>
      <color theme="4" tint="-0.249977111117893"/>
      <name val="Times New Roman"/>
      <family val="1"/>
    </font>
    <font>
      <sz val="11"/>
      <color theme="1"/>
      <name val="Times New Roman"/>
      <family val="1"/>
    </font>
    <font>
      <i/>
      <sz val="10"/>
      <color theme="8" tint="-0.499984740745262"/>
      <name val="Times New Roman"/>
      <family val="1"/>
    </font>
    <font>
      <sz val="10"/>
      <color theme="8" tint="-0.499984740745262"/>
      <name val="Times New Roman"/>
      <family val="1"/>
      <charset val="162"/>
    </font>
    <font>
      <sz val="10"/>
      <color theme="8" tint="-0.499984740745262"/>
      <name val="Times New Roman"/>
      <family val="1"/>
    </font>
    <font>
      <sz val="11"/>
      <color theme="8" tint="-0.499984740745262"/>
      <name val="Times New Roman"/>
      <family val="1"/>
    </font>
    <font>
      <sz val="11"/>
      <color theme="8" tint="-0.499984740745262"/>
      <name val="Times New Roman"/>
      <family val="1"/>
      <charset val="162"/>
    </font>
    <font>
      <sz val="10"/>
      <color theme="8" tint="-0.499984740745262"/>
      <name val="Arial"/>
      <family val="2"/>
      <charset val="204"/>
    </font>
    <font>
      <b/>
      <sz val="11"/>
      <color rgb="FF366092"/>
      <name val="Times New Roman"/>
      <family val="1"/>
    </font>
    <font>
      <sz val="10"/>
      <color rgb="FF366092"/>
      <name val="Times New Roman"/>
      <family val="1"/>
    </font>
    <font>
      <sz val="11"/>
      <color rgb="FF366092"/>
      <name val="Times New Roman"/>
      <family val="1"/>
    </font>
    <font>
      <b/>
      <sz val="12"/>
      <color rgb="FF366092"/>
      <name val="Times New Roman"/>
      <family val="1"/>
    </font>
    <font>
      <sz val="12"/>
      <color rgb="FF366092"/>
      <name val="Times New Roman"/>
      <family val="1"/>
    </font>
    <font>
      <b/>
      <sz val="14"/>
      <color rgb="FF366092"/>
      <name val="Times New Roman"/>
      <family val="1"/>
    </font>
    <font>
      <sz val="14"/>
      <color rgb="FF366092"/>
      <name val="Times New Roman"/>
      <family val="1"/>
    </font>
    <font>
      <b/>
      <sz val="11"/>
      <color theme="0"/>
      <name val="Times New Roman"/>
      <family val="1"/>
    </font>
    <font>
      <b/>
      <sz val="11"/>
      <color rgb="FF366092"/>
      <name val="Times New Roman"/>
      <family val="1"/>
      <charset val="162"/>
    </font>
    <font>
      <sz val="11"/>
      <color rgb="FF366092"/>
      <name val="Times New Roman"/>
      <family val="1"/>
      <charset val="162"/>
    </font>
    <font>
      <sz val="10"/>
      <color rgb="FF366092"/>
      <name val="Times New Roman"/>
      <family val="1"/>
      <charset val="162"/>
    </font>
    <font>
      <sz val="9"/>
      <color rgb="FF366092"/>
      <name val="Times New Roman"/>
      <family val="1"/>
      <charset val="162"/>
    </font>
    <font>
      <b/>
      <sz val="12"/>
      <color rgb="FF366092"/>
      <name val="Times New Roman"/>
      <family val="1"/>
      <charset val="162"/>
    </font>
    <font>
      <sz val="12"/>
      <color rgb="FF366092"/>
      <name val="Times New Roman"/>
      <family val="1"/>
      <charset val="162"/>
    </font>
    <font>
      <b/>
      <sz val="18"/>
      <color rgb="FF366092"/>
      <name val="Times New Roman"/>
      <family val="1"/>
      <charset val="162"/>
    </font>
    <font>
      <sz val="18"/>
      <color rgb="FF366092"/>
      <name val="Times New Roman"/>
      <family val="1"/>
      <charset val="162"/>
    </font>
    <font>
      <b/>
      <sz val="24"/>
      <color rgb="FF366092"/>
      <name val="A3 Arial AzLat"/>
      <family val="2"/>
      <charset val="204"/>
    </font>
    <font>
      <b/>
      <sz val="22"/>
      <color rgb="FF366092"/>
      <name val="A3 Arial AzLat"/>
      <family val="2"/>
      <charset val="204"/>
    </font>
    <font>
      <b/>
      <sz val="20"/>
      <color rgb="FF366092"/>
      <name val="Times New Roman"/>
      <family val="1"/>
      <charset val="162"/>
    </font>
    <font>
      <b/>
      <sz val="12"/>
      <color rgb="FF366092"/>
      <name val="Times New Roman"/>
      <family val="1"/>
      <charset val="204"/>
    </font>
    <font>
      <sz val="12"/>
      <color rgb="FF366092"/>
      <name val="Times New Roman"/>
      <family val="1"/>
      <charset val="204"/>
    </font>
    <font>
      <b/>
      <sz val="24"/>
      <color rgb="FF366092"/>
      <name val="Times New Roman"/>
      <family val="1"/>
    </font>
    <font>
      <sz val="20"/>
      <color rgb="FF366092"/>
      <name val="Times New Roman"/>
      <family val="1"/>
      <charset val="162"/>
    </font>
    <font>
      <b/>
      <sz val="14"/>
      <color rgb="FF366092"/>
      <name val="Times New Roman"/>
      <family val="1"/>
      <charset val="162"/>
    </font>
    <font>
      <sz val="14"/>
      <color rgb="FF366092"/>
      <name val="Times New Roman"/>
      <family val="1"/>
      <charset val="162"/>
    </font>
    <font>
      <b/>
      <sz val="20"/>
      <color rgb="FF366092"/>
      <name val="Palatino Linotype"/>
      <family val="1"/>
    </font>
    <font>
      <b/>
      <sz val="24"/>
      <color rgb="FF366092"/>
      <name val="Palatino Linotype"/>
      <family val="1"/>
    </font>
    <font>
      <b/>
      <sz val="22"/>
      <color rgb="FF366092"/>
      <name val="Palatino Linotype"/>
      <family val="1"/>
    </font>
    <font>
      <sz val="9"/>
      <color theme="1"/>
      <name val="Times New Roman"/>
      <family val="1"/>
    </font>
    <font>
      <sz val="11"/>
      <color theme="0"/>
      <name val="Times New Roman"/>
      <family val="1"/>
    </font>
    <font>
      <b/>
      <sz val="14"/>
      <color theme="0"/>
      <name val="Times New Roman"/>
      <family val="1"/>
    </font>
    <font>
      <b/>
      <sz val="16"/>
      <color theme="0"/>
      <name val="Times New Roman"/>
      <family val="1"/>
    </font>
    <font>
      <b/>
      <sz val="18"/>
      <name val="Times New Roman"/>
      <family val="1"/>
    </font>
    <font>
      <b/>
      <sz val="13"/>
      <name val="A3 Times AzLat"/>
      <family val="1"/>
      <charset val="204"/>
    </font>
    <font>
      <b/>
      <sz val="24"/>
      <color theme="0"/>
      <name val="A3 Arial AzLat"/>
      <family val="2"/>
      <charset val="204"/>
    </font>
    <font>
      <sz val="11"/>
      <color theme="0"/>
      <name val="Times New Roman"/>
      <family val="2"/>
    </font>
    <font>
      <b/>
      <sz val="22"/>
      <color theme="0"/>
      <name val="A3 Arial AzLat"/>
      <family val="2"/>
      <charset val="204"/>
    </font>
    <font>
      <b/>
      <sz val="16"/>
      <color rgb="FF366092"/>
      <name val="Times New Roman"/>
      <family val="1"/>
      <charset val="162"/>
    </font>
    <font>
      <sz val="16"/>
      <color rgb="FF366092"/>
      <name val="Times New Roman"/>
      <family val="1"/>
    </font>
    <font>
      <b/>
      <sz val="22"/>
      <color theme="0"/>
      <name val="Times New Roman"/>
      <family val="1"/>
      <charset val="162"/>
    </font>
    <font>
      <sz val="11"/>
      <color theme="0"/>
      <name val="Times New Roman"/>
      <family val="1"/>
      <charset val="162"/>
    </font>
    <font>
      <b/>
      <sz val="11"/>
      <color theme="0"/>
      <name val="Times New Roman"/>
      <family val="1"/>
      <charset val="162"/>
    </font>
    <font>
      <b/>
      <sz val="18"/>
      <color theme="0"/>
      <name val="Times New Roman"/>
      <family val="1"/>
      <charset val="162"/>
    </font>
    <font>
      <sz val="18"/>
      <color rgb="FF366092"/>
      <name val="Times New Roman"/>
      <family val="1"/>
    </font>
    <font>
      <sz val="12"/>
      <color theme="0"/>
      <name val="Times New Roman"/>
      <family val="1"/>
      <charset val="162"/>
    </font>
    <font>
      <b/>
      <sz val="12"/>
      <color theme="0"/>
      <name val="Times New Roman"/>
      <family val="1"/>
      <charset val="162"/>
    </font>
    <font>
      <sz val="12"/>
      <color theme="0"/>
      <name val="Times New Roman"/>
      <family val="1"/>
      <charset val="204"/>
    </font>
    <font>
      <b/>
      <sz val="12"/>
      <color theme="0"/>
      <name val="Times New Roman"/>
      <family val="1"/>
      <charset val="204"/>
    </font>
    <font>
      <b/>
      <sz val="18"/>
      <color rgb="FF366092"/>
      <name val="Times New Roman"/>
      <family val="1"/>
    </font>
    <font>
      <b/>
      <sz val="22"/>
      <color theme="0"/>
      <name val="Times New Roman"/>
      <family val="1"/>
    </font>
    <font>
      <b/>
      <sz val="18"/>
      <color theme="0"/>
      <name val="Times New Roman"/>
      <family val="1"/>
    </font>
    <font>
      <sz val="12"/>
      <color rgb="FFFF0000"/>
      <name val="Times New Roman"/>
      <family val="1"/>
      <charset val="162"/>
    </font>
    <font>
      <b/>
      <sz val="12"/>
      <color rgb="FFFF0000"/>
      <name val="Times New Roman"/>
      <family val="1"/>
      <charset val="162"/>
    </font>
    <font>
      <b/>
      <sz val="16"/>
      <color rgb="FF366092"/>
      <name val="Times New Roman"/>
      <family val="1"/>
    </font>
    <font>
      <b/>
      <sz val="10"/>
      <color rgb="FF000000"/>
      <name val="Times New Roman"/>
      <family val="1"/>
      <charset val="162"/>
    </font>
    <font>
      <i/>
      <sz val="9"/>
      <color theme="8" tint="-0.499984740745262"/>
      <name val="Times New Roman"/>
      <family val="1"/>
    </font>
    <font>
      <b/>
      <i/>
      <sz val="8"/>
      <color theme="8" tint="-0.249977111117893"/>
      <name val="Times New Roman"/>
      <family val="1"/>
    </font>
    <font>
      <i/>
      <sz val="8"/>
      <color theme="8" tint="-0.249977111117893"/>
      <name val="Times New Roman"/>
      <family val="1"/>
    </font>
    <font>
      <sz val="10"/>
      <color theme="8" tint="-0.249977111117893"/>
      <name val="Times New Roman"/>
      <family val="1"/>
    </font>
    <font>
      <b/>
      <i/>
      <sz val="12"/>
      <color theme="8" tint="-0.249977111117893"/>
      <name val="Times New Roman"/>
      <family val="1"/>
    </font>
    <font>
      <sz val="11"/>
      <color theme="8" tint="-0.249977111117893"/>
      <name val="Times New Roman"/>
      <family val="1"/>
    </font>
    <font>
      <i/>
      <sz val="12"/>
      <color theme="8" tint="-0.249977111117893"/>
      <name val="Times New Roman"/>
      <family val="1"/>
    </font>
    <font>
      <sz val="12"/>
      <color theme="8" tint="-0.249977111117893"/>
      <name val="Times New Roman"/>
      <family val="1"/>
    </font>
    <font>
      <b/>
      <i/>
      <sz val="9"/>
      <color theme="8" tint="-0.249977111117893"/>
      <name val="Times New Roman"/>
      <family val="1"/>
    </font>
    <font>
      <i/>
      <sz val="9"/>
      <color theme="8" tint="-0.249977111117893"/>
      <name val="Times New Roman"/>
      <family val="1"/>
    </font>
    <font>
      <b/>
      <i/>
      <sz val="11"/>
      <color theme="8" tint="-0.249977111117893"/>
      <name val="Times New Roman"/>
      <family val="1"/>
    </font>
    <font>
      <i/>
      <sz val="11"/>
      <color theme="8" tint="-0.249977111117893"/>
      <name val="Times New Roman"/>
      <family val="1"/>
    </font>
    <font>
      <b/>
      <i/>
      <sz val="10"/>
      <color theme="8" tint="-0.249977111117893"/>
      <name val="Times New Roman"/>
      <family val="1"/>
      <charset val="162"/>
    </font>
    <font>
      <i/>
      <sz val="10"/>
      <color theme="8" tint="-0.249977111117893"/>
      <name val="Times New Roman"/>
      <family val="1"/>
      <charset val="162"/>
    </font>
    <font>
      <sz val="10"/>
      <color theme="8" tint="-0.249977111117893"/>
      <name val="Times New Roman"/>
      <family val="1"/>
      <charset val="162"/>
    </font>
    <font>
      <i/>
      <sz val="10"/>
      <color theme="8" tint="-0.249977111117893"/>
      <name val="Times New Roman"/>
      <family val="1"/>
    </font>
    <font>
      <b/>
      <i/>
      <sz val="9"/>
      <color theme="8" tint="-0.249977111117893"/>
      <name val="Times New Roman"/>
      <family val="1"/>
      <charset val="162"/>
    </font>
    <font>
      <i/>
      <sz val="9"/>
      <color theme="8" tint="-0.249977111117893"/>
      <name val="Times New Roman"/>
      <family val="1"/>
      <charset val="162"/>
    </font>
    <font>
      <b/>
      <i/>
      <sz val="10"/>
      <color theme="8" tint="-0.249977111117893"/>
      <name val="Times New Roman"/>
      <family val="1"/>
    </font>
    <font>
      <b/>
      <i/>
      <sz val="14"/>
      <color theme="8" tint="-0.249977111117893"/>
      <name val="Times New Roman"/>
      <family val="1"/>
    </font>
    <font>
      <b/>
      <sz val="11"/>
      <color theme="8" tint="-0.249977111117893"/>
      <name val="Times New Roman"/>
      <family val="1"/>
      <charset val="162"/>
    </font>
    <font>
      <b/>
      <i/>
      <sz val="14"/>
      <color theme="8" tint="-0.249977111117893"/>
      <name val="Times New Roman"/>
      <family val="1"/>
      <charset val="162"/>
    </font>
    <font>
      <i/>
      <sz val="14"/>
      <color theme="8" tint="-0.249977111117893"/>
      <name val="Times New Roman"/>
      <family val="1"/>
      <charset val="162"/>
    </font>
    <font>
      <sz val="11"/>
      <color theme="8" tint="-0.249977111117893"/>
      <name val="Times New Roman"/>
      <family val="1"/>
      <charset val="162"/>
    </font>
    <font>
      <sz val="8"/>
      <color theme="8" tint="-0.249977111117893"/>
      <name val="Times New Roman"/>
      <family val="1"/>
    </font>
    <font>
      <b/>
      <i/>
      <sz val="12"/>
      <color theme="8" tint="-0.249977111117893"/>
      <name val="Times New Roman"/>
      <family val="1"/>
      <charset val="162"/>
    </font>
    <font>
      <i/>
      <sz val="12"/>
      <color theme="8" tint="-0.249977111117893"/>
      <name val="Times New Roman"/>
      <family val="1"/>
      <charset val="162"/>
    </font>
    <font>
      <i/>
      <sz val="14"/>
      <color theme="8" tint="-0.249977111117893"/>
      <name val="Times New Roman"/>
      <family val="1"/>
    </font>
    <font>
      <b/>
      <sz val="17"/>
      <name val="Times New Roman"/>
      <family val="1"/>
    </font>
    <font>
      <sz val="17"/>
      <name val="Times New Roman"/>
      <family val="1"/>
    </font>
    <font>
      <b/>
      <sz val="17"/>
      <color theme="1"/>
      <name val="Times New Roman"/>
      <family val="1"/>
    </font>
    <font>
      <sz val="17"/>
      <color theme="1"/>
      <name val="Times New Roman"/>
      <family val="1"/>
    </font>
    <font>
      <b/>
      <sz val="20"/>
      <name val="Times New Roman"/>
      <family val="1"/>
    </font>
    <font>
      <b/>
      <sz val="20"/>
      <color theme="0"/>
      <name val="Times New Roman"/>
      <family val="1"/>
    </font>
    <font>
      <b/>
      <sz val="14"/>
      <color theme="1"/>
      <name val="Times New Roman"/>
      <family val="1"/>
    </font>
    <font>
      <b/>
      <sz val="20"/>
      <color rgb="FF366092"/>
      <name val="Times New Roman"/>
      <family val="1"/>
    </font>
    <font>
      <b/>
      <sz val="21"/>
      <color rgb="FF366092"/>
      <name val="Times New Roman"/>
      <family val="1"/>
    </font>
    <font>
      <b/>
      <sz val="16"/>
      <name val="Times New Roman"/>
      <family val="1"/>
    </font>
    <font>
      <sz val="18"/>
      <color theme="1"/>
      <name val="Times New Roman"/>
      <family val="1"/>
    </font>
    <font>
      <i/>
      <sz val="12"/>
      <color rgb="FF366092"/>
      <name val="Times New Roman"/>
      <family val="1"/>
    </font>
    <font>
      <b/>
      <i/>
      <sz val="12"/>
      <color rgb="FF366092"/>
      <name val="Times New Roman"/>
      <family val="1"/>
    </font>
    <font>
      <i/>
      <sz val="11"/>
      <color rgb="FF366092"/>
      <name val="Times New Roman"/>
      <family val="1"/>
    </font>
    <font>
      <b/>
      <i/>
      <sz val="11"/>
      <color rgb="FF366092"/>
      <name val="Times New Roman"/>
      <family val="1"/>
    </font>
    <font>
      <b/>
      <i/>
      <sz val="16"/>
      <color rgb="FF366092"/>
      <name val="Times New Roman"/>
      <family val="1"/>
    </font>
    <font>
      <i/>
      <sz val="16"/>
      <color rgb="FF366092"/>
      <name val="Times New Roman"/>
      <family val="1"/>
    </font>
    <font>
      <b/>
      <i/>
      <sz val="14"/>
      <color rgb="FF366092"/>
      <name val="Times New Roman"/>
      <family val="1"/>
    </font>
    <font>
      <i/>
      <sz val="14"/>
      <color rgb="FF366092"/>
      <name val="Times New Roman"/>
      <family val="1"/>
    </font>
    <font>
      <b/>
      <i/>
      <sz val="20"/>
      <color rgb="FF366092"/>
      <name val="Times New Roman"/>
      <family val="1"/>
    </font>
    <font>
      <i/>
      <sz val="20"/>
      <color rgb="FF366092"/>
      <name val="Times New Roman"/>
      <family val="1"/>
    </font>
    <font>
      <b/>
      <i/>
      <sz val="14"/>
      <color rgb="FF366092"/>
      <name val="Times New Roman"/>
      <family val="1"/>
      <charset val="162"/>
    </font>
    <font>
      <i/>
      <sz val="14"/>
      <color rgb="FF366092"/>
      <name val="Times New Roman"/>
      <family val="1"/>
      <charset val="162"/>
    </font>
    <font>
      <b/>
      <i/>
      <sz val="11"/>
      <color rgb="FF366092"/>
      <name val="Times New Roman"/>
      <family val="1"/>
      <charset val="162"/>
    </font>
    <font>
      <i/>
      <sz val="11"/>
      <color rgb="FF366092"/>
      <name val="Times New Roman"/>
      <family val="1"/>
      <charset val="162"/>
    </font>
    <font>
      <i/>
      <sz val="17"/>
      <color theme="1"/>
      <name val="Times New Roman"/>
      <family val="1"/>
    </font>
    <font>
      <b/>
      <sz val="16"/>
      <color theme="0"/>
      <name val="Times New Roman"/>
      <family val="1"/>
      <charset val="162"/>
    </font>
    <font>
      <b/>
      <sz val="12"/>
      <color rgb="FF92D050"/>
      <name val="Times New Roman"/>
      <family val="1"/>
      <charset val="162"/>
    </font>
    <font>
      <b/>
      <i/>
      <sz val="11.5"/>
      <color theme="8" tint="-0.249977111117893"/>
      <name val="Times New Roman"/>
      <family val="1"/>
    </font>
    <font>
      <i/>
      <sz val="11.5"/>
      <color theme="8" tint="-0.249977111117893"/>
      <name val="Times New Roman"/>
      <family val="1"/>
    </font>
    <font>
      <b/>
      <sz val="10"/>
      <color rgb="FF366092"/>
      <name val="Times New Roman"/>
      <family val="1"/>
    </font>
    <font>
      <sz val="12"/>
      <color rgb="FF31869B"/>
      <name val="Times New Roman"/>
      <family val="1"/>
    </font>
    <font>
      <i/>
      <sz val="12"/>
      <color rgb="FF31869B"/>
      <name val="Times New Roman"/>
      <family val="1"/>
    </font>
    <font>
      <b/>
      <i/>
      <sz val="9"/>
      <color rgb="FF31869B"/>
      <name val="Times New Roman"/>
      <family val="1"/>
    </font>
    <font>
      <i/>
      <sz val="9"/>
      <color rgb="FF31869B"/>
      <name val="Times New Roman"/>
      <family val="1"/>
    </font>
    <font>
      <b/>
      <i/>
      <sz val="12"/>
      <color rgb="FF31869B"/>
      <name val="Times New Roman"/>
      <family val="1"/>
    </font>
    <font>
      <b/>
      <i/>
      <sz val="8"/>
      <color rgb="FF31869B"/>
      <name val="Times New Roman"/>
      <family val="1"/>
    </font>
    <font>
      <i/>
      <sz val="8"/>
      <color rgb="FF31869B"/>
      <name val="Times New Roman"/>
      <family val="1"/>
    </font>
    <font>
      <sz val="10"/>
      <name val="Arial"/>
      <family val="2"/>
    </font>
    <font>
      <b/>
      <sz val="18"/>
      <color rgb="FF2DAEAC"/>
      <name val="Times New Roman"/>
      <family val="1"/>
    </font>
    <font>
      <sz val="12"/>
      <color theme="8" tint="-0.249977111117893"/>
      <name val="Times New Roman"/>
      <family val="1"/>
      <charset val="162"/>
    </font>
    <font>
      <i/>
      <sz val="20"/>
      <color rgb="FF366092"/>
      <name val="Times New Roman"/>
      <family val="1"/>
      <charset val="162"/>
    </font>
    <font>
      <b/>
      <i/>
      <sz val="20"/>
      <color rgb="FF366092"/>
      <name val="Times New Roman"/>
      <family val="1"/>
      <charset val="162"/>
    </font>
    <font>
      <sz val="11"/>
      <color rgb="FFFF0000"/>
      <name val="Times New Roman"/>
      <family val="1"/>
    </font>
    <font>
      <i/>
      <sz val="11"/>
      <color rgb="FFFF0000"/>
      <name val="Times New Roman"/>
      <family val="1"/>
    </font>
    <font>
      <b/>
      <i/>
      <sz val="9"/>
      <color rgb="FF31869E"/>
      <name val="Times New Roman"/>
      <family val="1"/>
    </font>
    <font>
      <i/>
      <sz val="9"/>
      <color rgb="FF31869E"/>
      <name val="Times New Roman"/>
      <family val="1"/>
    </font>
    <font>
      <b/>
      <sz val="14"/>
      <color theme="0"/>
      <name val="Times New Roman"/>
      <family val="1"/>
      <charset val="162"/>
    </font>
    <font>
      <b/>
      <i/>
      <sz val="12"/>
      <color rgb="FF31869E"/>
      <name val="Times New Roman"/>
      <family val="1"/>
      <charset val="162"/>
    </font>
    <font>
      <i/>
      <sz val="12"/>
      <color rgb="FF31869E"/>
      <name val="Times New Roman"/>
      <family val="1"/>
      <charset val="162"/>
    </font>
    <font>
      <sz val="18"/>
      <color theme="1" tint="0.14999847407452621"/>
      <name val="Times New Roman"/>
      <family val="1"/>
    </font>
    <font>
      <sz val="12"/>
      <color theme="1"/>
      <name val="Times New Roman"/>
      <family val="2"/>
    </font>
    <font>
      <sz val="14"/>
      <color theme="1" tint="0.14999847407452621"/>
      <name val="Times New Roman"/>
      <family val="1"/>
    </font>
    <font>
      <sz val="14"/>
      <color theme="1"/>
      <name val="Times New Roman"/>
      <family val="1"/>
    </font>
    <font>
      <b/>
      <sz val="15"/>
      <color rgb="FF993333"/>
      <name val="Times New Roman"/>
      <family val="1"/>
    </font>
    <font>
      <b/>
      <sz val="12"/>
      <color theme="1"/>
      <name val="Calibri"/>
      <family val="2"/>
    </font>
    <font>
      <i/>
      <sz val="10"/>
      <color rgb="FF31869E"/>
      <name val="Times New Roman"/>
      <family val="1"/>
    </font>
    <font>
      <b/>
      <i/>
      <sz val="10"/>
      <color rgb="FF31869E"/>
      <name val="Times New Roman"/>
      <family val="1"/>
    </font>
    <font>
      <b/>
      <sz val="11"/>
      <name val="Calibri"/>
      <family val="2"/>
      <charset val="204"/>
      <scheme val="minor"/>
    </font>
    <font>
      <sz val="16"/>
      <name val="Times New Roman"/>
      <family val="1"/>
      <charset val="204"/>
    </font>
    <font>
      <b/>
      <sz val="12"/>
      <color theme="4" tint="-0.499984740745262"/>
      <name val="Times New Roman"/>
      <family val="1"/>
    </font>
    <font>
      <b/>
      <sz val="13"/>
      <color theme="1"/>
      <name val="Times New Roman"/>
      <family val="1"/>
    </font>
    <font>
      <sz val="20"/>
      <color rgb="FF366092"/>
      <name val="Times New Roman"/>
      <family val="1"/>
    </font>
    <font>
      <sz val="24"/>
      <color rgb="FF366092"/>
      <name val="Times New Roman"/>
      <family val="1"/>
    </font>
    <font>
      <b/>
      <sz val="18"/>
      <color theme="1"/>
      <name val="Palatino Linotype"/>
      <family val="1"/>
    </font>
    <font>
      <b/>
      <sz val="10"/>
      <color indexed="8"/>
      <name val="Times New Roman"/>
      <family val="1"/>
      <charset val="204"/>
    </font>
    <font>
      <b/>
      <i/>
      <sz val="17"/>
      <color theme="1"/>
      <name val="Times New Roman"/>
      <family val="1"/>
    </font>
    <font>
      <sz val="16"/>
      <color rgb="FF366092"/>
      <name val="Times New Roman"/>
      <family val="1"/>
      <charset val="162"/>
    </font>
    <font>
      <sz val="9"/>
      <color theme="8" tint="-0.499984740745262"/>
      <name val="Times New Roman"/>
      <family val="1"/>
    </font>
    <font>
      <b/>
      <i/>
      <sz val="16"/>
      <color theme="8" tint="-0.249977111117893"/>
      <name val="Times New Roman"/>
      <family val="1"/>
    </font>
    <font>
      <i/>
      <sz val="16"/>
      <color theme="8" tint="-0.249977111117893"/>
      <name val="Times New Roman"/>
      <family val="1"/>
    </font>
    <font>
      <b/>
      <sz val="12"/>
      <color theme="0"/>
      <name val="Times New Roman"/>
      <family val="1"/>
    </font>
    <font>
      <b/>
      <sz val="9"/>
      <color rgb="FF366092"/>
      <name val="Times New Roman"/>
      <family val="1"/>
      <charset val="162"/>
    </font>
    <font>
      <b/>
      <i/>
      <sz val="9"/>
      <color rgb="FF366092"/>
      <name val="Times New Roman"/>
      <family val="1"/>
    </font>
    <font>
      <i/>
      <sz val="9"/>
      <color rgb="FF366092"/>
      <name val="Times New Roman"/>
      <family val="1"/>
    </font>
    <font>
      <sz val="10"/>
      <color indexed="10"/>
      <name val="Times New Roman"/>
      <family val="1"/>
      <charset val="204"/>
    </font>
    <font>
      <sz val="10"/>
      <color indexed="8"/>
      <name val="Times New Roman"/>
      <family val="1"/>
      <charset val="204"/>
    </font>
    <font>
      <i/>
      <sz val="12"/>
      <color rgb="FF366092"/>
      <name val="Times New Roman"/>
      <family val="1"/>
      <charset val="162"/>
    </font>
    <font>
      <b/>
      <sz val="26"/>
      <color rgb="FF366092"/>
      <name val="Times New Roman"/>
      <family val="1"/>
    </font>
    <font>
      <sz val="26"/>
      <color rgb="FF366092"/>
      <name val="Times New Roman"/>
      <family val="1"/>
    </font>
    <font>
      <b/>
      <sz val="15"/>
      <name val="Times New Roman"/>
      <family val="1"/>
    </font>
    <font>
      <b/>
      <sz val="15"/>
      <color theme="1"/>
      <name val="Times New Roman"/>
      <family val="1"/>
    </font>
    <font>
      <i/>
      <sz val="15"/>
      <color theme="1"/>
      <name val="Times New Roman"/>
      <family val="1"/>
    </font>
    <font>
      <sz val="15"/>
      <color theme="1"/>
      <name val="Times New Roman"/>
      <family val="1"/>
    </font>
    <font>
      <sz val="15"/>
      <name val="Times New Roman"/>
      <family val="1"/>
    </font>
    <font>
      <sz val="10"/>
      <name val="Arial"/>
      <family val="2"/>
    </font>
    <font>
      <sz val="1"/>
      <color indexed="8"/>
      <name val="Courier"/>
      <family val="3"/>
    </font>
    <font>
      <b/>
      <sz val="1"/>
      <color indexed="8"/>
      <name val="Courier"/>
      <family val="3"/>
    </font>
    <font>
      <sz val="11"/>
      <color indexed="8"/>
      <name val="Calibri"/>
      <family val="2"/>
      <charset val="204"/>
    </font>
    <font>
      <sz val="11"/>
      <color indexed="9"/>
      <name val="Calibri"/>
      <family val="2"/>
      <charset val="204"/>
    </font>
    <font>
      <sz val="11"/>
      <color indexed="20"/>
      <name val="Calibri"/>
      <family val="2"/>
      <charset val="204"/>
    </font>
    <font>
      <b/>
      <sz val="11"/>
      <color indexed="10"/>
      <name val="Calibri"/>
      <family val="2"/>
      <charset val="204"/>
    </font>
    <font>
      <b/>
      <sz val="11"/>
      <color indexed="9"/>
      <name val="Calibri"/>
      <family val="2"/>
      <charset val="204"/>
    </font>
    <font>
      <i/>
      <sz val="11"/>
      <color indexed="23"/>
      <name val="Calibri"/>
      <family val="2"/>
      <charset val="204"/>
    </font>
    <font>
      <sz val="11"/>
      <color indexed="17"/>
      <name val="Calibri"/>
      <family val="2"/>
      <charset val="204"/>
    </font>
    <font>
      <b/>
      <sz val="15"/>
      <color indexed="62"/>
      <name val="Calibri"/>
      <family val="2"/>
      <charset val="204"/>
    </font>
    <font>
      <b/>
      <sz val="13"/>
      <color indexed="62"/>
      <name val="Calibri"/>
      <family val="2"/>
      <charset val="204"/>
    </font>
    <font>
      <b/>
      <sz val="11"/>
      <color indexed="62"/>
      <name val="Calibri"/>
      <family val="2"/>
      <charset val="204"/>
    </font>
    <font>
      <sz val="11"/>
      <color indexed="62"/>
      <name val="Calibri"/>
      <family val="2"/>
      <charset val="204"/>
    </font>
    <font>
      <sz val="11"/>
      <color indexed="10"/>
      <name val="Calibri"/>
      <family val="2"/>
      <charset val="204"/>
    </font>
    <font>
      <sz val="11"/>
      <color indexed="19"/>
      <name val="Calibri"/>
      <family val="2"/>
      <charset val="204"/>
    </font>
    <font>
      <b/>
      <sz val="11"/>
      <color indexed="63"/>
      <name val="Calibri"/>
      <family val="2"/>
      <charset val="204"/>
    </font>
    <font>
      <b/>
      <sz val="18"/>
      <color indexed="62"/>
      <name val="Cambria"/>
      <family val="2"/>
      <charset val="204"/>
    </font>
    <font>
      <sz val="18"/>
      <name val="Arial"/>
      <family val="2"/>
    </font>
    <font>
      <b/>
      <sz val="12"/>
      <name val="Palatino Linotype"/>
      <family val="1"/>
    </font>
    <font>
      <b/>
      <i/>
      <sz val="16"/>
      <name val="Times New Roman"/>
      <family val="1"/>
    </font>
    <font>
      <i/>
      <sz val="16"/>
      <name val="Times New Roman"/>
      <family val="1"/>
    </font>
    <font>
      <sz val="16"/>
      <name val="Times New Roman"/>
      <family val="1"/>
    </font>
    <font>
      <sz val="8"/>
      <name val="Times New Roman"/>
      <family val="2"/>
    </font>
    <font>
      <i/>
      <sz val="13"/>
      <color theme="3"/>
      <name val="Palatino Linotype"/>
      <family val="1"/>
    </font>
    <font>
      <b/>
      <i/>
      <sz val="13"/>
      <color theme="3"/>
      <name val="Palatino Linotype"/>
      <family val="1"/>
    </font>
    <font>
      <i/>
      <sz val="13"/>
      <name val="Times New Roman"/>
      <family val="1"/>
    </font>
  </fonts>
  <fills count="30">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rgb="FFFFFF00"/>
        <bgColor indexed="64"/>
      </patternFill>
    </fill>
    <fill>
      <patternFill patternType="solid">
        <fgColor rgb="FFF3F2EA"/>
      </patternFill>
    </fill>
    <fill>
      <patternFill patternType="solid">
        <fgColor theme="0" tint="-0.249977111117893"/>
        <bgColor indexed="64"/>
      </patternFill>
    </fill>
    <fill>
      <patternFill patternType="solid">
        <fgColor rgb="FFFFFFFF"/>
        <bgColor indexed="64"/>
      </patternFill>
    </fill>
    <fill>
      <patternFill patternType="solid">
        <fgColor theme="0" tint="-4.9989318521683403E-2"/>
        <bgColor indexed="64"/>
      </patternFill>
    </fill>
    <fill>
      <patternFill patternType="solid">
        <fgColor rgb="FFEBF6F9"/>
        <bgColor indexed="64"/>
      </patternFill>
    </fill>
    <fill>
      <patternFill patternType="solid">
        <fgColor rgb="FFB7DEE8"/>
        <bgColor indexed="64"/>
      </patternFill>
    </fill>
    <fill>
      <patternFill patternType="solid">
        <fgColor rgb="FF31869B"/>
        <bgColor indexed="64"/>
      </patternFill>
    </fill>
    <fill>
      <patternFill patternType="solid">
        <fgColor indexed="9"/>
        <bgColor indexed="64"/>
      </patternFill>
    </fill>
    <fill>
      <patternFill patternType="solid">
        <fgColor rgb="FFFFFFFF"/>
      </patternFill>
    </fill>
    <fill>
      <patternFill patternType="solid">
        <fgColor indexed="44"/>
      </patternFill>
    </fill>
    <fill>
      <patternFill patternType="solid">
        <fgColor indexed="45"/>
      </patternFill>
    </fill>
    <fill>
      <patternFill patternType="solid">
        <fgColor indexed="29"/>
      </patternFill>
    </fill>
    <fill>
      <patternFill patternType="solid">
        <fgColor indexed="26"/>
      </patternFill>
    </fill>
    <fill>
      <patternFill patternType="solid">
        <fgColor indexed="46"/>
      </patternFill>
    </fill>
    <fill>
      <patternFill patternType="solid">
        <fgColor indexed="47"/>
      </patternFill>
    </fill>
    <fill>
      <patternFill patternType="solid">
        <fgColor indexed="27"/>
      </patternFill>
    </fill>
    <fill>
      <patternFill patternType="solid">
        <fgColor indexed="43"/>
      </patternFill>
    </fill>
    <fill>
      <patternFill patternType="solid">
        <fgColor indexed="51"/>
      </patternFill>
    </fill>
    <fill>
      <patternFill patternType="solid">
        <fgColor indexed="53"/>
      </patternFill>
    </fill>
    <fill>
      <patternFill patternType="solid">
        <fgColor indexed="49"/>
      </patternFill>
    </fill>
    <fill>
      <patternFill patternType="solid">
        <fgColor indexed="56"/>
      </patternFill>
    </fill>
    <fill>
      <patternFill patternType="solid">
        <fgColor indexed="10"/>
      </patternFill>
    </fill>
    <fill>
      <patternFill patternType="solid">
        <fgColor indexed="54"/>
      </patternFill>
    </fill>
    <fill>
      <patternFill patternType="solid">
        <fgColor indexed="9"/>
      </patternFill>
    </fill>
    <fill>
      <patternFill patternType="solid">
        <fgColor indexed="55"/>
      </patternFill>
    </fill>
  </fills>
  <borders count="172">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diagonal/>
    </border>
    <border>
      <left/>
      <right style="thin">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diagonal/>
    </border>
    <border>
      <left/>
      <right style="medium">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diagonal/>
    </border>
    <border>
      <left/>
      <right style="medium">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thin">
        <color indexed="64"/>
      </left>
      <right style="medium">
        <color indexed="64"/>
      </right>
      <top/>
      <bottom/>
      <diagonal/>
    </border>
    <border>
      <left style="medium">
        <color indexed="64"/>
      </left>
      <right style="thin">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style="medium">
        <color indexed="64"/>
      </top>
      <bottom style="thin">
        <color indexed="64"/>
      </bottom>
      <diagonal/>
    </border>
    <border>
      <left/>
      <right/>
      <top style="thin">
        <color auto="1"/>
      </top>
      <bottom/>
      <diagonal/>
    </border>
    <border>
      <left style="medium">
        <color indexed="64"/>
      </left>
      <right style="medium">
        <color indexed="64"/>
      </right>
      <top style="thin">
        <color indexed="64"/>
      </top>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hair">
        <color indexed="64"/>
      </left>
      <right/>
      <top style="medium">
        <color indexed="64"/>
      </top>
      <bottom style="medium">
        <color indexed="64"/>
      </bottom>
      <diagonal/>
    </border>
    <border>
      <left/>
      <right style="hair">
        <color indexed="64"/>
      </right>
      <top/>
      <bottom style="hair">
        <color indexed="64"/>
      </bottom>
      <diagonal/>
    </border>
    <border>
      <left style="hair">
        <color indexed="64"/>
      </left>
      <right style="hair">
        <color indexed="64"/>
      </right>
      <top/>
      <bottom style="hair">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right style="thin">
        <color indexed="64"/>
      </right>
      <top style="thin">
        <color auto="1"/>
      </top>
      <bottom/>
      <diagonal/>
    </border>
    <border>
      <left/>
      <right style="thin">
        <color indexed="64"/>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auto="1"/>
      </left>
      <right/>
      <top style="thin">
        <color theme="0" tint="-0.24994659260841701"/>
      </top>
      <bottom style="thin">
        <color theme="0" tint="-0.24994659260841701"/>
      </bottom>
      <diagonal/>
    </border>
    <border>
      <left style="thin">
        <color theme="0" tint="-0.24994659260841701"/>
      </left>
      <right style="thin">
        <color indexed="64"/>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auto="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indexed="64"/>
      </right>
      <top style="thin">
        <color auto="1"/>
      </top>
      <bottom style="thin">
        <color theme="0" tint="-0.24994659260841701"/>
      </bottom>
      <diagonal/>
    </border>
    <border>
      <left style="thin">
        <color theme="0" tint="-0.24994659260841701"/>
      </left>
      <right style="thin">
        <color theme="0" tint="-0.24994659260841701"/>
      </right>
      <top style="thin">
        <color auto="1"/>
      </top>
      <bottom style="thin">
        <color theme="0" tint="-0.24994659260841701"/>
      </bottom>
      <diagonal/>
    </border>
    <border>
      <left style="thin">
        <color auto="1"/>
      </left>
      <right style="thin">
        <color theme="0" tint="-0.24994659260841701"/>
      </right>
      <top style="thin">
        <color auto="1"/>
      </top>
      <bottom style="thin">
        <color theme="0" tint="-0.24994659260841701"/>
      </bottom>
      <diagonal/>
    </border>
    <border>
      <left style="hair">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thin">
        <color indexed="64"/>
      </right>
      <top/>
      <bottom/>
      <diagonal/>
    </border>
    <border>
      <left style="hair">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theme="0" tint="-0.34998626667073579"/>
      </right>
      <top style="thin">
        <color indexed="64"/>
      </top>
      <bottom/>
      <diagonal/>
    </border>
    <border>
      <left style="thin">
        <color theme="0" tint="-0.34998626667073579"/>
      </left>
      <right style="thin">
        <color theme="0" tint="-0.34998626667073579"/>
      </right>
      <top style="thin">
        <color indexed="64"/>
      </top>
      <bottom style="thin">
        <color indexed="64"/>
      </bottom>
      <diagonal/>
    </border>
    <border>
      <left style="thin">
        <color indexed="64"/>
      </left>
      <right style="thin">
        <color theme="0" tint="-0.34998626667073579"/>
      </right>
      <top/>
      <bottom style="thin">
        <color indexed="64"/>
      </bottom>
      <diagonal/>
    </border>
    <border>
      <left style="thin">
        <color indexed="64"/>
      </left>
      <right style="thin">
        <color theme="0" tint="-0.34998626667073579"/>
      </right>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indexed="64"/>
      </bottom>
      <diagonal/>
    </border>
    <border>
      <left style="thin">
        <color theme="0" tint="-0.34998626667073579"/>
      </left>
      <right style="thin">
        <color theme="0" tint="-0.34998626667073579"/>
      </right>
      <top style="thin">
        <color indexed="64"/>
      </top>
      <bottom/>
      <diagonal/>
    </border>
    <border>
      <left style="thin">
        <color indexed="64"/>
      </left>
      <right style="thin">
        <color indexed="64"/>
      </right>
      <top style="thin">
        <color indexed="64"/>
      </top>
      <bottom style="thin">
        <color theme="0" tint="-0.34998626667073579"/>
      </bottom>
      <diagonal/>
    </border>
    <border>
      <left style="thin">
        <color indexed="64"/>
      </left>
      <right/>
      <top style="thin">
        <color indexed="64"/>
      </top>
      <bottom style="thin">
        <color theme="0" tint="-0.34998626667073579"/>
      </bottom>
      <diagonal/>
    </border>
    <border>
      <left/>
      <right style="thin">
        <color indexed="64"/>
      </right>
      <top style="thin">
        <color indexed="64"/>
      </top>
      <bottom style="thin">
        <color theme="0" tint="-0.34998626667073579"/>
      </bottom>
      <diagonal/>
    </border>
    <border>
      <left style="thin">
        <color theme="0" tint="-0.34998626667073579"/>
      </left>
      <right/>
      <top style="thin">
        <color indexed="64"/>
      </top>
      <bottom/>
      <diagonal/>
    </border>
    <border>
      <left style="thin">
        <color theme="1"/>
      </left>
      <right style="thin">
        <color theme="1"/>
      </right>
      <top/>
      <bottom/>
      <diagonal/>
    </border>
    <border>
      <left style="thin">
        <color theme="1"/>
      </left>
      <right style="thin">
        <color theme="1"/>
      </right>
      <top/>
      <bottom style="thin">
        <color indexed="64"/>
      </bottom>
      <diagonal/>
    </border>
    <border>
      <left style="thin">
        <color theme="0" tint="-0.34998626667073579"/>
      </left>
      <right/>
      <top style="thin">
        <color indexed="64"/>
      </top>
      <bottom style="thin">
        <color indexed="64"/>
      </bottom>
      <diagonal/>
    </border>
    <border>
      <left style="thin">
        <color theme="0" tint="-0.34998626667073579"/>
      </left>
      <right/>
      <top/>
      <bottom/>
      <diagonal/>
    </border>
    <border>
      <left style="thin">
        <color theme="0" tint="-0.34998626667073579"/>
      </left>
      <right/>
      <top/>
      <bottom style="thin">
        <color indexed="64"/>
      </bottom>
      <diagonal/>
    </border>
    <border>
      <left/>
      <right style="thin">
        <color theme="0" tint="-0.34998626667073579"/>
      </right>
      <top style="thin">
        <color indexed="64"/>
      </top>
      <bottom/>
      <diagonal/>
    </border>
    <border>
      <left style="thin">
        <color theme="1"/>
      </left>
      <right style="thin">
        <color theme="1"/>
      </right>
      <top style="thin">
        <color theme="1"/>
      </top>
      <bottom style="thin">
        <color indexed="64"/>
      </bottom>
      <diagonal/>
    </border>
    <border>
      <left style="thin">
        <color theme="1"/>
      </left>
      <right style="thin">
        <color theme="1"/>
      </right>
      <top style="thin">
        <color theme="1"/>
      </top>
      <bottom style="thin">
        <color theme="1"/>
      </bottom>
      <diagonal/>
    </border>
    <border>
      <left style="thin">
        <color theme="1"/>
      </left>
      <right style="thin">
        <color theme="1"/>
      </right>
      <top style="thin">
        <color indexed="64"/>
      </top>
      <bottom style="thin">
        <color theme="1"/>
      </bottom>
      <diagonal/>
    </border>
    <border>
      <left style="thin">
        <color theme="1"/>
      </left>
      <right style="thin">
        <color theme="1"/>
      </right>
      <top/>
      <bottom style="thin">
        <color theme="1"/>
      </bottom>
      <diagonal/>
    </border>
    <border>
      <left style="thin">
        <color theme="1"/>
      </left>
      <right style="thin">
        <color indexed="64"/>
      </right>
      <top/>
      <bottom/>
      <diagonal/>
    </border>
    <border>
      <left style="thin">
        <color theme="1"/>
      </left>
      <right style="thin">
        <color indexed="64"/>
      </right>
      <top/>
      <bottom style="thin">
        <color indexed="64"/>
      </bottom>
      <diagonal/>
    </border>
    <border>
      <left style="thin">
        <color theme="1"/>
      </left>
      <right style="thin">
        <color indexed="64"/>
      </right>
      <top style="thin">
        <color theme="1"/>
      </top>
      <bottom style="thin">
        <color theme="1"/>
      </bottom>
      <diagonal/>
    </border>
    <border>
      <left style="thin">
        <color theme="1"/>
      </left>
      <right/>
      <top style="thin">
        <color theme="1"/>
      </top>
      <bottom style="thin">
        <color theme="1"/>
      </bottom>
      <diagonal/>
    </border>
    <border>
      <left style="thin">
        <color theme="1"/>
      </left>
      <right/>
      <top/>
      <bottom/>
      <diagonal/>
    </border>
    <border>
      <left style="thin">
        <color theme="1"/>
      </left>
      <right/>
      <top/>
      <bottom style="thin">
        <color indexed="64"/>
      </bottom>
      <diagonal/>
    </border>
    <border>
      <left style="thin">
        <color theme="0" tint="-0.34998626667073579"/>
      </left>
      <right/>
      <top style="thin">
        <color indexed="64"/>
      </top>
      <bottom style="thin">
        <color theme="1"/>
      </bottom>
      <diagonal/>
    </border>
    <border>
      <left/>
      <right/>
      <top style="thin">
        <color indexed="64"/>
      </top>
      <bottom style="thin">
        <color theme="1"/>
      </bottom>
      <diagonal/>
    </border>
    <border>
      <left style="thin">
        <color theme="1"/>
      </left>
      <right/>
      <top style="thin">
        <color indexed="64"/>
      </top>
      <bottom style="thin">
        <color theme="1"/>
      </bottom>
      <diagonal/>
    </border>
    <border>
      <left/>
      <right style="thin">
        <color theme="1"/>
      </right>
      <top style="thin">
        <color indexed="64"/>
      </top>
      <bottom style="thin">
        <color theme="1"/>
      </bottom>
      <diagonal/>
    </border>
    <border>
      <left/>
      <right style="thin">
        <color indexed="64"/>
      </right>
      <top style="thin">
        <color indexed="64"/>
      </top>
      <bottom style="thin">
        <color theme="1"/>
      </bottom>
      <diagonal/>
    </border>
    <border>
      <left style="thin">
        <color indexed="64"/>
      </left>
      <right/>
      <top style="thin">
        <color indexed="64"/>
      </top>
      <bottom style="thin">
        <color theme="1"/>
      </bottom>
      <diagonal/>
    </border>
    <border>
      <left/>
      <right style="thin">
        <color indexed="64"/>
      </right>
      <top style="medium">
        <color indexed="64"/>
      </top>
      <bottom style="medium">
        <color indexed="64"/>
      </bottom>
      <diagonal/>
    </border>
    <border>
      <left style="medium">
        <color indexed="64"/>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top/>
      <bottom style="thick">
        <color indexed="64"/>
      </bottom>
      <diagonal/>
    </border>
    <border>
      <left style="thin">
        <color theme="1"/>
      </left>
      <right style="thin">
        <color indexed="64"/>
      </right>
      <top style="thin">
        <color indexed="64"/>
      </top>
      <bottom/>
      <diagonal/>
    </border>
    <border>
      <left style="thin">
        <color theme="1"/>
      </left>
      <right style="thin">
        <color indexed="64"/>
      </right>
      <top/>
      <bottom style="thin">
        <color theme="1"/>
      </bottom>
      <diagonal/>
    </border>
    <border>
      <left style="thin">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hair">
        <color indexed="64"/>
      </left>
      <right/>
      <top/>
      <bottom style="hair">
        <color indexed="64"/>
      </bottom>
      <diagonal/>
    </border>
    <border>
      <left style="hair">
        <color indexed="64"/>
      </left>
      <right/>
      <top style="hair">
        <color indexed="64"/>
      </top>
      <bottom style="thin">
        <color indexed="64"/>
      </bottom>
      <diagonal/>
    </border>
    <border>
      <left/>
      <right style="hair">
        <color indexed="64"/>
      </right>
      <top style="hair">
        <color indexed="64"/>
      </top>
      <bottom style="thin">
        <color indexed="64"/>
      </bottom>
      <diagonal/>
    </border>
    <border>
      <left style="thin">
        <color indexed="64"/>
      </left>
      <right/>
      <top/>
      <bottom style="hair">
        <color indexed="64"/>
      </bottom>
      <diagonal/>
    </border>
    <border>
      <left/>
      <right/>
      <top/>
      <bottom style="hair">
        <color indexed="64"/>
      </bottom>
      <diagonal/>
    </border>
    <border>
      <left style="thin">
        <color indexed="64"/>
      </left>
      <right style="hair">
        <color indexed="64"/>
      </right>
      <top style="thin">
        <color indexed="64"/>
      </top>
      <bottom/>
      <diagonal/>
    </border>
    <border>
      <left style="thin">
        <color indexed="64"/>
      </left>
      <right style="hair">
        <color indexed="64"/>
      </right>
      <top/>
      <bottom/>
      <diagonal/>
    </border>
    <border>
      <left/>
      <right style="hair">
        <color indexed="64"/>
      </right>
      <top style="thin">
        <color indexed="64"/>
      </top>
      <bottom/>
      <diagonal/>
    </border>
    <border>
      <left/>
      <right style="hair">
        <color indexed="64"/>
      </right>
      <top/>
      <bottom/>
      <diagonal/>
    </border>
    <border>
      <left style="thin">
        <color indexed="64"/>
      </left>
      <right/>
      <top style="hair">
        <color indexed="64"/>
      </top>
      <bottom style="thin">
        <color indexed="64"/>
      </bottom>
      <diagonal/>
    </border>
    <border>
      <left style="hair">
        <color indexed="64"/>
      </left>
      <right style="thin">
        <color indexed="64"/>
      </right>
      <top style="thin">
        <color indexed="64"/>
      </top>
      <bottom/>
      <diagonal/>
    </border>
    <border>
      <left/>
      <right style="thin">
        <color indexed="64"/>
      </right>
      <top style="hair">
        <color indexed="64"/>
      </top>
      <bottom style="thin">
        <color indexed="64"/>
      </bottom>
      <diagonal/>
    </border>
    <border>
      <left style="hair">
        <color indexed="64"/>
      </left>
      <right/>
      <top style="thin">
        <color indexed="64"/>
      </top>
      <bottom style="hair">
        <color indexed="64"/>
      </bottom>
      <diagonal/>
    </border>
    <border>
      <left/>
      <right/>
      <top style="thin">
        <color indexed="64"/>
      </top>
      <bottom style="hair">
        <color indexed="64"/>
      </bottom>
      <diagonal/>
    </border>
    <border>
      <left/>
      <right style="hair">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auto="1"/>
      </left>
      <right style="thin">
        <color theme="0" tint="-0.24994659260841701"/>
      </right>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4"/>
      </top>
      <bottom style="double">
        <color indexed="64"/>
      </bottom>
      <diagonal/>
    </border>
    <border>
      <left/>
      <right/>
      <top style="thin">
        <color indexed="64"/>
      </top>
      <bottom/>
      <diagonal/>
    </border>
    <border>
      <left/>
      <right style="thin">
        <color indexed="64"/>
      </right>
      <top style="thin">
        <color indexed="64"/>
      </top>
      <bottom/>
      <diagonal/>
    </border>
    <border>
      <left style="thin">
        <color theme="1"/>
      </left>
      <right style="thin">
        <color theme="0" tint="-0.34998626667073579"/>
      </right>
      <top/>
      <bottom style="thin">
        <color indexed="64"/>
      </bottom>
      <diagonal/>
    </border>
    <border>
      <left style="thin">
        <color theme="1"/>
      </left>
      <right style="thin">
        <color theme="1"/>
      </right>
      <top style="thin">
        <color indexed="64"/>
      </top>
      <bottom style="thin">
        <color indexed="64"/>
      </bottom>
      <diagonal/>
    </border>
    <border>
      <left/>
      <right style="thin">
        <color theme="0" tint="-0.34998626667073579"/>
      </right>
      <top/>
      <bottom/>
      <diagonal/>
    </border>
    <border>
      <left/>
      <right style="thin">
        <color theme="0" tint="-0.34998626667073579"/>
      </right>
      <top/>
      <bottom style="thin">
        <color indexed="64"/>
      </bottom>
      <diagonal/>
    </border>
    <border>
      <left style="thin">
        <color theme="1"/>
      </left>
      <right style="thin">
        <color theme="0" tint="-0.34998626667073579"/>
      </right>
      <top/>
      <bottom/>
      <diagonal/>
    </border>
    <border>
      <left/>
      <right style="thin">
        <color theme="0" tint="-0.34998626667073579"/>
      </right>
      <top style="thin">
        <color indexed="64"/>
      </top>
      <bottom style="thin">
        <color indexed="64"/>
      </bottom>
      <diagonal/>
    </border>
    <border>
      <left style="thin">
        <color indexed="64"/>
      </left>
      <right style="medium">
        <color indexed="64"/>
      </right>
      <top style="medium">
        <color indexed="64"/>
      </top>
      <bottom/>
      <diagonal/>
    </border>
  </borders>
  <cellStyleXfs count="2619">
    <xf numFmtId="0" fontId="0" fillId="0" borderId="0"/>
    <xf numFmtId="0" fontId="12" fillId="0" borderId="0"/>
    <xf numFmtId="0" fontId="63" fillId="0" borderId="0"/>
    <xf numFmtId="0" fontId="36" fillId="0" borderId="0"/>
    <xf numFmtId="165" fontId="41" fillId="0" borderId="0" applyFont="0" applyFill="0" applyBorder="0" applyAlignment="0" applyProtection="0"/>
    <xf numFmtId="180" fontId="63" fillId="0" borderId="0" applyFont="0" applyFill="0" applyBorder="0" applyAlignment="0" applyProtection="0"/>
    <xf numFmtId="169" fontId="39" fillId="0" borderId="0" applyFont="0" applyFill="0" applyBorder="0" applyAlignment="0" applyProtection="0"/>
    <xf numFmtId="165" fontId="40" fillId="0" borderId="0" applyFont="0" applyFill="0" applyBorder="0" applyAlignment="0" applyProtection="0"/>
    <xf numFmtId="43" fontId="98" fillId="0" borderId="0" applyFont="0" applyFill="0" applyBorder="0" applyAlignment="0" applyProtection="0"/>
    <xf numFmtId="164" fontId="40" fillId="0" borderId="0" applyFont="0" applyFill="0" applyBorder="0" applyAlignment="0" applyProtection="0"/>
    <xf numFmtId="164" fontId="36" fillId="0" borderId="0" applyFont="0" applyFill="0" applyBorder="0" applyAlignment="0" applyProtection="0"/>
    <xf numFmtId="0" fontId="79" fillId="0" borderId="0">
      <protection locked="0"/>
    </xf>
    <xf numFmtId="179" fontId="79" fillId="0" borderId="0">
      <protection locked="0"/>
    </xf>
    <xf numFmtId="0" fontId="80" fillId="0" borderId="0">
      <protection locked="0"/>
    </xf>
    <xf numFmtId="0" fontId="80" fillId="0" borderId="0">
      <protection locked="0"/>
    </xf>
    <xf numFmtId="0" fontId="81" fillId="0" borderId="0"/>
    <xf numFmtId="0" fontId="82" fillId="0" borderId="0"/>
    <xf numFmtId="0" fontId="82" fillId="0" borderId="0"/>
    <xf numFmtId="0" fontId="99" fillId="0" borderId="0"/>
    <xf numFmtId="0" fontId="40" fillId="0" borderId="0"/>
    <xf numFmtId="0" fontId="99" fillId="0" borderId="0"/>
    <xf numFmtId="0" fontId="100" fillId="0" borderId="0"/>
    <xf numFmtId="0" fontId="98" fillId="0" borderId="0"/>
    <xf numFmtId="0" fontId="99" fillId="0" borderId="0"/>
    <xf numFmtId="0" fontId="99" fillId="0" borderId="0"/>
    <xf numFmtId="0" fontId="99" fillId="0" borderId="0"/>
    <xf numFmtId="0" fontId="12" fillId="0" borderId="0"/>
    <xf numFmtId="0" fontId="36" fillId="0" borderId="0"/>
    <xf numFmtId="0" fontId="12" fillId="0" borderId="0"/>
    <xf numFmtId="0" fontId="36" fillId="0" borderId="0"/>
    <xf numFmtId="0" fontId="12" fillId="0" borderId="0"/>
    <xf numFmtId="0" fontId="39" fillId="0" borderId="0"/>
    <xf numFmtId="0" fontId="78" fillId="0" borderId="0"/>
    <xf numFmtId="0" fontId="12" fillId="0" borderId="0"/>
    <xf numFmtId="0" fontId="12" fillId="0" borderId="0"/>
    <xf numFmtId="0" fontId="12" fillId="0" borderId="0"/>
    <xf numFmtId="0" fontId="12" fillId="0" borderId="0"/>
    <xf numFmtId="0" fontId="99" fillId="0" borderId="0"/>
    <xf numFmtId="0" fontId="36" fillId="0" borderId="0"/>
    <xf numFmtId="0" fontId="83" fillId="0" borderId="0"/>
    <xf numFmtId="9" fontId="97" fillId="0" borderId="0" applyFont="0" applyFill="0" applyBorder="0" applyAlignment="0" applyProtection="0"/>
    <xf numFmtId="9" fontId="12" fillId="0" borderId="0" applyFont="0" applyFill="0" applyBorder="0" applyAlignment="0" applyProtection="0"/>
    <xf numFmtId="9" fontId="99" fillId="0" borderId="0" applyFont="0" applyFill="0" applyBorder="0" applyAlignment="0" applyProtection="0"/>
    <xf numFmtId="0" fontId="6" fillId="0" borderId="0"/>
    <xf numFmtId="0" fontId="84" fillId="0" borderId="0"/>
    <xf numFmtId="0" fontId="40"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4" fillId="0" borderId="0"/>
    <xf numFmtId="9" fontId="144" fillId="0" borderId="0" applyFont="0" applyFill="0" applyBorder="0" applyAlignment="0" applyProtection="0"/>
    <xf numFmtId="0" fontId="144" fillId="0" borderId="0"/>
    <xf numFmtId="0" fontId="145" fillId="0" borderId="0"/>
    <xf numFmtId="0" fontId="145" fillId="0" borderId="0"/>
    <xf numFmtId="0" fontId="145" fillId="0" borderId="0"/>
    <xf numFmtId="0" fontId="145" fillId="0" borderId="0"/>
    <xf numFmtId="0" fontId="144" fillId="0" borderId="0"/>
    <xf numFmtId="0" fontId="144" fillId="0" borderId="0"/>
    <xf numFmtId="0" fontId="39" fillId="0" borderId="0"/>
    <xf numFmtId="0" fontId="147" fillId="0" borderId="0"/>
    <xf numFmtId="169" fontId="147" fillId="0" borderId="0" applyFont="0" applyFill="0" applyBorder="0" applyAlignment="0" applyProtection="0"/>
    <xf numFmtId="0" fontId="147" fillId="0" borderId="0"/>
    <xf numFmtId="0" fontId="147" fillId="0" borderId="0"/>
    <xf numFmtId="0" fontId="147" fillId="0" borderId="0"/>
    <xf numFmtId="0" fontId="98" fillId="0" borderId="0"/>
    <xf numFmtId="0" fontId="97" fillId="0" borderId="0"/>
    <xf numFmtId="43" fontId="41" fillId="0" borderId="0" applyFont="0" applyFill="0" applyBorder="0" applyAlignment="0" applyProtection="0"/>
    <xf numFmtId="9" fontId="97" fillId="0" borderId="0" applyFont="0" applyFill="0" applyBorder="0" applyAlignment="0" applyProtection="0"/>
    <xf numFmtId="9" fontId="98" fillId="0" borderId="0" applyFont="0" applyFill="0" applyBorder="0" applyAlignment="0" applyProtection="0"/>
    <xf numFmtId="185" fontId="98" fillId="0" borderId="0" applyFont="0" applyFill="0" applyBorder="0" applyAlignment="0" applyProtection="0"/>
    <xf numFmtId="0" fontId="98" fillId="0" borderId="0"/>
    <xf numFmtId="0" fontId="98" fillId="0" borderId="0"/>
    <xf numFmtId="0" fontId="98" fillId="0" borderId="0"/>
    <xf numFmtId="0" fontId="98" fillId="0" borderId="0"/>
    <xf numFmtId="0" fontId="98" fillId="0" borderId="0"/>
    <xf numFmtId="0" fontId="98" fillId="0" borderId="0"/>
    <xf numFmtId="0" fontId="98" fillId="0" borderId="0"/>
    <xf numFmtId="0" fontId="98" fillId="0" borderId="0"/>
    <xf numFmtId="0" fontId="98" fillId="0" borderId="0"/>
    <xf numFmtId="0" fontId="98" fillId="0" borderId="0"/>
    <xf numFmtId="0" fontId="98" fillId="0" borderId="0"/>
    <xf numFmtId="0" fontId="282" fillId="0" borderId="0"/>
    <xf numFmtId="169" fontId="12" fillId="0" borderId="0" applyFont="0" applyFill="0" applyBorder="0" applyAlignment="0" applyProtection="0"/>
    <xf numFmtId="0" fontId="3" fillId="0" borderId="0"/>
    <xf numFmtId="0" fontId="282" fillId="0" borderId="0"/>
    <xf numFmtId="0" fontId="3" fillId="0" borderId="0"/>
    <xf numFmtId="185" fontId="282" fillId="0" borderId="0" applyFont="0" applyFill="0" applyBorder="0" applyAlignment="0" applyProtection="0"/>
    <xf numFmtId="0" fontId="282" fillId="0" borderId="0"/>
    <xf numFmtId="9" fontId="2" fillId="0" borderId="0" applyFont="0" applyFill="0" applyBorder="0" applyAlignment="0" applyProtection="0"/>
    <xf numFmtId="9" fontId="1" fillId="0" borderId="0" applyFont="0" applyFill="0" applyBorder="0" applyAlignment="0" applyProtection="0"/>
    <xf numFmtId="165" fontId="41" fillId="0" borderId="0" applyFont="0" applyFill="0" applyBorder="0" applyAlignment="0" applyProtection="0"/>
    <xf numFmtId="165" fontId="97" fillId="0" borderId="0" applyFont="0" applyFill="0" applyBorder="0" applyAlignment="0" applyProtection="0"/>
    <xf numFmtId="0" fontId="100" fillId="0" borderId="0"/>
    <xf numFmtId="165" fontId="98" fillId="0" borderId="0" applyFont="0" applyFill="0" applyBorder="0" applyAlignment="0" applyProtection="0"/>
    <xf numFmtId="165" fontId="98" fillId="0" borderId="0" applyFont="0" applyFill="0" applyBorder="0" applyAlignment="0" applyProtection="0"/>
    <xf numFmtId="0" fontId="329" fillId="0" borderId="0"/>
    <xf numFmtId="0" fontId="144" fillId="0" borderId="0"/>
    <xf numFmtId="0" fontId="144" fillId="0" borderId="0"/>
    <xf numFmtId="0" fontId="329"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4"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19"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16"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21"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15"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20"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2" fillId="17"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15"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20"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16"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5"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3"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2"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7"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4"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3" fillId="26"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4" fillId="18" borderId="0" applyNumberFormat="0" applyBorder="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5" fillId="28" borderId="154"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0" fontId="336" fillId="29" borderId="155" applyNumberFormat="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169" fontId="63" fillId="0" borderId="0" applyFont="0" applyFill="0" applyBorder="0" applyAlignment="0" applyProtection="0"/>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0" fillId="0" borderId="0">
      <protection locked="0"/>
    </xf>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179" fontId="330" fillId="0" borderId="0">
      <protection locked="0"/>
    </xf>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8" fillId="20" borderId="0" applyNumberFormat="0" applyBorder="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39" fillId="0" borderId="156"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0" fillId="0" borderId="157"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158" applyNumberFormat="0" applyFill="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41" fillId="0" borderId="0" applyNumberFormat="0" applyFill="0" applyBorder="0" applyAlignment="0" applyProtection="0"/>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31" fillId="0" borderId="0">
      <protection locked="0"/>
    </xf>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2" fillId="21" borderId="154" applyNumberFormat="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3" fillId="0" borderId="159" applyNumberFormat="0" applyFill="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344" fillId="21" borderId="0" applyNumberFormat="0" applyBorder="0" applyAlignment="0" applyProtection="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63" fillId="17" borderId="160" applyNumberFormat="0" applyFon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45" fillId="28" borderId="161" applyNumberFormat="0" applyAlignment="0" applyProtection="0"/>
    <xf numFmtId="0" fontId="329" fillId="0" borderId="0"/>
    <xf numFmtId="0" fontId="329" fillId="0" borderId="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46" fillId="0" borderId="0" applyNumberFormat="0" applyFill="0" applyBorder="0" applyAlignment="0" applyProtection="0"/>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30" fillId="0" borderId="162">
      <protection locked="0"/>
    </xf>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63" fillId="0" borderId="0"/>
    <xf numFmtId="43" fontId="1" fillId="0" borderId="0" applyFont="0" applyFill="0" applyBorder="0" applyAlignment="0" applyProtection="0"/>
  </cellStyleXfs>
  <cellXfs count="2996">
    <xf numFmtId="0" fontId="0" fillId="0" borderId="0" xfId="0"/>
    <xf numFmtId="0" fontId="5" fillId="0" borderId="0" xfId="0" applyFont="1" applyFill="1" applyAlignment="1">
      <alignment horizontal="center" vertical="center"/>
    </xf>
    <xf numFmtId="166" fontId="8" fillId="0" borderId="4" xfId="0" applyNumberFormat="1" applyFont="1" applyFill="1" applyBorder="1" applyAlignment="1">
      <alignment horizontal="center" vertical="center"/>
    </xf>
    <xf numFmtId="166" fontId="8" fillId="0" borderId="2" xfId="0" applyNumberFormat="1" applyFont="1" applyFill="1" applyBorder="1" applyAlignment="1">
      <alignment horizontal="center" vertical="center"/>
    </xf>
    <xf numFmtId="0" fontId="4" fillId="0" borderId="0" xfId="0" applyFont="1" applyFill="1" applyBorder="1" applyAlignment="1">
      <alignment horizontal="center" vertical="center"/>
    </xf>
    <xf numFmtId="0" fontId="4" fillId="0" borderId="5"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9" fillId="0" borderId="0" xfId="0" applyFont="1" applyFill="1" applyBorder="1" applyAlignment="1">
      <alignment horizontal="center" vertical="center" wrapText="1"/>
    </xf>
    <xf numFmtId="166" fontId="9" fillId="0" borderId="0" xfId="28" applyNumberFormat="1" applyFont="1" applyFill="1" applyBorder="1" applyAlignment="1">
      <alignment horizontal="center" vertical="center" wrapText="1"/>
    </xf>
    <xf numFmtId="0" fontId="9" fillId="0" borderId="0" xfId="28" applyFont="1" applyFill="1" applyBorder="1" applyAlignment="1">
      <alignment horizontal="center" vertical="center" wrapText="1"/>
    </xf>
    <xf numFmtId="166" fontId="9" fillId="0" borderId="2" xfId="0" applyNumberFormat="1" applyFont="1" applyFill="1" applyBorder="1" applyAlignment="1">
      <alignment horizontal="center" vertical="center"/>
    </xf>
    <xf numFmtId="166" fontId="9" fillId="0" borderId="0" xfId="28" applyNumberFormat="1" applyFont="1" applyFill="1" applyBorder="1" applyAlignment="1">
      <alignment horizontal="center" vertical="center"/>
    </xf>
    <xf numFmtId="0" fontId="4" fillId="0" borderId="0" xfId="0" applyFont="1" applyFill="1" applyBorder="1" applyAlignment="1">
      <alignment vertical="center"/>
    </xf>
    <xf numFmtId="0" fontId="17" fillId="0" borderId="5" xfId="0" applyFont="1" applyFill="1" applyBorder="1" applyAlignment="1">
      <alignment horizontal="center" vertical="center" wrapText="1"/>
    </xf>
    <xf numFmtId="0" fontId="29" fillId="0" borderId="0" xfId="0" applyFont="1" applyFill="1" applyBorder="1" applyAlignment="1">
      <alignment vertical="center"/>
    </xf>
    <xf numFmtId="0" fontId="13" fillId="0" borderId="0" xfId="36" applyFont="1" applyFill="1" applyAlignment="1">
      <alignment vertical="center"/>
    </xf>
    <xf numFmtId="0" fontId="16" fillId="0" borderId="0" xfId="36" applyFont="1" applyFill="1" applyAlignment="1">
      <alignment vertical="center"/>
    </xf>
    <xf numFmtId="0" fontId="18" fillId="0" borderId="0" xfId="36" applyFont="1" applyFill="1" applyAlignment="1">
      <alignment vertical="center"/>
    </xf>
    <xf numFmtId="0" fontId="18" fillId="0" borderId="0" xfId="0" applyFont="1" applyFill="1" applyAlignment="1">
      <alignment vertical="center"/>
    </xf>
    <xf numFmtId="0" fontId="9" fillId="0" borderId="5" xfId="36" applyFont="1" applyFill="1" applyBorder="1" applyAlignment="1">
      <alignment horizontal="center" vertical="center"/>
    </xf>
    <xf numFmtId="0" fontId="9" fillId="0" borderId="2" xfId="36" applyFont="1" applyFill="1" applyBorder="1" applyAlignment="1">
      <alignment horizontal="center" vertical="center"/>
    </xf>
    <xf numFmtId="0" fontId="25" fillId="0" borderId="2" xfId="36" applyFont="1" applyFill="1" applyBorder="1" applyAlignment="1">
      <alignment horizontal="center" vertical="center"/>
    </xf>
    <xf numFmtId="166" fontId="9" fillId="0" borderId="5" xfId="36" applyNumberFormat="1" applyFont="1" applyFill="1" applyBorder="1" applyAlignment="1">
      <alignment horizontal="center" vertical="center"/>
    </xf>
    <xf numFmtId="166" fontId="9" fillId="0" borderId="2" xfId="36" applyNumberFormat="1" applyFont="1" applyFill="1" applyBorder="1" applyAlignment="1">
      <alignment horizontal="center" vertical="center"/>
    </xf>
    <xf numFmtId="166" fontId="26" fillId="0" borderId="0" xfId="36" quotePrefix="1" applyNumberFormat="1" applyFont="1" applyFill="1" applyBorder="1" applyAlignment="1">
      <alignment horizontal="right" vertical="center"/>
    </xf>
    <xf numFmtId="166" fontId="25" fillId="0" borderId="0" xfId="36" quotePrefix="1" applyNumberFormat="1" applyFont="1" applyFill="1" applyBorder="1" applyAlignment="1">
      <alignment horizontal="right" vertical="center"/>
    </xf>
    <xf numFmtId="166" fontId="26" fillId="0" borderId="0" xfId="36" applyNumberFormat="1" applyFont="1" applyFill="1" applyBorder="1" applyAlignment="1">
      <alignment horizontal="right" vertical="center"/>
    </xf>
    <xf numFmtId="0" fontId="9" fillId="0" borderId="0" xfId="36" applyFont="1" applyFill="1" applyAlignment="1">
      <alignment vertical="center"/>
    </xf>
    <xf numFmtId="166" fontId="4" fillId="0" borderId="0" xfId="0" applyNumberFormat="1" applyFont="1" applyFill="1" applyBorder="1" applyAlignment="1">
      <alignment horizontal="center" vertical="center" wrapText="1"/>
    </xf>
    <xf numFmtId="166" fontId="4" fillId="0" borderId="4" xfId="0" applyNumberFormat="1" applyFont="1" applyFill="1" applyBorder="1" applyAlignment="1">
      <alignment horizontal="center" vertical="center" wrapText="1"/>
    </xf>
    <xf numFmtId="0" fontId="4" fillId="0" borderId="0" xfId="0" applyFont="1" applyFill="1" applyAlignment="1">
      <alignment horizontal="center" vertical="center" wrapText="1"/>
    </xf>
    <xf numFmtId="0" fontId="17" fillId="0" borderId="7" xfId="0" applyFont="1" applyFill="1" applyBorder="1" applyAlignment="1">
      <alignment horizontal="center" vertical="center" wrapText="1"/>
    </xf>
    <xf numFmtId="166" fontId="21" fillId="0" borderId="2" xfId="0" applyNumberFormat="1" applyFont="1" applyFill="1" applyBorder="1" applyAlignment="1">
      <alignment horizontal="center" vertical="center"/>
    </xf>
    <xf numFmtId="49" fontId="7" fillId="0" borderId="2" xfId="0" applyNumberFormat="1" applyFont="1" applyFill="1" applyBorder="1" applyAlignment="1">
      <alignment horizontal="center" vertical="center"/>
    </xf>
    <xf numFmtId="0" fontId="24" fillId="0" borderId="0" xfId="36" applyFont="1" applyFill="1" applyAlignment="1">
      <alignment vertical="center"/>
    </xf>
    <xf numFmtId="0" fontId="26" fillId="0" borderId="0" xfId="36" applyFont="1" applyFill="1" applyBorder="1" applyAlignment="1">
      <alignment vertical="center"/>
    </xf>
    <xf numFmtId="0" fontId="9" fillId="0" borderId="0" xfId="36" applyFont="1" applyFill="1" applyBorder="1" applyAlignment="1">
      <alignment vertical="center"/>
    </xf>
    <xf numFmtId="0" fontId="26" fillId="0" borderId="0" xfId="36" applyFont="1" applyFill="1" applyAlignment="1">
      <alignment vertical="center"/>
    </xf>
    <xf numFmtId="0" fontId="4" fillId="0" borderId="7" xfId="0" applyFont="1" applyFill="1" applyBorder="1" applyAlignment="1">
      <alignment horizontal="center" vertical="center" wrapText="1"/>
    </xf>
    <xf numFmtId="0" fontId="11" fillId="0" borderId="0" xfId="0" applyFont="1" applyFill="1" applyBorder="1" applyAlignment="1">
      <alignment horizontal="left" vertical="center"/>
    </xf>
    <xf numFmtId="49" fontId="17" fillId="0" borderId="2" xfId="0" applyNumberFormat="1" applyFont="1" applyFill="1" applyBorder="1" applyAlignment="1">
      <alignment horizontal="center" vertical="center"/>
    </xf>
    <xf numFmtId="0" fontId="17" fillId="0" borderId="0" xfId="0" applyFont="1" applyFill="1" applyAlignment="1">
      <alignment horizontal="center" vertical="center" wrapText="1"/>
    </xf>
    <xf numFmtId="166" fontId="4" fillId="0" borderId="12" xfId="0" applyNumberFormat="1" applyFont="1" applyFill="1" applyBorder="1" applyAlignment="1">
      <alignment horizontal="center" vertical="center" wrapText="1"/>
    </xf>
    <xf numFmtId="2" fontId="4" fillId="0" borderId="0" xfId="0" applyNumberFormat="1" applyFont="1" applyFill="1" applyAlignment="1">
      <alignment horizontal="center" vertical="center" wrapText="1"/>
    </xf>
    <xf numFmtId="0" fontId="5" fillId="0" borderId="0" xfId="0" applyFont="1" applyFill="1" applyAlignment="1">
      <alignment horizontal="center" vertical="center" wrapText="1"/>
    </xf>
    <xf numFmtId="0" fontId="101" fillId="0" borderId="0" xfId="0" applyFont="1" applyFill="1" applyBorder="1"/>
    <xf numFmtId="166" fontId="101" fillId="0" borderId="0" xfId="0" applyNumberFormat="1" applyFont="1" applyFill="1" applyBorder="1"/>
    <xf numFmtId="0" fontId="25" fillId="0" borderId="0" xfId="28" applyFont="1" applyFill="1" applyBorder="1" applyAlignment="1">
      <alignment horizontal="center" vertical="center" wrapText="1"/>
    </xf>
    <xf numFmtId="2" fontId="9" fillId="0" borderId="0" xfId="28" applyNumberFormat="1" applyFont="1" applyFill="1" applyBorder="1" applyAlignment="1">
      <alignment horizontal="center" vertical="center" wrapText="1"/>
    </xf>
    <xf numFmtId="0" fontId="25" fillId="0" borderId="0" xfId="28" applyFont="1" applyFill="1" applyBorder="1" applyAlignment="1">
      <alignment horizontal="center" vertical="center"/>
    </xf>
    <xf numFmtId="0" fontId="9" fillId="0" borderId="0" xfId="28" applyFont="1" applyFill="1" applyBorder="1" applyAlignment="1">
      <alignment horizontal="center" vertical="center"/>
    </xf>
    <xf numFmtId="0" fontId="25" fillId="0" borderId="7" xfId="28" applyFont="1" applyFill="1" applyBorder="1" applyAlignment="1">
      <alignment horizontal="center" vertical="center" wrapText="1"/>
    </xf>
    <xf numFmtId="2" fontId="9" fillId="0" borderId="4" xfId="28" applyNumberFormat="1" applyFont="1" applyFill="1" applyBorder="1" applyAlignment="1">
      <alignment horizontal="center" vertical="center" wrapText="1"/>
    </xf>
    <xf numFmtId="0" fontId="21" fillId="0" borderId="0" xfId="28" applyFont="1" applyFill="1" applyBorder="1"/>
    <xf numFmtId="0" fontId="21" fillId="0" borderId="0" xfId="28" applyFont="1" applyFill="1" applyBorder="1" applyAlignment="1">
      <alignment horizontal="center"/>
    </xf>
    <xf numFmtId="166" fontId="22" fillId="0" borderId="0" xfId="0" applyNumberFormat="1" applyFont="1" applyFill="1" applyBorder="1" applyAlignment="1">
      <alignment horizontal="center" vertical="center"/>
    </xf>
    <xf numFmtId="166" fontId="50" fillId="0" borderId="0" xfId="0" applyNumberFormat="1" applyFont="1" applyFill="1" applyBorder="1" applyAlignment="1">
      <alignment horizontal="center" vertical="center"/>
    </xf>
    <xf numFmtId="166" fontId="22" fillId="0" borderId="0" xfId="0" applyNumberFormat="1" applyFont="1" applyFill="1" applyBorder="1" applyAlignment="1">
      <alignment vertical="center"/>
    </xf>
    <xf numFmtId="0" fontId="22" fillId="0" borderId="0" xfId="0" applyFont="1" applyFill="1" applyBorder="1" applyAlignment="1">
      <alignment vertical="center"/>
    </xf>
    <xf numFmtId="166" fontId="22" fillId="0" borderId="0" xfId="28" applyNumberFormat="1" applyFont="1" applyFill="1" applyBorder="1" applyAlignment="1">
      <alignment vertical="center"/>
    </xf>
    <xf numFmtId="2" fontId="22" fillId="0" borderId="0" xfId="28" applyNumberFormat="1" applyFont="1" applyFill="1" applyBorder="1" applyAlignment="1">
      <alignment vertical="center"/>
    </xf>
    <xf numFmtId="166" fontId="32" fillId="0" borderId="0" xfId="28" applyNumberFormat="1" applyFont="1" applyFill="1" applyBorder="1"/>
    <xf numFmtId="0" fontId="32" fillId="0" borderId="0" xfId="28" applyFont="1" applyFill="1" applyBorder="1"/>
    <xf numFmtId="0" fontId="32" fillId="0" borderId="0" xfId="0" applyFont="1" applyFill="1" applyBorder="1"/>
    <xf numFmtId="0" fontId="35" fillId="0" borderId="0" xfId="28" applyFont="1" applyFill="1" applyBorder="1"/>
    <xf numFmtId="2" fontId="32" fillId="0" borderId="0" xfId="28" applyNumberFormat="1" applyFont="1" applyFill="1" applyBorder="1"/>
    <xf numFmtId="0" fontId="17" fillId="0" borderId="0" xfId="38" applyFont="1" applyFill="1" applyBorder="1" applyAlignment="1">
      <alignment horizontal="center" vertical="center"/>
    </xf>
    <xf numFmtId="49" fontId="17" fillId="0" borderId="1" xfId="38" applyNumberFormat="1" applyFont="1" applyFill="1" applyBorder="1" applyAlignment="1">
      <alignment horizontal="center" vertical="center"/>
    </xf>
    <xf numFmtId="49" fontId="17" fillId="0" borderId="2" xfId="38" applyNumberFormat="1" applyFont="1" applyFill="1" applyBorder="1" applyAlignment="1">
      <alignment horizontal="center" vertical="center"/>
    </xf>
    <xf numFmtId="0" fontId="17" fillId="0" borderId="2" xfId="38" applyFont="1" applyFill="1" applyBorder="1" applyAlignment="1">
      <alignment horizontal="center" vertical="center"/>
    </xf>
    <xf numFmtId="0" fontId="102" fillId="0" borderId="0" xfId="0" applyFont="1" applyFill="1" applyBorder="1" applyAlignment="1">
      <alignment horizontal="center" vertical="center"/>
    </xf>
    <xf numFmtId="0" fontId="16" fillId="0" borderId="0" xfId="0" applyFont="1" applyFill="1" applyBorder="1" applyAlignment="1">
      <alignment horizontal="center" vertical="center"/>
    </xf>
    <xf numFmtId="49" fontId="16" fillId="0" borderId="0" xfId="0" applyNumberFormat="1" applyFont="1" applyFill="1" applyBorder="1" applyAlignment="1">
      <alignment horizontal="center" vertical="center"/>
    </xf>
    <xf numFmtId="0" fontId="16" fillId="0" borderId="7" xfId="0" applyFont="1" applyFill="1" applyBorder="1" applyAlignment="1">
      <alignment horizontal="center" vertical="center"/>
    </xf>
    <xf numFmtId="49" fontId="16" fillId="0" borderId="5" xfId="0" applyNumberFormat="1" applyFont="1" applyFill="1" applyBorder="1" applyAlignment="1">
      <alignment horizontal="center" vertical="center"/>
    </xf>
    <xf numFmtId="0" fontId="16" fillId="0" borderId="5" xfId="0" applyFont="1" applyFill="1" applyBorder="1" applyAlignment="1">
      <alignment horizontal="center" vertical="center"/>
    </xf>
    <xf numFmtId="166" fontId="16" fillId="0" borderId="0" xfId="0" applyNumberFormat="1" applyFont="1" applyFill="1" applyBorder="1" applyAlignment="1">
      <alignment horizontal="right" vertical="center"/>
    </xf>
    <xf numFmtId="168" fontId="16" fillId="0" borderId="0" xfId="0" applyNumberFormat="1" applyFont="1" applyFill="1" applyBorder="1" applyAlignment="1">
      <alignment horizontal="right" vertical="center"/>
    </xf>
    <xf numFmtId="168" fontId="16" fillId="0" borderId="4" xfId="0" applyNumberFormat="1" applyFont="1" applyFill="1" applyBorder="1" applyAlignment="1">
      <alignment horizontal="right" vertical="center"/>
    </xf>
    <xf numFmtId="0" fontId="18" fillId="0" borderId="0" xfId="0" applyFont="1" applyFill="1" applyBorder="1" applyAlignment="1">
      <alignment vertical="center"/>
    </xf>
    <xf numFmtId="0" fontId="101" fillId="0" borderId="0" xfId="0" applyFont="1" applyFill="1" applyBorder="1" applyAlignment="1">
      <alignment vertical="center"/>
    </xf>
    <xf numFmtId="0" fontId="0" fillId="0" borderId="0" xfId="0" applyFill="1" applyBorder="1" applyAlignment="1">
      <alignment horizontal="center" vertical="center" wrapText="1"/>
    </xf>
    <xf numFmtId="0" fontId="0" fillId="0" borderId="0" xfId="0" applyFill="1" applyBorder="1" applyAlignment="1">
      <alignment vertical="center"/>
    </xf>
    <xf numFmtId="49" fontId="105" fillId="0" borderId="1" xfId="0" applyNumberFormat="1" applyFont="1" applyFill="1" applyBorder="1" applyAlignment="1">
      <alignment horizontal="center" vertical="center"/>
    </xf>
    <xf numFmtId="49" fontId="105" fillId="0" borderId="2" xfId="0" applyNumberFormat="1" applyFont="1" applyFill="1" applyBorder="1" applyAlignment="1">
      <alignment horizontal="center" vertical="center"/>
    </xf>
    <xf numFmtId="166" fontId="101" fillId="0" borderId="2" xfId="0" applyNumberFormat="1" applyFont="1" applyFill="1" applyBorder="1" applyAlignment="1">
      <alignment horizontal="right" vertical="center"/>
    </xf>
    <xf numFmtId="0" fontId="8" fillId="0" borderId="0" xfId="0" applyFont="1" applyFill="1" applyBorder="1" applyAlignment="1">
      <alignment horizontal="center" vertical="center"/>
    </xf>
    <xf numFmtId="0" fontId="17" fillId="0" borderId="0" xfId="0" applyFont="1" applyFill="1" applyAlignment="1">
      <alignment vertical="center"/>
    </xf>
    <xf numFmtId="0" fontId="21" fillId="0" borderId="7" xfId="28" applyFont="1" applyFill="1" applyBorder="1" applyAlignment="1">
      <alignment horizontal="center"/>
    </xf>
    <xf numFmtId="49" fontId="21" fillId="0" borderId="5" xfId="28" applyNumberFormat="1" applyFont="1" applyFill="1" applyBorder="1" applyAlignment="1">
      <alignment horizontal="right"/>
    </xf>
    <xf numFmtId="0" fontId="21" fillId="0" borderId="5" xfId="28" applyFont="1" applyFill="1" applyBorder="1" applyAlignment="1">
      <alignment horizontal="center"/>
    </xf>
    <xf numFmtId="166" fontId="8" fillId="0" borderId="0" xfId="0" applyNumberFormat="1" applyFont="1" applyFill="1" applyBorder="1" applyAlignment="1">
      <alignment horizontal="center" vertical="center"/>
    </xf>
    <xf numFmtId="1" fontId="8" fillId="0" borderId="0" xfId="0" applyNumberFormat="1" applyFont="1" applyFill="1" applyBorder="1" applyAlignment="1">
      <alignment horizontal="center" vertical="center"/>
    </xf>
    <xf numFmtId="49" fontId="5" fillId="0" borderId="5" xfId="38" applyNumberFormat="1" applyFont="1" applyFill="1" applyBorder="1" applyAlignment="1">
      <alignment horizontal="center" vertical="center"/>
    </xf>
    <xf numFmtId="0" fontId="5" fillId="0" borderId="0" xfId="0" applyFont="1" applyFill="1" applyAlignment="1">
      <alignment vertical="center"/>
    </xf>
    <xf numFmtId="166" fontId="4" fillId="0" borderId="4" xfId="0" applyNumberFormat="1" applyFont="1" applyFill="1" applyBorder="1" applyAlignment="1">
      <alignment vertical="center"/>
    </xf>
    <xf numFmtId="166" fontId="4" fillId="0" borderId="0" xfId="0" applyNumberFormat="1" applyFont="1" applyFill="1" applyBorder="1" applyAlignment="1">
      <alignment vertical="center"/>
    </xf>
    <xf numFmtId="166" fontId="5" fillId="0" borderId="0" xfId="0" applyNumberFormat="1" applyFont="1" applyFill="1" applyBorder="1" applyAlignment="1">
      <alignment vertical="center"/>
    </xf>
    <xf numFmtId="0" fontId="5" fillId="0" borderId="0" xfId="0" applyFont="1" applyFill="1" applyBorder="1" applyAlignment="1">
      <alignment vertical="center"/>
    </xf>
    <xf numFmtId="166" fontId="5" fillId="0" borderId="4" xfId="0" applyNumberFormat="1" applyFont="1" applyFill="1" applyBorder="1" applyAlignment="1">
      <alignment vertical="center"/>
    </xf>
    <xf numFmtId="166" fontId="22" fillId="0" borderId="6" xfId="0" applyNumberFormat="1" applyFont="1" applyFill="1" applyBorder="1" applyAlignment="1">
      <alignment horizontal="center" vertical="center"/>
    </xf>
    <xf numFmtId="0" fontId="101" fillId="0" borderId="0" xfId="0" applyFont="1" applyFill="1"/>
    <xf numFmtId="0" fontId="102" fillId="0" borderId="0" xfId="0" applyFont="1" applyFill="1"/>
    <xf numFmtId="0" fontId="102" fillId="0" borderId="13" xfId="0" applyFont="1" applyFill="1" applyBorder="1"/>
    <xf numFmtId="0" fontId="102" fillId="0" borderId="14" xfId="0" applyFont="1" applyFill="1" applyBorder="1"/>
    <xf numFmtId="0" fontId="106" fillId="0" borderId="14" xfId="0" applyFont="1" applyFill="1" applyBorder="1"/>
    <xf numFmtId="0" fontId="107" fillId="0" borderId="0" xfId="0" applyFont="1" applyFill="1" applyBorder="1"/>
    <xf numFmtId="0" fontId="108" fillId="0" borderId="14" xfId="0" applyFont="1" applyFill="1" applyBorder="1"/>
    <xf numFmtId="0" fontId="108" fillId="0" borderId="0" xfId="0" applyFont="1" applyFill="1" applyBorder="1"/>
    <xf numFmtId="0" fontId="101" fillId="0" borderId="0" xfId="0" applyFont="1" applyFill="1" applyAlignment="1">
      <alignment horizontal="center"/>
    </xf>
    <xf numFmtId="0" fontId="101" fillId="0" borderId="0" xfId="0" applyFont="1" applyFill="1" applyAlignment="1">
      <alignment horizontal="left"/>
    </xf>
    <xf numFmtId="166" fontId="101" fillId="0" borderId="0" xfId="0" applyNumberFormat="1" applyFont="1" applyFill="1"/>
    <xf numFmtId="0" fontId="108" fillId="0" borderId="0" xfId="0" applyFont="1" applyFill="1"/>
    <xf numFmtId="2" fontId="4" fillId="0" borderId="4" xfId="0" applyNumberFormat="1" applyFont="1" applyFill="1" applyBorder="1" applyAlignment="1">
      <alignment horizontal="center" vertical="center" wrapText="1"/>
    </xf>
    <xf numFmtId="0" fontId="13" fillId="0" borderId="0" xfId="0" applyFont="1" applyFill="1" applyBorder="1" applyAlignment="1">
      <alignment horizontal="center" vertical="center"/>
    </xf>
    <xf numFmtId="0" fontId="17" fillId="0" borderId="1" xfId="0" applyFont="1" applyFill="1" applyBorder="1" applyAlignment="1">
      <alignment horizontal="center" vertical="center"/>
    </xf>
    <xf numFmtId="0" fontId="17" fillId="0" borderId="2" xfId="0" applyFont="1" applyFill="1" applyBorder="1" applyAlignment="1">
      <alignment horizontal="center" vertical="center"/>
    </xf>
    <xf numFmtId="0" fontId="17" fillId="0" borderId="7" xfId="0" applyFont="1" applyFill="1" applyBorder="1" applyAlignment="1">
      <alignment horizontal="center" vertical="center"/>
    </xf>
    <xf numFmtId="0" fontId="101" fillId="0" borderId="0" xfId="0" applyFont="1" applyFill="1" applyBorder="1" applyAlignment="1">
      <alignment horizontal="center" vertical="center" wrapText="1"/>
    </xf>
    <xf numFmtId="49" fontId="17" fillId="0" borderId="5" xfId="0" applyNumberFormat="1" applyFont="1" applyFill="1" applyBorder="1" applyAlignment="1">
      <alignment horizontal="center" vertical="center"/>
    </xf>
    <xf numFmtId="0" fontId="102" fillId="0" borderId="0" xfId="0" applyFont="1" applyFill="1" applyBorder="1" applyAlignment="1">
      <alignment vertical="center"/>
    </xf>
    <xf numFmtId="0" fontId="17" fillId="0" borderId="5" xfId="0" applyFont="1" applyFill="1" applyBorder="1" applyAlignment="1">
      <alignment horizontal="center" vertical="center"/>
    </xf>
    <xf numFmtId="0" fontId="101" fillId="0" borderId="13" xfId="0" applyFont="1" applyFill="1" applyBorder="1"/>
    <xf numFmtId="0" fontId="101" fillId="0" borderId="14" xfId="0" applyFont="1" applyFill="1" applyBorder="1"/>
    <xf numFmtId="0" fontId="101" fillId="0" borderId="15" xfId="0" applyFont="1" applyFill="1" applyBorder="1"/>
    <xf numFmtId="0" fontId="29" fillId="0" borderId="0" xfId="0" applyFont="1" applyFill="1" applyAlignment="1">
      <alignment vertical="center"/>
    </xf>
    <xf numFmtId="166" fontId="18" fillId="0" borderId="0" xfId="0" applyNumberFormat="1" applyFont="1" applyFill="1" applyBorder="1" applyAlignment="1">
      <alignment vertical="center"/>
    </xf>
    <xf numFmtId="0" fontId="18" fillId="0" borderId="5" xfId="0" applyFont="1" applyFill="1" applyBorder="1" applyAlignment="1">
      <alignment vertical="center"/>
    </xf>
    <xf numFmtId="49" fontId="29" fillId="0" borderId="5" xfId="0" applyNumberFormat="1" applyFont="1" applyFill="1" applyBorder="1" applyAlignment="1">
      <alignment horizontal="right" vertical="center"/>
    </xf>
    <xf numFmtId="0" fontId="29" fillId="0" borderId="5" xfId="0" applyFont="1" applyFill="1" applyBorder="1" applyAlignment="1">
      <alignment horizontal="center" vertical="center"/>
    </xf>
    <xf numFmtId="49" fontId="29" fillId="0" borderId="5" xfId="0" applyNumberFormat="1" applyFont="1" applyFill="1" applyBorder="1" applyAlignment="1">
      <alignment horizontal="center" vertical="center"/>
    </xf>
    <xf numFmtId="166" fontId="4" fillId="0" borderId="12" xfId="0" applyNumberFormat="1" applyFont="1" applyFill="1" applyBorder="1" applyAlignment="1">
      <alignment vertical="center"/>
    </xf>
    <xf numFmtId="0" fontId="4" fillId="0" borderId="0" xfId="0" applyFont="1" applyFill="1" applyBorder="1" applyAlignment="1">
      <alignment horizontal="right" vertical="center"/>
    </xf>
    <xf numFmtId="0" fontId="21" fillId="0" borderId="0" xfId="28" applyFont="1" applyFill="1" applyBorder="1" applyAlignment="1">
      <alignment horizontal="center" vertical="center" wrapText="1"/>
    </xf>
    <xf numFmtId="166" fontId="21" fillId="0" borderId="0" xfId="28" applyNumberFormat="1" applyFont="1" applyFill="1" applyBorder="1" applyAlignment="1">
      <alignment horizontal="center" vertical="center" wrapText="1"/>
    </xf>
    <xf numFmtId="2" fontId="21" fillId="0" borderId="0" xfId="28" applyNumberFormat="1" applyFont="1" applyFill="1" applyBorder="1" applyAlignment="1">
      <alignment horizontal="center" vertical="center" wrapText="1"/>
    </xf>
    <xf numFmtId="2" fontId="21" fillId="0" borderId="4" xfId="28" applyNumberFormat="1" applyFont="1" applyFill="1" applyBorder="1" applyAlignment="1">
      <alignment horizontal="center" vertical="center" wrapText="1"/>
    </xf>
    <xf numFmtId="166" fontId="21" fillId="0" borderId="0" xfId="28" applyNumberFormat="1" applyFont="1" applyFill="1" applyBorder="1" applyAlignment="1">
      <alignment horizontal="center" vertical="center"/>
    </xf>
    <xf numFmtId="2" fontId="21" fillId="0" borderId="0" xfId="28" applyNumberFormat="1" applyFont="1" applyFill="1" applyBorder="1" applyAlignment="1">
      <alignment horizontal="center" vertical="center"/>
    </xf>
    <xf numFmtId="49" fontId="25" fillId="0" borderId="5" xfId="28" applyNumberFormat="1" applyFont="1" applyFill="1" applyBorder="1" applyAlignment="1">
      <alignment horizontal="center" vertical="center"/>
    </xf>
    <xf numFmtId="166" fontId="4" fillId="0" borderId="8" xfId="0" applyNumberFormat="1" applyFont="1" applyFill="1" applyBorder="1" applyAlignment="1">
      <alignment vertical="center"/>
    </xf>
    <xf numFmtId="0" fontId="9" fillId="0" borderId="0" xfId="28" applyFont="1" applyFill="1" applyBorder="1" applyAlignment="1">
      <alignment vertical="center"/>
    </xf>
    <xf numFmtId="0" fontId="25" fillId="0" borderId="0" xfId="28" applyFont="1" applyFill="1" applyBorder="1" applyAlignment="1">
      <alignment vertical="center"/>
    </xf>
    <xf numFmtId="0" fontId="9" fillId="0" borderId="0" xfId="0" applyFont="1" applyFill="1" applyBorder="1" applyAlignment="1">
      <alignment vertical="center"/>
    </xf>
    <xf numFmtId="49" fontId="9" fillId="0" borderId="0" xfId="28" applyNumberFormat="1" applyFont="1" applyFill="1" applyBorder="1" applyAlignment="1">
      <alignment horizontal="right" vertical="center"/>
    </xf>
    <xf numFmtId="0" fontId="21" fillId="0" borderId="0" xfId="0" applyFont="1" applyFill="1" applyBorder="1" applyAlignment="1">
      <alignment vertical="center"/>
    </xf>
    <xf numFmtId="1" fontId="21" fillId="0" borderId="0" xfId="0" applyNumberFormat="1" applyFont="1" applyFill="1" applyBorder="1" applyAlignment="1">
      <alignment vertical="center"/>
    </xf>
    <xf numFmtId="2" fontId="22" fillId="0" borderId="0" xfId="0" applyNumberFormat="1" applyFont="1" applyFill="1" applyBorder="1" applyAlignment="1">
      <alignment vertical="center"/>
    </xf>
    <xf numFmtId="167" fontId="22" fillId="0" borderId="0" xfId="0" applyNumberFormat="1" applyFont="1" applyFill="1" applyBorder="1" applyAlignment="1">
      <alignment vertical="center"/>
    </xf>
    <xf numFmtId="168" fontId="22" fillId="0" borderId="0" xfId="0" applyNumberFormat="1" applyFont="1" applyFill="1" applyBorder="1" applyAlignment="1">
      <alignment vertical="center"/>
    </xf>
    <xf numFmtId="166" fontId="21" fillId="0" borderId="0" xfId="0" applyNumberFormat="1" applyFont="1" applyFill="1" applyBorder="1" applyAlignment="1">
      <alignment horizontal="center" vertical="center"/>
    </xf>
    <xf numFmtId="166" fontId="60" fillId="0" borderId="0" xfId="0" applyNumberFormat="1" applyFont="1" applyFill="1" applyBorder="1" applyAlignment="1">
      <alignment horizontal="center" vertical="center"/>
    </xf>
    <xf numFmtId="0" fontId="18" fillId="0" borderId="0" xfId="38" applyFont="1" applyFill="1" applyBorder="1" applyAlignment="1">
      <alignment vertical="center"/>
    </xf>
    <xf numFmtId="0" fontId="18" fillId="0" borderId="0" xfId="38" applyFont="1" applyFill="1" applyBorder="1" applyAlignment="1">
      <alignment horizontal="center" vertical="center"/>
    </xf>
    <xf numFmtId="0" fontId="17" fillId="0" borderId="0" xfId="38" applyFont="1" applyFill="1" applyBorder="1" applyAlignment="1">
      <alignment vertical="center"/>
    </xf>
    <xf numFmtId="0" fontId="18" fillId="0" borderId="0" xfId="38" applyFont="1" applyFill="1" applyBorder="1" applyAlignment="1">
      <alignment horizontal="center" vertical="center" wrapText="1"/>
    </xf>
    <xf numFmtId="168" fontId="18" fillId="0" borderId="0" xfId="38" applyNumberFormat="1" applyFont="1" applyFill="1" applyBorder="1" applyAlignment="1">
      <alignment vertical="center"/>
    </xf>
    <xf numFmtId="0" fontId="17" fillId="0" borderId="2" xfId="38" applyFont="1" applyFill="1" applyBorder="1" applyAlignment="1">
      <alignment vertical="center"/>
    </xf>
    <xf numFmtId="49" fontId="17" fillId="0" borderId="2" xfId="38" applyNumberFormat="1" applyFont="1" applyFill="1" applyBorder="1" applyAlignment="1">
      <alignment horizontal="right" vertical="center"/>
    </xf>
    <xf numFmtId="0" fontId="5" fillId="0" borderId="5" xfId="0" applyFont="1" applyFill="1" applyBorder="1" applyAlignment="1">
      <alignment horizontal="center" vertical="center"/>
    </xf>
    <xf numFmtId="4" fontId="8" fillId="0" borderId="0" xfId="0" applyNumberFormat="1" applyFont="1" applyFill="1" applyBorder="1" applyAlignment="1">
      <alignment horizontal="center" vertical="center"/>
    </xf>
    <xf numFmtId="173" fontId="8" fillId="0" borderId="0" xfId="0" applyNumberFormat="1" applyFont="1" applyFill="1" applyBorder="1" applyAlignment="1">
      <alignment horizontal="center" vertical="center"/>
    </xf>
    <xf numFmtId="3" fontId="8" fillId="0" borderId="0" xfId="0" applyNumberFormat="1" applyFont="1" applyFill="1" applyBorder="1" applyAlignment="1">
      <alignment horizontal="center" vertical="center"/>
    </xf>
    <xf numFmtId="0" fontId="8" fillId="0" borderId="4" xfId="0" applyFont="1" applyFill="1" applyBorder="1" applyAlignment="1">
      <alignment horizontal="center" vertical="center"/>
    </xf>
    <xf numFmtId="49" fontId="5" fillId="0" borderId="5" xfId="0" applyNumberFormat="1" applyFont="1" applyFill="1" applyBorder="1" applyAlignment="1">
      <alignment horizontal="center" vertical="center"/>
    </xf>
    <xf numFmtId="0" fontId="46" fillId="0" borderId="0" xfId="0" applyFont="1" applyFill="1" applyBorder="1" applyAlignment="1">
      <alignment vertical="center"/>
    </xf>
    <xf numFmtId="49" fontId="4" fillId="0" borderId="0" xfId="38" applyNumberFormat="1" applyFont="1" applyFill="1" applyBorder="1" applyAlignment="1">
      <alignment horizontal="right" vertical="center"/>
    </xf>
    <xf numFmtId="0" fontId="4" fillId="0" borderId="0" xfId="38" applyFont="1" applyFill="1" applyBorder="1" applyAlignment="1">
      <alignment vertical="center"/>
    </xf>
    <xf numFmtId="4" fontId="4" fillId="0" borderId="0" xfId="38" applyNumberFormat="1" applyFont="1" applyFill="1" applyBorder="1" applyAlignment="1">
      <alignment vertical="center"/>
    </xf>
    <xf numFmtId="4" fontId="4" fillId="0" borderId="0" xfId="0" applyNumberFormat="1" applyFont="1" applyFill="1" applyBorder="1" applyAlignment="1">
      <alignment vertical="center"/>
    </xf>
    <xf numFmtId="0" fontId="16" fillId="0" borderId="0" xfId="0" applyFont="1" applyFill="1" applyBorder="1" applyAlignment="1">
      <alignment vertical="center"/>
    </xf>
    <xf numFmtId="0" fontId="13" fillId="0" borderId="0" xfId="0" applyFont="1" applyFill="1" applyBorder="1" applyAlignment="1">
      <alignment vertical="center"/>
    </xf>
    <xf numFmtId="166" fontId="13" fillId="0" borderId="0" xfId="0" applyNumberFormat="1" applyFont="1" applyFill="1" applyBorder="1" applyAlignment="1">
      <alignment horizontal="center" vertical="center"/>
    </xf>
    <xf numFmtId="168" fontId="13" fillId="0" borderId="0" xfId="0" applyNumberFormat="1" applyFont="1" applyFill="1" applyBorder="1" applyAlignment="1">
      <alignment horizontal="center" vertical="center"/>
    </xf>
    <xf numFmtId="168" fontId="13" fillId="0" borderId="0" xfId="0" applyNumberFormat="1" applyFont="1" applyFill="1" applyBorder="1" applyAlignment="1">
      <alignment vertical="center"/>
    </xf>
    <xf numFmtId="0" fontId="13" fillId="0" borderId="0" xfId="0" applyFont="1" applyFill="1" applyBorder="1" applyAlignment="1" applyProtection="1">
      <alignment horizontal="center" vertical="center"/>
      <protection locked="0"/>
    </xf>
    <xf numFmtId="168" fontId="16" fillId="0" borderId="0" xfId="0" applyNumberFormat="1" applyFont="1" applyFill="1" applyBorder="1" applyAlignment="1">
      <alignment vertical="center"/>
    </xf>
    <xf numFmtId="0" fontId="16" fillId="0" borderId="0" xfId="0" applyFont="1" applyFill="1" applyBorder="1" applyAlignment="1">
      <alignment horizontal="left" vertical="center"/>
    </xf>
    <xf numFmtId="0" fontId="13" fillId="0" borderId="0" xfId="0" applyFont="1" applyFill="1" applyBorder="1" applyAlignment="1">
      <alignment horizontal="left" vertical="center"/>
    </xf>
    <xf numFmtId="49" fontId="13" fillId="0" borderId="0" xfId="0" applyNumberFormat="1" applyFont="1" applyFill="1" applyBorder="1" applyAlignment="1">
      <alignment horizontal="right" vertical="center"/>
    </xf>
    <xf numFmtId="166" fontId="13" fillId="0" borderId="0" xfId="0" applyNumberFormat="1" applyFont="1" applyFill="1" applyBorder="1" applyAlignment="1">
      <alignment vertical="center"/>
    </xf>
    <xf numFmtId="0" fontId="19" fillId="0" borderId="0" xfId="0" applyFont="1" applyFill="1" applyBorder="1" applyAlignment="1">
      <alignment vertical="center"/>
    </xf>
    <xf numFmtId="0" fontId="22" fillId="0" borderId="0" xfId="0" applyFont="1" applyFill="1" applyAlignment="1">
      <alignment vertical="center"/>
    </xf>
    <xf numFmtId="0" fontId="18" fillId="0" borderId="0" xfId="0" applyFont="1" applyFill="1" applyAlignment="1">
      <alignment horizontal="center" vertical="center" wrapText="1"/>
    </xf>
    <xf numFmtId="2" fontId="18" fillId="0" borderId="4" xfId="0" applyNumberFormat="1" applyFont="1" applyFill="1" applyBorder="1" applyAlignment="1">
      <alignment vertical="center"/>
    </xf>
    <xf numFmtId="166" fontId="18" fillId="0" borderId="0" xfId="0" applyNumberFormat="1" applyFont="1" applyFill="1" applyBorder="1" applyAlignment="1">
      <alignment horizontal="right" vertical="center"/>
    </xf>
    <xf numFmtId="166" fontId="18" fillId="0" borderId="5" xfId="0" applyNumberFormat="1" applyFont="1" applyFill="1" applyBorder="1" applyAlignment="1">
      <alignment vertical="center"/>
    </xf>
    <xf numFmtId="166" fontId="101" fillId="0" borderId="5" xfId="0" applyNumberFormat="1" applyFont="1" applyFill="1" applyBorder="1" applyAlignment="1">
      <alignment vertical="center"/>
    </xf>
    <xf numFmtId="166" fontId="101" fillId="0" borderId="0" xfId="0" applyNumberFormat="1" applyFont="1" applyFill="1" applyAlignment="1">
      <alignment vertical="center"/>
    </xf>
    <xf numFmtId="166" fontId="18" fillId="0" borderId="0" xfId="0" applyNumberFormat="1" applyFont="1" applyFill="1" applyAlignment="1">
      <alignment vertical="center"/>
    </xf>
    <xf numFmtId="0" fontId="5" fillId="0" borderId="7" xfId="0" applyFont="1" applyFill="1" applyBorder="1" applyAlignment="1">
      <alignment horizontal="center" vertical="center"/>
    </xf>
    <xf numFmtId="166" fontId="22" fillId="0" borderId="2" xfId="0" applyNumberFormat="1" applyFont="1" applyFill="1" applyBorder="1" applyAlignment="1">
      <alignment horizontal="center" vertical="center"/>
    </xf>
    <xf numFmtId="2" fontId="21" fillId="0" borderId="0" xfId="28" applyNumberFormat="1" applyFont="1" applyFill="1" applyBorder="1" applyAlignment="1">
      <alignment vertical="center"/>
    </xf>
    <xf numFmtId="0" fontId="22" fillId="0" borderId="9" xfId="0" applyFont="1" applyFill="1" applyBorder="1" applyAlignment="1">
      <alignment horizontal="center" vertical="center" wrapText="1"/>
    </xf>
    <xf numFmtId="0" fontId="37" fillId="3" borderId="0" xfId="0" applyFont="1" applyFill="1" applyBorder="1"/>
    <xf numFmtId="0" fontId="37" fillId="3" borderId="22" xfId="0" applyFont="1" applyFill="1" applyBorder="1" applyAlignment="1">
      <alignment horizontal="center"/>
    </xf>
    <xf numFmtId="0" fontId="37" fillId="3" borderId="24" xfId="0" applyFont="1" applyFill="1" applyBorder="1" applyAlignment="1">
      <alignment horizontal="center"/>
    </xf>
    <xf numFmtId="0" fontId="10" fillId="3" borderId="30" xfId="0" applyFont="1" applyFill="1" applyBorder="1"/>
    <xf numFmtId="0" fontId="38" fillId="3" borderId="13" xfId="0" applyFont="1" applyFill="1" applyBorder="1" applyAlignment="1">
      <alignment horizontal="center"/>
    </xf>
    <xf numFmtId="0" fontId="37" fillId="3" borderId="31" xfId="0" applyFont="1" applyFill="1" applyBorder="1" applyAlignment="1">
      <alignment horizontal="center"/>
    </xf>
    <xf numFmtId="2" fontId="38" fillId="3" borderId="13" xfId="0" applyNumberFormat="1" applyFont="1" applyFill="1" applyBorder="1" applyAlignment="1">
      <alignment horizontal="center"/>
    </xf>
    <xf numFmtId="2" fontId="37" fillId="3" borderId="31" xfId="0" applyNumberFormat="1" applyFont="1" applyFill="1" applyBorder="1" applyAlignment="1">
      <alignment horizontal="center"/>
    </xf>
    <xf numFmtId="2" fontId="37" fillId="3" borderId="24" xfId="0" applyNumberFormat="1" applyFont="1" applyFill="1" applyBorder="1" applyAlignment="1">
      <alignment horizontal="center"/>
    </xf>
    <xf numFmtId="0" fontId="38" fillId="3" borderId="14" xfId="0" applyFont="1" applyFill="1" applyBorder="1" applyAlignment="1">
      <alignment horizontal="center"/>
    </xf>
    <xf numFmtId="2" fontId="38" fillId="3" borderId="0" xfId="0" applyNumberFormat="1" applyFont="1" applyFill="1" applyBorder="1" applyAlignment="1">
      <alignment horizontal="center"/>
    </xf>
    <xf numFmtId="2" fontId="38" fillId="3" borderId="24" xfId="0" applyNumberFormat="1" applyFont="1" applyFill="1" applyBorder="1" applyAlignment="1">
      <alignment horizontal="center"/>
    </xf>
    <xf numFmtId="2" fontId="38" fillId="3" borderId="14" xfId="0" applyNumberFormat="1" applyFont="1" applyFill="1" applyBorder="1" applyAlignment="1">
      <alignment horizontal="center"/>
    </xf>
    <xf numFmtId="2" fontId="38" fillId="3" borderId="32" xfId="0" applyNumberFormat="1" applyFont="1" applyFill="1" applyBorder="1" applyAlignment="1">
      <alignment horizontal="center"/>
    </xf>
    <xf numFmtId="2" fontId="37" fillId="3" borderId="14" xfId="0" applyNumberFormat="1" applyFont="1" applyFill="1" applyBorder="1" applyAlignment="1">
      <alignment horizontal="center"/>
    </xf>
    <xf numFmtId="2" fontId="37" fillId="3" borderId="0" xfId="0" applyNumberFormat="1" applyFont="1" applyFill="1" applyBorder="1" applyAlignment="1">
      <alignment horizontal="center"/>
    </xf>
    <xf numFmtId="0" fontId="6" fillId="3" borderId="30" xfId="0" applyFont="1" applyFill="1" applyBorder="1"/>
    <xf numFmtId="0" fontId="6" fillId="3" borderId="30" xfId="0" applyFont="1" applyFill="1" applyBorder="1" applyAlignment="1"/>
    <xf numFmtId="0" fontId="37" fillId="3" borderId="0" xfId="0" applyFont="1" applyFill="1" applyBorder="1" applyAlignment="1"/>
    <xf numFmtId="0" fontId="37" fillId="3" borderId="14" xfId="0" applyFont="1" applyFill="1" applyBorder="1"/>
    <xf numFmtId="0" fontId="37" fillId="3" borderId="0" xfId="0" applyFont="1" applyFill="1" applyBorder="1" applyAlignment="1">
      <alignment horizontal="center"/>
    </xf>
    <xf numFmtId="0" fontId="37" fillId="3" borderId="14" xfId="0" applyFont="1" applyFill="1" applyBorder="1" applyAlignment="1">
      <alignment horizontal="center"/>
    </xf>
    <xf numFmtId="0" fontId="37" fillId="3" borderId="16" xfId="0" applyFont="1" applyFill="1" applyBorder="1"/>
    <xf numFmtId="2" fontId="33" fillId="3" borderId="14" xfId="0" applyNumberFormat="1" applyFont="1" applyFill="1" applyBorder="1" applyAlignment="1">
      <alignment horizontal="center"/>
    </xf>
    <xf numFmtId="2" fontId="33" fillId="3" borderId="0" xfId="0" applyNumberFormat="1" applyFont="1" applyFill="1" applyBorder="1" applyAlignment="1">
      <alignment horizontal="center"/>
    </xf>
    <xf numFmtId="2" fontId="33" fillId="3" borderId="24" xfId="0" applyNumberFormat="1" applyFont="1" applyFill="1" applyBorder="1" applyAlignment="1">
      <alignment horizontal="center"/>
    </xf>
    <xf numFmtId="0" fontId="37" fillId="3" borderId="15" xfId="0" applyFont="1" applyFill="1" applyBorder="1"/>
    <xf numFmtId="0" fontId="6" fillId="3" borderId="0" xfId="0" applyFont="1" applyFill="1" applyBorder="1"/>
    <xf numFmtId="2" fontId="101" fillId="0" borderId="2" xfId="0" applyNumberFormat="1" applyFont="1" applyFill="1" applyBorder="1" applyAlignment="1">
      <alignment horizontal="right" vertical="center"/>
    </xf>
    <xf numFmtId="2" fontId="37" fillId="0" borderId="0" xfId="0" applyNumberFormat="1" applyFont="1" applyFill="1" applyBorder="1" applyAlignment="1">
      <alignment horizontal="center"/>
    </xf>
    <xf numFmtId="49" fontId="37" fillId="0" borderId="0" xfId="0" applyNumberFormat="1" applyFont="1" applyFill="1" applyBorder="1" applyAlignment="1">
      <alignment horizontal="center"/>
    </xf>
    <xf numFmtId="166" fontId="4" fillId="0" borderId="0" xfId="0" applyNumberFormat="1" applyFont="1" applyFill="1" applyBorder="1"/>
    <xf numFmtId="4" fontId="9" fillId="0" borderId="0" xfId="28" applyNumberFormat="1" applyFont="1" applyFill="1" applyBorder="1" applyAlignment="1">
      <alignment horizontal="center" vertical="center" wrapText="1"/>
    </xf>
    <xf numFmtId="166" fontId="9" fillId="0" borderId="0" xfId="28" applyNumberFormat="1" applyFont="1" applyFill="1" applyBorder="1" applyAlignment="1">
      <alignment vertical="center"/>
    </xf>
    <xf numFmtId="0" fontId="4" fillId="4" borderId="0" xfId="0" applyFont="1" applyFill="1" applyBorder="1" applyAlignment="1">
      <alignment vertical="center"/>
    </xf>
    <xf numFmtId="2" fontId="38" fillId="0" borderId="0" xfId="0" applyNumberFormat="1" applyFont="1" applyFill="1" applyBorder="1" applyAlignment="1">
      <alignment horizontal="center"/>
    </xf>
    <xf numFmtId="166" fontId="26" fillId="0" borderId="4" xfId="36" applyNumberFormat="1" applyFont="1" applyFill="1" applyBorder="1" applyAlignment="1">
      <alignment horizontal="right" vertical="center"/>
    </xf>
    <xf numFmtId="166" fontId="26" fillId="4" borderId="19" xfId="36" applyNumberFormat="1" applyFont="1" applyFill="1" applyBorder="1" applyAlignment="1">
      <alignment horizontal="right" vertical="center"/>
    </xf>
    <xf numFmtId="166" fontId="26" fillId="4" borderId="0" xfId="36" applyNumberFormat="1" applyFont="1" applyFill="1" applyBorder="1" applyAlignment="1">
      <alignment horizontal="right" vertical="center"/>
    </xf>
    <xf numFmtId="0" fontId="102" fillId="4" borderId="0" xfId="0" applyFont="1" applyFill="1" applyBorder="1" applyAlignment="1">
      <alignment vertical="center"/>
    </xf>
    <xf numFmtId="49" fontId="17" fillId="0" borderId="5" xfId="38" applyNumberFormat="1" applyFont="1" applyFill="1" applyBorder="1" applyAlignment="1">
      <alignment horizontal="center" vertical="center"/>
    </xf>
    <xf numFmtId="166" fontId="26" fillId="4" borderId="18" xfId="36" applyNumberFormat="1" applyFont="1" applyFill="1" applyBorder="1" applyAlignment="1">
      <alignment horizontal="right" vertical="center"/>
    </xf>
    <xf numFmtId="0" fontId="29" fillId="0" borderId="6" xfId="38" applyFont="1" applyBorder="1" applyAlignment="1">
      <alignment horizontal="center" vertical="center"/>
    </xf>
    <xf numFmtId="166" fontId="5" fillId="0" borderId="4" xfId="0" applyNumberFormat="1" applyFont="1" applyFill="1" applyBorder="1" applyAlignment="1">
      <alignment horizontal="center" vertical="center"/>
    </xf>
    <xf numFmtId="0" fontId="18" fillId="4" borderId="0" xfId="38" applyFont="1" applyFill="1" applyBorder="1" applyAlignment="1">
      <alignment vertical="center"/>
    </xf>
    <xf numFmtId="0" fontId="22" fillId="4" borderId="0" xfId="0" applyFont="1" applyFill="1" applyBorder="1" applyAlignment="1">
      <alignment vertical="center"/>
    </xf>
    <xf numFmtId="0" fontId="29" fillId="4" borderId="0" xfId="0" applyFont="1" applyFill="1" applyAlignment="1">
      <alignment vertical="center"/>
    </xf>
    <xf numFmtId="0" fontId="32" fillId="4" borderId="0" xfId="28" applyFont="1" applyFill="1" applyBorder="1"/>
    <xf numFmtId="0" fontId="0" fillId="4" borderId="0" xfId="0" applyFill="1" applyBorder="1" applyAlignment="1">
      <alignment vertical="center"/>
    </xf>
    <xf numFmtId="0" fontId="4" fillId="4" borderId="0" xfId="0" applyFont="1" applyFill="1" applyBorder="1" applyAlignment="1">
      <alignment horizontal="center" vertical="center" wrapText="1"/>
    </xf>
    <xf numFmtId="168" fontId="18" fillId="0" borderId="5" xfId="38" applyNumberFormat="1" applyFont="1" applyFill="1" applyBorder="1" applyAlignment="1">
      <alignment horizontal="center" vertical="center"/>
    </xf>
    <xf numFmtId="168" fontId="18" fillId="0" borderId="2" xfId="38" applyNumberFormat="1" applyFont="1" applyFill="1" applyBorder="1" applyAlignment="1">
      <alignment horizontal="center" vertical="center"/>
    </xf>
    <xf numFmtId="166" fontId="5" fillId="0" borderId="0" xfId="0" applyNumberFormat="1" applyFont="1" applyFill="1" applyBorder="1" applyAlignment="1">
      <alignment horizontal="center" vertical="center"/>
    </xf>
    <xf numFmtId="166" fontId="101" fillId="0" borderId="2" xfId="0" applyNumberFormat="1" applyFont="1" applyFill="1" applyBorder="1" applyAlignment="1">
      <alignment horizontal="center" vertical="center"/>
    </xf>
    <xf numFmtId="2" fontId="101" fillId="0" borderId="2" xfId="0" applyNumberFormat="1" applyFont="1" applyFill="1" applyBorder="1" applyAlignment="1">
      <alignment horizontal="center" vertical="center"/>
    </xf>
    <xf numFmtId="166" fontId="32" fillId="0" borderId="0" xfId="28" applyNumberFormat="1" applyFont="1" applyFill="1" applyBorder="1" applyAlignment="1">
      <alignment horizontal="center"/>
    </xf>
    <xf numFmtId="166" fontId="21" fillId="0" borderId="12" xfId="28" applyNumberFormat="1" applyFont="1" applyFill="1" applyBorder="1" applyAlignment="1">
      <alignment horizontal="center"/>
    </xf>
    <xf numFmtId="166" fontId="21" fillId="0" borderId="8" xfId="28" applyNumberFormat="1" applyFont="1" applyFill="1" applyBorder="1" applyAlignment="1">
      <alignment horizontal="center"/>
    </xf>
    <xf numFmtId="166" fontId="32" fillId="0" borderId="4" xfId="28" applyNumberFormat="1" applyFont="1" applyFill="1" applyBorder="1" applyAlignment="1">
      <alignment horizontal="center"/>
    </xf>
    <xf numFmtId="166" fontId="21" fillId="0" borderId="0" xfId="28" applyNumberFormat="1" applyFont="1" applyFill="1" applyBorder="1" applyAlignment="1">
      <alignment horizontal="center"/>
    </xf>
    <xf numFmtId="166" fontId="21" fillId="0" borderId="4" xfId="28" applyNumberFormat="1" applyFont="1" applyFill="1" applyBorder="1" applyAlignment="1">
      <alignment horizontal="center"/>
    </xf>
    <xf numFmtId="168" fontId="17" fillId="0" borderId="1" xfId="38" applyNumberFormat="1" applyFont="1" applyFill="1" applyBorder="1" applyAlignment="1">
      <alignment horizontal="center" vertical="center"/>
    </xf>
    <xf numFmtId="168" fontId="17" fillId="0" borderId="7" xfId="38" applyNumberFormat="1" applyFont="1" applyFill="1" applyBorder="1" applyAlignment="1">
      <alignment horizontal="center" vertical="center"/>
    </xf>
    <xf numFmtId="168" fontId="17" fillId="0" borderId="2" xfId="38" applyNumberFormat="1" applyFont="1" applyFill="1" applyBorder="1" applyAlignment="1">
      <alignment horizontal="center" vertical="center"/>
    </xf>
    <xf numFmtId="168" fontId="17" fillId="0" borderId="5" xfId="38" applyNumberFormat="1" applyFont="1" applyFill="1" applyBorder="1" applyAlignment="1">
      <alignment horizontal="center" vertical="center"/>
    </xf>
    <xf numFmtId="0" fontId="17" fillId="0" borderId="5" xfId="38" applyFont="1" applyFill="1" applyBorder="1" applyAlignment="1">
      <alignment horizontal="center" vertical="center"/>
    </xf>
    <xf numFmtId="168" fontId="5" fillId="0" borderId="2" xfId="38" applyNumberFormat="1" applyFont="1" applyFill="1" applyBorder="1" applyAlignment="1">
      <alignment horizontal="center" vertical="center"/>
    </xf>
    <xf numFmtId="168" fontId="5" fillId="0" borderId="5" xfId="38" applyNumberFormat="1" applyFont="1" applyFill="1" applyBorder="1" applyAlignment="1">
      <alignment horizontal="center" vertical="center"/>
    </xf>
    <xf numFmtId="0" fontId="5" fillId="0" borderId="0" xfId="38" applyFont="1" applyFill="1" applyBorder="1" applyAlignment="1">
      <alignment horizontal="center" vertical="center"/>
    </xf>
    <xf numFmtId="168" fontId="5" fillId="0" borderId="0" xfId="38" applyNumberFormat="1" applyFont="1" applyFill="1" applyBorder="1" applyAlignment="1">
      <alignment horizontal="center" vertical="center"/>
    </xf>
    <xf numFmtId="168" fontId="18" fillId="0" borderId="4" xfId="38" applyNumberFormat="1" applyFont="1" applyFill="1" applyBorder="1" applyAlignment="1">
      <alignment horizontal="center" vertical="center"/>
    </xf>
    <xf numFmtId="168" fontId="18" fillId="0" borderId="0" xfId="38" applyNumberFormat="1" applyFont="1" applyFill="1" applyBorder="1" applyAlignment="1">
      <alignment horizontal="center" vertical="center"/>
    </xf>
    <xf numFmtId="168" fontId="29" fillId="0" borderId="2" xfId="38" applyNumberFormat="1" applyFont="1" applyBorder="1" applyAlignment="1">
      <alignment horizontal="center"/>
    </xf>
    <xf numFmtId="168" fontId="29" fillId="3" borderId="2" xfId="38" applyNumberFormat="1" applyFont="1" applyFill="1" applyBorder="1" applyAlignment="1">
      <alignment horizontal="center"/>
    </xf>
    <xf numFmtId="166" fontId="16" fillId="0" borderId="0" xfId="0" applyNumberFormat="1" applyFont="1" applyFill="1" applyBorder="1" applyAlignment="1">
      <alignment horizontal="center" vertical="center"/>
    </xf>
    <xf numFmtId="168" fontId="16" fillId="0" borderId="0" xfId="0" applyNumberFormat="1" applyFont="1" applyFill="1" applyBorder="1" applyAlignment="1">
      <alignment horizontal="center" vertical="center"/>
    </xf>
    <xf numFmtId="168" fontId="16" fillId="0" borderId="4" xfId="0" applyNumberFormat="1" applyFont="1" applyFill="1" applyBorder="1" applyAlignment="1">
      <alignment horizontal="center" vertical="center"/>
    </xf>
    <xf numFmtId="166" fontId="17" fillId="0" borderId="2" xfId="0" applyNumberFormat="1" applyFont="1" applyFill="1" applyBorder="1" applyAlignment="1">
      <alignment horizontal="center" vertical="center"/>
    </xf>
    <xf numFmtId="166" fontId="17" fillId="0" borderId="1" xfId="0" applyNumberFormat="1" applyFont="1" applyFill="1" applyBorder="1" applyAlignment="1">
      <alignment horizontal="center" vertical="center"/>
    </xf>
    <xf numFmtId="166" fontId="113" fillId="0" borderId="1" xfId="0" applyNumberFormat="1" applyFont="1" applyFill="1" applyBorder="1" applyAlignment="1">
      <alignment horizontal="center" vertical="center"/>
    </xf>
    <xf numFmtId="166" fontId="113" fillId="0" borderId="2" xfId="0" applyNumberFormat="1" applyFont="1" applyFill="1" applyBorder="1" applyAlignment="1">
      <alignment horizontal="center" vertical="center"/>
    </xf>
    <xf numFmtId="2" fontId="113" fillId="0" borderId="2" xfId="0" applyNumberFormat="1" applyFont="1" applyFill="1" applyBorder="1" applyAlignment="1">
      <alignment horizontal="center" vertical="center"/>
    </xf>
    <xf numFmtId="166" fontId="102" fillId="0" borderId="0" xfId="0" applyNumberFormat="1" applyFont="1" applyBorder="1"/>
    <xf numFmtId="166" fontId="114" fillId="4" borderId="0" xfId="0" applyNumberFormat="1" applyFont="1" applyFill="1" applyBorder="1" applyAlignment="1">
      <alignment horizontal="center" vertical="center"/>
    </xf>
    <xf numFmtId="0" fontId="5" fillId="0" borderId="0" xfId="38" applyFont="1" applyFill="1" applyBorder="1" applyAlignment="1">
      <alignment vertical="center"/>
    </xf>
    <xf numFmtId="0" fontId="37" fillId="4" borderId="0" xfId="0" applyFont="1" applyFill="1" applyBorder="1"/>
    <xf numFmtId="49" fontId="5" fillId="0" borderId="2" xfId="38" applyNumberFormat="1" applyFont="1" applyFill="1" applyBorder="1" applyAlignment="1">
      <alignment horizontal="center" vertical="center"/>
    </xf>
    <xf numFmtId="166" fontId="4" fillId="0" borderId="0" xfId="0" applyNumberFormat="1" applyFont="1" applyFill="1" applyAlignment="1">
      <alignment horizontal="center" vertical="center" wrapText="1"/>
    </xf>
    <xf numFmtId="166" fontId="18" fillId="0" borderId="0" xfId="0" applyNumberFormat="1" applyFont="1" applyFill="1" applyBorder="1" applyAlignment="1">
      <alignment horizontal="center" vertical="center"/>
    </xf>
    <xf numFmtId="166" fontId="25" fillId="0" borderId="2" xfId="0" applyNumberFormat="1" applyFont="1" applyFill="1" applyBorder="1" applyAlignment="1">
      <alignment horizontal="center" vertical="center"/>
    </xf>
    <xf numFmtId="166" fontId="7" fillId="0" borderId="2" xfId="0" applyNumberFormat="1" applyFont="1" applyFill="1" applyBorder="1" applyAlignment="1">
      <alignment horizontal="center" vertical="center"/>
    </xf>
    <xf numFmtId="166" fontId="65" fillId="0" borderId="0" xfId="0" applyNumberFormat="1" applyFont="1" applyFill="1" applyBorder="1" applyAlignment="1">
      <alignment horizontal="center" vertical="center"/>
    </xf>
    <xf numFmtId="166" fontId="67" fillId="0" borderId="0" xfId="0" applyNumberFormat="1" applyFont="1" applyFill="1" applyBorder="1" applyAlignment="1">
      <alignment horizontal="center" vertical="center"/>
    </xf>
    <xf numFmtId="0" fontId="115" fillId="0" borderId="0" xfId="0" applyFont="1" applyAlignment="1">
      <alignment horizontal="center"/>
    </xf>
    <xf numFmtId="166" fontId="69" fillId="0" borderId="0" xfId="0" applyNumberFormat="1" applyFont="1" applyFill="1" applyBorder="1" applyAlignment="1">
      <alignment horizontal="center" vertical="center"/>
    </xf>
    <xf numFmtId="166" fontId="70" fillId="0" borderId="0" xfId="0" applyNumberFormat="1" applyFont="1" applyFill="1" applyBorder="1" applyAlignment="1">
      <alignment horizontal="center" vertical="center"/>
    </xf>
    <xf numFmtId="0" fontId="77" fillId="0" borderId="0" xfId="0" applyFont="1" applyFill="1" applyBorder="1" applyAlignment="1">
      <alignment horizontal="center"/>
    </xf>
    <xf numFmtId="3" fontId="5" fillId="4" borderId="4" xfId="0" applyNumberFormat="1" applyFont="1" applyFill="1" applyBorder="1" applyAlignment="1">
      <alignment horizontal="center" vertical="center" wrapText="1"/>
    </xf>
    <xf numFmtId="3" fontId="5" fillId="4" borderId="1" xfId="0" applyNumberFormat="1" applyFont="1" applyFill="1" applyBorder="1" applyAlignment="1">
      <alignment horizontal="center" vertical="center" wrapText="1"/>
    </xf>
    <xf numFmtId="3" fontId="5" fillId="4" borderId="2" xfId="0" applyNumberFormat="1" applyFont="1" applyFill="1" applyBorder="1" applyAlignment="1">
      <alignment horizontal="center" vertical="center" wrapText="1"/>
    </xf>
    <xf numFmtId="3" fontId="0" fillId="0" borderId="2" xfId="0" applyNumberFormat="1" applyBorder="1"/>
    <xf numFmtId="3" fontId="5" fillId="4" borderId="19" xfId="0" applyNumberFormat="1" applyFont="1" applyFill="1" applyBorder="1" applyAlignment="1">
      <alignment horizontal="center" vertical="center"/>
    </xf>
    <xf numFmtId="3" fontId="5" fillId="4" borderId="3" xfId="0" applyNumberFormat="1" applyFont="1" applyFill="1" applyBorder="1" applyAlignment="1">
      <alignment horizontal="center" vertical="center" wrapText="1"/>
    </xf>
    <xf numFmtId="3" fontId="5" fillId="4" borderId="3" xfId="0" applyNumberFormat="1" applyFont="1" applyFill="1" applyBorder="1" applyAlignment="1">
      <alignment horizontal="center" vertical="center"/>
    </xf>
    <xf numFmtId="0" fontId="5" fillId="0" borderId="0" xfId="0" applyFont="1" applyFill="1" applyBorder="1"/>
    <xf numFmtId="0" fontId="5" fillId="3" borderId="0" xfId="0" applyFont="1" applyFill="1" applyBorder="1"/>
    <xf numFmtId="0" fontId="5" fillId="0" borderId="0" xfId="28" applyFont="1" applyFill="1" applyBorder="1"/>
    <xf numFmtId="0" fontId="5" fillId="0" borderId="0" xfId="28" applyFont="1" applyFill="1" applyBorder="1" applyAlignment="1">
      <alignment vertical="center"/>
    </xf>
    <xf numFmtId="0" fontId="5" fillId="0" borderId="0" xfId="0" applyFont="1" applyFill="1" applyBorder="1" applyAlignment="1">
      <alignment horizontal="center" vertical="center" wrapText="1"/>
    </xf>
    <xf numFmtId="0" fontId="5" fillId="0" borderId="0" xfId="28" applyFont="1" applyFill="1" applyBorder="1" applyAlignment="1">
      <alignment horizontal="center" vertical="center" wrapText="1"/>
    </xf>
    <xf numFmtId="0" fontId="5" fillId="0" borderId="0" xfId="36" applyFont="1" applyFill="1" applyAlignment="1">
      <alignment vertical="center"/>
    </xf>
    <xf numFmtId="0" fontId="5" fillId="4" borderId="0" xfId="0" applyFont="1" applyFill="1" applyBorder="1"/>
    <xf numFmtId="0" fontId="101" fillId="4" borderId="0" xfId="0" applyFont="1" applyFill="1" applyBorder="1"/>
    <xf numFmtId="0" fontId="5" fillId="4" borderId="0" xfId="0" applyFont="1" applyFill="1" applyBorder="1" applyAlignment="1">
      <alignment vertical="center"/>
    </xf>
    <xf numFmtId="0" fontId="101" fillId="4" borderId="0" xfId="0" applyFont="1" applyFill="1" applyBorder="1" applyAlignment="1">
      <alignment vertical="center"/>
    </xf>
    <xf numFmtId="0" fontId="37" fillId="4" borderId="0" xfId="0" applyFont="1" applyFill="1" applyBorder="1" applyAlignment="1"/>
    <xf numFmtId="0" fontId="21" fillId="4" borderId="0" xfId="0" applyFont="1" applyFill="1" applyBorder="1" applyAlignment="1">
      <alignment vertical="center"/>
    </xf>
    <xf numFmtId="0" fontId="107" fillId="4" borderId="0" xfId="0" applyFont="1" applyFill="1" applyBorder="1"/>
    <xf numFmtId="0" fontId="108" fillId="4" borderId="0" xfId="0" applyFont="1" applyFill="1"/>
    <xf numFmtId="0" fontId="101" fillId="4" borderId="0" xfId="0" applyFont="1" applyFill="1"/>
    <xf numFmtId="0" fontId="5" fillId="4" borderId="0" xfId="28" applyFont="1" applyFill="1" applyBorder="1"/>
    <xf numFmtId="0" fontId="35" fillId="4" borderId="0" xfId="28" applyFont="1" applyFill="1" applyBorder="1"/>
    <xf numFmtId="0" fontId="5" fillId="4" borderId="0" xfId="28" applyFont="1" applyFill="1" applyBorder="1" applyAlignment="1">
      <alignment vertical="center"/>
    </xf>
    <xf numFmtId="0" fontId="5" fillId="4" borderId="0" xfId="0" applyFont="1" applyFill="1" applyBorder="1" applyAlignment="1">
      <alignment horizontal="center" vertical="center" wrapText="1"/>
    </xf>
    <xf numFmtId="0" fontId="101" fillId="4" borderId="0" xfId="0" applyFont="1" applyFill="1" applyBorder="1" applyAlignment="1">
      <alignment horizontal="center" vertical="center" wrapText="1"/>
    </xf>
    <xf numFmtId="0" fontId="25" fillId="4" borderId="0" xfId="28" applyFont="1" applyFill="1" applyBorder="1" applyAlignment="1">
      <alignment vertical="center"/>
    </xf>
    <xf numFmtId="0" fontId="9" fillId="4" borderId="0" xfId="28" applyFont="1" applyFill="1" applyBorder="1" applyAlignment="1">
      <alignment vertical="center"/>
    </xf>
    <xf numFmtId="0" fontId="5" fillId="4" borderId="0" xfId="0" applyFont="1" applyFill="1" applyAlignment="1">
      <alignment horizontal="center" vertical="center" wrapText="1"/>
    </xf>
    <xf numFmtId="0" fontId="17" fillId="4" borderId="0" xfId="0" applyFont="1" applyFill="1" applyAlignment="1">
      <alignment horizontal="center" vertical="center" wrapText="1"/>
    </xf>
    <xf numFmtId="0" fontId="18" fillId="4" borderId="0" xfId="0" applyFont="1" applyFill="1" applyAlignment="1">
      <alignment horizontal="center" vertical="center" wrapText="1"/>
    </xf>
    <xf numFmtId="0" fontId="18" fillId="4" borderId="0" xfId="0" applyFont="1" applyFill="1" applyAlignment="1">
      <alignment vertical="center"/>
    </xf>
    <xf numFmtId="0" fontId="5" fillId="4" borderId="0" xfId="28" applyFont="1" applyFill="1" applyBorder="1" applyAlignment="1">
      <alignment horizontal="center" vertical="center" wrapText="1"/>
    </xf>
    <xf numFmtId="0" fontId="9" fillId="4" borderId="0" xfId="28" applyFont="1" applyFill="1" applyBorder="1" applyAlignment="1">
      <alignment horizontal="center" vertical="center" wrapText="1"/>
    </xf>
    <xf numFmtId="0" fontId="4" fillId="4" borderId="0" xfId="0" applyFont="1" applyFill="1" applyAlignment="1">
      <alignment horizontal="center" vertical="center" wrapText="1"/>
    </xf>
    <xf numFmtId="0" fontId="5" fillId="4" borderId="0" xfId="36" applyFont="1" applyFill="1" applyAlignment="1">
      <alignment vertical="center"/>
    </xf>
    <xf numFmtId="0" fontId="16" fillId="4" borderId="0" xfId="36" applyFont="1" applyFill="1" applyAlignment="1">
      <alignment vertical="center"/>
    </xf>
    <xf numFmtId="0" fontId="18" fillId="4" borderId="0" xfId="36" applyFont="1" applyFill="1" applyAlignment="1">
      <alignment vertical="center"/>
    </xf>
    <xf numFmtId="49" fontId="5" fillId="0" borderId="2" xfId="0" applyNumberFormat="1" applyFont="1" applyFill="1" applyBorder="1" applyAlignment="1">
      <alignment horizontal="center" vertical="center"/>
    </xf>
    <xf numFmtId="49" fontId="4" fillId="0" borderId="2" xfId="0" applyNumberFormat="1" applyFont="1" applyFill="1" applyBorder="1" applyAlignment="1">
      <alignment horizontal="center" vertical="center"/>
    </xf>
    <xf numFmtId="166" fontId="9" fillId="0" borderId="0" xfId="36" applyNumberFormat="1" applyFont="1" applyFill="1" applyAlignment="1">
      <alignment vertical="center"/>
    </xf>
    <xf numFmtId="0" fontId="0" fillId="0" borderId="0" xfId="0" applyAlignment="1">
      <alignment horizontal="center"/>
    </xf>
    <xf numFmtId="0" fontId="87" fillId="0" borderId="0" xfId="28" applyFont="1" applyFill="1" applyBorder="1" applyAlignment="1">
      <alignment vertical="center"/>
    </xf>
    <xf numFmtId="0" fontId="37" fillId="3" borderId="0" xfId="0" applyFont="1" applyFill="1" applyBorder="1" applyAlignment="1">
      <alignment horizontal="left" vertical="center"/>
    </xf>
    <xf numFmtId="0" fontId="118" fillId="0" borderId="0" xfId="0" applyFont="1" applyFill="1" applyBorder="1" applyAlignment="1">
      <alignment vertical="center"/>
    </xf>
    <xf numFmtId="0" fontId="119" fillId="0" borderId="0" xfId="0" applyFont="1" applyFill="1" applyBorder="1" applyAlignment="1">
      <alignment vertical="center"/>
    </xf>
    <xf numFmtId="0" fontId="0" fillId="0" borderId="0" xfId="0" applyAlignment="1">
      <alignment horizontal="center" vertical="center"/>
    </xf>
    <xf numFmtId="0" fontId="5" fillId="0" borderId="0" xfId="0" applyFont="1" applyAlignment="1">
      <alignment horizontal="center" vertical="center"/>
    </xf>
    <xf numFmtId="0" fontId="5" fillId="4" borderId="0" xfId="0" applyFont="1" applyFill="1" applyAlignment="1">
      <alignment horizontal="center" vertical="center"/>
    </xf>
    <xf numFmtId="0" fontId="0" fillId="4" borderId="0" xfId="0" applyFill="1" applyAlignment="1">
      <alignment horizontal="center" vertical="center"/>
    </xf>
    <xf numFmtId="0" fontId="12" fillId="0" borderId="0" xfId="0" applyFont="1" applyFill="1" applyBorder="1" applyAlignment="1">
      <alignment horizontal="center" vertical="center"/>
    </xf>
    <xf numFmtId="0" fontId="36" fillId="0" borderId="0" xfId="38" applyAlignment="1">
      <alignment vertical="center"/>
    </xf>
    <xf numFmtId="0" fontId="49" fillId="0" borderId="0" xfId="38" applyFont="1" applyAlignment="1">
      <alignment vertical="center"/>
    </xf>
    <xf numFmtId="0" fontId="5" fillId="0" borderId="0" xfId="38" applyFont="1" applyAlignment="1">
      <alignment vertical="center"/>
    </xf>
    <xf numFmtId="0" fontId="5" fillId="4" borderId="0" xfId="38" applyFont="1" applyFill="1" applyAlignment="1">
      <alignment vertical="center"/>
    </xf>
    <xf numFmtId="0" fontId="49" fillId="4" borderId="0" xfId="38" applyFont="1" applyFill="1" applyAlignment="1">
      <alignment vertical="center"/>
    </xf>
    <xf numFmtId="0" fontId="36" fillId="4" borderId="0" xfId="38" applyFill="1" applyAlignment="1">
      <alignment vertical="center"/>
    </xf>
    <xf numFmtId="14" fontId="29" fillId="0" borderId="1" xfId="38" applyNumberFormat="1" applyFont="1" applyBorder="1" applyAlignment="1">
      <alignment horizontal="center" vertical="center"/>
    </xf>
    <xf numFmtId="0" fontId="29" fillId="0" borderId="1" xfId="38" applyFont="1" applyBorder="1" applyAlignment="1">
      <alignment horizontal="center" vertical="center"/>
    </xf>
    <xf numFmtId="1" fontId="29" fillId="0" borderId="1" xfId="38" applyNumberFormat="1" applyFont="1" applyBorder="1" applyAlignment="1">
      <alignment horizontal="center" vertical="center"/>
    </xf>
    <xf numFmtId="4" fontId="29" fillId="0" borderId="1" xfId="38" applyNumberFormat="1" applyFont="1" applyBorder="1" applyAlignment="1">
      <alignment horizontal="center" vertical="center"/>
    </xf>
    <xf numFmtId="2" fontId="29" fillId="0" borderId="1" xfId="38" applyNumberFormat="1" applyFont="1" applyBorder="1" applyAlignment="1">
      <alignment horizontal="center" vertical="center"/>
    </xf>
    <xf numFmtId="10" fontId="29" fillId="0" borderId="1" xfId="38" applyNumberFormat="1" applyFont="1" applyBorder="1" applyAlignment="1">
      <alignment horizontal="center" vertical="center"/>
    </xf>
    <xf numFmtId="14" fontId="29" fillId="0" borderId="6" xfId="38" applyNumberFormat="1" applyFont="1" applyBorder="1" applyAlignment="1">
      <alignment horizontal="center" vertical="center"/>
    </xf>
    <xf numFmtId="1" fontId="29" fillId="0" borderId="6" xfId="38" applyNumberFormat="1" applyFont="1" applyBorder="1" applyAlignment="1">
      <alignment horizontal="center" vertical="center"/>
    </xf>
    <xf numFmtId="2" fontId="29" fillId="0" borderId="6" xfId="38" applyNumberFormat="1" applyFont="1" applyBorder="1" applyAlignment="1">
      <alignment horizontal="center" vertical="center"/>
    </xf>
    <xf numFmtId="10" fontId="29" fillId="0" borderId="6" xfId="38" applyNumberFormat="1" applyFont="1" applyBorder="1" applyAlignment="1">
      <alignment horizontal="center" vertical="center"/>
    </xf>
    <xf numFmtId="4" fontId="29" fillId="0" borderId="6" xfId="38" applyNumberFormat="1" applyFont="1" applyBorder="1" applyAlignment="1">
      <alignment horizontal="center" vertical="center"/>
    </xf>
    <xf numFmtId="14" fontId="29" fillId="2" borderId="6" xfId="38" applyNumberFormat="1" applyFont="1" applyFill="1" applyBorder="1" applyAlignment="1">
      <alignment horizontal="center" vertical="center"/>
    </xf>
    <xf numFmtId="1" fontId="29" fillId="2" borderId="6" xfId="38" applyNumberFormat="1" applyFont="1" applyFill="1" applyBorder="1" applyAlignment="1">
      <alignment horizontal="center" vertical="center"/>
    </xf>
    <xf numFmtId="4" fontId="29" fillId="2" borderId="6" xfId="38" applyNumberFormat="1" applyFont="1" applyFill="1" applyBorder="1" applyAlignment="1">
      <alignment horizontal="center" vertical="center"/>
    </xf>
    <xf numFmtId="2" fontId="29" fillId="2" borderId="6" xfId="38" applyNumberFormat="1" applyFont="1" applyFill="1" applyBorder="1" applyAlignment="1">
      <alignment horizontal="center" vertical="center"/>
    </xf>
    <xf numFmtId="0" fontId="36" fillId="2" borderId="0" xfId="38" applyFill="1" applyAlignment="1">
      <alignment vertical="center"/>
    </xf>
    <xf numFmtId="0" fontId="29" fillId="2" borderId="6" xfId="38" applyFont="1" applyFill="1" applyBorder="1" applyAlignment="1">
      <alignment horizontal="center" vertical="center"/>
    </xf>
    <xf numFmtId="2" fontId="36" fillId="0" borderId="0" xfId="38" applyNumberFormat="1" applyAlignment="1">
      <alignment vertical="center"/>
    </xf>
    <xf numFmtId="2" fontId="29" fillId="4" borderId="6" xfId="38" applyNumberFormat="1" applyFont="1" applyFill="1" applyBorder="1" applyAlignment="1">
      <alignment horizontal="center" vertical="center"/>
    </xf>
    <xf numFmtId="14" fontId="29" fillId="6" borderId="6" xfId="38" applyNumberFormat="1" applyFont="1" applyFill="1" applyBorder="1" applyAlignment="1">
      <alignment horizontal="center" vertical="center"/>
    </xf>
    <xf numFmtId="1" fontId="29" fillId="6" borderId="6" xfId="38" applyNumberFormat="1" applyFont="1" applyFill="1" applyBorder="1" applyAlignment="1">
      <alignment horizontal="center" vertical="center"/>
    </xf>
    <xf numFmtId="4" fontId="29" fillId="6" borderId="6" xfId="38" applyNumberFormat="1" applyFont="1" applyFill="1" applyBorder="1" applyAlignment="1">
      <alignment horizontal="center" vertical="center"/>
    </xf>
    <xf numFmtId="2" fontId="29" fillId="6" borderId="6" xfId="38" applyNumberFormat="1" applyFont="1" applyFill="1" applyBorder="1" applyAlignment="1">
      <alignment horizontal="center" vertical="center"/>
    </xf>
    <xf numFmtId="0" fontId="36" fillId="6" borderId="0" xfId="38" applyFill="1" applyAlignment="1">
      <alignment vertical="center"/>
    </xf>
    <xf numFmtId="9" fontId="103" fillId="0" borderId="0" xfId="40" applyFont="1" applyFill="1" applyBorder="1" applyAlignment="1">
      <alignment vertical="center"/>
    </xf>
    <xf numFmtId="0" fontId="103" fillId="0" borderId="0" xfId="40" applyNumberFormat="1" applyFont="1" applyFill="1" applyBorder="1" applyAlignment="1">
      <alignment vertical="center"/>
    </xf>
    <xf numFmtId="2" fontId="103" fillId="0" borderId="0" xfId="40" applyNumberFormat="1" applyFont="1" applyFill="1" applyBorder="1" applyAlignment="1">
      <alignment vertical="center"/>
    </xf>
    <xf numFmtId="0" fontId="5" fillId="0" borderId="2" xfId="0" applyFont="1" applyFill="1" applyBorder="1" applyAlignment="1">
      <alignment horizontal="center" vertical="center"/>
    </xf>
    <xf numFmtId="0" fontId="0" fillId="0" borderId="0" xfId="0" applyFont="1" applyAlignment="1">
      <alignment horizontal="center" vertical="center"/>
    </xf>
    <xf numFmtId="0" fontId="115" fillId="0" borderId="0" xfId="0" applyFont="1" applyAlignment="1">
      <alignment horizontal="center" vertical="center"/>
    </xf>
    <xf numFmtId="166" fontId="9" fillId="0" borderId="0" xfId="36" applyNumberFormat="1" applyFont="1" applyFill="1" applyBorder="1" applyAlignment="1">
      <alignment horizontal="center" vertical="center"/>
    </xf>
    <xf numFmtId="166" fontId="9" fillId="0" borderId="4" xfId="36" applyNumberFormat="1" applyFont="1" applyFill="1" applyBorder="1" applyAlignment="1">
      <alignment horizontal="center" vertical="center"/>
    </xf>
    <xf numFmtId="0" fontId="6" fillId="3" borderId="33" xfId="0" applyFont="1" applyFill="1" applyBorder="1"/>
    <xf numFmtId="2" fontId="37" fillId="3" borderId="34" xfId="0" applyNumberFormat="1" applyFont="1" applyFill="1" applyBorder="1" applyAlignment="1">
      <alignment horizontal="center"/>
    </xf>
    <xf numFmtId="2" fontId="37" fillId="3" borderId="12" xfId="0" applyNumberFormat="1" applyFont="1" applyFill="1" applyBorder="1" applyAlignment="1">
      <alignment horizontal="center"/>
    </xf>
    <xf numFmtId="2" fontId="37" fillId="3" borderId="32" xfId="0" applyNumberFormat="1" applyFont="1" applyFill="1" applyBorder="1" applyAlignment="1">
      <alignment horizontal="center"/>
    </xf>
    <xf numFmtId="0" fontId="37" fillId="3" borderId="34" xfId="0" applyFont="1" applyFill="1" applyBorder="1"/>
    <xf numFmtId="0" fontId="37" fillId="3" borderId="12" xfId="0" applyFont="1" applyFill="1" applyBorder="1"/>
    <xf numFmtId="0" fontId="10" fillId="3" borderId="35" xfId="0" applyFont="1" applyFill="1" applyBorder="1"/>
    <xf numFmtId="0" fontId="6" fillId="3" borderId="35" xfId="0" applyFont="1" applyFill="1" applyBorder="1"/>
    <xf numFmtId="14" fontId="10" fillId="3" borderId="35" xfId="0" applyNumberFormat="1" applyFont="1" applyFill="1" applyBorder="1" applyAlignment="1">
      <alignment horizontal="left"/>
    </xf>
    <xf numFmtId="0" fontId="6" fillId="3" borderId="5" xfId="0" applyFont="1" applyFill="1" applyBorder="1"/>
    <xf numFmtId="14" fontId="10" fillId="3" borderId="5" xfId="0" applyNumberFormat="1" applyFont="1" applyFill="1" applyBorder="1" applyAlignment="1">
      <alignment horizontal="left"/>
    </xf>
    <xf numFmtId="182" fontId="32" fillId="0" borderId="0" xfId="6" applyNumberFormat="1" applyFont="1" applyFill="1" applyAlignment="1">
      <alignment vertical="center"/>
    </xf>
    <xf numFmtId="183" fontId="32" fillId="0" borderId="0" xfId="6" applyNumberFormat="1" applyFont="1" applyFill="1" applyAlignment="1">
      <alignment vertical="center"/>
    </xf>
    <xf numFmtId="182" fontId="129" fillId="0" borderId="0" xfId="4" applyNumberFormat="1" applyFont="1" applyFill="1"/>
    <xf numFmtId="165" fontId="129" fillId="0" borderId="0" xfId="4" applyFont="1" applyFill="1" applyAlignment="1">
      <alignment horizontal="center" vertical="center"/>
    </xf>
    <xf numFmtId="14" fontId="10" fillId="3" borderId="30" xfId="0" applyNumberFormat="1" applyFont="1" applyFill="1" applyBorder="1" applyAlignment="1">
      <alignment horizontal="left"/>
    </xf>
    <xf numFmtId="0" fontId="131" fillId="0" borderId="0" xfId="38" applyFont="1" applyAlignment="1">
      <alignment vertical="center"/>
    </xf>
    <xf numFmtId="49" fontId="21" fillId="0" borderId="0" xfId="28" applyNumberFormat="1" applyFont="1" applyFill="1" applyBorder="1" applyAlignment="1">
      <alignment horizontal="center" vertical="center"/>
    </xf>
    <xf numFmtId="166" fontId="9" fillId="0" borderId="0" xfId="36" applyNumberFormat="1" applyFont="1" applyFill="1" applyAlignment="1">
      <alignment horizontal="right" vertical="center"/>
    </xf>
    <xf numFmtId="166" fontId="102" fillId="0" borderId="0" xfId="0" quotePrefix="1" applyNumberFormat="1" applyFont="1" applyBorder="1" applyAlignment="1">
      <alignment horizontal="center" vertical="center" wrapText="1"/>
    </xf>
    <xf numFmtId="166" fontId="102" fillId="0" borderId="0" xfId="0" quotePrefix="1" applyNumberFormat="1" applyFont="1" applyBorder="1" applyAlignment="1">
      <alignment horizontal="right" vertical="center" wrapText="1"/>
    </xf>
    <xf numFmtId="166" fontId="102" fillId="0" borderId="0" xfId="0" quotePrefix="1" applyNumberFormat="1" applyFont="1" applyFill="1" applyBorder="1" applyAlignment="1">
      <alignment horizontal="right" vertical="center" wrapText="1"/>
    </xf>
    <xf numFmtId="0" fontId="132" fillId="0" borderId="0" xfId="0" quotePrefix="1" applyFont="1" applyBorder="1" applyAlignment="1">
      <alignment horizontal="center" vertical="center" wrapText="1"/>
    </xf>
    <xf numFmtId="166" fontId="133" fillId="3" borderId="0" xfId="3" applyNumberFormat="1" applyFont="1" applyFill="1" applyAlignment="1">
      <alignment horizontal="center" vertical="center"/>
    </xf>
    <xf numFmtId="166" fontId="134" fillId="0" borderId="0" xfId="0" quotePrefix="1" applyNumberFormat="1" applyFont="1" applyBorder="1" applyAlignment="1">
      <alignment horizontal="center" vertical="center" wrapText="1"/>
    </xf>
    <xf numFmtId="166" fontId="135" fillId="0" borderId="0" xfId="0" quotePrefix="1" applyNumberFormat="1" applyFont="1" applyBorder="1" applyAlignment="1">
      <alignment horizontal="center" vertical="center"/>
    </xf>
    <xf numFmtId="166" fontId="102" fillId="0" borderId="0" xfId="0" applyNumberFormat="1" applyFont="1" applyBorder="1" applyAlignment="1">
      <alignment horizontal="right" vertical="center"/>
    </xf>
    <xf numFmtId="166" fontId="102" fillId="0" borderId="0" xfId="0" applyNumberFormat="1" applyFont="1" applyFill="1" applyBorder="1" applyAlignment="1">
      <alignment horizontal="right" vertical="center"/>
    </xf>
    <xf numFmtId="166" fontId="101" fillId="0" borderId="0" xfId="0" applyNumberFormat="1" applyFont="1" applyBorder="1"/>
    <xf numFmtId="0" fontId="101" fillId="0" borderId="0" xfId="0" applyFont="1" applyBorder="1" applyAlignment="1">
      <alignment horizontal="center"/>
    </xf>
    <xf numFmtId="0" fontId="101" fillId="0" borderId="0" xfId="0" applyFont="1" applyBorder="1"/>
    <xf numFmtId="166" fontId="101" fillId="0" borderId="0" xfId="0" applyNumberFormat="1" applyFont="1" applyBorder="1" applyAlignment="1">
      <alignment horizontal="center"/>
    </xf>
    <xf numFmtId="166" fontId="101" fillId="0" borderId="0" xfId="0" applyNumberFormat="1" applyFont="1" applyBorder="1" applyAlignment="1">
      <alignment horizontal="right"/>
    </xf>
    <xf numFmtId="1" fontId="101" fillId="0" borderId="0" xfId="0" applyNumberFormat="1" applyFont="1" applyFill="1"/>
    <xf numFmtId="0" fontId="115" fillId="0" borderId="0" xfId="0" applyFont="1" applyBorder="1" applyAlignment="1">
      <alignment horizontal="center"/>
    </xf>
    <xf numFmtId="0" fontId="0" fillId="0" borderId="0" xfId="0" applyBorder="1" applyAlignment="1">
      <alignment horizontal="center" vertical="center"/>
    </xf>
    <xf numFmtId="0" fontId="74" fillId="0" borderId="0" xfId="0" applyFont="1" applyFill="1" applyBorder="1" applyAlignment="1">
      <alignment horizontal="right"/>
    </xf>
    <xf numFmtId="178" fontId="18" fillId="0" borderId="0" xfId="40" applyNumberFormat="1" applyFont="1" applyFill="1" applyAlignment="1">
      <alignment vertical="center"/>
    </xf>
    <xf numFmtId="184" fontId="102" fillId="0" borderId="0" xfId="0" applyNumberFormat="1" applyFont="1" applyFill="1" applyBorder="1" applyAlignment="1">
      <alignment vertical="center"/>
    </xf>
    <xf numFmtId="2" fontId="9" fillId="0" borderId="0" xfId="28" applyNumberFormat="1" applyFont="1" applyFill="1" applyBorder="1" applyAlignment="1">
      <alignment vertical="center"/>
    </xf>
    <xf numFmtId="2" fontId="4" fillId="0" borderId="8" xfId="0" applyNumberFormat="1" applyFont="1" applyFill="1" applyBorder="1" applyAlignment="1">
      <alignment horizontal="center" vertical="center" wrapText="1"/>
    </xf>
    <xf numFmtId="166" fontId="4" fillId="3" borderId="0" xfId="0" applyNumberFormat="1" applyFont="1" applyFill="1" applyBorder="1" applyAlignment="1">
      <alignment horizontal="center" vertical="center" wrapText="1"/>
    </xf>
    <xf numFmtId="2" fontId="4" fillId="3" borderId="4" xfId="0" applyNumberFormat="1" applyFont="1" applyFill="1" applyBorder="1" applyAlignment="1">
      <alignment horizontal="center" vertical="center" wrapText="1"/>
    </xf>
    <xf numFmtId="166" fontId="8" fillId="3" borderId="0" xfId="0" applyNumberFormat="1" applyFont="1" applyFill="1" applyBorder="1" applyAlignment="1">
      <alignment vertical="center"/>
    </xf>
    <xf numFmtId="166" fontId="4" fillId="3" borderId="0" xfId="0" applyNumberFormat="1" applyFont="1" applyFill="1" applyBorder="1" applyAlignment="1">
      <alignment horizontal="right" vertical="center" wrapText="1"/>
    </xf>
    <xf numFmtId="2" fontId="9" fillId="0" borderId="0" xfId="26" applyNumberFormat="1" applyFont="1" applyFill="1" applyBorder="1" applyAlignment="1">
      <alignment horizontal="center" vertical="center" wrapText="1"/>
    </xf>
    <xf numFmtId="2" fontId="9" fillId="0" borderId="4" xfId="26" applyNumberFormat="1" applyFont="1" applyFill="1" applyBorder="1" applyAlignment="1">
      <alignment horizontal="center" vertical="center" wrapText="1"/>
    </xf>
    <xf numFmtId="2" fontId="25" fillId="0" borderId="0" xfId="26" applyNumberFormat="1" applyFont="1" applyFill="1" applyBorder="1" applyAlignment="1">
      <alignment horizontal="center" vertical="center"/>
    </xf>
    <xf numFmtId="2" fontId="35" fillId="0" borderId="0" xfId="26" applyNumberFormat="1" applyFont="1" applyFill="1" applyBorder="1" applyAlignment="1">
      <alignment horizontal="center" vertical="center" wrapText="1"/>
    </xf>
    <xf numFmtId="2" fontId="25" fillId="0" borderId="0" xfId="26" applyNumberFormat="1" applyFont="1" applyFill="1" applyBorder="1" applyAlignment="1">
      <alignment horizontal="center" vertical="center" wrapText="1"/>
    </xf>
    <xf numFmtId="166" fontId="138" fillId="0" borderId="0" xfId="26" applyNumberFormat="1" applyFont="1" applyFill="1" applyBorder="1" applyAlignment="1">
      <alignment horizontal="center" vertical="center" wrapText="1"/>
    </xf>
    <xf numFmtId="2" fontId="139" fillId="0" borderId="0" xfId="26" applyNumberFormat="1" applyFont="1" applyFill="1" applyBorder="1" applyAlignment="1">
      <alignment horizontal="center" vertical="center" wrapText="1"/>
    </xf>
    <xf numFmtId="2" fontId="138" fillId="0" borderId="0" xfId="26" applyNumberFormat="1" applyFont="1" applyFill="1" applyBorder="1" applyAlignment="1">
      <alignment horizontal="center" vertical="center" wrapText="1"/>
    </xf>
    <xf numFmtId="0" fontId="6" fillId="3" borderId="47" xfId="0" applyFont="1" applyFill="1" applyBorder="1"/>
    <xf numFmtId="0" fontId="6" fillId="3" borderId="24" xfId="0" applyFont="1" applyFill="1" applyBorder="1"/>
    <xf numFmtId="0" fontId="6" fillId="3" borderId="50" xfId="0" applyFont="1" applyFill="1" applyBorder="1"/>
    <xf numFmtId="0" fontId="6" fillId="3" borderId="37" xfId="0" applyFont="1" applyFill="1" applyBorder="1"/>
    <xf numFmtId="0" fontId="25" fillId="0" borderId="0" xfId="0" applyFont="1" applyFill="1" applyBorder="1" applyAlignment="1">
      <alignment horizontal="right" vertical="center"/>
    </xf>
    <xf numFmtId="49" fontId="17" fillId="0" borderId="2" xfId="26" applyNumberFormat="1" applyFont="1" applyFill="1" applyBorder="1" applyAlignment="1">
      <alignment horizontal="center" vertical="center"/>
    </xf>
    <xf numFmtId="0" fontId="6" fillId="3" borderId="14" xfId="0" applyFont="1" applyFill="1" applyBorder="1"/>
    <xf numFmtId="2" fontId="37" fillId="0" borderId="24" xfId="0" applyNumberFormat="1" applyFont="1" applyFill="1" applyBorder="1" applyAlignment="1">
      <alignment horizontal="center"/>
    </xf>
    <xf numFmtId="0" fontId="102" fillId="0" borderId="18" xfId="0" applyFont="1" applyFill="1" applyBorder="1" applyAlignment="1">
      <alignment vertical="center"/>
    </xf>
    <xf numFmtId="0" fontId="113" fillId="0" borderId="0" xfId="0" applyFont="1" applyFill="1" applyBorder="1" applyAlignment="1">
      <alignment vertical="center"/>
    </xf>
    <xf numFmtId="2" fontId="101" fillId="0" borderId="0" xfId="0" applyNumberFormat="1" applyFont="1" applyFill="1" applyBorder="1"/>
    <xf numFmtId="1" fontId="5" fillId="0" borderId="5" xfId="38" applyNumberFormat="1" applyFont="1" applyFill="1" applyBorder="1" applyAlignment="1">
      <alignment horizontal="center" vertical="center"/>
    </xf>
    <xf numFmtId="166" fontId="4" fillId="0" borderId="49" xfId="0" applyNumberFormat="1" applyFont="1" applyFill="1" applyBorder="1" applyAlignment="1">
      <alignment horizontal="center" vertical="center" wrapText="1"/>
    </xf>
    <xf numFmtId="166" fontId="4" fillId="0" borderId="67" xfId="0" applyNumberFormat="1" applyFont="1" applyFill="1" applyBorder="1" applyAlignment="1">
      <alignment horizontal="center" vertical="center" wrapText="1"/>
    </xf>
    <xf numFmtId="0" fontId="25" fillId="0" borderId="5" xfId="28" applyFont="1" applyFill="1" applyBorder="1" applyAlignment="1">
      <alignment horizontal="center" vertical="center" wrapText="1"/>
    </xf>
    <xf numFmtId="166" fontId="21" fillId="0" borderId="49" xfId="28" applyNumberFormat="1" applyFont="1" applyFill="1" applyBorder="1" applyAlignment="1">
      <alignment horizontal="center" vertical="center" wrapText="1"/>
    </xf>
    <xf numFmtId="2" fontId="21" fillId="0" borderId="49" xfId="28" applyNumberFormat="1" applyFont="1" applyFill="1" applyBorder="1" applyAlignment="1">
      <alignment horizontal="center" vertical="center" wrapText="1"/>
    </xf>
    <xf numFmtId="2" fontId="21" fillId="0" borderId="67" xfId="28" applyNumberFormat="1" applyFont="1" applyFill="1" applyBorder="1" applyAlignment="1">
      <alignment horizontal="center" vertical="center" wrapText="1"/>
    </xf>
    <xf numFmtId="166" fontId="18" fillId="0" borderId="49" xfId="0" applyNumberFormat="1" applyFont="1" applyFill="1" applyBorder="1" applyAlignment="1">
      <alignment vertical="center"/>
    </xf>
    <xf numFmtId="2" fontId="18" fillId="0" borderId="67" xfId="0" applyNumberFormat="1" applyFont="1" applyFill="1" applyBorder="1" applyAlignment="1">
      <alignment vertical="center"/>
    </xf>
    <xf numFmtId="166" fontId="5" fillId="0" borderId="2" xfId="26" applyNumberFormat="1" applyFont="1" applyFill="1" applyBorder="1" applyAlignment="1">
      <alignment horizontal="center" vertical="center"/>
    </xf>
    <xf numFmtId="0" fontId="25" fillId="0" borderId="0" xfId="28" applyFont="1" applyFill="1" applyBorder="1" applyAlignment="1">
      <alignment horizontal="center" vertical="center"/>
    </xf>
    <xf numFmtId="0" fontId="9" fillId="0" borderId="0" xfId="28" applyFont="1" applyFill="1" applyBorder="1" applyAlignment="1">
      <alignment horizontal="center" vertical="center"/>
    </xf>
    <xf numFmtId="2" fontId="101" fillId="0" borderId="0" xfId="0" applyNumberFormat="1" applyFont="1" applyFill="1"/>
    <xf numFmtId="49" fontId="17" fillId="0" borderId="0" xfId="0" applyNumberFormat="1" applyFont="1" applyFill="1" applyBorder="1" applyAlignment="1">
      <alignment horizontal="center" vertical="center"/>
    </xf>
    <xf numFmtId="0" fontId="21" fillId="0" borderId="6" xfId="0" applyFont="1" applyFill="1" applyBorder="1" applyAlignment="1">
      <alignment horizontal="center" vertical="center"/>
    </xf>
    <xf numFmtId="0" fontId="22" fillId="0" borderId="6" xfId="0" applyFont="1" applyFill="1" applyBorder="1" applyAlignment="1">
      <alignment horizontal="center" vertical="center" wrapText="1"/>
    </xf>
    <xf numFmtId="0" fontId="22" fillId="0" borderId="6" xfId="0" applyFont="1" applyFill="1" applyBorder="1" applyAlignment="1">
      <alignment horizontal="center" vertical="center"/>
    </xf>
    <xf numFmtId="0" fontId="21" fillId="0" borderId="0" xfId="0" applyFont="1" applyFill="1" applyBorder="1" applyAlignment="1">
      <alignment horizontal="center" vertical="center"/>
    </xf>
    <xf numFmtId="49" fontId="105" fillId="0" borderId="0" xfId="0" applyNumberFormat="1" applyFont="1" applyFill="1" applyBorder="1" applyAlignment="1">
      <alignment horizontal="center" vertical="center"/>
    </xf>
    <xf numFmtId="173" fontId="9" fillId="0" borderId="0" xfId="38" applyNumberFormat="1" applyFont="1"/>
    <xf numFmtId="173" fontId="9" fillId="0" borderId="0" xfId="38" applyNumberFormat="1" applyFont="1" applyFill="1"/>
    <xf numFmtId="173" fontId="10" fillId="0" borderId="0" xfId="38" applyNumberFormat="1" applyFont="1" applyFill="1"/>
    <xf numFmtId="173" fontId="10" fillId="0" borderId="0" xfId="38" applyNumberFormat="1" applyFont="1"/>
    <xf numFmtId="173" fontId="6" fillId="0" borderId="0" xfId="38" applyNumberFormat="1" applyFont="1" applyFill="1"/>
    <xf numFmtId="173" fontId="6" fillId="0" borderId="0" xfId="38" applyNumberFormat="1" applyFont="1"/>
    <xf numFmtId="173" fontId="5" fillId="0" borderId="0" xfId="38" applyNumberFormat="1" applyFont="1" applyFill="1" applyAlignment="1">
      <alignment horizontal="center" vertical="center"/>
    </xf>
    <xf numFmtId="173" fontId="5" fillId="2" borderId="0" xfId="38" applyNumberFormat="1" applyFont="1" applyFill="1" applyAlignment="1">
      <alignment horizontal="center" vertical="center"/>
    </xf>
    <xf numFmtId="4" fontId="5" fillId="0" borderId="2" xfId="38" applyNumberFormat="1" applyFont="1" applyFill="1" applyBorder="1" applyAlignment="1">
      <alignment horizontal="center" vertical="center"/>
    </xf>
    <xf numFmtId="173" fontId="5" fillId="0" borderId="2" xfId="38" applyNumberFormat="1" applyFont="1" applyFill="1" applyBorder="1" applyAlignment="1">
      <alignment horizontal="center" vertical="center"/>
    </xf>
    <xf numFmtId="173" fontId="5" fillId="0" borderId="0" xfId="38" applyNumberFormat="1" applyFont="1" applyFill="1" applyBorder="1" applyAlignment="1">
      <alignment horizontal="center" vertical="center"/>
    </xf>
    <xf numFmtId="173" fontId="5" fillId="0" borderId="0" xfId="38" applyNumberFormat="1" applyFont="1" applyBorder="1" applyAlignment="1">
      <alignment horizontal="center" vertical="center"/>
    </xf>
    <xf numFmtId="173" fontId="5" fillId="0" borderId="0" xfId="38" applyNumberFormat="1" applyFont="1" applyAlignment="1">
      <alignment horizontal="center" vertical="center"/>
    </xf>
    <xf numFmtId="173" fontId="6" fillId="0" borderId="2" xfId="38" applyNumberFormat="1" applyFont="1" applyFill="1" applyBorder="1" applyAlignment="1">
      <alignment horizontal="center" vertical="center"/>
    </xf>
    <xf numFmtId="0" fontId="4" fillId="0" borderId="0" xfId="38" applyFont="1" applyAlignment="1">
      <alignment vertical="center"/>
    </xf>
    <xf numFmtId="14" fontId="4" fillId="0" borderId="0" xfId="38" applyNumberFormat="1" applyFont="1" applyAlignment="1">
      <alignment vertical="center"/>
    </xf>
    <xf numFmtId="0" fontId="4" fillId="3" borderId="0" xfId="38" applyFont="1" applyFill="1" applyAlignment="1">
      <alignment vertical="center"/>
    </xf>
    <xf numFmtId="0" fontId="4" fillId="0" borderId="0" xfId="38" applyFont="1" applyFill="1" applyAlignment="1">
      <alignment vertical="center"/>
    </xf>
    <xf numFmtId="0" fontId="30" fillId="0" borderId="0" xfId="38" applyFont="1" applyFill="1" applyBorder="1" applyAlignment="1">
      <alignment horizontal="left" vertical="center" readingOrder="1"/>
    </xf>
    <xf numFmtId="0" fontId="4" fillId="2" borderId="0" xfId="38" applyFont="1" applyFill="1" applyAlignment="1">
      <alignment vertical="center"/>
    </xf>
    <xf numFmtId="1" fontId="4" fillId="0" borderId="0" xfId="38" applyNumberFormat="1" applyFont="1" applyBorder="1" applyAlignment="1">
      <alignment horizontal="center" vertical="center"/>
    </xf>
    <xf numFmtId="10" fontId="4" fillId="0" borderId="0" xfId="38" applyNumberFormat="1" applyFont="1" applyBorder="1" applyAlignment="1">
      <alignment horizontal="center" vertical="center"/>
    </xf>
    <xf numFmtId="4" fontId="4" fillId="0" borderId="0" xfId="38" applyNumberFormat="1" applyFont="1" applyBorder="1" applyAlignment="1">
      <alignment horizontal="center" vertical="center"/>
    </xf>
    <xf numFmtId="14" fontId="4" fillId="0" borderId="0" xfId="38" applyNumberFormat="1" applyFont="1" applyBorder="1" applyAlignment="1">
      <alignment horizontal="center" vertical="center"/>
    </xf>
    <xf numFmtId="0" fontId="4" fillId="0" borderId="0" xfId="38" applyFont="1" applyBorder="1" applyAlignment="1">
      <alignment horizontal="center" vertical="center"/>
    </xf>
    <xf numFmtId="0" fontId="4" fillId="0" borderId="6" xfId="38" applyFont="1" applyBorder="1" applyAlignment="1">
      <alignment horizontal="center" vertical="center" wrapText="1"/>
    </xf>
    <xf numFmtId="0" fontId="4" fillId="0" borderId="11" xfId="38" applyFont="1" applyBorder="1" applyAlignment="1">
      <alignment horizontal="center" vertical="center" wrapText="1"/>
    </xf>
    <xf numFmtId="0" fontId="4" fillId="0" borderId="10" xfId="38" applyFont="1" applyBorder="1" applyAlignment="1">
      <alignment horizontal="center" vertical="center"/>
    </xf>
    <xf numFmtId="0" fontId="4" fillId="0" borderId="9" xfId="38" applyFont="1" applyBorder="1" applyAlignment="1">
      <alignment horizontal="center" vertical="center" wrapText="1"/>
    </xf>
    <xf numFmtId="0" fontId="4" fillId="0" borderId="10" xfId="38" applyFont="1" applyBorder="1" applyAlignment="1">
      <alignment horizontal="center" vertical="center" wrapText="1"/>
    </xf>
    <xf numFmtId="0" fontId="5" fillId="0" borderId="0" xfId="38" applyFont="1" applyFill="1" applyAlignment="1">
      <alignment vertical="center"/>
    </xf>
    <xf numFmtId="0" fontId="9" fillId="0" borderId="0" xfId="38" applyFont="1" applyAlignment="1">
      <alignment vertical="center"/>
    </xf>
    <xf numFmtId="0" fontId="8" fillId="0" borderId="0" xfId="36" applyFont="1" applyFill="1" applyAlignment="1">
      <alignment vertical="center"/>
    </xf>
    <xf numFmtId="0" fontId="149" fillId="0" borderId="73" xfId="36" applyFont="1" applyFill="1" applyBorder="1" applyAlignment="1">
      <alignment horizontal="left" vertical="center" wrapText="1" indent="1"/>
    </xf>
    <xf numFmtId="0" fontId="31" fillId="0" borderId="73" xfId="36" applyFont="1" applyFill="1" applyBorder="1" applyAlignment="1">
      <alignment horizontal="left" vertical="center" wrapText="1" indent="3"/>
    </xf>
    <xf numFmtId="166" fontId="5" fillId="0" borderId="2" xfId="0" applyNumberFormat="1" applyFont="1" applyFill="1" applyBorder="1" applyAlignment="1">
      <alignment horizontal="center" vertical="center"/>
    </xf>
    <xf numFmtId="166" fontId="4" fillId="0" borderId="2" xfId="0" applyNumberFormat="1" applyFont="1" applyFill="1" applyBorder="1" applyAlignment="1">
      <alignment horizontal="center" vertical="center"/>
    </xf>
    <xf numFmtId="49" fontId="5" fillId="0" borderId="3" xfId="0" applyNumberFormat="1" applyFont="1" applyFill="1" applyBorder="1" applyAlignment="1">
      <alignment horizontal="center" vertical="center"/>
    </xf>
    <xf numFmtId="175" fontId="25" fillId="3" borderId="0" xfId="62" applyNumberFormat="1" applyFont="1" applyFill="1" applyAlignment="1">
      <alignment horizontal="center" vertical="center" wrapText="1"/>
    </xf>
    <xf numFmtId="0" fontId="4" fillId="9" borderId="1" xfId="0" applyFont="1" applyFill="1" applyBorder="1" applyAlignment="1">
      <alignment horizontal="center" vertical="center" wrapText="1"/>
    </xf>
    <xf numFmtId="0" fontId="17" fillId="0" borderId="1" xfId="0" applyFont="1" applyFill="1" applyBorder="1" applyAlignment="1">
      <alignment horizontal="center" vertical="center" wrapText="1"/>
    </xf>
    <xf numFmtId="0" fontId="5" fillId="0" borderId="0" xfId="0" applyFont="1" applyFill="1" applyAlignment="1">
      <alignment horizontal="center" vertical="center"/>
    </xf>
    <xf numFmtId="0" fontId="4" fillId="0" borderId="0" xfId="0" applyFont="1" applyFill="1" applyBorder="1" applyAlignment="1">
      <alignment horizontal="center" vertical="center"/>
    </xf>
    <xf numFmtId="0" fontId="9" fillId="0" borderId="0" xfId="28" applyFont="1" applyFill="1" applyBorder="1" applyAlignment="1">
      <alignment horizontal="center" vertical="center"/>
    </xf>
    <xf numFmtId="0" fontId="21" fillId="0" borderId="2" xfId="28" applyFont="1" applyFill="1" applyBorder="1" applyAlignment="1">
      <alignment horizontal="center" vertical="center"/>
    </xf>
    <xf numFmtId="173" fontId="4" fillId="0" borderId="0" xfId="38" applyNumberFormat="1" applyFont="1" applyAlignment="1">
      <alignment horizontal="center"/>
    </xf>
    <xf numFmtId="0" fontId="157" fillId="0" borderId="0" xfId="0" applyFont="1" applyFill="1" applyBorder="1" applyAlignment="1">
      <alignment vertical="center"/>
    </xf>
    <xf numFmtId="0" fontId="158" fillId="0" borderId="0" xfId="0" applyFont="1" applyFill="1" applyBorder="1" applyAlignment="1">
      <alignment vertical="center"/>
    </xf>
    <xf numFmtId="0" fontId="160" fillId="0" borderId="0" xfId="38" applyFont="1" applyAlignment="1">
      <alignment vertical="center"/>
    </xf>
    <xf numFmtId="0" fontId="172" fillId="0" borderId="0" xfId="0" applyFont="1" applyFill="1" applyAlignment="1">
      <alignment vertical="center"/>
    </xf>
    <xf numFmtId="0" fontId="17" fillId="11" borderId="0" xfId="0" applyFont="1" applyFill="1" applyAlignment="1">
      <alignment vertical="center"/>
    </xf>
    <xf numFmtId="0" fontId="29" fillId="11" borderId="0" xfId="0" applyFont="1" applyFill="1" applyAlignment="1">
      <alignment vertical="center"/>
    </xf>
    <xf numFmtId="0" fontId="167" fillId="11" borderId="0" xfId="28" applyFont="1" applyFill="1" applyBorder="1" applyAlignment="1">
      <alignment horizontal="center" vertical="center"/>
    </xf>
    <xf numFmtId="0" fontId="179" fillId="11" borderId="0" xfId="0" applyFont="1" applyFill="1" applyBorder="1" applyAlignment="1">
      <alignment horizontal="center" vertical="center"/>
    </xf>
    <xf numFmtId="0" fontId="175" fillId="11" borderId="0" xfId="38" applyFont="1" applyFill="1" applyBorder="1" applyAlignment="1">
      <alignment horizontal="center" vertical="center"/>
    </xf>
    <xf numFmtId="173" fontId="4" fillId="11" borderId="0" xfId="38" applyNumberFormat="1" applyFont="1" applyFill="1" applyAlignment="1">
      <alignment horizontal="center"/>
    </xf>
    <xf numFmtId="173" fontId="4" fillId="11" borderId="0" xfId="38" applyNumberFormat="1" applyFont="1" applyFill="1"/>
    <xf numFmtId="173" fontId="4" fillId="11" borderId="0" xfId="38" applyNumberFormat="1" applyFont="1" applyFill="1" applyAlignment="1">
      <alignment horizontal="right"/>
    </xf>
    <xf numFmtId="0" fontId="161" fillId="11" borderId="16" xfId="0" applyFont="1" applyFill="1" applyBorder="1" applyAlignment="1">
      <alignment horizontal="center" vertical="center"/>
    </xf>
    <xf numFmtId="0" fontId="171" fillId="11" borderId="18" xfId="38" applyFont="1" applyFill="1" applyBorder="1" applyAlignment="1">
      <alignment horizontal="center" vertical="center"/>
    </xf>
    <xf numFmtId="0" fontId="165" fillId="11" borderId="0" xfId="0" applyFont="1" applyFill="1" applyBorder="1" applyAlignment="1">
      <alignment horizontal="center" vertical="center"/>
    </xf>
    <xf numFmtId="0" fontId="166" fillId="11" borderId="0" xfId="0" applyFont="1" applyFill="1" applyBorder="1" applyAlignment="1">
      <alignment horizontal="center" vertical="center"/>
    </xf>
    <xf numFmtId="0" fontId="183" fillId="11" borderId="18" xfId="26" applyFont="1" applyFill="1" applyBorder="1" applyAlignment="1">
      <alignment horizontal="center" vertical="center"/>
    </xf>
    <xf numFmtId="0" fontId="176" fillId="11" borderId="18" xfId="0" applyFont="1" applyFill="1" applyBorder="1" applyAlignment="1">
      <alignment horizontal="center" vertical="center"/>
    </xf>
    <xf numFmtId="0" fontId="15" fillId="10" borderId="0" xfId="36" applyFont="1" applyFill="1" applyBorder="1" applyAlignment="1">
      <alignment horizontal="left" vertical="center"/>
    </xf>
    <xf numFmtId="0" fontId="13" fillId="10" borderId="0" xfId="36" applyFont="1" applyFill="1" applyBorder="1" applyAlignment="1">
      <alignment horizontal="left" vertical="center"/>
    </xf>
    <xf numFmtId="0" fontId="9" fillId="10" borderId="0" xfId="36" applyFont="1" applyFill="1" applyAlignment="1">
      <alignment horizontal="center" vertical="center"/>
    </xf>
    <xf numFmtId="3" fontId="163" fillId="10" borderId="0" xfId="0" applyNumberFormat="1" applyFont="1" applyFill="1" applyAlignment="1">
      <alignment horizontal="center" vertical="center"/>
    </xf>
    <xf numFmtId="0" fontId="172" fillId="10" borderId="0" xfId="0" applyFont="1" applyFill="1" applyAlignment="1">
      <alignment horizontal="center" vertical="center"/>
    </xf>
    <xf numFmtId="0" fontId="162" fillId="10" borderId="0" xfId="0" applyFont="1" applyFill="1" applyBorder="1" applyAlignment="1">
      <alignment horizontal="center" vertical="center"/>
    </xf>
    <xf numFmtId="0" fontId="171" fillId="10" borderId="0" xfId="0" applyFont="1" applyFill="1" applyBorder="1" applyAlignment="1">
      <alignment horizontal="center" vertical="center"/>
    </xf>
    <xf numFmtId="0" fontId="165" fillId="10" borderId="0" xfId="28" applyFont="1" applyFill="1" applyBorder="1" applyAlignment="1">
      <alignment horizontal="center" vertical="center"/>
    </xf>
    <xf numFmtId="0" fontId="174" fillId="10" borderId="0" xfId="0" applyFont="1" applyFill="1" applyAlignment="1">
      <alignment horizontal="center" vertical="center"/>
    </xf>
    <xf numFmtId="0" fontId="167" fillId="10" borderId="0" xfId="28" applyFont="1" applyFill="1" applyBorder="1" applyAlignment="1">
      <alignment horizontal="center" vertical="center"/>
    </xf>
    <xf numFmtId="0" fontId="176" fillId="10" borderId="0" xfId="0" applyFont="1" applyFill="1" applyBorder="1" applyAlignment="1">
      <alignment horizontal="center" vertical="center"/>
    </xf>
    <xf numFmtId="0" fontId="177" fillId="10" borderId="0" xfId="3" applyFont="1" applyFill="1" applyBorder="1" applyAlignment="1">
      <alignment horizontal="center" vertical="center" wrapText="1"/>
    </xf>
    <xf numFmtId="0" fontId="178" fillId="10" borderId="0" xfId="3" applyFont="1" applyFill="1" applyBorder="1" applyAlignment="1">
      <alignment horizontal="center" vertical="center" wrapText="1"/>
    </xf>
    <xf numFmtId="0" fontId="179" fillId="10" borderId="0" xfId="0" applyFont="1" applyFill="1" applyBorder="1" applyAlignment="1">
      <alignment horizontal="center" vertical="center"/>
    </xf>
    <xf numFmtId="0" fontId="175" fillId="10" borderId="0" xfId="38" applyFont="1" applyFill="1" applyBorder="1" applyAlignment="1">
      <alignment horizontal="center" vertical="center"/>
    </xf>
    <xf numFmtId="173" fontId="162" fillId="10" borderId="0" xfId="38" applyNumberFormat="1" applyFont="1" applyFill="1" applyAlignment="1">
      <alignment horizontal="center" vertical="center" wrapText="1"/>
    </xf>
    <xf numFmtId="0" fontId="161" fillId="10" borderId="0" xfId="0" applyFont="1" applyFill="1" applyBorder="1" applyAlignment="1">
      <alignment horizontal="center" vertical="center"/>
    </xf>
    <xf numFmtId="0" fontId="164" fillId="10" borderId="0" xfId="38" applyFont="1" applyFill="1" applyAlignment="1">
      <alignment horizontal="center" vertical="center"/>
    </xf>
    <xf numFmtId="0" fontId="165" fillId="10" borderId="0" xfId="0" applyFont="1" applyFill="1" applyBorder="1" applyAlignment="1">
      <alignment horizontal="center" vertical="center"/>
    </xf>
    <xf numFmtId="0" fontId="166" fillId="10" borderId="0" xfId="0" applyFont="1" applyFill="1" applyBorder="1" applyAlignment="1">
      <alignment horizontal="center" vertical="center"/>
    </xf>
    <xf numFmtId="0" fontId="5" fillId="9" borderId="3" xfId="36" applyFont="1" applyFill="1" applyBorder="1" applyAlignment="1">
      <alignment horizontal="center" vertical="center" wrapText="1" shrinkToFit="1"/>
    </xf>
    <xf numFmtId="0" fontId="4" fillId="9" borderId="8" xfId="36" applyFont="1" applyFill="1" applyBorder="1" applyAlignment="1">
      <alignment horizontal="center" vertical="center"/>
    </xf>
    <xf numFmtId="0" fontId="4" fillId="9" borderId="3" xfId="36" applyFont="1" applyFill="1" applyBorder="1" applyAlignment="1">
      <alignment horizontal="center" vertical="center" wrapText="1" shrinkToFit="1"/>
    </xf>
    <xf numFmtId="0" fontId="4" fillId="9" borderId="19" xfId="36" applyFont="1" applyFill="1" applyBorder="1" applyAlignment="1">
      <alignment horizontal="center" vertical="center" wrapText="1" shrinkToFit="1"/>
    </xf>
    <xf numFmtId="3" fontId="4" fillId="9" borderId="6" xfId="0" applyNumberFormat="1" applyFont="1" applyFill="1" applyBorder="1" applyAlignment="1">
      <alignment horizontal="center" vertical="center"/>
    </xf>
    <xf numFmtId="3" fontId="17" fillId="9" borderId="11" xfId="0" applyNumberFormat="1" applyFont="1" applyFill="1" applyBorder="1" applyAlignment="1">
      <alignment horizontal="center" vertical="center" wrapText="1" shrinkToFit="1"/>
    </xf>
    <xf numFmtId="3" fontId="28" fillId="9" borderId="11" xfId="0" applyNumberFormat="1" applyFont="1" applyFill="1" applyBorder="1" applyAlignment="1">
      <alignment horizontal="center" vertical="center" wrapText="1" shrinkToFit="1"/>
    </xf>
    <xf numFmtId="3" fontId="28" fillId="9" borderId="6" xfId="0" applyNumberFormat="1" applyFont="1" applyFill="1" applyBorder="1" applyAlignment="1">
      <alignment horizontal="center" vertical="center" wrapText="1" shrinkToFit="1"/>
    </xf>
    <xf numFmtId="0" fontId="17" fillId="9" borderId="6" xfId="0" applyFont="1" applyFill="1" applyBorder="1" applyAlignment="1">
      <alignment horizontal="center" vertical="center" wrapText="1"/>
    </xf>
    <xf numFmtId="0" fontId="18" fillId="9" borderId="6" xfId="0" applyFont="1" applyFill="1" applyBorder="1" applyAlignment="1">
      <alignment horizontal="center" vertical="center" wrapText="1"/>
    </xf>
    <xf numFmtId="0" fontId="25" fillId="9" borderId="6" xfId="28" applyFont="1" applyFill="1" applyBorder="1" applyAlignment="1">
      <alignment horizontal="center" vertical="center" wrapText="1"/>
    </xf>
    <xf numFmtId="0" fontId="9" fillId="9" borderId="6" xfId="28" applyFont="1" applyFill="1" applyBorder="1" applyAlignment="1">
      <alignment horizontal="center" vertical="center" wrapText="1"/>
    </xf>
    <xf numFmtId="0" fontId="5" fillId="9" borderId="6" xfId="0" applyFont="1" applyFill="1" applyBorder="1" applyAlignment="1">
      <alignment horizontal="center" vertical="center"/>
    </xf>
    <xf numFmtId="0" fontId="4" fillId="9" borderId="6" xfId="0" applyFont="1" applyFill="1" applyBorder="1" applyAlignment="1">
      <alignment horizontal="center" vertical="center"/>
    </xf>
    <xf numFmtId="0" fontId="21" fillId="9" borderId="6" xfId="0" applyFont="1" applyFill="1" applyBorder="1" applyAlignment="1">
      <alignment vertical="center"/>
    </xf>
    <xf numFmtId="0" fontId="22" fillId="9" borderId="6" xfId="0" applyFont="1" applyFill="1" applyBorder="1" applyAlignment="1">
      <alignment horizontal="center" vertical="center" wrapText="1"/>
    </xf>
    <xf numFmtId="166" fontId="22" fillId="9" borderId="6" xfId="0" applyNumberFormat="1" applyFont="1" applyFill="1" applyBorder="1" applyAlignment="1">
      <alignment horizontal="center" vertical="center" wrapText="1"/>
    </xf>
    <xf numFmtId="0" fontId="22" fillId="9" borderId="9" xfId="0" applyFont="1" applyFill="1" applyBorder="1" applyAlignment="1">
      <alignment horizontal="center" vertical="center" wrapText="1"/>
    </xf>
    <xf numFmtId="0" fontId="45" fillId="9" borderId="6" xfId="0" applyFont="1" applyFill="1" applyBorder="1" applyAlignment="1">
      <alignment horizontal="center" vertical="center" wrapText="1"/>
    </xf>
    <xf numFmtId="2" fontId="35" fillId="9" borderId="6" xfId="28" applyNumberFormat="1" applyFont="1" applyFill="1" applyBorder="1" applyAlignment="1">
      <alignment horizontal="center" vertical="center"/>
    </xf>
    <xf numFmtId="2" fontId="32" fillId="9" borderId="6" xfId="28" applyNumberFormat="1" applyFont="1" applyFill="1" applyBorder="1" applyAlignment="1">
      <alignment horizontal="center"/>
    </xf>
    <xf numFmtId="0" fontId="55" fillId="9" borderId="6" xfId="1" applyFont="1" applyFill="1" applyBorder="1" applyAlignment="1">
      <alignment horizontal="center" vertical="center" textRotation="90"/>
    </xf>
    <xf numFmtId="0" fontId="55" fillId="9" borderId="6" xfId="1" applyFont="1" applyFill="1" applyBorder="1" applyAlignment="1">
      <alignment horizontal="center" vertical="center" textRotation="90" wrapText="1"/>
    </xf>
    <xf numFmtId="0" fontId="102" fillId="9" borderId="6" xfId="0" applyFont="1" applyFill="1" applyBorder="1" applyAlignment="1">
      <alignment horizontal="center" vertical="center"/>
    </xf>
    <xf numFmtId="0" fontId="102" fillId="9" borderId="6" xfId="0" quotePrefix="1" applyFont="1" applyFill="1" applyBorder="1" applyAlignment="1">
      <alignment horizontal="center" vertical="center" wrapText="1"/>
    </xf>
    <xf numFmtId="0" fontId="102" fillId="9" borderId="6" xfId="0" quotePrefix="1" applyFont="1" applyFill="1" applyBorder="1" applyAlignment="1">
      <alignment horizontal="center" vertical="center"/>
    </xf>
    <xf numFmtId="0" fontId="102" fillId="9" borderId="6" xfId="0" applyFont="1" applyFill="1" applyBorder="1" applyAlignment="1">
      <alignment horizontal="center" vertical="center" wrapText="1"/>
    </xf>
    <xf numFmtId="0" fontId="101" fillId="9" borderId="6" xfId="0" applyFont="1" applyFill="1" applyBorder="1" applyAlignment="1">
      <alignment horizontal="center" vertical="center"/>
    </xf>
    <xf numFmtId="0" fontId="101" fillId="9" borderId="6" xfId="0" applyFont="1" applyFill="1" applyBorder="1" applyAlignment="1">
      <alignment horizontal="center" vertical="center" wrapText="1"/>
    </xf>
    <xf numFmtId="0" fontId="17" fillId="9" borderId="6" xfId="38" applyFont="1" applyFill="1" applyBorder="1" applyAlignment="1">
      <alignment horizontal="center" vertical="center" wrapText="1"/>
    </xf>
    <xf numFmtId="0" fontId="17" fillId="9" borderId="9" xfId="38" applyFont="1" applyFill="1" applyBorder="1" applyAlignment="1">
      <alignment horizontal="center" vertical="center" wrapText="1"/>
    </xf>
    <xf numFmtId="0" fontId="18" fillId="9" borderId="6" xfId="38" applyFont="1" applyFill="1" applyBorder="1" applyAlignment="1">
      <alignment horizontal="center" vertical="center"/>
    </xf>
    <xf numFmtId="0" fontId="18" fillId="9" borderId="6" xfId="38" applyFont="1" applyFill="1" applyBorder="1" applyAlignment="1">
      <alignment horizontal="center" vertical="center" wrapText="1"/>
    </xf>
    <xf numFmtId="0" fontId="18" fillId="9" borderId="9" xfId="38" applyFont="1" applyFill="1" applyBorder="1" applyAlignment="1">
      <alignment horizontal="center" vertical="center" wrapText="1"/>
    </xf>
    <xf numFmtId="0" fontId="17" fillId="9" borderId="6" xfId="38" applyFont="1" applyFill="1" applyBorder="1" applyAlignment="1">
      <alignment horizontal="center" vertical="center"/>
    </xf>
    <xf numFmtId="0" fontId="38" fillId="9" borderId="20" xfId="0" applyFont="1" applyFill="1" applyBorder="1" applyAlignment="1">
      <alignment horizontal="center"/>
    </xf>
    <xf numFmtId="0" fontId="37" fillId="9" borderId="21" xfId="0" applyFont="1" applyFill="1" applyBorder="1" applyAlignment="1">
      <alignment horizontal="center"/>
    </xf>
    <xf numFmtId="0" fontId="37" fillId="9" borderId="22" xfId="0" applyFont="1" applyFill="1" applyBorder="1" applyAlignment="1">
      <alignment horizontal="center"/>
    </xf>
    <xf numFmtId="0" fontId="37" fillId="9" borderId="23" xfId="0" applyFont="1" applyFill="1" applyBorder="1" applyAlignment="1">
      <alignment horizontal="center"/>
    </xf>
    <xf numFmtId="0" fontId="37" fillId="9" borderId="24" xfId="0" applyFont="1" applyFill="1" applyBorder="1" applyAlignment="1">
      <alignment horizontal="center"/>
    </xf>
    <xf numFmtId="0" fontId="38" fillId="9" borderId="25" xfId="0" applyFont="1" applyFill="1" applyBorder="1" applyAlignment="1">
      <alignment horizontal="center"/>
    </xf>
    <xf numFmtId="0" fontId="37" fillId="9" borderId="26" xfId="0" applyFont="1" applyFill="1" applyBorder="1" applyAlignment="1">
      <alignment horizontal="center"/>
    </xf>
    <xf numFmtId="0" fontId="37" fillId="9" borderId="27" xfId="0" applyFont="1" applyFill="1" applyBorder="1" applyAlignment="1">
      <alignment horizontal="center"/>
    </xf>
    <xf numFmtId="0" fontId="37" fillId="9" borderId="28" xfId="0" applyFont="1" applyFill="1" applyBorder="1" applyAlignment="1">
      <alignment horizontal="center"/>
    </xf>
    <xf numFmtId="0" fontId="37" fillId="9" borderId="21" xfId="0" applyFont="1" applyFill="1" applyBorder="1" applyAlignment="1">
      <alignment horizontal="center" vertical="center"/>
    </xf>
    <xf numFmtId="0" fontId="37" fillId="9" borderId="22" xfId="0" applyFont="1" applyFill="1" applyBorder="1" applyAlignment="1">
      <alignment horizontal="center" vertical="center"/>
    </xf>
    <xf numFmtId="0" fontId="37" fillId="9" borderId="24" xfId="0" applyFont="1" applyFill="1" applyBorder="1" applyAlignment="1">
      <alignment horizontal="center" vertical="center"/>
    </xf>
    <xf numFmtId="0" fontId="37" fillId="9" borderId="26" xfId="0" applyFont="1" applyFill="1" applyBorder="1" applyAlignment="1">
      <alignment horizontal="center" vertical="center"/>
    </xf>
    <xf numFmtId="0" fontId="37" fillId="9" borderId="27" xfId="0" applyFont="1" applyFill="1" applyBorder="1" applyAlignment="1">
      <alignment horizontal="center" vertical="center"/>
    </xf>
    <xf numFmtId="0" fontId="37" fillId="9" borderId="29" xfId="0" applyFont="1" applyFill="1" applyBorder="1" applyAlignment="1">
      <alignment horizontal="center" vertical="center"/>
    </xf>
    <xf numFmtId="4" fontId="5" fillId="9" borderId="6" xfId="0" applyNumberFormat="1" applyFont="1" applyFill="1" applyBorder="1" applyAlignment="1">
      <alignment horizontal="center" vertical="center"/>
    </xf>
    <xf numFmtId="4" fontId="4" fillId="9" borderId="6" xfId="0" applyNumberFormat="1" applyFont="1" applyFill="1" applyBorder="1" applyAlignment="1">
      <alignment horizontal="center" vertical="center"/>
    </xf>
    <xf numFmtId="0" fontId="16" fillId="9" borderId="6" xfId="0" applyFont="1" applyFill="1" applyBorder="1" applyAlignment="1">
      <alignment horizontal="center" vertical="center" wrapText="1"/>
    </xf>
    <xf numFmtId="174" fontId="16" fillId="9" borderId="6" xfId="0" applyNumberFormat="1" applyFont="1" applyFill="1" applyBorder="1" applyAlignment="1">
      <alignment horizontal="center" vertical="center" wrapText="1"/>
    </xf>
    <xf numFmtId="0" fontId="16" fillId="9" borderId="6" xfId="0" applyFont="1" applyFill="1" applyBorder="1" applyAlignment="1">
      <alignment horizontal="center" vertical="center"/>
    </xf>
    <xf numFmtId="0" fontId="13" fillId="9" borderId="6" xfId="0" applyFont="1" applyFill="1" applyBorder="1" applyAlignment="1">
      <alignment horizontal="center" vertical="center" wrapText="1"/>
    </xf>
    <xf numFmtId="174" fontId="13" fillId="9" borderId="6" xfId="0" applyNumberFormat="1" applyFont="1" applyFill="1" applyBorder="1" applyAlignment="1">
      <alignment horizontal="center" vertical="center"/>
    </xf>
    <xf numFmtId="0" fontId="13" fillId="9" borderId="6" xfId="0" applyFont="1" applyFill="1" applyBorder="1" applyAlignment="1">
      <alignment horizontal="center" vertical="center"/>
    </xf>
    <xf numFmtId="0" fontId="18" fillId="9" borderId="4" xfId="26" applyFont="1" applyFill="1" applyBorder="1" applyAlignment="1">
      <alignment vertical="center"/>
    </xf>
    <xf numFmtId="0" fontId="17" fillId="9" borderId="6" xfId="0" applyFont="1" applyFill="1" applyBorder="1" applyAlignment="1" applyProtection="1">
      <alignment horizontal="center" vertical="center" wrapText="1"/>
      <protection hidden="1"/>
    </xf>
    <xf numFmtId="0" fontId="18" fillId="9" borderId="6" xfId="0" applyFont="1" applyFill="1" applyBorder="1" applyAlignment="1" applyProtection="1">
      <alignment horizontal="center" vertical="center" wrapText="1"/>
      <protection hidden="1"/>
    </xf>
    <xf numFmtId="0" fontId="5" fillId="0" borderId="2" xfId="36" applyFont="1" applyFill="1" applyBorder="1" applyAlignment="1">
      <alignment horizontal="center" vertical="center"/>
    </xf>
    <xf numFmtId="166" fontId="5" fillId="0" borderId="5" xfId="36" applyNumberFormat="1" applyFont="1" applyFill="1" applyBorder="1" applyAlignment="1">
      <alignment horizontal="center" vertical="center"/>
    </xf>
    <xf numFmtId="166" fontId="5" fillId="0" borderId="2" xfId="36" applyNumberFormat="1" applyFont="1" applyFill="1" applyBorder="1" applyAlignment="1">
      <alignment horizontal="center" vertical="center"/>
    </xf>
    <xf numFmtId="166" fontId="5" fillId="0" borderId="4" xfId="36" applyNumberFormat="1" applyFont="1" applyFill="1" applyBorder="1" applyAlignment="1">
      <alignment horizontal="center" vertical="center"/>
    </xf>
    <xf numFmtId="166" fontId="5" fillId="0" borderId="1" xfId="36" applyNumberFormat="1" applyFont="1" applyFill="1" applyBorder="1" applyAlignment="1">
      <alignment horizontal="center" vertical="center"/>
    </xf>
    <xf numFmtId="49" fontId="5" fillId="0" borderId="2" xfId="36" applyNumberFormat="1" applyFont="1" applyFill="1" applyBorder="1" applyAlignment="1">
      <alignment horizontal="center" vertical="center"/>
    </xf>
    <xf numFmtId="166" fontId="5" fillId="0" borderId="0" xfId="36" applyNumberFormat="1" applyFont="1" applyFill="1" applyBorder="1" applyAlignment="1">
      <alignment horizontal="center" vertical="center"/>
    </xf>
    <xf numFmtId="166" fontId="4" fillId="0" borderId="2" xfId="36" applyNumberFormat="1" applyFont="1" applyFill="1" applyBorder="1" applyAlignment="1">
      <alignment horizontal="center" vertical="center"/>
    </xf>
    <xf numFmtId="166" fontId="4" fillId="0" borderId="4" xfId="36" applyNumberFormat="1" applyFont="1" applyFill="1" applyBorder="1" applyAlignment="1">
      <alignment horizontal="center" vertical="center"/>
    </xf>
    <xf numFmtId="49" fontId="5" fillId="0" borderId="0" xfId="36" applyNumberFormat="1" applyFont="1" applyFill="1" applyBorder="1" applyAlignment="1">
      <alignment horizontal="center" vertical="center"/>
    </xf>
    <xf numFmtId="166" fontId="4" fillId="0" borderId="0" xfId="36" applyNumberFormat="1" applyFont="1" applyFill="1" applyBorder="1" applyAlignment="1">
      <alignment horizontal="center" vertical="center"/>
    </xf>
    <xf numFmtId="166" fontId="5" fillId="0" borderId="2" xfId="0" applyNumberFormat="1" applyFont="1" applyFill="1" applyBorder="1" applyAlignment="1">
      <alignment horizontal="center" vertical="center" wrapText="1"/>
    </xf>
    <xf numFmtId="2" fontId="5" fillId="0" borderId="2" xfId="0" applyNumberFormat="1" applyFont="1" applyFill="1" applyBorder="1" applyAlignment="1">
      <alignment horizontal="center" vertical="center" wrapText="1"/>
    </xf>
    <xf numFmtId="166" fontId="4" fillId="0" borderId="2" xfId="0" applyNumberFormat="1" applyFont="1" applyFill="1" applyBorder="1" applyAlignment="1">
      <alignment horizontal="center" vertical="center" wrapText="1"/>
    </xf>
    <xf numFmtId="2" fontId="4" fillId="0" borderId="2" xfId="0" applyNumberFormat="1" applyFont="1" applyFill="1" applyBorder="1" applyAlignment="1">
      <alignment horizontal="center" vertical="center" wrapText="1"/>
    </xf>
    <xf numFmtId="49" fontId="17" fillId="0" borderId="3" xfId="0" applyNumberFormat="1" applyFont="1" applyFill="1" applyBorder="1" applyAlignment="1">
      <alignment horizontal="center" vertical="center"/>
    </xf>
    <xf numFmtId="166" fontId="5" fillId="3" borderId="2" xfId="0" applyNumberFormat="1" applyFont="1" applyFill="1" applyBorder="1" applyAlignment="1">
      <alignment horizontal="center" vertical="center" wrapText="1"/>
    </xf>
    <xf numFmtId="49" fontId="29" fillId="0" borderId="2" xfId="0" applyNumberFormat="1" applyFont="1" applyFill="1" applyBorder="1" applyAlignment="1">
      <alignment horizontal="right" vertical="center"/>
    </xf>
    <xf numFmtId="166" fontId="4" fillId="3" borderId="2" xfId="0" applyNumberFormat="1" applyFont="1" applyFill="1" applyBorder="1" applyAlignment="1">
      <alignment horizontal="center" vertical="center" wrapText="1"/>
    </xf>
    <xf numFmtId="2" fontId="4" fillId="3" borderId="2" xfId="0" applyNumberFormat="1" applyFont="1" applyFill="1" applyBorder="1" applyAlignment="1">
      <alignment horizontal="center" vertical="center" wrapText="1"/>
    </xf>
    <xf numFmtId="0" fontId="17" fillId="9" borderId="1" xfId="0" applyFont="1" applyFill="1" applyBorder="1" applyAlignment="1">
      <alignment horizontal="center" vertical="center" wrapText="1"/>
    </xf>
    <xf numFmtId="49" fontId="5" fillId="0" borderId="2" xfId="26" applyNumberFormat="1" applyFont="1" applyFill="1" applyBorder="1" applyAlignment="1">
      <alignment horizontal="center" vertical="center"/>
    </xf>
    <xf numFmtId="166" fontId="4" fillId="0" borderId="2" xfId="26" applyNumberFormat="1" applyFont="1" applyFill="1" applyBorder="1" applyAlignment="1">
      <alignment horizontal="center" vertical="center"/>
    </xf>
    <xf numFmtId="0" fontId="5" fillId="9" borderId="2" xfId="0" applyFont="1" applyFill="1" applyBorder="1" applyAlignment="1">
      <alignment horizontal="center" vertical="center" wrapText="1"/>
    </xf>
    <xf numFmtId="0" fontId="4" fillId="9" borderId="2" xfId="0" applyFont="1" applyFill="1" applyBorder="1" applyAlignment="1">
      <alignment horizontal="center" vertical="center" wrapText="1"/>
    </xf>
    <xf numFmtId="166" fontId="17" fillId="0" borderId="1" xfId="0" applyNumberFormat="1" applyFont="1" applyFill="1" applyBorder="1" applyAlignment="1">
      <alignment horizontal="center" vertical="center" wrapText="1"/>
    </xf>
    <xf numFmtId="166" fontId="17" fillId="0" borderId="2" xfId="0" applyNumberFormat="1" applyFont="1" applyFill="1" applyBorder="1" applyAlignment="1">
      <alignment horizontal="center" vertical="center" wrapText="1"/>
    </xf>
    <xf numFmtId="0" fontId="25" fillId="0" borderId="2" xfId="28" applyFont="1" applyFill="1" applyBorder="1" applyAlignment="1">
      <alignment horizontal="center" vertical="center"/>
    </xf>
    <xf numFmtId="166" fontId="21" fillId="0" borderId="2" xfId="28" applyNumberFormat="1" applyFont="1" applyFill="1" applyBorder="1" applyAlignment="1">
      <alignment horizontal="center" vertical="center" wrapText="1"/>
    </xf>
    <xf numFmtId="2" fontId="21" fillId="0" borderId="2" xfId="28" applyNumberFormat="1" applyFont="1" applyFill="1" applyBorder="1" applyAlignment="1">
      <alignment horizontal="center" vertical="center" wrapText="1"/>
    </xf>
    <xf numFmtId="49" fontId="25" fillId="0" borderId="2" xfId="28" applyNumberFormat="1" applyFont="1" applyFill="1" applyBorder="1" applyAlignment="1">
      <alignment horizontal="center" vertical="center"/>
    </xf>
    <xf numFmtId="166" fontId="9" fillId="0" borderId="2" xfId="28" applyNumberFormat="1" applyFont="1" applyFill="1" applyBorder="1" applyAlignment="1">
      <alignment horizontal="center" vertical="center" wrapText="1"/>
    </xf>
    <xf numFmtId="0" fontId="21" fillId="0" borderId="2" xfId="28" applyFont="1" applyFill="1" applyBorder="1" applyAlignment="1">
      <alignment horizontal="center" vertical="center" wrapText="1"/>
    </xf>
    <xf numFmtId="166" fontId="21" fillId="0" borderId="2" xfId="28" applyNumberFormat="1" applyFont="1" applyFill="1" applyBorder="1" applyAlignment="1">
      <alignment horizontal="center" vertical="center"/>
    </xf>
    <xf numFmtId="2" fontId="21" fillId="0" borderId="2" xfId="28" applyNumberFormat="1" applyFont="1" applyFill="1" applyBorder="1" applyAlignment="1">
      <alignment horizontal="center" vertical="center"/>
    </xf>
    <xf numFmtId="166" fontId="9" fillId="0" borderId="2" xfId="28" applyNumberFormat="1" applyFont="1" applyFill="1" applyBorder="1" applyAlignment="1">
      <alignment horizontal="center" vertical="center"/>
    </xf>
    <xf numFmtId="2" fontId="9" fillId="0" borderId="2" xfId="28" applyNumberFormat="1" applyFont="1" applyFill="1" applyBorder="1" applyAlignment="1">
      <alignment horizontal="center" vertical="center" wrapText="1"/>
    </xf>
    <xf numFmtId="49" fontId="25" fillId="0" borderId="2" xfId="26" applyNumberFormat="1" applyFont="1" applyFill="1" applyBorder="1" applyAlignment="1">
      <alignment horizontal="center" vertical="center"/>
    </xf>
    <xf numFmtId="166" fontId="9" fillId="0" borderId="2" xfId="26" applyNumberFormat="1" applyFont="1" applyFill="1" applyBorder="1" applyAlignment="1">
      <alignment horizontal="center" vertical="center"/>
    </xf>
    <xf numFmtId="2" fontId="9" fillId="0" borderId="2" xfId="26" applyNumberFormat="1" applyFont="1" applyFill="1" applyBorder="1" applyAlignment="1">
      <alignment horizontal="center" vertical="center" wrapText="1"/>
    </xf>
    <xf numFmtId="166" fontId="25" fillId="0" borderId="2" xfId="26" applyNumberFormat="1" applyFont="1" applyFill="1" applyBorder="1" applyAlignment="1">
      <alignment horizontal="center" vertical="center"/>
    </xf>
    <xf numFmtId="2" fontId="25" fillId="0" borderId="2" xfId="26" applyNumberFormat="1" applyFont="1" applyFill="1" applyBorder="1" applyAlignment="1">
      <alignment horizontal="center" vertical="center"/>
    </xf>
    <xf numFmtId="166" fontId="35" fillId="0" borderId="2" xfId="26" applyNumberFormat="1" applyFont="1" applyFill="1" applyBorder="1" applyAlignment="1">
      <alignment horizontal="center" vertical="center"/>
    </xf>
    <xf numFmtId="166" fontId="35" fillId="0" borderId="2" xfId="26" applyNumberFormat="1" applyFont="1" applyFill="1" applyBorder="1" applyAlignment="1">
      <alignment horizontal="center" vertical="center" wrapText="1"/>
    </xf>
    <xf numFmtId="2" fontId="35" fillId="0" borderId="2" xfId="26" applyNumberFormat="1" applyFont="1" applyFill="1" applyBorder="1" applyAlignment="1">
      <alignment horizontal="center" vertical="center" wrapText="1"/>
    </xf>
    <xf numFmtId="166" fontId="25" fillId="0" borderId="2" xfId="26" applyNumberFormat="1" applyFont="1" applyFill="1" applyBorder="1" applyAlignment="1">
      <alignment horizontal="center" vertical="center" wrapText="1"/>
    </xf>
    <xf numFmtId="2" fontId="25" fillId="0" borderId="2" xfId="26" applyNumberFormat="1" applyFont="1" applyFill="1" applyBorder="1" applyAlignment="1">
      <alignment horizontal="center" vertical="center" wrapText="1"/>
    </xf>
    <xf numFmtId="2" fontId="9" fillId="0" borderId="2" xfId="26" applyNumberFormat="1" applyFont="1" applyFill="1" applyBorder="1" applyAlignment="1">
      <alignment horizontal="center" vertical="center"/>
    </xf>
    <xf numFmtId="166" fontId="138" fillId="0" borderId="2" xfId="26" applyNumberFormat="1" applyFont="1" applyFill="1" applyBorder="1" applyAlignment="1">
      <alignment horizontal="center" vertical="center" wrapText="1"/>
    </xf>
    <xf numFmtId="2" fontId="139" fillId="0" borderId="2" xfId="26" applyNumberFormat="1" applyFont="1" applyFill="1" applyBorder="1" applyAlignment="1">
      <alignment horizontal="center" vertical="center" wrapText="1"/>
    </xf>
    <xf numFmtId="2" fontId="138" fillId="0" borderId="2" xfId="26" applyNumberFormat="1" applyFont="1" applyFill="1" applyBorder="1" applyAlignment="1">
      <alignment horizontal="center" vertical="center" wrapText="1"/>
    </xf>
    <xf numFmtId="49" fontId="25" fillId="0" borderId="3" xfId="26" applyNumberFormat="1" applyFont="1" applyFill="1" applyBorder="1" applyAlignment="1">
      <alignment horizontal="center" vertical="center"/>
    </xf>
    <xf numFmtId="166" fontId="9" fillId="0" borderId="3" xfId="26" applyNumberFormat="1" applyFont="1" applyFill="1" applyBorder="1" applyAlignment="1">
      <alignment horizontal="center" vertical="center"/>
    </xf>
    <xf numFmtId="166" fontId="9" fillId="0" borderId="3" xfId="28" applyNumberFormat="1" applyFont="1" applyFill="1" applyBorder="1" applyAlignment="1">
      <alignment horizontal="center" vertical="center" wrapText="1"/>
    </xf>
    <xf numFmtId="2" fontId="9" fillId="0" borderId="3" xfId="26" applyNumberFormat="1" applyFont="1" applyFill="1" applyBorder="1" applyAlignment="1">
      <alignment horizontal="center" vertical="center" wrapText="1"/>
    </xf>
    <xf numFmtId="166" fontId="18" fillId="0" borderId="2" xfId="0" applyNumberFormat="1" applyFont="1" applyFill="1" applyBorder="1" applyAlignment="1">
      <alignment horizontal="center" vertical="center"/>
    </xf>
    <xf numFmtId="166" fontId="5" fillId="0" borderId="2" xfId="0" applyNumberFormat="1" applyFont="1" applyFill="1" applyBorder="1" applyAlignment="1">
      <alignment horizontal="center"/>
    </xf>
    <xf numFmtId="166" fontId="4" fillId="0" borderId="2" xfId="0" applyNumberFormat="1" applyFont="1" applyFill="1" applyBorder="1" applyAlignment="1">
      <alignment horizontal="center"/>
    </xf>
    <xf numFmtId="166" fontId="18" fillId="0" borderId="3" xfId="0" applyNumberFormat="1" applyFont="1" applyFill="1" applyBorder="1" applyAlignment="1">
      <alignment horizontal="center" vertical="center"/>
    </xf>
    <xf numFmtId="0" fontId="25" fillId="0" borderId="1" xfId="28" applyFont="1" applyFill="1" applyBorder="1" applyAlignment="1">
      <alignment horizontal="center" vertical="center"/>
    </xf>
    <xf numFmtId="166" fontId="21" fillId="0" borderId="1" xfId="28" applyNumberFormat="1" applyFont="1" applyFill="1" applyBorder="1" applyAlignment="1">
      <alignment horizontal="center" vertical="center"/>
    </xf>
    <xf numFmtId="0" fontId="25" fillId="0" borderId="2" xfId="28" applyNumberFormat="1" applyFont="1" applyFill="1" applyBorder="1" applyAlignment="1">
      <alignment horizontal="center" vertical="center"/>
    </xf>
    <xf numFmtId="0" fontId="25" fillId="0" borderId="2" xfId="0" applyNumberFormat="1" applyFont="1" applyFill="1" applyBorder="1" applyAlignment="1">
      <alignment horizontal="center" vertical="center"/>
    </xf>
    <xf numFmtId="166" fontId="113" fillId="0" borderId="2" xfId="0" applyNumberFormat="1" applyFont="1" applyBorder="1" applyAlignment="1">
      <alignment horizontal="center" vertical="center"/>
    </xf>
    <xf numFmtId="166" fontId="0" fillId="0" borderId="2" xfId="0" applyNumberFormat="1" applyBorder="1" applyAlignment="1">
      <alignment horizontal="center" vertical="center"/>
    </xf>
    <xf numFmtId="166" fontId="0" fillId="0" borderId="2" xfId="0" applyNumberFormat="1" applyFill="1" applyBorder="1" applyAlignment="1">
      <alignment horizontal="center" vertical="center"/>
    </xf>
    <xf numFmtId="1" fontId="25" fillId="0" borderId="2" xfId="28" applyNumberFormat="1" applyFont="1" applyFill="1" applyBorder="1" applyAlignment="1">
      <alignment horizontal="center" vertical="center"/>
    </xf>
    <xf numFmtId="166" fontId="9" fillId="0" borderId="3" xfId="0" applyNumberFormat="1" applyFont="1" applyFill="1" applyBorder="1" applyAlignment="1">
      <alignment horizontal="center" vertical="center"/>
    </xf>
    <xf numFmtId="0" fontId="21" fillId="0" borderId="2" xfId="0" applyFont="1" applyFill="1" applyBorder="1" applyAlignment="1">
      <alignment horizontal="center" vertical="center"/>
    </xf>
    <xf numFmtId="49" fontId="21" fillId="0" borderId="2" xfId="0" applyNumberFormat="1" applyFont="1" applyFill="1" applyBorder="1" applyAlignment="1">
      <alignment horizontal="center" vertical="center"/>
    </xf>
    <xf numFmtId="166" fontId="60" fillId="0" borderId="2" xfId="0" applyNumberFormat="1" applyFont="1" applyFill="1" applyBorder="1" applyAlignment="1">
      <alignment horizontal="center" vertical="center"/>
    </xf>
    <xf numFmtId="166" fontId="21" fillId="0" borderId="2" xfId="1" applyNumberFormat="1" applyFont="1" applyFill="1" applyBorder="1" applyAlignment="1">
      <alignment horizontal="center" vertical="center"/>
    </xf>
    <xf numFmtId="166" fontId="50" fillId="0" borderId="2" xfId="0" applyNumberFormat="1" applyFont="1" applyFill="1" applyBorder="1" applyAlignment="1">
      <alignment horizontal="center" vertical="center"/>
    </xf>
    <xf numFmtId="166" fontId="22" fillId="0" borderId="2" xfId="28" applyNumberFormat="1" applyFont="1" applyFill="1" applyBorder="1" applyAlignment="1">
      <alignment horizontal="center" vertical="center"/>
    </xf>
    <xf numFmtId="166" fontId="52" fillId="0" borderId="2" xfId="0" applyNumberFormat="1" applyFont="1" applyFill="1" applyBorder="1" applyAlignment="1">
      <alignment horizontal="center" vertical="center"/>
    </xf>
    <xf numFmtId="166" fontId="25" fillId="0" borderId="2" xfId="28" applyNumberFormat="1" applyFont="1" applyFill="1" applyBorder="1" applyAlignment="1">
      <alignment horizontal="center" vertical="center"/>
    </xf>
    <xf numFmtId="170" fontId="22" fillId="0" borderId="2" xfId="4" applyNumberFormat="1" applyFont="1" applyFill="1" applyBorder="1" applyAlignment="1">
      <alignment horizontal="center" vertical="center"/>
    </xf>
    <xf numFmtId="170" fontId="25" fillId="0" borderId="2" xfId="4" applyNumberFormat="1" applyFont="1" applyFill="1" applyBorder="1" applyAlignment="1">
      <alignment horizontal="center" vertical="center"/>
    </xf>
    <xf numFmtId="171" fontId="25" fillId="0" borderId="2" xfId="0" applyNumberFormat="1" applyFont="1" applyFill="1" applyBorder="1" applyAlignment="1">
      <alignment horizontal="center" vertical="center"/>
    </xf>
    <xf numFmtId="2" fontId="22" fillId="0" borderId="2" xfId="28" applyNumberFormat="1" applyFont="1" applyFill="1" applyBorder="1" applyAlignment="1">
      <alignment vertical="center"/>
    </xf>
    <xf numFmtId="49" fontId="21" fillId="0" borderId="3" xfId="0" applyNumberFormat="1" applyFont="1" applyFill="1" applyBorder="1" applyAlignment="1">
      <alignment horizontal="center" vertical="center"/>
    </xf>
    <xf numFmtId="166" fontId="22" fillId="0" borderId="3" xfId="0" applyNumberFormat="1" applyFont="1" applyFill="1" applyBorder="1" applyAlignment="1">
      <alignment horizontal="center" vertical="center"/>
    </xf>
    <xf numFmtId="166" fontId="67" fillId="0" borderId="2" xfId="0" applyNumberFormat="1" applyFont="1" applyFill="1" applyBorder="1" applyAlignment="1">
      <alignment horizontal="center" vertical="center"/>
    </xf>
    <xf numFmtId="166" fontId="88" fillId="0" borderId="2" xfId="0" applyNumberFormat="1" applyFont="1" applyFill="1" applyBorder="1" applyAlignment="1">
      <alignment horizontal="center" vertical="center"/>
    </xf>
    <xf numFmtId="166" fontId="65" fillId="0" borderId="2" xfId="0" applyNumberFormat="1" applyFont="1" applyFill="1" applyBorder="1" applyAlignment="1">
      <alignment horizontal="center" vertical="center"/>
    </xf>
    <xf numFmtId="166" fontId="89" fillId="0" borderId="2" xfId="0" applyNumberFormat="1" applyFont="1" applyFill="1" applyBorder="1" applyAlignment="1">
      <alignment horizontal="center" vertical="center"/>
    </xf>
    <xf numFmtId="166" fontId="89" fillId="0" borderId="3" xfId="0" applyNumberFormat="1" applyFont="1" applyFill="1" applyBorder="1" applyAlignment="1">
      <alignment horizontal="center" vertical="center"/>
    </xf>
    <xf numFmtId="0" fontId="115" fillId="0" borderId="0" xfId="0" applyFont="1" applyAlignment="1">
      <alignment horizontal="center" vertical="top"/>
    </xf>
    <xf numFmtId="166" fontId="88" fillId="0" borderId="3" xfId="0" applyNumberFormat="1" applyFont="1" applyFill="1" applyBorder="1" applyAlignment="1">
      <alignment horizontal="center" vertical="center"/>
    </xf>
    <xf numFmtId="0" fontId="75" fillId="9" borderId="6" xfId="0" applyFont="1" applyFill="1" applyBorder="1" applyAlignment="1">
      <alignment vertical="center"/>
    </xf>
    <xf numFmtId="166" fontId="67" fillId="0" borderId="3" xfId="0" applyNumberFormat="1" applyFont="1" applyFill="1" applyBorder="1" applyAlignment="1">
      <alignment horizontal="center" vertical="center"/>
    </xf>
    <xf numFmtId="0" fontId="195" fillId="10" borderId="0" xfId="3" applyFont="1" applyFill="1" applyBorder="1" applyAlignment="1">
      <alignment horizontal="center" vertical="center" wrapText="1"/>
    </xf>
    <xf numFmtId="0" fontId="196" fillId="0" borderId="0" xfId="0" applyFont="1" applyAlignment="1">
      <alignment horizontal="center" vertical="center"/>
    </xf>
    <xf numFmtId="0" fontId="197" fillId="10" borderId="0" xfId="3" applyFont="1" applyFill="1" applyBorder="1" applyAlignment="1">
      <alignment horizontal="center" vertical="center" wrapText="1"/>
    </xf>
    <xf numFmtId="0" fontId="0" fillId="0" borderId="0" xfId="0" applyFill="1" applyBorder="1" applyAlignment="1"/>
    <xf numFmtId="0" fontId="200" fillId="0" borderId="0" xfId="0" applyFont="1" applyFill="1" applyBorder="1" applyAlignment="1">
      <alignment horizontal="center" vertical="center"/>
    </xf>
    <xf numFmtId="0" fontId="200" fillId="10" borderId="0" xfId="0" applyFont="1" applyFill="1" applyBorder="1" applyAlignment="1">
      <alignment horizontal="center" vertical="center"/>
    </xf>
    <xf numFmtId="0" fontId="201" fillId="0" borderId="0" xfId="0" applyFont="1" applyFill="1"/>
    <xf numFmtId="0" fontId="202" fillId="0" borderId="0" xfId="0" applyFont="1" applyFill="1"/>
    <xf numFmtId="0" fontId="175" fillId="0" borderId="0" xfId="0" applyFont="1" applyFill="1" applyBorder="1" applyAlignment="1">
      <alignment horizontal="center" vertical="center"/>
    </xf>
    <xf numFmtId="49" fontId="21" fillId="0" borderId="2" xfId="28" applyNumberFormat="1" applyFont="1" applyFill="1" applyBorder="1" applyAlignment="1">
      <alignment horizontal="center" vertical="center"/>
    </xf>
    <xf numFmtId="0" fontId="207" fillId="10" borderId="0" xfId="0" applyFont="1" applyFill="1" applyBorder="1" applyAlignment="1">
      <alignment horizontal="center"/>
    </xf>
    <xf numFmtId="0" fontId="207" fillId="0" borderId="0" xfId="28" applyFont="1" applyFill="1" applyBorder="1"/>
    <xf numFmtId="0" fontId="21" fillId="0" borderId="1" xfId="28" applyFont="1" applyFill="1" applyBorder="1" applyAlignment="1">
      <alignment horizontal="center"/>
    </xf>
    <xf numFmtId="166" fontId="25" fillId="0" borderId="1" xfId="28" applyNumberFormat="1" applyFont="1" applyFill="1" applyBorder="1" applyAlignment="1">
      <alignment horizontal="center"/>
    </xf>
    <xf numFmtId="166" fontId="25" fillId="0" borderId="1" xfId="28" applyNumberFormat="1" applyFont="1" applyFill="1" applyBorder="1" applyAlignment="1">
      <alignment horizontal="center" vertical="center"/>
    </xf>
    <xf numFmtId="49" fontId="21" fillId="0" borderId="2" xfId="28" applyNumberFormat="1" applyFont="1" applyFill="1" applyBorder="1" applyAlignment="1">
      <alignment horizontal="right"/>
    </xf>
    <xf numFmtId="0" fontId="21" fillId="0" borderId="2" xfId="28" applyFont="1" applyFill="1" applyBorder="1" applyAlignment="1">
      <alignment horizontal="center"/>
    </xf>
    <xf numFmtId="166" fontId="25" fillId="0" borderId="2" xfId="28" applyNumberFormat="1" applyFont="1" applyFill="1" applyBorder="1" applyAlignment="1">
      <alignment horizontal="center"/>
    </xf>
    <xf numFmtId="2" fontId="25" fillId="0" borderId="2" xfId="28" applyNumberFormat="1" applyFont="1" applyFill="1" applyBorder="1" applyAlignment="1">
      <alignment horizontal="center"/>
    </xf>
    <xf numFmtId="49" fontId="21" fillId="0" borderId="2" xfId="0" applyNumberFormat="1" applyFont="1" applyFill="1" applyBorder="1" applyAlignment="1">
      <alignment horizontal="right"/>
    </xf>
    <xf numFmtId="166" fontId="32" fillId="0" borderId="2" xfId="28" applyNumberFormat="1" applyFont="1" applyFill="1" applyBorder="1" applyAlignment="1">
      <alignment horizontal="center" vertical="center"/>
    </xf>
    <xf numFmtId="166" fontId="32" fillId="0" borderId="2" xfId="28" applyNumberFormat="1" applyFont="1" applyFill="1" applyBorder="1" applyAlignment="1">
      <alignment horizontal="center"/>
    </xf>
    <xf numFmtId="2" fontId="32" fillId="0" borderId="2" xfId="28" applyNumberFormat="1" applyFont="1" applyFill="1" applyBorder="1" applyAlignment="1">
      <alignment horizontal="center"/>
    </xf>
    <xf numFmtId="2" fontId="32" fillId="0" borderId="2" xfId="28" applyNumberFormat="1" applyFont="1" applyFill="1" applyBorder="1"/>
    <xf numFmtId="0" fontId="210" fillId="11" borderId="18" xfId="0" applyFont="1" applyFill="1" applyBorder="1" applyAlignment="1">
      <alignment horizontal="center" vertical="center"/>
    </xf>
    <xf numFmtId="0" fontId="136" fillId="0" borderId="1" xfId="0" applyFont="1" applyFill="1" applyBorder="1" applyAlignment="1">
      <alignment horizontal="center" vertical="center"/>
    </xf>
    <xf numFmtId="0" fontId="137" fillId="0" borderId="1" xfId="0" quotePrefix="1" applyFont="1" applyFill="1" applyBorder="1" applyAlignment="1">
      <alignment horizontal="center" vertical="center" wrapText="1"/>
    </xf>
    <xf numFmtId="166" fontId="137" fillId="0" borderId="1" xfId="0" quotePrefix="1" applyNumberFormat="1" applyFont="1" applyFill="1" applyBorder="1" applyAlignment="1">
      <alignment horizontal="center" vertical="center"/>
    </xf>
    <xf numFmtId="2" fontId="101" fillId="0" borderId="1" xfId="0" applyNumberFormat="1" applyFont="1" applyFill="1" applyBorder="1" applyAlignment="1">
      <alignment horizontal="center" vertical="center"/>
    </xf>
    <xf numFmtId="10" fontId="119" fillId="0" borderId="2" xfId="40" applyNumberFormat="1" applyFont="1" applyFill="1" applyBorder="1" applyAlignment="1">
      <alignment horizontal="center"/>
    </xf>
    <xf numFmtId="0" fontId="118" fillId="0" borderId="2" xfId="0" applyFont="1" applyFill="1" applyBorder="1" applyAlignment="1">
      <alignment horizontal="left" vertical="center"/>
    </xf>
    <xf numFmtId="10" fontId="119" fillId="0" borderId="2" xfId="40" applyNumberFormat="1" applyFont="1" applyFill="1" applyBorder="1" applyAlignment="1">
      <alignment horizontal="center" vertical="center"/>
    </xf>
    <xf numFmtId="0" fontId="119" fillId="0" borderId="2" xfId="0" applyFont="1" applyFill="1" applyBorder="1" applyAlignment="1">
      <alignment horizontal="left"/>
    </xf>
    <xf numFmtId="0" fontId="118" fillId="0" borderId="3" xfId="0" applyFont="1" applyFill="1" applyBorder="1" applyAlignment="1">
      <alignment horizontal="left" vertical="center"/>
    </xf>
    <xf numFmtId="10" fontId="119" fillId="0" borderId="3" xfId="40" applyNumberFormat="1" applyFont="1" applyFill="1" applyBorder="1" applyAlignment="1">
      <alignment horizontal="center"/>
    </xf>
    <xf numFmtId="10" fontId="118" fillId="0" borderId="2" xfId="40" applyNumberFormat="1" applyFont="1" applyFill="1" applyBorder="1" applyAlignment="1">
      <alignment horizontal="center"/>
    </xf>
    <xf numFmtId="10" fontId="118" fillId="0" borderId="2" xfId="40" applyNumberFormat="1" applyFont="1" applyFill="1" applyBorder="1" applyAlignment="1">
      <alignment horizontal="center" vertical="center"/>
    </xf>
    <xf numFmtId="0" fontId="213" fillId="0" borderId="2" xfId="0" applyFont="1" applyFill="1" applyBorder="1" applyAlignment="1">
      <alignment horizontal="left"/>
    </xf>
    <xf numFmtId="10" fontId="119" fillId="0" borderId="3" xfId="40" applyNumberFormat="1" applyFont="1" applyFill="1" applyBorder="1" applyAlignment="1">
      <alignment horizontal="center" vertical="center"/>
    </xf>
    <xf numFmtId="4" fontId="10" fillId="0" borderId="2" xfId="38" applyNumberFormat="1" applyFont="1" applyFill="1" applyBorder="1" applyAlignment="1">
      <alignment horizontal="center" vertical="center"/>
    </xf>
    <xf numFmtId="173" fontId="10" fillId="0" borderId="2" xfId="38" applyNumberFormat="1" applyFont="1" applyFill="1" applyBorder="1" applyAlignment="1">
      <alignment horizontal="center" vertical="center"/>
    </xf>
    <xf numFmtId="0" fontId="5" fillId="0" borderId="2" xfId="38" applyNumberFormat="1" applyFont="1" applyFill="1" applyBorder="1" applyAlignment="1">
      <alignment horizontal="center" vertical="center"/>
    </xf>
    <xf numFmtId="0" fontId="10" fillId="0" borderId="2" xfId="38" applyNumberFormat="1" applyFont="1" applyFill="1" applyBorder="1" applyAlignment="1">
      <alignment horizontal="center" vertical="center"/>
    </xf>
    <xf numFmtId="173" fontId="117" fillId="11" borderId="0" xfId="38" applyNumberFormat="1" applyFont="1" applyFill="1" applyAlignment="1">
      <alignment horizontal="right"/>
    </xf>
    <xf numFmtId="14" fontId="4" fillId="0" borderId="1" xfId="38" applyNumberFormat="1" applyFont="1" applyFill="1" applyBorder="1" applyAlignment="1">
      <alignment horizontal="center" vertical="center"/>
    </xf>
    <xf numFmtId="0" fontId="4" fillId="0" borderId="1" xfId="38" applyFont="1" applyFill="1" applyBorder="1" applyAlignment="1">
      <alignment horizontal="center" vertical="center"/>
    </xf>
    <xf numFmtId="1" fontId="4" fillId="0" borderId="1" xfId="38" applyNumberFormat="1" applyFont="1" applyFill="1" applyBorder="1" applyAlignment="1">
      <alignment horizontal="center" vertical="center"/>
    </xf>
    <xf numFmtId="4" fontId="4" fillId="0" borderId="1" xfId="38" applyNumberFormat="1" applyFont="1" applyFill="1" applyBorder="1" applyAlignment="1">
      <alignment horizontal="center" vertical="center"/>
    </xf>
    <xf numFmtId="10" fontId="4" fillId="0" borderId="1" xfId="38" applyNumberFormat="1" applyFont="1" applyFill="1" applyBorder="1" applyAlignment="1">
      <alignment horizontal="center" vertical="center"/>
    </xf>
    <xf numFmtId="14" fontId="4" fillId="0" borderId="2" xfId="38" applyNumberFormat="1" applyFont="1" applyFill="1" applyBorder="1" applyAlignment="1">
      <alignment horizontal="center" vertical="center"/>
    </xf>
    <xf numFmtId="0" fontId="4" fillId="0" borderId="2" xfId="38" applyFont="1" applyFill="1" applyBorder="1" applyAlignment="1">
      <alignment horizontal="center" vertical="center"/>
    </xf>
    <xf numFmtId="1" fontId="4" fillId="0" borderId="2" xfId="38" applyNumberFormat="1" applyFont="1" applyFill="1" applyBorder="1" applyAlignment="1">
      <alignment horizontal="center" vertical="center"/>
    </xf>
    <xf numFmtId="4" fontId="4" fillId="0" borderId="2" xfId="38" applyNumberFormat="1" applyFont="1" applyFill="1" applyBorder="1" applyAlignment="1">
      <alignment horizontal="center" vertical="center"/>
    </xf>
    <xf numFmtId="10" fontId="4" fillId="0" borderId="2" xfId="38" applyNumberFormat="1" applyFont="1" applyFill="1" applyBorder="1" applyAlignment="1">
      <alignment horizontal="center" vertical="center"/>
    </xf>
    <xf numFmtId="3" fontId="4" fillId="0" borderId="2" xfId="38" applyNumberFormat="1" applyFont="1" applyFill="1" applyBorder="1" applyAlignment="1">
      <alignment horizontal="center" vertical="center"/>
    </xf>
    <xf numFmtId="1" fontId="7" fillId="0" borderId="2" xfId="0" applyNumberFormat="1" applyFont="1" applyFill="1" applyBorder="1" applyAlignment="1">
      <alignment horizontal="center" vertical="center"/>
    </xf>
    <xf numFmtId="1" fontId="5" fillId="0" borderId="2" xfId="0" applyNumberFormat="1" applyFont="1" applyFill="1" applyBorder="1" applyAlignment="1">
      <alignment horizontal="center" vertical="center"/>
    </xf>
    <xf numFmtId="1" fontId="8" fillId="0" borderId="2" xfId="0" applyNumberFormat="1" applyFont="1" applyFill="1" applyBorder="1" applyAlignment="1">
      <alignment horizontal="center" vertical="center"/>
    </xf>
    <xf numFmtId="165" fontId="8" fillId="0" borderId="2" xfId="0" applyNumberFormat="1" applyFont="1" applyFill="1" applyBorder="1" applyAlignment="1">
      <alignment horizontal="center" vertical="center"/>
    </xf>
    <xf numFmtId="165" fontId="7" fillId="0" borderId="2" xfId="0" applyNumberFormat="1" applyFont="1" applyFill="1" applyBorder="1" applyAlignment="1">
      <alignment horizontal="center" vertical="center"/>
    </xf>
    <xf numFmtId="166" fontId="8" fillId="0" borderId="2" xfId="40" applyNumberFormat="1" applyFont="1" applyFill="1" applyBorder="1" applyAlignment="1">
      <alignment horizontal="center" vertical="center"/>
    </xf>
    <xf numFmtId="49" fontId="5" fillId="0" borderId="3" xfId="38" applyNumberFormat="1" applyFont="1" applyFill="1" applyBorder="1" applyAlignment="1">
      <alignment horizontal="center" vertical="center"/>
    </xf>
    <xf numFmtId="166" fontId="8" fillId="0" borderId="3" xfId="0" applyNumberFormat="1" applyFont="1" applyFill="1" applyBorder="1" applyAlignment="1">
      <alignment horizontal="center" vertical="center"/>
    </xf>
    <xf numFmtId="49" fontId="16" fillId="0" borderId="2" xfId="0" applyNumberFormat="1" applyFont="1" applyFill="1" applyBorder="1" applyAlignment="1">
      <alignment horizontal="center" vertical="center"/>
    </xf>
    <xf numFmtId="166" fontId="16" fillId="0" borderId="2" xfId="0" applyNumberFormat="1" applyFont="1" applyFill="1" applyBorder="1" applyAlignment="1">
      <alignment horizontal="center" vertical="center"/>
    </xf>
    <xf numFmtId="168" fontId="16" fillId="0" borderId="2" xfId="0" applyNumberFormat="1" applyFont="1" applyFill="1" applyBorder="1" applyAlignment="1">
      <alignment horizontal="center" vertical="center"/>
    </xf>
    <xf numFmtId="166" fontId="13" fillId="0" borderId="2" xfId="0" applyNumberFormat="1" applyFont="1" applyFill="1" applyBorder="1" applyAlignment="1">
      <alignment horizontal="center" vertical="center"/>
    </xf>
    <xf numFmtId="168" fontId="13" fillId="0" borderId="2" xfId="0" applyNumberFormat="1" applyFont="1" applyFill="1" applyBorder="1" applyAlignment="1">
      <alignment horizontal="center" vertical="center"/>
    </xf>
    <xf numFmtId="166" fontId="43" fillId="0" borderId="2" xfId="0" applyNumberFormat="1" applyFont="1" applyFill="1" applyBorder="1" applyAlignment="1">
      <alignment horizontal="center" vertical="center"/>
    </xf>
    <xf numFmtId="168" fontId="43" fillId="0" borderId="2" xfId="0" applyNumberFormat="1" applyFont="1" applyFill="1" applyBorder="1" applyAlignment="1">
      <alignment horizontal="center" vertical="center"/>
    </xf>
    <xf numFmtId="166" fontId="54" fillId="0" borderId="2" xfId="0" applyNumberFormat="1" applyFont="1" applyFill="1" applyBorder="1" applyAlignment="1">
      <alignment horizontal="center" vertical="center"/>
    </xf>
    <xf numFmtId="168" fontId="54" fillId="0" borderId="2" xfId="0" applyNumberFormat="1" applyFont="1" applyFill="1" applyBorder="1" applyAlignment="1">
      <alignment horizontal="center" vertical="center"/>
    </xf>
    <xf numFmtId="168" fontId="7" fillId="0" borderId="2" xfId="0" applyNumberFormat="1" applyFont="1" applyFill="1" applyBorder="1" applyAlignment="1">
      <alignment horizontal="center" vertical="center"/>
    </xf>
    <xf numFmtId="168" fontId="8" fillId="0" borderId="2" xfId="0" applyNumberFormat="1" applyFont="1" applyFill="1" applyBorder="1" applyAlignment="1">
      <alignment horizontal="center" vertical="center"/>
    </xf>
    <xf numFmtId="166" fontId="18" fillId="3" borderId="2" xfId="0" applyNumberFormat="1" applyFont="1" applyFill="1" applyBorder="1" applyAlignment="1">
      <alignment horizontal="center" vertical="center"/>
    </xf>
    <xf numFmtId="0" fontId="104" fillId="3" borderId="2" xfId="0" applyFont="1" applyFill="1" applyBorder="1" applyAlignment="1">
      <alignment horizontal="center" vertical="center"/>
    </xf>
    <xf numFmtId="0" fontId="221" fillId="0" borderId="0" xfId="36" applyFont="1" applyFill="1" applyAlignment="1">
      <alignment vertical="center"/>
    </xf>
    <xf numFmtId="0" fontId="230" fillId="0" borderId="0" xfId="0" applyFont="1" applyFill="1" applyAlignment="1">
      <alignment vertical="center"/>
    </xf>
    <xf numFmtId="0" fontId="231" fillId="0" borderId="0" xfId="0" applyFont="1" applyFill="1" applyBorder="1" applyAlignment="1">
      <alignment vertical="center"/>
    </xf>
    <xf numFmtId="0" fontId="219" fillId="0" borderId="0" xfId="0" applyFont="1" applyFill="1" applyBorder="1" applyAlignment="1">
      <alignment horizontal="center" vertical="center" wrapText="1"/>
    </xf>
    <xf numFmtId="0" fontId="220" fillId="0" borderId="0" xfId="28" applyFont="1" applyFill="1" applyBorder="1" applyAlignment="1">
      <alignment vertical="center" wrapText="1"/>
    </xf>
    <xf numFmtId="0" fontId="219" fillId="0" borderId="0" xfId="0" applyFont="1" applyFill="1" applyAlignment="1">
      <alignment horizontal="center" vertical="center" wrapText="1"/>
    </xf>
    <xf numFmtId="0" fontId="221" fillId="0" borderId="0" xfId="0" applyFont="1"/>
    <xf numFmtId="49" fontId="226" fillId="0" borderId="0" xfId="0" applyNumberFormat="1" applyFont="1" applyFill="1" applyBorder="1" applyAlignment="1">
      <alignment vertical="center" wrapText="1"/>
    </xf>
    <xf numFmtId="0" fontId="220" fillId="0" borderId="0" xfId="28" applyFont="1" applyFill="1" applyBorder="1" applyAlignment="1">
      <alignment horizontal="left" vertical="center"/>
    </xf>
    <xf numFmtId="0" fontId="223" fillId="0" borderId="0" xfId="28" applyFont="1" applyFill="1" applyBorder="1" applyAlignment="1">
      <alignment horizontal="center" vertical="center" wrapText="1"/>
    </xf>
    <xf numFmtId="49" fontId="220" fillId="0" borderId="0" xfId="0" applyNumberFormat="1" applyFont="1" applyFill="1" applyBorder="1" applyAlignment="1">
      <alignment horizontal="left" vertical="center" wrapText="1"/>
    </xf>
    <xf numFmtId="0" fontId="233" fillId="0" borderId="0" xfId="0" applyFont="1" applyFill="1" applyBorder="1" applyAlignment="1">
      <alignment vertical="justify" readingOrder="1"/>
    </xf>
    <xf numFmtId="0" fontId="223" fillId="0" borderId="0" xfId="28" applyFont="1" applyFill="1" applyBorder="1" applyAlignment="1">
      <alignment vertical="center"/>
    </xf>
    <xf numFmtId="0" fontId="221" fillId="0" borderId="0" xfId="0" applyFont="1" applyFill="1" applyBorder="1" applyAlignment="1">
      <alignment vertical="center"/>
    </xf>
    <xf numFmtId="0" fontId="223" fillId="0" borderId="0" xfId="0" applyFont="1" applyFill="1" applyBorder="1" applyAlignment="1">
      <alignment vertical="center"/>
    </xf>
    <xf numFmtId="0" fontId="221" fillId="0" borderId="0" xfId="0" applyFont="1" applyAlignment="1">
      <alignment horizontal="center" vertical="center"/>
    </xf>
    <xf numFmtId="0" fontId="236" fillId="0" borderId="0" xfId="0" applyFont="1" applyFill="1"/>
    <xf numFmtId="0" fontId="239" fillId="0" borderId="0" xfId="0" applyFont="1" applyFill="1"/>
    <xf numFmtId="166" fontId="236" fillId="0" borderId="0" xfId="0" applyNumberFormat="1" applyFont="1" applyBorder="1"/>
    <xf numFmtId="0" fontId="222" fillId="0" borderId="0" xfId="0" applyFont="1" applyFill="1" applyBorder="1" applyAlignment="1">
      <alignment vertical="top" wrapText="1"/>
    </xf>
    <xf numFmtId="0" fontId="222" fillId="0" borderId="0" xfId="0" applyFont="1" applyFill="1" applyBorder="1" applyAlignment="1">
      <alignment horizontal="left" vertical="top" wrapText="1"/>
    </xf>
    <xf numFmtId="0" fontId="223" fillId="0" borderId="0" xfId="28" applyFont="1" applyFill="1" applyBorder="1"/>
    <xf numFmtId="0" fontId="221" fillId="0" borderId="0" xfId="38" applyFont="1" applyFill="1" applyBorder="1" applyAlignment="1">
      <alignment vertical="center"/>
    </xf>
    <xf numFmtId="173" fontId="234" fillId="0" borderId="0" xfId="38" applyNumberFormat="1" applyFont="1" applyFill="1" applyBorder="1" applyAlignment="1">
      <alignment vertical="justify" readingOrder="1"/>
    </xf>
    <xf numFmtId="173" fontId="219" fillId="0" borderId="0" xfId="38" applyNumberFormat="1" applyFont="1" applyFill="1"/>
    <xf numFmtId="173" fontId="219" fillId="0" borderId="0" xfId="38" applyNumberFormat="1" applyFont="1"/>
    <xf numFmtId="0" fontId="240" fillId="3" borderId="0" xfId="0" applyFont="1" applyFill="1" applyBorder="1"/>
    <xf numFmtId="0" fontId="219" fillId="0" borderId="0" xfId="38" applyFont="1" applyAlignment="1">
      <alignment vertical="center"/>
    </xf>
    <xf numFmtId="0" fontId="119" fillId="0" borderId="2" xfId="0" applyFont="1" applyFill="1" applyBorder="1" applyAlignment="1">
      <alignment horizontal="left" vertical="center"/>
    </xf>
    <xf numFmtId="0" fontId="0" fillId="0" borderId="0" xfId="0" applyAlignment="1">
      <alignment horizontal="left"/>
    </xf>
    <xf numFmtId="0" fontId="177" fillId="10" borderId="0" xfId="3" applyFont="1" applyFill="1" applyBorder="1" applyAlignment="1">
      <alignment horizontal="left" vertical="center" wrapText="1"/>
    </xf>
    <xf numFmtId="0" fontId="115" fillId="0" borderId="0" xfId="0" applyFont="1" applyAlignment="1">
      <alignment horizontal="left"/>
    </xf>
    <xf numFmtId="0" fontId="178" fillId="10" borderId="0" xfId="3" applyFont="1" applyFill="1" applyBorder="1" applyAlignment="1">
      <alignment horizontal="left" vertical="center" wrapText="1"/>
    </xf>
    <xf numFmtId="0" fontId="66" fillId="0" borderId="0" xfId="3" applyFont="1" applyFill="1" applyBorder="1" applyAlignment="1">
      <alignment horizontal="left"/>
    </xf>
    <xf numFmtId="0" fontId="68" fillId="0" borderId="0" xfId="3" applyFont="1" applyFill="1" applyBorder="1" applyAlignment="1">
      <alignment horizontal="left"/>
    </xf>
    <xf numFmtId="0" fontId="70" fillId="0" borderId="0" xfId="3" applyFont="1" applyFill="1" applyBorder="1" applyAlignment="1">
      <alignment horizontal="left"/>
    </xf>
    <xf numFmtId="0" fontId="69" fillId="0" borderId="0" xfId="3" applyFont="1" applyFill="1" applyBorder="1" applyAlignment="1">
      <alignment horizontal="left"/>
    </xf>
    <xf numFmtId="0" fontId="70" fillId="0" borderId="0" xfId="0" applyFont="1" applyFill="1" applyBorder="1" applyAlignment="1">
      <alignment horizontal="left"/>
    </xf>
    <xf numFmtId="0" fontId="68" fillId="0" borderId="0" xfId="0" applyFont="1" applyFill="1" applyBorder="1" applyAlignment="1">
      <alignment horizontal="left"/>
    </xf>
    <xf numFmtId="0" fontId="115" fillId="0" borderId="0" xfId="0" applyFont="1" applyBorder="1" applyAlignment="1">
      <alignment horizontal="left"/>
    </xf>
    <xf numFmtId="0" fontId="66" fillId="0" borderId="0" xfId="3" applyFont="1" applyFill="1" applyBorder="1" applyAlignment="1">
      <alignment horizontal="left" vertical="center"/>
    </xf>
    <xf numFmtId="0" fontId="68" fillId="0" borderId="0" xfId="3" applyFont="1" applyFill="1" applyBorder="1" applyAlignment="1">
      <alignment horizontal="left" vertical="center"/>
    </xf>
    <xf numFmtId="0" fontId="70" fillId="0" borderId="0" xfId="3" applyFont="1" applyFill="1" applyBorder="1" applyAlignment="1">
      <alignment horizontal="left" vertical="center"/>
    </xf>
    <xf numFmtId="0" fontId="69" fillId="0" borderId="0" xfId="3" applyFont="1" applyFill="1" applyBorder="1" applyAlignment="1">
      <alignment horizontal="left" vertical="center"/>
    </xf>
    <xf numFmtId="0" fontId="65" fillId="0" borderId="0" xfId="0" applyFont="1" applyFill="1" applyBorder="1" applyAlignment="1">
      <alignment horizontal="left" vertical="center"/>
    </xf>
    <xf numFmtId="0" fontId="64" fillId="0" borderId="0" xfId="0" applyFont="1" applyFill="1" applyBorder="1" applyAlignment="1">
      <alignment horizontal="left" vertical="center"/>
    </xf>
    <xf numFmtId="0" fontId="0" fillId="0" borderId="0" xfId="0" applyBorder="1" applyAlignment="1">
      <alignment horizontal="left" vertical="center"/>
    </xf>
    <xf numFmtId="0" fontId="0" fillId="0" borderId="0" xfId="0" applyAlignment="1">
      <alignment horizontal="left" vertical="center"/>
    </xf>
    <xf numFmtId="0" fontId="115" fillId="0" borderId="0" xfId="0" applyFont="1" applyAlignment="1">
      <alignment horizontal="left" vertical="center"/>
    </xf>
    <xf numFmtId="0" fontId="195" fillId="10" borderId="0" xfId="3" applyFont="1" applyFill="1" applyBorder="1" applyAlignment="1">
      <alignment horizontal="left" vertical="center" wrapText="1"/>
    </xf>
    <xf numFmtId="0" fontId="197" fillId="10" borderId="0" xfId="3" applyFont="1" applyFill="1" applyBorder="1" applyAlignment="1">
      <alignment horizontal="left" vertical="center" wrapText="1"/>
    </xf>
    <xf numFmtId="49" fontId="5" fillId="0" borderId="5" xfId="36" applyNumberFormat="1" applyFont="1" applyFill="1" applyBorder="1" applyAlignment="1">
      <alignment horizontal="center" vertical="center"/>
    </xf>
    <xf numFmtId="166" fontId="4" fillId="0" borderId="3" xfId="36" applyNumberFormat="1" applyFont="1" applyFill="1" applyBorder="1" applyAlignment="1">
      <alignment horizontal="center" vertical="center"/>
    </xf>
    <xf numFmtId="0" fontId="138" fillId="0" borderId="3" xfId="0" applyFont="1" applyFill="1" applyBorder="1" applyAlignment="1">
      <alignment horizontal="left" vertical="center"/>
    </xf>
    <xf numFmtId="0" fontId="271" fillId="0" borderId="2" xfId="0" applyFont="1" applyFill="1" applyBorder="1" applyAlignment="1">
      <alignment horizontal="center" vertical="center"/>
    </xf>
    <xf numFmtId="0" fontId="271" fillId="0" borderId="2" xfId="0" quotePrefix="1" applyFont="1" applyFill="1" applyBorder="1" applyAlignment="1">
      <alignment horizontal="center" vertical="center" wrapText="1"/>
    </xf>
    <xf numFmtId="166" fontId="271" fillId="0" borderId="2" xfId="0" quotePrefix="1" applyNumberFormat="1" applyFont="1" applyFill="1" applyBorder="1" applyAlignment="1">
      <alignment horizontal="center" vertical="center"/>
    </xf>
    <xf numFmtId="0" fontId="5" fillId="0" borderId="0" xfId="38" applyNumberFormat="1" applyFont="1"/>
    <xf numFmtId="173" fontId="274" fillId="10" borderId="0" xfId="38" applyNumberFormat="1" applyFont="1" applyFill="1" applyAlignment="1">
      <alignment horizontal="center" vertical="center" wrapText="1"/>
    </xf>
    <xf numFmtId="0" fontId="5" fillId="11" borderId="0" xfId="38" applyNumberFormat="1" applyFont="1" applyFill="1"/>
    <xf numFmtId="0" fontId="194" fillId="9" borderId="83" xfId="0" applyFont="1" applyFill="1" applyBorder="1" applyAlignment="1">
      <alignment vertical="center"/>
    </xf>
    <xf numFmtId="0" fontId="86" fillId="9" borderId="83" xfId="0" applyFont="1" applyFill="1" applyBorder="1" applyAlignment="1">
      <alignment horizontal="center" vertical="center"/>
    </xf>
    <xf numFmtId="166" fontId="67" fillId="0" borderId="86" xfId="0" applyNumberFormat="1" applyFont="1" applyFill="1" applyBorder="1" applyAlignment="1">
      <alignment horizontal="center" vertical="center"/>
    </xf>
    <xf numFmtId="166" fontId="88" fillId="0" borderId="86" xfId="0" applyNumberFormat="1" applyFont="1" applyFill="1" applyBorder="1" applyAlignment="1">
      <alignment horizontal="center" vertical="center"/>
    </xf>
    <xf numFmtId="166" fontId="86" fillId="0" borderId="86" xfId="0" applyNumberFormat="1" applyFont="1" applyFill="1" applyBorder="1" applyAlignment="1">
      <alignment horizontal="center" vertical="center"/>
    </xf>
    <xf numFmtId="166" fontId="65" fillId="0" borderId="86" xfId="0" applyNumberFormat="1" applyFont="1" applyFill="1" applyBorder="1" applyAlignment="1">
      <alignment horizontal="center" vertical="center"/>
    </xf>
    <xf numFmtId="166" fontId="89" fillId="0" borderId="86" xfId="0" applyNumberFormat="1" applyFont="1" applyFill="1" applyBorder="1" applyAlignment="1">
      <alignment horizontal="center" vertical="center"/>
    </xf>
    <xf numFmtId="166" fontId="87" fillId="0" borderId="86" xfId="0" applyNumberFormat="1" applyFont="1" applyFill="1" applyBorder="1" applyAlignment="1">
      <alignment horizontal="center" vertical="center"/>
    </xf>
    <xf numFmtId="166" fontId="65" fillId="0" borderId="87" xfId="0" applyNumberFormat="1" applyFont="1" applyFill="1" applyBorder="1" applyAlignment="1">
      <alignment horizontal="center" vertical="center"/>
    </xf>
    <xf numFmtId="166" fontId="89" fillId="0" borderId="87" xfId="0" applyNumberFormat="1" applyFont="1" applyFill="1" applyBorder="1" applyAlignment="1">
      <alignment horizontal="center" vertical="center"/>
    </xf>
    <xf numFmtId="166" fontId="87" fillId="0" borderId="87" xfId="0" applyNumberFormat="1" applyFont="1" applyFill="1" applyBorder="1" applyAlignment="1">
      <alignment horizontal="center" vertical="center"/>
    </xf>
    <xf numFmtId="0" fontId="75" fillId="9" borderId="83" xfId="0" applyFont="1" applyFill="1" applyBorder="1" applyAlignment="1">
      <alignment vertical="center"/>
    </xf>
    <xf numFmtId="0" fontId="76" fillId="9" borderId="83" xfId="0" applyFont="1" applyFill="1" applyBorder="1" applyAlignment="1">
      <alignment horizontal="center" vertical="center"/>
    </xf>
    <xf numFmtId="166" fontId="69" fillId="0" borderId="86" xfId="0" applyNumberFormat="1" applyFont="1" applyFill="1" applyBorder="1" applyAlignment="1">
      <alignment horizontal="center" vertical="center"/>
    </xf>
    <xf numFmtId="166" fontId="70" fillId="0" borderId="86" xfId="0" applyNumberFormat="1" applyFont="1" applyFill="1" applyBorder="1" applyAlignment="1">
      <alignment horizontal="center" vertical="center"/>
    </xf>
    <xf numFmtId="166" fontId="69" fillId="0" borderId="87" xfId="0" applyNumberFormat="1" applyFont="1" applyFill="1" applyBorder="1" applyAlignment="1">
      <alignment horizontal="center" vertical="center"/>
    </xf>
    <xf numFmtId="166" fontId="88" fillId="0" borderId="87" xfId="0" applyNumberFormat="1" applyFont="1" applyFill="1" applyBorder="1" applyAlignment="1">
      <alignment horizontal="center" vertical="center"/>
    </xf>
    <xf numFmtId="0" fontId="76" fillId="9" borderId="89" xfId="0" applyFont="1" applyFill="1" applyBorder="1" applyAlignment="1">
      <alignment horizontal="center" vertical="center"/>
    </xf>
    <xf numFmtId="0" fontId="76" fillId="9" borderId="89" xfId="0" applyFont="1" applyFill="1" applyBorder="1" applyAlignment="1">
      <alignment horizontal="center" vertical="center" wrapText="1"/>
    </xf>
    <xf numFmtId="0" fontId="75" fillId="9" borderId="9" xfId="0" applyFont="1" applyFill="1" applyBorder="1" applyAlignment="1">
      <alignment vertical="center"/>
    </xf>
    <xf numFmtId="0" fontId="76" fillId="9" borderId="90" xfId="0" applyFont="1" applyFill="1" applyBorder="1" applyAlignment="1">
      <alignment horizontal="center" vertical="center"/>
    </xf>
    <xf numFmtId="166" fontId="88" fillId="0" borderId="5" xfId="0" applyNumberFormat="1" applyFont="1" applyFill="1" applyBorder="1" applyAlignment="1">
      <alignment horizontal="center" vertical="center"/>
    </xf>
    <xf numFmtId="166" fontId="89" fillId="0" borderId="5" xfId="0" applyNumberFormat="1" applyFont="1" applyFill="1" applyBorder="1" applyAlignment="1">
      <alignment horizontal="center" vertical="center"/>
    </xf>
    <xf numFmtId="166" fontId="89" fillId="0" borderId="17" xfId="0" applyNumberFormat="1" applyFont="1" applyFill="1" applyBorder="1" applyAlignment="1">
      <alignment horizontal="center" vertical="center"/>
    </xf>
    <xf numFmtId="0" fontId="76" fillId="9" borderId="91" xfId="0" applyFont="1" applyFill="1" applyBorder="1" applyAlignment="1">
      <alignment horizontal="center" vertical="center"/>
    </xf>
    <xf numFmtId="166" fontId="67" fillId="0" borderId="4" xfId="0" applyNumberFormat="1" applyFont="1" applyFill="1" applyBorder="1" applyAlignment="1">
      <alignment horizontal="center" vertical="center"/>
    </xf>
    <xf numFmtId="166" fontId="65" fillId="0" borderId="4" xfId="0" applyNumberFormat="1" applyFont="1" applyFill="1" applyBorder="1" applyAlignment="1">
      <alignment horizontal="center" vertical="center"/>
    </xf>
    <xf numFmtId="166" fontId="67" fillId="0" borderId="19" xfId="0" applyNumberFormat="1" applyFont="1" applyFill="1" applyBorder="1" applyAlignment="1">
      <alignment horizontal="center" vertical="center"/>
    </xf>
    <xf numFmtId="0" fontId="86" fillId="9" borderId="83" xfId="0" applyFont="1" applyFill="1" applyBorder="1" applyAlignment="1">
      <alignment vertical="center"/>
    </xf>
    <xf numFmtId="0" fontId="86" fillId="9" borderId="83" xfId="0" applyFont="1" applyFill="1" applyBorder="1" applyAlignment="1">
      <alignment horizontal="center" vertical="center" wrapText="1"/>
    </xf>
    <xf numFmtId="166" fontId="67" fillId="0" borderId="87" xfId="0" applyNumberFormat="1" applyFont="1" applyFill="1" applyBorder="1" applyAlignment="1">
      <alignment horizontal="center" vertical="center"/>
    </xf>
    <xf numFmtId="0" fontId="73" fillId="9" borderId="83" xfId="0" applyFont="1" applyFill="1" applyBorder="1" applyAlignment="1">
      <alignment vertical="center"/>
    </xf>
    <xf numFmtId="0" fontId="71" fillId="9" borderId="83" xfId="0" applyFont="1" applyFill="1" applyBorder="1" applyAlignment="1">
      <alignment horizontal="center" vertical="center"/>
    </xf>
    <xf numFmtId="0" fontId="73" fillId="9" borderId="88" xfId="0" applyFont="1" applyFill="1" applyBorder="1" applyAlignment="1">
      <alignment vertical="center"/>
    </xf>
    <xf numFmtId="0" fontId="71" fillId="9" borderId="86" xfId="0" applyFont="1" applyFill="1" applyBorder="1" applyAlignment="1">
      <alignment horizontal="center" vertical="center"/>
    </xf>
    <xf numFmtId="0" fontId="71" fillId="9" borderId="86" xfId="0" applyFont="1" applyFill="1" applyBorder="1" applyAlignment="1">
      <alignment horizontal="center" vertical="center" wrapText="1"/>
    </xf>
    <xf numFmtId="0" fontId="194" fillId="9" borderId="83" xfId="0" applyFont="1" applyFill="1" applyBorder="1" applyAlignment="1">
      <alignment horizontal="center" vertical="center"/>
    </xf>
    <xf numFmtId="166" fontId="86" fillId="0" borderId="93" xfId="0" applyNumberFormat="1" applyFont="1" applyFill="1" applyBorder="1" applyAlignment="1">
      <alignment horizontal="center" vertical="center"/>
    </xf>
    <xf numFmtId="166" fontId="87" fillId="0" borderId="93" xfId="0" applyNumberFormat="1" applyFont="1" applyFill="1" applyBorder="1" applyAlignment="1">
      <alignment horizontal="center" vertical="center"/>
    </xf>
    <xf numFmtId="0" fontId="154" fillId="0" borderId="93" xfId="0" applyFont="1" applyBorder="1" applyAlignment="1">
      <alignment horizontal="center"/>
    </xf>
    <xf numFmtId="166" fontId="87" fillId="0" borderId="94" xfId="0" applyNumberFormat="1" applyFont="1" applyFill="1" applyBorder="1" applyAlignment="1">
      <alignment horizontal="center" vertical="center"/>
    </xf>
    <xf numFmtId="0" fontId="86" fillId="9" borderId="95" xfId="0" applyFont="1" applyFill="1" applyBorder="1" applyAlignment="1">
      <alignment horizontal="center" vertical="center"/>
    </xf>
    <xf numFmtId="166" fontId="86" fillId="0" borderId="96" xfId="0" applyNumberFormat="1" applyFont="1" applyFill="1" applyBorder="1" applyAlignment="1">
      <alignment horizontal="center" vertical="center"/>
    </xf>
    <xf numFmtId="166" fontId="87" fillId="0" borderId="96" xfId="0" applyNumberFormat="1" applyFont="1" applyFill="1" applyBorder="1" applyAlignment="1">
      <alignment horizontal="center" vertical="center"/>
    </xf>
    <xf numFmtId="166" fontId="87" fillId="0" borderId="97" xfId="0" applyNumberFormat="1" applyFont="1" applyFill="1" applyBorder="1" applyAlignment="1">
      <alignment horizontal="center" vertical="center"/>
    </xf>
    <xf numFmtId="0" fontId="194" fillId="9" borderId="95" xfId="0" applyFont="1" applyFill="1" applyBorder="1" applyAlignment="1">
      <alignment vertical="center"/>
    </xf>
    <xf numFmtId="0" fontId="86" fillId="9" borderId="99" xfId="0" applyFont="1" applyFill="1" applyBorder="1" applyAlignment="1">
      <alignment horizontal="center" vertical="center"/>
    </xf>
    <xf numFmtId="0" fontId="76" fillId="9" borderId="95" xfId="0" applyFont="1" applyFill="1" applyBorder="1" applyAlignment="1">
      <alignment horizontal="center" vertical="center"/>
    </xf>
    <xf numFmtId="166" fontId="88" fillId="0" borderId="96" xfId="0" applyNumberFormat="1" applyFont="1" applyFill="1" applyBorder="1" applyAlignment="1">
      <alignment horizontal="center" vertical="center"/>
    </xf>
    <xf numFmtId="166" fontId="89" fillId="0" borderId="96" xfId="0" applyNumberFormat="1" applyFont="1" applyFill="1" applyBorder="1" applyAlignment="1">
      <alignment horizontal="center" vertical="center"/>
    </xf>
    <xf numFmtId="166" fontId="89" fillId="0" borderId="97" xfId="0" applyNumberFormat="1" applyFont="1" applyFill="1" applyBorder="1" applyAlignment="1">
      <alignment horizontal="center" vertical="center"/>
    </xf>
    <xf numFmtId="0" fontId="75" fillId="9" borderId="95" xfId="0" applyFont="1" applyFill="1" applyBorder="1" applyAlignment="1">
      <alignment vertical="center"/>
    </xf>
    <xf numFmtId="0" fontId="193" fillId="9" borderId="100" xfId="0" applyFont="1" applyFill="1" applyBorder="1" applyAlignment="1">
      <alignment vertical="center"/>
    </xf>
    <xf numFmtId="0" fontId="140" fillId="9" borderId="100" xfId="0" applyFont="1" applyFill="1" applyBorder="1" applyAlignment="1">
      <alignment horizontal="center" vertical="center"/>
    </xf>
    <xf numFmtId="0" fontId="193" fillId="9" borderId="101" xfId="0" applyFont="1" applyFill="1" applyBorder="1" applyAlignment="1">
      <alignment horizontal="center" vertical="center"/>
    </xf>
    <xf numFmtId="0" fontId="193" fillId="9" borderId="101" xfId="0" applyFont="1" applyFill="1" applyBorder="1" applyAlignment="1">
      <alignment vertical="center"/>
    </xf>
    <xf numFmtId="0" fontId="140" fillId="9" borderId="101" xfId="0" applyFont="1" applyFill="1" applyBorder="1" applyAlignment="1">
      <alignment horizontal="center" vertical="center"/>
    </xf>
    <xf numFmtId="166" fontId="87" fillId="0" borderId="102" xfId="0" applyNumberFormat="1" applyFont="1" applyFill="1" applyBorder="1" applyAlignment="1">
      <alignment horizontal="center" vertical="center"/>
    </xf>
    <xf numFmtId="0" fontId="86" fillId="9" borderId="95" xfId="0" applyFont="1" applyFill="1" applyBorder="1" applyAlignment="1">
      <alignment vertical="center"/>
    </xf>
    <xf numFmtId="0" fontId="71" fillId="9" borderId="95" xfId="0" applyFont="1" applyFill="1" applyBorder="1" applyAlignment="1">
      <alignment horizontal="center" vertical="center"/>
    </xf>
    <xf numFmtId="166" fontId="86" fillId="0" borderId="103" xfId="0" applyNumberFormat="1" applyFont="1" applyFill="1" applyBorder="1" applyAlignment="1">
      <alignment horizontal="center" vertical="center"/>
    </xf>
    <xf numFmtId="166" fontId="87" fillId="0" borderId="103" xfId="0" applyNumberFormat="1" applyFont="1" applyFill="1" applyBorder="1" applyAlignment="1">
      <alignment horizontal="center" vertical="center"/>
    </xf>
    <xf numFmtId="166" fontId="87" fillId="0" borderId="104" xfId="0" applyNumberFormat="1" applyFont="1" applyFill="1" applyBorder="1" applyAlignment="1">
      <alignment horizontal="center" vertical="center"/>
    </xf>
    <xf numFmtId="0" fontId="73" fillId="9" borderId="95" xfId="0" applyFont="1" applyFill="1" applyBorder="1" applyAlignment="1">
      <alignment vertical="center"/>
    </xf>
    <xf numFmtId="0" fontId="71" fillId="9" borderId="96" xfId="0" applyFont="1" applyFill="1" applyBorder="1" applyAlignment="1">
      <alignment horizontal="center" vertical="center" wrapText="1"/>
    </xf>
    <xf numFmtId="0" fontId="73" fillId="9" borderId="92" xfId="0" applyFont="1" applyFill="1" applyBorder="1" applyAlignment="1">
      <alignment vertical="center"/>
    </xf>
    <xf numFmtId="0" fontId="86" fillId="9" borderId="87" xfId="0" applyFont="1" applyFill="1" applyBorder="1" applyAlignment="1">
      <alignment horizontal="center" vertical="center"/>
    </xf>
    <xf numFmtId="0" fontId="86" fillId="9" borderId="97" xfId="0" applyFont="1" applyFill="1" applyBorder="1" applyAlignment="1">
      <alignment horizontal="center" vertical="center"/>
    </xf>
    <xf numFmtId="0" fontId="86" fillId="9" borderId="94" xfId="0" applyFont="1" applyFill="1" applyBorder="1" applyAlignment="1">
      <alignment horizontal="center" vertical="center"/>
    </xf>
    <xf numFmtId="0" fontId="86" fillId="9" borderId="100" xfId="0" applyFont="1" applyFill="1" applyBorder="1" applyAlignment="1">
      <alignment horizontal="center" vertical="center"/>
    </xf>
    <xf numFmtId="0" fontId="86" fillId="9" borderId="105" xfId="0" applyFont="1" applyFill="1" applyBorder="1" applyAlignment="1">
      <alignment horizontal="center" vertical="center"/>
    </xf>
    <xf numFmtId="0" fontId="86" fillId="9" borderId="100" xfId="0" applyFont="1" applyFill="1" applyBorder="1" applyAlignment="1">
      <alignment horizontal="center" vertical="center" wrapText="1"/>
    </xf>
    <xf numFmtId="0" fontId="86" fillId="9" borderId="105" xfId="0" applyFont="1" applyFill="1" applyBorder="1" applyAlignment="1">
      <alignment horizontal="center" vertical="center" wrapText="1"/>
    </xf>
    <xf numFmtId="0" fontId="5" fillId="9" borderId="1" xfId="36" applyFont="1" applyFill="1" applyBorder="1" applyAlignment="1">
      <alignment horizontal="center" vertical="center"/>
    </xf>
    <xf numFmtId="0" fontId="5" fillId="9" borderId="3" xfId="36" applyFont="1" applyFill="1" applyBorder="1" applyAlignment="1">
      <alignment horizontal="center" vertical="center"/>
    </xf>
    <xf numFmtId="0" fontId="4" fillId="9" borderId="1" xfId="36" applyFont="1" applyFill="1" applyBorder="1" applyAlignment="1">
      <alignment horizontal="center" vertical="center"/>
    </xf>
    <xf numFmtId="0" fontId="4" fillId="9" borderId="3" xfId="36" applyFont="1" applyFill="1" applyBorder="1" applyAlignment="1">
      <alignment horizontal="center" vertical="center"/>
    </xf>
    <xf numFmtId="0" fontId="110" fillId="0" borderId="0" xfId="22" applyFont="1"/>
    <xf numFmtId="0" fontId="275" fillId="0" borderId="0" xfId="36" applyFont="1" applyFill="1" applyAlignment="1">
      <alignment vertical="center"/>
    </xf>
    <xf numFmtId="0" fontId="275" fillId="0" borderId="0" xfId="36" applyFont="1" applyFill="1" applyBorder="1" applyAlignment="1">
      <alignment vertical="center"/>
    </xf>
    <xf numFmtId="0" fontId="276" fillId="0" borderId="0" xfId="36" applyFont="1" applyFill="1" applyBorder="1" applyAlignment="1">
      <alignment vertical="center"/>
    </xf>
    <xf numFmtId="0" fontId="42" fillId="0" borderId="0" xfId="22" applyFont="1" applyFill="1" applyBorder="1" applyAlignment="1">
      <alignment vertical="center"/>
    </xf>
    <xf numFmtId="166" fontId="4" fillId="0" borderId="2" xfId="22" applyNumberFormat="1" applyFont="1" applyFill="1" applyBorder="1" applyAlignment="1">
      <alignment horizontal="center" vertical="center"/>
    </xf>
    <xf numFmtId="166" fontId="5" fillId="0" borderId="2" xfId="22" applyNumberFormat="1" applyFont="1" applyFill="1" applyBorder="1" applyAlignment="1">
      <alignment horizontal="center" vertical="center"/>
    </xf>
    <xf numFmtId="0" fontId="109" fillId="0" borderId="0" xfId="22" applyFont="1"/>
    <xf numFmtId="166" fontId="26" fillId="0" borderId="0" xfId="22" applyNumberFormat="1" applyFont="1" applyFill="1" applyBorder="1" applyAlignment="1">
      <alignment horizontal="right" vertical="center"/>
    </xf>
    <xf numFmtId="166" fontId="4" fillId="0" borderId="4" xfId="22" applyNumberFormat="1" applyFont="1" applyFill="1" applyBorder="1" applyAlignment="1">
      <alignment horizontal="center" vertical="center"/>
    </xf>
    <xf numFmtId="49" fontId="5" fillId="0" borderId="2" xfId="22" applyNumberFormat="1" applyFont="1" applyFill="1" applyBorder="1" applyAlignment="1">
      <alignment horizontal="center" vertical="center"/>
    </xf>
    <xf numFmtId="166" fontId="5" fillId="0" borderId="1" xfId="22" applyNumberFormat="1" applyFont="1" applyFill="1" applyBorder="1" applyAlignment="1">
      <alignment horizontal="center" vertical="center"/>
    </xf>
    <xf numFmtId="0" fontId="9" fillId="11" borderId="0" xfId="36" applyFont="1" applyFill="1" applyAlignment="1">
      <alignment horizontal="center" vertical="center"/>
    </xf>
    <xf numFmtId="0" fontId="18" fillId="0" borderId="0" xfId="22" applyFont="1" applyFill="1" applyAlignment="1">
      <alignment vertical="center"/>
    </xf>
    <xf numFmtId="166" fontId="24" fillId="0" borderId="71" xfId="22" applyNumberFormat="1" applyFont="1" applyFill="1" applyBorder="1" applyAlignment="1">
      <alignment horizontal="center" vertical="center"/>
    </xf>
    <xf numFmtId="166" fontId="24" fillId="0" borderId="72" xfId="22" applyNumberFormat="1" applyFont="1" applyFill="1" applyBorder="1" applyAlignment="1">
      <alignment horizontal="center" vertical="center"/>
    </xf>
    <xf numFmtId="166" fontId="148" fillId="0" borderId="71" xfId="22" applyNumberFormat="1" applyFont="1" applyFill="1" applyBorder="1" applyAlignment="1">
      <alignment horizontal="center" vertical="center"/>
    </xf>
    <xf numFmtId="166" fontId="148" fillId="0" borderId="72" xfId="22" applyNumberFormat="1" applyFont="1" applyFill="1" applyBorder="1" applyAlignment="1">
      <alignment horizontal="center" vertical="center"/>
    </xf>
    <xf numFmtId="0" fontId="16" fillId="0" borderId="0" xfId="22" applyFont="1" applyFill="1" applyAlignment="1">
      <alignment vertical="center"/>
    </xf>
    <xf numFmtId="0" fontId="8" fillId="8" borderId="71" xfId="22" applyFont="1" applyFill="1" applyBorder="1" applyAlignment="1">
      <alignment horizontal="center" vertical="center" wrapText="1"/>
    </xf>
    <xf numFmtId="0" fontId="8" fillId="8" borderId="72" xfId="22" applyFont="1" applyFill="1" applyBorder="1" applyAlignment="1">
      <alignment horizontal="center" vertical="center" wrapText="1"/>
    </xf>
    <xf numFmtId="0" fontId="25" fillId="8" borderId="74" xfId="22" applyFont="1" applyFill="1" applyBorder="1" applyAlignment="1">
      <alignment horizontal="center" vertical="center" wrapText="1"/>
    </xf>
    <xf numFmtId="0" fontId="25" fillId="8" borderId="75" xfId="22" applyFont="1" applyFill="1" applyBorder="1" applyAlignment="1">
      <alignment horizontal="center" vertical="center" wrapText="1"/>
    </xf>
    <xf numFmtId="0" fontId="13" fillId="11" borderId="0" xfId="36" applyFont="1" applyFill="1" applyBorder="1" applyAlignment="1">
      <alignment horizontal="left" vertical="center"/>
    </xf>
    <xf numFmtId="0" fontId="15" fillId="11" borderId="0" xfId="36" applyFont="1" applyFill="1" applyBorder="1" applyAlignment="1">
      <alignment horizontal="left" vertical="center"/>
    </xf>
    <xf numFmtId="166" fontId="4" fillId="3" borderId="2" xfId="22" applyNumberFormat="1" applyFont="1" applyFill="1" applyBorder="1" applyAlignment="1">
      <alignment horizontal="center" vertical="center"/>
    </xf>
    <xf numFmtId="0" fontId="6" fillId="9" borderId="3" xfId="22" applyFont="1" applyFill="1" applyBorder="1" applyAlignment="1">
      <alignment horizontal="center" vertical="center" wrapText="1" shrinkToFit="1"/>
    </xf>
    <xf numFmtId="0" fontId="10" fillId="9" borderId="3" xfId="22" applyFont="1" applyFill="1" applyBorder="1" applyAlignment="1">
      <alignment horizontal="center" vertical="center" wrapText="1" shrinkToFit="1"/>
    </xf>
    <xf numFmtId="0" fontId="8" fillId="10" borderId="0" xfId="22" applyFont="1" applyFill="1" applyAlignment="1">
      <alignment horizontal="center" vertical="center"/>
    </xf>
    <xf numFmtId="0" fontId="157" fillId="3" borderId="0" xfId="0" applyFont="1" applyFill="1" applyBorder="1" applyAlignment="1">
      <alignment vertical="center"/>
    </xf>
    <xf numFmtId="0" fontId="86" fillId="9" borderId="106" xfId="0" applyFont="1" applyFill="1" applyBorder="1" applyAlignment="1">
      <alignment horizontal="center" vertical="center"/>
    </xf>
    <xf numFmtId="166" fontId="86" fillId="0" borderId="107" xfId="0" applyNumberFormat="1" applyFont="1" applyFill="1" applyBorder="1" applyAlignment="1">
      <alignment horizontal="center" vertical="center"/>
    </xf>
    <xf numFmtId="166" fontId="87" fillId="0" borderId="107" xfId="0" applyNumberFormat="1" applyFont="1" applyFill="1" applyBorder="1" applyAlignment="1">
      <alignment horizontal="center" vertical="center"/>
    </xf>
    <xf numFmtId="166" fontId="87" fillId="0" borderId="108" xfId="0" applyNumberFormat="1" applyFont="1" applyFill="1" applyBorder="1" applyAlignment="1">
      <alignment horizontal="center" vertical="center"/>
    </xf>
    <xf numFmtId="0" fontId="86" fillId="9" borderId="106" xfId="0" applyFont="1" applyFill="1" applyBorder="1" applyAlignment="1">
      <alignment horizontal="center" vertical="center" wrapText="1"/>
    </xf>
    <xf numFmtId="0" fontId="193" fillId="9" borderId="101" xfId="0" applyFont="1" applyFill="1" applyBorder="1" applyAlignment="1">
      <alignment horizontal="center" vertical="center"/>
    </xf>
    <xf numFmtId="0" fontId="193" fillId="9" borderId="98" xfId="0" applyFont="1" applyFill="1" applyBorder="1" applyAlignment="1">
      <alignment horizontal="center" vertical="center"/>
    </xf>
    <xf numFmtId="0" fontId="193" fillId="9" borderId="100" xfId="0" applyFont="1" applyFill="1" applyBorder="1" applyAlignment="1">
      <alignment horizontal="center" vertical="center"/>
    </xf>
    <xf numFmtId="49" fontId="4" fillId="0" borderId="0" xfId="38" applyNumberFormat="1" applyFont="1" applyFill="1" applyBorder="1" applyAlignment="1">
      <alignment horizontal="center" vertical="center"/>
    </xf>
    <xf numFmtId="49" fontId="5" fillId="0" borderId="0" xfId="38" applyNumberFormat="1" applyFont="1" applyFill="1" applyBorder="1" applyAlignment="1">
      <alignment horizontal="center" vertical="center"/>
    </xf>
    <xf numFmtId="49" fontId="4" fillId="0" borderId="5" xfId="38" applyNumberFormat="1" applyFont="1" applyFill="1" applyBorder="1" applyAlignment="1">
      <alignment horizontal="center" vertical="center"/>
    </xf>
    <xf numFmtId="49" fontId="4" fillId="0" borderId="2" xfId="38" applyNumberFormat="1" applyFont="1" applyFill="1" applyBorder="1" applyAlignment="1">
      <alignment horizontal="center" vertical="center"/>
    </xf>
    <xf numFmtId="166" fontId="7" fillId="0" borderId="2" xfId="0" applyNumberFormat="1" applyFont="1" applyFill="1" applyBorder="1" applyAlignment="1">
      <alignment horizontal="center" vertical="center"/>
    </xf>
    <xf numFmtId="168" fontId="7" fillId="0" borderId="2" xfId="0" applyNumberFormat="1" applyFont="1" applyFill="1" applyBorder="1" applyAlignment="1">
      <alignment horizontal="center" vertical="center"/>
    </xf>
    <xf numFmtId="166" fontId="8" fillId="0" borderId="2" xfId="0" applyNumberFormat="1" applyFont="1" applyFill="1" applyBorder="1" applyAlignment="1">
      <alignment horizontal="center" vertical="center"/>
    </xf>
    <xf numFmtId="168" fontId="8" fillId="0" borderId="2" xfId="0" applyNumberFormat="1" applyFont="1" applyFill="1" applyBorder="1" applyAlignment="1">
      <alignment horizontal="center" vertical="center"/>
    </xf>
    <xf numFmtId="0" fontId="122" fillId="0" borderId="0" xfId="69" applyFont="1" applyFill="1"/>
    <xf numFmtId="0" fontId="128" fillId="0" borderId="0" xfId="69" applyFont="1" applyFill="1"/>
    <xf numFmtId="0" fontId="4" fillId="9" borderId="6" xfId="0" applyFont="1" applyFill="1" applyBorder="1" applyAlignment="1">
      <alignment horizontal="center" vertical="center"/>
    </xf>
    <xf numFmtId="0" fontId="5" fillId="0" borderId="2" xfId="38" applyNumberFormat="1" applyFont="1" applyFill="1" applyBorder="1" applyAlignment="1">
      <alignment horizontal="left" vertical="center"/>
    </xf>
    <xf numFmtId="0" fontId="4" fillId="0" borderId="6" xfId="38" applyFont="1" applyBorder="1" applyAlignment="1">
      <alignment horizontal="center" vertical="center"/>
    </xf>
    <xf numFmtId="0" fontId="148" fillId="0" borderId="73" xfId="36" applyFont="1" applyFill="1" applyBorder="1" applyAlignment="1">
      <alignment horizontal="left" vertical="center" wrapText="1" indent="1"/>
    </xf>
    <xf numFmtId="173" fontId="4" fillId="0" borderId="0" xfId="38" applyNumberFormat="1" applyFont="1"/>
    <xf numFmtId="173" fontId="4" fillId="0" borderId="0" xfId="38" applyNumberFormat="1" applyFont="1" applyFill="1"/>
    <xf numFmtId="0" fontId="4" fillId="0" borderId="0" xfId="38" applyFont="1" applyAlignment="1">
      <alignment vertical="center"/>
    </xf>
    <xf numFmtId="0" fontId="4" fillId="0" borderId="0" xfId="38" applyFont="1" applyAlignment="1">
      <alignment vertical="center"/>
    </xf>
    <xf numFmtId="166" fontId="22" fillId="3" borderId="2" xfId="0" applyNumberFormat="1" applyFont="1" applyFill="1" applyBorder="1" applyAlignment="1">
      <alignment horizontal="center" vertical="center"/>
    </xf>
    <xf numFmtId="167" fontId="9" fillId="0" borderId="0" xfId="28" applyNumberFormat="1" applyFont="1" applyFill="1" applyBorder="1" applyAlignment="1">
      <alignment horizontal="center" vertical="center" wrapText="1"/>
    </xf>
    <xf numFmtId="2" fontId="101" fillId="3" borderId="2" xfId="0" applyNumberFormat="1" applyFont="1" applyFill="1" applyBorder="1" applyAlignment="1">
      <alignment horizontal="center" vertical="center"/>
    </xf>
    <xf numFmtId="0" fontId="103" fillId="3" borderId="2" xfId="0" applyFont="1" applyFill="1" applyBorder="1" applyAlignment="1">
      <alignment horizontal="center" vertical="center"/>
    </xf>
    <xf numFmtId="166" fontId="13" fillId="0" borderId="0" xfId="0" applyNumberFormat="1" applyFont="1" applyFill="1" applyBorder="1" applyAlignment="1">
      <alignment horizontal="left" vertical="center"/>
    </xf>
    <xf numFmtId="0" fontId="113" fillId="0" borderId="0" xfId="22" applyFont="1" applyAlignment="1">
      <alignment horizontal="right" vertical="center"/>
    </xf>
    <xf numFmtId="0" fontId="154" fillId="0" borderId="0" xfId="22" applyFont="1"/>
    <xf numFmtId="0" fontId="166" fillId="3" borderId="6" xfId="22" applyFont="1" applyFill="1" applyBorder="1" applyAlignment="1">
      <alignment horizontal="right" vertical="center"/>
    </xf>
    <xf numFmtId="0" fontId="166" fillId="3" borderId="6" xfId="22" applyFont="1" applyFill="1" applyBorder="1" applyAlignment="1">
      <alignment horizontal="center" vertical="center"/>
    </xf>
    <xf numFmtId="49" fontId="161" fillId="0" borderId="1" xfId="22" applyNumberFormat="1" applyFont="1" applyBorder="1" applyAlignment="1">
      <alignment horizontal="right" vertical="center"/>
    </xf>
    <xf numFmtId="49" fontId="161" fillId="0" borderId="2" xfId="22" applyNumberFormat="1" applyFont="1" applyBorder="1" applyAlignment="1">
      <alignment horizontal="right" vertical="center"/>
    </xf>
    <xf numFmtId="0" fontId="163" fillId="0" borderId="4" xfId="22" applyFont="1" applyBorder="1" applyAlignment="1">
      <alignment horizontal="left" vertical="center" indent="1"/>
    </xf>
    <xf numFmtId="0" fontId="4" fillId="3" borderId="0" xfId="69" applyFont="1" applyFill="1" applyBorder="1" applyAlignment="1">
      <alignment vertical="center"/>
    </xf>
    <xf numFmtId="0" fontId="4" fillId="0" borderId="0" xfId="69" applyFont="1" applyFill="1" applyBorder="1" applyAlignment="1">
      <alignment vertical="center"/>
    </xf>
    <xf numFmtId="0" fontId="162" fillId="10" borderId="0" xfId="69" applyFont="1" applyFill="1" applyBorder="1" applyAlignment="1">
      <alignment horizontal="center" vertical="center"/>
    </xf>
    <xf numFmtId="0" fontId="168" fillId="11" borderId="0" xfId="69" applyFont="1" applyFill="1" applyBorder="1" applyAlignment="1">
      <alignment vertical="center"/>
    </xf>
    <xf numFmtId="0" fontId="5" fillId="0" borderId="0" xfId="69" applyFont="1" applyFill="1" applyBorder="1" applyAlignment="1">
      <alignment vertical="center"/>
    </xf>
    <xf numFmtId="0" fontId="5" fillId="4" borderId="0" xfId="69" applyFont="1" applyFill="1" applyBorder="1" applyAlignment="1">
      <alignment vertical="center"/>
    </xf>
    <xf numFmtId="0" fontId="4" fillId="4" borderId="0" xfId="69" applyFont="1" applyFill="1" applyBorder="1" applyAlignment="1">
      <alignment vertical="center"/>
    </xf>
    <xf numFmtId="49" fontId="5" fillId="0" borderId="2" xfId="69" applyNumberFormat="1" applyFont="1" applyFill="1" applyBorder="1" applyAlignment="1">
      <alignment horizontal="center" vertical="center"/>
    </xf>
    <xf numFmtId="166" fontId="5" fillId="0" borderId="2" xfId="69" applyNumberFormat="1" applyFont="1" applyFill="1" applyBorder="1" applyAlignment="1">
      <alignment horizontal="center" vertical="center"/>
    </xf>
    <xf numFmtId="166" fontId="5" fillId="3" borderId="2" xfId="69" applyNumberFormat="1" applyFont="1" applyFill="1" applyBorder="1" applyAlignment="1">
      <alignment horizontal="center" vertical="center"/>
    </xf>
    <xf numFmtId="166" fontId="4" fillId="0" borderId="2" xfId="69" applyNumberFormat="1" applyFont="1" applyFill="1" applyBorder="1" applyAlignment="1">
      <alignment horizontal="center" vertical="center"/>
    </xf>
    <xf numFmtId="171" fontId="4" fillId="0" borderId="0" xfId="69" applyNumberFormat="1" applyFont="1" applyFill="1" applyBorder="1" applyAlignment="1">
      <alignment vertical="center"/>
    </xf>
    <xf numFmtId="168" fontId="4" fillId="0" borderId="0" xfId="69" applyNumberFormat="1" applyFont="1" applyFill="1" applyBorder="1" applyAlignment="1">
      <alignment vertical="center"/>
    </xf>
    <xf numFmtId="0" fontId="5" fillId="0" borderId="2" xfId="69" applyFont="1" applyFill="1" applyBorder="1" applyAlignment="1">
      <alignment horizontal="center" vertical="center"/>
    </xf>
    <xf numFmtId="49" fontId="5" fillId="0" borderId="3" xfId="69" applyNumberFormat="1" applyFont="1" applyFill="1" applyBorder="1" applyAlignment="1">
      <alignment horizontal="center" vertical="center"/>
    </xf>
    <xf numFmtId="166" fontId="5" fillId="0" borderId="3" xfId="69" applyNumberFormat="1" applyFont="1" applyFill="1" applyBorder="1" applyAlignment="1">
      <alignment horizontal="center" vertical="center"/>
    </xf>
    <xf numFmtId="166" fontId="5" fillId="3" borderId="3" xfId="69" applyNumberFormat="1" applyFont="1" applyFill="1" applyBorder="1" applyAlignment="1">
      <alignment horizontal="center" vertical="center"/>
    </xf>
    <xf numFmtId="166" fontId="4" fillId="0" borderId="3" xfId="69" applyNumberFormat="1" applyFont="1" applyFill="1" applyBorder="1" applyAlignment="1">
      <alignment horizontal="center" vertical="center"/>
    </xf>
    <xf numFmtId="0" fontId="224" fillId="0" borderId="0" xfId="69" applyNumberFormat="1" applyFont="1" applyFill="1" applyBorder="1" applyAlignment="1">
      <alignment vertical="center"/>
    </xf>
    <xf numFmtId="0" fontId="221" fillId="0" borderId="0" xfId="69" applyFont="1" applyFill="1" applyBorder="1" applyAlignment="1">
      <alignment vertical="center"/>
    </xf>
    <xf numFmtId="0" fontId="21" fillId="0" borderId="0" xfId="69" applyFont="1" applyFill="1" applyBorder="1" applyAlignment="1">
      <alignment vertical="center"/>
    </xf>
    <xf numFmtId="0" fontId="22" fillId="0" borderId="0" xfId="69" applyFont="1" applyFill="1" applyBorder="1" applyAlignment="1">
      <alignment vertical="center"/>
    </xf>
    <xf numFmtId="166" fontId="22" fillId="0" borderId="0" xfId="69" applyNumberFormat="1" applyFont="1" applyFill="1" applyBorder="1" applyAlignment="1">
      <alignment vertical="center"/>
    </xf>
    <xf numFmtId="0" fontId="176" fillId="10" borderId="0" xfId="69" applyFont="1" applyFill="1" applyBorder="1" applyAlignment="1">
      <alignment horizontal="center" vertical="center"/>
    </xf>
    <xf numFmtId="0" fontId="21" fillId="0" borderId="0" xfId="69" applyFont="1" applyFill="1" applyBorder="1" applyAlignment="1">
      <alignment horizontal="center" vertical="center"/>
    </xf>
    <xf numFmtId="0" fontId="17" fillId="0" borderId="0" xfId="69" applyFont="1" applyFill="1" applyBorder="1" applyAlignment="1">
      <alignment horizontal="center" vertical="center"/>
    </xf>
    <xf numFmtId="0" fontId="17" fillId="4" borderId="0" xfId="69" applyFont="1" applyFill="1" applyBorder="1" applyAlignment="1">
      <alignment horizontal="center" vertical="center"/>
    </xf>
    <xf numFmtId="0" fontId="21" fillId="4" borderId="0" xfId="69" applyFont="1" applyFill="1" applyBorder="1" applyAlignment="1">
      <alignment horizontal="center" vertical="center"/>
    </xf>
    <xf numFmtId="0" fontId="21" fillId="9" borderId="6" xfId="69" applyFont="1" applyFill="1" applyBorder="1" applyAlignment="1">
      <alignment horizontal="center" vertical="center" wrapText="1"/>
    </xf>
    <xf numFmtId="0" fontId="21" fillId="0" borderId="0" xfId="69" applyFont="1" applyFill="1" applyBorder="1" applyAlignment="1">
      <alignment horizontal="center" vertical="center" wrapText="1"/>
    </xf>
    <xf numFmtId="0" fontId="21" fillId="4" borderId="0" xfId="69" applyFont="1" applyFill="1" applyBorder="1" applyAlignment="1">
      <alignment horizontal="center" vertical="center" wrapText="1"/>
    </xf>
    <xf numFmtId="0" fontId="13" fillId="0" borderId="0" xfId="69" applyFont="1" applyFill="1" applyBorder="1" applyAlignment="1">
      <alignment horizontal="center" vertical="center" wrapText="1"/>
    </xf>
    <xf numFmtId="0" fontId="13" fillId="4" borderId="0" xfId="69" applyFont="1" applyFill="1" applyBorder="1" applyAlignment="1">
      <alignment horizontal="center" vertical="center" wrapText="1"/>
    </xf>
    <xf numFmtId="0" fontId="16" fillId="9" borderId="6" xfId="69" applyFont="1" applyFill="1" applyBorder="1" applyAlignment="1">
      <alignment horizontal="center" vertical="center" wrapText="1"/>
    </xf>
    <xf numFmtId="0" fontId="16" fillId="9" borderId="9" xfId="69" applyFont="1" applyFill="1" applyBorder="1" applyAlignment="1">
      <alignment horizontal="center" vertical="center" wrapText="1"/>
    </xf>
    <xf numFmtId="49" fontId="21" fillId="0" borderId="2" xfId="69" applyNumberFormat="1" applyFont="1" applyFill="1" applyBorder="1" applyAlignment="1">
      <alignment horizontal="center" vertical="center"/>
    </xf>
    <xf numFmtId="166" fontId="21" fillId="0" borderId="2" xfId="69" applyNumberFormat="1" applyFont="1" applyFill="1" applyBorder="1" applyAlignment="1">
      <alignment horizontal="center" vertical="center"/>
    </xf>
    <xf numFmtId="166" fontId="21" fillId="0" borderId="2" xfId="93" applyNumberFormat="1" applyFont="1" applyFill="1" applyBorder="1" applyAlignment="1">
      <alignment horizontal="center" vertical="center"/>
    </xf>
    <xf numFmtId="166" fontId="22" fillId="0" borderId="2" xfId="69" applyNumberFormat="1" applyFont="1" applyFill="1" applyBorder="1" applyAlignment="1">
      <alignment horizontal="center" vertical="center"/>
    </xf>
    <xf numFmtId="0" fontId="21" fillId="0" borderId="2" xfId="69" applyFont="1" applyFill="1" applyBorder="1" applyAlignment="1">
      <alignment horizontal="center" vertical="center"/>
    </xf>
    <xf numFmtId="0" fontId="22" fillId="0" borderId="2" xfId="69" applyFont="1" applyFill="1" applyBorder="1" applyAlignment="1">
      <alignment vertical="center"/>
    </xf>
    <xf numFmtId="166" fontId="22" fillId="0" borderId="2" xfId="69" applyNumberFormat="1" applyFont="1" applyFill="1" applyBorder="1" applyAlignment="1">
      <alignment vertical="center"/>
    </xf>
    <xf numFmtId="49" fontId="21" fillId="0" borderId="3" xfId="69" applyNumberFormat="1" applyFont="1" applyFill="1" applyBorder="1" applyAlignment="1">
      <alignment horizontal="center" vertical="center"/>
    </xf>
    <xf numFmtId="166" fontId="21" fillId="0" borderId="3" xfId="69" applyNumberFormat="1" applyFont="1" applyFill="1" applyBorder="1" applyAlignment="1">
      <alignment horizontal="center" vertical="center"/>
    </xf>
    <xf numFmtId="166" fontId="21" fillId="0" borderId="3" xfId="93" applyNumberFormat="1" applyFont="1" applyFill="1" applyBorder="1" applyAlignment="1">
      <alignment horizontal="center" vertical="center"/>
    </xf>
    <xf numFmtId="166" fontId="22" fillId="0" borderId="3" xfId="69" applyNumberFormat="1" applyFont="1" applyFill="1" applyBorder="1" applyAlignment="1">
      <alignment horizontal="center" vertical="center"/>
    </xf>
    <xf numFmtId="0" fontId="284" fillId="0" borderId="0" xfId="69" applyFont="1" applyFill="1" applyBorder="1" applyAlignment="1">
      <alignment vertical="center"/>
    </xf>
    <xf numFmtId="2" fontId="22" fillId="0" borderId="0" xfId="69" applyNumberFormat="1" applyFont="1" applyFill="1" applyBorder="1" applyAlignment="1">
      <alignment vertical="center"/>
    </xf>
    <xf numFmtId="1" fontId="21" fillId="0" borderId="0" xfId="69" applyNumberFormat="1" applyFont="1" applyFill="1" applyBorder="1" applyAlignment="1">
      <alignment vertical="center"/>
    </xf>
    <xf numFmtId="167" fontId="22" fillId="0" borderId="0" xfId="69" applyNumberFormat="1" applyFont="1" applyFill="1" applyBorder="1" applyAlignment="1">
      <alignment vertical="center"/>
    </xf>
    <xf numFmtId="0" fontId="22" fillId="4" borderId="0" xfId="69" applyFont="1" applyFill="1" applyBorder="1" applyAlignment="1">
      <alignment vertical="center"/>
    </xf>
    <xf numFmtId="168" fontId="22" fillId="0" borderId="0" xfId="69" applyNumberFormat="1" applyFont="1" applyFill="1" applyBorder="1" applyAlignment="1">
      <alignment vertical="center"/>
    </xf>
    <xf numFmtId="189" fontId="22" fillId="0" borderId="0" xfId="69" applyNumberFormat="1" applyFont="1" applyFill="1" applyBorder="1" applyAlignment="1">
      <alignment vertical="center"/>
    </xf>
    <xf numFmtId="188" fontId="22" fillId="0" borderId="0" xfId="69" applyNumberFormat="1" applyFont="1" applyFill="1" applyBorder="1" applyAlignment="1">
      <alignment vertical="center"/>
    </xf>
    <xf numFmtId="186" fontId="22" fillId="0" borderId="0" xfId="69" applyNumberFormat="1" applyFont="1" applyFill="1" applyBorder="1" applyAlignment="1">
      <alignment vertical="center"/>
    </xf>
    <xf numFmtId="187" fontId="22" fillId="0" borderId="0" xfId="69" applyNumberFormat="1" applyFont="1" applyFill="1" applyBorder="1" applyAlignment="1">
      <alignment vertical="center"/>
    </xf>
    <xf numFmtId="184" fontId="22" fillId="0" borderId="0" xfId="69" applyNumberFormat="1" applyFont="1" applyFill="1" applyBorder="1" applyAlignment="1">
      <alignment vertical="center"/>
    </xf>
    <xf numFmtId="0" fontId="121" fillId="0" borderId="0" xfId="69" applyFont="1" applyFill="1"/>
    <xf numFmtId="0" fontId="97" fillId="0" borderId="0" xfId="69" applyFill="1"/>
    <xf numFmtId="190" fontId="97" fillId="0" borderId="0" xfId="73" applyNumberFormat="1" applyFont="1" applyFill="1"/>
    <xf numFmtId="0" fontId="124" fillId="0" borderId="0" xfId="69" applyFont="1" applyFill="1"/>
    <xf numFmtId="190" fontId="124" fillId="0" borderId="0" xfId="73" applyNumberFormat="1" applyFont="1" applyFill="1"/>
    <xf numFmtId="14" fontId="253" fillId="9" borderId="42" xfId="69" applyNumberFormat="1" applyFont="1" applyFill="1" applyBorder="1" applyAlignment="1" applyProtection="1">
      <alignment horizontal="center" vertical="center" wrapText="1"/>
    </xf>
    <xf numFmtId="14" fontId="253" fillId="9" borderId="51" xfId="69" applyNumberFormat="1" applyFont="1" applyFill="1" applyBorder="1" applyAlignment="1" applyProtection="1">
      <alignment horizontal="center" vertical="center" wrapText="1"/>
    </xf>
    <xf numFmtId="14" fontId="253" fillId="9" borderId="52" xfId="69" applyNumberFormat="1" applyFont="1" applyFill="1" applyBorder="1" applyAlignment="1" applyProtection="1">
      <alignment horizontal="center" vertical="center" wrapText="1"/>
    </xf>
    <xf numFmtId="14" fontId="253" fillId="9" borderId="62" xfId="69" applyNumberFormat="1" applyFont="1" applyFill="1" applyBorder="1" applyAlignment="1" applyProtection="1">
      <alignment horizontal="center" vertical="center" wrapText="1"/>
    </xf>
    <xf numFmtId="14" fontId="244" fillId="9" borderId="42" xfId="69" applyNumberFormat="1" applyFont="1" applyFill="1" applyBorder="1" applyAlignment="1" applyProtection="1">
      <alignment horizontal="center" vertical="center" wrapText="1"/>
    </xf>
    <xf numFmtId="14" fontId="244" fillId="9" borderId="45" xfId="69" applyNumberFormat="1" applyFont="1" applyFill="1" applyBorder="1" applyAlignment="1" applyProtection="1">
      <alignment horizontal="center" vertical="center" wrapText="1"/>
    </xf>
    <xf numFmtId="0" fontId="140" fillId="3" borderId="20" xfId="69" applyFont="1" applyFill="1" applyBorder="1" applyAlignment="1">
      <alignment horizontal="left" vertical="center" indent="2"/>
    </xf>
    <xf numFmtId="0" fontId="140" fillId="3" borderId="53" xfId="69" applyFont="1" applyFill="1" applyBorder="1" applyAlignment="1">
      <alignment horizontal="center" vertical="center"/>
    </xf>
    <xf numFmtId="0" fontId="140" fillId="3" borderId="54" xfId="69" applyFont="1" applyFill="1" applyBorder="1" applyAlignment="1">
      <alignment horizontal="center" vertical="center"/>
    </xf>
    <xf numFmtId="0" fontId="140" fillId="3" borderId="77" xfId="69" applyFont="1" applyFill="1" applyBorder="1" applyAlignment="1">
      <alignment horizontal="center" vertical="center"/>
    </xf>
    <xf numFmtId="0" fontId="140" fillId="3" borderId="23" xfId="69" applyFont="1" applyFill="1" applyBorder="1" applyAlignment="1">
      <alignment horizontal="center" vertical="center"/>
    </xf>
    <xf numFmtId="0" fontId="254" fillId="3" borderId="36" xfId="69" applyFont="1" applyFill="1" applyBorder="1" applyAlignment="1">
      <alignment horizontal="left" vertical="center" wrapText="1" indent="5"/>
    </xf>
    <xf numFmtId="0" fontId="254" fillId="3" borderId="56" xfId="69" applyFont="1" applyFill="1" applyBorder="1" applyAlignment="1">
      <alignment horizontal="center" vertical="center" wrapText="1"/>
    </xf>
    <xf numFmtId="0" fontId="254" fillId="3" borderId="57" xfId="69" applyFont="1" applyFill="1" applyBorder="1" applyAlignment="1">
      <alignment horizontal="center" vertical="center" wrapText="1"/>
    </xf>
    <xf numFmtId="0" fontId="254" fillId="3" borderId="79" xfId="69" applyFont="1" applyFill="1" applyBorder="1" applyAlignment="1">
      <alignment horizontal="center" vertical="center" wrapText="1"/>
    </xf>
    <xf numFmtId="0" fontId="254" fillId="3" borderId="2" xfId="69" applyFont="1" applyFill="1" applyBorder="1" applyAlignment="1">
      <alignment horizontal="center" vertical="center" wrapText="1"/>
    </xf>
    <xf numFmtId="0" fontId="254" fillId="3" borderId="36" xfId="69" applyFont="1" applyFill="1" applyBorder="1" applyAlignment="1">
      <alignment horizontal="left" vertical="center" wrapText="1" indent="7"/>
    </xf>
    <xf numFmtId="0" fontId="254" fillId="3" borderId="25" xfId="69" applyFont="1" applyFill="1" applyBorder="1" applyAlignment="1">
      <alignment horizontal="left" vertical="center" wrapText="1" indent="7"/>
    </xf>
    <xf numFmtId="0" fontId="254" fillId="3" borderId="65" xfId="69" applyFont="1" applyFill="1" applyBorder="1" applyAlignment="1">
      <alignment horizontal="center" vertical="center" wrapText="1"/>
    </xf>
    <xf numFmtId="0" fontId="254" fillId="3" borderId="66" xfId="69" applyFont="1" applyFill="1" applyBorder="1" applyAlignment="1">
      <alignment horizontal="center" vertical="center" wrapText="1"/>
    </xf>
    <xf numFmtId="0" fontId="254" fillId="3" borderId="80" xfId="69" applyFont="1" applyFill="1" applyBorder="1" applyAlignment="1">
      <alignment horizontal="center" vertical="center" wrapText="1"/>
    </xf>
    <xf numFmtId="0" fontId="254" fillId="3" borderId="28" xfId="69" applyFont="1" applyFill="1" applyBorder="1" applyAlignment="1">
      <alignment horizontal="center" vertical="center" wrapText="1"/>
    </xf>
    <xf numFmtId="0" fontId="140" fillId="9" borderId="42" xfId="69" applyFont="1" applyFill="1" applyBorder="1" applyAlignment="1">
      <alignment vertical="center"/>
    </xf>
    <xf numFmtId="0" fontId="140" fillId="9" borderId="44" xfId="69" applyFont="1" applyFill="1" applyBorder="1" applyAlignment="1">
      <alignment vertical="center"/>
    </xf>
    <xf numFmtId="0" fontId="254" fillId="3" borderId="20" xfId="69" applyFont="1" applyFill="1" applyBorder="1" applyAlignment="1">
      <alignment horizontal="left" vertical="center" wrapText="1" indent="5"/>
    </xf>
    <xf numFmtId="0" fontId="254" fillId="3" borderId="63" xfId="69" applyFont="1" applyFill="1" applyBorder="1" applyAlignment="1">
      <alignment horizontal="center" vertical="center" wrapText="1"/>
    </xf>
    <xf numFmtId="0" fontId="254" fillId="3" borderId="64" xfId="69" applyFont="1" applyFill="1" applyBorder="1" applyAlignment="1">
      <alignment horizontal="center" vertical="center" wrapText="1"/>
    </xf>
    <xf numFmtId="0" fontId="254" fillId="3" borderId="77" xfId="69" applyFont="1" applyFill="1" applyBorder="1" applyAlignment="1">
      <alignment horizontal="center" vertical="center" wrapText="1"/>
    </xf>
    <xf numFmtId="0" fontId="254" fillId="3" borderId="23" xfId="69" applyFont="1" applyFill="1" applyBorder="1" applyAlignment="1">
      <alignment horizontal="center" vertical="center" wrapText="1"/>
    </xf>
    <xf numFmtId="0" fontId="254" fillId="0" borderId="23" xfId="69" applyFont="1" applyFill="1" applyBorder="1" applyAlignment="1">
      <alignment horizontal="center" vertical="center" wrapText="1"/>
    </xf>
    <xf numFmtId="0" fontId="254" fillId="3" borderId="25" xfId="69" applyFont="1" applyFill="1" applyBorder="1" applyAlignment="1">
      <alignment horizontal="left" vertical="center" wrapText="1" indent="5"/>
    </xf>
    <xf numFmtId="0" fontId="254" fillId="3" borderId="59" xfId="69" applyFont="1" applyFill="1" applyBorder="1" applyAlignment="1">
      <alignment horizontal="center" vertical="center" wrapText="1"/>
    </xf>
    <xf numFmtId="0" fontId="254" fillId="3" borderId="60" xfId="69" applyFont="1" applyFill="1" applyBorder="1" applyAlignment="1">
      <alignment horizontal="center" vertical="center" wrapText="1"/>
    </xf>
    <xf numFmtId="0" fontId="254" fillId="0" borderId="28" xfId="69" applyFont="1" applyFill="1" applyBorder="1" applyAlignment="1">
      <alignment horizontal="center" vertical="center" wrapText="1"/>
    </xf>
    <xf numFmtId="0" fontId="254" fillId="0" borderId="20" xfId="69" applyFont="1" applyFill="1" applyBorder="1" applyAlignment="1">
      <alignment horizontal="left" vertical="center" wrapText="1" indent="5"/>
    </xf>
    <xf numFmtId="0" fontId="254" fillId="0" borderId="53" xfId="69" applyFont="1" applyFill="1" applyBorder="1" applyAlignment="1">
      <alignment horizontal="center" vertical="center" wrapText="1"/>
    </xf>
    <xf numFmtId="0" fontId="254" fillId="0" borderId="55" xfId="69" applyFont="1" applyFill="1" applyBorder="1" applyAlignment="1">
      <alignment horizontal="center" vertical="center" wrapText="1"/>
    </xf>
    <xf numFmtId="0" fontId="254" fillId="0" borderId="54" xfId="69" applyFont="1" applyFill="1" applyBorder="1" applyAlignment="1">
      <alignment horizontal="center" vertical="center" wrapText="1"/>
    </xf>
    <xf numFmtId="0" fontId="254" fillId="0" borderId="77" xfId="69" applyFont="1" applyFill="1" applyBorder="1" applyAlignment="1">
      <alignment horizontal="center" vertical="center" wrapText="1"/>
    </xf>
    <xf numFmtId="0" fontId="294" fillId="0" borderId="23" xfId="69" applyFont="1" applyFill="1" applyBorder="1" applyAlignment="1">
      <alignment horizontal="center" vertical="center" wrapText="1"/>
    </xf>
    <xf numFmtId="0" fontId="254" fillId="0" borderId="36" xfId="69" applyFont="1" applyFill="1" applyBorder="1" applyAlignment="1">
      <alignment horizontal="left" vertical="center" wrapText="1" indent="5"/>
    </xf>
    <xf numFmtId="0" fontId="254" fillId="0" borderId="56" xfId="69" applyFont="1" applyFill="1" applyBorder="1" applyAlignment="1">
      <alignment horizontal="center" vertical="center" wrapText="1"/>
    </xf>
    <xf numFmtId="0" fontId="254" fillId="0" borderId="58" xfId="69" applyFont="1" applyFill="1" applyBorder="1" applyAlignment="1">
      <alignment horizontal="center" vertical="center" wrapText="1"/>
    </xf>
    <xf numFmtId="0" fontId="254" fillId="0" borderId="57" xfId="69" applyFont="1" applyFill="1" applyBorder="1" applyAlignment="1">
      <alignment horizontal="center" vertical="center" wrapText="1"/>
    </xf>
    <xf numFmtId="0" fontId="254" fillId="0" borderId="79" xfId="69" applyFont="1" applyFill="1" applyBorder="1" applyAlignment="1">
      <alignment horizontal="center" vertical="center" wrapText="1"/>
    </xf>
    <xf numFmtId="0" fontId="254" fillId="0" borderId="2" xfId="69" applyFont="1" applyFill="1" applyBorder="1" applyAlignment="1">
      <alignment horizontal="center" vertical="center" wrapText="1"/>
    </xf>
    <xf numFmtId="0" fontId="294" fillId="0" borderId="2" xfId="69" applyFont="1" applyFill="1" applyBorder="1" applyAlignment="1">
      <alignment horizontal="center" vertical="center" wrapText="1"/>
    </xf>
    <xf numFmtId="178" fontId="97" fillId="0" borderId="0" xfId="72" applyNumberFormat="1" applyFont="1" applyFill="1" applyAlignment="1">
      <alignment horizontal="right" vertical="center"/>
    </xf>
    <xf numFmtId="185" fontId="295" fillId="0" borderId="0" xfId="73" applyFont="1" applyFill="1" applyAlignment="1">
      <alignment horizontal="right" vertical="center"/>
    </xf>
    <xf numFmtId="178" fontId="97" fillId="0" borderId="0" xfId="72" applyNumberFormat="1" applyFont="1" applyFill="1" applyAlignment="1">
      <alignment vertical="center"/>
    </xf>
    <xf numFmtId="0" fontId="254" fillId="0" borderId="25" xfId="69" applyFont="1" applyFill="1" applyBorder="1" applyAlignment="1">
      <alignment horizontal="left" vertical="center" wrapText="1" indent="5"/>
    </xf>
    <xf numFmtId="0" fontId="254" fillId="0" borderId="59" xfId="69" applyFont="1" applyFill="1" applyBorder="1" applyAlignment="1">
      <alignment horizontal="center" vertical="center" wrapText="1"/>
    </xf>
    <xf numFmtId="0" fontId="254" fillId="0" borderId="61" xfId="69" applyFont="1" applyFill="1" applyBorder="1" applyAlignment="1">
      <alignment horizontal="center" vertical="center" wrapText="1"/>
    </xf>
    <xf numFmtId="0" fontId="254" fillId="0" borderId="60" xfId="69" applyFont="1" applyFill="1" applyBorder="1" applyAlignment="1">
      <alignment horizontal="center" vertical="center" wrapText="1"/>
    </xf>
    <xf numFmtId="0" fontId="254" fillId="0" borderId="80" xfId="69" applyFont="1" applyFill="1" applyBorder="1" applyAlignment="1">
      <alignment horizontal="center" vertical="center" wrapText="1"/>
    </xf>
    <xf numFmtId="0" fontId="294" fillId="0" borderId="28" xfId="69" applyFont="1" applyFill="1" applyBorder="1" applyAlignment="1">
      <alignment horizontal="center" vertical="center" wrapText="1"/>
    </xf>
    <xf numFmtId="178" fontId="97" fillId="0" borderId="0" xfId="72" applyNumberFormat="1" applyFont="1" applyFill="1"/>
    <xf numFmtId="178" fontId="122" fillId="0" borderId="0" xfId="72" applyNumberFormat="1" applyFont="1" applyFill="1"/>
    <xf numFmtId="0" fontId="141" fillId="0" borderId="0" xfId="69" applyFont="1" applyFill="1"/>
    <xf numFmtId="14" fontId="88" fillId="9" borderId="42" xfId="69" applyNumberFormat="1" applyFont="1" applyFill="1" applyBorder="1" applyAlignment="1" applyProtection="1">
      <alignment horizontal="center" vertical="center" wrapText="1"/>
    </xf>
    <xf numFmtId="0" fontId="151" fillId="0" borderId="30" xfId="69" applyFont="1" applyFill="1" applyBorder="1" applyAlignment="1" applyProtection="1">
      <alignment horizontal="left" vertical="center" wrapText="1"/>
    </xf>
    <xf numFmtId="170" fontId="87" fillId="0" borderId="2" xfId="94" applyNumberFormat="1" applyFont="1" applyFill="1" applyBorder="1" applyAlignment="1" applyProtection="1">
      <alignment horizontal="right" vertical="center" wrapText="1"/>
      <protection locked="0"/>
    </xf>
    <xf numFmtId="170" fontId="87" fillId="0" borderId="2" xfId="94" applyNumberFormat="1" applyFont="1" applyFill="1" applyBorder="1" applyAlignment="1" applyProtection="1">
      <alignment horizontal="right" vertical="center" wrapText="1"/>
    </xf>
    <xf numFmtId="0" fontId="151" fillId="0" borderId="47" xfId="69" applyFont="1" applyFill="1" applyBorder="1" applyAlignment="1" applyProtection="1">
      <alignment horizontal="left" vertical="center" wrapText="1"/>
    </xf>
    <xf numFmtId="170" fontId="87" fillId="0" borderId="28" xfId="94" applyNumberFormat="1" applyFont="1" applyFill="1" applyBorder="1" applyAlignment="1" applyProtection="1">
      <alignment horizontal="right" vertical="center" wrapText="1"/>
    </xf>
    <xf numFmtId="0" fontId="86" fillId="0" borderId="38" xfId="69" applyFont="1" applyFill="1" applyBorder="1" applyAlignment="1" applyProtection="1">
      <alignment horizontal="left" vertical="center" wrapText="1"/>
    </xf>
    <xf numFmtId="170" fontId="86" fillId="0" borderId="45" xfId="94" applyNumberFormat="1" applyFont="1" applyFill="1" applyBorder="1" applyAlignment="1" applyProtection="1">
      <alignment horizontal="right" vertical="center" wrapText="1"/>
    </xf>
    <xf numFmtId="14" fontId="88" fillId="9" borderId="20" xfId="69" applyNumberFormat="1" applyFont="1" applyFill="1" applyBorder="1" applyAlignment="1" applyProtection="1">
      <alignment horizontal="center" vertical="center" wrapText="1"/>
    </xf>
    <xf numFmtId="14" fontId="88" fillId="9" borderId="23" xfId="69" applyNumberFormat="1" applyFont="1" applyFill="1" applyBorder="1" applyAlignment="1" applyProtection="1">
      <alignment horizontal="center" vertical="center" wrapText="1"/>
    </xf>
    <xf numFmtId="14" fontId="86" fillId="9" borderId="23" xfId="69" applyNumberFormat="1" applyFont="1" applyFill="1" applyBorder="1" applyAlignment="1" applyProtection="1">
      <alignment horizontal="center" vertical="center" wrapText="1"/>
    </xf>
    <xf numFmtId="181" fontId="151" fillId="0" borderId="41" xfId="94" applyNumberFormat="1" applyFont="1" applyFill="1" applyBorder="1" applyAlignment="1" applyProtection="1">
      <alignment vertical="center" wrapText="1"/>
      <protection locked="0"/>
    </xf>
    <xf numFmtId="170" fontId="87" fillId="0" borderId="23" xfId="94" applyNumberFormat="1" applyFont="1" applyFill="1" applyBorder="1" applyAlignment="1" applyProtection="1">
      <alignment horizontal="right" vertical="center" wrapText="1"/>
      <protection locked="0"/>
    </xf>
    <xf numFmtId="170" fontId="296" fillId="0" borderId="2" xfId="94" applyNumberFormat="1" applyFont="1" applyFill="1" applyBorder="1" applyAlignment="1" applyProtection="1">
      <alignment horizontal="right" vertical="center" wrapText="1"/>
    </xf>
    <xf numFmtId="170" fontId="87" fillId="0" borderId="28" xfId="94" applyNumberFormat="1" applyFont="1" applyFill="1" applyBorder="1" applyAlignment="1" applyProtection="1">
      <alignment horizontal="right" vertical="center" wrapText="1"/>
      <protection locked="0"/>
    </xf>
    <xf numFmtId="170" fontId="296" fillId="0" borderId="28" xfId="94" applyNumberFormat="1" applyFont="1" applyFill="1" applyBorder="1" applyAlignment="1" applyProtection="1">
      <alignment horizontal="right" vertical="center" wrapText="1"/>
    </xf>
    <xf numFmtId="181" fontId="86" fillId="0" borderId="38" xfId="94" applyNumberFormat="1" applyFont="1" applyFill="1" applyBorder="1" applyAlignment="1" applyProtection="1">
      <alignment vertical="center" wrapText="1"/>
      <protection locked="0"/>
    </xf>
    <xf numFmtId="0" fontId="9" fillId="0" borderId="41" xfId="69" applyFont="1" applyFill="1" applyBorder="1" applyAlignment="1" applyProtection="1">
      <alignment vertical="center" wrapText="1"/>
    </xf>
    <xf numFmtId="170" fontId="87" fillId="0" borderId="23" xfId="94" applyNumberFormat="1" applyFont="1" applyFill="1" applyBorder="1" applyAlignment="1" applyProtection="1">
      <alignment horizontal="right" vertical="center" wrapText="1"/>
    </xf>
    <xf numFmtId="0" fontId="9" fillId="0" borderId="30" xfId="69" applyFont="1" applyFill="1" applyBorder="1" applyAlignment="1" applyProtection="1">
      <alignment vertical="center" wrapText="1"/>
    </xf>
    <xf numFmtId="0" fontId="25" fillId="0" borderId="47" xfId="69" applyFont="1" applyFill="1" applyBorder="1" applyAlignment="1" applyProtection="1">
      <alignment vertical="center" wrapText="1"/>
    </xf>
    <xf numFmtId="170" fontId="86" fillId="0" borderId="28" xfId="94" applyNumberFormat="1" applyFont="1" applyFill="1" applyBorder="1" applyAlignment="1" applyProtection="1">
      <alignment horizontal="right" vertical="center" wrapText="1"/>
    </xf>
    <xf numFmtId="170" fontId="250" fillId="0" borderId="28" xfId="94" applyNumberFormat="1" applyFont="1" applyFill="1" applyBorder="1" applyAlignment="1" applyProtection="1">
      <alignment horizontal="right" vertical="center" wrapText="1"/>
    </xf>
    <xf numFmtId="0" fontId="221" fillId="0" borderId="0" xfId="69" applyFont="1" applyFill="1" applyAlignment="1">
      <alignment vertical="center"/>
    </xf>
    <xf numFmtId="0" fontId="221" fillId="0" borderId="0" xfId="69" applyFont="1" applyFill="1" applyAlignment="1">
      <alignment horizontal="left" indent="1"/>
    </xf>
    <xf numFmtId="0" fontId="221" fillId="0" borderId="0" xfId="69" applyFont="1" applyFill="1" applyAlignment="1">
      <alignment horizontal="left" vertical="center" indent="1"/>
    </xf>
    <xf numFmtId="0" fontId="123" fillId="0" borderId="0" xfId="69" applyFont="1" applyFill="1" applyAlignment="1">
      <alignment wrapText="1"/>
    </xf>
    <xf numFmtId="0" fontId="187" fillId="0" borderId="0" xfId="69" applyFont="1" applyFill="1" applyAlignment="1" applyProtection="1">
      <alignment vertical="center" wrapText="1"/>
    </xf>
    <xf numFmtId="0" fontId="122" fillId="0" borderId="0" xfId="69" applyFont="1" applyFill="1" applyAlignment="1">
      <alignment vertical="top"/>
    </xf>
    <xf numFmtId="178" fontId="122" fillId="0" borderId="0" xfId="72" applyNumberFormat="1" applyFont="1" applyFill="1" applyAlignment="1">
      <alignment vertical="top"/>
    </xf>
    <xf numFmtId="0" fontId="187" fillId="10" borderId="0" xfId="69" applyFont="1" applyFill="1" applyAlignment="1" applyProtection="1">
      <alignment horizontal="center" vertical="center" wrapText="1"/>
    </xf>
    <xf numFmtId="0" fontId="248" fillId="9" borderId="42" xfId="69" applyFont="1" applyFill="1" applyBorder="1" applyAlignment="1" applyProtection="1">
      <alignment horizontal="center" vertical="center" wrapText="1"/>
    </xf>
    <xf numFmtId="14" fontId="248" fillId="9" borderId="45" xfId="69" applyNumberFormat="1" applyFont="1" applyFill="1" applyBorder="1" applyAlignment="1" applyProtection="1">
      <alignment horizontal="center" vertical="center" wrapText="1"/>
    </xf>
    <xf numFmtId="14" fontId="248" fillId="9" borderId="46" xfId="69" applyNumberFormat="1" applyFont="1" applyFill="1" applyBorder="1" applyAlignment="1" applyProtection="1">
      <alignment horizontal="center" vertical="center" wrapText="1"/>
    </xf>
    <xf numFmtId="0" fontId="142" fillId="0" borderId="0" xfId="69" applyFont="1" applyFill="1"/>
    <xf numFmtId="178" fontId="142" fillId="0" borderId="0" xfId="72" applyNumberFormat="1" applyFont="1" applyFill="1"/>
    <xf numFmtId="165" fontId="125" fillId="0" borderId="0" xfId="69" applyNumberFormat="1" applyFont="1" applyFill="1"/>
    <xf numFmtId="178" fontId="125" fillId="0" borderId="0" xfId="72" applyNumberFormat="1" applyFont="1" applyFill="1"/>
    <xf numFmtId="0" fontId="125" fillId="0" borderId="0" xfId="69" applyFont="1" applyFill="1"/>
    <xf numFmtId="165" fontId="122" fillId="0" borderId="0" xfId="69" applyNumberFormat="1" applyFont="1" applyFill="1"/>
    <xf numFmtId="0" fontId="123" fillId="0" borderId="0" xfId="69" applyFont="1" applyFill="1"/>
    <xf numFmtId="0" fontId="154" fillId="0" borderId="0" xfId="69" applyFont="1" applyFill="1"/>
    <xf numFmtId="178" fontId="128" fillId="0" borderId="0" xfId="72" applyNumberFormat="1" applyFont="1" applyFill="1"/>
    <xf numFmtId="0" fontId="188" fillId="10" borderId="0" xfId="69" applyFont="1" applyFill="1" applyBorder="1" applyAlignment="1">
      <alignment horizontal="center" vertical="center" wrapText="1"/>
    </xf>
    <xf numFmtId="14" fontId="193" fillId="9" borderId="42" xfId="69" applyNumberFormat="1" applyFont="1" applyFill="1" applyBorder="1" applyAlignment="1" applyProtection="1">
      <alignment horizontal="center" vertical="center" wrapText="1"/>
    </xf>
    <xf numFmtId="14" fontId="244" fillId="9" borderId="115" xfId="69" applyNumberFormat="1" applyFont="1" applyFill="1" applyBorder="1" applyAlignment="1" applyProtection="1">
      <alignment horizontal="center" vertical="center" wrapText="1"/>
    </xf>
    <xf numFmtId="14" fontId="244" fillId="9" borderId="46" xfId="69" applyNumberFormat="1" applyFont="1" applyFill="1" applyBorder="1" applyAlignment="1" applyProtection="1">
      <alignment horizontal="center" vertical="center" wrapText="1"/>
    </xf>
    <xf numFmtId="0" fontId="246" fillId="0" borderId="20" xfId="69" applyFont="1" applyFill="1" applyBorder="1" applyAlignment="1">
      <alignment horizontal="left" vertical="center" wrapText="1" indent="3"/>
    </xf>
    <xf numFmtId="170" fontId="244" fillId="0" borderId="21" xfId="94" applyNumberFormat="1" applyFont="1" applyFill="1" applyBorder="1" applyAlignment="1" applyProtection="1">
      <alignment horizontal="right" vertical="center" wrapText="1"/>
    </xf>
    <xf numFmtId="170" fontId="244" fillId="0" borderId="23" xfId="94" applyNumberFormat="1" applyFont="1" applyFill="1" applyBorder="1" applyAlignment="1" applyProtection="1">
      <alignment horizontal="right" vertical="center" wrapText="1"/>
    </xf>
    <xf numFmtId="170" fontId="244" fillId="0" borderId="78" xfId="94" applyNumberFormat="1" applyFont="1" applyFill="1" applyBorder="1" applyAlignment="1" applyProtection="1">
      <alignment horizontal="right" vertical="center" wrapText="1"/>
    </xf>
    <xf numFmtId="0" fontId="269" fillId="0" borderId="36" xfId="69" applyFont="1" applyFill="1" applyBorder="1" applyAlignment="1">
      <alignment horizontal="left" vertical="center" wrapText="1" indent="2"/>
    </xf>
    <xf numFmtId="170" fontId="244" fillId="0" borderId="4" xfId="94" applyNumberFormat="1" applyFont="1" applyFill="1" applyBorder="1" applyAlignment="1" applyProtection="1">
      <alignment horizontal="right" vertical="center" wrapText="1"/>
    </xf>
    <xf numFmtId="170" fontId="244" fillId="0" borderId="2" xfId="94" applyNumberFormat="1" applyFont="1" applyFill="1" applyBorder="1" applyAlignment="1" applyProtection="1">
      <alignment horizontal="right" vertical="center" wrapText="1"/>
    </xf>
    <xf numFmtId="170" fontId="244" fillId="0" borderId="5" xfId="94" applyNumberFormat="1" applyFont="1" applyFill="1" applyBorder="1" applyAlignment="1" applyProtection="1">
      <alignment horizontal="right" vertical="center" wrapText="1"/>
    </xf>
    <xf numFmtId="0" fontId="247" fillId="0" borderId="36" xfId="69" applyFont="1" applyFill="1" applyBorder="1" applyAlignment="1">
      <alignment horizontal="left" vertical="center" wrapText="1" indent="5"/>
    </xf>
    <xf numFmtId="170" fontId="245" fillId="0" borderId="4" xfId="94" applyNumberFormat="1" applyFont="1" applyFill="1" applyBorder="1" applyAlignment="1" applyProtection="1">
      <alignment horizontal="right" vertical="center" wrapText="1"/>
    </xf>
    <xf numFmtId="170" fontId="245" fillId="0" borderId="2" xfId="94" applyNumberFormat="1" applyFont="1" applyFill="1" applyBorder="1" applyAlignment="1" applyProtection="1">
      <alignment horizontal="right" vertical="center" wrapText="1"/>
    </xf>
    <xf numFmtId="170" fontId="245" fillId="0" borderId="5" xfId="94" applyNumberFormat="1" applyFont="1" applyFill="1" applyBorder="1" applyAlignment="1" applyProtection="1">
      <alignment horizontal="right" vertical="center" wrapText="1"/>
    </xf>
    <xf numFmtId="0" fontId="247" fillId="0" borderId="25" xfId="69" applyFont="1" applyFill="1" applyBorder="1" applyAlignment="1">
      <alignment horizontal="left" vertical="center" wrapText="1" indent="5"/>
    </xf>
    <xf numFmtId="170" fontId="245" fillId="0" borderId="26" xfId="94" applyNumberFormat="1" applyFont="1" applyFill="1" applyBorder="1" applyAlignment="1" applyProtection="1">
      <alignment horizontal="right" vertical="center" wrapText="1"/>
    </xf>
    <xf numFmtId="170" fontId="245" fillId="0" borderId="28" xfId="94" applyNumberFormat="1" applyFont="1" applyFill="1" applyBorder="1" applyAlignment="1" applyProtection="1">
      <alignment horizontal="right" vertical="center" wrapText="1"/>
    </xf>
    <xf numFmtId="170" fontId="245" fillId="0" borderId="81" xfId="94" applyNumberFormat="1" applyFont="1" applyFill="1" applyBorder="1" applyAlignment="1" applyProtection="1">
      <alignment horizontal="right" vertical="center" wrapText="1"/>
    </xf>
    <xf numFmtId="165" fontId="221" fillId="0" borderId="0" xfId="69" applyNumberFormat="1" applyFont="1" applyFill="1"/>
    <xf numFmtId="0" fontId="221" fillId="0" borderId="0" xfId="69" applyFont="1" applyFill="1"/>
    <xf numFmtId="178" fontId="221" fillId="0" borderId="0" xfId="72" applyNumberFormat="1" applyFont="1" applyFill="1"/>
    <xf numFmtId="9" fontId="122" fillId="0" borderId="0" xfId="72" applyFont="1" applyFill="1"/>
    <xf numFmtId="14" fontId="122" fillId="0" borderId="0" xfId="69" applyNumberFormat="1" applyFont="1" applyFill="1"/>
    <xf numFmtId="14" fontId="122" fillId="0" borderId="0" xfId="72" applyNumberFormat="1" applyFont="1" applyFill="1"/>
    <xf numFmtId="0" fontId="211" fillId="11" borderId="0" xfId="69" applyFont="1" applyFill="1" applyBorder="1" applyAlignment="1">
      <alignment vertical="center" wrapText="1"/>
    </xf>
    <xf numFmtId="0" fontId="188" fillId="10" borderId="0" xfId="69" applyFont="1" applyFill="1" applyBorder="1" applyAlignment="1">
      <alignment vertical="center" wrapText="1"/>
    </xf>
    <xf numFmtId="166" fontId="4" fillId="0" borderId="2" xfId="95" applyNumberFormat="1" applyFont="1" applyFill="1" applyBorder="1" applyAlignment="1">
      <alignment horizontal="center" vertical="center"/>
    </xf>
    <xf numFmtId="166" fontId="5" fillId="0" borderId="2" xfId="95" applyNumberFormat="1" applyFont="1" applyFill="1" applyBorder="1" applyAlignment="1">
      <alignment horizontal="center" vertical="center"/>
    </xf>
    <xf numFmtId="166" fontId="4" fillId="0" borderId="3" xfId="95" applyNumberFormat="1" applyFont="1" applyFill="1" applyBorder="1" applyAlignment="1">
      <alignment horizontal="center" vertical="center"/>
    </xf>
    <xf numFmtId="0" fontId="154" fillId="0" borderId="0" xfId="96" applyFont="1"/>
    <xf numFmtId="0" fontId="298" fillId="0" borderId="0" xfId="96" applyFont="1" applyAlignment="1">
      <alignment horizontal="center" vertical="center" wrapText="1"/>
    </xf>
    <xf numFmtId="0" fontId="162" fillId="10" borderId="0" xfId="96" applyFont="1" applyFill="1" applyBorder="1" applyAlignment="1">
      <alignment horizontal="center" vertical="center"/>
    </xf>
    <xf numFmtId="0" fontId="168" fillId="11" borderId="0" xfId="96" applyFont="1" applyFill="1" applyBorder="1" applyAlignment="1">
      <alignment vertical="center"/>
    </xf>
    <xf numFmtId="1" fontId="138" fillId="9" borderId="6" xfId="96" applyNumberFormat="1" applyFont="1" applyFill="1" applyBorder="1" applyAlignment="1">
      <alignment horizontal="center" vertical="center" wrapText="1"/>
    </xf>
    <xf numFmtId="0" fontId="138" fillId="0" borderId="119" xfId="96" applyFont="1" applyFill="1" applyBorder="1" applyAlignment="1">
      <alignment horizontal="center" vertical="center" wrapText="1"/>
    </xf>
    <xf numFmtId="1" fontId="139" fillId="0" borderId="7" xfId="96" applyNumberFormat="1" applyFont="1" applyFill="1" applyBorder="1" applyAlignment="1">
      <alignment horizontal="center" vertical="center" wrapText="1"/>
    </xf>
    <xf numFmtId="1" fontId="139" fillId="0" borderId="49" xfId="96" applyNumberFormat="1" applyFont="1" applyFill="1" applyBorder="1" applyAlignment="1">
      <alignment horizontal="center" vertical="center" wrapText="1"/>
    </xf>
    <xf numFmtId="1" fontId="139" fillId="0" borderId="67" xfId="96" applyNumberFormat="1" applyFont="1" applyFill="1" applyBorder="1" applyAlignment="1">
      <alignment horizontal="center" vertical="center" wrapText="1"/>
    </xf>
    <xf numFmtId="1" fontId="139" fillId="0" borderId="5" xfId="96" applyNumberFormat="1" applyFont="1" applyFill="1" applyBorder="1" applyAlignment="1">
      <alignment horizontal="center" vertical="center" wrapText="1"/>
    </xf>
    <xf numFmtId="0" fontId="138" fillId="0" borderId="103" xfId="96" applyFont="1" applyFill="1" applyBorder="1" applyAlignment="1">
      <alignment horizontal="center" vertical="center" wrapText="1"/>
    </xf>
    <xf numFmtId="1" fontId="139" fillId="0" borderId="0" xfId="96" applyNumberFormat="1" applyFont="1" applyFill="1" applyBorder="1" applyAlignment="1">
      <alignment horizontal="center" vertical="center" wrapText="1"/>
    </xf>
    <xf numFmtId="1" fontId="139" fillId="0" borderId="4" xfId="96" applyNumberFormat="1" applyFont="1" applyFill="1" applyBorder="1" applyAlignment="1">
      <alignment horizontal="center" vertical="center" wrapText="1"/>
    </xf>
    <xf numFmtId="0" fontId="139" fillId="0" borderId="4" xfId="96" applyFont="1" applyFill="1" applyBorder="1" applyAlignment="1">
      <alignment horizontal="center" vertical="center" wrapText="1"/>
    </xf>
    <xf numFmtId="0" fontId="138" fillId="3" borderId="120" xfId="96" applyFont="1" applyFill="1" applyBorder="1" applyAlignment="1">
      <alignment horizontal="center" vertical="center" wrapText="1"/>
    </xf>
    <xf numFmtId="1" fontId="138" fillId="3" borderId="17" xfId="96" applyNumberFormat="1" applyFont="1" applyFill="1" applyBorder="1" applyAlignment="1">
      <alignment horizontal="center" vertical="center" wrapText="1"/>
    </xf>
    <xf numFmtId="1" fontId="138" fillId="3" borderId="18" xfId="96" applyNumberFormat="1" applyFont="1" applyFill="1" applyBorder="1" applyAlignment="1">
      <alignment horizontal="center" vertical="center" wrapText="1"/>
    </xf>
    <xf numFmtId="1" fontId="138" fillId="3" borderId="19" xfId="96" applyNumberFormat="1" applyFont="1" applyFill="1" applyBorder="1" applyAlignment="1">
      <alignment horizontal="center" vertical="center" wrapText="1"/>
    </xf>
    <xf numFmtId="0" fontId="154" fillId="0" borderId="0" xfId="96" applyFont="1" applyAlignment="1">
      <alignment horizontal="left"/>
    </xf>
    <xf numFmtId="0" fontId="154" fillId="0" borderId="0" xfId="22" applyFont="1" applyAlignment="1">
      <alignment horizontal="center" wrapText="1"/>
    </xf>
    <xf numFmtId="166" fontId="154" fillId="0" borderId="0" xfId="22" applyNumberFormat="1" applyFont="1" applyBorder="1" applyAlignment="1">
      <alignment horizontal="center" vertical="center"/>
    </xf>
    <xf numFmtId="166" fontId="113" fillId="0" borderId="0" xfId="22" applyNumberFormat="1" applyFont="1" applyBorder="1" applyAlignment="1">
      <alignment horizontal="center" vertical="center"/>
    </xf>
    <xf numFmtId="166" fontId="154" fillId="0" borderId="18" xfId="22" applyNumberFormat="1" applyFont="1" applyBorder="1" applyAlignment="1">
      <alignment horizontal="center" vertical="center"/>
    </xf>
    <xf numFmtId="0" fontId="25" fillId="0" borderId="0" xfId="22" applyNumberFormat="1" applyFont="1" applyBorder="1" applyAlignment="1">
      <alignment horizontal="center" vertical="center"/>
    </xf>
    <xf numFmtId="186" fontId="154" fillId="0" borderId="0" xfId="22" applyNumberFormat="1" applyFont="1"/>
    <xf numFmtId="182" fontId="130" fillId="0" borderId="0" xfId="4" applyNumberFormat="1" applyFont="1" applyFill="1" applyBorder="1" applyAlignment="1">
      <alignment horizontal="center" vertical="center"/>
    </xf>
    <xf numFmtId="181" fontId="32" fillId="0" borderId="0" xfId="97" applyNumberFormat="1" applyFont="1" applyFill="1" applyAlignment="1">
      <alignment vertical="center"/>
    </xf>
    <xf numFmtId="1" fontId="5" fillId="3" borderId="2" xfId="0" applyNumberFormat="1" applyFont="1" applyFill="1" applyBorder="1" applyAlignment="1">
      <alignment horizontal="center" vertical="center"/>
    </xf>
    <xf numFmtId="1" fontId="45" fillId="3" borderId="2" xfId="0" applyNumberFormat="1" applyFont="1" applyFill="1" applyBorder="1" applyAlignment="1">
      <alignment horizontal="center" vertical="center"/>
    </xf>
    <xf numFmtId="0" fontId="154" fillId="11" borderId="0" xfId="22" applyFont="1" applyFill="1"/>
    <xf numFmtId="0" fontId="154" fillId="10" borderId="0" xfId="22" applyFont="1" applyFill="1"/>
    <xf numFmtId="0" fontId="140" fillId="11" borderId="18" xfId="22" applyFont="1" applyFill="1" applyBorder="1" applyAlignment="1">
      <alignment horizontal="center" vertical="center" wrapText="1"/>
    </xf>
    <xf numFmtId="0" fontId="297" fillId="0" borderId="0" xfId="22" applyFont="1"/>
    <xf numFmtId="0" fontId="304" fillId="7" borderId="126" xfId="22" applyFont="1" applyFill="1" applyBorder="1" applyAlignment="1">
      <alignment horizontal="left" vertical="center" wrapText="1"/>
    </xf>
    <xf numFmtId="1" fontId="304" fillId="7" borderId="57" xfId="22" applyNumberFormat="1" applyFont="1" applyFill="1" applyBorder="1" applyAlignment="1">
      <alignment horizontal="center" vertical="center" wrapText="1"/>
    </xf>
    <xf numFmtId="1" fontId="304" fillId="7" borderId="127" xfId="22" applyNumberFormat="1" applyFont="1" applyFill="1" applyBorder="1" applyAlignment="1">
      <alignment horizontal="center" vertical="center" wrapText="1"/>
    </xf>
    <xf numFmtId="1" fontId="139" fillId="0" borderId="57" xfId="22" applyNumberFormat="1" applyFont="1" applyBorder="1" applyAlignment="1">
      <alignment horizontal="center" vertical="center"/>
    </xf>
    <xf numFmtId="1" fontId="139" fillId="0" borderId="127" xfId="22" applyNumberFormat="1" applyFont="1" applyBorder="1" applyAlignment="1">
      <alignment horizontal="center" vertical="center"/>
    </xf>
    <xf numFmtId="0" fontId="139" fillId="7" borderId="126" xfId="22" applyFont="1" applyFill="1" applyBorder="1" applyAlignment="1">
      <alignment horizontal="left" vertical="center" wrapText="1" indent="2"/>
    </xf>
    <xf numFmtId="0" fontId="304" fillId="7" borderId="128" xfId="22" applyFont="1" applyFill="1" applyBorder="1" applyAlignment="1">
      <alignment horizontal="left" vertical="center" wrapText="1"/>
    </xf>
    <xf numFmtId="1" fontId="304" fillId="7" borderId="129" xfId="22" applyNumberFormat="1" applyFont="1" applyFill="1" applyBorder="1" applyAlignment="1">
      <alignment horizontal="center" vertical="center" wrapText="1"/>
    </xf>
    <xf numFmtId="1" fontId="304" fillId="7" borderId="130" xfId="22" applyNumberFormat="1" applyFont="1" applyFill="1" applyBorder="1" applyAlignment="1">
      <alignment horizontal="center" vertical="center" wrapText="1"/>
    </xf>
    <xf numFmtId="165" fontId="139" fillId="13" borderId="57" xfId="98" applyFont="1" applyFill="1" applyBorder="1" applyAlignment="1">
      <alignment horizontal="center" vertical="center" wrapText="1"/>
    </xf>
    <xf numFmtId="165" fontId="154" fillId="0" borderId="0" xfId="22" applyNumberFormat="1" applyFont="1"/>
    <xf numFmtId="182" fontId="91" fillId="0" borderId="4" xfId="4" applyNumberFormat="1" applyFont="1" applyFill="1" applyBorder="1" applyAlignment="1">
      <alignment horizontal="center" vertical="center" wrapText="1"/>
    </xf>
    <xf numFmtId="182" fontId="92" fillId="0" borderId="4" xfId="4" applyNumberFormat="1" applyFont="1" applyFill="1" applyBorder="1" applyAlignment="1">
      <alignment horizontal="center" vertical="center" wrapText="1"/>
    </xf>
    <xf numFmtId="182" fontId="130" fillId="0" borderId="19" xfId="4" applyNumberFormat="1" applyFont="1" applyFill="1" applyBorder="1" applyAlignment="1">
      <alignment horizontal="center" vertical="center"/>
    </xf>
    <xf numFmtId="182" fontId="92" fillId="9" borderId="6" xfId="4" applyNumberFormat="1" applyFont="1" applyFill="1" applyBorder="1" applyAlignment="1">
      <alignment horizontal="center" vertical="center" wrapText="1"/>
    </xf>
    <xf numFmtId="0" fontId="89" fillId="3" borderId="126" xfId="27" applyFont="1" applyFill="1" applyBorder="1" applyAlignment="1">
      <alignment horizontal="left" wrapText="1"/>
    </xf>
    <xf numFmtId="0" fontId="154" fillId="9" borderId="6" xfId="22" applyFont="1" applyFill="1" applyBorder="1" applyAlignment="1">
      <alignment horizontal="center" textRotation="90" wrapText="1"/>
    </xf>
    <xf numFmtId="0" fontId="154" fillId="9" borderId="6" xfId="22" applyFont="1" applyFill="1" applyBorder="1" applyAlignment="1">
      <alignment horizontal="center" textRotation="90"/>
    </xf>
    <xf numFmtId="0" fontId="25" fillId="0" borderId="5" xfId="22" applyNumberFormat="1" applyFont="1" applyBorder="1" applyAlignment="1">
      <alignment horizontal="center" vertical="center"/>
    </xf>
    <xf numFmtId="166" fontId="154" fillId="0" borderId="0" xfId="22" applyNumberFormat="1" applyFont="1" applyBorder="1" applyAlignment="1">
      <alignment vertical="center"/>
    </xf>
    <xf numFmtId="166" fontId="154" fillId="0" borderId="1" xfId="22" applyNumberFormat="1" applyFont="1" applyBorder="1" applyAlignment="1">
      <alignment vertical="center"/>
    </xf>
    <xf numFmtId="166" fontId="154" fillId="0" borderId="2" xfId="22" applyNumberFormat="1" applyFont="1" applyBorder="1" applyAlignment="1">
      <alignment horizontal="center" vertical="center"/>
    </xf>
    <xf numFmtId="166" fontId="154" fillId="0" borderId="3" xfId="22" applyNumberFormat="1" applyFont="1" applyBorder="1" applyAlignment="1">
      <alignment horizontal="center" vertical="center"/>
    </xf>
    <xf numFmtId="166" fontId="113" fillId="0" borderId="2" xfId="22" applyNumberFormat="1" applyFont="1" applyBorder="1" applyAlignment="1">
      <alignment horizontal="center" vertical="center"/>
    </xf>
    <xf numFmtId="166" fontId="113" fillId="0" borderId="3" xfId="22" applyNumberFormat="1" applyFont="1" applyBorder="1" applyAlignment="1">
      <alignment horizontal="center" vertical="center"/>
    </xf>
    <xf numFmtId="0" fontId="138" fillId="9" borderId="127" xfId="22" applyFont="1" applyFill="1" applyBorder="1" applyAlignment="1">
      <alignment horizontal="center" vertical="center" wrapText="1"/>
    </xf>
    <xf numFmtId="0" fontId="139" fillId="9" borderId="57" xfId="22" applyFont="1" applyFill="1" applyBorder="1" applyAlignment="1">
      <alignment horizontal="center" vertical="center" wrapText="1"/>
    </xf>
    <xf numFmtId="166" fontId="4" fillId="0" borderId="0" xfId="69" applyNumberFormat="1" applyFont="1" applyFill="1" applyBorder="1" applyAlignment="1">
      <alignment vertical="center"/>
    </xf>
    <xf numFmtId="191" fontId="101" fillId="0" borderId="0" xfId="0" applyNumberFormat="1" applyFont="1" applyFill="1" applyBorder="1"/>
    <xf numFmtId="167" fontId="4" fillId="0" borderId="0" xfId="69" applyNumberFormat="1" applyFont="1" applyFill="1" applyBorder="1" applyAlignment="1">
      <alignment vertical="center"/>
    </xf>
    <xf numFmtId="0" fontId="89" fillId="3" borderId="126" xfId="27" applyFont="1" applyFill="1" applyBorder="1" applyAlignment="1">
      <alignment horizontal="left" wrapText="1" indent="1"/>
    </xf>
    <xf numFmtId="0" fontId="89" fillId="3" borderId="126" xfId="27" applyFont="1" applyFill="1" applyBorder="1" applyAlignment="1">
      <alignment horizontal="left" indent="1"/>
    </xf>
    <xf numFmtId="166" fontId="7" fillId="3" borderId="2" xfId="0" applyNumberFormat="1" applyFont="1" applyFill="1" applyBorder="1" applyAlignment="1">
      <alignment horizontal="center" vertical="center"/>
    </xf>
    <xf numFmtId="166" fontId="4" fillId="3" borderId="3" xfId="22" applyNumberFormat="1" applyFont="1" applyFill="1" applyBorder="1" applyAlignment="1">
      <alignment horizontal="center" vertical="center"/>
    </xf>
    <xf numFmtId="166" fontId="4" fillId="0" borderId="3" xfId="0" applyNumberFormat="1" applyFont="1" applyFill="1" applyBorder="1" applyAlignment="1">
      <alignment horizontal="center" vertical="center"/>
    </xf>
    <xf numFmtId="0" fontId="309" fillId="9" borderId="6" xfId="0" applyFont="1" applyFill="1" applyBorder="1" applyAlignment="1">
      <alignment horizontal="center" vertical="center" wrapText="1"/>
    </xf>
    <xf numFmtId="181" fontId="52" fillId="3" borderId="57" xfId="4" applyNumberFormat="1" applyFont="1" applyFill="1" applyBorder="1" applyAlignment="1" applyProtection="1">
      <alignment horizontal="left" vertical="center"/>
    </xf>
    <xf numFmtId="181" fontId="42" fillId="3" borderId="57" xfId="4" applyNumberFormat="1" applyFont="1" applyFill="1" applyBorder="1" applyAlignment="1" applyProtection="1">
      <alignment horizontal="left" vertical="center"/>
    </xf>
    <xf numFmtId="181" fontId="42" fillId="3" borderId="129" xfId="4" applyNumberFormat="1" applyFont="1" applyFill="1" applyBorder="1" applyAlignment="1" applyProtection="1">
      <alignment horizontal="left" vertical="center"/>
    </xf>
    <xf numFmtId="0" fontId="17" fillId="9" borderId="11" xfId="0" applyFont="1" applyFill="1" applyBorder="1" applyAlignment="1">
      <alignment horizontal="center" vertical="center" wrapText="1"/>
    </xf>
    <xf numFmtId="0" fontId="4" fillId="9" borderId="18" xfId="0" applyFont="1" applyFill="1" applyBorder="1" applyAlignment="1">
      <alignment horizontal="center" vertical="center" wrapText="1"/>
    </xf>
    <xf numFmtId="0" fontId="5" fillId="0" borderId="1" xfId="38" applyNumberFormat="1" applyFont="1" applyFill="1" applyBorder="1" applyAlignment="1">
      <alignment horizontal="center" vertical="center"/>
    </xf>
    <xf numFmtId="173" fontId="4" fillId="0" borderId="1" xfId="38" applyNumberFormat="1" applyFont="1" applyFill="1" applyBorder="1" applyAlignment="1">
      <alignment horizontal="center" vertical="center"/>
    </xf>
    <xf numFmtId="173" fontId="4" fillId="0" borderId="0" xfId="38" applyNumberFormat="1" applyFont="1" applyFill="1" applyAlignment="1">
      <alignment horizontal="center" vertical="center"/>
    </xf>
    <xf numFmtId="173" fontId="4" fillId="0" borderId="2" xfId="38" applyNumberFormat="1" applyFont="1" applyFill="1" applyBorder="1" applyAlignment="1">
      <alignment horizontal="center" vertical="center"/>
    </xf>
    <xf numFmtId="173" fontId="4" fillId="0" borderId="0" xfId="38" applyNumberFormat="1" applyFont="1" applyFill="1" applyBorder="1" applyAlignment="1">
      <alignment horizontal="center" vertical="center"/>
    </xf>
    <xf numFmtId="173" fontId="4" fillId="0" borderId="5" xfId="38" applyNumberFormat="1" applyFont="1" applyFill="1" applyBorder="1" applyAlignment="1">
      <alignment horizontal="center" vertical="center"/>
    </xf>
    <xf numFmtId="0" fontId="5" fillId="0" borderId="5" xfId="38" applyNumberFormat="1" applyFont="1" applyFill="1" applyBorder="1" applyAlignment="1">
      <alignment horizontal="center" vertical="center"/>
    </xf>
    <xf numFmtId="4" fontId="5" fillId="0" borderId="1" xfId="38" applyNumberFormat="1" applyFont="1" applyFill="1" applyBorder="1" applyAlignment="1">
      <alignment horizontal="center" vertical="center"/>
    </xf>
    <xf numFmtId="173" fontId="5" fillId="0" borderId="1" xfId="38" applyNumberFormat="1" applyFont="1" applyFill="1" applyBorder="1" applyAlignment="1">
      <alignment horizontal="center" vertical="center"/>
    </xf>
    <xf numFmtId="4" fontId="6" fillId="0" borderId="2" xfId="38" applyNumberFormat="1" applyFont="1" applyFill="1" applyBorder="1" applyAlignment="1">
      <alignment horizontal="center" vertical="center"/>
    </xf>
    <xf numFmtId="173" fontId="4" fillId="6" borderId="0" xfId="38" applyNumberFormat="1" applyFont="1" applyFill="1" applyBorder="1" applyAlignment="1">
      <alignment horizontal="center" vertical="center"/>
    </xf>
    <xf numFmtId="173" fontId="4" fillId="0" borderId="0" xfId="38" applyNumberFormat="1" applyFont="1" applyBorder="1" applyAlignment="1">
      <alignment horizontal="center" vertical="center"/>
    </xf>
    <xf numFmtId="173" fontId="4" fillId="0" borderId="0" xfId="38" applyNumberFormat="1" applyFont="1" applyAlignment="1">
      <alignment horizontal="center" vertical="center"/>
    </xf>
    <xf numFmtId="4" fontId="6" fillId="0" borderId="3" xfId="38" applyNumberFormat="1" applyFont="1" applyFill="1" applyBorder="1" applyAlignment="1">
      <alignment horizontal="center" vertical="center"/>
    </xf>
    <xf numFmtId="173" fontId="6" fillId="0" borderId="3" xfId="38" applyNumberFormat="1" applyFont="1" applyFill="1" applyBorder="1" applyAlignment="1">
      <alignment horizontal="center" vertical="center"/>
    </xf>
    <xf numFmtId="178" fontId="295" fillId="0" borderId="0" xfId="72" applyNumberFormat="1" applyFont="1" applyFill="1" applyAlignment="1">
      <alignment horizontal="right" vertical="center"/>
    </xf>
    <xf numFmtId="165" fontId="141" fillId="0" borderId="0" xfId="69" applyNumberFormat="1" applyFont="1" applyFill="1"/>
    <xf numFmtId="0" fontId="249" fillId="11" borderId="16" xfId="69" applyFont="1" applyFill="1" applyBorder="1" applyAlignment="1">
      <alignment vertical="center"/>
    </xf>
    <xf numFmtId="170" fontId="122" fillId="0" borderId="0" xfId="69" applyNumberFormat="1" applyFont="1" applyFill="1" applyAlignment="1">
      <alignment horizontal="center" vertical="center"/>
    </xf>
    <xf numFmtId="2" fontId="5" fillId="0" borderId="2" xfId="38" applyNumberFormat="1" applyFont="1" applyFill="1" applyBorder="1" applyAlignment="1">
      <alignment horizontal="center" vertical="center"/>
    </xf>
    <xf numFmtId="2" fontId="6" fillId="0" borderId="2" xfId="38" applyNumberFormat="1" applyFont="1" applyFill="1" applyBorder="1" applyAlignment="1">
      <alignment horizontal="center" vertical="center"/>
    </xf>
    <xf numFmtId="2" fontId="10" fillId="0" borderId="2" xfId="38" applyNumberFormat="1" applyFont="1" applyFill="1" applyBorder="1" applyAlignment="1">
      <alignment horizontal="center" vertical="center"/>
    </xf>
    <xf numFmtId="2" fontId="6" fillId="0" borderId="3" xfId="38" applyNumberFormat="1" applyFont="1" applyFill="1" applyBorder="1" applyAlignment="1">
      <alignment horizontal="center" vertical="center"/>
    </xf>
    <xf numFmtId="0" fontId="234" fillId="3" borderId="0" xfId="0" applyFont="1" applyFill="1" applyBorder="1" applyAlignment="1">
      <alignment vertical="center"/>
    </xf>
    <xf numFmtId="0" fontId="315" fillId="11" borderId="18" xfId="22" applyFont="1" applyFill="1" applyBorder="1" applyAlignment="1">
      <alignment horizontal="right"/>
    </xf>
    <xf numFmtId="0" fontId="29" fillId="9" borderId="9" xfId="38" applyFont="1" applyFill="1" applyBorder="1" applyAlignment="1">
      <alignment horizontal="center" vertical="center" wrapText="1"/>
    </xf>
    <xf numFmtId="0" fontId="29" fillId="9" borderId="10" xfId="38" applyFont="1" applyFill="1" applyBorder="1" applyAlignment="1">
      <alignment horizontal="center" vertical="center"/>
    </xf>
    <xf numFmtId="2" fontId="29" fillId="9" borderId="10" xfId="38" applyNumberFormat="1" applyFont="1" applyFill="1" applyBorder="1" applyAlignment="1">
      <alignment horizontal="center" vertical="center" wrapText="1"/>
    </xf>
    <xf numFmtId="0" fontId="29" fillId="9" borderId="11" xfId="38" applyFont="1" applyFill="1" applyBorder="1" applyAlignment="1">
      <alignment horizontal="center" vertical="center" wrapText="1"/>
    </xf>
    <xf numFmtId="0" fontId="29" fillId="9" borderId="6" xfId="38" applyFont="1" applyFill="1" applyBorder="1" applyAlignment="1">
      <alignment horizontal="center" vertical="center" wrapText="1"/>
    </xf>
    <xf numFmtId="2" fontId="29" fillId="9" borderId="6" xfId="38" applyNumberFormat="1" applyFont="1" applyFill="1" applyBorder="1" applyAlignment="1">
      <alignment horizontal="center" vertical="center" wrapText="1"/>
    </xf>
    <xf numFmtId="0" fontId="29" fillId="9" borderId="6" xfId="38" applyFont="1" applyFill="1" applyBorder="1" applyAlignment="1">
      <alignment horizontal="center" vertical="center"/>
    </xf>
    <xf numFmtId="10" fontId="29" fillId="0" borderId="6" xfId="0" applyNumberFormat="1" applyFont="1" applyBorder="1" applyAlignment="1">
      <alignment horizontal="center" vertical="center"/>
    </xf>
    <xf numFmtId="10" fontId="29" fillId="0" borderId="6" xfId="0" applyNumberFormat="1" applyFont="1" applyBorder="1" applyAlignment="1">
      <alignment horizontal="center" vertical="center" wrapText="1"/>
    </xf>
    <xf numFmtId="0" fontId="37" fillId="9" borderId="0" xfId="0" applyFont="1" applyFill="1" applyBorder="1"/>
    <xf numFmtId="0" fontId="38" fillId="3" borderId="2" xfId="0" applyFont="1" applyFill="1" applyBorder="1" applyAlignment="1">
      <alignment horizontal="center" vertical="center" wrapText="1"/>
    </xf>
    <xf numFmtId="0" fontId="37" fillId="3" borderId="2" xfId="0" applyFont="1" applyFill="1" applyBorder="1" applyAlignment="1">
      <alignment horizontal="center" vertical="center"/>
    </xf>
    <xf numFmtId="2" fontId="4" fillId="3" borderId="2" xfId="0" applyNumberFormat="1" applyFont="1" applyFill="1" applyBorder="1" applyAlignment="1">
      <alignment horizontal="center"/>
    </xf>
    <xf numFmtId="2" fontId="4" fillId="3" borderId="2" xfId="0" applyNumberFormat="1" applyFont="1" applyFill="1" applyBorder="1" applyAlignment="1">
      <alignment horizontal="center" vertical="center"/>
    </xf>
    <xf numFmtId="0" fontId="38" fillId="3" borderId="0" xfId="0" applyFont="1" applyFill="1" applyBorder="1"/>
    <xf numFmtId="0" fontId="37" fillId="3" borderId="0" xfId="0" applyFont="1" applyFill="1" applyBorder="1" applyAlignment="1">
      <alignment vertical="center"/>
    </xf>
    <xf numFmtId="14" fontId="37" fillId="3" borderId="0" xfId="0" applyNumberFormat="1" applyFont="1" applyFill="1" applyBorder="1"/>
    <xf numFmtId="1" fontId="37" fillId="3" borderId="0" xfId="0" applyNumberFormat="1" applyFont="1" applyFill="1" applyBorder="1" applyAlignment="1">
      <alignment horizontal="center"/>
    </xf>
    <xf numFmtId="172" fontId="5" fillId="9" borderId="6" xfId="0" applyNumberFormat="1" applyFont="1" applyFill="1" applyBorder="1" applyAlignment="1">
      <alignment horizontal="center" vertical="center" wrapText="1"/>
    </xf>
    <xf numFmtId="172" fontId="4" fillId="9" borderId="6" xfId="0" applyNumberFormat="1" applyFont="1" applyFill="1" applyBorder="1" applyAlignment="1">
      <alignment horizontal="center" vertical="center" wrapText="1"/>
    </xf>
    <xf numFmtId="0" fontId="161" fillId="11" borderId="0" xfId="0" applyFont="1" applyFill="1" applyBorder="1" applyAlignment="1">
      <alignment horizontal="center" vertical="center"/>
    </xf>
    <xf numFmtId="14" fontId="10" fillId="3" borderId="2" xfId="0" applyNumberFormat="1" applyFont="1" applyFill="1" applyBorder="1" applyAlignment="1">
      <alignment horizontal="left"/>
    </xf>
    <xf numFmtId="14" fontId="6" fillId="3" borderId="2" xfId="0" applyNumberFormat="1" applyFont="1" applyFill="1" applyBorder="1" applyAlignment="1">
      <alignment horizontal="left"/>
    </xf>
    <xf numFmtId="0" fontId="6" fillId="3" borderId="2" xfId="0" applyFont="1" applyFill="1" applyBorder="1"/>
    <xf numFmtId="0" fontId="138" fillId="9" borderId="58" xfId="22" applyFont="1" applyFill="1" applyBorder="1" applyAlignment="1">
      <alignment horizontal="center" vertical="center" wrapText="1"/>
    </xf>
    <xf numFmtId="1" fontId="304" fillId="7" borderId="58" xfId="22" applyNumberFormat="1" applyFont="1" applyFill="1" applyBorder="1" applyAlignment="1">
      <alignment horizontal="center" vertical="center" wrapText="1"/>
    </xf>
    <xf numFmtId="1" fontId="139" fillId="0" borderId="58" xfId="22" applyNumberFormat="1" applyFont="1" applyBorder="1" applyAlignment="1">
      <alignment horizontal="center" vertical="center"/>
    </xf>
    <xf numFmtId="1" fontId="304" fillId="7" borderId="135" xfId="22" applyNumberFormat="1" applyFont="1" applyFill="1" applyBorder="1" applyAlignment="1">
      <alignment horizontal="center" vertical="center" wrapText="1"/>
    </xf>
    <xf numFmtId="0" fontId="0" fillId="0" borderId="103" xfId="0" applyBorder="1" applyAlignment="1">
      <alignment horizontal="center"/>
    </xf>
    <xf numFmtId="0" fontId="151" fillId="0" borderId="30" xfId="69" applyFont="1" applyFill="1" applyBorder="1" applyAlignment="1" applyProtection="1">
      <alignment horizontal="left" vertical="center" wrapText="1" indent="1"/>
    </xf>
    <xf numFmtId="170" fontId="138" fillId="13" borderId="57" xfId="98" applyNumberFormat="1" applyFont="1" applyFill="1" applyBorder="1" applyAlignment="1">
      <alignment horizontal="center" vertical="center" wrapText="1"/>
    </xf>
    <xf numFmtId="170" fontId="139" fillId="13" borderId="57" xfId="98" applyNumberFormat="1" applyFont="1" applyFill="1" applyBorder="1" applyAlignment="1">
      <alignment horizontal="center" vertical="center" wrapText="1"/>
    </xf>
    <xf numFmtId="0" fontId="29" fillId="9" borderId="6" xfId="0" applyFont="1" applyFill="1" applyBorder="1" applyAlignment="1">
      <alignment horizontal="center" vertical="center" wrapText="1"/>
    </xf>
    <xf numFmtId="0" fontId="17" fillId="9" borderId="67" xfId="0" applyFont="1" applyFill="1" applyBorder="1" applyAlignment="1">
      <alignment horizontal="center" vertical="center" wrapText="1"/>
    </xf>
    <xf numFmtId="0" fontId="17" fillId="9" borderId="6" xfId="0" applyFont="1" applyFill="1" applyBorder="1" applyAlignment="1">
      <alignment horizontal="center" vertical="center" wrapText="1"/>
    </xf>
    <xf numFmtId="0" fontId="17" fillId="9" borderId="9" xfId="0" applyFont="1" applyFill="1" applyBorder="1" applyAlignment="1">
      <alignment horizontal="center" vertical="center" wrapText="1"/>
    </xf>
    <xf numFmtId="0" fontId="29" fillId="9" borderId="10" xfId="0" applyFont="1" applyFill="1" applyBorder="1" applyAlignment="1">
      <alignment horizontal="center" vertical="center" wrapText="1"/>
    </xf>
    <xf numFmtId="0" fontId="29" fillId="9" borderId="11" xfId="0" applyFont="1" applyFill="1" applyBorder="1" applyAlignment="1">
      <alignment horizontal="center" vertical="center" wrapText="1"/>
    </xf>
    <xf numFmtId="166" fontId="29" fillId="0" borderId="2" xfId="0" applyNumberFormat="1" applyFont="1" applyFill="1" applyBorder="1" applyAlignment="1">
      <alignment horizontal="center" vertical="center"/>
    </xf>
    <xf numFmtId="166" fontId="319" fillId="0" borderId="2" xfId="0" applyNumberFormat="1" applyFont="1" applyFill="1" applyBorder="1" applyAlignment="1">
      <alignment horizontal="center" vertical="center"/>
    </xf>
    <xf numFmtId="166" fontId="320" fillId="0" borderId="2" xfId="0" applyNumberFormat="1" applyFont="1" applyFill="1" applyBorder="1" applyAlignment="1">
      <alignment horizontal="center" vertical="center"/>
    </xf>
    <xf numFmtId="166" fontId="29" fillId="0" borderId="2" xfId="26" applyNumberFormat="1" applyFont="1" applyFill="1" applyBorder="1" applyAlignment="1">
      <alignment horizontal="center" vertical="center"/>
    </xf>
    <xf numFmtId="166" fontId="29" fillId="0" borderId="4" xfId="26" applyNumberFormat="1" applyFont="1" applyFill="1" applyBorder="1" applyAlignment="1">
      <alignment horizontal="center" vertical="center"/>
    </xf>
    <xf numFmtId="166" fontId="29" fillId="0" borderId="0" xfId="0" applyNumberFormat="1" applyFont="1" applyFill="1" applyAlignment="1">
      <alignment vertical="center"/>
    </xf>
    <xf numFmtId="49" fontId="17" fillId="0" borderId="0" xfId="26" applyNumberFormat="1" applyFont="1" applyFill="1" applyBorder="1" applyAlignment="1">
      <alignment horizontal="center" vertical="center"/>
    </xf>
    <xf numFmtId="167" fontId="29" fillId="0" borderId="0" xfId="0" applyNumberFormat="1" applyFont="1" applyFill="1" applyAlignment="1">
      <alignment vertical="center"/>
    </xf>
    <xf numFmtId="184" fontId="29" fillId="0" borderId="0" xfId="0" applyNumberFormat="1" applyFont="1" applyFill="1" applyAlignment="1">
      <alignment vertical="center"/>
    </xf>
    <xf numFmtId="166" fontId="230" fillId="0" borderId="0" xfId="0" applyNumberFormat="1" applyFont="1" applyFill="1" applyAlignment="1">
      <alignment vertical="center"/>
    </xf>
    <xf numFmtId="193" fontId="4" fillId="0" borderId="0" xfId="69" applyNumberFormat="1" applyFont="1" applyFill="1" applyBorder="1" applyAlignment="1">
      <alignment vertical="center"/>
    </xf>
    <xf numFmtId="166" fontId="21" fillId="0" borderId="0" xfId="69" applyNumberFormat="1" applyFont="1" applyFill="1" applyBorder="1" applyAlignment="1">
      <alignment vertical="center"/>
    </xf>
    <xf numFmtId="166" fontId="25" fillId="0" borderId="2" xfId="28" applyNumberFormat="1" applyFont="1" applyFill="1" applyBorder="1" applyAlignment="1">
      <alignment horizontal="center" vertical="center" wrapText="1"/>
    </xf>
    <xf numFmtId="0" fontId="17" fillId="9" borderId="3" xfId="0" applyFont="1" applyFill="1" applyBorder="1" applyAlignment="1">
      <alignment horizontal="center" vertical="center" wrapText="1"/>
    </xf>
    <xf numFmtId="0" fontId="18" fillId="9" borderId="3" xfId="0" applyFont="1" applyFill="1" applyBorder="1" applyAlignment="1">
      <alignment horizontal="center" vertical="center" wrapText="1"/>
    </xf>
    <xf numFmtId="0" fontId="29" fillId="9" borderId="6" xfId="0" applyFont="1" applyFill="1" applyBorder="1" applyAlignment="1">
      <alignment horizontal="center" vertical="center" wrapText="1"/>
    </xf>
    <xf numFmtId="166" fontId="4" fillId="0" borderId="4" xfId="26" applyNumberFormat="1" applyFont="1" applyFill="1" applyBorder="1" applyAlignment="1">
      <alignment horizontal="center" vertical="center"/>
    </xf>
    <xf numFmtId="0" fontId="219" fillId="0" borderId="0" xfId="0" applyFont="1" applyFill="1" applyBorder="1" applyAlignment="1">
      <alignment vertical="center"/>
    </xf>
    <xf numFmtId="166" fontId="29" fillId="0" borderId="0" xfId="0" applyNumberFormat="1" applyFont="1" applyFill="1" applyBorder="1" applyAlignment="1">
      <alignment vertical="center"/>
    </xf>
    <xf numFmtId="194" fontId="103" fillId="0" borderId="0" xfId="4" applyNumberFormat="1" applyFont="1" applyFill="1" applyBorder="1" applyAlignment="1">
      <alignment vertical="center"/>
    </xf>
    <xf numFmtId="0" fontId="140" fillId="3" borderId="78" xfId="69" applyFont="1" applyFill="1" applyBorder="1" applyAlignment="1">
      <alignment horizontal="center" vertical="center"/>
    </xf>
    <xf numFmtId="0" fontId="254" fillId="3" borderId="5" xfId="69" applyFont="1" applyFill="1" applyBorder="1" applyAlignment="1">
      <alignment horizontal="center" vertical="center" wrapText="1"/>
    </xf>
    <xf numFmtId="0" fontId="254" fillId="3" borderId="81" xfId="69" applyFont="1" applyFill="1" applyBorder="1" applyAlignment="1">
      <alignment horizontal="center" vertical="center" wrapText="1"/>
    </xf>
    <xf numFmtId="49" fontId="25" fillId="0" borderId="2" xfId="0" applyNumberFormat="1" applyFont="1" applyFill="1" applyBorder="1" applyAlignment="1">
      <alignment horizontal="center" vertical="center"/>
    </xf>
    <xf numFmtId="0" fontId="25" fillId="0" borderId="0" xfId="0" applyFont="1" applyFill="1" applyBorder="1" applyAlignment="1">
      <alignment vertical="center"/>
    </xf>
    <xf numFmtId="0" fontId="17" fillId="9" borderId="3" xfId="0" applyFont="1" applyFill="1" applyBorder="1" applyAlignment="1">
      <alignment horizontal="center" vertical="center" wrapText="1"/>
    </xf>
    <xf numFmtId="0" fontId="18" fillId="9" borderId="3" xfId="0" applyFont="1" applyFill="1" applyBorder="1" applyAlignment="1">
      <alignment horizontal="center" vertical="center" wrapText="1"/>
    </xf>
    <xf numFmtId="0" fontId="29" fillId="9" borderId="6" xfId="0" applyFont="1" applyFill="1" applyBorder="1" applyAlignment="1">
      <alignment horizontal="center" vertical="center" wrapText="1"/>
    </xf>
    <xf numFmtId="166" fontId="4" fillId="0" borderId="0" xfId="0" applyNumberFormat="1" applyFont="1" applyFill="1" applyBorder="1" applyAlignment="1">
      <alignment horizontal="center" vertical="center"/>
    </xf>
    <xf numFmtId="0" fontId="5" fillId="0" borderId="4" xfId="4" applyNumberFormat="1" applyFont="1" applyFill="1" applyBorder="1" applyAlignment="1">
      <alignment horizontal="left" vertical="center"/>
    </xf>
    <xf numFmtId="0" fontId="4" fillId="0" borderId="4" xfId="38" applyFont="1" applyFill="1" applyBorder="1" applyAlignment="1">
      <alignment horizontal="center" vertical="center"/>
    </xf>
    <xf numFmtId="0" fontId="5" fillId="0" borderId="0" xfId="38" applyNumberFormat="1" applyFont="1" applyFill="1" applyBorder="1" applyAlignment="1">
      <alignment horizontal="left" vertical="center"/>
    </xf>
    <xf numFmtId="0" fontId="86" fillId="9" borderId="102" xfId="0" applyFont="1" applyFill="1" applyBorder="1" applyAlignment="1">
      <alignment horizontal="center" vertical="center"/>
    </xf>
    <xf numFmtId="0" fontId="138" fillId="9" borderId="126" xfId="22" applyFont="1" applyFill="1" applyBorder="1" applyAlignment="1">
      <alignment horizontal="center" vertical="center" wrapText="1"/>
    </xf>
    <xf numFmtId="14" fontId="86" fillId="9" borderId="45" xfId="69" applyNumberFormat="1" applyFont="1" applyFill="1" applyBorder="1" applyAlignment="1" applyProtection="1">
      <alignment horizontal="center" vertical="center" wrapText="1"/>
    </xf>
    <xf numFmtId="14" fontId="88" fillId="9" borderId="45" xfId="69" applyNumberFormat="1" applyFont="1" applyFill="1" applyBorder="1" applyAlignment="1" applyProtection="1">
      <alignment horizontal="center" vertical="center" wrapText="1"/>
    </xf>
    <xf numFmtId="0" fontId="313" fillId="3" borderId="0" xfId="69" applyFont="1" applyFill="1" applyBorder="1" applyAlignment="1">
      <alignment vertical="center"/>
    </xf>
    <xf numFmtId="0" fontId="157" fillId="3" borderId="0" xfId="69" applyFont="1" applyFill="1" applyBorder="1" applyAlignment="1">
      <alignment vertical="center"/>
    </xf>
    <xf numFmtId="0" fontId="220" fillId="3" borderId="0" xfId="69" applyFont="1" applyFill="1" applyBorder="1" applyAlignment="1">
      <alignment vertical="center"/>
    </xf>
    <xf numFmtId="0" fontId="235" fillId="3" borderId="0" xfId="69" applyFont="1" applyFill="1" applyBorder="1" applyAlignment="1">
      <alignment vertical="center"/>
    </xf>
    <xf numFmtId="14" fontId="86" fillId="9" borderId="45" xfId="69" applyNumberFormat="1" applyFont="1" applyFill="1" applyBorder="1" applyAlignment="1" applyProtection="1">
      <alignment horizontal="center" vertical="center" wrapText="1"/>
    </xf>
    <xf numFmtId="195" fontId="4" fillId="0" borderId="0" xfId="0" applyNumberFormat="1" applyFont="1" applyFill="1" applyBorder="1" applyAlignment="1">
      <alignment vertical="center"/>
    </xf>
    <xf numFmtId="165" fontId="122" fillId="0" borderId="0" xfId="98" applyFont="1" applyFill="1"/>
    <xf numFmtId="165" fontId="128" fillId="0" borderId="0" xfId="98" applyFont="1" applyFill="1"/>
    <xf numFmtId="165" fontId="97" fillId="0" borderId="0" xfId="98" applyFont="1" applyFill="1"/>
    <xf numFmtId="165" fontId="221" fillId="0" borderId="0" xfId="98" applyFont="1" applyFill="1"/>
    <xf numFmtId="196" fontId="122" fillId="0" borderId="0" xfId="69" applyNumberFormat="1" applyFont="1" applyFill="1"/>
    <xf numFmtId="14" fontId="193" fillId="9" borderId="115" xfId="69" applyNumberFormat="1" applyFont="1" applyFill="1" applyBorder="1" applyAlignment="1" applyProtection="1">
      <alignment horizontal="center" vertical="center" wrapText="1"/>
    </xf>
    <xf numFmtId="0" fontId="246" fillId="0" borderId="21" xfId="69" applyFont="1" applyFill="1" applyBorder="1" applyAlignment="1">
      <alignment horizontal="left" vertical="center" wrapText="1" indent="3"/>
    </xf>
    <xf numFmtId="0" fontId="247" fillId="0" borderId="4" xfId="69" applyFont="1" applyFill="1" applyBorder="1" applyAlignment="1">
      <alignment horizontal="left" vertical="center" wrapText="1" indent="5"/>
    </xf>
    <xf numFmtId="0" fontId="269" fillId="0" borderId="4" xfId="69" applyFont="1" applyFill="1" applyBorder="1" applyAlignment="1">
      <alignment horizontal="left" vertical="center" wrapText="1" indent="2"/>
    </xf>
    <xf numFmtId="0" fontId="247" fillId="0" borderId="26" xfId="69" applyFont="1" applyFill="1" applyBorder="1" applyAlignment="1">
      <alignment horizontal="left" vertical="center" wrapText="1" indent="5"/>
    </xf>
    <xf numFmtId="0" fontId="252" fillId="10" borderId="0" xfId="69" applyFont="1" applyFill="1" applyBorder="1" applyAlignment="1">
      <alignment vertical="center" wrapText="1"/>
    </xf>
    <xf numFmtId="0" fontId="252" fillId="11" borderId="0" xfId="69" applyFont="1" applyFill="1" applyBorder="1" applyAlignment="1">
      <alignment vertical="center" wrapText="1"/>
    </xf>
    <xf numFmtId="14" fontId="253" fillId="9" borderId="115" xfId="69" applyNumberFormat="1" applyFont="1" applyFill="1" applyBorder="1" applyAlignment="1" applyProtection="1">
      <alignment horizontal="center" vertical="center" wrapText="1"/>
    </xf>
    <xf numFmtId="0" fontId="140" fillId="3" borderId="21" xfId="69" applyFont="1" applyFill="1" applyBorder="1" applyAlignment="1">
      <alignment horizontal="left" vertical="center" indent="2"/>
    </xf>
    <xf numFmtId="0" fontId="254" fillId="3" borderId="4" xfId="69" applyFont="1" applyFill="1" applyBorder="1" applyAlignment="1">
      <alignment horizontal="left" vertical="center" wrapText="1" indent="5"/>
    </xf>
    <xf numFmtId="0" fontId="140" fillId="0" borderId="23" xfId="69" applyFont="1" applyFill="1" applyBorder="1" applyAlignment="1">
      <alignment horizontal="center" vertical="center"/>
    </xf>
    <xf numFmtId="0" fontId="254" fillId="3" borderId="4" xfId="69" applyFont="1" applyFill="1" applyBorder="1" applyAlignment="1">
      <alignment horizontal="left" vertical="center" wrapText="1" indent="7"/>
    </xf>
    <xf numFmtId="0" fontId="254" fillId="3" borderId="26" xfId="69" applyFont="1" applyFill="1" applyBorder="1" applyAlignment="1">
      <alignment horizontal="left" vertical="center" wrapText="1" indent="7"/>
    </xf>
    <xf numFmtId="0" fontId="254" fillId="3" borderId="21" xfId="69" applyFont="1" applyFill="1" applyBorder="1" applyAlignment="1">
      <alignment horizontal="left" vertical="center" wrapText="1" indent="5"/>
    </xf>
    <xf numFmtId="0" fontId="254" fillId="3" borderId="26" xfId="69" applyFont="1" applyFill="1" applyBorder="1" applyAlignment="1">
      <alignment horizontal="left" vertical="center" wrapText="1" indent="5"/>
    </xf>
    <xf numFmtId="0" fontId="254" fillId="0" borderId="21" xfId="69" applyFont="1" applyFill="1" applyBorder="1" applyAlignment="1">
      <alignment horizontal="left" vertical="center" wrapText="1" indent="5"/>
    </xf>
    <xf numFmtId="0" fontId="254" fillId="0" borderId="4" xfId="69" applyFont="1" applyFill="1" applyBorder="1" applyAlignment="1">
      <alignment horizontal="left" vertical="center" wrapText="1" indent="5"/>
    </xf>
    <xf numFmtId="0" fontId="254" fillId="0" borderId="26" xfId="69" applyFont="1" applyFill="1" applyBorder="1" applyAlignment="1">
      <alignment horizontal="left" vertical="center" wrapText="1" indent="5"/>
    </xf>
    <xf numFmtId="0" fontId="294" fillId="3" borderId="23" xfId="69" applyFont="1" applyFill="1" applyBorder="1" applyAlignment="1">
      <alignment horizontal="center" vertical="center" wrapText="1"/>
    </xf>
    <xf numFmtId="0" fontId="294" fillId="3" borderId="2" xfId="69" applyFont="1" applyFill="1" applyBorder="1" applyAlignment="1">
      <alignment horizontal="center" vertical="center" wrapText="1"/>
    </xf>
    <xf numFmtId="0" fontId="294" fillId="3" borderId="28" xfId="69" applyFont="1" applyFill="1" applyBorder="1" applyAlignment="1">
      <alignment horizontal="center" vertical="center" wrapText="1"/>
    </xf>
    <xf numFmtId="0" fontId="313" fillId="3" borderId="31" xfId="69" applyFont="1" applyFill="1" applyBorder="1" applyAlignment="1">
      <alignment vertical="center"/>
    </xf>
    <xf numFmtId="0" fontId="186" fillId="10" borderId="0" xfId="69" applyFont="1" applyFill="1" applyAlignment="1" applyProtection="1">
      <alignment vertical="center"/>
    </xf>
    <xf numFmtId="0" fontId="253" fillId="0" borderId="38" xfId="69" applyFont="1" applyFill="1" applyBorder="1" applyAlignment="1" applyProtection="1">
      <alignment vertical="center" wrapText="1"/>
    </xf>
    <xf numFmtId="170" fontId="253" fillId="0" borderId="45" xfId="94" applyNumberFormat="1" applyFont="1" applyFill="1" applyBorder="1" applyAlignment="1" applyProtection="1">
      <alignment horizontal="right" vertical="center" wrapText="1"/>
    </xf>
    <xf numFmtId="0" fontId="24" fillId="9" borderId="13" xfId="69" applyFont="1" applyFill="1" applyBorder="1" applyAlignment="1" applyProtection="1"/>
    <xf numFmtId="0" fontId="24" fillId="9" borderId="31" xfId="69" applyFont="1" applyFill="1" applyBorder="1" applyAlignment="1" applyProtection="1"/>
    <xf numFmtId="0" fontId="187" fillId="10" borderId="0" xfId="69" applyFont="1" applyFill="1" applyAlignment="1" applyProtection="1">
      <alignment vertical="center" wrapText="1"/>
    </xf>
    <xf numFmtId="0" fontId="248" fillId="9" borderId="115" xfId="69" applyFont="1" applyFill="1" applyBorder="1" applyAlignment="1" applyProtection="1">
      <alignment horizontal="center" vertical="center" wrapText="1"/>
    </xf>
    <xf numFmtId="0" fontId="246" fillId="0" borderId="21" xfId="69" applyFont="1" applyFill="1" applyBorder="1" applyAlignment="1">
      <alignment horizontal="left" vertical="center" wrapText="1" indent="5"/>
    </xf>
    <xf numFmtId="14" fontId="86" fillId="9" borderId="78" xfId="69" applyNumberFormat="1" applyFont="1" applyFill="1" applyBorder="1" applyAlignment="1" applyProtection="1">
      <alignment horizontal="center" vertical="center" wrapText="1"/>
    </xf>
    <xf numFmtId="170" fontId="87" fillId="0" borderId="5" xfId="94" applyNumberFormat="1" applyFont="1" applyFill="1" applyBorder="1" applyAlignment="1" applyProtection="1">
      <alignment horizontal="right" vertical="center" wrapText="1"/>
      <protection locked="0"/>
    </xf>
    <xf numFmtId="170" fontId="87" fillId="0" borderId="5" xfId="94" applyNumberFormat="1" applyFont="1" applyFill="1" applyBorder="1" applyAlignment="1" applyProtection="1">
      <alignment horizontal="right" vertical="center" wrapText="1"/>
    </xf>
    <xf numFmtId="170" fontId="87" fillId="0" borderId="81" xfId="94" applyNumberFormat="1" applyFont="1" applyFill="1" applyBorder="1" applyAlignment="1" applyProtection="1">
      <alignment horizontal="right" vertical="center" wrapText="1"/>
    </xf>
    <xf numFmtId="170" fontId="86" fillId="0" borderId="46" xfId="94" applyNumberFormat="1" applyFont="1" applyFill="1" applyBorder="1" applyAlignment="1" applyProtection="1">
      <alignment horizontal="right" vertical="center" wrapText="1"/>
    </xf>
    <xf numFmtId="170" fontId="87" fillId="0" borderId="78" xfId="94" applyNumberFormat="1" applyFont="1" applyFill="1" applyBorder="1" applyAlignment="1" applyProtection="1">
      <alignment horizontal="right" vertical="center" wrapText="1"/>
      <protection locked="0"/>
    </xf>
    <xf numFmtId="170" fontId="296" fillId="0" borderId="5" xfId="94" applyNumberFormat="1" applyFont="1" applyFill="1" applyBorder="1" applyAlignment="1" applyProtection="1">
      <alignment horizontal="right" vertical="center" wrapText="1"/>
    </xf>
    <xf numFmtId="170" fontId="296" fillId="0" borderId="81" xfId="94" applyNumberFormat="1" applyFont="1" applyFill="1" applyBorder="1" applyAlignment="1" applyProtection="1">
      <alignment horizontal="right" vertical="center" wrapText="1"/>
    </xf>
    <xf numFmtId="170" fontId="87" fillId="0" borderId="78" xfId="94" applyNumberFormat="1" applyFont="1" applyFill="1" applyBorder="1" applyAlignment="1" applyProtection="1">
      <alignment horizontal="right" vertical="center" wrapText="1"/>
    </xf>
    <xf numFmtId="170" fontId="250" fillId="0" borderId="81" xfId="94" applyNumberFormat="1" applyFont="1" applyFill="1" applyBorder="1" applyAlignment="1" applyProtection="1">
      <alignment horizontal="right" vertical="center" wrapText="1"/>
    </xf>
    <xf numFmtId="170" fontId="253" fillId="0" borderId="46" xfId="94" applyNumberFormat="1" applyFont="1" applyFill="1" applyBorder="1" applyAlignment="1" applyProtection="1">
      <alignment horizontal="right" vertical="center" wrapText="1"/>
    </xf>
    <xf numFmtId="0" fontId="86" fillId="0" borderId="38" xfId="69" applyFont="1" applyFill="1" applyBorder="1" applyAlignment="1" applyProtection="1">
      <alignment vertical="center" wrapText="1"/>
    </xf>
    <xf numFmtId="0" fontId="5" fillId="9" borderId="6" xfId="69" applyFont="1" applyFill="1" applyBorder="1" applyAlignment="1">
      <alignment horizontal="center" vertical="center" wrapText="1"/>
    </xf>
    <xf numFmtId="0" fontId="4" fillId="9" borderId="6" xfId="69" applyFont="1" applyFill="1" applyBorder="1" applyAlignment="1">
      <alignment horizontal="center" vertical="center" wrapText="1"/>
    </xf>
    <xf numFmtId="170" fontId="244" fillId="0" borderId="31" xfId="94" applyNumberFormat="1" applyFont="1" applyFill="1" applyBorder="1" applyAlignment="1" applyProtection="1">
      <alignment horizontal="right" vertical="center" wrapText="1"/>
    </xf>
    <xf numFmtId="170" fontId="244" fillId="0" borderId="0" xfId="94" applyNumberFormat="1" applyFont="1" applyFill="1" applyBorder="1" applyAlignment="1" applyProtection="1">
      <alignment horizontal="right" vertical="center" wrapText="1"/>
    </xf>
    <xf numFmtId="170" fontId="245" fillId="0" borderId="0" xfId="94" applyNumberFormat="1" applyFont="1" applyFill="1" applyBorder="1" applyAlignment="1" applyProtection="1">
      <alignment horizontal="right" vertical="center" wrapText="1"/>
    </xf>
    <xf numFmtId="170" fontId="245" fillId="0" borderId="16" xfId="94" applyNumberFormat="1" applyFont="1" applyFill="1" applyBorder="1" applyAlignment="1" applyProtection="1">
      <alignment horizontal="right" vertical="center" wrapText="1"/>
    </xf>
    <xf numFmtId="178" fontId="244" fillId="0" borderId="31" xfId="72" applyNumberFormat="1" applyFont="1" applyFill="1" applyBorder="1" applyAlignment="1" applyProtection="1">
      <alignment horizontal="right" vertical="center" wrapText="1"/>
    </xf>
    <xf numFmtId="178" fontId="244" fillId="0" borderId="78" xfId="72" applyNumberFormat="1" applyFont="1" applyFill="1" applyBorder="1" applyAlignment="1" applyProtection="1">
      <alignment horizontal="right" vertical="center" wrapText="1"/>
    </xf>
    <xf numFmtId="178" fontId="245" fillId="0" borderId="0" xfId="72" applyNumberFormat="1" applyFont="1" applyFill="1" applyBorder="1" applyAlignment="1" applyProtection="1">
      <alignment horizontal="right" vertical="center" wrapText="1"/>
    </xf>
    <xf numFmtId="178" fontId="245" fillId="0" borderId="5" xfId="72" applyNumberFormat="1" applyFont="1" applyFill="1" applyBorder="1" applyAlignment="1" applyProtection="1">
      <alignment horizontal="right" vertical="center" wrapText="1"/>
    </xf>
    <xf numFmtId="178" fontId="245" fillId="0" borderId="2" xfId="72" applyNumberFormat="1" applyFont="1" applyFill="1" applyBorder="1" applyAlignment="1" applyProtection="1">
      <alignment horizontal="right" vertical="center" wrapText="1"/>
    </xf>
    <xf numFmtId="178" fontId="245" fillId="0" borderId="16" xfId="72" applyNumberFormat="1" applyFont="1" applyFill="1" applyBorder="1" applyAlignment="1" applyProtection="1">
      <alignment horizontal="right" vertical="center" wrapText="1"/>
    </xf>
    <xf numFmtId="178" fontId="245" fillId="0" borderId="81" xfId="72" applyNumberFormat="1" applyFont="1" applyFill="1" applyBorder="1" applyAlignment="1" applyProtection="1">
      <alignment horizontal="right" vertical="center" wrapText="1"/>
    </xf>
    <xf numFmtId="10" fontId="122" fillId="0" borderId="0" xfId="40" applyNumberFormat="1" applyFont="1" applyFill="1"/>
    <xf numFmtId="49" fontId="247" fillId="0" borderId="4" xfId="69" applyNumberFormat="1" applyFont="1" applyFill="1" applyBorder="1" applyAlignment="1">
      <alignment horizontal="left" vertical="center" wrapText="1" indent="5"/>
    </xf>
    <xf numFmtId="178" fontId="244" fillId="0" borderId="23" xfId="72" applyNumberFormat="1" applyFont="1" applyFill="1" applyBorder="1" applyAlignment="1" applyProtection="1">
      <alignment horizontal="right" vertical="center" wrapText="1"/>
    </xf>
    <xf numFmtId="178" fontId="245" fillId="0" borderId="28" xfId="72" applyNumberFormat="1" applyFont="1" applyFill="1" applyBorder="1" applyAlignment="1" applyProtection="1">
      <alignment horizontal="right" vertical="center" wrapText="1"/>
    </xf>
    <xf numFmtId="14" fontId="86" fillId="9" borderId="46" xfId="69" applyNumberFormat="1" applyFont="1" applyFill="1" applyBorder="1" applyAlignment="1" applyProtection="1">
      <alignment horizontal="center" vertical="center" wrapText="1"/>
    </xf>
    <xf numFmtId="14" fontId="86" fillId="9" borderId="45" xfId="69" applyNumberFormat="1" applyFont="1" applyFill="1" applyBorder="1" applyAlignment="1" applyProtection="1">
      <alignment horizontal="center" vertical="center" wrapText="1"/>
    </xf>
    <xf numFmtId="0" fontId="188" fillId="10" borderId="0" xfId="69" applyFont="1" applyFill="1" applyBorder="1" applyAlignment="1">
      <alignment horizontal="center" vertical="center" wrapText="1"/>
    </xf>
    <xf numFmtId="0" fontId="163" fillId="0" borderId="4" xfId="22" applyFont="1" applyBorder="1" applyAlignment="1">
      <alignment horizontal="left" vertical="center" wrapText="1" indent="1"/>
    </xf>
    <xf numFmtId="197" fontId="4" fillId="0" borderId="0" xfId="0" applyNumberFormat="1" applyFont="1" applyFill="1" applyBorder="1" applyAlignment="1">
      <alignment vertical="center"/>
    </xf>
    <xf numFmtId="14" fontId="86" fillId="9" borderId="46" xfId="69" applyNumberFormat="1" applyFont="1" applyFill="1" applyBorder="1" applyAlignment="1" applyProtection="1">
      <alignment horizontal="center" vertical="center" wrapText="1"/>
    </xf>
    <xf numFmtId="0" fontId="44" fillId="9" borderId="1" xfId="0" applyFont="1" applyFill="1" applyBorder="1" applyAlignment="1">
      <alignment horizontal="center" vertical="center" wrapText="1"/>
    </xf>
    <xf numFmtId="1" fontId="48" fillId="3" borderId="2" xfId="0" applyNumberFormat="1" applyFont="1" applyFill="1" applyBorder="1" applyAlignment="1">
      <alignment horizontal="center" vertical="center"/>
    </xf>
    <xf numFmtId="165" fontId="18" fillId="0" borderId="2" xfId="95" applyFont="1" applyFill="1" applyBorder="1" applyAlignment="1">
      <alignment horizontal="center" vertical="center"/>
    </xf>
    <xf numFmtId="165" fontId="103" fillId="0" borderId="0" xfId="95" applyFont="1" applyFill="1" applyBorder="1" applyAlignment="1">
      <alignment vertical="center"/>
    </xf>
    <xf numFmtId="195" fontId="4" fillId="0" borderId="0" xfId="69" applyNumberFormat="1" applyFont="1" applyFill="1" applyBorder="1" applyAlignment="1">
      <alignment vertical="center"/>
    </xf>
    <xf numFmtId="10" fontId="29" fillId="0" borderId="0" xfId="40" applyNumberFormat="1" applyFont="1" applyFill="1" applyBorder="1" applyAlignment="1">
      <alignment vertical="center"/>
    </xf>
    <xf numFmtId="166" fontId="21" fillId="0" borderId="0" xfId="0" applyNumberFormat="1" applyFont="1" applyFill="1" applyBorder="1" applyAlignment="1">
      <alignment vertical="center"/>
    </xf>
    <xf numFmtId="14" fontId="86" fillId="9" borderId="46" xfId="69" applyNumberFormat="1" applyFont="1" applyFill="1" applyBorder="1" applyAlignment="1" applyProtection="1">
      <alignment horizontal="center" vertical="center" wrapText="1"/>
    </xf>
    <xf numFmtId="14" fontId="86" fillId="9" borderId="45" xfId="69" applyNumberFormat="1" applyFont="1" applyFill="1" applyBorder="1" applyAlignment="1" applyProtection="1">
      <alignment horizontal="center" vertical="center" wrapText="1"/>
    </xf>
    <xf numFmtId="0" fontId="192" fillId="11" borderId="0" xfId="69" applyFont="1" applyFill="1" applyBorder="1" applyAlignment="1">
      <alignment vertical="center" wrapText="1"/>
    </xf>
    <xf numFmtId="0" fontId="192" fillId="11" borderId="0" xfId="69" applyFont="1" applyFill="1" applyBorder="1" applyAlignment="1">
      <alignment horizontal="right" vertical="center" wrapText="1"/>
    </xf>
    <xf numFmtId="178" fontId="122" fillId="0" borderId="0" xfId="72" applyNumberFormat="1" applyFont="1" applyFill="1" applyAlignment="1">
      <alignment vertical="center"/>
    </xf>
    <xf numFmtId="0" fontId="122" fillId="0" borderId="0" xfId="69" applyFont="1" applyFill="1" applyAlignment="1">
      <alignment vertical="center"/>
    </xf>
    <xf numFmtId="14" fontId="324" fillId="9" borderId="42" xfId="69" applyNumberFormat="1" applyFont="1" applyFill="1" applyBorder="1" applyAlignment="1" applyProtection="1">
      <alignment horizontal="center" vertical="center" wrapText="1"/>
    </xf>
    <xf numFmtId="14" fontId="324" fillId="9" borderId="45" xfId="69" applyNumberFormat="1" applyFont="1" applyFill="1" applyBorder="1" applyAlignment="1" applyProtection="1">
      <alignment horizontal="center" vertical="center" wrapText="1"/>
    </xf>
    <xf numFmtId="0" fontId="325" fillId="0" borderId="20" xfId="69" applyFont="1" applyFill="1" applyBorder="1" applyAlignment="1">
      <alignment horizontal="left" vertical="center" wrapText="1" indent="3"/>
    </xf>
    <xf numFmtId="170" fontId="324" fillId="0" borderId="23" xfId="94" applyNumberFormat="1" applyFont="1" applyFill="1" applyBorder="1" applyAlignment="1" applyProtection="1">
      <alignment horizontal="right" vertical="center" wrapText="1"/>
    </xf>
    <xf numFmtId="0" fontId="326" fillId="0" borderId="36" xfId="69" applyFont="1" applyFill="1" applyBorder="1" applyAlignment="1">
      <alignment horizontal="left" vertical="center" wrapText="1" indent="2"/>
    </xf>
    <xf numFmtId="170" fontId="324" fillId="0" borderId="2" xfId="94" applyNumberFormat="1" applyFont="1" applyFill="1" applyBorder="1" applyAlignment="1" applyProtection="1">
      <alignment horizontal="right" vertical="center" wrapText="1"/>
    </xf>
    <xf numFmtId="49" fontId="327" fillId="0" borderId="36" xfId="69" applyNumberFormat="1" applyFont="1" applyFill="1" applyBorder="1" applyAlignment="1">
      <alignment horizontal="left" vertical="center" wrapText="1" indent="5"/>
    </xf>
    <xf numFmtId="170" fontId="328" fillId="0" borderId="2" xfId="94" applyNumberFormat="1" applyFont="1" applyFill="1" applyBorder="1" applyAlignment="1" applyProtection="1">
      <alignment horizontal="right" vertical="center" wrapText="1"/>
    </xf>
    <xf numFmtId="49" fontId="327" fillId="0" borderId="25" xfId="69" applyNumberFormat="1" applyFont="1" applyFill="1" applyBorder="1" applyAlignment="1">
      <alignment horizontal="left" vertical="center" wrapText="1" indent="5"/>
    </xf>
    <xf numFmtId="170" fontId="328" fillId="0" borderId="28" xfId="94" applyNumberFormat="1" applyFont="1" applyFill="1" applyBorder="1" applyAlignment="1" applyProtection="1">
      <alignment horizontal="right" vertical="center" wrapText="1"/>
    </xf>
    <xf numFmtId="177" fontId="111" fillId="5" borderId="0" xfId="21" applyNumberFormat="1" applyFont="1" applyFill="1" applyBorder="1" applyAlignment="1">
      <alignment horizontal="right" vertical="center" wrapText="1"/>
    </xf>
    <xf numFmtId="14" fontId="86" fillId="9" borderId="46" xfId="69" applyNumberFormat="1" applyFont="1" applyFill="1" applyBorder="1" applyAlignment="1" applyProtection="1">
      <alignment horizontal="center" vertical="center" wrapText="1"/>
    </xf>
    <xf numFmtId="178" fontId="4" fillId="0" borderId="0" xfId="40" applyNumberFormat="1" applyFont="1" applyFill="1" applyAlignment="1">
      <alignment vertical="center"/>
    </xf>
    <xf numFmtId="14" fontId="324" fillId="9" borderId="46" xfId="69" applyNumberFormat="1" applyFont="1" applyFill="1" applyBorder="1" applyAlignment="1" applyProtection="1">
      <alignment horizontal="center" vertical="center" wrapText="1"/>
    </xf>
    <xf numFmtId="170" fontId="324" fillId="0" borderId="78" xfId="94" applyNumberFormat="1" applyFont="1" applyFill="1" applyBorder="1" applyAlignment="1" applyProtection="1">
      <alignment horizontal="right" vertical="center" wrapText="1"/>
    </xf>
    <xf numFmtId="170" fontId="324" fillId="0" borderId="5" xfId="94" applyNumberFormat="1" applyFont="1" applyFill="1" applyBorder="1" applyAlignment="1" applyProtection="1">
      <alignment horizontal="right" vertical="center" wrapText="1"/>
    </xf>
    <xf numFmtId="170" fontId="328" fillId="0" borderId="5" xfId="94" applyNumberFormat="1" applyFont="1" applyFill="1" applyBorder="1" applyAlignment="1" applyProtection="1">
      <alignment horizontal="right" vertical="center" wrapText="1"/>
    </xf>
    <xf numFmtId="170" fontId="328" fillId="0" borderId="81" xfId="94" applyNumberFormat="1" applyFont="1" applyFill="1" applyBorder="1" applyAlignment="1" applyProtection="1">
      <alignment horizontal="right" vertical="center" wrapText="1"/>
    </xf>
    <xf numFmtId="0" fontId="5" fillId="9" borderId="1" xfId="0" applyFont="1" applyFill="1" applyBorder="1" applyAlignment="1">
      <alignment horizontal="center" vertical="center" wrapText="1"/>
    </xf>
    <xf numFmtId="0" fontId="4" fillId="9" borderId="1" xfId="0" applyFont="1" applyFill="1" applyBorder="1" applyAlignment="1">
      <alignment horizontal="center" vertical="center" wrapText="1"/>
    </xf>
    <xf numFmtId="0" fontId="25" fillId="0" borderId="3" xfId="22" applyNumberFormat="1" applyFont="1" applyBorder="1" applyAlignment="1">
      <alignment horizontal="center" vertical="center"/>
    </xf>
    <xf numFmtId="0" fontId="4" fillId="0" borderId="0" xfId="0" applyFont="1" applyFill="1" applyAlignment="1">
      <alignment vertical="center"/>
    </xf>
    <xf numFmtId="0" fontId="171" fillId="10" borderId="0" xfId="0" applyFont="1" applyFill="1" applyAlignment="1">
      <alignment horizontal="center" vertical="center"/>
    </xf>
    <xf numFmtId="0" fontId="5" fillId="9" borderId="7" xfId="0" applyFont="1" applyFill="1" applyBorder="1" applyAlignment="1">
      <alignment horizontal="center" vertical="center" wrapText="1"/>
    </xf>
    <xf numFmtId="0" fontId="4" fillId="9" borderId="7" xfId="0" applyFont="1" applyFill="1" applyBorder="1" applyAlignment="1">
      <alignment horizontal="center" vertical="center" wrapText="1"/>
    </xf>
    <xf numFmtId="49" fontId="17" fillId="0" borderId="5" xfId="26" applyNumberFormat="1" applyFont="1" applyFill="1" applyBorder="1" applyAlignment="1">
      <alignment horizontal="center" vertical="center"/>
    </xf>
    <xf numFmtId="166" fontId="5" fillId="0" borderId="49" xfId="26" applyNumberFormat="1" applyFont="1" applyFill="1" applyBorder="1" applyAlignment="1">
      <alignment horizontal="center" vertical="center"/>
    </xf>
    <xf numFmtId="166" fontId="5" fillId="0" borderId="0" xfId="26" applyNumberFormat="1" applyFont="1" applyFill="1" applyBorder="1" applyAlignment="1">
      <alignment horizontal="center" vertical="center"/>
    </xf>
    <xf numFmtId="166" fontId="5" fillId="0" borderId="4" xfId="26" applyNumberFormat="1" applyFont="1" applyFill="1" applyBorder="1" applyAlignment="1">
      <alignment horizontal="center" vertical="center" wrapText="1"/>
    </xf>
    <xf numFmtId="166" fontId="4" fillId="0" borderId="0" xfId="0" applyNumberFormat="1" applyFont="1" applyFill="1" applyAlignment="1">
      <alignment vertical="center"/>
    </xf>
    <xf numFmtId="49" fontId="17" fillId="0" borderId="1" xfId="26" applyNumberFormat="1" applyFont="1" applyFill="1" applyBorder="1" applyAlignment="1">
      <alignment horizontal="center" vertical="center"/>
    </xf>
    <xf numFmtId="166" fontId="5" fillId="0" borderId="1" xfId="26" applyNumberFormat="1" applyFont="1" applyFill="1" applyBorder="1" applyAlignment="1">
      <alignment horizontal="center" vertical="center"/>
    </xf>
    <xf numFmtId="166" fontId="5" fillId="0" borderId="1" xfId="26" applyNumberFormat="1" applyFont="1" applyFill="1" applyBorder="1" applyAlignment="1">
      <alignment horizontal="center" vertical="center" wrapText="1"/>
    </xf>
    <xf numFmtId="166" fontId="5" fillId="0" borderId="2" xfId="26" applyNumberFormat="1" applyFont="1" applyFill="1" applyBorder="1" applyAlignment="1">
      <alignment horizontal="center" vertical="center" wrapText="1"/>
    </xf>
    <xf numFmtId="166" fontId="4" fillId="0" borderId="2" xfId="26" applyNumberFormat="1" applyFont="1" applyFill="1" applyBorder="1" applyAlignment="1">
      <alignment horizontal="center" vertical="center" wrapText="1"/>
    </xf>
    <xf numFmtId="166" fontId="4" fillId="0" borderId="2" xfId="26" applyNumberFormat="1" applyFont="1" applyFill="1" applyBorder="1" applyAlignment="1">
      <alignment horizontal="center"/>
    </xf>
    <xf numFmtId="49" fontId="29" fillId="0" borderId="0" xfId="0" applyNumberFormat="1" applyFont="1" applyFill="1" applyBorder="1" applyAlignment="1">
      <alignment horizontal="right" vertical="center"/>
    </xf>
    <xf numFmtId="14" fontId="86" fillId="9" borderId="46" xfId="69" applyNumberFormat="1" applyFont="1" applyFill="1" applyBorder="1" applyAlignment="1" applyProtection="1">
      <alignment horizontal="center" vertical="center" wrapText="1"/>
    </xf>
    <xf numFmtId="178" fontId="122" fillId="0" borderId="0" xfId="40" applyNumberFormat="1" applyFont="1" applyFill="1"/>
    <xf numFmtId="14" fontId="324" fillId="9" borderId="39" xfId="69" applyNumberFormat="1" applyFont="1" applyFill="1" applyBorder="1" applyAlignment="1" applyProtection="1">
      <alignment horizontal="center" vertical="center" wrapText="1"/>
    </xf>
    <xf numFmtId="0" fontId="325" fillId="0" borderId="22" xfId="69" applyFont="1" applyFill="1" applyBorder="1" applyAlignment="1">
      <alignment horizontal="left" vertical="center" wrapText="1" indent="3"/>
    </xf>
    <xf numFmtId="0" fontId="326" fillId="0" borderId="24" xfId="69" applyFont="1" applyFill="1" applyBorder="1" applyAlignment="1">
      <alignment horizontal="left" vertical="center" wrapText="1" indent="2"/>
    </xf>
    <xf numFmtId="49" fontId="327" fillId="0" borderId="24" xfId="69" applyNumberFormat="1" applyFont="1" applyFill="1" applyBorder="1" applyAlignment="1">
      <alignment horizontal="left" vertical="center" wrapText="1" indent="5"/>
    </xf>
    <xf numFmtId="49" fontId="327" fillId="0" borderId="27" xfId="69" applyNumberFormat="1" applyFont="1" applyFill="1" applyBorder="1" applyAlignment="1">
      <alignment horizontal="left" vertical="center" wrapText="1" indent="5"/>
    </xf>
    <xf numFmtId="14" fontId="86" fillId="9" borderId="46" xfId="69" applyNumberFormat="1" applyFont="1" applyFill="1" applyBorder="1" applyAlignment="1" applyProtection="1">
      <alignment horizontal="center" vertical="center" wrapText="1"/>
    </xf>
    <xf numFmtId="14" fontId="86" fillId="9" borderId="45" xfId="69" applyNumberFormat="1" applyFont="1" applyFill="1" applyBorder="1" applyAlignment="1" applyProtection="1">
      <alignment horizontal="center" vertical="center" wrapText="1"/>
    </xf>
    <xf numFmtId="3" fontId="127" fillId="3" borderId="128" xfId="27" applyNumberFormat="1" applyFont="1" applyFill="1" applyBorder="1" applyAlignment="1">
      <alignment horizontal="center" vertical="center" wrapText="1"/>
    </xf>
    <xf numFmtId="3" fontId="127" fillId="3" borderId="130" xfId="27" applyNumberFormat="1" applyFont="1" applyFill="1" applyBorder="1" applyAlignment="1">
      <alignment horizontal="center" vertical="center" wrapText="1"/>
    </xf>
    <xf numFmtId="166" fontId="148" fillId="0" borderId="152" xfId="22" applyNumberFormat="1" applyFont="1" applyFill="1" applyBorder="1" applyAlignment="1">
      <alignment horizontal="center" vertical="center"/>
    </xf>
    <xf numFmtId="166" fontId="24" fillId="0" borderId="152" xfId="22" applyNumberFormat="1" applyFont="1" applyFill="1" applyBorder="1" applyAlignment="1">
      <alignment horizontal="center" vertical="center"/>
    </xf>
    <xf numFmtId="0" fontId="26" fillId="0" borderId="73" xfId="36" applyFont="1" applyFill="1" applyBorder="1" applyAlignment="1">
      <alignment horizontal="left" vertical="center" wrapText="1" indent="3"/>
    </xf>
    <xf numFmtId="166" fontId="4" fillId="0" borderId="2" xfId="102" applyNumberFormat="1" applyFont="1" applyFill="1" applyBorder="1" applyAlignment="1">
      <alignment horizontal="center" vertical="center" wrapText="1"/>
    </xf>
    <xf numFmtId="2" fontId="4" fillId="0" borderId="2" xfId="102" applyNumberFormat="1" applyFont="1" applyFill="1" applyBorder="1" applyAlignment="1">
      <alignment horizontal="center" vertical="center" wrapText="1"/>
    </xf>
    <xf numFmtId="49" fontId="17" fillId="0" borderId="2" xfId="102" applyNumberFormat="1" applyFont="1" applyFill="1" applyBorder="1" applyAlignment="1">
      <alignment horizontal="center" vertical="center"/>
    </xf>
    <xf numFmtId="49" fontId="17" fillId="0" borderId="3" xfId="102" applyNumberFormat="1" applyFont="1" applyFill="1" applyBorder="1" applyAlignment="1">
      <alignment horizontal="center" vertical="center"/>
    </xf>
    <xf numFmtId="166" fontId="4" fillId="0" borderId="3" xfId="102" applyNumberFormat="1" applyFont="1" applyFill="1" applyBorder="1" applyAlignment="1">
      <alignment horizontal="center" vertical="center" wrapText="1"/>
    </xf>
    <xf numFmtId="2" fontId="4" fillId="0" borderId="3" xfId="102" applyNumberFormat="1" applyFont="1" applyFill="1" applyBorder="1" applyAlignment="1">
      <alignment horizontal="center" vertical="center" wrapText="1"/>
    </xf>
    <xf numFmtId="49" fontId="17" fillId="0" borderId="2" xfId="26" applyNumberFormat="1" applyFont="1" applyFill="1" applyBorder="1" applyAlignment="1">
      <alignment horizontal="center" vertical="center"/>
    </xf>
    <xf numFmtId="166" fontId="4" fillId="0" borderId="2" xfId="26" applyNumberFormat="1" applyFont="1" applyFill="1" applyBorder="1" applyAlignment="1">
      <alignment horizontal="center" vertical="center"/>
    </xf>
    <xf numFmtId="166" fontId="4" fillId="0" borderId="2" xfId="26" applyNumberFormat="1" applyFont="1" applyFill="1" applyBorder="1" applyAlignment="1">
      <alignment horizontal="center" vertical="center" wrapText="1"/>
    </xf>
    <xf numFmtId="49" fontId="17" fillId="0" borderId="3" xfId="26" applyNumberFormat="1" applyFont="1" applyFill="1" applyBorder="1" applyAlignment="1">
      <alignment horizontal="center" vertical="center"/>
    </xf>
    <xf numFmtId="166" fontId="4" fillId="0" borderId="3" xfId="26" applyNumberFormat="1" applyFont="1" applyFill="1" applyBorder="1" applyAlignment="1">
      <alignment horizontal="center" vertical="center"/>
    </xf>
    <xf numFmtId="166" fontId="4" fillId="0" borderId="3" xfId="26" applyNumberFormat="1" applyFont="1" applyFill="1" applyBorder="1" applyAlignment="1">
      <alignment horizontal="center" vertical="center" wrapText="1"/>
    </xf>
    <xf numFmtId="166" fontId="4" fillId="0" borderId="2" xfId="2318" applyNumberFormat="1" applyFont="1" applyFill="1" applyBorder="1" applyAlignment="1">
      <alignment horizontal="center" vertical="center" wrapText="1"/>
    </xf>
    <xf numFmtId="49" fontId="17" fillId="0" borderId="2" xfId="2318" applyNumberFormat="1" applyFont="1" applyFill="1" applyBorder="1" applyAlignment="1">
      <alignment horizontal="center" vertical="center"/>
    </xf>
    <xf numFmtId="49" fontId="17" fillId="0" borderId="3" xfId="2318" applyNumberFormat="1" applyFont="1" applyFill="1" applyBorder="1" applyAlignment="1">
      <alignment horizontal="center" vertical="center"/>
    </xf>
    <xf numFmtId="166" fontId="4" fillId="0" borderId="3" xfId="2318" applyNumberFormat="1" applyFont="1" applyFill="1" applyBorder="1" applyAlignment="1">
      <alignment horizontal="center" vertical="center" wrapText="1"/>
    </xf>
    <xf numFmtId="14" fontId="86" fillId="9" borderId="46" xfId="69" applyNumberFormat="1" applyFont="1" applyFill="1" applyBorder="1" applyAlignment="1" applyProtection="1">
      <alignment horizontal="center" vertical="center" wrapText="1"/>
    </xf>
    <xf numFmtId="166" fontId="8" fillId="0" borderId="2" xfId="0" applyNumberFormat="1" applyFont="1" applyFill="1" applyBorder="1" applyAlignment="1">
      <alignment horizontal="center" vertical="center"/>
    </xf>
    <xf numFmtId="168" fontId="8" fillId="0" borderId="2" xfId="0" applyNumberFormat="1" applyFont="1" applyFill="1" applyBorder="1" applyAlignment="1">
      <alignment horizontal="center" vertical="center"/>
    </xf>
    <xf numFmtId="168" fontId="7" fillId="0" borderId="2" xfId="0" applyNumberFormat="1" applyFont="1" applyFill="1" applyBorder="1" applyAlignment="1">
      <alignment horizontal="center" vertical="center"/>
    </xf>
    <xf numFmtId="198" fontId="122" fillId="0" borderId="0" xfId="69" applyNumberFormat="1" applyFont="1" applyFill="1"/>
    <xf numFmtId="199" fontId="122" fillId="0" borderId="0" xfId="69" applyNumberFormat="1" applyFont="1" applyFill="1"/>
    <xf numFmtId="0" fontId="347" fillId="0" borderId="20" xfId="69" applyFont="1" applyFill="1" applyBorder="1" applyAlignment="1" applyProtection="1">
      <alignment horizontal="left" vertical="center" wrapText="1"/>
    </xf>
    <xf numFmtId="170" fontId="347" fillId="0" borderId="23" xfId="94" applyNumberFormat="1" applyFont="1" applyFill="1" applyBorder="1" applyAlignment="1">
      <alignment horizontal="right" vertical="center"/>
    </xf>
    <xf numFmtId="170" fontId="347" fillId="0" borderId="78" xfId="94" applyNumberFormat="1" applyFont="1" applyFill="1" applyBorder="1" applyAlignment="1">
      <alignment horizontal="right" vertical="center"/>
    </xf>
    <xf numFmtId="0" fontId="347" fillId="0" borderId="21" xfId="69" applyFont="1" applyFill="1" applyBorder="1" applyAlignment="1" applyProtection="1">
      <alignment horizontal="left" vertical="center" wrapText="1"/>
    </xf>
    <xf numFmtId="0" fontId="347" fillId="0" borderId="36" xfId="69" applyFont="1" applyFill="1" applyBorder="1" applyAlignment="1" applyProtection="1">
      <alignment horizontal="left" vertical="center" wrapText="1" indent="2"/>
    </xf>
    <xf numFmtId="170" fontId="347" fillId="0" borderId="2" xfId="94" applyNumberFormat="1" applyFont="1" applyFill="1" applyBorder="1" applyAlignment="1">
      <alignment horizontal="right" vertical="center"/>
    </xf>
    <xf numFmtId="170" fontId="347" fillId="0" borderId="5" xfId="94" applyNumberFormat="1" applyFont="1" applyFill="1" applyBorder="1" applyAlignment="1">
      <alignment horizontal="right" vertical="center"/>
    </xf>
    <xf numFmtId="0" fontId="347" fillId="0" borderId="4" xfId="69" applyFont="1" applyFill="1" applyBorder="1" applyAlignment="1" applyProtection="1">
      <alignment horizontal="left" vertical="center" wrapText="1" indent="2"/>
    </xf>
    <xf numFmtId="0" fontId="347" fillId="0" borderId="36" xfId="69" applyFont="1" applyFill="1" applyBorder="1" applyAlignment="1" applyProtection="1">
      <alignment horizontal="left" vertical="center" wrapText="1"/>
    </xf>
    <xf numFmtId="0" fontId="347" fillId="0" borderId="4" xfId="69" applyFont="1" applyFill="1" applyBorder="1" applyAlignment="1" applyProtection="1">
      <alignment horizontal="left" vertical="center" wrapText="1"/>
    </xf>
    <xf numFmtId="2" fontId="347" fillId="0" borderId="2" xfId="94" applyNumberFormat="1" applyFont="1" applyFill="1" applyBorder="1" applyAlignment="1">
      <alignment horizontal="right" vertical="center"/>
    </xf>
    <xf numFmtId="166" fontId="347" fillId="0" borderId="2" xfId="94" applyNumberFormat="1" applyFont="1" applyFill="1" applyBorder="1" applyAlignment="1">
      <alignment horizontal="right" vertical="center"/>
    </xf>
    <xf numFmtId="173" fontId="347" fillId="0" borderId="2" xfId="94" applyNumberFormat="1" applyFont="1" applyFill="1" applyBorder="1" applyAlignment="1">
      <alignment horizontal="right" vertical="center"/>
    </xf>
    <xf numFmtId="173" fontId="347" fillId="0" borderId="5" xfId="94" applyNumberFormat="1" applyFont="1" applyFill="1" applyBorder="1" applyAlignment="1">
      <alignment horizontal="right" vertical="center"/>
    </xf>
    <xf numFmtId="0" fontId="347" fillId="0" borderId="116" xfId="69" applyFont="1" applyFill="1" applyBorder="1" applyAlignment="1" applyProtection="1">
      <alignment horizontal="left" vertical="center" wrapText="1"/>
    </xf>
    <xf numFmtId="170" fontId="347" fillId="0" borderId="117" xfId="94" applyNumberFormat="1" applyFont="1" applyFill="1" applyBorder="1" applyAlignment="1">
      <alignment horizontal="right" vertical="center"/>
    </xf>
    <xf numFmtId="170" fontId="347" fillId="0" borderId="118" xfId="94" applyNumberFormat="1" applyFont="1" applyFill="1" applyBorder="1" applyAlignment="1">
      <alignment horizontal="right" vertical="center"/>
    </xf>
    <xf numFmtId="0" fontId="347" fillId="0" borderId="117" xfId="69" applyFont="1" applyFill="1" applyBorder="1" applyAlignment="1" applyProtection="1">
      <alignment horizontal="left" vertical="center" wrapText="1"/>
    </xf>
    <xf numFmtId="0" fontId="17" fillId="9" borderId="6" xfId="0" applyFont="1" applyFill="1" applyBorder="1" applyAlignment="1">
      <alignment horizontal="center" vertical="center" wrapText="1"/>
    </xf>
    <xf numFmtId="0" fontId="4" fillId="9" borderId="6" xfId="0" applyFont="1" applyFill="1" applyBorder="1" applyAlignment="1">
      <alignment horizontal="center" vertical="center" wrapText="1"/>
    </xf>
    <xf numFmtId="0" fontId="43" fillId="9" borderId="6" xfId="0" applyFont="1" applyFill="1" applyBorder="1" applyAlignment="1">
      <alignment horizontal="center" vertical="center" wrapText="1"/>
    </xf>
    <xf numFmtId="0" fontId="18" fillId="9" borderId="6" xfId="0" applyFont="1" applyFill="1" applyBorder="1" applyAlignment="1">
      <alignment horizontal="center" vertical="center" wrapText="1"/>
    </xf>
    <xf numFmtId="0" fontId="17" fillId="9" borderId="6" xfId="26" applyFont="1" applyFill="1" applyBorder="1" applyAlignment="1">
      <alignment horizontal="center" vertical="center" wrapText="1"/>
    </xf>
    <xf numFmtId="0" fontId="18" fillId="9" borderId="6" xfId="26" applyFont="1" applyFill="1" applyBorder="1" applyAlignment="1">
      <alignment horizontal="center" vertical="center" wrapText="1"/>
    </xf>
    <xf numFmtId="0" fontId="44" fillId="9" borderId="6" xfId="0" applyFont="1" applyFill="1" applyBorder="1" applyAlignment="1">
      <alignment horizontal="center" vertical="center" wrapText="1"/>
    </xf>
    <xf numFmtId="0" fontId="43" fillId="9" borderId="9" xfId="0" applyFont="1" applyFill="1" applyBorder="1" applyAlignment="1">
      <alignment horizontal="center" vertical="center"/>
    </xf>
    <xf numFmtId="0" fontId="43" fillId="9" borderId="10" xfId="0" applyFont="1" applyFill="1" applyBorder="1" applyAlignment="1">
      <alignment horizontal="center" vertical="center"/>
    </xf>
    <xf numFmtId="0" fontId="43" fillId="9" borderId="11" xfId="0" applyFont="1" applyFill="1" applyBorder="1" applyAlignment="1">
      <alignment horizontal="center" vertical="center"/>
    </xf>
    <xf numFmtId="0" fontId="138" fillId="9" borderId="57" xfId="22" applyFont="1" applyFill="1" applyBorder="1" applyAlignment="1">
      <alignment horizontal="center" vertical="center" wrapText="1"/>
    </xf>
    <xf numFmtId="0" fontId="103" fillId="0" borderId="0" xfId="0" applyFont="1" applyAlignment="1">
      <alignment vertical="center"/>
    </xf>
    <xf numFmtId="0" fontId="104" fillId="0" borderId="0" xfId="0" applyFont="1" applyAlignment="1">
      <alignment vertical="center"/>
    </xf>
    <xf numFmtId="0" fontId="157" fillId="3" borderId="0" xfId="0" applyFont="1" applyFill="1" applyAlignment="1">
      <alignment vertical="center"/>
    </xf>
    <xf numFmtId="0" fontId="224" fillId="3" borderId="0" xfId="0" applyFont="1" applyFill="1" applyAlignment="1">
      <alignment vertical="justify"/>
    </xf>
    <xf numFmtId="0" fontId="157" fillId="0" borderId="0" xfId="0" applyFont="1" applyAlignment="1">
      <alignment vertical="center"/>
    </xf>
    <xf numFmtId="0" fontId="312" fillId="0" borderId="0" xfId="0" applyFont="1" applyAlignment="1">
      <alignment vertical="center"/>
    </xf>
    <xf numFmtId="166" fontId="4" fillId="0" borderId="2" xfId="0" applyNumberFormat="1" applyFont="1" applyBorder="1" applyAlignment="1">
      <alignment horizontal="center" vertical="center"/>
    </xf>
    <xf numFmtId="166" fontId="18" fillId="0" borderId="2" xfId="0" applyNumberFormat="1" applyFont="1" applyBorder="1" applyAlignment="1">
      <alignment horizontal="center" vertical="center"/>
    </xf>
    <xf numFmtId="166" fontId="103" fillId="0" borderId="2" xfId="0" applyNumberFormat="1" applyFont="1" applyBorder="1" applyAlignment="1">
      <alignment horizontal="center" vertical="center"/>
    </xf>
    <xf numFmtId="49" fontId="17" fillId="0" borderId="2" xfId="0" applyNumberFormat="1" applyFont="1" applyBorder="1" applyAlignment="1">
      <alignment horizontal="center" vertical="center"/>
    </xf>
    <xf numFmtId="166" fontId="5" fillId="0" borderId="2" xfId="0" applyNumberFormat="1" applyFont="1" applyBorder="1" applyAlignment="1">
      <alignment horizontal="center" vertical="center"/>
    </xf>
    <xf numFmtId="166" fontId="112" fillId="0" borderId="2" xfId="0" applyNumberFormat="1" applyFont="1" applyBorder="1" applyAlignment="1">
      <alignment horizontal="center" vertical="center"/>
    </xf>
    <xf numFmtId="166" fontId="17" fillId="0" borderId="2" xfId="0" applyNumberFormat="1" applyFont="1" applyBorder="1" applyAlignment="1">
      <alignment horizontal="center" vertical="center"/>
    </xf>
    <xf numFmtId="166" fontId="112" fillId="0" borderId="2" xfId="0" applyNumberFormat="1" applyFont="1" applyBorder="1" applyAlignment="1">
      <alignment horizontal="center"/>
    </xf>
    <xf numFmtId="0" fontId="104" fillId="0" borderId="2" xfId="0" applyFont="1" applyBorder="1" applyAlignment="1">
      <alignment horizontal="center" vertical="center"/>
    </xf>
    <xf numFmtId="49" fontId="5" fillId="0" borderId="2" xfId="0" applyNumberFormat="1" applyFont="1" applyBorder="1" applyAlignment="1">
      <alignment horizontal="center" vertical="center"/>
    </xf>
    <xf numFmtId="166" fontId="17" fillId="0" borderId="1" xfId="0" applyNumberFormat="1" applyFont="1" applyBorder="1" applyAlignment="1">
      <alignment horizontal="center" vertical="center"/>
    </xf>
    <xf numFmtId="49" fontId="17" fillId="0" borderId="1" xfId="0" applyNumberFormat="1" applyFont="1" applyBorder="1" applyAlignment="1">
      <alignment horizontal="center" vertical="center"/>
    </xf>
    <xf numFmtId="166" fontId="17" fillId="0" borderId="0" xfId="0" applyNumberFormat="1" applyFont="1" applyAlignment="1">
      <alignment vertical="center"/>
    </xf>
    <xf numFmtId="49" fontId="17" fillId="0" borderId="5" xfId="0" applyNumberFormat="1" applyFont="1" applyBorder="1" applyAlignment="1">
      <alignment horizontal="center" vertical="center"/>
    </xf>
    <xf numFmtId="0" fontId="103" fillId="4" borderId="0" xfId="0" applyFont="1" applyFill="1" applyAlignment="1">
      <alignment vertical="center"/>
    </xf>
    <xf numFmtId="0" fontId="17" fillId="0" borderId="5" xfId="0" applyFont="1" applyBorder="1" applyAlignment="1">
      <alignment horizontal="center" vertical="center"/>
    </xf>
    <xf numFmtId="166" fontId="18" fillId="0" borderId="0" xfId="0" applyNumberFormat="1" applyFont="1" applyAlignment="1">
      <alignment vertical="center"/>
    </xf>
    <xf numFmtId="1" fontId="18" fillId="0" borderId="0" xfId="0" applyNumberFormat="1" applyFont="1" applyAlignment="1">
      <alignment vertical="center"/>
    </xf>
    <xf numFmtId="0" fontId="17" fillId="0" borderId="5" xfId="0" applyFont="1" applyBorder="1" applyAlignment="1">
      <alignment vertical="center"/>
    </xf>
    <xf numFmtId="0" fontId="18" fillId="0" borderId="163" xfId="0" applyFont="1" applyBorder="1" applyAlignment="1">
      <alignment vertical="center"/>
    </xf>
    <xf numFmtId="166" fontId="18" fillId="0" borderId="163" xfId="0" applyNumberFormat="1" applyFont="1" applyBorder="1" applyAlignment="1">
      <alignment vertical="center"/>
    </xf>
    <xf numFmtId="1" fontId="18" fillId="0" borderId="163" xfId="0" applyNumberFormat="1" applyFont="1" applyBorder="1" applyAlignment="1">
      <alignment vertical="center"/>
    </xf>
    <xf numFmtId="0" fontId="17" fillId="0" borderId="7" xfId="0" applyFont="1" applyBorder="1" applyAlignment="1">
      <alignment vertical="center"/>
    </xf>
    <xf numFmtId="0" fontId="5" fillId="4" borderId="0" xfId="0" applyFont="1" applyFill="1" applyAlignment="1">
      <alignment vertical="center"/>
    </xf>
    <xf numFmtId="0" fontId="5" fillId="0" borderId="0" xfId="0" applyFont="1" applyAlignment="1">
      <alignment vertical="center"/>
    </xf>
    <xf numFmtId="0" fontId="171" fillId="11" borderId="0" xfId="0" applyFont="1" applyFill="1" applyAlignment="1">
      <alignment horizontal="center" vertical="center"/>
    </xf>
    <xf numFmtId="0" fontId="103" fillId="0" borderId="0" xfId="0" applyFont="1"/>
    <xf numFmtId="0" fontId="139" fillId="0" borderId="126" xfId="22" applyFont="1" applyBorder="1" applyAlignment="1">
      <alignment horizontal="left" vertical="center" wrapText="1" indent="2"/>
    </xf>
    <xf numFmtId="0" fontId="165" fillId="10" borderId="0" xfId="0" applyFont="1" applyFill="1" applyAlignment="1">
      <alignment horizontal="center" vertical="center"/>
    </xf>
    <xf numFmtId="0" fontId="156" fillId="0" borderId="0" xfId="0" applyFont="1" applyAlignment="1">
      <alignment vertical="center"/>
    </xf>
    <xf numFmtId="2" fontId="103" fillId="0" borderId="0" xfId="0" applyNumberFormat="1" applyFont="1" applyAlignment="1">
      <alignment vertical="center"/>
    </xf>
    <xf numFmtId="49" fontId="103" fillId="0" borderId="0" xfId="0" applyNumberFormat="1" applyFont="1" applyAlignment="1">
      <alignment vertical="center"/>
    </xf>
    <xf numFmtId="49" fontId="103" fillId="0" borderId="163" xfId="0" applyNumberFormat="1" applyFont="1" applyBorder="1" applyAlignment="1">
      <alignment vertical="center"/>
    </xf>
    <xf numFmtId="0" fontId="18" fillId="0" borderId="19" xfId="0" applyFont="1" applyBorder="1" applyAlignment="1">
      <alignment horizontal="center" vertical="center"/>
    </xf>
    <xf numFmtId="0" fontId="18" fillId="0" borderId="3" xfId="0" applyFont="1" applyBorder="1" applyAlignment="1">
      <alignment horizontal="center" vertical="center"/>
    </xf>
    <xf numFmtId="0" fontId="18" fillId="0" borderId="2" xfId="0" applyFont="1" applyBorder="1" applyAlignment="1">
      <alignment horizontal="center" vertical="center"/>
    </xf>
    <xf numFmtId="49" fontId="4" fillId="0" borderId="2" xfId="0" applyNumberFormat="1" applyFont="1" applyBorder="1" applyAlignment="1">
      <alignment horizontal="center" vertical="center"/>
    </xf>
    <xf numFmtId="0" fontId="18" fillId="0" borderId="4" xfId="0" applyFont="1" applyBorder="1" applyAlignment="1">
      <alignment horizontal="center" vertical="center"/>
    </xf>
    <xf numFmtId="0" fontId="5" fillId="0" borderId="2" xfId="0" applyFont="1" applyBorder="1" applyAlignment="1">
      <alignment horizontal="center" vertical="center"/>
    </xf>
    <xf numFmtId="0" fontId="4" fillId="0" borderId="2" xfId="0" applyFont="1" applyBorder="1" applyAlignment="1">
      <alignment horizontal="center" vertical="center"/>
    </xf>
    <xf numFmtId="0" fontId="5" fillId="0" borderId="4" xfId="0" applyFont="1" applyBorder="1" applyAlignment="1">
      <alignment horizontal="center" vertical="center"/>
    </xf>
    <xf numFmtId="0" fontId="5" fillId="0" borderId="4" xfId="0" applyFont="1" applyBorder="1" applyAlignment="1">
      <alignment horizontal="center"/>
    </xf>
    <xf numFmtId="0" fontId="5" fillId="0" borderId="2" xfId="0" applyFont="1" applyBorder="1" applyAlignment="1">
      <alignment horizontal="center"/>
    </xf>
    <xf numFmtId="0" fontId="17" fillId="0" borderId="2" xfId="0" applyFont="1" applyBorder="1" applyAlignment="1">
      <alignment horizontal="center" vertical="center"/>
    </xf>
    <xf numFmtId="0" fontId="17" fillId="0" borderId="1" xfId="0" applyFont="1" applyBorder="1" applyAlignment="1">
      <alignment horizontal="center" vertical="center"/>
    </xf>
    <xf numFmtId="0" fontId="17" fillId="0" borderId="1" xfId="0" applyFont="1" applyBorder="1" applyAlignment="1">
      <alignment horizontal="center" vertical="center" wrapText="1"/>
    </xf>
    <xf numFmtId="1" fontId="85" fillId="12" borderId="0" xfId="22" applyNumberFormat="1" applyFont="1" applyFill="1"/>
    <xf numFmtId="1" fontId="85" fillId="0" borderId="0" xfId="22" applyNumberFormat="1" applyFont="1"/>
    <xf numFmtId="0" fontId="46" fillId="0" borderId="0" xfId="22" applyFont="1"/>
    <xf numFmtId="0" fontId="217" fillId="3" borderId="0" xfId="0" applyFont="1" applyFill="1" applyAlignment="1">
      <alignment vertical="center"/>
    </xf>
    <xf numFmtId="0" fontId="9" fillId="0" borderId="145" xfId="22" applyFont="1" applyBorder="1" applyAlignment="1">
      <alignment vertical="center"/>
    </xf>
    <xf numFmtId="0" fontId="9" fillId="0" borderId="143" xfId="22" applyFont="1" applyBorder="1" applyAlignment="1">
      <alignment vertical="center"/>
    </xf>
    <xf numFmtId="0" fontId="9" fillId="0" borderId="133" xfId="22" applyFont="1" applyBorder="1" applyAlignment="1">
      <alignment vertical="center"/>
    </xf>
    <xf numFmtId="0" fontId="9" fillId="0" borderId="131" xfId="22" applyFont="1" applyBorder="1" applyAlignment="1">
      <alignment vertical="center"/>
    </xf>
    <xf numFmtId="0" fontId="9" fillId="0" borderId="133" xfId="22" applyFont="1" applyBorder="1" applyAlignment="1">
      <alignment vertical="center" wrapText="1"/>
    </xf>
    <xf numFmtId="0" fontId="9" fillId="0" borderId="131" xfId="22" applyFont="1" applyBorder="1" applyAlignment="1">
      <alignment vertical="center" wrapText="1"/>
    </xf>
    <xf numFmtId="0" fontId="9" fillId="3" borderId="133" xfId="22" applyFont="1" applyFill="1" applyBorder="1" applyAlignment="1">
      <alignment vertical="center" wrapText="1"/>
    </xf>
    <xf numFmtId="0" fontId="25" fillId="0" borderId="133" xfId="22" applyFont="1" applyBorder="1" applyAlignment="1">
      <alignment horizontal="center" vertical="center"/>
    </xf>
    <xf numFmtId="0" fontId="25" fillId="0" borderId="131" xfId="22" applyFont="1" applyBorder="1" applyAlignment="1">
      <alignment horizontal="center" vertical="center"/>
    </xf>
    <xf numFmtId="1" fontId="42" fillId="9" borderId="57" xfId="0" applyNumberFormat="1" applyFont="1" applyFill="1" applyBorder="1" applyAlignment="1">
      <alignment horizontal="center" vertical="center" wrapText="1"/>
    </xf>
    <xf numFmtId="1" fontId="52" fillId="9" borderId="57" xfId="22" applyNumberFormat="1" applyFont="1" applyFill="1" applyBorder="1" applyAlignment="1">
      <alignment horizontal="center" vertical="center" wrapText="1"/>
    </xf>
    <xf numFmtId="0" fontId="165" fillId="11" borderId="0" xfId="22" applyFont="1" applyFill="1" applyAlignment="1">
      <alignment vertical="center"/>
    </xf>
    <xf numFmtId="0" fontId="165" fillId="11" borderId="0" xfId="22" applyFont="1" applyFill="1" applyAlignment="1">
      <alignment horizontal="center" vertical="center"/>
    </xf>
    <xf numFmtId="0" fontId="163" fillId="11" borderId="0" xfId="22" applyFont="1" applyFill="1" applyAlignment="1">
      <alignment horizontal="center" vertical="center"/>
    </xf>
    <xf numFmtId="0" fontId="209" fillId="10" borderId="0" xfId="26" applyFont="1" applyFill="1" applyAlignment="1">
      <alignment vertical="center"/>
    </xf>
    <xf numFmtId="0" fontId="209" fillId="10" borderId="0" xfId="26" applyFont="1" applyFill="1" applyAlignment="1">
      <alignment horizontal="center" vertical="center"/>
    </xf>
    <xf numFmtId="1" fontId="103" fillId="0" borderId="0" xfId="0" applyNumberFormat="1" applyFont="1" applyAlignment="1">
      <alignment vertical="center"/>
    </xf>
    <xf numFmtId="0" fontId="226" fillId="3" borderId="0" xfId="0" applyFont="1" applyFill="1" applyAlignment="1">
      <alignment horizontal="left" vertical="justify"/>
    </xf>
    <xf numFmtId="1" fontId="226" fillId="3" borderId="0" xfId="0" applyNumberFormat="1" applyFont="1" applyFill="1" applyAlignment="1">
      <alignment horizontal="left" vertical="center"/>
    </xf>
    <xf numFmtId="1" fontId="18" fillId="0" borderId="3" xfId="0" applyNumberFormat="1" applyFont="1" applyBorder="1" applyAlignment="1">
      <alignment horizontal="center" vertical="center"/>
    </xf>
    <xf numFmtId="1" fontId="18" fillId="0" borderId="3" xfId="26" applyNumberFormat="1" applyFont="1" applyBorder="1" applyAlignment="1">
      <alignment horizontal="center" vertical="center"/>
    </xf>
    <xf numFmtId="2" fontId="18" fillId="0" borderId="3" xfId="26" applyNumberFormat="1" applyFont="1" applyBorder="1" applyAlignment="1">
      <alignment horizontal="center" vertical="center"/>
    </xf>
    <xf numFmtId="166" fontId="18" fillId="0" borderId="3" xfId="26" applyNumberFormat="1" applyFont="1" applyBorder="1" applyAlignment="1">
      <alignment horizontal="center" vertical="center"/>
    </xf>
    <xf numFmtId="1" fontId="103" fillId="0" borderId="3" xfId="0" applyNumberFormat="1" applyFont="1" applyBorder="1" applyAlignment="1">
      <alignment horizontal="center" vertical="center"/>
    </xf>
    <xf numFmtId="49" fontId="17" fillId="0" borderId="3" xfId="26" applyNumberFormat="1" applyFont="1" applyBorder="1" applyAlignment="1">
      <alignment horizontal="center" vertical="center"/>
    </xf>
    <xf numFmtId="1" fontId="103" fillId="0" borderId="2" xfId="0" applyNumberFormat="1" applyFont="1" applyBorder="1" applyAlignment="1">
      <alignment horizontal="center" vertical="center"/>
    </xf>
    <xf numFmtId="1" fontId="18" fillId="0" borderId="2" xfId="26" applyNumberFormat="1" applyFont="1" applyBorder="1" applyAlignment="1">
      <alignment horizontal="center" vertical="center"/>
    </xf>
    <xf numFmtId="2" fontId="18" fillId="0" borderId="2" xfId="26" applyNumberFormat="1" applyFont="1" applyBorder="1" applyAlignment="1">
      <alignment horizontal="center" vertical="center"/>
    </xf>
    <xf numFmtId="166" fontId="18" fillId="0" borderId="2" xfId="26" applyNumberFormat="1" applyFont="1" applyBorder="1" applyAlignment="1">
      <alignment horizontal="center" vertical="center"/>
    </xf>
    <xf numFmtId="2" fontId="103" fillId="0" borderId="2" xfId="0" applyNumberFormat="1" applyFont="1" applyBorder="1" applyAlignment="1">
      <alignment horizontal="center" vertical="center"/>
    </xf>
    <xf numFmtId="49" fontId="17" fillId="0" borderId="2" xfId="26" applyNumberFormat="1" applyFont="1" applyBorder="1" applyAlignment="1">
      <alignment horizontal="center" vertical="center"/>
    </xf>
    <xf numFmtId="1" fontId="112" fillId="0" borderId="2" xfId="0" applyNumberFormat="1" applyFont="1" applyBorder="1" applyAlignment="1">
      <alignment horizontal="center" vertical="center"/>
    </xf>
    <xf numFmtId="49" fontId="5" fillId="0" borderId="2" xfId="26" applyNumberFormat="1" applyFont="1" applyBorder="1" applyAlignment="1">
      <alignment horizontal="center" vertical="center"/>
    </xf>
    <xf numFmtId="1" fontId="18" fillId="0" borderId="2" xfId="0" applyNumberFormat="1" applyFont="1" applyBorder="1" applyAlignment="1">
      <alignment horizontal="center" vertical="center"/>
    </xf>
    <xf numFmtId="1" fontId="4" fillId="0" borderId="2" xfId="0" applyNumberFormat="1" applyFont="1" applyBorder="1" applyAlignment="1">
      <alignment horizontal="center" vertical="center"/>
    </xf>
    <xf numFmtId="1" fontId="5" fillId="0" borderId="2" xfId="26" applyNumberFormat="1" applyFont="1" applyBorder="1" applyAlignment="1">
      <alignment horizontal="center" vertical="center"/>
    </xf>
    <xf numFmtId="2" fontId="5" fillId="0" borderId="2" xfId="26" applyNumberFormat="1" applyFont="1" applyBorder="1" applyAlignment="1">
      <alignment horizontal="center" vertical="center"/>
    </xf>
    <xf numFmtId="166" fontId="5" fillId="0" borderId="2" xfId="26" applyNumberFormat="1" applyFont="1" applyBorder="1" applyAlignment="1">
      <alignment horizontal="center" vertical="center"/>
    </xf>
    <xf numFmtId="2" fontId="112" fillId="0" borderId="2" xfId="0" applyNumberFormat="1" applyFont="1" applyBorder="1" applyAlignment="1">
      <alignment horizontal="center" vertical="center"/>
    </xf>
    <xf numFmtId="2" fontId="18" fillId="0" borderId="2" xfId="0" applyNumberFormat="1" applyFont="1" applyBorder="1" applyAlignment="1">
      <alignment horizontal="center" vertical="center"/>
    </xf>
    <xf numFmtId="2" fontId="45" fillId="0" borderId="2" xfId="0" applyNumberFormat="1" applyFont="1" applyBorder="1" applyAlignment="1">
      <alignment horizontal="center" vertical="center"/>
    </xf>
    <xf numFmtId="1" fontId="45" fillId="0" borderId="2" xfId="0" applyNumberFormat="1" applyFont="1" applyBorder="1" applyAlignment="1">
      <alignment horizontal="center" vertical="center"/>
    </xf>
    <xf numFmtId="1" fontId="62" fillId="0" borderId="2" xfId="0" applyNumberFormat="1" applyFont="1" applyBorder="1" applyAlignment="1">
      <alignment horizontal="center" vertical="center"/>
    </xf>
    <xf numFmtId="166" fontId="45" fillId="0" borderId="2" xfId="0" applyNumberFormat="1" applyFont="1" applyBorder="1" applyAlignment="1">
      <alignment horizontal="center" vertical="center"/>
    </xf>
    <xf numFmtId="1" fontId="4" fillId="0" borderId="2" xfId="26" applyNumberFormat="1" applyFont="1" applyBorder="1" applyAlignment="1">
      <alignment horizontal="center" vertical="center"/>
    </xf>
    <xf numFmtId="1" fontId="85" fillId="0" borderId="2" xfId="0" applyNumberFormat="1" applyFont="1" applyBorder="1" applyAlignment="1">
      <alignment horizontal="center" vertical="center"/>
    </xf>
    <xf numFmtId="166" fontId="85" fillId="0" borderId="2" xfId="0" applyNumberFormat="1" applyFont="1" applyBorder="1" applyAlignment="1">
      <alignment horizontal="center" vertical="center"/>
    </xf>
    <xf numFmtId="1" fontId="5" fillId="0" borderId="2" xfId="0" applyNumberFormat="1" applyFont="1" applyBorder="1" applyAlignment="1">
      <alignment horizontal="center" vertical="center"/>
    </xf>
    <xf numFmtId="0" fontId="17" fillId="0" borderId="2" xfId="26" applyFont="1" applyBorder="1" applyAlignment="1">
      <alignment horizontal="center" vertical="center"/>
    </xf>
    <xf numFmtId="0" fontId="5" fillId="0" borderId="2" xfId="26" applyFont="1" applyBorder="1" applyAlignment="1">
      <alignment horizontal="center" vertical="center"/>
    </xf>
    <xf numFmtId="0" fontId="62" fillId="0" borderId="2" xfId="0" applyFont="1" applyBorder="1" applyAlignment="1">
      <alignment horizontal="center" vertical="center"/>
    </xf>
    <xf numFmtId="0" fontId="5" fillId="0" borderId="2" xfId="0" applyFont="1" applyBorder="1" applyAlignment="1">
      <alignment horizontal="center" vertical="center" wrapText="1"/>
    </xf>
    <xf numFmtId="0" fontId="17" fillId="0" borderId="1" xfId="26" applyFont="1" applyBorder="1" applyAlignment="1">
      <alignment horizontal="center" vertical="center"/>
    </xf>
    <xf numFmtId="0" fontId="18" fillId="0" borderId="4" xfId="26" applyFont="1" applyBorder="1" applyAlignment="1">
      <alignment vertical="center"/>
    </xf>
    <xf numFmtId="0" fontId="18" fillId="0" borderId="0" xfId="26" applyFont="1" applyAlignment="1">
      <alignment vertical="center"/>
    </xf>
    <xf numFmtId="0" fontId="18" fillId="9" borderId="0" xfId="26" applyFont="1" applyFill="1" applyAlignment="1">
      <alignment vertical="center"/>
    </xf>
    <xf numFmtId="49" fontId="17" fillId="0" borderId="0" xfId="26" applyNumberFormat="1" applyFont="1" applyAlignment="1">
      <alignment horizontal="right" vertical="center"/>
    </xf>
    <xf numFmtId="49" fontId="17" fillId="9" borderId="0" xfId="26" applyNumberFormat="1" applyFont="1" applyFill="1" applyAlignment="1">
      <alignment horizontal="right" vertical="center"/>
    </xf>
    <xf numFmtId="0" fontId="183" fillId="10" borderId="0" xfId="26" applyFont="1" applyFill="1" applyAlignment="1">
      <alignment horizontal="center" vertical="center"/>
    </xf>
    <xf numFmtId="0" fontId="101" fillId="0" borderId="0" xfId="0" applyFont="1" applyAlignment="1">
      <alignment vertical="center"/>
    </xf>
    <xf numFmtId="0" fontId="102" fillId="0" borderId="0" xfId="0" applyFont="1" applyAlignment="1">
      <alignment horizontal="center" vertical="center"/>
    </xf>
    <xf numFmtId="0" fontId="159" fillId="0" borderId="0" xfId="0" applyFont="1" applyAlignment="1">
      <alignment vertical="center"/>
    </xf>
    <xf numFmtId="166" fontId="101" fillId="0" borderId="2" xfId="0" applyNumberFormat="1" applyFont="1" applyBorder="1" applyAlignment="1">
      <alignment horizontal="center" vertical="center"/>
    </xf>
    <xf numFmtId="2" fontId="101" fillId="0" borderId="2" xfId="0" applyNumberFormat="1" applyFont="1" applyBorder="1" applyAlignment="1">
      <alignment horizontal="center" vertical="center"/>
    </xf>
    <xf numFmtId="49" fontId="102" fillId="0" borderId="2" xfId="0" applyNumberFormat="1" applyFont="1" applyBorder="1" applyAlignment="1">
      <alignment horizontal="center" vertical="center"/>
    </xf>
    <xf numFmtId="2" fontId="113" fillId="0" borderId="2" xfId="0" applyNumberFormat="1" applyFont="1" applyBorder="1" applyAlignment="1">
      <alignment horizontal="center" vertical="center"/>
    </xf>
    <xf numFmtId="166" fontId="113" fillId="0" borderId="2" xfId="0" applyNumberFormat="1" applyFont="1" applyBorder="1" applyAlignment="1">
      <alignment vertical="center"/>
    </xf>
    <xf numFmtId="2" fontId="113" fillId="0" borderId="2" xfId="0" applyNumberFormat="1" applyFont="1" applyBorder="1" applyAlignment="1">
      <alignment vertical="center"/>
    </xf>
    <xf numFmtId="49" fontId="102" fillId="0" borderId="2" xfId="0" applyNumberFormat="1" applyFont="1" applyBorder="1" applyAlignment="1">
      <alignment vertical="center"/>
    </xf>
    <xf numFmtId="166" fontId="101" fillId="0" borderId="0" xfId="0" applyNumberFormat="1" applyFont="1" applyAlignment="1">
      <alignment vertical="center"/>
    </xf>
    <xf numFmtId="166" fontId="101" fillId="0" borderId="0" xfId="0" applyNumberFormat="1" applyFont="1" applyAlignment="1">
      <alignment vertical="center" wrapText="1"/>
    </xf>
    <xf numFmtId="0" fontId="102" fillId="0" borderId="0" xfId="0" applyFont="1" applyAlignment="1">
      <alignment vertical="center"/>
    </xf>
    <xf numFmtId="0" fontId="120" fillId="0" borderId="0" xfId="0" applyFont="1" applyAlignment="1">
      <alignment vertical="center"/>
    </xf>
    <xf numFmtId="0" fontId="176" fillId="10" borderId="0" xfId="0" applyFont="1" applyFill="1" applyAlignment="1">
      <alignment horizontal="center" vertical="center"/>
    </xf>
    <xf numFmtId="0" fontId="101" fillId="0" borderId="0" xfId="0" applyFont="1"/>
    <xf numFmtId="0" fontId="101" fillId="3" borderId="0" xfId="0" applyFont="1" applyFill="1"/>
    <xf numFmtId="0" fontId="102" fillId="0" borderId="0" xfId="0" applyFont="1" applyAlignment="1">
      <alignment horizontal="center"/>
    </xf>
    <xf numFmtId="0" fontId="156" fillId="0" borderId="0" xfId="0" applyFont="1"/>
    <xf numFmtId="0" fontId="103" fillId="0" borderId="3" xfId="0" applyFont="1" applyBorder="1" applyAlignment="1">
      <alignment horizontal="center" vertical="center"/>
    </xf>
    <xf numFmtId="49" fontId="48" fillId="0" borderId="3" xfId="0" applyNumberFormat="1" applyFont="1" applyBorder="1" applyAlignment="1">
      <alignment horizontal="center" vertical="center"/>
    </xf>
    <xf numFmtId="0" fontId="103" fillId="0" borderId="2" xfId="0" applyFont="1" applyBorder="1" applyAlignment="1">
      <alignment horizontal="center" vertical="center"/>
    </xf>
    <xf numFmtId="49" fontId="48" fillId="0" borderId="2" xfId="0" applyNumberFormat="1" applyFont="1" applyBorder="1" applyAlignment="1">
      <alignment horizontal="center" vertical="center"/>
    </xf>
    <xf numFmtId="0" fontId="112" fillId="0" borderId="2" xfId="0" applyFont="1" applyBorder="1" applyAlignment="1">
      <alignment horizontal="center" vertical="center"/>
    </xf>
    <xf numFmtId="1" fontId="104" fillId="0" borderId="2" xfId="0" applyNumberFormat="1" applyFont="1" applyBorder="1" applyAlignment="1">
      <alignment horizontal="center" vertical="center"/>
    </xf>
    <xf numFmtId="49" fontId="104" fillId="0" borderId="2" xfId="0" applyNumberFormat="1" applyFont="1" applyBorder="1" applyAlignment="1">
      <alignment horizontal="center" vertical="center"/>
    </xf>
    <xf numFmtId="1" fontId="48" fillId="0" borderId="2" xfId="0" applyNumberFormat="1" applyFont="1" applyBorder="1" applyAlignment="1">
      <alignment horizontal="center" vertical="center"/>
    </xf>
    <xf numFmtId="1" fontId="215" fillId="0" borderId="2" xfId="0" applyNumberFormat="1" applyFont="1" applyBorder="1" applyAlignment="1">
      <alignment horizontal="center" vertical="center"/>
    </xf>
    <xf numFmtId="0" fontId="48" fillId="0" borderId="2" xfId="0" applyFont="1" applyBorder="1" applyAlignment="1">
      <alignment horizontal="center" vertical="center"/>
    </xf>
    <xf numFmtId="1" fontId="48" fillId="0" borderId="1" xfId="0" applyNumberFormat="1" applyFont="1" applyBorder="1" applyAlignment="1">
      <alignment horizontal="center" vertical="center"/>
    </xf>
    <xf numFmtId="0" fontId="48" fillId="0" borderId="1" xfId="0" applyFont="1" applyBorder="1" applyAlignment="1">
      <alignment horizontal="center" vertical="center"/>
    </xf>
    <xf numFmtId="0" fontId="224" fillId="3" borderId="0" xfId="0" applyFont="1" applyFill="1" applyAlignment="1">
      <alignment vertical="center"/>
    </xf>
    <xf numFmtId="0" fontId="139" fillId="0" borderId="136" xfId="22" applyFont="1" applyBorder="1" applyAlignment="1">
      <alignment horizontal="left" vertical="center" wrapText="1" indent="1"/>
    </xf>
    <xf numFmtId="0" fontId="139" fillId="0" borderId="128" xfId="22" applyFont="1" applyBorder="1" applyAlignment="1">
      <alignment horizontal="left" vertical="center" wrapText="1" indent="1"/>
    </xf>
    <xf numFmtId="0" fontId="139" fillId="0" borderId="56" xfId="22" applyFont="1" applyBorder="1" applyAlignment="1">
      <alignment horizontal="left" vertical="center" wrapText="1" indent="1"/>
    </xf>
    <xf numFmtId="0" fontId="139" fillId="0" borderId="126" xfId="22" applyFont="1" applyBorder="1" applyAlignment="1">
      <alignment horizontal="left" vertical="center" wrapText="1" indent="1"/>
    </xf>
    <xf numFmtId="0" fontId="138" fillId="0" borderId="56" xfId="22" applyFont="1" applyBorder="1" applyAlignment="1">
      <alignment horizontal="left" vertical="center" wrapText="1"/>
    </xf>
    <xf numFmtId="0" fontId="138" fillId="0" borderId="126" xfId="22" applyFont="1" applyBorder="1" applyAlignment="1">
      <alignment horizontal="left" vertical="center" wrapText="1"/>
    </xf>
    <xf numFmtId="0" fontId="154" fillId="11" borderId="18" xfId="22" applyFont="1" applyFill="1" applyBorder="1"/>
    <xf numFmtId="0" fontId="234" fillId="3" borderId="0" xfId="0" applyFont="1" applyFill="1" applyAlignment="1">
      <alignment vertical="justify"/>
    </xf>
    <xf numFmtId="166" fontId="4" fillId="0" borderId="3" xfId="0" applyNumberFormat="1" applyFont="1" applyBorder="1" applyAlignment="1">
      <alignment horizontal="center" vertical="center"/>
    </xf>
    <xf numFmtId="166" fontId="45" fillId="0" borderId="3" xfId="0" applyNumberFormat="1" applyFont="1" applyBorder="1" applyAlignment="1">
      <alignment horizontal="center" vertical="center"/>
    </xf>
    <xf numFmtId="166" fontId="18" fillId="0" borderId="3" xfId="0" applyNumberFormat="1" applyFont="1" applyBorder="1" applyAlignment="1">
      <alignment horizontal="center" vertical="center"/>
    </xf>
    <xf numFmtId="49" fontId="17" fillId="0" borderId="3" xfId="0" applyNumberFormat="1" applyFont="1" applyBorder="1" applyAlignment="1">
      <alignment horizontal="center" vertical="center"/>
    </xf>
    <xf numFmtId="166" fontId="62" fillId="0" borderId="2" xfId="0" applyNumberFormat="1" applyFont="1" applyBorder="1" applyAlignment="1">
      <alignment horizontal="center" vertical="center"/>
    </xf>
    <xf numFmtId="166" fontId="104" fillId="0" borderId="4" xfId="0" applyNumberFormat="1" applyFont="1" applyBorder="1" applyAlignment="1">
      <alignment vertical="center"/>
    </xf>
    <xf numFmtId="166" fontId="104" fillId="0" borderId="0" xfId="0" applyNumberFormat="1" applyFont="1" applyAlignment="1">
      <alignment vertical="center"/>
    </xf>
    <xf numFmtId="166" fontId="48" fillId="0" borderId="4" xfId="0" applyNumberFormat="1" applyFont="1" applyBorder="1" applyAlignment="1">
      <alignment vertical="center"/>
    </xf>
    <xf numFmtId="166" fontId="48" fillId="0" borderId="0" xfId="0" applyNumberFormat="1" applyFont="1" applyAlignment="1">
      <alignment vertical="center"/>
    </xf>
    <xf numFmtId="166" fontId="48" fillId="0" borderId="0" xfId="0" applyNumberFormat="1" applyFont="1" applyAlignment="1">
      <alignment horizontal="right" vertical="center"/>
    </xf>
    <xf numFmtId="0" fontId="45" fillId="0" borderId="4" xfId="0" applyFont="1" applyBorder="1" applyAlignment="1">
      <alignment vertical="center"/>
    </xf>
    <xf numFmtId="0" fontId="45" fillId="0" borderId="0" xfId="0" applyFont="1" applyAlignment="1">
      <alignment vertical="center"/>
    </xf>
    <xf numFmtId="4" fontId="45" fillId="0" borderId="0" xfId="0" applyNumberFormat="1" applyFont="1" applyAlignment="1">
      <alignment vertical="center"/>
    </xf>
    <xf numFmtId="0" fontId="48" fillId="0" borderId="164" xfId="0" applyFont="1" applyBorder="1" applyAlignment="1">
      <alignment horizontal="center" vertical="center"/>
    </xf>
    <xf numFmtId="0" fontId="48" fillId="0" borderId="163" xfId="0" applyFont="1" applyBorder="1" applyAlignment="1">
      <alignment horizontal="center" vertical="center"/>
    </xf>
    <xf numFmtId="0" fontId="174" fillId="0" borderId="0" xfId="0" applyFont="1" applyAlignment="1">
      <alignment horizontal="center" vertical="center"/>
    </xf>
    <xf numFmtId="2" fontId="22" fillId="9" borderId="6" xfId="28" applyNumberFormat="1" applyFont="1" applyFill="1" applyBorder="1" applyAlignment="1">
      <alignment horizontal="center" vertical="center" wrapText="1"/>
    </xf>
    <xf numFmtId="0" fontId="22" fillId="9" borderId="6" xfId="28" applyFont="1" applyFill="1" applyBorder="1" applyAlignment="1">
      <alignment horizontal="center" vertical="center" wrapText="1"/>
    </xf>
    <xf numFmtId="0" fontId="23" fillId="9" borderId="6" xfId="1" applyFont="1" applyFill="1" applyBorder="1" applyAlignment="1">
      <alignment horizontal="center" vertical="center" textRotation="90" wrapText="1"/>
    </xf>
    <xf numFmtId="0" fontId="22" fillId="0" borderId="0" xfId="28" applyFont="1" applyAlignment="1">
      <alignment vertical="center"/>
    </xf>
    <xf numFmtId="0" fontId="205" fillId="10" borderId="0" xfId="28" applyFont="1" applyFill="1" applyAlignment="1">
      <alignment horizontal="center" vertical="center"/>
    </xf>
    <xf numFmtId="0" fontId="205" fillId="0" borderId="0" xfId="28" applyFont="1" applyAlignment="1">
      <alignment vertical="center"/>
    </xf>
    <xf numFmtId="0" fontId="21" fillId="0" borderId="0" xfId="28" applyFont="1" applyAlignment="1">
      <alignment vertical="center"/>
    </xf>
    <xf numFmtId="0" fontId="5" fillId="0" borderId="0" xfId="28" applyFont="1" applyAlignment="1">
      <alignment vertical="center"/>
    </xf>
    <xf numFmtId="0" fontId="22" fillId="0" borderId="0" xfId="28" applyFont="1" applyAlignment="1">
      <alignment horizontal="center" vertical="center"/>
    </xf>
    <xf numFmtId="0" fontId="21" fillId="0" borderId="5" xfId="28" applyFont="1" applyBorder="1" applyAlignment="1">
      <alignment horizontal="center" vertical="center"/>
    </xf>
    <xf numFmtId="166" fontId="25" fillId="0" borderId="0" xfId="28" applyNumberFormat="1" applyFont="1" applyAlignment="1">
      <alignment vertical="center"/>
    </xf>
    <xf numFmtId="166" fontId="22" fillId="0" borderId="0" xfId="28" applyNumberFormat="1" applyFont="1" applyAlignment="1">
      <alignment vertical="center"/>
    </xf>
    <xf numFmtId="166" fontId="22" fillId="0" borderId="4" xfId="28" applyNumberFormat="1" applyFont="1" applyBorder="1" applyAlignment="1">
      <alignment vertical="center"/>
    </xf>
    <xf numFmtId="0" fontId="21" fillId="0" borderId="1" xfId="28" applyFont="1" applyBorder="1" applyAlignment="1">
      <alignment horizontal="center" vertical="center"/>
    </xf>
    <xf numFmtId="166" fontId="21" fillId="0" borderId="1" xfId="28" applyNumberFormat="1" applyFont="1" applyBorder="1" applyAlignment="1">
      <alignment horizontal="center" vertical="center"/>
    </xf>
    <xf numFmtId="49" fontId="21" fillId="0" borderId="2" xfId="28" applyNumberFormat="1" applyFont="1" applyBorder="1" applyAlignment="1">
      <alignment horizontal="center" vertical="center"/>
    </xf>
    <xf numFmtId="166" fontId="21" fillId="0" borderId="2" xfId="28" applyNumberFormat="1" applyFont="1" applyBorder="1" applyAlignment="1">
      <alignment horizontal="center" vertical="center"/>
    </xf>
    <xf numFmtId="0" fontId="21" fillId="0" borderId="2" xfId="28" applyFont="1" applyBorder="1" applyAlignment="1">
      <alignment horizontal="center" vertical="center"/>
    </xf>
    <xf numFmtId="2" fontId="22" fillId="0" borderId="0" xfId="28" applyNumberFormat="1" applyFont="1" applyAlignment="1">
      <alignment vertical="center"/>
    </xf>
    <xf numFmtId="166" fontId="25" fillId="0" borderId="2" xfId="0" applyNumberFormat="1" applyFont="1" applyBorder="1" applyAlignment="1">
      <alignment horizontal="center" vertical="center"/>
    </xf>
    <xf numFmtId="166" fontId="25" fillId="0" borderId="2" xfId="28" applyNumberFormat="1" applyFont="1" applyBorder="1" applyAlignment="1">
      <alignment horizontal="center" vertical="center"/>
    </xf>
    <xf numFmtId="166" fontId="22" fillId="0" borderId="2" xfId="28" applyNumberFormat="1" applyFont="1" applyBorder="1" applyAlignment="1">
      <alignment horizontal="center" vertical="center"/>
    </xf>
    <xf numFmtId="166" fontId="9" fillId="0" borderId="2" xfId="28" applyNumberFormat="1" applyFont="1" applyBorder="1" applyAlignment="1">
      <alignment horizontal="center" vertical="center"/>
    </xf>
    <xf numFmtId="49" fontId="21" fillId="0" borderId="2" xfId="0" applyNumberFormat="1" applyFont="1" applyBorder="1" applyAlignment="1">
      <alignment horizontal="center" vertical="center"/>
    </xf>
    <xf numFmtId="166" fontId="22" fillId="0" borderId="2" xfId="0" applyNumberFormat="1" applyFont="1" applyBorder="1" applyAlignment="1">
      <alignment horizontal="center" vertical="center"/>
    </xf>
    <xf numFmtId="166" fontId="22" fillId="0" borderId="0" xfId="0" applyNumberFormat="1" applyFont="1" applyAlignment="1">
      <alignment vertical="center"/>
    </xf>
    <xf numFmtId="0" fontId="22" fillId="0" borderId="0" xfId="0" applyFont="1" applyAlignment="1">
      <alignment vertical="center"/>
    </xf>
    <xf numFmtId="0" fontId="21" fillId="0" borderId="2" xfId="0" applyFont="1" applyBorder="1" applyAlignment="1">
      <alignment horizontal="center" vertical="center"/>
    </xf>
    <xf numFmtId="166" fontId="25" fillId="0" borderId="0" xfId="0" applyNumberFormat="1" applyFont="1" applyAlignment="1">
      <alignment vertical="center"/>
    </xf>
    <xf numFmtId="0" fontId="25" fillId="0" borderId="0" xfId="28" applyFont="1" applyAlignment="1">
      <alignment vertical="center"/>
    </xf>
    <xf numFmtId="166" fontId="32" fillId="0" borderId="0" xfId="28" applyNumberFormat="1" applyFont="1" applyAlignment="1">
      <alignment vertical="center"/>
    </xf>
    <xf numFmtId="166" fontId="32" fillId="0" borderId="4" xfId="28" applyNumberFormat="1" applyFont="1" applyBorder="1" applyAlignment="1">
      <alignment vertical="center"/>
    </xf>
    <xf numFmtId="166" fontId="22" fillId="0" borderId="5" xfId="0" applyNumberFormat="1" applyFont="1" applyBorder="1" applyAlignment="1">
      <alignment horizontal="center" vertical="center"/>
    </xf>
    <xf numFmtId="49" fontId="21" fillId="0" borderId="3" xfId="0" applyNumberFormat="1" applyFont="1" applyBorder="1" applyAlignment="1">
      <alignment horizontal="center" vertical="center"/>
    </xf>
    <xf numFmtId="166" fontId="22" fillId="0" borderId="3" xfId="0" applyNumberFormat="1" applyFont="1" applyBorder="1" applyAlignment="1">
      <alignment horizontal="center" vertical="center"/>
    </xf>
    <xf numFmtId="166" fontId="22" fillId="0" borderId="17" xfId="0" applyNumberFormat="1" applyFont="1" applyBorder="1" applyAlignment="1">
      <alignment horizontal="center" vertical="center"/>
    </xf>
    <xf numFmtId="0" fontId="221" fillId="0" borderId="0" xfId="28" applyFont="1" applyAlignment="1">
      <alignment vertical="center"/>
    </xf>
    <xf numFmtId="0" fontId="46" fillId="0" borderId="0" xfId="0" applyFont="1" applyAlignment="1">
      <alignment vertical="center"/>
    </xf>
    <xf numFmtId="0" fontId="210" fillId="10" borderId="0" xfId="0" applyFont="1" applyFill="1" applyAlignment="1">
      <alignment horizontal="center" vertical="center"/>
    </xf>
    <xf numFmtId="0" fontId="190" fillId="0" borderId="0" xfId="0" applyFont="1" applyAlignment="1">
      <alignment vertical="center"/>
    </xf>
    <xf numFmtId="0" fontId="44" fillId="0" borderId="0" xfId="0" applyFont="1" applyAlignment="1">
      <alignment horizontal="center" vertical="center"/>
    </xf>
    <xf numFmtId="0" fontId="57" fillId="0" borderId="0" xfId="0" applyFont="1" applyAlignment="1">
      <alignment vertical="center"/>
    </xf>
    <xf numFmtId="0" fontId="59" fillId="0" borderId="0" xfId="0" applyFont="1" applyAlignment="1">
      <alignment vertical="center"/>
    </xf>
    <xf numFmtId="1" fontId="52" fillId="0" borderId="1" xfId="0" applyNumberFormat="1" applyFont="1" applyBorder="1" applyAlignment="1">
      <alignment horizontal="center" vertical="center"/>
    </xf>
    <xf numFmtId="166" fontId="44" fillId="0" borderId="1" xfId="0" applyNumberFormat="1" applyFont="1" applyBorder="1" applyAlignment="1">
      <alignment horizontal="center" vertical="center"/>
    </xf>
    <xf numFmtId="1" fontId="52" fillId="0" borderId="2" xfId="0" applyNumberFormat="1" applyFont="1" applyBorder="1" applyAlignment="1">
      <alignment horizontal="center" vertical="center"/>
    </xf>
    <xf numFmtId="166" fontId="47" fillId="0" borderId="2" xfId="0" applyNumberFormat="1" applyFont="1" applyBorder="1" applyAlignment="1">
      <alignment horizontal="center" vertical="center"/>
    </xf>
    <xf numFmtId="1" fontId="44" fillId="0" borderId="2" xfId="0" applyNumberFormat="1" applyFont="1" applyBorder="1" applyAlignment="1">
      <alignment horizontal="center" vertical="center"/>
    </xf>
    <xf numFmtId="1" fontId="47" fillId="0" borderId="2" xfId="0" applyNumberFormat="1" applyFont="1" applyBorder="1" applyAlignment="1">
      <alignment horizontal="center" vertical="center"/>
    </xf>
    <xf numFmtId="166" fontId="46" fillId="0" borderId="2" xfId="0" applyNumberFormat="1" applyFont="1" applyBorder="1" applyAlignment="1">
      <alignment horizontal="center" vertical="center"/>
    </xf>
    <xf numFmtId="0" fontId="47" fillId="0" borderId="2" xfId="0" applyFont="1" applyBorder="1" applyAlignment="1">
      <alignment horizontal="center" vertical="center"/>
    </xf>
    <xf numFmtId="0" fontId="46" fillId="0" borderId="2" xfId="0" applyFont="1" applyBorder="1" applyAlignment="1">
      <alignment vertical="center"/>
    </xf>
    <xf numFmtId="0" fontId="221" fillId="0" borderId="0" xfId="0" applyFont="1" applyAlignment="1">
      <alignment vertical="center"/>
    </xf>
    <xf numFmtId="0" fontId="26" fillId="0" borderId="0" xfId="0" applyFont="1" applyAlignment="1">
      <alignment vertical="center"/>
    </xf>
    <xf numFmtId="0" fontId="24" fillId="0" borderId="0" xfId="0" applyFont="1" applyAlignment="1">
      <alignment vertical="center"/>
    </xf>
    <xf numFmtId="166" fontId="46" fillId="0" borderId="0" xfId="0" applyNumberFormat="1" applyFont="1" applyAlignment="1">
      <alignment vertical="center"/>
    </xf>
    <xf numFmtId="0" fontId="46" fillId="4" borderId="0" xfId="0" applyFont="1" applyFill="1" applyAlignment="1">
      <alignment vertical="center"/>
    </xf>
    <xf numFmtId="200" fontId="122" fillId="0" borderId="0" xfId="69" applyNumberFormat="1" applyFont="1" applyFill="1"/>
    <xf numFmtId="166" fontId="29" fillId="0" borderId="2" xfId="26" applyNumberFormat="1" applyFont="1" applyFill="1" applyBorder="1" applyAlignment="1">
      <alignment horizontal="center" vertical="center"/>
    </xf>
    <xf numFmtId="166" fontId="4" fillId="0" borderId="3" xfId="0" applyNumberFormat="1" applyFont="1" applyFill="1" applyBorder="1" applyAlignment="1">
      <alignment horizontal="center" vertical="center"/>
    </xf>
    <xf numFmtId="14" fontId="86" fillId="9" borderId="46" xfId="69" applyNumberFormat="1" applyFont="1" applyFill="1" applyBorder="1" applyAlignment="1" applyProtection="1">
      <alignment horizontal="center" vertical="center" wrapText="1"/>
    </xf>
    <xf numFmtId="0" fontId="171" fillId="10" borderId="0" xfId="38" applyFont="1" applyFill="1" applyAlignment="1">
      <alignment horizontal="center" vertical="center"/>
    </xf>
    <xf numFmtId="14" fontId="29" fillId="0" borderId="0" xfId="38" applyNumberFormat="1" applyFont="1" applyAlignment="1">
      <alignment horizontal="center" vertical="center"/>
    </xf>
    <xf numFmtId="1" fontId="29" fillId="0" borderId="0" xfId="38" applyNumberFormat="1" applyFont="1" applyAlignment="1">
      <alignment horizontal="center" vertical="center"/>
    </xf>
    <xf numFmtId="4" fontId="29" fillId="0" borderId="0" xfId="38" applyNumberFormat="1" applyFont="1" applyAlignment="1">
      <alignment horizontal="center" vertical="center"/>
    </xf>
    <xf numFmtId="2" fontId="29" fillId="0" borderId="0" xfId="38" applyNumberFormat="1" applyFont="1" applyAlignment="1">
      <alignment horizontal="center" vertical="center"/>
    </xf>
    <xf numFmtId="10" fontId="29" fillId="0" borderId="0" xfId="38" applyNumberFormat="1" applyFont="1" applyAlignment="1">
      <alignment horizontal="center" vertical="center"/>
    </xf>
    <xf numFmtId="0" fontId="29" fillId="0" borderId="0" xfId="38" applyFont="1" applyAlignment="1">
      <alignment horizontal="center" vertical="center"/>
    </xf>
    <xf numFmtId="0" fontId="29" fillId="2" borderId="0" xfId="38" applyFont="1" applyFill="1" applyAlignment="1">
      <alignment horizontal="center" vertical="center"/>
    </xf>
    <xf numFmtId="0" fontId="29" fillId="6" borderId="6" xfId="38" applyFont="1" applyFill="1" applyBorder="1" applyAlignment="1">
      <alignment horizontal="center" vertical="center"/>
    </xf>
    <xf numFmtId="14" fontId="29" fillId="0" borderId="2" xfId="38" applyNumberFormat="1" applyFont="1" applyBorder="1" applyAlignment="1">
      <alignment horizontal="center" vertical="center"/>
    </xf>
    <xf numFmtId="0" fontId="29" fillId="0" borderId="2" xfId="38" applyFont="1" applyBorder="1" applyAlignment="1">
      <alignment horizontal="center" vertical="center"/>
    </xf>
    <xf numFmtId="1" fontId="29" fillId="0" borderId="2" xfId="38" applyNumberFormat="1" applyFont="1" applyBorder="1" applyAlignment="1">
      <alignment horizontal="center" vertical="center"/>
    </xf>
    <xf numFmtId="4" fontId="29" fillId="0" borderId="2" xfId="38" applyNumberFormat="1" applyFont="1" applyBorder="1" applyAlignment="1">
      <alignment horizontal="center" vertical="center"/>
    </xf>
    <xf numFmtId="2" fontId="29" fillId="0" borderId="2" xfId="38" applyNumberFormat="1" applyFont="1" applyBorder="1" applyAlignment="1">
      <alignment horizontal="center" vertical="center"/>
    </xf>
    <xf numFmtId="0" fontId="36" fillId="0" borderId="2" xfId="38" applyBorder="1" applyAlignment="1">
      <alignment vertical="center"/>
    </xf>
    <xf numFmtId="0" fontId="5" fillId="0" borderId="2" xfId="38" applyFont="1" applyBorder="1" applyAlignment="1">
      <alignment horizontal="left" vertical="center"/>
    </xf>
    <xf numFmtId="0" fontId="29" fillId="0" borderId="4" xfId="38" applyFont="1" applyBorder="1" applyAlignment="1">
      <alignment horizontal="center" vertical="center"/>
    </xf>
    <xf numFmtId="1" fontId="29" fillId="0" borderId="5" xfId="38" applyNumberFormat="1" applyFont="1" applyBorder="1" applyAlignment="1">
      <alignment horizontal="center" vertical="center"/>
    </xf>
    <xf numFmtId="4" fontId="29" fillId="0" borderId="4" xfId="38" applyNumberFormat="1" applyFont="1" applyBorder="1" applyAlignment="1">
      <alignment horizontal="center" vertical="center"/>
    </xf>
    <xf numFmtId="14" fontId="29" fillId="0" borderId="3" xfId="38" applyNumberFormat="1" applyFont="1" applyBorder="1" applyAlignment="1">
      <alignment horizontal="center" vertical="center"/>
    </xf>
    <xf numFmtId="0" fontId="29" fillId="0" borderId="3" xfId="38" applyFont="1" applyBorder="1" applyAlignment="1">
      <alignment horizontal="center" vertical="center"/>
    </xf>
    <xf numFmtId="1" fontId="29" fillId="0" borderId="3" xfId="38" applyNumberFormat="1" applyFont="1" applyBorder="1" applyAlignment="1">
      <alignment horizontal="center" vertical="center"/>
    </xf>
    <xf numFmtId="2" fontId="29" fillId="0" borderId="3" xfId="38" applyNumberFormat="1" applyFont="1" applyBorder="1" applyAlignment="1">
      <alignment horizontal="center" vertical="center"/>
    </xf>
    <xf numFmtId="0" fontId="36" fillId="0" borderId="3" xfId="38" applyBorder="1" applyAlignment="1">
      <alignment vertical="center"/>
    </xf>
    <xf numFmtId="0" fontId="22" fillId="0" borderId="0" xfId="69" applyFont="1" applyAlignment="1">
      <alignment vertical="center"/>
    </xf>
    <xf numFmtId="0" fontId="174" fillId="10" borderId="0" xfId="69" applyFont="1" applyFill="1" applyAlignment="1">
      <alignment horizontal="center" vertical="center"/>
    </xf>
    <xf numFmtId="0" fontId="174" fillId="11" borderId="0" xfId="69" applyFont="1" applyFill="1" applyAlignment="1">
      <alignment horizontal="center" vertical="center"/>
    </xf>
    <xf numFmtId="0" fontId="21" fillId="0" borderId="0" xfId="69" applyFont="1" applyAlignment="1">
      <alignment vertical="center"/>
    </xf>
    <xf numFmtId="0" fontId="21" fillId="0" borderId="6" xfId="69" applyFont="1" applyBorder="1" applyAlignment="1">
      <alignment horizontal="center" vertical="center"/>
    </xf>
    <xf numFmtId="0" fontId="22" fillId="0" borderId="1" xfId="69" applyFont="1" applyBorder="1" applyAlignment="1">
      <alignment horizontal="center" vertical="center"/>
    </xf>
    <xf numFmtId="0" fontId="22" fillId="0" borderId="6" xfId="69" applyFont="1" applyBorder="1" applyAlignment="1">
      <alignment horizontal="center" vertical="center"/>
    </xf>
    <xf numFmtId="0" fontId="21" fillId="0" borderId="6" xfId="69" applyFont="1" applyBorder="1" applyAlignment="1">
      <alignment horizontal="left" vertical="center"/>
    </xf>
    <xf numFmtId="0" fontId="22" fillId="0" borderId="2" xfId="69" applyFont="1" applyBorder="1" applyAlignment="1">
      <alignment horizontal="center" vertical="center"/>
    </xf>
    <xf numFmtId="0" fontId="22" fillId="0" borderId="6" xfId="69" applyFont="1" applyBorder="1" applyAlignment="1">
      <alignment horizontal="left" vertical="center"/>
    </xf>
    <xf numFmtId="0" fontId="21" fillId="0" borderId="6" xfId="69" quotePrefix="1" applyFont="1" applyBorder="1" applyAlignment="1">
      <alignment horizontal="left" vertical="center"/>
    </xf>
    <xf numFmtId="0" fontId="21" fillId="0" borderId="6" xfId="69" applyFont="1" applyBorder="1" applyAlignment="1">
      <alignment vertical="center"/>
    </xf>
    <xf numFmtId="0" fontId="22" fillId="0" borderId="6" xfId="69" applyFont="1" applyBorder="1" applyAlignment="1">
      <alignment vertical="center"/>
    </xf>
    <xf numFmtId="0" fontId="22" fillId="0" borderId="6" xfId="69" quotePrefix="1" applyFont="1" applyBorder="1" applyAlignment="1">
      <alignment horizontal="left" vertical="center"/>
    </xf>
    <xf numFmtId="0" fontId="22" fillId="0" borderId="2" xfId="69" applyFont="1" applyBorder="1" applyAlignment="1">
      <alignment vertical="center"/>
    </xf>
    <xf numFmtId="14" fontId="21" fillId="0" borderId="6" xfId="69" applyNumberFormat="1" applyFont="1" applyBorder="1" applyAlignment="1">
      <alignment vertical="center"/>
    </xf>
    <xf numFmtId="14" fontId="22" fillId="0" borderId="6" xfId="69" applyNumberFormat="1" applyFont="1" applyBorder="1" applyAlignment="1">
      <alignment vertical="center"/>
    </xf>
    <xf numFmtId="0" fontId="21" fillId="0" borderId="9" xfId="69" applyFont="1" applyBorder="1" applyAlignment="1">
      <alignment vertical="center"/>
    </xf>
    <xf numFmtId="0" fontId="22" fillId="0" borderId="11" xfId="69" applyFont="1" applyBorder="1" applyAlignment="1">
      <alignment vertical="center"/>
    </xf>
    <xf numFmtId="0" fontId="22" fillId="0" borderId="19" xfId="69" applyFont="1" applyBorder="1" applyAlignment="1">
      <alignment vertical="center"/>
    </xf>
    <xf numFmtId="0" fontId="22" fillId="0" borderId="3" xfId="69" applyFont="1" applyBorder="1" applyAlignment="1">
      <alignment horizontal="center" vertical="center"/>
    </xf>
    <xf numFmtId="0" fontId="21" fillId="0" borderId="7" xfId="69" applyFont="1" applyBorder="1" applyAlignment="1">
      <alignment vertical="center"/>
    </xf>
    <xf numFmtId="0" fontId="22" fillId="0" borderId="164" xfId="69" applyFont="1" applyBorder="1" applyAlignment="1">
      <alignment vertical="center"/>
    </xf>
    <xf numFmtId="0" fontId="21" fillId="0" borderId="7" xfId="69" applyFont="1" applyBorder="1" applyAlignment="1">
      <alignment vertical="center" wrapText="1"/>
    </xf>
    <xf numFmtId="0" fontId="22" fillId="0" borderId="164" xfId="69" applyFont="1" applyBorder="1" applyAlignment="1">
      <alignment vertical="center" wrapText="1"/>
    </xf>
    <xf numFmtId="0" fontId="22" fillId="0" borderId="6" xfId="69" applyFont="1" applyBorder="1" applyAlignment="1">
      <alignment vertical="center" wrapText="1"/>
    </xf>
    <xf numFmtId="0" fontId="21" fillId="0" borderId="9" xfId="69" applyFont="1" applyBorder="1" applyAlignment="1">
      <alignment vertical="center" wrapText="1"/>
    </xf>
    <xf numFmtId="0" fontId="223" fillId="0" borderId="0" xfId="69" applyFont="1" applyAlignment="1">
      <alignment vertical="center"/>
    </xf>
    <xf numFmtId="0" fontId="9" fillId="0" borderId="9" xfId="69" applyFont="1" applyBorder="1" applyAlignment="1">
      <alignment horizontal="left" vertical="center"/>
    </xf>
    <xf numFmtId="0" fontId="22" fillId="0" borderId="9" xfId="69" applyFont="1" applyBorder="1" applyAlignment="1">
      <alignment vertical="center" wrapText="1"/>
    </xf>
    <xf numFmtId="178" fontId="46" fillId="0" borderId="0" xfId="40" applyNumberFormat="1" applyFont="1" applyAlignment="1">
      <alignment vertical="center"/>
    </xf>
    <xf numFmtId="14" fontId="86" fillId="9" borderId="46" xfId="69" applyNumberFormat="1" applyFont="1" applyFill="1" applyBorder="1" applyAlignment="1" applyProtection="1">
      <alignment horizontal="center" vertical="center" wrapText="1"/>
    </xf>
    <xf numFmtId="0" fontId="95" fillId="0" borderId="0" xfId="69" applyFont="1" applyAlignment="1">
      <alignment horizontal="center" vertical="center" wrapText="1"/>
    </xf>
    <xf numFmtId="0" fontId="129" fillId="0" borderId="0" xfId="69" applyFont="1"/>
    <xf numFmtId="0" fontId="306" fillId="0" borderId="0" xfId="69" applyFont="1" applyAlignment="1">
      <alignment horizontal="center" vertical="center" wrapText="1"/>
    </xf>
    <xf numFmtId="0" fontId="188" fillId="10" borderId="0" xfId="69" applyFont="1" applyFill="1" applyAlignment="1">
      <alignment vertical="center" wrapText="1"/>
    </xf>
    <xf numFmtId="0" fontId="211" fillId="11" borderId="0" xfId="69" applyFont="1" applyFill="1" applyAlignment="1">
      <alignment vertical="center" wrapText="1"/>
    </xf>
    <xf numFmtId="0" fontId="96" fillId="0" borderId="0" xfId="69" applyFont="1" applyAlignment="1">
      <alignment wrapText="1"/>
    </xf>
    <xf numFmtId="0" fontId="129" fillId="0" borderId="0" xfId="69" applyFont="1" applyAlignment="1">
      <alignment vertical="center"/>
    </xf>
    <xf numFmtId="0" fontId="91" fillId="0" borderId="5" xfId="69" applyFont="1" applyBorder="1" applyAlignment="1">
      <alignment horizontal="center" vertical="center" wrapText="1"/>
    </xf>
    <xf numFmtId="0" fontId="91" fillId="0" borderId="2" xfId="69" applyFont="1" applyBorder="1" applyAlignment="1">
      <alignment horizontal="left" vertical="center" wrapText="1" indent="1"/>
    </xf>
    <xf numFmtId="0" fontId="91" fillId="0" borderId="2" xfId="69" applyFont="1" applyBorder="1" applyAlignment="1">
      <alignment vertical="center" wrapText="1"/>
    </xf>
    <xf numFmtId="0" fontId="92" fillId="0" borderId="5" xfId="69" applyFont="1" applyBorder="1" applyAlignment="1">
      <alignment horizontal="center" vertical="center" wrapText="1"/>
    </xf>
    <xf numFmtId="0" fontId="92" fillId="0" borderId="2" xfId="69" applyFont="1" applyBorder="1" applyAlignment="1">
      <alignment horizontal="left" vertical="center" wrapText="1"/>
    </xf>
    <xf numFmtId="0" fontId="302" fillId="0" borderId="0" xfId="69" applyFont="1"/>
    <xf numFmtId="0" fontId="91" fillId="0" borderId="17" xfId="69" applyFont="1" applyBorder="1" applyAlignment="1">
      <alignment horizontal="center" vertical="center" wrapText="1"/>
    </xf>
    <xf numFmtId="0" fontId="92" fillId="0" borderId="3" xfId="69" applyFont="1" applyBorder="1" applyAlignment="1">
      <alignment horizontal="center" vertical="center" wrapText="1"/>
    </xf>
    <xf numFmtId="0" fontId="313" fillId="3" borderId="0" xfId="69" applyFont="1" applyFill="1" applyAlignment="1">
      <alignment vertical="center"/>
    </xf>
    <xf numFmtId="0" fontId="157" fillId="3" borderId="0" xfId="69" applyFont="1" applyFill="1" applyAlignment="1">
      <alignment vertical="center"/>
    </xf>
    <xf numFmtId="0" fontId="129" fillId="0" borderId="0" xfId="69" applyFont="1" applyAlignment="1">
      <alignment horizontal="center" vertical="center"/>
    </xf>
    <xf numFmtId="14" fontId="86" fillId="9" borderId="46" xfId="69" applyNumberFormat="1" applyFont="1" applyFill="1" applyBorder="1" applyAlignment="1" applyProtection="1">
      <alignment horizontal="center" vertical="center" wrapText="1"/>
    </xf>
    <xf numFmtId="14" fontId="86" fillId="9" borderId="45" xfId="69" applyNumberFormat="1" applyFont="1" applyFill="1" applyBorder="1" applyAlignment="1" applyProtection="1">
      <alignment horizontal="center" vertical="center" wrapText="1"/>
    </xf>
    <xf numFmtId="1" fontId="139" fillId="0" borderId="163" xfId="96" applyNumberFormat="1" applyFont="1" applyFill="1" applyBorder="1" applyAlignment="1">
      <alignment horizontal="center" vertical="center" wrapText="1"/>
    </xf>
    <xf numFmtId="1" fontId="5" fillId="0" borderId="2" xfId="4" applyNumberFormat="1" applyFont="1" applyFill="1" applyBorder="1" applyAlignment="1">
      <alignment horizontal="left" vertical="center"/>
    </xf>
    <xf numFmtId="1" fontId="5" fillId="0" borderId="2" xfId="38" applyNumberFormat="1" applyFont="1" applyBorder="1" applyAlignment="1">
      <alignment horizontal="left" vertical="center"/>
    </xf>
    <xf numFmtId="1" fontId="304" fillId="7" borderId="56" xfId="22" applyNumberFormat="1" applyFont="1" applyFill="1" applyBorder="1" applyAlignment="1">
      <alignment horizontal="center" vertical="center" wrapText="1"/>
    </xf>
    <xf numFmtId="1" fontId="139" fillId="0" borderId="56" xfId="22" applyNumberFormat="1" applyFont="1" applyBorder="1" applyAlignment="1">
      <alignment horizontal="center" vertical="center"/>
    </xf>
    <xf numFmtId="1" fontId="304" fillId="7" borderId="136" xfId="22" applyNumberFormat="1" applyFont="1" applyFill="1" applyBorder="1" applyAlignment="1">
      <alignment horizontal="center" vertical="center" wrapText="1"/>
    </xf>
    <xf numFmtId="0" fontId="193" fillId="9" borderId="101" xfId="0" applyFont="1" applyFill="1" applyBorder="1" applyAlignment="1">
      <alignment horizontal="center" vertical="center"/>
    </xf>
    <xf numFmtId="0" fontId="235" fillId="0" borderId="0" xfId="0" applyFont="1" applyFill="1" applyBorder="1" applyAlignment="1">
      <alignment horizontal="left" vertical="center" wrapText="1"/>
    </xf>
    <xf numFmtId="178" fontId="18" fillId="0" borderId="0" xfId="40" applyNumberFormat="1" applyFont="1" applyFill="1" applyBorder="1" applyAlignment="1">
      <alignment vertical="center"/>
    </xf>
    <xf numFmtId="178" fontId="9" fillId="0" borderId="0" xfId="40" applyNumberFormat="1" applyFont="1" applyFill="1" applyBorder="1" applyAlignment="1">
      <alignment vertical="center"/>
    </xf>
    <xf numFmtId="178" fontId="4" fillId="0" borderId="0" xfId="40" applyNumberFormat="1" applyFont="1" applyFill="1" applyBorder="1" applyAlignment="1">
      <alignment vertical="center"/>
    </xf>
    <xf numFmtId="14" fontId="86" fillId="9" borderId="46" xfId="69" applyNumberFormat="1" applyFont="1" applyFill="1" applyBorder="1" applyAlignment="1" applyProtection="1">
      <alignment horizontal="center" vertical="center" wrapText="1"/>
    </xf>
    <xf numFmtId="14" fontId="86" fillId="9" borderId="45" xfId="69" applyNumberFormat="1" applyFont="1" applyFill="1" applyBorder="1" applyAlignment="1" applyProtection="1">
      <alignment horizontal="center" vertical="center" wrapText="1"/>
    </xf>
    <xf numFmtId="0" fontId="10" fillId="9" borderId="1" xfId="22" applyFont="1" applyFill="1" applyBorder="1" applyAlignment="1">
      <alignment horizontal="center" vertical="center"/>
    </xf>
    <xf numFmtId="0" fontId="6" fillId="9" borderId="1" xfId="22" applyFont="1" applyFill="1" applyBorder="1" applyAlignment="1">
      <alignment horizontal="center" vertical="center"/>
    </xf>
    <xf numFmtId="0" fontId="4" fillId="0" borderId="0" xfId="22" applyFont="1" applyAlignment="1">
      <alignment vertical="center"/>
    </xf>
    <xf numFmtId="0" fontId="5" fillId="0" borderId="0" xfId="22" applyFont="1" applyAlignment="1">
      <alignment vertical="center"/>
    </xf>
    <xf numFmtId="0" fontId="4" fillId="0" borderId="1" xfId="22" applyFont="1" applyBorder="1" applyAlignment="1">
      <alignment horizontal="center" vertical="center"/>
    </xf>
    <xf numFmtId="0" fontId="4" fillId="0" borderId="2" xfId="22" applyFont="1" applyBorder="1" applyAlignment="1">
      <alignment horizontal="center" vertical="center"/>
    </xf>
    <xf numFmtId="0" fontId="6" fillId="0" borderId="0" xfId="22" applyFont="1" applyAlignment="1">
      <alignment horizontal="center" vertical="center"/>
    </xf>
    <xf numFmtId="0" fontId="4" fillId="0" borderId="1" xfId="22" applyFont="1" applyBorder="1" applyAlignment="1">
      <alignment vertical="center"/>
    </xf>
    <xf numFmtId="0" fontId="6" fillId="0" borderId="2" xfId="22" applyFont="1" applyBorder="1" applyAlignment="1">
      <alignment horizontal="center" vertical="center"/>
    </xf>
    <xf numFmtId="0" fontId="7" fillId="0" borderId="2" xfId="22" applyFont="1" applyBorder="1" applyAlignment="1">
      <alignment horizontal="center" vertical="center"/>
    </xf>
    <xf numFmtId="0" fontId="8" fillId="0" borderId="2" xfId="22" applyFont="1" applyBorder="1" applyAlignment="1">
      <alignment horizontal="center" vertical="center"/>
    </xf>
    <xf numFmtId="166" fontId="8" fillId="0" borderId="2" xfId="22" applyNumberFormat="1" applyFont="1" applyBorder="1" applyAlignment="1">
      <alignment horizontal="center" vertical="center"/>
    </xf>
    <xf numFmtId="166" fontId="8" fillId="0" borderId="0" xfId="22" applyNumberFormat="1" applyFont="1" applyAlignment="1">
      <alignment horizontal="center" vertical="center"/>
    </xf>
    <xf numFmtId="0" fontId="8" fillId="0" borderId="0" xfId="22" applyFont="1" applyAlignment="1">
      <alignment horizontal="center" vertical="center"/>
    </xf>
    <xf numFmtId="166" fontId="8" fillId="0" borderId="4" xfId="22" applyNumberFormat="1" applyFont="1" applyBorder="1" applyAlignment="1">
      <alignment horizontal="center" vertical="center"/>
    </xf>
    <xf numFmtId="166" fontId="8" fillId="0" borderId="2" xfId="22" quotePrefix="1" applyNumberFormat="1" applyFont="1" applyBorder="1" applyAlignment="1">
      <alignment horizontal="center" vertical="center"/>
    </xf>
    <xf numFmtId="166" fontId="8" fillId="0" borderId="5" xfId="22" applyNumberFormat="1" applyFont="1" applyBorder="1" applyAlignment="1">
      <alignment horizontal="center" vertical="center"/>
    </xf>
    <xf numFmtId="49" fontId="7" fillId="0" borderId="2" xfId="22" applyNumberFormat="1" applyFont="1" applyBorder="1" applyAlignment="1">
      <alignment horizontal="center" vertical="center"/>
    </xf>
    <xf numFmtId="0" fontId="8" fillId="0" borderId="0" xfId="22" applyFont="1" applyAlignment="1">
      <alignment vertical="center"/>
    </xf>
    <xf numFmtId="0" fontId="8" fillId="0" borderId="2" xfId="22" applyFont="1" applyBorder="1" applyAlignment="1">
      <alignment vertical="center"/>
    </xf>
    <xf numFmtId="166" fontId="7" fillId="0" borderId="2" xfId="22" applyNumberFormat="1" applyFont="1" applyBorder="1" applyAlignment="1">
      <alignment horizontal="center" vertical="center"/>
    </xf>
    <xf numFmtId="166" fontId="7" fillId="0" borderId="4" xfId="22" applyNumberFormat="1" applyFont="1" applyBorder="1" applyAlignment="1">
      <alignment horizontal="center" vertical="center"/>
    </xf>
    <xf numFmtId="0" fontId="7" fillId="0" borderId="0" xfId="22" applyFont="1" applyAlignment="1">
      <alignment vertical="center"/>
    </xf>
    <xf numFmtId="49" fontId="5" fillId="0" borderId="2" xfId="22" applyNumberFormat="1" applyFont="1" applyBorder="1" applyAlignment="1">
      <alignment horizontal="center" vertical="center"/>
    </xf>
    <xf numFmtId="166" fontId="5" fillId="0" borderId="2" xfId="22" applyNumberFormat="1" applyFont="1" applyBorder="1" applyAlignment="1">
      <alignment horizontal="center" vertical="center"/>
    </xf>
    <xf numFmtId="166" fontId="4" fillId="0" borderId="2" xfId="22" applyNumberFormat="1" applyFont="1" applyBorder="1" applyAlignment="1">
      <alignment horizontal="center" vertical="center"/>
    </xf>
    <xf numFmtId="176" fontId="4" fillId="0" borderId="2" xfId="22" applyNumberFormat="1" applyFont="1" applyBorder="1" applyAlignment="1">
      <alignment horizontal="center" vertical="center"/>
    </xf>
    <xf numFmtId="49" fontId="5" fillId="0" borderId="5" xfId="22" applyNumberFormat="1" applyFont="1" applyBorder="1" applyAlignment="1">
      <alignment horizontal="center" vertical="center"/>
    </xf>
    <xf numFmtId="49" fontId="5" fillId="0" borderId="3" xfId="22" applyNumberFormat="1" applyFont="1" applyBorder="1" applyAlignment="1">
      <alignment horizontal="center" vertical="center"/>
    </xf>
    <xf numFmtId="166" fontId="4" fillId="0" borderId="3" xfId="22" applyNumberFormat="1" applyFont="1" applyBorder="1" applyAlignment="1">
      <alignment horizontal="center" vertical="center"/>
    </xf>
    <xf numFmtId="0" fontId="219" fillId="0" borderId="0" xfId="22" applyFont="1" applyAlignment="1">
      <alignment vertical="center"/>
    </xf>
    <xf numFmtId="0" fontId="155" fillId="0" borderId="0" xfId="22" applyFont="1" applyAlignment="1">
      <alignment vertical="center"/>
    </xf>
    <xf numFmtId="166" fontId="4" fillId="0" borderId="0" xfId="22" applyNumberFormat="1" applyFont="1" applyAlignment="1">
      <alignment vertical="center"/>
    </xf>
    <xf numFmtId="0" fontId="4" fillId="0" borderId="0" xfId="22" applyFont="1" applyAlignment="1">
      <alignment horizontal="center" vertical="center"/>
    </xf>
    <xf numFmtId="0" fontId="235" fillId="0" borderId="0" xfId="0" applyFont="1" applyFill="1" applyBorder="1" applyAlignment="1">
      <alignment horizontal="left" vertical="center" wrapText="1"/>
    </xf>
    <xf numFmtId="186" fontId="22" fillId="0" borderId="0" xfId="28" applyNumberFormat="1" applyFont="1" applyAlignment="1">
      <alignment vertical="center"/>
    </xf>
    <xf numFmtId="0" fontId="4" fillId="0" borderId="2" xfId="0" applyNumberFormat="1" applyFont="1" applyBorder="1" applyAlignment="1">
      <alignment horizontal="center" vertical="center"/>
    </xf>
    <xf numFmtId="0" fontId="154" fillId="11" borderId="0" xfId="22" applyFont="1" applyFill="1" applyBorder="1"/>
    <xf numFmtId="14" fontId="86" fillId="9" borderId="46" xfId="69" applyNumberFormat="1" applyFont="1" applyFill="1" applyBorder="1" applyAlignment="1" applyProtection="1">
      <alignment horizontal="center" vertical="center" wrapText="1"/>
    </xf>
    <xf numFmtId="0" fontId="235" fillId="0" borderId="0" xfId="0" applyFont="1" applyFill="1" applyBorder="1" applyAlignment="1">
      <alignment horizontal="left" vertical="center" wrapText="1"/>
    </xf>
    <xf numFmtId="14" fontId="86" fillId="9" borderId="46" xfId="69" applyNumberFormat="1" applyFont="1" applyFill="1" applyBorder="1" applyAlignment="1" applyProtection="1">
      <alignment horizontal="center" vertical="center" wrapText="1"/>
    </xf>
    <xf numFmtId="14" fontId="86" fillId="9" borderId="45" xfId="69" applyNumberFormat="1" applyFont="1" applyFill="1" applyBorder="1" applyAlignment="1" applyProtection="1">
      <alignment horizontal="center" vertical="center" wrapText="1"/>
    </xf>
    <xf numFmtId="0" fontId="235" fillId="0" borderId="0" xfId="0" applyFont="1" applyFill="1" applyBorder="1" applyAlignment="1">
      <alignment horizontal="left" vertical="center" wrapText="1"/>
    </xf>
    <xf numFmtId="170" fontId="139" fillId="13" borderId="129" xfId="98" applyNumberFormat="1" applyFont="1" applyFill="1" applyBorder="1" applyAlignment="1">
      <alignment horizontal="center" vertical="center" wrapText="1"/>
    </xf>
    <xf numFmtId="3" fontId="17" fillId="0" borderId="2" xfId="0" applyNumberFormat="1" applyFont="1" applyBorder="1" applyAlignment="1">
      <alignment vertical="center"/>
    </xf>
    <xf numFmtId="173" fontId="17" fillId="0" borderId="2" xfId="0" applyNumberFormat="1" applyFont="1" applyBorder="1" applyAlignment="1">
      <alignment vertical="center"/>
    </xf>
    <xf numFmtId="3" fontId="4" fillId="0" borderId="3" xfId="0" applyNumberFormat="1" applyFont="1" applyBorder="1" applyAlignment="1">
      <alignment vertical="center"/>
    </xf>
    <xf numFmtId="14" fontId="86" fillId="9" borderId="46" xfId="69" applyNumberFormat="1" applyFont="1" applyFill="1" applyBorder="1" applyAlignment="1" applyProtection="1">
      <alignment horizontal="center" vertical="center" wrapText="1"/>
    </xf>
    <xf numFmtId="14" fontId="86" fillId="9" borderId="45" xfId="69" applyNumberFormat="1" applyFont="1" applyFill="1" applyBorder="1" applyAlignment="1" applyProtection="1">
      <alignment horizontal="center" vertical="center" wrapText="1"/>
    </xf>
    <xf numFmtId="0" fontId="235" fillId="0" borderId="0" xfId="0" applyFont="1" applyFill="1" applyBorder="1" applyAlignment="1">
      <alignment horizontal="left" vertical="center" wrapText="1"/>
    </xf>
    <xf numFmtId="0" fontId="192" fillId="11" borderId="0" xfId="0" applyFont="1" applyFill="1" applyBorder="1" applyAlignment="1">
      <alignment horizontal="right"/>
    </xf>
    <xf numFmtId="0" fontId="192" fillId="11" borderId="0" xfId="44" applyFont="1" applyFill="1" applyAlignment="1">
      <alignment horizontal="right"/>
    </xf>
    <xf numFmtId="0" fontId="75" fillId="9" borderId="11" xfId="0" applyFont="1" applyFill="1" applyBorder="1" applyAlignment="1">
      <alignment horizontal="center" vertical="center"/>
    </xf>
    <xf numFmtId="0" fontId="75" fillId="9" borderId="6" xfId="0" applyFont="1" applyFill="1" applyBorder="1" applyAlignment="1">
      <alignment horizontal="center" vertical="center"/>
    </xf>
    <xf numFmtId="0" fontId="193" fillId="9" borderId="101" xfId="0" applyFont="1" applyFill="1" applyBorder="1" applyAlignment="1">
      <alignment horizontal="center" vertical="center"/>
    </xf>
    <xf numFmtId="0" fontId="192" fillId="11" borderId="0" xfId="0" applyFont="1" applyFill="1" applyBorder="1" applyAlignment="1">
      <alignment horizontal="right" vertical="center"/>
    </xf>
    <xf numFmtId="0" fontId="349" fillId="0" borderId="85" xfId="3" applyFont="1" applyFill="1" applyBorder="1" applyAlignment="1">
      <alignment horizontal="left" vertical="center"/>
    </xf>
    <xf numFmtId="0" fontId="350" fillId="0" borderId="85" xfId="3" applyFont="1" applyFill="1" applyBorder="1" applyAlignment="1">
      <alignment horizontal="left" vertical="center"/>
    </xf>
    <xf numFmtId="0" fontId="351" fillId="0" borderId="85" xfId="3" applyFont="1" applyFill="1" applyBorder="1" applyAlignment="1">
      <alignment horizontal="left" vertical="center"/>
    </xf>
    <xf numFmtId="0" fontId="253" fillId="0" borderId="85" xfId="3" applyFont="1" applyFill="1" applyBorder="1" applyAlignment="1">
      <alignment horizontal="left" vertical="center"/>
    </xf>
    <xf numFmtId="0" fontId="349" fillId="0" borderId="85" xfId="3" applyFont="1" applyFill="1" applyBorder="1" applyAlignment="1">
      <alignment horizontal="left" vertical="center" indent="2"/>
    </xf>
    <xf numFmtId="0" fontId="350" fillId="0" borderId="85" xfId="3" applyFont="1" applyFill="1" applyBorder="1" applyAlignment="1">
      <alignment horizontal="left" vertical="center" indent="2"/>
    </xf>
    <xf numFmtId="0" fontId="351" fillId="0" borderId="85" xfId="3" applyFont="1" applyFill="1" applyBorder="1" applyAlignment="1">
      <alignment horizontal="left" vertical="center" indent="2"/>
    </xf>
    <xf numFmtId="0" fontId="351" fillId="0" borderId="84" xfId="3" applyFont="1" applyFill="1" applyBorder="1" applyAlignment="1">
      <alignment horizontal="left" vertical="center" indent="2"/>
    </xf>
    <xf numFmtId="0" fontId="192" fillId="11" borderId="0" xfId="44" applyFont="1" applyFill="1" applyAlignment="1"/>
    <xf numFmtId="0" fontId="192" fillId="11" borderId="0" xfId="0" applyFont="1" applyFill="1" applyBorder="1" applyAlignment="1">
      <alignment vertical="center"/>
    </xf>
    <xf numFmtId="0" fontId="253" fillId="0" borderId="85" xfId="3" applyFont="1" applyFill="1" applyBorder="1" applyAlignment="1">
      <alignment horizontal="left"/>
    </xf>
    <xf numFmtId="0" fontId="350" fillId="0" borderId="85" xfId="3" applyFont="1" applyFill="1" applyBorder="1" applyAlignment="1">
      <alignment horizontal="left"/>
    </xf>
    <xf numFmtId="0" fontId="349" fillId="0" borderId="85" xfId="3" applyFont="1" applyFill="1" applyBorder="1" applyAlignment="1">
      <alignment horizontal="left"/>
    </xf>
    <xf numFmtId="0" fontId="351" fillId="0" borderId="85" xfId="3" applyFont="1" applyFill="1" applyBorder="1" applyAlignment="1">
      <alignment horizontal="left"/>
    </xf>
    <xf numFmtId="0" fontId="253" fillId="0" borderId="85" xfId="3" applyFont="1" applyFill="1" applyBorder="1" applyAlignment="1">
      <alignment horizontal="left" vertical="center" wrapText="1"/>
    </xf>
    <xf numFmtId="0" fontId="350" fillId="0" borderId="84" xfId="3" applyFont="1" applyFill="1" applyBorder="1" applyAlignment="1">
      <alignment horizontal="left"/>
    </xf>
    <xf numFmtId="0" fontId="350" fillId="0" borderId="85" xfId="3" applyFont="1" applyFill="1" applyBorder="1" applyAlignment="1">
      <alignment horizontal="left" indent="1"/>
    </xf>
    <xf numFmtId="0" fontId="194" fillId="9" borderId="86" xfId="0" applyFont="1" applyFill="1" applyBorder="1" applyAlignment="1">
      <alignment horizontal="center" vertical="center"/>
    </xf>
    <xf numFmtId="0" fontId="86" fillId="9" borderId="86" xfId="0" applyFont="1" applyFill="1" applyBorder="1" applyAlignment="1">
      <alignment horizontal="center" vertical="center"/>
    </xf>
    <xf numFmtId="0" fontId="86" fillId="9" borderId="96" xfId="0" applyFont="1" applyFill="1" applyBorder="1" applyAlignment="1">
      <alignment horizontal="center" vertical="center"/>
    </xf>
    <xf numFmtId="0" fontId="86" fillId="9" borderId="166" xfId="0" applyFont="1" applyFill="1" applyBorder="1" applyAlignment="1">
      <alignment horizontal="center" vertical="center"/>
    </xf>
    <xf numFmtId="14" fontId="69" fillId="9" borderId="82" xfId="3" applyNumberFormat="1" applyFont="1" applyFill="1" applyBorder="1" applyAlignment="1">
      <alignment vertical="center"/>
    </xf>
    <xf numFmtId="0" fontId="76" fillId="9" borderId="86" xfId="0" applyFont="1" applyFill="1" applyBorder="1" applyAlignment="1">
      <alignment horizontal="center" vertical="center"/>
    </xf>
    <xf numFmtId="0" fontId="76" fillId="9" borderId="96" xfId="0" applyFont="1" applyFill="1" applyBorder="1" applyAlignment="1">
      <alignment horizontal="center" vertical="center"/>
    </xf>
    <xf numFmtId="14" fontId="69" fillId="9" borderId="98" xfId="3" applyNumberFormat="1" applyFont="1" applyFill="1" applyBorder="1" applyAlignment="1">
      <alignment vertical="center"/>
    </xf>
    <xf numFmtId="14" fontId="194" fillId="9" borderId="82" xfId="3" applyNumberFormat="1" applyFont="1" applyFill="1" applyBorder="1" applyAlignment="1">
      <alignment vertical="center"/>
    </xf>
    <xf numFmtId="14" fontId="194" fillId="9" borderId="84" xfId="3" applyNumberFormat="1" applyFont="1" applyFill="1" applyBorder="1" applyAlignment="1">
      <alignment vertical="center"/>
    </xf>
    <xf numFmtId="0" fontId="194" fillId="9" borderId="170" xfId="0" applyFont="1" applyFill="1" applyBorder="1" applyAlignment="1">
      <alignment horizontal="center" vertical="center"/>
    </xf>
    <xf numFmtId="14" fontId="194" fillId="9" borderId="0" xfId="3" applyNumberFormat="1" applyFont="1" applyFill="1" applyBorder="1" applyAlignment="1">
      <alignment vertical="center"/>
    </xf>
    <xf numFmtId="14" fontId="72" fillId="9" borderId="82" xfId="3" applyNumberFormat="1" applyFont="1" applyFill="1" applyBorder="1" applyAlignment="1">
      <alignment vertical="center"/>
    </xf>
    <xf numFmtId="0" fontId="194" fillId="9" borderId="87" xfId="0" applyFont="1" applyFill="1" applyBorder="1" applyAlignment="1">
      <alignment horizontal="center" vertical="center"/>
    </xf>
    <xf numFmtId="0" fontId="71" fillId="9" borderId="96" xfId="0" applyFont="1" applyFill="1" applyBorder="1" applyAlignment="1">
      <alignment horizontal="center" vertical="center"/>
    </xf>
    <xf numFmtId="14" fontId="72" fillId="9" borderId="85" xfId="3" applyNumberFormat="1" applyFont="1" applyFill="1" applyBorder="1" applyAlignment="1">
      <alignment vertical="center"/>
    </xf>
    <xf numFmtId="14" fontId="72" fillId="9" borderId="84" xfId="3" applyNumberFormat="1" applyFont="1" applyFill="1" applyBorder="1" applyAlignment="1">
      <alignment vertical="center"/>
    </xf>
    <xf numFmtId="0" fontId="349" fillId="0" borderId="85" xfId="3" applyFont="1" applyFill="1" applyBorder="1" applyAlignment="1">
      <alignment horizontal="left" indent="2"/>
    </xf>
    <xf numFmtId="0" fontId="351" fillId="0" borderId="85" xfId="3" applyFont="1" applyFill="1" applyBorder="1" applyAlignment="1">
      <alignment horizontal="left" indent="2"/>
    </xf>
    <xf numFmtId="0" fontId="350" fillId="0" borderId="85" xfId="3" applyFont="1" applyFill="1" applyBorder="1" applyAlignment="1">
      <alignment horizontal="left" indent="2"/>
    </xf>
    <xf numFmtId="0" fontId="351" fillId="0" borderId="84" xfId="3" applyFont="1" applyFill="1" applyBorder="1" applyAlignment="1">
      <alignment horizontal="left" indent="2"/>
    </xf>
    <xf numFmtId="0" fontId="350" fillId="0" borderId="165" xfId="3" applyFont="1" applyFill="1" applyBorder="1" applyAlignment="1">
      <alignment horizontal="left" indent="1"/>
    </xf>
    <xf numFmtId="14" fontId="86" fillId="9" borderId="45" xfId="69" applyNumberFormat="1" applyFont="1" applyFill="1" applyBorder="1" applyAlignment="1">
      <alignment horizontal="center" vertical="center" wrapText="1"/>
    </xf>
    <xf numFmtId="201" fontId="122" fillId="0" borderId="0" xfId="69" applyNumberFormat="1" applyFont="1" applyFill="1"/>
    <xf numFmtId="0" fontId="92" fillId="0" borderId="2" xfId="69" applyFont="1" applyBorder="1" applyAlignment="1">
      <alignment vertical="center" wrapText="1"/>
    </xf>
    <xf numFmtId="0" fontId="235" fillId="3" borderId="0" xfId="69" applyFont="1" applyFill="1" applyAlignment="1">
      <alignment vertical="center"/>
    </xf>
    <xf numFmtId="0" fontId="235" fillId="0" borderId="0" xfId="0" applyFont="1" applyFill="1" applyBorder="1" applyAlignment="1">
      <alignment horizontal="left" vertical="center" wrapText="1"/>
    </xf>
    <xf numFmtId="14" fontId="86" fillId="9" borderId="23" xfId="69" applyNumberFormat="1" applyFont="1" applyFill="1" applyBorder="1" applyAlignment="1">
      <alignment horizontal="center" vertical="center" wrapText="1"/>
    </xf>
    <xf numFmtId="170" fontId="87" fillId="3" borderId="2" xfId="94" applyNumberFormat="1" applyFont="1" applyFill="1" applyBorder="1" applyAlignment="1" applyProtection="1">
      <alignment horizontal="right" vertical="center" wrapText="1"/>
    </xf>
    <xf numFmtId="170" fontId="86" fillId="0" borderId="45" xfId="94" applyNumberFormat="1" applyFont="1" applyFill="1" applyBorder="1" applyAlignment="1" applyProtection="1">
      <alignment horizontal="right" wrapText="1"/>
    </xf>
    <xf numFmtId="188" fontId="29" fillId="0" borderId="0" xfId="0" applyNumberFormat="1" applyFont="1" applyFill="1" applyBorder="1" applyAlignment="1">
      <alignment vertical="center"/>
    </xf>
    <xf numFmtId="3" fontId="4" fillId="0" borderId="0" xfId="0" applyNumberFormat="1" applyFont="1" applyAlignment="1">
      <alignment vertical="center"/>
    </xf>
    <xf numFmtId="3" fontId="165" fillId="10" borderId="0" xfId="0" applyNumberFormat="1" applyFont="1" applyFill="1" applyAlignment="1">
      <alignment horizontal="center" vertical="center"/>
    </xf>
    <xf numFmtId="3" fontId="4" fillId="11" borderId="0" xfId="0" applyNumberFormat="1" applyFont="1" applyFill="1" applyAlignment="1">
      <alignment horizontal="center" vertical="center"/>
    </xf>
    <xf numFmtId="3" fontId="5" fillId="0" borderId="2" xfId="0" applyNumberFormat="1" applyFont="1" applyBorder="1" applyAlignment="1">
      <alignment horizontal="center" vertical="center" wrapText="1"/>
    </xf>
    <xf numFmtId="3" fontId="5" fillId="0" borderId="4" xfId="0" applyNumberFormat="1" applyFont="1" applyBorder="1" applyAlignment="1">
      <alignment horizontal="center" vertical="center" wrapText="1"/>
    </xf>
    <xf numFmtId="3" fontId="5" fillId="0" borderId="19" xfId="0" applyNumberFormat="1" applyFont="1" applyBorder="1" applyAlignment="1">
      <alignment horizontal="center" vertical="center"/>
    </xf>
    <xf numFmtId="173" fontId="4" fillId="0" borderId="2" xfId="0" applyNumberFormat="1" applyFont="1" applyBorder="1" applyAlignment="1">
      <alignment vertical="center"/>
    </xf>
    <xf numFmtId="3" fontId="4" fillId="0" borderId="2" xfId="0" applyNumberFormat="1" applyFont="1" applyBorder="1" applyAlignment="1">
      <alignment vertical="center"/>
    </xf>
    <xf numFmtId="0" fontId="10" fillId="0" borderId="3" xfId="38" applyNumberFormat="1" applyFont="1" applyFill="1" applyBorder="1" applyAlignment="1">
      <alignment horizontal="center" vertical="center"/>
    </xf>
    <xf numFmtId="178" fontId="29" fillId="0" borderId="0" xfId="40" applyNumberFormat="1" applyFont="1" applyFill="1" applyAlignment="1">
      <alignment vertical="center"/>
    </xf>
    <xf numFmtId="2" fontId="37" fillId="3" borderId="0" xfId="0" applyNumberFormat="1" applyFont="1" applyFill="1" applyAlignment="1">
      <alignment horizontal="center"/>
    </xf>
    <xf numFmtId="2" fontId="37" fillId="0" borderId="0" xfId="0" applyNumberFormat="1" applyFont="1" applyAlignment="1">
      <alignment horizontal="center"/>
    </xf>
    <xf numFmtId="2" fontId="37" fillId="0" borderId="24" xfId="0" applyNumberFormat="1" applyFont="1" applyBorder="1" applyAlignment="1">
      <alignment horizontal="center"/>
    </xf>
    <xf numFmtId="14" fontId="10" fillId="3" borderId="36" xfId="0" applyNumberFormat="1" applyFont="1" applyFill="1" applyBorder="1" applyAlignment="1">
      <alignment horizontal="left"/>
    </xf>
    <xf numFmtId="0" fontId="6" fillId="3" borderId="36" xfId="0" applyFont="1" applyFill="1" applyBorder="1"/>
    <xf numFmtId="0" fontId="6" fillId="3" borderId="25" xfId="0" applyFont="1" applyFill="1" applyBorder="1"/>
    <xf numFmtId="2" fontId="4" fillId="3" borderId="28" xfId="0" applyNumberFormat="1" applyFont="1" applyFill="1" applyBorder="1" applyAlignment="1">
      <alignment horizontal="center"/>
    </xf>
    <xf numFmtId="0" fontId="211" fillId="11" borderId="18" xfId="69" applyFont="1" applyFill="1" applyBorder="1" applyAlignment="1">
      <alignment horizontal="right" vertical="center" wrapText="1"/>
    </xf>
    <xf numFmtId="0" fontId="91" fillId="0" borderId="2" xfId="69" applyFont="1" applyBorder="1" applyAlignment="1">
      <alignment horizontal="center" vertical="center" wrapText="1"/>
    </xf>
    <xf numFmtId="0" fontId="95" fillId="0" borderId="0" xfId="27" applyFont="1" applyAlignment="1">
      <alignment horizontal="center" vertical="center"/>
    </xf>
    <xf numFmtId="0" fontId="32" fillId="0" borderId="0" xfId="27" applyFont="1" applyAlignment="1">
      <alignment vertical="center"/>
    </xf>
    <xf numFmtId="0" fontId="96" fillId="0" borderId="0" xfId="27" applyFont="1" applyAlignment="1">
      <alignment horizontal="right" wrapText="1"/>
    </xf>
    <xf numFmtId="0" fontId="88" fillId="0" borderId="0" xfId="27" applyFont="1" applyAlignment="1">
      <alignment wrapText="1"/>
    </xf>
    <xf numFmtId="0" fontId="92" fillId="9" borderId="6" xfId="27" applyFont="1" applyFill="1" applyBorder="1" applyAlignment="1">
      <alignment horizontal="left" wrapText="1"/>
    </xf>
    <xf numFmtId="0" fontId="303" fillId="0" borderId="0" xfId="27" applyFont="1" applyAlignment="1">
      <alignment vertical="center"/>
    </xf>
    <xf numFmtId="0" fontId="93" fillId="0" borderId="0" xfId="27" applyFont="1" applyAlignment="1">
      <alignment vertical="center"/>
    </xf>
    <xf numFmtId="4" fontId="127" fillId="9" borderId="6" xfId="27" applyNumberFormat="1" applyFont="1" applyFill="1" applyBorder="1" applyAlignment="1">
      <alignment horizontal="center" vertical="center" wrapText="1"/>
    </xf>
    <xf numFmtId="4" fontId="88" fillId="9" borderId="6" xfId="27" applyNumberFormat="1" applyFont="1" applyFill="1" applyBorder="1" applyAlignment="1">
      <alignment horizontal="center" vertical="center" wrapText="1"/>
    </xf>
    <xf numFmtId="0" fontId="88" fillId="0" borderId="121" xfId="27" applyFont="1" applyBorder="1" applyAlignment="1">
      <alignment horizontal="left" wrapText="1"/>
    </xf>
    <xf numFmtId="3" fontId="127" fillId="0" borderId="64" xfId="27" applyNumberFormat="1" applyFont="1" applyBorder="1" applyAlignment="1">
      <alignment horizontal="center" vertical="center"/>
    </xf>
    <xf numFmtId="3" fontId="127" fillId="0" borderId="134" xfId="27" applyNumberFormat="1" applyFont="1" applyBorder="1" applyAlignment="1">
      <alignment horizontal="center" vertical="center"/>
    </xf>
    <xf numFmtId="3" fontId="127" fillId="3" borderId="123" xfId="27" applyNumberFormat="1" applyFont="1" applyFill="1" applyBorder="1" applyAlignment="1">
      <alignment horizontal="center" vertical="center"/>
    </xf>
    <xf numFmtId="3" fontId="127" fillId="3" borderId="125" xfId="27" applyNumberFormat="1" applyFont="1" applyFill="1" applyBorder="1" applyAlignment="1">
      <alignment horizontal="center" vertical="center"/>
    </xf>
    <xf numFmtId="3" fontId="127" fillId="0" borderId="63" xfId="27" applyNumberFormat="1" applyFont="1" applyBorder="1" applyAlignment="1">
      <alignment horizontal="center" vertical="center"/>
    </xf>
    <xf numFmtId="3" fontId="127" fillId="0" borderId="123" xfId="27" applyNumberFormat="1" applyFont="1" applyBorder="1" applyAlignment="1">
      <alignment horizontal="center" vertical="center"/>
    </xf>
    <xf numFmtId="3" fontId="127" fillId="0" borderId="125" xfId="27" applyNumberFormat="1" applyFont="1" applyBorder="1" applyAlignment="1">
      <alignment horizontal="center" vertical="center"/>
    </xf>
    <xf numFmtId="3" fontId="127" fillId="0" borderId="146" xfId="27" applyNumberFormat="1" applyFont="1" applyBorder="1" applyAlignment="1">
      <alignment horizontal="center" vertical="center"/>
    </xf>
    <xf numFmtId="3" fontId="127" fillId="0" borderId="149" xfId="27" applyNumberFormat="1" applyFont="1" applyBorder="1" applyAlignment="1">
      <alignment horizontal="center" vertical="center"/>
    </xf>
    <xf numFmtId="0" fontId="94" fillId="0" borderId="126" xfId="27" applyFont="1" applyBorder="1" applyAlignment="1">
      <alignment horizontal="left" wrapText="1"/>
    </xf>
    <xf numFmtId="3" fontId="127" fillId="0" borderId="57" xfId="27" applyNumberFormat="1" applyFont="1" applyBorder="1" applyAlignment="1">
      <alignment horizontal="center" vertical="center"/>
    </xf>
    <xf numFmtId="3" fontId="127" fillId="0" borderId="58" xfId="27" applyNumberFormat="1" applyFont="1" applyBorder="1" applyAlignment="1">
      <alignment horizontal="center" vertical="center"/>
    </xf>
    <xf numFmtId="3" fontId="127" fillId="0" borderId="126" xfId="27" applyNumberFormat="1" applyFont="1" applyBorder="1" applyAlignment="1">
      <alignment horizontal="center" vertical="center"/>
    </xf>
    <xf numFmtId="3" fontId="127" fillId="0" borderId="127" xfId="27" applyNumberFormat="1" applyFont="1" applyBorder="1" applyAlignment="1">
      <alignment horizontal="center" vertical="center"/>
    </xf>
    <xf numFmtId="3" fontId="127" fillId="0" borderId="56" xfId="27" applyNumberFormat="1" applyFont="1" applyBorder="1" applyAlignment="1">
      <alignment horizontal="center" vertical="center"/>
    </xf>
    <xf numFmtId="3" fontId="127" fillId="0" borderId="133" xfId="27" applyNumberFormat="1" applyFont="1" applyBorder="1" applyAlignment="1">
      <alignment horizontal="center" vertical="center"/>
    </xf>
    <xf numFmtId="0" fontId="88" fillId="0" borderId="126" xfId="27" applyFont="1" applyBorder="1" applyAlignment="1">
      <alignment horizontal="left" wrapText="1"/>
    </xf>
    <xf numFmtId="0" fontId="89" fillId="0" borderId="126" xfId="27" applyFont="1" applyBorder="1" applyAlignment="1">
      <alignment horizontal="left" wrapText="1"/>
    </xf>
    <xf numFmtId="3" fontId="128" fillId="0" borderId="57" xfId="27" applyNumberFormat="1" applyFont="1" applyBorder="1" applyAlignment="1">
      <alignment horizontal="center" vertical="center"/>
    </xf>
    <xf numFmtId="3" fontId="128" fillId="0" borderId="58" xfId="27" applyNumberFormat="1" applyFont="1" applyBorder="1" applyAlignment="1">
      <alignment horizontal="center" vertical="center"/>
    </xf>
    <xf numFmtId="3" fontId="128" fillId="0" borderId="126" xfId="27" applyNumberFormat="1" applyFont="1" applyBorder="1" applyAlignment="1">
      <alignment horizontal="center" vertical="center"/>
    </xf>
    <xf numFmtId="3" fontId="128" fillId="0" borderId="127" xfId="27" applyNumberFormat="1" applyFont="1" applyBorder="1" applyAlignment="1">
      <alignment horizontal="center" vertical="center"/>
    </xf>
    <xf numFmtId="3" fontId="128" fillId="0" borderId="56" xfId="27" applyNumberFormat="1" applyFont="1" applyBorder="1" applyAlignment="1">
      <alignment horizontal="center" vertical="center"/>
    </xf>
    <xf numFmtId="3" fontId="128" fillId="0" borderId="133" xfId="27" applyNumberFormat="1" applyFont="1" applyBorder="1" applyAlignment="1">
      <alignment horizontal="center" vertical="center"/>
    </xf>
    <xf numFmtId="0" fontId="89" fillId="0" borderId="126" xfId="27" applyFont="1" applyBorder="1" applyAlignment="1">
      <alignment horizontal="left" wrapText="1" indent="1"/>
    </xf>
    <xf numFmtId="178" fontId="93" fillId="0" borderId="0" xfId="27" applyNumberFormat="1" applyFont="1" applyAlignment="1">
      <alignment vertical="center"/>
    </xf>
    <xf numFmtId="0" fontId="89" fillId="0" borderId="126" xfId="27" applyFont="1" applyBorder="1" applyAlignment="1">
      <alignment horizontal="left" wrapText="1" indent="2"/>
    </xf>
    <xf numFmtId="3" fontId="93" fillId="0" borderId="0" xfId="27" applyNumberFormat="1" applyFont="1" applyAlignment="1">
      <alignment vertical="center"/>
    </xf>
    <xf numFmtId="3" fontId="127" fillId="3" borderId="126" xfId="27" applyNumberFormat="1" applyFont="1" applyFill="1" applyBorder="1" applyAlignment="1">
      <alignment horizontal="center" vertical="center"/>
    </xf>
    <xf numFmtId="3" fontId="127" fillId="3" borderId="127" xfId="27" applyNumberFormat="1" applyFont="1" applyFill="1" applyBorder="1" applyAlignment="1">
      <alignment horizontal="center" vertical="center"/>
    </xf>
    <xf numFmtId="3" fontId="128" fillId="3" borderId="127" xfId="27" applyNumberFormat="1" applyFont="1" applyFill="1" applyBorder="1" applyAlignment="1">
      <alignment horizontal="center" vertical="center"/>
    </xf>
    <xf numFmtId="0" fontId="89" fillId="0" borderId="126" xfId="27" applyFont="1" applyBorder="1" applyAlignment="1">
      <alignment horizontal="left"/>
    </xf>
    <xf numFmtId="0" fontId="89" fillId="0" borderId="126" xfId="27" applyFont="1" applyBorder="1" applyAlignment="1">
      <alignment horizontal="left" indent="1"/>
    </xf>
    <xf numFmtId="3" fontId="128" fillId="3" borderId="126" xfId="27" applyNumberFormat="1" applyFont="1" applyFill="1" applyBorder="1" applyAlignment="1">
      <alignment horizontal="center" vertical="center"/>
    </xf>
    <xf numFmtId="178" fontId="93" fillId="0" borderId="0" xfId="93" applyNumberFormat="1" applyFont="1" applyFill="1" applyAlignment="1">
      <alignment vertical="center"/>
    </xf>
    <xf numFmtId="202" fontId="93" fillId="0" borderId="0" xfId="2618" applyNumberFormat="1" applyFont="1" applyFill="1" applyAlignment="1">
      <alignment vertical="center"/>
    </xf>
    <xf numFmtId="3" fontId="127" fillId="3" borderId="56" xfId="27" applyNumberFormat="1" applyFont="1" applyFill="1" applyBorder="1" applyAlignment="1">
      <alignment horizontal="center" vertical="center"/>
    </xf>
    <xf numFmtId="3" fontId="127" fillId="3" borderId="58" xfId="27" applyNumberFormat="1" applyFont="1" applyFill="1" applyBorder="1" applyAlignment="1">
      <alignment horizontal="center" vertical="center"/>
    </xf>
    <xf numFmtId="3" fontId="128" fillId="3" borderId="56" xfId="27" applyNumberFormat="1" applyFont="1" applyFill="1" applyBorder="1" applyAlignment="1">
      <alignment horizontal="center" vertical="center"/>
    </xf>
    <xf numFmtId="3" fontId="128" fillId="3" borderId="58" xfId="27" applyNumberFormat="1" applyFont="1" applyFill="1" applyBorder="1" applyAlignment="1">
      <alignment horizontal="center" vertical="center"/>
    </xf>
    <xf numFmtId="3" fontId="127" fillId="0" borderId="57" xfId="27" applyNumberFormat="1" applyFont="1" applyBorder="1" applyAlignment="1">
      <alignment horizontal="center" vertical="center" wrapText="1"/>
    </xf>
    <xf numFmtId="3" fontId="127" fillId="0" borderId="58" xfId="27" applyNumberFormat="1" applyFont="1" applyBorder="1" applyAlignment="1">
      <alignment horizontal="center" vertical="center" wrapText="1"/>
    </xf>
    <xf numFmtId="3" fontId="127" fillId="3" borderId="126" xfId="27" applyNumberFormat="1" applyFont="1" applyFill="1" applyBorder="1" applyAlignment="1">
      <alignment horizontal="center" vertical="center" wrapText="1"/>
    </xf>
    <xf numFmtId="3" fontId="127" fillId="3" borderId="127" xfId="27" applyNumberFormat="1" applyFont="1" applyFill="1" applyBorder="1" applyAlignment="1">
      <alignment horizontal="center" vertical="center" wrapText="1"/>
    </xf>
    <xf numFmtId="3" fontId="127" fillId="0" borderId="56" xfId="27" applyNumberFormat="1" applyFont="1" applyBorder="1" applyAlignment="1">
      <alignment horizontal="center" vertical="center" wrapText="1"/>
    </xf>
    <xf numFmtId="3" fontId="127" fillId="0" borderId="126" xfId="27" applyNumberFormat="1" applyFont="1" applyBorder="1" applyAlignment="1">
      <alignment horizontal="center" vertical="center" wrapText="1"/>
    </xf>
    <xf numFmtId="3" fontId="127" fillId="0" borderId="127" xfId="27" applyNumberFormat="1" applyFont="1" applyBorder="1" applyAlignment="1">
      <alignment horizontal="center" vertical="center" wrapText="1"/>
    </xf>
    <xf numFmtId="3" fontId="127" fillId="0" borderId="133" xfId="27" applyNumberFormat="1" applyFont="1" applyBorder="1" applyAlignment="1">
      <alignment horizontal="center" vertical="center" wrapText="1"/>
    </xf>
    <xf numFmtId="0" fontId="88" fillId="0" borderId="128" xfId="27" applyFont="1" applyBorder="1" applyAlignment="1">
      <alignment horizontal="left" wrapText="1"/>
    </xf>
    <xf numFmtId="3" fontId="127" fillId="0" borderId="129" xfId="27" applyNumberFormat="1" applyFont="1" applyBorder="1" applyAlignment="1">
      <alignment horizontal="center" vertical="center" wrapText="1"/>
    </xf>
    <xf numFmtId="3" fontId="127" fillId="0" borderId="135" xfId="27" applyNumberFormat="1" applyFont="1" applyBorder="1" applyAlignment="1">
      <alignment horizontal="center" vertical="center" wrapText="1"/>
    </xf>
    <xf numFmtId="3" fontId="127" fillId="0" borderId="136" xfId="27" applyNumberFormat="1" applyFont="1" applyBorder="1" applyAlignment="1">
      <alignment horizontal="center" vertical="center" wrapText="1"/>
    </xf>
    <xf numFmtId="3" fontId="127" fillId="0" borderId="128" xfId="27" applyNumberFormat="1" applyFont="1" applyBorder="1" applyAlignment="1">
      <alignment horizontal="center" vertical="center" wrapText="1"/>
    </xf>
    <xf numFmtId="3" fontId="127" fillId="0" borderId="130" xfId="27" applyNumberFormat="1" applyFont="1" applyBorder="1" applyAlignment="1">
      <alignment horizontal="center" vertical="center" wrapText="1"/>
    </xf>
    <xf numFmtId="3" fontId="127" fillId="0" borderId="145" xfId="27" applyNumberFormat="1" applyFont="1" applyBorder="1" applyAlignment="1">
      <alignment horizontal="center" vertical="center" wrapText="1"/>
    </xf>
    <xf numFmtId="178" fontId="93" fillId="0" borderId="0" xfId="2618" applyNumberFormat="1" applyFont="1" applyFill="1" applyAlignment="1">
      <alignment vertical="center"/>
    </xf>
    <xf numFmtId="0" fontId="32" fillId="0" borderId="0" xfId="27" applyFont="1" applyAlignment="1">
      <alignment horizontal="left"/>
    </xf>
    <xf numFmtId="173" fontId="32" fillId="0" borderId="0" xfId="27" applyNumberFormat="1" applyFont="1" applyAlignment="1">
      <alignment vertical="center"/>
    </xf>
    <xf numFmtId="4" fontId="126" fillId="0" borderId="0" xfId="27" applyNumberFormat="1" applyFont="1" applyAlignment="1">
      <alignment horizontal="center" vertical="center"/>
    </xf>
    <xf numFmtId="0" fontId="32" fillId="0" borderId="4" xfId="27" applyFont="1" applyBorder="1" applyAlignment="1">
      <alignment vertical="center"/>
    </xf>
    <xf numFmtId="4" fontId="32" fillId="0" borderId="0" xfId="27" applyNumberFormat="1" applyFont="1" applyAlignment="1">
      <alignment horizontal="center" vertical="center"/>
    </xf>
    <xf numFmtId="0" fontId="123" fillId="0" borderId="0" xfId="69" applyFont="1"/>
    <xf numFmtId="0" fontId="122" fillId="0" borderId="0" xfId="69" applyFont="1"/>
    <xf numFmtId="9" fontId="128" fillId="0" borderId="0" xfId="72" applyFont="1" applyFill="1"/>
    <xf numFmtId="0" fontId="128" fillId="0" borderId="0" xfId="69" applyFont="1"/>
    <xf numFmtId="14" fontId="193" fillId="9" borderId="42" xfId="69" applyNumberFormat="1" applyFont="1" applyFill="1" applyBorder="1" applyAlignment="1">
      <alignment horizontal="center" vertical="center" wrapText="1"/>
    </xf>
    <xf numFmtId="14" fontId="244" fillId="9" borderId="45" xfId="69" applyNumberFormat="1" applyFont="1" applyFill="1" applyBorder="1" applyAlignment="1">
      <alignment horizontal="center" vertical="center" wrapText="1"/>
    </xf>
    <xf numFmtId="0" fontId="246" fillId="0" borderId="20" xfId="69" applyFont="1" applyBorder="1" applyAlignment="1">
      <alignment horizontal="left" vertical="center" wrapText="1" indent="3"/>
    </xf>
    <xf numFmtId="170" fontId="244" fillId="0" borderId="171" xfId="94" applyNumberFormat="1" applyFont="1" applyFill="1" applyBorder="1" applyAlignment="1" applyProtection="1">
      <alignment horizontal="right" vertical="center" wrapText="1"/>
    </xf>
    <xf numFmtId="49" fontId="247" fillId="0" borderId="36" xfId="69" applyNumberFormat="1" applyFont="1" applyBorder="1" applyAlignment="1">
      <alignment horizontal="left" vertical="center" wrapText="1" indent="4"/>
    </xf>
    <xf numFmtId="170" fontId="245" fillId="0" borderId="35" xfId="94" applyNumberFormat="1" applyFont="1" applyFill="1" applyBorder="1" applyAlignment="1" applyProtection="1">
      <alignment horizontal="right" vertical="center" wrapText="1"/>
    </xf>
    <xf numFmtId="49" fontId="247" fillId="0" borderId="25" xfId="69" applyNumberFormat="1" applyFont="1" applyBorder="1" applyAlignment="1">
      <alignment horizontal="left" vertical="center" wrapText="1" indent="4"/>
    </xf>
    <xf numFmtId="170" fontId="245" fillId="0" borderId="29" xfId="94" applyNumberFormat="1" applyFont="1" applyFill="1" applyBorder="1" applyAlignment="1" applyProtection="1">
      <alignment horizontal="right" vertical="center" wrapText="1"/>
    </xf>
    <xf numFmtId="3" fontId="4" fillId="9" borderId="10" xfId="0" applyNumberFormat="1" applyFont="1" applyFill="1" applyBorder="1" applyAlignment="1">
      <alignment horizontal="center" vertical="center"/>
    </xf>
    <xf numFmtId="3" fontId="4" fillId="9" borderId="11" xfId="0" applyNumberFormat="1" applyFont="1" applyFill="1" applyBorder="1" applyAlignment="1">
      <alignment horizontal="center" vertical="center"/>
    </xf>
    <xf numFmtId="3" fontId="4" fillId="9" borderId="9" xfId="0" applyNumberFormat="1" applyFont="1" applyFill="1" applyBorder="1" applyAlignment="1">
      <alignment horizontal="center" vertical="center"/>
    </xf>
    <xf numFmtId="3" fontId="27" fillId="0" borderId="0" xfId="0" applyNumberFormat="1" applyFont="1" applyAlignment="1">
      <alignment horizontal="center" vertical="center"/>
    </xf>
    <xf numFmtId="3" fontId="165" fillId="0" borderId="0" xfId="0" applyNumberFormat="1" applyFont="1" applyAlignment="1">
      <alignment vertical="center"/>
    </xf>
    <xf numFmtId="3" fontId="168" fillId="11" borderId="0" xfId="0" applyNumberFormat="1" applyFont="1" applyFill="1" applyAlignment="1">
      <alignment horizontal="right" vertical="center"/>
    </xf>
    <xf numFmtId="3" fontId="28" fillId="9" borderId="164" xfId="0" applyNumberFormat="1" applyFont="1" applyFill="1" applyBorder="1" applyAlignment="1">
      <alignment horizontal="center" vertical="center" wrapText="1" shrinkToFit="1"/>
    </xf>
    <xf numFmtId="3" fontId="4" fillId="0" borderId="0" xfId="0" applyNumberFormat="1" applyFont="1" applyAlignment="1">
      <alignment horizontal="center" vertical="center"/>
    </xf>
    <xf numFmtId="3" fontId="5" fillId="0" borderId="1" xfId="0" applyNumberFormat="1" applyFont="1" applyBorder="1" applyAlignment="1">
      <alignment horizontal="left" vertical="center" wrapText="1" shrinkToFit="1"/>
    </xf>
    <xf numFmtId="3" fontId="5" fillId="0" borderId="164" xfId="0" applyNumberFormat="1" applyFont="1" applyBorder="1" applyAlignment="1">
      <alignment horizontal="center" vertical="center" wrapText="1"/>
    </xf>
    <xf numFmtId="3" fontId="5" fillId="4" borderId="164" xfId="0" applyNumberFormat="1" applyFont="1" applyFill="1" applyBorder="1" applyAlignment="1">
      <alignment horizontal="center" vertical="center" wrapText="1"/>
    </xf>
    <xf numFmtId="3" fontId="5" fillId="0" borderId="1" xfId="0" applyNumberFormat="1" applyFont="1" applyBorder="1" applyAlignment="1">
      <alignment horizontal="center" vertical="center" wrapText="1"/>
    </xf>
    <xf numFmtId="3" fontId="18" fillId="0" borderId="164" xfId="0" applyNumberFormat="1" applyFont="1" applyBorder="1" applyAlignment="1">
      <alignment horizontal="left" vertical="center" wrapText="1"/>
    </xf>
    <xf numFmtId="3" fontId="4" fillId="0" borderId="0" xfId="0" applyNumberFormat="1" applyFont="1" applyAlignment="1">
      <alignment horizontal="center" vertical="center" wrapText="1"/>
    </xf>
    <xf numFmtId="3" fontId="5" fillId="0" borderId="2" xfId="0" applyNumberFormat="1" applyFont="1" applyBorder="1" applyAlignment="1">
      <alignment horizontal="left" vertical="center" wrapText="1" shrinkToFit="1"/>
    </xf>
    <xf numFmtId="3" fontId="4" fillId="0" borderId="5" xfId="0" applyNumberFormat="1" applyFont="1" applyBorder="1" applyAlignment="1">
      <alignment horizontal="center" vertical="center" wrapText="1"/>
    </xf>
    <xf numFmtId="3" fontId="5" fillId="0" borderId="0" xfId="0" applyNumberFormat="1" applyFont="1" applyAlignment="1">
      <alignment horizontal="center" vertical="center" wrapText="1"/>
    </xf>
    <xf numFmtId="3" fontId="18" fillId="0" borderId="4" xfId="0" applyNumberFormat="1" applyFont="1" applyBorder="1" applyAlignment="1">
      <alignment horizontal="left" vertical="center" wrapText="1"/>
    </xf>
    <xf numFmtId="3" fontId="4" fillId="0" borderId="2" xfId="0" applyNumberFormat="1" applyFont="1" applyBorder="1" applyAlignment="1">
      <alignment horizontal="left" vertical="center" wrapText="1"/>
    </xf>
    <xf numFmtId="3" fontId="5" fillId="0" borderId="2" xfId="0" applyNumberFormat="1" applyFont="1" applyBorder="1" applyAlignment="1">
      <alignment horizontal="left" vertical="center" wrapText="1"/>
    </xf>
    <xf numFmtId="3" fontId="4" fillId="0" borderId="5" xfId="0" applyNumberFormat="1" applyFont="1" applyBorder="1" applyAlignment="1">
      <alignment vertical="center"/>
    </xf>
    <xf numFmtId="3" fontId="18" fillId="0" borderId="4" xfId="0" applyNumberFormat="1" applyFont="1" applyBorder="1" applyAlignment="1">
      <alignment vertical="center"/>
    </xf>
    <xf numFmtId="3" fontId="19" fillId="0" borderId="2" xfId="0" applyNumberFormat="1" applyFont="1" applyBorder="1" applyAlignment="1">
      <alignment horizontal="left" vertical="center" wrapText="1"/>
    </xf>
    <xf numFmtId="3" fontId="20" fillId="0" borderId="4" xfId="0" applyNumberFormat="1" applyFont="1" applyBorder="1" applyAlignment="1">
      <alignment horizontal="left" vertical="center" wrapText="1"/>
    </xf>
    <xf numFmtId="3" fontId="17" fillId="0" borderId="2" xfId="0" applyNumberFormat="1" applyFont="1" applyBorder="1" applyAlignment="1">
      <alignment horizontal="left" vertical="center" wrapText="1"/>
    </xf>
    <xf numFmtId="3" fontId="116" fillId="0" borderId="4" xfId="0" applyNumberFormat="1" applyFont="1" applyBorder="1" applyAlignment="1">
      <alignment horizontal="center" vertical="center" wrapText="1"/>
    </xf>
    <xf numFmtId="3" fontId="11" fillId="0" borderId="2" xfId="0" applyNumberFormat="1" applyFont="1" applyBorder="1" applyAlignment="1">
      <alignment horizontal="left" vertical="center" wrapText="1"/>
    </xf>
    <xf numFmtId="3" fontId="18" fillId="0" borderId="4" xfId="0" applyNumberFormat="1" applyFont="1" applyBorder="1" applyAlignment="1">
      <alignment horizontal="left" vertical="center"/>
    </xf>
    <xf numFmtId="3" fontId="4" fillId="0" borderId="5" xfId="0" applyNumberFormat="1" applyFont="1" applyBorder="1" applyAlignment="1">
      <alignment horizontal="center" vertical="center"/>
    </xf>
    <xf numFmtId="3" fontId="5" fillId="0" borderId="2" xfId="0" applyNumberFormat="1" applyFont="1" applyBorder="1" applyAlignment="1">
      <alignment horizontal="left" vertical="center"/>
    </xf>
    <xf numFmtId="3" fontId="5" fillId="0" borderId="4" xfId="0" applyNumberFormat="1" applyFont="1" applyBorder="1" applyAlignment="1">
      <alignment horizontal="center" vertical="center"/>
    </xf>
    <xf numFmtId="3" fontId="116" fillId="0" borderId="4" xfId="0" applyNumberFormat="1" applyFont="1" applyBorder="1" applyAlignment="1">
      <alignment horizontal="center" vertical="center"/>
    </xf>
    <xf numFmtId="3" fontId="117" fillId="0" borderId="4" xfId="0" applyNumberFormat="1" applyFont="1" applyBorder="1" applyAlignment="1">
      <alignment horizontal="center" vertical="center"/>
    </xf>
    <xf numFmtId="3" fontId="5" fillId="0" borderId="0" xfId="0" applyNumberFormat="1" applyFont="1" applyAlignment="1">
      <alignment horizontal="center" vertical="center"/>
    </xf>
    <xf numFmtId="3" fontId="5" fillId="0" borderId="3" xfId="0" applyNumberFormat="1" applyFont="1" applyBorder="1" applyAlignment="1">
      <alignment horizontal="left" vertical="center" wrapText="1"/>
    </xf>
    <xf numFmtId="3" fontId="5" fillId="0" borderId="18" xfId="0" applyNumberFormat="1" applyFont="1" applyBorder="1" applyAlignment="1">
      <alignment horizontal="center" vertical="center"/>
    </xf>
    <xf numFmtId="3" fontId="5" fillId="0" borderId="3" xfId="0" applyNumberFormat="1" applyFont="1" applyBorder="1" applyAlignment="1">
      <alignment horizontal="center" vertical="center"/>
    </xf>
    <xf numFmtId="3" fontId="18" fillId="0" borderId="19" xfId="0" applyNumberFormat="1" applyFont="1" applyBorder="1" applyAlignment="1">
      <alignment horizontal="left" vertical="center" wrapText="1"/>
    </xf>
    <xf numFmtId="3" fontId="219" fillId="0" borderId="0" xfId="0" applyNumberFormat="1" applyFont="1" applyAlignment="1">
      <alignment vertical="center"/>
    </xf>
    <xf numFmtId="3" fontId="4" fillId="4" borderId="0" xfId="0" applyNumberFormat="1" applyFont="1" applyFill="1" applyAlignment="1">
      <alignment vertical="center"/>
    </xf>
    <xf numFmtId="14" fontId="10" fillId="3" borderId="4" xfId="0" applyNumberFormat="1" applyFont="1" applyFill="1" applyBorder="1" applyAlignment="1">
      <alignment horizontal="left"/>
    </xf>
    <xf numFmtId="166" fontId="25" fillId="3" borderId="2" xfId="0" applyNumberFormat="1" applyFont="1" applyFill="1" applyBorder="1" applyAlignment="1">
      <alignment horizontal="center" vertical="center"/>
    </xf>
    <xf numFmtId="1" fontId="29" fillId="0" borderId="17" xfId="38" applyNumberFormat="1" applyFont="1" applyBorder="1" applyAlignment="1">
      <alignment horizontal="center" vertical="center"/>
    </xf>
    <xf numFmtId="4" fontId="29" fillId="0" borderId="19" xfId="38" applyNumberFormat="1" applyFont="1" applyBorder="1" applyAlignment="1">
      <alignment horizontal="center" vertical="center"/>
    </xf>
    <xf numFmtId="0" fontId="140" fillId="9" borderId="113" xfId="0" applyFont="1" applyFill="1" applyBorder="1" applyAlignment="1">
      <alignment horizontal="center" vertical="center"/>
    </xf>
    <xf numFmtId="0" fontId="193" fillId="9" borderId="101" xfId="0" applyFont="1" applyFill="1" applyBorder="1" applyAlignment="1">
      <alignment horizontal="center" vertical="center"/>
    </xf>
    <xf numFmtId="0" fontId="140" fillId="9" borderId="114" xfId="0" applyFont="1" applyFill="1" applyBorder="1" applyAlignment="1">
      <alignment vertical="center"/>
    </xf>
    <xf numFmtId="0" fontId="140" fillId="9" borderId="110" xfId="0" applyFont="1" applyFill="1" applyBorder="1" applyAlignment="1">
      <alignment vertical="center"/>
    </xf>
    <xf numFmtId="0" fontId="305" fillId="0" borderId="131" xfId="22" applyFont="1" applyBorder="1" applyAlignment="1">
      <alignment vertical="center" wrapText="1"/>
    </xf>
    <xf numFmtId="0" fontId="305" fillId="0" borderId="132" xfId="22" applyFont="1" applyBorder="1" applyAlignment="1">
      <alignment vertical="center" wrapText="1"/>
    </xf>
    <xf numFmtId="0" fontId="305" fillId="0" borderId="138" xfId="22" applyFont="1" applyBorder="1" applyAlignment="1">
      <alignment vertical="center" wrapText="1"/>
    </xf>
    <xf numFmtId="2" fontId="103" fillId="0" borderId="3" xfId="0" applyNumberFormat="1" applyFont="1" applyBorder="1" applyAlignment="1">
      <alignment horizontal="center" vertical="center"/>
    </xf>
    <xf numFmtId="0" fontId="103" fillId="0" borderId="18" xfId="0" applyFont="1" applyBorder="1" applyAlignment="1">
      <alignment vertical="center"/>
    </xf>
    <xf numFmtId="170" fontId="122" fillId="0" borderId="0" xfId="69" applyNumberFormat="1" applyFont="1" applyFill="1"/>
    <xf numFmtId="199" fontId="142" fillId="0" borderId="0" xfId="69" applyNumberFormat="1" applyFont="1" applyFill="1"/>
    <xf numFmtId="49" fontId="16" fillId="0" borderId="0" xfId="0" applyNumberFormat="1" applyFont="1" applyAlignment="1">
      <alignment horizontal="center" vertical="center"/>
    </xf>
    <xf numFmtId="166" fontId="7" fillId="0" borderId="2" xfId="0" applyNumberFormat="1" applyFont="1" applyBorder="1" applyAlignment="1">
      <alignment horizontal="center" vertical="center"/>
    </xf>
    <xf numFmtId="168" fontId="7" fillId="0" borderId="2" xfId="0" applyNumberFormat="1" applyFont="1" applyBorder="1" applyAlignment="1">
      <alignment horizontal="center" vertical="center"/>
    </xf>
    <xf numFmtId="166" fontId="8" fillId="0" borderId="2" xfId="0" applyNumberFormat="1" applyFont="1" applyBorder="1" applyAlignment="1">
      <alignment horizontal="center" vertical="center"/>
    </xf>
    <xf numFmtId="168" fontId="8" fillId="0" borderId="2" xfId="0" applyNumberFormat="1" applyFont="1" applyBorder="1" applyAlignment="1">
      <alignment horizontal="center" vertical="center"/>
    </xf>
    <xf numFmtId="166" fontId="109" fillId="0" borderId="2" xfId="0" applyNumberFormat="1" applyFont="1" applyBorder="1" applyAlignment="1">
      <alignment horizontal="center" vertical="center"/>
    </xf>
    <xf numFmtId="49" fontId="25" fillId="0" borderId="7" xfId="0" applyNumberFormat="1" applyFont="1" applyBorder="1" applyAlignment="1">
      <alignment horizontal="center" vertical="center"/>
    </xf>
    <xf numFmtId="3" fontId="4" fillId="0" borderId="163" xfId="0" applyNumberFormat="1" applyFont="1" applyBorder="1" applyAlignment="1">
      <alignment horizontal="centerContinuous" vertical="center"/>
    </xf>
    <xf numFmtId="173" fontId="4" fillId="0" borderId="163" xfId="0" applyNumberFormat="1" applyFont="1" applyBorder="1" applyAlignment="1">
      <alignment horizontal="centerContinuous" vertical="center"/>
    </xf>
    <xf numFmtId="3" fontId="8" fillId="0" borderId="0" xfId="0" applyNumberFormat="1" applyFont="1" applyAlignment="1">
      <alignment vertical="center"/>
    </xf>
    <xf numFmtId="3" fontId="163" fillId="10" borderId="5" xfId="0" applyNumberFormat="1" applyFont="1" applyFill="1" applyBorder="1" applyAlignment="1">
      <alignment horizontal="center" vertical="center"/>
    </xf>
    <xf numFmtId="3" fontId="163" fillId="10" borderId="4" xfId="0" applyNumberFormat="1" applyFont="1" applyFill="1" applyBorder="1" applyAlignment="1">
      <alignment horizontal="center" vertical="center"/>
    </xf>
    <xf numFmtId="3" fontId="5" fillId="0" borderId="0" xfId="0" applyNumberFormat="1" applyFont="1" applyAlignment="1">
      <alignment vertical="center"/>
    </xf>
    <xf numFmtId="49" fontId="4" fillId="0" borderId="1" xfId="0" applyNumberFormat="1" applyFont="1" applyBorder="1" applyAlignment="1">
      <alignment horizontal="center" vertical="center"/>
    </xf>
    <xf numFmtId="3" fontId="4" fillId="0" borderId="1" xfId="0" applyNumberFormat="1" applyFont="1" applyBorder="1" applyAlignment="1">
      <alignment vertical="center"/>
    </xf>
    <xf numFmtId="173" fontId="4" fillId="0" borderId="1" xfId="0" applyNumberFormat="1" applyFont="1" applyBorder="1" applyAlignment="1">
      <alignment vertical="center"/>
    </xf>
    <xf numFmtId="3" fontId="5" fillId="0" borderId="2" xfId="0" applyNumberFormat="1" applyFont="1" applyBorder="1" applyAlignment="1">
      <alignment vertical="center"/>
    </xf>
    <xf numFmtId="173" fontId="5" fillId="0" borderId="2" xfId="0" applyNumberFormat="1" applyFont="1" applyBorder="1" applyAlignment="1">
      <alignment vertical="center"/>
    </xf>
    <xf numFmtId="49" fontId="4" fillId="0" borderId="2" xfId="0" quotePrefix="1" applyNumberFormat="1" applyFont="1" applyBorder="1" applyAlignment="1">
      <alignment horizontal="center" vertical="center"/>
    </xf>
    <xf numFmtId="49" fontId="11" fillId="0" borderId="2" xfId="0" applyNumberFormat="1" applyFont="1" applyBorder="1" applyAlignment="1">
      <alignment horizontal="center" vertical="center"/>
    </xf>
    <xf numFmtId="3" fontId="17" fillId="0" borderId="0" xfId="0" applyNumberFormat="1" applyFont="1" applyAlignment="1">
      <alignment vertical="center"/>
    </xf>
    <xf numFmtId="3" fontId="18" fillId="0" borderId="2" xfId="0" applyNumberFormat="1" applyFont="1" applyBorder="1" applyAlignment="1">
      <alignment vertical="center"/>
    </xf>
    <xf numFmtId="173" fontId="18" fillId="0" borderId="2" xfId="0" applyNumberFormat="1" applyFont="1" applyBorder="1" applyAlignment="1">
      <alignment vertical="center"/>
    </xf>
    <xf numFmtId="3" fontId="5" fillId="0" borderId="0" xfId="0" applyNumberFormat="1" applyFont="1" applyAlignment="1">
      <alignment horizontal="left" vertical="center" wrapText="1"/>
    </xf>
    <xf numFmtId="49" fontId="4" fillId="0" borderId="0" xfId="0" applyNumberFormat="1" applyFont="1" applyAlignment="1">
      <alignment horizontal="center" vertical="center"/>
    </xf>
    <xf numFmtId="173" fontId="4" fillId="0" borderId="0" xfId="0" applyNumberFormat="1" applyFont="1" applyAlignment="1">
      <alignment vertical="center"/>
    </xf>
    <xf numFmtId="192" fontId="4" fillId="0" borderId="0" xfId="0" applyNumberFormat="1" applyFont="1" applyAlignment="1">
      <alignment vertical="center"/>
    </xf>
    <xf numFmtId="14" fontId="244" fillId="9" borderId="46" xfId="69" applyNumberFormat="1" applyFont="1" applyFill="1" applyBorder="1" applyAlignment="1">
      <alignment horizontal="center" vertical="center" wrapText="1"/>
    </xf>
    <xf numFmtId="178" fontId="9" fillId="0" borderId="0" xfId="40" applyNumberFormat="1" applyFont="1" applyFill="1" applyBorder="1" applyAlignment="1">
      <alignment horizontal="center" vertical="center" wrapText="1"/>
    </xf>
    <xf numFmtId="203" fontId="139" fillId="13" borderId="57" xfId="98" applyNumberFormat="1" applyFont="1" applyFill="1" applyBorder="1" applyAlignment="1">
      <alignment horizontal="right" vertical="center" wrapText="1"/>
    </xf>
    <xf numFmtId="3" fontId="118" fillId="0" borderId="2" xfId="0" quotePrefix="1" applyNumberFormat="1" applyFont="1" applyBorder="1" applyAlignment="1">
      <alignment horizontal="center" vertical="center" wrapText="1"/>
    </xf>
    <xf numFmtId="10" fontId="138" fillId="0" borderId="2" xfId="40" applyNumberFormat="1" applyFont="1" applyBorder="1" applyAlignment="1">
      <alignment horizontal="center" vertical="center"/>
    </xf>
    <xf numFmtId="181" fontId="118" fillId="0" borderId="2" xfId="4" applyNumberFormat="1" applyFont="1" applyFill="1" applyBorder="1" applyAlignment="1">
      <alignment horizontal="center" vertical="center"/>
    </xf>
    <xf numFmtId="10" fontId="118" fillId="0" borderId="2" xfId="40" quotePrefix="1" applyNumberFormat="1" applyFont="1" applyFill="1" applyBorder="1" applyAlignment="1">
      <alignment horizontal="center" vertical="center" wrapText="1"/>
    </xf>
    <xf numFmtId="181" fontId="118" fillId="0" borderId="2" xfId="4" quotePrefix="1" applyNumberFormat="1" applyFont="1" applyFill="1" applyBorder="1" applyAlignment="1">
      <alignment horizontal="center" vertical="center" wrapText="1"/>
    </xf>
    <xf numFmtId="3" fontId="212" fillId="0" borderId="2" xfId="0" quotePrefix="1" applyNumberFormat="1" applyFont="1" applyBorder="1" applyAlignment="1">
      <alignment horizontal="center" vertical="center" wrapText="1"/>
    </xf>
    <xf numFmtId="10" fontId="212" fillId="0" borderId="2" xfId="40" quotePrefix="1" applyNumberFormat="1" applyFont="1" applyFill="1" applyBorder="1" applyAlignment="1">
      <alignment horizontal="center" vertical="center" wrapText="1"/>
    </xf>
    <xf numFmtId="181" fontId="119" fillId="0" borderId="2" xfId="4" applyNumberFormat="1" applyFont="1" applyFill="1" applyBorder="1" applyAlignment="1">
      <alignment horizontal="center" vertical="center"/>
    </xf>
    <xf numFmtId="10" fontId="212" fillId="0" borderId="2" xfId="40" quotePrefix="1" applyNumberFormat="1" applyFont="1" applyFill="1" applyBorder="1" applyAlignment="1">
      <alignment horizontal="center" vertical="center"/>
    </xf>
    <xf numFmtId="181" fontId="212" fillId="0" borderId="2" xfId="4" quotePrefix="1" applyNumberFormat="1" applyFont="1" applyFill="1" applyBorder="1" applyAlignment="1">
      <alignment horizontal="center" vertical="center"/>
    </xf>
    <xf numFmtId="3" fontId="119" fillId="0" borderId="2" xfId="0" applyNumberFormat="1" applyFont="1" applyBorder="1" applyAlignment="1">
      <alignment horizontal="center" vertical="center"/>
    </xf>
    <xf numFmtId="10" fontId="119" fillId="0" borderId="2" xfId="40" applyNumberFormat="1" applyFont="1" applyBorder="1" applyAlignment="1">
      <alignment horizontal="center" vertical="center"/>
    </xf>
    <xf numFmtId="170" fontId="119" fillId="0" borderId="2" xfId="4" applyNumberFormat="1" applyFont="1" applyFill="1" applyBorder="1" applyAlignment="1">
      <alignment horizontal="center" vertical="center"/>
    </xf>
    <xf numFmtId="2" fontId="119" fillId="0" borderId="2" xfId="40" applyNumberFormat="1" applyFont="1" applyFill="1" applyBorder="1" applyAlignment="1">
      <alignment horizontal="center" vertical="center"/>
    </xf>
    <xf numFmtId="3" fontId="119" fillId="0" borderId="3" xfId="0" applyNumberFormat="1" applyFont="1" applyBorder="1" applyAlignment="1">
      <alignment horizontal="center" vertical="center"/>
    </xf>
    <xf numFmtId="181" fontId="119" fillId="0" borderId="3" xfId="4" applyNumberFormat="1" applyFont="1" applyFill="1" applyBorder="1" applyAlignment="1">
      <alignment horizontal="center" vertical="center"/>
    </xf>
    <xf numFmtId="3" fontId="138" fillId="0" borderId="2" xfId="0" applyNumberFormat="1" applyFont="1" applyBorder="1" applyAlignment="1">
      <alignment horizontal="center" vertical="center"/>
    </xf>
    <xf numFmtId="3" fontId="119" fillId="0" borderId="2" xfId="0" quotePrefix="1" applyNumberFormat="1" applyFont="1" applyBorder="1" applyAlignment="1">
      <alignment horizontal="center" vertical="center" wrapText="1"/>
    </xf>
    <xf numFmtId="3" fontId="212" fillId="0" borderId="2" xfId="0" applyNumberFormat="1" applyFont="1" applyBorder="1" applyAlignment="1">
      <alignment horizontal="center" vertical="center"/>
    </xf>
    <xf numFmtId="2" fontId="4" fillId="0" borderId="2" xfId="0" applyNumberFormat="1" applyFont="1" applyBorder="1" applyAlignment="1">
      <alignment horizontal="center"/>
    </xf>
    <xf numFmtId="0" fontId="6" fillId="3" borderId="29" xfId="0" applyFont="1" applyFill="1" applyBorder="1"/>
    <xf numFmtId="165" fontId="122" fillId="0" borderId="0" xfId="69" applyNumberFormat="1" applyFont="1"/>
    <xf numFmtId="2" fontId="122" fillId="0" borderId="0" xfId="72" applyNumberFormat="1" applyFont="1" applyFill="1"/>
    <xf numFmtId="0" fontId="188" fillId="10" borderId="0" xfId="69" applyFont="1" applyFill="1" applyAlignment="1">
      <alignment horizontal="center" vertical="center" wrapText="1"/>
    </xf>
    <xf numFmtId="0" fontId="247" fillId="0" borderId="42" xfId="69" applyFont="1" applyBorder="1" applyAlignment="1">
      <alignment horizontal="left" vertical="center" wrapText="1"/>
    </xf>
    <xf numFmtId="181" fontId="245" fillId="0" borderId="45" xfId="94" applyNumberFormat="1" applyFont="1" applyFill="1" applyBorder="1" applyAlignment="1" applyProtection="1">
      <alignment horizontal="center" vertical="center" wrapText="1"/>
    </xf>
    <xf numFmtId="181" fontId="245" fillId="0" borderId="46" xfId="94" applyNumberFormat="1" applyFont="1" applyFill="1" applyBorder="1" applyAlignment="1" applyProtection="1">
      <alignment horizontal="center" vertical="center" wrapText="1"/>
    </xf>
    <xf numFmtId="0" fontId="226" fillId="3" borderId="163" xfId="0" applyFont="1" applyFill="1" applyBorder="1" applyAlignment="1">
      <alignment vertical="center"/>
    </xf>
    <xf numFmtId="1" fontId="25" fillId="0" borderId="3" xfId="28" applyNumberFormat="1" applyFont="1" applyFill="1" applyBorder="1" applyAlignment="1">
      <alignment horizontal="center" vertical="center"/>
    </xf>
    <xf numFmtId="0" fontId="5" fillId="0" borderId="1" xfId="0" applyFont="1" applyFill="1" applyBorder="1" applyAlignment="1">
      <alignment horizontal="center" vertical="center"/>
    </xf>
    <xf numFmtId="49" fontId="5" fillId="0" borderId="2" xfId="0" applyNumberFormat="1" applyFont="1" applyFill="1" applyBorder="1" applyAlignment="1">
      <alignment horizontal="right" vertical="center"/>
    </xf>
    <xf numFmtId="166" fontId="5" fillId="0" borderId="1" xfId="0" applyNumberFormat="1" applyFont="1" applyFill="1" applyBorder="1" applyAlignment="1">
      <alignment horizontal="center" vertical="center"/>
    </xf>
    <xf numFmtId="166" fontId="5" fillId="0" borderId="2" xfId="0" applyNumberFormat="1" applyFont="1" applyFill="1" applyBorder="1" applyAlignment="1">
      <alignment vertical="center"/>
    </xf>
    <xf numFmtId="166" fontId="5" fillId="0" borderId="164" xfId="0" applyNumberFormat="1" applyFont="1" applyFill="1" applyBorder="1" applyAlignment="1">
      <alignment horizontal="center" vertical="center"/>
    </xf>
    <xf numFmtId="0" fontId="5" fillId="0" borderId="4" xfId="0" applyFont="1" applyFill="1" applyBorder="1" applyAlignment="1">
      <alignment horizontal="center" vertical="center"/>
    </xf>
    <xf numFmtId="166" fontId="22" fillId="3" borderId="3" xfId="0" applyNumberFormat="1" applyFont="1" applyFill="1" applyBorder="1" applyAlignment="1">
      <alignment horizontal="center" vertical="center"/>
    </xf>
    <xf numFmtId="49" fontId="21" fillId="0" borderId="3" xfId="28" applyNumberFormat="1" applyFont="1" applyFill="1" applyBorder="1" applyAlignment="1">
      <alignment horizontal="center" vertical="center"/>
    </xf>
    <xf numFmtId="166" fontId="32" fillId="0" borderId="3" xfId="28" applyNumberFormat="1" applyFont="1" applyFill="1" applyBorder="1" applyAlignment="1">
      <alignment horizontal="center" vertical="center"/>
    </xf>
    <xf numFmtId="0" fontId="47" fillId="0" borderId="3" xfId="0" applyFont="1" applyBorder="1" applyAlignment="1">
      <alignment horizontal="center" vertical="center"/>
    </xf>
    <xf numFmtId="166" fontId="46" fillId="0" borderId="3" xfId="0" applyNumberFormat="1" applyFont="1" applyBorder="1" applyAlignment="1">
      <alignment horizontal="center" vertical="center"/>
    </xf>
    <xf numFmtId="178" fontId="103" fillId="0" borderId="0" xfId="40" applyNumberFormat="1" applyFont="1" applyAlignment="1">
      <alignment vertical="center"/>
    </xf>
    <xf numFmtId="9" fontId="103" fillId="0" borderId="0" xfId="40" applyNumberFormat="1" applyFont="1" applyAlignment="1">
      <alignment vertical="center"/>
    </xf>
    <xf numFmtId="0" fontId="92" fillId="9" borderId="5" xfId="69" applyFont="1" applyFill="1" applyBorder="1" applyAlignment="1">
      <alignment horizontal="center" vertical="center" wrapText="1"/>
    </xf>
    <xf numFmtId="3" fontId="17" fillId="0" borderId="5" xfId="0" applyNumberFormat="1" applyFont="1" applyBorder="1" applyAlignment="1">
      <alignment vertical="center"/>
    </xf>
    <xf numFmtId="3" fontId="17" fillId="0" borderId="4" xfId="0" applyNumberFormat="1" applyFont="1" applyBorder="1" applyAlignment="1">
      <alignment vertical="center"/>
    </xf>
    <xf numFmtId="3" fontId="4" fillId="0" borderId="4" xfId="0" applyNumberFormat="1" applyFont="1" applyBorder="1" applyAlignment="1">
      <alignment vertical="center"/>
    </xf>
    <xf numFmtId="173" fontId="18" fillId="0" borderId="0" xfId="0" applyNumberFormat="1" applyFont="1" applyAlignment="1">
      <alignment vertical="center"/>
    </xf>
    <xf numFmtId="3" fontId="4" fillId="0" borderId="17" xfId="0" applyNumberFormat="1" applyFont="1" applyBorder="1" applyAlignment="1">
      <alignment vertical="center"/>
    </xf>
    <xf numFmtId="173" fontId="18" fillId="0" borderId="3" xfId="0" applyNumberFormat="1" applyFont="1" applyBorder="1" applyAlignment="1">
      <alignment vertical="center"/>
    </xf>
    <xf numFmtId="3" fontId="18" fillId="0" borderId="3" xfId="0" applyNumberFormat="1" applyFont="1" applyBorder="1" applyAlignment="1">
      <alignment vertical="center"/>
    </xf>
    <xf numFmtId="204" fontId="139" fillId="13" borderId="57" xfId="98" applyNumberFormat="1" applyFont="1" applyFill="1" applyBorder="1" applyAlignment="1">
      <alignment horizontal="right" vertical="center" wrapText="1"/>
    </xf>
    <xf numFmtId="0" fontId="283" fillId="0" borderId="0" xfId="22" applyFont="1" applyAlignment="1">
      <alignment horizontal="center" vertical="center"/>
    </xf>
    <xf numFmtId="0" fontId="162" fillId="10" borderId="0" xfId="22" applyFont="1" applyFill="1" applyBorder="1" applyAlignment="1">
      <alignment horizontal="center" vertical="center"/>
    </xf>
    <xf numFmtId="0" fontId="117" fillId="11" borderId="18" xfId="22" applyFont="1" applyFill="1" applyBorder="1" applyAlignment="1">
      <alignment horizontal="right" vertical="center"/>
    </xf>
    <xf numFmtId="0" fontId="153" fillId="0" borderId="0" xfId="22" applyFont="1" applyAlignment="1">
      <alignment horizontal="center" vertical="center"/>
    </xf>
    <xf numFmtId="0" fontId="164" fillId="0" borderId="0" xfId="22" applyFont="1" applyAlignment="1">
      <alignment horizontal="center"/>
    </xf>
    <xf numFmtId="0" fontId="165" fillId="0" borderId="0" xfId="22" applyFont="1" applyAlignment="1">
      <alignment horizontal="center" vertical="top"/>
    </xf>
    <xf numFmtId="0" fontId="152" fillId="11" borderId="18" xfId="22" applyFont="1" applyFill="1" applyBorder="1" applyAlignment="1">
      <alignment horizontal="center" vertical="center"/>
    </xf>
    <xf numFmtId="0" fontId="10" fillId="9" borderId="1" xfId="22" applyFont="1" applyFill="1" applyBorder="1" applyAlignment="1">
      <alignment horizontal="center" vertical="center"/>
    </xf>
    <xf numFmtId="0" fontId="10" fillId="9" borderId="2" xfId="22" applyFont="1" applyFill="1" applyBorder="1" applyAlignment="1">
      <alignment horizontal="center" vertical="center"/>
    </xf>
    <xf numFmtId="0" fontId="10" fillId="9" borderId="3" xfId="22" applyFont="1" applyFill="1" applyBorder="1" applyAlignment="1">
      <alignment horizontal="center" vertical="center"/>
    </xf>
    <xf numFmtId="0" fontId="10" fillId="9" borderId="9" xfId="22" applyFont="1" applyFill="1" applyBorder="1" applyAlignment="1">
      <alignment horizontal="center" vertical="center" wrapText="1" shrinkToFit="1"/>
    </xf>
    <xf numFmtId="0" fontId="189" fillId="9" borderId="11" xfId="22" applyFont="1" applyFill="1" applyBorder="1"/>
    <xf numFmtId="0" fontId="10" fillId="9" borderId="1" xfId="22" applyFont="1" applyFill="1" applyBorder="1" applyAlignment="1">
      <alignment horizontal="center" vertical="center" wrapText="1"/>
    </xf>
    <xf numFmtId="0" fontId="189" fillId="9" borderId="2" xfId="22" applyFont="1" applyFill="1" applyBorder="1"/>
    <xf numFmtId="0" fontId="189" fillId="9" borderId="3" xfId="22" applyFont="1" applyFill="1" applyBorder="1"/>
    <xf numFmtId="0" fontId="10" fillId="9" borderId="9" xfId="22" applyFont="1" applyFill="1" applyBorder="1" applyAlignment="1">
      <alignment horizontal="center" vertical="center" wrapText="1"/>
    </xf>
    <xf numFmtId="0" fontId="6" fillId="9" borderId="9" xfId="22" applyFont="1" applyFill="1" applyBorder="1" applyAlignment="1">
      <alignment horizontal="center" vertical="center" wrapText="1"/>
    </xf>
    <xf numFmtId="0" fontId="6" fillId="9" borderId="11" xfId="22" applyFont="1" applyFill="1" applyBorder="1" applyAlignment="1">
      <alignment horizontal="center" vertical="center" wrapText="1"/>
    </xf>
    <xf numFmtId="0" fontId="10" fillId="9" borderId="10" xfId="22" applyFont="1" applyFill="1" applyBorder="1" applyAlignment="1">
      <alignment horizontal="center" vertical="center" wrapText="1"/>
    </xf>
    <xf numFmtId="0" fontId="10" fillId="9" borderId="3" xfId="22" applyFont="1" applyFill="1" applyBorder="1" applyAlignment="1">
      <alignment horizontal="center" vertical="center" wrapText="1"/>
    </xf>
    <xf numFmtId="0" fontId="280" fillId="0" borderId="0" xfId="22" applyFont="1" applyAlignment="1">
      <alignment horizontal="left" vertical="center"/>
    </xf>
    <xf numFmtId="0" fontId="280" fillId="3" borderId="0" xfId="22" applyFont="1" applyFill="1" applyAlignment="1">
      <alignment horizontal="left" vertical="center"/>
    </xf>
    <xf numFmtId="0" fontId="6" fillId="9" borderId="10" xfId="22" applyFont="1" applyFill="1" applyBorder="1" applyAlignment="1">
      <alignment horizontal="center" vertical="center" wrapText="1"/>
    </xf>
    <xf numFmtId="0" fontId="6" fillId="9" borderId="1" xfId="22" applyFont="1" applyFill="1" applyBorder="1" applyAlignment="1">
      <alignment horizontal="center" vertical="center" wrapText="1"/>
    </xf>
    <xf numFmtId="0" fontId="6" fillId="9" borderId="3" xfId="22" applyFont="1" applyFill="1" applyBorder="1" applyAlignment="1">
      <alignment horizontal="center" vertical="center" wrapText="1"/>
    </xf>
    <xf numFmtId="0" fontId="6" fillId="9" borderId="1" xfId="22" applyFont="1" applyFill="1" applyBorder="1" applyAlignment="1">
      <alignment horizontal="center" vertical="center"/>
    </xf>
    <xf numFmtId="0" fontId="6" fillId="9" borderId="2" xfId="22" applyFont="1" applyFill="1" applyBorder="1" applyAlignment="1">
      <alignment horizontal="center" vertical="center"/>
    </xf>
    <xf numFmtId="0" fontId="6" fillId="9" borderId="3" xfId="22" applyFont="1" applyFill="1" applyBorder="1" applyAlignment="1">
      <alignment horizontal="center" vertical="center"/>
    </xf>
    <xf numFmtId="0" fontId="6" fillId="9" borderId="9" xfId="22" applyFont="1" applyFill="1" applyBorder="1" applyAlignment="1">
      <alignment horizontal="center" vertical="center"/>
    </xf>
    <xf numFmtId="0" fontId="6" fillId="9" borderId="11" xfId="22" applyFont="1" applyFill="1" applyBorder="1" applyAlignment="1">
      <alignment horizontal="center" vertical="center"/>
    </xf>
    <xf numFmtId="0" fontId="220" fillId="0" borderId="0" xfId="36" applyFont="1" applyFill="1" applyBorder="1" applyAlignment="1">
      <alignment horizontal="left" vertical="center" wrapText="1"/>
    </xf>
    <xf numFmtId="0" fontId="220" fillId="0" borderId="0" xfId="36" applyFont="1" applyFill="1" applyBorder="1" applyAlignment="1">
      <alignment horizontal="left" vertical="center"/>
    </xf>
    <xf numFmtId="0" fontId="222" fillId="0" borderId="0" xfId="36" applyFont="1" applyFill="1" applyAlignment="1">
      <alignment horizontal="left" vertical="center"/>
    </xf>
    <xf numFmtId="0" fontId="21" fillId="7" borderId="70" xfId="36" applyFont="1" applyFill="1" applyBorder="1" applyAlignment="1">
      <alignment horizontal="left" vertical="center" indent="2"/>
    </xf>
    <xf numFmtId="0" fontId="21" fillId="7" borderId="69" xfId="36" applyFont="1" applyFill="1" applyBorder="1" applyAlignment="1">
      <alignment horizontal="left" vertical="center" indent="2"/>
    </xf>
    <xf numFmtId="0" fontId="21" fillId="7" borderId="68" xfId="36" applyFont="1" applyFill="1" applyBorder="1" applyAlignment="1">
      <alignment horizontal="left" vertical="center" indent="2"/>
    </xf>
    <xf numFmtId="0" fontId="279" fillId="0" borderId="0" xfId="36" applyFont="1" applyFill="1" applyBorder="1" applyAlignment="1">
      <alignment horizontal="left" vertical="center" wrapText="1"/>
    </xf>
    <xf numFmtId="0" fontId="279" fillId="0" borderId="0" xfId="36" applyFont="1" applyFill="1" applyBorder="1" applyAlignment="1">
      <alignment horizontal="left" vertical="center"/>
    </xf>
    <xf numFmtId="0" fontId="13" fillId="0" borderId="0" xfId="36" applyFont="1" applyFill="1" applyAlignment="1">
      <alignment horizontal="center" vertical="center"/>
    </xf>
    <xf numFmtId="0" fontId="184" fillId="0" borderId="0" xfId="36" applyFont="1" applyFill="1" applyBorder="1" applyAlignment="1">
      <alignment horizontal="center"/>
    </xf>
    <xf numFmtId="0" fontId="185" fillId="0" borderId="0" xfId="36" applyFont="1" applyFill="1" applyBorder="1" applyAlignment="1">
      <alignment horizontal="center" vertical="top"/>
    </xf>
    <xf numFmtId="0" fontId="170" fillId="0" borderId="0" xfId="36" applyFont="1" applyFill="1" applyBorder="1" applyAlignment="1">
      <alignment horizontal="center" vertical="top"/>
    </xf>
    <xf numFmtId="0" fontId="16" fillId="8" borderId="76" xfId="36" applyFont="1" applyFill="1" applyBorder="1" applyAlignment="1">
      <alignment horizontal="center" vertical="center"/>
    </xf>
    <xf numFmtId="0" fontId="16" fillId="8" borderId="151" xfId="36" applyFont="1" applyFill="1" applyBorder="1" applyAlignment="1">
      <alignment horizontal="center" vertical="center"/>
    </xf>
    <xf numFmtId="0" fontId="16" fillId="8" borderId="73" xfId="36" applyFont="1" applyFill="1" applyBorder="1" applyAlignment="1">
      <alignment horizontal="center" vertical="center"/>
    </xf>
    <xf numFmtId="49" fontId="7" fillId="8" borderId="152" xfId="22" applyNumberFormat="1" applyFont="1" applyFill="1" applyBorder="1" applyAlignment="1">
      <alignment horizontal="center" vertical="center" wrapText="1"/>
    </xf>
    <xf numFmtId="49" fontId="7" fillId="8" borderId="69" xfId="22" applyNumberFormat="1" applyFont="1" applyFill="1" applyBorder="1" applyAlignment="1">
      <alignment horizontal="center" vertical="center" wrapText="1"/>
    </xf>
    <xf numFmtId="49" fontId="7" fillId="8" borderId="153" xfId="22" applyNumberFormat="1" applyFont="1" applyFill="1" applyBorder="1" applyAlignment="1">
      <alignment horizontal="center" vertical="center" wrapText="1"/>
    </xf>
    <xf numFmtId="0" fontId="277" fillId="0" borderId="12" xfId="36" applyFont="1" applyFill="1" applyBorder="1" applyAlignment="1">
      <alignment horizontal="left" vertical="center" wrapText="1"/>
    </xf>
    <xf numFmtId="0" fontId="277" fillId="0" borderId="12" xfId="36" applyFont="1" applyFill="1" applyBorder="1" applyAlignment="1">
      <alignment horizontal="left" vertical="center"/>
    </xf>
    <xf numFmtId="0" fontId="277" fillId="0" borderId="8" xfId="36" applyFont="1" applyFill="1" applyBorder="1" applyAlignment="1">
      <alignment horizontal="left" vertical="center"/>
    </xf>
    <xf numFmtId="0" fontId="216" fillId="0" borderId="0" xfId="36" applyFont="1" applyFill="1" applyAlignment="1">
      <alignment horizontal="left" vertical="center"/>
    </xf>
    <xf numFmtId="0" fontId="9" fillId="0" borderId="0" xfId="36" applyFont="1" applyFill="1" applyAlignment="1">
      <alignment horizontal="center" vertical="center"/>
    </xf>
    <xf numFmtId="0" fontId="161" fillId="0" borderId="0" xfId="36" applyFont="1" applyFill="1" applyAlignment="1">
      <alignment horizontal="center"/>
    </xf>
    <xf numFmtId="0" fontId="163" fillId="0" borderId="0" xfId="36" applyFont="1" applyFill="1" applyAlignment="1">
      <alignment horizontal="center" vertical="top"/>
    </xf>
    <xf numFmtId="0" fontId="5" fillId="9" borderId="1" xfId="36" applyFont="1" applyFill="1" applyBorder="1" applyAlignment="1">
      <alignment horizontal="center" vertical="center"/>
    </xf>
    <xf numFmtId="0" fontId="5" fillId="9" borderId="2" xfId="36" applyFont="1" applyFill="1" applyBorder="1" applyAlignment="1">
      <alignment horizontal="center" vertical="center"/>
    </xf>
    <xf numFmtId="0" fontId="5" fillId="9" borderId="3" xfId="36" applyFont="1" applyFill="1" applyBorder="1" applyAlignment="1">
      <alignment horizontal="center" vertical="center"/>
    </xf>
    <xf numFmtId="0" fontId="5" fillId="9" borderId="9" xfId="36" applyFont="1" applyFill="1" applyBorder="1" applyAlignment="1">
      <alignment horizontal="center" vertical="center"/>
    </xf>
    <xf numFmtId="0" fontId="5" fillId="9" borderId="10" xfId="36" applyFont="1" applyFill="1" applyBorder="1" applyAlignment="1">
      <alignment horizontal="center" vertical="center"/>
    </xf>
    <xf numFmtId="0" fontId="5" fillId="9" borderId="11" xfId="36" applyFont="1" applyFill="1" applyBorder="1" applyAlignment="1">
      <alignment horizontal="center" vertical="center"/>
    </xf>
    <xf numFmtId="0" fontId="4" fillId="9" borderId="9" xfId="36" applyFont="1" applyFill="1" applyBorder="1" applyAlignment="1">
      <alignment horizontal="center" vertical="center"/>
    </xf>
    <xf numFmtId="0" fontId="4" fillId="9" borderId="10" xfId="36" applyFont="1" applyFill="1" applyBorder="1" applyAlignment="1">
      <alignment horizontal="center" vertical="center"/>
    </xf>
    <xf numFmtId="0" fontId="4" fillId="9" borderId="11" xfId="36" applyFont="1" applyFill="1" applyBorder="1" applyAlignment="1">
      <alignment horizontal="center" vertical="center"/>
    </xf>
    <xf numFmtId="0" fontId="4" fillId="9" borderId="1" xfId="36" applyFont="1" applyFill="1" applyBorder="1" applyAlignment="1">
      <alignment horizontal="center" vertical="center"/>
    </xf>
    <xf numFmtId="0" fontId="4" fillId="9" borderId="2" xfId="36" applyFont="1" applyFill="1" applyBorder="1" applyAlignment="1">
      <alignment horizontal="center" vertical="center"/>
    </xf>
    <xf numFmtId="0" fontId="4" fillId="9" borderId="3" xfId="36" applyFont="1" applyFill="1" applyBorder="1" applyAlignment="1">
      <alignment horizontal="center" vertical="center"/>
    </xf>
    <xf numFmtId="3" fontId="226" fillId="0" borderId="0" xfId="0" applyNumberFormat="1" applyFont="1" applyAlignment="1">
      <alignment horizontal="left" vertical="center"/>
    </xf>
    <xf numFmtId="3" fontId="209" fillId="0" borderId="0" xfId="0" applyNumberFormat="1" applyFont="1" applyAlignment="1">
      <alignment horizontal="center" vertical="center"/>
    </xf>
    <xf numFmtId="3" fontId="199" fillId="0" borderId="0" xfId="0" applyNumberFormat="1" applyFont="1" applyAlignment="1">
      <alignment horizontal="center" vertical="top"/>
    </xf>
    <xf numFmtId="3" fontId="4" fillId="11" borderId="18" xfId="0" applyNumberFormat="1" applyFont="1" applyFill="1" applyBorder="1" applyAlignment="1">
      <alignment horizontal="center" vertical="center"/>
    </xf>
    <xf numFmtId="3" fontId="4" fillId="9" borderId="9" xfId="0" applyNumberFormat="1" applyFont="1" applyFill="1" applyBorder="1" applyAlignment="1">
      <alignment horizontal="center" vertical="center"/>
    </xf>
    <xf numFmtId="3" fontId="4" fillId="9" borderId="10" xfId="0" applyNumberFormat="1" applyFont="1" applyFill="1" applyBorder="1" applyAlignment="1">
      <alignment horizontal="center" vertical="center"/>
    </xf>
    <xf numFmtId="3" fontId="4" fillId="9" borderId="11" xfId="0" applyNumberFormat="1" applyFont="1" applyFill="1" applyBorder="1" applyAlignment="1">
      <alignment horizontal="center" vertical="center"/>
    </xf>
    <xf numFmtId="3" fontId="4" fillId="9" borderId="164" xfId="0" applyNumberFormat="1" applyFont="1" applyFill="1" applyBorder="1" applyAlignment="1">
      <alignment horizontal="center" vertical="center"/>
    </xf>
    <xf numFmtId="3" fontId="4" fillId="9" borderId="4" xfId="0" applyNumberFormat="1" applyFont="1" applyFill="1" applyBorder="1" applyAlignment="1">
      <alignment horizontal="center" vertical="center"/>
    </xf>
    <xf numFmtId="3" fontId="4" fillId="9" borderId="1" xfId="0" applyNumberFormat="1" applyFont="1" applyFill="1" applyBorder="1" applyAlignment="1">
      <alignment horizontal="center" vertical="center" wrapText="1"/>
    </xf>
    <xf numFmtId="3" fontId="4" fillId="9" borderId="2" xfId="0" applyNumberFormat="1" applyFont="1" applyFill="1" applyBorder="1" applyAlignment="1">
      <alignment horizontal="center" vertical="center" wrapText="1"/>
    </xf>
    <xf numFmtId="173" fontId="4" fillId="9" borderId="1" xfId="0" applyNumberFormat="1" applyFont="1" applyFill="1" applyBorder="1" applyAlignment="1">
      <alignment horizontal="center" vertical="center" wrapText="1"/>
    </xf>
    <xf numFmtId="173" fontId="4" fillId="9" borderId="2" xfId="0" applyNumberFormat="1" applyFont="1" applyFill="1" applyBorder="1" applyAlignment="1">
      <alignment horizontal="center" vertical="center" wrapText="1"/>
    </xf>
    <xf numFmtId="49" fontId="4" fillId="9" borderId="1" xfId="0" applyNumberFormat="1" applyFont="1" applyFill="1" applyBorder="1" applyAlignment="1">
      <alignment horizontal="center" vertical="center" wrapText="1"/>
    </xf>
    <xf numFmtId="49" fontId="4" fillId="9" borderId="2" xfId="0" applyNumberFormat="1" applyFont="1" applyFill="1" applyBorder="1" applyAlignment="1">
      <alignment horizontal="center" vertical="center" wrapText="1"/>
    </xf>
    <xf numFmtId="3" fontId="4" fillId="9" borderId="1" xfId="0" applyNumberFormat="1" applyFont="1" applyFill="1" applyBorder="1" applyAlignment="1">
      <alignment horizontal="center" vertical="center"/>
    </xf>
    <xf numFmtId="3" fontId="4" fillId="9" borderId="2" xfId="0" applyNumberFormat="1" applyFont="1" applyFill="1" applyBorder="1" applyAlignment="1">
      <alignment horizontal="center" vertical="center"/>
    </xf>
    <xf numFmtId="173" fontId="5" fillId="9" borderId="1" xfId="0" applyNumberFormat="1" applyFont="1" applyFill="1" applyBorder="1" applyAlignment="1">
      <alignment horizontal="center" vertical="center" wrapText="1"/>
    </xf>
    <xf numFmtId="173" fontId="5" fillId="9" borderId="2" xfId="0" applyNumberFormat="1" applyFont="1" applyFill="1" applyBorder="1" applyAlignment="1">
      <alignment horizontal="center" vertical="center" wrapText="1"/>
    </xf>
    <xf numFmtId="173" fontId="5" fillId="9" borderId="3" xfId="0" applyNumberFormat="1" applyFont="1" applyFill="1" applyBorder="1" applyAlignment="1">
      <alignment horizontal="center" vertical="center" wrapText="1"/>
    </xf>
    <xf numFmtId="49" fontId="5" fillId="9" borderId="1" xfId="0" applyNumberFormat="1" applyFont="1" applyFill="1" applyBorder="1" applyAlignment="1">
      <alignment horizontal="center" vertical="center" wrapText="1"/>
    </xf>
    <xf numFmtId="49" fontId="5" fillId="9" borderId="2" xfId="0" applyNumberFormat="1" applyFont="1" applyFill="1" applyBorder="1" applyAlignment="1">
      <alignment horizontal="center" vertical="center" wrapText="1"/>
    </xf>
    <xf numFmtId="49" fontId="5" fillId="9" borderId="3" xfId="0" applyNumberFormat="1" applyFont="1" applyFill="1" applyBorder="1" applyAlignment="1">
      <alignment horizontal="center" vertical="center" wrapText="1"/>
    </xf>
    <xf numFmtId="3" fontId="5" fillId="9" borderId="9" xfId="0" applyNumberFormat="1" applyFont="1" applyFill="1" applyBorder="1" applyAlignment="1">
      <alignment horizontal="center" vertical="center"/>
    </xf>
    <xf numFmtId="3" fontId="5" fillId="9" borderId="10" xfId="0" applyNumberFormat="1" applyFont="1" applyFill="1" applyBorder="1" applyAlignment="1">
      <alignment horizontal="center" vertical="center"/>
    </xf>
    <xf numFmtId="3" fontId="5" fillId="9" borderId="11" xfId="0" applyNumberFormat="1" applyFont="1" applyFill="1" applyBorder="1" applyAlignment="1">
      <alignment horizontal="center" vertical="center"/>
    </xf>
    <xf numFmtId="3" fontId="5" fillId="9" borderId="1" xfId="0" applyNumberFormat="1" applyFont="1" applyFill="1" applyBorder="1" applyAlignment="1">
      <alignment horizontal="center" vertical="center"/>
    </xf>
    <xf numFmtId="3" fontId="5" fillId="9" borderId="2" xfId="0" applyNumberFormat="1" applyFont="1" applyFill="1" applyBorder="1" applyAlignment="1">
      <alignment horizontal="center" vertical="center"/>
    </xf>
    <xf numFmtId="3" fontId="5" fillId="9" borderId="3" xfId="0" applyNumberFormat="1" applyFont="1" applyFill="1" applyBorder="1" applyAlignment="1">
      <alignment horizontal="center" vertical="center"/>
    </xf>
    <xf numFmtId="3" fontId="5" fillId="9" borderId="1" xfId="0" applyNumberFormat="1" applyFont="1" applyFill="1" applyBorder="1" applyAlignment="1">
      <alignment horizontal="center" vertical="center" wrapText="1"/>
    </xf>
    <xf numFmtId="3" fontId="5" fillId="9" borderId="2" xfId="0" applyNumberFormat="1" applyFont="1" applyFill="1" applyBorder="1" applyAlignment="1">
      <alignment horizontal="center" vertical="center" wrapText="1"/>
    </xf>
    <xf numFmtId="3" fontId="5" fillId="9" borderId="3" xfId="0" applyNumberFormat="1" applyFont="1" applyFill="1" applyBorder="1" applyAlignment="1">
      <alignment horizontal="center" vertical="center" wrapText="1"/>
    </xf>
    <xf numFmtId="3" fontId="34" fillId="0" borderId="163" xfId="0" applyNumberFormat="1" applyFont="1" applyBorder="1" applyAlignment="1">
      <alignment horizontal="center" vertical="center"/>
    </xf>
    <xf numFmtId="3" fontId="34" fillId="0" borderId="164" xfId="0" applyNumberFormat="1" applyFont="1" applyBorder="1" applyAlignment="1">
      <alignment horizontal="center" vertical="center"/>
    </xf>
    <xf numFmtId="3" fontId="166" fillId="0" borderId="5" xfId="0" applyNumberFormat="1" applyFont="1" applyBorder="1" applyAlignment="1">
      <alignment horizontal="center"/>
    </xf>
    <xf numFmtId="3" fontId="166" fillId="0" borderId="0" xfId="0" applyNumberFormat="1" applyFont="1" applyAlignment="1">
      <alignment horizontal="center"/>
    </xf>
    <xf numFmtId="3" fontId="166" fillId="0" borderId="4" xfId="0" applyNumberFormat="1" applyFont="1" applyBorder="1" applyAlignment="1">
      <alignment horizontal="center"/>
    </xf>
    <xf numFmtId="3" fontId="167" fillId="0" borderId="5" xfId="0" applyNumberFormat="1" applyFont="1" applyBorder="1" applyAlignment="1">
      <alignment horizontal="center" vertical="top"/>
    </xf>
    <xf numFmtId="3" fontId="167" fillId="0" borderId="0" xfId="0" applyNumberFormat="1" applyFont="1" applyAlignment="1">
      <alignment horizontal="center" vertical="top"/>
    </xf>
    <xf numFmtId="3" fontId="167" fillId="0" borderId="4" xfId="0" applyNumberFormat="1" applyFont="1" applyBorder="1" applyAlignment="1">
      <alignment horizontal="center" vertical="top"/>
    </xf>
    <xf numFmtId="49" fontId="4" fillId="11" borderId="17" xfId="0" applyNumberFormat="1" applyFont="1" applyFill="1" applyBorder="1" applyAlignment="1">
      <alignment horizontal="center" vertical="center"/>
    </xf>
    <xf numFmtId="49" fontId="4" fillId="11" borderId="18" xfId="0" applyNumberFormat="1" applyFont="1" applyFill="1" applyBorder="1" applyAlignment="1">
      <alignment horizontal="center" vertical="center"/>
    </xf>
    <xf numFmtId="3" fontId="168" fillId="11" borderId="18" xfId="0" applyNumberFormat="1" applyFont="1" applyFill="1" applyBorder="1" applyAlignment="1">
      <alignment horizontal="right" vertical="center"/>
    </xf>
    <xf numFmtId="3" fontId="168" fillId="11" borderId="19" xfId="0" applyNumberFormat="1" applyFont="1" applyFill="1" applyBorder="1" applyAlignment="1">
      <alignment horizontal="right" vertical="center"/>
    </xf>
    <xf numFmtId="0" fontId="228" fillId="0" borderId="49" xfId="0" applyFont="1" applyFill="1" applyBorder="1" applyAlignment="1">
      <alignment horizontal="left" vertical="center" wrapText="1"/>
    </xf>
    <xf numFmtId="0" fontId="228" fillId="0" borderId="49" xfId="0" applyFont="1" applyFill="1" applyBorder="1" applyAlignment="1">
      <alignment horizontal="left" vertical="center"/>
    </xf>
    <xf numFmtId="0" fontId="228" fillId="0" borderId="67" xfId="0" applyFont="1" applyFill="1" applyBorder="1" applyAlignment="1">
      <alignment horizontal="left" vertical="center"/>
    </xf>
    <xf numFmtId="0" fontId="316" fillId="0" borderId="0" xfId="0" applyFont="1" applyFill="1" applyAlignment="1">
      <alignment horizontal="center" vertical="center"/>
    </xf>
    <xf numFmtId="0" fontId="172" fillId="0" borderId="0" xfId="0" applyFont="1" applyFill="1" applyAlignment="1">
      <alignment horizontal="center" vertical="top"/>
    </xf>
    <xf numFmtId="0" fontId="17" fillId="9" borderId="1" xfId="0" applyFont="1" applyFill="1" applyBorder="1" applyAlignment="1">
      <alignment horizontal="center" vertical="center" wrapText="1"/>
    </xf>
    <xf numFmtId="0" fontId="17" fillId="9" borderId="3" xfId="0" applyFont="1" applyFill="1" applyBorder="1" applyAlignment="1">
      <alignment horizontal="center" vertical="center" wrapText="1"/>
    </xf>
    <xf numFmtId="0" fontId="17" fillId="9" borderId="11" xfId="0" applyFont="1" applyFill="1" applyBorder="1" applyAlignment="1">
      <alignment horizontal="center" vertical="center" wrapText="1"/>
    </xf>
    <xf numFmtId="0" fontId="17" fillId="9" borderId="6" xfId="0" applyFont="1" applyFill="1" applyBorder="1" applyAlignment="1">
      <alignment horizontal="center" vertical="center" wrapText="1"/>
    </xf>
    <xf numFmtId="0" fontId="18" fillId="9" borderId="1" xfId="0" applyFont="1" applyFill="1" applyBorder="1" applyAlignment="1">
      <alignment horizontal="center" vertical="center" wrapText="1"/>
    </xf>
    <xf numFmtId="0" fontId="18" fillId="9" borderId="3" xfId="0" applyFont="1" applyFill="1" applyBorder="1" applyAlignment="1">
      <alignment horizontal="center" vertical="center" wrapText="1"/>
    </xf>
    <xf numFmtId="0" fontId="29" fillId="9" borderId="11" xfId="0" applyFont="1" applyFill="1" applyBorder="1" applyAlignment="1">
      <alignment horizontal="center" vertical="center" wrapText="1"/>
    </xf>
    <xf numFmtId="0" fontId="29" fillId="9" borderId="6" xfId="0" applyFont="1" applyFill="1" applyBorder="1" applyAlignment="1">
      <alignment horizontal="center" vertical="center" wrapText="1"/>
    </xf>
    <xf numFmtId="0" fontId="228" fillId="0" borderId="0" xfId="0" applyFont="1" applyFill="1" applyBorder="1" applyAlignment="1">
      <alignment horizontal="left" vertical="center" wrapText="1"/>
    </xf>
    <xf numFmtId="0" fontId="228" fillId="0" borderId="0" xfId="0" applyFont="1" applyFill="1" applyBorder="1" applyAlignment="1">
      <alignment horizontal="left" vertical="center"/>
    </xf>
    <xf numFmtId="0" fontId="184" fillId="0" borderId="0" xfId="0" applyFont="1" applyFill="1" applyAlignment="1">
      <alignment horizontal="center" vertical="center"/>
    </xf>
    <xf numFmtId="0" fontId="174" fillId="0" borderId="0" xfId="0" applyFont="1" applyFill="1" applyAlignment="1">
      <alignment horizontal="center" vertical="top" wrapText="1"/>
    </xf>
    <xf numFmtId="0" fontId="231" fillId="0" borderId="0" xfId="0" applyFont="1" applyFill="1" applyBorder="1" applyAlignment="1">
      <alignment horizontal="left" vertical="center" wrapText="1"/>
    </xf>
    <xf numFmtId="0" fontId="231" fillId="0" borderId="0" xfId="0" applyFont="1" applyFill="1" applyBorder="1" applyAlignment="1">
      <alignment horizontal="left" vertical="center"/>
    </xf>
    <xf numFmtId="0" fontId="4" fillId="0" borderId="0" xfId="0" applyFont="1" applyFill="1" applyBorder="1" applyAlignment="1">
      <alignment horizontal="left" vertical="center" wrapText="1"/>
    </xf>
    <xf numFmtId="0" fontId="224" fillId="0" borderId="0" xfId="0" applyFont="1" applyFill="1" applyBorder="1" applyAlignment="1">
      <alignment horizontal="left" vertical="center" wrapText="1"/>
    </xf>
    <xf numFmtId="0" fontId="224" fillId="0" borderId="0" xfId="0" applyFont="1" applyFill="1" applyBorder="1" applyAlignment="1">
      <alignment horizontal="left" vertical="center"/>
    </xf>
    <xf numFmtId="0" fontId="17" fillId="0" borderId="0" xfId="0" applyFont="1" applyFill="1" applyBorder="1" applyAlignment="1">
      <alignment horizontal="left" vertical="center" wrapText="1"/>
    </xf>
    <xf numFmtId="0" fontId="161" fillId="0" borderId="0" xfId="0" applyFont="1" applyFill="1" applyAlignment="1">
      <alignment horizontal="center" vertical="center"/>
    </xf>
    <xf numFmtId="0" fontId="163" fillId="0" borderId="0" xfId="0" applyFont="1" applyFill="1" applyBorder="1" applyAlignment="1">
      <alignment horizontal="center" vertical="top"/>
    </xf>
    <xf numFmtId="0" fontId="117" fillId="11" borderId="18" xfId="0" applyFont="1" applyFill="1" applyBorder="1" applyAlignment="1">
      <alignment horizontal="right" vertical="center"/>
    </xf>
    <xf numFmtId="0" fontId="169" fillId="0" borderId="0" xfId="0" applyFont="1" applyFill="1" applyAlignment="1">
      <alignment horizontal="center" vertical="center"/>
    </xf>
    <xf numFmtId="0" fontId="170" fillId="0" borderId="0" xfId="0" applyFont="1" applyFill="1" applyAlignment="1">
      <alignment horizontal="center" vertical="top"/>
    </xf>
    <xf numFmtId="0" fontId="228" fillId="0" borderId="67" xfId="0" applyFont="1" applyFill="1" applyBorder="1" applyAlignment="1">
      <alignment horizontal="left" vertical="center" wrapText="1"/>
    </xf>
    <xf numFmtId="0" fontId="4" fillId="9" borderId="1" xfId="0" applyFont="1" applyFill="1" applyBorder="1" applyAlignment="1">
      <alignment horizontal="center" vertical="center" wrapText="1"/>
    </xf>
    <xf numFmtId="0" fontId="4" fillId="9" borderId="3" xfId="0" applyFont="1" applyFill="1" applyBorder="1" applyAlignment="1">
      <alignment horizontal="center" vertical="center" wrapText="1"/>
    </xf>
    <xf numFmtId="49" fontId="217" fillId="0" borderId="0" xfId="0" applyNumberFormat="1" applyFont="1" applyFill="1" applyBorder="1" applyAlignment="1">
      <alignment horizontal="left" vertical="center" wrapText="1"/>
    </xf>
    <xf numFmtId="0" fontId="4" fillId="9" borderId="9" xfId="0" applyFont="1" applyFill="1" applyBorder="1" applyAlignment="1">
      <alignment horizontal="center" vertical="center" wrapText="1"/>
    </xf>
    <xf numFmtId="0" fontId="4" fillId="9" borderId="11" xfId="0" applyFont="1" applyFill="1" applyBorder="1" applyAlignment="1">
      <alignment horizontal="center" vertical="center" wrapText="1"/>
    </xf>
    <xf numFmtId="0" fontId="170" fillId="0" borderId="0" xfId="0" applyFont="1" applyFill="1" applyBorder="1" applyAlignment="1">
      <alignment horizontal="center" vertical="top"/>
    </xf>
    <xf numFmtId="0" fontId="5" fillId="9" borderId="9" xfId="0" applyFont="1" applyFill="1" applyBorder="1" applyAlignment="1">
      <alignment horizontal="center" vertical="center" wrapText="1"/>
    </xf>
    <xf numFmtId="0" fontId="5" fillId="9" borderId="11" xfId="0" applyFont="1" applyFill="1" applyBorder="1" applyAlignment="1">
      <alignment horizontal="center" vertical="center" wrapText="1"/>
    </xf>
    <xf numFmtId="0" fontId="5" fillId="9" borderId="1" xfId="0" applyFont="1" applyFill="1" applyBorder="1" applyAlignment="1">
      <alignment horizontal="center" vertical="center" wrapText="1"/>
    </xf>
    <xf numFmtId="0" fontId="5" fillId="9" borderId="3" xfId="0" applyFont="1" applyFill="1" applyBorder="1" applyAlignment="1">
      <alignment horizontal="center" vertical="center" wrapText="1"/>
    </xf>
    <xf numFmtId="49" fontId="272" fillId="0" borderId="0" xfId="0" applyNumberFormat="1" applyFont="1" applyFill="1" applyBorder="1" applyAlignment="1">
      <alignment horizontal="left" vertical="center" wrapText="1"/>
    </xf>
    <xf numFmtId="0" fontId="9" fillId="9" borderId="6" xfId="28" applyFont="1" applyFill="1" applyBorder="1" applyAlignment="1">
      <alignment horizontal="center" vertical="center" wrapText="1"/>
    </xf>
    <xf numFmtId="0" fontId="9" fillId="9" borderId="6" xfId="28" applyFont="1" applyFill="1" applyBorder="1" applyAlignment="1">
      <alignment vertical="center" wrapText="1"/>
    </xf>
    <xf numFmtId="0" fontId="25" fillId="9" borderId="6" xfId="28" applyFont="1" applyFill="1" applyBorder="1" applyAlignment="1">
      <alignment horizontal="center" vertical="center" wrapText="1"/>
    </xf>
    <xf numFmtId="0" fontId="214" fillId="0" borderId="0" xfId="28" applyFont="1" applyFill="1" applyBorder="1" applyAlignment="1">
      <alignment horizontal="center" vertical="center"/>
    </xf>
    <xf numFmtId="0" fontId="199" fillId="0" borderId="0" xfId="28" applyFont="1" applyFill="1" applyBorder="1" applyAlignment="1">
      <alignment horizontal="center" vertical="top"/>
    </xf>
    <xf numFmtId="0" fontId="191" fillId="11" borderId="18" xfId="0" applyFont="1" applyFill="1" applyBorder="1" applyAlignment="1">
      <alignment horizontal="right" vertical="center"/>
    </xf>
    <xf numFmtId="0" fontId="18" fillId="0" borderId="0" xfId="0" applyFont="1" applyFill="1" applyAlignment="1">
      <alignment horizontal="center" vertical="center" wrapText="1"/>
    </xf>
    <xf numFmtId="0" fontId="4" fillId="9" borderId="2" xfId="0" applyFont="1" applyFill="1" applyBorder="1" applyAlignment="1">
      <alignment horizontal="center" vertical="center" wrapText="1"/>
    </xf>
    <xf numFmtId="0" fontId="18" fillId="0" borderId="5" xfId="0" applyFont="1" applyFill="1" applyBorder="1" applyAlignment="1">
      <alignment horizontal="center" vertical="center" wrapText="1"/>
    </xf>
    <xf numFmtId="0" fontId="232" fillId="0" borderId="49" xfId="0" applyFont="1" applyFill="1" applyBorder="1" applyAlignment="1">
      <alignment horizontal="left" vertical="center" wrapText="1" readingOrder="1"/>
    </xf>
    <xf numFmtId="0" fontId="232" fillId="0" borderId="49" xfId="0" applyFont="1" applyFill="1" applyBorder="1" applyAlignment="1">
      <alignment horizontal="left" vertical="center" readingOrder="1"/>
    </xf>
    <xf numFmtId="0" fontId="232" fillId="0" borderId="8" xfId="0" applyFont="1" applyFill="1" applyBorder="1" applyAlignment="1">
      <alignment horizontal="left" vertical="center" readingOrder="1"/>
    </xf>
    <xf numFmtId="0" fontId="173" fillId="0" borderId="0" xfId="0" applyFont="1" applyFill="1" applyAlignment="1">
      <alignment horizontal="center"/>
    </xf>
    <xf numFmtId="0" fontId="174" fillId="0" borderId="0" xfId="0" applyFont="1" applyFill="1" applyAlignment="1">
      <alignment horizontal="center" vertical="top"/>
    </xf>
    <xf numFmtId="0" fontId="18" fillId="9" borderId="2" xfId="0" applyFont="1" applyFill="1" applyBorder="1" applyAlignment="1">
      <alignment horizontal="center" vertical="center" wrapText="1"/>
    </xf>
    <xf numFmtId="0" fontId="234" fillId="0" borderId="0" xfId="0" applyFont="1" applyFill="1" applyBorder="1" applyAlignment="1">
      <alignment horizontal="left" vertical="center"/>
    </xf>
    <xf numFmtId="1" fontId="234" fillId="0" borderId="0" xfId="0" applyNumberFormat="1" applyFont="1" applyFill="1" applyBorder="1" applyAlignment="1">
      <alignment horizontal="left" vertical="center"/>
    </xf>
    <xf numFmtId="0" fontId="25" fillId="9" borderId="1" xfId="28" applyFont="1" applyFill="1" applyBorder="1" applyAlignment="1">
      <alignment horizontal="center" vertical="center" wrapText="1"/>
    </xf>
    <xf numFmtId="0" fontId="25" fillId="9" borderId="2" xfId="28" applyFont="1" applyFill="1" applyBorder="1" applyAlignment="1">
      <alignment horizontal="center" vertical="center" wrapText="1"/>
    </xf>
    <xf numFmtId="0" fontId="166" fillId="0" borderId="0" xfId="28" applyFont="1" applyFill="1" applyBorder="1" applyAlignment="1">
      <alignment horizontal="center"/>
    </xf>
    <xf numFmtId="0" fontId="167" fillId="0" borderId="0" xfId="28" applyFont="1" applyFill="1" applyBorder="1" applyAlignment="1">
      <alignment horizontal="center" vertical="top"/>
    </xf>
    <xf numFmtId="0" fontId="224" fillId="3" borderId="0" xfId="0" applyNumberFormat="1" applyFont="1" applyFill="1" applyBorder="1" applyAlignment="1">
      <alignment horizontal="left" vertical="center"/>
    </xf>
    <xf numFmtId="0" fontId="164" fillId="0" borderId="0" xfId="0" applyFont="1" applyFill="1" applyBorder="1" applyAlignment="1">
      <alignment horizontal="center"/>
    </xf>
    <xf numFmtId="0" fontId="165" fillId="0" borderId="0" xfId="0" applyFont="1" applyFill="1" applyBorder="1" applyAlignment="1">
      <alignment horizontal="center" vertical="top"/>
    </xf>
    <xf numFmtId="0" fontId="5" fillId="9" borderId="6" xfId="0" applyFont="1" applyFill="1" applyBorder="1" applyAlignment="1">
      <alignment horizontal="center" vertical="center" wrapText="1"/>
    </xf>
    <xf numFmtId="0" fontId="5" fillId="9" borderId="6" xfId="0" applyFont="1" applyFill="1" applyBorder="1" applyAlignment="1">
      <alignment horizontal="center" vertical="center"/>
    </xf>
    <xf numFmtId="0" fontId="168" fillId="11" borderId="18" xfId="0" applyFont="1" applyFill="1" applyBorder="1" applyAlignment="1">
      <alignment horizontal="right" vertical="center"/>
    </xf>
    <xf numFmtId="0" fontId="4" fillId="9" borderId="6" xfId="0" applyFont="1" applyFill="1" applyBorder="1" applyAlignment="1">
      <alignment horizontal="center" vertical="center"/>
    </xf>
    <xf numFmtId="0" fontId="4" fillId="9" borderId="6" xfId="0" applyFont="1" applyFill="1" applyBorder="1" applyAlignment="1">
      <alignment vertical="center"/>
    </xf>
    <xf numFmtId="0" fontId="4" fillId="9" borderId="6" xfId="0" applyFont="1" applyFill="1" applyBorder="1" applyAlignment="1">
      <alignment horizontal="center" vertical="center" wrapText="1"/>
    </xf>
    <xf numFmtId="0" fontId="289" fillId="0" borderId="0" xfId="69" applyFont="1" applyFill="1" applyBorder="1" applyAlignment="1">
      <alignment horizontal="left" vertical="center"/>
    </xf>
    <xf numFmtId="0" fontId="4" fillId="9" borderId="1" xfId="69" applyFont="1" applyFill="1" applyBorder="1" applyAlignment="1">
      <alignment horizontal="center" vertical="center" wrapText="1"/>
    </xf>
    <xf numFmtId="0" fontId="4" fillId="9" borderId="3" xfId="69" applyFont="1" applyFill="1" applyBorder="1" applyAlignment="1">
      <alignment horizontal="center" vertical="center" wrapText="1"/>
    </xf>
    <xf numFmtId="0" fontId="289" fillId="3" borderId="0" xfId="69" applyNumberFormat="1" applyFont="1" applyFill="1" applyBorder="1" applyAlignment="1">
      <alignment horizontal="left" vertical="center"/>
    </xf>
    <xf numFmtId="0" fontId="4" fillId="9" borderId="9" xfId="69" applyFont="1" applyFill="1" applyBorder="1" applyAlignment="1">
      <alignment horizontal="center" vertical="center" wrapText="1"/>
    </xf>
    <xf numFmtId="0" fontId="4" fillId="9" borderId="11" xfId="69" applyFont="1" applyFill="1" applyBorder="1" applyAlignment="1">
      <alignment horizontal="center" vertical="center" wrapText="1"/>
    </xf>
    <xf numFmtId="0" fontId="4" fillId="9" borderId="2" xfId="69" applyFont="1" applyFill="1" applyBorder="1" applyAlignment="1">
      <alignment horizontal="center" vertical="center" wrapText="1"/>
    </xf>
    <xf numFmtId="0" fontId="5" fillId="9" borderId="8" xfId="69" applyFont="1" applyFill="1" applyBorder="1" applyAlignment="1">
      <alignment horizontal="center" vertical="center" wrapText="1"/>
    </xf>
    <xf numFmtId="0" fontId="5" fillId="9" borderId="19" xfId="69" applyFont="1" applyFill="1" applyBorder="1" applyAlignment="1">
      <alignment horizontal="center" vertical="center" wrapText="1"/>
    </xf>
    <xf numFmtId="0" fontId="5" fillId="9" borderId="1" xfId="69" applyFont="1" applyFill="1" applyBorder="1" applyAlignment="1">
      <alignment horizontal="center" vertical="center" wrapText="1"/>
    </xf>
    <xf numFmtId="0" fontId="5" fillId="9" borderId="3" xfId="69" applyFont="1" applyFill="1" applyBorder="1" applyAlignment="1">
      <alignment horizontal="center" vertical="center" wrapText="1"/>
    </xf>
    <xf numFmtId="0" fontId="4" fillId="9" borderId="6" xfId="69" applyFont="1" applyFill="1" applyBorder="1" applyAlignment="1">
      <alignment horizontal="center" vertical="center" wrapText="1"/>
    </xf>
    <xf numFmtId="0" fontId="4" fillId="9" borderId="7" xfId="69" applyFont="1" applyFill="1" applyBorder="1" applyAlignment="1">
      <alignment horizontal="center" vertical="center" wrapText="1"/>
    </xf>
    <xf numFmtId="0" fontId="4" fillId="9" borderId="8" xfId="69" applyFont="1" applyFill="1" applyBorder="1" applyAlignment="1">
      <alignment horizontal="center" vertical="center" wrapText="1"/>
    </xf>
    <xf numFmtId="0" fontId="4" fillId="9" borderId="17" xfId="69" applyFont="1" applyFill="1" applyBorder="1" applyAlignment="1">
      <alignment horizontal="center" vertical="center" wrapText="1"/>
    </xf>
    <xf numFmtId="0" fontId="4" fillId="9" borderId="19" xfId="69" applyFont="1" applyFill="1" applyBorder="1" applyAlignment="1">
      <alignment horizontal="center" vertical="center" wrapText="1"/>
    </xf>
    <xf numFmtId="0" fontId="4" fillId="9" borderId="6" xfId="69" applyFont="1" applyFill="1" applyBorder="1" applyAlignment="1">
      <alignment horizontal="center" vertical="center"/>
    </xf>
    <xf numFmtId="0" fontId="4" fillId="9" borderId="6" xfId="69" applyFont="1" applyFill="1" applyBorder="1" applyAlignment="1">
      <alignment vertical="center"/>
    </xf>
    <xf numFmtId="0" fontId="5" fillId="9" borderId="2" xfId="69" applyFont="1" applyFill="1" applyBorder="1" applyAlignment="1">
      <alignment horizontal="center" vertical="center" wrapText="1"/>
    </xf>
    <xf numFmtId="0" fontId="5" fillId="9" borderId="9" xfId="69" applyFont="1" applyFill="1" applyBorder="1" applyAlignment="1">
      <alignment horizontal="center" vertical="center" wrapText="1"/>
    </xf>
    <xf numFmtId="0" fontId="5" fillId="9" borderId="11" xfId="69" applyFont="1" applyFill="1" applyBorder="1" applyAlignment="1">
      <alignment horizontal="center" vertical="center" wrapText="1"/>
    </xf>
    <xf numFmtId="0" fontId="164" fillId="0" borderId="0" xfId="69" applyFont="1" applyFill="1" applyBorder="1" applyAlignment="1">
      <alignment horizontal="center" vertical="top"/>
    </xf>
    <xf numFmtId="0" fontId="165" fillId="0" borderId="0" xfId="69" applyFont="1" applyFill="1" applyBorder="1" applyAlignment="1">
      <alignment horizontal="center" vertical="top"/>
    </xf>
    <xf numFmtId="0" fontId="5" fillId="9" borderId="6" xfId="69" applyFont="1" applyFill="1" applyBorder="1" applyAlignment="1">
      <alignment horizontal="center" vertical="center" wrapText="1"/>
    </xf>
    <xf numFmtId="0" fontId="5" fillId="9" borderId="7" xfId="69" applyFont="1" applyFill="1" applyBorder="1" applyAlignment="1">
      <alignment horizontal="center" vertical="center" wrapText="1"/>
    </xf>
    <xf numFmtId="0" fontId="5" fillId="9" borderId="17" xfId="69" applyFont="1" applyFill="1" applyBorder="1" applyAlignment="1">
      <alignment horizontal="center" vertical="center" wrapText="1"/>
    </xf>
    <xf numFmtId="0" fontId="7" fillId="9" borderId="9" xfId="69" applyFont="1" applyFill="1" applyBorder="1" applyAlignment="1">
      <alignment horizontal="center" vertical="center"/>
    </xf>
    <xf numFmtId="0" fontId="7" fillId="9" borderId="10" xfId="69" applyFont="1" applyFill="1" applyBorder="1" applyAlignment="1">
      <alignment horizontal="center" vertical="center"/>
    </xf>
    <xf numFmtId="0" fontId="168" fillId="11" borderId="18" xfId="69" applyFont="1" applyFill="1" applyBorder="1" applyAlignment="1">
      <alignment horizontal="right" vertical="center"/>
    </xf>
    <xf numFmtId="0" fontId="5" fillId="9" borderId="6" xfId="69" applyFont="1" applyFill="1" applyBorder="1" applyAlignment="1">
      <alignment horizontal="center" vertical="center"/>
    </xf>
    <xf numFmtId="0" fontId="224" fillId="0" borderId="0" xfId="69" applyFont="1" applyFill="1" applyBorder="1" applyAlignment="1">
      <alignment horizontal="left" vertical="center"/>
    </xf>
    <xf numFmtId="0" fontId="289" fillId="0" borderId="49" xfId="69" applyNumberFormat="1" applyFont="1" applyFill="1" applyBorder="1" applyAlignment="1">
      <alignment horizontal="left" vertical="center"/>
    </xf>
    <xf numFmtId="0" fontId="224" fillId="3" borderId="0" xfId="69" applyNumberFormat="1" applyFont="1" applyFill="1" applyBorder="1" applyAlignment="1">
      <alignment horizontal="left" vertical="center"/>
    </xf>
    <xf numFmtId="0" fontId="22" fillId="9" borderId="6" xfId="0" applyFont="1" applyFill="1" applyBorder="1" applyAlignment="1">
      <alignment horizontal="center" vertical="center" wrapText="1"/>
    </xf>
    <xf numFmtId="0" fontId="22" fillId="9" borderId="7" xfId="0" applyFont="1" applyFill="1" applyBorder="1" applyAlignment="1">
      <alignment horizontal="center" vertical="center" wrapText="1"/>
    </xf>
    <xf numFmtId="0" fontId="22" fillId="9" borderId="8" xfId="0" applyFont="1" applyFill="1" applyBorder="1" applyAlignment="1">
      <alignment horizontal="center" vertical="center" wrapText="1"/>
    </xf>
    <xf numFmtId="0" fontId="22" fillId="9" borderId="17" xfId="0" applyFont="1" applyFill="1" applyBorder="1" applyAlignment="1">
      <alignment horizontal="center" vertical="center" wrapText="1"/>
    </xf>
    <xf numFmtId="0" fontId="22" fillId="9" borderId="19" xfId="0" applyFont="1" applyFill="1" applyBorder="1" applyAlignment="1">
      <alignment horizontal="center" vertical="center" wrapText="1"/>
    </xf>
    <xf numFmtId="0" fontId="220" fillId="3" borderId="0" xfId="0" applyNumberFormat="1" applyFont="1" applyFill="1" applyBorder="1" applyAlignment="1">
      <alignment horizontal="left" vertical="center"/>
    </xf>
    <xf numFmtId="0" fontId="220" fillId="0" borderId="0" xfId="0" applyFont="1" applyFill="1" applyBorder="1" applyAlignment="1">
      <alignment horizontal="left" vertical="center"/>
    </xf>
    <xf numFmtId="2" fontId="22" fillId="9" borderId="6" xfId="28" applyNumberFormat="1" applyFont="1" applyFill="1" applyBorder="1" applyAlignment="1">
      <alignment horizontal="center" vertical="center"/>
    </xf>
    <xf numFmtId="2" fontId="22" fillId="9" borderId="6" xfId="28" applyNumberFormat="1" applyFont="1" applyFill="1" applyBorder="1" applyAlignment="1">
      <alignment horizontal="center" vertical="center" wrapText="1"/>
    </xf>
    <xf numFmtId="2" fontId="22" fillId="9" borderId="9" xfId="28" applyNumberFormat="1" applyFont="1" applyFill="1" applyBorder="1" applyAlignment="1">
      <alignment horizontal="center" vertical="center" wrapText="1"/>
    </xf>
    <xf numFmtId="0" fontId="22" fillId="9" borderId="6" xfId="0" applyFont="1" applyFill="1" applyBorder="1" applyAlignment="1">
      <alignment horizontal="center" vertical="center"/>
    </xf>
    <xf numFmtId="0" fontId="21" fillId="9" borderId="9" xfId="0" applyFont="1" applyFill="1" applyBorder="1" applyAlignment="1">
      <alignment horizontal="center" vertical="center" wrapText="1"/>
    </xf>
    <xf numFmtId="166" fontId="21" fillId="9" borderId="6" xfId="0" applyNumberFormat="1" applyFont="1" applyFill="1" applyBorder="1" applyAlignment="1">
      <alignment horizontal="center" vertical="center" wrapText="1"/>
    </xf>
    <xf numFmtId="0" fontId="21" fillId="9" borderId="6" xfId="0" applyFont="1" applyFill="1" applyBorder="1" applyAlignment="1">
      <alignment horizontal="center" vertical="center" wrapText="1"/>
    </xf>
    <xf numFmtId="0" fontId="21" fillId="9" borderId="6" xfId="0" applyFont="1" applyFill="1" applyBorder="1" applyAlignment="1">
      <alignment horizontal="center" vertical="center"/>
    </xf>
    <xf numFmtId="2" fontId="21" fillId="9" borderId="6" xfId="28" applyNumberFormat="1" applyFont="1" applyFill="1" applyBorder="1" applyAlignment="1">
      <alignment horizontal="center" vertical="center" wrapText="1"/>
    </xf>
    <xf numFmtId="2" fontId="21" fillId="9" borderId="9" xfId="28" applyNumberFormat="1" applyFont="1" applyFill="1" applyBorder="1" applyAlignment="1">
      <alignment horizontal="center" vertical="center" wrapText="1"/>
    </xf>
    <xf numFmtId="0" fontId="21" fillId="9" borderId="7"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9" borderId="17" xfId="0" applyFont="1" applyFill="1" applyBorder="1" applyAlignment="1">
      <alignment horizontal="center" vertical="center" wrapText="1"/>
    </xf>
    <xf numFmtId="0" fontId="21" fillId="9" borderId="19" xfId="0" applyFont="1" applyFill="1" applyBorder="1" applyAlignment="1">
      <alignment horizontal="center" vertical="center" wrapText="1"/>
    </xf>
    <xf numFmtId="2" fontId="21" fillId="9" borderId="6" xfId="28" applyNumberFormat="1" applyFont="1" applyFill="1" applyBorder="1" applyAlignment="1">
      <alignment horizontal="center" vertical="center"/>
    </xf>
    <xf numFmtId="0" fontId="21" fillId="9" borderId="9" xfId="0" applyFont="1" applyFill="1" applyBorder="1" applyAlignment="1">
      <alignment horizontal="center" vertical="center"/>
    </xf>
    <xf numFmtId="0" fontId="21" fillId="9" borderId="10" xfId="0" applyFont="1" applyFill="1" applyBorder="1" applyAlignment="1">
      <alignment horizontal="center" vertical="center"/>
    </xf>
    <xf numFmtId="0" fontId="21" fillId="9" borderId="11" xfId="0" applyFont="1" applyFill="1" applyBorder="1" applyAlignment="1">
      <alignment horizontal="center" vertical="center"/>
    </xf>
    <xf numFmtId="0" fontId="179" fillId="0" borderId="0" xfId="0" applyFont="1" applyFill="1" applyBorder="1" applyAlignment="1">
      <alignment horizontal="center"/>
    </xf>
    <xf numFmtId="0" fontId="183" fillId="0" borderId="0" xfId="0" applyFont="1" applyFill="1" applyBorder="1" applyAlignment="1">
      <alignment horizontal="center" vertical="top"/>
    </xf>
    <xf numFmtId="0" fontId="192" fillId="11" borderId="18" xfId="0" applyFont="1" applyFill="1" applyBorder="1" applyAlignment="1">
      <alignment horizontal="right" vertical="center"/>
    </xf>
    <xf numFmtId="0" fontId="292" fillId="3" borderId="0" xfId="69" applyNumberFormat="1" applyFont="1" applyFill="1" applyBorder="1" applyAlignment="1">
      <alignment horizontal="left" vertical="center"/>
    </xf>
    <xf numFmtId="0" fontId="292" fillId="0" borderId="0" xfId="69" applyFont="1" applyFill="1" applyBorder="1" applyAlignment="1">
      <alignment horizontal="left" vertical="center"/>
    </xf>
    <xf numFmtId="0" fontId="7" fillId="9" borderId="1" xfId="69" applyFont="1" applyFill="1" applyBorder="1" applyAlignment="1">
      <alignment horizontal="center" vertical="center" wrapText="1"/>
    </xf>
    <xf numFmtId="0" fontId="7" fillId="9" borderId="2" xfId="69" applyFont="1" applyFill="1" applyBorder="1" applyAlignment="1">
      <alignment horizontal="center" vertical="center" wrapText="1"/>
    </xf>
    <xf numFmtId="0" fontId="16" fillId="9" borderId="6" xfId="69" applyFont="1" applyFill="1" applyBorder="1" applyAlignment="1">
      <alignment horizontal="center" vertical="center" wrapText="1"/>
    </xf>
    <xf numFmtId="0" fontId="7" fillId="9" borderId="6" xfId="69" applyFont="1" applyFill="1" applyBorder="1" applyAlignment="1">
      <alignment horizontal="center" vertical="center" wrapText="1"/>
    </xf>
    <xf numFmtId="0" fontId="21" fillId="9" borderId="7" xfId="69" applyFont="1" applyFill="1" applyBorder="1" applyAlignment="1">
      <alignment horizontal="center" vertical="center" wrapText="1"/>
    </xf>
    <xf numFmtId="0" fontId="21" fillId="9" borderId="8" xfId="69" applyFont="1" applyFill="1" applyBorder="1" applyAlignment="1">
      <alignment horizontal="center" vertical="center" wrapText="1"/>
    </xf>
    <xf numFmtId="0" fontId="21" fillId="9" borderId="17" xfId="69" applyFont="1" applyFill="1" applyBorder="1" applyAlignment="1">
      <alignment horizontal="center" vertical="center" wrapText="1"/>
    </xf>
    <xf numFmtId="0" fontId="21" fillId="9" borderId="19" xfId="69" applyFont="1" applyFill="1" applyBorder="1" applyAlignment="1">
      <alignment horizontal="center" vertical="center" wrapText="1"/>
    </xf>
    <xf numFmtId="0" fontId="21" fillId="9" borderId="7" xfId="69" applyFont="1" applyFill="1" applyBorder="1" applyAlignment="1">
      <alignment horizontal="center" vertical="center"/>
    </xf>
    <xf numFmtId="0" fontId="21" fillId="9" borderId="8" xfId="69" applyFont="1" applyFill="1" applyBorder="1" applyAlignment="1">
      <alignment horizontal="center" vertical="center"/>
    </xf>
    <xf numFmtId="0" fontId="21" fillId="9" borderId="17" xfId="69" applyFont="1" applyFill="1" applyBorder="1" applyAlignment="1">
      <alignment horizontal="center" vertical="center"/>
    </xf>
    <xf numFmtId="0" fontId="21" fillId="9" borderId="19" xfId="69" applyFont="1" applyFill="1" applyBorder="1" applyAlignment="1">
      <alignment horizontal="center" vertical="center"/>
    </xf>
    <xf numFmtId="2" fontId="21" fillId="9" borderId="7" xfId="28" applyNumberFormat="1" applyFont="1" applyFill="1" applyBorder="1" applyAlignment="1">
      <alignment horizontal="center" vertical="center" wrapText="1"/>
    </xf>
    <xf numFmtId="2" fontId="21" fillId="9" borderId="8" xfId="28" applyNumberFormat="1" applyFont="1" applyFill="1" applyBorder="1" applyAlignment="1">
      <alignment horizontal="center" vertical="center" wrapText="1"/>
    </xf>
    <xf numFmtId="2" fontId="21" fillId="9" borderId="17" xfId="28" applyNumberFormat="1" applyFont="1" applyFill="1" applyBorder="1" applyAlignment="1">
      <alignment horizontal="center" vertical="center" wrapText="1"/>
    </xf>
    <xf numFmtId="2" fontId="21" fillId="9" borderId="19" xfId="28" applyNumberFormat="1" applyFont="1" applyFill="1" applyBorder="1" applyAlignment="1">
      <alignment horizontal="center" vertical="center" wrapText="1"/>
    </xf>
    <xf numFmtId="2" fontId="21" fillId="9" borderId="7" xfId="28" applyNumberFormat="1" applyFont="1" applyFill="1" applyBorder="1" applyAlignment="1">
      <alignment horizontal="center" vertical="center"/>
    </xf>
    <xf numFmtId="2" fontId="21" fillId="9" borderId="8" xfId="28" applyNumberFormat="1" applyFont="1" applyFill="1" applyBorder="1" applyAlignment="1">
      <alignment horizontal="center" vertical="center"/>
    </xf>
    <xf numFmtId="2" fontId="21" fillId="9" borderId="17" xfId="28" applyNumberFormat="1" applyFont="1" applyFill="1" applyBorder="1" applyAlignment="1">
      <alignment horizontal="center" vertical="center"/>
    </xf>
    <xf numFmtId="2" fontId="21" fillId="9" borderId="19" xfId="28" applyNumberFormat="1" applyFont="1" applyFill="1" applyBorder="1" applyAlignment="1">
      <alignment horizontal="center" vertical="center"/>
    </xf>
    <xf numFmtId="0" fontId="179" fillId="0" borderId="0" xfId="69" applyFont="1" applyFill="1" applyBorder="1" applyAlignment="1">
      <alignment horizontal="center"/>
    </xf>
    <xf numFmtId="0" fontId="183" fillId="0" borderId="0" xfId="69" applyFont="1" applyFill="1" applyBorder="1" applyAlignment="1">
      <alignment horizontal="center" vertical="top"/>
    </xf>
    <xf numFmtId="0" fontId="291" fillId="11" borderId="18" xfId="69" applyFont="1" applyFill="1" applyBorder="1" applyAlignment="1">
      <alignment horizontal="right" vertical="center"/>
    </xf>
    <xf numFmtId="0" fontId="21" fillId="9" borderId="6" xfId="69" applyFont="1" applyFill="1" applyBorder="1" applyAlignment="1">
      <alignment horizontal="center" vertical="center" wrapText="1"/>
    </xf>
    <xf numFmtId="0" fontId="21" fillId="9" borderId="6" xfId="69" applyFont="1" applyFill="1" applyBorder="1" applyAlignment="1">
      <alignment horizontal="center" vertical="center"/>
    </xf>
    <xf numFmtId="0" fontId="251" fillId="0" borderId="0" xfId="3" applyFont="1" applyFill="1" applyBorder="1" applyAlignment="1">
      <alignment horizontal="center" vertical="center" wrapText="1"/>
    </xf>
    <xf numFmtId="0" fontId="306" fillId="0" borderId="0" xfId="3" applyFont="1" applyFill="1" applyBorder="1" applyAlignment="1">
      <alignment horizontal="center" vertical="top" wrapText="1"/>
    </xf>
    <xf numFmtId="0" fontId="192" fillId="11" borderId="18" xfId="0" applyFont="1" applyFill="1" applyBorder="1" applyAlignment="1">
      <alignment horizontal="right"/>
    </xf>
    <xf numFmtId="14" fontId="194" fillId="9" borderId="98" xfId="3" applyNumberFormat="1" applyFont="1" applyFill="1" applyBorder="1" applyAlignment="1">
      <alignment horizontal="center" vertical="center"/>
    </xf>
    <xf numFmtId="14" fontId="194" fillId="9" borderId="167" xfId="3" applyNumberFormat="1" applyFont="1" applyFill="1" applyBorder="1" applyAlignment="1">
      <alignment horizontal="center" vertical="center"/>
    </xf>
    <xf numFmtId="14" fontId="194" fillId="9" borderId="168" xfId="3" applyNumberFormat="1" applyFont="1" applyFill="1" applyBorder="1" applyAlignment="1">
      <alignment horizontal="center" vertical="center"/>
    </xf>
    <xf numFmtId="0" fontId="235" fillId="0" borderId="49" xfId="0" applyFont="1" applyFill="1" applyBorder="1" applyAlignment="1">
      <alignment horizontal="left" vertical="center" wrapText="1"/>
    </xf>
    <xf numFmtId="0" fontId="235" fillId="0" borderId="163" xfId="0" applyFont="1" applyFill="1" applyBorder="1" applyAlignment="1">
      <alignment horizontal="left" vertical="center" wrapText="1"/>
    </xf>
    <xf numFmtId="0" fontId="193" fillId="9" borderId="111" xfId="0" applyFont="1" applyFill="1" applyBorder="1" applyAlignment="1">
      <alignment horizontal="center" vertical="center"/>
    </xf>
    <xf numFmtId="0" fontId="193" fillId="9" borderId="110" xfId="0" applyFont="1" applyFill="1" applyBorder="1" applyAlignment="1">
      <alignment horizontal="center" vertical="center"/>
    </xf>
    <xf numFmtId="0" fontId="193" fillId="9" borderId="112" xfId="0" applyFont="1" applyFill="1" applyBorder="1" applyAlignment="1">
      <alignment horizontal="center" vertical="center"/>
    </xf>
    <xf numFmtId="0" fontId="194" fillId="9" borderId="83" xfId="0" applyFont="1" applyFill="1" applyBorder="1" applyAlignment="1">
      <alignment horizontal="center" vertical="center"/>
    </xf>
    <xf numFmtId="0" fontId="193" fillId="9" borderId="109" xfId="0" applyFont="1" applyFill="1" applyBorder="1" applyAlignment="1">
      <alignment horizontal="center" vertical="center"/>
    </xf>
    <xf numFmtId="0" fontId="193" fillId="9" borderId="113" xfId="0" applyFont="1" applyFill="1" applyBorder="1" applyAlignment="1">
      <alignment horizontal="center" vertical="center"/>
    </xf>
    <xf numFmtId="0" fontId="193" fillId="9" borderId="114" xfId="0" applyFont="1" applyFill="1" applyBorder="1" applyAlignment="1">
      <alignment horizontal="center" vertical="center"/>
    </xf>
    <xf numFmtId="0" fontId="251" fillId="0" borderId="0" xfId="3" applyFont="1" applyFill="1" applyBorder="1" applyAlignment="1">
      <alignment horizontal="center" wrapText="1"/>
    </xf>
    <xf numFmtId="14" fontId="69" fillId="9" borderId="85" xfId="3" applyNumberFormat="1" applyFont="1" applyFill="1" applyBorder="1" applyAlignment="1">
      <alignment horizontal="center" vertical="center"/>
    </xf>
    <xf numFmtId="14" fontId="69" fillId="9" borderId="84" xfId="3" applyNumberFormat="1" applyFont="1" applyFill="1" applyBorder="1" applyAlignment="1">
      <alignment horizontal="center" vertical="center"/>
    </xf>
    <xf numFmtId="14" fontId="69" fillId="9" borderId="169" xfId="3" applyNumberFormat="1" applyFont="1" applyFill="1" applyBorder="1" applyAlignment="1">
      <alignment horizontal="center" vertical="center"/>
    </xf>
    <xf numFmtId="14" fontId="69" fillId="9" borderId="165" xfId="3" applyNumberFormat="1" applyFont="1" applyFill="1" applyBorder="1" applyAlignment="1">
      <alignment horizontal="center" vertical="center"/>
    </xf>
    <xf numFmtId="0" fontId="192" fillId="11" borderId="0" xfId="0" applyFont="1" applyFill="1" applyBorder="1" applyAlignment="1">
      <alignment horizontal="right"/>
    </xf>
    <xf numFmtId="0" fontId="75" fillId="9" borderId="83" xfId="0" applyFont="1" applyFill="1" applyBorder="1" applyAlignment="1">
      <alignment horizontal="center" vertical="center"/>
    </xf>
    <xf numFmtId="0" fontId="193" fillId="9" borderId="100" xfId="0" applyFont="1" applyFill="1" applyBorder="1" applyAlignment="1">
      <alignment horizontal="center" vertical="center"/>
    </xf>
    <xf numFmtId="0" fontId="140" fillId="9" borderId="111" xfId="0" applyFont="1" applyFill="1" applyBorder="1" applyAlignment="1">
      <alignment horizontal="center" vertical="center"/>
    </xf>
    <xf numFmtId="0" fontId="140" fillId="9" borderId="110" xfId="0" applyFont="1" applyFill="1" applyBorder="1" applyAlignment="1">
      <alignment horizontal="center" vertical="center"/>
    </xf>
    <xf numFmtId="0" fontId="140" fillId="9" borderId="113" xfId="0" applyFont="1" applyFill="1" applyBorder="1" applyAlignment="1">
      <alignment horizontal="center" vertical="center"/>
    </xf>
    <xf numFmtId="0" fontId="140" fillId="9" borderId="114" xfId="0" applyFont="1" applyFill="1" applyBorder="1" applyAlignment="1">
      <alignment horizontal="center" vertical="center"/>
    </xf>
    <xf numFmtId="14" fontId="72" fillId="9" borderId="82" xfId="3" applyNumberFormat="1" applyFont="1" applyFill="1" applyBorder="1" applyAlignment="1">
      <alignment horizontal="center" vertical="center"/>
    </xf>
    <xf numFmtId="14" fontId="72" fillId="9" borderId="85" xfId="3" applyNumberFormat="1" applyFont="1" applyFill="1" applyBorder="1" applyAlignment="1">
      <alignment horizontal="center" vertical="center"/>
    </xf>
    <xf numFmtId="14" fontId="72" fillId="9" borderId="84" xfId="3" applyNumberFormat="1" applyFont="1" applyFill="1" applyBorder="1" applyAlignment="1">
      <alignment horizontal="center" vertical="center"/>
    </xf>
    <xf numFmtId="14" fontId="72" fillId="9" borderId="163" xfId="3" applyNumberFormat="1" applyFont="1" applyFill="1" applyBorder="1" applyAlignment="1">
      <alignment horizontal="center" vertical="center"/>
    </xf>
    <xf numFmtId="14" fontId="72" fillId="9" borderId="0" xfId="3" applyNumberFormat="1" applyFont="1" applyFill="1" applyBorder="1" applyAlignment="1">
      <alignment horizontal="center" vertical="center"/>
    </xf>
    <xf numFmtId="14" fontId="72" fillId="9" borderId="18" xfId="3" applyNumberFormat="1" applyFont="1" applyFill="1" applyBorder="1" applyAlignment="1">
      <alignment horizontal="center" vertical="center"/>
    </xf>
    <xf numFmtId="0" fontId="75" fillId="9" borderId="9" xfId="0" applyFont="1" applyFill="1" applyBorder="1" applyAlignment="1">
      <alignment horizontal="center" vertical="center"/>
    </xf>
    <xf numFmtId="0" fontId="75" fillId="9" borderId="10" xfId="0" applyFont="1" applyFill="1" applyBorder="1" applyAlignment="1">
      <alignment horizontal="center" vertical="center"/>
    </xf>
    <xf numFmtId="0" fontId="75" fillId="9" borderId="11" xfId="0" applyFont="1" applyFill="1" applyBorder="1" applyAlignment="1">
      <alignment horizontal="center" vertical="center"/>
    </xf>
    <xf numFmtId="0" fontId="140" fillId="9" borderId="9" xfId="0" applyFont="1" applyFill="1" applyBorder="1" applyAlignment="1">
      <alignment horizontal="center" vertical="center"/>
    </xf>
    <xf numFmtId="0" fontId="140" fillId="9" borderId="10" xfId="0" applyFont="1" applyFill="1" applyBorder="1" applyAlignment="1">
      <alignment horizontal="center" vertical="center"/>
    </xf>
    <xf numFmtId="0" fontId="140" fillId="9" borderId="11" xfId="0" applyFont="1" applyFill="1" applyBorder="1" applyAlignment="1">
      <alignment horizontal="center" vertical="center"/>
    </xf>
    <xf numFmtId="14" fontId="86" fillId="9" borderId="82" xfId="3" applyNumberFormat="1" applyFont="1" applyFill="1" applyBorder="1" applyAlignment="1">
      <alignment horizontal="center" vertical="center"/>
    </xf>
    <xf numFmtId="14" fontId="86" fillId="9" borderId="85" xfId="3" applyNumberFormat="1" applyFont="1" applyFill="1" applyBorder="1" applyAlignment="1">
      <alignment horizontal="center" vertical="center"/>
    </xf>
    <xf numFmtId="14" fontId="86" fillId="9" borderId="163" xfId="3" applyNumberFormat="1" applyFont="1" applyFill="1" applyBorder="1" applyAlignment="1">
      <alignment horizontal="center" vertical="center"/>
    </xf>
    <xf numFmtId="14" fontId="86" fillId="9" borderId="0" xfId="3" applyNumberFormat="1" applyFont="1" applyFill="1" applyBorder="1" applyAlignment="1">
      <alignment horizontal="center" vertical="center"/>
    </xf>
    <xf numFmtId="14" fontId="86" fillId="9" borderId="18" xfId="3" applyNumberFormat="1" applyFont="1" applyFill="1" applyBorder="1" applyAlignment="1">
      <alignment horizontal="center" vertical="center"/>
    </xf>
    <xf numFmtId="0" fontId="235" fillId="0" borderId="0" xfId="0" applyFont="1" applyFill="1" applyBorder="1" applyAlignment="1">
      <alignment horizontal="left" vertical="center" wrapText="1"/>
    </xf>
    <xf numFmtId="0" fontId="86" fillId="9" borderId="83" xfId="0" applyFont="1" applyFill="1" applyBorder="1" applyAlignment="1">
      <alignment horizontal="center" vertical="center"/>
    </xf>
    <xf numFmtId="0" fontId="193" fillId="9" borderId="101" xfId="0" applyFont="1" applyFill="1" applyBorder="1" applyAlignment="1">
      <alignment horizontal="center" vertical="center"/>
    </xf>
    <xf numFmtId="0" fontId="209" fillId="0" borderId="0" xfId="3" applyFont="1" applyFill="1" applyBorder="1" applyAlignment="1">
      <alignment horizontal="center" wrapText="1"/>
    </xf>
    <xf numFmtId="0" fontId="204" fillId="0" borderId="0" xfId="3" applyFont="1" applyFill="1" applyBorder="1" applyAlignment="1">
      <alignment horizontal="center" vertical="top" wrapText="1"/>
    </xf>
    <xf numFmtId="14" fontId="69" fillId="9" borderId="82" xfId="3" applyNumberFormat="1" applyFont="1" applyFill="1" applyBorder="1" applyAlignment="1">
      <alignment horizontal="center" vertical="center"/>
    </xf>
    <xf numFmtId="14" fontId="69" fillId="9" borderId="98" xfId="3" applyNumberFormat="1" applyFont="1" applyFill="1" applyBorder="1" applyAlignment="1">
      <alignment horizontal="center" vertical="center"/>
    </xf>
    <xf numFmtId="14" fontId="69" fillId="9" borderId="167" xfId="3" applyNumberFormat="1" applyFont="1" applyFill="1" applyBorder="1" applyAlignment="1">
      <alignment horizontal="center" vertical="center"/>
    </xf>
    <xf numFmtId="14" fontId="69" fillId="9" borderId="168" xfId="3" applyNumberFormat="1" applyFont="1" applyFill="1" applyBorder="1" applyAlignment="1">
      <alignment horizontal="center" vertical="center"/>
    </xf>
    <xf numFmtId="0" fontId="192" fillId="11" borderId="0" xfId="0" applyFont="1" applyFill="1" applyBorder="1" applyAlignment="1">
      <alignment horizontal="right" vertical="center"/>
    </xf>
    <xf numFmtId="0" fontId="73" fillId="9" borderId="83" xfId="0" applyFont="1" applyFill="1" applyBorder="1" applyAlignment="1">
      <alignment horizontal="center" vertical="center"/>
    </xf>
    <xf numFmtId="0" fontId="73" fillId="9" borderId="92" xfId="0" applyFont="1" applyFill="1" applyBorder="1" applyAlignment="1">
      <alignment horizontal="center" vertical="center"/>
    </xf>
    <xf numFmtId="0" fontId="73" fillId="9" borderId="163" xfId="0" applyFont="1" applyFill="1" applyBorder="1" applyAlignment="1">
      <alignment horizontal="center" vertical="center"/>
    </xf>
    <xf numFmtId="0" fontId="73" fillId="9" borderId="98" xfId="0" applyFont="1" applyFill="1" applyBorder="1" applyAlignment="1">
      <alignment horizontal="center" vertical="center"/>
    </xf>
    <xf numFmtId="0" fontId="234" fillId="0" borderId="49" xfId="0" applyFont="1" applyFill="1" applyBorder="1" applyAlignment="1">
      <alignment horizontal="left" vertical="center" wrapText="1"/>
    </xf>
    <xf numFmtId="0" fontId="234" fillId="0" borderId="67" xfId="0" applyFont="1" applyFill="1" applyBorder="1" applyAlignment="1">
      <alignment horizontal="left" vertical="center" wrapText="1"/>
    </xf>
    <xf numFmtId="0" fontId="309" fillId="9" borderId="6" xfId="0" applyFont="1" applyFill="1" applyBorder="1" applyAlignment="1">
      <alignment horizontal="center" vertical="center" wrapText="1"/>
    </xf>
    <xf numFmtId="0" fontId="309" fillId="9" borderId="6" xfId="0" applyFont="1" applyFill="1" applyBorder="1" applyAlignment="1">
      <alignment horizontal="center" vertical="center"/>
    </xf>
    <xf numFmtId="0" fontId="184" fillId="0" borderId="0" xfId="0" applyFont="1" applyFill="1" applyBorder="1" applyAlignment="1">
      <alignment horizontal="center"/>
    </xf>
    <xf numFmtId="0" fontId="185" fillId="0" borderId="0" xfId="0" applyFont="1" applyFill="1" applyBorder="1" applyAlignment="1">
      <alignment horizontal="center" vertical="top"/>
    </xf>
    <xf numFmtId="0" fontId="43" fillId="9" borderId="6" xfId="0" applyFont="1" applyFill="1" applyBorder="1" applyAlignment="1">
      <alignment horizontal="center" vertical="center" wrapText="1"/>
    </xf>
    <xf numFmtId="0" fontId="43" fillId="9" borderId="6" xfId="0" applyFont="1" applyFill="1" applyBorder="1" applyAlignment="1">
      <alignment horizontal="center" vertical="center"/>
    </xf>
    <xf numFmtId="0" fontId="175" fillId="0" borderId="0" xfId="0" applyFont="1" applyFill="1" applyBorder="1" applyAlignment="1">
      <alignment horizontal="center" vertical="center"/>
    </xf>
    <xf numFmtId="0" fontId="102" fillId="9" borderId="6" xfId="0" applyFont="1" applyFill="1" applyBorder="1" applyAlignment="1">
      <alignment horizontal="center" vertical="center"/>
    </xf>
    <xf numFmtId="0" fontId="102" fillId="9" borderId="6" xfId="0" applyFont="1" applyFill="1" applyBorder="1" applyAlignment="1">
      <alignment horizontal="center" vertical="center" wrapText="1"/>
    </xf>
    <xf numFmtId="0" fontId="102" fillId="9" borderId="6" xfId="0" quotePrefix="1" applyFont="1" applyFill="1" applyBorder="1" applyAlignment="1">
      <alignment horizontal="center" vertical="center" wrapText="1"/>
    </xf>
    <xf numFmtId="0" fontId="102" fillId="9" borderId="6" xfId="0" quotePrefix="1" applyFont="1" applyFill="1" applyBorder="1" applyAlignment="1">
      <alignment horizontal="center" vertical="center"/>
    </xf>
    <xf numFmtId="0" fontId="101" fillId="9" borderId="6" xfId="0" applyFont="1" applyFill="1" applyBorder="1" applyAlignment="1">
      <alignment horizontal="center" vertical="center"/>
    </xf>
    <xf numFmtId="0" fontId="204" fillId="0" borderId="0" xfId="0" applyFont="1" applyFill="1" applyBorder="1" applyAlignment="1">
      <alignment horizontal="center" vertical="top"/>
    </xf>
    <xf numFmtId="14" fontId="203" fillId="11" borderId="0" xfId="0" applyNumberFormat="1" applyFont="1" applyFill="1" applyBorder="1" applyAlignment="1">
      <alignment horizontal="center" vertical="center"/>
    </xf>
    <xf numFmtId="0" fontId="270" fillId="11" borderId="0" xfId="0" applyFont="1" applyFill="1" applyBorder="1" applyAlignment="1">
      <alignment horizontal="right" vertical="center"/>
    </xf>
    <xf numFmtId="0" fontId="237" fillId="0" borderId="0" xfId="28" applyFont="1" applyFill="1" applyBorder="1" applyAlignment="1">
      <alignment horizontal="left" vertical="center" wrapText="1" readingOrder="1"/>
    </xf>
    <xf numFmtId="0" fontId="237" fillId="0" borderId="0" xfId="28" applyFont="1" applyFill="1" applyBorder="1" applyAlignment="1">
      <alignment horizontal="left" vertical="center" readingOrder="1"/>
    </xf>
    <xf numFmtId="0" fontId="101" fillId="9" borderId="6" xfId="0" quotePrefix="1" applyFont="1" applyFill="1" applyBorder="1" applyAlignment="1">
      <alignment horizontal="center" vertical="center"/>
    </xf>
    <xf numFmtId="0" fontId="101" fillId="9" borderId="6" xfId="0" applyFont="1" applyFill="1" applyBorder="1" applyAlignment="1">
      <alignment horizontal="center" vertical="center" wrapText="1"/>
    </xf>
    <xf numFmtId="0" fontId="101" fillId="9" borderId="6" xfId="0" quotePrefix="1" applyFont="1" applyFill="1" applyBorder="1" applyAlignment="1">
      <alignment horizontal="center" vertical="center" wrapText="1"/>
    </xf>
    <xf numFmtId="0" fontId="226" fillId="0" borderId="0" xfId="0" applyFont="1" applyAlignment="1">
      <alignment vertical="center" wrapText="1"/>
    </xf>
    <xf numFmtId="0" fontId="226" fillId="0" borderId="0" xfId="0" applyFont="1" applyAlignment="1">
      <alignment horizontal="left" vertical="center" wrapText="1"/>
    </xf>
    <xf numFmtId="0" fontId="22" fillId="9" borderId="6" xfId="28" applyFont="1" applyFill="1" applyBorder="1" applyAlignment="1">
      <alignment horizontal="center" vertical="center" wrapText="1"/>
    </xf>
    <xf numFmtId="0" fontId="21" fillId="9" borderId="6" xfId="28" applyFont="1" applyFill="1" applyBorder="1" applyAlignment="1">
      <alignment horizontal="center" vertical="center" wrapText="1"/>
    </xf>
    <xf numFmtId="0" fontId="184" fillId="0" borderId="0" xfId="28" applyFont="1" applyAlignment="1">
      <alignment horizontal="center" vertical="center"/>
    </xf>
    <xf numFmtId="0" fontId="185" fillId="0" borderId="0" xfId="28" applyFont="1" applyAlignment="1">
      <alignment horizontal="center" vertical="top"/>
    </xf>
    <xf numFmtId="0" fontId="206" fillId="11" borderId="18" xfId="0" applyFont="1" applyFill="1" applyBorder="1" applyAlignment="1">
      <alignment horizontal="right" vertical="center"/>
    </xf>
    <xf numFmtId="0" fontId="180" fillId="0" borderId="0" xfId="0" applyFont="1" applyFill="1" applyBorder="1" applyAlignment="1">
      <alignment horizontal="center"/>
    </xf>
    <xf numFmtId="0" fontId="181" fillId="0" borderId="0" xfId="0" applyFont="1" applyFill="1" applyBorder="1" applyAlignment="1">
      <alignment horizontal="center" vertical="top"/>
    </xf>
    <xf numFmtId="2" fontId="35" fillId="9" borderId="6" xfId="28" applyNumberFormat="1" applyFont="1" applyFill="1" applyBorder="1" applyAlignment="1">
      <alignment horizontal="center" vertical="center" wrapText="1"/>
    </xf>
    <xf numFmtId="2" fontId="35" fillId="9" borderId="6" xfId="28" applyNumberFormat="1" applyFont="1" applyFill="1" applyBorder="1" applyAlignment="1">
      <alignment horizontal="center"/>
    </xf>
    <xf numFmtId="0" fontId="21" fillId="9" borderId="1" xfId="28" applyFont="1" applyFill="1" applyBorder="1" applyAlignment="1">
      <alignment horizontal="center" vertical="center"/>
    </xf>
    <xf numFmtId="0" fontId="21" fillId="9" borderId="2" xfId="28" applyFont="1" applyFill="1" applyBorder="1" applyAlignment="1">
      <alignment horizontal="center" vertical="center"/>
    </xf>
    <xf numFmtId="0" fontId="21" fillId="9" borderId="3" xfId="28" applyFont="1" applyFill="1" applyBorder="1" applyAlignment="1">
      <alignment horizontal="center" vertical="center"/>
    </xf>
    <xf numFmtId="2" fontId="208" fillId="11" borderId="18" xfId="0" applyNumberFormat="1" applyFont="1" applyFill="1" applyBorder="1" applyAlignment="1">
      <alignment horizontal="right"/>
    </xf>
    <xf numFmtId="0" fontId="225" fillId="0" borderId="0" xfId="0" applyFont="1" applyFill="1" applyBorder="1" applyAlignment="1">
      <alignment horizontal="left" vertical="top" wrapText="1"/>
    </xf>
    <xf numFmtId="0" fontId="224" fillId="0" borderId="0" xfId="0" applyFont="1" applyFill="1" applyBorder="1" applyAlignment="1">
      <alignment horizontal="left" vertical="top" wrapText="1"/>
    </xf>
    <xf numFmtId="0" fontId="32" fillId="9" borderId="6" xfId="28" applyFont="1" applyFill="1" applyBorder="1" applyAlignment="1">
      <alignment horizontal="center"/>
    </xf>
    <xf numFmtId="2" fontId="32" fillId="9" borderId="6" xfId="28" applyNumberFormat="1" applyFont="1" applyFill="1" applyBorder="1" applyAlignment="1">
      <alignment horizontal="center" vertical="center" wrapText="1"/>
    </xf>
    <xf numFmtId="2" fontId="32" fillId="9" borderId="6" xfId="28" applyNumberFormat="1" applyFont="1" applyFill="1" applyBorder="1" applyAlignment="1">
      <alignment horizontal="center"/>
    </xf>
    <xf numFmtId="0" fontId="23" fillId="9" borderId="6" xfId="1" applyFont="1" applyFill="1" applyBorder="1" applyAlignment="1">
      <alignment horizontal="center" vertical="center"/>
    </xf>
    <xf numFmtId="0" fontId="23" fillId="9" borderId="6" xfId="1" applyFont="1" applyFill="1" applyBorder="1" applyAlignment="1">
      <alignment horizontal="center" vertical="center" textRotation="90" wrapText="1"/>
    </xf>
    <xf numFmtId="0" fontId="58" fillId="9" borderId="6" xfId="1" applyFont="1" applyFill="1" applyBorder="1" applyAlignment="1">
      <alignment horizontal="center" vertical="center" textRotation="90"/>
    </xf>
    <xf numFmtId="0" fontId="58" fillId="9" borderId="6" xfId="1" applyFont="1" applyFill="1" applyBorder="1" applyAlignment="1">
      <alignment horizontal="center" vertical="center" textRotation="90" wrapText="1"/>
    </xf>
    <xf numFmtId="0" fontId="234" fillId="0" borderId="0" xfId="28" applyFont="1" applyAlignment="1">
      <alignment horizontal="left" vertical="center"/>
    </xf>
    <xf numFmtId="1" fontId="234" fillId="0" borderId="0" xfId="0" applyNumberFormat="1" applyFont="1" applyAlignment="1">
      <alignment horizontal="left" vertical="center" wrapText="1"/>
    </xf>
    <xf numFmtId="1" fontId="234" fillId="0" borderId="4" xfId="0" applyNumberFormat="1" applyFont="1" applyBorder="1" applyAlignment="1">
      <alignment horizontal="left" vertical="center" wrapText="1"/>
    </xf>
    <xf numFmtId="0" fontId="43" fillId="9" borderId="6" xfId="0" applyFont="1" applyFill="1" applyBorder="1" applyAlignment="1">
      <alignment horizontal="center" vertical="center" textRotation="90"/>
    </xf>
    <xf numFmtId="0" fontId="23" fillId="9" borderId="6" xfId="1" applyFont="1" applyFill="1" applyBorder="1" applyAlignment="1">
      <alignment horizontal="center" vertical="center" textRotation="90"/>
    </xf>
    <xf numFmtId="0" fontId="23" fillId="9" borderId="9" xfId="1" applyFont="1" applyFill="1" applyBorder="1" applyAlignment="1">
      <alignment horizontal="center" vertical="center"/>
    </xf>
    <xf numFmtId="0" fontId="23" fillId="9" borderId="11" xfId="1" applyFont="1" applyFill="1" applyBorder="1" applyAlignment="1">
      <alignment horizontal="center" vertical="center"/>
    </xf>
    <xf numFmtId="0" fontId="13" fillId="9" borderId="6" xfId="1" applyFont="1" applyFill="1" applyBorder="1" applyAlignment="1">
      <alignment horizontal="center" vertical="center" textRotation="90"/>
    </xf>
    <xf numFmtId="0" fontId="13" fillId="9" borderId="6" xfId="1" applyFont="1" applyFill="1" applyBorder="1" applyAlignment="1">
      <alignment horizontal="center" vertical="center" textRotation="90" wrapText="1"/>
    </xf>
    <xf numFmtId="0" fontId="53" fillId="9" borderId="6" xfId="1" applyFont="1" applyFill="1" applyBorder="1" applyAlignment="1">
      <alignment horizontal="center" vertical="center" textRotation="90" wrapText="1"/>
    </xf>
    <xf numFmtId="0" fontId="53" fillId="9" borderId="1" xfId="1" applyFont="1" applyFill="1" applyBorder="1" applyAlignment="1">
      <alignment horizontal="center" vertical="center" textRotation="90" wrapText="1"/>
    </xf>
    <xf numFmtId="0" fontId="53" fillId="9" borderId="2" xfId="1" applyFont="1" applyFill="1" applyBorder="1" applyAlignment="1">
      <alignment horizontal="center" vertical="center" textRotation="90" wrapText="1"/>
    </xf>
    <xf numFmtId="0" fontId="53" fillId="9" borderId="3" xfId="1" applyFont="1" applyFill="1" applyBorder="1" applyAlignment="1">
      <alignment horizontal="center" vertical="center" textRotation="90" wrapText="1"/>
    </xf>
    <xf numFmtId="0" fontId="56" fillId="9" borderId="6" xfId="0" applyFont="1" applyFill="1" applyBorder="1" applyAlignment="1">
      <alignment horizontal="center" vertical="center"/>
    </xf>
    <xf numFmtId="0" fontId="58" fillId="9" borderId="1" xfId="1" applyFont="1" applyFill="1" applyBorder="1" applyAlignment="1">
      <alignment horizontal="center" vertical="center" textRotation="90" wrapText="1"/>
    </xf>
    <xf numFmtId="0" fontId="58" fillId="9" borderId="3" xfId="1" applyFont="1" applyFill="1" applyBorder="1" applyAlignment="1">
      <alignment horizontal="center" vertical="center" textRotation="90" wrapText="1"/>
    </xf>
    <xf numFmtId="0" fontId="166" fillId="0" borderId="0" xfId="0" applyFont="1" applyAlignment="1">
      <alignment horizontal="center"/>
    </xf>
    <xf numFmtId="0" fontId="167" fillId="0" borderId="0" xfId="0" applyFont="1" applyAlignment="1">
      <alignment horizontal="center" vertical="top"/>
    </xf>
    <xf numFmtId="0" fontId="44" fillId="9" borderId="1" xfId="0" applyFont="1" applyFill="1" applyBorder="1" applyAlignment="1">
      <alignment horizontal="center" vertical="center" textRotation="90"/>
    </xf>
    <xf numFmtId="0" fontId="44" fillId="9" borderId="2" xfId="0" applyFont="1" applyFill="1" applyBorder="1" applyAlignment="1">
      <alignment horizontal="center" vertical="center" textRotation="90"/>
    </xf>
    <xf numFmtId="0" fontId="44" fillId="9" borderId="3" xfId="0" applyFont="1" applyFill="1" applyBorder="1" applyAlignment="1">
      <alignment horizontal="center" vertical="center" textRotation="90"/>
    </xf>
    <xf numFmtId="0" fontId="53" fillId="9" borderId="6" xfId="1" applyFont="1" applyFill="1" applyBorder="1" applyAlignment="1">
      <alignment horizontal="center" vertical="center" textRotation="90"/>
    </xf>
    <xf numFmtId="0" fontId="56" fillId="9" borderId="7" xfId="0" applyFont="1" applyFill="1" applyBorder="1" applyAlignment="1">
      <alignment horizontal="center" vertical="center"/>
    </xf>
    <xf numFmtId="0" fontId="56" fillId="9" borderId="164" xfId="0" applyFont="1" applyFill="1" applyBorder="1" applyAlignment="1">
      <alignment horizontal="center" vertical="center"/>
    </xf>
    <xf numFmtId="0" fontId="56" fillId="9" borderId="17" xfId="0" applyFont="1" applyFill="1" applyBorder="1" applyAlignment="1">
      <alignment horizontal="center" vertical="center"/>
    </xf>
    <xf numFmtId="0" fontId="56" fillId="9" borderId="19" xfId="0" applyFont="1" applyFill="1" applyBorder="1" applyAlignment="1">
      <alignment horizontal="center" vertical="center"/>
    </xf>
    <xf numFmtId="0" fontId="16" fillId="9" borderId="6" xfId="1" applyFont="1" applyFill="1" applyBorder="1" applyAlignment="1">
      <alignment horizontal="center" vertical="center" textRotation="90"/>
    </xf>
    <xf numFmtId="0" fontId="16" fillId="9" borderId="6" xfId="1" applyFont="1" applyFill="1" applyBorder="1" applyAlignment="1">
      <alignment horizontal="center" vertical="center" textRotation="90" wrapText="1"/>
    </xf>
    <xf numFmtId="0" fontId="184" fillId="0" borderId="0" xfId="69" applyFont="1" applyAlignment="1">
      <alignment horizontal="center"/>
    </xf>
    <xf numFmtId="0" fontId="185" fillId="0" borderId="0" xfId="69" applyFont="1" applyAlignment="1">
      <alignment horizontal="center" vertical="top"/>
    </xf>
    <xf numFmtId="0" fontId="14" fillId="9" borderId="6" xfId="69" applyFont="1" applyFill="1" applyBorder="1" applyAlignment="1">
      <alignment horizontal="center" vertical="center" wrapText="1"/>
    </xf>
    <xf numFmtId="0" fontId="17" fillId="9" borderId="6" xfId="69" applyFont="1" applyFill="1" applyBorder="1" applyAlignment="1">
      <alignment horizontal="center" vertical="center" wrapText="1"/>
    </xf>
    <xf numFmtId="0" fontId="103" fillId="9" borderId="6" xfId="69" applyFont="1" applyFill="1" applyBorder="1" applyAlignment="1">
      <alignment vertical="center"/>
    </xf>
    <xf numFmtId="0" fontId="15" fillId="9" borderId="6" xfId="69" applyFont="1" applyFill="1" applyBorder="1" applyAlignment="1">
      <alignment horizontal="center" vertical="center" wrapText="1"/>
    </xf>
    <xf numFmtId="0" fontId="17" fillId="9" borderId="1" xfId="69" applyFont="1" applyFill="1" applyBorder="1" applyAlignment="1">
      <alignment horizontal="center" vertical="center" wrapText="1"/>
    </xf>
    <xf numFmtId="0" fontId="17" fillId="9" borderId="3" xfId="69" applyFont="1" applyFill="1" applyBorder="1" applyAlignment="1">
      <alignment horizontal="center" vertical="center" wrapText="1"/>
    </xf>
    <xf numFmtId="0" fontId="18" fillId="9" borderId="6" xfId="69" applyFont="1" applyFill="1" applyBorder="1" applyAlignment="1">
      <alignment horizontal="center" vertical="center" wrapText="1"/>
    </xf>
    <xf numFmtId="0" fontId="18" fillId="9" borderId="6" xfId="69" applyFont="1" applyFill="1" applyBorder="1" applyAlignment="1">
      <alignment vertical="center"/>
    </xf>
    <xf numFmtId="0" fontId="226" fillId="0" borderId="0" xfId="69" applyFont="1" applyAlignment="1">
      <alignment horizontal="left" vertical="center" wrapText="1"/>
    </xf>
    <xf numFmtId="0" fontId="226" fillId="0" borderId="0" xfId="69" applyFont="1" applyAlignment="1">
      <alignment horizontal="left" vertical="center"/>
    </xf>
    <xf numFmtId="0" fontId="22" fillId="9" borderId="6" xfId="69" applyFont="1" applyFill="1" applyBorder="1" applyAlignment="1">
      <alignment horizontal="center" vertical="center" wrapText="1"/>
    </xf>
    <xf numFmtId="0" fontId="226" fillId="0" borderId="49" xfId="38" applyFont="1" applyFill="1" applyBorder="1" applyAlignment="1">
      <alignment horizontal="left" vertical="center"/>
    </xf>
    <xf numFmtId="0" fontId="226" fillId="0" borderId="163" xfId="38" applyFont="1" applyFill="1" applyBorder="1" applyAlignment="1">
      <alignment horizontal="left" vertical="center"/>
    </xf>
    <xf numFmtId="0" fontId="226" fillId="0" borderId="8" xfId="38" applyFont="1" applyFill="1" applyBorder="1" applyAlignment="1">
      <alignment horizontal="left" vertical="center"/>
    </xf>
    <xf numFmtId="0" fontId="226" fillId="0" borderId="0" xfId="38" applyFont="1" applyFill="1" applyBorder="1" applyAlignment="1">
      <alignment horizontal="left" vertical="center"/>
    </xf>
    <xf numFmtId="0" fontId="226" fillId="0" borderId="0" xfId="0" applyFont="1" applyFill="1" applyBorder="1" applyAlignment="1">
      <alignment horizontal="left" vertical="center"/>
    </xf>
    <xf numFmtId="0" fontId="214" fillId="0" borderId="0" xfId="38" applyFont="1" applyFill="1" applyBorder="1" applyAlignment="1">
      <alignment horizontal="center"/>
    </xf>
    <xf numFmtId="0" fontId="199" fillId="0" borderId="0" xfId="38" applyFont="1" applyFill="1" applyBorder="1" applyAlignment="1">
      <alignment horizontal="center" vertical="top"/>
    </xf>
    <xf numFmtId="0" fontId="164" fillId="0" borderId="0" xfId="0" applyFont="1" applyFill="1" applyAlignment="1">
      <alignment horizontal="center" vertical="center"/>
    </xf>
    <xf numFmtId="0" fontId="165" fillId="0" borderId="0" xfId="0" applyFont="1" applyFill="1" applyAlignment="1">
      <alignment horizontal="center" vertical="top" wrapText="1"/>
    </xf>
    <xf numFmtId="173" fontId="6" fillId="9" borderId="6" xfId="38" applyNumberFormat="1" applyFont="1" applyFill="1" applyBorder="1" applyAlignment="1">
      <alignment horizontal="center" vertical="center" wrapText="1"/>
    </xf>
    <xf numFmtId="49" fontId="217" fillId="0" borderId="0" xfId="38" applyNumberFormat="1" applyFont="1" applyFill="1" applyBorder="1" applyAlignment="1">
      <alignment horizontal="left" vertical="center" wrapText="1"/>
    </xf>
    <xf numFmtId="173" fontId="6" fillId="9" borderId="6" xfId="38" applyNumberFormat="1" applyFont="1" applyFill="1" applyBorder="1" applyAlignment="1">
      <alignment horizontal="center" vertical="center"/>
    </xf>
    <xf numFmtId="173" fontId="10" fillId="9" borderId="6" xfId="38" applyNumberFormat="1" applyFont="1" applyFill="1" applyBorder="1" applyAlignment="1">
      <alignment horizontal="center" vertical="center" wrapText="1"/>
    </xf>
    <xf numFmtId="0" fontId="6" fillId="9" borderId="1" xfId="38" applyNumberFormat="1" applyFont="1" applyFill="1" applyBorder="1" applyAlignment="1">
      <alignment horizontal="center" vertical="center" wrapText="1"/>
    </xf>
    <xf numFmtId="0" fontId="6" fillId="9" borderId="2" xfId="38" applyNumberFormat="1" applyFont="1" applyFill="1" applyBorder="1" applyAlignment="1">
      <alignment horizontal="center" vertical="center" wrapText="1"/>
    </xf>
    <xf numFmtId="0" fontId="6" fillId="9" borderId="3" xfId="38" applyNumberFormat="1" applyFont="1" applyFill="1" applyBorder="1" applyAlignment="1">
      <alignment horizontal="center" vertical="center" wrapText="1"/>
    </xf>
    <xf numFmtId="173" fontId="6" fillId="9" borderId="6" xfId="38" applyNumberFormat="1" applyFont="1" applyFill="1" applyBorder="1" applyAlignment="1">
      <alignment horizontal="center"/>
    </xf>
    <xf numFmtId="173" fontId="6" fillId="9" borderId="9" xfId="38" applyNumberFormat="1" applyFont="1" applyFill="1" applyBorder="1" applyAlignment="1">
      <alignment horizontal="center"/>
    </xf>
    <xf numFmtId="173" fontId="6" fillId="9" borderId="11" xfId="38" applyNumberFormat="1" applyFont="1" applyFill="1" applyBorder="1" applyAlignment="1">
      <alignment horizontal="center"/>
    </xf>
    <xf numFmtId="173" fontId="146" fillId="9" borderId="6" xfId="38" applyNumberFormat="1" applyFont="1" applyFill="1" applyBorder="1" applyAlignment="1">
      <alignment horizontal="center" vertical="center" wrapText="1"/>
    </xf>
    <xf numFmtId="173" fontId="161" fillId="0" borderId="0" xfId="38" applyNumberFormat="1" applyFont="1" applyAlignment="1">
      <alignment horizontal="center" wrapText="1"/>
    </xf>
    <xf numFmtId="173" fontId="163" fillId="0" borderId="0" xfId="38" applyNumberFormat="1" applyFont="1" applyAlignment="1">
      <alignment horizontal="center" vertical="top" wrapText="1"/>
    </xf>
    <xf numFmtId="0" fontId="10" fillId="9" borderId="6" xfId="38" applyNumberFormat="1" applyFont="1" applyFill="1" applyBorder="1" applyAlignment="1">
      <alignment horizontal="center" vertical="center"/>
    </xf>
    <xf numFmtId="173" fontId="10" fillId="9" borderId="6" xfId="38" applyNumberFormat="1" applyFont="1" applyFill="1" applyBorder="1" applyAlignment="1">
      <alignment horizontal="center" vertical="center"/>
    </xf>
    <xf numFmtId="173" fontId="10" fillId="9" borderId="9" xfId="38" applyNumberFormat="1" applyFont="1" applyFill="1" applyBorder="1" applyAlignment="1">
      <alignment horizontal="center"/>
    </xf>
    <xf numFmtId="173" fontId="10" fillId="9" borderId="11" xfId="38" applyNumberFormat="1" applyFont="1" applyFill="1" applyBorder="1" applyAlignment="1">
      <alignment horizontal="center"/>
    </xf>
    <xf numFmtId="0" fontId="224" fillId="3" borderId="31" xfId="0" applyFont="1" applyFill="1" applyBorder="1" applyAlignment="1">
      <alignment horizontal="left" vertical="center" wrapText="1"/>
    </xf>
    <xf numFmtId="0" fontId="224" fillId="3" borderId="31" xfId="0" applyFont="1" applyFill="1" applyBorder="1" applyAlignment="1">
      <alignment horizontal="left" vertical="center"/>
    </xf>
    <xf numFmtId="0" fontId="224" fillId="3" borderId="22" xfId="0" applyFont="1" applyFill="1" applyBorder="1" applyAlignment="1">
      <alignment horizontal="left" vertical="center"/>
    </xf>
    <xf numFmtId="172" fontId="38" fillId="9" borderId="40" xfId="0" applyNumberFormat="1" applyFont="1" applyFill="1" applyBorder="1" applyAlignment="1">
      <alignment horizontal="center"/>
    </xf>
    <xf numFmtId="0" fontId="4" fillId="9" borderId="44" xfId="0" applyFont="1" applyFill="1" applyBorder="1"/>
    <xf numFmtId="0" fontId="4" fillId="9" borderId="39" xfId="0" applyFont="1" applyFill="1" applyBorder="1"/>
    <xf numFmtId="172" fontId="38" fillId="9" borderId="44" xfId="0" applyNumberFormat="1" applyFont="1" applyFill="1" applyBorder="1" applyAlignment="1">
      <alignment horizontal="center"/>
    </xf>
    <xf numFmtId="172" fontId="38" fillId="9" borderId="39" xfId="0" applyNumberFormat="1" applyFont="1" applyFill="1" applyBorder="1" applyAlignment="1">
      <alignment horizontal="center"/>
    </xf>
    <xf numFmtId="0" fontId="38" fillId="9" borderId="20" xfId="0" applyFont="1" applyFill="1" applyBorder="1" applyAlignment="1">
      <alignment horizontal="center" vertical="center" wrapText="1"/>
    </xf>
    <xf numFmtId="0" fontId="38" fillId="9" borderId="25" xfId="0" applyFont="1" applyFill="1" applyBorder="1" applyAlignment="1">
      <alignment horizontal="center" vertical="center" wrapText="1"/>
    </xf>
    <xf numFmtId="0" fontId="37" fillId="9" borderId="23" xfId="0" applyFont="1" applyFill="1" applyBorder="1" applyAlignment="1">
      <alignment horizontal="center" vertical="center"/>
    </xf>
    <xf numFmtId="0" fontId="37" fillId="9" borderId="28" xfId="0" applyFont="1" applyFill="1" applyBorder="1" applyAlignment="1">
      <alignment horizontal="center" vertical="center"/>
    </xf>
    <xf numFmtId="0" fontId="164" fillId="3" borderId="0" xfId="0" applyFont="1" applyFill="1" applyBorder="1" applyAlignment="1">
      <alignment horizontal="center"/>
    </xf>
    <xf numFmtId="0" fontId="165" fillId="3" borderId="0" xfId="0" applyFont="1" applyFill="1" applyBorder="1" applyAlignment="1">
      <alignment horizontal="center" vertical="top"/>
    </xf>
    <xf numFmtId="0" fontId="10" fillId="9" borderId="41"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47" xfId="0" applyFont="1" applyFill="1" applyBorder="1" applyAlignment="1">
      <alignment horizontal="center" vertical="center"/>
    </xf>
    <xf numFmtId="0" fontId="224" fillId="3" borderId="0" xfId="0" applyFont="1" applyFill="1" applyBorder="1" applyAlignment="1">
      <alignment horizontal="left" vertical="center" wrapText="1"/>
    </xf>
    <xf numFmtId="0" fontId="224" fillId="3" borderId="0" xfId="0" applyFont="1" applyFill="1" applyBorder="1" applyAlignment="1">
      <alignment horizontal="left" vertical="center"/>
    </xf>
    <xf numFmtId="0" fontId="224" fillId="3" borderId="24" xfId="0" applyFont="1" applyFill="1" applyBorder="1" applyAlignment="1">
      <alignment horizontal="left" vertical="center"/>
    </xf>
    <xf numFmtId="0" fontId="274" fillId="3" borderId="0" xfId="0" applyFont="1" applyFill="1" applyBorder="1" applyAlignment="1">
      <alignment horizontal="center"/>
    </xf>
    <xf numFmtId="0" fontId="162" fillId="3" borderId="0" xfId="0" applyFont="1" applyFill="1" applyBorder="1" applyAlignment="1">
      <alignment horizontal="center" vertical="top"/>
    </xf>
    <xf numFmtId="0" fontId="6" fillId="9" borderId="1" xfId="0" applyFont="1" applyFill="1" applyBorder="1" applyAlignment="1">
      <alignment horizontal="center" vertical="center"/>
    </xf>
    <xf numFmtId="0" fontId="6" fillId="9" borderId="2" xfId="0" applyFont="1" applyFill="1" applyBorder="1" applyAlignment="1">
      <alignment horizontal="center" vertical="center"/>
    </xf>
    <xf numFmtId="0" fontId="10" fillId="9" borderId="1" xfId="0" applyFont="1" applyFill="1" applyBorder="1" applyAlignment="1">
      <alignment horizontal="center" vertical="center"/>
    </xf>
    <xf numFmtId="0" fontId="10" fillId="9" borderId="2" xfId="0" applyFont="1" applyFill="1" applyBorder="1" applyAlignment="1">
      <alignment horizontal="center" vertical="center"/>
    </xf>
    <xf numFmtId="0" fontId="224" fillId="3" borderId="0" xfId="38" applyFont="1" applyFill="1" applyAlignment="1">
      <alignment horizontal="left" vertical="center" wrapText="1"/>
    </xf>
    <xf numFmtId="0" fontId="224" fillId="3" borderId="0" xfId="38" applyFont="1" applyFill="1" applyAlignment="1">
      <alignment horizontal="left" vertical="center"/>
    </xf>
    <xf numFmtId="0" fontId="29" fillId="9" borderId="7" xfId="38" applyFont="1" applyFill="1" applyBorder="1" applyAlignment="1">
      <alignment horizontal="center" vertical="center" wrapText="1"/>
    </xf>
    <xf numFmtId="0" fontId="29" fillId="9" borderId="17" xfId="38" applyFont="1" applyFill="1" applyBorder="1" applyAlignment="1">
      <alignment horizontal="center" vertical="center" wrapText="1"/>
    </xf>
    <xf numFmtId="0" fontId="29" fillId="9" borderId="1" xfId="38" applyFont="1" applyFill="1" applyBorder="1" applyAlignment="1">
      <alignment horizontal="center" vertical="center" wrapText="1"/>
    </xf>
    <xf numFmtId="0" fontId="29" fillId="9" borderId="3" xfId="38" applyFont="1" applyFill="1" applyBorder="1" applyAlignment="1">
      <alignment horizontal="center" vertical="center" wrapText="1"/>
    </xf>
    <xf numFmtId="0" fontId="4" fillId="9" borderId="1" xfId="38" applyFont="1" applyFill="1" applyBorder="1" applyAlignment="1">
      <alignment horizontal="center" vertical="center" wrapText="1"/>
    </xf>
    <xf numFmtId="0" fontId="4" fillId="9" borderId="3" xfId="38" applyFont="1" applyFill="1" applyBorder="1" applyAlignment="1">
      <alignment horizontal="center" vertical="center" wrapText="1"/>
    </xf>
    <xf numFmtId="14" fontId="29" fillId="9" borderId="1" xfId="38" applyNumberFormat="1" applyFont="1" applyFill="1" applyBorder="1" applyAlignment="1">
      <alignment horizontal="center" vertical="center" wrapText="1"/>
    </xf>
    <xf numFmtId="14" fontId="29" fillId="9" borderId="3" xfId="38" applyNumberFormat="1" applyFont="1" applyFill="1" applyBorder="1" applyAlignment="1">
      <alignment horizontal="center" vertical="center" wrapText="1"/>
    </xf>
    <xf numFmtId="0" fontId="28" fillId="9" borderId="6" xfId="38" applyFont="1" applyFill="1" applyBorder="1" applyAlignment="1">
      <alignment horizontal="center" vertical="center" wrapText="1"/>
    </xf>
    <xf numFmtId="0" fontId="173" fillId="0" borderId="0" xfId="38" applyFont="1" applyAlignment="1">
      <alignment horizontal="center" vertical="center"/>
    </xf>
    <xf numFmtId="0" fontId="174" fillId="0" borderId="0" xfId="38" applyFont="1" applyAlignment="1">
      <alignment horizontal="center" vertical="top"/>
    </xf>
    <xf numFmtId="0" fontId="28" fillId="9" borderId="9" xfId="38" applyFont="1" applyFill="1" applyBorder="1" applyAlignment="1">
      <alignment horizontal="center" vertical="center" wrapText="1"/>
    </xf>
    <xf numFmtId="14" fontId="28" fillId="9" borderId="6" xfId="38" applyNumberFormat="1" applyFont="1" applyFill="1" applyBorder="1" applyAlignment="1">
      <alignment horizontal="center" vertical="center" wrapText="1"/>
    </xf>
    <xf numFmtId="0" fontId="28" fillId="9" borderId="6" xfId="38" applyFont="1" applyFill="1" applyBorder="1" applyAlignment="1">
      <alignment horizontal="center" vertical="center"/>
    </xf>
    <xf numFmtId="0" fontId="28" fillId="9" borderId="1" xfId="38" applyFont="1" applyFill="1" applyBorder="1" applyAlignment="1">
      <alignment horizontal="center" vertical="center" wrapText="1"/>
    </xf>
    <xf numFmtId="0" fontId="28" fillId="9" borderId="2" xfId="38" applyFont="1" applyFill="1" applyBorder="1" applyAlignment="1">
      <alignment horizontal="center" vertical="center" wrapText="1"/>
    </xf>
    <xf numFmtId="0" fontId="28" fillId="9" borderId="3" xfId="38" applyFont="1" applyFill="1" applyBorder="1" applyAlignment="1">
      <alignment horizontal="center" vertical="center" wrapText="1"/>
    </xf>
    <xf numFmtId="2" fontId="28" fillId="9" borderId="6" xfId="38" applyNumberFormat="1" applyFont="1" applyFill="1" applyBorder="1" applyAlignment="1">
      <alignment horizontal="center" vertical="center" wrapText="1"/>
    </xf>
    <xf numFmtId="0" fontId="163" fillId="0" borderId="0" xfId="38" applyFont="1" applyAlignment="1">
      <alignment horizontal="center" vertical="top"/>
    </xf>
    <xf numFmtId="49" fontId="217" fillId="0" borderId="49" xfId="38" applyNumberFormat="1" applyFont="1" applyFill="1" applyBorder="1" applyAlignment="1">
      <alignment horizontal="left" wrapText="1"/>
    </xf>
    <xf numFmtId="0" fontId="4" fillId="0" borderId="9" xfId="38" applyFont="1" applyBorder="1" applyAlignment="1">
      <alignment horizontal="center" vertical="center" wrapText="1"/>
    </xf>
    <xf numFmtId="0" fontId="4" fillId="0" borderId="10" xfId="38" applyFont="1" applyBorder="1" applyAlignment="1">
      <alignment horizontal="center" vertical="center" wrapText="1"/>
    </xf>
    <xf numFmtId="0" fontId="4" fillId="0" borderId="7" xfId="38" applyFont="1" applyBorder="1" applyAlignment="1">
      <alignment horizontal="center" vertical="center" wrapText="1"/>
    </xf>
    <xf numFmtId="0" fontId="4" fillId="0" borderId="17" xfId="38" applyFont="1" applyBorder="1" applyAlignment="1">
      <alignment horizontal="center" vertical="center" wrapText="1"/>
    </xf>
    <xf numFmtId="0" fontId="4" fillId="0" borderId="1" xfId="38" applyFont="1" applyBorder="1" applyAlignment="1">
      <alignment horizontal="center" vertical="center" wrapText="1"/>
    </xf>
    <xf numFmtId="0" fontId="4" fillId="0" borderId="3" xfId="38" applyFont="1" applyBorder="1" applyAlignment="1">
      <alignment horizontal="center" vertical="center" wrapText="1"/>
    </xf>
    <xf numFmtId="14" fontId="4" fillId="0" borderId="1" xfId="38" applyNumberFormat="1" applyFont="1" applyBorder="1" applyAlignment="1">
      <alignment horizontal="center" vertical="center" wrapText="1"/>
    </xf>
    <xf numFmtId="14" fontId="4" fillId="0" borderId="3" xfId="38" applyNumberFormat="1" applyFont="1" applyBorder="1" applyAlignment="1">
      <alignment horizontal="center" vertical="center" wrapText="1"/>
    </xf>
    <xf numFmtId="0" fontId="161" fillId="0" borderId="0" xfId="38" applyFont="1" applyAlignment="1">
      <alignment horizontal="center"/>
    </xf>
    <xf numFmtId="0" fontId="4" fillId="9" borderId="6" xfId="38" applyFont="1" applyFill="1" applyBorder="1" applyAlignment="1">
      <alignment horizontal="center" vertical="center" textRotation="90" wrapText="1"/>
    </xf>
    <xf numFmtId="0" fontId="4" fillId="9" borderId="6" xfId="38" applyFont="1" applyFill="1" applyBorder="1" applyAlignment="1">
      <alignment horizontal="center" vertical="center" wrapText="1"/>
    </xf>
    <xf numFmtId="0" fontId="4" fillId="11" borderId="18" xfId="38" applyFont="1" applyFill="1" applyBorder="1" applyAlignment="1">
      <alignment horizontal="center" vertical="center"/>
    </xf>
    <xf numFmtId="0" fontId="4" fillId="9" borderId="1" xfId="38" applyFont="1" applyFill="1" applyBorder="1" applyAlignment="1">
      <alignment horizontal="center" vertical="center" textRotation="90" wrapText="1"/>
    </xf>
    <xf numFmtId="0" fontId="4" fillId="9" borderId="2" xfId="38" applyFont="1" applyFill="1" applyBorder="1" applyAlignment="1">
      <alignment horizontal="center" vertical="center" textRotation="90" wrapText="1"/>
    </xf>
    <xf numFmtId="0" fontId="4" fillId="9" borderId="3" xfId="38" applyFont="1" applyFill="1" applyBorder="1" applyAlignment="1">
      <alignment horizontal="center" vertical="center" textRotation="90" wrapText="1"/>
    </xf>
    <xf numFmtId="14" fontId="4" fillId="9" borderId="6" xfId="38" applyNumberFormat="1" applyFont="1" applyFill="1" applyBorder="1" applyAlignment="1">
      <alignment horizontal="center" vertical="center" textRotation="90" wrapText="1"/>
    </xf>
    <xf numFmtId="0" fontId="4" fillId="9" borderId="9" xfId="38" applyFont="1" applyFill="1" applyBorder="1" applyAlignment="1">
      <alignment horizontal="center" vertical="center" textRotation="90" wrapText="1"/>
    </xf>
    <xf numFmtId="0" fontId="109" fillId="9" borderId="6" xfId="38" applyFont="1" applyFill="1" applyBorder="1" applyAlignment="1">
      <alignment horizontal="center" vertical="center" textRotation="90" wrapText="1"/>
    </xf>
    <xf numFmtId="0" fontId="4" fillId="9" borderId="6" xfId="38" applyFont="1" applyFill="1" applyBorder="1" applyAlignment="1">
      <alignment horizontal="center" textRotation="90" wrapText="1"/>
    </xf>
    <xf numFmtId="0" fontId="234" fillId="0" borderId="12" xfId="0" applyFont="1" applyFill="1" applyBorder="1" applyAlignment="1">
      <alignment horizontal="left" vertical="center" wrapText="1"/>
    </xf>
    <xf numFmtId="0" fontId="234" fillId="0" borderId="12" xfId="0" applyFont="1" applyFill="1" applyBorder="1" applyAlignment="1">
      <alignment horizontal="left" vertical="center"/>
    </xf>
    <xf numFmtId="0" fontId="234" fillId="0" borderId="8" xfId="0" applyFont="1" applyFill="1" applyBorder="1" applyAlignment="1">
      <alignment horizontal="left" vertical="center"/>
    </xf>
    <xf numFmtId="0" fontId="164" fillId="0" borderId="0" xfId="0" applyFont="1" applyFill="1" applyBorder="1" applyAlignment="1">
      <alignment horizontal="center" vertical="center"/>
    </xf>
    <xf numFmtId="0" fontId="5" fillId="9" borderId="10" xfId="0" applyFont="1" applyFill="1" applyBorder="1" applyAlignment="1">
      <alignment horizontal="center" vertical="center" wrapText="1"/>
    </xf>
    <xf numFmtId="0" fontId="166" fillId="0" borderId="0" xfId="0" applyFont="1" applyFill="1" applyBorder="1" applyAlignment="1">
      <alignment horizontal="center"/>
    </xf>
    <xf numFmtId="0" fontId="167" fillId="0" borderId="0" xfId="0" applyFont="1" applyFill="1" applyBorder="1" applyAlignment="1">
      <alignment horizontal="center" vertical="top"/>
    </xf>
    <xf numFmtId="0" fontId="16" fillId="9" borderId="6" xfId="0" applyFont="1" applyFill="1" applyBorder="1" applyAlignment="1">
      <alignment horizontal="center" vertical="center" wrapText="1"/>
    </xf>
    <xf numFmtId="0" fontId="226" fillId="0" borderId="49" xfId="0" applyFont="1" applyFill="1" applyBorder="1" applyAlignment="1">
      <alignment horizontal="left" vertical="center" wrapText="1"/>
    </xf>
    <xf numFmtId="0" fontId="226" fillId="0" borderId="49" xfId="0" applyFont="1" applyFill="1" applyBorder="1" applyAlignment="1">
      <alignment horizontal="left" vertical="center"/>
    </xf>
    <xf numFmtId="0" fontId="226" fillId="0" borderId="8" xfId="0" applyFont="1" applyFill="1" applyBorder="1" applyAlignment="1">
      <alignment horizontal="left" vertical="center"/>
    </xf>
    <xf numFmtId="0" fontId="13" fillId="9" borderId="1" xfId="0" applyFont="1" applyFill="1" applyBorder="1" applyAlignment="1">
      <alignment horizontal="center" vertical="center" wrapText="1"/>
    </xf>
    <xf numFmtId="0" fontId="13" fillId="9" borderId="3" xfId="0" applyFont="1" applyFill="1" applyBorder="1" applyAlignment="1">
      <alignment horizontal="center" vertical="center" wrapText="1"/>
    </xf>
    <xf numFmtId="0" fontId="13" fillId="9" borderId="9" xfId="0" applyFont="1" applyFill="1" applyBorder="1" applyAlignment="1">
      <alignment horizontal="center" vertical="center" wrapText="1"/>
    </xf>
    <xf numFmtId="0" fontId="13" fillId="9" borderId="10" xfId="0" applyFont="1" applyFill="1" applyBorder="1" applyAlignment="1">
      <alignment horizontal="center" vertical="center" wrapText="1"/>
    </xf>
    <xf numFmtId="0" fontId="13" fillId="9" borderId="11" xfId="0" applyFont="1" applyFill="1" applyBorder="1" applyAlignment="1">
      <alignment horizontal="center" vertical="center" wrapText="1"/>
    </xf>
    <xf numFmtId="0" fontId="224" fillId="3" borderId="0" xfId="0" applyFont="1" applyFill="1" applyAlignment="1">
      <alignment horizontal="left" vertical="justify"/>
    </xf>
    <xf numFmtId="0" fontId="224" fillId="0" borderId="0" xfId="0" applyFont="1" applyAlignment="1">
      <alignment horizontal="left" vertical="center"/>
    </xf>
    <xf numFmtId="0" fontId="224" fillId="0" borderId="0" xfId="0" applyFont="1" applyAlignment="1">
      <alignment horizontal="left" vertical="center" wrapText="1"/>
    </xf>
    <xf numFmtId="0" fontId="18" fillId="9" borderId="6" xfId="0" applyFont="1" applyFill="1" applyBorder="1" applyAlignment="1">
      <alignment horizontal="center" vertical="center" wrapText="1"/>
    </xf>
    <xf numFmtId="49" fontId="224" fillId="0" borderId="163" xfId="0" applyNumberFormat="1" applyFont="1" applyBorder="1" applyAlignment="1">
      <alignment horizontal="left" vertical="center"/>
    </xf>
    <xf numFmtId="0" fontId="173" fillId="0" borderId="0" xfId="0" applyFont="1" applyAlignment="1">
      <alignment horizontal="center"/>
    </xf>
    <xf numFmtId="0" fontId="174" fillId="0" borderId="0" xfId="0" applyFont="1" applyAlignment="1">
      <alignment horizontal="center" vertical="top"/>
    </xf>
    <xf numFmtId="0" fontId="305" fillId="0" borderId="132" xfId="22" applyFont="1" applyBorder="1" applyAlignment="1">
      <alignment horizontal="center" vertical="center" wrapText="1"/>
    </xf>
    <xf numFmtId="0" fontId="305" fillId="0" borderId="133" xfId="22" applyFont="1" applyBorder="1" applyAlignment="1">
      <alignment horizontal="center" vertical="center" wrapText="1"/>
    </xf>
    <xf numFmtId="0" fontId="305" fillId="0" borderId="131" xfId="22" applyFont="1" applyBorder="1" applyAlignment="1">
      <alignment horizontal="center" vertical="center" wrapText="1"/>
    </xf>
    <xf numFmtId="0" fontId="250" fillId="9" borderId="150" xfId="22" applyFont="1" applyFill="1" applyBorder="1" applyAlignment="1">
      <alignment horizontal="center" vertical="center"/>
    </xf>
    <xf numFmtId="0" fontId="250" fillId="9" borderId="147" xfId="22" applyFont="1" applyFill="1" applyBorder="1" applyAlignment="1">
      <alignment horizontal="center" vertical="center"/>
    </xf>
    <xf numFmtId="0" fontId="250" fillId="9" borderId="149" xfId="22" applyFont="1" applyFill="1" applyBorder="1" applyAlignment="1">
      <alignment horizontal="center" vertical="center"/>
    </xf>
    <xf numFmtId="0" fontId="184" fillId="0" borderId="0" xfId="0" applyFont="1" applyAlignment="1">
      <alignment horizontal="center"/>
    </xf>
    <xf numFmtId="0" fontId="138" fillId="9" borderId="7" xfId="22" applyFont="1" applyFill="1" applyBorder="1" applyAlignment="1">
      <alignment horizontal="center" vertical="center"/>
    </xf>
    <xf numFmtId="0" fontId="138" fillId="9" borderId="5" xfId="22" applyFont="1" applyFill="1" applyBorder="1" applyAlignment="1">
      <alignment horizontal="center" vertical="center"/>
    </xf>
    <xf numFmtId="0" fontId="138" fillId="9" borderId="137" xfId="22" applyFont="1" applyFill="1" applyBorder="1" applyAlignment="1">
      <alignment horizontal="center" vertical="center"/>
    </xf>
    <xf numFmtId="0" fontId="138" fillId="9" borderId="124" xfId="22" applyFont="1" applyFill="1" applyBorder="1" applyAlignment="1">
      <alignment horizontal="center" vertical="center"/>
    </xf>
    <xf numFmtId="0" fontId="250" fillId="9" borderId="146" xfId="22" applyFont="1" applyFill="1" applyBorder="1" applyAlignment="1">
      <alignment horizontal="center" vertical="center"/>
    </xf>
    <xf numFmtId="0" fontId="18" fillId="9" borderId="7" xfId="0" applyFont="1" applyFill="1" applyBorder="1" applyAlignment="1">
      <alignment horizontal="center" vertical="center" wrapText="1"/>
    </xf>
    <xf numFmtId="0" fontId="18" fillId="9" borderId="164" xfId="0" applyFont="1" applyFill="1" applyBorder="1" applyAlignment="1">
      <alignment horizontal="center" vertical="center" wrapText="1"/>
    </xf>
    <xf numFmtId="0" fontId="18" fillId="9" borderId="17" xfId="0" applyFont="1" applyFill="1" applyBorder="1" applyAlignment="1">
      <alignment horizontal="center" vertical="center" wrapText="1"/>
    </xf>
    <xf numFmtId="0" fontId="18" fillId="9" borderId="19" xfId="0" applyFont="1" applyFill="1" applyBorder="1" applyAlignment="1">
      <alignment horizontal="center" vertical="center" wrapText="1"/>
    </xf>
    <xf numFmtId="0" fontId="169" fillId="0" borderId="0" xfId="0" applyFont="1" applyAlignment="1">
      <alignment horizontal="center" vertical="center"/>
    </xf>
    <xf numFmtId="0" fontId="170" fillId="0" borderId="0" xfId="0" applyFont="1" applyAlignment="1">
      <alignment horizontal="center" vertical="top"/>
    </xf>
    <xf numFmtId="0" fontId="17" fillId="9" borderId="2" xfId="0" applyFont="1" applyFill="1" applyBorder="1" applyAlignment="1">
      <alignment horizontal="center" vertical="center" wrapText="1"/>
    </xf>
    <xf numFmtId="0" fontId="17" fillId="9" borderId="7" xfId="0" applyFont="1" applyFill="1" applyBorder="1" applyAlignment="1">
      <alignment horizontal="center" vertical="center" wrapText="1"/>
    </xf>
    <xf numFmtId="0" fontId="17" fillId="9" borderId="164" xfId="0" applyFont="1" applyFill="1" applyBorder="1" applyAlignment="1">
      <alignment horizontal="center" vertical="center" wrapText="1"/>
    </xf>
    <xf numFmtId="0" fontId="17" fillId="9" borderId="17" xfId="0" applyFont="1" applyFill="1" applyBorder="1" applyAlignment="1">
      <alignment horizontal="center" vertical="center" wrapText="1"/>
    </xf>
    <xf numFmtId="0" fontId="17" fillId="9" borderId="19" xfId="0" applyFont="1" applyFill="1" applyBorder="1" applyAlignment="1">
      <alignment horizontal="center" vertical="center" wrapText="1"/>
    </xf>
    <xf numFmtId="0" fontId="202" fillId="11" borderId="18" xfId="0" applyFont="1" applyFill="1" applyBorder="1" applyAlignment="1">
      <alignment horizontal="right" vertical="center"/>
    </xf>
    <xf numFmtId="0" fontId="18" fillId="9" borderId="7" xfId="0" applyFont="1" applyFill="1" applyBorder="1" applyAlignment="1">
      <alignment horizontal="center" vertical="center"/>
    </xf>
    <xf numFmtId="0" fontId="18" fillId="9" borderId="164" xfId="0" applyFont="1" applyFill="1" applyBorder="1" applyAlignment="1">
      <alignment horizontal="center" vertical="center"/>
    </xf>
    <xf numFmtId="0" fontId="18" fillId="9" borderId="17" xfId="0" applyFont="1" applyFill="1" applyBorder="1" applyAlignment="1">
      <alignment horizontal="center" vertical="center"/>
    </xf>
    <xf numFmtId="0" fontId="18" fillId="9" borderId="19" xfId="0" applyFont="1" applyFill="1" applyBorder="1" applyAlignment="1">
      <alignment horizontal="center" vertical="center"/>
    </xf>
    <xf numFmtId="0" fontId="4" fillId="9" borderId="10" xfId="0" applyFont="1" applyFill="1" applyBorder="1" applyAlignment="1">
      <alignment horizontal="center" vertical="center" wrapText="1"/>
    </xf>
    <xf numFmtId="0" fontId="232" fillId="0" borderId="163" xfId="0" applyFont="1" applyBorder="1" applyAlignment="1">
      <alignment horizontal="left" vertical="center" wrapText="1"/>
    </xf>
    <xf numFmtId="0" fontId="232" fillId="0" borderId="0" xfId="0" applyFont="1" applyAlignment="1">
      <alignment horizontal="left" vertical="center" wrapText="1"/>
    </xf>
    <xf numFmtId="0" fontId="17" fillId="9" borderId="7" xfId="0" applyFont="1" applyFill="1" applyBorder="1" applyAlignment="1">
      <alignment horizontal="center" vertical="center"/>
    </xf>
    <xf numFmtId="0" fontId="17" fillId="9" borderId="164" xfId="0" applyFont="1" applyFill="1" applyBorder="1" applyAlignment="1">
      <alignment horizontal="center" vertical="center"/>
    </xf>
    <xf numFmtId="0" fontId="17" fillId="9" borderId="17" xfId="0" applyFont="1" applyFill="1" applyBorder="1" applyAlignment="1">
      <alignment horizontal="center" vertical="center"/>
    </xf>
    <xf numFmtId="0" fontId="17" fillId="9" borderId="19" xfId="0" applyFont="1" applyFill="1" applyBorder="1" applyAlignment="1">
      <alignment horizontal="center" vertical="center"/>
    </xf>
    <xf numFmtId="0" fontId="17" fillId="9" borderId="163" xfId="0" applyFont="1" applyFill="1" applyBorder="1" applyAlignment="1">
      <alignment horizontal="center" vertical="center" wrapText="1"/>
    </xf>
    <xf numFmtId="1" fontId="217" fillId="3" borderId="163" xfId="22" applyNumberFormat="1" applyFont="1" applyFill="1" applyBorder="1" applyAlignment="1">
      <alignment horizontal="left" vertical="center"/>
    </xf>
    <xf numFmtId="1" fontId="217" fillId="3" borderId="0" xfId="22" applyNumberFormat="1" applyFont="1" applyFill="1" applyAlignment="1">
      <alignment horizontal="left" vertical="center"/>
    </xf>
    <xf numFmtId="0" fontId="217" fillId="3" borderId="0" xfId="0" applyFont="1" applyFill="1" applyAlignment="1">
      <alignment horizontal="left" vertical="center"/>
    </xf>
    <xf numFmtId="0" fontId="164" fillId="0" borderId="0" xfId="26" applyFont="1" applyAlignment="1">
      <alignment horizontal="center" vertical="center" wrapText="1"/>
    </xf>
    <xf numFmtId="0" fontId="165" fillId="0" borderId="0" xfId="26" applyFont="1" applyAlignment="1">
      <alignment horizontal="center" vertical="top" wrapText="1"/>
    </xf>
    <xf numFmtId="0" fontId="165" fillId="0" borderId="0" xfId="26" applyFont="1" applyAlignment="1">
      <alignment horizontal="center" vertical="top"/>
    </xf>
    <xf numFmtId="0" fontId="25" fillId="9" borderId="139" xfId="22" applyFont="1" applyFill="1" applyBorder="1" applyAlignment="1">
      <alignment horizontal="center" vertical="center"/>
    </xf>
    <xf numFmtId="0" fontId="25" fillId="9" borderId="140" xfId="22" applyFont="1" applyFill="1" applyBorder="1" applyAlignment="1">
      <alignment horizontal="center" vertical="center"/>
    </xf>
    <xf numFmtId="0" fontId="25" fillId="9" borderId="121" xfId="22" applyFont="1" applyFill="1" applyBorder="1" applyAlignment="1">
      <alignment horizontal="center" vertical="center"/>
    </xf>
    <xf numFmtId="14" fontId="52" fillId="9" borderId="146" xfId="22" applyNumberFormat="1" applyFont="1" applyFill="1" applyBorder="1" applyAlignment="1">
      <alignment horizontal="center" vertical="center" wrapText="1"/>
    </xf>
    <xf numFmtId="0" fontId="52" fillId="9" borderId="147" xfId="22" applyFont="1" applyFill="1" applyBorder="1" applyAlignment="1">
      <alignment horizontal="center" vertical="center" wrapText="1"/>
    </xf>
    <xf numFmtId="0" fontId="52" fillId="9" borderId="148" xfId="22" applyFont="1" applyFill="1" applyBorder="1" applyAlignment="1">
      <alignment horizontal="center" vertical="center" wrapText="1"/>
    </xf>
    <xf numFmtId="0" fontId="25" fillId="9" borderId="144" xfId="22" applyFont="1" applyFill="1" applyBorder="1" applyAlignment="1">
      <alignment horizontal="center" vertical="center"/>
    </xf>
    <xf numFmtId="0" fontId="25" fillId="9" borderId="79" xfId="22" applyFont="1" applyFill="1" applyBorder="1" applyAlignment="1">
      <alignment horizontal="center" vertical="center"/>
    </xf>
    <xf numFmtId="0" fontId="25" fillId="9" borderId="122" xfId="22" applyFont="1" applyFill="1" applyBorder="1" applyAlignment="1">
      <alignment horizontal="center" vertical="center"/>
    </xf>
    <xf numFmtId="1" fontId="52" fillId="9" borderId="66" xfId="22" applyNumberFormat="1" applyFont="1" applyFill="1" applyBorder="1" applyAlignment="1">
      <alignment horizontal="center" vertical="center" wrapText="1"/>
    </xf>
    <xf numFmtId="1" fontId="52" fillId="9" borderId="64" xfId="22" applyNumberFormat="1" applyFont="1" applyFill="1" applyBorder="1" applyAlignment="1">
      <alignment horizontal="center" vertical="center" wrapText="1"/>
    </xf>
    <xf numFmtId="1" fontId="52" fillId="9" borderId="58" xfId="22" applyNumberFormat="1" applyFont="1" applyFill="1" applyBorder="1" applyAlignment="1">
      <alignment horizontal="center" vertical="center" wrapText="1"/>
    </xf>
    <xf numFmtId="1" fontId="52" fillId="9" borderId="56" xfId="22" applyNumberFormat="1" applyFont="1" applyFill="1" applyBorder="1" applyAlignment="1">
      <alignment horizontal="center" vertical="center" wrapText="1"/>
    </xf>
    <xf numFmtId="14" fontId="42" fillId="9" borderId="58" xfId="0" applyNumberFormat="1" applyFont="1" applyFill="1" applyBorder="1" applyAlignment="1">
      <alignment horizontal="center" vertical="center" wrapText="1"/>
    </xf>
    <xf numFmtId="14" fontId="42" fillId="9" borderId="132" xfId="0" applyNumberFormat="1" applyFont="1" applyFill="1" applyBorder="1" applyAlignment="1">
      <alignment horizontal="center" vertical="center" wrapText="1"/>
    </xf>
    <xf numFmtId="14" fontId="42" fillId="9" borderId="56" xfId="0" applyNumberFormat="1" applyFont="1" applyFill="1" applyBorder="1" applyAlignment="1">
      <alignment horizontal="center" vertical="center" wrapText="1"/>
    </xf>
    <xf numFmtId="1" fontId="42" fillId="9" borderId="66" xfId="0" applyNumberFormat="1" applyFont="1" applyFill="1" applyBorder="1" applyAlignment="1">
      <alignment horizontal="center" vertical="center" wrapText="1"/>
    </xf>
    <xf numFmtId="1" fontId="42" fillId="9" borderId="64" xfId="0" applyNumberFormat="1" applyFont="1" applyFill="1" applyBorder="1" applyAlignment="1">
      <alignment horizontal="center" vertical="center" wrapText="1"/>
    </xf>
    <xf numFmtId="0" fontId="42" fillId="9" borderId="58" xfId="0" applyFont="1" applyFill="1" applyBorder="1" applyAlignment="1">
      <alignment horizontal="center" vertical="center" wrapText="1"/>
    </xf>
    <xf numFmtId="0" fontId="42" fillId="9" borderId="56" xfId="0" applyFont="1" applyFill="1" applyBorder="1" applyAlignment="1">
      <alignment horizontal="center" vertical="center" wrapText="1"/>
    </xf>
    <xf numFmtId="0" fontId="220" fillId="3" borderId="0" xfId="0" applyFont="1" applyFill="1" applyAlignment="1">
      <alignment horizontal="left" vertical="justify"/>
    </xf>
    <xf numFmtId="0" fontId="18" fillId="9" borderId="7" xfId="26" applyFont="1" applyFill="1" applyBorder="1" applyAlignment="1">
      <alignment horizontal="center" vertical="center" wrapText="1"/>
    </xf>
    <xf numFmtId="0" fontId="18" fillId="9" borderId="17" xfId="26" applyFont="1" applyFill="1" applyBorder="1" applyAlignment="1">
      <alignment horizontal="center" vertical="center" wrapText="1"/>
    </xf>
    <xf numFmtId="0" fontId="18" fillId="9" borderId="6" xfId="26" applyFont="1" applyFill="1" applyBorder="1" applyAlignment="1">
      <alignment horizontal="center" vertical="center" wrapText="1"/>
    </xf>
    <xf numFmtId="1" fontId="220" fillId="3" borderId="0" xfId="0" applyNumberFormat="1" applyFont="1" applyFill="1" applyAlignment="1">
      <alignment horizontal="left" vertical="center"/>
    </xf>
    <xf numFmtId="0" fontId="18" fillId="9" borderId="164" xfId="26" applyFont="1" applyFill="1" applyBorder="1" applyAlignment="1">
      <alignment horizontal="center" vertical="center" wrapText="1"/>
    </xf>
    <xf numFmtId="0" fontId="18" fillId="9" borderId="19" xfId="26" applyFont="1" applyFill="1" applyBorder="1" applyAlignment="1">
      <alignment horizontal="center" vertical="center" wrapText="1"/>
    </xf>
    <xf numFmtId="0" fontId="18" fillId="9" borderId="5" xfId="26" applyFont="1" applyFill="1" applyBorder="1" applyAlignment="1">
      <alignment horizontal="center" vertical="center" wrapText="1"/>
    </xf>
    <xf numFmtId="0" fontId="18" fillId="9" borderId="1" xfId="26" applyFont="1" applyFill="1" applyBorder="1" applyAlignment="1">
      <alignment horizontal="center" vertical="center" wrapText="1"/>
    </xf>
    <xf numFmtId="0" fontId="18" fillId="9" borderId="3" xfId="26" applyFont="1" applyFill="1" applyBorder="1" applyAlignment="1">
      <alignment horizontal="center" vertical="center" wrapText="1"/>
    </xf>
    <xf numFmtId="0" fontId="18" fillId="9" borderId="9" xfId="26" applyFont="1" applyFill="1" applyBorder="1" applyAlignment="1">
      <alignment horizontal="center" vertical="center" wrapText="1"/>
    </xf>
    <xf numFmtId="0" fontId="18" fillId="9" borderId="11" xfId="26" applyFont="1" applyFill="1" applyBorder="1" applyAlignment="1">
      <alignment horizontal="center" vertical="center" wrapText="1"/>
    </xf>
    <xf numFmtId="0" fontId="18" fillId="9" borderId="163" xfId="26" applyFont="1" applyFill="1" applyBorder="1" applyAlignment="1">
      <alignment horizontal="center" vertical="center" wrapText="1"/>
    </xf>
    <xf numFmtId="0" fontId="18" fillId="9" borderId="18" xfId="26" applyFont="1" applyFill="1" applyBorder="1" applyAlignment="1">
      <alignment horizontal="center" vertical="center" wrapText="1"/>
    </xf>
    <xf numFmtId="0" fontId="18" fillId="9" borderId="10" xfId="26" applyFont="1" applyFill="1" applyBorder="1" applyAlignment="1">
      <alignment horizontal="center" vertical="center" wrapText="1"/>
    </xf>
    <xf numFmtId="49" fontId="18" fillId="9" borderId="6" xfId="26" applyNumberFormat="1" applyFont="1" applyFill="1" applyBorder="1" applyAlignment="1">
      <alignment horizontal="center" vertical="center"/>
    </xf>
    <xf numFmtId="0" fontId="45" fillId="9" borderId="6" xfId="26" applyFont="1" applyFill="1" applyBorder="1" applyAlignment="1">
      <alignment horizontal="center" vertical="center" wrapText="1"/>
    </xf>
    <xf numFmtId="0" fontId="45" fillId="9" borderId="6" xfId="26" applyFont="1" applyFill="1" applyBorder="1" applyAlignment="1">
      <alignment horizontal="center" vertical="center"/>
    </xf>
    <xf numFmtId="0" fontId="18" fillId="9" borderId="2" xfId="26" applyFont="1" applyFill="1" applyBorder="1" applyAlignment="1">
      <alignment horizontal="center" vertical="center" wrapText="1"/>
    </xf>
    <xf numFmtId="0" fontId="17" fillId="9" borderId="1" xfId="26" applyFont="1" applyFill="1" applyBorder="1" applyAlignment="1">
      <alignment horizontal="center" vertical="center" wrapText="1"/>
    </xf>
    <xf numFmtId="0" fontId="17" fillId="9" borderId="3" xfId="26" applyFont="1" applyFill="1" applyBorder="1" applyAlignment="1">
      <alignment horizontal="center" vertical="center" wrapText="1"/>
    </xf>
    <xf numFmtId="0" fontId="17" fillId="9" borderId="6" xfId="26" applyFont="1" applyFill="1" applyBorder="1" applyAlignment="1">
      <alignment horizontal="center" vertical="center" wrapText="1"/>
    </xf>
    <xf numFmtId="0" fontId="17" fillId="9" borderId="9" xfId="26" applyFont="1" applyFill="1" applyBorder="1" applyAlignment="1">
      <alignment horizontal="center" vertical="center" wrapText="1"/>
    </xf>
    <xf numFmtId="0" fontId="17" fillId="9" borderId="11" xfId="26" applyFont="1" applyFill="1" applyBorder="1" applyAlignment="1">
      <alignment horizontal="center" vertical="center" wrapText="1"/>
    </xf>
    <xf numFmtId="0" fontId="17" fillId="9" borderId="5" xfId="26" applyFont="1" applyFill="1" applyBorder="1" applyAlignment="1">
      <alignment horizontal="center" vertical="center" wrapText="1"/>
    </xf>
    <xf numFmtId="0" fontId="17" fillId="9" borderId="4" xfId="26" applyFont="1" applyFill="1" applyBorder="1" applyAlignment="1">
      <alignment horizontal="center" vertical="center" wrapText="1"/>
    </xf>
    <xf numFmtId="0" fontId="17" fillId="9" borderId="17" xfId="26" applyFont="1" applyFill="1" applyBorder="1" applyAlignment="1">
      <alignment horizontal="center" vertical="center" wrapText="1"/>
    </xf>
    <xf numFmtId="0" fontId="17" fillId="9" borderId="19" xfId="26" applyFont="1" applyFill="1" applyBorder="1" applyAlignment="1">
      <alignment horizontal="center" vertical="center" wrapText="1"/>
    </xf>
    <xf numFmtId="0" fontId="48" fillId="9" borderId="6" xfId="26" applyFont="1" applyFill="1" applyBorder="1" applyAlignment="1">
      <alignment horizontal="center" vertical="center" wrapText="1"/>
    </xf>
    <xf numFmtId="0" fontId="48" fillId="9" borderId="6" xfId="26" applyFont="1" applyFill="1" applyBorder="1" applyAlignment="1">
      <alignment horizontal="center" vertical="center"/>
    </xf>
    <xf numFmtId="0" fontId="198" fillId="0" borderId="0" xfId="26" applyFont="1" applyAlignment="1">
      <alignment horizontal="center" vertical="center"/>
    </xf>
    <xf numFmtId="0" fontId="311" fillId="0" borderId="0" xfId="26" applyFont="1" applyAlignment="1">
      <alignment horizontal="center" vertical="top"/>
    </xf>
    <xf numFmtId="49" fontId="17" fillId="9" borderId="6" xfId="26" applyNumberFormat="1" applyFont="1" applyFill="1" applyBorder="1" applyAlignment="1">
      <alignment horizontal="center" vertical="center"/>
    </xf>
    <xf numFmtId="0" fontId="17" fillId="9" borderId="7" xfId="26" applyFont="1" applyFill="1" applyBorder="1" applyAlignment="1">
      <alignment horizontal="center" vertical="center" wrapText="1"/>
    </xf>
    <xf numFmtId="0" fontId="17" fillId="9" borderId="164" xfId="26" applyFont="1" applyFill="1" applyBorder="1" applyAlignment="1">
      <alignment horizontal="center" vertical="center" wrapText="1"/>
    </xf>
    <xf numFmtId="0" fontId="17" fillId="9" borderId="10" xfId="26" applyFont="1" applyFill="1" applyBorder="1" applyAlignment="1">
      <alignment horizontal="center" vertical="center" wrapText="1"/>
    </xf>
    <xf numFmtId="0" fontId="17" fillId="9" borderId="163" xfId="26" applyFont="1" applyFill="1" applyBorder="1" applyAlignment="1">
      <alignment horizontal="center" vertical="center" wrapText="1"/>
    </xf>
    <xf numFmtId="0" fontId="17" fillId="9" borderId="18" xfId="26" applyFont="1" applyFill="1" applyBorder="1" applyAlignment="1">
      <alignment horizontal="center" vertical="center" wrapText="1"/>
    </xf>
    <xf numFmtId="0" fontId="241" fillId="0" borderId="163" xfId="0" applyFont="1" applyBorder="1" applyAlignment="1">
      <alignment horizontal="left" vertical="center" wrapText="1" readingOrder="1"/>
    </xf>
    <xf numFmtId="0" fontId="241" fillId="0" borderId="164" xfId="0" applyFont="1" applyBorder="1" applyAlignment="1">
      <alignment horizontal="left" vertical="center" wrapText="1" readingOrder="1"/>
    </xf>
    <xf numFmtId="0" fontId="241" fillId="0" borderId="0" xfId="0" applyFont="1" applyAlignment="1">
      <alignment horizontal="left" vertical="center" wrapText="1" readingOrder="1"/>
    </xf>
    <xf numFmtId="0" fontId="241" fillId="0" borderId="0" xfId="0" applyFont="1" applyAlignment="1">
      <alignment horizontal="left" vertical="center" readingOrder="1"/>
    </xf>
    <xf numFmtId="0" fontId="44" fillId="9" borderId="6" xfId="0" applyFont="1" applyFill="1" applyBorder="1" applyAlignment="1">
      <alignment horizontal="center" vertical="center" wrapText="1"/>
    </xf>
    <xf numFmtId="0" fontId="43" fillId="9" borderId="9" xfId="0" applyFont="1" applyFill="1" applyBorder="1" applyAlignment="1">
      <alignment horizontal="center" vertical="center" wrapText="1"/>
    </xf>
    <xf numFmtId="0" fontId="43" fillId="9" borderId="10" xfId="0" applyFont="1" applyFill="1" applyBorder="1" applyAlignment="1">
      <alignment horizontal="center" vertical="center" wrapText="1"/>
    </xf>
    <xf numFmtId="0" fontId="43" fillId="9" borderId="11" xfId="0" applyFont="1" applyFill="1" applyBorder="1" applyAlignment="1">
      <alignment horizontal="center" vertical="center" wrapText="1"/>
    </xf>
    <xf numFmtId="0" fontId="198" fillId="0" borderId="0" xfId="0" applyFont="1" applyAlignment="1">
      <alignment horizontal="center"/>
    </xf>
    <xf numFmtId="0" fontId="311" fillId="0" borderId="0" xfId="0" applyFont="1" applyAlignment="1">
      <alignment horizontal="center" vertical="top"/>
    </xf>
    <xf numFmtId="0" fontId="47" fillId="9" borderId="6" xfId="0" applyFont="1" applyFill="1" applyBorder="1" applyAlignment="1">
      <alignment horizontal="center" vertical="center" wrapText="1"/>
    </xf>
    <xf numFmtId="0" fontId="228" fillId="0" borderId="0" xfId="0" applyFont="1" applyAlignment="1">
      <alignment horizontal="left" vertical="center" wrapText="1"/>
    </xf>
    <xf numFmtId="0" fontId="228" fillId="0" borderId="0" xfId="0" applyFont="1" applyAlignment="1">
      <alignment horizontal="left" vertical="center"/>
    </xf>
    <xf numFmtId="0" fontId="185" fillId="0" borderId="0" xfId="0" applyFont="1" applyAlignment="1">
      <alignment horizontal="center" vertical="top"/>
    </xf>
    <xf numFmtId="0" fontId="43" fillId="9" borderId="6" xfId="0" applyFont="1" applyFill="1" applyBorder="1" applyAlignment="1">
      <alignment horizontal="center" vertical="center" textRotation="90" wrapText="1"/>
    </xf>
    <xf numFmtId="0" fontId="168" fillId="11" borderId="18" xfId="0" applyFont="1" applyFill="1" applyBorder="1" applyAlignment="1">
      <alignment horizontal="center" vertical="center"/>
    </xf>
    <xf numFmtId="0" fontId="44" fillId="9" borderId="6" xfId="0" applyFont="1" applyFill="1" applyBorder="1" applyAlignment="1">
      <alignment horizontal="center" vertical="center"/>
    </xf>
    <xf numFmtId="0" fontId="44" fillId="9" borderId="9" xfId="0" applyFont="1" applyFill="1" applyBorder="1" applyAlignment="1">
      <alignment horizontal="center" vertical="center" wrapText="1"/>
    </xf>
    <xf numFmtId="0" fontId="44" fillId="9" borderId="10" xfId="0" applyFont="1" applyFill="1" applyBorder="1" applyAlignment="1">
      <alignment horizontal="center" vertical="center" wrapText="1"/>
    </xf>
    <xf numFmtId="0" fontId="44" fillId="9" borderId="11" xfId="0" applyFont="1" applyFill="1" applyBorder="1" applyAlignment="1">
      <alignment horizontal="center" vertical="center" wrapText="1"/>
    </xf>
    <xf numFmtId="0" fontId="43" fillId="9" borderId="1" xfId="0" applyFont="1" applyFill="1" applyBorder="1" applyAlignment="1">
      <alignment horizontal="center" vertical="center" wrapText="1"/>
    </xf>
    <xf numFmtId="0" fontId="43" fillId="9" borderId="2" xfId="0" applyFont="1" applyFill="1" applyBorder="1" applyAlignment="1">
      <alignment horizontal="center" vertical="center" wrapText="1"/>
    </xf>
    <xf numFmtId="0" fontId="43" fillId="9" borderId="3" xfId="0" applyFont="1" applyFill="1" applyBorder="1" applyAlignment="1">
      <alignment horizontal="center" vertical="center" wrapText="1"/>
    </xf>
    <xf numFmtId="0" fontId="47" fillId="9" borderId="6" xfId="0" applyFont="1" applyFill="1" applyBorder="1" applyAlignment="1">
      <alignment horizontal="center" vertical="center" textRotation="90" wrapText="1"/>
    </xf>
    <xf numFmtId="0" fontId="44" fillId="9" borderId="1" xfId="0" applyFont="1" applyFill="1" applyBorder="1" applyAlignment="1">
      <alignment horizontal="center" vertical="center" wrapText="1"/>
    </xf>
    <xf numFmtId="0" fontId="44" fillId="9" borderId="2" xfId="0" applyFont="1" applyFill="1" applyBorder="1" applyAlignment="1">
      <alignment horizontal="center" vertical="center" wrapText="1"/>
    </xf>
    <xf numFmtId="0" fontId="44" fillId="9" borderId="3" xfId="0" applyFont="1" applyFill="1" applyBorder="1" applyAlignment="1">
      <alignment horizontal="center" vertical="center" wrapText="1"/>
    </xf>
    <xf numFmtId="0" fontId="44" fillId="9" borderId="1" xfId="0" applyFont="1" applyFill="1" applyBorder="1" applyAlignment="1">
      <alignment horizontal="center" vertical="center"/>
    </xf>
    <xf numFmtId="0" fontId="44" fillId="9" borderId="2" xfId="0" applyFont="1" applyFill="1" applyBorder="1" applyAlignment="1">
      <alignment horizontal="center" vertical="center"/>
    </xf>
    <xf numFmtId="0" fontId="44" fillId="9" borderId="3" xfId="0" applyFont="1" applyFill="1" applyBorder="1" applyAlignment="1">
      <alignment horizontal="center" vertical="center"/>
    </xf>
    <xf numFmtId="0" fontId="228" fillId="0" borderId="163" xfId="0" applyFont="1" applyBorder="1" applyAlignment="1">
      <alignment horizontal="left" vertical="center" wrapText="1"/>
    </xf>
    <xf numFmtId="0" fontId="43" fillId="9" borderId="1" xfId="0" applyFont="1" applyFill="1" applyBorder="1" applyAlignment="1">
      <alignment horizontal="center" vertical="center"/>
    </xf>
    <xf numFmtId="0" fontId="43" fillId="9" borderId="2" xfId="0" applyFont="1" applyFill="1" applyBorder="1" applyAlignment="1">
      <alignment horizontal="center" vertical="center"/>
    </xf>
    <xf numFmtId="0" fontId="43" fillId="9" borderId="3" xfId="0" applyFont="1" applyFill="1" applyBorder="1" applyAlignment="1">
      <alignment horizontal="center" vertical="center"/>
    </xf>
    <xf numFmtId="0" fontId="43" fillId="9" borderId="9" xfId="0" applyFont="1" applyFill="1" applyBorder="1" applyAlignment="1">
      <alignment horizontal="center" vertical="center"/>
    </xf>
    <xf numFmtId="0" fontId="43" fillId="9" borderId="10" xfId="0" applyFont="1" applyFill="1" applyBorder="1" applyAlignment="1">
      <alignment horizontal="center" vertical="center"/>
    </xf>
    <xf numFmtId="0" fontId="43" fillId="9" borderId="11" xfId="0" applyFont="1" applyFill="1" applyBorder="1" applyAlignment="1">
      <alignment horizontal="center" vertical="center"/>
    </xf>
    <xf numFmtId="0" fontId="43" fillId="9" borderId="7" xfId="0" applyFont="1" applyFill="1" applyBorder="1" applyAlignment="1">
      <alignment horizontal="center" vertical="center" wrapText="1"/>
    </xf>
    <xf numFmtId="0" fontId="43" fillId="9" borderId="163" xfId="0" applyFont="1" applyFill="1" applyBorder="1" applyAlignment="1">
      <alignment horizontal="center" vertical="center" wrapText="1"/>
    </xf>
    <xf numFmtId="0" fontId="224" fillId="3" borderId="0" xfId="0" applyFont="1" applyFill="1" applyAlignment="1">
      <alignment horizontal="left" vertical="center"/>
    </xf>
    <xf numFmtId="1" fontId="224" fillId="3" borderId="163" xfId="22" applyNumberFormat="1" applyFont="1" applyFill="1" applyBorder="1" applyAlignment="1">
      <alignment horizontal="left" vertical="center"/>
    </xf>
    <xf numFmtId="14" fontId="139" fillId="9" borderId="58" xfId="22" applyNumberFormat="1" applyFont="1" applyFill="1" applyBorder="1" applyAlignment="1">
      <alignment horizontal="center" vertical="center" wrapText="1"/>
    </xf>
    <xf numFmtId="0" fontId="139" fillId="9" borderId="56" xfId="22" applyFont="1" applyFill="1" applyBorder="1" applyAlignment="1">
      <alignment horizontal="center" vertical="center" wrapText="1"/>
    </xf>
    <xf numFmtId="0" fontId="138" fillId="9" borderId="139" xfId="22" applyFont="1" applyFill="1" applyBorder="1" applyAlignment="1">
      <alignment horizontal="center" vertical="center" wrapText="1"/>
    </xf>
    <xf numFmtId="0" fontId="138" fillId="9" borderId="140" xfId="22" applyFont="1" applyFill="1" applyBorder="1" applyAlignment="1">
      <alignment horizontal="center" vertical="center" wrapText="1"/>
    </xf>
    <xf numFmtId="0" fontId="138" fillId="9" borderId="121" xfId="22" applyFont="1" applyFill="1" applyBorder="1" applyAlignment="1">
      <alignment horizontal="center" vertical="center" wrapText="1"/>
    </xf>
    <xf numFmtId="0" fontId="138" fillId="9" borderId="141" xfId="22" applyFont="1" applyFill="1" applyBorder="1" applyAlignment="1">
      <alignment horizontal="center" vertical="center" wrapText="1"/>
    </xf>
    <xf numFmtId="0" fontId="138" fillId="9" borderId="142" xfId="22" applyFont="1" applyFill="1" applyBorder="1" applyAlignment="1">
      <alignment horizontal="center" vertical="center" wrapText="1"/>
    </xf>
    <xf numFmtId="0" fontId="138" fillId="9" borderId="63" xfId="22" applyFont="1" applyFill="1" applyBorder="1" applyAlignment="1">
      <alignment horizontal="center" vertical="center" wrapText="1"/>
    </xf>
    <xf numFmtId="14" fontId="138" fillId="9" borderId="146" xfId="22" applyNumberFormat="1" applyFont="1" applyFill="1" applyBorder="1" applyAlignment="1">
      <alignment horizontal="center" vertical="center" wrapText="1"/>
    </xf>
    <xf numFmtId="0" fontId="138" fillId="9" borderId="148" xfId="22" applyFont="1" applyFill="1" applyBorder="1" applyAlignment="1">
      <alignment horizontal="center" vertical="center" wrapText="1"/>
    </xf>
    <xf numFmtId="0" fontId="138" fillId="9" borderId="57" xfId="22" applyFont="1" applyFill="1" applyBorder="1" applyAlignment="1">
      <alignment horizontal="center" vertical="center" wrapText="1"/>
    </xf>
    <xf numFmtId="0" fontId="234" fillId="3" borderId="0" xfId="0" applyFont="1" applyFill="1" applyAlignment="1">
      <alignment horizontal="left" vertical="justify"/>
    </xf>
    <xf numFmtId="0" fontId="104" fillId="0" borderId="0" xfId="0" applyFont="1" applyAlignment="1">
      <alignment horizontal="center" vertical="center"/>
    </xf>
    <xf numFmtId="0" fontId="48" fillId="9" borderId="6" xfId="0" applyFont="1" applyFill="1" applyBorder="1" applyAlignment="1">
      <alignment horizontal="center" vertical="center"/>
    </xf>
    <xf numFmtId="0" fontId="45" fillId="9" borderId="6" xfId="0" applyFont="1" applyFill="1" applyBorder="1" applyAlignment="1">
      <alignment horizontal="center" vertical="center" wrapText="1"/>
    </xf>
    <xf numFmtId="0" fontId="18" fillId="9" borderId="6" xfId="0" applyFont="1" applyFill="1" applyBorder="1" applyAlignment="1">
      <alignment horizontal="center" vertical="center"/>
    </xf>
    <xf numFmtId="0" fontId="45" fillId="9" borderId="6" xfId="0" applyFont="1" applyFill="1" applyBorder="1" applyAlignment="1">
      <alignment horizontal="center" vertical="center"/>
    </xf>
    <xf numFmtId="0" fontId="224" fillId="3" borderId="0" xfId="0" applyFont="1" applyFill="1" applyAlignment="1">
      <alignment horizontal="left" vertical="top" wrapText="1"/>
    </xf>
    <xf numFmtId="0" fontId="174" fillId="0" borderId="0" xfId="0" applyFont="1" applyAlignment="1">
      <alignment horizontal="center" vertical="center"/>
    </xf>
    <xf numFmtId="0" fontId="140" fillId="9" borderId="40" xfId="69" applyFont="1" applyFill="1" applyBorder="1" applyAlignment="1">
      <alignment horizontal="center" vertical="center"/>
    </xf>
    <xf numFmtId="0" fontId="140" fillId="9" borderId="44" xfId="69" applyFont="1" applyFill="1" applyBorder="1" applyAlignment="1">
      <alignment horizontal="center" vertical="center"/>
    </xf>
    <xf numFmtId="0" fontId="251" fillId="0" borderId="0" xfId="69" applyFont="1" applyFill="1" applyBorder="1" applyAlignment="1">
      <alignment horizontal="center" wrapText="1"/>
    </xf>
    <xf numFmtId="0" fontId="306" fillId="0" borderId="0" xfId="69" applyFont="1" applyFill="1" applyBorder="1" applyAlignment="1">
      <alignment horizontal="center" vertical="top" wrapText="1"/>
    </xf>
    <xf numFmtId="14" fontId="86" fillId="9" borderId="46" xfId="69" applyNumberFormat="1" applyFont="1" applyFill="1" applyBorder="1" applyAlignment="1">
      <alignment horizontal="center" vertical="center" wrapText="1"/>
    </xf>
    <xf numFmtId="14" fontId="86" fillId="9" borderId="115" xfId="69" applyNumberFormat="1" applyFont="1" applyFill="1" applyBorder="1" applyAlignment="1">
      <alignment horizontal="center" vertical="center" wrapText="1"/>
    </xf>
    <xf numFmtId="14" fontId="86" fillId="9" borderId="39" xfId="69" applyNumberFormat="1" applyFont="1" applyFill="1" applyBorder="1" applyAlignment="1">
      <alignment horizontal="center" vertical="center" wrapText="1"/>
    </xf>
    <xf numFmtId="14" fontId="86" fillId="9" borderId="40" xfId="69" applyNumberFormat="1" applyFont="1" applyFill="1" applyBorder="1" applyAlignment="1">
      <alignment horizontal="center" vertical="center" wrapText="1"/>
    </xf>
    <xf numFmtId="14" fontId="86" fillId="9" borderId="46" xfId="69" applyNumberFormat="1" applyFont="1" applyFill="1" applyBorder="1" applyAlignment="1" applyProtection="1">
      <alignment horizontal="center" vertical="center" wrapText="1"/>
    </xf>
    <xf numFmtId="14" fontId="86" fillId="9" borderId="44" xfId="69" applyNumberFormat="1" applyFont="1" applyFill="1" applyBorder="1" applyAlignment="1" applyProtection="1">
      <alignment horizontal="center" vertical="center" wrapText="1"/>
    </xf>
    <xf numFmtId="14" fontId="86" fillId="9" borderId="115" xfId="69" applyNumberFormat="1" applyFont="1" applyFill="1" applyBorder="1" applyAlignment="1" applyProtection="1">
      <alignment horizontal="center" vertical="center" wrapText="1"/>
    </xf>
    <xf numFmtId="0" fontId="251" fillId="0" borderId="0" xfId="69" applyFont="1" applyFill="1" applyAlignment="1" applyProtection="1">
      <alignment horizontal="center" vertical="center"/>
    </xf>
    <xf numFmtId="0" fontId="306" fillId="0" borderId="0" xfId="69" applyFont="1" applyFill="1" applyAlignment="1" applyProtection="1">
      <alignment horizontal="center" vertical="top"/>
    </xf>
    <xf numFmtId="0" fontId="192" fillId="11" borderId="0" xfId="69" applyFont="1" applyFill="1" applyBorder="1" applyAlignment="1">
      <alignment horizontal="right" vertical="center"/>
    </xf>
    <xf numFmtId="0" fontId="88" fillId="9" borderId="41" xfId="69" applyFont="1" applyFill="1" applyBorder="1" applyAlignment="1" applyProtection="1">
      <alignment horizontal="center" vertical="center" wrapText="1"/>
    </xf>
    <xf numFmtId="0" fontId="88" fillId="9" borderId="47" xfId="69" applyFont="1" applyFill="1" applyBorder="1" applyAlignment="1" applyProtection="1">
      <alignment horizontal="center" vertical="center" wrapText="1"/>
    </xf>
    <xf numFmtId="0" fontId="86" fillId="9" borderId="41" xfId="69" applyFont="1" applyFill="1" applyBorder="1" applyAlignment="1" applyProtection="1">
      <alignment horizontal="center" vertical="center" wrapText="1"/>
    </xf>
    <xf numFmtId="0" fontId="86" fillId="9" borderId="47" xfId="69" applyFont="1" applyFill="1" applyBorder="1" applyAlignment="1" applyProtection="1">
      <alignment horizontal="center" vertical="center" wrapText="1"/>
    </xf>
    <xf numFmtId="0" fontId="148" fillId="9" borderId="41" xfId="69" applyFont="1" applyFill="1" applyBorder="1" applyAlignment="1" applyProtection="1">
      <alignment horizontal="center" vertical="center" wrapText="1"/>
    </xf>
    <xf numFmtId="0" fontId="148" fillId="9" borderId="47" xfId="69" applyFont="1" applyFill="1" applyBorder="1" applyAlignment="1" applyProtection="1">
      <alignment horizontal="center" vertical="center" wrapText="1"/>
    </xf>
    <xf numFmtId="0" fontId="24" fillId="9" borderId="14" xfId="69" applyFont="1" applyFill="1" applyBorder="1" applyAlignment="1" applyProtection="1">
      <alignment horizontal="center"/>
    </xf>
    <xf numFmtId="0" fontId="24" fillId="9" borderId="0" xfId="69" applyFont="1" applyFill="1" applyBorder="1" applyAlignment="1" applyProtection="1">
      <alignment horizontal="center"/>
    </xf>
    <xf numFmtId="0" fontId="139" fillId="9" borderId="13" xfId="69" applyFont="1" applyFill="1" applyBorder="1" applyAlignment="1">
      <alignment horizontal="center"/>
    </xf>
    <xf numFmtId="0" fontId="139" fillId="9" borderId="31" xfId="69" applyFont="1" applyFill="1" applyBorder="1" applyAlignment="1">
      <alignment horizontal="center"/>
    </xf>
    <xf numFmtId="14" fontId="88" fillId="9" borderId="40" xfId="69" applyNumberFormat="1" applyFont="1" applyFill="1" applyBorder="1" applyAlignment="1" applyProtection="1">
      <alignment horizontal="center" vertical="center" wrapText="1"/>
    </xf>
    <xf numFmtId="14" fontId="88" fillId="9" borderId="115" xfId="69" applyNumberFormat="1" applyFont="1" applyFill="1" applyBorder="1" applyAlignment="1" applyProtection="1">
      <alignment horizontal="center" vertical="center" wrapText="1"/>
    </xf>
    <xf numFmtId="0" fontId="222" fillId="0" borderId="31" xfId="69" applyFont="1" applyFill="1" applyBorder="1" applyAlignment="1">
      <alignment horizontal="left" vertical="center"/>
    </xf>
    <xf numFmtId="0" fontId="222" fillId="0" borderId="0" xfId="69" applyFont="1" applyFill="1" applyBorder="1" applyAlignment="1">
      <alignment horizontal="left" vertical="center" wrapText="1"/>
    </xf>
    <xf numFmtId="0" fontId="222" fillId="0" borderId="0" xfId="69" applyFont="1" applyFill="1" applyAlignment="1">
      <alignment horizontal="left" vertical="center" wrapText="1"/>
    </xf>
    <xf numFmtId="14" fontId="88" fillId="9" borderId="46" xfId="69" applyNumberFormat="1" applyFont="1" applyFill="1" applyBorder="1" applyAlignment="1" applyProtection="1">
      <alignment horizontal="center" vertical="center" wrapText="1"/>
    </xf>
    <xf numFmtId="14" fontId="88" fillId="9" borderId="45" xfId="69" applyNumberFormat="1" applyFont="1" applyFill="1" applyBorder="1" applyAlignment="1" applyProtection="1">
      <alignment horizontal="center" vertical="center" wrapText="1"/>
    </xf>
    <xf numFmtId="14" fontId="86" fillId="9" borderId="45" xfId="69" applyNumberFormat="1" applyFont="1" applyFill="1" applyBorder="1" applyAlignment="1" applyProtection="1">
      <alignment horizontal="center" vertical="center" wrapText="1"/>
    </xf>
    <xf numFmtId="0" fontId="211" fillId="11" borderId="0" xfId="69" applyFont="1" applyFill="1" applyBorder="1" applyAlignment="1">
      <alignment horizontal="right" vertical="center"/>
    </xf>
    <xf numFmtId="0" fontId="322" fillId="0" borderId="0" xfId="69" applyFont="1" applyFill="1" applyAlignment="1" applyProtection="1">
      <alignment horizontal="center" vertical="top" wrapText="1"/>
    </xf>
    <xf numFmtId="0" fontId="323" fillId="0" borderId="0" xfId="69" applyFont="1" applyFill="1" applyAlignment="1" applyProtection="1">
      <alignment horizontal="center" vertical="top" wrapText="1"/>
    </xf>
    <xf numFmtId="0" fontId="243" fillId="0" borderId="31" xfId="69" applyFont="1" applyFill="1" applyBorder="1" applyAlignment="1">
      <alignment horizontal="left" vertical="center" wrapText="1"/>
    </xf>
    <xf numFmtId="0" fontId="209" fillId="0" borderId="0" xfId="69" applyFont="1" applyFill="1" applyBorder="1" applyAlignment="1">
      <alignment horizontal="center" vertical="center" wrapText="1"/>
    </xf>
    <xf numFmtId="0" fontId="204" fillId="0" borderId="0" xfId="69" applyFont="1" applyFill="1" applyBorder="1" applyAlignment="1">
      <alignment horizontal="center" vertical="top" wrapText="1"/>
    </xf>
    <xf numFmtId="0" fontId="211" fillId="11" borderId="0" xfId="69" applyFont="1" applyFill="1" applyBorder="1" applyAlignment="1">
      <alignment horizontal="right" vertical="center" wrapText="1"/>
    </xf>
    <xf numFmtId="0" fontId="188" fillId="10" borderId="0" xfId="69" applyFont="1" applyFill="1" applyBorder="1" applyAlignment="1">
      <alignment horizontal="center" vertical="center" wrapText="1"/>
    </xf>
    <xf numFmtId="0" fontId="211" fillId="11" borderId="16" xfId="69" applyFont="1" applyFill="1" applyBorder="1" applyAlignment="1">
      <alignment horizontal="right" vertical="center" wrapText="1"/>
    </xf>
    <xf numFmtId="0" fontId="314" fillId="0" borderId="31" xfId="69" applyFont="1" applyFill="1" applyBorder="1" applyAlignment="1">
      <alignment horizontal="left" vertical="top" wrapText="1"/>
    </xf>
    <xf numFmtId="0" fontId="199" fillId="0" borderId="0" xfId="69" applyFont="1" applyFill="1" applyBorder="1" applyAlignment="1">
      <alignment horizontal="center" vertical="top" wrapText="1"/>
    </xf>
    <xf numFmtId="0" fontId="222" fillId="0" borderId="31" xfId="69" applyFont="1" applyFill="1" applyBorder="1" applyAlignment="1">
      <alignment horizontal="left" vertical="center" wrapText="1"/>
    </xf>
    <xf numFmtId="0" fontId="353" fillId="0" borderId="0" xfId="69" applyFont="1" applyAlignment="1">
      <alignment horizontal="left" vertical="center" wrapText="1"/>
    </xf>
    <xf numFmtId="0" fontId="192" fillId="11" borderId="16" xfId="69" applyFont="1" applyFill="1" applyBorder="1" applyAlignment="1">
      <alignment horizontal="right" vertical="center" wrapText="1"/>
    </xf>
    <xf numFmtId="0" fontId="315" fillId="11" borderId="16" xfId="69" applyFont="1" applyFill="1" applyBorder="1" applyAlignment="1">
      <alignment horizontal="right" vertical="center" wrapText="1"/>
    </xf>
    <xf numFmtId="182" fontId="90" fillId="9" borderId="9" xfId="4" applyNumberFormat="1" applyFont="1" applyFill="1" applyBorder="1" applyAlignment="1">
      <alignment horizontal="center" vertical="center"/>
    </xf>
    <xf numFmtId="182" fontId="90" fillId="9" borderId="11" xfId="4" applyNumberFormat="1" applyFont="1" applyFill="1" applyBorder="1" applyAlignment="1">
      <alignment horizontal="center" vertical="center"/>
    </xf>
    <xf numFmtId="182" fontId="90" fillId="9" borderId="7" xfId="4" applyNumberFormat="1" applyFont="1" applyFill="1" applyBorder="1" applyAlignment="1">
      <alignment horizontal="center" vertical="center"/>
    </xf>
    <xf numFmtId="182" fontId="90" fillId="9" borderId="67" xfId="4" applyNumberFormat="1" applyFont="1" applyFill="1" applyBorder="1" applyAlignment="1">
      <alignment horizontal="center" vertical="center"/>
    </xf>
    <xf numFmtId="182" fontId="96" fillId="9" borderId="6" xfId="4" applyNumberFormat="1" applyFont="1" applyFill="1" applyBorder="1" applyAlignment="1">
      <alignment horizontal="center" vertical="center"/>
    </xf>
    <xf numFmtId="182" fontId="96" fillId="0" borderId="43" xfId="4" applyNumberFormat="1" applyFont="1" applyFill="1" applyBorder="1" applyAlignment="1">
      <alignment horizontal="center" vertical="center"/>
    </xf>
    <xf numFmtId="182" fontId="96" fillId="0" borderId="48" xfId="4" applyNumberFormat="1" applyFont="1" applyFill="1" applyBorder="1" applyAlignment="1">
      <alignment horizontal="center" vertical="center"/>
    </xf>
    <xf numFmtId="0" fontId="182" fillId="0" borderId="0" xfId="69" applyFont="1" applyAlignment="1">
      <alignment horizontal="center" vertical="center" wrapText="1"/>
    </xf>
    <xf numFmtId="0" fontId="307" fillId="0" borderId="0" xfId="69" applyFont="1" applyAlignment="1">
      <alignment horizontal="center" vertical="center" wrapText="1"/>
    </xf>
    <xf numFmtId="0" fontId="307" fillId="0" borderId="0" xfId="69" applyFont="1" applyAlignment="1">
      <alignment horizontal="center" vertical="center"/>
    </xf>
    <xf numFmtId="0" fontId="348" fillId="9" borderId="6" xfId="69" applyFont="1" applyFill="1" applyBorder="1" applyAlignment="1">
      <alignment horizontal="center" vertical="center" wrapText="1"/>
    </xf>
    <xf numFmtId="0" fontId="92" fillId="9" borderId="6" xfId="69" applyFont="1" applyFill="1" applyBorder="1" applyAlignment="1">
      <alignment horizontal="center" vertical="center" wrapText="1"/>
    </xf>
    <xf numFmtId="0" fontId="90" fillId="9" borderId="17" xfId="69" applyFont="1" applyFill="1" applyBorder="1" applyAlignment="1">
      <alignment horizontal="center" vertical="center" wrapText="1"/>
    </xf>
    <xf numFmtId="0" fontId="90" fillId="9" borderId="18" xfId="69" applyFont="1" applyFill="1" applyBorder="1" applyAlignment="1">
      <alignment horizontal="center" vertical="center" wrapText="1"/>
    </xf>
    <xf numFmtId="0" fontId="90" fillId="9" borderId="19" xfId="69" applyFont="1" applyFill="1" applyBorder="1" applyAlignment="1">
      <alignment horizontal="center" vertical="center" wrapText="1"/>
    </xf>
    <xf numFmtId="0" fontId="92" fillId="9" borderId="7" xfId="69" applyFont="1" applyFill="1" applyBorder="1" applyAlignment="1">
      <alignment horizontal="center" vertical="center" wrapText="1"/>
    </xf>
    <xf numFmtId="0" fontId="92" fillId="9" borderId="5" xfId="69" applyFont="1" applyFill="1" applyBorder="1" applyAlignment="1">
      <alignment horizontal="center" vertical="center" wrapText="1"/>
    </xf>
    <xf numFmtId="0" fontId="92" fillId="9" borderId="17" xfId="69" applyFont="1" applyFill="1" applyBorder="1" applyAlignment="1">
      <alignment horizontal="center" vertical="center" wrapText="1"/>
    </xf>
    <xf numFmtId="0" fontId="92" fillId="9" borderId="137" xfId="69" applyFont="1" applyFill="1" applyBorder="1" applyAlignment="1">
      <alignment horizontal="center" vertical="center" wrapText="1"/>
    </xf>
    <xf numFmtId="182" fontId="88" fillId="9" borderId="6" xfId="6" applyNumberFormat="1" applyFont="1" applyFill="1" applyBorder="1" applyAlignment="1">
      <alignment horizontal="center" vertical="center"/>
    </xf>
    <xf numFmtId="182" fontId="94" fillId="9" borderId="6" xfId="6" applyNumberFormat="1" applyFont="1" applyFill="1" applyBorder="1" applyAlignment="1">
      <alignment horizontal="center" vertical="center"/>
    </xf>
    <xf numFmtId="182" fontId="94" fillId="9" borderId="9" xfId="6" applyNumberFormat="1" applyFont="1" applyFill="1" applyBorder="1" applyAlignment="1">
      <alignment horizontal="center" vertical="center"/>
    </xf>
    <xf numFmtId="182" fontId="94" fillId="9" borderId="11" xfId="6" applyNumberFormat="1" applyFont="1" applyFill="1" applyBorder="1" applyAlignment="1">
      <alignment horizontal="center" vertical="center"/>
    </xf>
    <xf numFmtId="0" fontId="92" fillId="9" borderId="17" xfId="27" applyFont="1" applyFill="1" applyBorder="1" applyAlignment="1">
      <alignment horizontal="center" vertical="center" wrapText="1"/>
    </xf>
    <xf numFmtId="0" fontId="92" fillId="9" borderId="18" xfId="27" applyFont="1" applyFill="1" applyBorder="1" applyAlignment="1">
      <alignment horizontal="center" vertical="center" wrapText="1"/>
    </xf>
    <xf numFmtId="0" fontId="92" fillId="9" borderId="19" xfId="27" applyFont="1" applyFill="1" applyBorder="1" applyAlignment="1">
      <alignment horizontal="center" vertical="center" wrapText="1"/>
    </xf>
    <xf numFmtId="4" fontId="308" fillId="9" borderId="5" xfId="27" applyNumberFormat="1" applyFont="1" applyFill="1" applyBorder="1" applyAlignment="1">
      <alignment horizontal="center" vertical="center" wrapText="1"/>
    </xf>
    <xf numFmtId="4" fontId="308" fillId="9" borderId="17" xfId="27" applyNumberFormat="1" applyFont="1" applyFill="1" applyBorder="1" applyAlignment="1">
      <alignment horizontal="center" vertical="center" wrapText="1"/>
    </xf>
    <xf numFmtId="4" fontId="308" fillId="9" borderId="1" xfId="27" applyNumberFormat="1" applyFont="1" applyFill="1" applyBorder="1" applyAlignment="1">
      <alignment horizontal="center" vertical="center" wrapText="1"/>
    </xf>
    <xf numFmtId="4" fontId="308" fillId="9" borderId="2" xfId="27" applyNumberFormat="1" applyFont="1" applyFill="1" applyBorder="1" applyAlignment="1">
      <alignment horizontal="center" vertical="center" wrapText="1"/>
    </xf>
    <xf numFmtId="4" fontId="308" fillId="9" borderId="3" xfId="27" applyNumberFormat="1" applyFont="1" applyFill="1" applyBorder="1" applyAlignment="1">
      <alignment horizontal="center" vertical="center" wrapText="1"/>
    </xf>
    <xf numFmtId="0" fontId="307" fillId="0" borderId="0" xfId="69" applyFont="1" applyAlignment="1">
      <alignment horizontal="center" vertical="top" wrapText="1"/>
    </xf>
    <xf numFmtId="0" fontId="211" fillId="11" borderId="0" xfId="69" applyFont="1" applyFill="1" applyAlignment="1">
      <alignment horizontal="right" vertical="center" wrapText="1"/>
    </xf>
    <xf numFmtId="0" fontId="92" fillId="9" borderId="6" xfId="27" applyFont="1" applyFill="1" applyBorder="1" applyAlignment="1">
      <alignment horizontal="center" wrapText="1"/>
    </xf>
    <xf numFmtId="0" fontId="92" fillId="9" borderId="6" xfId="27" applyFont="1" applyFill="1" applyBorder="1" applyAlignment="1">
      <alignment horizontal="center" vertical="center" wrapText="1"/>
    </xf>
    <xf numFmtId="0" fontId="253" fillId="9" borderId="6" xfId="27" applyFont="1" applyFill="1" applyBorder="1" applyAlignment="1">
      <alignment horizontal="center" vertical="center"/>
    </xf>
    <xf numFmtId="0" fontId="138" fillId="9" borderId="6" xfId="22" applyFont="1" applyFill="1" applyBorder="1" applyAlignment="1">
      <alignment horizontal="center" vertical="center" wrapText="1"/>
    </xf>
    <xf numFmtId="0" fontId="25" fillId="9" borderId="6" xfId="22" applyFont="1" applyFill="1" applyBorder="1" applyAlignment="1">
      <alignment horizontal="center" textRotation="90" wrapText="1"/>
    </xf>
    <xf numFmtId="0" fontId="113" fillId="9" borderId="6" xfId="22" applyFont="1" applyFill="1" applyBorder="1" applyAlignment="1">
      <alignment horizontal="center" vertical="center" wrapText="1"/>
    </xf>
    <xf numFmtId="0" fontId="154" fillId="9" borderId="6" xfId="22" applyFont="1" applyFill="1" applyBorder="1" applyAlignment="1">
      <alignment horizontal="center" textRotation="90" wrapText="1"/>
    </xf>
    <xf numFmtId="0" fontId="7" fillId="9" borderId="6" xfId="22" applyFont="1" applyFill="1" applyBorder="1" applyAlignment="1">
      <alignment horizontal="center" textRotation="90" wrapText="1"/>
    </xf>
    <xf numFmtId="0" fontId="166" fillId="0" borderId="0" xfId="69" applyFont="1" applyFill="1" applyBorder="1" applyAlignment="1">
      <alignment horizontal="center" vertical="center" wrapText="1"/>
    </xf>
    <xf numFmtId="0" fontId="167" fillId="0" borderId="0" xfId="69" applyFont="1" applyFill="1" applyBorder="1" applyAlignment="1">
      <alignment horizontal="center" vertical="top" wrapText="1"/>
    </xf>
    <xf numFmtId="0" fontId="138" fillId="9" borderId="6" xfId="22" applyFont="1" applyFill="1" applyBorder="1" applyAlignment="1">
      <alignment horizontal="center" vertical="center"/>
    </xf>
    <xf numFmtId="0" fontId="154" fillId="0" borderId="0" xfId="96" applyFont="1" applyAlignment="1">
      <alignment horizontal="left" wrapText="1"/>
    </xf>
    <xf numFmtId="0" fontId="164" fillId="0" borderId="0" xfId="96" applyFont="1" applyAlignment="1">
      <alignment horizontal="center" vertical="center" wrapText="1"/>
    </xf>
    <xf numFmtId="0" fontId="165" fillId="0" borderId="0" xfId="96" applyFont="1" applyAlignment="1">
      <alignment horizontal="center" vertical="center" wrapText="1"/>
    </xf>
    <xf numFmtId="0" fontId="138" fillId="9" borderId="1" xfId="96" applyFont="1" applyFill="1" applyBorder="1" applyAlignment="1">
      <alignment horizontal="center" vertical="center" wrapText="1"/>
    </xf>
    <xf numFmtId="0" fontId="138" fillId="9" borderId="2" xfId="96" applyFont="1" applyFill="1" applyBorder="1" applyAlignment="1">
      <alignment horizontal="center" vertical="center" wrapText="1"/>
    </xf>
    <xf numFmtId="0" fontId="138" fillId="9" borderId="3" xfId="96" applyFont="1" applyFill="1" applyBorder="1" applyAlignment="1">
      <alignment horizontal="center" vertical="center" wrapText="1"/>
    </xf>
    <xf numFmtId="0" fontId="138" fillId="9" borderId="6" xfId="96" applyFont="1" applyFill="1" applyBorder="1" applyAlignment="1">
      <alignment horizontal="center" vertical="center" wrapText="1"/>
    </xf>
    <xf numFmtId="0" fontId="139" fillId="9" borderId="9" xfId="96" applyFont="1" applyFill="1" applyBorder="1" applyAlignment="1">
      <alignment horizontal="center" vertical="center" wrapText="1"/>
    </xf>
    <xf numFmtId="0" fontId="139" fillId="9" borderId="10" xfId="96" applyFont="1" applyFill="1" applyBorder="1" applyAlignment="1">
      <alignment horizontal="center" vertical="center" wrapText="1"/>
    </xf>
    <xf numFmtId="0" fontId="139" fillId="9" borderId="11" xfId="96" applyFont="1" applyFill="1" applyBorder="1" applyAlignment="1">
      <alignment horizontal="center" vertical="center" wrapText="1"/>
    </xf>
    <xf numFmtId="0" fontId="300" fillId="0" borderId="0" xfId="96" applyFont="1" applyAlignment="1">
      <alignment horizontal="left" vertical="center" wrapText="1"/>
    </xf>
  </cellXfs>
  <cellStyles count="2619">
    <cellStyle name="=C:\WINNT35\SYSTEM32\COMMAND.COM" xfId="1" xr:uid="{00000000-0005-0000-0000-000000000000}"/>
    <cellStyle name="=C:\WINNT35\SYSTEM32\COMMAND.COM 10" xfId="2" xr:uid="{00000000-0005-0000-0000-000001000000}"/>
    <cellStyle name="=C:\WINNT35\SYSTEM32\COMMAND.COM 10 10" xfId="103" xr:uid="{3AACDDEA-CE0F-4728-ADC0-930C23D63D98}"/>
    <cellStyle name="=C:\WINNT35\SYSTEM32\COMMAND.COM 11" xfId="104" xr:uid="{3CD01360-D1EA-4FEF-AE85-1DDE5B540A15}"/>
    <cellStyle name="=C:\WINNT35\SYSTEM32\COMMAND.COM 11 2" xfId="105" xr:uid="{0CE6CC6A-4891-4113-9EA5-66573113B284}"/>
    <cellStyle name="=C:\WINNT35\SYSTEM32\COMMAND.COM 12" xfId="106" xr:uid="{A628B92A-A32D-4B00-8D24-3A6AB54E12B9}"/>
    <cellStyle name="=C:\WINNT35\SYSTEM32\COMMAND.COM 12 10" xfId="2617" xr:uid="{6DC36A45-2BB2-4B89-9301-DD750B4CCC88}"/>
    <cellStyle name="=C:\WINNT35\SYSTEM32\COMMAND.COM 12 2" xfId="107" xr:uid="{9352DAF2-3CF9-4363-990C-748D501DB95C}"/>
    <cellStyle name="=C:\WINNT35\SYSTEM32\COMMAND.COM 13" xfId="108" xr:uid="{AB40AC3E-2639-4DEA-8DEC-E6859DA90E3D}"/>
    <cellStyle name="=C:\WINNT35\SYSTEM32\COMMAND.COM 14" xfId="109" xr:uid="{D838EE6E-1C84-44C2-9897-BBFAC14A3DEF}"/>
    <cellStyle name="=C:\WINNT35\SYSTEM32\COMMAND.COM 14 2" xfId="110" xr:uid="{4CF0A065-A320-4105-A447-7E720BF7C433}"/>
    <cellStyle name="=C:\WINNT35\SYSTEM32\COMMAND.COM 15" xfId="111" xr:uid="{7A41CE4A-6258-4137-8A4C-2904E0A3444B}"/>
    <cellStyle name="=C:\WINNT35\SYSTEM32\COMMAND.COM 16" xfId="112" xr:uid="{7AF56D5D-E263-4536-A73E-4D155A245E58}"/>
    <cellStyle name="=C:\WINNT35\SYSTEM32\COMMAND.COM 17" xfId="113" xr:uid="{04093FA4-0A7A-4ADB-BFBB-0701893C6AE6}"/>
    <cellStyle name="=C:\WINNT35\SYSTEM32\COMMAND.COM 18" xfId="114" xr:uid="{2CC8B7E7-3338-4A0B-947E-C2884D8A76A5}"/>
    <cellStyle name="=C:\WINNT35\SYSTEM32\COMMAND.COM 19" xfId="115" xr:uid="{1B68DE74-3DC4-46CA-925E-B0ED43C690C7}"/>
    <cellStyle name="=C:\WINNT35\SYSTEM32\COMMAND.COM 2" xfId="3" xr:uid="{00000000-0005-0000-0000-000002000000}"/>
    <cellStyle name="=C:\WINNT35\SYSTEM32\COMMAND.COM 2 10" xfId="117" xr:uid="{E010471C-EAB7-426C-839F-666410B8A922}"/>
    <cellStyle name="=C:\WINNT35\SYSTEM32\COMMAND.COM 2 11" xfId="118" xr:uid="{5FC31BDB-88FC-4D5F-BE79-043DE82F2FFE}"/>
    <cellStyle name="=C:\WINNT35\SYSTEM32\COMMAND.COM 2 12" xfId="119" xr:uid="{41CDB1C8-ABF6-4A74-A8E0-2FC2248CDFDC}"/>
    <cellStyle name="=C:\WINNT35\SYSTEM32\COMMAND.COM 2 13" xfId="120" xr:uid="{87FDD7B4-4730-4173-849D-1506EA9A5A3B}"/>
    <cellStyle name="=C:\WINNT35\SYSTEM32\COMMAND.COM 2 14" xfId="121" xr:uid="{2F4AD409-92F8-4F33-A641-F31FF0E4951E}"/>
    <cellStyle name="=C:\WINNT35\SYSTEM32\COMMAND.COM 2 15" xfId="122" xr:uid="{F45C4B5C-9D96-4869-AE56-2C1D2F0E39D0}"/>
    <cellStyle name="=C:\WINNT35\SYSTEM32\COMMAND.COM 2 16" xfId="116" xr:uid="{9E662E40-34DC-469C-B67E-410349A12332}"/>
    <cellStyle name="=C:\WINNT35\SYSTEM32\COMMAND.COM 2 2" xfId="123" xr:uid="{A1D3B727-0E3E-42A3-AF3B-88505C982EC9}"/>
    <cellStyle name="=C:\WINNT35\SYSTEM32\COMMAND.COM 2 3" xfId="124" xr:uid="{08196BA6-8CC3-4E4F-8B1A-40662ECAB009}"/>
    <cellStyle name="=C:\WINNT35\SYSTEM32\COMMAND.COM 2 4" xfId="125" xr:uid="{57F00FC6-DBB0-45F0-B747-187B9BD55B9A}"/>
    <cellStyle name="=C:\WINNT35\SYSTEM32\COMMAND.COM 2 5" xfId="126" xr:uid="{8939ABEA-7946-4D97-8AB4-64B675FE4E0A}"/>
    <cellStyle name="=C:\WINNT35\SYSTEM32\COMMAND.COM 2 6" xfId="127" xr:uid="{2C5E023A-5ADE-49FC-831E-D6D92FAFE001}"/>
    <cellStyle name="=C:\WINNT35\SYSTEM32\COMMAND.COM 2 7" xfId="128" xr:uid="{CE0D7623-C4F9-42CA-A223-341BDFA5FBF6}"/>
    <cellStyle name="=C:\WINNT35\SYSTEM32\COMMAND.COM 2 8" xfId="129" xr:uid="{87D53FA2-426D-4907-9853-1A7515F33880}"/>
    <cellStyle name="=C:\WINNT35\SYSTEM32\COMMAND.COM 2 9" xfId="130" xr:uid="{59D5BBAE-A031-450A-9D85-949515986372}"/>
    <cellStyle name="=C:\WINNT35\SYSTEM32\COMMAND.COM 3" xfId="131" xr:uid="{BA7C8A8A-0BE7-42D7-ABB5-76D83EE59EEB}"/>
    <cellStyle name="=C:\WINNT35\SYSTEM32\COMMAND.COM 4" xfId="132" xr:uid="{F4DDD23F-8401-4A18-BA8F-12CCA3193A91}"/>
    <cellStyle name="=C:\WINNT35\SYSTEM32\COMMAND.COM 5" xfId="133" xr:uid="{2DE6C5F2-CA0E-4331-93E9-28CA0AC3059C}"/>
    <cellStyle name="=C:\WINNT35\SYSTEM32\COMMAND.COM 5 2" xfId="134" xr:uid="{2C366EFB-0F84-4939-B318-25ADF9583A20}"/>
    <cellStyle name="=C:\WINNT35\SYSTEM32\COMMAND.COM 5 3" xfId="135" xr:uid="{C90F8E1A-7A7C-479E-A677-E8262FC23750}"/>
    <cellStyle name="=C:\WINNT35\SYSTEM32\COMMAND.COM 5 4" xfId="136" xr:uid="{267973DF-6E43-46F2-B223-C743899EE96F}"/>
    <cellStyle name="=C:\WINNT35\SYSTEM32\COMMAND.COM 5 5" xfId="137" xr:uid="{11A82430-62AD-42CB-82A4-4E81EB518FDF}"/>
    <cellStyle name="=C:\WINNT35\SYSTEM32\COMMAND.COM 5 6" xfId="138" xr:uid="{BFAB0795-5A17-4388-A38B-4EB0B229F525}"/>
    <cellStyle name="=C:\WINNT35\SYSTEM32\COMMAND.COM 5 7" xfId="139" xr:uid="{51C6DEE5-3CDF-4ADF-89E7-1FF93523A4F9}"/>
    <cellStyle name="=C:\WINNT35\SYSTEM32\COMMAND.COM 6" xfId="140" xr:uid="{29EBD940-5C31-47F6-A6D2-1ECA15036516}"/>
    <cellStyle name="=C:\WINNT35\SYSTEM32\COMMAND.COM 7" xfId="141" xr:uid="{794D658F-24AA-414B-89AC-E60684C3E223}"/>
    <cellStyle name="=C:\WINNT35\SYSTEM32\COMMAND.COM 8" xfId="142" xr:uid="{B8A7CECC-6468-4D8C-AFC4-C0642F4F2FD2}"/>
    <cellStyle name="=C:\WINNT35\SYSTEM32\COMMAND.COM 8 2" xfId="143" xr:uid="{CB8075E4-5A36-4F35-AE79-2E3207B98F67}"/>
    <cellStyle name="=C:\WINNT35\SYSTEM32\COMMAND.COM 8 3" xfId="144" xr:uid="{CDDEC57B-BECA-4FC3-8F21-B3C045ACF46C}"/>
    <cellStyle name="=C:\WINNT35\SYSTEM32\COMMAND.COM 8 4" xfId="145" xr:uid="{229B617E-C2D6-45D2-A27B-B62D9DF5DD2B}"/>
    <cellStyle name="=C:\WINNT35\SYSTEM32\COMMAND.COM 8 5" xfId="146" xr:uid="{EEA820B3-ECF9-4832-B986-703115125600}"/>
    <cellStyle name="=C:\WINNT35\SYSTEM32\COMMAND.COM 8 6" xfId="147" xr:uid="{7BA5B61E-8F6D-4313-A59E-2E479FAC9F6C}"/>
    <cellStyle name="=C:\WINNT35\SYSTEM32\COMMAND.COM 9" xfId="148" xr:uid="{B8B0B823-D9B8-4EFA-92FB-149510520A40}"/>
    <cellStyle name="=C:\WINNT35\SYSTEM32\COMMAND.COM_Icmdin" xfId="149" xr:uid="{B62FE259-E54E-46A0-9977-36943FBB27F5}"/>
    <cellStyle name="20% - Accent1 10" xfId="150" xr:uid="{1E14C87D-3B4C-463E-BE03-DA1B242DB034}"/>
    <cellStyle name="20% - Accent1 11" xfId="151" xr:uid="{9EA54709-FB25-4175-8863-2E1930412F98}"/>
    <cellStyle name="20% - Accent1 12" xfId="152" xr:uid="{7E1EFC3F-C26C-49B4-A0E9-783F1428F21F}"/>
    <cellStyle name="20% - Accent1 13" xfId="153" xr:uid="{007B2228-FC20-4AD2-B8F2-B71C2CC9DC98}"/>
    <cellStyle name="20% - Accent1 14" xfId="154" xr:uid="{0E8E08F8-8D00-42F6-B846-B226BE65E8DB}"/>
    <cellStyle name="20% - Accent1 15" xfId="155" xr:uid="{F097CAB7-E530-408E-BB8C-8A532B12C3ED}"/>
    <cellStyle name="20% - Accent1 2" xfId="156" xr:uid="{BC2673DE-B975-4ABB-B60D-532B97599997}"/>
    <cellStyle name="20% - Accent1 2 2" xfId="157" xr:uid="{3310FE0C-9B14-426C-B8B9-FB0A3D6BAA4E}"/>
    <cellStyle name="20% - Accent1 2 3" xfId="158" xr:uid="{1B664EBF-D590-4B05-B498-247F08643C71}"/>
    <cellStyle name="20% - Accent1 3" xfId="159" xr:uid="{659E29CD-3160-4C82-AD74-84A10CC907C8}"/>
    <cellStyle name="20% - Accent1 3 2" xfId="160" xr:uid="{7F2B2F19-5E46-46AF-BFB3-74741039C49B}"/>
    <cellStyle name="20% - Accent1 3 3" xfId="161" xr:uid="{155606AA-5179-4AB9-912C-0BE84F892D51}"/>
    <cellStyle name="20% - Accent1 4" xfId="162" xr:uid="{8AD959F8-0F33-4A4F-A917-903FE28A2FF6}"/>
    <cellStyle name="20% - Accent1 4 2" xfId="163" xr:uid="{448FFA48-0C6F-46C0-86BC-0963E1FB6899}"/>
    <cellStyle name="20% - Accent1 4 3" xfId="164" xr:uid="{BCC72A35-0559-4B48-BEF6-65891942F6B6}"/>
    <cellStyle name="20% - Accent1 5" xfId="165" xr:uid="{0C15B309-E4EC-48EA-81B0-7D73250642A8}"/>
    <cellStyle name="20% - Accent1 5 2" xfId="166" xr:uid="{B9AFFFBA-EBAD-4D8F-B32F-7217A9225E7A}"/>
    <cellStyle name="20% - Accent1 5 3" xfId="167" xr:uid="{55A340FA-9AF2-4C5A-ACB9-322DAFFA80A0}"/>
    <cellStyle name="20% - Accent1 6" xfId="168" xr:uid="{BE6D87B6-3927-4280-89C2-FF6AAE5ECB98}"/>
    <cellStyle name="20% - Accent1 6 2" xfId="169" xr:uid="{E8A6E849-37C7-4F65-8DF4-327B1B8237E2}"/>
    <cellStyle name="20% - Accent1 6 3" xfId="170" xr:uid="{7813044D-001A-4DC1-98EA-700562682610}"/>
    <cellStyle name="20% - Accent1 7" xfId="171" xr:uid="{697E0637-C27C-4B58-A941-2FF18E6C4E20}"/>
    <cellStyle name="20% - Accent1 7 2" xfId="172" xr:uid="{6516F6DF-880D-46F3-9AE0-42F4011E0A5F}"/>
    <cellStyle name="20% - Accent1 7 3" xfId="173" xr:uid="{E39FF3A2-B042-420C-AE42-1B268352EADB}"/>
    <cellStyle name="20% - Accent1 8" xfId="174" xr:uid="{44D81FB1-CD9A-4374-8C14-7134CEBEDE98}"/>
    <cellStyle name="20% - Accent1 8 2" xfId="175" xr:uid="{6BF20A9B-53BE-4486-B56F-B99C70784063}"/>
    <cellStyle name="20% - Accent1 8 3" xfId="176" xr:uid="{522DD110-DF9F-4F4A-9F99-7F2DFE391DD6}"/>
    <cellStyle name="20% - Accent1 9" xfId="177" xr:uid="{C2E7131F-4313-4C3A-8E61-0F5177947546}"/>
    <cellStyle name="20% - Accent2 10" xfId="178" xr:uid="{4CCFB0C0-4604-4050-A80B-1395CAB58E64}"/>
    <cellStyle name="20% - Accent2 11" xfId="179" xr:uid="{067FFFC8-20EB-45E0-AD58-D07B80DD03AC}"/>
    <cellStyle name="20% - Accent2 12" xfId="180" xr:uid="{C7A2182C-98DA-4AE9-8A49-46A1C885B3A6}"/>
    <cellStyle name="20% - Accent2 13" xfId="181" xr:uid="{0C0FE3AB-869E-4CA0-8F48-0480CA340D96}"/>
    <cellStyle name="20% - Accent2 14" xfId="182" xr:uid="{0DD1BA69-9D71-401B-AAF9-D9396D04962A}"/>
    <cellStyle name="20% - Accent2 15" xfId="183" xr:uid="{0552921C-E8E1-4401-B943-DBA1C4B02554}"/>
    <cellStyle name="20% - Accent2 2" xfId="184" xr:uid="{C0E3782F-FF2D-4783-A1D7-DB6A4F4F9990}"/>
    <cellStyle name="20% - Accent2 2 2" xfId="185" xr:uid="{23DCF5D3-3816-4907-8089-8A68A5172B1A}"/>
    <cellStyle name="20% - Accent2 2 3" xfId="186" xr:uid="{E4D6206F-F95A-4D2E-80DD-E310538674FB}"/>
    <cellStyle name="20% - Accent2 3" xfId="187" xr:uid="{9B8B7BCA-49F2-4EB7-AEC6-501A79571CCD}"/>
    <cellStyle name="20% - Accent2 3 2" xfId="188" xr:uid="{597BABFD-DBC1-499A-8B4A-4F337C165B5F}"/>
    <cellStyle name="20% - Accent2 3 3" xfId="189" xr:uid="{2EB98F9E-B5FD-40E6-B3E3-3C4B4BBC2B82}"/>
    <cellStyle name="20% - Accent2 4" xfId="190" xr:uid="{8B29A16F-6C73-4C8D-9858-9735C9D95175}"/>
    <cellStyle name="20% - Accent2 4 2" xfId="191" xr:uid="{B2D6E37C-86B7-4C8F-8641-C54BEDFEBB2D}"/>
    <cellStyle name="20% - Accent2 4 3" xfId="192" xr:uid="{008AD39B-90ED-46AF-8035-13FC8EAB68B6}"/>
    <cellStyle name="20% - Accent2 5" xfId="193" xr:uid="{BAC60FC7-F39E-4F03-A58E-DB521809E7BC}"/>
    <cellStyle name="20% - Accent2 5 2" xfId="194" xr:uid="{87D9B613-19D2-426B-9381-7886B7024D5F}"/>
    <cellStyle name="20% - Accent2 5 3" xfId="195" xr:uid="{93AF50C5-6478-4C97-B36D-C7036A8E8096}"/>
    <cellStyle name="20% - Accent2 6" xfId="196" xr:uid="{6F225572-C6EE-4DF3-A55B-475DE20D5FFC}"/>
    <cellStyle name="20% - Accent2 6 2" xfId="197" xr:uid="{D15FF2D9-E975-4FD0-88AD-E0B8A106736C}"/>
    <cellStyle name="20% - Accent2 6 3" xfId="198" xr:uid="{B78C3629-0980-4515-8880-B08BB9FBD59E}"/>
    <cellStyle name="20% - Accent2 7" xfId="199" xr:uid="{9A5E4EFD-9F83-42FC-8E82-97EB7DB720B6}"/>
    <cellStyle name="20% - Accent2 7 2" xfId="200" xr:uid="{C5D8E841-B8E2-49ED-942A-594B8548808A}"/>
    <cellStyle name="20% - Accent2 7 3" xfId="201" xr:uid="{5F715A32-6E2B-45EB-A8B0-317E676F2648}"/>
    <cellStyle name="20% - Accent2 8" xfId="202" xr:uid="{FB21792C-8B36-4F2F-9D21-A8FFACD8E232}"/>
    <cellStyle name="20% - Accent2 8 2" xfId="203" xr:uid="{5098B207-CA65-4DB5-AF30-9CE485620AC8}"/>
    <cellStyle name="20% - Accent2 8 3" xfId="204" xr:uid="{70095730-8311-4ABA-94EB-006D01D022AF}"/>
    <cellStyle name="20% - Accent2 9" xfId="205" xr:uid="{31D27624-BAAB-4E81-B663-A079CA748EA7}"/>
    <cellStyle name="20% - Accent3 10" xfId="206" xr:uid="{16F415DC-73D9-4E51-AAC2-DA30A00D567F}"/>
    <cellStyle name="20% - Accent3 11" xfId="207" xr:uid="{7E87E707-E2C6-45CB-8A50-697FB4D7946B}"/>
    <cellStyle name="20% - Accent3 12" xfId="208" xr:uid="{0414D406-71DE-430A-A42B-2EB325DD696B}"/>
    <cellStyle name="20% - Accent3 13" xfId="209" xr:uid="{F33D95D0-F924-4260-A5D4-5004A15A218A}"/>
    <cellStyle name="20% - Accent3 14" xfId="210" xr:uid="{6130FD70-3CEB-4E93-A698-4E806B6177E9}"/>
    <cellStyle name="20% - Accent3 15" xfId="211" xr:uid="{8E38039F-F3CF-47EE-8553-2C9FE2F12C0C}"/>
    <cellStyle name="20% - Accent3 2" xfId="212" xr:uid="{697585C9-B524-4187-A390-D8F35FFD1B00}"/>
    <cellStyle name="20% - Accent3 2 2" xfId="213" xr:uid="{4325426B-EDF6-4787-B6CE-3B899373CA69}"/>
    <cellStyle name="20% - Accent3 2 3" xfId="214" xr:uid="{8E01729E-F186-4FB2-96AC-B53C06D224E0}"/>
    <cellStyle name="20% - Accent3 3" xfId="215" xr:uid="{4C82ABBD-5A17-4EB8-B20D-E22B470C0D1A}"/>
    <cellStyle name="20% - Accent3 3 2" xfId="216" xr:uid="{9A526B17-2247-48AF-84A0-91FA72BFD05E}"/>
    <cellStyle name="20% - Accent3 3 3" xfId="217" xr:uid="{285AEA50-E19A-4AC4-98E7-6043AC17F157}"/>
    <cellStyle name="20% - Accent3 4" xfId="218" xr:uid="{D0618EBF-BDA3-4BF6-A35B-6A3640AA0F30}"/>
    <cellStyle name="20% - Accent3 4 2" xfId="219" xr:uid="{80D4FFBD-A1BE-4953-A392-1F533C597424}"/>
    <cellStyle name="20% - Accent3 4 3" xfId="220" xr:uid="{C26509EB-AD44-4195-8161-A37886BD5B39}"/>
    <cellStyle name="20% - Accent3 5" xfId="221" xr:uid="{44FCC8F2-3F2A-44CF-8A2C-98AA638E67A6}"/>
    <cellStyle name="20% - Accent3 5 2" xfId="222" xr:uid="{D46E8956-4CBB-4619-BB48-C046420F6E69}"/>
    <cellStyle name="20% - Accent3 5 3" xfId="223" xr:uid="{3BE94395-1FA0-475B-883D-2720D0CAE6F7}"/>
    <cellStyle name="20% - Accent3 6" xfId="224" xr:uid="{36375832-FFAE-4AB2-A565-12F10953D7C8}"/>
    <cellStyle name="20% - Accent3 6 2" xfId="225" xr:uid="{2F5BFB0A-EDFE-477F-8642-C2C17AB1478A}"/>
    <cellStyle name="20% - Accent3 6 3" xfId="226" xr:uid="{98F4CF98-2E31-48A9-9A5D-DD336EC3EDEF}"/>
    <cellStyle name="20% - Accent3 7" xfId="227" xr:uid="{E14628EE-78AD-4D15-B117-D378DAD299B0}"/>
    <cellStyle name="20% - Accent3 7 2" xfId="228" xr:uid="{EA46612A-7E7D-47F4-B302-7E2C97F1EC4F}"/>
    <cellStyle name="20% - Accent3 7 3" xfId="229" xr:uid="{B51D9AA3-B797-4FB4-BF33-143FC896A2D8}"/>
    <cellStyle name="20% - Accent3 8" xfId="230" xr:uid="{E1ABEAD2-9AB2-4B9A-ACDF-20C895DF6E1E}"/>
    <cellStyle name="20% - Accent3 8 2" xfId="231" xr:uid="{3CD9F593-E14E-44FF-9F9F-2E1F40851262}"/>
    <cellStyle name="20% - Accent3 8 3" xfId="232" xr:uid="{18214172-CA97-4B11-94C4-8B7DFA019989}"/>
    <cellStyle name="20% - Accent3 9" xfId="233" xr:uid="{4B290F73-70C5-4607-AE9E-0FE00E60DE25}"/>
    <cellStyle name="20% - Accent4 10" xfId="234" xr:uid="{5C017B38-1FE4-4F5F-B84B-0ECFC61D3224}"/>
    <cellStyle name="20% - Accent4 11" xfId="235" xr:uid="{0C60FEE0-4B2C-49E2-AE50-F45F5EF0D624}"/>
    <cellStyle name="20% - Accent4 12" xfId="236" xr:uid="{098D5187-0A8E-4D9C-9A47-2415B95E0903}"/>
    <cellStyle name="20% - Accent4 13" xfId="237" xr:uid="{F3C048FD-3D68-4ED9-BF16-7A8C646D0195}"/>
    <cellStyle name="20% - Accent4 14" xfId="238" xr:uid="{068DFC47-57BC-4780-B600-C5706A8BC32A}"/>
    <cellStyle name="20% - Accent4 15" xfId="239" xr:uid="{26553250-0A3D-44E2-953C-3B6624E43458}"/>
    <cellStyle name="20% - Accent4 2" xfId="240" xr:uid="{55CE4F54-C080-41FC-A971-0BE3747F79E6}"/>
    <cellStyle name="20% - Accent4 2 2" xfId="241" xr:uid="{DD87D376-B4EC-4390-8A4E-E7AD2659DEFD}"/>
    <cellStyle name="20% - Accent4 2 3" xfId="242" xr:uid="{A64D45BD-6BD0-4826-B0C7-1744E4948875}"/>
    <cellStyle name="20% - Accent4 3" xfId="243" xr:uid="{6EAA9CC5-CBE5-40F4-8327-355CC5F963B6}"/>
    <cellStyle name="20% - Accent4 3 2" xfId="244" xr:uid="{242302CE-6734-4807-91B1-904EECDB2371}"/>
    <cellStyle name="20% - Accent4 3 3" xfId="245" xr:uid="{7472E979-08D4-4954-A731-DB158E7AFBFF}"/>
    <cellStyle name="20% - Accent4 4" xfId="246" xr:uid="{05CE1D1C-4249-429F-BC79-C26530A36D33}"/>
    <cellStyle name="20% - Accent4 4 2" xfId="247" xr:uid="{53D86611-3D23-4435-90A4-222B347B5A27}"/>
    <cellStyle name="20% - Accent4 4 3" xfId="248" xr:uid="{7FBC0665-8671-400D-A673-E64656ACB556}"/>
    <cellStyle name="20% - Accent4 5" xfId="249" xr:uid="{16F5E111-5A75-49C3-93C0-BBA5B768B808}"/>
    <cellStyle name="20% - Accent4 5 2" xfId="250" xr:uid="{9016247E-B667-4A74-9D0E-8E59238A9509}"/>
    <cellStyle name="20% - Accent4 5 3" xfId="251" xr:uid="{49469333-2563-4FF7-A024-DA0285C88BC5}"/>
    <cellStyle name="20% - Accent4 6" xfId="252" xr:uid="{701CF49F-F7CC-4C43-8FA0-A0468E98C85C}"/>
    <cellStyle name="20% - Accent4 6 2" xfId="253" xr:uid="{1729ECDE-E93A-47D5-9A38-87539B49A70F}"/>
    <cellStyle name="20% - Accent4 6 3" xfId="254" xr:uid="{A98FDD5F-94FF-4DB3-BA26-C5A5D2C01558}"/>
    <cellStyle name="20% - Accent4 7" xfId="255" xr:uid="{E46857F1-0767-486F-AD20-22885DCC3E26}"/>
    <cellStyle name="20% - Accent4 7 2" xfId="256" xr:uid="{992C0533-23AB-43A7-BC7A-F7601234FB9B}"/>
    <cellStyle name="20% - Accent4 7 3" xfId="257" xr:uid="{3521BCAC-D7B6-4256-8618-7E9D4BF2ADCF}"/>
    <cellStyle name="20% - Accent4 8" xfId="258" xr:uid="{CCDD440C-B314-4168-BB47-8DABA139988B}"/>
    <cellStyle name="20% - Accent4 8 2" xfId="259" xr:uid="{106AF6DD-1D83-44C0-94D1-B54DE8E9BC09}"/>
    <cellStyle name="20% - Accent4 8 3" xfId="260" xr:uid="{90F969E9-612E-4796-BCC8-3FFFD74DD4B9}"/>
    <cellStyle name="20% - Accent4 9" xfId="261" xr:uid="{E1FD164E-16A2-4840-AAA2-4B3A643E44CB}"/>
    <cellStyle name="20% - Accent5 10" xfId="262" xr:uid="{67E8CA32-ACA3-41C2-86D8-879F124D8F58}"/>
    <cellStyle name="20% - Accent5 11" xfId="263" xr:uid="{F0E06011-34C3-4DA3-8498-1A8EB06C7E46}"/>
    <cellStyle name="20% - Accent5 12" xfId="264" xr:uid="{E7A12FE8-10E5-4BF9-A5BC-76630DE9A1E3}"/>
    <cellStyle name="20% - Accent5 13" xfId="265" xr:uid="{EB1BE822-3406-4245-AC7C-8C0431B8A693}"/>
    <cellStyle name="20% - Accent5 14" xfId="266" xr:uid="{42B953F6-F90D-457B-AE23-5FA71F73ADB5}"/>
    <cellStyle name="20% - Accent5 15" xfId="267" xr:uid="{CCA2BAC4-6D53-4DE6-BE97-69354AFB22CD}"/>
    <cellStyle name="20% - Accent5 2" xfId="268" xr:uid="{42279A0F-B92E-4AC7-83A0-C10BDC1C605B}"/>
    <cellStyle name="20% - Accent5 2 2" xfId="269" xr:uid="{FB808F59-85CC-4366-9160-82A56688A745}"/>
    <cellStyle name="20% - Accent5 2 3" xfId="270" xr:uid="{1B70C8D4-93BD-4E0D-9B6B-ACD5FAB98A7D}"/>
    <cellStyle name="20% - Accent5 3" xfId="271" xr:uid="{40EE29B2-11DA-4EDC-A169-8E7B159DB929}"/>
    <cellStyle name="20% - Accent5 3 2" xfId="272" xr:uid="{77F7005B-6815-4C81-B790-568385640B5C}"/>
    <cellStyle name="20% - Accent5 3 3" xfId="273" xr:uid="{2F462031-6A54-4627-A132-828563D5A8B2}"/>
    <cellStyle name="20% - Accent5 4" xfId="274" xr:uid="{AF50485C-830A-4D88-828D-2DD54FD56C16}"/>
    <cellStyle name="20% - Accent5 4 2" xfId="275" xr:uid="{3A29CE05-8F43-4345-901A-D5D1408757C8}"/>
    <cellStyle name="20% - Accent5 4 3" xfId="276" xr:uid="{0C78983A-C050-4E74-8844-06E31AB27337}"/>
    <cellStyle name="20% - Accent5 5" xfId="277" xr:uid="{A00AE068-A736-4592-9D83-538ACBDCA68E}"/>
    <cellStyle name="20% - Accent5 5 2" xfId="278" xr:uid="{77A63F8B-844E-49BA-A3FB-897DDBFF0C4F}"/>
    <cellStyle name="20% - Accent5 5 3" xfId="279" xr:uid="{00D008AB-1937-42E3-A326-BF973F7AB37D}"/>
    <cellStyle name="20% - Accent5 6" xfId="280" xr:uid="{E6BAD73A-9D40-4BEC-934C-9A53E82C1922}"/>
    <cellStyle name="20% - Accent5 6 2" xfId="281" xr:uid="{229CCE8B-02C5-4F48-A3D0-0E79C448B18E}"/>
    <cellStyle name="20% - Accent5 6 3" xfId="282" xr:uid="{8641AD42-8D77-4C0E-8057-CACCCE8F4A22}"/>
    <cellStyle name="20% - Accent5 7" xfId="283" xr:uid="{0962FEF4-C4EF-4C9F-A1E2-107802D615FB}"/>
    <cellStyle name="20% - Accent5 7 2" xfId="284" xr:uid="{1DBDB14E-FCD6-4141-A2EB-CA0E33D6A0A2}"/>
    <cellStyle name="20% - Accent5 7 3" xfId="285" xr:uid="{6C13ED0A-D477-4948-8FC0-81B684CD8E5A}"/>
    <cellStyle name="20% - Accent5 8" xfId="286" xr:uid="{20FFE6E7-CE71-48A5-8656-76D9F91139A4}"/>
    <cellStyle name="20% - Accent5 8 2" xfId="287" xr:uid="{DB39270F-9E5F-4649-B811-EF8924F79668}"/>
    <cellStyle name="20% - Accent5 8 3" xfId="288" xr:uid="{A06ADD34-3EB4-40F0-AC1C-3E60E6426F1A}"/>
    <cellStyle name="20% - Accent5 9" xfId="289" xr:uid="{3E5C3FD7-E411-4D69-9536-6A8AF00CAD0A}"/>
    <cellStyle name="20% - Accent6 10" xfId="290" xr:uid="{A9E8615D-C25D-482E-AEBE-A1EC85CEF755}"/>
    <cellStyle name="20% - Accent6 11" xfId="291" xr:uid="{85393FC6-36D4-4A1F-940D-CBAC705D9505}"/>
    <cellStyle name="20% - Accent6 12" xfId="292" xr:uid="{9D862CA1-A847-4AFB-94A1-3DA61BCF172E}"/>
    <cellStyle name="20% - Accent6 13" xfId="293" xr:uid="{E7B03F9B-FC20-4A9D-BE03-DE0EAEA3366C}"/>
    <cellStyle name="20% - Accent6 14" xfId="294" xr:uid="{9CB509BC-2840-4443-AE0A-EB9AD765110A}"/>
    <cellStyle name="20% - Accent6 15" xfId="295" xr:uid="{2787DCAB-C085-4BCC-B597-FBE5F0598BB4}"/>
    <cellStyle name="20% - Accent6 2" xfId="296" xr:uid="{8F5A28C9-945D-4C87-ABD5-41EDCE164214}"/>
    <cellStyle name="20% - Accent6 2 2" xfId="297" xr:uid="{717C7FA5-E60E-4C08-9FB6-05C1216C730C}"/>
    <cellStyle name="20% - Accent6 2 3" xfId="298" xr:uid="{168CEE6F-49AD-470A-B45D-9D5F8ED939AD}"/>
    <cellStyle name="20% - Accent6 3" xfId="299" xr:uid="{34970E17-9F07-4EA8-A8B2-BF309BBC85C2}"/>
    <cellStyle name="20% - Accent6 3 2" xfId="300" xr:uid="{357B2473-4510-4C7B-8A13-81444896FAF4}"/>
    <cellStyle name="20% - Accent6 3 3" xfId="301" xr:uid="{12FEBA26-A66D-4398-B8C9-4138CEF954C2}"/>
    <cellStyle name="20% - Accent6 4" xfId="302" xr:uid="{5C16D6A3-E8FF-494E-B232-0EFBA2E4686E}"/>
    <cellStyle name="20% - Accent6 4 2" xfId="303" xr:uid="{2B594024-E40C-48DB-816F-F96594EEE5EE}"/>
    <cellStyle name="20% - Accent6 4 3" xfId="304" xr:uid="{7CFCFA49-4936-4399-ACC6-84EB57446C5E}"/>
    <cellStyle name="20% - Accent6 5" xfId="305" xr:uid="{3CEA5A02-2080-4369-BE4E-3C14B6F00FC6}"/>
    <cellStyle name="20% - Accent6 5 2" xfId="306" xr:uid="{27D140C6-A0BD-4095-9338-6B3F9C0B62A1}"/>
    <cellStyle name="20% - Accent6 5 3" xfId="307" xr:uid="{FC09C685-9561-47BE-8352-5A31446E23CD}"/>
    <cellStyle name="20% - Accent6 6" xfId="308" xr:uid="{A06A8537-B9BC-4903-8AB3-F878E6968D38}"/>
    <cellStyle name="20% - Accent6 6 2" xfId="309" xr:uid="{C95B9B7B-677F-4A32-8992-6A2D741E3C10}"/>
    <cellStyle name="20% - Accent6 6 3" xfId="310" xr:uid="{AD612942-6E84-4389-848A-D2001E8E0A05}"/>
    <cellStyle name="20% - Accent6 7" xfId="311" xr:uid="{98048B56-A795-4FB3-BA9C-7CDDD0779403}"/>
    <cellStyle name="20% - Accent6 7 2" xfId="312" xr:uid="{BFFCFC48-1B46-4BFE-8ADC-E170C7375962}"/>
    <cellStyle name="20% - Accent6 7 3" xfId="313" xr:uid="{BFD03BFD-4455-427F-A82C-1935AAB18B94}"/>
    <cellStyle name="20% - Accent6 8" xfId="314" xr:uid="{90917903-749D-4D7D-9FC8-50853B8F8F01}"/>
    <cellStyle name="20% - Accent6 8 2" xfId="315" xr:uid="{CC31D0DB-B819-41B1-90BB-8FFD281172A6}"/>
    <cellStyle name="20% - Accent6 8 3" xfId="316" xr:uid="{A4A4EEE1-EAEB-464B-8DB3-BF766300FC2F}"/>
    <cellStyle name="20% - Accent6 9" xfId="317" xr:uid="{3A17C437-AA9F-41A7-AFF0-97BA33251F8F}"/>
    <cellStyle name="40% - Accent1 10" xfId="318" xr:uid="{3DED4B8F-EA0F-4B65-8CB6-AB231081DBBF}"/>
    <cellStyle name="40% - Accent1 11" xfId="319" xr:uid="{2FF99075-B148-4650-867F-7B094186F40F}"/>
    <cellStyle name="40% - Accent1 12" xfId="320" xr:uid="{FA67E3F2-1945-442C-8949-381C9A0DF2C0}"/>
    <cellStyle name="40% - Accent1 13" xfId="321" xr:uid="{998F4CD0-CA62-4176-8831-02751FF19183}"/>
    <cellStyle name="40% - Accent1 14" xfId="322" xr:uid="{B8545E02-1DAD-43BC-99F9-0446B7757636}"/>
    <cellStyle name="40% - Accent1 15" xfId="323" xr:uid="{24B98087-EE62-4F41-927F-C8F7C582668B}"/>
    <cellStyle name="40% - Accent1 2" xfId="324" xr:uid="{9038242F-FA62-4593-8C38-6A2069BD9933}"/>
    <cellStyle name="40% - Accent1 2 2" xfId="325" xr:uid="{036A3164-DEE8-46D8-973F-84358A0E29BE}"/>
    <cellStyle name="40% - Accent1 2 3" xfId="326" xr:uid="{446AC086-4868-49D7-A329-B06AAA620088}"/>
    <cellStyle name="40% - Accent1 3" xfId="327" xr:uid="{690E8B57-6947-4DF8-B59D-C5FADE4917B3}"/>
    <cellStyle name="40% - Accent1 3 2" xfId="328" xr:uid="{C5FDEB9D-96FB-43BF-8D96-CC2B9B4F17EA}"/>
    <cellStyle name="40% - Accent1 3 3" xfId="329" xr:uid="{BDC8B274-AD58-428A-A042-DCF6B4CC2E82}"/>
    <cellStyle name="40% - Accent1 4" xfId="330" xr:uid="{106A3787-6DB6-4C09-B284-233937EB0BE7}"/>
    <cellStyle name="40% - Accent1 4 2" xfId="331" xr:uid="{33F1B381-0A74-44AC-A8BC-EA46BD1C7325}"/>
    <cellStyle name="40% - Accent1 4 3" xfId="332" xr:uid="{F2968622-8C61-4406-9FEC-DEAE38F3C53B}"/>
    <cellStyle name="40% - Accent1 5" xfId="333" xr:uid="{200B68C3-3391-4A5A-96AB-85C35501483E}"/>
    <cellStyle name="40% - Accent1 5 2" xfId="334" xr:uid="{436FFE48-DC5E-4864-A16B-F14F1FC27CED}"/>
    <cellStyle name="40% - Accent1 5 3" xfId="335" xr:uid="{290C7F82-FC4C-4AFF-9A96-ADC22CCBBDE0}"/>
    <cellStyle name="40% - Accent1 6" xfId="336" xr:uid="{F51E1889-DBEB-49F1-950D-0FE5ADF2FCE2}"/>
    <cellStyle name="40% - Accent1 6 2" xfId="337" xr:uid="{D80EC663-38D7-4A6D-A28E-6B4377F690FA}"/>
    <cellStyle name="40% - Accent1 6 3" xfId="338" xr:uid="{6D9A2126-8BAD-4A1C-9515-6AA2A08CF804}"/>
    <cellStyle name="40% - Accent1 7" xfId="339" xr:uid="{7FB91E02-7FBC-4067-8EA8-ED5CD5538ABA}"/>
    <cellStyle name="40% - Accent1 7 2" xfId="340" xr:uid="{A7D625A7-20C5-4810-B756-A436F337EB92}"/>
    <cellStyle name="40% - Accent1 7 3" xfId="341" xr:uid="{AD237E94-67D2-4305-AE96-796A8B19FB45}"/>
    <cellStyle name="40% - Accent1 8" xfId="342" xr:uid="{2DDDEB45-2E61-470F-9479-FD5507724FF9}"/>
    <cellStyle name="40% - Accent1 8 2" xfId="343" xr:uid="{E4C6A27E-6A31-4846-9DAC-D2E6CD08F4B1}"/>
    <cellStyle name="40% - Accent1 8 3" xfId="344" xr:uid="{C091AA37-84E8-4E60-BD4C-6AE94F6A095D}"/>
    <cellStyle name="40% - Accent1 9" xfId="345" xr:uid="{0128BB3A-EAAC-4240-9565-23627320EF76}"/>
    <cellStyle name="40% - Accent2 10" xfId="346" xr:uid="{6488B99C-A6CC-4E99-9C4F-0E56BDBD254D}"/>
    <cellStyle name="40% - Accent2 11" xfId="347" xr:uid="{5767EEB3-29DE-4A9E-9534-3E7D7EE69480}"/>
    <cellStyle name="40% - Accent2 12" xfId="348" xr:uid="{20240D1E-A787-4464-8BB9-5D5A49BA089A}"/>
    <cellStyle name="40% - Accent2 13" xfId="349" xr:uid="{21CFF896-F09F-4FE1-B0BB-39FA1F2C7BD0}"/>
    <cellStyle name="40% - Accent2 14" xfId="350" xr:uid="{1F1A8090-40CC-4740-B3F4-600C8166C9EA}"/>
    <cellStyle name="40% - Accent2 15" xfId="351" xr:uid="{F52B171B-46C2-460D-91ED-1CAC514DB185}"/>
    <cellStyle name="40% - Accent2 2" xfId="352" xr:uid="{27B585D4-C461-4894-8642-7BC5751AF895}"/>
    <cellStyle name="40% - Accent2 2 2" xfId="353" xr:uid="{791453AE-A9F4-4056-AB95-9FE8434B2028}"/>
    <cellStyle name="40% - Accent2 2 3" xfId="354" xr:uid="{E1EFF127-6E1C-4D3A-AD5C-83B97435E9D2}"/>
    <cellStyle name="40% - Accent2 3" xfId="355" xr:uid="{ABC5BAD3-15DA-4970-A200-565B9785B469}"/>
    <cellStyle name="40% - Accent2 3 2" xfId="356" xr:uid="{2D71E8D8-2BCD-46C3-BE1E-E29DBEECE69F}"/>
    <cellStyle name="40% - Accent2 3 3" xfId="357" xr:uid="{26933637-E52C-49B0-AEAA-075F5E38B7F3}"/>
    <cellStyle name="40% - Accent2 4" xfId="358" xr:uid="{570C18EC-603F-4865-B52C-2EF540BCF0B2}"/>
    <cellStyle name="40% - Accent2 4 2" xfId="359" xr:uid="{6948AF20-01EA-48C0-BF49-99C9ABBF79D0}"/>
    <cellStyle name="40% - Accent2 4 3" xfId="360" xr:uid="{5BAC9EE9-2848-4A08-ACCA-A05CB5574D15}"/>
    <cellStyle name="40% - Accent2 5" xfId="361" xr:uid="{4D41B146-0D51-40CA-8ED9-991A02D9B48F}"/>
    <cellStyle name="40% - Accent2 5 2" xfId="362" xr:uid="{6385C521-09A4-49EC-B7DA-99FB6CB72012}"/>
    <cellStyle name="40% - Accent2 5 3" xfId="363" xr:uid="{9F0DE297-7CA9-4B54-9C11-260782FCC5EE}"/>
    <cellStyle name="40% - Accent2 6" xfId="364" xr:uid="{58520610-42AB-4CEF-B545-19402715CED7}"/>
    <cellStyle name="40% - Accent2 6 2" xfId="365" xr:uid="{867CA6A4-BECD-460B-871A-0F6605442079}"/>
    <cellStyle name="40% - Accent2 6 3" xfId="366" xr:uid="{18BF80C3-72D4-43F5-AC72-64BFBB91F91D}"/>
    <cellStyle name="40% - Accent2 7" xfId="367" xr:uid="{75C88B10-0AD7-4EEC-AD40-9B156A476FBF}"/>
    <cellStyle name="40% - Accent2 7 2" xfId="368" xr:uid="{1A3887CB-A93E-419C-A122-4B2BD2E4F2C7}"/>
    <cellStyle name="40% - Accent2 7 3" xfId="369" xr:uid="{1C251C6E-ABE6-448A-B57E-C7083B791E3D}"/>
    <cellStyle name="40% - Accent2 8" xfId="370" xr:uid="{A0C7BFCA-F680-4164-95A2-107C0007983C}"/>
    <cellStyle name="40% - Accent2 8 2" xfId="371" xr:uid="{0AC5AB99-5588-45E9-8EA5-7859BD702709}"/>
    <cellStyle name="40% - Accent2 8 3" xfId="372" xr:uid="{4EE414BD-5294-4A2F-9687-3EFF9FFC6516}"/>
    <cellStyle name="40% - Accent2 9" xfId="373" xr:uid="{EC836560-0825-466B-9472-FE22238EE6FE}"/>
    <cellStyle name="40% - Accent3 10" xfId="374" xr:uid="{365C2CE5-4187-47BA-91F8-BDB47503FF93}"/>
    <cellStyle name="40% - Accent3 11" xfId="375" xr:uid="{AAF832EA-1454-4870-A230-ADBD67968850}"/>
    <cellStyle name="40% - Accent3 12" xfId="376" xr:uid="{FEB2C746-578A-49CA-913F-63D5DC916B6D}"/>
    <cellStyle name="40% - Accent3 13" xfId="377" xr:uid="{86DD17B5-63D8-46FD-95CE-6EAAC9BFF65A}"/>
    <cellStyle name="40% - Accent3 14" xfId="378" xr:uid="{A36BCD2B-DB33-4D62-AD4E-1DACFC725267}"/>
    <cellStyle name="40% - Accent3 15" xfId="379" xr:uid="{5A678ECF-E948-471C-A1FD-DAE62DD8C12C}"/>
    <cellStyle name="40% - Accent3 2" xfId="380" xr:uid="{1AE4D68D-6040-47A4-A2DF-F4CEB28EECBF}"/>
    <cellStyle name="40% - Accent3 2 2" xfId="381" xr:uid="{4FC1E925-B348-487D-ABF5-2E84F89A1C23}"/>
    <cellStyle name="40% - Accent3 2 3" xfId="382" xr:uid="{015D9CA5-21E5-49E9-90CF-625A46B7DF0F}"/>
    <cellStyle name="40% - Accent3 3" xfId="383" xr:uid="{1D258263-BDA0-4D42-9DA1-A7CF350B7E32}"/>
    <cellStyle name="40% - Accent3 3 2" xfId="384" xr:uid="{E1295E23-06EA-49DB-BCCE-501BC9F1C5B9}"/>
    <cellStyle name="40% - Accent3 3 3" xfId="385" xr:uid="{A32138F9-4A0F-4EC3-B8DC-807D9B0AFD43}"/>
    <cellStyle name="40% - Accent3 4" xfId="386" xr:uid="{E0B6FB4E-152C-4F0A-889A-2531BFDCDB81}"/>
    <cellStyle name="40% - Accent3 4 2" xfId="387" xr:uid="{A3A229C4-54A1-43AE-890F-89416BC351A4}"/>
    <cellStyle name="40% - Accent3 4 3" xfId="388" xr:uid="{6A73D82F-7025-40FF-9FD9-7353BB3BB781}"/>
    <cellStyle name="40% - Accent3 5" xfId="389" xr:uid="{C989B91E-60D6-4394-A0D0-F0FBCC5534B0}"/>
    <cellStyle name="40% - Accent3 5 2" xfId="390" xr:uid="{7A06A832-1476-4749-AF1A-7847B77D6A75}"/>
    <cellStyle name="40% - Accent3 5 3" xfId="391" xr:uid="{D35C1FA8-0EA3-45AA-A226-0D2ADB87F85B}"/>
    <cellStyle name="40% - Accent3 6" xfId="392" xr:uid="{3DC3CA20-6B8C-4E41-92EB-5FF8D8AA1C8C}"/>
    <cellStyle name="40% - Accent3 6 2" xfId="393" xr:uid="{DF4F1F2E-4690-4A04-A57E-5E91D6F53DCE}"/>
    <cellStyle name="40% - Accent3 6 3" xfId="394" xr:uid="{4B4B5F89-9F91-4DF4-B287-5A586E4FFA39}"/>
    <cellStyle name="40% - Accent3 7" xfId="395" xr:uid="{3FF4FE36-10E0-46AC-B98B-EA1ECB79EFFA}"/>
    <cellStyle name="40% - Accent3 7 2" xfId="396" xr:uid="{92AB5942-98E7-4AC1-9B81-942CA3481C38}"/>
    <cellStyle name="40% - Accent3 7 3" xfId="397" xr:uid="{520BC010-E79E-4BD1-A722-F7EEE96B8239}"/>
    <cellStyle name="40% - Accent3 8" xfId="398" xr:uid="{F536B179-2BFD-4E8C-9EE8-186C6F9E255F}"/>
    <cellStyle name="40% - Accent3 8 2" xfId="399" xr:uid="{581C5971-0AE6-4408-AE82-E53E35148A7F}"/>
    <cellStyle name="40% - Accent3 8 3" xfId="400" xr:uid="{7574400F-5BCA-4494-B672-49A6F332D918}"/>
    <cellStyle name="40% - Accent3 9" xfId="401" xr:uid="{AA3984CA-AC47-4069-917C-57F3B4C981E8}"/>
    <cellStyle name="40% - Accent4 10" xfId="402" xr:uid="{EA672724-3141-4DFD-84C5-8300940C0D6F}"/>
    <cellStyle name="40% - Accent4 11" xfId="403" xr:uid="{EA0C520A-29A2-41CD-A51F-0246F3868FF0}"/>
    <cellStyle name="40% - Accent4 12" xfId="404" xr:uid="{2C5581CA-3C95-4E91-B653-D8E03AB25907}"/>
    <cellStyle name="40% - Accent4 13" xfId="405" xr:uid="{D9942961-276C-41EA-8B7D-4739632EEDBA}"/>
    <cellStyle name="40% - Accent4 14" xfId="406" xr:uid="{73D6215C-AAF9-4C63-A747-85D8E2B95A36}"/>
    <cellStyle name="40% - Accent4 15" xfId="407" xr:uid="{7279B7DF-34BC-4C58-AC90-0916321D9222}"/>
    <cellStyle name="40% - Accent4 2" xfId="408" xr:uid="{668866B0-D220-4F69-A3BC-AE6E0B4A4A64}"/>
    <cellStyle name="40% - Accent4 2 2" xfId="409" xr:uid="{82C37A18-8147-4D9E-B411-6CED2E6C5CA6}"/>
    <cellStyle name="40% - Accent4 2 3" xfId="410" xr:uid="{33DCE652-7CFF-4A34-BEE5-76DFDC9DB92F}"/>
    <cellStyle name="40% - Accent4 3" xfId="411" xr:uid="{E2763699-0AF9-4638-BEE7-AA1A80906994}"/>
    <cellStyle name="40% - Accent4 3 2" xfId="412" xr:uid="{4E90575F-10AC-4F74-8778-9B7B5B780D68}"/>
    <cellStyle name="40% - Accent4 3 3" xfId="413" xr:uid="{A697C165-C8F7-40D1-9334-72879AD79A02}"/>
    <cellStyle name="40% - Accent4 4" xfId="414" xr:uid="{8659517C-3B7A-422C-BD79-3028DCB586C9}"/>
    <cellStyle name="40% - Accent4 4 2" xfId="415" xr:uid="{B884BF15-D0F0-4EE7-B4E0-CC5DE818A392}"/>
    <cellStyle name="40% - Accent4 4 3" xfId="416" xr:uid="{7F3865CF-F778-4445-8BF0-231C3694D978}"/>
    <cellStyle name="40% - Accent4 5" xfId="417" xr:uid="{767B1AB7-9AF3-4A0F-BC47-B14CBFF95F94}"/>
    <cellStyle name="40% - Accent4 5 2" xfId="418" xr:uid="{7BFE5D9B-B40A-4802-8B52-0ED646424939}"/>
    <cellStyle name="40% - Accent4 5 3" xfId="419" xr:uid="{07CA6C10-659B-44BD-9020-CA55C1EB66FA}"/>
    <cellStyle name="40% - Accent4 6" xfId="420" xr:uid="{D5FFC929-6974-487E-A60C-41ACB036E139}"/>
    <cellStyle name="40% - Accent4 6 2" xfId="421" xr:uid="{CCE82C91-7CD5-4066-8CE2-BBB124A96160}"/>
    <cellStyle name="40% - Accent4 6 3" xfId="422" xr:uid="{3638DEE1-AFAD-4A41-9F8B-D528AB3AA3B4}"/>
    <cellStyle name="40% - Accent4 7" xfId="423" xr:uid="{6533F7CB-BC1F-4D5D-8A99-D6DB6041E777}"/>
    <cellStyle name="40% - Accent4 7 2" xfId="424" xr:uid="{F80949B0-098A-45CF-BDBE-E3DEB7F84983}"/>
    <cellStyle name="40% - Accent4 7 3" xfId="425" xr:uid="{3E1EC369-AF15-48FA-B9AF-C8B85FB44D9F}"/>
    <cellStyle name="40% - Accent4 8" xfId="426" xr:uid="{58566FD8-8FD7-4942-BA48-260853DDA464}"/>
    <cellStyle name="40% - Accent4 8 2" xfId="427" xr:uid="{62FD8D0E-1E69-4370-937D-DDB404E561DB}"/>
    <cellStyle name="40% - Accent4 8 3" xfId="428" xr:uid="{AE02F01C-7B45-42A8-935C-192AA6D302BB}"/>
    <cellStyle name="40% - Accent4 9" xfId="429" xr:uid="{639830E4-174B-47BF-8A47-A0FA0883E6FD}"/>
    <cellStyle name="40% - Accent5 10" xfId="430" xr:uid="{BBBF2756-D8E4-4483-A3C7-333B6B0FCF30}"/>
    <cellStyle name="40% - Accent5 11" xfId="431" xr:uid="{F628911E-4887-4A14-8E5A-E236DB7EC184}"/>
    <cellStyle name="40% - Accent5 12" xfId="432" xr:uid="{357158FF-3ACA-473F-BC42-F7E851DAFF31}"/>
    <cellStyle name="40% - Accent5 13" xfId="433" xr:uid="{19BD9FA7-8B79-47E7-9806-4EF18101B1FF}"/>
    <cellStyle name="40% - Accent5 14" xfId="434" xr:uid="{54159C51-FF5E-4D27-9552-AFB9E76E547B}"/>
    <cellStyle name="40% - Accent5 15" xfId="435" xr:uid="{ABB2286A-AB7B-4D0F-88C5-B171391E633B}"/>
    <cellStyle name="40% - Accent5 2" xfId="436" xr:uid="{01A3BD02-9EAF-4ED3-ACB1-A263F55ACBA7}"/>
    <cellStyle name="40% - Accent5 2 2" xfId="437" xr:uid="{6B431E75-29FF-40AC-AF8D-8A87342707F1}"/>
    <cellStyle name="40% - Accent5 2 3" xfId="438" xr:uid="{2C786B34-B28B-43F3-8EF6-5859DC67684A}"/>
    <cellStyle name="40% - Accent5 3" xfId="439" xr:uid="{171FC76B-6C58-4011-BAA5-6A90D03C7737}"/>
    <cellStyle name="40% - Accent5 3 2" xfId="440" xr:uid="{71654CCE-1A86-4FE9-9EA0-3F1A59DFA175}"/>
    <cellStyle name="40% - Accent5 3 3" xfId="441" xr:uid="{87D8CDEE-E238-4E5F-A4F5-C7419D5C0797}"/>
    <cellStyle name="40% - Accent5 4" xfId="442" xr:uid="{1FDA7F48-44DB-40C5-BE78-AC3E34646F86}"/>
    <cellStyle name="40% - Accent5 4 2" xfId="443" xr:uid="{9E93974F-1A9C-404A-963E-BDD0BFD443C4}"/>
    <cellStyle name="40% - Accent5 4 3" xfId="444" xr:uid="{9C320BF2-0370-4E06-A95E-B52E4131094E}"/>
    <cellStyle name="40% - Accent5 5" xfId="445" xr:uid="{4338A5CB-A920-40DF-A10E-F5A9C2295194}"/>
    <cellStyle name="40% - Accent5 5 2" xfId="446" xr:uid="{DC0E268A-C27C-4F26-A898-C3A99DAAFD3F}"/>
    <cellStyle name="40% - Accent5 5 3" xfId="447" xr:uid="{F7233F23-DE35-4642-BE1C-513432BD7295}"/>
    <cellStyle name="40% - Accent5 6" xfId="448" xr:uid="{322BB51B-376D-4B9F-9272-375BC31ACEB0}"/>
    <cellStyle name="40% - Accent5 6 2" xfId="449" xr:uid="{DCFEE65F-74D8-43EF-93C6-16F26F188BC5}"/>
    <cellStyle name="40% - Accent5 6 3" xfId="450" xr:uid="{FECB534F-622D-4703-8FA3-D9E7442D323D}"/>
    <cellStyle name="40% - Accent5 7" xfId="451" xr:uid="{E28856A1-CBA1-4B25-B2B0-77BCFE7E0C0D}"/>
    <cellStyle name="40% - Accent5 7 2" xfId="452" xr:uid="{F947C450-963C-48A0-BAA7-CFB8560A3CE6}"/>
    <cellStyle name="40% - Accent5 7 3" xfId="453" xr:uid="{9AFE37C5-36B9-4179-B0DB-7AF091A9159B}"/>
    <cellStyle name="40% - Accent5 8" xfId="454" xr:uid="{3818C6C9-E89E-442C-AFC3-4B98C55B3A17}"/>
    <cellStyle name="40% - Accent5 8 2" xfId="455" xr:uid="{652A57A1-C7C6-44C1-A01E-DF5ACEC5A485}"/>
    <cellStyle name="40% - Accent5 8 3" xfId="456" xr:uid="{F6C3C0F8-FD54-40AE-B52D-8931E4CA90EF}"/>
    <cellStyle name="40% - Accent5 9" xfId="457" xr:uid="{337A5AC4-FD1F-4B39-BA70-7AC7AAF3480F}"/>
    <cellStyle name="40% - Accent6 10" xfId="458" xr:uid="{3F66CC62-7027-471E-A8EB-6D59C58C76DD}"/>
    <cellStyle name="40% - Accent6 11" xfId="459" xr:uid="{E22C334A-E4C9-42E0-BC60-E4D94CF10404}"/>
    <cellStyle name="40% - Accent6 12" xfId="460" xr:uid="{7404366B-6871-4B50-98C8-E9132007342B}"/>
    <cellStyle name="40% - Accent6 13" xfId="461" xr:uid="{86A67B56-5CBF-48CD-9BEA-1F6731A075EC}"/>
    <cellStyle name="40% - Accent6 14" xfId="462" xr:uid="{893603EB-C8AC-4031-96A3-960568B420C9}"/>
    <cellStyle name="40% - Accent6 15" xfId="463" xr:uid="{313405F5-5406-411F-8022-A8F1DAF782D3}"/>
    <cellStyle name="40% - Accent6 2" xfId="464" xr:uid="{B7B48865-5BCF-41F4-8654-66DECFD918C6}"/>
    <cellStyle name="40% - Accent6 2 2" xfId="465" xr:uid="{A0876B9D-2EA0-4138-8ADA-4ADA11A9939B}"/>
    <cellStyle name="40% - Accent6 2 3" xfId="466" xr:uid="{CB55EFDB-05FD-44F8-9EDB-155C23805BF4}"/>
    <cellStyle name="40% - Accent6 3" xfId="467" xr:uid="{EB0274D4-B889-45FC-A3E1-466EDA414D2A}"/>
    <cellStyle name="40% - Accent6 3 2" xfId="468" xr:uid="{06499084-0DA2-4F16-886A-100E2843BD51}"/>
    <cellStyle name="40% - Accent6 3 3" xfId="469" xr:uid="{AE2DC591-F2C7-4F3F-A6B7-3BA925069B73}"/>
    <cellStyle name="40% - Accent6 4" xfId="470" xr:uid="{05D1CF95-9837-48EE-AA3A-DE2712F3CC64}"/>
    <cellStyle name="40% - Accent6 4 2" xfId="471" xr:uid="{4B3E4360-0BC4-4511-9F41-ACFD104085CC}"/>
    <cellStyle name="40% - Accent6 4 3" xfId="472" xr:uid="{E7503C42-5E90-4C12-AB2F-7AD157B89494}"/>
    <cellStyle name="40% - Accent6 5" xfId="473" xr:uid="{628D2CDC-34D1-477A-9326-170F613EBE5A}"/>
    <cellStyle name="40% - Accent6 5 2" xfId="474" xr:uid="{0FFD2460-1BB4-4DD3-BFF8-FFB041B616BC}"/>
    <cellStyle name="40% - Accent6 5 3" xfId="475" xr:uid="{E2BDA785-212D-4A0E-A096-A5018AA21A61}"/>
    <cellStyle name="40% - Accent6 6" xfId="476" xr:uid="{DFD02460-9C3F-49E5-A437-1F08251C3B33}"/>
    <cellStyle name="40% - Accent6 6 2" xfId="477" xr:uid="{0ECBF095-ED1F-45D0-B10F-1248C8EA2C25}"/>
    <cellStyle name="40% - Accent6 6 3" xfId="478" xr:uid="{F4A81EE7-BD1E-4CE6-9333-8583AF90A829}"/>
    <cellStyle name="40% - Accent6 7" xfId="479" xr:uid="{14C0B9C4-CCAD-4786-946A-AEE8AC6E1BB2}"/>
    <cellStyle name="40% - Accent6 7 2" xfId="480" xr:uid="{BAD0E955-420F-4DEF-8F22-54A1DAF69D6A}"/>
    <cellStyle name="40% - Accent6 7 3" xfId="481" xr:uid="{0778334A-A8E3-4924-B1CD-3EE6CEBAB73F}"/>
    <cellStyle name="40% - Accent6 8" xfId="482" xr:uid="{58435BB3-FFF7-477C-A2BF-F8C2BE1DEFDA}"/>
    <cellStyle name="40% - Accent6 8 2" xfId="483" xr:uid="{CDD92E5C-E9D5-40B9-A301-EF0E2FD5EA27}"/>
    <cellStyle name="40% - Accent6 8 3" xfId="484" xr:uid="{955F2CCE-93B9-4022-B051-BDF600F2F420}"/>
    <cellStyle name="40% - Accent6 9" xfId="485" xr:uid="{AC8518E8-5160-4054-B2AC-6181C5D8B92C}"/>
    <cellStyle name="60% - Accent1 10" xfId="486" xr:uid="{84F9E329-4BFE-4CD6-B009-AF241EE801D4}"/>
    <cellStyle name="60% - Accent1 11" xfId="487" xr:uid="{32C944D4-7BF6-4D77-8844-C8F5EAEBA0F8}"/>
    <cellStyle name="60% - Accent1 12" xfId="488" xr:uid="{B5037F0A-F977-4600-871D-E2455305CD78}"/>
    <cellStyle name="60% - Accent1 13" xfId="489" xr:uid="{18CC3ED1-4BA0-4E67-941E-5738848F4436}"/>
    <cellStyle name="60% - Accent1 14" xfId="490" xr:uid="{1542514F-9AA8-4139-A420-E75A6B5C1CF8}"/>
    <cellStyle name="60% - Accent1 15" xfId="491" xr:uid="{A5B61FD0-8C96-42AA-A12D-242DE830F7F2}"/>
    <cellStyle name="60% - Accent1 2" xfId="492" xr:uid="{A6D69069-07D0-47DC-8474-C0CEB88B6242}"/>
    <cellStyle name="60% - Accent1 2 2" xfId="493" xr:uid="{534DBB89-917B-44A7-A9D0-32594F88E5BA}"/>
    <cellStyle name="60% - Accent1 2 3" xfId="494" xr:uid="{828B3584-1645-43BB-935D-7F5A1FDB79A2}"/>
    <cellStyle name="60% - Accent1 3" xfId="495" xr:uid="{76808FAB-7AF8-4484-96AE-756516EEC7FE}"/>
    <cellStyle name="60% - Accent1 3 2" xfId="496" xr:uid="{497FF6B7-F108-4B45-B13C-15BFAAB3D62B}"/>
    <cellStyle name="60% - Accent1 3 3" xfId="497" xr:uid="{9BDE175E-5D3F-4FD7-9216-D7AACB29BB5B}"/>
    <cellStyle name="60% - Accent1 4" xfId="498" xr:uid="{02B19F9E-B585-42AD-B5CC-3CBE946189E1}"/>
    <cellStyle name="60% - Accent1 4 2" xfId="499" xr:uid="{447AE63B-99B6-407A-86E9-FA969CFF54B6}"/>
    <cellStyle name="60% - Accent1 4 3" xfId="500" xr:uid="{AF4CD589-7708-4139-A351-6168B0696153}"/>
    <cellStyle name="60% - Accent1 5" xfId="501" xr:uid="{7F5541C6-113D-43D4-8913-2578709BC849}"/>
    <cellStyle name="60% - Accent1 5 2" xfId="502" xr:uid="{75D88239-03C4-40A2-B704-AAC9299BAEF0}"/>
    <cellStyle name="60% - Accent1 5 3" xfId="503" xr:uid="{CA7D8ED2-1C65-48EC-818C-B48303A0E7BA}"/>
    <cellStyle name="60% - Accent1 6" xfId="504" xr:uid="{BC438F77-3D36-4E92-8278-30C3AB276469}"/>
    <cellStyle name="60% - Accent1 6 2" xfId="505" xr:uid="{F9A36A15-8536-4741-B8B0-056C88AC699C}"/>
    <cellStyle name="60% - Accent1 6 3" xfId="506" xr:uid="{E08D72F9-42A5-47EC-8AAB-61F19C5527A1}"/>
    <cellStyle name="60% - Accent1 7" xfId="507" xr:uid="{998E6653-9384-450B-82F0-CF2B7F623FBF}"/>
    <cellStyle name="60% - Accent1 7 2" xfId="508" xr:uid="{8568868C-B93B-455D-9D94-AB8CF8DDFBA3}"/>
    <cellStyle name="60% - Accent1 7 3" xfId="509" xr:uid="{CBA19EA5-A8D0-42C4-90AF-AAFEE96B5136}"/>
    <cellStyle name="60% - Accent1 8" xfId="510" xr:uid="{2BBE73B9-2322-4017-95F6-7E8729E6EBFA}"/>
    <cellStyle name="60% - Accent1 8 2" xfId="511" xr:uid="{03D39BCF-3FC7-4130-AF2C-842E82764488}"/>
    <cellStyle name="60% - Accent1 8 3" xfId="512" xr:uid="{0D3E0CC8-2A80-49BF-B4F0-B9AEC7930878}"/>
    <cellStyle name="60% - Accent1 9" xfId="513" xr:uid="{DEBA69D9-9809-4FC0-AC14-96A0F44DD626}"/>
    <cellStyle name="60% - Accent2 10" xfId="514" xr:uid="{BE745B2B-2657-4DB7-BB9A-A237659DFD89}"/>
    <cellStyle name="60% - Accent2 11" xfId="515" xr:uid="{A8689887-4ABC-48D2-95BA-3706CF036F83}"/>
    <cellStyle name="60% - Accent2 12" xfId="516" xr:uid="{DD881681-A135-4C88-87A2-DB88D2BA9C3A}"/>
    <cellStyle name="60% - Accent2 13" xfId="517" xr:uid="{1CF1CD6A-5790-4F93-BE96-59934D22FD43}"/>
    <cellStyle name="60% - Accent2 14" xfId="518" xr:uid="{FA0E6CC2-024B-4210-B6DA-13BFE82EACD9}"/>
    <cellStyle name="60% - Accent2 15" xfId="519" xr:uid="{11075C38-97C3-4699-A9D9-42AD2DB3715A}"/>
    <cellStyle name="60% - Accent2 2" xfId="520" xr:uid="{956B451F-F841-4408-B835-44FED52292DB}"/>
    <cellStyle name="60% - Accent2 2 2" xfId="521" xr:uid="{1A3611F6-C795-496D-8228-2D9B2C2CD47D}"/>
    <cellStyle name="60% - Accent2 2 3" xfId="522" xr:uid="{6C652268-14F1-4E5B-904C-7338EBACB808}"/>
    <cellStyle name="60% - Accent2 3" xfId="523" xr:uid="{1D8D5307-57F9-4830-8AE6-6E077605624E}"/>
    <cellStyle name="60% - Accent2 3 2" xfId="524" xr:uid="{6B3ED571-1F55-4097-A6EC-031AA41F7006}"/>
    <cellStyle name="60% - Accent2 3 3" xfId="525" xr:uid="{AA0272E4-D31C-43C5-BFEC-6602D8D3C56B}"/>
    <cellStyle name="60% - Accent2 4" xfId="526" xr:uid="{27B6053B-7DF2-4BDD-9B37-309AF2A374A3}"/>
    <cellStyle name="60% - Accent2 4 2" xfId="527" xr:uid="{8D557DA0-4DF3-4877-A887-BCCC33E32711}"/>
    <cellStyle name="60% - Accent2 4 3" xfId="528" xr:uid="{A06A61F4-0CE7-40FA-9110-8C4F5E5AEBAF}"/>
    <cellStyle name="60% - Accent2 5" xfId="529" xr:uid="{9E2DD45E-3E95-4E64-B261-4879BAAC6434}"/>
    <cellStyle name="60% - Accent2 5 2" xfId="530" xr:uid="{9039129A-D69E-42FA-BF54-7E63E9903F42}"/>
    <cellStyle name="60% - Accent2 5 3" xfId="531" xr:uid="{18E10B9C-04CA-4019-ADF2-552EE90F8C02}"/>
    <cellStyle name="60% - Accent2 6" xfId="532" xr:uid="{873F4CD0-263C-4E5C-A14C-9CA0A0746FC8}"/>
    <cellStyle name="60% - Accent2 6 2" xfId="533" xr:uid="{D9D8D13D-75E9-4726-99AE-4021F8D3193E}"/>
    <cellStyle name="60% - Accent2 6 3" xfId="534" xr:uid="{1B7D73AD-CF27-4069-A337-8D5C021AFF56}"/>
    <cellStyle name="60% - Accent2 7" xfId="535" xr:uid="{221344C4-0DE9-4DE2-8C10-E09B496566A5}"/>
    <cellStyle name="60% - Accent2 7 2" xfId="536" xr:uid="{7EA03721-1D20-4DC1-9C9A-90FA83B9340F}"/>
    <cellStyle name="60% - Accent2 7 3" xfId="537" xr:uid="{F736EBE7-F01F-4493-8B47-43F817AC583C}"/>
    <cellStyle name="60% - Accent2 8" xfId="538" xr:uid="{389FDA2A-8BF4-4C13-8C57-0D0FCC37E60F}"/>
    <cellStyle name="60% - Accent2 8 2" xfId="539" xr:uid="{2D58E706-A49D-44DE-8ACD-6D848C56689F}"/>
    <cellStyle name="60% - Accent2 8 3" xfId="540" xr:uid="{51F6D864-0022-48D6-AAAE-505451812E42}"/>
    <cellStyle name="60% - Accent2 9" xfId="541" xr:uid="{D00FAF4F-45E7-4C42-9229-ADF43B08C568}"/>
    <cellStyle name="60% - Accent3 10" xfId="542" xr:uid="{7D0DF294-1543-43DF-BE61-CAD7D2824FEC}"/>
    <cellStyle name="60% - Accent3 11" xfId="543" xr:uid="{5582D695-7D4C-490F-AC8B-81C94AAA8BF1}"/>
    <cellStyle name="60% - Accent3 12" xfId="544" xr:uid="{2E2176B9-6A45-4B54-99C9-0B91A7A877BD}"/>
    <cellStyle name="60% - Accent3 13" xfId="545" xr:uid="{D9E3595B-B4B0-4679-9100-839EC36338B5}"/>
    <cellStyle name="60% - Accent3 14" xfId="546" xr:uid="{5C234D2E-A2D6-4615-856F-B34D22D7CDFE}"/>
    <cellStyle name="60% - Accent3 15" xfId="547" xr:uid="{57163B67-F8ED-47EC-8C92-E634FB0A67FE}"/>
    <cellStyle name="60% - Accent3 2" xfId="548" xr:uid="{AD8D8C1D-54A4-4D87-AEDE-61B834826BFB}"/>
    <cellStyle name="60% - Accent3 2 2" xfId="549" xr:uid="{27399ABE-ED0C-468F-9C49-064078F5CB58}"/>
    <cellStyle name="60% - Accent3 2 3" xfId="550" xr:uid="{5E642F8F-0993-4444-8737-244E3CBE7CB8}"/>
    <cellStyle name="60% - Accent3 3" xfId="551" xr:uid="{EF60F98B-AC36-4689-89FB-1956EFA59464}"/>
    <cellStyle name="60% - Accent3 3 2" xfId="552" xr:uid="{C8C88FCC-B9CB-48DD-A6EB-E729F0ED8380}"/>
    <cellStyle name="60% - Accent3 3 3" xfId="553" xr:uid="{0FF73542-7D7C-46D6-BADF-7D36617F8E0E}"/>
    <cellStyle name="60% - Accent3 4" xfId="554" xr:uid="{038892AF-47DA-477C-B6A9-1C13E0D2E7CF}"/>
    <cellStyle name="60% - Accent3 4 2" xfId="555" xr:uid="{5CA81F6D-91C0-4537-B447-EE5A71040C77}"/>
    <cellStyle name="60% - Accent3 4 3" xfId="556" xr:uid="{DF1F7F25-6DFE-4FEA-A781-72160695E882}"/>
    <cellStyle name="60% - Accent3 5" xfId="557" xr:uid="{CCB84BA8-1D09-407F-90B2-88383B2ED05A}"/>
    <cellStyle name="60% - Accent3 5 2" xfId="558" xr:uid="{398750B4-4A98-498C-AEB3-167793A3B567}"/>
    <cellStyle name="60% - Accent3 5 3" xfId="559" xr:uid="{22EBED4B-19AF-4576-A003-183F34EA5D79}"/>
    <cellStyle name="60% - Accent3 6" xfId="560" xr:uid="{17C42E4A-6CF9-4B6F-850A-BC566B630F17}"/>
    <cellStyle name="60% - Accent3 6 2" xfId="561" xr:uid="{CC63AC65-B045-49F8-B233-6A34A225A712}"/>
    <cellStyle name="60% - Accent3 6 3" xfId="562" xr:uid="{FBE292A0-47DA-4706-B70B-D89470F02AB6}"/>
    <cellStyle name="60% - Accent3 7" xfId="563" xr:uid="{E4A418AD-96E6-4377-B488-7564507F474A}"/>
    <cellStyle name="60% - Accent3 7 2" xfId="564" xr:uid="{AFA783CD-AE06-48A3-8C97-F3FC7995B6C8}"/>
    <cellStyle name="60% - Accent3 7 3" xfId="565" xr:uid="{D1B9CDC6-BE02-418F-A48B-652494CF2A7F}"/>
    <cellStyle name="60% - Accent3 8" xfId="566" xr:uid="{5CEBD72E-E6C9-46DD-BB3F-E4904235C426}"/>
    <cellStyle name="60% - Accent3 8 2" xfId="567" xr:uid="{08167905-7019-4254-B03A-936C00E98293}"/>
    <cellStyle name="60% - Accent3 8 3" xfId="568" xr:uid="{7956F46A-CA2C-4AE1-899F-A17CCC188CD6}"/>
    <cellStyle name="60% - Accent3 9" xfId="569" xr:uid="{A43F2DD0-76BF-4EB1-A900-7234CC1C8C0F}"/>
    <cellStyle name="60% - Accent4 10" xfId="570" xr:uid="{D32E8F18-AE45-4982-8694-0D1E635FEFDE}"/>
    <cellStyle name="60% - Accent4 11" xfId="571" xr:uid="{CF77448F-AE67-41EB-ACA7-AF251D01EBD6}"/>
    <cellStyle name="60% - Accent4 12" xfId="572" xr:uid="{B3E3A051-B574-46D8-945D-D707B13754A4}"/>
    <cellStyle name="60% - Accent4 13" xfId="573" xr:uid="{66FBC0BB-DA6A-43B7-A527-ABC1F6119403}"/>
    <cellStyle name="60% - Accent4 14" xfId="574" xr:uid="{F261883A-BEAF-4928-B096-91D15D55B1D8}"/>
    <cellStyle name="60% - Accent4 15" xfId="575" xr:uid="{CE03B3D6-A987-4654-B2B0-5F6CA62053A7}"/>
    <cellStyle name="60% - Accent4 2" xfId="576" xr:uid="{68AF1EAF-91C2-44F4-8F36-8F0F96EAF71F}"/>
    <cellStyle name="60% - Accent4 2 2" xfId="577" xr:uid="{FFD08EBE-96DF-4C55-A568-041C4F44D885}"/>
    <cellStyle name="60% - Accent4 2 3" xfId="578" xr:uid="{B1F55E1B-E05B-405B-8B45-B267B188B607}"/>
    <cellStyle name="60% - Accent4 3" xfId="579" xr:uid="{5898981B-5D75-45A9-97A7-80D338AF791D}"/>
    <cellStyle name="60% - Accent4 3 2" xfId="580" xr:uid="{76B5AA10-7044-4BCA-98B5-FB84B175A921}"/>
    <cellStyle name="60% - Accent4 3 3" xfId="581" xr:uid="{7A8D6FC3-3693-4F2F-A737-BFD46D5C04CD}"/>
    <cellStyle name="60% - Accent4 4" xfId="582" xr:uid="{F9FB1164-0391-496B-8DDA-4CFFE5BA66E5}"/>
    <cellStyle name="60% - Accent4 4 2" xfId="583" xr:uid="{A6354C87-5E6D-47E4-8B68-E2E3A21D4BA9}"/>
    <cellStyle name="60% - Accent4 4 3" xfId="584" xr:uid="{04F73093-DFE4-4F3E-8B7F-718917AF1358}"/>
    <cellStyle name="60% - Accent4 5" xfId="585" xr:uid="{D8F7678A-CC2F-4117-BBE8-A9CF5AFD2A6A}"/>
    <cellStyle name="60% - Accent4 5 2" xfId="586" xr:uid="{59BEFAB6-3A27-4565-960F-F0EC600A79A4}"/>
    <cellStyle name="60% - Accent4 5 3" xfId="587" xr:uid="{131DEE5B-9C2A-4285-9619-64B694C1DB0E}"/>
    <cellStyle name="60% - Accent4 6" xfId="588" xr:uid="{6373A211-9376-41DA-87FD-239E13B2F9F6}"/>
    <cellStyle name="60% - Accent4 6 2" xfId="589" xr:uid="{1B844507-4CC8-40EA-B765-64B6CFB1D0A5}"/>
    <cellStyle name="60% - Accent4 6 3" xfId="590" xr:uid="{5F70D9E3-F89A-4953-BDF5-A184B769D6B5}"/>
    <cellStyle name="60% - Accent4 7" xfId="591" xr:uid="{A19C1F10-8E1F-493B-980F-E5D71C8C88AD}"/>
    <cellStyle name="60% - Accent4 7 2" xfId="592" xr:uid="{9DAB4FD6-76C8-4B5B-A8AB-2EE94BEC930A}"/>
    <cellStyle name="60% - Accent4 7 3" xfId="593" xr:uid="{F02663B0-AB32-4FC3-BC98-21D5094CED52}"/>
    <cellStyle name="60% - Accent4 8" xfId="594" xr:uid="{7799B87A-FFE1-42D9-A47C-EE8826A1D451}"/>
    <cellStyle name="60% - Accent4 8 2" xfId="595" xr:uid="{7590A228-6BB0-478B-87D8-2F7B2431AB44}"/>
    <cellStyle name="60% - Accent4 8 3" xfId="596" xr:uid="{0E221D7C-5AA0-46EB-8A2F-61C796BAE77B}"/>
    <cellStyle name="60% - Accent4 9" xfId="597" xr:uid="{8B035902-F649-45FE-8525-3202CC285D25}"/>
    <cellStyle name="60% - Accent5 10" xfId="598" xr:uid="{0E962D84-C08B-4C1B-90F6-1EFA47F6AB37}"/>
    <cellStyle name="60% - Accent5 11" xfId="599" xr:uid="{477A6EE0-B1E3-446B-BC3E-80C930CD1832}"/>
    <cellStyle name="60% - Accent5 12" xfId="600" xr:uid="{05465610-E341-40B7-92E1-16DFED6B9604}"/>
    <cellStyle name="60% - Accent5 13" xfId="601" xr:uid="{23B60AA5-131C-4517-A56E-C6FCEA580658}"/>
    <cellStyle name="60% - Accent5 14" xfId="602" xr:uid="{7BF5DE1E-1518-4F3B-B749-8689C3D368DC}"/>
    <cellStyle name="60% - Accent5 15" xfId="603" xr:uid="{347E8AF9-A8AD-43EC-88D1-61F33A736AE3}"/>
    <cellStyle name="60% - Accent5 2" xfId="604" xr:uid="{90010DD9-09CA-41DD-9D4E-FC6469746FDF}"/>
    <cellStyle name="60% - Accent5 2 2" xfId="605" xr:uid="{608AE268-E4F5-4620-91AA-BC4AC75B30C9}"/>
    <cellStyle name="60% - Accent5 2 3" xfId="606" xr:uid="{834EF088-E070-4A70-A72F-6DA13EE33250}"/>
    <cellStyle name="60% - Accent5 3" xfId="607" xr:uid="{127142D8-7DDC-49E6-B19C-665CF95A4217}"/>
    <cellStyle name="60% - Accent5 3 2" xfId="608" xr:uid="{7B4D259F-BBFD-4741-86C1-EACD66CD29D0}"/>
    <cellStyle name="60% - Accent5 3 3" xfId="609" xr:uid="{90879B9A-7552-4131-B7BD-6E2AD9EDACDB}"/>
    <cellStyle name="60% - Accent5 4" xfId="610" xr:uid="{CFD5D04E-6190-4577-9960-5EEEFE78CF32}"/>
    <cellStyle name="60% - Accent5 4 2" xfId="611" xr:uid="{5A2AD1CA-83AE-4AA5-A620-78C22CA316BF}"/>
    <cellStyle name="60% - Accent5 4 3" xfId="612" xr:uid="{6E6DE913-3AA2-43F5-9D9A-713816C3E2FA}"/>
    <cellStyle name="60% - Accent5 5" xfId="613" xr:uid="{E9159792-483D-4E49-BB65-FD8CA204DA34}"/>
    <cellStyle name="60% - Accent5 5 2" xfId="614" xr:uid="{E10D926C-7AC9-427F-BB6A-73C8094FDDFC}"/>
    <cellStyle name="60% - Accent5 5 3" xfId="615" xr:uid="{9814624E-7A90-4887-BB71-5971922BC08D}"/>
    <cellStyle name="60% - Accent5 6" xfId="616" xr:uid="{CBB196A4-1790-488C-A019-6A564BD207E0}"/>
    <cellStyle name="60% - Accent5 6 2" xfId="617" xr:uid="{514B740E-C582-4F75-9474-28CA85CF573E}"/>
    <cellStyle name="60% - Accent5 6 3" xfId="618" xr:uid="{49ACAAED-82F4-4B13-A645-89CFA4C6F81D}"/>
    <cellStyle name="60% - Accent5 7" xfId="619" xr:uid="{787674F0-7A00-4EC5-A736-031FDCC7DDEE}"/>
    <cellStyle name="60% - Accent5 7 2" xfId="620" xr:uid="{6876A985-7F0C-40E0-8879-81B7A16C572F}"/>
    <cellStyle name="60% - Accent5 7 3" xfId="621" xr:uid="{CA8EAA24-C4A4-49AD-8C6F-C7AC6D3E69C8}"/>
    <cellStyle name="60% - Accent5 8" xfId="622" xr:uid="{84BCE6A8-8C79-442E-9CEA-CAB3267037C2}"/>
    <cellStyle name="60% - Accent5 8 2" xfId="623" xr:uid="{83556878-DB83-4BBA-8B41-B37F94D9317D}"/>
    <cellStyle name="60% - Accent5 8 3" xfId="624" xr:uid="{4990833C-016E-41D3-B8CB-B5F754694495}"/>
    <cellStyle name="60% - Accent5 9" xfId="625" xr:uid="{4579B77C-F7BC-4B6B-BCBE-14A8BA5E8ED9}"/>
    <cellStyle name="60% - Accent6 10" xfId="626" xr:uid="{561D4ADB-1F1F-4157-9605-2081875884F4}"/>
    <cellStyle name="60% - Accent6 11" xfId="627" xr:uid="{A0379839-C307-4B4B-8629-8C64C82674A0}"/>
    <cellStyle name="60% - Accent6 12" xfId="628" xr:uid="{7AF06925-2BD5-40FF-A97A-1A68E7D978AF}"/>
    <cellStyle name="60% - Accent6 13" xfId="629" xr:uid="{5D8317EA-72FE-40B3-A25E-A905A5EAF0F7}"/>
    <cellStyle name="60% - Accent6 14" xfId="630" xr:uid="{148DEFB3-566F-4AE1-B4E5-F89330F4C4FB}"/>
    <cellStyle name="60% - Accent6 15" xfId="631" xr:uid="{00647C1C-E805-494D-8213-AB9D62CDEF56}"/>
    <cellStyle name="60% - Accent6 2" xfId="632" xr:uid="{2E2EDEDA-1629-49DB-BC7B-9820061547D5}"/>
    <cellStyle name="60% - Accent6 2 2" xfId="633" xr:uid="{7660A4F5-A93F-4939-9735-AB14897811C2}"/>
    <cellStyle name="60% - Accent6 2 3" xfId="634" xr:uid="{8F8BD50D-0325-4800-B0D1-857A40D96D35}"/>
    <cellStyle name="60% - Accent6 3" xfId="635" xr:uid="{5D6451BC-92D3-43C2-AE7E-9BC7AC3AB8A8}"/>
    <cellStyle name="60% - Accent6 3 2" xfId="636" xr:uid="{AC063DC3-09E4-401A-8806-49D330986AB0}"/>
    <cellStyle name="60% - Accent6 3 3" xfId="637" xr:uid="{64A7BFC9-2496-4E08-8394-40356958CDF9}"/>
    <cellStyle name="60% - Accent6 4" xfId="638" xr:uid="{8D01F439-AEF2-455E-9C01-AED4CE4A1392}"/>
    <cellStyle name="60% - Accent6 4 2" xfId="639" xr:uid="{8CCDE661-20E1-4249-95B5-16C65E685658}"/>
    <cellStyle name="60% - Accent6 4 3" xfId="640" xr:uid="{EDAECA76-2708-4B64-AEFD-AD9596B1EF1E}"/>
    <cellStyle name="60% - Accent6 5" xfId="641" xr:uid="{E7E97B4D-DA60-4E1E-B8C0-ECF40EE7CAEB}"/>
    <cellStyle name="60% - Accent6 5 2" xfId="642" xr:uid="{5849FEC3-F526-43F9-8BE5-AEFE1C8C1DE6}"/>
    <cellStyle name="60% - Accent6 5 3" xfId="643" xr:uid="{9A824759-7EB1-4D40-9E65-3EC0B091E204}"/>
    <cellStyle name="60% - Accent6 6" xfId="644" xr:uid="{322243C0-7276-470C-84C6-45F5004B5814}"/>
    <cellStyle name="60% - Accent6 6 2" xfId="645" xr:uid="{D19F5BED-2AC7-4E9B-B051-3CB4E35E6EDE}"/>
    <cellStyle name="60% - Accent6 6 3" xfId="646" xr:uid="{C3E1979D-7C4B-4D2B-959A-6045FCE45690}"/>
    <cellStyle name="60% - Accent6 7" xfId="647" xr:uid="{2BD719BA-D5FC-49A9-AE94-F4F5DA45581E}"/>
    <cellStyle name="60% - Accent6 7 2" xfId="648" xr:uid="{D513D514-CEA0-41CD-BAF6-7D6E67BF32B3}"/>
    <cellStyle name="60% - Accent6 7 3" xfId="649" xr:uid="{0F2C44F5-7D58-43FA-A4B6-0D81B2DB910A}"/>
    <cellStyle name="60% - Accent6 8" xfId="650" xr:uid="{C23ECC64-01A6-4750-AA63-4F54DD747A00}"/>
    <cellStyle name="60% - Accent6 8 2" xfId="651" xr:uid="{66AF6C9A-5676-4A7A-8A66-B6FD0B7B56E0}"/>
    <cellStyle name="60% - Accent6 8 3" xfId="652" xr:uid="{AEE924A7-B15D-46B1-80F3-50928B0F14B5}"/>
    <cellStyle name="60% - Accent6 9" xfId="653" xr:uid="{21921D3C-07A7-4164-A4CA-BC2D8CE78662}"/>
    <cellStyle name="Accent1 10" xfId="654" xr:uid="{4CB71A6C-023A-4579-912A-DDF7395E6B5A}"/>
    <cellStyle name="Accent1 11" xfId="655" xr:uid="{F5843C35-8A77-465F-B7F1-3EAACDCBF214}"/>
    <cellStyle name="Accent1 12" xfId="656" xr:uid="{7956E80D-89C9-4D21-BC01-5D68109B92CD}"/>
    <cellStyle name="Accent1 13" xfId="657" xr:uid="{6A5F7B3B-B0E5-4379-8AD5-849BE9808DFC}"/>
    <cellStyle name="Accent1 14" xfId="658" xr:uid="{0418132A-54F2-4170-8E18-3B3685F2579F}"/>
    <cellStyle name="Accent1 15" xfId="659" xr:uid="{6E983342-121D-42E2-93CF-CC84EA471EEA}"/>
    <cellStyle name="Accent1 2" xfId="660" xr:uid="{57E29C0E-14EE-4DEA-9C2E-3655A83B6A6D}"/>
    <cellStyle name="Accent1 2 2" xfId="661" xr:uid="{A8B3EFAD-46C4-46DC-B72D-FD2B9AB7BD51}"/>
    <cellStyle name="Accent1 2 3" xfId="662" xr:uid="{DA7E3F96-168B-4F5C-8716-942EF1099750}"/>
    <cellStyle name="Accent1 3" xfId="663" xr:uid="{4226C6B6-9864-4B6D-B49E-4FA473F572A8}"/>
    <cellStyle name="Accent1 3 2" xfId="664" xr:uid="{AE742691-4D30-40BA-8EE8-FBE77E3CE81F}"/>
    <cellStyle name="Accent1 3 3" xfId="665" xr:uid="{FA222B7B-C6B7-42C9-8AA3-6B36848D57B0}"/>
    <cellStyle name="Accent1 4" xfId="666" xr:uid="{6DD20A58-CCB3-4874-A8E9-C05903CBFCEC}"/>
    <cellStyle name="Accent1 4 2" xfId="667" xr:uid="{075E780A-0BDC-433B-8486-595B79432D08}"/>
    <cellStyle name="Accent1 4 3" xfId="668" xr:uid="{ABD3C03F-2C14-4941-AEEB-FA064C7B4486}"/>
    <cellStyle name="Accent1 5" xfId="669" xr:uid="{1E418C50-282A-4E11-8774-ED8CEB6412D3}"/>
    <cellStyle name="Accent1 5 2" xfId="670" xr:uid="{588D814B-BE5C-4A35-B2A0-70E53CD1CE6C}"/>
    <cellStyle name="Accent1 5 3" xfId="671" xr:uid="{EA72C4DC-701B-4358-B79C-A391BE58231C}"/>
    <cellStyle name="Accent1 6" xfId="672" xr:uid="{EC56EBB2-9C1F-4547-82C9-415E5F37AE44}"/>
    <cellStyle name="Accent1 6 2" xfId="673" xr:uid="{409627F9-E010-44F6-BA41-C7D51FFF6D82}"/>
    <cellStyle name="Accent1 6 3" xfId="674" xr:uid="{04A916CA-81CF-4921-9B6C-63D7411BDE2D}"/>
    <cellStyle name="Accent1 7" xfId="675" xr:uid="{2C36022D-5CF7-425D-AC43-67FEB7A890F5}"/>
    <cellStyle name="Accent1 7 2" xfId="676" xr:uid="{71C6C834-A939-4555-B1CE-DF8240F0A4E6}"/>
    <cellStyle name="Accent1 7 3" xfId="677" xr:uid="{19DDA543-F5A5-4303-B76C-592708E78F6F}"/>
    <cellStyle name="Accent1 8" xfId="678" xr:uid="{C17A6C81-320C-499C-90A4-E0F8AB6F6495}"/>
    <cellStyle name="Accent1 8 2" xfId="679" xr:uid="{1BEF7126-8453-45BB-AFF2-E5C939948CE8}"/>
    <cellStyle name="Accent1 8 3" xfId="680" xr:uid="{66A98B2C-4DF7-4EDF-9EE9-2D9389587378}"/>
    <cellStyle name="Accent1 9" xfId="681" xr:uid="{76500A81-8BB5-4DCF-8FA0-FB8D0C0E7504}"/>
    <cellStyle name="Accent2 10" xfId="682" xr:uid="{99995396-2689-4A96-BDD4-742B4C4A30EA}"/>
    <cellStyle name="Accent2 11" xfId="683" xr:uid="{1927F70C-3E2E-4663-8F49-85D740776CDD}"/>
    <cellStyle name="Accent2 12" xfId="684" xr:uid="{BDA60F27-507E-4BE5-B009-7B313DA980D4}"/>
    <cellStyle name="Accent2 13" xfId="685" xr:uid="{B10FB8FE-E683-48B4-A8FB-13F0AB4DEA0A}"/>
    <cellStyle name="Accent2 14" xfId="686" xr:uid="{CA89D2AB-3580-4A3B-93DB-EB7E3448B00C}"/>
    <cellStyle name="Accent2 15" xfId="687" xr:uid="{232A9724-B179-456F-84FD-E4C33512ACF0}"/>
    <cellStyle name="Accent2 2" xfId="688" xr:uid="{E50D1958-DA6F-4B7C-8A6B-58EA3EDCD3FE}"/>
    <cellStyle name="Accent2 2 2" xfId="689" xr:uid="{FEED2862-3C60-450F-A349-B6376EAFDE12}"/>
    <cellStyle name="Accent2 2 3" xfId="690" xr:uid="{28C406DC-0AF6-4149-A1E1-1B91E8A378D5}"/>
    <cellStyle name="Accent2 3" xfId="691" xr:uid="{53A6BBF8-FC46-4C27-9BB5-D2BCD36E3359}"/>
    <cellStyle name="Accent2 3 2" xfId="692" xr:uid="{961AD104-7180-48AB-B732-75E78B009E33}"/>
    <cellStyle name="Accent2 3 3" xfId="693" xr:uid="{7D07409B-CAD1-4E64-BD5A-B2D13E05DFDE}"/>
    <cellStyle name="Accent2 4" xfId="694" xr:uid="{38EB3F78-4C99-43B1-AA0C-CA5DBD2E5006}"/>
    <cellStyle name="Accent2 4 2" xfId="695" xr:uid="{BDAF0A94-6A82-466E-B919-13A3F7D62565}"/>
    <cellStyle name="Accent2 4 3" xfId="696" xr:uid="{66F51A9A-65F8-4B90-8965-55079EE4290B}"/>
    <cellStyle name="Accent2 5" xfId="697" xr:uid="{2A5FE50A-1F5E-4218-8F6B-2AB70B686A6B}"/>
    <cellStyle name="Accent2 5 2" xfId="698" xr:uid="{C0CE17AB-8CB5-4672-A546-F3EA7D876807}"/>
    <cellStyle name="Accent2 5 3" xfId="699" xr:uid="{EE1AC096-1060-4081-85ED-C7FB3D9A6C90}"/>
    <cellStyle name="Accent2 6" xfId="700" xr:uid="{B9CEACD1-2863-42DE-805A-72300E960D86}"/>
    <cellStyle name="Accent2 6 2" xfId="701" xr:uid="{DD560653-DA29-44D7-B3B7-F4F98027BC76}"/>
    <cellStyle name="Accent2 6 3" xfId="702" xr:uid="{374C0928-100B-4DDF-89AA-D029AF82655A}"/>
    <cellStyle name="Accent2 7" xfId="703" xr:uid="{A8C0F911-F201-404B-9DCA-6A525F15C638}"/>
    <cellStyle name="Accent2 7 2" xfId="704" xr:uid="{A433DB24-BD99-4EA4-9E17-C3133A0FF892}"/>
    <cellStyle name="Accent2 7 3" xfId="705" xr:uid="{1CA9B9AA-66F3-4776-8479-C39F30606913}"/>
    <cellStyle name="Accent2 8" xfId="706" xr:uid="{DEB4BB29-C1C6-424F-8E40-89939D3F11B4}"/>
    <cellStyle name="Accent2 8 2" xfId="707" xr:uid="{E20FCB37-7D0E-44C9-A2A4-8E1D2C4C2526}"/>
    <cellStyle name="Accent2 8 3" xfId="708" xr:uid="{913E98DB-259A-438C-8B8E-E46129041245}"/>
    <cellStyle name="Accent2 9" xfId="709" xr:uid="{00E6B21F-D3A8-474B-8EB1-5BABCF35CE9D}"/>
    <cellStyle name="Accent3 10" xfId="710" xr:uid="{82749CB5-7FA2-47A4-923D-4868F8938727}"/>
    <cellStyle name="Accent3 11" xfId="711" xr:uid="{10EE9D12-8CB7-4FD3-9777-4B961CA7FCFE}"/>
    <cellStyle name="Accent3 12" xfId="712" xr:uid="{2E7EC1B7-C891-4ACD-AC84-772FD072EED2}"/>
    <cellStyle name="Accent3 13" xfId="713" xr:uid="{E1A9711F-00A6-4FD0-BEC2-906D5CB7189A}"/>
    <cellStyle name="Accent3 14" xfId="714" xr:uid="{1303D028-CD92-40CB-BB6C-F2F5948A313D}"/>
    <cellStyle name="Accent3 15" xfId="715" xr:uid="{F9730732-2605-42C0-AD98-856DF9BF008E}"/>
    <cellStyle name="Accent3 2" xfId="716" xr:uid="{1CFE8F42-B32D-4E14-96E9-CBC0116EBE66}"/>
    <cellStyle name="Accent3 2 2" xfId="717" xr:uid="{FD45A8BC-F093-4E69-8DCB-36C08C546332}"/>
    <cellStyle name="Accent3 2 3" xfId="718" xr:uid="{DE499286-5891-4672-84E2-7D2849453679}"/>
    <cellStyle name="Accent3 3" xfId="719" xr:uid="{D64B49D2-0DEE-4D82-AFE7-F1AA62AF595C}"/>
    <cellStyle name="Accent3 3 2" xfId="720" xr:uid="{42CE4793-7FBE-46B4-A364-D32B34D3D634}"/>
    <cellStyle name="Accent3 3 3" xfId="721" xr:uid="{9FFB6A77-AAD6-4F36-B6F8-4CEEF2BD7B44}"/>
    <cellStyle name="Accent3 4" xfId="722" xr:uid="{E5E850E8-0156-4464-8FE8-5FAE51CF12AF}"/>
    <cellStyle name="Accent3 4 2" xfId="723" xr:uid="{B026BD23-DA5D-4A47-9D99-C8E11518F5A7}"/>
    <cellStyle name="Accent3 4 3" xfId="724" xr:uid="{B9E12620-B113-4FE3-B005-2D112F6E4A57}"/>
    <cellStyle name="Accent3 5" xfId="725" xr:uid="{0D4A8D6C-9EA8-4C6C-9785-17CD007603E5}"/>
    <cellStyle name="Accent3 5 2" xfId="726" xr:uid="{D6D8F5D0-3A50-4C25-A00E-1331161404D0}"/>
    <cellStyle name="Accent3 5 3" xfId="727" xr:uid="{85E0F4AA-D9EB-49AA-8C90-924259D4CFEE}"/>
    <cellStyle name="Accent3 6" xfId="728" xr:uid="{4D02B8C2-B76F-4ABF-BA60-373C7AD3AA60}"/>
    <cellStyle name="Accent3 6 2" xfId="729" xr:uid="{2F65595E-B4A7-4E39-85FA-DC56F814B996}"/>
    <cellStyle name="Accent3 6 3" xfId="730" xr:uid="{BD99B009-626B-4554-B710-D4C3690473B4}"/>
    <cellStyle name="Accent3 7" xfId="731" xr:uid="{9986F6C4-7A2F-467F-9B34-F83B50883786}"/>
    <cellStyle name="Accent3 7 2" xfId="732" xr:uid="{F566CD6F-6727-489D-B094-4843CD430CD5}"/>
    <cellStyle name="Accent3 7 3" xfId="733" xr:uid="{799567BF-38AF-4FE7-ADB0-23158F17B2EE}"/>
    <cellStyle name="Accent3 8" xfId="734" xr:uid="{2C15FFB8-E585-46A4-B8B9-845A77908119}"/>
    <cellStyle name="Accent3 8 2" xfId="735" xr:uid="{CE27CECC-D6FA-408D-803B-EB17EFDE1FA8}"/>
    <cellStyle name="Accent3 8 3" xfId="736" xr:uid="{6E628F94-77D9-448E-972B-823C0E7ACA04}"/>
    <cellStyle name="Accent3 9" xfId="737" xr:uid="{B560D409-CD8B-4893-824E-6E7E660917EE}"/>
    <cellStyle name="Accent4 10" xfId="738" xr:uid="{48DC15C3-1745-40A5-838B-DF69C7E07AAB}"/>
    <cellStyle name="Accent4 11" xfId="739" xr:uid="{9B28F985-56CC-4846-A74A-3D97B61EC3CE}"/>
    <cellStyle name="Accent4 12" xfId="740" xr:uid="{CD2BCC26-1606-436F-8B71-1ADB8494FCCF}"/>
    <cellStyle name="Accent4 13" xfId="741" xr:uid="{45A669EC-39BE-4DA5-A4A4-F89E7C37E29E}"/>
    <cellStyle name="Accent4 14" xfId="742" xr:uid="{3959225C-C436-4FF1-B59E-49475ADADC9C}"/>
    <cellStyle name="Accent4 15" xfId="743" xr:uid="{293317F2-B063-4489-9EDB-0BA6E3DEB711}"/>
    <cellStyle name="Accent4 2" xfId="744" xr:uid="{325095C4-9C5B-440A-873F-7ADD01546F7C}"/>
    <cellStyle name="Accent4 2 2" xfId="745" xr:uid="{7F768545-A583-4E60-9878-528D60ABCC2B}"/>
    <cellStyle name="Accent4 2 3" xfId="746" xr:uid="{4EE75FC1-9B6F-487F-B732-C23FF7CD991E}"/>
    <cellStyle name="Accent4 3" xfId="747" xr:uid="{B684D8BA-E685-48E2-9508-7D8F0C9547D0}"/>
    <cellStyle name="Accent4 3 2" xfId="748" xr:uid="{23FC13CA-C611-471C-B511-6553969ECC40}"/>
    <cellStyle name="Accent4 3 3" xfId="749" xr:uid="{B03DE539-4C06-4D16-98E1-051E577E50B0}"/>
    <cellStyle name="Accent4 4" xfId="750" xr:uid="{EE83146F-297D-48E1-B5DA-2B3048A92BA7}"/>
    <cellStyle name="Accent4 4 2" xfId="751" xr:uid="{3739FF10-4F1A-4558-A2A6-BFD7FD9E4F44}"/>
    <cellStyle name="Accent4 4 3" xfId="752" xr:uid="{F1889F98-29BF-43BF-AE2B-3F48E28D89CD}"/>
    <cellStyle name="Accent4 5" xfId="753" xr:uid="{7F3D38F9-C9D9-410D-AF08-FA20AA8BC315}"/>
    <cellStyle name="Accent4 5 2" xfId="754" xr:uid="{B3810C8E-2EDD-4D5C-B9C8-CD3D61BBB46D}"/>
    <cellStyle name="Accent4 5 3" xfId="755" xr:uid="{F5AD87FB-F721-4C06-8A7D-15F37F3DE199}"/>
    <cellStyle name="Accent4 6" xfId="756" xr:uid="{F01B34A9-A923-4FB0-9A9E-E84BC4F3135C}"/>
    <cellStyle name="Accent4 6 2" xfId="757" xr:uid="{258837C8-2197-4383-9289-26BC3DF95212}"/>
    <cellStyle name="Accent4 6 3" xfId="758" xr:uid="{04F7109B-2A07-476F-B103-CD546ADB9A33}"/>
    <cellStyle name="Accent4 7" xfId="759" xr:uid="{C156A584-CC72-43DE-BD1D-488227DA78F2}"/>
    <cellStyle name="Accent4 7 2" xfId="760" xr:uid="{FC8E32A5-7E28-40D0-8F11-3C750BE74386}"/>
    <cellStyle name="Accent4 7 3" xfId="761" xr:uid="{37303B27-B7A7-4779-90D2-AB1D66B26E98}"/>
    <cellStyle name="Accent4 8" xfId="762" xr:uid="{A7D0CDDF-0A99-4C27-8074-DA667AA67413}"/>
    <cellStyle name="Accent4 8 2" xfId="763" xr:uid="{D28F1263-F628-45EC-9692-36F8745E275C}"/>
    <cellStyle name="Accent4 8 3" xfId="764" xr:uid="{124DFC76-B921-45F7-96F1-4B383DCAE8BF}"/>
    <cellStyle name="Accent4 9" xfId="765" xr:uid="{8E0E5CEA-4E45-4705-9C88-760CC01F1CD6}"/>
    <cellStyle name="Accent5 10" xfId="766" xr:uid="{89F7F6A6-1B23-4BCB-931D-035E2C6A7368}"/>
    <cellStyle name="Accent5 11" xfId="767" xr:uid="{D097BBC5-AB86-434E-A134-02B473724A82}"/>
    <cellStyle name="Accent5 12" xfId="768" xr:uid="{079B7BFA-1C55-45C8-953E-A82429ECF81F}"/>
    <cellStyle name="Accent5 13" xfId="769" xr:uid="{0A971CD8-DA20-4E69-A781-B7F90365619A}"/>
    <cellStyle name="Accent5 14" xfId="770" xr:uid="{33400CAA-16C7-4E05-9E79-6A32F1165501}"/>
    <cellStyle name="Accent5 15" xfId="771" xr:uid="{F963592A-A15C-4850-8562-AAAE17BE25A3}"/>
    <cellStyle name="Accent5 2" xfId="772" xr:uid="{4E394777-5517-4B0B-8F33-C465D84722A0}"/>
    <cellStyle name="Accent5 2 2" xfId="773" xr:uid="{9698A1DA-1E43-4B9E-B210-55D90D8FD6A5}"/>
    <cellStyle name="Accent5 2 3" xfId="774" xr:uid="{C52B2C66-47AA-4922-9BB4-27D6AE8B8417}"/>
    <cellStyle name="Accent5 3" xfId="775" xr:uid="{3815EE36-16B4-49F8-B8AA-D9852057375B}"/>
    <cellStyle name="Accent5 3 2" xfId="776" xr:uid="{792C0E78-481F-402F-93D3-FE0F1C57B41F}"/>
    <cellStyle name="Accent5 3 3" xfId="777" xr:uid="{89330548-6C4F-4829-B83F-725CD1B2F04C}"/>
    <cellStyle name="Accent5 4" xfId="778" xr:uid="{63FAF90F-5A97-41BE-9056-B99079164F74}"/>
    <cellStyle name="Accent5 4 2" xfId="779" xr:uid="{78E999DE-0881-43EF-92B5-04EFBC392360}"/>
    <cellStyle name="Accent5 4 3" xfId="780" xr:uid="{91CAD7DE-0D8F-41C4-9370-6CDEBFE348AF}"/>
    <cellStyle name="Accent5 5" xfId="781" xr:uid="{B3E3DE08-A0E8-4660-8530-633652AC8526}"/>
    <cellStyle name="Accent5 5 2" xfId="782" xr:uid="{F64FC561-7597-4F21-80B4-C5CCFBFB5284}"/>
    <cellStyle name="Accent5 5 3" xfId="783" xr:uid="{45125DF6-5626-4DD5-9B7C-BAD8FE9C5118}"/>
    <cellStyle name="Accent5 6" xfId="784" xr:uid="{AB6CAECA-9D87-43AA-879A-9C7CCCD871EF}"/>
    <cellStyle name="Accent5 6 2" xfId="785" xr:uid="{890DCC87-0E72-4A3C-A3B3-A726BB884D84}"/>
    <cellStyle name="Accent5 6 3" xfId="786" xr:uid="{3E7F4FC8-14F8-4CDA-8343-1352EA79B71B}"/>
    <cellStyle name="Accent5 7" xfId="787" xr:uid="{BB0420B1-4504-4FB4-8392-EEF3D927C223}"/>
    <cellStyle name="Accent5 7 2" xfId="788" xr:uid="{7EE84468-1FA0-41FE-83EC-CB9DDDA8B304}"/>
    <cellStyle name="Accent5 7 3" xfId="789" xr:uid="{ECFA6D6B-60C8-46A4-8F0E-5D6B0988EA27}"/>
    <cellStyle name="Accent5 8" xfId="790" xr:uid="{A94AF8B2-1E17-4218-A5C6-B4AF191981AC}"/>
    <cellStyle name="Accent5 8 2" xfId="791" xr:uid="{86A87CCC-0630-450F-9D72-157D42645061}"/>
    <cellStyle name="Accent5 8 3" xfId="792" xr:uid="{96F352F4-0897-4402-B552-7E51CFD89E87}"/>
    <cellStyle name="Accent5 9" xfId="793" xr:uid="{52E494D9-A0E3-4588-B95D-091D333A5655}"/>
    <cellStyle name="Accent6 10" xfId="794" xr:uid="{FCB4B814-13BB-4972-97C5-40ED7504639A}"/>
    <cellStyle name="Accent6 11" xfId="795" xr:uid="{D11A14BA-00EB-47D9-A7E0-CEEC898A9ECF}"/>
    <cellStyle name="Accent6 12" xfId="796" xr:uid="{EF16E718-7BE6-421B-8337-9380194811D3}"/>
    <cellStyle name="Accent6 13" xfId="797" xr:uid="{15059983-154D-497D-ABFD-285BE84CD282}"/>
    <cellStyle name="Accent6 14" xfId="798" xr:uid="{EB787ED5-F8AD-4343-BEBD-BAE953A5B2AF}"/>
    <cellStyle name="Accent6 15" xfId="799" xr:uid="{BB60BA08-3867-4707-BF73-67556B202607}"/>
    <cellStyle name="Accent6 2" xfId="800" xr:uid="{AE7013CD-461B-46E7-946D-BCA9C32EB66F}"/>
    <cellStyle name="Accent6 2 2" xfId="801" xr:uid="{8DE0C015-69CC-4F1D-A832-9915516F749E}"/>
    <cellStyle name="Accent6 2 3" xfId="802" xr:uid="{3122DA35-BCEC-4FBB-9BFB-7168D14957DB}"/>
    <cellStyle name="Accent6 3" xfId="803" xr:uid="{0443A834-A79E-41E0-9BD4-F1D61ED9011E}"/>
    <cellStyle name="Accent6 3 2" xfId="804" xr:uid="{85FDB22F-6C58-437C-A6F2-D13DC7AFD10D}"/>
    <cellStyle name="Accent6 3 3" xfId="805" xr:uid="{1331D11F-BEEE-4D2F-8D12-6AF498CCBF83}"/>
    <cellStyle name="Accent6 4" xfId="806" xr:uid="{505F3CBF-5CD5-4CD6-988A-FB6DE8093992}"/>
    <cellStyle name="Accent6 4 2" xfId="807" xr:uid="{940E254D-35AE-4506-926B-B595BC7C893E}"/>
    <cellStyle name="Accent6 4 3" xfId="808" xr:uid="{41F9C196-374F-46D5-AC8A-5E02975C7E63}"/>
    <cellStyle name="Accent6 5" xfId="809" xr:uid="{EAA5770A-0A8E-4A60-AC7D-C88BF5CFE597}"/>
    <cellStyle name="Accent6 5 2" xfId="810" xr:uid="{75F8D46F-11AF-41B2-9FA4-A462742F6E0C}"/>
    <cellStyle name="Accent6 5 3" xfId="811" xr:uid="{A92A924B-571F-4EB5-9A00-83C6D4E18C93}"/>
    <cellStyle name="Accent6 6" xfId="812" xr:uid="{D012DF4E-02DD-423C-82F3-0C519517FC88}"/>
    <cellStyle name="Accent6 6 2" xfId="813" xr:uid="{A4F0C635-19C8-4E38-BA7A-42FC3C51BC3D}"/>
    <cellStyle name="Accent6 6 3" xfId="814" xr:uid="{580CBFAB-D454-4DF9-B045-5E0A74DA1073}"/>
    <cellStyle name="Accent6 7" xfId="815" xr:uid="{F5EA2B37-2F5C-4866-B985-B012B5D468D8}"/>
    <cellStyle name="Accent6 7 2" xfId="816" xr:uid="{E0CC76D5-7694-4A96-8C4A-55FC141EFCD7}"/>
    <cellStyle name="Accent6 7 3" xfId="817" xr:uid="{54439B2D-F8D4-47AA-853F-68A1374530A9}"/>
    <cellStyle name="Accent6 8" xfId="818" xr:uid="{570C0CEC-804E-4BC3-BA69-EFB43824C31A}"/>
    <cellStyle name="Accent6 8 2" xfId="819" xr:uid="{831ADB93-F07E-439E-A12A-011D0DA14F69}"/>
    <cellStyle name="Accent6 8 3" xfId="820" xr:uid="{A330A0B2-DAC1-413B-B152-696096A0C874}"/>
    <cellStyle name="Accent6 9" xfId="821" xr:uid="{DF31EB9E-B2E0-4C5F-BD05-096E02192C07}"/>
    <cellStyle name="Bad 10" xfId="822" xr:uid="{F1CFB014-5ED0-4C73-AD96-96DD00034404}"/>
    <cellStyle name="Bad 11" xfId="823" xr:uid="{53D9AEBC-DEBC-47C7-9D0B-D99ABF664B50}"/>
    <cellStyle name="Bad 12" xfId="824" xr:uid="{624C4259-2E6B-4A68-8C0D-93F4A09CA985}"/>
    <cellStyle name="Bad 13" xfId="825" xr:uid="{F0294E43-AB21-42D6-B3C3-05E59150CF45}"/>
    <cellStyle name="Bad 14" xfId="826" xr:uid="{74BD51F1-E54D-4423-8462-BD50D232BE0B}"/>
    <cellStyle name="Bad 15" xfId="827" xr:uid="{6CB84FB3-CFA5-4830-9CFE-94A030760D43}"/>
    <cellStyle name="Bad 2" xfId="828" xr:uid="{DB4A179A-6133-41B9-B312-3F17BDEDF75F}"/>
    <cellStyle name="Bad 2 2" xfId="829" xr:uid="{22B267CC-0383-43B7-9CC7-C56D397EA5EA}"/>
    <cellStyle name="Bad 2 3" xfId="830" xr:uid="{BBE2AABB-AA91-4692-A21D-6298AFC6B43B}"/>
    <cellStyle name="Bad 3" xfId="831" xr:uid="{5C29C9EA-4E01-4E03-ADD2-1B2DFB3603DD}"/>
    <cellStyle name="Bad 3 2" xfId="832" xr:uid="{76C2DA68-9112-4DC4-9031-E74054CC4135}"/>
    <cellStyle name="Bad 3 3" xfId="833" xr:uid="{964C1C1F-71BA-47C7-9988-81725272B8B3}"/>
    <cellStyle name="Bad 4" xfId="834" xr:uid="{FEAFC28E-8B7D-4C81-9E49-693E91029FBD}"/>
    <cellStyle name="Bad 4 2" xfId="835" xr:uid="{CF55E6A9-7FB6-45D8-BB91-9BFBB4B448B2}"/>
    <cellStyle name="Bad 4 3" xfId="836" xr:uid="{40C8B7DC-DE99-4BCA-BD52-31BAC75E4686}"/>
    <cellStyle name="Bad 5" xfId="837" xr:uid="{4500E133-8152-41A9-9A2F-694C00112988}"/>
    <cellStyle name="Bad 5 2" xfId="838" xr:uid="{C52D3859-2D96-45FE-91B5-5C318AC1F7BE}"/>
    <cellStyle name="Bad 5 3" xfId="839" xr:uid="{2B86657D-013B-42EC-98DB-B2E48AE1B9A2}"/>
    <cellStyle name="Bad 6" xfId="840" xr:uid="{F61A0695-1DDC-4F24-AE00-AE80A92AAB33}"/>
    <cellStyle name="Bad 6 2" xfId="841" xr:uid="{4FDCAFCB-C8B9-44EA-9105-A2A1056F94AA}"/>
    <cellStyle name="Bad 6 3" xfId="842" xr:uid="{332E0421-146C-4A41-BEDF-90CCAACA108A}"/>
    <cellStyle name="Bad 7" xfId="843" xr:uid="{C2DDC396-45D6-4B57-92A4-A50C125F6258}"/>
    <cellStyle name="Bad 7 2" xfId="844" xr:uid="{D56DF67F-CCD7-4EBF-B761-FA045BEF202C}"/>
    <cellStyle name="Bad 7 3" xfId="845" xr:uid="{70CE2588-F315-4FA9-84BE-8F32C8096F38}"/>
    <cellStyle name="Bad 8" xfId="846" xr:uid="{3EE54DDD-025E-4BF3-AEA7-B16C37D952AB}"/>
    <cellStyle name="Bad 8 2" xfId="847" xr:uid="{8EA5A9A1-E72E-4BEF-AC77-683FB6A28FE3}"/>
    <cellStyle name="Bad 8 3" xfId="848" xr:uid="{AFF7D9F7-6254-41E9-8FDF-4C92A5D3A5C5}"/>
    <cellStyle name="Bad 9" xfId="849" xr:uid="{97AB36F5-C55F-4F86-B8A4-F832BFA95621}"/>
    <cellStyle name="Calculation 10" xfId="850" xr:uid="{19AA31A0-42BF-4A94-9FD7-59A8F1E351CB}"/>
    <cellStyle name="Calculation 11" xfId="851" xr:uid="{A2006305-6F5F-4EE8-9B33-FE180B344629}"/>
    <cellStyle name="Calculation 12" xfId="852" xr:uid="{2F204DE0-5333-4F70-B321-DF697B91D33D}"/>
    <cellStyle name="Calculation 13" xfId="853" xr:uid="{83086DB3-A390-4E87-84E5-147CC199B4E3}"/>
    <cellStyle name="Calculation 14" xfId="854" xr:uid="{1D6BAB6A-1D98-47E5-8D9A-7F234A22B1F3}"/>
    <cellStyle name="Calculation 15" xfId="855" xr:uid="{C5C59035-9897-45F1-B3D2-92901B5F5615}"/>
    <cellStyle name="Calculation 2" xfId="856" xr:uid="{63261DBF-6BCD-46C5-B64E-57E1CE422FA8}"/>
    <cellStyle name="Calculation 2 2" xfId="857" xr:uid="{432698EF-3975-4BFB-962F-92429208E054}"/>
    <cellStyle name="Calculation 2 3" xfId="858" xr:uid="{BC6F6DD2-4589-4767-8222-35B188568EAE}"/>
    <cellStyle name="Calculation 3" xfId="859" xr:uid="{0611D507-1DBB-444D-9C29-B488A795AD64}"/>
    <cellStyle name="Calculation 3 2" xfId="860" xr:uid="{56C74BA0-38AA-4182-B649-D790FB76AF01}"/>
    <cellStyle name="Calculation 3 3" xfId="861" xr:uid="{190D7A85-D55B-4FA1-8213-B128FE471C99}"/>
    <cellStyle name="Calculation 4" xfId="862" xr:uid="{61ED9B24-2E9D-4822-BB62-252119F9C23E}"/>
    <cellStyle name="Calculation 4 2" xfId="863" xr:uid="{9E602327-E554-40D6-934C-DE4666C7F098}"/>
    <cellStyle name="Calculation 4 3" xfId="864" xr:uid="{26A1A268-040A-4B59-A968-F75E7BBDCCCD}"/>
    <cellStyle name="Calculation 5" xfId="865" xr:uid="{98F2412D-B827-4C09-9CA0-BDFA2351700E}"/>
    <cellStyle name="Calculation 5 2" xfId="866" xr:uid="{B2C916F3-5F4C-450D-A6A4-970BB802EF4B}"/>
    <cellStyle name="Calculation 5 3" xfId="867" xr:uid="{245F8335-1EEF-4739-939D-27CACC535BDA}"/>
    <cellStyle name="Calculation 6" xfId="868" xr:uid="{2D08A645-6918-4347-B9A0-0C1E58692F47}"/>
    <cellStyle name="Calculation 6 2" xfId="869" xr:uid="{17B12EE2-21B9-4DC5-AC32-57514B1E8366}"/>
    <cellStyle name="Calculation 6 3" xfId="870" xr:uid="{1BE695D5-C1AE-46CA-BD98-557341C5A787}"/>
    <cellStyle name="Calculation 7" xfId="871" xr:uid="{65B6C7C7-AA80-4213-99C4-C74CDBDF6EB3}"/>
    <cellStyle name="Calculation 7 2" xfId="872" xr:uid="{335BFC79-417E-4B20-BDBE-F924B0977659}"/>
    <cellStyle name="Calculation 7 3" xfId="873" xr:uid="{109453B7-8257-4706-A519-2DD7A81257E0}"/>
    <cellStyle name="Calculation 8" xfId="874" xr:uid="{D3949557-917C-4747-92AE-F8DAAC64DE44}"/>
    <cellStyle name="Calculation 8 2" xfId="875" xr:uid="{B6173650-0288-43E1-8A48-002A44C9BF92}"/>
    <cellStyle name="Calculation 8 3" xfId="876" xr:uid="{A77E3FDA-BFCB-4FE8-964D-58FF17CC19AE}"/>
    <cellStyle name="Calculation 9" xfId="877" xr:uid="{DD35359A-1015-4505-9029-A41F501598FB}"/>
    <cellStyle name="Check Cell 10" xfId="878" xr:uid="{1AC66236-F5A3-4AAC-8D3D-6990C0E66D06}"/>
    <cellStyle name="Check Cell 11" xfId="879" xr:uid="{EB580280-7387-419D-AF6C-E4F247D9B256}"/>
    <cellStyle name="Check Cell 12" xfId="880" xr:uid="{497970E3-0498-4024-8321-178890DEFD73}"/>
    <cellStyle name="Check Cell 13" xfId="881" xr:uid="{F243A55B-A397-4216-A81E-0B1795A34AAE}"/>
    <cellStyle name="Check Cell 14" xfId="882" xr:uid="{874C87E9-E747-44A5-9E5D-4A076318109F}"/>
    <cellStyle name="Check Cell 15" xfId="883" xr:uid="{2E495E75-65E0-4DEE-930D-DFFC3E65B91F}"/>
    <cellStyle name="Check Cell 2" xfId="884" xr:uid="{4613785B-11D6-4274-BAC8-124A1C05BC3F}"/>
    <cellStyle name="Check Cell 2 2" xfId="885" xr:uid="{B4E433AB-BA59-4E35-9C30-FD352B48C573}"/>
    <cellStyle name="Check Cell 2 3" xfId="886" xr:uid="{FF5CE633-0179-4A67-8E3C-AACE503A3E3B}"/>
    <cellStyle name="Check Cell 3" xfId="887" xr:uid="{B0686BAB-57E5-459C-8502-B02D5D8CC066}"/>
    <cellStyle name="Check Cell 3 2" xfId="888" xr:uid="{7026B3E3-4969-48F9-A963-89D8C1E27D9B}"/>
    <cellStyle name="Check Cell 3 3" xfId="889" xr:uid="{CE9B92D3-69E9-471C-83F2-6685EBD7221F}"/>
    <cellStyle name="Check Cell 4" xfId="890" xr:uid="{B9A62559-AA74-4F6B-A201-062DC03C5A31}"/>
    <cellStyle name="Check Cell 4 2" xfId="891" xr:uid="{E5E4289A-FA72-429A-98AF-5BFDA8280DFB}"/>
    <cellStyle name="Check Cell 4 3" xfId="892" xr:uid="{8F5114BC-5F5F-49D4-A7C8-FC9B3D537130}"/>
    <cellStyle name="Check Cell 5" xfId="893" xr:uid="{E19BE2FD-EA15-4A63-AF17-4D33FD90A7C7}"/>
    <cellStyle name="Check Cell 5 2" xfId="894" xr:uid="{0D317416-97BF-4AE3-9005-3259491DCBD8}"/>
    <cellStyle name="Check Cell 5 3" xfId="895" xr:uid="{9F0EE2C7-9A99-4252-9DD8-D9282C88F329}"/>
    <cellStyle name="Check Cell 6" xfId="896" xr:uid="{4D43A870-1382-456E-9DEB-52D4C84FBE91}"/>
    <cellStyle name="Check Cell 6 2" xfId="897" xr:uid="{CA4B638B-0038-4DDE-B498-6FEEAACC8B02}"/>
    <cellStyle name="Check Cell 6 3" xfId="898" xr:uid="{96510086-5898-4C5A-B536-7D9C727C5A73}"/>
    <cellStyle name="Check Cell 7" xfId="899" xr:uid="{CFD3A49D-7B87-4DF4-A4BF-A51CB858F506}"/>
    <cellStyle name="Check Cell 7 2" xfId="900" xr:uid="{7751B817-FC2C-4E19-A461-5A9B9F5B6C17}"/>
    <cellStyle name="Check Cell 7 3" xfId="901" xr:uid="{FBCA7311-2995-4AFD-9BE5-141FD3F65353}"/>
    <cellStyle name="Check Cell 8" xfId="902" xr:uid="{16BCB6BB-0DDD-4A6A-8101-C82093EFA7DD}"/>
    <cellStyle name="Check Cell 8 2" xfId="903" xr:uid="{1BDFDE04-E91F-4CCE-9117-11F649ADE4FC}"/>
    <cellStyle name="Check Cell 8 3" xfId="904" xr:uid="{276FDBB1-765D-40BB-8F44-CC43F0E4CF41}"/>
    <cellStyle name="Check Cell 9" xfId="905" xr:uid="{41FECF82-0540-4BA4-BF8B-C9FF94CA19FA}"/>
    <cellStyle name="Comma" xfId="4" builtinId="3"/>
    <cellStyle name="Comma 10" xfId="906" xr:uid="{C828A2B8-DA5A-4EEE-A16C-C1832042DFAF}"/>
    <cellStyle name="Comma 10 10" xfId="907" xr:uid="{70AC5D14-B3B2-4279-909E-A27380CC55C4}"/>
    <cellStyle name="Comma 10 2" xfId="908" xr:uid="{4F0C7986-1459-4CDF-AC68-03734F1D80B9}"/>
    <cellStyle name="Comma 10 24 6 25" xfId="5" xr:uid="{00000000-0005-0000-0000-000004000000}"/>
    <cellStyle name="Comma 10 3" xfId="909" xr:uid="{6573CD1A-0EAB-42C0-8F45-3C2801DDF6FE}"/>
    <cellStyle name="Comma 10 4" xfId="910" xr:uid="{732ACC06-4665-407E-A07E-3D2AC1C34668}"/>
    <cellStyle name="Comma 10 4 2" xfId="911" xr:uid="{DF524509-F41B-4A2A-AADB-D379011FE7D6}"/>
    <cellStyle name="Comma 10 4 3" xfId="912" xr:uid="{02DEBFBE-0D52-4E7F-AD60-FB1C62501B7A}"/>
    <cellStyle name="Comma 10 4 4" xfId="913" xr:uid="{7F5A433D-B9E7-4565-9A6E-5099FCF88702}"/>
    <cellStyle name="Comma 10 4 5" xfId="914" xr:uid="{DBA5EBEE-05BC-4522-9582-5B4F0A2EF4B1}"/>
    <cellStyle name="Comma 10 4 6" xfId="915" xr:uid="{D66709B5-99CD-4C3A-B284-21A962C7E5E6}"/>
    <cellStyle name="Comma 10 5" xfId="916" xr:uid="{460CAAF6-5C9C-46B2-97A9-286FC732593E}"/>
    <cellStyle name="Comma 10 5 2" xfId="917" xr:uid="{52D6D884-1DC1-4B99-8718-C1F1E7063015}"/>
    <cellStyle name="Comma 10 6" xfId="918" xr:uid="{0F68ECF8-35E1-42AD-9B70-8D62E84B7FC0}"/>
    <cellStyle name="Comma 10 6 2" xfId="919" xr:uid="{96B97CEF-F7A1-4E8B-90F0-9D5CC5B1E196}"/>
    <cellStyle name="Comma 10 7" xfId="920" xr:uid="{825C59FD-414F-4524-B46F-8F6B7220F88E}"/>
    <cellStyle name="Comma 10 8" xfId="921" xr:uid="{BAE843E3-2092-4432-93CD-529F9DDB6A0C}"/>
    <cellStyle name="Comma 10 8 2" xfId="922" xr:uid="{02EE3B4A-1B49-4E6F-8816-BA8E5453E97E}"/>
    <cellStyle name="Comma 10 9" xfId="923" xr:uid="{8967F9DB-D9A6-4788-86A2-2C3052445077}"/>
    <cellStyle name="Comma 12 2" xfId="924" xr:uid="{DF3F21DA-6D9F-4A95-A071-4FBA20572A71}"/>
    <cellStyle name="Comma 13" xfId="925" xr:uid="{0B526B12-06D2-4BE9-BCEE-9322FD068935}"/>
    <cellStyle name="Comma 13 10" xfId="926" xr:uid="{38DBE3D8-C75A-4EFB-B0E2-7412BD983223}"/>
    <cellStyle name="Comma 13 2" xfId="927" xr:uid="{56B3B362-0394-43F1-AFCF-55CC003333B6}"/>
    <cellStyle name="Comma 13 3" xfId="928" xr:uid="{D35565D1-688F-4387-A3EE-36C1B21C4AA5}"/>
    <cellStyle name="Comma 13 4" xfId="929" xr:uid="{3307E660-A54C-41AD-B4C7-D736855E70A1}"/>
    <cellStyle name="Comma 13 4 2" xfId="930" xr:uid="{09994283-CBAE-4C20-808B-9D6C74E7A656}"/>
    <cellStyle name="Comma 13 4 3" xfId="931" xr:uid="{6EB6DC1E-7E1D-429B-ACE4-A3EBB827BE20}"/>
    <cellStyle name="Comma 13 4 4" xfId="932" xr:uid="{EE9CBC22-C426-4FD1-A3F3-D94A66E47FB7}"/>
    <cellStyle name="Comma 13 4 5" xfId="933" xr:uid="{1F162C36-7557-479C-A194-874A2D1544F2}"/>
    <cellStyle name="Comma 13 4 6" xfId="934" xr:uid="{3FAE6E28-BF6F-4B00-A734-594023D11789}"/>
    <cellStyle name="Comma 13 5" xfId="935" xr:uid="{FE9FFF93-EEBD-458E-821F-07AFE0628A42}"/>
    <cellStyle name="Comma 13 5 2" xfId="936" xr:uid="{E03C6539-6119-4A7F-AF56-E27C24EAF861}"/>
    <cellStyle name="Comma 13 6" xfId="937" xr:uid="{780983F5-ABC3-40E2-9486-29D0C9804393}"/>
    <cellStyle name="Comma 13 6 2" xfId="938" xr:uid="{976D28D7-8E73-43D9-9257-8C9B7AB35137}"/>
    <cellStyle name="Comma 13 7" xfId="939" xr:uid="{7029B69A-1EE6-4063-8B10-05F4E322FE5C}"/>
    <cellStyle name="Comma 13 8" xfId="940" xr:uid="{7548B5EF-644F-4A84-BAC4-53A549F51063}"/>
    <cellStyle name="Comma 13 9" xfId="941" xr:uid="{240B6592-CFD9-480C-9EDA-F34CAFFD703C}"/>
    <cellStyle name="Comma 15" xfId="942" xr:uid="{783B35C6-F125-499D-BD16-778A72FA8FEF}"/>
    <cellStyle name="Comma 17" xfId="943" xr:uid="{321ADD31-FFB2-46B8-8467-354ECE12FFF5}"/>
    <cellStyle name="Comma 17 2" xfId="944" xr:uid="{5BFA19B8-268B-418B-90F7-2CE17FD273BA}"/>
    <cellStyle name="Comma 17 3" xfId="945" xr:uid="{76DFDD56-7A77-4EF9-B21A-D06C3A8E4537}"/>
    <cellStyle name="Comma 17 4" xfId="946" xr:uid="{12C73516-3B23-4D8F-81C6-5519EF008717}"/>
    <cellStyle name="Comma 18" xfId="947" xr:uid="{42104FD8-3B0B-42B7-84F3-A732671261F1}"/>
    <cellStyle name="Comma 18 2" xfId="948" xr:uid="{AD5D3493-5E20-4D19-9A49-015244FB5FAF}"/>
    <cellStyle name="Comma 18 3" xfId="949" xr:uid="{CCBECEFE-6F7A-4EC5-A2AE-293A79F05E2F}"/>
    <cellStyle name="Comma 19" xfId="950" xr:uid="{116BCB18-1BF5-42FF-83B6-F2A1D3E9E5BC}"/>
    <cellStyle name="Comma 19 2" xfId="951" xr:uid="{57804388-9F74-4464-BFD7-627F89815D12}"/>
    <cellStyle name="Comma 19 3" xfId="952" xr:uid="{32387373-AE8A-4200-B953-C466A687EBD8}"/>
    <cellStyle name="Comma 19 4" xfId="953" xr:uid="{2066EA57-A065-4B0A-B3D1-862EBBBFC5F8}"/>
    <cellStyle name="Comma 19 5" xfId="954" xr:uid="{84269C9E-EE96-4070-A24E-0748B626845A}"/>
    <cellStyle name="Comma 19 6" xfId="955" xr:uid="{0B909CA1-77DE-47C8-8EA7-FFE92095BA9A}"/>
    <cellStyle name="Comma 2" xfId="6" xr:uid="{00000000-0005-0000-0000-000005000000}"/>
    <cellStyle name="Comma 2 10" xfId="956" xr:uid="{33315ADB-6A97-46D1-9665-D10088B5CAB0}"/>
    <cellStyle name="Comma 2 11" xfId="957" xr:uid="{2243A750-0D6B-4DE2-AEE5-36472B481791}"/>
    <cellStyle name="Comma 2 2" xfId="70" xr:uid="{00000000-0005-0000-0000-000006000000}"/>
    <cellStyle name="Comma 2 2 2" xfId="959" xr:uid="{0B64D580-27BB-4915-B49E-2C86A8D4383C}"/>
    <cellStyle name="Comma 2 2 3" xfId="960" xr:uid="{8C0A9737-C205-4737-9AE8-13B4D8CFA67F}"/>
    <cellStyle name="Comma 2 2 4" xfId="961" xr:uid="{F3B7850D-1E7B-442A-A500-EE47092DF7B3}"/>
    <cellStyle name="Comma 2 2 5" xfId="958" xr:uid="{7E95AF81-03F0-40EB-B06A-4752D04EB66D}"/>
    <cellStyle name="Comma 2 3" xfId="86" xr:uid="{00000000-0005-0000-0000-000007000000}"/>
    <cellStyle name="Comma 2 3 2" xfId="963" xr:uid="{576209AF-4828-411E-A47D-29D0ACECF6F0}"/>
    <cellStyle name="Comma 2 3 3" xfId="964" xr:uid="{434B58AE-0EED-48C1-99E9-C2F857E588C7}"/>
    <cellStyle name="Comma 2 3 4" xfId="965" xr:uid="{BB5DF961-9DCE-454D-B949-B27E5F530288}"/>
    <cellStyle name="Comma 2 3 5" xfId="962" xr:uid="{B093FFC6-26D2-45E3-B21D-708B8708B41E}"/>
    <cellStyle name="Comma 2 4" xfId="94" xr:uid="{00000000-0005-0000-0000-000008000000}"/>
    <cellStyle name="Comma 2 4 2" xfId="966" xr:uid="{D7110381-CB53-4693-99C2-E0516A6091C6}"/>
    <cellStyle name="Comma 2 5" xfId="95" xr:uid="{00000000-0005-0000-0000-000009000000}"/>
    <cellStyle name="Comma 2 5 2" xfId="967" xr:uid="{6A9C2B0E-3C71-408A-8CC5-D6353ECEE3AC}"/>
    <cellStyle name="Comma 2 6" xfId="98" xr:uid="{00000000-0005-0000-0000-00000A000000}"/>
    <cellStyle name="Comma 2 6 2" xfId="968" xr:uid="{9E56A5D1-9AC4-41B1-A079-CA6B71DD479E}"/>
    <cellStyle name="Comma 2 7" xfId="969" xr:uid="{A1635756-ED2F-47FA-B7A6-9296B49B698C}"/>
    <cellStyle name="Comma 2 8" xfId="970" xr:uid="{66DBAC01-08B7-4A12-8769-B9E3C86AF705}"/>
    <cellStyle name="Comma 2 9" xfId="971" xr:uid="{2A74125E-728C-4B3C-97CB-B5EC7C4BDCCF}"/>
    <cellStyle name="Comma 21" xfId="972" xr:uid="{96237F0D-B5D7-49C0-B9D3-7FD2A8510807}"/>
    <cellStyle name="Comma 21 2" xfId="973" xr:uid="{C2F8472A-765C-4812-8474-A63C03B9B318}"/>
    <cellStyle name="Comma 21 3" xfId="974" xr:uid="{82ABBCDF-548D-4052-BFB5-D5709175391C}"/>
    <cellStyle name="Comma 22" xfId="975" xr:uid="{4B30EF0C-AC1D-4728-9381-8D4A0E46DBC3}"/>
    <cellStyle name="Comma 22 2" xfId="976" xr:uid="{1CC573E2-ACE4-4E2F-93C8-242BC3F3E01F}"/>
    <cellStyle name="Comma 22 3" xfId="977" xr:uid="{350E82D8-B23D-4A25-BF34-D5248C183FCF}"/>
    <cellStyle name="Comma 22 4" xfId="978" xr:uid="{3581600F-FEE8-4936-B2EC-590F4D27F674}"/>
    <cellStyle name="Comma 3" xfId="64" xr:uid="{00000000-0005-0000-0000-00000B000000}"/>
    <cellStyle name="Comma 3 2" xfId="979" xr:uid="{7561A552-9AF6-4C34-B23E-BB6B855F3F84}"/>
    <cellStyle name="Comma 3 2 2" xfId="980" xr:uid="{14D76411-1412-4676-A5FD-B5A6386D8EC4}"/>
    <cellStyle name="Comma 3 2 3" xfId="981" xr:uid="{AA63E9E3-CA0B-4BBE-87B7-BC377D7C7BB1}"/>
    <cellStyle name="Comma 3 2 4" xfId="982" xr:uid="{CCF64171-5884-4EEB-85B8-F97BE357941F}"/>
    <cellStyle name="Comma 3 3" xfId="983" xr:uid="{FEDF0528-1363-4095-B1E4-51297CD6BD4A}"/>
    <cellStyle name="Comma 3 3 2" xfId="984" xr:uid="{142EF4B2-EC1D-494F-BF94-D2C31418DDD6}"/>
    <cellStyle name="Comma 3 3 3" xfId="985" xr:uid="{08509AA0-A110-400A-A457-5D84FB8FBD6E}"/>
    <cellStyle name="Comma 3 3 4" xfId="986" xr:uid="{B63224E7-1950-4EFA-AB48-3AC910BEF1C6}"/>
    <cellStyle name="Comma 3 4" xfId="987" xr:uid="{9712E44C-9307-4F75-91BC-85C31F5F4832}"/>
    <cellStyle name="Comma 3 5" xfId="988" xr:uid="{731A36D9-ECC9-48F7-9067-AF4DA29B8C3F}"/>
    <cellStyle name="Comma 3 6" xfId="989" xr:uid="{7316AE3B-D4DD-4E23-9EF3-454A0325AAB0}"/>
    <cellStyle name="Comma 4" xfId="7" xr:uid="{00000000-0005-0000-0000-00000C000000}"/>
    <cellStyle name="Comma 4 10" xfId="991" xr:uid="{F1646672-9A3D-4408-9493-C4DFE717FC43}"/>
    <cellStyle name="Comma 4 11" xfId="990" xr:uid="{09465177-B0D4-45C8-ABE4-EBEA9673597E}"/>
    <cellStyle name="Comma 4 2" xfId="992" xr:uid="{7D14068A-086A-4E66-8DAC-39B4B68CB2D5}"/>
    <cellStyle name="Comma 4 2 2" xfId="993" xr:uid="{53F64D67-CED3-4ADF-926A-55C75549C808}"/>
    <cellStyle name="Comma 4 2 2 2" xfId="994" xr:uid="{D2B40CCB-38F9-487F-9A6C-AE598C7DEC2D}"/>
    <cellStyle name="Comma 4 2 3" xfId="995" xr:uid="{D7DD19E1-1333-4588-91D7-89ABACDDC7AA}"/>
    <cellStyle name="Comma 4 2 4" xfId="996" xr:uid="{E2CCAD6A-EC63-4437-88E9-6B01C6FE9D01}"/>
    <cellStyle name="Comma 4 2 5" xfId="997" xr:uid="{06D6E7F4-2FEF-4AE6-A29F-403E4A1EDE1F}"/>
    <cellStyle name="Comma 4 2 6" xfId="998" xr:uid="{A160DF09-43B0-4701-AB6C-CE5217F721F8}"/>
    <cellStyle name="Comma 4 3" xfId="999" xr:uid="{D93A7E63-2170-4118-97FB-B2221A3FFEB1}"/>
    <cellStyle name="Comma 4 3 2" xfId="1000" xr:uid="{EAE8CA62-B012-40C4-A85B-39FB12B7C13C}"/>
    <cellStyle name="Comma 4 3 2 2" xfId="1001" xr:uid="{BBA6FE10-AB5C-413F-A0F7-4DB58564CB22}"/>
    <cellStyle name="Comma 4 3 3" xfId="1002" xr:uid="{B89B1DF7-85E9-441D-A008-EAEE551C58B7}"/>
    <cellStyle name="Comma 4 3 4" xfId="1003" xr:uid="{0236FCDB-1369-4BD0-A7F7-517DFDA251E7}"/>
    <cellStyle name="Comma 4 3 5" xfId="1004" xr:uid="{1FA495AB-BA68-4C65-A024-6EC49B473B06}"/>
    <cellStyle name="Comma 4 3 6" xfId="1005" xr:uid="{1407C9A2-D7F4-4CD7-9A5A-21CD113647DF}"/>
    <cellStyle name="Comma 4 4" xfId="1006" xr:uid="{5136AF2C-E8D6-4B3F-9DBD-45EBEF08D6E3}"/>
    <cellStyle name="Comma 4 4 2" xfId="1007" xr:uid="{2B8F81B2-AFA4-4B2D-96CD-AF712E9B9A44}"/>
    <cellStyle name="Comma 4 4 3" xfId="1008" xr:uid="{97FFF42D-6811-45F9-A3B4-1C5FC3B9D790}"/>
    <cellStyle name="Comma 4 4 4" xfId="1009" xr:uid="{44AAEBD9-2A22-47CE-BE81-291587A49042}"/>
    <cellStyle name="Comma 4 4 5" xfId="1010" xr:uid="{19F23C95-CB07-42EA-AFF2-072B5AA8815D}"/>
    <cellStyle name="Comma 4 4 6" xfId="1011" xr:uid="{3C33935F-D766-4C0B-AE0F-3688857DE213}"/>
    <cellStyle name="Comma 4 5" xfId="1012" xr:uid="{D7540FE5-4CC6-4523-8EB3-05ECD5A5EB12}"/>
    <cellStyle name="Comma 4 5 2" xfId="1013" xr:uid="{39121B23-98E2-4D3B-A9A0-F47EC1220167}"/>
    <cellStyle name="Comma 4 6" xfId="1014" xr:uid="{C8A5A4D2-9367-42B7-99E8-3CA1171E48B6}"/>
    <cellStyle name="Comma 4 6 2" xfId="1015" xr:uid="{83775179-A4C1-42D5-AEE7-B3C3EFC659AB}"/>
    <cellStyle name="Comma 4 7" xfId="1016" xr:uid="{559B8632-8BA9-4DF3-8720-596A8842F815}"/>
    <cellStyle name="Comma 4 8" xfId="1017" xr:uid="{1E55C9EF-84DC-4597-8D3B-64B102413F7E}"/>
    <cellStyle name="Comma 4 8 2" xfId="1018" xr:uid="{7198FEDB-558E-4391-B30D-5CE5BCB166BE}"/>
    <cellStyle name="Comma 4 9" xfId="1019" xr:uid="{6A910132-A0A6-4898-98A0-46B072ED63A8}"/>
    <cellStyle name="Comma 48" xfId="1020" xr:uid="{AEA580C2-8D52-4309-B7BC-FDCCF6F037BD}"/>
    <cellStyle name="Comma 48 2" xfId="1021" xr:uid="{14A0E0B8-A710-4ED7-B28B-6B6C9583CB89}"/>
    <cellStyle name="Comma 48 3" xfId="1022" xr:uid="{E828BA76-70AD-4861-9BDD-6E5AD6279DC5}"/>
    <cellStyle name="Comma 48 4" xfId="1023" xr:uid="{F5F1D6D7-8BF6-4B26-AA04-A3FBA5DE821D}"/>
    <cellStyle name="Comma 49" xfId="1024" xr:uid="{AE57160A-2B2A-4F4F-A11B-86C0ADCBF157}"/>
    <cellStyle name="Comma 49 2" xfId="1025" xr:uid="{C4AC7ADD-E4A5-41C6-870E-62B64EC9E4F5}"/>
    <cellStyle name="Comma 49 3" xfId="1026" xr:uid="{10BF481F-E8FD-4C22-A678-1598359E3798}"/>
    <cellStyle name="Comma 49 4" xfId="1027" xr:uid="{6BCC9058-1066-49F4-BBD1-68EB6B6472FB}"/>
    <cellStyle name="Comma 5" xfId="73" xr:uid="{00000000-0005-0000-0000-00000D000000}"/>
    <cellStyle name="Comma 5 2" xfId="1028" xr:uid="{C9A15432-042D-4EC4-8FC8-C68BB65FBC8F}"/>
    <cellStyle name="Comma 5 2 2" xfId="1029" xr:uid="{097F70AB-A2B7-4DBE-BFCA-619DFD5AD073}"/>
    <cellStyle name="Comma 5 2 3" xfId="1030" xr:uid="{A0B839CC-3EED-4D3B-A74F-7C9775AF10DA}"/>
    <cellStyle name="Comma 5 2 4" xfId="1031" xr:uid="{8F7D1303-5B80-45A2-B996-7A1A6031C3B8}"/>
    <cellStyle name="Comma 5 3" xfId="1032" xr:uid="{3E81EBA4-A726-4CF9-9A8A-088DF0CFA110}"/>
    <cellStyle name="Comma 5 3 2" xfId="1033" xr:uid="{75963D19-90FC-40FF-8686-F070359699A5}"/>
    <cellStyle name="Comma 5 3 3" xfId="1034" xr:uid="{56F80B6B-C642-46EF-B49E-4594F0B2CEB5}"/>
    <cellStyle name="Comma 5 3 4" xfId="1035" xr:uid="{1F6A9310-849E-4AC8-889E-02C28311AF1E}"/>
    <cellStyle name="Comma 5 4" xfId="1036" xr:uid="{4B075F36-A0EA-4313-A984-0874C1F9FB55}"/>
    <cellStyle name="Comma 5 5" xfId="1037" xr:uid="{758E1915-D595-4850-B3CF-6B4A48CC94C3}"/>
    <cellStyle name="Comma 5 6" xfId="1038" xr:uid="{4DB21484-8695-421E-9032-6AA29C390259}"/>
    <cellStyle name="Comma 50" xfId="1039" xr:uid="{87565C6D-08ED-4393-B0B9-039D333994F1}"/>
    <cellStyle name="Comma 50 2" xfId="1040" xr:uid="{B9B9AE40-8A34-4328-A9F6-324DDF176402}"/>
    <cellStyle name="Comma 50 3" xfId="1041" xr:uid="{2731F32F-ED3E-47CB-ADE1-E5219FD873FE}"/>
    <cellStyle name="Comma 50 4" xfId="1042" xr:uid="{160CF311-EF21-423B-9B22-FBDEE3A797A9}"/>
    <cellStyle name="Comma 51" xfId="1043" xr:uid="{6BC41457-2F96-48CC-9910-0A1C0FEB760E}"/>
    <cellStyle name="Comma 51 2" xfId="1044" xr:uid="{C201D635-172C-41C6-85B5-02F5FE30E1E5}"/>
    <cellStyle name="Comma 51 3" xfId="1045" xr:uid="{95C4C014-95C1-4E03-B6B5-1A8D3A8C02A2}"/>
    <cellStyle name="Comma 51 4" xfId="1046" xr:uid="{D092A9AA-0DEC-4FE1-B60A-19201B8B7B8B}"/>
    <cellStyle name="Comma 6" xfId="90" xr:uid="{00000000-0005-0000-0000-00000E000000}"/>
    <cellStyle name="Comma 6 2" xfId="1047" xr:uid="{91633423-AE3F-4768-86E8-4132A0FFDC49}"/>
    <cellStyle name="Comma 6 2 2" xfId="1048" xr:uid="{9D55F3E0-D527-465C-AD54-FE872A928375}"/>
    <cellStyle name="Comma 6 2 3" xfId="1049" xr:uid="{26D15DD5-E4CB-4065-88E5-36944584E9DD}"/>
    <cellStyle name="Comma 6 2 4" xfId="1050" xr:uid="{B2D4912F-6B9E-4020-B3CE-9B7EB39C6799}"/>
    <cellStyle name="Comma 6 3" xfId="1051" xr:uid="{42694013-A298-4B5E-908F-62099409B7D3}"/>
    <cellStyle name="Comma 6 3 2" xfId="1052" xr:uid="{47DAF56D-A07A-43D4-BE48-306A51E6F2ED}"/>
    <cellStyle name="Comma 6 3 3" xfId="1053" xr:uid="{0B34DFD2-CBB2-4AB7-B125-5AC2B3205831}"/>
    <cellStyle name="Comma 6 3 4" xfId="1054" xr:uid="{A1B4930D-B208-4635-8A02-DE1A1475AE7E}"/>
    <cellStyle name="Comma 6 4" xfId="1055" xr:uid="{A6540EAF-3F92-4D57-8BDC-18DDF7768414}"/>
    <cellStyle name="Comma 6 5" xfId="1056" xr:uid="{C2D7D869-5432-42DC-972D-54DB5275DEB1}"/>
    <cellStyle name="Comma 6 6" xfId="1057" xr:uid="{1E3CE2DB-7414-4400-9A51-6FF5C6B0DF14}"/>
    <cellStyle name="Comma 7" xfId="8" xr:uid="{00000000-0005-0000-0000-00000F000000}"/>
    <cellStyle name="Comma 7 2" xfId="1058" xr:uid="{239BD5D5-A538-4480-BF08-5D48B151A771}"/>
    <cellStyle name="Comma 7 2 2" xfId="1059" xr:uid="{7B9F7E79-1F41-468B-8398-F879CFECB78E}"/>
    <cellStyle name="Comma 7 2 3" xfId="1060" xr:uid="{3F2FFA5E-F98C-417C-8FA8-AE36819046B8}"/>
    <cellStyle name="Comma 7 2 4" xfId="1061" xr:uid="{B76E255A-BB25-4779-BF12-C39B1706CE49}"/>
    <cellStyle name="Comma 7 3" xfId="1062" xr:uid="{6F239403-2D47-4BC9-B371-21A81597B327}"/>
    <cellStyle name="Comma 7 3 2" xfId="1063" xr:uid="{7D3CE9EE-2E91-4B7A-8920-0520C947791C}"/>
    <cellStyle name="Comma 7 3 3" xfId="1064" xr:uid="{E607F978-E642-4EF1-A8B5-A8504F4F127E}"/>
    <cellStyle name="Comma 7 3 4" xfId="1065" xr:uid="{1A76CBF3-2BBB-4A47-9A44-230C4485897E}"/>
    <cellStyle name="Comma 7 4" xfId="1066" xr:uid="{AE1B472F-B593-4C91-B331-51BE7EBC879F}"/>
    <cellStyle name="Comma 7 5" xfId="1067" xr:uid="{85D879F0-3AB9-4CF3-809D-973231C80A35}"/>
    <cellStyle name="Comma 7 6" xfId="1068" xr:uid="{6A1CC898-36A1-4259-8737-BAB3C76D6006}"/>
    <cellStyle name="Comma 8" xfId="97" xr:uid="{00000000-0005-0000-0000-000010000000}"/>
    <cellStyle name="Comma 8 10" xfId="1070" xr:uid="{CC9ED2C5-1F1C-40B8-89DA-8769A37B3D90}"/>
    <cellStyle name="Comma 8 11" xfId="1069" xr:uid="{477EB2A5-F9FA-4E84-8A11-230F72093095}"/>
    <cellStyle name="Comma 8 2" xfId="1071" xr:uid="{D3D80428-FECD-4744-A833-B8B99ABEA5E5}"/>
    <cellStyle name="Comma 8 2 2" xfId="1072" xr:uid="{ABDABDEB-0784-40B9-95A7-9C4A24BD5D1C}"/>
    <cellStyle name="Comma 8 2 2 2" xfId="1073" xr:uid="{513982AA-8381-441D-810A-FC6DEC0DE56B}"/>
    <cellStyle name="Comma 8 2 3" xfId="1074" xr:uid="{FF37E775-E5E2-407B-8C12-531D519E58C2}"/>
    <cellStyle name="Comma 8 2 4" xfId="1075" xr:uid="{73BAA1ED-7191-4FA4-97F2-EE92F1865448}"/>
    <cellStyle name="Comma 8 2 5" xfId="1076" xr:uid="{867F9F3C-4D3C-4EA0-9C5E-A61FBD56E0C4}"/>
    <cellStyle name="Comma 8 2 6" xfId="1077" xr:uid="{37AD70F7-2384-409B-9816-E2B8B35C4B40}"/>
    <cellStyle name="Comma 8 3" xfId="1078" xr:uid="{50CAD5C4-DDFB-46A9-A946-360109938A22}"/>
    <cellStyle name="Comma 8 3 2" xfId="1079" xr:uid="{89DC6164-421C-40BF-BE69-6DF04F66DF2D}"/>
    <cellStyle name="Comma 8 3 2 2" xfId="1080" xr:uid="{8CF3DEB8-6207-4C86-8BA6-810354F862DB}"/>
    <cellStyle name="Comma 8 3 3" xfId="1081" xr:uid="{5FC9A45D-D1E7-4F3C-B308-C2CA76978602}"/>
    <cellStyle name="Comma 8 3 4" xfId="1082" xr:uid="{39FEFDAE-7331-438B-95CA-E2C3E0A61296}"/>
    <cellStyle name="Comma 8 3 5" xfId="1083" xr:uid="{B1FCFBB3-EBE5-4FFC-A2AC-4CA31E6B71BA}"/>
    <cellStyle name="Comma 8 3 6" xfId="1084" xr:uid="{DAD8CC25-CE65-4F33-A7EE-CEEE8E45F81C}"/>
    <cellStyle name="Comma 8 4" xfId="1085" xr:uid="{8EC96CD2-0EA9-4EF8-B4BE-825F086E81F2}"/>
    <cellStyle name="Comma 8 4 2" xfId="1086" xr:uid="{07F4C2E8-140F-4E75-BF6C-6857E8289EA8}"/>
    <cellStyle name="Comma 8 4 3" xfId="1087" xr:uid="{7236A3F9-9E57-46ED-B8FB-C54D097D6373}"/>
    <cellStyle name="Comma 8 4 4" xfId="1088" xr:uid="{4E4D5118-3504-4C0D-9A2C-0B108B500B89}"/>
    <cellStyle name="Comma 8 4 5" xfId="1089" xr:uid="{1505F517-0827-4C23-9E80-939E95989038}"/>
    <cellStyle name="Comma 8 4 6" xfId="1090" xr:uid="{F0416ABA-B078-43E9-8628-D4129149F030}"/>
    <cellStyle name="Comma 8 5" xfId="1091" xr:uid="{46403F0D-A1FE-4BEC-AB3B-663055F90E16}"/>
    <cellStyle name="Comma 8 5 2" xfId="1092" xr:uid="{034BD5D0-6E48-44DA-9B06-5DA1280FE080}"/>
    <cellStyle name="Comma 8 6" xfId="1093" xr:uid="{3B161ED5-A43B-4199-AE24-134495E68DC6}"/>
    <cellStyle name="Comma 8 6 2" xfId="1094" xr:uid="{1E08205C-AEF9-44DC-8B22-B719307DFD57}"/>
    <cellStyle name="Comma 8 7" xfId="1095" xr:uid="{2A022E68-7A5F-450F-946E-CD24F771B964}"/>
    <cellStyle name="Comma 8 8" xfId="1096" xr:uid="{0CE7A4C4-7FCD-46C4-BC65-6C191B7032A5}"/>
    <cellStyle name="Comma 8 8 2" xfId="1097" xr:uid="{6CCB4A64-58E1-4CA5-94C4-F608264B2E28}"/>
    <cellStyle name="Comma 8 9" xfId="1098" xr:uid="{3E725ED6-9EAA-45C8-8219-C4FFA5CBE01F}"/>
    <cellStyle name="Comma 9" xfId="2618" xr:uid="{7934D0DD-3C34-4AFA-9677-4740374F7A77}"/>
    <cellStyle name="Comma 9 2" xfId="1099" xr:uid="{AA8AC2C2-A997-40B7-A5F3-712FECB0C354}"/>
    <cellStyle name="Comma 9 2 2" xfId="1100" xr:uid="{7451D3A8-3589-444C-BF5F-E963F6C54A49}"/>
    <cellStyle name="Comma 9 3" xfId="1101" xr:uid="{A7CA3C38-2E01-4DA7-A477-28932F6518E8}"/>
    <cellStyle name="Comma 9 4" xfId="1102" xr:uid="{5B98F5C1-CFE0-4DCA-B1A3-AB5E2C4DD17E}"/>
    <cellStyle name="Currency 6" xfId="9" xr:uid="{00000000-0005-0000-0000-000011000000}"/>
    <cellStyle name="Currency 7" xfId="10" xr:uid="{00000000-0005-0000-0000-000012000000}"/>
    <cellStyle name="Date" xfId="11" xr:uid="{00000000-0005-0000-0000-000013000000}"/>
    <cellStyle name="Date 10" xfId="1104" xr:uid="{BF1BBE39-760E-456D-92C5-2E38F91EE287}"/>
    <cellStyle name="Date 100" xfId="1103" xr:uid="{093AF1CA-8F11-4E50-97DA-89133BF52B10}"/>
    <cellStyle name="Date 11" xfId="1105" xr:uid="{5A5E2591-7986-4B69-99AD-109025D98BA4}"/>
    <cellStyle name="Date 11 2" xfId="1106" xr:uid="{E1A15FE9-F830-4783-96BE-090EBAAD9547}"/>
    <cellStyle name="Date 12" xfId="1107" xr:uid="{44B6D0CB-D2CC-4DD1-B063-A294087FB5DD}"/>
    <cellStyle name="Date 12 2" xfId="1108" xr:uid="{377AD567-0EF9-4E12-B255-2E6F75206666}"/>
    <cellStyle name="Date 13" xfId="1109" xr:uid="{ABCADF7C-DCBB-4FAB-9D1C-1C07D2EABE45}"/>
    <cellStyle name="Date 13 2" xfId="1110" xr:uid="{1FD142C6-CF98-41F7-8934-6B4E1892E652}"/>
    <cellStyle name="Date 14" xfId="1111" xr:uid="{12C4A857-77C9-48D2-9848-75094035E38E}"/>
    <cellStyle name="Date 15" xfId="1112" xr:uid="{21D8C771-564C-417A-BC13-1D760B64E33B}"/>
    <cellStyle name="Date 16" xfId="1113" xr:uid="{54960DFF-0F17-4E9C-8598-11A258D03FBD}"/>
    <cellStyle name="Date 17" xfId="1114" xr:uid="{0E25A977-0DF6-4406-84B8-A88843C9308A}"/>
    <cellStyle name="Date 18" xfId="1115" xr:uid="{5C3CE7FB-2BD7-41D8-AA2D-A2412E4B449D}"/>
    <cellStyle name="Date 19" xfId="1116" xr:uid="{8465504D-6CE0-4E15-B486-B26748A58EE6}"/>
    <cellStyle name="Date 2" xfId="1117" xr:uid="{9F2256DF-7A83-410A-A809-1DA255959D4F}"/>
    <cellStyle name="Date 2 10" xfId="1118" xr:uid="{90F1A359-BFCB-4AC6-A245-FDA5880A666C}"/>
    <cellStyle name="Date 2 10 2" xfId="1119" xr:uid="{AA6CBFFC-4DBF-45A8-ABCE-F04F16FF2A05}"/>
    <cellStyle name="Date 2 10 2 2" xfId="1120" xr:uid="{A0C224F2-CAAD-4E83-B405-175B49C70113}"/>
    <cellStyle name="Date 2 10 3" xfId="1121" xr:uid="{39E1FFAF-109F-47F8-8158-87FDF78E9B26}"/>
    <cellStyle name="Date 2 11" xfId="1122" xr:uid="{FC51BC39-55CA-4F80-8FF2-603590EDA89E}"/>
    <cellStyle name="Date 2 11 2" xfId="1123" xr:uid="{A1796F98-C5CC-442D-8E3C-E3934A15999F}"/>
    <cellStyle name="Date 2 11 3" xfId="1124" xr:uid="{8C054E92-17D4-40EE-9ED7-F3477C4D3CF1}"/>
    <cellStyle name="Date 2 12" xfId="1125" xr:uid="{94FBD926-F55D-48B3-8C20-50C2A2E29563}"/>
    <cellStyle name="Date 2 12 2" xfId="1126" xr:uid="{2ADE1224-E0B1-4510-AB50-938E61A7FE21}"/>
    <cellStyle name="Date 2 12 3" xfId="1127" xr:uid="{BF88988F-22BA-4880-8622-9C6AA6C2F079}"/>
    <cellStyle name="Date 2 13" xfId="1128" xr:uid="{1548F2DB-CF30-43FC-A63E-8336787C53F6}"/>
    <cellStyle name="Date 2 13 2" xfId="1129" xr:uid="{C27BAFB1-94D2-46B4-9965-D1EA3B50A27B}"/>
    <cellStyle name="Date 2 13 3" xfId="1130" xr:uid="{46748882-33C0-4E19-9AC8-E04B3E0F95E2}"/>
    <cellStyle name="Date 2 14" xfId="1131" xr:uid="{675568BA-605D-451E-9B85-7876C57AD195}"/>
    <cellStyle name="Date 2 15" xfId="1132" xr:uid="{D222C557-B24B-489A-84E5-4331AE9E91CC}"/>
    <cellStyle name="Date 2 2" xfId="1133" xr:uid="{81272BCE-4D8D-41AA-85F4-32126EB7DC46}"/>
    <cellStyle name="Date 2 2 10" xfId="1134" xr:uid="{15F970F5-DAA5-4566-AB28-4203ED072FE1}"/>
    <cellStyle name="Date 2 2 11" xfId="1135" xr:uid="{5C2A035B-436E-4B58-B0BB-33CC3B4E2FDB}"/>
    <cellStyle name="Date 2 2 12" xfId="1136" xr:uid="{26FD1C5C-68D1-4BAB-941A-8F95B6EA8C7E}"/>
    <cellStyle name="Date 2 2 2" xfId="1137" xr:uid="{DD743701-855B-45D1-92DE-CDCF9E4D257B}"/>
    <cellStyle name="Date 2 2 2 2" xfId="1138" xr:uid="{1E700C1A-E55A-469E-AFF1-230833167D2B}"/>
    <cellStyle name="Date 2 2 3" xfId="1139" xr:uid="{F9B3CC80-6F43-4CB1-ABB5-77144DD9F61B}"/>
    <cellStyle name="Date 2 2 4" xfId="1140" xr:uid="{5815381F-8905-4BA9-8A17-A13C36F13FFE}"/>
    <cellStyle name="Date 2 2 5" xfId="1141" xr:uid="{E5793A56-E1FA-4D2F-8377-64D441C09339}"/>
    <cellStyle name="Date 2 2 6" xfId="1142" xr:uid="{FB0A0164-B9A1-4DE9-9FCD-A4922F6DB6EC}"/>
    <cellStyle name="Date 2 2 7" xfId="1143" xr:uid="{FCC6EEE2-EE00-46C7-A85A-D1BDA8296A16}"/>
    <cellStyle name="Date 2 2 8" xfId="1144" xr:uid="{983DE682-7A79-4A50-A146-6034D5BEC4CC}"/>
    <cellStyle name="Date 2 2 9" xfId="1145" xr:uid="{D0306E78-5013-42BE-B07D-A7F04FA9B93C}"/>
    <cellStyle name="Date 2 3" xfId="1146" xr:uid="{853D85E8-ADA4-43BA-A076-AAEF4F859105}"/>
    <cellStyle name="Date 2 4" xfId="1147" xr:uid="{97DB2D3E-538C-4041-8659-2E68B22DB4D1}"/>
    <cellStyle name="Date 2 5" xfId="1148" xr:uid="{68E186CF-50BF-42A2-AA0E-DD74BEAE86B0}"/>
    <cellStyle name="Date 2 6" xfId="1149" xr:uid="{E9504555-6962-498A-A0FC-0CCA53DD1FEA}"/>
    <cellStyle name="Date 2 7" xfId="1150" xr:uid="{18AA7C8E-2F64-41A1-B53D-2A17AD74A1B1}"/>
    <cellStyle name="Date 2 8" xfId="1151" xr:uid="{1E64448D-9556-4F5B-B782-848CB75C4D83}"/>
    <cellStyle name="Date 2 9" xfId="1152" xr:uid="{641AEEB3-3BDF-436D-8506-069A08A3D57D}"/>
    <cellStyle name="Date 2 9 2" xfId="1153" xr:uid="{4D771C33-D310-4A16-B6FC-62543B49AC8C}"/>
    <cellStyle name="Date 2 9 2 2" xfId="1154" xr:uid="{2475BD9C-B01E-4FC8-BED9-9EA50516DD77}"/>
    <cellStyle name="Date 2 9 3" xfId="1155" xr:uid="{1B4BCB05-D518-46B5-A95D-BBB5FA769E18}"/>
    <cellStyle name="Date 20" xfId="1156" xr:uid="{5C18B7EA-A246-4FB4-BE49-7077F9859FFC}"/>
    <cellStyle name="Date 21" xfId="1157" xr:uid="{48238CC4-8CFA-489C-998A-3C9C348323AB}"/>
    <cellStyle name="Date 22" xfId="1158" xr:uid="{D10CE3C2-6FFE-40C5-B782-3643B6762C08}"/>
    <cellStyle name="Date 23" xfId="1159" xr:uid="{353F598B-0DE6-442E-AB96-196FB081BDA2}"/>
    <cellStyle name="Date 24" xfId="1160" xr:uid="{D80EBEAD-B8F0-40C7-9461-CDB45768245F}"/>
    <cellStyle name="Date 25" xfId="1161" xr:uid="{F36C635D-F582-47AA-A76F-D85A97A159F7}"/>
    <cellStyle name="Date 26" xfId="1162" xr:uid="{BEB4FC51-47A0-4D02-AA34-6B097308E6CE}"/>
    <cellStyle name="Date 27" xfId="1163" xr:uid="{AAC016FB-35CC-4C89-8C0F-12789D94F1CB}"/>
    <cellStyle name="Date 28" xfId="1164" xr:uid="{5762E6ED-13F7-4A7A-A4BB-8B28D3003BA9}"/>
    <cellStyle name="Date 29" xfId="1165" xr:uid="{DAEB377F-EBAD-472A-8EAE-3045274674FB}"/>
    <cellStyle name="Date 3" xfId="1166" xr:uid="{B63C31D4-B031-4258-A697-E317DB8EA127}"/>
    <cellStyle name="Date 30" xfId="1167" xr:uid="{36AF674D-6F16-4B9B-A311-FA3F7F38E382}"/>
    <cellStyle name="Date 31" xfId="1168" xr:uid="{E1BD0084-DFE3-467D-8AC6-8DA063A8EBE3}"/>
    <cellStyle name="Date 32" xfId="1169" xr:uid="{67135DD8-A46B-424D-9A9E-5F7D357D510E}"/>
    <cellStyle name="Date 33" xfId="1170" xr:uid="{6D0E1DE5-169C-44CA-9B2C-9CE15206767F}"/>
    <cellStyle name="Date 34" xfId="1171" xr:uid="{CFF439CD-93E7-4C19-A2CC-F4D57C29115B}"/>
    <cellStyle name="Date 35" xfId="1172" xr:uid="{51E0008F-DCA5-4EDD-ACE8-7F740F33EA3D}"/>
    <cellStyle name="Date 36" xfId="1173" xr:uid="{12754458-71D7-4EE6-8208-BDE2F650CCCE}"/>
    <cellStyle name="Date 37" xfId="1174" xr:uid="{C717D9BF-A408-4F69-BC76-9BFBC0FAE357}"/>
    <cellStyle name="Date 38" xfId="1175" xr:uid="{DCC19B20-52E7-4792-810A-EA33B7789740}"/>
    <cellStyle name="Date 39" xfId="1176" xr:uid="{D371C04B-CA47-43D7-9068-517B7AE44EF1}"/>
    <cellStyle name="Date 4" xfId="1177" xr:uid="{1D5981B1-A7C4-449F-A624-5A5F490925CA}"/>
    <cellStyle name="Date 40" xfId="1178" xr:uid="{7FE79601-CBD2-41C4-A803-D0D5C29DFBE0}"/>
    <cellStyle name="Date 41" xfId="1179" xr:uid="{4CD0C718-E14C-48B0-9567-2219F05F4C1F}"/>
    <cellStyle name="Date 42" xfId="1180" xr:uid="{52A1FD2D-0744-4E3E-8EFD-270CE69A9483}"/>
    <cellStyle name="Date 43" xfId="1181" xr:uid="{4B7373E0-43EF-429A-9687-176DE849AF2E}"/>
    <cellStyle name="Date 44" xfId="1182" xr:uid="{C29F28D6-0DEC-4FBB-9F84-F8D4F9F23AA7}"/>
    <cellStyle name="Date 45" xfId="1183" xr:uid="{37FFAAF0-8C23-4FDA-8E13-594761F61139}"/>
    <cellStyle name="Date 46" xfId="1184" xr:uid="{5C5DFD93-296E-4FAC-B828-5B0743290C58}"/>
    <cellStyle name="Date 47" xfId="1185" xr:uid="{6B02D02B-A9FF-4C34-B48F-06318182DEDB}"/>
    <cellStyle name="Date 48" xfId="1186" xr:uid="{FE745609-D9B8-455D-BBFA-368E1571BC4E}"/>
    <cellStyle name="Date 49" xfId="1187" xr:uid="{266933DD-0A42-40F1-B2B5-D3FDBFAB4565}"/>
    <cellStyle name="Date 5" xfId="1188" xr:uid="{1C3A8AEE-9EAD-4450-BC54-D32E3181BB04}"/>
    <cellStyle name="Date 5 2" xfId="1189" xr:uid="{B1C672A8-70BE-45CC-A836-B70C682E9C52}"/>
    <cellStyle name="Date 5 3" xfId="1190" xr:uid="{9AF5DD85-F15C-4E28-AD43-9BED63320EDA}"/>
    <cellStyle name="Date 5 4" xfId="1191" xr:uid="{5B2AC054-5FB8-4BE1-94FA-5A8B2418417C}"/>
    <cellStyle name="Date 5 5" xfId="1192" xr:uid="{D6846155-A97D-4312-9944-E36E47C2759D}"/>
    <cellStyle name="Date 5 6" xfId="1193" xr:uid="{F0001633-8C8B-405B-8F62-8079ED52E7FD}"/>
    <cellStyle name="Date 5 7" xfId="1194" xr:uid="{80ECAC43-8690-4910-AFFA-40C0F3358826}"/>
    <cellStyle name="Date 50" xfId="1195" xr:uid="{F719ADDE-C8F5-4CB8-8132-159273DDE264}"/>
    <cellStyle name="Date 51" xfId="1196" xr:uid="{39517BC1-53E6-4650-BBF0-3AF9BEB92E67}"/>
    <cellStyle name="Date 52" xfId="1197" xr:uid="{5FB4522D-E7E8-4D43-B04E-F0120BACAFB2}"/>
    <cellStyle name="Date 53" xfId="1198" xr:uid="{941B09B9-0F21-4881-A575-F918ED68B554}"/>
    <cellStyle name="Date 54" xfId="1199" xr:uid="{1AB79401-1559-46CB-AEDE-E9B1F471535C}"/>
    <cellStyle name="Date 55" xfId="1200" xr:uid="{E0A1F01D-D814-4679-AD82-10C9E98579E1}"/>
    <cellStyle name="Date 56" xfId="1201" xr:uid="{272DF49D-EA3B-4F03-9DCF-D9911EA64DF9}"/>
    <cellStyle name="Date 57" xfId="1202" xr:uid="{2AE32E5D-4092-49A9-AE1F-A1E78280DF67}"/>
    <cellStyle name="Date 58" xfId="1203" xr:uid="{18EF57DC-699E-4FE1-955F-15B210F73D76}"/>
    <cellStyle name="Date 59" xfId="1204" xr:uid="{92159B87-C047-4C49-A182-A711E24EC7F6}"/>
    <cellStyle name="Date 6" xfId="1205" xr:uid="{939D9F49-9AA6-47FD-AA9F-0E9B4B9C8D32}"/>
    <cellStyle name="Date 6 2" xfId="1206" xr:uid="{9876FD03-664A-4390-B589-0DE374D5E45D}"/>
    <cellStyle name="Date 6 3" xfId="1207" xr:uid="{5CD33256-665B-486A-98E6-61EBA61B2BD3}"/>
    <cellStyle name="Date 6 4" xfId="1208" xr:uid="{86A5F367-747F-4A69-AFB5-02F34385BC26}"/>
    <cellStyle name="Date 6 5" xfId="1209" xr:uid="{32CAFA52-C9E4-41B3-A975-D3F4DD980870}"/>
    <cellStyle name="Date 6 6" xfId="1210" xr:uid="{213D1F9E-0BB2-4B2C-B7E7-4EB324877EFC}"/>
    <cellStyle name="Date 60" xfId="1211" xr:uid="{0CEE82D1-D2B3-42C5-845D-7700F1784A42}"/>
    <cellStyle name="Date 61" xfId="1212" xr:uid="{9BD8616D-123E-42FE-827D-E80C7AA7112F}"/>
    <cellStyle name="Date 62" xfId="1213" xr:uid="{6FF4A898-602C-45BE-B7B9-E62D77C0B83D}"/>
    <cellStyle name="Date 63" xfId="1214" xr:uid="{82B97DA6-74B7-4381-9E2F-3FA45EEB0EA3}"/>
    <cellStyle name="Date 64" xfId="1215" xr:uid="{21C161AE-4424-4741-A0BF-23B59676CAAA}"/>
    <cellStyle name="Date 65" xfId="1216" xr:uid="{7341346A-035A-4A4C-A6D5-8DA5E66EDA7F}"/>
    <cellStyle name="Date 66" xfId="1217" xr:uid="{D60BE23F-6E3C-4801-B1D9-825B4FCC0120}"/>
    <cellStyle name="Date 67" xfId="1218" xr:uid="{2C367708-1B3A-4E71-BEE2-0FDAAE92C07C}"/>
    <cellStyle name="Date 68" xfId="1219" xr:uid="{ADF9CE21-CEE7-4018-B7A8-20418062F0DF}"/>
    <cellStyle name="Date 69" xfId="1220" xr:uid="{8ED816C8-8558-417D-880F-A5100DCB2786}"/>
    <cellStyle name="Date 7" xfId="1221" xr:uid="{BCF90932-30DC-43A7-82B9-6F776CE19B38}"/>
    <cellStyle name="Date 70" xfId="1222" xr:uid="{2D71A2CE-F9A7-4B04-9F88-8085BC9902EC}"/>
    <cellStyle name="Date 71" xfId="1223" xr:uid="{C3FED614-E4B1-4E41-963C-17215DAFF651}"/>
    <cellStyle name="Date 72" xfId="1224" xr:uid="{66B48112-447E-4148-88E2-7D6E7D939415}"/>
    <cellStyle name="Date 73" xfId="1225" xr:uid="{58C22DC1-0D29-4FC4-9E94-D2417A8E59BC}"/>
    <cellStyle name="Date 74" xfId="1226" xr:uid="{332789D6-55CD-4A06-9207-A3B8F9F3482C}"/>
    <cellStyle name="Date 75" xfId="1227" xr:uid="{47E6F045-E1AB-4A17-8E3B-127C13229655}"/>
    <cellStyle name="Date 76" xfId="1228" xr:uid="{AE41BC70-6A95-406F-B8D5-D6361255642E}"/>
    <cellStyle name="Date 77" xfId="1229" xr:uid="{8E7EBBC0-B944-4173-9823-CC4BBE0C01BC}"/>
    <cellStyle name="Date 78" xfId="1230" xr:uid="{63EB7B15-C11A-4B32-9E82-338280CFB5AC}"/>
    <cellStyle name="Date 79" xfId="1231" xr:uid="{70413C00-20FE-42DC-A1F0-0AB0CE09B768}"/>
    <cellStyle name="Date 8" xfId="1232" xr:uid="{C4D6BE12-E943-457C-A713-33A1D5FBE4E9}"/>
    <cellStyle name="Date 80" xfId="1233" xr:uid="{B8AF375F-BF98-48C7-8912-498C54F29079}"/>
    <cellStyle name="Date 81" xfId="1234" xr:uid="{5B2716B7-6245-492A-A7B9-813D1CB3E025}"/>
    <cellStyle name="Date 82" xfId="1235" xr:uid="{D0297164-82AF-4E90-A8E8-45BAFFB7B8D0}"/>
    <cellStyle name="Date 82 2" xfId="1236" xr:uid="{6B7382CE-67E1-499D-8A95-513273F9562D}"/>
    <cellStyle name="Date 82 3" xfId="1237" xr:uid="{B0CB36D6-D7B1-41E3-992B-3E139AF8223C}"/>
    <cellStyle name="Date 82 4" xfId="1238" xr:uid="{EB759EC9-EA4F-4D0A-9350-797315390CAD}"/>
    <cellStyle name="Date 83" xfId="1239" xr:uid="{B706A044-FAA9-4B77-BD28-156E852F7D6D}"/>
    <cellStyle name="Date 83 2" xfId="1240" xr:uid="{F472ACA8-3D93-4F4C-9C7B-9C1C953B32FD}"/>
    <cellStyle name="Date 83 3" xfId="1241" xr:uid="{A751FA26-E377-4F00-800B-ADEB9844D8E2}"/>
    <cellStyle name="Date 83 4" xfId="1242" xr:uid="{E51116BE-B908-4D67-BF3B-52D6CC27CBA1}"/>
    <cellStyle name="Date 84" xfId="1243" xr:uid="{70B75A4E-4116-4ADA-B968-6073F6FEFBFB}"/>
    <cellStyle name="Date 84 2" xfId="1244" xr:uid="{895BC159-6F2C-4BB2-96E6-49F13946A393}"/>
    <cellStyle name="Date 84 3" xfId="1245" xr:uid="{5650ABA2-B05A-4EFA-87EB-07BD45D6354E}"/>
    <cellStyle name="Date 84 4" xfId="1246" xr:uid="{056FAAC3-0316-430A-B365-1D641A57345D}"/>
    <cellStyle name="Date 85" xfId="1247" xr:uid="{A170BB6E-8111-43A6-AE78-DDD11BA5923C}"/>
    <cellStyle name="Date 85 2" xfId="1248" xr:uid="{3BACB180-D70E-4DC2-A67C-69ED1A967F9E}"/>
    <cellStyle name="Date 85 3" xfId="1249" xr:uid="{A2774571-1D66-4411-8947-511DD8559558}"/>
    <cellStyle name="Date 85 4" xfId="1250" xr:uid="{2E999B31-6F23-4D76-B760-9D28F7ED6297}"/>
    <cellStyle name="Date 86" xfId="1251" xr:uid="{B826D08C-3225-4A9E-84E5-30F7E8DF203C}"/>
    <cellStyle name="Date 86 2" xfId="1252" xr:uid="{86A2885F-2BEC-44CE-9A0F-A24121D36909}"/>
    <cellStyle name="Date 86 3" xfId="1253" xr:uid="{4F22E07E-522E-4B28-BB50-CD8FACE75B7E}"/>
    <cellStyle name="Date 86 4" xfId="1254" xr:uid="{7C08DED2-3AE5-4F41-B949-FF532440BA6E}"/>
    <cellStyle name="Date 87" xfId="1255" xr:uid="{7E8EB2D0-1C74-4C4A-A55D-233BFFFC7D6F}"/>
    <cellStyle name="Date 87 2" xfId="1256" xr:uid="{16F46B51-1A9B-476E-A07B-FAF5C72C7BC6}"/>
    <cellStyle name="Date 87 3" xfId="1257" xr:uid="{7E102BF7-C945-42F1-B539-304D7AB773CF}"/>
    <cellStyle name="Date 87 4" xfId="1258" xr:uid="{60668710-715A-456E-B4B5-261118FD7B84}"/>
    <cellStyle name="Date 88" xfId="1259" xr:uid="{9640F6B5-F9B8-40DF-B211-B98A6616873A}"/>
    <cellStyle name="Date 88 2" xfId="1260" xr:uid="{073A6448-295D-4A2E-9430-31BA9FEA6F83}"/>
    <cellStyle name="Date 88 3" xfId="1261" xr:uid="{AEFB4EC9-CFE2-44F5-8A17-037902DA4F62}"/>
    <cellStyle name="Date 88 4" xfId="1262" xr:uid="{E24A62A8-8DEE-4D0E-9F66-9F26E829BC5C}"/>
    <cellStyle name="Date 89" xfId="1263" xr:uid="{DD6ADB8E-3A7C-4916-BA94-568ACBD7786A}"/>
    <cellStyle name="Date 89 2" xfId="1264" xr:uid="{B354FD32-8BC4-436E-82EC-1427A8E884DF}"/>
    <cellStyle name="Date 89 3" xfId="1265" xr:uid="{9DE5BD9B-29D7-4099-A29B-C01336444A64}"/>
    <cellStyle name="Date 89 4" xfId="1266" xr:uid="{37DE3EA3-C3DA-4C82-BE88-23F42F44CC85}"/>
    <cellStyle name="Date 9" xfId="1267" xr:uid="{0C9B6CD7-4C55-49FF-8101-002C6585DC08}"/>
    <cellStyle name="Date 90" xfId="1268" xr:uid="{41EFB37D-E512-4E26-BB0C-5428BFA9AC4E}"/>
    <cellStyle name="Date 91" xfId="1269" xr:uid="{97F08147-ABA6-422F-85EC-B2CDE812C74F}"/>
    <cellStyle name="Date 92" xfId="1270" xr:uid="{7B29BE78-2468-4746-8FA5-1FE279D7FC4B}"/>
    <cellStyle name="Date 93" xfId="1271" xr:uid="{F44EA1BC-053C-4963-837D-7C02ABB86F6E}"/>
    <cellStyle name="Date 94" xfId="1272" xr:uid="{3FB05049-D802-4D39-B3D9-BCE56302B187}"/>
    <cellStyle name="Date 95" xfId="1273" xr:uid="{88995DB4-FF3C-4CB6-B861-EE1BEC3AB3C1}"/>
    <cellStyle name="Date 96" xfId="1274" xr:uid="{4004BA72-3FB0-47CC-97AF-96C9078C75A7}"/>
    <cellStyle name="Date 97" xfId="1275" xr:uid="{B26D0297-6C91-4AE6-BF2B-4D0E27FAE42E}"/>
    <cellStyle name="Date 98" xfId="1276" xr:uid="{8CCDA737-06A5-47D1-9562-47477CF3607B}"/>
    <cellStyle name="Date 99" xfId="1277" xr:uid="{220126CF-09A8-4626-AD3B-BEDD4E5C4F01}"/>
    <cellStyle name="Date_ANB" xfId="1278" xr:uid="{43630E3F-85C0-4EEE-A14A-61BD63EDF982}"/>
    <cellStyle name="Explanatory Text 10" xfId="1279" xr:uid="{9B06B0B9-E305-4DFD-B649-B9088065C6FB}"/>
    <cellStyle name="Explanatory Text 11" xfId="1280" xr:uid="{603EC57B-8785-4D1A-819F-E12A9EE8F515}"/>
    <cellStyle name="Explanatory Text 12" xfId="1281" xr:uid="{1CA845C6-59BD-4271-A2A0-C39653975809}"/>
    <cellStyle name="Explanatory Text 13" xfId="1282" xr:uid="{AEC4038E-5B6C-4FE6-8DF1-43A68A9CF923}"/>
    <cellStyle name="Explanatory Text 14" xfId="1283" xr:uid="{8CF1DF0D-A86F-4F60-8923-F747768729FD}"/>
    <cellStyle name="Explanatory Text 15" xfId="1284" xr:uid="{65DE1B8D-ED45-42FD-9409-C36E969DF84F}"/>
    <cellStyle name="Explanatory Text 2" xfId="1285" xr:uid="{02403206-7864-48D5-8310-FAE8E256F08A}"/>
    <cellStyle name="Explanatory Text 2 2" xfId="1286" xr:uid="{27EE1742-17C4-4E4C-8E09-9FF151DABEA2}"/>
    <cellStyle name="Explanatory Text 2 3" xfId="1287" xr:uid="{B857583C-8A54-440B-A218-F68B4477E169}"/>
    <cellStyle name="Explanatory Text 3" xfId="1288" xr:uid="{1832F13E-9960-431A-90C1-94A9B955F631}"/>
    <cellStyle name="Explanatory Text 3 2" xfId="1289" xr:uid="{F4A73F49-26A5-47C0-86D2-9656B3FDB200}"/>
    <cellStyle name="Explanatory Text 3 3" xfId="1290" xr:uid="{106E90C2-8735-4FCA-A0AB-1BB71E3F145C}"/>
    <cellStyle name="Explanatory Text 4" xfId="1291" xr:uid="{BB5BC52A-D031-4F17-8C08-647BF80CBC4B}"/>
    <cellStyle name="Explanatory Text 4 2" xfId="1292" xr:uid="{4AE285FE-6A91-4922-A5DF-FE24826E88D9}"/>
    <cellStyle name="Explanatory Text 4 3" xfId="1293" xr:uid="{66014784-2D57-428D-A2E7-4A227E42230F}"/>
    <cellStyle name="Explanatory Text 5" xfId="1294" xr:uid="{537D6F19-8C1A-4BB7-95FD-19094293EEDD}"/>
    <cellStyle name="Explanatory Text 5 2" xfId="1295" xr:uid="{F471174D-EA09-48E9-9769-F6D2400721F9}"/>
    <cellStyle name="Explanatory Text 5 3" xfId="1296" xr:uid="{62B97841-72C0-483D-B5DA-AA238F6FA4AC}"/>
    <cellStyle name="Explanatory Text 6" xfId="1297" xr:uid="{B968998A-89C3-4403-8B7F-DA18F1D667CF}"/>
    <cellStyle name="Explanatory Text 6 2" xfId="1298" xr:uid="{8047A522-3EBC-4D9E-B8EB-E4806123A7F6}"/>
    <cellStyle name="Explanatory Text 6 3" xfId="1299" xr:uid="{33439E27-3B3D-4046-A636-D6202F71FDFD}"/>
    <cellStyle name="Explanatory Text 7" xfId="1300" xr:uid="{5D297176-90BB-4D35-875B-EE35C5A3C337}"/>
    <cellStyle name="Explanatory Text 7 2" xfId="1301" xr:uid="{4528390B-1233-4ECF-99B0-AB0C457AB2E0}"/>
    <cellStyle name="Explanatory Text 7 3" xfId="1302" xr:uid="{34C4C586-D101-4B53-AEDD-6B43A52287C1}"/>
    <cellStyle name="Explanatory Text 8" xfId="1303" xr:uid="{9B09CCCD-3887-4E45-AD81-1CC5C0291F85}"/>
    <cellStyle name="Explanatory Text 8 2" xfId="1304" xr:uid="{BB988BBD-A591-4018-9E56-EEDDCD08C057}"/>
    <cellStyle name="Explanatory Text 8 3" xfId="1305" xr:uid="{46B32B07-3219-4BC7-9C1C-26AE54BB50A0}"/>
    <cellStyle name="Explanatory Text 9" xfId="1306" xr:uid="{12F6081E-78F0-467F-9E53-5AA2E4EC2F4A}"/>
    <cellStyle name="Fixed" xfId="12" xr:uid="{00000000-0005-0000-0000-000014000000}"/>
    <cellStyle name="Fixed 10" xfId="1308" xr:uid="{4D88236E-AE10-48EB-A72B-F566127FD9E8}"/>
    <cellStyle name="Fixed 100" xfId="1307" xr:uid="{9B145240-E7A8-459D-9F49-F95B89E3C1FB}"/>
    <cellStyle name="Fixed 11" xfId="1309" xr:uid="{906AF7B4-7788-43CA-9D04-64E871EC7C6D}"/>
    <cellStyle name="Fixed 11 2" xfId="1310" xr:uid="{8CBB7624-0817-46A2-B713-249EA8986298}"/>
    <cellStyle name="Fixed 12" xfId="1311" xr:uid="{A1B96AF5-7500-4589-A0C7-509DCA314796}"/>
    <cellStyle name="Fixed 12 2" xfId="1312" xr:uid="{AA837EBA-1F4D-4F28-B7B6-5572E717EE22}"/>
    <cellStyle name="Fixed 13" xfId="1313" xr:uid="{D2E908CA-420E-4BDA-B29F-BEDFED5067F3}"/>
    <cellStyle name="Fixed 13 2" xfId="1314" xr:uid="{5D16B1A6-AA78-4BCC-A49F-A7C74F283CC5}"/>
    <cellStyle name="Fixed 14" xfId="1315" xr:uid="{03DCD091-D548-40BA-91EA-A38A09753771}"/>
    <cellStyle name="Fixed 15" xfId="1316" xr:uid="{CAF0F0D9-0952-4264-BB0F-0790892D9798}"/>
    <cellStyle name="Fixed 16" xfId="1317" xr:uid="{0CEB83DD-79A8-4756-B2CB-1412690A6358}"/>
    <cellStyle name="Fixed 17" xfId="1318" xr:uid="{D1E29802-4BCE-4FC7-A32B-947BC9F1C087}"/>
    <cellStyle name="Fixed 18" xfId="1319" xr:uid="{253B73E1-CB31-4801-8002-61CFAA3E62C2}"/>
    <cellStyle name="Fixed 19" xfId="1320" xr:uid="{1873B015-10F6-405B-9F89-4E9B623BC0AC}"/>
    <cellStyle name="Fixed 2" xfId="1321" xr:uid="{B1FD822E-DA04-4E50-9C08-0BACD38F6D39}"/>
    <cellStyle name="Fixed 2 10" xfId="1322" xr:uid="{26FBBD0E-2F29-49A5-83BB-FE2891D66436}"/>
    <cellStyle name="Fixed 2 10 2" xfId="1323" xr:uid="{E40D607B-DE9E-4CDF-920E-506AFAE1463F}"/>
    <cellStyle name="Fixed 2 10 2 2" xfId="1324" xr:uid="{9D286169-B94A-484F-8953-D5513D19F597}"/>
    <cellStyle name="Fixed 2 10 3" xfId="1325" xr:uid="{DD2FF443-0080-407A-8035-7345B1D9171B}"/>
    <cellStyle name="Fixed 2 11" xfId="1326" xr:uid="{D3374FDF-578C-465B-AE3D-28704B8BAE97}"/>
    <cellStyle name="Fixed 2 11 2" xfId="1327" xr:uid="{64617AEE-28C9-46A1-A168-948167D35889}"/>
    <cellStyle name="Fixed 2 11 3" xfId="1328" xr:uid="{185D8CD7-2FA1-44F1-B0A7-6CF84E6F2774}"/>
    <cellStyle name="Fixed 2 12" xfId="1329" xr:uid="{7A102A84-7893-456B-B638-B8D3A4AB3519}"/>
    <cellStyle name="Fixed 2 12 2" xfId="1330" xr:uid="{62A0FFDA-5D64-4332-8389-ED486395795B}"/>
    <cellStyle name="Fixed 2 12 3" xfId="1331" xr:uid="{735342EA-C09D-4B37-9271-2B3ADA43E7BE}"/>
    <cellStyle name="Fixed 2 13" xfId="1332" xr:uid="{7D32E1DD-300C-4535-B50A-38B7CF7D0CEA}"/>
    <cellStyle name="Fixed 2 13 2" xfId="1333" xr:uid="{FCD3E431-2492-4410-B85D-AB41E1F8EAFB}"/>
    <cellStyle name="Fixed 2 13 3" xfId="1334" xr:uid="{6CCEA582-DE3D-4C7B-AAE2-E33AE99FB811}"/>
    <cellStyle name="Fixed 2 14" xfId="1335" xr:uid="{BF00FC07-62B2-4600-95E5-FC7BF3D5F4D1}"/>
    <cellStyle name="Fixed 2 15" xfId="1336" xr:uid="{B4D52A87-F5F8-4F8B-8841-861D07882F77}"/>
    <cellStyle name="Fixed 2 2" xfId="1337" xr:uid="{27C10C00-4EFF-4D36-A555-339FA87CA5DF}"/>
    <cellStyle name="Fixed 2 2 10" xfId="1338" xr:uid="{5A81E99D-F32D-49EA-8FE5-624464FD9FCD}"/>
    <cellStyle name="Fixed 2 2 11" xfId="1339" xr:uid="{090F139F-E7AD-44F4-8F97-3CA2BA606086}"/>
    <cellStyle name="Fixed 2 2 12" xfId="1340" xr:uid="{2B13B1C5-280E-4D74-999A-D17282A7ECA3}"/>
    <cellStyle name="Fixed 2 2 2" xfId="1341" xr:uid="{6AC0CC88-BB0A-403B-9FA6-D59E9DBA3E8A}"/>
    <cellStyle name="Fixed 2 2 2 2" xfId="1342" xr:uid="{90ACF653-9C32-4BA3-B0B9-2BCDAB7426B1}"/>
    <cellStyle name="Fixed 2 2 3" xfId="1343" xr:uid="{1E748A6E-D0A4-44B5-B803-9D66396F745F}"/>
    <cellStyle name="Fixed 2 2 4" xfId="1344" xr:uid="{7365634C-9AD9-4FAD-9012-D393869BB6B2}"/>
    <cellStyle name="Fixed 2 2 5" xfId="1345" xr:uid="{07BA3A6D-C561-4F3E-9D8A-1D612373FB67}"/>
    <cellStyle name="Fixed 2 2 6" xfId="1346" xr:uid="{5FDE7952-FE0C-4C51-AAB9-E122C5E159DD}"/>
    <cellStyle name="Fixed 2 2 7" xfId="1347" xr:uid="{5773DA0C-6FB9-474B-BDC7-507970B6C54C}"/>
    <cellStyle name="Fixed 2 2 8" xfId="1348" xr:uid="{949959FE-E7BC-4902-A553-1DED293350CA}"/>
    <cellStyle name="Fixed 2 2 9" xfId="1349" xr:uid="{91F832B8-64DD-49EF-9752-9ED239D5CD17}"/>
    <cellStyle name="Fixed 2 3" xfId="1350" xr:uid="{99F38E95-A6B3-4095-A9E1-BEE7A523DD9A}"/>
    <cellStyle name="Fixed 2 4" xfId="1351" xr:uid="{41F6261A-4807-42CF-AFFF-E072B6197AE1}"/>
    <cellStyle name="Fixed 2 5" xfId="1352" xr:uid="{AEDFCA4D-1F43-4320-8C9B-F93D0697CCAA}"/>
    <cellStyle name="Fixed 2 6" xfId="1353" xr:uid="{EC7917F4-73DA-45B5-9940-FD302FE7D5A1}"/>
    <cellStyle name="Fixed 2 7" xfId="1354" xr:uid="{728C5664-5655-4640-BA46-604C56DC388B}"/>
    <cellStyle name="Fixed 2 8" xfId="1355" xr:uid="{CC17D538-53D6-42BC-A3AA-DC4808FF06F3}"/>
    <cellStyle name="Fixed 2 9" xfId="1356" xr:uid="{CF54B5DA-1741-4C08-828F-2ECA6721609B}"/>
    <cellStyle name="Fixed 2 9 2" xfId="1357" xr:uid="{7848D71C-F3AF-4D4F-92DB-C56DB95A3988}"/>
    <cellStyle name="Fixed 2 9 2 2" xfId="1358" xr:uid="{B751A84D-D58E-4C36-8B53-E89C5E5D3654}"/>
    <cellStyle name="Fixed 2 9 3" xfId="1359" xr:uid="{4D13340B-EF13-4A36-A192-1D47001F1DA8}"/>
    <cellStyle name="Fixed 20" xfId="1360" xr:uid="{ABD628BF-3187-4183-8AFD-F445A2BD02CF}"/>
    <cellStyle name="Fixed 21" xfId="1361" xr:uid="{820CC7C6-0E9D-457B-AE2E-F41DF47E3DEF}"/>
    <cellStyle name="Fixed 22" xfId="1362" xr:uid="{4C142F8A-D35B-4A26-8861-E6BA40F5CF15}"/>
    <cellStyle name="Fixed 23" xfId="1363" xr:uid="{17A08B1D-36CA-4710-9698-4BCB71EF41A7}"/>
    <cellStyle name="Fixed 24" xfId="1364" xr:uid="{5058A442-608A-4CE9-8143-E4ED7CACFD81}"/>
    <cellStyle name="Fixed 25" xfId="1365" xr:uid="{F8D1B28A-4F84-4BBD-A50B-381C52A003C9}"/>
    <cellStyle name="Fixed 26" xfId="1366" xr:uid="{DEB6F95A-D4EE-4DE5-BD51-E20233BD792B}"/>
    <cellStyle name="Fixed 27" xfId="1367" xr:uid="{BB146FCF-06C5-48AE-BD14-B7446AB8E3F8}"/>
    <cellStyle name="Fixed 28" xfId="1368" xr:uid="{5549C9D1-9132-433C-8DE9-CFF7164B2B47}"/>
    <cellStyle name="Fixed 29" xfId="1369" xr:uid="{C4CFB04E-3752-4F7D-AE21-3E69DAF25D43}"/>
    <cellStyle name="Fixed 3" xfId="1370" xr:uid="{152FBCF5-BB57-46FF-B749-F59EBE0E4BE9}"/>
    <cellStyle name="Fixed 30" xfId="1371" xr:uid="{C352832C-97D5-4EA4-A194-1DEDB1E1A59C}"/>
    <cellStyle name="Fixed 31" xfId="1372" xr:uid="{BB956D66-214B-4CB3-8BBE-6B02B9858F27}"/>
    <cellStyle name="Fixed 32" xfId="1373" xr:uid="{C65C940D-C97C-475D-955F-405065200E14}"/>
    <cellStyle name="Fixed 33" xfId="1374" xr:uid="{D6ABF4E9-42CD-4988-90E8-521CE6257303}"/>
    <cellStyle name="Fixed 34" xfId="1375" xr:uid="{CDE6EF84-C2C2-4D1D-822E-925A2CC5EA57}"/>
    <cellStyle name="Fixed 35" xfId="1376" xr:uid="{BCC8AEDB-53DD-4B22-B607-D8952BAFDBC0}"/>
    <cellStyle name="Fixed 36" xfId="1377" xr:uid="{7BB13D90-663E-44C5-9FC0-527EFC59D5A3}"/>
    <cellStyle name="Fixed 37" xfId="1378" xr:uid="{FDC4DB53-8164-4B0C-A359-276761250075}"/>
    <cellStyle name="Fixed 38" xfId="1379" xr:uid="{2EA87A2A-CA6B-4658-B540-FC97B2E4F4A5}"/>
    <cellStyle name="Fixed 39" xfId="1380" xr:uid="{57BA1DC0-E59A-44B1-90F7-6D35243D094E}"/>
    <cellStyle name="Fixed 4" xfId="1381" xr:uid="{1BC3A0A8-1E11-44D2-9CBA-D2E3945A14D8}"/>
    <cellStyle name="Fixed 40" xfId="1382" xr:uid="{AD5686A6-ABF6-4ABE-AF97-DFB543DA8BBB}"/>
    <cellStyle name="Fixed 41" xfId="1383" xr:uid="{C0B4AABE-923D-433B-A38A-16186C511FF1}"/>
    <cellStyle name="Fixed 42" xfId="1384" xr:uid="{171F4942-5FA5-4A11-9270-8BAC7B9D0C26}"/>
    <cellStyle name="Fixed 43" xfId="1385" xr:uid="{1A312303-B5FE-4F3A-B116-2D8FE1FD9950}"/>
    <cellStyle name="Fixed 44" xfId="1386" xr:uid="{9B63E8CB-DDE9-4FC8-9F9F-0C3F3FCE4D1A}"/>
    <cellStyle name="Fixed 45" xfId="1387" xr:uid="{97C605DE-CC9F-4C72-B36E-622AEE165EBB}"/>
    <cellStyle name="Fixed 46" xfId="1388" xr:uid="{28E17146-8392-482E-806E-E02F59B2457F}"/>
    <cellStyle name="Fixed 47" xfId="1389" xr:uid="{5B1B025C-5144-4161-A437-B65AE46B6343}"/>
    <cellStyle name="Fixed 48" xfId="1390" xr:uid="{B2E65A99-253B-40C5-AE1B-883F53E3A2E0}"/>
    <cellStyle name="Fixed 49" xfId="1391" xr:uid="{6A9D5726-7902-488F-B65F-18EEC9835F8C}"/>
    <cellStyle name="Fixed 5" xfId="1392" xr:uid="{C9BA1D95-D3BF-44CC-82FF-3892CD3A9A1B}"/>
    <cellStyle name="Fixed 5 2" xfId="1393" xr:uid="{FF9EB55E-FBFC-4BBD-BC23-9F70597D100C}"/>
    <cellStyle name="Fixed 5 3" xfId="1394" xr:uid="{75AB1C53-7152-4911-963A-74A614F21269}"/>
    <cellStyle name="Fixed 5 4" xfId="1395" xr:uid="{9DEDE12E-D0FC-4266-BB19-5BCBEB4D95D4}"/>
    <cellStyle name="Fixed 5 5" xfId="1396" xr:uid="{5358F89F-276A-4CE8-9278-5CE656B9987D}"/>
    <cellStyle name="Fixed 5 6" xfId="1397" xr:uid="{9872BC88-B6D1-4897-9F78-5A77A75AC7E2}"/>
    <cellStyle name="Fixed 5 7" xfId="1398" xr:uid="{6D108179-F2C5-4F27-A5E5-B92B0E80A1E2}"/>
    <cellStyle name="Fixed 50" xfId="1399" xr:uid="{0A728156-C432-478B-A2F1-C43C720A9E61}"/>
    <cellStyle name="Fixed 51" xfId="1400" xr:uid="{D08BBF87-5CC5-44E5-9822-9AE01541E64F}"/>
    <cellStyle name="Fixed 52" xfId="1401" xr:uid="{65CC91D7-25AF-4643-91BD-5165FF1D832B}"/>
    <cellStyle name="Fixed 53" xfId="1402" xr:uid="{C06DE5C3-717B-453D-85E2-AB4F026BB212}"/>
    <cellStyle name="Fixed 54" xfId="1403" xr:uid="{C68E9028-7183-47FA-A0BA-8DBB6C899B62}"/>
    <cellStyle name="Fixed 55" xfId="1404" xr:uid="{F805FD29-2DCC-4BC6-88E4-9CC290C93315}"/>
    <cellStyle name="Fixed 56" xfId="1405" xr:uid="{9057ED90-B936-48B3-B2FC-C5B5B67A0FA8}"/>
    <cellStyle name="Fixed 57" xfId="1406" xr:uid="{BEC8A262-F489-45AF-B5E4-8AE1EA8AAFB3}"/>
    <cellStyle name="Fixed 58" xfId="1407" xr:uid="{B39304F4-B7BC-4A2D-8558-9B037502CBD9}"/>
    <cellStyle name="Fixed 59" xfId="1408" xr:uid="{4C54F8EE-8963-4839-ADCE-439D8CF40042}"/>
    <cellStyle name="Fixed 6" xfId="1409" xr:uid="{E637B4E5-EFAE-4D11-A2D3-C38499925690}"/>
    <cellStyle name="Fixed 6 2" xfId="1410" xr:uid="{BE964041-CC09-41A3-85C7-EB0C4B0C1DF6}"/>
    <cellStyle name="Fixed 6 3" xfId="1411" xr:uid="{5E993CC9-240D-4EBA-B8FB-8C0EEDA07433}"/>
    <cellStyle name="Fixed 6 4" xfId="1412" xr:uid="{2C863569-0935-4780-9FBF-26FD4524D778}"/>
    <cellStyle name="Fixed 6 5" xfId="1413" xr:uid="{74DD576F-0108-4642-9829-6EEE2CE74A1A}"/>
    <cellStyle name="Fixed 6 6" xfId="1414" xr:uid="{DEFEA654-9A6D-4E6C-932D-A95DE9C04B7C}"/>
    <cellStyle name="Fixed 60" xfId="1415" xr:uid="{D166F611-C383-4B17-BBDE-EF1218117305}"/>
    <cellStyle name="Fixed 61" xfId="1416" xr:uid="{0C0936FA-D6E9-4C29-885D-33C456731B9C}"/>
    <cellStyle name="Fixed 62" xfId="1417" xr:uid="{8FE0ECE2-E388-44EC-AF02-5015F288621B}"/>
    <cellStyle name="Fixed 63" xfId="1418" xr:uid="{8E6BDD35-690E-4DF2-BF78-7BEC89204EEB}"/>
    <cellStyle name="Fixed 64" xfId="1419" xr:uid="{EC1A16AB-3908-41F7-B0F8-6A035329E202}"/>
    <cellStyle name="Fixed 65" xfId="1420" xr:uid="{F5A3CF31-7714-4C98-9683-41567AB220B7}"/>
    <cellStyle name="Fixed 66" xfId="1421" xr:uid="{E470480D-C5F4-48C1-99E3-46FC156A8A64}"/>
    <cellStyle name="Fixed 67" xfId="1422" xr:uid="{72B81FB0-B708-4A90-BB78-3ADDDB569747}"/>
    <cellStyle name="Fixed 68" xfId="1423" xr:uid="{854D43F1-15CD-4F6D-9250-7C26E700E62E}"/>
    <cellStyle name="Fixed 69" xfId="1424" xr:uid="{6E9EBBBA-B0CC-4382-811A-38645C68CE8C}"/>
    <cellStyle name="Fixed 7" xfId="1425" xr:uid="{32470E52-50C5-426C-9992-4068D9F4471A}"/>
    <cellStyle name="Fixed 70" xfId="1426" xr:uid="{E3144D69-6C84-44F6-8686-E6739B8C5B76}"/>
    <cellStyle name="Fixed 71" xfId="1427" xr:uid="{FBB6AE3F-CAF8-4BFF-BCBA-2017290C822B}"/>
    <cellStyle name="Fixed 72" xfId="1428" xr:uid="{0AC193DA-93BC-454C-9083-F108BCF5EEF5}"/>
    <cellStyle name="Fixed 73" xfId="1429" xr:uid="{9EA1CCCE-8724-477E-A6B4-980D1363B412}"/>
    <cellStyle name="Fixed 74" xfId="1430" xr:uid="{3D2D9A7A-F2D5-48E0-90C8-24CA44907A26}"/>
    <cellStyle name="Fixed 75" xfId="1431" xr:uid="{13B362F2-073D-4EC3-95E5-5E0D644AE3D2}"/>
    <cellStyle name="Fixed 76" xfId="1432" xr:uid="{B72D2562-C85D-4D00-9744-31729E937219}"/>
    <cellStyle name="Fixed 77" xfId="1433" xr:uid="{87C906F4-9A42-4710-8E8C-79447B005F00}"/>
    <cellStyle name="Fixed 78" xfId="1434" xr:uid="{E11C4313-F654-46F1-970A-B23C82153D4F}"/>
    <cellStyle name="Fixed 79" xfId="1435" xr:uid="{3A3CB8FE-3169-49CC-B34B-F87567E4D65F}"/>
    <cellStyle name="Fixed 8" xfId="1436" xr:uid="{E04159EE-428D-4FCF-9E0F-838C7DD07C0C}"/>
    <cellStyle name="Fixed 80" xfId="1437" xr:uid="{A7C9B24B-62DB-4713-AFBF-579847FEA2F3}"/>
    <cellStyle name="Fixed 81" xfId="1438" xr:uid="{853AF547-F983-42F4-9644-7EEC34C4B074}"/>
    <cellStyle name="Fixed 82" xfId="1439" xr:uid="{7B133246-953C-4235-9CA0-87B0CF83ECAC}"/>
    <cellStyle name="Fixed 82 2" xfId="1440" xr:uid="{DF27B6B0-7663-4548-90E5-F81A74A094E5}"/>
    <cellStyle name="Fixed 82 3" xfId="1441" xr:uid="{6AB8589C-10D4-4A42-AF7E-A6E2DE874150}"/>
    <cellStyle name="Fixed 82 4" xfId="1442" xr:uid="{C6CEFAA4-2E0B-4A72-87E4-D7E875990FC5}"/>
    <cellStyle name="Fixed 83" xfId="1443" xr:uid="{E3026636-F51A-4A44-92DA-0ACD59B12A06}"/>
    <cellStyle name="Fixed 83 2" xfId="1444" xr:uid="{E33B81B2-8293-4345-840C-6E9726260865}"/>
    <cellStyle name="Fixed 83 3" xfId="1445" xr:uid="{FC624857-3E21-494D-AE63-1BB7ED1C5240}"/>
    <cellStyle name="Fixed 83 4" xfId="1446" xr:uid="{84AD5C2C-EF30-48DA-9B13-4DBE6636FFE0}"/>
    <cellStyle name="Fixed 84" xfId="1447" xr:uid="{B8D8A2B6-07FD-47EE-BB3B-F12ED2C617C6}"/>
    <cellStyle name="Fixed 84 2" xfId="1448" xr:uid="{3DC5C91E-6DDF-43E7-8FDB-BDAADFAF4D27}"/>
    <cellStyle name="Fixed 84 3" xfId="1449" xr:uid="{281FF840-3374-49F3-ACD0-58B76F3E8B7C}"/>
    <cellStyle name="Fixed 84 4" xfId="1450" xr:uid="{402F3848-4384-48C1-8616-A849661CE956}"/>
    <cellStyle name="Fixed 85" xfId="1451" xr:uid="{073B8B5B-E95C-4DD8-B2C4-5F6BBC807953}"/>
    <cellStyle name="Fixed 85 2" xfId="1452" xr:uid="{E3A1EF1E-AFE6-4BF9-81C8-6533CC976B4A}"/>
    <cellStyle name="Fixed 85 3" xfId="1453" xr:uid="{F6449B8F-8698-418F-8243-DA40EDA813B5}"/>
    <cellStyle name="Fixed 85 4" xfId="1454" xr:uid="{A67D6CAF-808E-4B01-94A5-789BC9F0506B}"/>
    <cellStyle name="Fixed 86" xfId="1455" xr:uid="{7B3736BE-23D8-45C6-B261-359CB1A7544C}"/>
    <cellStyle name="Fixed 86 2" xfId="1456" xr:uid="{F1D7E0A1-28AB-404A-AE1C-F06B5AE89C20}"/>
    <cellStyle name="Fixed 86 3" xfId="1457" xr:uid="{9CE8BCA2-BEAC-4B75-8DB3-D499EB9BE31B}"/>
    <cellStyle name="Fixed 86 4" xfId="1458" xr:uid="{D00A112F-7FDF-403C-AA41-A1FCE116F5BE}"/>
    <cellStyle name="Fixed 87" xfId="1459" xr:uid="{439FC803-E24C-476D-81DE-7539394BC136}"/>
    <cellStyle name="Fixed 87 2" xfId="1460" xr:uid="{236B6CEB-5819-4884-8BA2-90322E5A5279}"/>
    <cellStyle name="Fixed 87 3" xfId="1461" xr:uid="{66DF85CE-545F-4634-9E42-34DFBE7D3417}"/>
    <cellStyle name="Fixed 87 4" xfId="1462" xr:uid="{AD3B90DB-0BAC-481C-A5E4-7F9A0231595F}"/>
    <cellStyle name="Fixed 88" xfId="1463" xr:uid="{C6B86386-6CC3-42EA-A020-BEA3AAEE4D55}"/>
    <cellStyle name="Fixed 88 2" xfId="1464" xr:uid="{F8E9D8A8-9B86-4C90-999F-4091069A9705}"/>
    <cellStyle name="Fixed 88 3" xfId="1465" xr:uid="{4A75FD5E-FC8F-49F7-AF85-BC78087AAE4C}"/>
    <cellStyle name="Fixed 88 4" xfId="1466" xr:uid="{59700C7D-6C68-4F49-8CB5-A799E5A8D8EE}"/>
    <cellStyle name="Fixed 89" xfId="1467" xr:uid="{1C137250-69A7-4B25-8519-08BDC87EFD5C}"/>
    <cellStyle name="Fixed 89 2" xfId="1468" xr:uid="{EF440333-745F-468E-BA30-AE5D5B56C0C4}"/>
    <cellStyle name="Fixed 89 3" xfId="1469" xr:uid="{4FE63AEA-06FA-4A94-AAA2-9DD662265061}"/>
    <cellStyle name="Fixed 89 4" xfId="1470" xr:uid="{49634AE1-4029-4638-A1C9-F1D79A297E97}"/>
    <cellStyle name="Fixed 9" xfId="1471" xr:uid="{2AF1738A-93CB-483B-80E1-5F8E16E59179}"/>
    <cellStyle name="Fixed 90" xfId="1472" xr:uid="{40339956-5FA5-493E-97A7-29CDA1C1255B}"/>
    <cellStyle name="Fixed 91" xfId="1473" xr:uid="{161BD953-41CB-466B-9220-D50BA3CB239F}"/>
    <cellStyle name="Fixed 92" xfId="1474" xr:uid="{9EDACAAA-BCC7-43E8-898F-A1FD6D8EEC0E}"/>
    <cellStyle name="Fixed 93" xfId="1475" xr:uid="{6F36E9C6-5BD8-4A01-869F-F56D3EB7CF9E}"/>
    <cellStyle name="Fixed 94" xfId="1476" xr:uid="{1FC4D482-15FE-4D35-8193-113AB2DFE393}"/>
    <cellStyle name="Fixed 95" xfId="1477" xr:uid="{AEB61A52-B26C-426E-AF0E-4B91E54E27F0}"/>
    <cellStyle name="Fixed 96" xfId="1478" xr:uid="{DE8EC5AC-4023-4043-A18C-47049C22D406}"/>
    <cellStyle name="Fixed 97" xfId="1479" xr:uid="{D96B3BBA-D83A-4D14-BE55-6EC8B213344B}"/>
    <cellStyle name="Fixed 98" xfId="1480" xr:uid="{09121E79-6397-46D0-8FA8-214AE6AA19C2}"/>
    <cellStyle name="Fixed 99" xfId="1481" xr:uid="{8EA4B062-A371-472F-83E8-732290173176}"/>
    <cellStyle name="Fixed_ANB" xfId="1482" xr:uid="{8111A1D3-432E-48E5-BC60-70E18B3D2B03}"/>
    <cellStyle name="Good 10" xfId="1483" xr:uid="{8D514F7F-07C4-4105-8941-3196CAD07E63}"/>
    <cellStyle name="Good 11" xfId="1484" xr:uid="{6C3D7CDA-DD72-45A1-BAF7-155FDB61416E}"/>
    <cellStyle name="Good 12" xfId="1485" xr:uid="{C44E5CE4-B972-45B2-B99C-BFBC243B0FE7}"/>
    <cellStyle name="Good 13" xfId="1486" xr:uid="{E13EF7DC-1C62-46AD-9A8B-38B54B8782A3}"/>
    <cellStyle name="Good 14" xfId="1487" xr:uid="{5884D637-38DF-4153-85CA-E14D7957577C}"/>
    <cellStyle name="Good 15" xfId="1488" xr:uid="{57A3F537-D027-4999-B0FD-83D51278D76F}"/>
    <cellStyle name="Good 2" xfId="1489" xr:uid="{358C4512-C7D4-4B4E-B3F7-C1E40C90D7D6}"/>
    <cellStyle name="Good 2 2" xfId="1490" xr:uid="{F13CF979-60C8-48F5-9C9A-7FF20187E427}"/>
    <cellStyle name="Good 2 3" xfId="1491" xr:uid="{1CE04198-9351-4ECC-8E2B-8034C48A0555}"/>
    <cellStyle name="Good 3" xfId="1492" xr:uid="{693D6071-20CF-4365-A5FD-6FDBCC8373F5}"/>
    <cellStyle name="Good 3 2" xfId="1493" xr:uid="{0CF73F47-099E-4165-92AD-1BCC2DE0D52A}"/>
    <cellStyle name="Good 3 3" xfId="1494" xr:uid="{22BA3EF6-2A81-4388-AF1A-B645D79BA47B}"/>
    <cellStyle name="Good 4" xfId="1495" xr:uid="{1DF81918-6282-45F2-A4A3-985287743A33}"/>
    <cellStyle name="Good 4 2" xfId="1496" xr:uid="{35746F0E-4E9D-41A1-9DB8-C6A97BA05C75}"/>
    <cellStyle name="Good 4 3" xfId="1497" xr:uid="{FADA57BC-2CCD-4628-875A-E2544DFACCB5}"/>
    <cellStyle name="Good 5" xfId="1498" xr:uid="{C6C3152C-6EDA-42D8-BE09-9C1F2BF5E979}"/>
    <cellStyle name="Good 5 2" xfId="1499" xr:uid="{8A4FEB5D-350C-48C0-8C40-48C79598283D}"/>
    <cellStyle name="Good 5 3" xfId="1500" xr:uid="{A773C40E-31EA-4A2A-9C7D-452FB364AF47}"/>
    <cellStyle name="Good 6" xfId="1501" xr:uid="{A133A4A2-48AC-45AC-92EA-8B21CFA6472A}"/>
    <cellStyle name="Good 6 2" xfId="1502" xr:uid="{2941D79A-A71A-4AFF-A9A8-CE4B8482A280}"/>
    <cellStyle name="Good 6 3" xfId="1503" xr:uid="{B971B860-79A5-48F4-9F35-FD1C965D3F25}"/>
    <cellStyle name="Good 7" xfId="1504" xr:uid="{6FB0ED9B-3738-4BA9-A3F3-961ADB489388}"/>
    <cellStyle name="Good 7 2" xfId="1505" xr:uid="{FE072B4A-6209-4878-993C-8D95A32ED408}"/>
    <cellStyle name="Good 7 3" xfId="1506" xr:uid="{5AC0FEB2-7760-405D-8ABA-612260311AD6}"/>
    <cellStyle name="Good 8" xfId="1507" xr:uid="{D3837746-CF73-46E1-AFE0-8B50871052F8}"/>
    <cellStyle name="Good 8 2" xfId="1508" xr:uid="{DB6C6AB6-BB52-4680-A932-71C475955025}"/>
    <cellStyle name="Good 8 3" xfId="1509" xr:uid="{C21A4A6B-9788-4F6F-A30E-02EBDF43D393}"/>
    <cellStyle name="Good 9" xfId="1510" xr:uid="{493D34AD-E717-4E77-AD75-8FF9993EF9AE}"/>
    <cellStyle name="Heading 1 10" xfId="1511" xr:uid="{388EA7B2-7F62-47D7-B74D-6D23335C52D9}"/>
    <cellStyle name="Heading 1 11" xfId="1512" xr:uid="{A25CF440-A30A-49C1-9FDE-7769B6BF43B1}"/>
    <cellStyle name="Heading 1 12" xfId="1513" xr:uid="{F73F9080-5A76-4420-9535-A02FF0FC147C}"/>
    <cellStyle name="Heading 1 13" xfId="1514" xr:uid="{0D295C91-8739-4E71-A6EF-EF81F01C3CCB}"/>
    <cellStyle name="Heading 1 14" xfId="1515" xr:uid="{BF74F58B-ED71-4D2A-BD93-3ECEB59117C5}"/>
    <cellStyle name="Heading 1 15" xfId="1516" xr:uid="{BA21109F-78CC-4754-8045-C401CD59D9F5}"/>
    <cellStyle name="Heading 1 2" xfId="1517" xr:uid="{56D6C694-536E-4484-AE61-E48A31902FBF}"/>
    <cellStyle name="Heading 1 2 2" xfId="1518" xr:uid="{6CF44A0B-37D6-4E80-BFB6-CB21F5E39F30}"/>
    <cellStyle name="Heading 1 2 3" xfId="1519" xr:uid="{7ED3FBC5-E1F8-4C0C-B739-71B1F95665B4}"/>
    <cellStyle name="Heading 1 3" xfId="1520" xr:uid="{D61171F8-D0F9-4ADC-B26B-164111B06371}"/>
    <cellStyle name="Heading 1 3 2" xfId="1521" xr:uid="{FF498506-B574-426A-89BB-A51F5F73874B}"/>
    <cellStyle name="Heading 1 3 3" xfId="1522" xr:uid="{9F6D7992-A441-4E7A-B2FD-9913EB5797C4}"/>
    <cellStyle name="Heading 1 4" xfId="1523" xr:uid="{305E601B-9178-4D0B-B948-A68D6DE85B37}"/>
    <cellStyle name="Heading 1 4 2" xfId="1524" xr:uid="{6B602754-94F6-4871-B497-B55602C783B8}"/>
    <cellStyle name="Heading 1 4 3" xfId="1525" xr:uid="{6D7214F7-039F-4966-81CE-363EA52E9859}"/>
    <cellStyle name="Heading 1 5" xfId="1526" xr:uid="{784CEA9A-0E8F-40CB-9484-709E9172E337}"/>
    <cellStyle name="Heading 1 5 2" xfId="1527" xr:uid="{950691B4-EBE8-4EDB-A44E-E4A3AEDEE4EE}"/>
    <cellStyle name="Heading 1 5 3" xfId="1528" xr:uid="{E01AA75E-4F89-46B4-8B9C-B808EAB5967F}"/>
    <cellStyle name="Heading 1 6" xfId="1529" xr:uid="{FCA18A16-783E-432F-AEB7-B91B4A5974C1}"/>
    <cellStyle name="Heading 1 6 2" xfId="1530" xr:uid="{03C1C17B-9606-418F-BC83-48BD44DBAFC3}"/>
    <cellStyle name="Heading 1 6 3" xfId="1531" xr:uid="{F43E428C-9D03-4327-A17A-1C885ED025CA}"/>
    <cellStyle name="Heading 1 7" xfId="1532" xr:uid="{380348BA-800A-4970-ABF3-1DA2E191D738}"/>
    <cellStyle name="Heading 1 7 2" xfId="1533" xr:uid="{065BE65E-6B75-422D-B2D5-2D07DFE6A3D3}"/>
    <cellStyle name="Heading 1 7 3" xfId="1534" xr:uid="{A29D1F20-861D-4F49-BB5E-FBAB5439E383}"/>
    <cellStyle name="Heading 1 8" xfId="1535" xr:uid="{0B1B211D-5B51-4493-B4A6-C0CAD6E8A865}"/>
    <cellStyle name="Heading 1 8 2" xfId="1536" xr:uid="{FAED6888-030E-49A6-8227-383723C6DAAD}"/>
    <cellStyle name="Heading 1 8 3" xfId="1537" xr:uid="{C7C6EE55-1046-4C04-A7F6-E8965B85E75B}"/>
    <cellStyle name="Heading 1 9" xfId="1538" xr:uid="{3F75E46E-3354-4EB4-B04A-E5BFC3F40346}"/>
    <cellStyle name="Heading 2 10" xfId="1539" xr:uid="{E0408088-C4E8-4B71-AA55-4F70FFB725C5}"/>
    <cellStyle name="Heading 2 11" xfId="1540" xr:uid="{F7EA2B53-3B46-4954-9008-740E1124A97B}"/>
    <cellStyle name="Heading 2 12" xfId="1541" xr:uid="{BEA226CD-0FC4-473D-B2D7-E295AF63ADAB}"/>
    <cellStyle name="Heading 2 13" xfId="1542" xr:uid="{3B24D535-EC42-4727-8E8E-870436BFC2A3}"/>
    <cellStyle name="Heading 2 14" xfId="1543" xr:uid="{B3B81BF5-6D81-4EBB-9253-E1A399605BF5}"/>
    <cellStyle name="Heading 2 15" xfId="1544" xr:uid="{A2B3FB31-72F1-464E-AF6A-0201264B5707}"/>
    <cellStyle name="Heading 2 2" xfId="1545" xr:uid="{02F0DF10-6FD5-4A1C-A3A2-7B493171D50A}"/>
    <cellStyle name="Heading 2 2 2" xfId="1546" xr:uid="{4A32D808-B055-48D7-81E4-B3994816FF0C}"/>
    <cellStyle name="Heading 2 2 3" xfId="1547" xr:uid="{894D9CEB-FC38-48F1-AD58-1083A74C08E0}"/>
    <cellStyle name="Heading 2 3" xfId="1548" xr:uid="{27BAB092-5156-4B2E-9821-75BF5AB86ADF}"/>
    <cellStyle name="Heading 2 3 2" xfId="1549" xr:uid="{D8F39121-3146-4372-896C-213EF0ADE937}"/>
    <cellStyle name="Heading 2 3 3" xfId="1550" xr:uid="{0670EABA-CECE-4BF1-907C-08D2FAD89AB9}"/>
    <cellStyle name="Heading 2 4" xfId="1551" xr:uid="{53A676F4-E1E1-488F-9EE8-CE477CEC909D}"/>
    <cellStyle name="Heading 2 4 2" xfId="1552" xr:uid="{3EB7591C-1821-4B29-8D15-82405CE962A4}"/>
    <cellStyle name="Heading 2 4 3" xfId="1553" xr:uid="{869E1209-01CA-4E72-9AC1-58D0BA510C41}"/>
    <cellStyle name="Heading 2 5" xfId="1554" xr:uid="{D1EE9111-51A8-491D-B1D6-D77CDF1CDDBB}"/>
    <cellStyle name="Heading 2 5 2" xfId="1555" xr:uid="{259C089A-A093-4E59-9F2D-57BACECE87A0}"/>
    <cellStyle name="Heading 2 5 3" xfId="1556" xr:uid="{BB5AC727-B2F7-4138-A487-FBB917A0F63E}"/>
    <cellStyle name="Heading 2 6" xfId="1557" xr:uid="{5E8E534D-B942-42DE-8549-83213341E5FC}"/>
    <cellStyle name="Heading 2 6 2" xfId="1558" xr:uid="{39D1BA19-E6CF-4CCB-9552-E91FDD0C011A}"/>
    <cellStyle name="Heading 2 6 3" xfId="1559" xr:uid="{DBB6CAB2-8498-4A9A-96AF-DABB16DBF102}"/>
    <cellStyle name="Heading 2 7" xfId="1560" xr:uid="{E973C164-3E02-433B-B226-D83B2C4F728E}"/>
    <cellStyle name="Heading 2 7 2" xfId="1561" xr:uid="{C5662BDF-3B7B-4DE8-8D03-D3DF18DB6116}"/>
    <cellStyle name="Heading 2 7 3" xfId="1562" xr:uid="{CE171EEE-9E4C-401B-872F-45912A8ED3F3}"/>
    <cellStyle name="Heading 2 8" xfId="1563" xr:uid="{C6D67950-C71B-45CD-B2AD-60C8F1AE486E}"/>
    <cellStyle name="Heading 2 8 2" xfId="1564" xr:uid="{C518B4B4-827F-4BDC-80D7-65EBBD00D873}"/>
    <cellStyle name="Heading 2 8 3" xfId="1565" xr:uid="{B04E3E83-86F8-4E7A-B3D7-8E7DCAE7E820}"/>
    <cellStyle name="Heading 2 9" xfId="1566" xr:uid="{84C99DCB-5E96-41D7-A822-EE9537026EE2}"/>
    <cellStyle name="Heading 3 10" xfId="1567" xr:uid="{E819EFCE-1694-4AFF-B80C-FECE1031B16A}"/>
    <cellStyle name="Heading 3 11" xfId="1568" xr:uid="{44667B3D-6B9F-43C8-9FA3-68C594C6FCDB}"/>
    <cellStyle name="Heading 3 12" xfId="1569" xr:uid="{72E0FDCD-7ED1-4E70-92EB-17B70F457745}"/>
    <cellStyle name="Heading 3 13" xfId="1570" xr:uid="{7569CADC-8967-4088-A44F-F41BBF0083CC}"/>
    <cellStyle name="Heading 3 14" xfId="1571" xr:uid="{66F5A755-FE1A-4F67-9F7C-6E658B71138B}"/>
    <cellStyle name="Heading 3 15" xfId="1572" xr:uid="{D14D70C1-2ADE-4D52-8351-AC0ADF1DF684}"/>
    <cellStyle name="Heading 3 2" xfId="1573" xr:uid="{8F8241DC-3EFE-4401-A0BF-3BA0D26CF259}"/>
    <cellStyle name="Heading 3 2 2" xfId="1574" xr:uid="{A1220545-C777-467B-A4A0-084BC8AD880A}"/>
    <cellStyle name="Heading 3 2 3" xfId="1575" xr:uid="{55B2291A-30B4-4DAC-9728-19AE01849D0B}"/>
    <cellStyle name="Heading 3 3" xfId="1576" xr:uid="{D20B645D-8E9B-4D57-8D6C-6880A92BEF63}"/>
    <cellStyle name="Heading 3 3 2" xfId="1577" xr:uid="{751E8488-A298-4725-BAB6-34091BA873D2}"/>
    <cellStyle name="Heading 3 3 3" xfId="1578" xr:uid="{D5F2C48A-6ADD-453B-A041-6FE88E031DCE}"/>
    <cellStyle name="Heading 3 4" xfId="1579" xr:uid="{F199A37B-E4EE-4B40-ABC5-71A6DE4F8F22}"/>
    <cellStyle name="Heading 3 4 2" xfId="1580" xr:uid="{C27FD1D4-7DD0-47F5-A08D-F99FE66009DF}"/>
    <cellStyle name="Heading 3 4 3" xfId="1581" xr:uid="{FC8DC2CE-6540-4F2B-94ED-D23F93050109}"/>
    <cellStyle name="Heading 3 5" xfId="1582" xr:uid="{2ABDB86A-2532-429D-A675-E1450584E10F}"/>
    <cellStyle name="Heading 3 5 2" xfId="1583" xr:uid="{B8331D33-F1DA-4346-B969-783EA6865262}"/>
    <cellStyle name="Heading 3 5 3" xfId="1584" xr:uid="{A37783B4-B576-431C-BCC6-C79A2487E013}"/>
    <cellStyle name="Heading 3 6" xfId="1585" xr:uid="{A3B24427-4E80-4AB5-A884-487434878B68}"/>
    <cellStyle name="Heading 3 6 2" xfId="1586" xr:uid="{8B44EED3-3F42-4963-AC30-E417F885F465}"/>
    <cellStyle name="Heading 3 6 3" xfId="1587" xr:uid="{8CAD01A9-63D8-4AD5-A529-0E60A5DBCA79}"/>
    <cellStyle name="Heading 3 7" xfId="1588" xr:uid="{64B0DFA0-D9E7-437E-86C0-5725DE98BE49}"/>
    <cellStyle name="Heading 3 7 2" xfId="1589" xr:uid="{A87A6322-AF3F-4C5E-9CD6-4AD744BF3C06}"/>
    <cellStyle name="Heading 3 7 3" xfId="1590" xr:uid="{B063FEDE-FF1F-490B-96BB-F10B26204F7B}"/>
    <cellStyle name="Heading 3 8" xfId="1591" xr:uid="{B39EDA20-323A-400E-B01E-816EC88A87EE}"/>
    <cellStyle name="Heading 3 8 2" xfId="1592" xr:uid="{995CEED2-A832-49D0-893D-9970FD5FF9C0}"/>
    <cellStyle name="Heading 3 8 3" xfId="1593" xr:uid="{62A40CA9-9811-4BF5-8F95-61B005BA5AD8}"/>
    <cellStyle name="Heading 3 9" xfId="1594" xr:uid="{42F8E2A9-641E-4232-81A1-1489CE60E3E0}"/>
    <cellStyle name="Heading 4 10" xfId="1595" xr:uid="{20256253-049B-4CF6-9E14-CCD9DF69431C}"/>
    <cellStyle name="Heading 4 11" xfId="1596" xr:uid="{D91A9168-E852-4F10-B290-9D95A0AFEED9}"/>
    <cellStyle name="Heading 4 12" xfId="1597" xr:uid="{19035253-9119-4225-8984-4C968E754365}"/>
    <cellStyle name="Heading 4 13" xfId="1598" xr:uid="{A651244F-49E9-433B-8F9F-EF67A62C284F}"/>
    <cellStyle name="Heading 4 14" xfId="1599" xr:uid="{4B240C9E-0306-414B-BA91-46E878D6559E}"/>
    <cellStyle name="Heading 4 15" xfId="1600" xr:uid="{5DE340C0-5DB5-4EEB-969D-CA25E245B276}"/>
    <cellStyle name="Heading 4 2" xfId="1601" xr:uid="{CA019BB6-D5AD-4642-AE23-3A3F6D412709}"/>
    <cellStyle name="Heading 4 2 2" xfId="1602" xr:uid="{BF720363-334E-4BE2-B073-99A0AA81AFAB}"/>
    <cellStyle name="Heading 4 2 3" xfId="1603" xr:uid="{361DA4D3-8C7C-48A6-8269-7FE76C0FDB58}"/>
    <cellStyle name="Heading 4 3" xfId="1604" xr:uid="{30261C0C-6CCA-4181-A0FD-960950265AB4}"/>
    <cellStyle name="Heading 4 3 2" xfId="1605" xr:uid="{307BDCBC-E5A9-4685-969D-09463E6EB558}"/>
    <cellStyle name="Heading 4 3 3" xfId="1606" xr:uid="{D237FB44-EF74-4E57-A2E4-CEDE023CACF9}"/>
    <cellStyle name="Heading 4 4" xfId="1607" xr:uid="{A8A4A372-C358-4630-948F-D799B2E617C3}"/>
    <cellStyle name="Heading 4 4 2" xfId="1608" xr:uid="{7D46738B-D362-409A-B937-2473FCE177F1}"/>
    <cellStyle name="Heading 4 4 3" xfId="1609" xr:uid="{66481213-68E3-4529-BD2B-84319CB20368}"/>
    <cellStyle name="Heading 4 5" xfId="1610" xr:uid="{7C4CFC4A-4915-4A09-AC81-4192B664884F}"/>
    <cellStyle name="Heading 4 5 2" xfId="1611" xr:uid="{2BFAD4A7-D644-4C59-B296-5EC839E9E828}"/>
    <cellStyle name="Heading 4 5 3" xfId="1612" xr:uid="{A2446393-B3D7-44A4-83CF-D60D83498675}"/>
    <cellStyle name="Heading 4 6" xfId="1613" xr:uid="{D6D95781-323F-4EBC-9909-AFB7943E7670}"/>
    <cellStyle name="Heading 4 6 2" xfId="1614" xr:uid="{059FD830-7A10-40B9-BC56-5508D22B1006}"/>
    <cellStyle name="Heading 4 6 3" xfId="1615" xr:uid="{438E139D-65FB-4896-9FEA-F3D4F3EE1789}"/>
    <cellStyle name="Heading 4 7" xfId="1616" xr:uid="{B70B41AF-E29C-4C86-94AA-6C07AB7530AF}"/>
    <cellStyle name="Heading 4 7 2" xfId="1617" xr:uid="{3645C239-C454-4A02-A172-001081662160}"/>
    <cellStyle name="Heading 4 7 3" xfId="1618" xr:uid="{7B37B495-CF56-49F0-AC63-6319F20FC4BA}"/>
    <cellStyle name="Heading 4 8" xfId="1619" xr:uid="{DC63850D-7CA3-44B5-B702-5058D3702B60}"/>
    <cellStyle name="Heading 4 8 2" xfId="1620" xr:uid="{B941395B-3929-4CBC-BA19-F86D8CE14600}"/>
    <cellStyle name="Heading 4 8 3" xfId="1621" xr:uid="{B9E703DF-144B-4025-AB76-C30E5B08F7C3}"/>
    <cellStyle name="Heading 4 9" xfId="1622" xr:uid="{C137389F-8BBE-4E68-9540-EC45630D88CD}"/>
    <cellStyle name="Heading1" xfId="13" xr:uid="{00000000-0005-0000-0000-000015000000}"/>
    <cellStyle name="Heading1 10" xfId="1624" xr:uid="{77E0F712-7087-4505-B57C-095D54CEE8B1}"/>
    <cellStyle name="Heading1 100" xfId="1623" xr:uid="{5BD5CCB1-4CEF-4EE5-9BDE-461D4F2E06BB}"/>
    <cellStyle name="Heading1 11" xfId="1625" xr:uid="{47E30773-BED0-46C8-8D48-F70EB23992A6}"/>
    <cellStyle name="Heading1 11 2" xfId="1626" xr:uid="{3B33A88F-23CD-45DD-8E25-9A552921966F}"/>
    <cellStyle name="Heading1 12" xfId="1627" xr:uid="{C1BE2415-B64F-4A12-BB7E-9465F97B637A}"/>
    <cellStyle name="Heading1 12 2" xfId="1628" xr:uid="{6B724D75-17AF-4512-97F1-6F923D42E57A}"/>
    <cellStyle name="Heading1 13" xfId="1629" xr:uid="{673194D4-578E-4AA5-A153-F1E7DBC86E5A}"/>
    <cellStyle name="Heading1 13 2" xfId="1630" xr:uid="{F0DB4FC5-EE69-42AC-821B-AB6D74A5E356}"/>
    <cellStyle name="Heading1 14" xfId="1631" xr:uid="{68A691CF-0634-4AB9-95F1-DDC88982CB38}"/>
    <cellStyle name="Heading1 15" xfId="1632" xr:uid="{87D514E8-EFE0-47D3-8ECA-9167247E4C25}"/>
    <cellStyle name="Heading1 16" xfId="1633" xr:uid="{8D1A5A2F-8893-4448-BC96-B52037D05636}"/>
    <cellStyle name="Heading1 17" xfId="1634" xr:uid="{F87C46C8-5C1E-4D87-95EA-B3B138CF34A3}"/>
    <cellStyle name="Heading1 18" xfId="1635" xr:uid="{5B4DD533-E99C-42BD-8ABD-B7AD7D21EBD4}"/>
    <cellStyle name="Heading1 19" xfId="1636" xr:uid="{DD20A357-348F-4C92-A12B-EBAE2A0C17EF}"/>
    <cellStyle name="Heading1 2" xfId="1637" xr:uid="{CF9FDD44-7DAC-4530-9849-1867762428AE}"/>
    <cellStyle name="Heading1 2 10" xfId="1638" xr:uid="{0521C27C-800C-4EB2-A81D-323BC206B698}"/>
    <cellStyle name="Heading1 2 10 2" xfId="1639" xr:uid="{8AC7EB25-8F95-489C-8D29-EF4F4419D3B0}"/>
    <cellStyle name="Heading1 2 10 2 2" xfId="1640" xr:uid="{C59F470F-3060-4693-A1A7-CB3CD7B503E8}"/>
    <cellStyle name="Heading1 2 10 3" xfId="1641" xr:uid="{6689ED12-5174-4B5F-8860-3CF42BBC12C7}"/>
    <cellStyle name="Heading1 2 11" xfId="1642" xr:uid="{F724059C-D767-41F6-A310-C0061F882A13}"/>
    <cellStyle name="Heading1 2 11 2" xfId="1643" xr:uid="{4CD8FFC7-CC1F-4D2D-879F-ADAB378B9447}"/>
    <cellStyle name="Heading1 2 11 3" xfId="1644" xr:uid="{E2AEDF1A-8566-4687-B9F8-AC6AC14653FA}"/>
    <cellStyle name="Heading1 2 12" xfId="1645" xr:uid="{AA96D0E4-3B8E-47A9-927B-1A5F74BBB940}"/>
    <cellStyle name="Heading1 2 12 2" xfId="1646" xr:uid="{651995B6-0556-4DF2-9FCF-173748C2555B}"/>
    <cellStyle name="Heading1 2 12 3" xfId="1647" xr:uid="{2510520F-F058-47D2-B0F0-45A687ADAA71}"/>
    <cellStyle name="Heading1 2 13" xfId="1648" xr:uid="{C4E24336-B7B4-4430-BA8C-651917C36F84}"/>
    <cellStyle name="Heading1 2 13 2" xfId="1649" xr:uid="{A19B64AD-F992-4188-8AAC-CA3F5D4487ED}"/>
    <cellStyle name="Heading1 2 13 3" xfId="1650" xr:uid="{A85E79FA-C7C3-48D7-A8C0-61A7CA8211BB}"/>
    <cellStyle name="Heading1 2 14" xfId="1651" xr:uid="{718212C6-DAAD-4026-B185-40B816877F3C}"/>
    <cellStyle name="Heading1 2 15" xfId="1652" xr:uid="{EFA25ED5-32FF-4C29-9930-65DD2D9F1C42}"/>
    <cellStyle name="Heading1 2 2" xfId="1653" xr:uid="{3EF1CA6F-2B7D-4A7B-99EC-01037E726D63}"/>
    <cellStyle name="Heading1 2 2 10" xfId="1654" xr:uid="{B72C20D2-E7D9-4D07-99A4-0AD7F587015F}"/>
    <cellStyle name="Heading1 2 2 11" xfId="1655" xr:uid="{08F98CD0-0C40-4075-933E-1950CB44D3D2}"/>
    <cellStyle name="Heading1 2 2 12" xfId="1656" xr:uid="{797B5B65-3986-4588-957E-540CBC27E371}"/>
    <cellStyle name="Heading1 2 2 2" xfId="1657" xr:uid="{E9C088E9-8ACB-4CBD-8C8C-FC568D903673}"/>
    <cellStyle name="Heading1 2 2 2 2" xfId="1658" xr:uid="{8ACB50C2-0FA4-49AC-98BD-61C1844E7F23}"/>
    <cellStyle name="Heading1 2 2 3" xfId="1659" xr:uid="{AF9FEA53-74D1-48F9-951C-CD4E128B1283}"/>
    <cellStyle name="Heading1 2 2 4" xfId="1660" xr:uid="{D52AD9A3-67B1-47B0-867C-06F1805F2F3D}"/>
    <cellStyle name="Heading1 2 2 5" xfId="1661" xr:uid="{903D3C8D-5056-424B-A9F9-285DED2A18F1}"/>
    <cellStyle name="Heading1 2 2 6" xfId="1662" xr:uid="{292C91C6-8047-46E7-8C6A-D8728C1E73BE}"/>
    <cellStyle name="Heading1 2 2 7" xfId="1663" xr:uid="{6D87BF0C-DE7F-48F5-97AA-94A2D34543E2}"/>
    <cellStyle name="Heading1 2 2 8" xfId="1664" xr:uid="{078B7EEB-125D-4B77-B401-997BD0F0A657}"/>
    <cellStyle name="Heading1 2 2 9" xfId="1665" xr:uid="{0A43A64A-AD23-4DCE-A0F5-DEE2673435A6}"/>
    <cellStyle name="Heading1 2 3" xfId="1666" xr:uid="{3C534173-8BD2-450B-836D-E1BE902775F2}"/>
    <cellStyle name="Heading1 2 4" xfId="1667" xr:uid="{91CF0BB1-3563-480F-8740-0254CFB0A656}"/>
    <cellStyle name="Heading1 2 5" xfId="1668" xr:uid="{41801523-1659-49A7-940B-110226A6A3B4}"/>
    <cellStyle name="Heading1 2 6" xfId="1669" xr:uid="{AF914FA6-8239-4A2A-96E1-0EB4634463AC}"/>
    <cellStyle name="Heading1 2 7" xfId="1670" xr:uid="{786D96C4-42BA-48C2-B36E-D45C26C4646A}"/>
    <cellStyle name="Heading1 2 8" xfId="1671" xr:uid="{7CC3C65F-3ABB-40DA-8C91-13DC90D73CCC}"/>
    <cellStyle name="Heading1 2 9" xfId="1672" xr:uid="{1082D59D-37E7-4B55-8E58-A1E3629D0E4C}"/>
    <cellStyle name="Heading1 2 9 2" xfId="1673" xr:uid="{8B596A3B-CD8D-4BFC-B724-B10DDA1406C8}"/>
    <cellStyle name="Heading1 2 9 2 2" xfId="1674" xr:uid="{8A461300-36CF-45CE-B36E-7BE595B947AC}"/>
    <cellStyle name="Heading1 2 9 3" xfId="1675" xr:uid="{483861A7-057F-4121-8F90-861A9D5740F6}"/>
    <cellStyle name="Heading1 20" xfId="1676" xr:uid="{4FAC7C70-9276-4E9B-B581-C4E92E347731}"/>
    <cellStyle name="Heading1 21" xfId="1677" xr:uid="{9E95E53A-AAB2-4DB5-A975-EE4BCFC1246D}"/>
    <cellStyle name="Heading1 22" xfId="1678" xr:uid="{407011BC-22C5-4315-8D17-E21ADB3D149A}"/>
    <cellStyle name="Heading1 23" xfId="1679" xr:uid="{4288C898-D1F7-4CF2-AFED-1EEF7E5D5CC3}"/>
    <cellStyle name="Heading1 24" xfId="1680" xr:uid="{8D4F57D7-A165-47F9-984F-4EECE715A7BB}"/>
    <cellStyle name="Heading1 25" xfId="1681" xr:uid="{05D1C237-7F1F-4373-BD14-A0EE4955B53D}"/>
    <cellStyle name="Heading1 26" xfId="1682" xr:uid="{07558628-8974-40FC-AC04-806CAF108D67}"/>
    <cellStyle name="Heading1 27" xfId="1683" xr:uid="{0DB8D926-5EF8-4AAE-92C8-D2188DC94F91}"/>
    <cellStyle name="Heading1 28" xfId="1684" xr:uid="{BDD47F8E-2218-46DC-8FE9-11E2018459B9}"/>
    <cellStyle name="Heading1 29" xfId="1685" xr:uid="{C0A36D83-712E-44B2-9E1E-3C766C311B35}"/>
    <cellStyle name="Heading1 3" xfId="1686" xr:uid="{5C3BB34D-38F7-4AD4-A1DB-B70BAFF25028}"/>
    <cellStyle name="Heading1 30" xfId="1687" xr:uid="{F49F8DEF-2D85-4AD7-96CC-D338F83EDD35}"/>
    <cellStyle name="Heading1 31" xfId="1688" xr:uid="{DD627931-0C80-4B9D-8B6A-D66AB4EE5AF9}"/>
    <cellStyle name="Heading1 32" xfId="1689" xr:uid="{840EE9FD-8A21-4208-8E99-948074E89232}"/>
    <cellStyle name="Heading1 33" xfId="1690" xr:uid="{00ED70FC-5DBF-4B7B-A311-54261A9A85D1}"/>
    <cellStyle name="Heading1 34" xfId="1691" xr:uid="{81450FA4-CFD5-479F-A9AE-D894871EB6A1}"/>
    <cellStyle name="Heading1 35" xfId="1692" xr:uid="{4E06586D-4644-4F98-B2F9-E283050BD9AC}"/>
    <cellStyle name="Heading1 36" xfId="1693" xr:uid="{BBDEC1E7-F4CD-49FD-B219-A488C177CA7D}"/>
    <cellStyle name="Heading1 37" xfId="1694" xr:uid="{A6978A48-76DF-4018-8EF5-CF994BF7B0E1}"/>
    <cellStyle name="Heading1 38" xfId="1695" xr:uid="{F60D2AFA-B9A1-4913-8192-DA790B31E749}"/>
    <cellStyle name="Heading1 39" xfId="1696" xr:uid="{4303EE2B-9D86-4679-81E7-8C76C275A299}"/>
    <cellStyle name="Heading1 4" xfId="1697" xr:uid="{75AE399A-53D0-4A6B-8771-D2646D9232A4}"/>
    <cellStyle name="Heading1 40" xfId="1698" xr:uid="{132CAB9C-3AA8-4BC6-B6ED-4BE546A0943E}"/>
    <cellStyle name="Heading1 41" xfId="1699" xr:uid="{29BFB6A9-57C7-4CF7-A5A8-5187AB5E7CC3}"/>
    <cellStyle name="Heading1 42" xfId="1700" xr:uid="{92E5C01F-C420-4F14-B23C-5D2C9C19040A}"/>
    <cellStyle name="Heading1 43" xfId="1701" xr:uid="{25D54B78-F07A-4ED7-BE9C-887722D22764}"/>
    <cellStyle name="Heading1 44" xfId="1702" xr:uid="{D27320FE-43CD-474C-ADF4-CA6E785438E1}"/>
    <cellStyle name="Heading1 45" xfId="1703" xr:uid="{238AAFA5-71F3-4136-8619-A167F497D703}"/>
    <cellStyle name="Heading1 46" xfId="1704" xr:uid="{902D5925-FE18-43F8-8C24-7600A4CB3DF3}"/>
    <cellStyle name="Heading1 47" xfId="1705" xr:uid="{8CC7B492-811C-4497-A51E-2D2471A13407}"/>
    <cellStyle name="Heading1 48" xfId="1706" xr:uid="{FA24A743-93C3-4B6B-B9BD-64B0E1558ECE}"/>
    <cellStyle name="Heading1 49" xfId="1707" xr:uid="{845878EA-B1A5-4D71-9EB7-0BC0B0B6301A}"/>
    <cellStyle name="Heading1 5" xfId="1708" xr:uid="{F21BE639-AE41-4B1A-87B3-4A4B78336E5B}"/>
    <cellStyle name="Heading1 5 2" xfId="1709" xr:uid="{6B50EE17-B90B-437D-B92E-049C6972BD11}"/>
    <cellStyle name="Heading1 5 3" xfId="1710" xr:uid="{DA401331-34A1-4922-BC3F-E8BF18ADD423}"/>
    <cellStyle name="Heading1 5 4" xfId="1711" xr:uid="{E9C883E1-375B-418E-913B-CBFC5F289AD5}"/>
    <cellStyle name="Heading1 5 5" xfId="1712" xr:uid="{D5155AD4-0213-4B44-8BAA-68E35371D519}"/>
    <cellStyle name="Heading1 5 6" xfId="1713" xr:uid="{FA5E4DB2-3F90-4D38-826B-13F95D03A642}"/>
    <cellStyle name="Heading1 5 7" xfId="1714" xr:uid="{14BA368D-AF57-4F0E-8837-EAA7640D2840}"/>
    <cellStyle name="Heading1 50" xfId="1715" xr:uid="{01E978E1-3ABC-49ED-93C5-15E0F3901CC5}"/>
    <cellStyle name="Heading1 51" xfId="1716" xr:uid="{53873DCA-AA10-4CD8-9C79-BD0015B3AF1F}"/>
    <cellStyle name="Heading1 52" xfId="1717" xr:uid="{EA1526C9-A307-4956-85AD-B3139825B863}"/>
    <cellStyle name="Heading1 53" xfId="1718" xr:uid="{31CCD34A-D410-447E-8DE8-20BE3924E308}"/>
    <cellStyle name="Heading1 54" xfId="1719" xr:uid="{60E40950-B450-4A7A-BD67-1A56710F8E77}"/>
    <cellStyle name="Heading1 55" xfId="1720" xr:uid="{E3236A73-216D-4CF3-A5A9-812B08264E80}"/>
    <cellStyle name="Heading1 56" xfId="1721" xr:uid="{17B00097-2985-44CC-AD16-B718F1321CE9}"/>
    <cellStyle name="Heading1 57" xfId="1722" xr:uid="{26FCDE55-DEC3-411D-B827-D08FDECC6902}"/>
    <cellStyle name="Heading1 58" xfId="1723" xr:uid="{BFA550AA-EBF3-4BA8-9993-08B2645D4EEE}"/>
    <cellStyle name="Heading1 59" xfId="1724" xr:uid="{21841F12-2CAD-4039-A53F-136DA7D556A7}"/>
    <cellStyle name="Heading1 6" xfId="1725" xr:uid="{6DBE2906-3B9D-486D-A5BB-53AEF0768DBD}"/>
    <cellStyle name="Heading1 6 2" xfId="1726" xr:uid="{C8C3D2EB-25E9-46DA-B511-F13520925270}"/>
    <cellStyle name="Heading1 6 3" xfId="1727" xr:uid="{7F481D1C-7769-44D1-A7A3-9FD41DE38574}"/>
    <cellStyle name="Heading1 6 4" xfId="1728" xr:uid="{8DEBC9BE-9C3F-4EC5-9784-F006F0217176}"/>
    <cellStyle name="Heading1 6 5" xfId="1729" xr:uid="{26A8656E-31A9-40B0-B272-C746393AC93F}"/>
    <cellStyle name="Heading1 6 6" xfId="1730" xr:uid="{93076830-F853-4AF1-95A7-300E3DDF0073}"/>
    <cellStyle name="Heading1 60" xfId="1731" xr:uid="{F097337E-428B-4346-9B83-1D8F9AD42469}"/>
    <cellStyle name="Heading1 61" xfId="1732" xr:uid="{A53BCDBE-CACE-4B0E-BB0C-93B8889ED261}"/>
    <cellStyle name="Heading1 62" xfId="1733" xr:uid="{6FF936C7-70AB-456A-BB84-30DC1E71467F}"/>
    <cellStyle name="Heading1 63" xfId="1734" xr:uid="{62951CC2-8131-4267-8CD5-A02C1D144108}"/>
    <cellStyle name="Heading1 64" xfId="1735" xr:uid="{A918BBB0-2597-46B4-A826-DFB1BE8A4B84}"/>
    <cellStyle name="Heading1 65" xfId="1736" xr:uid="{344715D7-552B-4635-BAAE-4D7781B3184C}"/>
    <cellStyle name="Heading1 66" xfId="1737" xr:uid="{EEFBCCB9-4834-4AD8-AC79-3B47EF0C43E7}"/>
    <cellStyle name="Heading1 67" xfId="1738" xr:uid="{B7FD6BE7-F4F6-4A3A-8416-2F4A71733F79}"/>
    <cellStyle name="Heading1 68" xfId="1739" xr:uid="{465458FE-CDD4-4BC7-8A39-17ED7640E88C}"/>
    <cellStyle name="Heading1 69" xfId="1740" xr:uid="{4B6D78F6-3277-4CE2-A58C-A267AF999B79}"/>
    <cellStyle name="Heading1 7" xfId="1741" xr:uid="{089A90FC-2158-4105-8535-E706DEAEA434}"/>
    <cellStyle name="Heading1 70" xfId="1742" xr:uid="{F9026006-F872-4F7A-A77E-804A9C4DE1C7}"/>
    <cellStyle name="Heading1 71" xfId="1743" xr:uid="{8C2F141F-3D1D-4238-905B-BA94F2934A2D}"/>
    <cellStyle name="Heading1 72" xfId="1744" xr:uid="{62BBA921-9C52-40A7-9500-A4B52EE8D773}"/>
    <cellStyle name="Heading1 73" xfId="1745" xr:uid="{15435ACB-0220-4052-90FB-D38BC298BEDE}"/>
    <cellStyle name="Heading1 74" xfId="1746" xr:uid="{BDD4F13A-92B1-4A9C-BC9D-3FF0ACF0BC34}"/>
    <cellStyle name="Heading1 75" xfId="1747" xr:uid="{9D218726-56B6-4FC1-8BD6-6557A18C0927}"/>
    <cellStyle name="Heading1 76" xfId="1748" xr:uid="{689C333C-7FA4-41FE-9667-B015CECC9EA1}"/>
    <cellStyle name="Heading1 77" xfId="1749" xr:uid="{1A41BDB7-0E44-48F0-BB9B-7A094261F4F2}"/>
    <cellStyle name="Heading1 78" xfId="1750" xr:uid="{C6A5DF25-9C2D-4441-BF82-03CE4692DA2F}"/>
    <cellStyle name="Heading1 79" xfId="1751" xr:uid="{9E2D1CA6-DB20-4393-AD4F-AFF2A9C43072}"/>
    <cellStyle name="Heading1 8" xfId="1752" xr:uid="{649CBF38-ECAE-40BF-A766-542A63FCF0EF}"/>
    <cellStyle name="Heading1 80" xfId="1753" xr:uid="{9535E724-3C1E-4581-A853-3C6F3BC5A4D2}"/>
    <cellStyle name="Heading1 81" xfId="1754" xr:uid="{3B5437C6-BE29-4A4A-88F6-80CBFF849128}"/>
    <cellStyle name="Heading1 82" xfId="1755" xr:uid="{BDCFD3D3-9959-47AC-9704-03C5F082B8A2}"/>
    <cellStyle name="Heading1 82 2" xfId="1756" xr:uid="{E55C4E7D-48DE-469F-ADA0-C4CC5616825A}"/>
    <cellStyle name="Heading1 82 3" xfId="1757" xr:uid="{0B4906A6-8E97-4A2B-B043-A87D8280E490}"/>
    <cellStyle name="Heading1 82 4" xfId="1758" xr:uid="{10A1E614-FB88-4285-9E11-5E6FD1DFE6E5}"/>
    <cellStyle name="Heading1 83" xfId="1759" xr:uid="{38B12109-DBC7-4634-B2BE-E35CA42FDB70}"/>
    <cellStyle name="Heading1 83 2" xfId="1760" xr:uid="{868708B3-3432-45B4-9F60-2570530F301C}"/>
    <cellStyle name="Heading1 83 3" xfId="1761" xr:uid="{35356AA8-F612-41A7-8134-6F2F8A70A3B5}"/>
    <cellStyle name="Heading1 83 4" xfId="1762" xr:uid="{50339D73-70B6-4A96-92B6-1F44C6A2D520}"/>
    <cellStyle name="Heading1 84" xfId="1763" xr:uid="{B48B4A6E-41E6-4879-A065-E4D7DAE2430A}"/>
    <cellStyle name="Heading1 84 2" xfId="1764" xr:uid="{F70B2E0E-76CF-47A7-BA21-38BD8639FB1B}"/>
    <cellStyle name="Heading1 84 3" xfId="1765" xr:uid="{D8D163F7-E63E-4806-BCA1-A44B0614782C}"/>
    <cellStyle name="Heading1 84 4" xfId="1766" xr:uid="{B7025CED-77CF-401D-8D9A-15C5947D5B71}"/>
    <cellStyle name="Heading1 85" xfId="1767" xr:uid="{9E7F66BE-8EA0-4939-9C39-2B42051F4442}"/>
    <cellStyle name="Heading1 85 2" xfId="1768" xr:uid="{E503EAB5-129C-4374-8D50-32BEEEA1851B}"/>
    <cellStyle name="Heading1 85 3" xfId="1769" xr:uid="{BA8D4773-AF6D-4002-B2A9-EED00ED36F24}"/>
    <cellStyle name="Heading1 85 4" xfId="1770" xr:uid="{BF5DBA9D-4C93-4281-9A38-A03139CC3638}"/>
    <cellStyle name="Heading1 86" xfId="1771" xr:uid="{8625A777-2BE1-4529-AF85-A0EDD5193D8C}"/>
    <cellStyle name="Heading1 86 2" xfId="1772" xr:uid="{85CA939F-785C-4B13-A8C6-42602F589B36}"/>
    <cellStyle name="Heading1 86 3" xfId="1773" xr:uid="{88E032C1-1671-4714-A36D-FA66CB5DEFEC}"/>
    <cellStyle name="Heading1 86 4" xfId="1774" xr:uid="{C13BB8AC-EEC0-44C3-A05A-6F268372D260}"/>
    <cellStyle name="Heading1 87" xfId="1775" xr:uid="{DE1C215B-F709-4133-A95E-5AE68D69C7A1}"/>
    <cellStyle name="Heading1 87 2" xfId="1776" xr:uid="{ABD40C64-F500-474B-9B6B-A7CFB1E06036}"/>
    <cellStyle name="Heading1 87 3" xfId="1777" xr:uid="{EFBDFF80-370A-438C-81AC-0EE9F9582B4A}"/>
    <cellStyle name="Heading1 87 4" xfId="1778" xr:uid="{115FDC6D-9F09-4C5A-970F-A40CEDB82653}"/>
    <cellStyle name="Heading1 88" xfId="1779" xr:uid="{EE5B5D35-672E-4CAE-B81C-934F5D9F447C}"/>
    <cellStyle name="Heading1 88 2" xfId="1780" xr:uid="{8C30FF23-BF77-431F-9CAA-D2A64B32229A}"/>
    <cellStyle name="Heading1 88 3" xfId="1781" xr:uid="{5850F162-771D-4641-BAF2-0C35BE7DD32B}"/>
    <cellStyle name="Heading1 88 4" xfId="1782" xr:uid="{E8F40C0E-212E-4CB4-B1E6-7194DF1CB17B}"/>
    <cellStyle name="Heading1 89" xfId="1783" xr:uid="{2964E9F1-1C64-4661-A8AA-D14306430EDF}"/>
    <cellStyle name="Heading1 89 2" xfId="1784" xr:uid="{C2CC2A12-C4EB-46C8-8AFA-4C4D5E1F5118}"/>
    <cellStyle name="Heading1 89 3" xfId="1785" xr:uid="{2B0A1448-C0A2-463E-BC4E-28D0314C2B08}"/>
    <cellStyle name="Heading1 89 4" xfId="1786" xr:uid="{AA18EA16-45CD-4BD4-A2B1-B55C0556490F}"/>
    <cellStyle name="Heading1 9" xfId="1787" xr:uid="{808AC54B-EE63-4D33-B5A8-F0A210912296}"/>
    <cellStyle name="Heading1 90" xfId="1788" xr:uid="{EDC1B4F6-9742-4037-8F33-E9401854581B}"/>
    <cellStyle name="Heading1 91" xfId="1789" xr:uid="{D2AED67A-4E9B-4637-AFFC-2E7B99433120}"/>
    <cellStyle name="Heading1 92" xfId="1790" xr:uid="{7EC3986B-C5CD-4FD3-84DF-4947435DAB8C}"/>
    <cellStyle name="Heading1 93" xfId="1791" xr:uid="{BEE1C609-F674-42FB-B150-F95722C14882}"/>
    <cellStyle name="Heading1 94" xfId="1792" xr:uid="{BF040047-37EE-4544-8DF6-9E3833118DA4}"/>
    <cellStyle name="Heading1 95" xfId="1793" xr:uid="{EEB879C7-DFBC-47D9-B6A6-4FA951A4C428}"/>
    <cellStyle name="Heading1 96" xfId="1794" xr:uid="{376DB8AC-B3C3-47FD-B842-E74E85D4C107}"/>
    <cellStyle name="Heading1 97" xfId="1795" xr:uid="{161FE60B-4218-496C-AB9C-CA065FAB246B}"/>
    <cellStyle name="Heading1 98" xfId="1796" xr:uid="{2FEB838A-DA0A-4084-95C2-31E374968E02}"/>
    <cellStyle name="Heading1 99" xfId="1797" xr:uid="{43F56A1D-6D9C-48C8-AB8A-85C365EA8757}"/>
    <cellStyle name="Heading1_ANB" xfId="1798" xr:uid="{3F4581E0-B4B8-459C-A3DF-372B2431397D}"/>
    <cellStyle name="Heading2" xfId="14" xr:uid="{00000000-0005-0000-0000-000016000000}"/>
    <cellStyle name="Heading2 10" xfId="1800" xr:uid="{CB3A6EF2-3C0C-4C43-9348-A927A47B591A}"/>
    <cellStyle name="Heading2 100" xfId="1799" xr:uid="{D91DF78D-15DC-4EF6-A696-3C76BEA184C8}"/>
    <cellStyle name="Heading2 11" xfId="1801" xr:uid="{2ECB213F-684D-47A0-82F3-A61319DDD1A9}"/>
    <cellStyle name="Heading2 11 2" xfId="1802" xr:uid="{CBB4B815-B42F-4445-9E6D-C2DD788EF299}"/>
    <cellStyle name="Heading2 12" xfId="1803" xr:uid="{53591DCD-A733-4802-B5E2-879FC5D1FC9E}"/>
    <cellStyle name="Heading2 12 2" xfId="1804" xr:uid="{B88D1257-336D-4A0D-9C13-68E445B2EF08}"/>
    <cellStyle name="Heading2 13" xfId="1805" xr:uid="{33C7116C-93A9-4B22-94FB-1BEE32E2554F}"/>
    <cellStyle name="Heading2 13 2" xfId="1806" xr:uid="{38B94364-AFB2-49B7-8D9F-83DD586FC2EB}"/>
    <cellStyle name="Heading2 14" xfId="1807" xr:uid="{C7077FA2-A404-4748-BF95-CD72F3FE1773}"/>
    <cellStyle name="Heading2 15" xfId="1808" xr:uid="{4F619F0C-3A29-4503-94DB-C85ECE5E1C22}"/>
    <cellStyle name="Heading2 16" xfId="1809" xr:uid="{A5279B97-9691-462E-93FE-86E85168BF22}"/>
    <cellStyle name="Heading2 17" xfId="1810" xr:uid="{BA494D4D-C66B-4932-98C3-04DFF5C36713}"/>
    <cellStyle name="Heading2 18" xfId="1811" xr:uid="{A8118838-AF9A-450C-8A7E-55388436C48D}"/>
    <cellStyle name="Heading2 19" xfId="1812" xr:uid="{01A6E192-0E29-4226-940B-5B259CDDAFB0}"/>
    <cellStyle name="Heading2 2" xfId="1813" xr:uid="{C882A335-22CD-4877-8F28-DA842C84AF5F}"/>
    <cellStyle name="Heading2 2 10" xfId="1814" xr:uid="{A70AE6D7-4263-454A-B069-8744FFF710E1}"/>
    <cellStyle name="Heading2 2 10 2" xfId="1815" xr:uid="{319745FA-72D1-4831-9DF3-DA73908E36A4}"/>
    <cellStyle name="Heading2 2 10 2 2" xfId="1816" xr:uid="{AB4798C5-6D98-4EBC-B157-649374AE25E2}"/>
    <cellStyle name="Heading2 2 10 3" xfId="1817" xr:uid="{CC75585F-C4D2-435D-B4A4-CDF3F71EE417}"/>
    <cellStyle name="Heading2 2 11" xfId="1818" xr:uid="{394AC9A2-6445-4FCE-9B52-DB4CF4440FAC}"/>
    <cellStyle name="Heading2 2 11 2" xfId="1819" xr:uid="{88F203CE-9A8F-426B-BF19-CD484A12A7AF}"/>
    <cellStyle name="Heading2 2 11 3" xfId="1820" xr:uid="{6A590D5B-0DE5-4D6E-9DF3-2F889A1DEE89}"/>
    <cellStyle name="Heading2 2 12" xfId="1821" xr:uid="{1FCF6CE0-5E6A-4BF1-B076-BBB899C0F07D}"/>
    <cellStyle name="Heading2 2 12 2" xfId="1822" xr:uid="{664CC928-ACBF-41DC-9F17-691F8B2B12CF}"/>
    <cellStyle name="Heading2 2 12 3" xfId="1823" xr:uid="{F672D747-F89B-41C4-B9B7-8212977FD5DE}"/>
    <cellStyle name="Heading2 2 13" xfId="1824" xr:uid="{E553B65B-8C15-4FA8-B6BE-2DBA83A9676C}"/>
    <cellStyle name="Heading2 2 13 2" xfId="1825" xr:uid="{7D5CDAE7-B1AD-4B24-9370-8549C7FE4841}"/>
    <cellStyle name="Heading2 2 13 3" xfId="1826" xr:uid="{B11DE589-0F98-440B-A9B3-4BCDFDB9A9B3}"/>
    <cellStyle name="Heading2 2 14" xfId="1827" xr:uid="{12F1EEC6-F966-4BBF-A408-A0A40DD658A6}"/>
    <cellStyle name="Heading2 2 15" xfId="1828" xr:uid="{EACF150A-739E-4A27-B21A-D315B379C675}"/>
    <cellStyle name="Heading2 2 2" xfId="1829" xr:uid="{CFB819A3-C388-421D-A8AA-EB10ABC151FC}"/>
    <cellStyle name="Heading2 2 2 10" xfId="1830" xr:uid="{5CC81803-A7D0-4778-BB69-9C4DE9A678A3}"/>
    <cellStyle name="Heading2 2 2 11" xfId="1831" xr:uid="{6F63D867-13B8-4BBF-BE3B-6AB606D1B511}"/>
    <cellStyle name="Heading2 2 2 12" xfId="1832" xr:uid="{26860160-8DCE-41AE-A57E-1DBF7E001BBF}"/>
    <cellStyle name="Heading2 2 2 2" xfId="1833" xr:uid="{FDFB6DF8-66DF-4AEC-B079-63462451F70F}"/>
    <cellStyle name="Heading2 2 2 2 2" xfId="1834" xr:uid="{21831937-7E8A-4FDA-8BB7-EEBD11B3AFBB}"/>
    <cellStyle name="Heading2 2 2 3" xfId="1835" xr:uid="{96BBDBD7-AD11-44FC-A890-528C615D5467}"/>
    <cellStyle name="Heading2 2 2 4" xfId="1836" xr:uid="{93BF83AF-F123-41E5-96C7-F2846ED90A7C}"/>
    <cellStyle name="Heading2 2 2 5" xfId="1837" xr:uid="{7E8A8767-DC37-4075-93B3-87DD0296977D}"/>
    <cellStyle name="Heading2 2 2 6" xfId="1838" xr:uid="{7CC1270A-CC34-422F-BECB-87AB2A8732D2}"/>
    <cellStyle name="Heading2 2 2 7" xfId="1839" xr:uid="{4FC1EBF2-F327-4C22-B59E-4256B5C793D8}"/>
    <cellStyle name="Heading2 2 2 8" xfId="1840" xr:uid="{EFD22B35-2263-4368-9EF3-E9C8624430DE}"/>
    <cellStyle name="Heading2 2 2 9" xfId="1841" xr:uid="{A597471C-AC93-468F-92FE-5CF2D3AE83CF}"/>
    <cellStyle name="Heading2 2 3" xfId="1842" xr:uid="{E294580C-2260-4CF1-AD28-55348A6E0EE5}"/>
    <cellStyle name="Heading2 2 4" xfId="1843" xr:uid="{3C560AE0-195C-40BA-937D-6EAD261EDDFF}"/>
    <cellStyle name="Heading2 2 5" xfId="1844" xr:uid="{4B97422F-546F-49FB-BA00-21BB370784A6}"/>
    <cellStyle name="Heading2 2 6" xfId="1845" xr:uid="{A62E0449-F377-4A31-B3FF-05ABE3C89729}"/>
    <cellStyle name="Heading2 2 7" xfId="1846" xr:uid="{11FD0956-988C-4177-A131-099153933DB8}"/>
    <cellStyle name="Heading2 2 8" xfId="1847" xr:uid="{90EA8668-473C-4F67-B008-DBA7D5BEDA76}"/>
    <cellStyle name="Heading2 2 9" xfId="1848" xr:uid="{4B78B80D-BA47-4D26-89DE-FE8A3793DE65}"/>
    <cellStyle name="Heading2 2 9 2" xfId="1849" xr:uid="{824E99B3-6499-4B2E-89FB-7524B9C7A998}"/>
    <cellStyle name="Heading2 2 9 2 2" xfId="1850" xr:uid="{C84A7BEF-F8C3-40CF-919A-4F8155579BE2}"/>
    <cellStyle name="Heading2 2 9 3" xfId="1851" xr:uid="{43A253D7-D44E-4FE7-ACBB-677E2AEBE07B}"/>
    <cellStyle name="Heading2 20" xfId="1852" xr:uid="{1B9B85B6-2254-46CF-9572-72E3B4A3854E}"/>
    <cellStyle name="Heading2 21" xfId="1853" xr:uid="{344C4FFC-58ED-4679-B6D8-E7C0284AA62C}"/>
    <cellStyle name="Heading2 22" xfId="1854" xr:uid="{8105CB95-DED2-4383-A2EE-DA64801823A3}"/>
    <cellStyle name="Heading2 23" xfId="1855" xr:uid="{AC86F3E5-9DB2-463C-AA6D-D7BB585661EE}"/>
    <cellStyle name="Heading2 24" xfId="1856" xr:uid="{A75082EF-7231-4CB6-8FEA-94F13D6296C5}"/>
    <cellStyle name="Heading2 25" xfId="1857" xr:uid="{578BCF56-517E-441D-996C-9A370A00E007}"/>
    <cellStyle name="Heading2 26" xfId="1858" xr:uid="{747CBA13-4CFB-42B3-A2E4-E2BFEB8E59C3}"/>
    <cellStyle name="Heading2 27" xfId="1859" xr:uid="{E5C5F625-4362-4EC0-8D68-47C891311604}"/>
    <cellStyle name="Heading2 28" xfId="1860" xr:uid="{FCCC1BB0-B8BE-4C15-AAB9-874F05370A6C}"/>
    <cellStyle name="Heading2 29" xfId="1861" xr:uid="{B84BAE63-732F-43DA-A29D-BA0CE48A7A9E}"/>
    <cellStyle name="Heading2 3" xfId="1862" xr:uid="{8C742C5C-F428-4906-929A-6E4A665B1CA1}"/>
    <cellStyle name="Heading2 30" xfId="1863" xr:uid="{992B8B7E-E2A9-4E0D-A35D-B7D313B8D9B8}"/>
    <cellStyle name="Heading2 31" xfId="1864" xr:uid="{54B088E8-6942-429E-B722-9358302FE7A6}"/>
    <cellStyle name="Heading2 32" xfId="1865" xr:uid="{4CE02B9A-0EA6-4E2E-AA15-032452497428}"/>
    <cellStyle name="Heading2 33" xfId="1866" xr:uid="{F8CB3FDC-6235-441B-91F2-90605583C7F1}"/>
    <cellStyle name="Heading2 34" xfId="1867" xr:uid="{8A4D0901-3AFF-4C6C-9509-D53D4DED9CA1}"/>
    <cellStyle name="Heading2 35" xfId="1868" xr:uid="{BA76111C-391A-46FC-8940-7DC18A7D2C63}"/>
    <cellStyle name="Heading2 36" xfId="1869" xr:uid="{9610FC34-AB2E-4C37-B7A0-3DE2D48AEAF5}"/>
    <cellStyle name="Heading2 37" xfId="1870" xr:uid="{95E7EF43-5309-4E68-A378-D9B2201EF7B0}"/>
    <cellStyle name="Heading2 38" xfId="1871" xr:uid="{6936CF31-5F0A-4098-84B5-0AFE7CB2D985}"/>
    <cellStyle name="Heading2 39" xfId="1872" xr:uid="{BE67F417-F2D8-418D-99C7-BEA12518F5D4}"/>
    <cellStyle name="Heading2 4" xfId="1873" xr:uid="{16F7A6A6-0608-41C9-B30A-A76ED6AE28BB}"/>
    <cellStyle name="Heading2 40" xfId="1874" xr:uid="{8AB9C374-6535-4B98-B306-A720F40B7F4C}"/>
    <cellStyle name="Heading2 41" xfId="1875" xr:uid="{738B407B-9C47-40B9-BBC9-B1C8B2E1F20D}"/>
    <cellStyle name="Heading2 42" xfId="1876" xr:uid="{C01B939D-DA14-4EF3-81C9-EA718E0FDE9F}"/>
    <cellStyle name="Heading2 43" xfId="1877" xr:uid="{1D068503-EE00-42FF-B4B4-73F07A7616A2}"/>
    <cellStyle name="Heading2 44" xfId="1878" xr:uid="{2D572F22-A9F5-4C1E-994A-9B2A597FB14A}"/>
    <cellStyle name="Heading2 45" xfId="1879" xr:uid="{6900A16B-7F82-4A30-8BFB-4FB42DEDEE3D}"/>
    <cellStyle name="Heading2 46" xfId="1880" xr:uid="{BD4D18D5-0B13-4784-894C-392316BE7108}"/>
    <cellStyle name="Heading2 47" xfId="1881" xr:uid="{F47533EF-34DD-4292-8C04-3AA5489E4C7F}"/>
    <cellStyle name="Heading2 48" xfId="1882" xr:uid="{313DE22A-BB9A-4CBE-B2DD-9694C6CA8D21}"/>
    <cellStyle name="Heading2 49" xfId="1883" xr:uid="{747BD7F8-461C-481C-A9EA-CFAFD39054FE}"/>
    <cellStyle name="Heading2 5" xfId="1884" xr:uid="{B791AEB7-6849-4D54-91D6-D3723692CAB7}"/>
    <cellStyle name="Heading2 5 2" xfId="1885" xr:uid="{1D707C59-A66C-4196-A814-4BFEB7A7D7B1}"/>
    <cellStyle name="Heading2 5 3" xfId="1886" xr:uid="{46B8AAA9-D574-4780-9D8E-4D4BC3C3DE57}"/>
    <cellStyle name="Heading2 5 4" xfId="1887" xr:uid="{0E31466B-A45E-4E80-A8FB-2F1C94C91300}"/>
    <cellStyle name="Heading2 5 5" xfId="1888" xr:uid="{B9C23354-EF68-41E1-B540-0ED0CB7F98F2}"/>
    <cellStyle name="Heading2 5 6" xfId="1889" xr:uid="{D4056665-8C1A-4A59-804E-FDFB01412DAC}"/>
    <cellStyle name="Heading2 5 7" xfId="1890" xr:uid="{F7869412-5AD8-4F8F-BEAD-45FAECBF8544}"/>
    <cellStyle name="Heading2 50" xfId="1891" xr:uid="{6F207C2D-01EF-45BF-B30E-CD242132B08E}"/>
    <cellStyle name="Heading2 51" xfId="1892" xr:uid="{526DFC2E-DBAF-43B0-B57C-03CA79FBCA50}"/>
    <cellStyle name="Heading2 52" xfId="1893" xr:uid="{2149F96B-F27A-4A77-8FFC-6B3B8A50854D}"/>
    <cellStyle name="Heading2 53" xfId="1894" xr:uid="{122ED910-C232-4A17-9B77-31430665A2AD}"/>
    <cellStyle name="Heading2 54" xfId="1895" xr:uid="{BBC959BA-08E6-4DB7-8AA9-6B6C6AAF3585}"/>
    <cellStyle name="Heading2 55" xfId="1896" xr:uid="{B00982A7-56AF-4BB3-AE33-17123BACC724}"/>
    <cellStyle name="Heading2 56" xfId="1897" xr:uid="{1E25FED0-F047-4984-B321-5EE72B0A40D4}"/>
    <cellStyle name="Heading2 57" xfId="1898" xr:uid="{1D0EC8BF-B9A3-41C0-B74A-58ED5615B6AB}"/>
    <cellStyle name="Heading2 58" xfId="1899" xr:uid="{988DF31A-91BA-41AE-9AB1-761D494C4F7E}"/>
    <cellStyle name="Heading2 59" xfId="1900" xr:uid="{EEE7D863-B51E-4A9C-A653-6B4083CFE1A1}"/>
    <cellStyle name="Heading2 6" xfId="1901" xr:uid="{9DDEDB27-1E0B-4A63-ACFE-C12EED192618}"/>
    <cellStyle name="Heading2 6 2" xfId="1902" xr:uid="{8AFD1022-5ADA-4E29-89F1-2A8690AF9F2F}"/>
    <cellStyle name="Heading2 6 3" xfId="1903" xr:uid="{A8142489-446C-4A8F-B318-0C0E4A67F96E}"/>
    <cellStyle name="Heading2 6 4" xfId="1904" xr:uid="{DAE41048-420B-4828-A58B-0B709AB69AD3}"/>
    <cellStyle name="Heading2 6 5" xfId="1905" xr:uid="{C2833E7E-829C-408D-B867-2D1449F6B49C}"/>
    <cellStyle name="Heading2 6 6" xfId="1906" xr:uid="{9C94329D-E308-476F-8D32-03B5EF6E111E}"/>
    <cellStyle name="Heading2 60" xfId="1907" xr:uid="{04A86F69-FB38-4AD8-9DC1-965981DB7A84}"/>
    <cellStyle name="Heading2 61" xfId="1908" xr:uid="{54917FAB-E63A-47A4-AFA3-953EAC1D3C58}"/>
    <cellStyle name="Heading2 62" xfId="1909" xr:uid="{BC1A952D-EEC4-4353-8463-51C7A07E5A2A}"/>
    <cellStyle name="Heading2 63" xfId="1910" xr:uid="{1E2F9028-D42B-40D1-B36C-E22687CCA991}"/>
    <cellStyle name="Heading2 64" xfId="1911" xr:uid="{C527E524-2FCB-4B0B-AD87-663CF4F90944}"/>
    <cellStyle name="Heading2 65" xfId="1912" xr:uid="{749A6546-AAA0-4F34-AB39-9659EE586BD4}"/>
    <cellStyle name="Heading2 66" xfId="1913" xr:uid="{A99DCCD9-9E9B-4D62-ACD7-A529D82F9441}"/>
    <cellStyle name="Heading2 67" xfId="1914" xr:uid="{FB12A90F-DA0E-4FA7-A1B2-8976FDF78CC7}"/>
    <cellStyle name="Heading2 68" xfId="1915" xr:uid="{030E7D33-BFD3-44BE-82A4-396CA9F3CD49}"/>
    <cellStyle name="Heading2 69" xfId="1916" xr:uid="{9CE4DCF1-07D4-4A83-A9FC-9F1F329E859E}"/>
    <cellStyle name="Heading2 7" xfId="1917" xr:uid="{15CA51CF-FF07-40EC-A3F5-2E77A7FFAAEA}"/>
    <cellStyle name="Heading2 70" xfId="1918" xr:uid="{2CA86B76-7FE9-48E9-81E3-37DCC8B63E98}"/>
    <cellStyle name="Heading2 71" xfId="1919" xr:uid="{70059DAE-A9D7-40F6-9433-88BFBD994D7A}"/>
    <cellStyle name="Heading2 72" xfId="1920" xr:uid="{FE256AE5-055A-4711-A1A2-9E36445FC091}"/>
    <cellStyle name="Heading2 73" xfId="1921" xr:uid="{78D74B90-67DE-4937-9A1B-59158DB3C78E}"/>
    <cellStyle name="Heading2 74" xfId="1922" xr:uid="{EE521AB0-6382-4970-B37A-2AE11B238AAF}"/>
    <cellStyle name="Heading2 75" xfId="1923" xr:uid="{26C85973-ADB8-4784-B157-3C74ED72CBD7}"/>
    <cellStyle name="Heading2 76" xfId="1924" xr:uid="{1E8E44D9-C612-4850-92B6-5C8C9E9DBEAF}"/>
    <cellStyle name="Heading2 77" xfId="1925" xr:uid="{AF80D813-FCF9-4766-AC60-45A9DE62E6F7}"/>
    <cellStyle name="Heading2 78" xfId="1926" xr:uid="{0A5E1E48-5483-4A76-9FE2-9E02702EB3E0}"/>
    <cellStyle name="Heading2 79" xfId="1927" xr:uid="{9A1955F0-3FC7-4C07-A6C7-33F599B4CC2B}"/>
    <cellStyle name="Heading2 8" xfId="1928" xr:uid="{56D4D0CA-C062-4E0E-B574-3BCFD254A24C}"/>
    <cellStyle name="Heading2 80" xfId="1929" xr:uid="{53FCF039-9FA0-4D28-9796-DF2B1F572B91}"/>
    <cellStyle name="Heading2 81" xfId="1930" xr:uid="{028D3805-B74A-4112-B87C-B7095256E6B3}"/>
    <cellStyle name="Heading2 82" xfId="1931" xr:uid="{C5B88E89-5775-4F6F-983E-DA6B5CBC0296}"/>
    <cellStyle name="Heading2 82 2" xfId="1932" xr:uid="{3ED4ACAC-F4A3-43A8-A04E-493DA0E50D67}"/>
    <cellStyle name="Heading2 82 3" xfId="1933" xr:uid="{3CD27988-48CE-446D-93F7-F8AACCD9C4FD}"/>
    <cellStyle name="Heading2 82 4" xfId="1934" xr:uid="{A74F6110-90A0-478C-B73B-998FCFAB3F44}"/>
    <cellStyle name="Heading2 83" xfId="1935" xr:uid="{BFA090D7-7861-4585-9058-D022909086D3}"/>
    <cellStyle name="Heading2 83 2" xfId="1936" xr:uid="{3CB5813D-12AA-4578-B315-071285A81B2E}"/>
    <cellStyle name="Heading2 83 3" xfId="1937" xr:uid="{0FE7274D-EDB6-4143-B8CC-3031B38AFBBD}"/>
    <cellStyle name="Heading2 83 4" xfId="1938" xr:uid="{01518D42-8F04-4F0B-94E4-DE96E92AB4FF}"/>
    <cellStyle name="Heading2 84" xfId="1939" xr:uid="{379151EF-C904-43F8-A5F5-84D0E7D1D599}"/>
    <cellStyle name="Heading2 84 2" xfId="1940" xr:uid="{C8E11E1F-EF3F-49D9-8888-7E4AEEF79974}"/>
    <cellStyle name="Heading2 84 3" xfId="1941" xr:uid="{F258E10D-9E1B-41CC-BFDF-3C733343E909}"/>
    <cellStyle name="Heading2 84 4" xfId="1942" xr:uid="{0ED0279C-6EB0-4821-BBB7-971B083D77FF}"/>
    <cellStyle name="Heading2 85" xfId="1943" xr:uid="{FD2EBDA8-33FC-49D0-98E0-9DDAA6FA7840}"/>
    <cellStyle name="Heading2 85 2" xfId="1944" xr:uid="{7E53E7AF-31E6-49FD-99CC-CEB12156A961}"/>
    <cellStyle name="Heading2 85 3" xfId="1945" xr:uid="{D7CB6DEF-FC3E-4D7F-86DB-90FC7D4D4B2D}"/>
    <cellStyle name="Heading2 85 4" xfId="1946" xr:uid="{42106C6A-7AE3-494E-8A3C-9A30D91A99B6}"/>
    <cellStyle name="Heading2 86" xfId="1947" xr:uid="{BFEC159F-8B6D-40C3-B449-E052ADCD9968}"/>
    <cellStyle name="Heading2 86 2" xfId="1948" xr:uid="{9A950C97-57DD-457B-BF52-58CEE8D184C2}"/>
    <cellStyle name="Heading2 86 3" xfId="1949" xr:uid="{BB7EEE38-C90A-449B-AE24-78846EF703A1}"/>
    <cellStyle name="Heading2 86 4" xfId="1950" xr:uid="{79B46F49-8D7D-4D54-801A-023737E05FBD}"/>
    <cellStyle name="Heading2 87" xfId="1951" xr:uid="{3BA504A9-8CE5-45DB-BCE9-3E7FED66920C}"/>
    <cellStyle name="Heading2 87 2" xfId="1952" xr:uid="{B05FCFF2-7FB3-4578-B35D-F4C5BB3D376B}"/>
    <cellStyle name="Heading2 87 3" xfId="1953" xr:uid="{000A9604-7D71-418F-AF73-9ED2EAEE85C3}"/>
    <cellStyle name="Heading2 87 4" xfId="1954" xr:uid="{AF0960DE-A22E-4040-AA96-93761A5DF205}"/>
    <cellStyle name="Heading2 88" xfId="1955" xr:uid="{36152306-2CFC-4F56-8FEC-B657BB68DCC4}"/>
    <cellStyle name="Heading2 88 2" xfId="1956" xr:uid="{CBF71377-DE5B-49E6-9055-EB318F5AC4A9}"/>
    <cellStyle name="Heading2 88 3" xfId="1957" xr:uid="{2CC002DD-E226-47B1-B2C8-61877AF517E0}"/>
    <cellStyle name="Heading2 88 4" xfId="1958" xr:uid="{28D0E56C-95A2-4B46-9D39-17E11B4F5655}"/>
    <cellStyle name="Heading2 89" xfId="1959" xr:uid="{3FBDB954-8A4A-4FE4-ABF1-553F5D2428C4}"/>
    <cellStyle name="Heading2 89 2" xfId="1960" xr:uid="{0CB9925B-4A49-4F09-93B1-9D820CDBE30F}"/>
    <cellStyle name="Heading2 89 3" xfId="1961" xr:uid="{C206AE8F-B60E-40B7-9CEB-9D5A077575EB}"/>
    <cellStyle name="Heading2 89 4" xfId="1962" xr:uid="{1B5B728B-E41B-4BCC-9C2B-0743F171BD94}"/>
    <cellStyle name="Heading2 9" xfId="1963" xr:uid="{9B8298A0-0F60-45F4-98AD-83C8A20F54FD}"/>
    <cellStyle name="Heading2 90" xfId="1964" xr:uid="{BD5D14C2-79D9-45B5-BAB1-05618E16C930}"/>
    <cellStyle name="Heading2 91" xfId="1965" xr:uid="{A5D4737B-01E9-4C0C-9CF0-DF83B9A2FA22}"/>
    <cellStyle name="Heading2 92" xfId="1966" xr:uid="{40841F47-202A-4C47-A447-24A214637800}"/>
    <cellStyle name="Heading2 93" xfId="1967" xr:uid="{14D94E2F-9B83-40CF-9311-26167AD3642B}"/>
    <cellStyle name="Heading2 94" xfId="1968" xr:uid="{2E3B6AE8-3C18-4253-A309-52995894C58A}"/>
    <cellStyle name="Heading2 95" xfId="1969" xr:uid="{074BD56E-FD18-486F-975D-D9F58A6492B4}"/>
    <cellStyle name="Heading2 96" xfId="1970" xr:uid="{CB49D9B7-FC53-4A4A-B21E-0B154474DB71}"/>
    <cellStyle name="Heading2 97" xfId="1971" xr:uid="{0B56E74A-8B60-47CA-A1A0-3FA46AB4AB2D}"/>
    <cellStyle name="Heading2 98" xfId="1972" xr:uid="{DCCEDA61-3690-47C7-B56C-470454A0DE15}"/>
    <cellStyle name="Heading2 99" xfId="1973" xr:uid="{7CF398EB-E749-49B3-8A6A-05BA08941F1B}"/>
    <cellStyle name="Heading2_ANB" xfId="1974" xr:uid="{9BD5C44C-2519-4E50-8D85-E61201A266C0}"/>
    <cellStyle name="Input 10" xfId="1975" xr:uid="{CDEE72AF-05A5-4BF0-94B8-FE703E38362A}"/>
    <cellStyle name="Input 11" xfId="1976" xr:uid="{9B3B48D9-DCD8-41F1-9A89-92D5DA26A0DD}"/>
    <cellStyle name="Input 12" xfId="1977" xr:uid="{8332BC47-2F26-4FEA-819B-08D77E4C67A9}"/>
    <cellStyle name="Input 13" xfId="1978" xr:uid="{0A90C9A1-7392-4D80-84DC-8D3ECC918FE6}"/>
    <cellStyle name="Input 14" xfId="1979" xr:uid="{1C5D3EB6-0382-40F6-A149-CF42E80658C4}"/>
    <cellStyle name="Input 15" xfId="1980" xr:uid="{210AE7C8-A9B4-42DB-8143-0DFDC54B5D96}"/>
    <cellStyle name="Input 2" xfId="1981" xr:uid="{B569780E-CAF4-4BBF-BE78-0C249BCDA076}"/>
    <cellStyle name="Input 2 2" xfId="1982" xr:uid="{E827F507-3E97-40CC-BE64-BCEBF3AA2A1A}"/>
    <cellStyle name="Input 2 3" xfId="1983" xr:uid="{05343A20-C997-49AF-8830-AFDBF63E98C4}"/>
    <cellStyle name="Input 3" xfId="1984" xr:uid="{C2275049-0446-4848-8842-30A95839A42E}"/>
    <cellStyle name="Input 3 2" xfId="1985" xr:uid="{38CD743B-F453-4DE4-AE51-879819B76809}"/>
    <cellStyle name="Input 3 3" xfId="1986" xr:uid="{7C1FDD4D-8F3A-4D64-8047-010644A81339}"/>
    <cellStyle name="Input 4" xfId="1987" xr:uid="{36C15394-D0D7-400A-BD2D-47F832A8053F}"/>
    <cellStyle name="Input 4 2" xfId="1988" xr:uid="{7AD71E47-36DF-495C-89FF-189896B31134}"/>
    <cellStyle name="Input 4 3" xfId="1989" xr:uid="{58B19316-AF66-4F91-B488-3874F3E61EE2}"/>
    <cellStyle name="Input 5" xfId="1990" xr:uid="{DBFD03FB-B7A9-4C78-9F1D-7EF07899CF90}"/>
    <cellStyle name="Input 5 2" xfId="1991" xr:uid="{A4E1A3E5-6970-40C9-BB9F-E1B34A61BD8A}"/>
    <cellStyle name="Input 5 3" xfId="1992" xr:uid="{FA0A8742-BFC6-4CAE-8EAC-320D5713FAB2}"/>
    <cellStyle name="Input 6" xfId="1993" xr:uid="{A27C6CCF-8C36-481F-97EC-DE6C6C17E533}"/>
    <cellStyle name="Input 6 2" xfId="1994" xr:uid="{7974AB98-EEAB-4AEC-AC95-6D808174DFD9}"/>
    <cellStyle name="Input 6 3" xfId="1995" xr:uid="{49D80788-EE55-4ECE-86E9-843F40DFED29}"/>
    <cellStyle name="Input 7" xfId="1996" xr:uid="{88D72599-A135-4E0F-AAAB-D0BD2CE31FEC}"/>
    <cellStyle name="Input 7 2" xfId="1997" xr:uid="{41F590B6-C997-448C-A5A0-6BFBAB7A28CA}"/>
    <cellStyle name="Input 7 3" xfId="1998" xr:uid="{08148EEC-5EC8-4FE2-A5F9-3DF1BD26D6C5}"/>
    <cellStyle name="Input 8" xfId="1999" xr:uid="{C3F02AAA-2C72-4701-84F4-A4DBA9CD109B}"/>
    <cellStyle name="Input 8 2" xfId="2000" xr:uid="{4941263B-75F8-4520-A055-3F1420C9CDDC}"/>
    <cellStyle name="Input 8 3" xfId="2001" xr:uid="{1AB02F61-1C84-4CB5-85A9-27DD21DECF3D}"/>
    <cellStyle name="Input 9" xfId="2002" xr:uid="{B29583CA-DDF3-45A7-A8D1-D429084646DC}"/>
    <cellStyle name="Linked Cell 10" xfId="2003" xr:uid="{35FC5403-1336-4FCE-9263-C816A77594E4}"/>
    <cellStyle name="Linked Cell 11" xfId="2004" xr:uid="{EAA64545-B4C9-4690-8D49-7F04C4097CCC}"/>
    <cellStyle name="Linked Cell 12" xfId="2005" xr:uid="{5C60A42F-BEAB-452A-BAE1-BFAE5A751918}"/>
    <cellStyle name="Linked Cell 13" xfId="2006" xr:uid="{C686F6A9-72A9-4D67-825D-3B69DBF56812}"/>
    <cellStyle name="Linked Cell 14" xfId="2007" xr:uid="{629BAB84-ACE8-4E88-B564-7C42B1890CB5}"/>
    <cellStyle name="Linked Cell 15" xfId="2008" xr:uid="{FCBFC447-B789-496A-8F0A-AF9E2F178BC9}"/>
    <cellStyle name="Linked Cell 2" xfId="2009" xr:uid="{11333D9A-CCC6-497D-A43D-C8801A1D13BA}"/>
    <cellStyle name="Linked Cell 2 2" xfId="2010" xr:uid="{0F08C069-2178-4DE7-A6C1-D343E182CEE8}"/>
    <cellStyle name="Linked Cell 2 3" xfId="2011" xr:uid="{B868E4B7-E454-4DBC-B402-5FDF19723B65}"/>
    <cellStyle name="Linked Cell 3" xfId="2012" xr:uid="{8FF345A7-7F05-4BC3-A784-CD7794F980ED}"/>
    <cellStyle name="Linked Cell 3 2" xfId="2013" xr:uid="{878BC3E6-7325-4C7E-A200-060ACFEC2CC0}"/>
    <cellStyle name="Linked Cell 3 3" xfId="2014" xr:uid="{9421B432-5162-4A0E-B7C6-DAA33D5895B5}"/>
    <cellStyle name="Linked Cell 4" xfId="2015" xr:uid="{0F674FAC-5487-4443-8834-98CDE7E82A0F}"/>
    <cellStyle name="Linked Cell 4 2" xfId="2016" xr:uid="{1664B6D3-31CE-40B7-89F0-41B402C3BD4F}"/>
    <cellStyle name="Linked Cell 4 3" xfId="2017" xr:uid="{DE6B4CB8-6CE9-4CA5-9C73-318B61362A33}"/>
    <cellStyle name="Linked Cell 5" xfId="2018" xr:uid="{2EBED012-0B34-4744-BB43-95124025FA76}"/>
    <cellStyle name="Linked Cell 5 2" xfId="2019" xr:uid="{583B274D-8C70-44E6-A77E-1AFB1C1F4BC5}"/>
    <cellStyle name="Linked Cell 5 3" xfId="2020" xr:uid="{E48B029C-106A-4BAD-93EC-1FC7623D7B6A}"/>
    <cellStyle name="Linked Cell 6" xfId="2021" xr:uid="{0BA3F4E3-A158-4C0A-8048-30695B1A9A4E}"/>
    <cellStyle name="Linked Cell 6 2" xfId="2022" xr:uid="{20658E5F-18D6-4B69-94AF-77038B3E281B}"/>
    <cellStyle name="Linked Cell 6 3" xfId="2023" xr:uid="{401BEB20-A28E-4E89-9F5E-5D693D599470}"/>
    <cellStyle name="Linked Cell 7" xfId="2024" xr:uid="{854D2C50-1199-440B-AAE7-A09D4FFC979F}"/>
    <cellStyle name="Linked Cell 7 2" xfId="2025" xr:uid="{52A4ECA9-6F21-42C2-9B74-08D79105DC1C}"/>
    <cellStyle name="Linked Cell 7 3" xfId="2026" xr:uid="{5920B720-F2CB-424D-92F9-9C1A2EA574E4}"/>
    <cellStyle name="Linked Cell 8" xfId="2027" xr:uid="{954AC618-609B-4B32-827A-CBE9A192A387}"/>
    <cellStyle name="Linked Cell 8 2" xfId="2028" xr:uid="{BCF4240F-3CC6-4BE9-95A9-E99B09FFC6EA}"/>
    <cellStyle name="Linked Cell 8 3" xfId="2029" xr:uid="{0166C5C3-20C2-4EF8-BA2B-58B28CED9424}"/>
    <cellStyle name="Linked Cell 9" xfId="2030" xr:uid="{C0D294F5-4304-481E-A684-E9CCE3E719A9}"/>
    <cellStyle name="Neutral 10" xfId="2031" xr:uid="{DD06F8A5-C322-4148-9566-3C2237EB39CC}"/>
    <cellStyle name="Neutral 11" xfId="2032" xr:uid="{3DC880E0-EE5A-4E5E-AC5C-C3FD14AF4CA7}"/>
    <cellStyle name="Neutral 12" xfId="2033" xr:uid="{AC02788D-0719-422A-8E62-10138C604C23}"/>
    <cellStyle name="Neutral 13" xfId="2034" xr:uid="{5FBF8729-6256-4218-A941-761CEEC6875F}"/>
    <cellStyle name="Neutral 14" xfId="2035" xr:uid="{7F68BE6A-E6C1-494C-B3B2-8473104FE464}"/>
    <cellStyle name="Neutral 15" xfId="2036" xr:uid="{D4F0B0F8-1AE4-458A-B824-542D991CDE88}"/>
    <cellStyle name="Neutral 2" xfId="2037" xr:uid="{FAD60253-FDD5-4B17-8D1A-546FBB89EC85}"/>
    <cellStyle name="Neutral 2 2" xfId="2038" xr:uid="{619B0546-32EB-415A-A2B7-1D7FAD77702A}"/>
    <cellStyle name="Neutral 2 3" xfId="2039" xr:uid="{BE19BB49-2B42-40C7-A74F-7696F6D6784A}"/>
    <cellStyle name="Neutral 3" xfId="2040" xr:uid="{54FA18E4-8DCB-46AA-91C3-84A618D4DE3C}"/>
    <cellStyle name="Neutral 3 2" xfId="2041" xr:uid="{2F86E963-9C68-4A33-A560-6DCA34EDAA47}"/>
    <cellStyle name="Neutral 3 3" xfId="2042" xr:uid="{2C0C84AF-7D6D-4C67-A51E-092C1CA8104D}"/>
    <cellStyle name="Neutral 4" xfId="2043" xr:uid="{4C68A8D1-EE40-4446-AA58-F005E4C414D9}"/>
    <cellStyle name="Neutral 4 2" xfId="2044" xr:uid="{28A135E0-FF75-4AE4-B686-E37C94F8EE78}"/>
    <cellStyle name="Neutral 4 3" xfId="2045" xr:uid="{8F461DF6-AF69-4DE9-9535-90511C9A63F3}"/>
    <cellStyle name="Neutral 5" xfId="2046" xr:uid="{CC4F1A62-8A0A-4C4F-B82D-6588F0B745D2}"/>
    <cellStyle name="Neutral 5 2" xfId="2047" xr:uid="{DD149DBB-7C69-4B19-BD74-A816DCDFB2F0}"/>
    <cellStyle name="Neutral 5 3" xfId="2048" xr:uid="{3483AC65-65D5-4C72-BE0E-1C8D8823466D}"/>
    <cellStyle name="Neutral 6" xfId="2049" xr:uid="{D3A9A99B-FBFA-43AC-AC2A-40F62F77D105}"/>
    <cellStyle name="Neutral 6 2" xfId="2050" xr:uid="{DCB3DC01-C5DC-461F-ABD8-26CEFA85BCA9}"/>
    <cellStyle name="Neutral 6 3" xfId="2051" xr:uid="{B1EA51A1-29CB-4E1B-97C4-9076238F2B68}"/>
    <cellStyle name="Neutral 7" xfId="2052" xr:uid="{5A2D6F23-0C6D-4E5E-B99A-BBE6AA4F7990}"/>
    <cellStyle name="Neutral 7 2" xfId="2053" xr:uid="{49A37A5F-C38F-47FF-A28A-96110D848F88}"/>
    <cellStyle name="Neutral 7 3" xfId="2054" xr:uid="{E9F5423F-0B85-457C-9ABE-564704DB9DBD}"/>
    <cellStyle name="Neutral 8" xfId="2055" xr:uid="{C5CA1EBE-931F-4E65-B414-21D94573D821}"/>
    <cellStyle name="Neutral 8 2" xfId="2056" xr:uid="{29225424-470E-44C2-9CA4-D39764B51D3B}"/>
    <cellStyle name="Neutral 8 3" xfId="2057" xr:uid="{EA64685F-5267-40D3-A406-256067DD2EAF}"/>
    <cellStyle name="Neutral 9" xfId="2058" xr:uid="{906864A2-3FC1-42FF-A75B-E8B29A7BFD21}"/>
    <cellStyle name="Normal" xfId="0" builtinId="0"/>
    <cellStyle name="Normal - Style1" xfId="15" xr:uid="{00000000-0005-0000-0000-000018000000}"/>
    <cellStyle name="Normal - Style2" xfId="16" xr:uid="{00000000-0005-0000-0000-000019000000}"/>
    <cellStyle name="Normal - Style3" xfId="17" xr:uid="{00000000-0005-0000-0000-00001A000000}"/>
    <cellStyle name="Normal 10" xfId="18" xr:uid="{00000000-0005-0000-0000-00001B000000}"/>
    <cellStyle name="Normal 11" xfId="19" xr:uid="{00000000-0005-0000-0000-00001C000000}"/>
    <cellStyle name="Normal 11 2" xfId="62" xr:uid="{00000000-0005-0000-0000-00001D000000}"/>
    <cellStyle name="Normal 11 3" xfId="2059" xr:uid="{CD86CA7C-58CD-49E6-9CDA-DDA355AF7823}"/>
    <cellStyle name="Normal 12" xfId="20" xr:uid="{00000000-0005-0000-0000-00001E000000}"/>
    <cellStyle name="Normal 12 2" xfId="2060" xr:uid="{94002AA4-A7B7-41A5-AF40-AEB141D011F0}"/>
    <cellStyle name="Normal 13" xfId="21" xr:uid="{00000000-0005-0000-0000-00001F000000}"/>
    <cellStyle name="Normal 13 2" xfId="2061" xr:uid="{D7AB7C14-1FC3-4E57-A303-B96934152F96}"/>
    <cellStyle name="Normal 14" xfId="22" xr:uid="{00000000-0005-0000-0000-000020000000}"/>
    <cellStyle name="Normal 14 2" xfId="2062" xr:uid="{9918E706-6F6E-4617-8439-C78573506E01}"/>
    <cellStyle name="Normal 15" xfId="23" xr:uid="{00000000-0005-0000-0000-000021000000}"/>
    <cellStyle name="Normal 16" xfId="24" xr:uid="{00000000-0005-0000-0000-000022000000}"/>
    <cellStyle name="Normal 17" xfId="25" xr:uid="{00000000-0005-0000-0000-000023000000}"/>
    <cellStyle name="Normal 18" xfId="46" xr:uid="{00000000-0005-0000-0000-000024000000}"/>
    <cellStyle name="Normal 19" xfId="47" xr:uid="{00000000-0005-0000-0000-000025000000}"/>
    <cellStyle name="Normal 2" xfId="26" xr:uid="{00000000-0005-0000-0000-000026000000}"/>
    <cellStyle name="Normal 2 2" xfId="27" xr:uid="{00000000-0005-0000-0000-000027000000}"/>
    <cellStyle name="Normal 2 2 2" xfId="2063" xr:uid="{51E81123-B9FA-4A4D-A45A-1DBDDDF0D1A6}"/>
    <cellStyle name="Normal 2 3" xfId="69" xr:uid="{00000000-0005-0000-0000-000028000000}"/>
    <cellStyle name="Normal 2 3 2" xfId="2064" xr:uid="{5F4DC8CC-075D-4FC9-8AD2-0A330074AF15}"/>
    <cellStyle name="Normal 2 4" xfId="2065" xr:uid="{91A664FB-3B33-4727-9B31-5300FF6FEEA6}"/>
    <cellStyle name="Normal 2 5" xfId="2066" xr:uid="{373EE804-5121-4C8F-9A78-1FFF849E6B60}"/>
    <cellStyle name="Normal 2 6" xfId="2067" xr:uid="{06DA19CE-3E03-4C79-B081-CE94A4087908}"/>
    <cellStyle name="Normal 2 7" xfId="2068" xr:uid="{5D7AA672-BDA5-4782-9500-F77235E8AA40}"/>
    <cellStyle name="Normal 2 8" xfId="2069" xr:uid="{7B5B5271-5FC1-42A0-840F-922B2F5A4AEC}"/>
    <cellStyle name="Normal 2 9" xfId="2070" xr:uid="{6BE1DFBD-3508-4CCC-BC26-53F5461A1403}"/>
    <cellStyle name="Normal 20" xfId="48" xr:uid="{00000000-0005-0000-0000-000029000000}"/>
    <cellStyle name="Normal 21" xfId="49" xr:uid="{00000000-0005-0000-0000-00002A000000}"/>
    <cellStyle name="Normal 22" xfId="50" xr:uid="{00000000-0005-0000-0000-00002B000000}"/>
    <cellStyle name="Normal 23" xfId="51" xr:uid="{00000000-0005-0000-0000-00002C000000}"/>
    <cellStyle name="Normal 24" xfId="52" xr:uid="{00000000-0005-0000-0000-00002D000000}"/>
    <cellStyle name="Normal 25" xfId="53" xr:uid="{00000000-0005-0000-0000-00002E000000}"/>
    <cellStyle name="Normal 26" xfId="55" xr:uid="{00000000-0005-0000-0000-00002F000000}"/>
    <cellStyle name="Normal 27" xfId="56" xr:uid="{00000000-0005-0000-0000-000030000000}"/>
    <cellStyle name="Normal 28" xfId="57" xr:uid="{00000000-0005-0000-0000-000031000000}"/>
    <cellStyle name="Normal 29" xfId="58" xr:uid="{00000000-0005-0000-0000-000032000000}"/>
    <cellStyle name="Normal 3" xfId="28" xr:uid="{00000000-0005-0000-0000-000033000000}"/>
    <cellStyle name="Normal 3 2" xfId="29" xr:uid="{00000000-0005-0000-0000-000034000000}"/>
    <cellStyle name="Normal 3 2 2" xfId="89" xr:uid="{00000000-0005-0000-0000-000035000000}"/>
    <cellStyle name="Normal 3 2 3" xfId="2071" xr:uid="{DDC3CC40-3600-4A86-B825-95274C1AA9D2}"/>
    <cellStyle name="Normal 3 3" xfId="87" xr:uid="{00000000-0005-0000-0000-000036000000}"/>
    <cellStyle name="Normal 3 3 2" xfId="2072" xr:uid="{2F5C1087-5A1C-4AA3-A948-F2FEB46D1F95}"/>
    <cellStyle name="Normal 3 4" xfId="2073" xr:uid="{5461BAFC-4BC7-4E9F-80D3-E454C84A9097}"/>
    <cellStyle name="Normal 30" xfId="59" xr:uid="{00000000-0005-0000-0000-000037000000}"/>
    <cellStyle name="Normal 31" xfId="60" xr:uid="{00000000-0005-0000-0000-000038000000}"/>
    <cellStyle name="Normal 32" xfId="61" xr:uid="{00000000-0005-0000-0000-000039000000}"/>
    <cellStyle name="Normal 33" xfId="63" xr:uid="{00000000-0005-0000-0000-00003A000000}"/>
    <cellStyle name="Normal 34" xfId="65" xr:uid="{00000000-0005-0000-0000-00003B000000}"/>
    <cellStyle name="Normal 35" xfId="66" xr:uid="{00000000-0005-0000-0000-00003C000000}"/>
    <cellStyle name="Normal 36" xfId="67" xr:uid="{00000000-0005-0000-0000-00003D000000}"/>
    <cellStyle name="Normal 37" xfId="68" xr:uid="{00000000-0005-0000-0000-00003E000000}"/>
    <cellStyle name="Normal 38" xfId="74" xr:uid="{00000000-0005-0000-0000-00003F000000}"/>
    <cellStyle name="Normal 39" xfId="75" xr:uid="{00000000-0005-0000-0000-000040000000}"/>
    <cellStyle name="Normal 4" xfId="30" xr:uid="{00000000-0005-0000-0000-000041000000}"/>
    <cellStyle name="Normal 4 2" xfId="31" xr:uid="{00000000-0005-0000-0000-000042000000}"/>
    <cellStyle name="Normal 4 3" xfId="96" xr:uid="{00000000-0005-0000-0000-000043000000}"/>
    <cellStyle name="Normal 40" xfId="76" xr:uid="{00000000-0005-0000-0000-000044000000}"/>
    <cellStyle name="Normal 41" xfId="79" xr:uid="{00000000-0005-0000-0000-000045000000}"/>
    <cellStyle name="Normal 42" xfId="78" xr:uid="{00000000-0005-0000-0000-000046000000}"/>
    <cellStyle name="Normal 43" xfId="77" xr:uid="{00000000-0005-0000-0000-000047000000}"/>
    <cellStyle name="Normal 44" xfId="80" xr:uid="{00000000-0005-0000-0000-000048000000}"/>
    <cellStyle name="Normal 45" xfId="81" xr:uid="{00000000-0005-0000-0000-000049000000}"/>
    <cellStyle name="Normal 46" xfId="82" xr:uid="{00000000-0005-0000-0000-00004A000000}"/>
    <cellStyle name="Normal 47" xfId="83" xr:uid="{00000000-0005-0000-0000-00004B000000}"/>
    <cellStyle name="Normal 48" xfId="84" xr:uid="{00000000-0005-0000-0000-00004C000000}"/>
    <cellStyle name="Normal 49" xfId="85" xr:uid="{00000000-0005-0000-0000-00004D000000}"/>
    <cellStyle name="Normal 5" xfId="32" xr:uid="{00000000-0005-0000-0000-00004E000000}"/>
    <cellStyle name="Normal 5 2" xfId="33" xr:uid="{00000000-0005-0000-0000-00004F000000}"/>
    <cellStyle name="Normal 5 2 2" xfId="2075" xr:uid="{139FD593-F9C5-4392-9EE6-CD0D081C4F5D}"/>
    <cellStyle name="Normal 5 3" xfId="2076" xr:uid="{D29356C5-6EE1-452C-A821-C61365CEEFE8}"/>
    <cellStyle name="Normal 5 4" xfId="2077" xr:uid="{789CBEC3-E8E5-417A-895C-86A215F68784}"/>
    <cellStyle name="Normal 5 5" xfId="2078" xr:uid="{1AB6EC2A-CC2E-422D-AF78-1C415E7C7013}"/>
    <cellStyle name="Normal 5 6" xfId="2079" xr:uid="{C0B74F1B-A25A-4AEC-8E27-38595FD0EB35}"/>
    <cellStyle name="Normal 5 7" xfId="2074" xr:uid="{E17E2815-2CFF-48E7-97D5-700B7CE3D980}"/>
    <cellStyle name="Normal 50" xfId="88" xr:uid="{00000000-0005-0000-0000-000050000000}"/>
    <cellStyle name="Normal 51" xfId="91" xr:uid="{00000000-0005-0000-0000-000051000000}"/>
    <cellStyle name="Normal 52" xfId="99" xr:uid="{00000000-0005-0000-0000-000052000000}"/>
    <cellStyle name="Normal 53" xfId="100" xr:uid="{3828482F-8E67-46CD-8D41-665C32B0F26A}"/>
    <cellStyle name="Normal 54" xfId="101" xr:uid="{82525F20-4785-4F0B-9BE8-73862AE07EE9}"/>
    <cellStyle name="Normal 55" xfId="102" xr:uid="{31A4A4B1-4177-4A4C-B283-D46083AFACBF}"/>
    <cellStyle name="Normal 56" xfId="2319" xr:uid="{B708A8DD-A19B-4956-9CDD-680E8E0C7AE0}"/>
    <cellStyle name="Normal 57" xfId="2318" xr:uid="{D231153F-7A07-4E07-8F43-584C34BBBDD7}"/>
    <cellStyle name="Normal 6" xfId="34" xr:uid="{00000000-0005-0000-0000-000053000000}"/>
    <cellStyle name="Normal 6 2" xfId="2080" xr:uid="{48BDA585-2332-49F6-887E-7618A01A54F2}"/>
    <cellStyle name="Normal 7" xfId="35" xr:uid="{00000000-0005-0000-0000-000054000000}"/>
    <cellStyle name="Normal 8" xfId="36" xr:uid="{00000000-0005-0000-0000-000055000000}"/>
    <cellStyle name="Normal 9" xfId="37" xr:uid="{00000000-0005-0000-0000-000056000000}"/>
    <cellStyle name="Normal_New Bulletin 2006" xfId="38" xr:uid="{00000000-0005-0000-0000-000057000000}"/>
    <cellStyle name="Note 10" xfId="2081" xr:uid="{9B908838-9824-46A6-BF6C-98D3A81B248A}"/>
    <cellStyle name="Note 10 2" xfId="2082" xr:uid="{F83D2AC9-20A6-463F-95FB-FF69E4ECBE87}"/>
    <cellStyle name="Note 10 2 2" xfId="2083" xr:uid="{AD6C11F3-29A0-4C6D-AC28-28231EEE90D5}"/>
    <cellStyle name="Note 10 3" xfId="2084" xr:uid="{6245ADC9-A857-47F4-A1FC-9FF848240F9C}"/>
    <cellStyle name="Note 10 4" xfId="2085" xr:uid="{67F9CADD-9085-477B-A6C8-A46F5240A901}"/>
    <cellStyle name="Note 10 5" xfId="2086" xr:uid="{3A6BD55F-5F76-4F19-8EF9-DFFF02388C0D}"/>
    <cellStyle name="Note 10 6" xfId="2087" xr:uid="{D2A62761-6441-458C-BD8F-EE55FF24646B}"/>
    <cellStyle name="Note 11" xfId="2088" xr:uid="{C1A3376F-E767-41FC-9A3C-7180F5D097BF}"/>
    <cellStyle name="Note 11 2" xfId="2089" xr:uid="{87530935-3A47-42C9-BE22-2E864720571B}"/>
    <cellStyle name="Note 12" xfId="2090" xr:uid="{948BA958-5496-4FEA-8BAC-E0F70B015380}"/>
    <cellStyle name="Note 12 2" xfId="2091" xr:uid="{DFE56C0E-33D2-43A5-9787-A420F1BA4893}"/>
    <cellStyle name="Note 13" xfId="2092" xr:uid="{B7A56015-318E-480A-8A33-AB384A64A380}"/>
    <cellStyle name="Note 14" xfId="2093" xr:uid="{C6DE957E-7E63-42DE-9347-66061816DB5E}"/>
    <cellStyle name="Note 15" xfId="2094" xr:uid="{6AA191AB-13C5-48B2-B410-85759DC91E64}"/>
    <cellStyle name="Note 16" xfId="2095" xr:uid="{0B587B7B-7940-4D82-B3FD-1FC8CE9CA50A}"/>
    <cellStyle name="Note 17" xfId="2096" xr:uid="{8EF6A2FE-8DCD-416D-B06C-5FE4C2F6AE62}"/>
    <cellStyle name="Note 2" xfId="2097" xr:uid="{8694F2A3-B1D7-4842-856D-123BF2FE7F08}"/>
    <cellStyle name="Note 2 10" xfId="2098" xr:uid="{E031970E-14E2-42B4-994A-72109972E4CD}"/>
    <cellStyle name="Note 2 10 2" xfId="2099" xr:uid="{6BDC179F-8079-4B02-9A58-40BEE97AC50C}"/>
    <cellStyle name="Note 2 11" xfId="2100" xr:uid="{4DBE5C5E-A407-4FB1-8BF5-F2EC9EC8242A}"/>
    <cellStyle name="Note 2 12" xfId="2101" xr:uid="{E465492A-1782-44AF-8967-460D5B30C1C9}"/>
    <cellStyle name="Note 2 13" xfId="2102" xr:uid="{AA8BA024-608A-4136-9B36-E21284FBA278}"/>
    <cellStyle name="Note 2 14" xfId="2103" xr:uid="{9D9DCAB6-99B4-44F5-9CDA-6136C6F82028}"/>
    <cellStyle name="Note 2 15" xfId="2104" xr:uid="{12A70C9F-6953-4FE0-A1A9-6008BAE5D335}"/>
    <cellStyle name="Note 2 16" xfId="2105" xr:uid="{27E6BCB2-989E-4604-ADD6-67FE07C41ECB}"/>
    <cellStyle name="Note 2 2" xfId="2106" xr:uid="{5F4F0FA2-9252-41F8-A8B2-18398B224DA7}"/>
    <cellStyle name="Note 2 2 2" xfId="2107" xr:uid="{ED66519C-679F-4AAF-850A-27FD9ABBDF99}"/>
    <cellStyle name="Note 2 2 3" xfId="2108" xr:uid="{EBF08D44-FA71-4B37-81C7-3C932F531577}"/>
    <cellStyle name="Note 2 2 4" xfId="2109" xr:uid="{6CA38DA4-786B-4769-B2CE-70C5628BC966}"/>
    <cellStyle name="Note 2 2 5" xfId="2110" xr:uid="{A9EB58A2-7156-48F3-B8AF-7F189F6AF8C3}"/>
    <cellStyle name="Note 2 2 6" xfId="2111" xr:uid="{07D9606B-6069-48F1-B15A-B0A84558E211}"/>
    <cellStyle name="Note 2 2 6 2" xfId="2112" xr:uid="{96688F18-C4E2-40F3-94B1-62F0F8FF6395}"/>
    <cellStyle name="Note 2 2 7" xfId="2113" xr:uid="{1022A817-3649-414C-B0A4-46FD93AD44C7}"/>
    <cellStyle name="Note 2 2 8" xfId="2114" xr:uid="{12FD4D46-455A-424D-B969-8CD934F05E77}"/>
    <cellStyle name="Note 2 2 9" xfId="2115" xr:uid="{440EB19A-C906-4EF0-820B-298FB0B9A05B}"/>
    <cellStyle name="Note 2 3" xfId="2116" xr:uid="{8DB4522B-F4D8-4EEC-961F-3E6AAE918F2E}"/>
    <cellStyle name="Note 2 3 2" xfId="2117" xr:uid="{1E9050C7-45C6-4BAB-B6E8-2CC0B9DEFE4F}"/>
    <cellStyle name="Note 2 3 3" xfId="2118" xr:uid="{85826366-4191-4653-A783-3F9F7022F06E}"/>
    <cellStyle name="Note 2 3 4" xfId="2119" xr:uid="{FCDFCD3F-DC03-47FA-AD7F-1CA83FAABAB8}"/>
    <cellStyle name="Note 2 3 5" xfId="2120" xr:uid="{E8841A03-CD41-4FF0-97C8-0A29E4D36BF5}"/>
    <cellStyle name="Note 2 3 6" xfId="2121" xr:uid="{4212B87A-E996-45EF-9E10-F48AB5E99031}"/>
    <cellStyle name="Note 2 3 6 2" xfId="2122" xr:uid="{A12512E6-3EA1-441E-87A6-2A789A492DEE}"/>
    <cellStyle name="Note 2 4" xfId="2123" xr:uid="{EF2C0DC4-0E22-4031-8BB0-B36E124609ED}"/>
    <cellStyle name="Note 2 5" xfId="2124" xr:uid="{DC12FA99-1D55-4CDF-A347-B8769317D1F5}"/>
    <cellStyle name="Note 2 6" xfId="2125" xr:uid="{8D2FD89D-DE08-4506-90F9-49262ABE79F1}"/>
    <cellStyle name="Note 2 6 2" xfId="2126" xr:uid="{A6CA9A24-6221-44CB-81F6-F2094CCF12DA}"/>
    <cellStyle name="Note 2 6 3" xfId="2127" xr:uid="{2A344575-5CDC-4B42-96C6-AE5FE06CBF34}"/>
    <cellStyle name="Note 2 6 4" xfId="2128" xr:uid="{5D7D8F99-64ED-4803-8790-9F5665F70E0E}"/>
    <cellStyle name="Note 2 6 5" xfId="2129" xr:uid="{BC7F4707-A72B-46C4-A00E-572119404159}"/>
    <cellStyle name="Note 2 6 6" xfId="2130" xr:uid="{6CA234D0-43BA-4D95-A0A4-CE69C5EA2D61}"/>
    <cellStyle name="Note 2 7" xfId="2131" xr:uid="{FF068547-0120-45DE-8C79-0572A200F7FE}"/>
    <cellStyle name="Note 2 7 2" xfId="2132" xr:uid="{A03A6BE9-0741-42ED-9E61-464BB924B59D}"/>
    <cellStyle name="Note 2 8" xfId="2133" xr:uid="{29ACBD8A-129F-4B64-B435-D7FF2F80A657}"/>
    <cellStyle name="Note 2 8 2" xfId="2134" xr:uid="{A205A513-4692-4EC8-910E-10B43D9B1DC2}"/>
    <cellStyle name="Note 2 9" xfId="2135" xr:uid="{D3279D38-ABBC-45A3-90F1-96AD591A848F}"/>
    <cellStyle name="Note 3" xfId="2136" xr:uid="{D2123035-CBC4-43D1-9056-12C9AD1F7CE3}"/>
    <cellStyle name="Note 3 10" xfId="2137" xr:uid="{BF204FF0-8F56-4E13-B06C-8ABBB52D7A15}"/>
    <cellStyle name="Note 3 2" xfId="2138" xr:uid="{D66CD53C-C9C7-489B-86AC-9EFD86039E5B}"/>
    <cellStyle name="Note 3 2 2" xfId="2139" xr:uid="{D6FE110D-06F5-45C7-9488-DA19C6CA815C}"/>
    <cellStyle name="Note 3 2 2 2" xfId="2140" xr:uid="{ABDB6DD8-2ED4-41C7-B734-FC0A140BBBB9}"/>
    <cellStyle name="Note 3 2 3" xfId="2141" xr:uid="{85621076-65B3-4E23-BFA6-D4AD3B350D2F}"/>
    <cellStyle name="Note 3 2 4" xfId="2142" xr:uid="{24AD6CBF-AC24-45EA-8777-786547624CC6}"/>
    <cellStyle name="Note 3 2 5" xfId="2143" xr:uid="{BE8585CB-EE5F-4818-9E15-3265D6974B24}"/>
    <cellStyle name="Note 3 2 6" xfId="2144" xr:uid="{430658E4-51BF-4703-94E4-53AC3A172DDA}"/>
    <cellStyle name="Note 3 3" xfId="2145" xr:uid="{3D2A8B8D-745C-45CB-8B79-F456D5911190}"/>
    <cellStyle name="Note 3 3 2" xfId="2146" xr:uid="{C5ED0CC2-A8BD-48EB-A745-4D83A57D4DEA}"/>
    <cellStyle name="Note 3 3 2 2" xfId="2147" xr:uid="{B141BD10-540D-4F8D-A78F-2652B66520D5}"/>
    <cellStyle name="Note 3 3 3" xfId="2148" xr:uid="{5B72085E-DAB2-47AC-928B-A5CC41B45826}"/>
    <cellStyle name="Note 3 3 4" xfId="2149" xr:uid="{54A6357E-F630-4F48-9D00-5EF5EC7FABC0}"/>
    <cellStyle name="Note 3 3 5" xfId="2150" xr:uid="{29420E24-0D40-4BA4-9E7A-1AB501FDEFE9}"/>
    <cellStyle name="Note 3 3 6" xfId="2151" xr:uid="{34262581-0B0A-4DC2-AC6D-7BC3BDF2FC18}"/>
    <cellStyle name="Note 3 4" xfId="2152" xr:uid="{16173371-07A0-4287-8044-D90530F20EB7}"/>
    <cellStyle name="Note 3 4 2" xfId="2153" xr:uid="{88D387EF-5F2A-43D6-817F-916B7FABDF88}"/>
    <cellStyle name="Note 3 4 3" xfId="2154" xr:uid="{BAD562A1-1311-4C73-9298-F75BEA05471D}"/>
    <cellStyle name="Note 3 4 4" xfId="2155" xr:uid="{15955BE3-8A9F-4697-AE02-5296B12D2556}"/>
    <cellStyle name="Note 3 4 5" xfId="2156" xr:uid="{615F41B8-5336-42E3-87AF-2151203B45AE}"/>
    <cellStyle name="Note 3 4 6" xfId="2157" xr:uid="{E488E4C7-EC4D-4111-B65E-11ECF720A6E0}"/>
    <cellStyle name="Note 3 5" xfId="2158" xr:uid="{68FA7BB0-0824-49DF-B4AE-C1D8FD7DD33C}"/>
    <cellStyle name="Note 3 5 2" xfId="2159" xr:uid="{8330F597-742F-455F-8C21-C9D65BBBB102}"/>
    <cellStyle name="Note 3 6" xfId="2160" xr:uid="{905CCCBB-1383-42D7-94B4-0839FC4A5222}"/>
    <cellStyle name="Note 3 6 2" xfId="2161" xr:uid="{46D0BAFB-650B-454A-8892-8C0E95F31CC7}"/>
    <cellStyle name="Note 3 7" xfId="2162" xr:uid="{76166DEA-AE33-4374-ADA7-D6D5ABA8DAAB}"/>
    <cellStyle name="Note 3 8" xfId="2163" xr:uid="{4EB0E166-64E8-4EEF-9C97-2325096A466A}"/>
    <cellStyle name="Note 3 8 2" xfId="2164" xr:uid="{76EA4FC3-7FDF-4422-90F6-7AE163AC6454}"/>
    <cellStyle name="Note 3 9" xfId="2165" xr:uid="{F2033419-ADF5-46FB-B08A-6A2BF06D956C}"/>
    <cellStyle name="Note 4" xfId="2166" xr:uid="{9544CCF5-F6A5-44EF-8E2A-DCDD69BD36E2}"/>
    <cellStyle name="Note 4 10" xfId="2167" xr:uid="{6ACB70AB-B20E-42E1-9243-5B48F9BD33B2}"/>
    <cellStyle name="Note 4 2" xfId="2168" xr:uid="{62718BCE-ABD1-4140-894A-667ED1D1B339}"/>
    <cellStyle name="Note 4 2 2" xfId="2169" xr:uid="{022DD826-184A-4A08-9A79-2D4D94B3872C}"/>
    <cellStyle name="Note 4 2 2 2" xfId="2170" xr:uid="{83E2B744-952D-4DD6-BDD5-6CFC542E92AC}"/>
    <cellStyle name="Note 4 2 3" xfId="2171" xr:uid="{4B6866DD-6E40-457F-9071-FB525D3B5FB3}"/>
    <cellStyle name="Note 4 2 4" xfId="2172" xr:uid="{04EC5F17-29C7-49CB-8A48-2955710B51A8}"/>
    <cellStyle name="Note 4 2 5" xfId="2173" xr:uid="{0EA1E164-D03A-4AE1-9F45-4FAB9EAB12FA}"/>
    <cellStyle name="Note 4 2 6" xfId="2174" xr:uid="{C7936A1F-9204-4281-BEAD-A601D56B768B}"/>
    <cellStyle name="Note 4 3" xfId="2175" xr:uid="{470FE8E7-2133-4F68-9EF1-2D88D456F695}"/>
    <cellStyle name="Note 4 3 2" xfId="2176" xr:uid="{3835723F-499B-41C0-B8DC-0F5718541941}"/>
    <cellStyle name="Note 4 3 2 2" xfId="2177" xr:uid="{447FC37C-F3A4-4C19-988B-73A714C350AA}"/>
    <cellStyle name="Note 4 3 3" xfId="2178" xr:uid="{CCA0926E-4EAD-4199-B37E-716A774314B5}"/>
    <cellStyle name="Note 4 3 4" xfId="2179" xr:uid="{3C75D07F-0B90-4509-8F8F-122DCABE02F7}"/>
    <cellStyle name="Note 4 3 5" xfId="2180" xr:uid="{A75B6505-6CB8-4647-896E-A1B7052E509C}"/>
    <cellStyle name="Note 4 3 6" xfId="2181" xr:uid="{B799406E-B778-4C0F-967C-81D3DBF26BE9}"/>
    <cellStyle name="Note 4 4" xfId="2182" xr:uid="{B8DA3427-A837-46B2-8004-5D41C3332FE9}"/>
    <cellStyle name="Note 4 4 2" xfId="2183" xr:uid="{86BE1CBD-DB88-4A88-889F-845440562F97}"/>
    <cellStyle name="Note 4 4 3" xfId="2184" xr:uid="{72E6AF8C-6A46-40F4-B3F8-51F777A13CF5}"/>
    <cellStyle name="Note 4 4 4" xfId="2185" xr:uid="{8C98552A-BE2C-45AE-A7FA-F5CC3AB8918A}"/>
    <cellStyle name="Note 4 4 5" xfId="2186" xr:uid="{EBFBBF3A-ED2B-4764-B426-3F3E253EDAEF}"/>
    <cellStyle name="Note 4 4 6" xfId="2187" xr:uid="{625E6CF5-E0B9-4B2E-83A7-7BC017437828}"/>
    <cellStyle name="Note 4 5" xfId="2188" xr:uid="{1343242A-0394-4B9C-B30D-A5605428AA8D}"/>
    <cellStyle name="Note 4 5 2" xfId="2189" xr:uid="{189308D5-AE40-4945-A845-306F43E78847}"/>
    <cellStyle name="Note 4 6" xfId="2190" xr:uid="{28853DC2-1E2C-4DA0-8718-EE3266DF7D90}"/>
    <cellStyle name="Note 4 6 2" xfId="2191" xr:uid="{23AC8826-54C2-4CA1-826D-64D1DE432D75}"/>
    <cellStyle name="Note 4 7" xfId="2192" xr:uid="{0B921EE2-837F-4311-817A-DEBF28C57C7E}"/>
    <cellStyle name="Note 4 8" xfId="2193" xr:uid="{79E51019-F775-47DF-BB61-46A67C441616}"/>
    <cellStyle name="Note 4 8 2" xfId="2194" xr:uid="{5D8364BE-3D03-4096-834E-5F97EFD29929}"/>
    <cellStyle name="Note 4 9" xfId="2195" xr:uid="{11B423BB-1824-4301-9FE2-2E25E707C6DA}"/>
    <cellStyle name="Note 5" xfId="2196" xr:uid="{9848B1E0-FC35-402F-8B9F-50DAC32B4925}"/>
    <cellStyle name="Note 5 2" xfId="2197" xr:uid="{3D2DD589-8501-4EF5-8E7B-57E4376903F5}"/>
    <cellStyle name="Note 5 2 2" xfId="2198" xr:uid="{81D6968D-DAE6-4530-9236-A59C03570790}"/>
    <cellStyle name="Note 5 2 2 2" xfId="2199" xr:uid="{60A10FBF-7A5D-4495-86DF-C208BE7DEE14}"/>
    <cellStyle name="Note 5 2 3" xfId="2200" xr:uid="{3161F629-16FA-4290-8B25-3936C47F7337}"/>
    <cellStyle name="Note 5 2 4" xfId="2201" xr:uid="{6CCCE2FE-33CE-4F7E-AAFA-B68510714132}"/>
    <cellStyle name="Note 5 2 5" xfId="2202" xr:uid="{8B7AF9DE-F57A-434B-9030-0681FF307071}"/>
    <cellStyle name="Note 5 2 6" xfId="2203" xr:uid="{02857559-7307-46A0-89F5-02A1230CCACB}"/>
    <cellStyle name="Note 5 3" xfId="2204" xr:uid="{451B2D67-5DD0-4EFF-A1F4-591441720293}"/>
    <cellStyle name="Note 5 3 2" xfId="2205" xr:uid="{F5713852-319E-4354-879C-CF07E1EA69F8}"/>
    <cellStyle name="Note 5 3 2 2" xfId="2206" xr:uid="{B46839AD-3053-455E-A8AB-DA28CB4F92A1}"/>
    <cellStyle name="Note 5 3 3" xfId="2207" xr:uid="{1AD84FD5-062E-48DB-A59A-B68F87F4CF46}"/>
    <cellStyle name="Note 5 3 4" xfId="2208" xr:uid="{671A9F8A-FF1B-4C48-BBB9-2066FA306037}"/>
    <cellStyle name="Note 5 3 5" xfId="2209" xr:uid="{2CF00F84-7214-4359-BF51-6D58ED10E06C}"/>
    <cellStyle name="Note 5 3 6" xfId="2210" xr:uid="{349AC88B-8632-425C-B786-054CDF023E20}"/>
    <cellStyle name="Note 5 4" xfId="2211" xr:uid="{FD27E108-F33A-47C5-9855-19B34B2009C4}"/>
    <cellStyle name="Note 5 5" xfId="2212" xr:uid="{51B261E4-5444-475B-9920-B847FC98CB96}"/>
    <cellStyle name="Note 5 6" xfId="2213" xr:uid="{D60D3CF3-7B2A-4889-873B-3651E5592CD6}"/>
    <cellStyle name="Note 5 7" xfId="2214" xr:uid="{B2318F7E-0CAF-43E2-B209-7AFAAD83CEC1}"/>
    <cellStyle name="Note 5 7 2" xfId="2215" xr:uid="{A1AE432E-014C-42EC-ADFA-0254112AF9F9}"/>
    <cellStyle name="Note 5 8" xfId="2216" xr:uid="{3722352B-AFCE-4733-93DE-DE5180EC4C43}"/>
    <cellStyle name="Note 5 9" xfId="2217" xr:uid="{89AD9CF2-886E-4E4C-8E91-F0DDC2E1F3EC}"/>
    <cellStyle name="Note 6" xfId="2218" xr:uid="{E4341970-A1B5-4F3F-A444-824FA7396896}"/>
    <cellStyle name="Note 6 2" xfId="2219" xr:uid="{87DAE745-AF5F-4D04-BE09-4381DE7ACA00}"/>
    <cellStyle name="Note 6 2 2" xfId="2220" xr:uid="{2E645FB5-378C-45F8-9CC1-0FE1F229DDCE}"/>
    <cellStyle name="Note 6 2 2 2" xfId="2221" xr:uid="{9BB360AA-35ED-47EB-ABC0-E47699B830B7}"/>
    <cellStyle name="Note 6 2 3" xfId="2222" xr:uid="{E3A6857E-421E-44C6-8AF3-14D494ACB82D}"/>
    <cellStyle name="Note 6 2 4" xfId="2223" xr:uid="{BD26EC91-1174-4D98-B069-4468695221A1}"/>
    <cellStyle name="Note 6 2 5" xfId="2224" xr:uid="{627A1522-D44D-4DFD-A24B-DC2EBD36D7AB}"/>
    <cellStyle name="Note 6 2 6" xfId="2225" xr:uid="{30D74370-5C9B-46A0-B265-02FF8D2CB62C}"/>
    <cellStyle name="Note 6 3" xfId="2226" xr:uid="{8E48C461-F83C-416F-B6BA-40E979C0A212}"/>
    <cellStyle name="Note 6 3 2" xfId="2227" xr:uid="{95AAF0B8-535A-47FE-91C8-EC2CB94F3C33}"/>
    <cellStyle name="Note 6 3 2 2" xfId="2228" xr:uid="{720F4A0A-6432-439B-A693-FD8E0A126480}"/>
    <cellStyle name="Note 6 3 3" xfId="2229" xr:uid="{E5B4936D-6CC0-4EAE-8CFD-032302C5D1CE}"/>
    <cellStyle name="Note 6 3 4" xfId="2230" xr:uid="{DEEF7830-8B22-45E6-96A9-5AD00918707C}"/>
    <cellStyle name="Note 6 3 5" xfId="2231" xr:uid="{CB875D4F-0202-4749-85C7-699952A38BC3}"/>
    <cellStyle name="Note 6 3 6" xfId="2232" xr:uid="{6BD842B6-10D7-42EF-A019-8C2354347A6C}"/>
    <cellStyle name="Note 6 4" xfId="2233" xr:uid="{A9B380F7-2507-42D7-B204-C0EC3B9CE196}"/>
    <cellStyle name="Note 6 5" xfId="2234" xr:uid="{1DA4D6C3-AD16-465F-9495-65676C584EC5}"/>
    <cellStyle name="Note 6 6" xfId="2235" xr:uid="{61CC9CEF-2ABD-4B42-A7D2-50D2E31BC574}"/>
    <cellStyle name="Note 6 6 2" xfId="2236" xr:uid="{BE2CBCAC-86F0-4525-9701-BCE7619313C8}"/>
    <cellStyle name="Note 6 7" xfId="2237" xr:uid="{9DD77060-1E18-4F52-B2B3-63D7AB126F6B}"/>
    <cellStyle name="Note 6 8" xfId="2238" xr:uid="{E26C5118-3F37-4275-BEBF-56B30E04C36D}"/>
    <cellStyle name="Note 6 9" xfId="2239" xr:uid="{CB38098D-5F60-4619-A473-ADFC34EDE5BF}"/>
    <cellStyle name="Note 7" xfId="2240" xr:uid="{57AC371D-5EDA-4988-8A43-C9CEDC63154D}"/>
    <cellStyle name="Note 7 2" xfId="2241" xr:uid="{B95E1352-E20D-426C-A552-8DC64A782EBA}"/>
    <cellStyle name="Note 7 2 2" xfId="2242" xr:uid="{697F81DD-AD62-4B0E-9FB3-5BD60D92CF9D}"/>
    <cellStyle name="Note 7 2 2 2" xfId="2243" xr:uid="{755C1A51-FB30-4B90-9936-4739E7848F31}"/>
    <cellStyle name="Note 7 2 3" xfId="2244" xr:uid="{86E9A2E0-8BDD-48BE-95D3-417364902B1C}"/>
    <cellStyle name="Note 7 2 4" xfId="2245" xr:uid="{92183E55-2950-4219-94C8-DF5FADE469B4}"/>
    <cellStyle name="Note 7 2 5" xfId="2246" xr:uid="{455A8334-FB1D-4145-BD88-FD53EDF904BD}"/>
    <cellStyle name="Note 7 2 6" xfId="2247" xr:uid="{7D962D77-32CA-43F7-A15F-0AFD0DCD4595}"/>
    <cellStyle name="Note 7 3" xfId="2248" xr:uid="{3F5A0B20-94C0-44CA-8980-E14CDC0962FF}"/>
    <cellStyle name="Note 7 3 2" xfId="2249" xr:uid="{B8788F35-31B9-456E-AF9F-C5A94456F3A2}"/>
    <cellStyle name="Note 7 3 2 2" xfId="2250" xr:uid="{1F0DDA41-313F-4F7E-9201-C7F4A53C635A}"/>
    <cellStyle name="Note 7 3 3" xfId="2251" xr:uid="{AD9D824D-CBBE-453E-B911-1E7D4A642979}"/>
    <cellStyle name="Note 7 3 4" xfId="2252" xr:uid="{3FC473F8-1431-4121-A31F-9C25D97FB256}"/>
    <cellStyle name="Note 7 3 5" xfId="2253" xr:uid="{3E289D1F-F8A4-4D44-82AC-1B030C8CACCA}"/>
    <cellStyle name="Note 7 3 6" xfId="2254" xr:uid="{A803D6A0-ED2B-4063-85F8-20105853AF75}"/>
    <cellStyle name="Note 7 4" xfId="2255" xr:uid="{BC466273-759D-438C-A158-90B9C5EC7DF5}"/>
    <cellStyle name="Note 7 5" xfId="2256" xr:uid="{585F6182-CEFA-4E11-AEB5-5E17120117DF}"/>
    <cellStyle name="Note 7 6" xfId="2257" xr:uid="{4D890F27-9306-4D33-95FE-5FCBDDB3ED40}"/>
    <cellStyle name="Note 7 6 2" xfId="2258" xr:uid="{8FDA4230-028D-4B20-8675-1FA72A8CA1E3}"/>
    <cellStyle name="Note 7 7" xfId="2259" xr:uid="{AE2685AE-0BDB-4E66-BFCF-90E42F682BCE}"/>
    <cellStyle name="Note 7 8" xfId="2260" xr:uid="{5DCD4341-314E-4035-806F-96A790F3CDAA}"/>
    <cellStyle name="Note 7 9" xfId="2261" xr:uid="{B25C30CC-7FE9-4B8D-9493-62512C4778C8}"/>
    <cellStyle name="Note 8" xfId="2262" xr:uid="{8D93EE9F-0435-4CE8-908E-FE89AC55E533}"/>
    <cellStyle name="Note 8 2" xfId="2263" xr:uid="{B1317900-9301-4CC3-9D93-56A8F2B9662C}"/>
    <cellStyle name="Note 8 2 2" xfId="2264" xr:uid="{154C338C-153E-4F9B-884F-5A4E4B8233A8}"/>
    <cellStyle name="Note 8 2 2 2" xfId="2265" xr:uid="{25BF0F2B-5249-48E1-9825-22FF4F02D9BE}"/>
    <cellStyle name="Note 8 2 3" xfId="2266" xr:uid="{8AE74706-3BF5-4786-89EC-42B08AA89F32}"/>
    <cellStyle name="Note 8 2 4" xfId="2267" xr:uid="{065D213B-84C3-46F3-9E78-475DD626120D}"/>
    <cellStyle name="Note 8 2 5" xfId="2268" xr:uid="{DCFEC8B0-398C-4B38-BB2F-9B38EDD5ADBE}"/>
    <cellStyle name="Note 8 2 6" xfId="2269" xr:uid="{278F72C4-7A5F-4497-A7FF-257B958DB8DE}"/>
    <cellStyle name="Note 8 3" xfId="2270" xr:uid="{7F53C41C-40BA-4FC9-8004-C0E6EE60F782}"/>
    <cellStyle name="Note 8 3 2" xfId="2271" xr:uid="{5FEB9653-87FD-4963-97FE-65D6E5EB1CE6}"/>
    <cellStyle name="Note 8 3 2 2" xfId="2272" xr:uid="{71147784-840C-419F-8B31-917E555B10A6}"/>
    <cellStyle name="Note 8 3 3" xfId="2273" xr:uid="{24AB6A4E-6C0E-4D68-9AC6-032246FDBFBD}"/>
    <cellStyle name="Note 8 3 4" xfId="2274" xr:uid="{973B9B72-8D71-44C0-B14F-C143AF5770D2}"/>
    <cellStyle name="Note 8 3 5" xfId="2275" xr:uid="{198297D7-0B2A-4B89-84DB-5D2E97423587}"/>
    <cellStyle name="Note 8 3 6" xfId="2276" xr:uid="{94403897-EEC9-4F79-89B4-DB4C02221F2E}"/>
    <cellStyle name="Note 8 4" xfId="2277" xr:uid="{B2DF3500-AF9A-47E6-9CF3-5356DAC0CB44}"/>
    <cellStyle name="Note 8 5" xfId="2278" xr:uid="{B1CA7A88-6B8C-4DFD-811B-EF71B71DBC6F}"/>
    <cellStyle name="Note 8 6" xfId="2279" xr:uid="{97286FFB-7F68-4EC7-8EA5-F49E95581EC8}"/>
    <cellStyle name="Note 8 6 2" xfId="2280" xr:uid="{8588E38C-B322-46CF-B105-377C5B610FBC}"/>
    <cellStyle name="Note 8 7" xfId="2281" xr:uid="{4D6A73C8-B862-42C2-9AC1-EE26E33CC30A}"/>
    <cellStyle name="Note 8 8" xfId="2282" xr:uid="{6B74EDFD-3382-4A4D-82B8-0CC046423122}"/>
    <cellStyle name="Note 9" xfId="2283" xr:uid="{F250D6B0-90CB-4807-97A7-56FA199EAC3D}"/>
    <cellStyle name="Note 9 2" xfId="2284" xr:uid="{BBF4307C-175A-47F4-8D2A-5A3A06EFAD89}"/>
    <cellStyle name="Note 9 2 2" xfId="2285" xr:uid="{CE7A5764-6569-4AB3-92F3-AAFD3C2CD0F8}"/>
    <cellStyle name="Note 9 3" xfId="2286" xr:uid="{3BCA67C8-CAFE-4D94-8F54-12B1A9F3195C}"/>
    <cellStyle name="Note 9 4" xfId="2287" xr:uid="{EBE9ADBA-FF21-4B1B-922E-946BB8F144E4}"/>
    <cellStyle name="Note 9 5" xfId="2288" xr:uid="{ACDA1D97-53B2-4048-A8CB-7E35D8C74713}"/>
    <cellStyle name="Note 9 6" xfId="2289" xr:uid="{4A9B75B1-993C-467D-B191-F189CB5F5028}"/>
    <cellStyle name="Output 10" xfId="2290" xr:uid="{2A8EA56A-01BA-4B72-BAA8-7B94190DBC86}"/>
    <cellStyle name="Output 11" xfId="2291" xr:uid="{64B325D9-70BD-4B66-9ABF-AD3F2A474A2B}"/>
    <cellStyle name="Output 12" xfId="2292" xr:uid="{64E2720C-A652-4EB1-8981-51AD8B66B4C2}"/>
    <cellStyle name="Output 13" xfId="2293" xr:uid="{358CA32C-9562-4911-8D7B-5D9FD7576348}"/>
    <cellStyle name="Output 14" xfId="2294" xr:uid="{887BDADE-88B7-422F-ADEA-3A6E5A4EBE88}"/>
    <cellStyle name="Output 15" xfId="2295" xr:uid="{A03886B6-01C4-4E40-AC0E-C15E4904FDEF}"/>
    <cellStyle name="Output 2" xfId="2296" xr:uid="{D1E8715D-2C8E-45EA-A3BD-DB23A6C27399}"/>
    <cellStyle name="Output 2 2" xfId="2297" xr:uid="{2F67C541-4B30-49FD-9DE7-8CD6E42837A2}"/>
    <cellStyle name="Output 2 3" xfId="2298" xr:uid="{1AE824C4-13B3-47D6-B137-1AA84C482EF8}"/>
    <cellStyle name="Output 3" xfId="2299" xr:uid="{9B0B830C-C455-493F-BACB-E241CF1D1690}"/>
    <cellStyle name="Output 3 2" xfId="2300" xr:uid="{4992A151-B5BF-46A9-B4BD-3564BB2B0AE1}"/>
    <cellStyle name="Output 3 3" xfId="2301" xr:uid="{F1FEA0F3-FD5A-47B1-8DE5-A0DCA6EB8CC9}"/>
    <cellStyle name="Output 4" xfId="2302" xr:uid="{50E9D317-D42B-411C-BA52-3CF12698D2BE}"/>
    <cellStyle name="Output 4 2" xfId="2303" xr:uid="{1B07354F-4481-44B5-B08C-841C935F449A}"/>
    <cellStyle name="Output 4 3" xfId="2304" xr:uid="{A8DFDE03-F211-4F24-A7F8-E420277E5EE4}"/>
    <cellStyle name="Output 5" xfId="2305" xr:uid="{FD8A30AD-A94E-4709-8DBF-E8B39C0D87BE}"/>
    <cellStyle name="Output 5 2" xfId="2306" xr:uid="{C64FB1EF-65A1-47E3-901E-9EC31746FDCB}"/>
    <cellStyle name="Output 5 3" xfId="2307" xr:uid="{5348307B-D046-4F98-AC74-0AB7B85CFE52}"/>
    <cellStyle name="Output 6" xfId="2308" xr:uid="{74640D2F-45A0-4245-BB6B-0DEF40EB06C4}"/>
    <cellStyle name="Output 6 2" xfId="2309" xr:uid="{38122C84-E000-4FA7-BDAE-574E7E6C2F71}"/>
    <cellStyle name="Output 6 3" xfId="2310" xr:uid="{DD9D6E3E-B0D6-4732-8B3B-2F4AF127BD9F}"/>
    <cellStyle name="Output 7" xfId="2311" xr:uid="{0B730A6A-7B97-4669-A9C3-C9827811FB59}"/>
    <cellStyle name="Output 7 2" xfId="2312" xr:uid="{83B8AF96-8A80-471F-9F50-31F201CB285D}"/>
    <cellStyle name="Output 7 3" xfId="2313" xr:uid="{D20AC1E8-1C1B-44E8-B140-C816FC749D14}"/>
    <cellStyle name="Output 8" xfId="2314" xr:uid="{4DD31879-DED8-4EE7-A99D-EDA2E5B4E155}"/>
    <cellStyle name="Output 8 2" xfId="2315" xr:uid="{A703E4F0-127E-4E17-8BC9-AAAFE2E04636}"/>
    <cellStyle name="Output 8 3" xfId="2316" xr:uid="{940ED3DE-01C3-48D2-9811-F70FE62F6BFF}"/>
    <cellStyle name="Output 9" xfId="2317" xr:uid="{B40269B2-4522-47C6-88B2-3659A7782688}"/>
    <cellStyle name="Percen - Style1" xfId="39" xr:uid="{00000000-0005-0000-0000-000058000000}"/>
    <cellStyle name="Percent" xfId="40" builtinId="5"/>
    <cellStyle name="Percent 2" xfId="41" xr:uid="{00000000-0005-0000-0000-00005A000000}"/>
    <cellStyle name="Percent 2 2" xfId="71" xr:uid="{00000000-0005-0000-0000-00005B000000}"/>
    <cellStyle name="Percent 3" xfId="42" xr:uid="{00000000-0005-0000-0000-00005C000000}"/>
    <cellStyle name="Percent 4" xfId="54" xr:uid="{00000000-0005-0000-0000-00005D000000}"/>
    <cellStyle name="Percent 5" xfId="72" xr:uid="{00000000-0005-0000-0000-00005E000000}"/>
    <cellStyle name="Percent 6" xfId="92" xr:uid="{00000000-0005-0000-0000-00005F000000}"/>
    <cellStyle name="Percent 6 2" xfId="93" xr:uid="{00000000-0005-0000-0000-000060000000}"/>
    <cellStyle name="Publication" xfId="43" xr:uid="{00000000-0005-0000-0000-000061000000}"/>
    <cellStyle name="Style1" xfId="44" xr:uid="{00000000-0005-0000-0000-000062000000}"/>
    <cellStyle name="Title 10" xfId="2320" xr:uid="{7B4475B4-73C8-447A-A6D0-E6298C6604A4}"/>
    <cellStyle name="Title 11" xfId="2321" xr:uid="{23C17CFC-EB61-4E27-B599-B917210B2069}"/>
    <cellStyle name="Title 12" xfId="2322" xr:uid="{E0AF0A54-3F35-4A2B-ADF6-A77BD34C916E}"/>
    <cellStyle name="Title 13" xfId="2323" xr:uid="{27CC457E-0E03-4183-BDEB-5D6A98947BC1}"/>
    <cellStyle name="Title 14" xfId="2324" xr:uid="{FB53573E-9DF5-4463-8906-20A2B705D6AE}"/>
    <cellStyle name="Title 15" xfId="2325" xr:uid="{44A9F8C0-AAF0-4CD8-B5F9-7B3241739262}"/>
    <cellStyle name="Title 2" xfId="2326" xr:uid="{61D93DAE-04A6-4EA1-ABE8-D65C85743E2E}"/>
    <cellStyle name="Title 2 2" xfId="2327" xr:uid="{BC22277A-5DD9-48CB-932C-75B91968A2AA}"/>
    <cellStyle name="Title 2 3" xfId="2328" xr:uid="{D38A3FE3-860E-4669-B66E-E92671FC32F6}"/>
    <cellStyle name="Title 3" xfId="2329" xr:uid="{3A2DA96A-AF31-407F-A9C9-5DCC66377886}"/>
    <cellStyle name="Title 3 2" xfId="2330" xr:uid="{1D7B9AFA-4EEA-45E6-9F8F-3F919B029A89}"/>
    <cellStyle name="Title 3 3" xfId="2331" xr:uid="{E57B6F9A-6C76-41FA-8CD4-086E99035A53}"/>
    <cellStyle name="Title 4" xfId="2332" xr:uid="{A911B74F-4827-4A6E-B185-762DD43110A5}"/>
    <cellStyle name="Title 4 2" xfId="2333" xr:uid="{226FC220-E461-43BA-83AD-640AE241E085}"/>
    <cellStyle name="Title 4 3" xfId="2334" xr:uid="{E20D6E09-5397-429B-81A4-E3DAE8B4441A}"/>
    <cellStyle name="Title 5" xfId="2335" xr:uid="{EDC7915C-EFAE-47F2-8E29-D14724D765CF}"/>
    <cellStyle name="Title 5 2" xfId="2336" xr:uid="{024910A1-1FDE-4A0B-A91A-5E2505234349}"/>
    <cellStyle name="Title 5 3" xfId="2337" xr:uid="{5A6F4FF0-C4AC-4D68-96EA-5C4E465CFDA8}"/>
    <cellStyle name="Title 6" xfId="2338" xr:uid="{8AB95F91-19A1-45A1-A2A2-8456C7753A19}"/>
    <cellStyle name="Title 6 2" xfId="2339" xr:uid="{BE854BE6-BE1C-4954-A530-8B59EC0E86E7}"/>
    <cellStyle name="Title 6 3" xfId="2340" xr:uid="{6399A449-F66A-4F86-8A2E-E08AFA130355}"/>
    <cellStyle name="Title 7" xfId="2341" xr:uid="{CE08404A-3D41-41F8-8023-4170C2282302}"/>
    <cellStyle name="Title 7 2" xfId="2342" xr:uid="{3BD238A5-648D-4678-BC55-8FCA83BD1692}"/>
    <cellStyle name="Title 7 3" xfId="2343" xr:uid="{354D8E6F-63E8-42E6-ADC9-D36E0827EE03}"/>
    <cellStyle name="Title 8" xfId="2344" xr:uid="{88A23A37-77F4-46CB-A11E-156E6EACE89F}"/>
    <cellStyle name="Title 8 2" xfId="2345" xr:uid="{351DFAC0-0B3E-46E3-9B99-B88786CDC4F8}"/>
    <cellStyle name="Title 8 3" xfId="2346" xr:uid="{78661D45-1B1E-4ADA-BC22-24CBEEFFD074}"/>
    <cellStyle name="Title 9" xfId="2347" xr:uid="{593B2A94-AFB8-427B-A1F8-603C8967C9E7}"/>
    <cellStyle name="Total 10" xfId="2348" xr:uid="{718A198D-8470-4CD8-A823-E989875C121A}"/>
    <cellStyle name="Total 11" xfId="2349" xr:uid="{0E3080C2-36CA-4B62-8470-A3625116B471}"/>
    <cellStyle name="Total 11 2" xfId="2350" xr:uid="{31BB482E-F8A8-460E-A91E-62698637D92F}"/>
    <cellStyle name="Total 12" xfId="2351" xr:uid="{01AF9829-56E8-49DA-8D2A-D356E71B0297}"/>
    <cellStyle name="Total 12 2" xfId="2352" xr:uid="{ED953DCF-76EB-4405-BCEB-F9170E1ACFB3}"/>
    <cellStyle name="Total 13" xfId="2353" xr:uid="{E23C2E69-DFDB-4745-89B3-231D66F84149}"/>
    <cellStyle name="Total 13 2" xfId="2354" xr:uid="{6F54AF83-96E3-490E-A0C4-467232BFC721}"/>
    <cellStyle name="Total 14" xfId="2355" xr:uid="{C600B3F1-D28D-44E2-8A1F-EB8604448371}"/>
    <cellStyle name="Total 15" xfId="2356" xr:uid="{BF07D2E9-E7A4-4B19-A0C8-E511F91A3375}"/>
    <cellStyle name="Total 16" xfId="2357" xr:uid="{D552F8B8-4CA3-4893-B773-B8343DFF30BC}"/>
    <cellStyle name="Total 17" xfId="2358" xr:uid="{89D05175-72B1-4E70-97B0-6CE8C45B2F4B}"/>
    <cellStyle name="Total 18" xfId="2359" xr:uid="{0F93398C-85B6-4A0B-8C57-BDF1E9199916}"/>
    <cellStyle name="Total 19" xfId="2360" xr:uid="{813BF7BF-D55A-40E9-A84A-BCCB3853DD78}"/>
    <cellStyle name="Total 2" xfId="2361" xr:uid="{096ACECF-93F8-440F-B8A0-50E277A24875}"/>
    <cellStyle name="Total 2 10" xfId="2362" xr:uid="{38F02D57-B0ED-4923-AB9D-6F52D349D158}"/>
    <cellStyle name="Total 2 10 2" xfId="2363" xr:uid="{DB6BF437-35A3-40CD-BD01-85A793116FD9}"/>
    <cellStyle name="Total 2 10 2 2" xfId="2364" xr:uid="{31A1A00E-FD37-401E-8237-0D67DE61395D}"/>
    <cellStyle name="Total 2 10 3" xfId="2365" xr:uid="{2E7C50C8-6741-42D9-81A7-3A72578A7562}"/>
    <cellStyle name="Total 2 10 4" xfId="2366" xr:uid="{AF62A9D8-B8C8-4904-A14E-648DC28A0194}"/>
    <cellStyle name="Total 2 10 5" xfId="2367" xr:uid="{E636305A-F1D5-4188-9BD4-CAE4AF81C8B9}"/>
    <cellStyle name="Total 2 10 6" xfId="2368" xr:uid="{1FDB1F8C-B5A4-4A62-B7B3-23A34F30AE38}"/>
    <cellStyle name="Total 2 11" xfId="2369" xr:uid="{DB4AF0AA-BA4E-4300-9B9D-42923B7F1B88}"/>
    <cellStyle name="Total 2 11 2" xfId="2370" xr:uid="{296F0A16-E51B-40FC-9C59-1DB5A217CDDA}"/>
    <cellStyle name="Total 2 11 3" xfId="2371" xr:uid="{0E59C170-095C-48C2-85DB-E90159D3C5FA}"/>
    <cellStyle name="Total 2 12" xfId="2372" xr:uid="{4512AFB7-D4A9-47E8-9867-275FBC6237DD}"/>
    <cellStyle name="Total 2 12 2" xfId="2373" xr:uid="{28F8F25A-1496-4CC2-98B7-B0EAE3F2ECBC}"/>
    <cellStyle name="Total 2 12 3" xfId="2374" xr:uid="{64881C8F-2C2E-46F0-BC3F-BCB93619624E}"/>
    <cellStyle name="Total 2 13" xfId="2375" xr:uid="{2779ACFA-E7F6-4002-BC40-B46066056CF5}"/>
    <cellStyle name="Total 2 13 2" xfId="2376" xr:uid="{902F38A1-A7EB-4B19-9F7C-3DECE091E53A}"/>
    <cellStyle name="Total 2 13 3" xfId="2377" xr:uid="{5C2E4D31-5F75-4BBA-ACF1-21E251BCB8E6}"/>
    <cellStyle name="Total 2 14" xfId="2378" xr:uid="{DC670EDF-AF30-4F7C-A60A-6A530EB78370}"/>
    <cellStyle name="Total 2 14 2" xfId="2379" xr:uid="{C3496694-CCF7-4FD3-AC3A-C456BC2242F2}"/>
    <cellStyle name="Total 2 14 3" xfId="2380" xr:uid="{2147A1D1-AF40-4FC8-BD20-B44159D06F6A}"/>
    <cellStyle name="Total 2 15" xfId="2381" xr:uid="{1572F049-F29F-4E15-B1E4-91CEE5CD5A52}"/>
    <cellStyle name="Total 2 15 2" xfId="2382" xr:uid="{E5B1CFD1-C651-45C2-B092-D777D51E9EB2}"/>
    <cellStyle name="Total 2 15 3" xfId="2383" xr:uid="{A0101FA6-53C9-4A07-BF14-B8B69625BE29}"/>
    <cellStyle name="Total 2 16" xfId="2384" xr:uid="{800275E4-06D8-440B-929C-AC5DA136E996}"/>
    <cellStyle name="Total 2 17" xfId="2385" xr:uid="{54008AFE-81B7-4387-9F9F-2B877E27C966}"/>
    <cellStyle name="Total 2 18" xfId="2386" xr:uid="{3E728CDA-54E2-40F4-97D3-2FAD58FD7E75}"/>
    <cellStyle name="Total 2 19" xfId="2387" xr:uid="{C10EBEDF-CB26-4426-88FE-518924CBEAF7}"/>
    <cellStyle name="Total 2 2" xfId="2388" xr:uid="{037F3146-3CA9-4E44-BA4A-4D0288183330}"/>
    <cellStyle name="Total 2 2 10" xfId="2389" xr:uid="{98576AFF-6C2D-47A7-911A-9AB61A290F4F}"/>
    <cellStyle name="Total 2 2 11" xfId="2390" xr:uid="{DA08549F-A2E7-4CE9-BBEA-CD3FBC64D5BB}"/>
    <cellStyle name="Total 2 2 12" xfId="2391" xr:uid="{56AEF908-9F99-4860-BE1A-78753A664D8B}"/>
    <cellStyle name="Total 2 2 2" xfId="2392" xr:uid="{30D3A944-F268-4608-AEF9-ED5E030290B8}"/>
    <cellStyle name="Total 2 2 2 2" xfId="2393" xr:uid="{EF8B45E8-1FE8-45F6-BC4B-5C68D4877049}"/>
    <cellStyle name="Total 2 2 3" xfId="2394" xr:uid="{1BAF75BF-F5D9-414D-BEFA-3D0029FDFBE5}"/>
    <cellStyle name="Total 2 2 4" xfId="2395" xr:uid="{8D78BA82-B493-485C-A6CB-9C5C807849CE}"/>
    <cellStyle name="Total 2 2 5" xfId="2396" xr:uid="{B34C671C-9719-4D42-A3D5-F9B8961CDD5C}"/>
    <cellStyle name="Total 2 2 6" xfId="2397" xr:uid="{34E35EEA-05AD-42A7-A301-F4A0CDD88867}"/>
    <cellStyle name="Total 2 2 7" xfId="2398" xr:uid="{19803500-E00F-480E-BC98-6CC2FDF3CEEA}"/>
    <cellStyle name="Total 2 2 8" xfId="2399" xr:uid="{CA1C4A8D-A320-4EA3-8B4D-A8CC2593BC90}"/>
    <cellStyle name="Total 2 2 9" xfId="2400" xr:uid="{05879388-E134-4D10-8441-C22F9665A7FE}"/>
    <cellStyle name="Total 2 20" xfId="2401" xr:uid="{AE494D85-C4CE-4775-9406-4D725B0971BD}"/>
    <cellStyle name="Total 2 3" xfId="2402" xr:uid="{E2577EC1-15F3-430E-9136-198086E9FE63}"/>
    <cellStyle name="Total 2 4" xfId="2403" xr:uid="{7B01BC98-085B-46CD-AB0B-E380C809844F}"/>
    <cellStyle name="Total 2 5" xfId="2404" xr:uid="{B16551F9-E380-4161-831B-67B2F0DF6FA6}"/>
    <cellStyle name="Total 2 6" xfId="2405" xr:uid="{18A9D1F2-AE9F-4DF5-8FCE-2E54DC44D842}"/>
    <cellStyle name="Total 2 7" xfId="2406" xr:uid="{DF271E11-1131-4FCC-A5B2-69D4F7F65E14}"/>
    <cellStyle name="Total 2 8" xfId="2407" xr:uid="{86AA8BB3-8079-4107-AD07-B5976ADAE345}"/>
    <cellStyle name="Total 2 9" xfId="2408" xr:uid="{4FE3E0EC-9507-4A9D-A5F8-10A1C727D6D2}"/>
    <cellStyle name="Total 2 9 2" xfId="2409" xr:uid="{45696328-0271-4B4B-B1E8-A7E2E3F8D323}"/>
    <cellStyle name="Total 2 9 2 2" xfId="2410" xr:uid="{63A6433F-E169-4805-A8D8-3EB75096C293}"/>
    <cellStyle name="Total 2 9 3" xfId="2411" xr:uid="{8647B20B-3704-4979-8B52-E25CE50E3956}"/>
    <cellStyle name="Total 2 9 4" xfId="2412" xr:uid="{64444E7B-C8DF-4E42-A318-5BFBF0414C3B}"/>
    <cellStyle name="Total 2 9 5" xfId="2413" xr:uid="{2B222D92-7ADD-4BF1-AD84-E29A415A2F92}"/>
    <cellStyle name="Total 2 9 6" xfId="2414" xr:uid="{CFCA90DE-917D-449C-A129-D92A314FDDF1}"/>
    <cellStyle name="Total 20" xfId="2415" xr:uid="{5CF17139-652F-47AB-80E0-92C5345D5E52}"/>
    <cellStyle name="Total 21" xfId="2416" xr:uid="{E685D783-2074-46EE-A897-E06A2DCB7703}"/>
    <cellStyle name="Total 22" xfId="2417" xr:uid="{88ACD919-4EC5-49F2-ABC0-6E7A76FD0AA7}"/>
    <cellStyle name="Total 23" xfId="2418" xr:uid="{659A7629-A62D-4CDD-9B0C-3828B3FCED21}"/>
    <cellStyle name="Total 24" xfId="2419" xr:uid="{3014C2AA-13F7-4B72-B389-EEE94BC83F7A}"/>
    <cellStyle name="Total 25" xfId="2420" xr:uid="{16B7612C-8D20-4CC8-BEF2-A1C7E45D0054}"/>
    <cellStyle name="Total 26" xfId="2421" xr:uid="{41789568-649D-4CE5-B254-95BB29B35329}"/>
    <cellStyle name="Total 27" xfId="2422" xr:uid="{57A4D4B4-9384-4C10-BD52-50EC639C2EAB}"/>
    <cellStyle name="Total 28" xfId="2423" xr:uid="{1295E98F-E623-4879-9B39-EE31CB9DD77D}"/>
    <cellStyle name="Total 29" xfId="2424" xr:uid="{8B82591E-39A7-43E3-9437-82C2FE73574F}"/>
    <cellStyle name="Total 3" xfId="2425" xr:uid="{78C07B80-0CFF-408F-AED6-F431B5225F5A}"/>
    <cellStyle name="Total 3 2" xfId="2426" xr:uid="{84DD6B7B-C4BE-4A64-9BF8-AAFAF396033B}"/>
    <cellStyle name="Total 3 3" xfId="2427" xr:uid="{82E27176-661C-4A1D-8819-62C43B09326E}"/>
    <cellStyle name="Total 30" xfId="2428" xr:uid="{5FBD7C42-2D02-456C-B814-6E909B94E489}"/>
    <cellStyle name="Total 31" xfId="2429" xr:uid="{515D751F-73FA-4595-AC44-39F9FABC9CE7}"/>
    <cellStyle name="Total 32" xfId="2430" xr:uid="{7E9719AF-5D77-445F-814F-E171F43220D7}"/>
    <cellStyle name="Total 33" xfId="2431" xr:uid="{F00AF49D-19F0-4F32-9D2B-BF1B1526B088}"/>
    <cellStyle name="Total 34" xfId="2432" xr:uid="{82BBA9E1-B180-45B7-9E60-82808C2F23EB}"/>
    <cellStyle name="Total 35" xfId="2433" xr:uid="{D3E57CB6-E4F4-4F56-889A-47CBA6561556}"/>
    <cellStyle name="Total 36" xfId="2434" xr:uid="{6AF1CBE1-DCC8-4476-94DD-86894B0FF81D}"/>
    <cellStyle name="Total 37" xfId="2435" xr:uid="{AFC51894-DB8E-49F2-8090-CC41B548D0F9}"/>
    <cellStyle name="Total 38" xfId="2436" xr:uid="{24E9936C-ADD9-4A62-BE13-11A3600C8214}"/>
    <cellStyle name="Total 39" xfId="2437" xr:uid="{3C614E5C-4021-4EC5-B6ED-C1060C5CB303}"/>
    <cellStyle name="Total 4" xfId="2438" xr:uid="{B0FD1705-71C4-4070-B22C-71AEFF68C2F2}"/>
    <cellStyle name="Total 4 2" xfId="2439" xr:uid="{4413AB3E-2DE2-4400-95AB-C2144B242079}"/>
    <cellStyle name="Total 4 3" xfId="2440" xr:uid="{0099E250-82A1-43F1-908E-DE97412E1E17}"/>
    <cellStyle name="Total 40" xfId="2441" xr:uid="{7C100E24-A379-472D-88FE-51F21F32DBB6}"/>
    <cellStyle name="Total 41" xfId="2442" xr:uid="{CE63DDA0-7104-407B-BDF4-93FC7D45BE89}"/>
    <cellStyle name="Total 42" xfId="2443" xr:uid="{2E4B37F9-16BF-4D4A-AB9B-7B2D21859943}"/>
    <cellStyle name="Total 43" xfId="2444" xr:uid="{1B7C02A0-1895-4E28-8806-AE19447C6E2B}"/>
    <cellStyle name="Total 44" xfId="2445" xr:uid="{319ED8BE-609E-4607-9B49-2CE581B38D6C}"/>
    <cellStyle name="Total 45" xfId="2446" xr:uid="{40D567DB-5CA7-4006-AF24-1F3F9C99FD37}"/>
    <cellStyle name="Total 46" xfId="2447" xr:uid="{F98BA4E3-1E96-4740-8CFE-6B502245395F}"/>
    <cellStyle name="Total 47" xfId="2448" xr:uid="{2C472E5A-E997-43B6-B204-3B3E6EFA0082}"/>
    <cellStyle name="Total 48" xfId="2449" xr:uid="{E87DB6CF-E793-44E5-A3BB-0722B3DA8D47}"/>
    <cellStyle name="Total 49" xfId="2450" xr:uid="{7CCCB6B1-AC90-41ED-8922-4FC0290BD662}"/>
    <cellStyle name="Total 5" xfId="2451" xr:uid="{0EB00E66-04A0-4A50-AC6B-5D91776FCEBA}"/>
    <cellStyle name="Total 5 2" xfId="2452" xr:uid="{290F9D57-FFD6-4073-A16F-54FE2397395E}"/>
    <cellStyle name="Total 5 3" xfId="2453" xr:uid="{3550F5D8-D1A1-4030-A2D5-3653CA32A28E}"/>
    <cellStyle name="Total 5 4" xfId="2454" xr:uid="{48AFED97-834A-4783-8BD8-F1E4E0A3FE44}"/>
    <cellStyle name="Total 5 5" xfId="2455" xr:uid="{499A72E8-D633-44FC-8A51-E612CA683B98}"/>
    <cellStyle name="Total 5 6" xfId="2456" xr:uid="{869013FA-EE39-4E05-AD2E-D55F03AC2F99}"/>
    <cellStyle name="Total 5 7" xfId="2457" xr:uid="{A7C9D652-81B7-4B1B-88E8-774D76E77C08}"/>
    <cellStyle name="Total 50" xfId="2458" xr:uid="{3CC20B7E-019B-455E-A362-16215232DB6F}"/>
    <cellStyle name="Total 51" xfId="2459" xr:uid="{71C6502F-3599-479D-8077-45564C76E65A}"/>
    <cellStyle name="Total 52" xfId="2460" xr:uid="{F0C959FF-66CA-4E24-A5C5-B7356BF5C201}"/>
    <cellStyle name="Total 53" xfId="2461" xr:uid="{B9B5F176-9CC4-4514-941D-9ED8B3B676EB}"/>
    <cellStyle name="Total 54" xfId="2462" xr:uid="{1FCCF44F-AD88-42B2-BC2D-47FCA4C8BD39}"/>
    <cellStyle name="Total 55" xfId="2463" xr:uid="{85F2A3EB-DFC1-43F6-911D-2876D4A4EE4E}"/>
    <cellStyle name="Total 56" xfId="2464" xr:uid="{8B7711CE-E54C-4D2D-86C7-429E2D872D89}"/>
    <cellStyle name="Total 57" xfId="2465" xr:uid="{864E118E-BCA7-45DE-BE50-A0DB5F67F354}"/>
    <cellStyle name="Total 58" xfId="2466" xr:uid="{DAD04711-7811-4A5C-9456-355263D77B4F}"/>
    <cellStyle name="Total 59" xfId="2467" xr:uid="{6979D53A-6F05-4805-8761-676AF502058E}"/>
    <cellStyle name="Total 6" xfId="2468" xr:uid="{62527546-67F3-4F8E-AFA6-2FB14DADF8E9}"/>
    <cellStyle name="Total 6 2" xfId="2469" xr:uid="{01E7EA0C-A23F-423E-A011-4A82B978D66C}"/>
    <cellStyle name="Total 6 3" xfId="2470" xr:uid="{529571A0-006D-4128-BC53-09C41996B295}"/>
    <cellStyle name="Total 6 4" xfId="2471" xr:uid="{2CC80D88-F274-49D7-BD7B-B7AEC35BE324}"/>
    <cellStyle name="Total 6 5" xfId="2472" xr:uid="{AAD8375C-3E24-43BD-99E6-7BDF1A1B2B2A}"/>
    <cellStyle name="Total 6 6" xfId="2473" xr:uid="{B1C3189B-5EE7-4E48-B5C3-A2463D2BEF99}"/>
    <cellStyle name="Total 60" xfId="2474" xr:uid="{EEB373D5-FDD6-40F6-9B73-5B7987F6D22A}"/>
    <cellStyle name="Total 61" xfId="2475" xr:uid="{FE1E70D2-B95B-4604-B910-6366481A6A3A}"/>
    <cellStyle name="Total 62" xfId="2476" xr:uid="{90E3B099-D420-447D-AFD7-FF9FE8ECB118}"/>
    <cellStyle name="Total 63" xfId="2477" xr:uid="{212C5F4D-DB4E-487D-8BD0-92FBBC91DF40}"/>
    <cellStyle name="Total 64" xfId="2478" xr:uid="{BDB32126-7B1D-47F2-8F9D-76A2ED10640F}"/>
    <cellStyle name="Total 65" xfId="2479" xr:uid="{E21BDA9F-7E5E-44AB-A548-0C8A51626E99}"/>
    <cellStyle name="Total 66" xfId="2480" xr:uid="{FA3E19B8-B963-4B1C-B4C0-D983B449933D}"/>
    <cellStyle name="Total 67" xfId="2481" xr:uid="{1081A5C4-4E7D-4C3D-9319-B5BE9614575B}"/>
    <cellStyle name="Total 68" xfId="2482" xr:uid="{C16503C4-AB9A-4003-BC0C-5E1D1F8D9A67}"/>
    <cellStyle name="Total 69" xfId="2483" xr:uid="{C773DC6F-6C35-4C0E-B9A1-9F0D6E0D7D61}"/>
    <cellStyle name="Total 7" xfId="2484" xr:uid="{09C672F9-60DF-4E42-B6D8-DC8F8AACAF7F}"/>
    <cellStyle name="Total 70" xfId="2485" xr:uid="{A19B9975-996D-415C-BAB7-B8B31B0678E8}"/>
    <cellStyle name="Total 71" xfId="2486" xr:uid="{DD6437FC-D798-4477-8890-57EBF304A592}"/>
    <cellStyle name="Total 72" xfId="2487" xr:uid="{3CF437FB-2B40-4C36-9F7C-484C2D3CBA2B}"/>
    <cellStyle name="Total 73" xfId="2488" xr:uid="{8E25AB2A-3EA7-4CEB-AAFC-4C471270C8EF}"/>
    <cellStyle name="Total 74" xfId="2489" xr:uid="{EFED4A58-01B3-4EC6-8212-1E4579F6D575}"/>
    <cellStyle name="Total 75" xfId="2490" xr:uid="{DB7FD0E7-178A-4F73-B4EA-1C9F0B16B66A}"/>
    <cellStyle name="Total 76" xfId="2491" xr:uid="{86CB9619-9B6B-4D19-AB74-D56E99541712}"/>
    <cellStyle name="Total 77" xfId="2492" xr:uid="{4CCD669D-3754-47B9-BEA2-E16768B60CA1}"/>
    <cellStyle name="Total 78" xfId="2493" xr:uid="{0EFE955A-A37C-4F9F-8EAC-469D21488A70}"/>
    <cellStyle name="Total 79" xfId="2494" xr:uid="{D1584E2E-38C5-4063-AD8D-9433D0336283}"/>
    <cellStyle name="Total 8" xfId="2495" xr:uid="{58B75613-546F-4659-8D68-6CFA2026EC87}"/>
    <cellStyle name="Total 80" xfId="2496" xr:uid="{32E65DCB-51D2-47C9-B082-536C63F08490}"/>
    <cellStyle name="Total 81" xfId="2497" xr:uid="{D01424C1-0E9C-4CB6-B16A-DE7EECB76ABB}"/>
    <cellStyle name="Total 82" xfId="2498" xr:uid="{BB27C8BE-4907-47C8-A95E-6F8F03D550EC}"/>
    <cellStyle name="Total 82 2" xfId="2499" xr:uid="{3F56A921-FEC2-459F-9C45-FC99F8A7FDC3}"/>
    <cellStyle name="Total 82 2 2" xfId="2500" xr:uid="{930C028F-AB0B-4DAC-81F7-ABD1722EB65F}"/>
    <cellStyle name="Total 82 2 3" xfId="2501" xr:uid="{BD618E77-F114-4E16-BA40-39838BEC6DDA}"/>
    <cellStyle name="Total 82 2 4" xfId="2502" xr:uid="{607C2C3A-60F4-44C1-8DCE-D4D839524914}"/>
    <cellStyle name="Total 82 3" xfId="2503" xr:uid="{0D7FBCB5-EAB0-4CC2-9226-7FFCA1081ADC}"/>
    <cellStyle name="Total 82 3 2" xfId="2504" xr:uid="{8876EFFF-84DE-4896-A80E-458D0B71C050}"/>
    <cellStyle name="Total 82 3 3" xfId="2505" xr:uid="{586A56B6-08E5-4B4C-A180-FB12D17C7B40}"/>
    <cellStyle name="Total 82 3 4" xfId="2506" xr:uid="{1915905C-4D3C-431F-A0A6-25C4199ABC5C}"/>
    <cellStyle name="Total 82 4" xfId="2507" xr:uid="{2B8E3EEB-13D1-4DB7-8188-690C8CE30F88}"/>
    <cellStyle name="Total 82 5" xfId="2508" xr:uid="{7671108A-CBFA-4AB1-A389-59E5AAA2B675}"/>
    <cellStyle name="Total 82 6" xfId="2509" xr:uid="{E0FEC732-B3E6-4FF7-BF14-773176075B59}"/>
    <cellStyle name="Total 83" xfId="2510" xr:uid="{8CD13D60-95E7-4C4A-85ED-AA82A8827A66}"/>
    <cellStyle name="Total 83 2" xfId="2511" xr:uid="{8EF6D4D5-527B-4D8D-8BCE-CF5E5604AC99}"/>
    <cellStyle name="Total 83 2 2" xfId="2512" xr:uid="{4D0EF85F-069B-4ECE-9B34-7FD64766365F}"/>
    <cellStyle name="Total 83 2 3" xfId="2513" xr:uid="{B5D671AE-4E1C-470A-8785-A359BCC8E88F}"/>
    <cellStyle name="Total 83 2 4" xfId="2514" xr:uid="{0F41FB90-611E-4F87-ADD5-07DFEC984D81}"/>
    <cellStyle name="Total 83 3" xfId="2515" xr:uid="{0FB93E50-5E5E-4B1C-AD73-49F9D2075AAD}"/>
    <cellStyle name="Total 83 3 2" xfId="2516" xr:uid="{BFCEE841-3E26-4645-ABBE-0DFB8B21F3C5}"/>
    <cellStyle name="Total 83 3 3" xfId="2517" xr:uid="{1BA7A5A4-1ACA-4450-BA18-8BC20D35824C}"/>
    <cellStyle name="Total 83 3 4" xfId="2518" xr:uid="{2DDDF844-3821-485C-B441-DD0DBAA1D7A4}"/>
    <cellStyle name="Total 83 4" xfId="2519" xr:uid="{D84E4A9A-1574-42F9-9E23-E961DC366D65}"/>
    <cellStyle name="Total 83 5" xfId="2520" xr:uid="{EDCF8A9F-E8F6-4635-A3A1-D587AD412D4B}"/>
    <cellStyle name="Total 83 6" xfId="2521" xr:uid="{6802CE4A-5755-499C-9057-247E1D782FDA}"/>
    <cellStyle name="Total 84" xfId="2522" xr:uid="{1067C4D7-2EBD-4D15-8CC9-FD28A0746E4F}"/>
    <cellStyle name="Total 84 2" xfId="2523" xr:uid="{E7E01F98-2283-4FAB-BD98-87C87F40F00E}"/>
    <cellStyle name="Total 84 2 2" xfId="2524" xr:uid="{21443CAB-A3EF-4710-899F-9CE56D733CB9}"/>
    <cellStyle name="Total 84 2 3" xfId="2525" xr:uid="{90AE2F63-B849-464E-808F-05AD5A0D910D}"/>
    <cellStyle name="Total 84 2 4" xfId="2526" xr:uid="{038A22B4-9CBF-4EB1-98B5-672DCF594F9A}"/>
    <cellStyle name="Total 84 3" xfId="2527" xr:uid="{ECF7DF12-E4A9-4302-90CC-FBBC28A76DA3}"/>
    <cellStyle name="Total 84 3 2" xfId="2528" xr:uid="{F81A5363-6C62-45A4-B78B-8CF2F404DF22}"/>
    <cellStyle name="Total 84 3 3" xfId="2529" xr:uid="{8ED7ACE0-D538-4B75-88DC-63A481AC1290}"/>
    <cellStyle name="Total 84 3 4" xfId="2530" xr:uid="{60C7F00B-0EE2-404F-84CC-A95D36B3BFB1}"/>
    <cellStyle name="Total 84 4" xfId="2531" xr:uid="{E0C5F2B4-619D-41F0-90BB-80F1F6F4B359}"/>
    <cellStyle name="Total 84 5" xfId="2532" xr:uid="{33E7FC8C-62C3-4949-9A4D-22CF90718ED9}"/>
    <cellStyle name="Total 84 6" xfId="2533" xr:uid="{635E74AE-38AB-46B6-AB2B-CC67747B0533}"/>
    <cellStyle name="Total 85" xfId="2534" xr:uid="{87A080B6-076D-4D5C-9F45-9ADA3C75C625}"/>
    <cellStyle name="Total 85 2" xfId="2535" xr:uid="{761AA6E8-1152-4E7F-BC10-E2C38DC7936B}"/>
    <cellStyle name="Total 85 2 2" xfId="2536" xr:uid="{6F808223-D991-42D9-9B24-FB16BE08FBCA}"/>
    <cellStyle name="Total 85 2 3" xfId="2537" xr:uid="{F5324883-9851-4ECA-93DF-1EBEE5A1B7B7}"/>
    <cellStyle name="Total 85 2 4" xfId="2538" xr:uid="{2528B632-4B2A-4181-A467-41FD707383AC}"/>
    <cellStyle name="Total 85 3" xfId="2539" xr:uid="{03C4FABD-5441-45DA-B02C-61E7DC0AAB18}"/>
    <cellStyle name="Total 85 3 2" xfId="2540" xr:uid="{9E6A27EB-3948-43CB-8271-8F82D1339A47}"/>
    <cellStyle name="Total 85 3 3" xfId="2541" xr:uid="{56FE5575-0D24-4F30-8ECA-43F020EB8887}"/>
    <cellStyle name="Total 85 3 4" xfId="2542" xr:uid="{41102A55-1D0D-43AA-987F-C8FEC055F1C9}"/>
    <cellStyle name="Total 85 4" xfId="2543" xr:uid="{30FE3B51-8707-4765-A45E-2D496E2F31F5}"/>
    <cellStyle name="Total 85 5" xfId="2544" xr:uid="{C9845304-FEEE-4012-A726-D7492F3905E1}"/>
    <cellStyle name="Total 85 6" xfId="2545" xr:uid="{5C117CFF-13E1-49CF-9A5F-5B1D9FACEDD3}"/>
    <cellStyle name="Total 86" xfId="2546" xr:uid="{A04F260B-B2A9-4117-9328-0B06B412CC80}"/>
    <cellStyle name="Total 86 2" xfId="2547" xr:uid="{C0E0862A-153A-4A51-8318-C68E2F6C03F9}"/>
    <cellStyle name="Total 86 2 2" xfId="2548" xr:uid="{1CFBC4A6-E533-462C-881B-03166EE1699D}"/>
    <cellStyle name="Total 86 2 3" xfId="2549" xr:uid="{8767068F-0448-4F1B-BD86-740C8B463C11}"/>
    <cellStyle name="Total 86 2 4" xfId="2550" xr:uid="{ECC6A2D4-6725-4D1E-837A-F60A4DF2187B}"/>
    <cellStyle name="Total 86 3" xfId="2551" xr:uid="{B48B359B-5E5F-4F88-9CA0-E7F03C34AE1E}"/>
    <cellStyle name="Total 86 3 2" xfId="2552" xr:uid="{878BF3D0-DC5E-4180-B3B9-E065A3468640}"/>
    <cellStyle name="Total 86 3 3" xfId="2553" xr:uid="{1D942183-B8F3-4BA1-A3CE-1482BD893405}"/>
    <cellStyle name="Total 86 3 4" xfId="2554" xr:uid="{D19A391D-4BD9-49C6-8C70-D542AD9747FD}"/>
    <cellStyle name="Total 86 4" xfId="2555" xr:uid="{18DB2169-D8F1-48A3-B194-178D2A2FEABD}"/>
    <cellStyle name="Total 86 5" xfId="2556" xr:uid="{789CF465-FFB9-4177-8A3F-7F47BA989B7F}"/>
    <cellStyle name="Total 86 6" xfId="2557" xr:uid="{2050787B-5E62-4EFA-AE68-B509672C222E}"/>
    <cellStyle name="Total 87" xfId="2558" xr:uid="{B57A8C2B-D80B-45A5-8B21-CFF4EE6D797D}"/>
    <cellStyle name="Total 87 2" xfId="2559" xr:uid="{D0FADAB6-E32C-45C2-A11D-F659B5D2C465}"/>
    <cellStyle name="Total 87 2 2" xfId="2560" xr:uid="{A1CBDF46-D584-4781-A4EF-9A2BB36707C1}"/>
    <cellStyle name="Total 87 2 3" xfId="2561" xr:uid="{58E164CF-E422-4DE4-811F-21BE388336B3}"/>
    <cellStyle name="Total 87 2 4" xfId="2562" xr:uid="{36B238B2-C218-436F-9474-7EA39CFD98A7}"/>
    <cellStyle name="Total 87 3" xfId="2563" xr:uid="{D40CDFA6-A61C-4D06-BFBE-240090EA8A58}"/>
    <cellStyle name="Total 87 3 2" xfId="2564" xr:uid="{B40D321C-8689-42C5-BA80-1FDEE3B5A3C4}"/>
    <cellStyle name="Total 87 3 3" xfId="2565" xr:uid="{0D1573A7-7AE8-46E1-BCD3-19F6E1BC0A15}"/>
    <cellStyle name="Total 87 3 4" xfId="2566" xr:uid="{BB4B4E54-821F-4D18-A990-2C1D422C72BD}"/>
    <cellStyle name="Total 87 4" xfId="2567" xr:uid="{308DF3D0-D343-4592-9050-0B4FE29294A8}"/>
    <cellStyle name="Total 87 5" xfId="2568" xr:uid="{990FCA1D-1BE0-4A5C-AF9B-99DD6381DBBC}"/>
    <cellStyle name="Total 87 6" xfId="2569" xr:uid="{B3329238-CC14-45D7-9955-6647B53060B6}"/>
    <cellStyle name="Total 88" xfId="2570" xr:uid="{209FBA7F-270B-4330-B87D-7DA4EA68EE48}"/>
    <cellStyle name="Total 88 2" xfId="2571" xr:uid="{C3AD487E-B0DE-472F-B2AD-2ADBBC01ED7E}"/>
    <cellStyle name="Total 88 3" xfId="2572" xr:uid="{91D9D26F-C147-4ADD-B769-26B8ECDCD1A1}"/>
    <cellStyle name="Total 88 4" xfId="2573" xr:uid="{6DE9F2B5-0938-4F80-AA4E-9F2D58A6AFEF}"/>
    <cellStyle name="Total 89" xfId="2574" xr:uid="{02D79D52-08DD-4497-B69D-98F8BA04D8D2}"/>
    <cellStyle name="Total 89 2" xfId="2575" xr:uid="{FD91F0E5-1B55-48C4-93D1-54199282A58E}"/>
    <cellStyle name="Total 89 3" xfId="2576" xr:uid="{B52CF860-786F-45D4-9336-17FB975FBA72}"/>
    <cellStyle name="Total 89 4" xfId="2577" xr:uid="{78CA5AEA-5098-42C0-80BA-84A87FD95F6D}"/>
    <cellStyle name="Total 9" xfId="2578" xr:uid="{77D33560-86E9-491D-AE6C-CC9C2E7EB77C}"/>
    <cellStyle name="Total 90" xfId="2579" xr:uid="{93223159-8407-438B-8801-536374A91FE2}"/>
    <cellStyle name="Total 91" xfId="2580" xr:uid="{05242AC3-C34F-4323-97F7-55E8FEFE6945}"/>
    <cellStyle name="Total 92" xfId="2581" xr:uid="{D6595FBB-AE3F-45C9-BF38-2A6A50D842D0}"/>
    <cellStyle name="Total 93" xfId="2582" xr:uid="{4748D545-DD4B-4D3C-9F23-8B10F7307ACC}"/>
    <cellStyle name="Total 94" xfId="2583" xr:uid="{DF5CDA9D-37DB-4F1E-A6F3-E5CBC468AF93}"/>
    <cellStyle name="Total 95" xfId="2584" xr:uid="{116040EE-DCC8-45BC-BC36-71E5A93B6170}"/>
    <cellStyle name="Total 96" xfId="2585" xr:uid="{D35B4C75-62C9-47E6-B97A-E05FC09BF075}"/>
    <cellStyle name="Total 97" xfId="2586" xr:uid="{030884F1-B50B-4718-A92D-C6BFF2898AD9}"/>
    <cellStyle name="Total 98" xfId="2587" xr:uid="{35A15125-D019-4948-B081-E1B8A787BFA3}"/>
    <cellStyle name="Total 99" xfId="2588" xr:uid="{70A3A0FA-DA66-4196-9FF6-35B300814E65}"/>
    <cellStyle name="Warning Text 10" xfId="2589" xr:uid="{770C4374-38EA-44BE-B723-79E1E3DB9318}"/>
    <cellStyle name="Warning Text 11" xfId="2590" xr:uid="{BD9D5456-7C05-4619-B758-D10BB4A9F672}"/>
    <cellStyle name="Warning Text 12" xfId="2591" xr:uid="{476E82B7-BC59-4949-AF37-671A4EA7033D}"/>
    <cellStyle name="Warning Text 13" xfId="2592" xr:uid="{1978D0B6-2305-4745-ABC7-4C356F26E0CB}"/>
    <cellStyle name="Warning Text 14" xfId="2593" xr:uid="{2C545AAA-AC3F-4AFA-840B-CA891C515429}"/>
    <cellStyle name="Warning Text 15" xfId="2594" xr:uid="{D498B9B5-6052-436F-A804-3B153CF07A88}"/>
    <cellStyle name="Warning Text 2" xfId="2595" xr:uid="{82751153-436E-476A-9B1D-92671F19F30F}"/>
    <cellStyle name="Warning Text 2 2" xfId="2596" xr:uid="{DE3902DC-8F39-4F73-86AC-EE062FEA7DA7}"/>
    <cellStyle name="Warning Text 2 3" xfId="2597" xr:uid="{5F2BE499-55C5-4369-9DA6-BB7859062C77}"/>
    <cellStyle name="Warning Text 3" xfId="2598" xr:uid="{A7888EA1-50CE-4639-ACD8-08C2EC20D4C5}"/>
    <cellStyle name="Warning Text 3 2" xfId="2599" xr:uid="{334A488D-990D-4C9D-8253-45D69DF7DA3B}"/>
    <cellStyle name="Warning Text 3 3" xfId="2600" xr:uid="{51464F6C-684C-4E68-9C7B-8084459D86EE}"/>
    <cellStyle name="Warning Text 4" xfId="2601" xr:uid="{7FFECB2A-882E-4A72-BA5E-B727E6994EF0}"/>
    <cellStyle name="Warning Text 4 2" xfId="2602" xr:uid="{FE0692FD-C26B-4192-8B28-890D7EFCA534}"/>
    <cellStyle name="Warning Text 4 3" xfId="2603" xr:uid="{B86CCAB2-90BF-4449-AC9E-BAC4021FC5B0}"/>
    <cellStyle name="Warning Text 5" xfId="2604" xr:uid="{EA91CA36-0E09-49EA-9C1D-27FF2134B37B}"/>
    <cellStyle name="Warning Text 5 2" xfId="2605" xr:uid="{31C67643-DF21-4C83-880C-08FDBB3518DC}"/>
    <cellStyle name="Warning Text 5 3" xfId="2606" xr:uid="{43A0E6F8-C8FC-4D77-97BE-AFF6F0F008FD}"/>
    <cellStyle name="Warning Text 6" xfId="2607" xr:uid="{BB878DF5-6175-4A4C-99D9-0C7BDFD6390C}"/>
    <cellStyle name="Warning Text 6 2" xfId="2608" xr:uid="{16840245-F77A-45E8-ABD4-8ABF3BB348CC}"/>
    <cellStyle name="Warning Text 6 3" xfId="2609" xr:uid="{74E1E109-2C04-4D0D-9BA6-6CE07EBD0DEE}"/>
    <cellStyle name="Warning Text 7" xfId="2610" xr:uid="{3E6107E5-CDA1-4B86-9CDB-947F59077EE4}"/>
    <cellStyle name="Warning Text 7 2" xfId="2611" xr:uid="{43D38688-0E25-450A-A1E3-0B7BA8032A94}"/>
    <cellStyle name="Warning Text 7 3" xfId="2612" xr:uid="{21951B5D-D287-4BB3-BFBE-C779CB190F03}"/>
    <cellStyle name="Warning Text 8" xfId="2613" xr:uid="{49FDAF35-BBC1-4204-81A0-2519290D1ADF}"/>
    <cellStyle name="Warning Text 8 2" xfId="2614" xr:uid="{90C3AB6E-32A4-40AD-970E-E99317FE8C19}"/>
    <cellStyle name="Warning Text 8 3" xfId="2615" xr:uid="{FA0664EB-41DD-4C38-ABC3-5A0D9D1F2A9D}"/>
    <cellStyle name="Warning Text 9" xfId="2616" xr:uid="{5F128DF8-A8B5-4618-9B5D-904DF7146B7C}"/>
    <cellStyle name="Обычный 3" xfId="45" xr:uid="{00000000-0005-0000-0000-000063000000}"/>
  </cellStyles>
  <dxfs count="0"/>
  <tableStyles count="0" defaultTableStyle="TableStyleMedium9" defaultPivotStyle="PivotStyleLight16"/>
  <colors>
    <mruColors>
      <color rgb="FFEBF6F9"/>
      <color rgb="FF31869B"/>
      <color rgb="FFFEF4EC"/>
      <color rgb="FFC8E6EE"/>
      <color rgb="FFB7DEE8"/>
      <color rgb="FF3660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6.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externalLink" Target="externalLinks/externalLink1.xml"/><Relationship Id="rId77" Type="http://schemas.openxmlformats.org/officeDocument/2006/relationships/externalLink" Target="externalLinks/externalLink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4.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2.xml"/><Relationship Id="rId75"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5.xml"/><Relationship Id="rId78" Type="http://schemas.openxmlformats.org/officeDocument/2006/relationships/theme" Target="theme/theme1.xml"/><Relationship Id="rId8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8.xml"/><Relationship Id="rId7" Type="http://schemas.openxmlformats.org/officeDocument/2006/relationships/worksheet" Target="worksheets/sheet7.xml"/><Relationship Id="rId71" Type="http://schemas.openxmlformats.org/officeDocument/2006/relationships/externalLink" Target="externalLinks/externalLink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bar.az\dfs-r\Users\FUAD_A~1\AppData\Local\Temp\notesBA9FE3\Users\KAMIL_~1\AppData\Local\Temp\notes57FF2C\DOCUME~1\FAbbasov\LOCALS~1\Temp\notesFCBCEE\Documents%20and%20Settings\FAbbasov\Desktop\new%20bulletin\kredi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FUAD_A~1/AppData/Local/Temp/notesBA9FE3/Users/KAMIL_~1/AppData/Local/Temp/notes57FF2C/DOCUME~1/FAbbasov/LOCALS~1/Temp/notesFCBCEE/Documents%20and%20Settings/FAbbasov/Desktop/new%20bulletin/kredi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ar.az\dfs-r\C:\Users\FUAD_A~1\AppData\Local\Temp\notesBA9FE3\Users\KAMIL_~1\AppData\Local\Temp\notes57FF2C\DOCUME~1\FAbbasov\LOCALS~1\Temp\notesFCBCEE\Documents%20and%20Settings\FAbbasov\Desktop\new%20bulletin\kredit.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bar.az\dfs-r\DOCUME~1\SAlizade\LOCALS~1\Temp\notes0F6B36\11136.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92.168.5.44\bazar_emeliyyatlari\DOCUME~1\SAlizade\LOCALS~1\Temp\notes0F6B36\11136.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SAlizade/LOCALS~1/Temp/notes0F6B36/1113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bar.az\dfs-r\Users\FUAD_A~1\AppData\Local\Temp\notesBA9FE3\Users\KAMIL_~1\AppData\Local\Temp\notes57FF2C\DOCUME~1\FAbbasov\LOCALS~1\Temp\notesFCBCEE\Documents%20and%20Settings\FAbbasov\Desktop\new%20bulletin\emanet.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FUAD_A~1/AppData/Local/Temp/notesBA9FE3/Users/KAMIL_~1/AppData/Local/Temp/notes57FF2C/DOCUME~1/FAbbasov/LOCALS~1/Temp/notesFCBCEE/Documents%20and%20Settings/FAbbasov/Desktop/new%20bulletin/emanet.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bar.az\dfs-r\C:\Users\FUAD_A~1\AppData\Local\Temp\notesBA9FE3\Users\KAMIL_~1\AppData\Local\Temp\notes57FF2C\DOCUME~1\FAbbasov\LOCALS~1\Temp\notesFCBCEE\Documents%20and%20Settings\FAbbasov\Desktop\new%20bulletin\emane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redit"/>
      <sheetName val="ST-2SD.ST"/>
    </sheetNames>
    <sheetDataSet>
      <sheetData sheetId="0" refreshError="1"/>
      <sheetData sheetId="1" refreshError="1">
        <row r="17">
          <cell r="A17">
            <v>2</v>
          </cell>
        </row>
        <row r="19">
          <cell r="A19">
            <v>4</v>
          </cell>
        </row>
        <row r="23">
          <cell r="A23">
            <v>8</v>
          </cell>
        </row>
        <row r="24">
          <cell r="A24">
            <v>9</v>
          </cell>
        </row>
        <row r="28">
          <cell r="A28">
            <v>13</v>
          </cell>
        </row>
        <row r="29">
          <cell r="A29">
            <v>14</v>
          </cell>
        </row>
        <row r="32">
          <cell r="A32">
            <v>17</v>
          </cell>
        </row>
        <row r="33">
          <cell r="A33">
            <v>18</v>
          </cell>
        </row>
        <row r="39">
          <cell r="A39">
            <v>24</v>
          </cell>
        </row>
        <row r="41">
          <cell r="A41">
            <v>26</v>
          </cell>
        </row>
        <row r="42">
          <cell r="A42">
            <v>27</v>
          </cell>
        </row>
        <row r="43">
          <cell r="A43">
            <v>28</v>
          </cell>
        </row>
        <row r="44">
          <cell r="A44">
            <v>29</v>
          </cell>
        </row>
        <row r="47">
          <cell r="A47">
            <v>32</v>
          </cell>
        </row>
        <row r="49">
          <cell r="A49">
            <v>34</v>
          </cell>
        </row>
        <row r="50">
          <cell r="A50">
            <v>35</v>
          </cell>
        </row>
        <row r="53">
          <cell r="A53">
            <v>38</v>
          </cell>
        </row>
        <row r="54">
          <cell r="A54">
            <v>39</v>
          </cell>
        </row>
        <row r="55">
          <cell r="A55">
            <v>40</v>
          </cell>
        </row>
        <row r="56">
          <cell r="A56">
            <v>41</v>
          </cell>
        </row>
        <row r="61">
          <cell r="A61">
            <v>46</v>
          </cell>
        </row>
        <row r="64">
          <cell r="A64">
            <v>49</v>
          </cell>
        </row>
        <row r="67">
          <cell r="A67">
            <v>52</v>
          </cell>
        </row>
        <row r="68">
          <cell r="A68">
            <v>53</v>
          </cell>
        </row>
        <row r="69">
          <cell r="A69">
            <v>54</v>
          </cell>
        </row>
        <row r="71">
          <cell r="A71">
            <v>56</v>
          </cell>
        </row>
        <row r="73">
          <cell r="A73">
            <v>58</v>
          </cell>
        </row>
        <row r="74">
          <cell r="A74">
            <v>59</v>
          </cell>
        </row>
        <row r="80">
          <cell r="A80">
            <v>65</v>
          </cell>
        </row>
        <row r="81">
          <cell r="A81">
            <v>66</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redit"/>
      <sheetName val="ST-2SD.ST"/>
    </sheetNames>
    <sheetDataSet>
      <sheetData sheetId="0" refreshError="1"/>
      <sheetData sheetId="1" refreshError="1">
        <row r="17">
          <cell r="A17">
            <v>2</v>
          </cell>
        </row>
        <row r="19">
          <cell r="A19">
            <v>4</v>
          </cell>
        </row>
        <row r="23">
          <cell r="A23">
            <v>8</v>
          </cell>
        </row>
        <row r="24">
          <cell r="A24">
            <v>9</v>
          </cell>
        </row>
        <row r="28">
          <cell r="A28">
            <v>13</v>
          </cell>
        </row>
        <row r="29">
          <cell r="A29">
            <v>14</v>
          </cell>
        </row>
        <row r="32">
          <cell r="A32">
            <v>17</v>
          </cell>
        </row>
        <row r="33">
          <cell r="A33">
            <v>18</v>
          </cell>
        </row>
        <row r="39">
          <cell r="A39">
            <v>24</v>
          </cell>
        </row>
        <row r="41">
          <cell r="A41">
            <v>26</v>
          </cell>
        </row>
        <row r="42">
          <cell r="A42">
            <v>27</v>
          </cell>
        </row>
        <row r="43">
          <cell r="A43">
            <v>28</v>
          </cell>
        </row>
        <row r="44">
          <cell r="A44">
            <v>29</v>
          </cell>
        </row>
        <row r="47">
          <cell r="A47">
            <v>32</v>
          </cell>
        </row>
        <row r="49">
          <cell r="A49">
            <v>34</v>
          </cell>
        </row>
        <row r="50">
          <cell r="A50">
            <v>35</v>
          </cell>
        </row>
        <row r="53">
          <cell r="A53">
            <v>38</v>
          </cell>
        </row>
        <row r="54">
          <cell r="A54">
            <v>39</v>
          </cell>
        </row>
        <row r="55">
          <cell r="A55">
            <v>40</v>
          </cell>
        </row>
        <row r="56">
          <cell r="A56">
            <v>41</v>
          </cell>
        </row>
        <row r="61">
          <cell r="A61">
            <v>46</v>
          </cell>
        </row>
        <row r="64">
          <cell r="A64">
            <v>49</v>
          </cell>
        </row>
        <row r="67">
          <cell r="A67">
            <v>52</v>
          </cell>
        </row>
        <row r="68">
          <cell r="A68">
            <v>53</v>
          </cell>
        </row>
        <row r="69">
          <cell r="A69">
            <v>54</v>
          </cell>
        </row>
        <row r="71">
          <cell r="A71">
            <v>56</v>
          </cell>
        </row>
        <row r="73">
          <cell r="A73">
            <v>58</v>
          </cell>
        </row>
        <row r="74">
          <cell r="A74">
            <v>59</v>
          </cell>
        </row>
        <row r="80">
          <cell r="A80">
            <v>65</v>
          </cell>
        </row>
        <row r="81">
          <cell r="A81">
            <v>66</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redit"/>
      <sheetName val="ST-2SD.ST"/>
    </sheetNames>
    <sheetDataSet>
      <sheetData sheetId="0" refreshError="1"/>
      <sheetData sheetId="1" refreshError="1">
        <row r="17">
          <cell r="A17">
            <v>2</v>
          </cell>
        </row>
        <row r="19">
          <cell r="A19">
            <v>4</v>
          </cell>
        </row>
        <row r="23">
          <cell r="A23">
            <v>8</v>
          </cell>
        </row>
        <row r="24">
          <cell r="A24">
            <v>9</v>
          </cell>
        </row>
        <row r="28">
          <cell r="A28">
            <v>13</v>
          </cell>
        </row>
        <row r="29">
          <cell r="A29">
            <v>14</v>
          </cell>
        </row>
        <row r="32">
          <cell r="A32">
            <v>17</v>
          </cell>
        </row>
        <row r="33">
          <cell r="A33">
            <v>18</v>
          </cell>
        </row>
        <row r="39">
          <cell r="A39">
            <v>24</v>
          </cell>
        </row>
        <row r="41">
          <cell r="A41">
            <v>26</v>
          </cell>
        </row>
        <row r="42">
          <cell r="A42">
            <v>27</v>
          </cell>
        </row>
        <row r="43">
          <cell r="A43">
            <v>28</v>
          </cell>
        </row>
        <row r="44">
          <cell r="A44">
            <v>29</v>
          </cell>
        </row>
        <row r="47">
          <cell r="A47">
            <v>32</v>
          </cell>
        </row>
        <row r="49">
          <cell r="A49">
            <v>34</v>
          </cell>
        </row>
        <row r="50">
          <cell r="A50">
            <v>35</v>
          </cell>
        </row>
        <row r="53">
          <cell r="A53">
            <v>38</v>
          </cell>
        </row>
        <row r="54">
          <cell r="A54">
            <v>39</v>
          </cell>
        </row>
        <row r="55">
          <cell r="A55">
            <v>40</v>
          </cell>
        </row>
        <row r="56">
          <cell r="A56">
            <v>41</v>
          </cell>
        </row>
        <row r="61">
          <cell r="A61">
            <v>46</v>
          </cell>
        </row>
        <row r="64">
          <cell r="A64">
            <v>49</v>
          </cell>
        </row>
        <row r="67">
          <cell r="A67">
            <v>52</v>
          </cell>
        </row>
        <row r="68">
          <cell r="A68">
            <v>53</v>
          </cell>
        </row>
        <row r="69">
          <cell r="A69">
            <v>54</v>
          </cell>
        </row>
        <row r="71">
          <cell r="A71">
            <v>56</v>
          </cell>
        </row>
        <row r="73">
          <cell r="A73">
            <v>58</v>
          </cell>
        </row>
        <row r="74">
          <cell r="A74">
            <v>59</v>
          </cell>
        </row>
        <row r="80">
          <cell r="A80">
            <v>65</v>
          </cell>
        </row>
        <row r="81">
          <cell r="A81">
            <v>66</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
      <sheetName val="1.4"/>
      <sheetName val="2.2"/>
      <sheetName val="2.10"/>
      <sheetName val="2.11"/>
      <sheetName val="3.1"/>
      <sheetName val="3.3"/>
      <sheetName val="3.5"/>
      <sheetName val="3.6"/>
      <sheetName val="3.6 (2)"/>
      <sheetName val="3.7"/>
      <sheetName val="4.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ow r="2">
          <cell r="A2" t="str">
            <v>Cədvəl 3.6. Xarici valyuta bazarı</v>
          </cell>
        </row>
        <row r="15">
          <cell r="A15" t="str">
            <v>Xaric valyutanın alışı</v>
          </cell>
        </row>
        <row r="16">
          <cell r="A16" t="str">
            <v xml:space="preserve">          o cümlədən:</v>
          </cell>
        </row>
        <row r="17">
          <cell r="A17" t="str">
            <v>- BEST</v>
          </cell>
        </row>
        <row r="18">
          <cell r="A18" t="str">
            <v>- ABVB</v>
          </cell>
        </row>
        <row r="19">
          <cell r="A19" t="str">
            <v>- BDMƏ</v>
          </cell>
        </row>
        <row r="20">
          <cell r="A20" t="str">
            <v xml:space="preserve">        Məqsədlər üzrə:</v>
          </cell>
        </row>
        <row r="21">
          <cell r="A21" t="str">
            <v xml:space="preserve"> - Valyuta movqeyinin
    tənzimlənməsi</v>
          </cell>
        </row>
        <row r="22">
          <cell r="A22" t="str">
            <v xml:space="preserve"> - Kreditlərin ödənilməsi</v>
          </cell>
        </row>
        <row r="23">
          <cell r="A23" t="str">
            <v xml:space="preserve"> - Digər banklara depozitlərin
   qaytarılması</v>
          </cell>
        </row>
        <row r="24">
          <cell r="A24" t="str">
            <v xml:space="preserve"> - Mübadilə məntəqələri üçün</v>
          </cell>
        </row>
        <row r="25">
          <cell r="A25" t="str">
            <v xml:space="preserve"> - Müştərilərin tapşırığı ilə</v>
          </cell>
        </row>
        <row r="26">
          <cell r="A26" t="str">
            <v xml:space="preserve">          o cümlədən:</v>
          </cell>
        </row>
        <row r="27">
          <cell r="A27" t="str">
            <v xml:space="preserve">            - idxal kontrakları üçün</v>
          </cell>
        </row>
        <row r="32">
          <cell r="A32" t="str">
            <v>Xaric valyutanın satışı</v>
          </cell>
        </row>
        <row r="33">
          <cell r="A33" t="str">
            <v xml:space="preserve">          o cümlədən:</v>
          </cell>
        </row>
        <row r="34">
          <cell r="A34" t="str">
            <v>- BEST</v>
          </cell>
        </row>
        <row r="35">
          <cell r="A35" t="str">
            <v>- ABVB</v>
          </cell>
        </row>
        <row r="36">
          <cell r="A36" t="str">
            <v>- BDMƏ</v>
          </cell>
        </row>
        <row r="37">
          <cell r="A37" t="str">
            <v xml:space="preserve">        Məqsədlər üzrə:</v>
          </cell>
        </row>
        <row r="38">
          <cell r="A38" t="str">
            <v xml:space="preserve"> - Valyuta movqeyinin
    tənzimlənməsi</v>
          </cell>
        </row>
        <row r="39">
          <cell r="A39" t="str">
            <v xml:space="preserve"> - Kreditlərin ödənilməsi</v>
          </cell>
        </row>
        <row r="40">
          <cell r="A40" t="str">
            <v xml:space="preserve"> - Digər banklara depozitlərin
   qaytarılması</v>
          </cell>
        </row>
        <row r="41">
          <cell r="A41" t="str">
            <v xml:space="preserve"> - Mübadilə məntəqələri üçün</v>
          </cell>
        </row>
        <row r="42">
          <cell r="A42" t="str">
            <v xml:space="preserve"> - Müştərilərin tapşırığı ilə</v>
          </cell>
        </row>
        <row r="43">
          <cell r="A43" t="str">
            <v xml:space="preserve"> - Sair məqsədlər</v>
          </cell>
        </row>
      </sheetData>
      <sheetData sheetId="10" refreshError="1"/>
      <sheetData sheetId="1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
      <sheetName val="1.4"/>
      <sheetName val="2.2"/>
      <sheetName val="2.10"/>
      <sheetName val="2.11"/>
      <sheetName val="3.1"/>
      <sheetName val="3.3"/>
      <sheetName val="3.5"/>
      <sheetName val="3.6"/>
      <sheetName val="3.6 (2)"/>
      <sheetName val="3.7"/>
      <sheetName val="4.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ow r="2">
          <cell r="A2" t="str">
            <v>Cədvəl 3.6. Xarici valyuta bazarı</v>
          </cell>
        </row>
        <row r="15">
          <cell r="A15" t="str">
            <v>Xaric valyutanın alışı</v>
          </cell>
        </row>
        <row r="16">
          <cell r="A16" t="str">
            <v xml:space="preserve">          o cümlədən:</v>
          </cell>
        </row>
        <row r="17">
          <cell r="A17" t="str">
            <v>- BEST</v>
          </cell>
        </row>
        <row r="18">
          <cell r="A18" t="str">
            <v>- ABVB</v>
          </cell>
        </row>
        <row r="19">
          <cell r="A19" t="str">
            <v>- BDMƏ</v>
          </cell>
        </row>
        <row r="20">
          <cell r="A20" t="str">
            <v xml:space="preserve">        Məqsədlər üzrə:</v>
          </cell>
        </row>
        <row r="21">
          <cell r="A21" t="str">
            <v xml:space="preserve"> - Valyuta movqeyinin
    tənzimlənməsi</v>
          </cell>
        </row>
        <row r="22">
          <cell r="A22" t="str">
            <v xml:space="preserve"> - Kreditlərin ödənilməsi</v>
          </cell>
        </row>
        <row r="23">
          <cell r="A23" t="str">
            <v xml:space="preserve"> - Digər banklara depozitlərin
   qaytarılması</v>
          </cell>
        </row>
        <row r="24">
          <cell r="A24" t="str">
            <v xml:space="preserve"> - Mübadilə məntəqələri üçün</v>
          </cell>
        </row>
        <row r="25">
          <cell r="A25" t="str">
            <v xml:space="preserve"> - Müştərilərin tapşırığı ilə</v>
          </cell>
        </row>
        <row r="26">
          <cell r="A26" t="str">
            <v xml:space="preserve">          o cümlədən:</v>
          </cell>
        </row>
        <row r="27">
          <cell r="A27" t="str">
            <v xml:space="preserve">            - idxal kontrakları üçün</v>
          </cell>
        </row>
        <row r="32">
          <cell r="A32" t="str">
            <v>Xaric valyutanın satışı</v>
          </cell>
        </row>
        <row r="33">
          <cell r="A33" t="str">
            <v xml:space="preserve">          o cümlədən:</v>
          </cell>
        </row>
        <row r="34">
          <cell r="A34" t="str">
            <v>- BEST</v>
          </cell>
        </row>
        <row r="35">
          <cell r="A35" t="str">
            <v>- ABVB</v>
          </cell>
        </row>
        <row r="36">
          <cell r="A36" t="str">
            <v>- BDMƏ</v>
          </cell>
        </row>
        <row r="37">
          <cell r="A37" t="str">
            <v xml:space="preserve">        Məqsədlər üzrə:</v>
          </cell>
        </row>
        <row r="38">
          <cell r="A38" t="str">
            <v xml:space="preserve"> - Valyuta movqeyinin
    tənzimlənməsi</v>
          </cell>
        </row>
        <row r="39">
          <cell r="A39" t="str">
            <v xml:space="preserve"> - Kreditlərin ödənilməsi</v>
          </cell>
        </row>
        <row r="40">
          <cell r="A40" t="str">
            <v xml:space="preserve"> - Digər banklara depozitlərin
   qaytarılması</v>
          </cell>
        </row>
        <row r="41">
          <cell r="A41" t="str">
            <v xml:space="preserve"> - Mübadilə məntəqələri üçün</v>
          </cell>
        </row>
        <row r="42">
          <cell r="A42" t="str">
            <v xml:space="preserve"> - Müştərilərin tapşırığı ilə</v>
          </cell>
        </row>
        <row r="43">
          <cell r="A43" t="str">
            <v xml:space="preserve"> - Sair məqsədlər</v>
          </cell>
        </row>
      </sheetData>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
      <sheetName val="1.4"/>
      <sheetName val="2.2"/>
      <sheetName val="2.10"/>
      <sheetName val="2.11"/>
      <sheetName val="3.1"/>
      <sheetName val="3.3"/>
      <sheetName val="3.5"/>
      <sheetName val="3.6"/>
      <sheetName val="3.6 (2)"/>
      <sheetName val="3.7"/>
      <sheetName val="4.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ow r="2">
          <cell r="A2" t="str">
            <v>Cədvəl 3.6. Xarici valyuta bazarı</v>
          </cell>
        </row>
        <row r="15">
          <cell r="A15" t="str">
            <v>Xaric valyutanın alışı</v>
          </cell>
        </row>
        <row r="16">
          <cell r="A16" t="str">
            <v xml:space="preserve">          o cümlədən:</v>
          </cell>
        </row>
        <row r="17">
          <cell r="A17" t="str">
            <v>- BEST</v>
          </cell>
        </row>
        <row r="18">
          <cell r="A18" t="str">
            <v>- ABVB</v>
          </cell>
        </row>
        <row r="19">
          <cell r="A19" t="str">
            <v>- BDMƏ</v>
          </cell>
        </row>
        <row r="20">
          <cell r="A20" t="str">
            <v xml:space="preserve">        Məqsədlər üzrə:</v>
          </cell>
        </row>
        <row r="21">
          <cell r="A21" t="str">
            <v xml:space="preserve"> - Valyuta movqeyinin
    tənzimlənməsi</v>
          </cell>
        </row>
        <row r="22">
          <cell r="A22" t="str">
            <v xml:space="preserve"> - Kreditlərin ödənilməsi</v>
          </cell>
        </row>
        <row r="23">
          <cell r="A23" t="str">
            <v xml:space="preserve"> - Digər banklara depozitlərin
   qaytarılması</v>
          </cell>
        </row>
        <row r="24">
          <cell r="A24" t="str">
            <v xml:space="preserve"> - Mübadilə məntəqələri üçün</v>
          </cell>
        </row>
        <row r="25">
          <cell r="A25" t="str">
            <v xml:space="preserve"> - Müştərilərin tapşırığı ilə</v>
          </cell>
        </row>
        <row r="26">
          <cell r="A26" t="str">
            <v xml:space="preserve">          o cümlədən:</v>
          </cell>
        </row>
        <row r="27">
          <cell r="A27" t="str">
            <v xml:space="preserve">            - idxal kontrakları üçün</v>
          </cell>
        </row>
        <row r="32">
          <cell r="A32" t="str">
            <v>Xaric valyutanın satışı</v>
          </cell>
        </row>
        <row r="33">
          <cell r="A33" t="str">
            <v xml:space="preserve">          o cümlədən:</v>
          </cell>
        </row>
        <row r="34">
          <cell r="A34" t="str">
            <v>- BEST</v>
          </cell>
        </row>
        <row r="35">
          <cell r="A35" t="str">
            <v>- ABVB</v>
          </cell>
        </row>
        <row r="36">
          <cell r="A36" t="str">
            <v>- BDMƏ</v>
          </cell>
        </row>
        <row r="37">
          <cell r="A37" t="str">
            <v xml:space="preserve">        Məqsədlər üzrə:</v>
          </cell>
        </row>
        <row r="38">
          <cell r="A38" t="str">
            <v xml:space="preserve"> - Valyuta movqeyinin
    tənzimlənməsi</v>
          </cell>
        </row>
        <row r="39">
          <cell r="A39" t="str">
            <v xml:space="preserve"> - Kreditlərin ödənilməsi</v>
          </cell>
        </row>
        <row r="40">
          <cell r="A40" t="str">
            <v xml:space="preserve"> - Digər banklara depozitlərin
   qaytarılması</v>
          </cell>
        </row>
        <row r="41">
          <cell r="A41" t="str">
            <v xml:space="preserve"> - Mübadilə məntəqələri üçün</v>
          </cell>
        </row>
        <row r="42">
          <cell r="A42" t="str">
            <v xml:space="preserve"> - Müştərilərin tapşırığı ilə</v>
          </cell>
        </row>
        <row r="43">
          <cell r="A43" t="str">
            <v xml:space="preserve"> - Sair məqsədlər</v>
          </cell>
        </row>
      </sheetData>
      <sheetData sheetId="10" refreshError="1"/>
      <sheetData sheetId="1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anet"/>
      <sheetName val="ST-2SD.ST"/>
    </sheetNames>
    <sheetDataSet>
      <sheetData sheetId="0" refreshError="1"/>
      <sheetData sheetId="1">
        <row r="23">
          <cell r="A23">
            <v>8</v>
          </cell>
        </row>
        <row r="42">
          <cell r="A42">
            <v>27</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anet"/>
      <sheetName val="ST-2SD.ST"/>
    </sheetNames>
    <sheetDataSet>
      <sheetData sheetId="0" refreshError="1"/>
      <sheetData sheetId="1">
        <row r="23">
          <cell r="A23">
            <v>8</v>
          </cell>
        </row>
        <row r="42">
          <cell r="A42">
            <v>27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anet"/>
      <sheetName val="ST-2SD.ST"/>
    </sheetNames>
    <sheetDataSet>
      <sheetData sheetId="0" refreshError="1"/>
      <sheetData sheetId="1">
        <row r="23">
          <cell r="A23">
            <v>8</v>
          </cell>
        </row>
        <row r="42">
          <cell r="A42">
            <v>27</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92D050"/>
    <pageSetUpPr fitToPage="1"/>
  </sheetPr>
  <dimension ref="A1:B72"/>
  <sheetViews>
    <sheetView showGridLines="0" tabSelected="1" view="pageBreakPreview" zoomScaleNormal="100" zoomScaleSheetLayoutView="100" workbookViewId="0">
      <pane ySplit="5" topLeftCell="A6" activePane="bottomLeft" state="frozen"/>
      <selection activeCell="I37" sqref="I37"/>
      <selection pane="bottomLeft" activeCell="F17" sqref="F17"/>
    </sheetView>
  </sheetViews>
  <sheetFormatPr defaultColWidth="9.140625" defaultRowHeight="15"/>
  <cols>
    <col min="1" max="1" width="8.140625" style="975" customWidth="1"/>
    <col min="2" max="2" width="101.5703125" style="976" customWidth="1"/>
    <col min="3" max="16384" width="9.140625" style="976"/>
  </cols>
  <sheetData>
    <row r="1" spans="1:2" ht="6" customHeight="1"/>
    <row r="2" spans="1:2" ht="30" customHeight="1">
      <c r="A2" s="2204" t="s">
        <v>2897</v>
      </c>
      <c r="B2" s="2204"/>
    </row>
    <row r="3" spans="1:2" ht="12" customHeight="1">
      <c r="A3" s="2205"/>
      <c r="B3" s="2205"/>
    </row>
    <row r="4" spans="1:2" ht="10.5" customHeight="1">
      <c r="A4" s="2206"/>
      <c r="B4" s="2206"/>
    </row>
    <row r="5" spans="1:2" ht="19.5" customHeight="1">
      <c r="A5" s="977" t="s">
        <v>2356</v>
      </c>
      <c r="B5" s="978" t="s">
        <v>2283</v>
      </c>
    </row>
    <row r="6" spans="1:2" ht="18" customHeight="1">
      <c r="A6" s="979">
        <v>1.1000000000000001</v>
      </c>
      <c r="B6" s="981" t="s">
        <v>2898</v>
      </c>
    </row>
    <row r="7" spans="1:2" ht="18" customHeight="1">
      <c r="A7" s="980">
        <v>1.2</v>
      </c>
      <c r="B7" s="981" t="s">
        <v>2969</v>
      </c>
    </row>
    <row r="8" spans="1:2" ht="18" customHeight="1">
      <c r="A8" s="980">
        <v>1.3</v>
      </c>
      <c r="B8" s="981" t="s">
        <v>2899</v>
      </c>
    </row>
    <row r="9" spans="1:2" ht="18" customHeight="1">
      <c r="A9" s="980">
        <v>1.4</v>
      </c>
      <c r="B9" s="981" t="s">
        <v>2900</v>
      </c>
    </row>
    <row r="10" spans="1:2" ht="18" customHeight="1">
      <c r="A10" s="980">
        <v>1.5</v>
      </c>
      <c r="B10" s="981" t="s">
        <v>2901</v>
      </c>
    </row>
    <row r="11" spans="1:2" ht="18" customHeight="1">
      <c r="A11" s="980">
        <v>1.6</v>
      </c>
      <c r="B11" s="981" t="s">
        <v>2902</v>
      </c>
    </row>
    <row r="12" spans="1:2" ht="18" customHeight="1">
      <c r="A12" s="980" t="s">
        <v>3510</v>
      </c>
      <c r="B12" s="981" t="s">
        <v>3509</v>
      </c>
    </row>
    <row r="13" spans="1:2" ht="18" customHeight="1">
      <c r="A13" s="980">
        <v>2.1</v>
      </c>
      <c r="B13" s="981" t="s">
        <v>2903</v>
      </c>
    </row>
    <row r="14" spans="1:2" ht="18" customHeight="1">
      <c r="A14" s="980">
        <v>2.2000000000000002</v>
      </c>
      <c r="B14" s="981" t="s">
        <v>2904</v>
      </c>
    </row>
    <row r="15" spans="1:2" ht="18" customHeight="1">
      <c r="A15" s="980">
        <v>2.2999999999999998</v>
      </c>
      <c r="B15" s="981" t="s">
        <v>2905</v>
      </c>
    </row>
    <row r="16" spans="1:2" ht="18" customHeight="1">
      <c r="A16" s="980">
        <v>2.4</v>
      </c>
      <c r="B16" s="981" t="s">
        <v>2906</v>
      </c>
    </row>
    <row r="17" spans="1:2" ht="18" customHeight="1">
      <c r="A17" s="980">
        <v>2.5</v>
      </c>
      <c r="B17" s="981" t="s">
        <v>2907</v>
      </c>
    </row>
    <row r="18" spans="1:2" ht="18" customHeight="1">
      <c r="A18" s="980">
        <v>2.6</v>
      </c>
      <c r="B18" s="981" t="s">
        <v>2908</v>
      </c>
    </row>
    <row r="19" spans="1:2" ht="18" customHeight="1">
      <c r="A19" s="980">
        <v>2.7</v>
      </c>
      <c r="B19" s="981" t="s">
        <v>2909</v>
      </c>
    </row>
    <row r="20" spans="1:2" ht="18" customHeight="1">
      <c r="A20" s="980" t="s">
        <v>2983</v>
      </c>
      <c r="B20" s="981" t="s">
        <v>2987</v>
      </c>
    </row>
    <row r="21" spans="1:2" ht="18" customHeight="1">
      <c r="A21" s="980" t="s">
        <v>3100</v>
      </c>
      <c r="B21" s="981" t="s">
        <v>3101</v>
      </c>
    </row>
    <row r="22" spans="1:2" ht="18" customHeight="1">
      <c r="A22" s="980">
        <v>2.8</v>
      </c>
      <c r="B22" s="981" t="s">
        <v>2910</v>
      </c>
    </row>
    <row r="23" spans="1:2" ht="18" customHeight="1">
      <c r="A23" s="980" t="s">
        <v>2981</v>
      </c>
      <c r="B23" s="981" t="s">
        <v>2982</v>
      </c>
    </row>
    <row r="24" spans="1:2" ht="18" customHeight="1">
      <c r="A24" s="980" t="s">
        <v>2911</v>
      </c>
      <c r="B24" s="981" t="s">
        <v>2912</v>
      </c>
    </row>
    <row r="25" spans="1:2" ht="18" customHeight="1">
      <c r="A25" s="980" t="s">
        <v>2913</v>
      </c>
      <c r="B25" s="981" t="s">
        <v>2914</v>
      </c>
    </row>
    <row r="26" spans="1:2" ht="18" customHeight="1">
      <c r="A26" s="980" t="s">
        <v>2915</v>
      </c>
      <c r="B26" s="981" t="s">
        <v>2916</v>
      </c>
    </row>
    <row r="27" spans="1:2" ht="18" customHeight="1">
      <c r="A27" s="980" t="s">
        <v>2917</v>
      </c>
      <c r="B27" s="981" t="s">
        <v>2918</v>
      </c>
    </row>
    <row r="28" spans="1:2" ht="18" customHeight="1">
      <c r="A28" s="980" t="s">
        <v>2919</v>
      </c>
      <c r="B28" s="981" t="s">
        <v>2920</v>
      </c>
    </row>
    <row r="29" spans="1:2" ht="18" customHeight="1">
      <c r="A29" s="980" t="s">
        <v>2921</v>
      </c>
      <c r="B29" s="981" t="s">
        <v>2922</v>
      </c>
    </row>
    <row r="30" spans="1:2" ht="18" customHeight="1">
      <c r="A30" s="980" t="s">
        <v>2923</v>
      </c>
      <c r="B30" s="981" t="s">
        <v>2924</v>
      </c>
    </row>
    <row r="31" spans="1:2" ht="18" customHeight="1">
      <c r="A31" s="980" t="s">
        <v>2925</v>
      </c>
      <c r="B31" s="981" t="s">
        <v>2926</v>
      </c>
    </row>
    <row r="32" spans="1:2" ht="18" customHeight="1">
      <c r="A32" s="980" t="s">
        <v>2927</v>
      </c>
      <c r="B32" s="981" t="s">
        <v>2928</v>
      </c>
    </row>
    <row r="33" spans="1:2" ht="18" customHeight="1">
      <c r="A33" s="980" t="s">
        <v>2929</v>
      </c>
      <c r="B33" s="981" t="s">
        <v>2930</v>
      </c>
    </row>
    <row r="34" spans="1:2" ht="18" customHeight="1">
      <c r="A34" s="980" t="s">
        <v>2931</v>
      </c>
      <c r="B34" s="981" t="s">
        <v>2932</v>
      </c>
    </row>
    <row r="35" spans="1:2" ht="18" customHeight="1">
      <c r="A35" s="980" t="s">
        <v>2933</v>
      </c>
      <c r="B35" s="981" t="s">
        <v>2967</v>
      </c>
    </row>
    <row r="36" spans="1:2" ht="18" customHeight="1">
      <c r="A36" s="980" t="s">
        <v>2934</v>
      </c>
      <c r="B36" s="981" t="s">
        <v>2935</v>
      </c>
    </row>
    <row r="37" spans="1:2" ht="18" customHeight="1">
      <c r="A37" s="980" t="s">
        <v>2936</v>
      </c>
      <c r="B37" s="981" t="s">
        <v>2937</v>
      </c>
    </row>
    <row r="38" spans="1:2" ht="18" customHeight="1">
      <c r="A38" s="980" t="s">
        <v>2938</v>
      </c>
      <c r="B38" s="981" t="s">
        <v>2939</v>
      </c>
    </row>
    <row r="39" spans="1:2" ht="18" customHeight="1">
      <c r="A39" s="980" t="s">
        <v>2940</v>
      </c>
      <c r="B39" s="981" t="s">
        <v>2968</v>
      </c>
    </row>
    <row r="40" spans="1:2" ht="18" customHeight="1">
      <c r="A40" s="980" t="s">
        <v>2941</v>
      </c>
      <c r="B40" s="981" t="s">
        <v>3668</v>
      </c>
    </row>
    <row r="41" spans="1:2" ht="18" customHeight="1">
      <c r="A41" s="980" t="s">
        <v>3511</v>
      </c>
      <c r="B41" s="981" t="s">
        <v>3512</v>
      </c>
    </row>
    <row r="42" spans="1:2" ht="18" customHeight="1">
      <c r="A42" s="980" t="s">
        <v>2942</v>
      </c>
      <c r="B42" s="981" t="s">
        <v>3271</v>
      </c>
    </row>
    <row r="43" spans="1:2" ht="18" customHeight="1">
      <c r="A43" s="980" t="s">
        <v>2943</v>
      </c>
      <c r="B43" s="981" t="s">
        <v>3321</v>
      </c>
    </row>
    <row r="44" spans="1:2" ht="18" customHeight="1">
      <c r="A44" s="980" t="s">
        <v>2944</v>
      </c>
      <c r="B44" s="981" t="s">
        <v>3322</v>
      </c>
    </row>
    <row r="45" spans="1:2" ht="18" customHeight="1">
      <c r="A45" s="980" t="s">
        <v>2945</v>
      </c>
      <c r="B45" s="981" t="s">
        <v>2946</v>
      </c>
    </row>
    <row r="46" spans="1:2" ht="18" customHeight="1">
      <c r="A46" s="980" t="s">
        <v>2947</v>
      </c>
      <c r="B46" s="981" t="s">
        <v>2948</v>
      </c>
    </row>
    <row r="47" spans="1:2" ht="18" customHeight="1">
      <c r="A47" s="980" t="s">
        <v>2949</v>
      </c>
      <c r="B47" s="981" t="s">
        <v>2950</v>
      </c>
    </row>
    <row r="48" spans="1:2" ht="18" customHeight="1">
      <c r="A48" s="980" t="s">
        <v>2951</v>
      </c>
      <c r="B48" s="981" t="s">
        <v>2952</v>
      </c>
    </row>
    <row r="49" spans="1:2" ht="18" customHeight="1">
      <c r="A49" s="980" t="s">
        <v>2953</v>
      </c>
      <c r="B49" s="981" t="s">
        <v>3253</v>
      </c>
    </row>
    <row r="50" spans="1:2" ht="18" customHeight="1">
      <c r="A50" s="980" t="s">
        <v>2954</v>
      </c>
      <c r="B50" s="981" t="s">
        <v>3372</v>
      </c>
    </row>
    <row r="51" spans="1:2" ht="18" customHeight="1">
      <c r="A51" s="980" t="s">
        <v>2956</v>
      </c>
      <c r="B51" s="981" t="s">
        <v>3923</v>
      </c>
    </row>
    <row r="52" spans="1:2" ht="18" customHeight="1">
      <c r="A52" s="980" t="s">
        <v>2957</v>
      </c>
      <c r="B52" s="981" t="s">
        <v>3106</v>
      </c>
    </row>
    <row r="53" spans="1:2" ht="18" customHeight="1">
      <c r="A53" s="980" t="s">
        <v>2959</v>
      </c>
      <c r="B53" s="981" t="s">
        <v>2955</v>
      </c>
    </row>
    <row r="54" spans="1:2" ht="18" customHeight="1">
      <c r="A54" s="980" t="s">
        <v>3102</v>
      </c>
      <c r="B54" s="981" t="s">
        <v>2958</v>
      </c>
    </row>
    <row r="55" spans="1:2" ht="18" customHeight="1">
      <c r="A55" s="980" t="s">
        <v>3103</v>
      </c>
      <c r="B55" s="981" t="s">
        <v>3888</v>
      </c>
    </row>
    <row r="56" spans="1:2" ht="18" customHeight="1">
      <c r="A56" s="980" t="s">
        <v>3104</v>
      </c>
      <c r="B56" s="981" t="s">
        <v>3107</v>
      </c>
    </row>
    <row r="57" spans="1:2" ht="18" customHeight="1">
      <c r="A57" s="980" t="s">
        <v>3105</v>
      </c>
      <c r="B57" s="981" t="s">
        <v>3252</v>
      </c>
    </row>
    <row r="58" spans="1:2" ht="18" customHeight="1">
      <c r="A58" s="980" t="s">
        <v>3788</v>
      </c>
      <c r="B58" s="981" t="s">
        <v>3787</v>
      </c>
    </row>
    <row r="59" spans="1:2" ht="18" customHeight="1">
      <c r="A59" s="980" t="s">
        <v>2960</v>
      </c>
      <c r="B59" s="981" t="s">
        <v>2238</v>
      </c>
    </row>
    <row r="60" spans="1:2" ht="18" customHeight="1">
      <c r="A60" s="980" t="s">
        <v>2961</v>
      </c>
      <c r="B60" s="981" t="s">
        <v>2962</v>
      </c>
    </row>
    <row r="61" spans="1:2" ht="18" customHeight="1">
      <c r="A61" s="980" t="s">
        <v>2963</v>
      </c>
      <c r="B61" s="981" t="s">
        <v>2964</v>
      </c>
    </row>
    <row r="62" spans="1:2" ht="18" customHeight="1">
      <c r="A62" s="980" t="s">
        <v>2965</v>
      </c>
      <c r="B62" s="981" t="s">
        <v>2966</v>
      </c>
    </row>
    <row r="63" spans="1:2" ht="18" customHeight="1">
      <c r="A63" s="980" t="s">
        <v>3108</v>
      </c>
      <c r="B63" s="981" t="s">
        <v>3109</v>
      </c>
    </row>
    <row r="64" spans="1:2" ht="18" customHeight="1">
      <c r="A64" s="980" t="s">
        <v>3641</v>
      </c>
      <c r="B64" s="981" t="s">
        <v>3642</v>
      </c>
    </row>
    <row r="65" spans="1:2" ht="18" customHeight="1">
      <c r="A65" s="980" t="s">
        <v>3823</v>
      </c>
      <c r="B65" s="981" t="s">
        <v>3824</v>
      </c>
    </row>
    <row r="66" spans="1:2" ht="18" customHeight="1">
      <c r="A66" s="980" t="s">
        <v>4193</v>
      </c>
      <c r="B66" s="981" t="s">
        <v>4194</v>
      </c>
    </row>
    <row r="67" spans="1:2" ht="18" customHeight="1">
      <c r="A67" s="980" t="s">
        <v>4267</v>
      </c>
      <c r="B67" s="981" t="s">
        <v>4270</v>
      </c>
    </row>
    <row r="68" spans="1:2" ht="18" customHeight="1">
      <c r="A68" s="980" t="s">
        <v>3110</v>
      </c>
      <c r="B68" s="981" t="s">
        <v>2357</v>
      </c>
    </row>
    <row r="69" spans="1:2" ht="18" customHeight="1">
      <c r="A69" s="980" t="s">
        <v>3111</v>
      </c>
      <c r="B69" s="981" t="s">
        <v>2329</v>
      </c>
    </row>
    <row r="70" spans="1:2" ht="18" customHeight="1">
      <c r="A70" s="980" t="s">
        <v>292</v>
      </c>
      <c r="B70" s="981" t="s">
        <v>3112</v>
      </c>
    </row>
    <row r="71" spans="1:2" ht="18" customHeight="1">
      <c r="A71" s="980" t="s">
        <v>293</v>
      </c>
      <c r="B71" s="981" t="s">
        <v>3247</v>
      </c>
    </row>
    <row r="72" spans="1:2" ht="9.6" customHeight="1"/>
  </sheetData>
  <mergeCells count="3">
    <mergeCell ref="A2:B2"/>
    <mergeCell ref="A3:B3"/>
    <mergeCell ref="A4:B4"/>
  </mergeCells>
  <hyperlinks>
    <hyperlink ref="B6" location="'1.1'!A1" display="Əsas makroiqtisadi göstəricilər" xr:uid="{00000000-0004-0000-0000-000000000000}"/>
    <hyperlink ref="B7" location="'1.2'!A1" display="Qiymət indekslərinin dəyişməsi, %-lə" xr:uid="{00000000-0004-0000-0000-000001000000}"/>
    <hyperlink ref="B8" location="'1.3'!A1" display="Azərbaycan Respublikasının dövlət büdcəsinin əsas göstəriciləri" xr:uid="{00000000-0004-0000-0000-000002000000}"/>
    <hyperlink ref="B9" location="'1.4'!A1" display="Azərbaycan Respublikasının tədiyə balansı" xr:uid="{00000000-0004-0000-0000-000003000000}"/>
    <hyperlink ref="B10" location="'1.5'!A1" display="Azərbaycan Respublikasının xarici ticarəti (tədiyə balansı metodologiyasına əsasən)" xr:uid="{00000000-0004-0000-0000-000004000000}"/>
    <hyperlink ref="B11" location="'1.6'!A1" display="Manatın xarici valyutalara nisbətən nominal və real effektiv məzənnəsi (dekabr 2000=100) " xr:uid="{00000000-0004-0000-0000-000005000000}"/>
    <hyperlink ref="B13" location="'2.1'!A1" display="Pul icmalı (dövrün sonuna)" xr:uid="{00000000-0004-0000-0000-000006000000}"/>
    <hyperlink ref="B14" location="'2.2'!A1" display="AMB-nin analitik balansı (dövrün sonuna)" xr:uid="{00000000-0004-0000-0000-000007000000}"/>
    <hyperlink ref="B15" location="'2.3'!A1" display="Kommersiya banklarının analitik balansı (dövrün sonuna)" xr:uid="{00000000-0004-0000-0000-000008000000}"/>
    <hyperlink ref="B16" location="'2.4'!A1" display="Pul aqreqatları (dövrün sonuna)" xr:uid="{00000000-0004-0000-0000-000009000000}"/>
    <hyperlink ref="B17" location="'2.5'!A1" display="Pul bazası (dövrün sonuna)" xr:uid="{00000000-0004-0000-0000-00000A000000}"/>
    <hyperlink ref="B18" location="'2.6'!A1" display="İqtisadiyyata kredit qoyuluşlarının kredit təşkilatları üzrə strukturu (dövrün sonuna)" xr:uid="{00000000-0004-0000-0000-00000B000000}"/>
    <hyperlink ref="B19" location="'2.7'!A1" display="Kredit təşkilatlarının müddətlər üzrə kredit qoyuluşları (dövrün sonuna)" xr:uid="{00000000-0004-0000-0000-00000C000000}"/>
    <hyperlink ref="B22" location="'2.8'!A1" display="Kredit qoyuluşlarının sahələr üzrə strukturu (dövrün sonuna)" xr:uid="{00000000-0004-0000-0000-00000D000000}"/>
    <hyperlink ref="B24" location="'2.8.1'!A1" display="Ev təsərrüfatlarına verilən kreditlər" xr:uid="{00000000-0004-0000-0000-00000E000000}"/>
    <hyperlink ref="B25" location="'2.8.2'!A1" display="Ticarət və xidmət sektorunda fəaliyyət göstərən hüquqi şəxslərə verilən kreditlər" xr:uid="{00000000-0004-0000-0000-00000F000000}"/>
    <hyperlink ref="B26" location="'2.8.3'!A1" display="Mədənçıxarma sektorunda fəaliyyət göstərən hüquqi şəxslərə verilən kreditlər" xr:uid="{00000000-0004-0000-0000-000010000000}"/>
    <hyperlink ref="B27" location="'2.8.4'!A1" display="Elektrik enerjisi, qaz, buxar və su təsərrüfatı sektoruna verilən kreditlər" xr:uid="{00000000-0004-0000-0000-000011000000}"/>
    <hyperlink ref="B28" location="'2.8.5'!A1" display="Kənd təsərrüfatı, meşə təsərrüfatı və balıqçılıq sektorunda fəaliyyət göstərən hüquqi şəxslərə verilən kreditlər" xr:uid="{00000000-0004-0000-0000-000012000000}"/>
    <hyperlink ref="B29" location="'2.8.6'!A1" display="İnşaat və tikinti sektorunda fəaliyyət göstərən hüquqi şəxslərə verilən kreditlər" xr:uid="{00000000-0004-0000-0000-000013000000}"/>
    <hyperlink ref="B30" location="'2.8.7'!A1" display="Daşınmaz əmlak sektorunda fəaliyyət göstərən hüquqi şəxslərə verilən kreditlər" xr:uid="{00000000-0004-0000-0000-000014000000}"/>
    <hyperlink ref="B31" location="'2.8.8'!A1" display="Sənaye və istehsal sektorunda fəaliyyət göstərən hüquqi şəxslərə verilən kreditlər" xr:uid="{00000000-0004-0000-0000-000015000000}"/>
    <hyperlink ref="B32" location="'2.8.9'!A1" display="Nəqliyyat və rabitə sektorunda fəaliyyət göstərən hüquqi şəxslərə verilən kreditlər" xr:uid="{00000000-0004-0000-0000-000016000000}"/>
    <hyperlink ref="B33" location="'2.9'!A1" display="İpoteka kreditləri haqqında məlumat" xr:uid="{00000000-0004-0000-0000-000017000000}"/>
    <hyperlink ref="B34" location="'2.10'!A1" display="Regionlar üzrə kredit qoyuluşu" xr:uid="{00000000-0004-0000-0000-000018000000}"/>
    <hyperlink ref="B35" location="'2.11'!A1" display="Kredit təşkilatlarında yerləşdirilmiş depozit və əmanətlər (dövrün sonuna)" xr:uid="{00000000-0004-0000-0000-000019000000}"/>
    <hyperlink ref="B36" location="'2.12'!A1" display="Cəmi depozit bazasının valyutalar üzrə strukturu (dövrün sonuna)" xr:uid="{00000000-0004-0000-0000-00001A000000}"/>
    <hyperlink ref="B37" location="'2.13'!A1" display="Fiziki şəxslərin əmanətlərinin strukturu  " xr:uid="{00000000-0004-0000-0000-00001B000000}"/>
    <hyperlink ref="B38" location="'2.14'!A1" display="Regionlar üzrə cəlb olunmuş əmanətlər" xr:uid="{00000000-0004-0000-0000-00001C000000}"/>
    <hyperlink ref="B39" location="'2.15'!A1" display="Mərkəzi Bankın məcburi ehtiyat normaları, %-lə" xr:uid="{00000000-0004-0000-0000-00001D000000}"/>
    <hyperlink ref="B40" location="'2.16'!A1" display="Manatın  xarici valyutalara qarşı rəsmi orta məzənnəsi " xr:uid="{00000000-0004-0000-0000-00001E000000}"/>
    <hyperlink ref="B42" location="'3.1 '!A1" display="Mərkəzi Bankın likvidliyin idarə edilməsi üzrə əməliyyatlarının həcmi və faiz dərəcələri (dövrün sonuna)" xr:uid="{00000000-0004-0000-0000-00001F000000}"/>
    <hyperlink ref="B43" location="'3.2'!A1" display="Depozit və kreditlər üzrə orta faiz dərəcələri" xr:uid="{00000000-0004-0000-0000-000020000000}"/>
    <hyperlink ref="B44" location="'3.2.1'!A1" display="Yeni cəlb olunmuş depozit və yeni verilmiş kreditlər üzrə orta faiz dərəcələri" xr:uid="{00000000-0004-0000-0000-000021000000}"/>
    <hyperlink ref="B45" location="'3.3 '!A1" display="Dövlət istiqrazları" xr:uid="{00000000-0004-0000-0000-000022000000}"/>
    <hyperlink ref="B46" location="'3.4'!A1" display="Mərkəzi Bankın notları" xr:uid="{00000000-0004-0000-0000-000023000000}"/>
    <hyperlink ref="B47" location="'3.5'!A1" display="Qiymətli kağızlar bazarı üzrə əsas göstəricilər " xr:uid="{00000000-0004-0000-0000-000024000000}"/>
    <hyperlink ref="B48" location="'3.6'!A1" display="Nağd xarici valyuta ilə mübadilə əməliyyatları" xr:uid="{00000000-0004-0000-0000-000025000000}"/>
    <hyperlink ref="B49" location="'4.1'!A1" display="Ödəniş və pul köçürmə sistemləri üzrə əməliyyatlar" xr:uid="{00000000-0004-0000-0000-000026000000}"/>
    <hyperlink ref="B50" location="'4.2'!A1" display="Debet və kredit kartları ilə aparılan əməliyyatlar" xr:uid="{00000000-0004-0000-0000-000027000000}"/>
    <hyperlink ref="B51" location="'4.3'!A1" display="Bankomatlar və Pos-terminallar (dövrün sonuna)" xr:uid="{00000000-0004-0000-0000-000028000000}"/>
    <hyperlink ref="B52" location="'4.4'!A1" display="Ödəniş kartları və terminallardan istifadə göstəriciləri" xr:uid="{00000000-0004-0000-0000-000029000000}"/>
    <hyperlink ref="B53" location="'4.5'!A1" display="Müştərilərin bank hesablarının sayı və tərkibi " xr:uid="{00000000-0004-0000-0000-00002A000000}"/>
    <hyperlink ref="B59" location="'5.1'!A1" display="Maliyyə bazarlarının iştirakçıları haqqında ümumi məlumat " xr:uid="{00000000-0004-0000-0000-00002B000000}"/>
    <hyperlink ref="B60" location="'5.2'!A1" display="Bank sektorunun icmal balansı" xr:uid="{00000000-0004-0000-0000-00002C000000}"/>
    <hyperlink ref="B61" location="'5.3'!A1" display="Bank sektorunun mənfəət və zərər haqqında hesabatı" xr:uid="{00000000-0004-0000-0000-00002D000000}"/>
    <hyperlink ref="B23" location="'2.8.d.'!A1" display="Kredit qoyuluşlarının sahələr üzrə strukturu (detallı)" xr:uid="{00000000-0004-0000-0000-00002E000000}"/>
    <hyperlink ref="B20" location="'2.7.d.'!A1" display="Kredit təşkilatlarının müddətlər üzrə kredit qoyuluşları (detallı)" xr:uid="{00000000-0004-0000-0000-00002F000000}"/>
    <hyperlink ref="A21:B21" location="'2.7.1'!Print_Area" display="2.7.1" xr:uid="{00000000-0004-0000-0000-000030000000}"/>
    <hyperlink ref="B55" location="'4.7'!A1" display="Milli Ödəniş Sistemi vasitəsilə aparılan ödəniş əməliyyatlarının iştirakçılar üzrə bölgüsü " xr:uid="{00000000-0004-0000-0000-000031000000}"/>
    <hyperlink ref="B56" location="'4.8'!A1" display="Ödəniş kartları vasitəsilə elektron ticarət əməliyyatları haqqında statistik hesabat " xr:uid="{00000000-0004-0000-0000-000032000000}"/>
    <hyperlink ref="B57" location="'4.9'!A1" display="Statistik vahidlərə məxsus ödəniş xidmət şəbəkəsində ödəniş əməliyyatlarının  təyinatı haqqında statistik hesabat " xr:uid="{00000000-0004-0000-0000-000033000000}"/>
    <hyperlink ref="B62" location="'5.4'!A1" display="Bankların kredit portfelinin strukturu barədə məlumat" xr:uid="{00000000-0004-0000-0000-000034000000}"/>
    <hyperlink ref="B63" location="'5.5'!A1" display="Vəsaitlərin mənbəyinə görə biznes kreditləri barədə məlumat" xr:uid="{00000000-0004-0000-0000-000035000000}"/>
    <hyperlink ref="B69" location="'6.2'!A1" display="Sığorta növləri üzrə sığorta haqları və sığorta ödənişləri" xr:uid="{00000000-0004-0000-0000-000036000000}"/>
    <hyperlink ref="B70" location="'7'!A1" display="Real sektorda İşgüzar Fəallıq İndeksləri " xr:uid="{00000000-0004-0000-0000-000038000000}"/>
    <hyperlink ref="B71" location="'8'!A1" display="Daşınar əmlaka dair Reyestrdə qeydə alınan yüklülüklərin statistikası" xr:uid="{00000000-0004-0000-0000-000039000000}"/>
    <hyperlink ref="B54" location="'4.6'!A1" display="Milli Ödəniş sistemləri üzrə əməliyyatlar" xr:uid="{00000000-0004-0000-0000-00003A000000}"/>
    <hyperlink ref="B12" location="'1.6.1'!A1" display="Manatın əsas ticarət tərəfdaşı olan ölkələrin valyutalarına qarşı real məzənnəsi (dekabr 2000=100) " xr:uid="{00000000-0004-0000-0000-00003B000000}"/>
    <hyperlink ref="B41" location="'2.16.1'!A1" display="Əsas ticarət tərəfdaşı olan ölkələrin valyutalarının manata qarşı dəyişimi, (ilin əvvəlinə nəzərən %-lə)" xr:uid="{00000000-0004-0000-0000-00003C000000}"/>
    <hyperlink ref="B64" location="'5.6'!A1" display="Bankların qeyri-işlək kreditlərinin strukturu barədə məlumat" xr:uid="{00000000-0004-0000-0000-00003D000000}"/>
    <hyperlink ref="B21" location="'2.7.1'!A1" display="Kredit təşkilatlarının müddətlər üzrə yeni kredit qoyuluşları" xr:uid="{00000000-0004-0000-0000-00003E000000}"/>
    <hyperlink ref="B58" location="'4.10'!A1" display="Banklararası Kart Mərkəzi (BKM) vasitəsilə emal olunmuş ödəniş əməliyyatları" xr:uid="{00000000-0004-0000-0000-00003F000000}"/>
    <hyperlink ref="B65" location="'5.7'!A1" display="Biznes portfelinin sahibkarlıq subyektləri üzrə bölgüsü barədə məlumat" xr:uid="{00000000-0004-0000-0000-000040000000}"/>
    <hyperlink ref="B68" location="'6.1'!A1" display="Sığorta şirkətləri üzrə sığorta haqları və sığorta ödənişləri " xr:uid="{00000000-0004-0000-0000-000037000000}"/>
    <hyperlink ref="B66" location="'5.8'!A1" display="Biznes portfelinin sahələr üzrə bölgüsü barədə məlumat" xr:uid="{322A8C3C-41A1-4B1C-B7C6-F370BEE5CDD1}"/>
    <hyperlink ref="B67" location="'5.9'!A1" display="'5.9'!A1" xr:uid="{93FB4DFE-C6D1-4AC0-85A8-30D2D0E09791}"/>
  </hyperlinks>
  <pageMargins left="0.2" right="0.2" top="0.25" bottom="0.2" header="0.3" footer="0.3"/>
  <pageSetup paperSize="9" scale="68" orientation="portrait" verticalDpi="4294967295" r:id="rId1"/>
  <ignoredErrors>
    <ignoredError sqref="A42:A43 A45:A53 A59:A61 A33:A40" numberStoredAsText="1"/>
    <ignoredError sqref="A24:A26 A44 A28:A32" twoDigitTextYear="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92D050"/>
    <pageSetUpPr fitToPage="1"/>
  </sheetPr>
  <dimension ref="A1:B72"/>
  <sheetViews>
    <sheetView showGridLines="0" view="pageBreakPreview" zoomScale="115" zoomScaleNormal="100" zoomScaleSheetLayoutView="115" workbookViewId="0">
      <pane ySplit="5" topLeftCell="A6" activePane="bottomLeft" state="frozen"/>
      <selection activeCell="B39" sqref="B39"/>
      <selection pane="bottomLeft" activeCell="E28" sqref="E28"/>
    </sheetView>
  </sheetViews>
  <sheetFormatPr defaultColWidth="9.140625" defaultRowHeight="15"/>
  <cols>
    <col min="1" max="1" width="8.140625" style="975" customWidth="1"/>
    <col min="2" max="2" width="110.85546875" style="976" customWidth="1"/>
    <col min="3" max="16384" width="9.140625" style="976"/>
  </cols>
  <sheetData>
    <row r="1" spans="1:2" ht="6" customHeight="1"/>
    <row r="2" spans="1:2" ht="30" customHeight="1">
      <c r="A2" s="2204" t="s">
        <v>3712</v>
      </c>
      <c r="B2" s="2204"/>
    </row>
    <row r="3" spans="1:2" ht="12" customHeight="1">
      <c r="A3" s="2205"/>
      <c r="B3" s="2205"/>
    </row>
    <row r="4" spans="1:2" ht="10.5" customHeight="1">
      <c r="A4" s="2206"/>
      <c r="B4" s="2206"/>
    </row>
    <row r="5" spans="1:2" ht="19.5" customHeight="1">
      <c r="A5" s="977" t="s">
        <v>2356</v>
      </c>
      <c r="B5" s="978" t="s">
        <v>3713</v>
      </c>
    </row>
    <row r="6" spans="1:2" ht="18" customHeight="1">
      <c r="A6" s="979">
        <v>1.1000000000000001</v>
      </c>
      <c r="B6" s="981" t="s">
        <v>3669</v>
      </c>
    </row>
    <row r="7" spans="1:2" ht="18" customHeight="1">
      <c r="A7" s="980">
        <v>1.2</v>
      </c>
      <c r="B7" s="981" t="s">
        <v>3673</v>
      </c>
    </row>
    <row r="8" spans="1:2" ht="18" customHeight="1">
      <c r="A8" s="980">
        <v>1.3</v>
      </c>
      <c r="B8" s="981" t="s">
        <v>3670</v>
      </c>
    </row>
    <row r="9" spans="1:2" ht="18" customHeight="1">
      <c r="A9" s="980">
        <v>1.4</v>
      </c>
      <c r="B9" s="981" t="s">
        <v>3671</v>
      </c>
    </row>
    <row r="10" spans="1:2" ht="18" customHeight="1">
      <c r="A10" s="980">
        <v>1.5</v>
      </c>
      <c r="B10" s="981" t="s">
        <v>3714</v>
      </c>
    </row>
    <row r="11" spans="1:2" ht="18" customHeight="1">
      <c r="A11" s="980">
        <v>1.6</v>
      </c>
      <c r="B11" s="981" t="s">
        <v>3715</v>
      </c>
    </row>
    <row r="12" spans="1:2" ht="18" customHeight="1">
      <c r="A12" s="980" t="s">
        <v>3510</v>
      </c>
      <c r="B12" s="981" t="s">
        <v>3716</v>
      </c>
    </row>
    <row r="13" spans="1:2" ht="18" customHeight="1">
      <c r="A13" s="980">
        <v>2.1</v>
      </c>
      <c r="B13" s="981" t="s">
        <v>3717</v>
      </c>
    </row>
    <row r="14" spans="1:2" ht="18" customHeight="1">
      <c r="A14" s="980">
        <v>2.2000000000000002</v>
      </c>
      <c r="B14" s="981" t="s">
        <v>3718</v>
      </c>
    </row>
    <row r="15" spans="1:2" ht="18" customHeight="1">
      <c r="A15" s="980">
        <v>2.2999999999999998</v>
      </c>
      <c r="B15" s="981" t="s">
        <v>3719</v>
      </c>
    </row>
    <row r="16" spans="1:2" ht="18" customHeight="1">
      <c r="A16" s="980">
        <v>2.4</v>
      </c>
      <c r="B16" s="981" t="s">
        <v>3720</v>
      </c>
    </row>
    <row r="17" spans="1:2" ht="18" customHeight="1">
      <c r="A17" s="980">
        <v>2.5</v>
      </c>
      <c r="B17" s="981" t="s">
        <v>3721</v>
      </c>
    </row>
    <row r="18" spans="1:2" ht="18" customHeight="1">
      <c r="A18" s="980">
        <v>2.6</v>
      </c>
      <c r="B18" s="981" t="s">
        <v>3722</v>
      </c>
    </row>
    <row r="19" spans="1:2" ht="18" customHeight="1">
      <c r="A19" s="980">
        <v>2.7</v>
      </c>
      <c r="B19" s="981" t="s">
        <v>3723</v>
      </c>
    </row>
    <row r="20" spans="1:2" ht="18" customHeight="1">
      <c r="A20" s="980" t="s">
        <v>2983</v>
      </c>
      <c r="B20" s="981" t="s">
        <v>3730</v>
      </c>
    </row>
    <row r="21" spans="1:2" ht="18" customHeight="1">
      <c r="A21" s="980" t="s">
        <v>3100</v>
      </c>
      <c r="B21" s="981" t="s">
        <v>3674</v>
      </c>
    </row>
    <row r="22" spans="1:2" ht="18" customHeight="1">
      <c r="A22" s="980">
        <v>2.8</v>
      </c>
      <c r="B22" s="981" t="s">
        <v>3724</v>
      </c>
    </row>
    <row r="23" spans="1:2" ht="18" customHeight="1">
      <c r="A23" s="980" t="s">
        <v>2981</v>
      </c>
      <c r="B23" s="981" t="s">
        <v>3731</v>
      </c>
    </row>
    <row r="24" spans="1:2" ht="18" customHeight="1">
      <c r="A24" s="980" t="s">
        <v>2911</v>
      </c>
      <c r="B24" s="981" t="s">
        <v>3675</v>
      </c>
    </row>
    <row r="25" spans="1:2" ht="18" customHeight="1">
      <c r="A25" s="980" t="s">
        <v>2913</v>
      </c>
      <c r="B25" s="981" t="s">
        <v>3677</v>
      </c>
    </row>
    <row r="26" spans="1:2" ht="18" customHeight="1">
      <c r="A26" s="980" t="s">
        <v>2915</v>
      </c>
      <c r="B26" s="981" t="s">
        <v>3676</v>
      </c>
    </row>
    <row r="27" spans="1:2" ht="18" customHeight="1">
      <c r="A27" s="980" t="s">
        <v>2917</v>
      </c>
      <c r="B27" s="981" t="s">
        <v>3678</v>
      </c>
    </row>
    <row r="28" spans="1:2" ht="18" customHeight="1">
      <c r="A28" s="980" t="s">
        <v>2919</v>
      </c>
      <c r="B28" s="981" t="s">
        <v>3679</v>
      </c>
    </row>
    <row r="29" spans="1:2" ht="18" customHeight="1">
      <c r="A29" s="980" t="s">
        <v>2921</v>
      </c>
      <c r="B29" s="981" t="s">
        <v>3680</v>
      </c>
    </row>
    <row r="30" spans="1:2" ht="18" customHeight="1">
      <c r="A30" s="980" t="s">
        <v>2923</v>
      </c>
      <c r="B30" s="981" t="s">
        <v>3681</v>
      </c>
    </row>
    <row r="31" spans="1:2" ht="18" customHeight="1">
      <c r="A31" s="980" t="s">
        <v>2925</v>
      </c>
      <c r="B31" s="981" t="s">
        <v>3682</v>
      </c>
    </row>
    <row r="32" spans="1:2" ht="18" customHeight="1">
      <c r="A32" s="980" t="s">
        <v>2927</v>
      </c>
      <c r="B32" s="981" t="s">
        <v>3683</v>
      </c>
    </row>
    <row r="33" spans="1:2" ht="18" customHeight="1">
      <c r="A33" s="980" t="s">
        <v>2929</v>
      </c>
      <c r="B33" s="981" t="s">
        <v>3684</v>
      </c>
    </row>
    <row r="34" spans="1:2" ht="18" customHeight="1">
      <c r="A34" s="980" t="s">
        <v>2931</v>
      </c>
      <c r="B34" s="981" t="s">
        <v>3685</v>
      </c>
    </row>
    <row r="35" spans="1:2" ht="18" customHeight="1">
      <c r="A35" s="980" t="s">
        <v>2933</v>
      </c>
      <c r="B35" s="981" t="s">
        <v>3725</v>
      </c>
    </row>
    <row r="36" spans="1:2" ht="18" customHeight="1">
      <c r="A36" s="980" t="s">
        <v>2934</v>
      </c>
      <c r="B36" s="981" t="s">
        <v>3726</v>
      </c>
    </row>
    <row r="37" spans="1:2" ht="18" customHeight="1">
      <c r="A37" s="980" t="s">
        <v>2936</v>
      </c>
      <c r="B37" s="981" t="s">
        <v>3686</v>
      </c>
    </row>
    <row r="38" spans="1:2" ht="18" customHeight="1">
      <c r="A38" s="980" t="s">
        <v>2938</v>
      </c>
      <c r="B38" s="981" t="s">
        <v>3687</v>
      </c>
    </row>
    <row r="39" spans="1:2" ht="18" customHeight="1">
      <c r="A39" s="980" t="s">
        <v>2940</v>
      </c>
      <c r="B39" s="981" t="s">
        <v>3688</v>
      </c>
    </row>
    <row r="40" spans="1:2" ht="18" customHeight="1">
      <c r="A40" s="980" t="s">
        <v>2941</v>
      </c>
      <c r="B40" s="981" t="s">
        <v>3689</v>
      </c>
    </row>
    <row r="41" spans="1:2" ht="18" customHeight="1">
      <c r="A41" s="980" t="s">
        <v>3511</v>
      </c>
      <c r="B41" s="981" t="s">
        <v>3727</v>
      </c>
    </row>
    <row r="42" spans="1:2" ht="18" customHeight="1">
      <c r="A42" s="980" t="s">
        <v>2942</v>
      </c>
      <c r="B42" s="981" t="s">
        <v>3728</v>
      </c>
    </row>
    <row r="43" spans="1:2" ht="18" customHeight="1">
      <c r="A43" s="980" t="s">
        <v>2943</v>
      </c>
      <c r="B43" s="981" t="s">
        <v>3690</v>
      </c>
    </row>
    <row r="44" spans="1:2" ht="18" customHeight="1">
      <c r="A44" s="980" t="s">
        <v>2944</v>
      </c>
      <c r="B44" s="981" t="s">
        <v>3691</v>
      </c>
    </row>
    <row r="45" spans="1:2" ht="18" customHeight="1">
      <c r="A45" s="980" t="s">
        <v>2945</v>
      </c>
      <c r="B45" s="981" t="s">
        <v>3692</v>
      </c>
    </row>
    <row r="46" spans="1:2" ht="18" customHeight="1">
      <c r="A46" s="980" t="s">
        <v>2947</v>
      </c>
      <c r="B46" s="981" t="s">
        <v>3693</v>
      </c>
    </row>
    <row r="47" spans="1:2" ht="18" customHeight="1">
      <c r="A47" s="980" t="s">
        <v>2949</v>
      </c>
      <c r="B47" s="981" t="s">
        <v>3694</v>
      </c>
    </row>
    <row r="48" spans="1:2" ht="18" customHeight="1">
      <c r="A48" s="980" t="s">
        <v>2951</v>
      </c>
      <c r="B48" s="981" t="s">
        <v>3695</v>
      </c>
    </row>
    <row r="49" spans="1:2" ht="18" customHeight="1">
      <c r="A49" s="980" t="s">
        <v>2953</v>
      </c>
      <c r="B49" s="981" t="s">
        <v>3696</v>
      </c>
    </row>
    <row r="50" spans="1:2" ht="18" customHeight="1">
      <c r="A50" s="980" t="s">
        <v>2954</v>
      </c>
      <c r="B50" s="981" t="s">
        <v>3697</v>
      </c>
    </row>
    <row r="51" spans="1:2" ht="18" customHeight="1">
      <c r="A51" s="980" t="s">
        <v>2956</v>
      </c>
      <c r="B51" s="981" t="s">
        <v>3924</v>
      </c>
    </row>
    <row r="52" spans="1:2" ht="18" customHeight="1">
      <c r="A52" s="980" t="s">
        <v>2957</v>
      </c>
      <c r="B52" s="981" t="s">
        <v>3698</v>
      </c>
    </row>
    <row r="53" spans="1:2" ht="18" customHeight="1">
      <c r="A53" s="980" t="s">
        <v>2959</v>
      </c>
      <c r="B53" s="981" t="s">
        <v>3699</v>
      </c>
    </row>
    <row r="54" spans="1:2" ht="18" customHeight="1">
      <c r="A54" s="980" t="s">
        <v>3102</v>
      </c>
      <c r="B54" s="981" t="s">
        <v>3700</v>
      </c>
    </row>
    <row r="55" spans="1:2" ht="18" customHeight="1">
      <c r="A55" s="980" t="s">
        <v>3103</v>
      </c>
      <c r="B55" s="981" t="s">
        <v>3889</v>
      </c>
    </row>
    <row r="56" spans="1:2" ht="18" customHeight="1">
      <c r="A56" s="980" t="s">
        <v>3104</v>
      </c>
      <c r="B56" s="981" t="s">
        <v>3701</v>
      </c>
    </row>
    <row r="57" spans="1:2" ht="18" customHeight="1">
      <c r="A57" s="980" t="s">
        <v>3105</v>
      </c>
      <c r="B57" s="981" t="s">
        <v>3702</v>
      </c>
    </row>
    <row r="58" spans="1:2" ht="18" customHeight="1">
      <c r="A58" s="980" t="s">
        <v>3788</v>
      </c>
      <c r="B58" s="981" t="s">
        <v>3789</v>
      </c>
    </row>
    <row r="59" spans="1:2" ht="18" customHeight="1">
      <c r="A59" s="980" t="s">
        <v>2960</v>
      </c>
      <c r="B59" s="981" t="s">
        <v>3703</v>
      </c>
    </row>
    <row r="60" spans="1:2" ht="18" customHeight="1">
      <c r="A60" s="980" t="s">
        <v>2961</v>
      </c>
      <c r="B60" s="981" t="s">
        <v>3704</v>
      </c>
    </row>
    <row r="61" spans="1:2" ht="18" customHeight="1">
      <c r="A61" s="980" t="s">
        <v>2963</v>
      </c>
      <c r="B61" s="981" t="s">
        <v>3729</v>
      </c>
    </row>
    <row r="62" spans="1:2" ht="18" customHeight="1">
      <c r="A62" s="980" t="s">
        <v>2965</v>
      </c>
      <c r="B62" s="981" t="s">
        <v>3705</v>
      </c>
    </row>
    <row r="63" spans="1:2" ht="18" customHeight="1">
      <c r="A63" s="980" t="s">
        <v>3108</v>
      </c>
      <c r="B63" s="981" t="s">
        <v>3706</v>
      </c>
    </row>
    <row r="64" spans="1:2" ht="18" customHeight="1">
      <c r="A64" s="980" t="s">
        <v>3641</v>
      </c>
      <c r="B64" s="981" t="s">
        <v>3707</v>
      </c>
    </row>
    <row r="65" spans="1:2" ht="18" customHeight="1">
      <c r="A65" s="980" t="s">
        <v>3823</v>
      </c>
      <c r="B65" s="981" t="s">
        <v>3825</v>
      </c>
    </row>
    <row r="66" spans="1:2" ht="18" customHeight="1">
      <c r="A66" s="980" t="s">
        <v>4193</v>
      </c>
      <c r="B66" s="981" t="s">
        <v>4204</v>
      </c>
    </row>
    <row r="67" spans="1:2" ht="18" customHeight="1">
      <c r="A67" s="980" t="s">
        <v>4267</v>
      </c>
      <c r="B67" s="1423" t="s">
        <v>4271</v>
      </c>
    </row>
    <row r="68" spans="1:2" ht="18" customHeight="1">
      <c r="A68" s="980" t="s">
        <v>3110</v>
      </c>
      <c r="B68" s="1423" t="s">
        <v>3708</v>
      </c>
    </row>
    <row r="69" spans="1:2" ht="18" customHeight="1">
      <c r="A69" s="980" t="s">
        <v>3111</v>
      </c>
      <c r="B69" s="981" t="s">
        <v>3709</v>
      </c>
    </row>
    <row r="70" spans="1:2" ht="18" customHeight="1">
      <c r="A70" s="980" t="s">
        <v>292</v>
      </c>
      <c r="B70" s="981" t="s">
        <v>3710</v>
      </c>
    </row>
    <row r="71" spans="1:2" ht="18" customHeight="1">
      <c r="A71" s="980" t="s">
        <v>293</v>
      </c>
      <c r="B71" s="981" t="s">
        <v>3711</v>
      </c>
    </row>
    <row r="72" spans="1:2" ht="9.75" customHeight="1"/>
  </sheetData>
  <mergeCells count="3">
    <mergeCell ref="A2:B2"/>
    <mergeCell ref="A3:B3"/>
    <mergeCell ref="A4:B4"/>
  </mergeCells>
  <hyperlinks>
    <hyperlink ref="B6" location="'1.1'!A1" display="Əsas makroiqtisadi göstəricilər" xr:uid="{00000000-0004-0000-0100-000000000000}"/>
    <hyperlink ref="B7" location="'1.2'!A1" display="Qiymət indekslərinin dəyişməsi, %-lə" xr:uid="{00000000-0004-0000-0100-000001000000}"/>
    <hyperlink ref="B8" location="'1.3'!A1" display="Azərbaycan Respublikasının dövlət büdcəsinin əsas göstəriciləri" xr:uid="{00000000-0004-0000-0100-000002000000}"/>
    <hyperlink ref="B9" location="'1.4'!A1" display="Azərbaycan Respublikasının tədiyə balansı" xr:uid="{00000000-0004-0000-0100-000003000000}"/>
    <hyperlink ref="B10" location="'1.5'!A1" display="Azərbaycan Respublikasının xarici ticarəti (tədiyə balansı metodologiyasına əsasən)" xr:uid="{00000000-0004-0000-0100-000004000000}"/>
    <hyperlink ref="B11" location="'1.6'!A1" display="Manatın xarici valyutalara nisbətən nominal və real effektiv məzənnəsi (dekabr 2000=100) " xr:uid="{00000000-0004-0000-0100-000005000000}"/>
    <hyperlink ref="B13" location="'2.1'!A1" display="Pul icmalı (dövrün sonuna)" xr:uid="{00000000-0004-0000-0100-000006000000}"/>
    <hyperlink ref="B14" location="'2.2'!A1" display="AMB-nin analitik balansı (dövrün sonuna)" xr:uid="{00000000-0004-0000-0100-000007000000}"/>
    <hyperlink ref="B15" location="'2.3'!A1" display="Kommersiya banklarının analitik balansı (dövrün sonuna)" xr:uid="{00000000-0004-0000-0100-000008000000}"/>
    <hyperlink ref="B16" location="'2.4'!A1" display="Pul aqreqatları (dövrün sonuna)" xr:uid="{00000000-0004-0000-0100-000009000000}"/>
    <hyperlink ref="B17" location="'2.5'!A1" display="Pul bazası (dövrün sonuna)" xr:uid="{00000000-0004-0000-0100-00000A000000}"/>
    <hyperlink ref="B18" location="'2.6'!A1" display="İqtisadiyyata kredit qoyuluşlarının kredit təşkilatları üzrə strukturu (dövrün sonuna)" xr:uid="{00000000-0004-0000-0100-00000B000000}"/>
    <hyperlink ref="B19" location="'2.7'!A1" display="Kredit təşkilatlarının müddətlər üzrə kredit qoyuluşları (dövrün sonuna)" xr:uid="{00000000-0004-0000-0100-00000C000000}"/>
    <hyperlink ref="B22" location="'2.8'!A1" display="Kredit qoyuluşlarının sahələr üzrə strukturu (dövrün sonuna)" xr:uid="{00000000-0004-0000-0100-00000D000000}"/>
    <hyperlink ref="B24" location="'2.8.1'!A1" display="Ev təsərrüfatlarına verilən kreditlər" xr:uid="{00000000-0004-0000-0100-00000E000000}"/>
    <hyperlink ref="B26" location="'2.8.3'!A1" display="Mədənçıxarma sektorunda fəaliyyət göstərən hüquqi şəxslərə verilən kreditlər" xr:uid="{00000000-0004-0000-0100-00000F000000}"/>
    <hyperlink ref="B27" location="'2.8.4'!A1" display="Elektrik enerjisi, qaz, buxar və su təsərrüfatı sektoruna verilən kreditlər" xr:uid="{00000000-0004-0000-0100-000010000000}"/>
    <hyperlink ref="B28" location="'2.8.5'!A1" display="Kənd təsərrüfatı, meşə təsərrüfatı və balıqçılıq sektorunda fəaliyyət göstərən hüquqi şəxslərə verilən kreditlər" xr:uid="{00000000-0004-0000-0100-000011000000}"/>
    <hyperlink ref="B29" location="'2.8.6'!A1" display="İnşaat və tikinti sektorunda fəaliyyət göstərən hüquqi şəxslərə verilən kreditlər" xr:uid="{00000000-0004-0000-0100-000012000000}"/>
    <hyperlink ref="B30" location="'2.8.7'!A1" display="Daşınmaz əmlak sektorunda fəaliyyət göstərən hüquqi şəxslərə verilən kreditlər" xr:uid="{00000000-0004-0000-0100-000013000000}"/>
    <hyperlink ref="B31" location="'2.8.8'!A1" display="Sənaye və istehsal sektorunda fəaliyyət göstərən hüquqi şəxslərə verilən kreditlər" xr:uid="{00000000-0004-0000-0100-000014000000}"/>
    <hyperlink ref="B32" location="'2.8.9'!A1" display="Nəqliyyat və rabitə sektorunda fəaliyyət göstərən hüquqi şəxslərə verilən kreditlər" xr:uid="{00000000-0004-0000-0100-000015000000}"/>
    <hyperlink ref="B33" location="'2.9'!A1" display="İpoteka kreditləri haqqında məlumat" xr:uid="{00000000-0004-0000-0100-000016000000}"/>
    <hyperlink ref="B34" location="'2.10'!A1" display="Regionlar üzrə kredit qoyuluşu" xr:uid="{00000000-0004-0000-0100-000017000000}"/>
    <hyperlink ref="B35" location="'2.11'!A1" display="Kredit təşkilatlarında yerləşdirilmiş depozit və əmanətlər (dövrün sonuna)" xr:uid="{00000000-0004-0000-0100-000018000000}"/>
    <hyperlink ref="B36" location="'2.12'!A1" display="Cəmi depozit bazasının valyutalar üzrə strukturu (dövrün sonuna)" xr:uid="{00000000-0004-0000-0100-000019000000}"/>
    <hyperlink ref="B37" location="'2.13'!A1" display="Fiziki şəxslərin əmanətlərinin strukturu  " xr:uid="{00000000-0004-0000-0100-00001A000000}"/>
    <hyperlink ref="B38" location="'2.14'!A1" display="Regionlar üzrə cəlb olunmuş əmanətlər" xr:uid="{00000000-0004-0000-0100-00001B000000}"/>
    <hyperlink ref="B39" location="'2.15'!A1" display="Mərkəzi Bankın məcburi ehtiyat normaları, %-lə" xr:uid="{00000000-0004-0000-0100-00001C000000}"/>
    <hyperlink ref="B40" location="'2.16'!A1" display="Manatın  xarici valyutalara qarşı rəsmi orta məzənnəsi " xr:uid="{00000000-0004-0000-0100-00001D000000}"/>
    <hyperlink ref="B42" location="'3.1 '!A1" display="Mərkəzi Bankın likvidliyin idarə edilməsi üzrə əməliyyatlarının həcmi və faiz dərəcələri (dövrün sonuna)" xr:uid="{00000000-0004-0000-0100-00001E000000}"/>
    <hyperlink ref="B43" location="'3.2'!A1" display="Depozit və kreditlər üzrə orta faiz dərəcələri" xr:uid="{00000000-0004-0000-0100-00001F000000}"/>
    <hyperlink ref="B44" location="'3.2.1'!A1" display="Yeni cəlb olunmuş depozit və yeni verilmiş kreditlər üzrə orta faiz dərəcələri" xr:uid="{00000000-0004-0000-0100-000020000000}"/>
    <hyperlink ref="B45" location="'3.3 '!A1" display="Dövlət istiqrazları" xr:uid="{00000000-0004-0000-0100-000021000000}"/>
    <hyperlink ref="B46" location="'3.4'!A1" display="Mərkəzi Bankın notları" xr:uid="{00000000-0004-0000-0100-000022000000}"/>
    <hyperlink ref="B47" location="'3.5'!A1" display="Qiymətli kağızlar bazarı üzrə əsas göstəricilər " xr:uid="{00000000-0004-0000-0100-000023000000}"/>
    <hyperlink ref="B48" location="'3.6'!A1" display="Nağd xarici valyuta ilə mübadilə əməliyyatları" xr:uid="{00000000-0004-0000-0100-000024000000}"/>
    <hyperlink ref="B49" location="'4.1'!A1" display="Ödəniş və pul köçürmə sistemləri üzrə əməliyyatlar" xr:uid="{00000000-0004-0000-0100-000025000000}"/>
    <hyperlink ref="B50" location="'4.2'!A1" display="Debet və kredit kartları ilə aparılan əməliyyatlar" xr:uid="{00000000-0004-0000-0100-000026000000}"/>
    <hyperlink ref="B51" location="'4.3'!A1" display="Bankomatlar və Pos-terminallar (dövrün sonuna)" xr:uid="{00000000-0004-0000-0100-000027000000}"/>
    <hyperlink ref="B52" location="'4.4'!A1" display="Ödəniş kartları və terminallardan istifadə göstəriciləri" xr:uid="{00000000-0004-0000-0100-000028000000}"/>
    <hyperlink ref="B53" location="'4.5'!A1" display="Müştərilərin bank hesablarının sayı və tərkibi " xr:uid="{00000000-0004-0000-0100-000029000000}"/>
    <hyperlink ref="B59" location="'5.1'!A1" display="Maliyyə bazarlarının iştirakçıları haqqında ümumi məlumat " xr:uid="{00000000-0004-0000-0100-00002A000000}"/>
    <hyperlink ref="B60" location="'5.2'!A1" display="Bank sektorunun icmal balansı" xr:uid="{00000000-0004-0000-0100-00002B000000}"/>
    <hyperlink ref="B61" location="'5.3'!A1" display="Bank sektorunun mənfəət və zərər haqqında hesabatı" xr:uid="{00000000-0004-0000-0100-00002C000000}"/>
    <hyperlink ref="B23" location="'2.8.d.'!A1" display="Kredit qoyuluşlarının sahələr üzrə strukturu (detallı)" xr:uid="{00000000-0004-0000-0100-00002D000000}"/>
    <hyperlink ref="B20" location="'2.7.d.'!A1" display="Kredit təşkilatlarının müddətlər üzrə kredit qoyuluşları (detallı)" xr:uid="{00000000-0004-0000-0100-00002E000000}"/>
    <hyperlink ref="A21:B21" location="'2.7.1'!Print_Area" display="2.7.1" xr:uid="{00000000-0004-0000-0100-00002F000000}"/>
    <hyperlink ref="B55" location="'4.7'!A1" display="Milli Ödəniş Sistemi vasitəsilə aparılan ödəniş əməliyyatlarının iştirakçılar üzrə bölgüsü " xr:uid="{00000000-0004-0000-0100-000030000000}"/>
    <hyperlink ref="B56" location="'4.8'!A1" display="Ödəniş kartları vasitəsilə elektron ticarət əməliyyatları haqqında statistik hesabat " xr:uid="{00000000-0004-0000-0100-000031000000}"/>
    <hyperlink ref="B57" location="'4.9'!A1" display="Statistik vahidlərə məxsus ödəniş xidmət şəbəkəsində ödəniş əməliyyatlarının  təyinatı haqqında statistik hesabat " xr:uid="{00000000-0004-0000-0100-000032000000}"/>
    <hyperlink ref="B62" location="'5.4'!A1" display="Bankların kredit portfelinin strukturu barədə məlumat" xr:uid="{00000000-0004-0000-0100-000033000000}"/>
    <hyperlink ref="B63" location="'5.5'!A1" display="Vəsaitlərin mənbəyinə görə biznes kreditləri barədə məlumat" xr:uid="{00000000-0004-0000-0100-000034000000}"/>
    <hyperlink ref="B69" location="'6.2'!A1" display="Sığorta növləri üzrə sığorta haqları və sığorta ödənişləri" xr:uid="{00000000-0004-0000-0100-000035000000}"/>
    <hyperlink ref="B68" location="'6.1'!A1" display="Sığorta şirkətləri üzrə sığorta haqları və sığorta ödənişləri " xr:uid="{00000000-0004-0000-0100-000036000000}"/>
    <hyperlink ref="B70" location="'7'!A1" display="Real sektorda İşgüzar Fəallıq İndeksləri " xr:uid="{00000000-0004-0000-0100-000037000000}"/>
    <hyperlink ref="B71" location="'8'!A1" display="Daşınar əmlaka dair Reyestrdə qeydə alınan yüklülüklərin statistikası" xr:uid="{00000000-0004-0000-0100-000038000000}"/>
    <hyperlink ref="B54" location="'4.6'!A1" display="Milli Ödəniş sistemləri üzrə əməliyyatlar" xr:uid="{00000000-0004-0000-0100-000039000000}"/>
    <hyperlink ref="B12" location="'1.6.1'!A1" display="Manatın əsas ticarət tərəfdaşı olan ölkələrin valyutalarına qarşı real məzənnəsi (dekabr 2000=100) " xr:uid="{00000000-0004-0000-0100-00003A000000}"/>
    <hyperlink ref="B41" location="'2.16.1'!A1" display="Əsas ticarət tərəfdaşı olan ölkələrin valyutalarının manata qarşı dəyişimi, (ilin əvvəlinə nəzərən %-lə)" xr:uid="{00000000-0004-0000-0100-00003B000000}"/>
    <hyperlink ref="B64" location="'5.6'!A1" display="Bankların qeyri-işlək kreditlərinin strukturu barədə məlumat" xr:uid="{00000000-0004-0000-0100-00003C000000}"/>
    <hyperlink ref="B21" location="'2.7.1'!A1" display="Kredit təşkilatlarının müddətlər üzrə yeni kredit qoyuluşları" xr:uid="{00000000-0004-0000-0100-00003D000000}"/>
    <hyperlink ref="B25" location="'2.8.2'!A1" display="Loans to legal entities operating in retail and services sector" xr:uid="{00000000-0004-0000-0100-00003E000000}"/>
    <hyperlink ref="B58" location="'4.10'!A1" display="Transactions through the Interbank Card Center (ICC)" xr:uid="{00000000-0004-0000-0100-00003F000000}"/>
    <hyperlink ref="B65" location="'5.7'!A1" display="Information about the breakdown of the business portfolio on entrepreneurial subjects" xr:uid="{00000000-0004-0000-0100-000040000000}"/>
    <hyperlink ref="B66" location="'5.8'!A1" display="Biznes portfelinin sahələr üzrə bölgüsü barədə məlumat" xr:uid="{B6D6EE6E-D91A-46BA-AA8E-8EC248EF448C}"/>
    <hyperlink ref="B67" location="'5.9'!A1" display="wewe" xr:uid="{59F3CDF0-FEF8-458E-A84E-42579A30793D}"/>
  </hyperlinks>
  <pageMargins left="0.2" right="0.2" top="0.25" bottom="0.2" header="0.3" footer="0.3"/>
  <pageSetup paperSize="9" scale="68" orientation="portrait"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0A407-8F56-4F73-943C-C2CB03266D47}">
  <sheetPr codeName="Sheet3">
    <tabColor rgb="FF92D050"/>
  </sheetPr>
  <dimension ref="A1:GE294"/>
  <sheetViews>
    <sheetView showGridLines="0" view="pageBreakPreview" zoomScale="115" zoomScaleNormal="100" zoomScaleSheetLayoutView="115" workbookViewId="0">
      <pane ySplit="11" topLeftCell="A275" activePane="bottomLeft" state="frozen"/>
      <selection activeCell="B39" sqref="B39"/>
      <selection pane="bottomLeft" activeCell="P271" sqref="P271"/>
    </sheetView>
  </sheetViews>
  <sheetFormatPr defaultColWidth="9.140625" defaultRowHeight="12.75"/>
  <cols>
    <col min="1" max="1" width="6.7109375" style="1864" customWidth="1"/>
    <col min="2" max="2" width="10.28515625" style="1864" customWidth="1"/>
    <col min="3" max="3" width="13" style="1864" customWidth="1"/>
    <col min="4" max="4" width="10.85546875" style="1864" customWidth="1"/>
    <col min="5" max="5" width="10.28515625" style="1864" customWidth="1"/>
    <col min="6" max="6" width="13" style="1864" customWidth="1"/>
    <col min="7" max="7" width="10.28515625" style="1895" customWidth="1"/>
    <col min="8" max="8" width="13" style="1895" customWidth="1"/>
    <col min="9" max="9" width="11.28515625" style="1864" customWidth="1"/>
    <col min="10" max="10" width="13" style="1864" customWidth="1"/>
    <col min="11" max="11" width="10.28515625" style="1864" customWidth="1"/>
    <col min="12" max="12" width="13" style="1864" customWidth="1"/>
    <col min="13" max="14" width="12.7109375" style="1864" customWidth="1"/>
    <col min="15" max="15" width="13.85546875" style="1864" customWidth="1"/>
    <col min="16" max="16384" width="9.140625" style="1864"/>
  </cols>
  <sheetData>
    <row r="1" spans="1:49" ht="9.75" customHeight="1">
      <c r="A1" s="2207"/>
      <c r="B1" s="2207"/>
      <c r="C1" s="2207"/>
      <c r="D1" s="2207"/>
      <c r="E1" s="2207"/>
      <c r="F1" s="2207"/>
      <c r="G1" s="2207"/>
      <c r="H1" s="2207"/>
      <c r="I1" s="2207"/>
      <c r="J1" s="2207"/>
      <c r="K1" s="2207"/>
      <c r="L1" s="2207"/>
      <c r="M1" s="2207"/>
      <c r="N1" s="2207"/>
      <c r="O1" s="2207"/>
    </row>
    <row r="2" spans="1:49" ht="20.25" customHeight="1">
      <c r="A2" s="2208" t="s">
        <v>2719</v>
      </c>
      <c r="B2" s="2208"/>
      <c r="C2" s="2208"/>
      <c r="D2" s="2208"/>
      <c r="E2" s="2208"/>
      <c r="F2" s="2208"/>
      <c r="G2" s="2208"/>
      <c r="H2" s="2208"/>
      <c r="I2" s="2208"/>
      <c r="J2" s="2208"/>
      <c r="K2" s="2208"/>
      <c r="L2" s="2208"/>
      <c r="M2" s="2208"/>
      <c r="N2" s="2208"/>
      <c r="O2" s="2208"/>
    </row>
    <row r="3" spans="1:49" ht="20.25" customHeight="1">
      <c r="A3" s="2209" t="s">
        <v>2720</v>
      </c>
      <c r="B3" s="2209"/>
      <c r="C3" s="2209"/>
      <c r="D3" s="2209"/>
      <c r="E3" s="2209"/>
      <c r="F3" s="2209"/>
      <c r="G3" s="2209"/>
      <c r="H3" s="2209"/>
      <c r="I3" s="2209"/>
      <c r="J3" s="2209"/>
      <c r="K3" s="2209"/>
      <c r="L3" s="2209"/>
      <c r="M3" s="2209"/>
      <c r="N3" s="2209"/>
      <c r="O3" s="2209"/>
    </row>
    <row r="4" spans="1:49" ht="9.75" customHeight="1">
      <c r="A4" s="942"/>
      <c r="B4" s="942"/>
      <c r="C4" s="942"/>
      <c r="D4" s="942"/>
      <c r="E4" s="942"/>
      <c r="F4" s="942"/>
      <c r="G4" s="942"/>
      <c r="H4" s="942"/>
      <c r="I4" s="942"/>
      <c r="J4" s="942"/>
      <c r="K4" s="942"/>
      <c r="L4" s="942"/>
      <c r="M4" s="942"/>
      <c r="N4" s="942"/>
      <c r="O4" s="942"/>
    </row>
    <row r="5" spans="1:49" ht="9.75" customHeight="1">
      <c r="A5" s="2210"/>
      <c r="B5" s="2210"/>
      <c r="C5" s="2210"/>
      <c r="D5" s="2210"/>
      <c r="E5" s="2210"/>
      <c r="F5" s="2210"/>
      <c r="G5" s="2210"/>
      <c r="H5" s="2210"/>
      <c r="I5" s="2210"/>
      <c r="J5" s="2210"/>
      <c r="K5" s="2210"/>
      <c r="L5" s="2210"/>
      <c r="M5" s="2210"/>
      <c r="N5" s="2210"/>
      <c r="O5" s="2210"/>
      <c r="AV5" s="1865"/>
      <c r="AW5" s="1865"/>
    </row>
    <row r="6" spans="1:49" s="1865" customFormat="1" ht="27.6" customHeight="1">
      <c r="A6" s="2211" t="s">
        <v>182</v>
      </c>
      <c r="B6" s="2214" t="s">
        <v>0</v>
      </c>
      <c r="C6" s="2215"/>
      <c r="D6" s="2216" t="s">
        <v>1</v>
      </c>
      <c r="E6" s="2219" t="s">
        <v>1635</v>
      </c>
      <c r="F6" s="2215"/>
      <c r="G6" s="2219" t="s">
        <v>2</v>
      </c>
      <c r="H6" s="2215"/>
      <c r="I6" s="2219" t="s">
        <v>3</v>
      </c>
      <c r="J6" s="2215"/>
      <c r="K6" s="2219" t="s">
        <v>2099</v>
      </c>
      <c r="L6" s="2215"/>
      <c r="M6" s="2219" t="s">
        <v>1668</v>
      </c>
      <c r="N6" s="2222"/>
      <c r="O6" s="2215"/>
    </row>
    <row r="7" spans="1:49" s="1865" customFormat="1" ht="14.25" customHeight="1">
      <c r="A7" s="2212"/>
      <c r="B7" s="1862" t="s">
        <v>4</v>
      </c>
      <c r="C7" s="2216" t="s">
        <v>5</v>
      </c>
      <c r="D7" s="2217"/>
      <c r="E7" s="1862" t="s">
        <v>4</v>
      </c>
      <c r="F7" s="2216" t="s">
        <v>5</v>
      </c>
      <c r="G7" s="1862" t="s">
        <v>4</v>
      </c>
      <c r="H7" s="2216" t="s">
        <v>5</v>
      </c>
      <c r="I7" s="1862" t="s">
        <v>4</v>
      </c>
      <c r="J7" s="2216" t="s">
        <v>5</v>
      </c>
      <c r="K7" s="1862" t="s">
        <v>4</v>
      </c>
      <c r="L7" s="2216" t="s">
        <v>5</v>
      </c>
      <c r="M7" s="2216" t="s">
        <v>6</v>
      </c>
      <c r="N7" s="2216" t="s">
        <v>4005</v>
      </c>
      <c r="O7" s="2216" t="s">
        <v>7</v>
      </c>
    </row>
    <row r="8" spans="1:49" s="1865" customFormat="1" ht="14.25" customHeight="1">
      <c r="A8" s="2213"/>
      <c r="B8" s="941" t="s">
        <v>8</v>
      </c>
      <c r="C8" s="2218"/>
      <c r="D8" s="2218"/>
      <c r="E8" s="941" t="s">
        <v>8</v>
      </c>
      <c r="F8" s="2218"/>
      <c r="G8" s="941" t="s">
        <v>8</v>
      </c>
      <c r="H8" s="2218"/>
      <c r="I8" s="941" t="s">
        <v>8</v>
      </c>
      <c r="J8" s="2218"/>
      <c r="K8" s="941" t="s">
        <v>1421</v>
      </c>
      <c r="L8" s="2218"/>
      <c r="M8" s="2218"/>
      <c r="N8" s="2223"/>
      <c r="O8" s="2218"/>
    </row>
    <row r="9" spans="1:49" ht="27.6" customHeight="1">
      <c r="A9" s="2229" t="s">
        <v>289</v>
      </c>
      <c r="B9" s="2232" t="s">
        <v>9</v>
      </c>
      <c r="C9" s="2233"/>
      <c r="D9" s="2227" t="s">
        <v>10</v>
      </c>
      <c r="E9" s="2220" t="s">
        <v>2795</v>
      </c>
      <c r="F9" s="2221"/>
      <c r="G9" s="2220" t="s">
        <v>11</v>
      </c>
      <c r="H9" s="2221"/>
      <c r="I9" s="2220" t="s">
        <v>12</v>
      </c>
      <c r="J9" s="2215"/>
      <c r="K9" s="2220" t="s">
        <v>2599</v>
      </c>
      <c r="L9" s="2215"/>
      <c r="M9" s="2220" t="s">
        <v>13</v>
      </c>
      <c r="N9" s="2226"/>
      <c r="O9" s="2215"/>
    </row>
    <row r="10" spans="1:49" ht="13.15" customHeight="1">
      <c r="A10" s="2230"/>
      <c r="B10" s="1863" t="s">
        <v>14</v>
      </c>
      <c r="C10" s="2227" t="s">
        <v>15</v>
      </c>
      <c r="D10" s="2217"/>
      <c r="E10" s="1863" t="s">
        <v>14</v>
      </c>
      <c r="F10" s="2227" t="s">
        <v>15</v>
      </c>
      <c r="G10" s="1863" t="s">
        <v>14</v>
      </c>
      <c r="H10" s="2227" t="s">
        <v>15</v>
      </c>
      <c r="I10" s="1863" t="s">
        <v>14</v>
      </c>
      <c r="J10" s="2227" t="s">
        <v>15</v>
      </c>
      <c r="K10" s="1863" t="s">
        <v>14</v>
      </c>
      <c r="L10" s="2227" t="s">
        <v>15</v>
      </c>
      <c r="M10" s="2227" t="s">
        <v>16</v>
      </c>
      <c r="N10" s="2227" t="s">
        <v>4006</v>
      </c>
      <c r="O10" s="2227" t="s">
        <v>17</v>
      </c>
    </row>
    <row r="11" spans="1:49" ht="15" customHeight="1">
      <c r="A11" s="2231"/>
      <c r="B11" s="940" t="s">
        <v>8</v>
      </c>
      <c r="C11" s="2218"/>
      <c r="D11" s="2218"/>
      <c r="E11" s="940" t="s">
        <v>8</v>
      </c>
      <c r="F11" s="2218"/>
      <c r="G11" s="940" t="s">
        <v>8</v>
      </c>
      <c r="H11" s="2218"/>
      <c r="I11" s="940" t="s">
        <v>8</v>
      </c>
      <c r="J11" s="2218"/>
      <c r="K11" s="940" t="s">
        <v>1422</v>
      </c>
      <c r="L11" s="2218"/>
      <c r="M11" s="2218"/>
      <c r="N11" s="2228"/>
      <c r="O11" s="2218"/>
    </row>
    <row r="12" spans="1:49">
      <c r="A12" s="1866"/>
      <c r="B12" s="1867"/>
      <c r="C12" s="1867"/>
      <c r="D12" s="1867"/>
      <c r="E12" s="1867"/>
      <c r="F12" s="1867"/>
      <c r="G12" s="1867"/>
      <c r="H12" s="1867"/>
      <c r="I12" s="1868"/>
      <c r="J12" s="1869"/>
      <c r="L12" s="1869"/>
      <c r="M12" s="1867"/>
      <c r="N12" s="1867"/>
      <c r="O12" s="1870"/>
    </row>
    <row r="13" spans="1:49" ht="15" hidden="1" customHeight="1">
      <c r="A13" s="1871">
        <v>1995</v>
      </c>
      <c r="B13" s="1872">
        <v>2133.8000000000002</v>
      </c>
      <c r="C13" s="1872">
        <v>88.2</v>
      </c>
      <c r="D13" s="1872"/>
      <c r="E13" s="1872"/>
      <c r="F13" s="1872"/>
      <c r="G13" s="1873">
        <v>227.96</v>
      </c>
      <c r="H13" s="1873">
        <v>187.01</v>
      </c>
      <c r="I13" s="1874">
        <v>1313.98</v>
      </c>
      <c r="J13" s="1872"/>
      <c r="K13" s="1875">
        <v>13.4</v>
      </c>
      <c r="L13" s="1872"/>
      <c r="M13" s="1872">
        <v>4.7</v>
      </c>
      <c r="N13" s="1872"/>
      <c r="O13" s="1867">
        <v>411.8</v>
      </c>
    </row>
    <row r="14" spans="1:49" ht="15" hidden="1" customHeight="1">
      <c r="A14" s="1871">
        <v>1996</v>
      </c>
      <c r="B14" s="1873">
        <v>2732.6</v>
      </c>
      <c r="C14" s="1873">
        <v>101.3</v>
      </c>
      <c r="D14" s="1873"/>
      <c r="E14" s="1876"/>
      <c r="F14" s="1873"/>
      <c r="G14" s="1874">
        <v>644.5</v>
      </c>
      <c r="H14" s="1873">
        <v>282.7</v>
      </c>
      <c r="I14" s="1874">
        <v>1708.18</v>
      </c>
      <c r="J14" s="1873">
        <v>130</v>
      </c>
      <c r="K14" s="1874">
        <v>18.72</v>
      </c>
      <c r="L14" s="1873">
        <v>139.5</v>
      </c>
      <c r="M14" s="1873">
        <v>1.7</v>
      </c>
      <c r="N14" s="1873"/>
      <c r="O14" s="1873">
        <v>19.899999999999999</v>
      </c>
    </row>
    <row r="15" spans="1:49" ht="15" hidden="1" customHeight="1">
      <c r="A15" s="1871">
        <v>1997</v>
      </c>
      <c r="B15" s="1873">
        <v>3158.2</v>
      </c>
      <c r="C15" s="1873">
        <v>105.8</v>
      </c>
      <c r="D15" s="1873"/>
      <c r="E15" s="1876"/>
      <c r="F15" s="1873"/>
      <c r="G15" s="1873">
        <v>910.2</v>
      </c>
      <c r="H15" s="1873">
        <v>141.19999999999999</v>
      </c>
      <c r="I15" s="1874">
        <v>2473.2199999999998</v>
      </c>
      <c r="J15" s="1873">
        <v>177.78</v>
      </c>
      <c r="K15" s="1874">
        <v>28.33</v>
      </c>
      <c r="L15" s="1873">
        <v>151.33000000000001</v>
      </c>
      <c r="M15" s="1873">
        <v>-0.2</v>
      </c>
      <c r="N15" s="1873"/>
      <c r="O15" s="1873">
        <v>3.7</v>
      </c>
    </row>
    <row r="16" spans="1:49" ht="15" hidden="1" customHeight="1">
      <c r="A16" s="1871">
        <v>1998</v>
      </c>
      <c r="B16" s="1873">
        <v>3440.6</v>
      </c>
      <c r="C16" s="1873">
        <v>110</v>
      </c>
      <c r="D16" s="1873"/>
      <c r="E16" s="1876"/>
      <c r="F16" s="1873"/>
      <c r="G16" s="1874">
        <v>1102.4000000000001</v>
      </c>
      <c r="H16" s="1873">
        <v>121.1</v>
      </c>
      <c r="I16" s="1874">
        <v>2849.16</v>
      </c>
      <c r="J16" s="1873">
        <v>115.2</v>
      </c>
      <c r="K16" s="1874">
        <v>33.72</v>
      </c>
      <c r="L16" s="1873">
        <v>119</v>
      </c>
      <c r="M16" s="1873">
        <v>-5.9</v>
      </c>
      <c r="N16" s="1873"/>
      <c r="O16" s="1873">
        <v>-0.79999999999999716</v>
      </c>
    </row>
    <row r="17" spans="1:15" ht="15" hidden="1" customHeight="1">
      <c r="A17" s="1871">
        <v>1999</v>
      </c>
      <c r="B17" s="1873">
        <v>3775</v>
      </c>
      <c r="C17" s="1873">
        <v>107.4</v>
      </c>
      <c r="D17" s="1873"/>
      <c r="E17" s="1876"/>
      <c r="F17" s="1873"/>
      <c r="G17" s="1873">
        <v>928.5</v>
      </c>
      <c r="H17" s="1873">
        <v>84.2</v>
      </c>
      <c r="I17" s="1874">
        <v>3227.38</v>
      </c>
      <c r="J17" s="1873">
        <v>113.2</v>
      </c>
      <c r="K17" s="1874">
        <v>36.85</v>
      </c>
      <c r="L17" s="1873">
        <v>109.28</v>
      </c>
      <c r="M17" s="1873">
        <v>0.4</v>
      </c>
      <c r="N17" s="1873"/>
      <c r="O17" s="1873">
        <v>-8.5</v>
      </c>
    </row>
    <row r="18" spans="1:15" ht="15" hidden="1" customHeight="1">
      <c r="A18" s="1871">
        <v>2000</v>
      </c>
      <c r="B18" s="1873">
        <v>4718.2</v>
      </c>
      <c r="C18" s="1873">
        <v>111.1</v>
      </c>
      <c r="D18" s="1873"/>
      <c r="E18" s="1874">
        <v>3055.8</v>
      </c>
      <c r="F18" s="1873">
        <v>109.9</v>
      </c>
      <c r="G18" s="1874">
        <v>967.8</v>
      </c>
      <c r="H18" s="1873">
        <v>104.2</v>
      </c>
      <c r="I18" s="1874">
        <v>3511.36</v>
      </c>
      <c r="J18" s="1873">
        <v>108.8</v>
      </c>
      <c r="K18" s="1874">
        <v>44.32</v>
      </c>
      <c r="L18" s="1873">
        <v>120.2</v>
      </c>
      <c r="M18" s="1873">
        <v>0.6</v>
      </c>
      <c r="N18" s="1873"/>
      <c r="O18" s="1873">
        <v>1.8</v>
      </c>
    </row>
    <row r="19" spans="1:15" ht="15" hidden="1" customHeight="1">
      <c r="A19" s="1871">
        <v>2001</v>
      </c>
      <c r="B19" s="1873">
        <v>5315.6</v>
      </c>
      <c r="C19" s="1873">
        <v>109.9</v>
      </c>
      <c r="D19" s="1873"/>
      <c r="E19" s="1874">
        <v>3195.9</v>
      </c>
      <c r="F19" s="1873">
        <v>108.7</v>
      </c>
      <c r="G19" s="1874">
        <v>1170.8203000000001</v>
      </c>
      <c r="H19" s="1873">
        <v>116.7</v>
      </c>
      <c r="I19" s="1874">
        <v>3876.36</v>
      </c>
      <c r="J19" s="1873">
        <v>110.4</v>
      </c>
      <c r="K19" s="1874">
        <v>52</v>
      </c>
      <c r="L19" s="1873">
        <v>126.7</v>
      </c>
      <c r="M19" s="1873">
        <v>0.9</v>
      </c>
      <c r="N19" s="1873"/>
      <c r="O19" s="1873">
        <v>1.5</v>
      </c>
    </row>
    <row r="20" spans="1:15" ht="15" hidden="1" customHeight="1">
      <c r="A20" s="1871">
        <v>2002</v>
      </c>
      <c r="B20" s="1877">
        <v>6062.5</v>
      </c>
      <c r="C20" s="1873">
        <v>110.6</v>
      </c>
      <c r="D20" s="1873"/>
      <c r="E20" s="1874">
        <v>3693.9</v>
      </c>
      <c r="F20" s="1873">
        <v>113.8</v>
      </c>
      <c r="G20" s="1874">
        <v>2106.9767000000002</v>
      </c>
      <c r="H20" s="1873">
        <v>182.2</v>
      </c>
      <c r="I20" s="1874">
        <v>4233.9799999999996</v>
      </c>
      <c r="J20" s="1873">
        <v>111.4</v>
      </c>
      <c r="K20" s="1874">
        <v>62.6</v>
      </c>
      <c r="L20" s="1873">
        <v>121.2</v>
      </c>
      <c r="M20" s="1873">
        <v>0.6</v>
      </c>
      <c r="N20" s="1873"/>
      <c r="O20" s="1873">
        <v>2.8</v>
      </c>
    </row>
    <row r="21" spans="1:15" ht="15" hidden="1" customHeight="1">
      <c r="A21" s="1871">
        <v>2003</v>
      </c>
      <c r="B21" s="1877">
        <v>7146.5</v>
      </c>
      <c r="C21" s="1873">
        <v>111.2</v>
      </c>
      <c r="D21" s="1873"/>
      <c r="E21" s="1874">
        <v>4447.6000000000004</v>
      </c>
      <c r="F21" s="1873">
        <v>114.9</v>
      </c>
      <c r="G21" s="1878">
        <v>3786.3667</v>
      </c>
      <c r="H21" s="1873">
        <v>173</v>
      </c>
      <c r="I21" s="1874">
        <v>4841.58</v>
      </c>
      <c r="J21" s="1873">
        <v>111.4</v>
      </c>
      <c r="K21" s="1874">
        <v>76.599999999999994</v>
      </c>
      <c r="L21" s="1873">
        <v>121.4</v>
      </c>
      <c r="M21" s="1873">
        <v>1.5</v>
      </c>
      <c r="N21" s="1873"/>
      <c r="O21" s="1873">
        <v>2.2000000000000002</v>
      </c>
    </row>
    <row r="22" spans="1:15" ht="15" hidden="1" customHeight="1">
      <c r="A22" s="1871">
        <v>2004</v>
      </c>
      <c r="B22" s="1877">
        <v>8530.2000000000007</v>
      </c>
      <c r="C22" s="1873">
        <v>110.2</v>
      </c>
      <c r="D22" s="1873"/>
      <c r="E22" s="1874">
        <v>5242.5</v>
      </c>
      <c r="F22" s="1873">
        <v>113.6</v>
      </c>
      <c r="G22" s="1878">
        <v>4922.7559000000001</v>
      </c>
      <c r="H22" s="1873">
        <v>135.9</v>
      </c>
      <c r="I22" s="1874">
        <v>6009.48</v>
      </c>
      <c r="J22" s="1873">
        <v>120.7</v>
      </c>
      <c r="K22" s="1874">
        <v>96.7</v>
      </c>
      <c r="L22" s="1873">
        <v>126.2</v>
      </c>
      <c r="M22" s="1873">
        <v>1.8</v>
      </c>
      <c r="N22" s="1873"/>
      <c r="O22" s="1873">
        <v>6.7</v>
      </c>
    </row>
    <row r="23" spans="1:15" ht="14.25" hidden="1" customHeight="1">
      <c r="A23" s="1871">
        <v>2005</v>
      </c>
      <c r="B23" s="1873">
        <v>12522.5</v>
      </c>
      <c r="C23" s="1873">
        <v>126.4</v>
      </c>
      <c r="D23" s="1873">
        <v>116.1</v>
      </c>
      <c r="E23" s="1873">
        <v>6055.1</v>
      </c>
      <c r="F23" s="1873">
        <v>108.3</v>
      </c>
      <c r="G23" s="1873">
        <v>5769.8762999999999</v>
      </c>
      <c r="H23" s="1873">
        <v>112.7</v>
      </c>
      <c r="I23" s="1873">
        <v>7792.3</v>
      </c>
      <c r="J23" s="1873">
        <v>125.7</v>
      </c>
      <c r="K23" s="1873">
        <v>117.9</v>
      </c>
      <c r="L23" s="1873">
        <v>121.9</v>
      </c>
      <c r="M23" s="1873">
        <v>2.2000000000000002</v>
      </c>
      <c r="N23" s="1873">
        <v>5.4</v>
      </c>
      <c r="O23" s="1873">
        <v>9.6</v>
      </c>
    </row>
    <row r="24" spans="1:15" ht="14.25" hidden="1" customHeight="1">
      <c r="A24" s="1879" t="s">
        <v>18</v>
      </c>
      <c r="B24" s="1873">
        <v>656.06</v>
      </c>
      <c r="C24" s="1873">
        <v>107</v>
      </c>
      <c r="D24" s="1873"/>
      <c r="E24" s="1873">
        <v>396.78</v>
      </c>
      <c r="F24" s="1873">
        <v>107.4</v>
      </c>
      <c r="G24" s="1873">
        <v>364.18</v>
      </c>
      <c r="H24" s="1873">
        <v>102.1</v>
      </c>
      <c r="I24" s="1873">
        <v>491.9</v>
      </c>
      <c r="J24" s="1873">
        <v>117.8</v>
      </c>
      <c r="K24" s="1873">
        <v>106.42</v>
      </c>
      <c r="L24" s="1873">
        <v>121.6</v>
      </c>
      <c r="M24" s="1873">
        <v>1.4</v>
      </c>
      <c r="N24" s="1873">
        <v>9.7936583933029908</v>
      </c>
      <c r="O24" s="1873">
        <v>9.7936583933029908</v>
      </c>
    </row>
    <row r="25" spans="1:15" ht="14.25" hidden="1" customHeight="1">
      <c r="A25" s="1879" t="s">
        <v>19</v>
      </c>
      <c r="B25" s="1873">
        <v>1406.36</v>
      </c>
      <c r="C25" s="1873">
        <v>108.5</v>
      </c>
      <c r="D25" s="1873"/>
      <c r="E25" s="1873">
        <v>879.64</v>
      </c>
      <c r="F25" s="1873">
        <v>108.4</v>
      </c>
      <c r="G25" s="1873">
        <v>667.6</v>
      </c>
      <c r="H25" s="1873">
        <v>105.2</v>
      </c>
      <c r="I25" s="1873">
        <v>1009.24</v>
      </c>
      <c r="J25" s="1873">
        <v>122.7</v>
      </c>
      <c r="K25" s="1873">
        <v>106.6</v>
      </c>
      <c r="L25" s="1873">
        <v>121.7</v>
      </c>
      <c r="M25" s="1873">
        <v>1.2</v>
      </c>
      <c r="N25" s="1873">
        <v>10.967549748110855</v>
      </c>
      <c r="O25" s="1873">
        <v>10.3809836860856</v>
      </c>
    </row>
    <row r="26" spans="1:15" ht="14.25" hidden="1" customHeight="1">
      <c r="A26" s="1879" t="s">
        <v>20</v>
      </c>
      <c r="B26" s="1873">
        <v>2131.48</v>
      </c>
      <c r="C26" s="1873">
        <v>110.8</v>
      </c>
      <c r="D26" s="1873"/>
      <c r="E26" s="1873">
        <v>1260.9000000000001</v>
      </c>
      <c r="F26" s="1873">
        <v>107.3</v>
      </c>
      <c r="G26" s="1873">
        <v>1082.58</v>
      </c>
      <c r="H26" s="1873">
        <v>98.2</v>
      </c>
      <c r="I26" s="1873">
        <v>1620.9</v>
      </c>
      <c r="J26" s="1873">
        <v>124.1</v>
      </c>
      <c r="K26" s="1873">
        <v>106.78</v>
      </c>
      <c r="L26" s="1873">
        <v>122.8</v>
      </c>
      <c r="M26" s="1873">
        <v>2.2000000000000002</v>
      </c>
      <c r="N26" s="1873">
        <v>12.310628126638505</v>
      </c>
      <c r="O26" s="1873">
        <v>11.028656085002936</v>
      </c>
    </row>
    <row r="27" spans="1:15" ht="14.25" hidden="1" customHeight="1">
      <c r="A27" s="1879" t="s">
        <v>21</v>
      </c>
      <c r="B27" s="1873">
        <v>3088.96</v>
      </c>
      <c r="C27" s="1873">
        <v>114.2</v>
      </c>
      <c r="D27" s="1873"/>
      <c r="E27" s="1873">
        <v>1835.9</v>
      </c>
      <c r="F27" s="1873">
        <v>107</v>
      </c>
      <c r="G27" s="1873">
        <v>1582.84</v>
      </c>
      <c r="H27" s="1873">
        <v>109.9</v>
      </c>
      <c r="I27" s="1873">
        <v>2227.3000000000002</v>
      </c>
      <c r="J27" s="1873">
        <v>125.2</v>
      </c>
      <c r="K27" s="1873">
        <v>109.76</v>
      </c>
      <c r="L27" s="1873">
        <v>124.5</v>
      </c>
      <c r="M27" s="1873">
        <v>0.6</v>
      </c>
      <c r="N27" s="1873">
        <v>12.252607226831429</v>
      </c>
      <c r="O27" s="1873">
        <v>11.337730511194422</v>
      </c>
    </row>
    <row r="28" spans="1:15" ht="14.25" hidden="1" customHeight="1">
      <c r="A28" s="1879" t="s">
        <v>22</v>
      </c>
      <c r="B28" s="1873">
        <v>3967.82</v>
      </c>
      <c r="C28" s="1873">
        <v>116</v>
      </c>
      <c r="D28" s="1873"/>
      <c r="E28" s="1873">
        <v>2391.86</v>
      </c>
      <c r="F28" s="1873">
        <v>107.8</v>
      </c>
      <c r="G28" s="1873">
        <v>2123.3000000000002</v>
      </c>
      <c r="H28" s="1873">
        <v>114.5</v>
      </c>
      <c r="I28" s="1873">
        <v>2820.9</v>
      </c>
      <c r="J28" s="1873">
        <v>125.4</v>
      </c>
      <c r="K28" s="1873">
        <v>111.14</v>
      </c>
      <c r="L28" s="1873">
        <v>125.5</v>
      </c>
      <c r="M28" s="1873">
        <v>-0.7</v>
      </c>
      <c r="N28" s="1873">
        <v>11.305353825057907</v>
      </c>
      <c r="O28" s="1873">
        <v>11.331195464641013</v>
      </c>
    </row>
    <row r="29" spans="1:15" ht="14.25" hidden="1" customHeight="1">
      <c r="A29" s="1879" t="s">
        <v>23</v>
      </c>
      <c r="B29" s="1873">
        <v>4901.0200000000004</v>
      </c>
      <c r="C29" s="1873">
        <v>116.5</v>
      </c>
      <c r="D29" s="1873"/>
      <c r="E29" s="1873">
        <v>2962.08</v>
      </c>
      <c r="F29" s="1873">
        <v>107.7</v>
      </c>
      <c r="G29" s="1873">
        <v>2555.2199999999998</v>
      </c>
      <c r="H29" s="1873">
        <v>110.3</v>
      </c>
      <c r="I29" s="1873">
        <v>3446.22</v>
      </c>
      <c r="J29" s="1873">
        <v>125.9</v>
      </c>
      <c r="K29" s="1873">
        <v>112.24</v>
      </c>
      <c r="L29" s="1873">
        <v>125.9</v>
      </c>
      <c r="M29" s="1873">
        <v>-1.8</v>
      </c>
      <c r="N29" s="1873">
        <v>10.997022827265752</v>
      </c>
      <c r="O29" s="1873">
        <v>11.275787708469124</v>
      </c>
    </row>
    <row r="30" spans="1:15" ht="14.25" hidden="1" customHeight="1">
      <c r="A30" s="1879" t="s">
        <v>24</v>
      </c>
      <c r="B30" s="1873">
        <v>5870.46</v>
      </c>
      <c r="C30" s="1873">
        <v>118.9</v>
      </c>
      <c r="D30" s="1873"/>
      <c r="E30" s="1873">
        <v>3546.82</v>
      </c>
      <c r="F30" s="1873">
        <v>107.8</v>
      </c>
      <c r="G30" s="1873">
        <v>2966.06</v>
      </c>
      <c r="H30" s="1873">
        <v>109.7</v>
      </c>
      <c r="I30" s="1873">
        <v>4077.36</v>
      </c>
      <c r="J30" s="1873">
        <v>126</v>
      </c>
      <c r="K30" s="1873">
        <v>113.44</v>
      </c>
      <c r="L30" s="1873">
        <v>122.3</v>
      </c>
      <c r="M30" s="1873">
        <v>-1.6</v>
      </c>
      <c r="N30" s="1873">
        <v>10.514883043019722</v>
      </c>
      <c r="O30" s="1873">
        <v>11.168657216900925</v>
      </c>
    </row>
    <row r="31" spans="1:15" ht="14.25" hidden="1" customHeight="1">
      <c r="A31" s="1879" t="s">
        <v>25</v>
      </c>
      <c r="B31" s="1873">
        <v>7142.8</v>
      </c>
      <c r="C31" s="1873">
        <v>120.2</v>
      </c>
      <c r="D31" s="1873"/>
      <c r="E31" s="1873">
        <v>4258.8599999999997</v>
      </c>
      <c r="F31" s="1873">
        <v>107.9</v>
      </c>
      <c r="G31" s="1873">
        <v>3413.4</v>
      </c>
      <c r="H31" s="1873">
        <v>111.4</v>
      </c>
      <c r="I31" s="1873">
        <v>4698.6400000000003</v>
      </c>
      <c r="J31" s="1873">
        <v>126.3</v>
      </c>
      <c r="K31" s="1873">
        <v>114.48</v>
      </c>
      <c r="L31" s="1873">
        <v>122.5</v>
      </c>
      <c r="M31" s="1873">
        <v>-0.6</v>
      </c>
      <c r="N31" s="1873">
        <v>10.114411925730678</v>
      </c>
      <c r="O31" s="1873">
        <v>11.038817280966981</v>
      </c>
    </row>
    <row r="32" spans="1:15" ht="14.25" hidden="1" customHeight="1">
      <c r="A32" s="1879" t="s">
        <v>26</v>
      </c>
      <c r="B32" s="1873">
        <v>8180.58</v>
      </c>
      <c r="C32" s="1873">
        <v>121.8</v>
      </c>
      <c r="D32" s="1873"/>
      <c r="E32" s="1873">
        <v>4784.16</v>
      </c>
      <c r="F32" s="1873">
        <v>107.7</v>
      </c>
      <c r="G32" s="1873">
        <v>3808.22</v>
      </c>
      <c r="H32" s="1873">
        <v>110.7</v>
      </c>
      <c r="I32" s="1873">
        <v>5374</v>
      </c>
      <c r="J32" s="1873">
        <v>126.7</v>
      </c>
      <c r="K32" s="1873">
        <v>115.5</v>
      </c>
      <c r="L32" s="1873">
        <v>122.2</v>
      </c>
      <c r="M32" s="1873">
        <v>0.8</v>
      </c>
      <c r="N32" s="1873">
        <v>10.241006461507268</v>
      </c>
      <c r="O32" s="1873">
        <v>10.950801398777088</v>
      </c>
    </row>
    <row r="33" spans="1:15" ht="14.25" hidden="1" customHeight="1">
      <c r="A33" s="1879" t="s">
        <v>27</v>
      </c>
      <c r="B33" s="1873">
        <v>9278.84</v>
      </c>
      <c r="C33" s="1873">
        <v>123.4</v>
      </c>
      <c r="D33" s="1873"/>
      <c r="E33" s="1873">
        <v>5368.2</v>
      </c>
      <c r="F33" s="1873">
        <v>107.8</v>
      </c>
      <c r="G33" s="1873">
        <v>4307</v>
      </c>
      <c r="H33" s="1873">
        <v>110.4</v>
      </c>
      <c r="I33" s="1873">
        <v>6117.78</v>
      </c>
      <c r="J33" s="1873">
        <v>126.8</v>
      </c>
      <c r="K33" s="1873">
        <v>116.36</v>
      </c>
      <c r="L33" s="1873">
        <v>121.7</v>
      </c>
      <c r="M33" s="1873">
        <v>0.5</v>
      </c>
      <c r="N33" s="1873">
        <v>6.1429576927333471</v>
      </c>
      <c r="O33" s="1873">
        <v>10.454329524005686</v>
      </c>
    </row>
    <row r="34" spans="1:15" ht="14.25" hidden="1" customHeight="1">
      <c r="A34" s="1879" t="s">
        <v>28</v>
      </c>
      <c r="B34" s="1873">
        <v>10465.94</v>
      </c>
      <c r="C34" s="1873">
        <v>125.2</v>
      </c>
      <c r="D34" s="1873"/>
      <c r="E34" s="1873">
        <v>6061.04</v>
      </c>
      <c r="F34" s="1873">
        <v>108.1</v>
      </c>
      <c r="G34" s="1873">
        <v>4716.66</v>
      </c>
      <c r="H34" s="1873">
        <v>111.9</v>
      </c>
      <c r="I34" s="1873">
        <v>6884.9</v>
      </c>
      <c r="J34" s="1873">
        <v>126.9</v>
      </c>
      <c r="K34" s="1873">
        <v>117.12</v>
      </c>
      <c r="L34" s="1873">
        <v>122.2</v>
      </c>
      <c r="M34" s="1873">
        <v>1.1000000000000001</v>
      </c>
      <c r="N34" s="1873">
        <v>4.9376642905702965</v>
      </c>
      <c r="O34" s="1873">
        <v>9.9274216548090237</v>
      </c>
    </row>
    <row r="35" spans="1:15" ht="14.25" hidden="1" customHeight="1">
      <c r="A35" s="1879" t="s">
        <v>29</v>
      </c>
      <c r="B35" s="1873">
        <v>12522.5</v>
      </c>
      <c r="C35" s="1873">
        <v>126.4</v>
      </c>
      <c r="D35" s="1873"/>
      <c r="E35" s="1873">
        <v>6055</v>
      </c>
      <c r="F35" s="1873">
        <v>108.3</v>
      </c>
      <c r="G35" s="1873">
        <v>5424.3</v>
      </c>
      <c r="H35" s="1873">
        <v>112.7</v>
      </c>
      <c r="I35" s="1873">
        <v>7792.3</v>
      </c>
      <c r="J35" s="1873">
        <v>125.7</v>
      </c>
      <c r="K35" s="1873">
        <v>117.9</v>
      </c>
      <c r="L35" s="1873">
        <v>121.9</v>
      </c>
      <c r="M35" s="1873">
        <v>2.2000000000000002</v>
      </c>
      <c r="N35" s="1873">
        <v>5.4</v>
      </c>
      <c r="O35" s="1873">
        <v>9.6</v>
      </c>
    </row>
    <row r="36" spans="1:15" ht="14.25" hidden="1" customHeight="1">
      <c r="A36" s="1879"/>
      <c r="B36" s="1873"/>
      <c r="C36" s="1873"/>
      <c r="D36" s="1873"/>
      <c r="E36" s="1873"/>
      <c r="F36" s="1873"/>
      <c r="G36" s="1873"/>
      <c r="H36" s="1873"/>
      <c r="I36" s="1873"/>
      <c r="J36" s="1873"/>
      <c r="K36" s="1873"/>
      <c r="L36" s="1873"/>
      <c r="M36" s="1873"/>
      <c r="N36" s="1873"/>
      <c r="O36" s="1873"/>
    </row>
    <row r="37" spans="1:15" ht="14.25" hidden="1" customHeight="1">
      <c r="A37" s="1871">
        <v>2006</v>
      </c>
      <c r="B37" s="1873">
        <v>18746.2</v>
      </c>
      <c r="C37" s="1873">
        <v>134.5</v>
      </c>
      <c r="D37" s="1873">
        <v>107.1</v>
      </c>
      <c r="E37" s="1873">
        <v>7630</v>
      </c>
      <c r="F37" s="1873">
        <v>111.9</v>
      </c>
      <c r="G37" s="1873">
        <v>6234.4836999999998</v>
      </c>
      <c r="H37" s="1873">
        <v>114.8</v>
      </c>
      <c r="I37" s="1873">
        <v>9949.7999999999993</v>
      </c>
      <c r="J37" s="1873">
        <v>123.4</v>
      </c>
      <c r="K37" s="1873">
        <v>141.30000000000001</v>
      </c>
      <c r="L37" s="1873">
        <v>119.8</v>
      </c>
      <c r="M37" s="1873">
        <v>2.1</v>
      </c>
      <c r="N37" s="1873">
        <v>11.4</v>
      </c>
      <c r="O37" s="1873">
        <v>8.3000000000000007</v>
      </c>
    </row>
    <row r="38" spans="1:15" ht="14.25" hidden="1" customHeight="1">
      <c r="A38" s="1879" t="s">
        <v>18</v>
      </c>
      <c r="B38" s="1873">
        <v>1012.8</v>
      </c>
      <c r="C38" s="1873">
        <v>134.6</v>
      </c>
      <c r="D38" s="1873"/>
      <c r="E38" s="1873">
        <v>513</v>
      </c>
      <c r="F38" s="1873">
        <v>106.4</v>
      </c>
      <c r="G38" s="1873">
        <v>356.5</v>
      </c>
      <c r="H38" s="1873">
        <v>101.2</v>
      </c>
      <c r="I38" s="1873">
        <v>602.5</v>
      </c>
      <c r="J38" s="1873">
        <v>117.9</v>
      </c>
      <c r="K38" s="1873">
        <v>127.2</v>
      </c>
      <c r="L38" s="1873">
        <v>119.5</v>
      </c>
      <c r="M38" s="1873">
        <v>1.3</v>
      </c>
      <c r="N38" s="1873">
        <v>5.3</v>
      </c>
      <c r="O38" s="1873">
        <v>5.3</v>
      </c>
    </row>
    <row r="39" spans="1:15" ht="14.25" hidden="1" customHeight="1">
      <c r="A39" s="1879" t="s">
        <v>19</v>
      </c>
      <c r="B39" s="1873">
        <v>2228.9</v>
      </c>
      <c r="C39" s="1873">
        <v>148.1</v>
      </c>
      <c r="D39" s="1873"/>
      <c r="E39" s="1873">
        <v>1066.8</v>
      </c>
      <c r="F39" s="1873">
        <v>107.6</v>
      </c>
      <c r="G39" s="1873">
        <v>687.7</v>
      </c>
      <c r="H39" s="1873">
        <v>105.2</v>
      </c>
      <c r="I39" s="1873">
        <v>1572.1</v>
      </c>
      <c r="J39" s="1873">
        <v>118.4</v>
      </c>
      <c r="K39" s="1873">
        <v>128.69999999999999</v>
      </c>
      <c r="L39" s="1873">
        <v>120.7</v>
      </c>
      <c r="M39" s="1873">
        <v>1.9</v>
      </c>
      <c r="N39" s="1873">
        <v>6.1</v>
      </c>
      <c r="O39" s="1873">
        <v>5.7</v>
      </c>
    </row>
    <row r="40" spans="1:15" ht="14.25" hidden="1" customHeight="1">
      <c r="A40" s="1879" t="s">
        <v>20</v>
      </c>
      <c r="B40" s="1873">
        <v>3223</v>
      </c>
      <c r="C40" s="1873">
        <v>139.5</v>
      </c>
      <c r="D40" s="1873"/>
      <c r="E40" s="1873">
        <v>1310.5</v>
      </c>
      <c r="F40" s="1873">
        <v>108.9</v>
      </c>
      <c r="G40" s="1873">
        <v>1106.7</v>
      </c>
      <c r="H40" s="1873">
        <v>106.9</v>
      </c>
      <c r="I40" s="1873">
        <v>2460.6</v>
      </c>
      <c r="J40" s="1873">
        <v>118.6</v>
      </c>
      <c r="K40" s="1873">
        <v>129.69999999999999</v>
      </c>
      <c r="L40" s="1873">
        <v>120.3</v>
      </c>
      <c r="M40" s="1873">
        <v>1.3</v>
      </c>
      <c r="N40" s="1873">
        <v>5</v>
      </c>
      <c r="O40" s="1873">
        <v>5.5</v>
      </c>
    </row>
    <row r="41" spans="1:15" ht="14.25" hidden="1" customHeight="1">
      <c r="A41" s="1879" t="s">
        <v>21</v>
      </c>
      <c r="B41" s="1873">
        <v>4477.8999999999996</v>
      </c>
      <c r="C41" s="1873">
        <v>139.5</v>
      </c>
      <c r="D41" s="1873"/>
      <c r="E41" s="1873">
        <v>2185</v>
      </c>
      <c r="F41" s="1873">
        <v>108</v>
      </c>
      <c r="G41" s="1873">
        <v>1668.2</v>
      </c>
      <c r="H41" s="1873">
        <v>111.3</v>
      </c>
      <c r="I41" s="1873">
        <v>3249.1</v>
      </c>
      <c r="J41" s="1873">
        <v>118.9</v>
      </c>
      <c r="K41" s="1873">
        <v>132</v>
      </c>
      <c r="L41" s="1873">
        <v>120.2</v>
      </c>
      <c r="M41" s="1873">
        <v>0.7</v>
      </c>
      <c r="N41" s="1873">
        <v>5.2</v>
      </c>
      <c r="O41" s="1873">
        <v>5.4</v>
      </c>
    </row>
    <row r="42" spans="1:15" ht="14.25" hidden="1" customHeight="1">
      <c r="A42" s="1879" t="s">
        <v>22</v>
      </c>
      <c r="B42" s="1873">
        <v>5853.9</v>
      </c>
      <c r="C42" s="1873">
        <v>138</v>
      </c>
      <c r="D42" s="1873"/>
      <c r="E42" s="1873">
        <v>2926.7</v>
      </c>
      <c r="F42" s="1873">
        <v>108</v>
      </c>
      <c r="G42" s="1873">
        <v>2184.1</v>
      </c>
      <c r="H42" s="1873">
        <v>108.8</v>
      </c>
      <c r="I42" s="1873">
        <v>4043.7</v>
      </c>
      <c r="J42" s="1873">
        <v>119.6</v>
      </c>
      <c r="K42" s="1873">
        <v>133.69999999999999</v>
      </c>
      <c r="L42" s="1873">
        <v>120.3</v>
      </c>
      <c r="M42" s="1873">
        <v>0.3</v>
      </c>
      <c r="N42" s="1873">
        <v>6.3</v>
      </c>
      <c r="O42" s="1873">
        <v>5.6</v>
      </c>
    </row>
    <row r="43" spans="1:15" ht="14.25" hidden="1" customHeight="1">
      <c r="A43" s="1879" t="s">
        <v>23</v>
      </c>
      <c r="B43" s="1873">
        <v>7146.4</v>
      </c>
      <c r="C43" s="1873">
        <v>136.30000000000001</v>
      </c>
      <c r="D43" s="1873"/>
      <c r="E43" s="1873">
        <v>3584.8</v>
      </c>
      <c r="F43" s="1873">
        <v>108.8</v>
      </c>
      <c r="G43" s="1873">
        <v>2626.7</v>
      </c>
      <c r="H43" s="1873">
        <v>107.9</v>
      </c>
      <c r="I43" s="1873">
        <v>4843.2</v>
      </c>
      <c r="J43" s="1873">
        <v>119.6</v>
      </c>
      <c r="K43" s="1873">
        <v>135.1</v>
      </c>
      <c r="L43" s="1873">
        <v>120.4</v>
      </c>
      <c r="M43" s="1873">
        <v>-0.1</v>
      </c>
      <c r="N43" s="1873">
        <v>8.1</v>
      </c>
      <c r="O43" s="1873">
        <v>6</v>
      </c>
    </row>
    <row r="44" spans="1:15" s="1880" customFormat="1" ht="15" hidden="1">
      <c r="A44" s="1879" t="s">
        <v>24</v>
      </c>
      <c r="B44" s="1873">
        <v>8803.5</v>
      </c>
      <c r="C44" s="1873">
        <v>135.1</v>
      </c>
      <c r="D44" s="1873"/>
      <c r="E44" s="1873">
        <v>4435.5</v>
      </c>
      <c r="F44" s="1873">
        <v>108.5</v>
      </c>
      <c r="G44" s="1873">
        <v>3164.3</v>
      </c>
      <c r="H44" s="1873">
        <v>112.9</v>
      </c>
      <c r="I44" s="1873">
        <v>5704.1</v>
      </c>
      <c r="J44" s="1873">
        <v>120.1</v>
      </c>
      <c r="K44" s="1873">
        <v>136.1</v>
      </c>
      <c r="L44" s="1873">
        <v>120</v>
      </c>
      <c r="M44" s="1873">
        <v>-0.3</v>
      </c>
      <c r="N44" s="1873">
        <v>9.6</v>
      </c>
      <c r="O44" s="1873">
        <v>6.5</v>
      </c>
    </row>
    <row r="45" spans="1:15" s="1880" customFormat="1" ht="15" hidden="1">
      <c r="A45" s="1879" t="s">
        <v>25</v>
      </c>
      <c r="B45" s="1873">
        <v>10296.700000000001</v>
      </c>
      <c r="C45" s="1873">
        <v>134.4</v>
      </c>
      <c r="D45" s="1873"/>
      <c r="E45" s="1873">
        <v>4993.5</v>
      </c>
      <c r="F45" s="1873">
        <v>108</v>
      </c>
      <c r="G45" s="1873">
        <v>3623.9</v>
      </c>
      <c r="H45" s="1873">
        <v>111.7</v>
      </c>
      <c r="I45" s="1873">
        <v>6536.9</v>
      </c>
      <c r="J45" s="1873">
        <v>120.6</v>
      </c>
      <c r="K45" s="1873">
        <v>137.4</v>
      </c>
      <c r="L45" s="1873">
        <v>120</v>
      </c>
      <c r="M45" s="1873">
        <v>0</v>
      </c>
      <c r="N45" s="1873">
        <v>10.199999999999999</v>
      </c>
      <c r="O45" s="1873">
        <v>6.9</v>
      </c>
    </row>
    <row r="46" spans="1:15" s="1880" customFormat="1" ht="15" hidden="1">
      <c r="A46" s="1879" t="s">
        <v>26</v>
      </c>
      <c r="B46" s="1873">
        <v>12730.2</v>
      </c>
      <c r="C46" s="1873">
        <v>134</v>
      </c>
      <c r="D46" s="1873"/>
      <c r="E46" s="1873">
        <v>5880.4</v>
      </c>
      <c r="F46" s="1873">
        <v>107.6</v>
      </c>
      <c r="G46" s="1873">
        <v>4251.5</v>
      </c>
      <c r="H46" s="1873">
        <v>116.4</v>
      </c>
      <c r="I46" s="1873">
        <v>7416.2</v>
      </c>
      <c r="J46" s="1873">
        <v>121.2</v>
      </c>
      <c r="K46" s="1873">
        <v>138.5</v>
      </c>
      <c r="L46" s="1873">
        <v>119.9</v>
      </c>
      <c r="M46" s="1873">
        <v>0.9</v>
      </c>
      <c r="N46" s="1873">
        <v>10.3</v>
      </c>
      <c r="O46" s="1873">
        <v>7.3</v>
      </c>
    </row>
    <row r="47" spans="1:15" s="1880" customFormat="1" ht="15" hidden="1">
      <c r="A47" s="1879" t="s">
        <v>27</v>
      </c>
      <c r="B47" s="1873">
        <v>14761.8</v>
      </c>
      <c r="C47" s="1873">
        <v>134.30000000000001</v>
      </c>
      <c r="D47" s="1873"/>
      <c r="E47" s="1873">
        <v>7037.2</v>
      </c>
      <c r="F47" s="1873">
        <v>111</v>
      </c>
      <c r="G47" s="1873">
        <v>4750.1000000000004</v>
      </c>
      <c r="H47" s="1873">
        <v>115</v>
      </c>
      <c r="I47" s="1873">
        <v>8339.2000000000007</v>
      </c>
      <c r="J47" s="1873">
        <v>121.9</v>
      </c>
      <c r="K47" s="1873">
        <v>139.5</v>
      </c>
      <c r="L47" s="1873">
        <v>119.8</v>
      </c>
      <c r="M47" s="1873">
        <v>1.3</v>
      </c>
      <c r="N47" s="1873">
        <v>11.2</v>
      </c>
      <c r="O47" s="1873">
        <v>7.7</v>
      </c>
    </row>
    <row r="48" spans="1:15" s="1880" customFormat="1" ht="15" hidden="1">
      <c r="A48" s="1879" t="s">
        <v>28</v>
      </c>
      <c r="B48" s="1873">
        <v>16329.4</v>
      </c>
      <c r="C48" s="1873">
        <v>134.4</v>
      </c>
      <c r="D48" s="1873"/>
      <c r="E48" s="1873">
        <v>7605.8</v>
      </c>
      <c r="F48" s="1873">
        <v>111.2</v>
      </c>
      <c r="G48" s="1873">
        <v>5219.5</v>
      </c>
      <c r="H48" s="1873">
        <v>115.2</v>
      </c>
      <c r="I48" s="1873">
        <v>9223.2000000000007</v>
      </c>
      <c r="J48" s="1873">
        <v>122.5</v>
      </c>
      <c r="K48" s="1873">
        <v>140.4</v>
      </c>
      <c r="L48" s="1873">
        <v>119.9</v>
      </c>
      <c r="M48" s="1873">
        <v>1.3</v>
      </c>
      <c r="N48" s="1873">
        <v>11.5</v>
      </c>
      <c r="O48" s="1873">
        <v>8</v>
      </c>
    </row>
    <row r="49" spans="1:187" s="1880" customFormat="1" ht="15.75" hidden="1" customHeight="1">
      <c r="A49" s="1879" t="s">
        <v>29</v>
      </c>
      <c r="B49" s="1873">
        <v>18746.2</v>
      </c>
      <c r="C49" s="1873">
        <v>134.5</v>
      </c>
      <c r="D49" s="1873"/>
      <c r="E49" s="1873">
        <v>7630</v>
      </c>
      <c r="F49" s="1873">
        <v>111.8</v>
      </c>
      <c r="G49" s="1873">
        <v>5963.6</v>
      </c>
      <c r="H49" s="1873">
        <v>114.8</v>
      </c>
      <c r="I49" s="1873">
        <v>9949.7999999999993</v>
      </c>
      <c r="J49" s="1873">
        <v>123.4</v>
      </c>
      <c r="K49" s="1873">
        <v>141.30000000000001</v>
      </c>
      <c r="L49" s="1873">
        <v>119.8</v>
      </c>
      <c r="M49" s="1873">
        <v>2.1</v>
      </c>
      <c r="N49" s="1873">
        <v>11.4</v>
      </c>
      <c r="O49" s="1873">
        <v>8.3000000000000007</v>
      </c>
    </row>
    <row r="50" spans="1:187" s="1880" customFormat="1" ht="15" hidden="1">
      <c r="A50" s="1871">
        <v>2007</v>
      </c>
      <c r="B50" s="1873">
        <v>28360.5</v>
      </c>
      <c r="C50" s="1873">
        <v>125</v>
      </c>
      <c r="D50" s="1873">
        <v>114.4</v>
      </c>
      <c r="E50" s="1873">
        <v>10576.1</v>
      </c>
      <c r="F50" s="1873">
        <v>111.4</v>
      </c>
      <c r="G50" s="1873">
        <v>7471.1899000000003</v>
      </c>
      <c r="H50" s="1873">
        <v>117.8</v>
      </c>
      <c r="I50" s="1873">
        <v>14305.6</v>
      </c>
      <c r="J50" s="1873">
        <v>140.30000000000001</v>
      </c>
      <c r="K50" s="1873">
        <v>214</v>
      </c>
      <c r="L50" s="1873">
        <v>142</v>
      </c>
      <c r="M50" s="1873">
        <v>2.5</v>
      </c>
      <c r="N50" s="1873">
        <v>19.636026926081001</v>
      </c>
      <c r="O50" s="1873">
        <v>16.7</v>
      </c>
    </row>
    <row r="51" spans="1:187" s="1880" customFormat="1" ht="15" hidden="1" customHeight="1">
      <c r="A51" s="1879" t="s">
        <v>18</v>
      </c>
      <c r="B51" s="1873" t="s">
        <v>30</v>
      </c>
      <c r="C51" s="1873">
        <v>146.69999999999999</v>
      </c>
      <c r="D51" s="1873">
        <v>100.1</v>
      </c>
      <c r="E51" s="1873">
        <v>613.6</v>
      </c>
      <c r="F51" s="1873">
        <v>106.2</v>
      </c>
      <c r="G51" s="1873">
        <v>357.2</v>
      </c>
      <c r="H51" s="1873">
        <v>103.5</v>
      </c>
      <c r="I51" s="1873">
        <v>838.7</v>
      </c>
      <c r="J51" s="1873">
        <v>129.9</v>
      </c>
      <c r="K51" s="1873">
        <v>160.6</v>
      </c>
      <c r="L51" s="1873">
        <v>126.3</v>
      </c>
      <c r="M51" s="1873">
        <v>6.4</v>
      </c>
      <c r="N51" s="1873">
        <v>17</v>
      </c>
      <c r="O51" s="1873">
        <v>17</v>
      </c>
    </row>
    <row r="52" spans="1:187" s="1880" customFormat="1" ht="15" hidden="1" customHeight="1">
      <c r="A52" s="1879" t="s">
        <v>19</v>
      </c>
      <c r="B52" s="1873" t="s">
        <v>31</v>
      </c>
      <c r="C52" s="1873">
        <v>141.69999999999999</v>
      </c>
      <c r="D52" s="1873">
        <v>101.4</v>
      </c>
      <c r="E52" s="1873">
        <v>1255.7</v>
      </c>
      <c r="F52" s="1873">
        <v>106.6</v>
      </c>
      <c r="G52" s="1873">
        <v>725.1</v>
      </c>
      <c r="H52" s="1873">
        <v>113.9</v>
      </c>
      <c r="I52" s="1873">
        <v>1825.7</v>
      </c>
      <c r="J52" s="1873">
        <v>133</v>
      </c>
      <c r="K52" s="1873">
        <v>161.4</v>
      </c>
      <c r="L52" s="1873">
        <v>125.4</v>
      </c>
      <c r="M52" s="1873">
        <v>1.5</v>
      </c>
      <c r="N52" s="1873">
        <v>16.5</v>
      </c>
      <c r="O52" s="1873">
        <v>16.7</v>
      </c>
    </row>
    <row r="53" spans="1:187" s="1880" customFormat="1" ht="15" hidden="1" customHeight="1">
      <c r="A53" s="1879" t="s">
        <v>20</v>
      </c>
      <c r="B53" s="1873" t="s">
        <v>32</v>
      </c>
      <c r="C53" s="1873">
        <v>139.69999999999999</v>
      </c>
      <c r="D53" s="1873">
        <v>102.1</v>
      </c>
      <c r="E53" s="1873">
        <v>2005.8</v>
      </c>
      <c r="F53" s="1873">
        <v>106.6</v>
      </c>
      <c r="G53" s="1873">
        <v>1180</v>
      </c>
      <c r="H53" s="1873">
        <v>112.3</v>
      </c>
      <c r="I53" s="1873">
        <v>2924.4</v>
      </c>
      <c r="J53" s="1873">
        <v>135.19999999999999</v>
      </c>
      <c r="K53" s="1873">
        <v>163.69999999999999</v>
      </c>
      <c r="L53" s="1873">
        <v>126.2</v>
      </c>
      <c r="M53" s="1873">
        <v>1.2</v>
      </c>
      <c r="N53" s="1873">
        <v>16.399999999999999</v>
      </c>
      <c r="O53" s="1873">
        <v>16.600000000000001</v>
      </c>
    </row>
    <row r="54" spans="1:187" s="1881" customFormat="1" ht="15" hidden="1" customHeight="1">
      <c r="A54" s="1879" t="s">
        <v>21</v>
      </c>
      <c r="B54" s="1873" t="s">
        <v>33</v>
      </c>
      <c r="C54" s="1873">
        <v>137.1</v>
      </c>
      <c r="D54" s="1873">
        <v>101.9</v>
      </c>
      <c r="E54" s="1873">
        <v>2746.5</v>
      </c>
      <c r="F54" s="1873">
        <v>107.4</v>
      </c>
      <c r="G54" s="1873">
        <v>1692.8</v>
      </c>
      <c r="H54" s="1873">
        <v>109.6</v>
      </c>
      <c r="I54" s="1873">
        <v>4008.9</v>
      </c>
      <c r="J54" s="1873">
        <v>136.69999999999999</v>
      </c>
      <c r="K54" s="1873">
        <v>166.1</v>
      </c>
      <c r="L54" s="1873">
        <v>125.8</v>
      </c>
      <c r="M54" s="1873">
        <v>0.4</v>
      </c>
      <c r="N54" s="1873">
        <v>16</v>
      </c>
      <c r="O54" s="1873">
        <v>16.5</v>
      </c>
      <c r="P54" s="1880"/>
      <c r="Q54" s="1880"/>
      <c r="R54" s="1880"/>
      <c r="S54" s="1880"/>
      <c r="T54" s="1880"/>
      <c r="U54" s="1880"/>
      <c r="V54" s="1880"/>
      <c r="W54" s="1880"/>
      <c r="X54" s="1880"/>
      <c r="Y54" s="1880"/>
      <c r="Z54" s="1880"/>
      <c r="AA54" s="1880"/>
      <c r="AB54" s="1880"/>
      <c r="AC54" s="1880"/>
      <c r="AD54" s="1880"/>
      <c r="AE54" s="1880"/>
      <c r="AF54" s="1880"/>
      <c r="AG54" s="1880"/>
      <c r="AH54" s="1880"/>
      <c r="AI54" s="1880"/>
      <c r="AJ54" s="1880"/>
      <c r="AK54" s="1880"/>
      <c r="AL54" s="1880"/>
      <c r="AM54" s="1880"/>
      <c r="AN54" s="1880"/>
      <c r="AO54" s="1880"/>
      <c r="AP54" s="1880"/>
      <c r="AQ54" s="1880"/>
      <c r="AR54" s="1880"/>
      <c r="AS54" s="1880"/>
      <c r="AT54" s="1880"/>
      <c r="AU54" s="1880"/>
      <c r="AV54" s="1880"/>
      <c r="AW54" s="1880"/>
      <c r="AX54" s="1880"/>
      <c r="AY54" s="1880"/>
      <c r="AZ54" s="1880"/>
      <c r="BA54" s="1880"/>
      <c r="BB54" s="1880"/>
      <c r="BC54" s="1880"/>
      <c r="BD54" s="1880"/>
      <c r="BE54" s="1880"/>
      <c r="BF54" s="1880"/>
      <c r="BG54" s="1880"/>
      <c r="BH54" s="1880"/>
      <c r="BI54" s="1880"/>
      <c r="BJ54" s="1880"/>
      <c r="BK54" s="1880"/>
      <c r="BL54" s="1880"/>
      <c r="BM54" s="1880"/>
      <c r="BN54" s="1880"/>
      <c r="BO54" s="1880"/>
      <c r="BP54" s="1880"/>
      <c r="BQ54" s="1880"/>
      <c r="BR54" s="1880"/>
      <c r="BS54" s="1880"/>
      <c r="BT54" s="1880"/>
      <c r="BU54" s="1880"/>
      <c r="BV54" s="1880"/>
      <c r="BW54" s="1880"/>
      <c r="BX54" s="1880"/>
      <c r="BY54" s="1880"/>
      <c r="BZ54" s="1880"/>
      <c r="CA54" s="1880"/>
      <c r="CB54" s="1880"/>
      <c r="CC54" s="1880"/>
      <c r="CD54" s="1880"/>
      <c r="CE54" s="1880"/>
      <c r="CF54" s="1880"/>
      <c r="CG54" s="1880"/>
      <c r="CH54" s="1880"/>
      <c r="CI54" s="1880"/>
      <c r="CJ54" s="1880"/>
      <c r="CK54" s="1880"/>
      <c r="CL54" s="1880"/>
      <c r="CM54" s="1880"/>
      <c r="CN54" s="1880"/>
      <c r="CO54" s="1880"/>
      <c r="CP54" s="1880"/>
      <c r="CQ54" s="1880"/>
      <c r="CR54" s="1880"/>
      <c r="CS54" s="1880"/>
      <c r="CT54" s="1880"/>
      <c r="CU54" s="1880"/>
      <c r="CV54" s="1880"/>
      <c r="CW54" s="1880"/>
      <c r="CX54" s="1880"/>
      <c r="CY54" s="1880"/>
      <c r="CZ54" s="1880"/>
      <c r="DA54" s="1880"/>
      <c r="DB54" s="1880"/>
      <c r="DC54" s="1880"/>
      <c r="DD54" s="1880"/>
      <c r="DE54" s="1880"/>
      <c r="DF54" s="1880"/>
      <c r="DG54" s="1880"/>
      <c r="DH54" s="1880"/>
      <c r="DI54" s="1880"/>
      <c r="DJ54" s="1880"/>
      <c r="DK54" s="1880"/>
      <c r="DL54" s="1880"/>
      <c r="DM54" s="1880"/>
      <c r="DN54" s="1880"/>
      <c r="DO54" s="1880"/>
      <c r="DP54" s="1880"/>
      <c r="DQ54" s="1880"/>
      <c r="DR54" s="1880"/>
      <c r="DS54" s="1880"/>
      <c r="DT54" s="1880"/>
      <c r="DU54" s="1880"/>
      <c r="DV54" s="1880"/>
      <c r="DW54" s="1880"/>
      <c r="DX54" s="1880"/>
      <c r="DY54" s="1880"/>
      <c r="DZ54" s="1880"/>
      <c r="EA54" s="1880"/>
      <c r="EB54" s="1880"/>
      <c r="EC54" s="1880"/>
      <c r="ED54" s="1880"/>
      <c r="EE54" s="1880"/>
      <c r="EF54" s="1880"/>
      <c r="EG54" s="1880"/>
      <c r="EH54" s="1880"/>
      <c r="EI54" s="1880"/>
      <c r="EJ54" s="1880"/>
      <c r="EK54" s="1880"/>
      <c r="EL54" s="1880"/>
      <c r="EM54" s="1880"/>
      <c r="EN54" s="1880"/>
      <c r="EO54" s="1880"/>
      <c r="EP54" s="1880"/>
      <c r="EQ54" s="1880"/>
      <c r="ER54" s="1880"/>
      <c r="ES54" s="1880"/>
      <c r="ET54" s="1880"/>
      <c r="EU54" s="1880"/>
      <c r="EV54" s="1880"/>
      <c r="EW54" s="1880"/>
      <c r="EX54" s="1880"/>
      <c r="EY54" s="1880"/>
      <c r="EZ54" s="1880"/>
      <c r="FA54" s="1880"/>
      <c r="FB54" s="1880"/>
      <c r="FC54" s="1880"/>
      <c r="FD54" s="1880"/>
      <c r="FE54" s="1880"/>
      <c r="FF54" s="1880"/>
      <c r="FG54" s="1880"/>
      <c r="FH54" s="1880"/>
      <c r="FI54" s="1880"/>
      <c r="FJ54" s="1880"/>
      <c r="FK54" s="1880"/>
      <c r="FL54" s="1880"/>
      <c r="FM54" s="1880"/>
      <c r="FN54" s="1880"/>
      <c r="FO54" s="1880"/>
      <c r="FP54" s="1880"/>
      <c r="FQ54" s="1880"/>
      <c r="FR54" s="1880"/>
      <c r="FS54" s="1880"/>
      <c r="FT54" s="1880"/>
      <c r="FU54" s="1880"/>
      <c r="FV54" s="1880"/>
      <c r="FW54" s="1880"/>
      <c r="FX54" s="1880"/>
      <c r="FY54" s="1880"/>
      <c r="FZ54" s="1880"/>
      <c r="GA54" s="1880"/>
      <c r="GB54" s="1880"/>
      <c r="GC54" s="1880"/>
      <c r="GD54" s="1880"/>
      <c r="GE54" s="1880"/>
    </row>
    <row r="55" spans="1:187" s="1881" customFormat="1" ht="15" hidden="1" customHeight="1">
      <c r="A55" s="1879" t="s">
        <v>22</v>
      </c>
      <c r="B55" s="1873" t="s">
        <v>34</v>
      </c>
      <c r="C55" s="1873">
        <v>136.19999999999999</v>
      </c>
      <c r="D55" s="1873">
        <v>100.6</v>
      </c>
      <c r="E55" s="1873">
        <v>3572.1</v>
      </c>
      <c r="F55" s="1873">
        <v>108</v>
      </c>
      <c r="G55" s="1873">
        <v>2272.1</v>
      </c>
      <c r="H55" s="1873">
        <v>109.9</v>
      </c>
      <c r="I55" s="1873">
        <v>5017</v>
      </c>
      <c r="J55" s="1873">
        <v>136.9</v>
      </c>
      <c r="K55" s="1873">
        <v>168.6</v>
      </c>
      <c r="L55" s="1873">
        <v>126.1</v>
      </c>
      <c r="M55" s="1873">
        <v>-0.3</v>
      </c>
      <c r="N55" s="1873">
        <v>15.3</v>
      </c>
      <c r="O55" s="1873">
        <v>16.2</v>
      </c>
      <c r="P55" s="1880"/>
      <c r="Q55" s="1880"/>
      <c r="R55" s="1880"/>
      <c r="S55" s="1880"/>
      <c r="T55" s="1880"/>
      <c r="U55" s="1880"/>
      <c r="V55" s="1880"/>
      <c r="W55" s="1880"/>
      <c r="X55" s="1880"/>
      <c r="Y55" s="1880"/>
      <c r="Z55" s="1880"/>
      <c r="AA55" s="1880"/>
      <c r="AB55" s="1880"/>
      <c r="AC55" s="1880"/>
      <c r="AD55" s="1880"/>
      <c r="AE55" s="1880"/>
      <c r="AF55" s="1880"/>
      <c r="AG55" s="1880"/>
      <c r="AH55" s="1880"/>
      <c r="AI55" s="1880"/>
      <c r="AJ55" s="1880"/>
      <c r="AK55" s="1880"/>
      <c r="AL55" s="1880"/>
      <c r="AM55" s="1880"/>
      <c r="AN55" s="1880"/>
      <c r="AO55" s="1880"/>
      <c r="AP55" s="1880"/>
      <c r="AQ55" s="1880"/>
      <c r="AR55" s="1880"/>
      <c r="AS55" s="1880"/>
      <c r="AT55" s="1880"/>
      <c r="AU55" s="1880"/>
      <c r="AV55" s="1880"/>
      <c r="AW55" s="1880"/>
      <c r="AX55" s="1880"/>
      <c r="AY55" s="1880"/>
      <c r="AZ55" s="1880"/>
      <c r="BA55" s="1880"/>
      <c r="BB55" s="1880"/>
      <c r="BC55" s="1880"/>
      <c r="BD55" s="1880"/>
      <c r="BE55" s="1880"/>
      <c r="BF55" s="1880"/>
      <c r="BG55" s="1880"/>
      <c r="BH55" s="1880"/>
      <c r="BI55" s="1880"/>
      <c r="BJ55" s="1880"/>
      <c r="BK55" s="1880"/>
      <c r="BL55" s="1880"/>
      <c r="BM55" s="1880"/>
      <c r="BN55" s="1880"/>
      <c r="BO55" s="1880"/>
      <c r="BP55" s="1880"/>
      <c r="BQ55" s="1880"/>
      <c r="BR55" s="1880"/>
      <c r="BS55" s="1880"/>
      <c r="BT55" s="1880"/>
      <c r="BU55" s="1880"/>
      <c r="BV55" s="1880"/>
      <c r="BW55" s="1880"/>
      <c r="BX55" s="1880"/>
      <c r="BY55" s="1880"/>
      <c r="BZ55" s="1880"/>
      <c r="CA55" s="1880"/>
      <c r="CB55" s="1880"/>
      <c r="CC55" s="1880"/>
      <c r="CD55" s="1880"/>
      <c r="CE55" s="1880"/>
      <c r="CF55" s="1880"/>
      <c r="CG55" s="1880"/>
      <c r="CH55" s="1880"/>
      <c r="CI55" s="1880"/>
      <c r="CJ55" s="1880"/>
      <c r="CK55" s="1880"/>
      <c r="CL55" s="1880"/>
      <c r="CM55" s="1880"/>
      <c r="CN55" s="1880"/>
      <c r="CO55" s="1880"/>
      <c r="CP55" s="1880"/>
      <c r="CQ55" s="1880"/>
      <c r="CR55" s="1880"/>
      <c r="CS55" s="1880"/>
      <c r="CT55" s="1880"/>
      <c r="CU55" s="1880"/>
      <c r="CV55" s="1880"/>
      <c r="CW55" s="1880"/>
      <c r="CX55" s="1880"/>
      <c r="CY55" s="1880"/>
      <c r="CZ55" s="1880"/>
      <c r="DA55" s="1880"/>
      <c r="DB55" s="1880"/>
      <c r="DC55" s="1880"/>
      <c r="DD55" s="1880"/>
      <c r="DE55" s="1880"/>
      <c r="DF55" s="1880"/>
      <c r="DG55" s="1880"/>
      <c r="DH55" s="1880"/>
      <c r="DI55" s="1880"/>
      <c r="DJ55" s="1880"/>
      <c r="DK55" s="1880"/>
      <c r="DL55" s="1880"/>
      <c r="DM55" s="1880"/>
      <c r="DN55" s="1880"/>
      <c r="DO55" s="1880"/>
      <c r="DP55" s="1880"/>
      <c r="DQ55" s="1880"/>
      <c r="DR55" s="1880"/>
      <c r="DS55" s="1880"/>
      <c r="DT55" s="1880"/>
      <c r="DU55" s="1880"/>
      <c r="DV55" s="1880"/>
      <c r="DW55" s="1880"/>
      <c r="DX55" s="1880"/>
      <c r="DY55" s="1880"/>
      <c r="DZ55" s="1880"/>
      <c r="EA55" s="1880"/>
      <c r="EB55" s="1880"/>
      <c r="EC55" s="1880"/>
      <c r="ED55" s="1880"/>
      <c r="EE55" s="1880"/>
      <c r="EF55" s="1880"/>
      <c r="EG55" s="1880"/>
      <c r="EH55" s="1880"/>
      <c r="EI55" s="1880"/>
      <c r="EJ55" s="1880"/>
      <c r="EK55" s="1880"/>
      <c r="EL55" s="1880"/>
      <c r="EM55" s="1880"/>
      <c r="EN55" s="1880"/>
      <c r="EO55" s="1880"/>
      <c r="EP55" s="1880"/>
      <c r="EQ55" s="1880"/>
      <c r="ER55" s="1880"/>
      <c r="ES55" s="1880"/>
      <c r="ET55" s="1880"/>
      <c r="EU55" s="1880"/>
      <c r="EV55" s="1880"/>
      <c r="EW55" s="1880"/>
      <c r="EX55" s="1880"/>
      <c r="EY55" s="1880"/>
      <c r="EZ55" s="1880"/>
      <c r="FA55" s="1880"/>
      <c r="FB55" s="1880"/>
      <c r="FC55" s="1880"/>
      <c r="FD55" s="1880"/>
      <c r="FE55" s="1880"/>
      <c r="FF55" s="1880"/>
      <c r="FG55" s="1880"/>
      <c r="FH55" s="1880"/>
      <c r="FI55" s="1880"/>
      <c r="FJ55" s="1880"/>
      <c r="FK55" s="1880"/>
      <c r="FL55" s="1880"/>
      <c r="FM55" s="1880"/>
      <c r="FN55" s="1880"/>
      <c r="FO55" s="1880"/>
      <c r="FP55" s="1880"/>
      <c r="FQ55" s="1880"/>
      <c r="FR55" s="1880"/>
      <c r="FS55" s="1880"/>
      <c r="FT55" s="1880"/>
      <c r="FU55" s="1880"/>
      <c r="FV55" s="1880"/>
      <c r="FW55" s="1880"/>
      <c r="FX55" s="1880"/>
      <c r="FY55" s="1880"/>
      <c r="FZ55" s="1880"/>
      <c r="GA55" s="1880"/>
      <c r="GB55" s="1880"/>
      <c r="GC55" s="1880"/>
      <c r="GD55" s="1880"/>
      <c r="GE55" s="1880"/>
    </row>
    <row r="56" spans="1:187" s="1880" customFormat="1" ht="15" hidden="1" customHeight="1">
      <c r="A56" s="1879" t="s">
        <v>23</v>
      </c>
      <c r="B56" s="1873" t="s">
        <v>35</v>
      </c>
      <c r="C56" s="1873">
        <v>135.1</v>
      </c>
      <c r="D56" s="1873">
        <v>100.5</v>
      </c>
      <c r="E56" s="1873">
        <v>3688</v>
      </c>
      <c r="F56" s="1873">
        <v>107.8</v>
      </c>
      <c r="G56" s="1873">
        <v>2727.3</v>
      </c>
      <c r="H56" s="1873">
        <v>110.6</v>
      </c>
      <c r="I56" s="1873">
        <v>6001.3</v>
      </c>
      <c r="J56" s="1873">
        <v>138.4</v>
      </c>
      <c r="K56" s="1873">
        <v>170.7</v>
      </c>
      <c r="L56" s="1873">
        <v>126.4</v>
      </c>
      <c r="M56" s="1873">
        <v>-0.5</v>
      </c>
      <c r="N56" s="1873">
        <v>14.8</v>
      </c>
      <c r="O56" s="1873">
        <v>16</v>
      </c>
    </row>
    <row r="57" spans="1:187" s="1880" customFormat="1" ht="15" hidden="1" customHeight="1">
      <c r="A57" s="1879" t="s">
        <v>24</v>
      </c>
      <c r="B57" s="1873" t="s">
        <v>36</v>
      </c>
      <c r="C57" s="1873">
        <v>134.5</v>
      </c>
      <c r="D57" s="1873">
        <v>101.1</v>
      </c>
      <c r="E57" s="1873">
        <v>4458.3</v>
      </c>
      <c r="F57" s="1873">
        <v>108.2</v>
      </c>
      <c r="G57" s="1873">
        <v>3318.7</v>
      </c>
      <c r="H57" s="1873">
        <v>111.3</v>
      </c>
      <c r="I57" s="1873">
        <v>7026.1</v>
      </c>
      <c r="J57" s="1873">
        <v>139.1</v>
      </c>
      <c r="K57" s="1873">
        <v>173</v>
      </c>
      <c r="L57" s="1873">
        <v>127.1</v>
      </c>
      <c r="M57" s="1873">
        <v>0.1</v>
      </c>
      <c r="N57" s="1873">
        <v>15.3</v>
      </c>
      <c r="O57" s="1873">
        <v>15.9</v>
      </c>
    </row>
    <row r="58" spans="1:187" s="1880" customFormat="1" ht="15" hidden="1" customHeight="1">
      <c r="A58" s="1879" t="s">
        <v>25</v>
      </c>
      <c r="B58" s="1873" t="s">
        <v>37</v>
      </c>
      <c r="C58" s="1873">
        <v>132.5</v>
      </c>
      <c r="D58" s="1873">
        <v>101.2</v>
      </c>
      <c r="E58" s="1873">
        <v>5176.2</v>
      </c>
      <c r="F58" s="1873">
        <v>108.4</v>
      </c>
      <c r="G58" s="1873">
        <v>3827.7</v>
      </c>
      <c r="H58" s="1873">
        <v>111.6</v>
      </c>
      <c r="I58" s="1873">
        <v>8089.2</v>
      </c>
      <c r="J58" s="1873">
        <v>139.69999999999999</v>
      </c>
      <c r="K58" s="1873">
        <v>175.5</v>
      </c>
      <c r="L58" s="1873">
        <v>127.7</v>
      </c>
      <c r="M58" s="1873">
        <v>0.8</v>
      </c>
      <c r="N58" s="1873">
        <v>16.2</v>
      </c>
      <c r="O58" s="1873">
        <v>15.9</v>
      </c>
    </row>
    <row r="59" spans="1:187" s="1880" customFormat="1" ht="15" hidden="1" customHeight="1">
      <c r="A59" s="1879" t="s">
        <v>26</v>
      </c>
      <c r="B59" s="1873" t="s">
        <v>38</v>
      </c>
      <c r="C59" s="1873">
        <v>127.1</v>
      </c>
      <c r="D59" s="1873">
        <v>100.8</v>
      </c>
      <c r="E59" s="1873">
        <v>6301.5</v>
      </c>
      <c r="F59" s="1873">
        <v>108.9</v>
      </c>
      <c r="G59" s="1873">
        <v>4518.6000000000004</v>
      </c>
      <c r="H59" s="1873">
        <v>115.1</v>
      </c>
      <c r="I59" s="1873">
        <v>9115.2999999999993</v>
      </c>
      <c r="J59" s="1873">
        <v>139.80000000000001</v>
      </c>
      <c r="K59" s="1873">
        <v>177.6</v>
      </c>
      <c r="L59" s="1873">
        <v>128.19999999999999</v>
      </c>
      <c r="M59" s="1873">
        <v>1.1000000000000001</v>
      </c>
      <c r="N59" s="1873">
        <v>16.399999999999999</v>
      </c>
      <c r="O59" s="1873">
        <v>16</v>
      </c>
    </row>
    <row r="60" spans="1:187" s="1880" customFormat="1" ht="15" hidden="1" customHeight="1">
      <c r="A60" s="1879" t="s">
        <v>27</v>
      </c>
      <c r="B60" s="1873">
        <v>18739.599999999999</v>
      </c>
      <c r="C60" s="1873">
        <v>126.8</v>
      </c>
      <c r="D60" s="1873">
        <v>103.1</v>
      </c>
      <c r="E60" s="1873">
        <v>6762.8</v>
      </c>
      <c r="F60" s="1873">
        <v>109.6</v>
      </c>
      <c r="G60" s="1873">
        <v>5138.5</v>
      </c>
      <c r="H60" s="1873">
        <v>116.6</v>
      </c>
      <c r="I60" s="1873">
        <v>10603.2</v>
      </c>
      <c r="J60" s="1873">
        <v>139.9</v>
      </c>
      <c r="K60" s="1873">
        <v>186.8</v>
      </c>
      <c r="L60" s="1873">
        <v>133.9</v>
      </c>
      <c r="M60" s="1873">
        <v>1.9</v>
      </c>
      <c r="N60" s="1873">
        <v>17.100000000000001</v>
      </c>
      <c r="O60" s="1873">
        <v>16.085514044829001</v>
      </c>
    </row>
    <row r="61" spans="1:187" s="1880" customFormat="1" ht="15" hidden="1" customHeight="1">
      <c r="A61" s="1879" t="s">
        <v>28</v>
      </c>
      <c r="B61" s="1873" t="s">
        <v>39</v>
      </c>
      <c r="C61" s="1873">
        <v>125.4</v>
      </c>
      <c r="D61" s="1873">
        <v>104.3</v>
      </c>
      <c r="E61" s="1873">
        <v>7458.6</v>
      </c>
      <c r="F61" s="1873">
        <v>109.9</v>
      </c>
      <c r="G61" s="1873">
        <v>5746.2</v>
      </c>
      <c r="H61" s="1873">
        <v>116.8</v>
      </c>
      <c r="I61" s="1873">
        <v>12360.5</v>
      </c>
      <c r="J61" s="1873">
        <v>139.69999999999999</v>
      </c>
      <c r="K61" s="1873">
        <v>199</v>
      </c>
      <c r="L61" s="1873">
        <v>141.69999999999999</v>
      </c>
      <c r="M61" s="1873">
        <v>3.2</v>
      </c>
      <c r="N61" s="1873">
        <v>19.2</v>
      </c>
      <c r="O61" s="1873">
        <v>16.399999999999999</v>
      </c>
    </row>
    <row r="62" spans="1:187" s="1880" customFormat="1" ht="16.5" hidden="1" customHeight="1">
      <c r="A62" s="1879" t="s">
        <v>29</v>
      </c>
      <c r="B62" s="1873">
        <v>28360.5</v>
      </c>
      <c r="C62" s="1873">
        <v>125</v>
      </c>
      <c r="D62" s="1873">
        <v>114.4</v>
      </c>
      <c r="E62" s="1873">
        <v>10576.1</v>
      </c>
      <c r="F62" s="1873">
        <v>111.3</v>
      </c>
      <c r="G62" s="1873">
        <v>6774.8</v>
      </c>
      <c r="H62" s="1873">
        <v>117.8</v>
      </c>
      <c r="I62" s="1873">
        <v>14305.6</v>
      </c>
      <c r="J62" s="1873">
        <v>140.30000000000001</v>
      </c>
      <c r="K62" s="1873">
        <v>214</v>
      </c>
      <c r="L62" s="1873">
        <v>142</v>
      </c>
      <c r="M62" s="1873">
        <v>2.5</v>
      </c>
      <c r="N62" s="1873">
        <v>19.636026926081001</v>
      </c>
      <c r="O62" s="1873">
        <v>16.7</v>
      </c>
    </row>
    <row r="63" spans="1:187" s="1880" customFormat="1" ht="15" hidden="1">
      <c r="A63" s="1871">
        <v>2008</v>
      </c>
      <c r="B63" s="1873">
        <v>40137.199999999997</v>
      </c>
      <c r="C63" s="1873">
        <v>110.8</v>
      </c>
      <c r="D63" s="1873">
        <v>127.8</v>
      </c>
      <c r="E63" s="1873">
        <v>15197.3</v>
      </c>
      <c r="F63" s="1873">
        <v>115.9</v>
      </c>
      <c r="G63" s="1873">
        <v>9944.1538</v>
      </c>
      <c r="H63" s="1873">
        <v>134.30000000000001</v>
      </c>
      <c r="I63" s="1873">
        <v>20058.2</v>
      </c>
      <c r="J63" s="1873">
        <v>137.80000000000001</v>
      </c>
      <c r="K63" s="1873">
        <v>268</v>
      </c>
      <c r="L63" s="1873">
        <v>124.2</v>
      </c>
      <c r="M63" s="1873">
        <v>-0.4</v>
      </c>
      <c r="N63" s="1873">
        <v>15.4</v>
      </c>
      <c r="O63" s="1873">
        <v>20.8</v>
      </c>
    </row>
    <row r="64" spans="1:187" s="1880" customFormat="1" ht="15" hidden="1">
      <c r="A64" s="1879" t="s">
        <v>18</v>
      </c>
      <c r="B64" s="1873" t="s">
        <v>40</v>
      </c>
      <c r="C64" s="1873">
        <v>111.3</v>
      </c>
      <c r="D64" s="1873">
        <v>115.7</v>
      </c>
      <c r="E64" s="1873">
        <v>732.4</v>
      </c>
      <c r="F64" s="1873">
        <v>109.6</v>
      </c>
      <c r="G64" s="1873">
        <v>367.2</v>
      </c>
      <c r="H64" s="1873">
        <v>105.1</v>
      </c>
      <c r="I64" s="1873">
        <v>1218.7</v>
      </c>
      <c r="J64" s="1873">
        <v>132.9</v>
      </c>
      <c r="K64" s="1873">
        <v>230</v>
      </c>
      <c r="L64" s="1873">
        <v>131.4</v>
      </c>
      <c r="M64" s="1873">
        <v>2.5</v>
      </c>
      <c r="N64" s="1873">
        <v>15.262619008512999</v>
      </c>
      <c r="O64" s="1873">
        <v>15.3</v>
      </c>
    </row>
    <row r="65" spans="1:15" s="1880" customFormat="1" ht="15" hidden="1">
      <c r="A65" s="1879" t="s">
        <v>19</v>
      </c>
      <c r="B65" s="1873" t="s">
        <v>41</v>
      </c>
      <c r="C65" s="1873">
        <v>113.4</v>
      </c>
      <c r="D65" s="1873">
        <v>118.5</v>
      </c>
      <c r="E65" s="1873">
        <v>1518.3</v>
      </c>
      <c r="F65" s="1873">
        <v>110.1</v>
      </c>
      <c r="G65" s="1873">
        <v>859.9</v>
      </c>
      <c r="H65" s="1873">
        <v>120.5</v>
      </c>
      <c r="I65" s="1873">
        <v>2625.5</v>
      </c>
      <c r="J65" s="1873">
        <v>133</v>
      </c>
      <c r="K65" s="1873">
        <v>231</v>
      </c>
      <c r="L65" s="1873">
        <v>127.6</v>
      </c>
      <c r="M65" s="1873">
        <v>2.2000000000000002</v>
      </c>
      <c r="N65" s="1873">
        <v>16.033538244990002</v>
      </c>
      <c r="O65" s="1873">
        <v>15.7</v>
      </c>
    </row>
    <row r="66" spans="1:15" s="1880" customFormat="1" ht="15" hidden="1">
      <c r="A66" s="1879" t="s">
        <v>20</v>
      </c>
      <c r="B66" s="1873">
        <v>8209.7999999999993</v>
      </c>
      <c r="C66" s="1873">
        <v>113.8</v>
      </c>
      <c r="D66" s="1873">
        <v>137.1</v>
      </c>
      <c r="E66" s="1873">
        <v>2390.8000000000002</v>
      </c>
      <c r="F66" s="1873">
        <v>111.3</v>
      </c>
      <c r="G66" s="1873">
        <v>1409.2</v>
      </c>
      <c r="H66" s="1873">
        <v>121.4</v>
      </c>
      <c r="I66" s="1873">
        <v>4143.8</v>
      </c>
      <c r="J66" s="1873">
        <v>133.1</v>
      </c>
      <c r="K66" s="1873">
        <v>229.8</v>
      </c>
      <c r="L66" s="1873">
        <v>126.5</v>
      </c>
      <c r="M66" s="1873">
        <v>3.1</v>
      </c>
      <c r="N66" s="1873">
        <v>18.3</v>
      </c>
      <c r="O66" s="1873">
        <v>16.5</v>
      </c>
    </row>
    <row r="67" spans="1:15" s="1880" customFormat="1" ht="15" hidden="1">
      <c r="A67" s="1879" t="s">
        <v>21</v>
      </c>
      <c r="B67" s="1873">
        <v>11172.4</v>
      </c>
      <c r="C67" s="1873">
        <v>115</v>
      </c>
      <c r="D67" s="1873">
        <v>135.1</v>
      </c>
      <c r="E67" s="1873">
        <v>3184</v>
      </c>
      <c r="F67" s="1873">
        <v>111.53</v>
      </c>
      <c r="G67" s="1873">
        <v>2031.7</v>
      </c>
      <c r="H67" s="1873">
        <v>121.6</v>
      </c>
      <c r="I67" s="1873">
        <v>5762</v>
      </c>
      <c r="J67" s="1873">
        <v>134</v>
      </c>
      <c r="K67" s="1873">
        <v>237.5</v>
      </c>
      <c r="L67" s="1873">
        <v>123.2</v>
      </c>
      <c r="M67" s="1873">
        <v>3.1</v>
      </c>
      <c r="N67" s="1873">
        <v>21.440726859247999</v>
      </c>
      <c r="O67" s="1873">
        <v>17.8</v>
      </c>
    </row>
    <row r="68" spans="1:15" s="1880" customFormat="1" ht="15" hidden="1">
      <c r="A68" s="1879" t="s">
        <v>22</v>
      </c>
      <c r="B68" s="1873">
        <v>14308.6</v>
      </c>
      <c r="C68" s="1873">
        <v>114.6</v>
      </c>
      <c r="D68" s="1873">
        <v>133.9</v>
      </c>
      <c r="E68" s="1873">
        <v>4047</v>
      </c>
      <c r="F68" s="1873">
        <v>111.9</v>
      </c>
      <c r="G68" s="1873">
        <v>2695.9</v>
      </c>
      <c r="H68" s="1873">
        <v>121.7</v>
      </c>
      <c r="I68" s="1873">
        <v>7380.8</v>
      </c>
      <c r="J68" s="1873">
        <v>134.1</v>
      </c>
      <c r="K68" s="1873">
        <v>242.7</v>
      </c>
      <c r="L68" s="1873">
        <v>124.3</v>
      </c>
      <c r="M68" s="1873">
        <v>2.2999999999999998</v>
      </c>
      <c r="N68" s="1873">
        <v>24.6</v>
      </c>
      <c r="O68" s="1873">
        <v>19.2</v>
      </c>
    </row>
    <row r="69" spans="1:15" s="1880" customFormat="1" ht="15" hidden="1">
      <c r="A69" s="1879" t="s">
        <v>23</v>
      </c>
      <c r="B69" s="1873">
        <v>18505.7</v>
      </c>
      <c r="C69" s="1873">
        <v>116.5</v>
      </c>
      <c r="D69" s="1873">
        <v>131.9</v>
      </c>
      <c r="E69" s="1873">
        <v>5694.6</v>
      </c>
      <c r="F69" s="1873">
        <v>115.6</v>
      </c>
      <c r="G69" s="1873">
        <v>3643.4</v>
      </c>
      <c r="H69" s="1873">
        <v>131.9</v>
      </c>
      <c r="I69" s="1873">
        <v>9041.2000000000007</v>
      </c>
      <c r="J69" s="1873">
        <v>134.19999999999999</v>
      </c>
      <c r="K69" s="1873">
        <v>250.4</v>
      </c>
      <c r="L69" s="1873">
        <v>123.8</v>
      </c>
      <c r="M69" s="1873">
        <v>0.127</v>
      </c>
      <c r="N69" s="1873">
        <v>25.4</v>
      </c>
      <c r="O69" s="1873">
        <v>20.2</v>
      </c>
    </row>
    <row r="70" spans="1:15" s="1880" customFormat="1" ht="15" hidden="1">
      <c r="A70" s="1879" t="s">
        <v>24</v>
      </c>
      <c r="B70" s="1873" t="s">
        <v>42</v>
      </c>
      <c r="C70" s="1873">
        <v>116.7</v>
      </c>
      <c r="D70" s="1873">
        <v>130.6</v>
      </c>
      <c r="E70" s="1873">
        <v>7308.6</v>
      </c>
      <c r="F70" s="1873">
        <v>115</v>
      </c>
      <c r="G70" s="1873">
        <v>4532.1000000000004</v>
      </c>
      <c r="H70" s="1873">
        <v>134.19999999999999</v>
      </c>
      <c r="I70" s="1873">
        <v>10860.6</v>
      </c>
      <c r="J70" s="1873">
        <v>134.6</v>
      </c>
      <c r="K70" s="1873">
        <v>253</v>
      </c>
      <c r="L70" s="1873">
        <v>123.8</v>
      </c>
      <c r="M70" s="1873">
        <v>-0.3</v>
      </c>
      <c r="N70" s="1873">
        <v>24.9</v>
      </c>
      <c r="O70" s="1873">
        <v>20.9</v>
      </c>
    </row>
    <row r="71" spans="1:15" s="1880" customFormat="1" ht="15" hidden="1">
      <c r="A71" s="1879" t="s">
        <v>25</v>
      </c>
      <c r="B71" s="1873">
        <v>25891.9</v>
      </c>
      <c r="C71" s="1873">
        <v>113.2</v>
      </c>
      <c r="D71" s="1873">
        <v>127.8</v>
      </c>
      <c r="E71" s="1873">
        <v>8627.1</v>
      </c>
      <c r="F71" s="1873">
        <v>114.8</v>
      </c>
      <c r="G71" s="1873">
        <v>5396.6</v>
      </c>
      <c r="H71" s="1873">
        <v>136.6</v>
      </c>
      <c r="I71" s="1873">
        <v>12709.5</v>
      </c>
      <c r="J71" s="1873">
        <v>135.4</v>
      </c>
      <c r="K71" s="1873">
        <v>255.3</v>
      </c>
      <c r="L71" s="1873">
        <v>123.4</v>
      </c>
      <c r="M71" s="1873">
        <v>0</v>
      </c>
      <c r="N71" s="1873">
        <v>23.9</v>
      </c>
      <c r="O71" s="1873">
        <v>21.3</v>
      </c>
    </row>
    <row r="72" spans="1:15" s="1880" customFormat="1" ht="15" hidden="1">
      <c r="A72" s="1879" t="s">
        <v>26</v>
      </c>
      <c r="B72" s="1873">
        <v>30370.400000000001</v>
      </c>
      <c r="C72" s="1873">
        <v>115</v>
      </c>
      <c r="D72" s="1873">
        <v>132.69999999999999</v>
      </c>
      <c r="E72" s="1873">
        <v>9853.2000000000007</v>
      </c>
      <c r="F72" s="1873">
        <v>115.4</v>
      </c>
      <c r="G72" s="1873">
        <v>6283</v>
      </c>
      <c r="H72" s="1873">
        <v>138</v>
      </c>
      <c r="I72" s="1873">
        <v>14557.9</v>
      </c>
      <c r="J72" s="1873">
        <v>135.6</v>
      </c>
      <c r="K72" s="1873">
        <v>256.89999999999998</v>
      </c>
      <c r="L72" s="1873">
        <v>123.1</v>
      </c>
      <c r="M72" s="1873">
        <v>0.9</v>
      </c>
      <c r="N72" s="1873">
        <v>23.7</v>
      </c>
      <c r="O72" s="1873">
        <v>21.5</v>
      </c>
    </row>
    <row r="73" spans="1:15" s="1880" customFormat="1" ht="15" hidden="1">
      <c r="A73" s="1879" t="s">
        <v>27</v>
      </c>
      <c r="B73" s="1873">
        <v>32542.400000000001</v>
      </c>
      <c r="C73" s="1873">
        <v>112.7</v>
      </c>
      <c r="D73" s="1873">
        <v>126.7</v>
      </c>
      <c r="E73" s="1873">
        <v>11098.8</v>
      </c>
      <c r="F73" s="1873">
        <v>115.4</v>
      </c>
      <c r="G73" s="1873">
        <v>7171.3</v>
      </c>
      <c r="H73" s="1873">
        <v>138.4</v>
      </c>
      <c r="I73" s="1873">
        <v>16504.2</v>
      </c>
      <c r="J73" s="1873">
        <v>135.69999999999999</v>
      </c>
      <c r="K73" s="1873">
        <v>260.2</v>
      </c>
      <c r="L73" s="1873">
        <v>123.9</v>
      </c>
      <c r="M73" s="1873">
        <v>0.8</v>
      </c>
      <c r="N73" s="1873">
        <v>22.5</v>
      </c>
      <c r="O73" s="1873">
        <v>21.6</v>
      </c>
    </row>
    <row r="74" spans="1:15" s="1880" customFormat="1" ht="15" hidden="1">
      <c r="A74" s="1879" t="s">
        <v>28</v>
      </c>
      <c r="B74" s="1873">
        <v>34660.6</v>
      </c>
      <c r="C74" s="1873">
        <v>111.5</v>
      </c>
      <c r="D74" s="1873">
        <v>121.8</v>
      </c>
      <c r="E74" s="1873">
        <v>12206.2</v>
      </c>
      <c r="F74" s="1873">
        <v>116.3</v>
      </c>
      <c r="G74" s="1873">
        <v>7957.5</v>
      </c>
      <c r="H74" s="1873">
        <v>138.80000000000001</v>
      </c>
      <c r="I74" s="1873">
        <v>18176.8</v>
      </c>
      <c r="J74" s="1873">
        <v>135.80000000000001</v>
      </c>
      <c r="K74" s="1873">
        <v>265.10000000000002</v>
      </c>
      <c r="L74" s="1873">
        <v>124.3</v>
      </c>
      <c r="M74" s="1873">
        <v>0.1</v>
      </c>
      <c r="N74" s="1873">
        <v>18.899999999999999</v>
      </c>
      <c r="O74" s="1873">
        <v>21.4</v>
      </c>
    </row>
    <row r="75" spans="1:15" s="1880" customFormat="1" ht="15" hidden="1">
      <c r="A75" s="1879" t="s">
        <v>29</v>
      </c>
      <c r="B75" s="1873">
        <v>40137.199999999997</v>
      </c>
      <c r="C75" s="1873">
        <v>110.8</v>
      </c>
      <c r="D75" s="1873">
        <v>127.8</v>
      </c>
      <c r="E75" s="1873">
        <v>15197.3</v>
      </c>
      <c r="F75" s="1873">
        <v>115.7</v>
      </c>
      <c r="G75" s="1873">
        <v>9073.6</v>
      </c>
      <c r="H75" s="1873">
        <v>134.30000000000001</v>
      </c>
      <c r="I75" s="1873">
        <v>20058.2</v>
      </c>
      <c r="J75" s="1873">
        <v>137.80000000000001</v>
      </c>
      <c r="K75" s="1873">
        <v>268</v>
      </c>
      <c r="L75" s="1873">
        <v>124.2</v>
      </c>
      <c r="M75" s="1873">
        <v>-0.4</v>
      </c>
      <c r="N75" s="1873">
        <v>15.4</v>
      </c>
      <c r="O75" s="1873">
        <v>20.8</v>
      </c>
    </row>
    <row r="76" spans="1:15" s="1880" customFormat="1" ht="15" hidden="1">
      <c r="A76" s="1879" t="s">
        <v>43</v>
      </c>
      <c r="B76" s="1873">
        <v>35601.5</v>
      </c>
      <c r="C76" s="1873">
        <v>109.3</v>
      </c>
      <c r="D76" s="1873">
        <v>78.8</v>
      </c>
      <c r="E76" s="1873">
        <v>16726</v>
      </c>
      <c r="F76" s="1873">
        <v>103.7</v>
      </c>
      <c r="G76" s="1873">
        <v>7724.9448000000002</v>
      </c>
      <c r="H76" s="1873">
        <v>81.3</v>
      </c>
      <c r="I76" s="1873">
        <v>22396.1</v>
      </c>
      <c r="J76" s="1873">
        <v>108</v>
      </c>
      <c r="K76" s="1873">
        <v>298</v>
      </c>
      <c r="L76" s="1873">
        <v>108.6</v>
      </c>
      <c r="M76" s="1873">
        <v>0.8</v>
      </c>
      <c r="N76" s="1873">
        <v>0.7268374609775492</v>
      </c>
      <c r="O76" s="1873">
        <v>1.532503107893</v>
      </c>
    </row>
    <row r="77" spans="1:15" s="1880" customFormat="1" ht="15" hidden="1">
      <c r="A77" s="1879" t="s">
        <v>18</v>
      </c>
      <c r="B77" s="1873">
        <v>1860</v>
      </c>
      <c r="C77" s="1873">
        <v>97.4</v>
      </c>
      <c r="D77" s="1873">
        <v>83.5</v>
      </c>
      <c r="E77" s="1876">
        <v>891.5</v>
      </c>
      <c r="F77" s="1873">
        <v>102.8</v>
      </c>
      <c r="G77" s="1873">
        <v>277.39999999999998</v>
      </c>
      <c r="H77" s="1873">
        <v>75.400000000000006</v>
      </c>
      <c r="I77" s="1873">
        <v>1434.7</v>
      </c>
      <c r="J77" s="1873">
        <v>121.9</v>
      </c>
      <c r="K77" s="1873">
        <v>291</v>
      </c>
      <c r="L77" s="1873">
        <v>126.5</v>
      </c>
      <c r="M77" s="1873">
        <v>-0.6</v>
      </c>
      <c r="N77" s="1873">
        <v>11.9</v>
      </c>
      <c r="O77" s="1873">
        <v>11.9</v>
      </c>
    </row>
    <row r="78" spans="1:15" s="1880" customFormat="1" ht="15" hidden="1">
      <c r="A78" s="1879" t="s">
        <v>19</v>
      </c>
      <c r="B78" s="1873">
        <v>3859.3</v>
      </c>
      <c r="C78" s="1873">
        <v>103.4</v>
      </c>
      <c r="D78" s="1873">
        <v>66.900000000000006</v>
      </c>
      <c r="E78" s="1876">
        <v>2079.6999999999998</v>
      </c>
      <c r="F78" s="1873">
        <v>113.9</v>
      </c>
      <c r="G78" s="1873">
        <v>1104.5</v>
      </c>
      <c r="H78" s="1873">
        <v>127.2</v>
      </c>
      <c r="I78" s="1873">
        <v>3069</v>
      </c>
      <c r="J78" s="1873">
        <v>120.8</v>
      </c>
      <c r="K78" s="1873">
        <v>292</v>
      </c>
      <c r="L78" s="1873">
        <v>126.4</v>
      </c>
      <c r="M78" s="1873">
        <v>-0.76537810000000661</v>
      </c>
      <c r="N78" s="1873">
        <v>8.6999999999999993</v>
      </c>
      <c r="O78" s="1873">
        <v>10.3</v>
      </c>
    </row>
    <row r="79" spans="1:15" s="1880" customFormat="1" ht="15" hidden="1">
      <c r="A79" s="1879" t="s">
        <v>20</v>
      </c>
      <c r="B79" s="1873">
        <v>6741.8</v>
      </c>
      <c r="C79" s="1873">
        <v>104.1</v>
      </c>
      <c r="D79" s="1873">
        <v>71.5</v>
      </c>
      <c r="E79" s="1876">
        <v>3549.3</v>
      </c>
      <c r="F79" s="1873">
        <v>113.7</v>
      </c>
      <c r="G79" s="1873">
        <v>1638.9</v>
      </c>
      <c r="H79" s="1873">
        <v>115.2</v>
      </c>
      <c r="I79" s="1873">
        <v>4964</v>
      </c>
      <c r="J79" s="1873">
        <v>121</v>
      </c>
      <c r="K79" s="1873">
        <v>292</v>
      </c>
      <c r="L79" s="1873">
        <v>126.5</v>
      </c>
      <c r="M79" s="1873">
        <v>-0.70000000000000284</v>
      </c>
      <c r="N79" s="1873">
        <v>4.6372758575097635</v>
      </c>
      <c r="O79" s="1873">
        <v>8.3918483480587867</v>
      </c>
    </row>
    <row r="80" spans="1:15" s="1880" customFormat="1" ht="15" hidden="1">
      <c r="A80" s="1879" t="s">
        <v>21</v>
      </c>
      <c r="B80" s="1873" t="s">
        <v>44</v>
      </c>
      <c r="C80" s="1873">
        <v>104.3</v>
      </c>
      <c r="D80" s="1873">
        <v>64.7</v>
      </c>
      <c r="E80" s="1876">
        <v>4564.7</v>
      </c>
      <c r="F80" s="1873">
        <v>108.4</v>
      </c>
      <c r="G80" s="1873">
        <v>2159.1</v>
      </c>
      <c r="H80" s="1873">
        <v>105.2</v>
      </c>
      <c r="I80" s="1873">
        <v>6738</v>
      </c>
      <c r="J80" s="1873">
        <v>120.3</v>
      </c>
      <c r="K80" s="1873">
        <v>295.7</v>
      </c>
      <c r="L80" s="1873">
        <v>124.5</v>
      </c>
      <c r="M80" s="1873">
        <v>-0.2</v>
      </c>
      <c r="N80" s="1873">
        <v>1.3</v>
      </c>
      <c r="O80" s="1873">
        <v>6.6</v>
      </c>
    </row>
    <row r="81" spans="1:15" s="1880" customFormat="1" ht="15" hidden="1">
      <c r="A81" s="1879" t="s">
        <v>22</v>
      </c>
      <c r="B81" s="1873" t="s">
        <v>45</v>
      </c>
      <c r="C81" s="1873">
        <v>104.4</v>
      </c>
      <c r="D81" s="1873">
        <v>63.9</v>
      </c>
      <c r="E81" s="1876">
        <v>5392.2</v>
      </c>
      <c r="F81" s="1873">
        <v>106.6</v>
      </c>
      <c r="G81" s="1873">
        <v>2698.6</v>
      </c>
      <c r="H81" s="1873">
        <v>100.4</v>
      </c>
      <c r="I81" s="1873">
        <v>8584.2000000000007</v>
      </c>
      <c r="J81" s="1873">
        <v>118.5</v>
      </c>
      <c r="K81" s="1873">
        <v>296.5</v>
      </c>
      <c r="L81" s="1873">
        <v>122.2</v>
      </c>
      <c r="M81" s="1873">
        <v>-0.2</v>
      </c>
      <c r="N81" s="1873">
        <v>-1.2</v>
      </c>
      <c r="O81" s="1873">
        <v>4.9000000000000004</v>
      </c>
    </row>
    <row r="82" spans="1:15" s="1880" customFormat="1" ht="15" hidden="1">
      <c r="A82" s="1879" t="s">
        <v>23</v>
      </c>
      <c r="B82" s="1873">
        <v>14287.7</v>
      </c>
      <c r="C82" s="1873">
        <v>103.6</v>
      </c>
      <c r="D82" s="1873">
        <v>64.599999999999994</v>
      </c>
      <c r="E82" s="1876">
        <v>6713.7</v>
      </c>
      <c r="F82" s="1873">
        <v>104.1</v>
      </c>
      <c r="G82" s="1873">
        <v>3374.9</v>
      </c>
      <c r="H82" s="1873">
        <v>92.9</v>
      </c>
      <c r="I82" s="1873">
        <v>10584.2</v>
      </c>
      <c r="J82" s="1873">
        <v>116.2</v>
      </c>
      <c r="K82" s="1873">
        <v>298</v>
      </c>
      <c r="L82" s="1873">
        <v>119</v>
      </c>
      <c r="M82" s="1873">
        <v>-0.6</v>
      </c>
      <c r="N82" s="1873">
        <v>-1.8799988929116864</v>
      </c>
      <c r="O82" s="1873">
        <v>3.7</v>
      </c>
    </row>
    <row r="83" spans="1:15" s="1880" customFormat="1" ht="15" hidden="1">
      <c r="A83" s="1879" t="s">
        <v>24</v>
      </c>
      <c r="B83" s="1873" t="s">
        <v>46</v>
      </c>
      <c r="C83" s="1873">
        <v>102.7</v>
      </c>
      <c r="D83" s="1873">
        <v>65.5</v>
      </c>
      <c r="E83" s="1876">
        <v>8315.7000000000007</v>
      </c>
      <c r="F83" s="1873">
        <v>103.6</v>
      </c>
      <c r="G83" s="1873">
        <v>4082.5</v>
      </c>
      <c r="H83" s="1873">
        <v>90.3</v>
      </c>
      <c r="I83" s="1873">
        <v>12530.5</v>
      </c>
      <c r="J83" s="1873">
        <v>113.6</v>
      </c>
      <c r="K83" s="1873">
        <v>298</v>
      </c>
      <c r="L83" s="1873">
        <v>117.8</v>
      </c>
      <c r="M83" s="1873">
        <v>0.8</v>
      </c>
      <c r="N83" s="1873">
        <v>-0.82115292742555823</v>
      </c>
      <c r="O83" s="1873">
        <v>3.1</v>
      </c>
    </row>
    <row r="84" spans="1:15" s="1880" customFormat="1" ht="15" hidden="1">
      <c r="A84" s="1879" t="s">
        <v>25</v>
      </c>
      <c r="B84" s="1873" t="s">
        <v>47</v>
      </c>
      <c r="C84" s="1873">
        <v>105</v>
      </c>
      <c r="D84" s="1873">
        <v>68.2</v>
      </c>
      <c r="E84" s="1876">
        <v>9502.1</v>
      </c>
      <c r="F84" s="1873">
        <v>101.5</v>
      </c>
      <c r="G84" s="1873">
        <v>4562.5</v>
      </c>
      <c r="H84" s="1873">
        <v>84.7</v>
      </c>
      <c r="I84" s="1873">
        <v>14583.5</v>
      </c>
      <c r="J84" s="1873">
        <v>112.6</v>
      </c>
      <c r="K84" s="1873">
        <v>298</v>
      </c>
      <c r="L84" s="1873">
        <v>116.7</v>
      </c>
      <c r="M84" s="1873">
        <v>0.1</v>
      </c>
      <c r="N84" s="1873">
        <v>-0.69344184864097258</v>
      </c>
      <c r="O84" s="1873">
        <v>2.6</v>
      </c>
    </row>
    <row r="85" spans="1:15" s="1880" customFormat="1" ht="15" hidden="1">
      <c r="A85" s="1879" t="s">
        <v>26</v>
      </c>
      <c r="B85" s="1873">
        <v>23427.1</v>
      </c>
      <c r="C85" s="1873">
        <v>106.1</v>
      </c>
      <c r="D85" s="1873">
        <v>68.7</v>
      </c>
      <c r="E85" s="1876">
        <v>10676.6</v>
      </c>
      <c r="F85" s="1873">
        <v>100.8</v>
      </c>
      <c r="G85" s="1873">
        <v>5199.3999999999996</v>
      </c>
      <c r="H85" s="1873">
        <v>82.9</v>
      </c>
      <c r="I85" s="1873">
        <v>16082.6</v>
      </c>
      <c r="J85" s="1873">
        <v>109.8</v>
      </c>
      <c r="K85" s="1873">
        <v>296.60000000000002</v>
      </c>
      <c r="L85" s="1873">
        <v>115.5</v>
      </c>
      <c r="M85" s="1873">
        <v>0.4</v>
      </c>
      <c r="N85" s="1873">
        <v>-1.536024194061568</v>
      </c>
      <c r="O85" s="1873">
        <v>2.1</v>
      </c>
    </row>
    <row r="86" spans="1:15" s="1880" customFormat="1" ht="15" hidden="1">
      <c r="A86" s="1879" t="s">
        <v>27</v>
      </c>
      <c r="B86" s="1873">
        <v>26647.5</v>
      </c>
      <c r="C86" s="1873">
        <v>108.3</v>
      </c>
      <c r="D86" s="1873">
        <v>71.5</v>
      </c>
      <c r="E86" s="1876">
        <v>12029.3</v>
      </c>
      <c r="F86" s="1873">
        <v>101.1</v>
      </c>
      <c r="G86" s="1873">
        <v>5922.7</v>
      </c>
      <c r="H86" s="1873">
        <v>82.8</v>
      </c>
      <c r="I86" s="1873">
        <v>18073.900000000001</v>
      </c>
      <c r="J86" s="1873">
        <v>107.8</v>
      </c>
      <c r="K86" s="1873">
        <v>296.3</v>
      </c>
      <c r="L86" s="1873">
        <v>113.9</v>
      </c>
      <c r="M86" s="1873">
        <v>0.35242309999999999</v>
      </c>
      <c r="N86" s="1873">
        <v>-1.7</v>
      </c>
      <c r="O86" s="1873">
        <v>1.7</v>
      </c>
    </row>
    <row r="87" spans="1:15" s="1880" customFormat="1" ht="15" hidden="1">
      <c r="A87" s="1879" t="s">
        <v>28</v>
      </c>
      <c r="B87" s="1873">
        <v>29654.2</v>
      </c>
      <c r="C87" s="1873">
        <v>109</v>
      </c>
      <c r="D87" s="1873">
        <v>74.5</v>
      </c>
      <c r="E87" s="1876">
        <v>13227.9</v>
      </c>
      <c r="F87" s="1873">
        <v>101</v>
      </c>
      <c r="G87" s="1873">
        <v>6444.4</v>
      </c>
      <c r="H87" s="1873">
        <v>81.2</v>
      </c>
      <c r="I87" s="1873">
        <v>19816.2</v>
      </c>
      <c r="J87" s="1873">
        <v>107.6</v>
      </c>
      <c r="K87" s="1873">
        <v>296</v>
      </c>
      <c r="L87" s="1873">
        <v>111.7</v>
      </c>
      <c r="M87" s="1873">
        <v>1.2983884999999999</v>
      </c>
      <c r="N87" s="1873">
        <v>-0.53634470074491958</v>
      </c>
      <c r="O87" s="1873">
        <v>1.532503107893</v>
      </c>
    </row>
    <row r="88" spans="1:15" s="1880" customFormat="1" ht="15" hidden="1">
      <c r="A88" s="1879" t="s">
        <v>29</v>
      </c>
      <c r="B88" s="1873">
        <v>35601.5</v>
      </c>
      <c r="C88" s="1873">
        <v>109.3</v>
      </c>
      <c r="D88" s="1873">
        <v>78.8</v>
      </c>
      <c r="E88" s="1876">
        <v>16726</v>
      </c>
      <c r="F88" s="1873">
        <v>103.2</v>
      </c>
      <c r="G88" s="1873">
        <v>7358.7</v>
      </c>
      <c r="H88" s="1873">
        <v>81.3</v>
      </c>
      <c r="I88" s="1873">
        <v>22396.1</v>
      </c>
      <c r="J88" s="1873">
        <v>108</v>
      </c>
      <c r="K88" s="1873">
        <v>298</v>
      </c>
      <c r="L88" s="1873">
        <v>108.6</v>
      </c>
      <c r="M88" s="1873">
        <v>0.8</v>
      </c>
      <c r="N88" s="1873">
        <v>0.7268374609775492</v>
      </c>
      <c r="O88" s="1873">
        <v>1.532503107893</v>
      </c>
    </row>
    <row r="89" spans="1:15" s="1884" customFormat="1" ht="14.25" hidden="1">
      <c r="A89" s="1879" t="s">
        <v>48</v>
      </c>
      <c r="B89" s="1882">
        <v>42465</v>
      </c>
      <c r="C89" s="1882">
        <v>105</v>
      </c>
      <c r="D89" s="1882">
        <v>111.3</v>
      </c>
      <c r="E89" s="1883">
        <v>19179</v>
      </c>
      <c r="F89" s="1882">
        <v>107.7</v>
      </c>
      <c r="G89" s="1882">
        <v>9905.6658000000007</v>
      </c>
      <c r="H89" s="1882">
        <v>121.2</v>
      </c>
      <c r="I89" s="1882">
        <v>25605.599999999999</v>
      </c>
      <c r="J89" s="1882">
        <v>113.3</v>
      </c>
      <c r="K89" s="1882">
        <v>331.5</v>
      </c>
      <c r="L89" s="1882">
        <v>111.24161073825502</v>
      </c>
      <c r="M89" s="1882">
        <v>1.4</v>
      </c>
      <c r="N89" s="1882">
        <v>7.9320063168250003</v>
      </c>
      <c r="O89" s="1882">
        <v>5.7</v>
      </c>
    </row>
    <row r="90" spans="1:15" s="1880" customFormat="1" ht="15" hidden="1">
      <c r="A90" s="1879" t="s">
        <v>18</v>
      </c>
      <c r="B90" s="1873">
        <v>3212</v>
      </c>
      <c r="C90" s="1873">
        <v>109.2</v>
      </c>
      <c r="D90" s="1873">
        <v>140.4</v>
      </c>
      <c r="E90" s="1876">
        <v>1147.5</v>
      </c>
      <c r="F90" s="1873">
        <v>104.7</v>
      </c>
      <c r="G90" s="1873">
        <v>401.3</v>
      </c>
      <c r="H90" s="1873">
        <v>105.6</v>
      </c>
      <c r="I90" s="1873">
        <v>1526.9</v>
      </c>
      <c r="J90" s="1873">
        <v>106.4</v>
      </c>
      <c r="K90" s="1873">
        <v>296.89999999999998</v>
      </c>
      <c r="L90" s="1873">
        <v>102</v>
      </c>
      <c r="M90" s="1873">
        <v>0.5</v>
      </c>
      <c r="N90" s="1873">
        <v>1.8</v>
      </c>
      <c r="O90" s="1873">
        <v>1.8</v>
      </c>
    </row>
    <row r="91" spans="1:15" s="1880" customFormat="1" ht="15" hidden="1">
      <c r="A91" s="1879" t="s">
        <v>19</v>
      </c>
      <c r="B91" s="1873">
        <v>6128</v>
      </c>
      <c r="C91" s="1873">
        <v>105.6</v>
      </c>
      <c r="D91" s="1873">
        <v>137.9</v>
      </c>
      <c r="E91" s="1876">
        <v>2236.4</v>
      </c>
      <c r="F91" s="1873">
        <v>104.2</v>
      </c>
      <c r="G91" s="1873">
        <v>1076.7</v>
      </c>
      <c r="H91" s="1873">
        <v>102.4</v>
      </c>
      <c r="I91" s="1873">
        <v>3201</v>
      </c>
      <c r="J91" s="1873">
        <v>104.3</v>
      </c>
      <c r="K91" s="1873">
        <v>298.2</v>
      </c>
      <c r="L91" s="1873">
        <v>102.1</v>
      </c>
      <c r="M91" s="1873">
        <v>1.1000000000000001</v>
      </c>
      <c r="N91" s="1873">
        <v>3.7412374951220002</v>
      </c>
      <c r="O91" s="1873">
        <v>2.8</v>
      </c>
    </row>
    <row r="92" spans="1:15" s="1880" customFormat="1" ht="15" hidden="1">
      <c r="A92" s="1879" t="s">
        <v>20</v>
      </c>
      <c r="B92" s="1873">
        <v>9551.6</v>
      </c>
      <c r="C92" s="1873">
        <v>105.4</v>
      </c>
      <c r="D92" s="1873">
        <v>134.30000000000001</v>
      </c>
      <c r="E92" s="1876">
        <v>3613.2</v>
      </c>
      <c r="F92" s="1873">
        <v>104.3</v>
      </c>
      <c r="G92" s="1873">
        <v>1636.8</v>
      </c>
      <c r="H92" s="1873">
        <v>104.9</v>
      </c>
      <c r="I92" s="1873">
        <v>5183.8</v>
      </c>
      <c r="J92" s="1873">
        <v>106.5</v>
      </c>
      <c r="K92" s="1873">
        <v>304</v>
      </c>
      <c r="L92" s="1873">
        <v>104.1</v>
      </c>
      <c r="M92" s="1873">
        <v>1.3</v>
      </c>
      <c r="N92" s="1873">
        <v>5.8</v>
      </c>
      <c r="O92" s="1873">
        <v>3.8</v>
      </c>
    </row>
    <row r="93" spans="1:15" s="1880" customFormat="1" ht="15" hidden="1">
      <c r="A93" s="1879" t="s">
        <v>21</v>
      </c>
      <c r="B93" s="1873">
        <v>12984.9</v>
      </c>
      <c r="C93" s="1873">
        <v>105</v>
      </c>
      <c r="D93" s="1873">
        <v>130.69999999999999</v>
      </c>
      <c r="E93" s="1876">
        <v>4931.7</v>
      </c>
      <c r="F93" s="1873">
        <v>105</v>
      </c>
      <c r="G93" s="1873">
        <v>2291.3000000000002</v>
      </c>
      <c r="H93" s="1873">
        <v>105.5</v>
      </c>
      <c r="I93" s="1873">
        <v>7320</v>
      </c>
      <c r="J93" s="1873">
        <v>108.6</v>
      </c>
      <c r="K93" s="1873">
        <v>309.8</v>
      </c>
      <c r="L93" s="1873">
        <v>104.8</v>
      </c>
      <c r="M93" s="1873">
        <v>0</v>
      </c>
      <c r="N93" s="1873">
        <v>6</v>
      </c>
      <c r="O93" s="1873">
        <v>4.4000000000000004</v>
      </c>
    </row>
    <row r="94" spans="1:15" s="1880" customFormat="1" ht="15" hidden="1">
      <c r="A94" s="1879" t="s">
        <v>22</v>
      </c>
      <c r="B94" s="1873">
        <v>16533.900000000001</v>
      </c>
      <c r="C94" s="1873">
        <v>104.3</v>
      </c>
      <c r="D94" s="1873">
        <v>129.69999999999999</v>
      </c>
      <c r="E94" s="1876">
        <v>6392.4</v>
      </c>
      <c r="F94" s="1873">
        <v>104.9</v>
      </c>
      <c r="G94" s="1873">
        <v>3021.3</v>
      </c>
      <c r="H94" s="1873">
        <v>111.3</v>
      </c>
      <c r="I94" s="1873">
        <v>9403.1</v>
      </c>
      <c r="J94" s="1873">
        <v>109.5</v>
      </c>
      <c r="K94" s="1873">
        <v>313.89999999999998</v>
      </c>
      <c r="L94" s="1873">
        <v>105.9</v>
      </c>
      <c r="M94" s="1873">
        <v>-0.2</v>
      </c>
      <c r="N94" s="1873">
        <v>6.1</v>
      </c>
      <c r="O94" s="1873">
        <v>4.7</v>
      </c>
    </row>
    <row r="95" spans="1:15" s="1880" customFormat="1" ht="15" hidden="1">
      <c r="A95" s="1879" t="s">
        <v>23</v>
      </c>
      <c r="B95" s="1873">
        <v>19680</v>
      </c>
      <c r="C95" s="1873">
        <v>103.7</v>
      </c>
      <c r="D95" s="1873">
        <v>125.2</v>
      </c>
      <c r="E95" s="1876">
        <v>7865</v>
      </c>
      <c r="F95" s="1873">
        <v>104.7</v>
      </c>
      <c r="G95" s="1873">
        <v>3766.9</v>
      </c>
      <c r="H95" s="1873">
        <v>110.9</v>
      </c>
      <c r="I95" s="1873">
        <v>11483.7</v>
      </c>
      <c r="J95" s="1873">
        <v>109.7</v>
      </c>
      <c r="K95" s="1873">
        <v>315.2</v>
      </c>
      <c r="L95" s="1873">
        <v>105</v>
      </c>
      <c r="M95" s="1873">
        <v>-0.61972480000000019</v>
      </c>
      <c r="N95" s="1873">
        <v>6.062452538594</v>
      </c>
      <c r="O95" s="1873">
        <v>4.9000000000000004</v>
      </c>
    </row>
    <row r="96" spans="1:15" s="1880" customFormat="1" ht="15" hidden="1">
      <c r="A96" s="1879" t="s">
        <v>24</v>
      </c>
      <c r="B96" s="1873">
        <v>23154.7</v>
      </c>
      <c r="C96" s="1873">
        <v>103.5</v>
      </c>
      <c r="D96" s="1873">
        <v>120.3</v>
      </c>
      <c r="E96" s="1876">
        <v>9674.1</v>
      </c>
      <c r="F96" s="1873">
        <v>104.2</v>
      </c>
      <c r="G96" s="1873">
        <v>4567.3999999999996</v>
      </c>
      <c r="H96" s="1873">
        <v>111.2</v>
      </c>
      <c r="I96" s="1873">
        <v>13604</v>
      </c>
      <c r="J96" s="1873">
        <v>109.3</v>
      </c>
      <c r="K96" s="1873">
        <v>316.3</v>
      </c>
      <c r="L96" s="1873">
        <v>105.3</v>
      </c>
      <c r="M96" s="1873">
        <v>-0.2</v>
      </c>
      <c r="N96" s="1873">
        <v>5</v>
      </c>
      <c r="O96" s="1873">
        <v>4.9000000000000004</v>
      </c>
    </row>
    <row r="97" spans="1:15" s="1880" customFormat="1" ht="15" hidden="1">
      <c r="A97" s="1879" t="s">
        <v>25</v>
      </c>
      <c r="B97" s="1873">
        <v>26189.599999999999</v>
      </c>
      <c r="C97" s="1873">
        <v>103.8</v>
      </c>
      <c r="D97" s="1873">
        <v>116.8</v>
      </c>
      <c r="E97" s="1876">
        <v>10964.9</v>
      </c>
      <c r="F97" s="1873">
        <v>104.5</v>
      </c>
      <c r="G97" s="1873">
        <v>5218.1000000000004</v>
      </c>
      <c r="H97" s="1873">
        <v>111.3</v>
      </c>
      <c r="I97" s="1873">
        <v>15832.8</v>
      </c>
      <c r="J97" s="1873">
        <v>111</v>
      </c>
      <c r="K97" s="1873">
        <v>317.39999999999998</v>
      </c>
      <c r="L97" s="1873">
        <v>105.7</v>
      </c>
      <c r="M97" s="1873">
        <v>0.69996259999999999</v>
      </c>
      <c r="N97" s="1873">
        <v>5.7</v>
      </c>
      <c r="O97" s="1873">
        <v>5.0336515161650004</v>
      </c>
    </row>
    <row r="98" spans="1:15" ht="15" hidden="1" customHeight="1">
      <c r="A98" s="1879" t="s">
        <v>26</v>
      </c>
      <c r="B98" s="1873">
        <v>29308</v>
      </c>
      <c r="C98" s="1873">
        <v>104.1</v>
      </c>
      <c r="D98" s="1873">
        <v>115.6</v>
      </c>
      <c r="E98" s="1876">
        <v>12394.8</v>
      </c>
      <c r="F98" s="1873">
        <v>105.2</v>
      </c>
      <c r="G98" s="1873">
        <v>6157.8</v>
      </c>
      <c r="H98" s="1873">
        <v>115.2</v>
      </c>
      <c r="I98" s="1873">
        <v>17979.2</v>
      </c>
      <c r="J98" s="1873">
        <v>111.3</v>
      </c>
      <c r="K98" s="1873">
        <v>319.10000000000002</v>
      </c>
      <c r="L98" s="1873">
        <v>106.6</v>
      </c>
      <c r="M98" s="1873">
        <v>0.9</v>
      </c>
      <c r="N98" s="1873">
        <v>6.3</v>
      </c>
      <c r="O98" s="1873">
        <v>5.2</v>
      </c>
    </row>
    <row r="99" spans="1:15" ht="15" hidden="1" customHeight="1">
      <c r="A99" s="1879" t="s">
        <v>27</v>
      </c>
      <c r="B99" s="1873">
        <v>32499.5</v>
      </c>
      <c r="C99" s="1873">
        <v>104.1</v>
      </c>
      <c r="D99" s="1873">
        <v>113.9</v>
      </c>
      <c r="E99" s="1876">
        <v>13732.4</v>
      </c>
      <c r="F99" s="1873">
        <v>105.4</v>
      </c>
      <c r="G99" s="1873">
        <v>7057.8</v>
      </c>
      <c r="H99" s="1873">
        <v>114.8</v>
      </c>
      <c r="I99" s="1873">
        <v>20290.2</v>
      </c>
      <c r="J99" s="1873">
        <v>111.7</v>
      </c>
      <c r="K99" s="1873">
        <v>320</v>
      </c>
      <c r="L99" s="1873">
        <v>107.2</v>
      </c>
      <c r="M99" s="1873">
        <v>0.9</v>
      </c>
      <c r="N99" s="1873">
        <v>6.9</v>
      </c>
      <c r="O99" s="1873">
        <v>5.3</v>
      </c>
    </row>
    <row r="100" spans="1:15" ht="15" hidden="1" customHeight="1">
      <c r="A100" s="1879" t="s">
        <v>28</v>
      </c>
      <c r="B100" s="1873">
        <v>36575.4</v>
      </c>
      <c r="C100" s="1873">
        <v>104.5</v>
      </c>
      <c r="D100" s="1873">
        <v>113.8</v>
      </c>
      <c r="E100" s="1876">
        <v>15506.9</v>
      </c>
      <c r="F100" s="1873">
        <v>105.9</v>
      </c>
      <c r="G100" s="1873">
        <v>7704.5</v>
      </c>
      <c r="H100" s="1873">
        <v>115.2</v>
      </c>
      <c r="I100" s="1873">
        <v>22678.400000000001</v>
      </c>
      <c r="J100" s="1873">
        <v>112</v>
      </c>
      <c r="K100" s="1873">
        <v>321.2</v>
      </c>
      <c r="L100" s="1873">
        <v>107.7</v>
      </c>
      <c r="M100" s="1873">
        <v>1.7737821000000054</v>
      </c>
      <c r="N100" s="1873">
        <v>7.3664508086809999</v>
      </c>
      <c r="O100" s="1873">
        <v>5.527390410604994</v>
      </c>
    </row>
    <row r="101" spans="1:15" ht="15" hidden="1" customHeight="1">
      <c r="A101" s="1879" t="s">
        <v>29</v>
      </c>
      <c r="B101" s="1873">
        <v>42465</v>
      </c>
      <c r="C101" s="1873">
        <v>105</v>
      </c>
      <c r="D101" s="1873">
        <v>111.3</v>
      </c>
      <c r="E101" s="1873">
        <v>19179</v>
      </c>
      <c r="F101" s="1873">
        <v>107.9</v>
      </c>
      <c r="G101" s="1873">
        <v>9715.2000000000007</v>
      </c>
      <c r="H101" s="1873">
        <v>121.2</v>
      </c>
      <c r="I101" s="1873">
        <v>25605.599999999999</v>
      </c>
      <c r="J101" s="1873">
        <v>113.3</v>
      </c>
      <c r="K101" s="1873">
        <v>325</v>
      </c>
      <c r="L101" s="1873">
        <v>109.1</v>
      </c>
      <c r="M101" s="1873">
        <v>1.4</v>
      </c>
      <c r="N101" s="1873">
        <v>7.9320063168250003</v>
      </c>
      <c r="O101" s="1873">
        <v>5.7</v>
      </c>
    </row>
    <row r="102" spans="1:15" s="1865" customFormat="1" ht="15" hidden="1" customHeight="1">
      <c r="A102" s="1885" t="s">
        <v>1030</v>
      </c>
      <c r="B102" s="1886">
        <v>52082</v>
      </c>
      <c r="C102" s="1886">
        <v>100.1</v>
      </c>
      <c r="D102" s="1886">
        <v>117.8</v>
      </c>
      <c r="E102" s="1886">
        <v>23196.1</v>
      </c>
      <c r="F102" s="1886">
        <v>109.4</v>
      </c>
      <c r="G102" s="1886">
        <v>12799.1</v>
      </c>
      <c r="H102" s="1886">
        <v>127.3</v>
      </c>
      <c r="I102" s="1886">
        <v>30524.6</v>
      </c>
      <c r="J102" s="1886">
        <v>119.6</v>
      </c>
      <c r="K102" s="1886">
        <v>364.2</v>
      </c>
      <c r="L102" s="1886">
        <v>109.86425339366515</v>
      </c>
      <c r="M102" s="1886">
        <v>0.9</v>
      </c>
      <c r="N102" s="1886">
        <f>+N114</f>
        <v>5.5911934944952435</v>
      </c>
      <c r="O102" s="1886">
        <v>7.9</v>
      </c>
    </row>
    <row r="103" spans="1:15" ht="15" hidden="1" customHeight="1">
      <c r="A103" s="1885" t="s">
        <v>18</v>
      </c>
      <c r="B103" s="1887">
        <v>3442.5</v>
      </c>
      <c r="C103" s="1887">
        <v>100.8</v>
      </c>
      <c r="D103" s="1887">
        <v>109.1</v>
      </c>
      <c r="E103" s="1887">
        <v>1412.8</v>
      </c>
      <c r="F103" s="1887">
        <v>106.6</v>
      </c>
      <c r="G103" s="1887">
        <v>432</v>
      </c>
      <c r="H103" s="1887">
        <v>101.7</v>
      </c>
      <c r="I103" s="1887">
        <v>1910.7</v>
      </c>
      <c r="J103" s="1887">
        <v>114.3</v>
      </c>
      <c r="K103" s="1887">
        <v>325.10000000000002</v>
      </c>
      <c r="L103" s="1887">
        <v>109.5</v>
      </c>
      <c r="M103" s="1887">
        <v>0.8</v>
      </c>
      <c r="N103" s="1887">
        <v>8.3177324881610009</v>
      </c>
      <c r="O103" s="1887">
        <v>8.3000000000000007</v>
      </c>
    </row>
    <row r="104" spans="1:15" ht="15" hidden="1" customHeight="1">
      <c r="A104" s="1885" t="s">
        <v>19</v>
      </c>
      <c r="B104" s="1887">
        <v>6711.5</v>
      </c>
      <c r="C104" s="1887">
        <v>101.4</v>
      </c>
      <c r="D104" s="1887">
        <v>110.2</v>
      </c>
      <c r="E104" s="1887">
        <v>2747.2</v>
      </c>
      <c r="F104" s="1887">
        <v>103.8</v>
      </c>
      <c r="G104" s="1887">
        <v>1120.3</v>
      </c>
      <c r="H104" s="1887">
        <v>98.3</v>
      </c>
      <c r="I104" s="1887">
        <v>4158.3999999999996</v>
      </c>
      <c r="J104" s="1887">
        <v>114.5</v>
      </c>
      <c r="K104" s="1887">
        <v>332.3</v>
      </c>
      <c r="L104" s="1887">
        <v>111.4</v>
      </c>
      <c r="M104" s="1887">
        <v>2.2000000000000002</v>
      </c>
      <c r="N104" s="1887">
        <v>9.5436479892725856</v>
      </c>
      <c r="O104" s="1887">
        <v>8.9</v>
      </c>
    </row>
    <row r="105" spans="1:15" ht="15" hidden="1" customHeight="1">
      <c r="A105" s="1885" t="s">
        <v>20</v>
      </c>
      <c r="B105" s="1887">
        <v>10421.1</v>
      </c>
      <c r="C105" s="1887">
        <v>101.6</v>
      </c>
      <c r="D105" s="1887">
        <v>111</v>
      </c>
      <c r="E105" s="1887">
        <v>4448.3</v>
      </c>
      <c r="F105" s="1887">
        <v>105.6</v>
      </c>
      <c r="G105" s="1887">
        <v>1775.8</v>
      </c>
      <c r="H105" s="1887">
        <v>102.5</v>
      </c>
      <c r="I105" s="1887">
        <v>6496.5</v>
      </c>
      <c r="J105" s="1887">
        <v>116.8</v>
      </c>
      <c r="K105" s="1887">
        <v>339.6</v>
      </c>
      <c r="L105" s="1887">
        <v>111.7</v>
      </c>
      <c r="M105" s="1887">
        <v>1.1000000000000001</v>
      </c>
      <c r="N105" s="1887">
        <v>9.3032358668667001</v>
      </c>
      <c r="O105" s="1887">
        <v>9.0548721147670008</v>
      </c>
    </row>
    <row r="106" spans="1:15" ht="15" hidden="1" customHeight="1">
      <c r="A106" s="1885" t="s">
        <v>21</v>
      </c>
      <c r="B106" s="1887">
        <v>13714.9</v>
      </c>
      <c r="C106" s="1887">
        <v>100.8</v>
      </c>
      <c r="D106" s="1887">
        <v>109.6</v>
      </c>
      <c r="E106" s="1887">
        <v>5792.5</v>
      </c>
      <c r="F106" s="1887">
        <v>106.2</v>
      </c>
      <c r="G106" s="1887">
        <v>2589.1999999999998</v>
      </c>
      <c r="H106" s="1887">
        <v>112</v>
      </c>
      <c r="I106" s="1887">
        <v>8858.9</v>
      </c>
      <c r="J106" s="1887">
        <v>116</v>
      </c>
      <c r="K106" s="1887">
        <v>348.6</v>
      </c>
      <c r="L106" s="1887">
        <v>112.5</v>
      </c>
      <c r="M106" s="1887">
        <v>-0.29999999999999716</v>
      </c>
      <c r="N106" s="1887">
        <v>8.9344735259792003</v>
      </c>
      <c r="O106" s="1887">
        <v>9</v>
      </c>
    </row>
    <row r="107" spans="1:15" ht="15" hidden="1" customHeight="1">
      <c r="A107" s="1885" t="s">
        <v>22</v>
      </c>
      <c r="B107" s="1887">
        <v>17596.599999999999</v>
      </c>
      <c r="C107" s="1887">
        <v>100.8</v>
      </c>
      <c r="D107" s="1887">
        <v>109.3</v>
      </c>
      <c r="E107" s="1887">
        <v>7549.6</v>
      </c>
      <c r="F107" s="1887">
        <v>106.6</v>
      </c>
      <c r="G107" s="1887">
        <v>3415.7</v>
      </c>
      <c r="H107" s="1887">
        <v>112.1</v>
      </c>
      <c r="I107" s="1887">
        <v>11192.5</v>
      </c>
      <c r="J107" s="1887">
        <v>116.5</v>
      </c>
      <c r="K107" s="1887">
        <v>349.6</v>
      </c>
      <c r="L107" s="1887">
        <v>111.4</v>
      </c>
      <c r="M107" s="1887">
        <v>-0.4</v>
      </c>
      <c r="N107" s="1887">
        <v>8.6229879926790858</v>
      </c>
      <c r="O107" s="1887">
        <v>8.9</v>
      </c>
    </row>
    <row r="108" spans="1:15" ht="15" hidden="1" customHeight="1">
      <c r="A108" s="1885" t="s">
        <v>23</v>
      </c>
      <c r="B108" s="1887">
        <v>22516.5</v>
      </c>
      <c r="C108" s="1887">
        <v>100.9</v>
      </c>
      <c r="D108" s="1887">
        <v>112.5</v>
      </c>
      <c r="E108" s="1887">
        <v>9795.1</v>
      </c>
      <c r="F108" s="1887">
        <v>107.2</v>
      </c>
      <c r="G108" s="1887">
        <v>4476.6000000000004</v>
      </c>
      <c r="H108" s="1887">
        <v>117.8</v>
      </c>
      <c r="I108" s="1887">
        <v>13489.2</v>
      </c>
      <c r="J108" s="1887">
        <v>117</v>
      </c>
      <c r="K108" s="1887">
        <v>351.3</v>
      </c>
      <c r="L108" s="1887">
        <v>110.7</v>
      </c>
      <c r="M108" s="1887">
        <v>-0.90281650000000013</v>
      </c>
      <c r="N108" s="1887">
        <v>8.3135677755580986</v>
      </c>
      <c r="O108" s="1887">
        <v>8.8392742730860761</v>
      </c>
    </row>
    <row r="109" spans="1:15" ht="15" hidden="1" customHeight="1">
      <c r="A109" s="1885" t="s">
        <v>24</v>
      </c>
      <c r="B109" s="1887">
        <v>26502.3</v>
      </c>
      <c r="C109" s="1887">
        <v>101.1</v>
      </c>
      <c r="D109" s="1887">
        <v>111.3</v>
      </c>
      <c r="E109" s="1887">
        <v>11859.9</v>
      </c>
      <c r="F109" s="1887">
        <v>108.5</v>
      </c>
      <c r="G109" s="1887">
        <v>5491.5</v>
      </c>
      <c r="H109" s="1887">
        <v>119.1</v>
      </c>
      <c r="I109" s="1887">
        <v>16337.5</v>
      </c>
      <c r="J109" s="1887">
        <v>117.3</v>
      </c>
      <c r="K109" s="1887">
        <v>352.7</v>
      </c>
      <c r="L109" s="1887">
        <v>110.3</v>
      </c>
      <c r="M109" s="1887">
        <v>-0.8</v>
      </c>
      <c r="N109" s="1887">
        <v>7.6559338364420455</v>
      </c>
      <c r="O109" s="1887">
        <v>8.6999999999999993</v>
      </c>
    </row>
    <row r="110" spans="1:15" ht="15" hidden="1" customHeight="1">
      <c r="A110" s="1885" t="s">
        <v>25</v>
      </c>
      <c r="B110" s="1887">
        <v>30868.799999999999</v>
      </c>
      <c r="C110" s="1887">
        <v>101.1</v>
      </c>
      <c r="D110" s="1887">
        <v>111.8</v>
      </c>
      <c r="E110" s="1887">
        <v>13806.7</v>
      </c>
      <c r="F110" s="1887">
        <v>108.5</v>
      </c>
      <c r="G110" s="1887">
        <v>6398.4</v>
      </c>
      <c r="H110" s="1887">
        <v>121.4</v>
      </c>
      <c r="I110" s="1887">
        <v>19030.2</v>
      </c>
      <c r="J110" s="1887">
        <v>118.5</v>
      </c>
      <c r="K110" s="1887">
        <v>353.7</v>
      </c>
      <c r="L110" s="1887">
        <v>109.8</v>
      </c>
      <c r="M110" s="1887">
        <v>0.6</v>
      </c>
      <c r="N110" s="1887">
        <v>7.5979181711304022</v>
      </c>
      <c r="O110" s="1887">
        <v>8.5</v>
      </c>
    </row>
    <row r="111" spans="1:15" ht="15" hidden="1" customHeight="1">
      <c r="A111" s="1885" t="s">
        <v>26</v>
      </c>
      <c r="B111" s="1887">
        <v>34583.1</v>
      </c>
      <c r="C111" s="1887">
        <v>100.5</v>
      </c>
      <c r="D111" s="1887">
        <v>111.4</v>
      </c>
      <c r="E111" s="1887">
        <v>15544.7</v>
      </c>
      <c r="F111" s="1887">
        <v>108.2</v>
      </c>
      <c r="G111" s="1887">
        <v>7576.7</v>
      </c>
      <c r="H111" s="1887">
        <v>121.9</v>
      </c>
      <c r="I111" s="1887">
        <v>21776.3</v>
      </c>
      <c r="J111" s="1887">
        <v>119.2</v>
      </c>
      <c r="K111" s="1887">
        <v>354.5</v>
      </c>
      <c r="L111" s="1887">
        <v>109.5</v>
      </c>
      <c r="M111" s="1887">
        <v>1.1000000000000001</v>
      </c>
      <c r="N111" s="1887">
        <v>7.7428770292172544</v>
      </c>
      <c r="O111" s="1887">
        <v>8.4</v>
      </c>
    </row>
    <row r="112" spans="1:15" ht="15" hidden="1" customHeight="1">
      <c r="A112" s="1885" t="s">
        <v>27</v>
      </c>
      <c r="B112" s="1887">
        <v>40690</v>
      </c>
      <c r="C112" s="1887">
        <v>100.3</v>
      </c>
      <c r="D112" s="1887">
        <v>117.7</v>
      </c>
      <c r="E112" s="1887">
        <v>17463.099999999999</v>
      </c>
      <c r="F112" s="1887">
        <v>108.5</v>
      </c>
      <c r="G112" s="1887">
        <v>8649.2999999999993</v>
      </c>
      <c r="H112" s="1887">
        <v>121.7</v>
      </c>
      <c r="I112" s="1887">
        <v>24538.6</v>
      </c>
      <c r="J112" s="1887">
        <v>119</v>
      </c>
      <c r="K112" s="1887" t="s">
        <v>1267</v>
      </c>
      <c r="L112" s="1887">
        <v>109</v>
      </c>
      <c r="M112" s="1887">
        <v>0</v>
      </c>
      <c r="N112" s="1887">
        <v>6.7944925724378749</v>
      </c>
      <c r="O112" s="1887">
        <v>8.3000000000000007</v>
      </c>
    </row>
    <row r="113" spans="1:15" ht="15" hidden="1" customHeight="1">
      <c r="A113" s="1885" t="s">
        <v>28</v>
      </c>
      <c r="B113" s="1887">
        <v>45476.6</v>
      </c>
      <c r="C113" s="1887">
        <v>100.2</v>
      </c>
      <c r="D113" s="1887">
        <v>118.8</v>
      </c>
      <c r="E113" s="1887">
        <v>19512.7</v>
      </c>
      <c r="F113" s="1887">
        <v>109.5</v>
      </c>
      <c r="G113" s="1887">
        <v>10017.200000000001</v>
      </c>
      <c r="H113" s="1887">
        <v>128.30000000000001</v>
      </c>
      <c r="I113" s="1887">
        <v>27277.9</v>
      </c>
      <c r="J113" s="1887">
        <v>119.2</v>
      </c>
      <c r="K113" s="1887">
        <v>355.7</v>
      </c>
      <c r="L113" s="1887">
        <v>108.7</v>
      </c>
      <c r="M113" s="1887">
        <v>1.1000000000000001</v>
      </c>
      <c r="N113" s="1887">
        <v>6.0369840595394066</v>
      </c>
      <c r="O113" s="1887">
        <v>8</v>
      </c>
    </row>
    <row r="114" spans="1:15" ht="15" hidden="1" customHeight="1">
      <c r="A114" s="1885" t="s">
        <v>29</v>
      </c>
      <c r="B114" s="1887">
        <v>52082</v>
      </c>
      <c r="C114" s="1887">
        <v>100.1</v>
      </c>
      <c r="D114" s="1887">
        <v>117.8</v>
      </c>
      <c r="E114" s="1887">
        <v>23196.1</v>
      </c>
      <c r="F114" s="1887">
        <v>109.4</v>
      </c>
      <c r="G114" s="1887">
        <v>12776.4</v>
      </c>
      <c r="H114" s="1887">
        <v>127.3</v>
      </c>
      <c r="I114" s="1887">
        <v>30524.6</v>
      </c>
      <c r="J114" s="1887">
        <v>119.6</v>
      </c>
      <c r="K114" s="1887">
        <v>356.6</v>
      </c>
      <c r="L114" s="1887">
        <v>108.3</v>
      </c>
      <c r="M114" s="1887">
        <v>0.9</v>
      </c>
      <c r="N114" s="1887">
        <v>5.5911934944952435</v>
      </c>
      <c r="O114" s="1887">
        <v>7.9</v>
      </c>
    </row>
    <row r="115" spans="1:15" s="1865" customFormat="1" ht="15" hidden="1" customHeight="1">
      <c r="A115" s="1885" t="s">
        <v>1301</v>
      </c>
      <c r="B115" s="1886">
        <v>54743.7</v>
      </c>
      <c r="C115" s="1886">
        <v>102.2</v>
      </c>
      <c r="D115" s="1886">
        <v>101.5</v>
      </c>
      <c r="E115" s="1886">
        <v>26864.400000000001</v>
      </c>
      <c r="F115" s="1886">
        <v>109.7</v>
      </c>
      <c r="G115" s="1886">
        <v>15407.3</v>
      </c>
      <c r="H115" s="1886">
        <v>118</v>
      </c>
      <c r="I115" s="1886">
        <v>34769.5</v>
      </c>
      <c r="J115" s="1886">
        <v>113.8</v>
      </c>
      <c r="K115" s="1886">
        <v>396</v>
      </c>
      <c r="L115" s="1886">
        <v>108.73146622734762</v>
      </c>
      <c r="M115" s="1886">
        <v>0.7</v>
      </c>
      <c r="N115" s="1886">
        <f>+N127</f>
        <v>-0.26192629669733947</v>
      </c>
      <c r="O115" s="1886">
        <v>1.1000000000000001</v>
      </c>
    </row>
    <row r="116" spans="1:15" ht="15" hidden="1" customHeight="1">
      <c r="A116" s="1885" t="s">
        <v>18</v>
      </c>
      <c r="B116" s="1887">
        <v>4091.2</v>
      </c>
      <c r="C116" s="1887">
        <v>101.2</v>
      </c>
      <c r="D116" s="1887">
        <v>105.2</v>
      </c>
      <c r="E116" s="1887">
        <v>1598.7</v>
      </c>
      <c r="F116" s="1887">
        <v>105.9</v>
      </c>
      <c r="G116" s="1887">
        <v>459.4</v>
      </c>
      <c r="H116" s="1887">
        <v>104.8</v>
      </c>
      <c r="I116" s="1887">
        <v>2062.4</v>
      </c>
      <c r="J116" s="1887">
        <v>114.8</v>
      </c>
      <c r="K116" s="1887">
        <v>363.1</v>
      </c>
      <c r="L116" s="1887">
        <v>109.5</v>
      </c>
      <c r="M116" s="1887">
        <v>0.1</v>
      </c>
      <c r="N116" s="1887">
        <v>4.803886361388308</v>
      </c>
      <c r="O116" s="1887">
        <v>4.8</v>
      </c>
    </row>
    <row r="117" spans="1:15" ht="15" hidden="1" customHeight="1">
      <c r="A117" s="1885" t="s">
        <v>19</v>
      </c>
      <c r="B117" s="1887">
        <v>8001.9</v>
      </c>
      <c r="C117" s="1887">
        <v>100.5</v>
      </c>
      <c r="D117" s="1887">
        <v>106.2</v>
      </c>
      <c r="E117" s="1887">
        <v>3012.3</v>
      </c>
      <c r="F117" s="1887">
        <v>107.1</v>
      </c>
      <c r="G117" s="1887">
        <v>1196.4000000000001</v>
      </c>
      <c r="H117" s="1887">
        <v>105.2</v>
      </c>
      <c r="I117" s="1887">
        <v>4543.7</v>
      </c>
      <c r="J117" s="1887">
        <v>113.6</v>
      </c>
      <c r="K117" s="1887">
        <v>368.4</v>
      </c>
      <c r="L117" s="1887">
        <v>108.5</v>
      </c>
      <c r="M117" s="1887">
        <v>0.1</v>
      </c>
      <c r="N117" s="1887">
        <v>2.6577246318197751</v>
      </c>
      <c r="O117" s="1887">
        <v>3.7</v>
      </c>
    </row>
    <row r="118" spans="1:15" ht="15" hidden="1" customHeight="1">
      <c r="A118" s="1885" t="s">
        <v>20</v>
      </c>
      <c r="B118" s="1887">
        <v>12289.1</v>
      </c>
      <c r="C118" s="1887">
        <v>100.5</v>
      </c>
      <c r="D118" s="1887">
        <v>109.3</v>
      </c>
      <c r="E118" s="1887">
        <v>4427.8</v>
      </c>
      <c r="F118" s="1887">
        <v>107.7</v>
      </c>
      <c r="G118" s="1887">
        <v>2099.4</v>
      </c>
      <c r="H118" s="1887">
        <v>116.5</v>
      </c>
      <c r="I118" s="1887">
        <v>7231.6</v>
      </c>
      <c r="J118" s="1887">
        <v>113.9</v>
      </c>
      <c r="K118" s="1887">
        <v>380.6</v>
      </c>
      <c r="L118" s="1887">
        <v>108.5</v>
      </c>
      <c r="M118" s="1887">
        <v>0.3</v>
      </c>
      <c r="N118" s="1887">
        <v>1.8471878022345578</v>
      </c>
      <c r="O118" s="1887">
        <v>3.1</v>
      </c>
    </row>
    <row r="119" spans="1:15" ht="15" hidden="1" customHeight="1">
      <c r="A119" s="1885" t="s">
        <v>21</v>
      </c>
      <c r="B119" s="1887">
        <v>16625</v>
      </c>
      <c r="C119" s="1887">
        <v>100.3</v>
      </c>
      <c r="D119" s="1887">
        <v>106.7</v>
      </c>
      <c r="E119" s="1887">
        <v>6365.9</v>
      </c>
      <c r="F119" s="1887">
        <v>109.5</v>
      </c>
      <c r="G119" s="1887">
        <v>3724.9</v>
      </c>
      <c r="H119" s="1887">
        <v>124</v>
      </c>
      <c r="I119" s="1887">
        <v>9761.1</v>
      </c>
      <c r="J119" s="1887">
        <v>114.1</v>
      </c>
      <c r="K119" s="1887">
        <v>378.9</v>
      </c>
      <c r="L119" s="1887">
        <v>108.7</v>
      </c>
      <c r="M119" s="1887">
        <v>-0.4</v>
      </c>
      <c r="N119" s="1887">
        <v>1.7452354030001942</v>
      </c>
      <c r="O119" s="1887">
        <v>2.7</v>
      </c>
    </row>
    <row r="120" spans="1:15" ht="15" hidden="1" customHeight="1">
      <c r="A120" s="1885" t="s">
        <v>22</v>
      </c>
      <c r="B120" s="1887">
        <v>20852</v>
      </c>
      <c r="C120" s="1887">
        <v>100.7</v>
      </c>
      <c r="D120" s="1887">
        <v>103.9</v>
      </c>
      <c r="E120" s="1887">
        <v>8371.7999999999993</v>
      </c>
      <c r="F120" s="1887">
        <v>110.6</v>
      </c>
      <c r="G120" s="1887">
        <v>4473.3999999999996</v>
      </c>
      <c r="H120" s="1887">
        <v>128.30000000000001</v>
      </c>
      <c r="I120" s="1887">
        <v>12358.7</v>
      </c>
      <c r="J120" s="1887">
        <v>114.6</v>
      </c>
      <c r="K120" s="1887">
        <v>379.1</v>
      </c>
      <c r="L120" s="1887">
        <v>108.4</v>
      </c>
      <c r="M120" s="1887">
        <v>-0.90533530000000439</v>
      </c>
      <c r="N120" s="1887">
        <v>1.2682515865845687</v>
      </c>
      <c r="O120" s="1887">
        <v>2.4644571570054694</v>
      </c>
    </row>
    <row r="121" spans="1:15" ht="15" hidden="1" customHeight="1">
      <c r="A121" s="1885" t="s">
        <v>23</v>
      </c>
      <c r="B121" s="1887">
        <v>25861.3</v>
      </c>
      <c r="C121" s="1887">
        <v>101.5</v>
      </c>
      <c r="D121" s="1887">
        <v>102</v>
      </c>
      <c r="E121" s="1887">
        <v>11287.7</v>
      </c>
      <c r="F121" s="1887">
        <v>111.3</v>
      </c>
      <c r="G121" s="1887">
        <v>5924.9</v>
      </c>
      <c r="H121" s="1887">
        <v>129.6</v>
      </c>
      <c r="I121" s="1887">
        <v>15099.8</v>
      </c>
      <c r="J121" s="1887">
        <v>114.2</v>
      </c>
      <c r="K121" s="1887">
        <v>386.2</v>
      </c>
      <c r="L121" s="1887">
        <v>108.8</v>
      </c>
      <c r="M121" s="1887">
        <v>-1.2999999999999972</v>
      </c>
      <c r="N121" s="1887">
        <v>0.82784214404509271</v>
      </c>
      <c r="O121" s="1887">
        <v>2.2000000000000002</v>
      </c>
    </row>
    <row r="122" spans="1:15" ht="15" hidden="1" customHeight="1">
      <c r="A122" s="1885" t="s">
        <v>24</v>
      </c>
      <c r="B122" s="1887">
        <v>30783.1</v>
      </c>
      <c r="C122" s="1887">
        <v>101.6</v>
      </c>
      <c r="D122" s="1887">
        <v>101.5</v>
      </c>
      <c r="E122" s="1887">
        <v>13901.3</v>
      </c>
      <c r="F122" s="1887">
        <v>110.5</v>
      </c>
      <c r="G122" s="1887">
        <v>7126</v>
      </c>
      <c r="H122" s="1887">
        <v>127.2</v>
      </c>
      <c r="I122" s="1887">
        <v>18231.8</v>
      </c>
      <c r="J122" s="1887">
        <v>113.9</v>
      </c>
      <c r="K122" s="1887">
        <v>384.5</v>
      </c>
      <c r="L122" s="1887">
        <v>108.3</v>
      </c>
      <c r="M122" s="1887">
        <v>-0.69461029999999369</v>
      </c>
      <c r="N122" s="1887">
        <v>0.90555105278566828</v>
      </c>
      <c r="O122" s="1887">
        <v>2.0079541402654542</v>
      </c>
    </row>
    <row r="123" spans="1:15" ht="15" hidden="1" customHeight="1">
      <c r="A123" s="1885" t="s">
        <v>25</v>
      </c>
      <c r="B123" s="1887">
        <v>35136.400000000001</v>
      </c>
      <c r="C123" s="1887">
        <v>101.3</v>
      </c>
      <c r="D123" s="1887">
        <v>101.1</v>
      </c>
      <c r="E123" s="1887">
        <v>15998.3</v>
      </c>
      <c r="F123" s="1887">
        <v>110.6</v>
      </c>
      <c r="G123" s="1887">
        <v>8383.9</v>
      </c>
      <c r="H123" s="1887">
        <v>128.4</v>
      </c>
      <c r="I123" s="1887">
        <v>21365</v>
      </c>
      <c r="J123" s="1887">
        <v>113.4</v>
      </c>
      <c r="K123" s="1887">
        <v>386</v>
      </c>
      <c r="L123" s="1887">
        <v>108.4</v>
      </c>
      <c r="M123" s="1887">
        <v>-0.46625629999999774</v>
      </c>
      <c r="N123" s="1887">
        <v>-0.20927167823850823</v>
      </c>
      <c r="O123" s="1887">
        <v>1.7</v>
      </c>
    </row>
    <row r="124" spans="1:15" ht="15" hidden="1" customHeight="1">
      <c r="A124" s="1885" t="s">
        <v>26</v>
      </c>
      <c r="B124" s="1887">
        <v>39760.6</v>
      </c>
      <c r="C124" s="1887">
        <v>101.1</v>
      </c>
      <c r="D124" s="1887">
        <v>101</v>
      </c>
      <c r="E124" s="1887">
        <v>18318.3</v>
      </c>
      <c r="F124" s="1887">
        <v>110.2</v>
      </c>
      <c r="G124" s="1887">
        <v>9850.6</v>
      </c>
      <c r="H124" s="1887">
        <v>127.4</v>
      </c>
      <c r="I124" s="1887">
        <v>24228.400000000001</v>
      </c>
      <c r="J124" s="1887">
        <v>113.6</v>
      </c>
      <c r="K124" s="1887">
        <v>390</v>
      </c>
      <c r="L124" s="1887">
        <v>109.1</v>
      </c>
      <c r="M124" s="1887">
        <v>0.60754810000000248</v>
      </c>
      <c r="N124" s="1887">
        <v>-0.67684782398694665</v>
      </c>
      <c r="O124" s="1887">
        <v>1.5</v>
      </c>
    </row>
    <row r="125" spans="1:15" ht="15" hidden="1" customHeight="1">
      <c r="A125" s="1885" t="s">
        <v>27</v>
      </c>
      <c r="B125" s="1887">
        <v>44218</v>
      </c>
      <c r="C125" s="1887">
        <v>101</v>
      </c>
      <c r="D125" s="1887">
        <v>101.3</v>
      </c>
      <c r="E125" s="1887">
        <v>20527</v>
      </c>
      <c r="F125" s="1887">
        <v>110.3</v>
      </c>
      <c r="G125" s="1887">
        <v>11135.8</v>
      </c>
      <c r="H125" s="1887">
        <v>126.8</v>
      </c>
      <c r="I125" s="1887">
        <v>27128.5</v>
      </c>
      <c r="J125" s="1887">
        <v>113.7</v>
      </c>
      <c r="K125" s="1887">
        <v>388.2</v>
      </c>
      <c r="L125" s="1887">
        <v>108.6</v>
      </c>
      <c r="M125" s="1887">
        <v>0.7</v>
      </c>
      <c r="N125" s="1887">
        <v>2.2047056546114163E-2</v>
      </c>
      <c r="O125" s="1887">
        <v>1.3</v>
      </c>
    </row>
    <row r="126" spans="1:15" ht="15" hidden="1" customHeight="1">
      <c r="A126" s="1885" t="s">
        <v>28</v>
      </c>
      <c r="B126" s="1887">
        <v>48189.4</v>
      </c>
      <c r="C126" s="1887">
        <v>101.2</v>
      </c>
      <c r="D126" s="1887">
        <v>100.8</v>
      </c>
      <c r="E126" s="1887">
        <v>22544.9</v>
      </c>
      <c r="F126" s="1887">
        <v>109.7</v>
      </c>
      <c r="G126" s="1887">
        <v>12615.1</v>
      </c>
      <c r="H126" s="1887">
        <v>124</v>
      </c>
      <c r="I126" s="1887">
        <v>29906</v>
      </c>
      <c r="J126" s="1887">
        <v>113.7</v>
      </c>
      <c r="K126" s="1887">
        <v>390.2</v>
      </c>
      <c r="L126" s="1887">
        <v>109</v>
      </c>
      <c r="M126" s="1887">
        <v>1</v>
      </c>
      <c r="N126" s="1887">
        <v>1.6846107608046168E-3</v>
      </c>
      <c r="O126" s="1887">
        <v>1.2</v>
      </c>
    </row>
    <row r="127" spans="1:15" ht="15" hidden="1" customHeight="1">
      <c r="A127" s="1885" t="s">
        <v>29</v>
      </c>
      <c r="B127" s="1887">
        <v>54743.7</v>
      </c>
      <c r="C127" s="1887">
        <v>102.2</v>
      </c>
      <c r="D127" s="1887">
        <v>101.5</v>
      </c>
      <c r="E127" s="1887">
        <v>26864.400000000001</v>
      </c>
      <c r="F127" s="1887">
        <v>109.6</v>
      </c>
      <c r="G127" s="1887">
        <v>15407.3</v>
      </c>
      <c r="H127" s="1887">
        <v>118</v>
      </c>
      <c r="I127" s="1887">
        <v>34769.5</v>
      </c>
      <c r="J127" s="1887">
        <v>113.8</v>
      </c>
      <c r="K127" s="1887">
        <v>396</v>
      </c>
      <c r="L127" s="1887">
        <v>108.7</v>
      </c>
      <c r="M127" s="1887">
        <v>0.7</v>
      </c>
      <c r="N127" s="1887">
        <v>-0.26192629669733947</v>
      </c>
      <c r="O127" s="1887">
        <v>1.1000000000000001</v>
      </c>
    </row>
    <row r="128" spans="1:15" s="1865" customFormat="1" ht="15" hidden="1" customHeight="1">
      <c r="A128" s="1885" t="s">
        <v>1423</v>
      </c>
      <c r="B128" s="1886">
        <v>58182</v>
      </c>
      <c r="C128" s="1886">
        <v>105.8</v>
      </c>
      <c r="D128" s="1886">
        <v>99.6</v>
      </c>
      <c r="E128" s="1886">
        <v>30525.9</v>
      </c>
      <c r="F128" s="1886">
        <v>109.9</v>
      </c>
      <c r="G128" s="1886">
        <v>17850.8</v>
      </c>
      <c r="H128" s="1886">
        <v>115.1</v>
      </c>
      <c r="I128" s="1886">
        <v>37562</v>
      </c>
      <c r="J128" s="1886">
        <v>108</v>
      </c>
      <c r="K128" s="1886">
        <v>420.5</v>
      </c>
      <c r="L128" s="1886">
        <v>106.18686868686868</v>
      </c>
      <c r="M128" s="1886">
        <v>1.9</v>
      </c>
      <c r="N128" s="1886">
        <f>+N140</f>
        <v>3.5388587166589929</v>
      </c>
      <c r="O128" s="1886">
        <v>2.4</v>
      </c>
    </row>
    <row r="129" spans="1:15" ht="15" hidden="1" customHeight="1">
      <c r="A129" s="1885" t="s">
        <v>18</v>
      </c>
      <c r="B129" s="1887">
        <v>4474.3</v>
      </c>
      <c r="C129" s="1887">
        <v>102.8</v>
      </c>
      <c r="D129" s="1887">
        <v>98</v>
      </c>
      <c r="E129" s="1887">
        <v>1913.2</v>
      </c>
      <c r="F129" s="1887">
        <v>108.7</v>
      </c>
      <c r="G129" s="1887">
        <v>617.70000000000005</v>
      </c>
      <c r="H129" s="1887">
        <v>132.4</v>
      </c>
      <c r="I129" s="1887">
        <v>2273.8000000000002</v>
      </c>
      <c r="J129" s="1887">
        <v>105.3</v>
      </c>
      <c r="K129" s="1887">
        <v>398.4</v>
      </c>
      <c r="L129" s="1887">
        <v>107.70478507704786</v>
      </c>
      <c r="M129" s="1887">
        <v>1.2</v>
      </c>
      <c r="N129" s="1887">
        <v>0.80643013353214599</v>
      </c>
      <c r="O129" s="1887">
        <v>0.8</v>
      </c>
    </row>
    <row r="130" spans="1:15" ht="15" hidden="1" customHeight="1">
      <c r="A130" s="1885" t="s">
        <v>19</v>
      </c>
      <c r="B130" s="1887">
        <v>8344.6</v>
      </c>
      <c r="C130" s="1887">
        <v>103.2</v>
      </c>
      <c r="D130" s="1887">
        <v>97.7</v>
      </c>
      <c r="E130" s="1887">
        <v>3619.1</v>
      </c>
      <c r="F130" s="1887">
        <v>110.5</v>
      </c>
      <c r="G130" s="1887">
        <v>1680.1</v>
      </c>
      <c r="H130" s="1887">
        <v>138.30000000000001</v>
      </c>
      <c r="I130" s="1887">
        <v>4785.5</v>
      </c>
      <c r="J130" s="1887">
        <v>105.8</v>
      </c>
      <c r="K130" s="1887">
        <v>397.4</v>
      </c>
      <c r="L130" s="1887">
        <v>107.40540540540539</v>
      </c>
      <c r="M130" s="1887">
        <v>0.5</v>
      </c>
      <c r="N130" s="1887">
        <v>1.1658308089038627</v>
      </c>
      <c r="O130" s="1887">
        <v>1</v>
      </c>
    </row>
    <row r="131" spans="1:15" ht="15" hidden="1" customHeight="1">
      <c r="A131" s="1885" t="s">
        <v>20</v>
      </c>
      <c r="B131" s="1887">
        <v>12946.6</v>
      </c>
      <c r="C131" s="1887">
        <v>103.1</v>
      </c>
      <c r="D131" s="1887">
        <v>97.3</v>
      </c>
      <c r="E131" s="1887">
        <v>5981.2</v>
      </c>
      <c r="F131" s="1887">
        <v>111.4</v>
      </c>
      <c r="G131" s="1887">
        <v>2902.2</v>
      </c>
      <c r="H131" s="1887">
        <v>136.1</v>
      </c>
      <c r="I131" s="1887">
        <v>7736.7</v>
      </c>
      <c r="J131" s="1887">
        <v>105.9</v>
      </c>
      <c r="K131" s="1887">
        <v>405.1</v>
      </c>
      <c r="L131" s="1887">
        <v>106.43720441408303</v>
      </c>
      <c r="M131" s="1887">
        <v>0.6</v>
      </c>
      <c r="N131" s="1887">
        <v>1.4765382382217069</v>
      </c>
      <c r="O131" s="1887">
        <v>1.2</v>
      </c>
    </row>
    <row r="132" spans="1:15" ht="15" hidden="1" customHeight="1">
      <c r="A132" s="1885" t="s">
        <v>21</v>
      </c>
      <c r="B132" s="1887">
        <v>17230.5</v>
      </c>
      <c r="C132" s="1887">
        <v>103.5</v>
      </c>
      <c r="D132" s="1887">
        <v>97.9</v>
      </c>
      <c r="E132" s="1887">
        <v>8079</v>
      </c>
      <c r="F132" s="1887">
        <v>110.8</v>
      </c>
      <c r="G132" s="1887">
        <v>4252.7</v>
      </c>
      <c r="H132" s="1887">
        <v>128.4</v>
      </c>
      <c r="I132" s="1887">
        <v>10259.700000000001</v>
      </c>
      <c r="J132" s="1887">
        <v>106.3</v>
      </c>
      <c r="K132" s="1887">
        <v>407.2</v>
      </c>
      <c r="L132" s="1887">
        <v>106.9327731092437</v>
      </c>
      <c r="M132" s="1887">
        <v>0.4</v>
      </c>
      <c r="N132" s="1887">
        <v>2.3409022271319913</v>
      </c>
      <c r="O132" s="1887">
        <v>1.4</v>
      </c>
    </row>
    <row r="133" spans="1:15" ht="15" hidden="1" customHeight="1">
      <c r="A133" s="1885" t="s">
        <v>22</v>
      </c>
      <c r="B133" s="1887">
        <v>22119.3</v>
      </c>
      <c r="C133" s="1887">
        <v>104.5</v>
      </c>
      <c r="D133" s="1887">
        <v>98.3</v>
      </c>
      <c r="E133" s="1887">
        <v>10639.3</v>
      </c>
      <c r="F133" s="1887">
        <v>110.9</v>
      </c>
      <c r="G133" s="1887">
        <v>5762.6</v>
      </c>
      <c r="H133" s="1887">
        <v>127.4</v>
      </c>
      <c r="I133" s="1887">
        <v>12992.5</v>
      </c>
      <c r="J133" s="1887">
        <v>106.8</v>
      </c>
      <c r="K133" s="1887">
        <v>409.3</v>
      </c>
      <c r="L133" s="1887">
        <v>106.81106471816284</v>
      </c>
      <c r="M133" s="1887">
        <v>-0.40000000000000568</v>
      </c>
      <c r="N133" s="1887">
        <v>2.9051410964517288</v>
      </c>
      <c r="O133" s="1887">
        <v>1.7</v>
      </c>
    </row>
    <row r="134" spans="1:15" ht="15" hidden="1" customHeight="1">
      <c r="A134" s="1885" t="s">
        <v>23</v>
      </c>
      <c r="B134" s="1887">
        <v>27202</v>
      </c>
      <c r="C134" s="1887">
        <v>105</v>
      </c>
      <c r="D134" s="1887">
        <v>98.4</v>
      </c>
      <c r="E134" s="1887">
        <v>13465.3</v>
      </c>
      <c r="F134" s="1887">
        <v>110.9</v>
      </c>
      <c r="G134" s="1887">
        <v>7361.8</v>
      </c>
      <c r="H134" s="1887">
        <v>122.9</v>
      </c>
      <c r="I134" s="1887">
        <v>15830.7</v>
      </c>
      <c r="J134" s="1887">
        <v>107.1</v>
      </c>
      <c r="K134" s="1887">
        <v>411.3</v>
      </c>
      <c r="L134" s="1887">
        <v>106.49922320041429</v>
      </c>
      <c r="M134" s="1887">
        <v>-1.1490586000000036</v>
      </c>
      <c r="N134" s="1887">
        <v>3.0978028243614801</v>
      </c>
      <c r="O134" s="1887">
        <v>1.9593807065210029</v>
      </c>
    </row>
    <row r="135" spans="1:15" ht="15" hidden="1" customHeight="1">
      <c r="A135" s="1885" t="s">
        <v>24</v>
      </c>
      <c r="B135" s="1887">
        <v>32296.7</v>
      </c>
      <c r="C135" s="1887">
        <v>105</v>
      </c>
      <c r="D135" s="1887">
        <v>98.6</v>
      </c>
      <c r="E135" s="1887">
        <v>16251.4</v>
      </c>
      <c r="F135" s="1887">
        <v>110.4</v>
      </c>
      <c r="G135" s="1887">
        <v>8798.7999999999993</v>
      </c>
      <c r="H135" s="1887">
        <v>123.3</v>
      </c>
      <c r="I135" s="1887">
        <v>18914.400000000001</v>
      </c>
      <c r="J135" s="1887">
        <v>107.2</v>
      </c>
      <c r="K135" s="1887">
        <v>413.1</v>
      </c>
      <c r="L135" s="1887">
        <v>106.52398143372872</v>
      </c>
      <c r="M135" s="1887">
        <v>-0.70000000000000284</v>
      </c>
      <c r="N135" s="1887">
        <v>3.0644703002497664</v>
      </c>
      <c r="O135" s="1887">
        <v>2.1</v>
      </c>
    </row>
    <row r="136" spans="1:15" ht="15" hidden="1" customHeight="1">
      <c r="A136" s="1885" t="s">
        <v>25</v>
      </c>
      <c r="B136" s="1887">
        <v>37419.800000000003</v>
      </c>
      <c r="C136" s="1887">
        <v>105.2</v>
      </c>
      <c r="D136" s="1887">
        <v>99.2</v>
      </c>
      <c r="E136" s="1887">
        <v>18934.599999999999</v>
      </c>
      <c r="F136" s="1887">
        <v>110.3</v>
      </c>
      <c r="G136" s="1887">
        <v>10378.799999999999</v>
      </c>
      <c r="H136" s="1887">
        <v>122.7</v>
      </c>
      <c r="I136" s="1887">
        <v>22033.3</v>
      </c>
      <c r="J136" s="1887">
        <v>107.4</v>
      </c>
      <c r="K136" s="1887">
        <v>414.1</v>
      </c>
      <c r="L136" s="1887">
        <v>106.3977389516958</v>
      </c>
      <c r="M136" s="1887">
        <v>-0.29999999999999716</v>
      </c>
      <c r="N136" s="1887">
        <v>3.2085244282629759</v>
      </c>
      <c r="O136" s="1887">
        <v>2.2000000000000002</v>
      </c>
    </row>
    <row r="137" spans="1:15" ht="15" hidden="1" customHeight="1">
      <c r="A137" s="1885" t="s">
        <v>26</v>
      </c>
      <c r="B137" s="1887">
        <v>42748</v>
      </c>
      <c r="C137" s="1887">
        <v>105.4</v>
      </c>
      <c r="D137" s="1887">
        <v>99.6</v>
      </c>
      <c r="E137" s="1887">
        <v>21946.3</v>
      </c>
      <c r="F137" s="1887">
        <v>110.3</v>
      </c>
      <c r="G137" s="1887">
        <v>11826.5</v>
      </c>
      <c r="H137" s="1887">
        <v>119</v>
      </c>
      <c r="I137" s="1887">
        <v>25393.599999999999</v>
      </c>
      <c r="J137" s="1887">
        <v>107.6</v>
      </c>
      <c r="K137" s="1887">
        <v>415.3</v>
      </c>
      <c r="L137" s="1887">
        <v>106.48717948717949</v>
      </c>
      <c r="M137" s="1887">
        <v>0.1</v>
      </c>
      <c r="N137" s="1887">
        <v>2.6598139789145421</v>
      </c>
      <c r="O137" s="1887">
        <v>2.2999999999999998</v>
      </c>
    </row>
    <row r="138" spans="1:15" ht="15" hidden="1" customHeight="1">
      <c r="A138" s="1885" t="s">
        <v>27</v>
      </c>
      <c r="B138" s="1887">
        <v>47564.6</v>
      </c>
      <c r="C138" s="1887">
        <v>105.7</v>
      </c>
      <c r="D138" s="1887">
        <v>99.2</v>
      </c>
      <c r="E138" s="1887">
        <v>24584.9</v>
      </c>
      <c r="F138" s="1887">
        <v>109.8</v>
      </c>
      <c r="G138" s="1887" t="s">
        <v>1544</v>
      </c>
      <c r="H138" s="1887">
        <v>116.6</v>
      </c>
      <c r="I138" s="1888">
        <v>29064.2</v>
      </c>
      <c r="J138" s="1887">
        <v>107.7</v>
      </c>
      <c r="K138" s="1887">
        <v>416.6</v>
      </c>
      <c r="L138" s="1887">
        <v>106.30262822148508</v>
      </c>
      <c r="M138" s="1887">
        <v>0.7</v>
      </c>
      <c r="N138" s="1887">
        <v>2.5931964859767049</v>
      </c>
      <c r="O138" s="1887">
        <v>2.2999999999999998</v>
      </c>
    </row>
    <row r="139" spans="1:15" ht="14.25" hidden="1" customHeight="1">
      <c r="A139" s="1885" t="s">
        <v>28</v>
      </c>
      <c r="B139" s="1887">
        <v>52072.3</v>
      </c>
      <c r="C139" s="1887">
        <v>105.7</v>
      </c>
      <c r="D139" s="1887">
        <v>99.2</v>
      </c>
      <c r="E139" s="1887">
        <v>26857.9</v>
      </c>
      <c r="F139" s="1887">
        <v>109.5</v>
      </c>
      <c r="G139" s="1887">
        <v>14592.3</v>
      </c>
      <c r="H139" s="1887">
        <v>114.8</v>
      </c>
      <c r="I139" s="1887">
        <v>32257.9</v>
      </c>
      <c r="J139" s="1887">
        <v>107.9</v>
      </c>
      <c r="K139" s="1887">
        <v>417.3</v>
      </c>
      <c r="L139" s="1887">
        <v>106.15619435258203</v>
      </c>
      <c r="M139" s="1887">
        <v>0.6945062000000064</v>
      </c>
      <c r="N139" s="1887">
        <v>2.2511817416319531</v>
      </c>
      <c r="O139" s="1887">
        <v>2.2999999999999998</v>
      </c>
    </row>
    <row r="140" spans="1:15" ht="15" hidden="1" customHeight="1">
      <c r="A140" s="1885" t="s">
        <v>29</v>
      </c>
      <c r="B140" s="1887">
        <v>58182</v>
      </c>
      <c r="C140" s="1887">
        <v>105.8</v>
      </c>
      <c r="D140" s="1887">
        <v>99.6</v>
      </c>
      <c r="E140" s="1887">
        <v>30525.9</v>
      </c>
      <c r="F140" s="1887">
        <v>109.9</v>
      </c>
      <c r="G140" s="1887">
        <v>17850.8</v>
      </c>
      <c r="H140" s="1887">
        <v>115.1</v>
      </c>
      <c r="I140" s="1887">
        <v>37562</v>
      </c>
      <c r="J140" s="1887">
        <v>108</v>
      </c>
      <c r="K140" s="1887">
        <v>420.5</v>
      </c>
      <c r="L140" s="1887">
        <v>106.18686868686868</v>
      </c>
      <c r="M140" s="1887">
        <v>1.9</v>
      </c>
      <c r="N140" s="1887">
        <v>3.5388587166589929</v>
      </c>
      <c r="O140" s="1887">
        <v>2.4</v>
      </c>
    </row>
    <row r="141" spans="1:15" s="1865" customFormat="1" ht="15" hidden="1" customHeight="1">
      <c r="A141" s="1885" t="s">
        <v>1634</v>
      </c>
      <c r="B141" s="1886">
        <v>59014.1</v>
      </c>
      <c r="C141" s="1886">
        <v>102.8</v>
      </c>
      <c r="D141" s="1886">
        <v>98.7</v>
      </c>
      <c r="E141" s="1886">
        <v>33195.9</v>
      </c>
      <c r="F141" s="1886">
        <v>107</v>
      </c>
      <c r="G141" s="1886">
        <v>17618.599999999999</v>
      </c>
      <c r="H141" s="1886">
        <v>98.3</v>
      </c>
      <c r="I141" s="1886">
        <v>39472.199999999997</v>
      </c>
      <c r="J141" s="1886">
        <v>104.8</v>
      </c>
      <c r="K141" s="1886">
        <v>444.3</v>
      </c>
      <c r="L141" s="1886">
        <v>105.65992865636147</v>
      </c>
      <c r="M141" s="1886">
        <v>0.5</v>
      </c>
      <c r="N141" s="1886">
        <f>+N153</f>
        <v>-9.6906275256344543E-2</v>
      </c>
      <c r="O141" s="1886">
        <v>1.4</v>
      </c>
    </row>
    <row r="142" spans="1:15" ht="15" hidden="1" customHeight="1">
      <c r="A142" s="1885" t="s">
        <v>18</v>
      </c>
      <c r="B142" s="1887">
        <v>4359</v>
      </c>
      <c r="C142" s="1887">
        <v>100.8</v>
      </c>
      <c r="D142" s="1887">
        <v>99.3</v>
      </c>
      <c r="E142" s="1887">
        <v>2122</v>
      </c>
      <c r="F142" s="1887">
        <v>107.7</v>
      </c>
      <c r="G142" s="1887">
        <v>660.9</v>
      </c>
      <c r="H142" s="1887">
        <v>106.3</v>
      </c>
      <c r="I142" s="1887">
        <v>2618.1999999999998</v>
      </c>
      <c r="J142" s="1887">
        <v>103.8</v>
      </c>
      <c r="K142" s="1887">
        <v>426.2</v>
      </c>
      <c r="L142" s="1887">
        <v>106.97791164658635</v>
      </c>
      <c r="M142" s="1887">
        <v>-0.20000000000000284</v>
      </c>
      <c r="N142" s="1887">
        <v>2.1751625921459379</v>
      </c>
      <c r="O142" s="1887">
        <v>2.2000000000000002</v>
      </c>
    </row>
    <row r="143" spans="1:15" ht="11.25" hidden="1" customHeight="1">
      <c r="A143" s="1885" t="s">
        <v>19</v>
      </c>
      <c r="B143" s="1887">
        <v>8462.4</v>
      </c>
      <c r="C143" s="1887">
        <v>101.6</v>
      </c>
      <c r="D143" s="1887">
        <v>100</v>
      </c>
      <c r="E143" s="1887">
        <v>4096</v>
      </c>
      <c r="F143" s="1887">
        <v>108.8</v>
      </c>
      <c r="G143" s="1887">
        <v>1824.6</v>
      </c>
      <c r="H143" s="1887">
        <v>107.9</v>
      </c>
      <c r="I143" s="1887">
        <v>5636</v>
      </c>
      <c r="J143" s="1887">
        <v>104.1</v>
      </c>
      <c r="K143" s="1887">
        <v>426.3</v>
      </c>
      <c r="L143" s="1887">
        <v>107.2722697533971</v>
      </c>
      <c r="M143" s="1887">
        <v>0.4</v>
      </c>
      <c r="N143" s="1887">
        <v>2.0436265479097671</v>
      </c>
      <c r="O143" s="1887">
        <v>2.1</v>
      </c>
    </row>
    <row r="144" spans="1:15" ht="15" hidden="1" customHeight="1">
      <c r="A144" s="1885" t="s">
        <v>20</v>
      </c>
      <c r="B144" s="1887">
        <v>13150.7</v>
      </c>
      <c r="C144" s="1887">
        <v>102.5</v>
      </c>
      <c r="D144" s="1887">
        <v>99.1</v>
      </c>
      <c r="E144" s="1887">
        <v>6561.9</v>
      </c>
      <c r="F144" s="1887">
        <v>108.8</v>
      </c>
      <c r="G144" s="1887">
        <v>3125.9</v>
      </c>
      <c r="H144" s="1887">
        <v>107</v>
      </c>
      <c r="I144" s="1887">
        <v>9081.7999999999993</v>
      </c>
      <c r="J144" s="1887">
        <v>104.5</v>
      </c>
      <c r="K144" s="1887">
        <v>434.2</v>
      </c>
      <c r="L144" s="1887">
        <v>107.18341150333251</v>
      </c>
      <c r="M144" s="1887">
        <v>0.3</v>
      </c>
      <c r="N144" s="1887">
        <v>1.7120516810749999</v>
      </c>
      <c r="O144" s="1887">
        <v>2</v>
      </c>
    </row>
    <row r="145" spans="1:15" ht="15" hidden="1" customHeight="1">
      <c r="A145" s="1885" t="s">
        <v>21</v>
      </c>
      <c r="B145" s="1887">
        <v>18206.3</v>
      </c>
      <c r="C145" s="1887">
        <v>103.2</v>
      </c>
      <c r="D145" s="1887">
        <v>100.7</v>
      </c>
      <c r="E145" s="1887">
        <v>9165.6</v>
      </c>
      <c r="F145" s="1887">
        <v>108.9</v>
      </c>
      <c r="G145" s="1887">
        <v>4627.8999999999996</v>
      </c>
      <c r="H145" s="1887">
        <v>108.6</v>
      </c>
      <c r="I145" s="1887">
        <v>12096.8</v>
      </c>
      <c r="J145" s="1887">
        <v>104.6</v>
      </c>
      <c r="K145" s="1887">
        <v>436.6</v>
      </c>
      <c r="L145" s="1887">
        <v>107.22003929273085</v>
      </c>
      <c r="M145" s="1887">
        <v>0.2</v>
      </c>
      <c r="N145" s="1887">
        <v>1.4769071858735856</v>
      </c>
      <c r="O145" s="1887">
        <v>1.9</v>
      </c>
    </row>
    <row r="146" spans="1:15" ht="15" hidden="1" customHeight="1">
      <c r="A146" s="1885" t="s">
        <v>22</v>
      </c>
      <c r="B146" s="1887">
        <v>23444.799999999999</v>
      </c>
      <c r="C146" s="1887">
        <v>102.8</v>
      </c>
      <c r="D146" s="1887">
        <v>101.9</v>
      </c>
      <c r="E146" s="1887">
        <v>11876.9</v>
      </c>
      <c r="F146" s="1887">
        <v>108.3</v>
      </c>
      <c r="G146" s="1887">
        <v>6121.2</v>
      </c>
      <c r="H146" s="1887">
        <v>106</v>
      </c>
      <c r="I146" s="1887">
        <v>15042.4</v>
      </c>
      <c r="J146" s="1887">
        <v>104.4</v>
      </c>
      <c r="K146" s="1887">
        <v>438.1</v>
      </c>
      <c r="L146" s="1887">
        <v>107.03640361592963</v>
      </c>
      <c r="M146" s="1887">
        <v>-0.79999999999999716</v>
      </c>
      <c r="N146" s="1887">
        <v>1.0256307776752749</v>
      </c>
      <c r="O146" s="1887">
        <v>1.7</v>
      </c>
    </row>
    <row r="147" spans="1:15" ht="15" hidden="1" customHeight="1">
      <c r="A147" s="1885" t="s">
        <v>23</v>
      </c>
      <c r="B147" s="1887">
        <v>28743</v>
      </c>
      <c r="C147" s="1887">
        <v>102.1</v>
      </c>
      <c r="D147" s="939">
        <v>102.3</v>
      </c>
      <c r="E147" s="1887">
        <v>14800.3</v>
      </c>
      <c r="F147" s="1887">
        <v>107</v>
      </c>
      <c r="G147" s="1887">
        <v>7625.9</v>
      </c>
      <c r="H147" s="1887">
        <v>103.4</v>
      </c>
      <c r="I147" s="1887">
        <v>17780.599999999999</v>
      </c>
      <c r="J147" s="1887">
        <v>104.7</v>
      </c>
      <c r="K147" s="1887">
        <v>439.7</v>
      </c>
      <c r="L147" s="1887">
        <v>106.90493557014345</v>
      </c>
      <c r="M147" s="1887">
        <v>-1.2</v>
      </c>
      <c r="N147" s="1887">
        <v>0.95265897830752522</v>
      </c>
      <c r="O147" s="1887">
        <v>1.6</v>
      </c>
    </row>
    <row r="148" spans="1:15" ht="15" hidden="1" customHeight="1">
      <c r="A148" s="1885" t="s">
        <v>24</v>
      </c>
      <c r="B148" s="1887">
        <v>33994.800000000003</v>
      </c>
      <c r="C148" s="1887">
        <v>102.4</v>
      </c>
      <c r="D148" s="939">
        <v>101.8</v>
      </c>
      <c r="E148" s="1887">
        <v>17692.5</v>
      </c>
      <c r="F148" s="1887">
        <v>106.7</v>
      </c>
      <c r="G148" s="1887">
        <v>9075.5</v>
      </c>
      <c r="H148" s="1887">
        <v>103</v>
      </c>
      <c r="I148" s="1887">
        <v>21019.3</v>
      </c>
      <c r="J148" s="1887">
        <v>104.7</v>
      </c>
      <c r="K148" s="1887">
        <v>440.7</v>
      </c>
      <c r="L148" s="1887">
        <v>106.68119099491649</v>
      </c>
      <c r="M148" s="1887">
        <v>-0.79484159999999804</v>
      </c>
      <c r="N148" s="1887">
        <v>0.88338163027370342</v>
      </c>
      <c r="O148" s="1887" t="s">
        <v>988</v>
      </c>
    </row>
    <row r="149" spans="1:15" ht="15" hidden="1" customHeight="1">
      <c r="A149" s="1885" t="s">
        <v>25</v>
      </c>
      <c r="B149" s="1887">
        <v>39171.599999999999</v>
      </c>
      <c r="C149" s="1887">
        <v>102.4</v>
      </c>
      <c r="D149" s="939">
        <v>101.3</v>
      </c>
      <c r="E149" s="1887">
        <v>20577.900000000001</v>
      </c>
      <c r="F149" s="1887">
        <v>106.2</v>
      </c>
      <c r="G149" s="1887">
        <v>10445.299999999999</v>
      </c>
      <c r="H149" s="1887">
        <v>100.5</v>
      </c>
      <c r="I149" s="1887">
        <v>24044.799999999999</v>
      </c>
      <c r="J149" s="1887">
        <v>105.1</v>
      </c>
      <c r="K149" s="1887">
        <v>440.8</v>
      </c>
      <c r="L149" s="1887">
        <v>106.44771794252597</v>
      </c>
      <c r="M149" s="1887">
        <v>0</v>
      </c>
      <c r="N149" s="1887">
        <v>1.2056141591850746</v>
      </c>
      <c r="O149" s="1887">
        <v>1.4</v>
      </c>
    </row>
    <row r="150" spans="1:15" ht="15" hidden="1" customHeight="1">
      <c r="A150" s="1885" t="s">
        <v>26</v>
      </c>
      <c r="B150" s="1887">
        <v>44145.4</v>
      </c>
      <c r="C150" s="1887">
        <v>102.5</v>
      </c>
      <c r="D150" s="939">
        <v>100.7</v>
      </c>
      <c r="E150" s="1887">
        <v>23426.5</v>
      </c>
      <c r="F150" s="1887">
        <v>105.9</v>
      </c>
      <c r="G150" s="1887">
        <v>11868.5</v>
      </c>
      <c r="H150" s="1887">
        <v>100.2</v>
      </c>
      <c r="I150" s="1887">
        <v>27168.6</v>
      </c>
      <c r="J150" s="1887">
        <v>105.4</v>
      </c>
      <c r="K150" s="1887">
        <v>441.5</v>
      </c>
      <c r="L150" s="1887">
        <v>106.30869251143751</v>
      </c>
      <c r="M150" s="1887">
        <v>1.1000000000000001</v>
      </c>
      <c r="N150" s="1887">
        <v>2.2896428408786846</v>
      </c>
      <c r="O150" s="1887">
        <v>1.5</v>
      </c>
    </row>
    <row r="151" spans="1:15" ht="15" hidden="1" customHeight="1">
      <c r="A151" s="1885" t="s">
        <v>27</v>
      </c>
      <c r="B151" s="1887">
        <v>49225.2</v>
      </c>
      <c r="C151" s="1887">
        <v>102.8</v>
      </c>
      <c r="D151" s="939">
        <v>100.2</v>
      </c>
      <c r="E151" s="1887">
        <v>26487.8</v>
      </c>
      <c r="F151" s="1887">
        <v>106.4</v>
      </c>
      <c r="G151" s="1887">
        <v>13219.8</v>
      </c>
      <c r="H151" s="1887">
        <v>100.6</v>
      </c>
      <c r="I151" s="1887">
        <v>30377.200000000001</v>
      </c>
      <c r="J151" s="1887">
        <v>105.4</v>
      </c>
      <c r="K151" s="1887">
        <v>441.8</v>
      </c>
      <c r="L151" s="1887">
        <v>106.04896783485358</v>
      </c>
      <c r="M151" s="1887">
        <v>0.3</v>
      </c>
      <c r="N151" s="1887">
        <v>1.9019852360609377</v>
      </c>
      <c r="O151" s="1887">
        <v>1.6</v>
      </c>
    </row>
    <row r="152" spans="1:15" ht="15" hidden="1" customHeight="1">
      <c r="A152" s="1885" t="s">
        <v>28</v>
      </c>
      <c r="B152" s="1887">
        <v>53743.6</v>
      </c>
      <c r="C152" s="1887">
        <v>102.2</v>
      </c>
      <c r="D152" s="1887">
        <v>99.6</v>
      </c>
      <c r="E152" s="1887">
        <v>29445.1</v>
      </c>
      <c r="F152" s="1887">
        <v>106.4</v>
      </c>
      <c r="G152" s="1887">
        <v>14693.1</v>
      </c>
      <c r="H152" s="1887">
        <v>100.3</v>
      </c>
      <c r="I152" s="1887">
        <v>33627.9</v>
      </c>
      <c r="J152" s="1887">
        <v>104.7</v>
      </c>
      <c r="K152" s="1887">
        <v>442</v>
      </c>
      <c r="L152" s="1887">
        <v>105.91900311526479</v>
      </c>
      <c r="M152" s="1887">
        <v>0.1</v>
      </c>
      <c r="N152" s="1887">
        <v>1.2943249160121297</v>
      </c>
      <c r="O152" s="1887">
        <v>1.5</v>
      </c>
    </row>
    <row r="153" spans="1:15" ht="15" hidden="1" customHeight="1">
      <c r="A153" s="1885" t="s">
        <v>29</v>
      </c>
      <c r="B153" s="1887">
        <v>59014.1</v>
      </c>
      <c r="C153" s="1887">
        <v>102.8</v>
      </c>
      <c r="D153" s="1887">
        <v>98.7</v>
      </c>
      <c r="E153" s="1887">
        <v>33195.9</v>
      </c>
      <c r="F153" s="1887">
        <v>106.9</v>
      </c>
      <c r="G153" s="1887">
        <v>17618.599999999999</v>
      </c>
      <c r="H153" s="1887">
        <v>98.3</v>
      </c>
      <c r="I153" s="1887">
        <v>39472.199999999997</v>
      </c>
      <c r="J153" s="1887">
        <v>104.8</v>
      </c>
      <c r="K153" s="1887">
        <v>444.3</v>
      </c>
      <c r="L153" s="1887">
        <v>105.65992865636147</v>
      </c>
      <c r="M153" s="1887">
        <v>0.5</v>
      </c>
      <c r="N153" s="1887">
        <v>-9.6906275256344543E-2</v>
      </c>
      <c r="O153" s="1887">
        <v>1.4</v>
      </c>
    </row>
    <row r="154" spans="1:15" s="1865" customFormat="1" ht="15" hidden="1" customHeight="1">
      <c r="A154" s="1885" t="s">
        <v>1829</v>
      </c>
      <c r="B154" s="1886">
        <v>54380</v>
      </c>
      <c r="C154" s="1886">
        <v>101.1</v>
      </c>
      <c r="D154" s="1886">
        <v>91.1</v>
      </c>
      <c r="E154" s="1886">
        <v>34138.800000000003</v>
      </c>
      <c r="F154" s="1886">
        <v>101.1</v>
      </c>
      <c r="G154" s="1886">
        <v>15957</v>
      </c>
      <c r="H154" s="1886">
        <v>88.9</v>
      </c>
      <c r="I154" s="1886">
        <v>41744.800000000003</v>
      </c>
      <c r="J154" s="1886">
        <v>105.7</v>
      </c>
      <c r="K154" s="1886">
        <v>464.4</v>
      </c>
      <c r="L154" s="1886">
        <v>104.52397029034435</v>
      </c>
      <c r="M154" s="1886">
        <v>4.3532866000000041</v>
      </c>
      <c r="N154" s="1886">
        <f>+N166</f>
        <v>7.5682791363655895</v>
      </c>
      <c r="O154" s="1886">
        <v>4.0094383999999934</v>
      </c>
    </row>
    <row r="155" spans="1:15" ht="15" hidden="1" customHeight="1">
      <c r="A155" s="1885" t="s">
        <v>18</v>
      </c>
      <c r="B155" s="1887">
        <v>3631.7</v>
      </c>
      <c r="C155" s="1887">
        <v>104.4</v>
      </c>
      <c r="D155" s="1887">
        <v>78.599999999999994</v>
      </c>
      <c r="E155" s="1887">
        <v>2258.3000000000002</v>
      </c>
      <c r="F155" s="1887">
        <v>105.5</v>
      </c>
      <c r="G155" s="1887">
        <v>682.7</v>
      </c>
      <c r="H155" s="1887">
        <v>102.9</v>
      </c>
      <c r="I155" s="1887">
        <v>2680.9</v>
      </c>
      <c r="J155" s="1887">
        <v>105.5</v>
      </c>
      <c r="K155" s="1887">
        <v>444.4</v>
      </c>
      <c r="L155" s="1887">
        <v>104.27029563585171</v>
      </c>
      <c r="M155" s="1887">
        <v>0.2</v>
      </c>
      <c r="N155" s="1887">
        <v>0.2</v>
      </c>
      <c r="O155" s="1887">
        <v>0.2</v>
      </c>
    </row>
    <row r="156" spans="1:15" ht="15" hidden="1" customHeight="1">
      <c r="A156" s="1885" t="s">
        <v>19</v>
      </c>
      <c r="B156" s="1887">
        <v>7113.6</v>
      </c>
      <c r="C156" s="1887">
        <v>104.2</v>
      </c>
      <c r="D156" s="1887">
        <v>80.5</v>
      </c>
      <c r="E156" s="1887">
        <v>4238.2</v>
      </c>
      <c r="F156" s="1887">
        <v>105.1</v>
      </c>
      <c r="G156" s="1887">
        <v>1697.5</v>
      </c>
      <c r="H156" s="1887">
        <v>100</v>
      </c>
      <c r="I156" s="1887">
        <v>5859.4</v>
      </c>
      <c r="J156" s="1887">
        <v>105</v>
      </c>
      <c r="K156" s="1887">
        <v>444.5</v>
      </c>
      <c r="L156" s="1887">
        <v>104.26929392446634</v>
      </c>
      <c r="M156" s="1887">
        <v>4</v>
      </c>
      <c r="N156" s="1887">
        <v>3.8880293419652645</v>
      </c>
      <c r="O156" s="1887">
        <v>2</v>
      </c>
    </row>
    <row r="157" spans="1:15" ht="15" hidden="1" customHeight="1">
      <c r="A157" s="1885" t="s">
        <v>20</v>
      </c>
      <c r="B157" s="1887">
        <v>11525</v>
      </c>
      <c r="C157" s="1887">
        <v>105.3</v>
      </c>
      <c r="D157" s="1887">
        <v>82.1</v>
      </c>
      <c r="E157" s="1887">
        <v>7091</v>
      </c>
      <c r="F157" s="1887">
        <v>106.9</v>
      </c>
      <c r="G157" s="1887">
        <v>3232.8</v>
      </c>
      <c r="H157" s="1887">
        <v>103</v>
      </c>
      <c r="I157" s="1887">
        <v>9455.9</v>
      </c>
      <c r="J157" s="1887">
        <v>105.3</v>
      </c>
      <c r="K157" s="1887">
        <v>449.5</v>
      </c>
      <c r="L157" s="1887">
        <v>103.52372178719484</v>
      </c>
      <c r="M157" s="1887">
        <v>0.9</v>
      </c>
      <c r="N157" s="1887">
        <v>4.5259123755934496</v>
      </c>
      <c r="O157" s="1887">
        <v>2.8</v>
      </c>
    </row>
    <row r="158" spans="1:15" ht="15" hidden="1" customHeight="1">
      <c r="A158" s="1885" t="s">
        <v>21</v>
      </c>
      <c r="B158" s="1887">
        <v>16639</v>
      </c>
      <c r="C158" s="1887">
        <v>105.5</v>
      </c>
      <c r="D158" s="1887">
        <v>84.7</v>
      </c>
      <c r="E158" s="1887">
        <v>9792.2000000000007</v>
      </c>
      <c r="F158" s="1887">
        <v>106.7</v>
      </c>
      <c r="G158" s="1887">
        <v>4868.6000000000004</v>
      </c>
      <c r="H158" s="1887">
        <v>103.5</v>
      </c>
      <c r="I158" s="1887">
        <v>12649.3</v>
      </c>
      <c r="J158" s="1887">
        <v>105.7</v>
      </c>
      <c r="K158" s="1887">
        <v>452.3</v>
      </c>
      <c r="L158" s="1887">
        <v>103.59596885020615</v>
      </c>
      <c r="M158" s="1887">
        <v>-0.2</v>
      </c>
      <c r="N158" s="1887">
        <v>4.1060461382235474</v>
      </c>
      <c r="O158" s="1887">
        <v>3.1</v>
      </c>
    </row>
    <row r="159" spans="1:15" ht="15" hidden="1" customHeight="1">
      <c r="A159" s="1885" t="s">
        <v>22</v>
      </c>
      <c r="B159" s="1887">
        <v>21344.3</v>
      </c>
      <c r="C159" s="1887">
        <v>105.3</v>
      </c>
      <c r="D159" s="1887">
        <v>86.5</v>
      </c>
      <c r="E159" s="1887">
        <v>12801</v>
      </c>
      <c r="F159" s="1887">
        <v>107.6</v>
      </c>
      <c r="G159" s="1887">
        <v>6416.3</v>
      </c>
      <c r="H159" s="1887">
        <v>103.7</v>
      </c>
      <c r="I159" s="1887">
        <v>16163.1</v>
      </c>
      <c r="J159" s="1887">
        <v>105.8</v>
      </c>
      <c r="K159" s="1887">
        <v>454.8</v>
      </c>
      <c r="L159" s="1887">
        <v>103.81191508787948</v>
      </c>
      <c r="M159" s="1887">
        <v>-0.6</v>
      </c>
      <c r="N159" s="1887">
        <v>4.3181520178182211</v>
      </c>
      <c r="O159" s="1887">
        <v>3.4</v>
      </c>
    </row>
    <row r="160" spans="1:15" ht="15" hidden="1" customHeight="1">
      <c r="A160" s="1885" t="s">
        <v>23</v>
      </c>
      <c r="B160" s="1887">
        <v>26265.1</v>
      </c>
      <c r="C160" s="1887">
        <v>105.7</v>
      </c>
      <c r="D160" s="1887">
        <v>87.5</v>
      </c>
      <c r="E160" s="1887">
        <v>16009.9</v>
      </c>
      <c r="F160" s="1887">
        <v>109.2</v>
      </c>
      <c r="G160" s="1887">
        <v>7925.6</v>
      </c>
      <c r="H160" s="1887">
        <v>103.7</v>
      </c>
      <c r="I160" s="1887">
        <v>19826.3</v>
      </c>
      <c r="J160" s="1887">
        <v>106.2</v>
      </c>
      <c r="K160" s="1887">
        <v>456.3</v>
      </c>
      <c r="L160" s="1887">
        <v>103.77530134182398</v>
      </c>
      <c r="M160" s="1887">
        <v>-1.1000000000000001</v>
      </c>
      <c r="N160" s="1887">
        <v>4.4027198147509097</v>
      </c>
      <c r="O160" s="1887">
        <v>3.5</v>
      </c>
    </row>
    <row r="161" spans="1:15" ht="15" hidden="1" customHeight="1">
      <c r="A161" s="1885" t="s">
        <v>24</v>
      </c>
      <c r="B161" s="1887">
        <v>32057.5</v>
      </c>
      <c r="C161" s="1887">
        <v>105.6</v>
      </c>
      <c r="D161" s="1887">
        <v>88.8</v>
      </c>
      <c r="E161" s="1887">
        <v>19926.900000000001</v>
      </c>
      <c r="F161" s="1887">
        <v>109</v>
      </c>
      <c r="G161" s="1887">
        <v>9368.5</v>
      </c>
      <c r="H161" s="1887">
        <v>103.5</v>
      </c>
      <c r="I161" s="1887">
        <v>23606.1</v>
      </c>
      <c r="J161" s="1887">
        <v>106.4</v>
      </c>
      <c r="K161" s="1887">
        <v>458.1</v>
      </c>
      <c r="L161" s="1887">
        <v>103.94826412525529</v>
      </c>
      <c r="M161" s="1887">
        <v>-0.7</v>
      </c>
      <c r="N161" s="1887">
        <v>4.4734774993333559</v>
      </c>
      <c r="O161" s="1887">
        <v>3.7</v>
      </c>
    </row>
    <row r="162" spans="1:15" ht="15" hidden="1" customHeight="1">
      <c r="A162" s="1885" t="s">
        <v>25</v>
      </c>
      <c r="B162" s="1887">
        <v>36027.599999999999</v>
      </c>
      <c r="C162" s="1887">
        <v>104.2</v>
      </c>
      <c r="D162" s="1887">
        <v>88.4</v>
      </c>
      <c r="E162" s="1887">
        <v>22589.200000000001</v>
      </c>
      <c r="F162" s="1887">
        <v>107.4</v>
      </c>
      <c r="G162" s="1887">
        <v>10550.1</v>
      </c>
      <c r="H162" s="1887">
        <v>101.7</v>
      </c>
      <c r="I162" s="1887">
        <v>26674.7</v>
      </c>
      <c r="J162" s="1887">
        <v>105.9</v>
      </c>
      <c r="K162" s="1887">
        <v>459.4</v>
      </c>
      <c r="L162" s="1887">
        <v>104.2196007259528</v>
      </c>
      <c r="M162" s="1887">
        <v>-0.1</v>
      </c>
      <c r="N162" s="1887">
        <v>4.3647808636489032</v>
      </c>
      <c r="O162" s="1887">
        <v>3.8</v>
      </c>
    </row>
    <row r="163" spans="1:15" ht="15" hidden="1" customHeight="1">
      <c r="A163" s="1885" t="s">
        <v>26</v>
      </c>
      <c r="B163" s="1887">
        <v>40678.400000000001</v>
      </c>
      <c r="C163" s="1887">
        <v>103.7</v>
      </c>
      <c r="D163" s="1887">
        <v>88.2</v>
      </c>
      <c r="E163" s="1887">
        <v>25872.1</v>
      </c>
      <c r="F163" s="1887">
        <v>106.4</v>
      </c>
      <c r="G163" s="1887">
        <v>11831.2</v>
      </c>
      <c r="H163" s="1887">
        <v>100.5</v>
      </c>
      <c r="I163" s="1887">
        <v>30122.799999999999</v>
      </c>
      <c r="J163" s="1887">
        <v>105.8</v>
      </c>
      <c r="K163" s="1887">
        <v>459.7</v>
      </c>
      <c r="L163" s="1887">
        <v>104.12231030577577</v>
      </c>
      <c r="M163" s="1887">
        <v>0.3</v>
      </c>
      <c r="N163" s="1887">
        <v>3.4919142783413264</v>
      </c>
      <c r="O163" s="1887">
        <v>3.7</v>
      </c>
    </row>
    <row r="164" spans="1:15" ht="15" hidden="1" customHeight="1">
      <c r="A164" s="1885" t="s">
        <v>27</v>
      </c>
      <c r="B164" s="1887">
        <v>45934.8</v>
      </c>
      <c r="C164" s="1887">
        <v>103.3</v>
      </c>
      <c r="D164" s="1887">
        <v>89.4</v>
      </c>
      <c r="E164" s="1887">
        <v>29315.3</v>
      </c>
      <c r="F164" s="1887">
        <v>105.2</v>
      </c>
      <c r="G164" s="1887">
        <v>13078.1</v>
      </c>
      <c r="H164" s="1887">
        <v>98.1</v>
      </c>
      <c r="I164" s="1887">
        <v>33518.699999999997</v>
      </c>
      <c r="J164" s="1887">
        <v>105.7</v>
      </c>
      <c r="K164" s="1887">
        <v>460.5</v>
      </c>
      <c r="L164" s="1887">
        <v>104.23268447261205</v>
      </c>
      <c r="M164" s="1887">
        <v>0.1</v>
      </c>
      <c r="N164" s="1887">
        <v>3.3246235714315304</v>
      </c>
      <c r="O164" s="1887">
        <v>3.7</v>
      </c>
    </row>
    <row r="165" spans="1:15" ht="15" hidden="1" customHeight="1">
      <c r="A165" s="1885" t="s">
        <v>28</v>
      </c>
      <c r="B165" s="1887">
        <v>50057.5</v>
      </c>
      <c r="C165" s="1887">
        <v>103.1</v>
      </c>
      <c r="D165" s="1887">
        <v>89.9</v>
      </c>
      <c r="E165" s="1887">
        <v>31885.7</v>
      </c>
      <c r="F165" s="1887">
        <v>104</v>
      </c>
      <c r="G165" s="1887">
        <v>14438.8</v>
      </c>
      <c r="H165" s="1887">
        <v>97.6</v>
      </c>
      <c r="I165" s="1887">
        <v>36770.199999999997</v>
      </c>
      <c r="J165" s="1887">
        <v>105.7</v>
      </c>
      <c r="K165" s="1887">
        <v>460.5</v>
      </c>
      <c r="L165" s="1887">
        <v>104.18552036199095</v>
      </c>
      <c r="M165" s="1887">
        <v>0.38944680000000176</v>
      </c>
      <c r="N165" s="1887">
        <v>3.6295582463055354</v>
      </c>
      <c r="O165" s="1887">
        <v>3.681657400000006</v>
      </c>
    </row>
    <row r="166" spans="1:15" ht="15" hidden="1" customHeight="1">
      <c r="A166" s="1885" t="s">
        <v>29</v>
      </c>
      <c r="B166" s="1887">
        <v>54380</v>
      </c>
      <c r="C166" s="1887">
        <v>101.1</v>
      </c>
      <c r="D166" s="1887">
        <v>91.1</v>
      </c>
      <c r="E166" s="1887">
        <v>34138.800000000003</v>
      </c>
      <c r="F166" s="1887">
        <v>101.1</v>
      </c>
      <c r="G166" s="1887">
        <v>15957</v>
      </c>
      <c r="H166" s="1887">
        <v>88.9</v>
      </c>
      <c r="I166" s="1887">
        <v>41744.800000000003</v>
      </c>
      <c r="J166" s="1887">
        <v>105.7</v>
      </c>
      <c r="K166" s="1887">
        <v>464.4</v>
      </c>
      <c r="L166" s="1887">
        <v>104.52397029034435</v>
      </c>
      <c r="M166" s="1887">
        <v>4.3532866000000041</v>
      </c>
      <c r="N166" s="1887">
        <v>7.5682791363655895</v>
      </c>
      <c r="O166" s="1887">
        <v>4.0094383999999934</v>
      </c>
    </row>
    <row r="167" spans="1:15" ht="15" customHeight="1">
      <c r="A167" s="1885" t="s">
        <v>1852</v>
      </c>
      <c r="B167" s="1886">
        <v>60425.2</v>
      </c>
      <c r="C167" s="1886">
        <v>96.9</v>
      </c>
      <c r="D167" s="1886">
        <v>114.7</v>
      </c>
      <c r="E167" s="1886">
        <v>35951.1</v>
      </c>
      <c r="F167" s="1886">
        <v>95.6</v>
      </c>
      <c r="G167" s="1886">
        <v>15772.825800000001</v>
      </c>
      <c r="H167" s="1886">
        <v>78.3</v>
      </c>
      <c r="I167" s="1886">
        <v>45395.1</v>
      </c>
      <c r="J167" s="1886">
        <v>108.7</v>
      </c>
      <c r="K167" s="1886">
        <v>498.6</v>
      </c>
      <c r="L167" s="1886">
        <v>107.36434108527133</v>
      </c>
      <c r="M167" s="1886">
        <v>3</v>
      </c>
      <c r="N167" s="1886">
        <f>+N179</f>
        <v>15.663170556703562</v>
      </c>
      <c r="O167" s="1886">
        <v>12.4</v>
      </c>
    </row>
    <row r="168" spans="1:15" ht="15" hidden="1" customHeight="1">
      <c r="A168" s="1885" t="s">
        <v>18</v>
      </c>
      <c r="B168" s="1887">
        <v>4011.2</v>
      </c>
      <c r="C168" s="1887">
        <v>96.7</v>
      </c>
      <c r="D168" s="1887">
        <v>115.8</v>
      </c>
      <c r="E168" s="1887">
        <v>2445.4</v>
      </c>
      <c r="F168" s="1887">
        <v>96.3</v>
      </c>
      <c r="G168" s="1887">
        <v>880.7</v>
      </c>
      <c r="H168" s="1887">
        <v>100</v>
      </c>
      <c r="I168" s="1887">
        <v>3080.6</v>
      </c>
      <c r="J168" s="1887">
        <v>112.1</v>
      </c>
      <c r="K168" s="1887">
        <v>478</v>
      </c>
      <c r="L168" s="1887">
        <v>107.56075607560756</v>
      </c>
      <c r="M168" s="1887">
        <v>5.8</v>
      </c>
      <c r="N168" s="1887">
        <v>13.60210270932258</v>
      </c>
      <c r="O168" s="1887">
        <v>13.6</v>
      </c>
    </row>
    <row r="169" spans="1:15" ht="15" hidden="1" customHeight="1">
      <c r="A169" s="1885" t="s">
        <v>19</v>
      </c>
      <c r="B169" s="1887">
        <v>7888.7</v>
      </c>
      <c r="C169" s="1887">
        <v>96.8</v>
      </c>
      <c r="D169" s="1887">
        <v>117.5</v>
      </c>
      <c r="E169" s="1887">
        <v>4538.8999999999996</v>
      </c>
      <c r="F169" s="1887">
        <v>94.5</v>
      </c>
      <c r="G169" s="1887">
        <v>1834.9</v>
      </c>
      <c r="H169" s="1887">
        <v>68.900000000000006</v>
      </c>
      <c r="I169" s="1887">
        <v>6459.3</v>
      </c>
      <c r="J169" s="1887">
        <v>110.2</v>
      </c>
      <c r="K169" s="1887">
        <v>470.2</v>
      </c>
      <c r="L169" s="1887">
        <v>105.78177727784026</v>
      </c>
      <c r="M169" s="1887">
        <v>0.4</v>
      </c>
      <c r="N169" s="1887">
        <v>9.7263033036773834</v>
      </c>
      <c r="O169" s="1887">
        <v>11.7</v>
      </c>
    </row>
    <row r="170" spans="1:15" ht="15" hidden="1" customHeight="1">
      <c r="A170" s="1885" t="s">
        <v>20</v>
      </c>
      <c r="B170" s="1887">
        <v>12588.7</v>
      </c>
      <c r="C170" s="1887">
        <v>96.5</v>
      </c>
      <c r="D170" s="1887">
        <v>113.1</v>
      </c>
      <c r="E170" s="1887">
        <v>7387.3</v>
      </c>
      <c r="F170" s="1887">
        <v>94.3</v>
      </c>
      <c r="G170" s="1887">
        <v>2876.8</v>
      </c>
      <c r="H170" s="1887">
        <v>65.8</v>
      </c>
      <c r="I170" s="1887">
        <v>10303.5</v>
      </c>
      <c r="J170" s="1887">
        <v>109</v>
      </c>
      <c r="K170" s="1887">
        <v>484.4</v>
      </c>
      <c r="L170" s="1887">
        <v>107.76418242491657</v>
      </c>
      <c r="M170" s="1887">
        <v>0.4</v>
      </c>
      <c r="N170" s="1887">
        <v>9.1702140941422954</v>
      </c>
      <c r="O170" s="1887">
        <v>10.8</v>
      </c>
    </row>
    <row r="171" spans="1:15" ht="15" hidden="1" customHeight="1">
      <c r="A171" s="1885" t="s">
        <v>21</v>
      </c>
      <c r="B171" s="1887">
        <v>16867.900000000001</v>
      </c>
      <c r="C171" s="1887">
        <v>95.5</v>
      </c>
      <c r="D171" s="1887">
        <v>110.9</v>
      </c>
      <c r="E171" s="1887">
        <v>9859.5</v>
      </c>
      <c r="F171" s="1887">
        <v>93.2</v>
      </c>
      <c r="G171" s="1887">
        <v>4291.3</v>
      </c>
      <c r="H171" s="1887">
        <v>68.900000000000006</v>
      </c>
      <c r="I171" s="1887">
        <v>13789.5</v>
      </c>
      <c r="J171" s="1887">
        <v>109</v>
      </c>
      <c r="K171" s="1887">
        <v>486.3</v>
      </c>
      <c r="L171" s="1887">
        <v>107.51713464514702</v>
      </c>
      <c r="M171" s="1887">
        <v>0.2</v>
      </c>
      <c r="N171" s="1887">
        <v>9.609686877446606</v>
      </c>
      <c r="O171" s="1887">
        <v>10.5</v>
      </c>
    </row>
    <row r="172" spans="1:15" ht="15" hidden="1" customHeight="1">
      <c r="A172" s="1885" t="s">
        <v>22</v>
      </c>
      <c r="B172" s="1887">
        <v>21512.799999999999</v>
      </c>
      <c r="C172" s="1887">
        <v>95.8</v>
      </c>
      <c r="D172" s="1887">
        <v>110.3</v>
      </c>
      <c r="E172" s="1887">
        <v>12502.6</v>
      </c>
      <c r="F172" s="1887">
        <v>93</v>
      </c>
      <c r="G172" s="1887">
        <v>5388.8</v>
      </c>
      <c r="H172" s="1887">
        <v>66.900000000000006</v>
      </c>
      <c r="I172" s="1887">
        <v>17511.599999999999</v>
      </c>
      <c r="J172" s="1887">
        <v>108.3</v>
      </c>
      <c r="K172" s="1887">
        <v>488.4</v>
      </c>
      <c r="L172" s="1887">
        <v>107.38786279683377</v>
      </c>
      <c r="M172" s="1887">
        <v>-0.1</v>
      </c>
      <c r="N172" s="1887">
        <v>10.137774218977498</v>
      </c>
      <c r="O172" s="1887">
        <v>10.4</v>
      </c>
    </row>
    <row r="173" spans="1:15" ht="15" hidden="1" customHeight="1">
      <c r="A173" s="1885" t="s">
        <v>23</v>
      </c>
      <c r="B173" s="1887">
        <v>27002.3</v>
      </c>
      <c r="C173" s="1887">
        <v>96.6</v>
      </c>
      <c r="D173" s="1887">
        <v>109.3</v>
      </c>
      <c r="E173" s="1887">
        <v>16004.2</v>
      </c>
      <c r="F173" s="1887">
        <v>94</v>
      </c>
      <c r="G173" s="1887">
        <v>6769.6</v>
      </c>
      <c r="H173" s="1887">
        <v>69.599999999999994</v>
      </c>
      <c r="I173" s="1887">
        <v>21493.9</v>
      </c>
      <c r="J173" s="1887">
        <v>108.4</v>
      </c>
      <c r="K173" s="1887">
        <v>488.1</v>
      </c>
      <c r="L173" s="1887">
        <v>106.9690992767916</v>
      </c>
      <c r="M173" s="1887">
        <v>-0.5</v>
      </c>
      <c r="N173" s="1887">
        <v>10.889517453387484</v>
      </c>
      <c r="O173" s="1887">
        <v>10.5</v>
      </c>
    </row>
    <row r="174" spans="1:15" ht="15" hidden="1" customHeight="1">
      <c r="A174" s="1885" t="s">
        <v>24</v>
      </c>
      <c r="B174" s="1887">
        <v>32122.6</v>
      </c>
      <c r="C174" s="1887">
        <v>97</v>
      </c>
      <c r="D174" s="1887">
        <v>110.3</v>
      </c>
      <c r="E174" s="1887">
        <v>18957.7</v>
      </c>
      <c r="F174" s="1887">
        <v>94.7</v>
      </c>
      <c r="G174" s="1887">
        <v>7959.7</v>
      </c>
      <c r="H174" s="1887">
        <v>70.3</v>
      </c>
      <c r="I174" s="1887">
        <v>25682.7</v>
      </c>
      <c r="J174" s="1887">
        <v>108.5</v>
      </c>
      <c r="K174" s="1887">
        <v>489.3</v>
      </c>
      <c r="L174" s="1887">
        <v>106.81074001309759</v>
      </c>
      <c r="M174" s="1887">
        <v>-0.3</v>
      </c>
      <c r="N174" s="1887">
        <v>11.377210236314667</v>
      </c>
      <c r="O174" s="1887">
        <v>10.6</v>
      </c>
    </row>
    <row r="175" spans="1:15" ht="15" hidden="1" customHeight="1">
      <c r="A175" s="1885" t="s">
        <v>25</v>
      </c>
      <c r="B175" s="1887">
        <v>38027.800000000003</v>
      </c>
      <c r="C175" s="1887">
        <v>96.9</v>
      </c>
      <c r="D175" s="1887">
        <v>111.8</v>
      </c>
      <c r="E175" s="1887">
        <v>22795.9</v>
      </c>
      <c r="F175" s="1887">
        <v>94.3</v>
      </c>
      <c r="G175" s="1887">
        <v>8999.1</v>
      </c>
      <c r="H175" s="1887">
        <v>69.3</v>
      </c>
      <c r="I175" s="1887">
        <v>28972.400000000001</v>
      </c>
      <c r="J175" s="1887">
        <v>108.6</v>
      </c>
      <c r="K175" s="1887">
        <v>488.7</v>
      </c>
      <c r="L175" s="1887">
        <v>106.37788419677841</v>
      </c>
      <c r="M175" s="1887">
        <v>0.5</v>
      </c>
      <c r="N175" s="1887">
        <v>12.084881359380901</v>
      </c>
      <c r="O175" s="1887">
        <v>10.8</v>
      </c>
    </row>
    <row r="176" spans="1:15" ht="15" hidden="1" customHeight="1">
      <c r="A176" s="1885" t="s">
        <v>26</v>
      </c>
      <c r="B176" s="1887">
        <v>43436.3</v>
      </c>
      <c r="C176" s="1887">
        <v>96.1</v>
      </c>
      <c r="D176" s="1887">
        <v>112.9</v>
      </c>
      <c r="E176" s="1887">
        <v>25988.6</v>
      </c>
      <c r="F176" s="1887">
        <v>94</v>
      </c>
      <c r="G176" s="1887">
        <v>10268.700000000001</v>
      </c>
      <c r="H176" s="1887">
        <v>69.599999999999994</v>
      </c>
      <c r="I176" s="1887">
        <v>32762.5</v>
      </c>
      <c r="J176" s="1887">
        <v>108.7</v>
      </c>
      <c r="K176" s="1887">
        <v>490.5</v>
      </c>
      <c r="L176" s="1887">
        <v>106.70002175331739</v>
      </c>
      <c r="M176" s="1887">
        <v>2.2999999999999998</v>
      </c>
      <c r="N176" s="1887">
        <v>14.287619839830484</v>
      </c>
      <c r="O176" s="1887">
        <v>11.2</v>
      </c>
    </row>
    <row r="177" spans="1:15" ht="15" hidden="1" customHeight="1">
      <c r="A177" s="1885" t="s">
        <v>27</v>
      </c>
      <c r="B177" s="1887">
        <v>49223.4</v>
      </c>
      <c r="C177" s="1887">
        <v>96.3</v>
      </c>
      <c r="D177" s="1887">
        <v>113.8</v>
      </c>
      <c r="E177" s="1887">
        <v>29471.3</v>
      </c>
      <c r="F177" s="1887">
        <v>94.5</v>
      </c>
      <c r="G177" s="1887">
        <v>11889.2</v>
      </c>
      <c r="H177" s="1887">
        <v>73.7</v>
      </c>
      <c r="I177" s="1887">
        <v>36635.800000000003</v>
      </c>
      <c r="J177" s="1887">
        <v>108.7</v>
      </c>
      <c r="K177" s="1887">
        <v>493.8</v>
      </c>
      <c r="L177" s="1887">
        <v>107.23127035830619</v>
      </c>
      <c r="M177" s="1887">
        <v>1.3</v>
      </c>
      <c r="N177" s="1887">
        <v>15.663054964385154</v>
      </c>
      <c r="O177" s="1887">
        <v>11.6</v>
      </c>
    </row>
    <row r="178" spans="1:15" ht="15" hidden="1" customHeight="1">
      <c r="A178" s="1885" t="s">
        <v>28</v>
      </c>
      <c r="B178" s="1887">
        <v>54433.1</v>
      </c>
      <c r="C178" s="1887">
        <v>96.1</v>
      </c>
      <c r="D178" s="1887">
        <v>114.7</v>
      </c>
      <c r="E178" s="1887">
        <v>32675.9</v>
      </c>
      <c r="F178" s="1887">
        <v>94.4</v>
      </c>
      <c r="G178" s="1887">
        <v>13009.1</v>
      </c>
      <c r="H178" s="1887">
        <v>72</v>
      </c>
      <c r="I178" s="1887">
        <v>40028.5</v>
      </c>
      <c r="J178" s="1887">
        <v>108.9</v>
      </c>
      <c r="K178" s="1887">
        <v>494.3</v>
      </c>
      <c r="L178" s="1887">
        <v>107.3398479913138</v>
      </c>
      <c r="M178" s="1887">
        <v>1.7</v>
      </c>
      <c r="N178" s="1887">
        <v>17.134583784143913</v>
      </c>
      <c r="O178" s="1887">
        <v>12.1</v>
      </c>
    </row>
    <row r="179" spans="1:15" ht="15" hidden="1" customHeight="1">
      <c r="A179" s="1885" t="s">
        <v>29</v>
      </c>
      <c r="B179" s="1887">
        <v>60425.2</v>
      </c>
      <c r="C179" s="1887">
        <v>96.9</v>
      </c>
      <c r="D179" s="1887">
        <v>114.7</v>
      </c>
      <c r="E179" s="1887">
        <v>35951.1</v>
      </c>
      <c r="F179" s="1887">
        <v>95.6</v>
      </c>
      <c r="G179" s="1887">
        <v>15772.825800000001</v>
      </c>
      <c r="H179" s="1887">
        <v>78.3</v>
      </c>
      <c r="I179" s="1887">
        <v>45395.1</v>
      </c>
      <c r="J179" s="1887">
        <v>108.7</v>
      </c>
      <c r="K179" s="1887">
        <v>498.6</v>
      </c>
      <c r="L179" s="1887">
        <v>107.36434108527133</v>
      </c>
      <c r="M179" s="1887">
        <v>3</v>
      </c>
      <c r="N179" s="1887">
        <v>15.663170556703562</v>
      </c>
      <c r="O179" s="1887">
        <v>12.4</v>
      </c>
    </row>
    <row r="180" spans="1:15" ht="15" customHeight="1">
      <c r="A180" s="1885" t="s">
        <v>1915</v>
      </c>
      <c r="B180" s="1886">
        <v>70337.8</v>
      </c>
      <c r="C180" s="1886">
        <v>100.2</v>
      </c>
      <c r="D180" s="1886">
        <v>116</v>
      </c>
      <c r="E180" s="1886">
        <v>40328</v>
      </c>
      <c r="F180" s="1886">
        <v>102.8</v>
      </c>
      <c r="G180" s="1886">
        <v>17430.339499999998</v>
      </c>
      <c r="H180" s="1886">
        <v>102.8</v>
      </c>
      <c r="I180" s="1886">
        <v>49187.9</v>
      </c>
      <c r="J180" s="1886">
        <v>108.3</v>
      </c>
      <c r="K180" s="1886">
        <v>528.20000000000005</v>
      </c>
      <c r="L180" s="1886">
        <v>105.93662254312075</v>
      </c>
      <c r="M180" s="1886">
        <v>0.45967969999999525</v>
      </c>
      <c r="N180" s="1886">
        <f>+N192</f>
        <v>7.9270442346791583</v>
      </c>
      <c r="O180" s="1886">
        <v>12.9</v>
      </c>
    </row>
    <row r="181" spans="1:15" ht="15" hidden="1" customHeight="1">
      <c r="A181" s="1885" t="s">
        <v>18</v>
      </c>
      <c r="B181" s="1887">
        <v>5233.1000000000004</v>
      </c>
      <c r="C181" s="1887">
        <v>100.8</v>
      </c>
      <c r="D181" s="1887">
        <v>128.1</v>
      </c>
      <c r="E181" s="1887">
        <v>2673.2</v>
      </c>
      <c r="F181" s="1887">
        <v>101.5</v>
      </c>
      <c r="G181" s="1887">
        <v>954.2</v>
      </c>
      <c r="H181" s="1887">
        <v>97.9</v>
      </c>
      <c r="I181" s="1887">
        <v>3476.1</v>
      </c>
      <c r="J181" s="1887">
        <v>104.6</v>
      </c>
      <c r="K181" s="1887">
        <v>504.8</v>
      </c>
      <c r="L181" s="1887">
        <v>105.60669456066947</v>
      </c>
      <c r="M181" s="1887">
        <v>2.2999999999999998</v>
      </c>
      <c r="N181" s="1887">
        <v>11.860488592820701</v>
      </c>
      <c r="O181" s="1887">
        <v>11.9</v>
      </c>
    </row>
    <row r="182" spans="1:15" ht="15" hidden="1" customHeight="1">
      <c r="A182" s="1885" t="s">
        <v>19</v>
      </c>
      <c r="B182" s="1887">
        <v>10042.6</v>
      </c>
      <c r="C182" s="1887">
        <v>100.4</v>
      </c>
      <c r="D182" s="1887">
        <v>127.9</v>
      </c>
      <c r="E182" s="1887">
        <v>5172.2</v>
      </c>
      <c r="F182" s="1887">
        <v>102.3</v>
      </c>
      <c r="G182" s="1887">
        <v>2093.6999999999998</v>
      </c>
      <c r="H182" s="1887">
        <v>105.7</v>
      </c>
      <c r="I182" s="1887">
        <v>6980.3</v>
      </c>
      <c r="J182" s="1887">
        <v>104.7</v>
      </c>
      <c r="K182" s="1887">
        <v>499.9</v>
      </c>
      <c r="L182" s="1887">
        <v>106.31646108039132</v>
      </c>
      <c r="M182" s="1887">
        <v>1.6</v>
      </c>
      <c r="N182" s="1887">
        <v>13.172427610827782</v>
      </c>
      <c r="O182" s="1887">
        <v>12.5</v>
      </c>
    </row>
    <row r="183" spans="1:15" ht="15" hidden="1" customHeight="1">
      <c r="A183" s="1885" t="s">
        <v>20</v>
      </c>
      <c r="B183" s="1887">
        <v>15229.7</v>
      </c>
      <c r="C183" s="1887">
        <v>99.1</v>
      </c>
      <c r="D183" s="1887">
        <v>129.19999999999999</v>
      </c>
      <c r="E183" s="1887">
        <v>7782.1</v>
      </c>
      <c r="F183" s="1887">
        <v>102.4</v>
      </c>
      <c r="G183" s="1887">
        <v>3182.3</v>
      </c>
      <c r="H183" s="1887">
        <v>103</v>
      </c>
      <c r="I183" s="1887">
        <v>11362.1</v>
      </c>
      <c r="J183" s="1887">
        <v>106.7</v>
      </c>
      <c r="K183" s="1887">
        <v>514.29999999999995</v>
      </c>
      <c r="L183" s="1887">
        <v>106.17258464079273</v>
      </c>
      <c r="M183" s="1887">
        <v>1.6</v>
      </c>
      <c r="N183" s="1887">
        <v>14.505859935056222</v>
      </c>
      <c r="O183" s="1887">
        <v>13.2</v>
      </c>
    </row>
    <row r="184" spans="1:15" ht="15" hidden="1" customHeight="1">
      <c r="A184" s="1885" t="s">
        <v>21</v>
      </c>
      <c r="B184" s="1887">
        <v>20381.3</v>
      </c>
      <c r="C184" s="1887">
        <v>98.8</v>
      </c>
      <c r="D184" s="1887">
        <v>123.6</v>
      </c>
      <c r="E184" s="1887">
        <v>10614.3</v>
      </c>
      <c r="F184" s="1887">
        <v>101.9</v>
      </c>
      <c r="G184" s="1887">
        <v>4533.3999999999996</v>
      </c>
      <c r="H184" s="1887">
        <v>96.5</v>
      </c>
      <c r="I184" s="1887">
        <v>14655.6</v>
      </c>
      <c r="J184" s="1887">
        <v>106.8</v>
      </c>
      <c r="K184" s="1887">
        <v>520.5</v>
      </c>
      <c r="L184" s="1887">
        <v>107.03269586674892</v>
      </c>
      <c r="M184" s="1887">
        <v>0.2</v>
      </c>
      <c r="N184" s="1887">
        <v>14.56180522257317</v>
      </c>
      <c r="O184" s="1887">
        <v>13.5</v>
      </c>
    </row>
    <row r="185" spans="1:15" ht="15" hidden="1" customHeight="1">
      <c r="A185" s="1885" t="s">
        <v>22</v>
      </c>
      <c r="B185" s="1887">
        <v>25338.7</v>
      </c>
      <c r="C185" s="1887">
        <v>99.1</v>
      </c>
      <c r="D185" s="1887">
        <v>121.4</v>
      </c>
      <c r="E185" s="1887">
        <v>13534.3</v>
      </c>
      <c r="F185" s="1887">
        <v>102.3</v>
      </c>
      <c r="G185" s="1887">
        <v>5671.7</v>
      </c>
      <c r="H185" s="1887">
        <v>96.8</v>
      </c>
      <c r="I185" s="1887">
        <v>18613.900000000001</v>
      </c>
      <c r="J185" s="1887">
        <v>107.3</v>
      </c>
      <c r="K185" s="1887">
        <v>520.1</v>
      </c>
      <c r="L185" s="1887">
        <v>106.4905814905815</v>
      </c>
      <c r="M185" s="1887">
        <v>0.2</v>
      </c>
      <c r="N185" s="1887">
        <v>14.89688510897777</v>
      </c>
      <c r="O185" s="1887">
        <v>13.8</v>
      </c>
    </row>
    <row r="186" spans="1:15" ht="15" hidden="1" customHeight="1">
      <c r="A186" s="1885" t="s">
        <v>23</v>
      </c>
      <c r="B186" s="1887">
        <v>31310.6</v>
      </c>
      <c r="C186" s="1887">
        <v>98.7</v>
      </c>
      <c r="D186" s="1887">
        <v>119.1</v>
      </c>
      <c r="E186" s="1887">
        <v>17275.7</v>
      </c>
      <c r="F186" s="1887">
        <v>101.7</v>
      </c>
      <c r="G186" s="1887">
        <v>7138.6</v>
      </c>
      <c r="H186" s="1887">
        <v>97.1</v>
      </c>
      <c r="I186" s="1887">
        <v>23526.7</v>
      </c>
      <c r="J186" s="1887">
        <v>107.3</v>
      </c>
      <c r="K186" s="1887">
        <v>522</v>
      </c>
      <c r="L186" s="1887">
        <v>106.94529809465274</v>
      </c>
      <c r="M186" s="1887">
        <v>-1.0350633999999985</v>
      </c>
      <c r="N186" s="1887">
        <v>14.239548719996492</v>
      </c>
      <c r="O186" s="1887">
        <v>13.876268899999999</v>
      </c>
    </row>
    <row r="187" spans="1:15" ht="15" hidden="1" customHeight="1">
      <c r="A187" s="1885" t="s">
        <v>24</v>
      </c>
      <c r="B187" s="1887">
        <v>37645.4</v>
      </c>
      <c r="C187" s="1887">
        <v>99</v>
      </c>
      <c r="D187" s="1887">
        <v>117.8</v>
      </c>
      <c r="E187" s="1887">
        <v>21158.6</v>
      </c>
      <c r="F187" s="1887">
        <v>102.2</v>
      </c>
      <c r="G187" s="1887">
        <v>8728.7999999999993</v>
      </c>
      <c r="H187" s="1887">
        <v>99.7</v>
      </c>
      <c r="I187" s="1887">
        <v>27716.9</v>
      </c>
      <c r="J187" s="1887">
        <v>107.5</v>
      </c>
      <c r="K187" s="1887">
        <v>523.1</v>
      </c>
      <c r="L187" s="1887">
        <v>106.90782750868588</v>
      </c>
      <c r="M187" s="1887">
        <v>0.1</v>
      </c>
      <c r="N187" s="1887">
        <v>14.700161704856086</v>
      </c>
      <c r="O187" s="1887">
        <v>14</v>
      </c>
    </row>
    <row r="188" spans="1:15" ht="15" hidden="1" customHeight="1">
      <c r="A188" s="1885" t="s">
        <v>25</v>
      </c>
      <c r="B188" s="1887">
        <v>43713.2</v>
      </c>
      <c r="C188" s="1887">
        <v>98.9</v>
      </c>
      <c r="D188" s="1887">
        <v>117.5</v>
      </c>
      <c r="E188" s="1887">
        <v>24941.7</v>
      </c>
      <c r="F188" s="1887">
        <v>102.4</v>
      </c>
      <c r="G188" s="1887">
        <v>9868.5</v>
      </c>
      <c r="H188" s="1887">
        <v>100.1</v>
      </c>
      <c r="I188" s="1887">
        <v>31770.799999999999</v>
      </c>
      <c r="J188" s="1887">
        <v>107.6</v>
      </c>
      <c r="K188" s="1887">
        <v>524.70000000000005</v>
      </c>
      <c r="L188" s="1887">
        <v>107.36648250460405</v>
      </c>
      <c r="M188" s="1887">
        <v>0.2</v>
      </c>
      <c r="N188" s="1887">
        <v>14.332008388406337</v>
      </c>
      <c r="O188" s="1887">
        <v>14</v>
      </c>
    </row>
    <row r="189" spans="1:15" ht="15" hidden="1" customHeight="1">
      <c r="A189" s="1885" t="s">
        <v>26</v>
      </c>
      <c r="B189" s="1887">
        <v>50067.3</v>
      </c>
      <c r="C189" s="1887">
        <v>99.4</v>
      </c>
      <c r="D189" s="1887">
        <v>118</v>
      </c>
      <c r="E189" s="1887">
        <v>28408.7</v>
      </c>
      <c r="F189" s="1887">
        <v>102.5</v>
      </c>
      <c r="G189" s="1887">
        <v>11090.8</v>
      </c>
      <c r="H189" s="1887">
        <v>99</v>
      </c>
      <c r="I189" s="1887">
        <v>36247</v>
      </c>
      <c r="J189" s="1887">
        <v>108</v>
      </c>
      <c r="K189" s="1887">
        <v>525.6</v>
      </c>
      <c r="L189" s="1887">
        <v>107.1559633027523</v>
      </c>
      <c r="M189" s="1887">
        <v>0.7294181999999978</v>
      </c>
      <c r="N189" s="1887">
        <v>12.61001732620781</v>
      </c>
      <c r="O189" s="1887">
        <v>13.9</v>
      </c>
    </row>
    <row r="190" spans="1:15" ht="15" hidden="1" customHeight="1">
      <c r="A190" s="1885" t="s">
        <v>27</v>
      </c>
      <c r="B190" s="1887">
        <v>56481.5</v>
      </c>
      <c r="C190" s="1887">
        <v>99.3</v>
      </c>
      <c r="D190" s="1887">
        <v>117.2</v>
      </c>
      <c r="E190" s="1887">
        <v>32159.599999999999</v>
      </c>
      <c r="F190" s="1887">
        <v>102.1</v>
      </c>
      <c r="G190" s="1887">
        <v>12536.5</v>
      </c>
      <c r="H190" s="1887">
        <v>97</v>
      </c>
      <c r="I190" s="1887">
        <v>40190.699999999997</v>
      </c>
      <c r="J190" s="1887">
        <v>108.2</v>
      </c>
      <c r="K190" s="1887">
        <v>525.4</v>
      </c>
      <c r="L190" s="1887">
        <v>106.39935196435803</v>
      </c>
      <c r="M190" s="1887">
        <v>1.1000000000000001</v>
      </c>
      <c r="N190" s="1887">
        <v>12.343312198847144</v>
      </c>
      <c r="O190" s="1887">
        <v>13.7</v>
      </c>
    </row>
    <row r="191" spans="1:15" ht="15" hidden="1" customHeight="1">
      <c r="A191" s="1885" t="s">
        <v>28</v>
      </c>
      <c r="B191" s="1887">
        <v>63071.3</v>
      </c>
      <c r="C191" s="1887">
        <v>99.8</v>
      </c>
      <c r="D191" s="1887">
        <v>116.7</v>
      </c>
      <c r="E191" s="1887">
        <v>35696.800000000003</v>
      </c>
      <c r="F191" s="1887">
        <v>102.4</v>
      </c>
      <c r="G191" s="1887">
        <v>13688.4</v>
      </c>
      <c r="H191" s="1887">
        <v>97.2</v>
      </c>
      <c r="I191" s="1887">
        <v>43389.9</v>
      </c>
      <c r="J191" s="1887">
        <v>108.2</v>
      </c>
      <c r="K191" s="1887">
        <v>525</v>
      </c>
      <c r="L191" s="1887">
        <v>106.21080315597816</v>
      </c>
      <c r="M191" s="1887">
        <v>0.2</v>
      </c>
      <c r="N191" s="1887">
        <v>10.701773913389928</v>
      </c>
      <c r="O191" s="1887">
        <v>13.4</v>
      </c>
    </row>
    <row r="192" spans="1:15" ht="15" hidden="1" customHeight="1">
      <c r="A192" s="1885" t="s">
        <v>29</v>
      </c>
      <c r="B192" s="1887">
        <v>70337.8</v>
      </c>
      <c r="C192" s="1887">
        <v>100.2</v>
      </c>
      <c r="D192" s="1887">
        <v>116</v>
      </c>
      <c r="E192" s="1887">
        <v>40328</v>
      </c>
      <c r="F192" s="1887">
        <v>102.7</v>
      </c>
      <c r="G192" s="1887">
        <v>17430.339499999998</v>
      </c>
      <c r="H192" s="1887">
        <v>102.8</v>
      </c>
      <c r="I192" s="1887">
        <v>49187.9</v>
      </c>
      <c r="J192" s="1887">
        <v>108.3</v>
      </c>
      <c r="K192" s="1887">
        <v>528.20000000000005</v>
      </c>
      <c r="L192" s="1887">
        <v>105.93662254312075</v>
      </c>
      <c r="M192" s="1887">
        <v>0.45967969999999525</v>
      </c>
      <c r="N192" s="1887">
        <v>7.9270442346791583</v>
      </c>
      <c r="O192" s="1887">
        <v>12.9</v>
      </c>
    </row>
    <row r="193" spans="1:15" ht="15" customHeight="1">
      <c r="A193" s="1885" t="s">
        <v>2051</v>
      </c>
      <c r="B193" s="1886">
        <v>80092</v>
      </c>
      <c r="C193" s="1886">
        <v>101.5</v>
      </c>
      <c r="D193" s="1886">
        <v>111.5</v>
      </c>
      <c r="E193" s="1886">
        <v>41662</v>
      </c>
      <c r="F193" s="1886">
        <v>102</v>
      </c>
      <c r="G193" s="1886">
        <v>17244.8629</v>
      </c>
      <c r="H193" s="1886">
        <v>95.7</v>
      </c>
      <c r="I193" s="1886">
        <v>53103.7</v>
      </c>
      <c r="J193" s="1886">
        <v>109.2</v>
      </c>
      <c r="K193" s="1886">
        <v>544.1</v>
      </c>
      <c r="L193" s="1886">
        <v>103</v>
      </c>
      <c r="M193" s="1886">
        <v>0.8</v>
      </c>
      <c r="N193" s="1886">
        <f>+N205</f>
        <v>1.5307219797211928</v>
      </c>
      <c r="O193" s="1886">
        <v>2.2999999999999998</v>
      </c>
    </row>
    <row r="194" spans="1:15" ht="15" hidden="1" customHeight="1">
      <c r="A194" s="1885" t="s">
        <v>18</v>
      </c>
      <c r="B194" s="1887">
        <v>5816.9</v>
      </c>
      <c r="C194" s="1887">
        <v>102</v>
      </c>
      <c r="D194" s="1887">
        <v>110.7</v>
      </c>
      <c r="E194" s="1887">
        <v>2948.2</v>
      </c>
      <c r="F194" s="1887">
        <v>103.9</v>
      </c>
      <c r="G194" s="1887">
        <v>960.3</v>
      </c>
      <c r="H194" s="1887">
        <v>94.5</v>
      </c>
      <c r="I194" s="1887">
        <v>3882.3</v>
      </c>
      <c r="J194" s="1887">
        <v>111.7</v>
      </c>
      <c r="K194" s="1887">
        <v>519.79999999999995</v>
      </c>
      <c r="L194" s="1887">
        <v>102.9714738510301</v>
      </c>
      <c r="M194" s="1887">
        <v>0</v>
      </c>
      <c r="N194" s="1887">
        <v>5.4943366120822503</v>
      </c>
      <c r="O194" s="1887">
        <v>5.5</v>
      </c>
    </row>
    <row r="195" spans="1:15" ht="15" hidden="1" customHeight="1">
      <c r="A195" s="1885" t="s">
        <v>19</v>
      </c>
      <c r="B195" s="1887">
        <v>11311.3</v>
      </c>
      <c r="C195" s="1887">
        <v>101.3</v>
      </c>
      <c r="D195" s="1887">
        <v>111</v>
      </c>
      <c r="E195" s="1887">
        <v>5696.2</v>
      </c>
      <c r="F195" s="1887">
        <v>102.3</v>
      </c>
      <c r="G195" s="1887">
        <v>1824.7</v>
      </c>
      <c r="H195" s="1887">
        <v>81.8</v>
      </c>
      <c r="I195" s="1887">
        <v>7700.3</v>
      </c>
      <c r="J195" s="1887">
        <v>110.2</v>
      </c>
      <c r="K195" s="1887">
        <v>510.8</v>
      </c>
      <c r="L195" s="1887">
        <v>102.18043608721746</v>
      </c>
      <c r="M195" s="1887">
        <v>0.2</v>
      </c>
      <c r="N195" s="1887">
        <v>3.9702872524136694</v>
      </c>
      <c r="O195" s="1887">
        <v>4.7</v>
      </c>
    </row>
    <row r="196" spans="1:15" ht="15" hidden="1" customHeight="1">
      <c r="A196" s="1885" t="s">
        <v>20</v>
      </c>
      <c r="B196" s="1887">
        <v>17654</v>
      </c>
      <c r="C196" s="1887">
        <v>102.3</v>
      </c>
      <c r="D196" s="1887">
        <v>109.9</v>
      </c>
      <c r="E196" s="1887">
        <v>8549</v>
      </c>
      <c r="F196" s="1887">
        <v>102.9</v>
      </c>
      <c r="G196" s="1887">
        <v>2869.2</v>
      </c>
      <c r="H196" s="1887">
        <v>84.7</v>
      </c>
      <c r="I196" s="1887">
        <v>12533.3</v>
      </c>
      <c r="J196" s="1887">
        <v>109.8</v>
      </c>
      <c r="K196" s="1887">
        <v>532.4</v>
      </c>
      <c r="L196" s="1887">
        <v>103.51934668481431</v>
      </c>
      <c r="M196" s="1887">
        <v>0.2</v>
      </c>
      <c r="N196" s="1887">
        <v>2.5496058957475327</v>
      </c>
      <c r="O196" s="1887">
        <v>4</v>
      </c>
    </row>
    <row r="197" spans="1:15" ht="15" hidden="1" customHeight="1">
      <c r="A197" s="1885" t="s">
        <v>21</v>
      </c>
      <c r="B197" s="1887">
        <v>23083.5</v>
      </c>
      <c r="C197" s="1887">
        <v>101.2</v>
      </c>
      <c r="D197" s="1887">
        <v>111.3</v>
      </c>
      <c r="E197" s="1887">
        <v>11299.2</v>
      </c>
      <c r="F197" s="1887">
        <v>102.1</v>
      </c>
      <c r="G197" s="1887">
        <v>4160.1000000000004</v>
      </c>
      <c r="H197" s="1887">
        <v>88.9</v>
      </c>
      <c r="I197" s="1887">
        <v>16272.8</v>
      </c>
      <c r="J197" s="1887">
        <v>109.2</v>
      </c>
      <c r="K197" s="1887">
        <v>538.79999999999995</v>
      </c>
      <c r="L197" s="1887">
        <v>103.51585014409221</v>
      </c>
      <c r="M197" s="1887">
        <v>-0.20408580000000101</v>
      </c>
      <c r="N197" s="1887">
        <v>2.0966545719999488</v>
      </c>
      <c r="O197" s="1887">
        <v>3.5094799999999964</v>
      </c>
    </row>
    <row r="198" spans="1:15" ht="15" hidden="1" customHeight="1">
      <c r="A198" s="1885" t="s">
        <v>22</v>
      </c>
      <c r="B198" s="1887">
        <v>29762.9</v>
      </c>
      <c r="C198" s="1887">
        <v>101.1</v>
      </c>
      <c r="D198" s="1887">
        <v>113.6</v>
      </c>
      <c r="E198" s="1887">
        <v>14271.2</v>
      </c>
      <c r="F198" s="1887">
        <v>101.9</v>
      </c>
      <c r="G198" s="1887">
        <v>5240.8</v>
      </c>
      <c r="H198" s="1887">
        <v>89.5</v>
      </c>
      <c r="I198" s="1887">
        <v>20753.7</v>
      </c>
      <c r="J198" s="1887">
        <v>109.3</v>
      </c>
      <c r="K198" s="1887">
        <v>541</v>
      </c>
      <c r="L198" s="1887">
        <v>104.0184579888483</v>
      </c>
      <c r="M198" s="1887">
        <v>0</v>
      </c>
      <c r="N198" s="1887">
        <v>1.8889306371097803</v>
      </c>
      <c r="O198" s="1887">
        <v>3.2</v>
      </c>
    </row>
    <row r="199" spans="1:15" ht="15" hidden="1" customHeight="1">
      <c r="A199" s="1885" t="s">
        <v>23</v>
      </c>
      <c r="B199" s="1887">
        <v>36897.5</v>
      </c>
      <c r="C199" s="1887">
        <v>101.3</v>
      </c>
      <c r="D199" s="1887">
        <v>114.8</v>
      </c>
      <c r="E199" s="1887">
        <v>18270.3</v>
      </c>
      <c r="F199" s="1887">
        <v>102.1</v>
      </c>
      <c r="G199" s="1887">
        <v>6331.7</v>
      </c>
      <c r="H199" s="1887">
        <v>85.9</v>
      </c>
      <c r="I199" s="1887">
        <v>25705.200000000001</v>
      </c>
      <c r="J199" s="1887">
        <v>109.3</v>
      </c>
      <c r="K199" s="1887">
        <v>541.1</v>
      </c>
      <c r="L199" s="1887">
        <v>103.7</v>
      </c>
      <c r="M199" s="1887">
        <v>-0.7</v>
      </c>
      <c r="N199" s="1887">
        <v>2.2769364734035662</v>
      </c>
      <c r="O199" s="1887">
        <v>3</v>
      </c>
    </row>
    <row r="200" spans="1:15" ht="15" hidden="1" customHeight="1">
      <c r="A200" s="1885" t="s">
        <v>24</v>
      </c>
      <c r="B200" s="1887">
        <v>43667.9</v>
      </c>
      <c r="C200" s="1887">
        <v>100.2</v>
      </c>
      <c r="D200" s="1887">
        <v>115.2</v>
      </c>
      <c r="E200" s="1887">
        <v>21492.6</v>
      </c>
      <c r="F200" s="1887">
        <v>101</v>
      </c>
      <c r="G200" s="1887">
        <v>7457.3</v>
      </c>
      <c r="H200" s="1887">
        <v>82.1</v>
      </c>
      <c r="I200" s="1887">
        <v>30331</v>
      </c>
      <c r="J200" s="1887">
        <v>109.4</v>
      </c>
      <c r="K200" s="1887">
        <v>542.29999999999995</v>
      </c>
      <c r="L200" s="1887">
        <v>103.7</v>
      </c>
      <c r="M200" s="1887">
        <v>-0.6</v>
      </c>
      <c r="N200" s="1887">
        <v>1.5597100856908952</v>
      </c>
      <c r="O200" s="1887">
        <v>2.819826599999999</v>
      </c>
    </row>
    <row r="201" spans="1:15" ht="15" hidden="1" customHeight="1">
      <c r="A201" s="1885" t="s">
        <v>25</v>
      </c>
      <c r="B201" s="1887">
        <v>50345.8</v>
      </c>
      <c r="C201" s="1887">
        <v>100.7</v>
      </c>
      <c r="D201" s="1887">
        <v>115</v>
      </c>
      <c r="E201" s="1887">
        <v>25325.200000000001</v>
      </c>
      <c r="F201" s="1887">
        <v>100.9</v>
      </c>
      <c r="G201" s="1887">
        <v>8953.6</v>
      </c>
      <c r="H201" s="1887">
        <v>87.2</v>
      </c>
      <c r="I201" s="1887">
        <v>34786.300000000003</v>
      </c>
      <c r="J201" s="1887">
        <v>109.5</v>
      </c>
      <c r="K201" s="1887">
        <v>541.20000000000005</v>
      </c>
      <c r="L201" s="1887">
        <v>103.1</v>
      </c>
      <c r="M201" s="1887">
        <v>0.863519299999993</v>
      </c>
      <c r="N201" s="1887">
        <v>2.2330331218079209</v>
      </c>
      <c r="O201" s="1887">
        <v>2.7462036000000012</v>
      </c>
    </row>
    <row r="202" spans="1:15" ht="15" hidden="1" customHeight="1">
      <c r="A202" s="1885" t="s">
        <v>26</v>
      </c>
      <c r="B202" s="1887">
        <v>57766.2</v>
      </c>
      <c r="C202" s="1887">
        <v>100.8</v>
      </c>
      <c r="D202" s="1887">
        <v>114.9</v>
      </c>
      <c r="E202" s="1887">
        <v>29147.8</v>
      </c>
      <c r="F202" s="1887">
        <v>101.1</v>
      </c>
      <c r="G202" s="1887">
        <v>10148.700000000001</v>
      </c>
      <c r="H202" s="1887">
        <v>88.5</v>
      </c>
      <c r="I202" s="1887">
        <v>39690.300000000003</v>
      </c>
      <c r="J202" s="1887">
        <v>109.5</v>
      </c>
      <c r="K202" s="1887">
        <v>540.5</v>
      </c>
      <c r="L202" s="1887">
        <v>102.8</v>
      </c>
      <c r="M202" s="1887">
        <v>0.24849059999999668</v>
      </c>
      <c r="N202" s="1887">
        <v>1.7449265871074715</v>
      </c>
      <c r="O202" s="1887">
        <v>2.6338587000000047</v>
      </c>
    </row>
    <row r="203" spans="1:15" ht="15" hidden="1" customHeight="1">
      <c r="A203" s="1885" t="s">
        <v>27</v>
      </c>
      <c r="B203" s="1887">
        <v>65106.8</v>
      </c>
      <c r="C203" s="1887">
        <v>100.8</v>
      </c>
      <c r="D203" s="1887">
        <v>114.5</v>
      </c>
      <c r="E203" s="1887">
        <v>33014.9</v>
      </c>
      <c r="F203" s="1887">
        <v>101.1</v>
      </c>
      <c r="G203" s="1887">
        <v>11482.7</v>
      </c>
      <c r="H203" s="1887">
        <v>88.7</v>
      </c>
      <c r="I203" s="1887">
        <v>43871.5</v>
      </c>
      <c r="J203" s="1887">
        <v>109.2</v>
      </c>
      <c r="K203" s="1887">
        <v>540</v>
      </c>
      <c r="L203" s="1887">
        <v>102.8</v>
      </c>
      <c r="M203" s="1887">
        <v>0.16350239999999872</v>
      </c>
      <c r="N203" s="1887">
        <v>0.79947047735544174</v>
      </c>
      <c r="O203" s="1887">
        <v>2.4469679999999983</v>
      </c>
    </row>
    <row r="204" spans="1:15" ht="15" hidden="1" customHeight="1">
      <c r="A204" s="1885" t="s">
        <v>28</v>
      </c>
      <c r="B204" s="1887">
        <v>72432.100000000006</v>
      </c>
      <c r="C204" s="1887">
        <v>101</v>
      </c>
      <c r="D204" s="1887">
        <v>114</v>
      </c>
      <c r="E204" s="1887">
        <v>36925.300000000003</v>
      </c>
      <c r="F204" s="1887">
        <v>101.4</v>
      </c>
      <c r="G204" s="1887">
        <v>12899.4</v>
      </c>
      <c r="H204" s="1887">
        <v>91.2</v>
      </c>
      <c r="I204" s="1887">
        <v>47368.800000000003</v>
      </c>
      <c r="J204" s="1887">
        <v>109.2</v>
      </c>
      <c r="K204" s="1887">
        <v>540.1</v>
      </c>
      <c r="L204" s="1887">
        <v>102.9</v>
      </c>
      <c r="M204" s="1887">
        <v>0.6</v>
      </c>
      <c r="N204" s="1887">
        <v>1.2023098669190944</v>
      </c>
      <c r="O204" s="1887">
        <v>2.2999999999999998</v>
      </c>
    </row>
    <row r="205" spans="1:15" ht="15.6" hidden="1" customHeight="1">
      <c r="A205" s="1885" t="s">
        <v>29</v>
      </c>
      <c r="B205" s="1887">
        <v>80092</v>
      </c>
      <c r="C205" s="1887">
        <v>101.5</v>
      </c>
      <c r="D205" s="1887">
        <v>111.5</v>
      </c>
      <c r="E205" s="1887">
        <v>41662</v>
      </c>
      <c r="F205" s="1887">
        <v>102</v>
      </c>
      <c r="G205" s="1887">
        <v>17244.8629</v>
      </c>
      <c r="H205" s="1887">
        <v>95.7</v>
      </c>
      <c r="I205" s="1887">
        <v>53103.7</v>
      </c>
      <c r="J205" s="1887">
        <v>109.2</v>
      </c>
      <c r="K205" s="1887">
        <v>544.1</v>
      </c>
      <c r="L205" s="1887">
        <v>103</v>
      </c>
      <c r="M205" s="1887">
        <v>0.8</v>
      </c>
      <c r="N205" s="1887">
        <v>1.5307219797211928</v>
      </c>
      <c r="O205" s="1887">
        <v>2.2999999999999998</v>
      </c>
    </row>
    <row r="206" spans="1:15" ht="15" customHeight="1">
      <c r="A206" s="1885" t="s">
        <v>2144</v>
      </c>
      <c r="B206" s="1886">
        <v>81896.2</v>
      </c>
      <c r="C206" s="1886">
        <v>102.5</v>
      </c>
      <c r="D206" s="1886">
        <v>99.8</v>
      </c>
      <c r="E206" s="1886">
        <v>44481.8</v>
      </c>
      <c r="F206" s="1886">
        <v>104</v>
      </c>
      <c r="G206" s="1886">
        <v>18539.476500000001</v>
      </c>
      <c r="H206" s="1886">
        <v>105.5</v>
      </c>
      <c r="I206" s="1886">
        <v>56769</v>
      </c>
      <c r="J206" s="1886">
        <v>107.4</v>
      </c>
      <c r="K206" s="1886">
        <v>634.79999999999995</v>
      </c>
      <c r="L206" s="1886">
        <v>116.6</v>
      </c>
      <c r="M206" s="1886">
        <v>0.53637389999999996</v>
      </c>
      <c r="N206" s="1886">
        <f>+N218</f>
        <v>2.3623765746619227</v>
      </c>
      <c r="O206" s="1886">
        <v>2.6083398</v>
      </c>
    </row>
    <row r="207" spans="1:15" ht="15" hidden="1" customHeight="1">
      <c r="A207" s="1885" t="s">
        <v>18</v>
      </c>
      <c r="B207" s="1887">
        <v>5929.5</v>
      </c>
      <c r="C207" s="1887">
        <v>102.9</v>
      </c>
      <c r="D207" s="1887">
        <v>99</v>
      </c>
      <c r="E207" s="1887">
        <v>3103.4</v>
      </c>
      <c r="F207" s="1887">
        <v>102.7</v>
      </c>
      <c r="G207" s="1887">
        <v>868.7</v>
      </c>
      <c r="H207" s="1887">
        <v>87.5</v>
      </c>
      <c r="I207" s="1887">
        <v>3800</v>
      </c>
      <c r="J207" s="1887">
        <v>106.1</v>
      </c>
      <c r="K207" s="1887">
        <v>557.20000000000005</v>
      </c>
      <c r="L207" s="1887">
        <v>107.2</v>
      </c>
      <c r="M207" s="1887">
        <v>0.2</v>
      </c>
      <c r="N207" s="1887">
        <v>1.70947518783737</v>
      </c>
      <c r="O207" s="1887">
        <v>1.7</v>
      </c>
    </row>
    <row r="208" spans="1:15" ht="15" hidden="1" customHeight="1">
      <c r="A208" s="1885" t="s">
        <v>19</v>
      </c>
      <c r="B208" s="1887">
        <v>11484.5</v>
      </c>
      <c r="C208" s="1887">
        <v>103</v>
      </c>
      <c r="D208" s="1887">
        <v>98.6</v>
      </c>
      <c r="E208" s="1887">
        <v>5807.9</v>
      </c>
      <c r="F208" s="1887">
        <v>101.4</v>
      </c>
      <c r="G208" s="1887">
        <v>1711.2</v>
      </c>
      <c r="H208" s="1887">
        <v>90.7</v>
      </c>
      <c r="I208" s="1887">
        <v>7619.7</v>
      </c>
      <c r="J208" s="1887">
        <v>105.1</v>
      </c>
      <c r="K208" s="1887">
        <v>554.9</v>
      </c>
      <c r="L208" s="1887">
        <v>108.6</v>
      </c>
      <c r="M208" s="1887">
        <v>0.56387780000000021</v>
      </c>
      <c r="N208" s="1887">
        <v>2.1250773530578186</v>
      </c>
      <c r="O208" s="1887">
        <v>1.9174368999999984</v>
      </c>
    </row>
    <row r="209" spans="1:15" ht="15" hidden="1" customHeight="1">
      <c r="A209" s="1885" t="s">
        <v>20</v>
      </c>
      <c r="B209" s="1887">
        <v>18111.7</v>
      </c>
      <c r="C209" s="1887">
        <v>103</v>
      </c>
      <c r="D209" s="1887">
        <v>99.6</v>
      </c>
      <c r="E209" s="1887">
        <v>9140</v>
      </c>
      <c r="F209" s="1887">
        <v>101.7</v>
      </c>
      <c r="G209" s="1887">
        <v>2699.7</v>
      </c>
      <c r="H209" s="1887">
        <v>91</v>
      </c>
      <c r="I209" s="1887">
        <v>12590.6</v>
      </c>
      <c r="J209" s="1887">
        <v>105.5</v>
      </c>
      <c r="K209" s="1887">
        <v>577.6</v>
      </c>
      <c r="L209" s="1887">
        <v>108.5</v>
      </c>
      <c r="M209" s="1887">
        <v>0.60680410000000506</v>
      </c>
      <c r="N209" s="1887">
        <v>2.5327947754075808</v>
      </c>
      <c r="O209" s="1887">
        <v>2.1229443999999944</v>
      </c>
    </row>
    <row r="210" spans="1:15" ht="15" hidden="1" customHeight="1">
      <c r="A210" s="1885" t="s">
        <v>21</v>
      </c>
      <c r="B210" s="1887">
        <v>23813.4</v>
      </c>
      <c r="C210" s="1887">
        <v>102.1</v>
      </c>
      <c r="D210" s="1887">
        <v>101.1</v>
      </c>
      <c r="E210" s="1887">
        <v>11855.8</v>
      </c>
      <c r="F210" s="1887">
        <v>102.1</v>
      </c>
      <c r="G210" s="1887">
        <v>3916</v>
      </c>
      <c r="H210" s="1887">
        <v>91.9</v>
      </c>
      <c r="I210" s="1887">
        <v>17072</v>
      </c>
      <c r="J210" s="1887">
        <v>105.5</v>
      </c>
      <c r="K210" s="1887">
        <v>581.20000000000005</v>
      </c>
      <c r="L210" s="1887">
        <v>107.9</v>
      </c>
      <c r="M210" s="1887">
        <v>0.38392530000000136</v>
      </c>
      <c r="N210" s="1887">
        <v>3.1369319480089928</v>
      </c>
      <c r="O210" s="1887">
        <v>2.3764124000000066</v>
      </c>
    </row>
    <row r="211" spans="1:15" ht="15" hidden="1" customHeight="1">
      <c r="A211" s="1885" t="s">
        <v>22</v>
      </c>
      <c r="B211" s="1887">
        <v>30608.7</v>
      </c>
      <c r="C211" s="1887">
        <v>102.2</v>
      </c>
      <c r="D211" s="1887">
        <v>100.7</v>
      </c>
      <c r="E211" s="1887">
        <v>15252.1</v>
      </c>
      <c r="F211" s="1887">
        <v>102.4</v>
      </c>
      <c r="G211" s="1887">
        <v>5038.7</v>
      </c>
      <c r="H211" s="1887">
        <v>93.9</v>
      </c>
      <c r="I211" s="1887">
        <v>22164.1</v>
      </c>
      <c r="J211" s="1887">
        <v>106.8</v>
      </c>
      <c r="K211" s="1887">
        <v>583.70000000000005</v>
      </c>
      <c r="L211" s="1887">
        <v>107.9</v>
      </c>
      <c r="M211" s="1887">
        <v>-0.43077370000000315</v>
      </c>
      <c r="N211" s="1887">
        <v>2.7263124863917483</v>
      </c>
      <c r="O211" s="1887">
        <v>2.4463676999999961</v>
      </c>
    </row>
    <row r="212" spans="1:15" ht="15" hidden="1" customHeight="1">
      <c r="A212" s="1885" t="s">
        <v>23</v>
      </c>
      <c r="B212" s="1887">
        <v>37825.199999999997</v>
      </c>
      <c r="C212" s="1887">
        <v>102.4</v>
      </c>
      <c r="D212" s="1887">
        <v>100.1</v>
      </c>
      <c r="E212" s="1887">
        <v>19454.099999999999</v>
      </c>
      <c r="F212" s="1887">
        <v>103.3</v>
      </c>
      <c r="G212" s="1887">
        <v>6131.6</v>
      </c>
      <c r="H212" s="1887">
        <v>94.6</v>
      </c>
      <c r="I212" s="1887">
        <v>27355.8</v>
      </c>
      <c r="J212" s="1887">
        <v>106.6</v>
      </c>
      <c r="K212" s="1887">
        <v>585.20000000000005</v>
      </c>
      <c r="L212" s="1887">
        <v>108.2</v>
      </c>
      <c r="M212" s="1887">
        <v>-0.5</v>
      </c>
      <c r="N212" s="1887">
        <v>2.9239489797076317</v>
      </c>
      <c r="O212" s="1887">
        <v>2.5</v>
      </c>
    </row>
    <row r="213" spans="1:15" ht="15" hidden="1" customHeight="1">
      <c r="A213" s="1885" t="s">
        <v>24</v>
      </c>
      <c r="B213" s="1887">
        <v>44473.1</v>
      </c>
      <c r="C213" s="1887">
        <v>102.5</v>
      </c>
      <c r="D213" s="1887">
        <v>99.4</v>
      </c>
      <c r="E213" s="1887">
        <v>23079.8</v>
      </c>
      <c r="F213" s="1887">
        <v>103</v>
      </c>
      <c r="G213" s="1887">
        <v>7395.5</v>
      </c>
      <c r="H213" s="1887">
        <v>97.3</v>
      </c>
      <c r="I213" s="1887">
        <v>32218.799999999999</v>
      </c>
      <c r="J213" s="1887">
        <v>106.6</v>
      </c>
      <c r="K213" s="1887">
        <v>587.70000000000005</v>
      </c>
      <c r="L213" s="1887">
        <v>108.4</v>
      </c>
      <c r="M213" s="1887">
        <v>5.4304000000001906E-2</v>
      </c>
      <c r="N213" s="1887">
        <v>3.5920883790815594</v>
      </c>
      <c r="O213" s="1887">
        <v>2.7</v>
      </c>
    </row>
    <row r="214" spans="1:15" ht="15" hidden="1" customHeight="1">
      <c r="A214" s="1885" t="s">
        <v>25</v>
      </c>
      <c r="B214" s="1887">
        <v>50875.7</v>
      </c>
      <c r="C214" s="1887">
        <v>102.4</v>
      </c>
      <c r="D214" s="1887">
        <v>98.7</v>
      </c>
      <c r="E214" s="1887">
        <v>26588.5</v>
      </c>
      <c r="F214" s="1887">
        <v>103.1</v>
      </c>
      <c r="G214" s="1887">
        <v>8627.2000000000007</v>
      </c>
      <c r="H214" s="1887">
        <v>94.6</v>
      </c>
      <c r="I214" s="1887">
        <v>36861.599999999999</v>
      </c>
      <c r="J214" s="1887">
        <v>106.4</v>
      </c>
      <c r="K214" s="1887">
        <v>589.29999999999995</v>
      </c>
      <c r="L214" s="1887">
        <v>108.9</v>
      </c>
      <c r="M214" s="1887">
        <v>-0.31973089999999615</v>
      </c>
      <c r="N214" s="1887">
        <v>2.3768287872722738</v>
      </c>
      <c r="O214" s="1887">
        <v>2.6389558999999991</v>
      </c>
    </row>
    <row r="215" spans="1:15" ht="15" hidden="1" customHeight="1">
      <c r="A215" s="1885" t="s">
        <v>26</v>
      </c>
      <c r="B215" s="1887">
        <v>58464.2</v>
      </c>
      <c r="C215" s="1887">
        <v>102.5</v>
      </c>
      <c r="D215" s="1887">
        <v>98.8</v>
      </c>
      <c r="E215" s="1887">
        <v>31141.9</v>
      </c>
      <c r="F215" s="1887">
        <v>103.5</v>
      </c>
      <c r="G215" s="1887">
        <v>10146.200000000001</v>
      </c>
      <c r="H215" s="1887">
        <v>98.1</v>
      </c>
      <c r="I215" s="1887">
        <v>42202.7</v>
      </c>
      <c r="J215" s="1887">
        <v>106.7</v>
      </c>
      <c r="K215" s="1887">
        <v>603.5</v>
      </c>
      <c r="L215" s="1887">
        <v>111.7</v>
      </c>
      <c r="M215" s="1887">
        <v>0.34683900000000001</v>
      </c>
      <c r="N215" s="1887">
        <v>2.4772651853471217</v>
      </c>
      <c r="O215" s="1887">
        <v>2.6209711000000002</v>
      </c>
    </row>
    <row r="216" spans="1:15" ht="15" hidden="1" customHeight="1">
      <c r="A216" s="1885" t="s">
        <v>27</v>
      </c>
      <c r="B216" s="1887">
        <v>65415.1</v>
      </c>
      <c r="C216" s="1887">
        <v>102.1</v>
      </c>
      <c r="D216" s="1887">
        <v>98.4</v>
      </c>
      <c r="E216" s="1887">
        <v>35177</v>
      </c>
      <c r="F216" s="1887">
        <v>103.6</v>
      </c>
      <c r="G216" s="1887">
        <v>11407.4</v>
      </c>
      <c r="H216" s="1887">
        <v>97.4</v>
      </c>
      <c r="I216" s="1887">
        <v>46705.8</v>
      </c>
      <c r="J216" s="1887">
        <v>106.9</v>
      </c>
      <c r="K216" s="1887">
        <v>614.20000000000005</v>
      </c>
      <c r="L216" s="1887">
        <v>113.7</v>
      </c>
      <c r="M216" s="1887">
        <v>0.41676990000000003</v>
      </c>
      <c r="N216" s="1887">
        <v>2.7363831288938769</v>
      </c>
      <c r="O216" s="1887">
        <v>2.6325403999999999</v>
      </c>
    </row>
    <row r="217" spans="1:15" ht="15" hidden="1" customHeight="1">
      <c r="A217" s="1885" t="s">
        <v>28</v>
      </c>
      <c r="B217" s="1887">
        <v>72852.2</v>
      </c>
      <c r="C217" s="1887">
        <v>102.1</v>
      </c>
      <c r="D217" s="1887">
        <v>99.1</v>
      </c>
      <c r="E217" s="1887">
        <v>39470.400000000001</v>
      </c>
      <c r="F217" s="1887">
        <v>103.5</v>
      </c>
      <c r="G217" s="1887">
        <v>12786.9</v>
      </c>
      <c r="H217" s="1887">
        <v>97.2</v>
      </c>
      <c r="I217" s="1887">
        <v>50845.1</v>
      </c>
      <c r="J217" s="1887">
        <v>107.4</v>
      </c>
      <c r="K217" s="1887">
        <v>623.1</v>
      </c>
      <c r="L217" s="1887">
        <v>115.4</v>
      </c>
      <c r="M217" s="1887">
        <v>0.46384160000000002</v>
      </c>
      <c r="N217" s="1887">
        <v>2.6162126579531275</v>
      </c>
      <c r="O217" s="1887">
        <v>2.6310449</v>
      </c>
    </row>
    <row r="218" spans="1:15" ht="15" hidden="1" customHeight="1">
      <c r="A218" s="1885" t="s">
        <v>29</v>
      </c>
      <c r="B218" s="1887">
        <v>81896.2</v>
      </c>
      <c r="C218" s="1887">
        <v>102.5</v>
      </c>
      <c r="D218" s="1887">
        <v>99.8</v>
      </c>
      <c r="E218" s="1887">
        <v>44481.8</v>
      </c>
      <c r="F218" s="1887">
        <v>104</v>
      </c>
      <c r="G218" s="1887">
        <v>18539.476500000001</v>
      </c>
      <c r="H218" s="1887" t="s">
        <v>2842</v>
      </c>
      <c r="I218" s="1887">
        <v>56769</v>
      </c>
      <c r="J218" s="1887">
        <v>107.4</v>
      </c>
      <c r="K218" s="1887">
        <v>634.79999999999995</v>
      </c>
      <c r="L218" s="1887">
        <v>116.6</v>
      </c>
      <c r="M218" s="1887">
        <v>0.53637389999999996</v>
      </c>
      <c r="N218" s="1887">
        <v>2.3623765746619227</v>
      </c>
      <c r="O218" s="1887">
        <v>2.6083398</v>
      </c>
    </row>
    <row r="219" spans="1:15" ht="15" customHeight="1">
      <c r="A219" s="1885" t="s">
        <v>2375</v>
      </c>
      <c r="B219" s="1886">
        <v>72578.100000000006</v>
      </c>
      <c r="C219" s="1886">
        <v>95.8</v>
      </c>
      <c r="D219" s="1886">
        <v>92.4</v>
      </c>
      <c r="E219" s="1886">
        <v>45312.2</v>
      </c>
      <c r="F219" s="1886">
        <v>97.1</v>
      </c>
      <c r="G219" s="1886">
        <v>17226.110700000001</v>
      </c>
      <c r="H219" s="1886">
        <v>92.7</v>
      </c>
      <c r="I219" s="1886">
        <v>55754.1</v>
      </c>
      <c r="J219" s="1886">
        <v>98.2</v>
      </c>
      <c r="K219" s="1886">
        <v>707.3</v>
      </c>
      <c r="L219" s="1886">
        <v>111.4</v>
      </c>
      <c r="M219" s="1886">
        <v>0.79115939999999996</v>
      </c>
      <c r="N219" s="1886">
        <f>+N231</f>
        <v>2.6114420662024571</v>
      </c>
      <c r="O219" s="1886">
        <v>2.7598847000000002</v>
      </c>
    </row>
    <row r="220" spans="1:15" ht="15" customHeight="1">
      <c r="A220" s="1889" t="s">
        <v>18</v>
      </c>
      <c r="B220" s="1887">
        <v>6646.9</v>
      </c>
      <c r="C220" s="1887">
        <v>102.4</v>
      </c>
      <c r="D220" s="1887">
        <v>102.3</v>
      </c>
      <c r="E220" s="1887">
        <v>3381.9</v>
      </c>
      <c r="F220" s="1887">
        <v>104.8</v>
      </c>
      <c r="G220" s="1887">
        <v>996.7</v>
      </c>
      <c r="H220" s="1887">
        <v>112.6</v>
      </c>
      <c r="I220" s="1887">
        <v>4057.5</v>
      </c>
      <c r="J220" s="1887">
        <v>106.8</v>
      </c>
      <c r="K220" s="1887">
        <v>712.1</v>
      </c>
      <c r="L220" s="1887">
        <v>127.8</v>
      </c>
      <c r="M220" s="1887">
        <v>0.6</v>
      </c>
      <c r="N220" s="1887">
        <v>2.7459699081494193</v>
      </c>
      <c r="O220" s="1887">
        <v>2.7</v>
      </c>
    </row>
    <row r="221" spans="1:15" ht="15" customHeight="1">
      <c r="A221" s="1889" t="s">
        <v>19</v>
      </c>
      <c r="B221" s="1887">
        <v>12504</v>
      </c>
      <c r="C221" s="1887">
        <v>102.8</v>
      </c>
      <c r="D221" s="1887">
        <v>102.3</v>
      </c>
      <c r="E221" s="1887">
        <v>6600.1</v>
      </c>
      <c r="F221" s="1887">
        <v>106.7</v>
      </c>
      <c r="G221" s="1887">
        <v>1965.2</v>
      </c>
      <c r="H221" s="1887">
        <v>112.7</v>
      </c>
      <c r="I221" s="1887">
        <v>8301.5</v>
      </c>
      <c r="J221" s="1887">
        <v>108.9</v>
      </c>
      <c r="K221" s="1887">
        <v>712.3</v>
      </c>
      <c r="L221" s="1887">
        <v>128.4</v>
      </c>
      <c r="M221" s="1887">
        <v>0.70653160000000526</v>
      </c>
      <c r="N221" s="1887">
        <v>2.8917190912828943</v>
      </c>
      <c r="O221" s="1887">
        <v>2.8187254999999993</v>
      </c>
    </row>
    <row r="222" spans="1:15" ht="15" customHeight="1">
      <c r="A222" s="1889" t="s">
        <v>20</v>
      </c>
      <c r="B222" s="1887">
        <v>17928.099999999999</v>
      </c>
      <c r="C222" s="1887">
        <v>101.1</v>
      </c>
      <c r="D222" s="1887">
        <v>98.1</v>
      </c>
      <c r="E222" s="1887">
        <v>10077.9</v>
      </c>
      <c r="F222" s="1887">
        <v>103.5</v>
      </c>
      <c r="G222" s="1887">
        <v>2929.4</v>
      </c>
      <c r="H222" s="1887">
        <v>106.5</v>
      </c>
      <c r="I222" s="1887">
        <v>13442.5</v>
      </c>
      <c r="J222" s="1887">
        <v>106.8</v>
      </c>
      <c r="K222" s="1887">
        <v>744.5</v>
      </c>
      <c r="L222" s="1887">
        <v>128.9</v>
      </c>
      <c r="M222" s="1887">
        <v>0.97766120000000001</v>
      </c>
      <c r="N222" s="1887">
        <v>3.270998851708228</v>
      </c>
      <c r="O222" s="1887">
        <v>2.9702656999999988</v>
      </c>
    </row>
    <row r="223" spans="1:15" ht="15" customHeight="1">
      <c r="A223" s="1889" t="s">
        <v>21</v>
      </c>
      <c r="B223" s="1887">
        <v>22674</v>
      </c>
      <c r="C223" s="1887">
        <v>100.2</v>
      </c>
      <c r="D223" s="1887">
        <v>92.2</v>
      </c>
      <c r="E223" s="1887">
        <v>12610.4</v>
      </c>
      <c r="F223" s="1887">
        <v>99.2</v>
      </c>
      <c r="G223" s="1887">
        <v>3903.5</v>
      </c>
      <c r="H223" s="1887">
        <v>99.5</v>
      </c>
      <c r="I223" s="1887">
        <v>17145.7</v>
      </c>
      <c r="J223" s="1887">
        <v>101.3</v>
      </c>
      <c r="K223" s="1887">
        <v>736.2</v>
      </c>
      <c r="L223" s="1887">
        <v>126.7</v>
      </c>
      <c r="M223" s="1887">
        <v>8.5501300000004221E-2</v>
      </c>
      <c r="N223" s="1887">
        <v>2.963992082753748</v>
      </c>
      <c r="O223" s="1887">
        <v>2.9686040999999932</v>
      </c>
    </row>
    <row r="224" spans="1:15" ht="15" customHeight="1">
      <c r="A224" s="1889" t="s">
        <v>22</v>
      </c>
      <c r="B224" s="1887">
        <v>27640.6</v>
      </c>
      <c r="C224" s="1887">
        <v>98.3</v>
      </c>
      <c r="D224" s="1887">
        <v>91.2</v>
      </c>
      <c r="E224" s="1887">
        <v>15796.5</v>
      </c>
      <c r="F224" s="1887">
        <v>97.9</v>
      </c>
      <c r="G224" s="1887">
        <v>4907.6000000000004</v>
      </c>
      <c r="H224" s="1887">
        <v>97.2</v>
      </c>
      <c r="I224" s="1887">
        <v>22382.1</v>
      </c>
      <c r="J224" s="1887">
        <v>101.3</v>
      </c>
      <c r="K224" s="1887">
        <v>728.9</v>
      </c>
      <c r="L224" s="1887">
        <v>124.9</v>
      </c>
      <c r="M224" s="1887">
        <v>-0.51617000000000246</v>
      </c>
      <c r="N224" s="1887">
        <v>2.8756842362048332</v>
      </c>
      <c r="O224" s="1887">
        <v>2.9499110000000002</v>
      </c>
    </row>
    <row r="225" spans="1:16" ht="15" customHeight="1">
      <c r="A225" s="1889" t="s">
        <v>23</v>
      </c>
      <c r="B225" s="1887">
        <v>34378.699999999997</v>
      </c>
      <c r="C225" s="1887">
        <v>97.3</v>
      </c>
      <c r="D225" s="1887">
        <v>90.4</v>
      </c>
      <c r="E225" s="1887">
        <v>20155</v>
      </c>
      <c r="F225" s="1887">
        <v>97.6</v>
      </c>
      <c r="G225" s="1887">
        <v>5956.2</v>
      </c>
      <c r="H225" s="1887">
        <v>97.3</v>
      </c>
      <c r="I225" s="1887">
        <v>27377.8</v>
      </c>
      <c r="J225" s="1887">
        <v>100.6</v>
      </c>
      <c r="K225" s="1887">
        <v>720</v>
      </c>
      <c r="L225" s="1887">
        <v>123</v>
      </c>
      <c r="M225" s="1887">
        <v>-0.32989030000000241</v>
      </c>
      <c r="N225" s="1887">
        <v>3.0174684472909803</v>
      </c>
      <c r="O225" s="1887">
        <v>2.9610950000000003</v>
      </c>
    </row>
    <row r="226" spans="1:16" ht="15" customHeight="1">
      <c r="A226" s="1889" t="s">
        <v>24</v>
      </c>
      <c r="B226" s="1887">
        <v>40325.199999999997</v>
      </c>
      <c r="C226" s="1887">
        <v>97.2</v>
      </c>
      <c r="D226" s="1887">
        <v>91.2</v>
      </c>
      <c r="E226" s="1887">
        <v>24082.9</v>
      </c>
      <c r="F226" s="1887">
        <v>98.5</v>
      </c>
      <c r="G226" s="1887">
        <v>7588.3</v>
      </c>
      <c r="H226" s="1887">
        <v>102.6</v>
      </c>
      <c r="I226" s="1887">
        <v>32144.799999999999</v>
      </c>
      <c r="J226" s="1887">
        <v>100.2</v>
      </c>
      <c r="K226" s="1887">
        <v>715.4</v>
      </c>
      <c r="L226" s="1887">
        <v>121.7</v>
      </c>
      <c r="M226" s="1887">
        <v>-0.27575589999999295</v>
      </c>
      <c r="N226" s="1887">
        <v>2.6776336378462702</v>
      </c>
      <c r="O226" s="1887">
        <v>2.9206022000000047</v>
      </c>
    </row>
    <row r="227" spans="1:16" ht="15" customHeight="1">
      <c r="A227" s="1889" t="s">
        <v>25</v>
      </c>
      <c r="B227" s="1887">
        <v>46113.2</v>
      </c>
      <c r="C227" s="1887">
        <v>97</v>
      </c>
      <c r="D227" s="1887">
        <v>91.4</v>
      </c>
      <c r="E227" s="1887">
        <v>27634.400000000001</v>
      </c>
      <c r="F227" s="1887">
        <v>98.4</v>
      </c>
      <c r="G227" s="1887">
        <v>8682.4</v>
      </c>
      <c r="H227" s="1887">
        <v>100.7</v>
      </c>
      <c r="I227" s="1887">
        <v>36809.4</v>
      </c>
      <c r="J227" s="1887">
        <v>100.1</v>
      </c>
      <c r="K227" s="1887">
        <v>710.2</v>
      </c>
      <c r="L227" s="1887">
        <v>120.5</v>
      </c>
      <c r="M227" s="1887">
        <v>-0.1802016999999978</v>
      </c>
      <c r="N227" s="1887">
        <v>2.8213584512795791</v>
      </c>
      <c r="O227" s="1887">
        <v>2.9082039000000037</v>
      </c>
    </row>
    <row r="228" spans="1:16" ht="15" customHeight="1">
      <c r="A228" s="1885" t="s">
        <v>26</v>
      </c>
      <c r="B228" s="1887">
        <v>52344.3</v>
      </c>
      <c r="C228" s="1887">
        <v>96.1</v>
      </c>
      <c r="D228" s="1887">
        <v>91.7</v>
      </c>
      <c r="E228" s="1887">
        <v>31778</v>
      </c>
      <c r="F228" s="1887">
        <v>97.7</v>
      </c>
      <c r="G228" s="1887">
        <v>10430.200000000001</v>
      </c>
      <c r="H228" s="1887">
        <v>96.2</v>
      </c>
      <c r="I228" s="1887">
        <v>41609</v>
      </c>
      <c r="J228" s="1887">
        <v>99.1</v>
      </c>
      <c r="K228" s="1887">
        <v>706.6</v>
      </c>
      <c r="L228" s="1887">
        <v>117.1</v>
      </c>
      <c r="M228" s="1887">
        <v>0.10774539999999888</v>
      </c>
      <c r="N228" s="1887">
        <v>2.5763688831577127</v>
      </c>
      <c r="O228" s="1887">
        <v>2.8713098000000059</v>
      </c>
    </row>
    <row r="229" spans="1:16" ht="15" customHeight="1">
      <c r="A229" s="1885" t="s">
        <v>27</v>
      </c>
      <c r="B229" s="1887">
        <v>58454.400000000001</v>
      </c>
      <c r="C229" s="1887">
        <v>96.2</v>
      </c>
      <c r="D229" s="1887">
        <v>92.3</v>
      </c>
      <c r="E229" s="1887">
        <v>36031</v>
      </c>
      <c r="F229" s="1887">
        <v>97.7</v>
      </c>
      <c r="G229" s="1887">
        <v>11540.2</v>
      </c>
      <c r="H229" s="1887">
        <v>97.9</v>
      </c>
      <c r="I229" s="1887">
        <v>46056.800000000003</v>
      </c>
      <c r="J229" s="1887">
        <v>98.6</v>
      </c>
      <c r="K229" s="1887">
        <v>704.5</v>
      </c>
      <c r="L229" s="1887">
        <v>114.7</v>
      </c>
      <c r="M229" s="1887">
        <v>0.16727899999999352</v>
      </c>
      <c r="N229" s="1887">
        <v>2.3215123425930386</v>
      </c>
      <c r="O229" s="1887">
        <v>2.8161080999999939</v>
      </c>
    </row>
    <row r="230" spans="1:16" ht="15" customHeight="1">
      <c r="A230" s="1885" t="s">
        <v>28</v>
      </c>
      <c r="B230" s="1887">
        <v>64441.3</v>
      </c>
      <c r="C230" s="1887">
        <v>95.7</v>
      </c>
      <c r="D230" s="1887">
        <v>92.5</v>
      </c>
      <c r="E230" s="1887">
        <v>39926.9</v>
      </c>
      <c r="F230" s="1887">
        <v>97.2</v>
      </c>
      <c r="G230" s="1887">
        <v>12716.6</v>
      </c>
      <c r="H230" s="1887">
        <v>96</v>
      </c>
      <c r="I230" s="1887">
        <v>50173.1</v>
      </c>
      <c r="J230" s="1887">
        <v>98.7</v>
      </c>
      <c r="K230" s="1887">
        <v>703.5</v>
      </c>
      <c r="L230" s="1887">
        <v>112.9</v>
      </c>
      <c r="M230" s="1887">
        <v>0.49382989999999399</v>
      </c>
      <c r="N230" s="1887">
        <v>2.3520551544118575</v>
      </c>
      <c r="O230" s="1887">
        <v>2.7735813999999999</v>
      </c>
    </row>
    <row r="231" spans="1:16" ht="15" customHeight="1">
      <c r="A231" s="1885" t="s">
        <v>29</v>
      </c>
      <c r="B231" s="1887">
        <v>72578.100000000006</v>
      </c>
      <c r="C231" s="1887">
        <v>95.8</v>
      </c>
      <c r="D231" s="1887">
        <v>92.5</v>
      </c>
      <c r="E231" s="1887">
        <v>45312.2</v>
      </c>
      <c r="F231" s="1887">
        <v>97.1</v>
      </c>
      <c r="G231" s="1887">
        <v>17226.110700000001</v>
      </c>
      <c r="H231" s="1887">
        <v>92.7</v>
      </c>
      <c r="I231" s="1887">
        <v>55754.1</v>
      </c>
      <c r="J231" s="1887">
        <v>98.2</v>
      </c>
      <c r="K231" s="1887">
        <v>707.3</v>
      </c>
      <c r="L231" s="1887">
        <v>111.4</v>
      </c>
      <c r="M231" s="1887">
        <v>0.79115939999999996</v>
      </c>
      <c r="N231" s="1887">
        <v>2.6114420662024571</v>
      </c>
      <c r="O231" s="1887">
        <v>2.7598847000000002</v>
      </c>
    </row>
    <row r="232" spans="1:16" ht="15" customHeight="1">
      <c r="A232" s="1885" t="s">
        <v>2537</v>
      </c>
      <c r="B232" s="1886">
        <v>93203.199999999997</v>
      </c>
      <c r="C232" s="1886">
        <v>105.6</v>
      </c>
      <c r="D232" s="1886">
        <v>121.3</v>
      </c>
      <c r="E232" s="1886">
        <v>51122.2</v>
      </c>
      <c r="F232" s="1886">
        <v>107.1</v>
      </c>
      <c r="G232" s="1886">
        <v>16815.458999999999</v>
      </c>
      <c r="H232" s="1886">
        <v>95.5</v>
      </c>
      <c r="I232" s="1886">
        <v>57206.8</v>
      </c>
      <c r="J232" s="1886">
        <v>102.6</v>
      </c>
      <c r="K232" s="1886">
        <v>732.1</v>
      </c>
      <c r="L232" s="1886">
        <v>103.4</v>
      </c>
      <c r="M232" s="1886">
        <v>1.5861479999999943</v>
      </c>
      <c r="N232" s="1886">
        <f>+N244</f>
        <v>11.97139806863818</v>
      </c>
      <c r="O232" s="1886">
        <v>6.650326899999996</v>
      </c>
    </row>
    <row r="233" spans="1:16" ht="15" customHeight="1">
      <c r="A233" s="1885" t="s">
        <v>18</v>
      </c>
      <c r="B233" s="1887">
        <v>6256.8</v>
      </c>
      <c r="C233" s="1887">
        <v>97.5</v>
      </c>
      <c r="D233" s="1887">
        <v>96.5</v>
      </c>
      <c r="E233" s="1887">
        <v>3444.7</v>
      </c>
      <c r="F233" s="1887">
        <v>100.1</v>
      </c>
      <c r="G233" s="1887">
        <v>724</v>
      </c>
      <c r="H233" s="1887">
        <v>72.5</v>
      </c>
      <c r="I233" s="1887">
        <v>4011.2</v>
      </c>
      <c r="J233" s="1887">
        <v>98.7</v>
      </c>
      <c r="K233" s="1887">
        <v>690.9</v>
      </c>
      <c r="L233" s="1887">
        <v>97</v>
      </c>
      <c r="M233" s="1887">
        <v>1.1999966000000057</v>
      </c>
      <c r="N233" s="1887">
        <v>3.2582790891587479</v>
      </c>
      <c r="O233" s="1887">
        <v>3.2582790999999958</v>
      </c>
      <c r="P233" s="1451"/>
    </row>
    <row r="234" spans="1:16" ht="15" customHeight="1">
      <c r="A234" s="1885" t="s">
        <v>19</v>
      </c>
      <c r="B234" s="1887">
        <v>12419.7</v>
      </c>
      <c r="C234" s="1887">
        <v>96.8</v>
      </c>
      <c r="D234" s="1887">
        <v>99.3</v>
      </c>
      <c r="E234" s="1887">
        <v>6611.4</v>
      </c>
      <c r="F234" s="1887">
        <v>99.6</v>
      </c>
      <c r="G234" s="1887">
        <v>1338.4</v>
      </c>
      <c r="H234" s="1887">
        <v>68</v>
      </c>
      <c r="I234" s="1887">
        <v>7979.9</v>
      </c>
      <c r="J234" s="1887">
        <v>95.8</v>
      </c>
      <c r="K234" s="1887">
        <v>692.3</v>
      </c>
      <c r="L234" s="1887">
        <v>97.2</v>
      </c>
      <c r="M234" s="1887">
        <v>1.6311450000000036</v>
      </c>
      <c r="N234" s="1887">
        <v>4.2063207602391515</v>
      </c>
      <c r="O234" s="1887">
        <v>3.7339685999999972</v>
      </c>
    </row>
    <row r="235" spans="1:16" ht="15" customHeight="1">
      <c r="A235" s="1885" t="s">
        <v>20</v>
      </c>
      <c r="B235" s="1887">
        <v>19181.900000000001</v>
      </c>
      <c r="C235" s="1887">
        <v>98.7</v>
      </c>
      <c r="D235" s="1887">
        <v>106.9</v>
      </c>
      <c r="E235" s="1887">
        <v>10413.299999999999</v>
      </c>
      <c r="F235" s="1887">
        <v>102.1</v>
      </c>
      <c r="G235" s="1887">
        <v>2365.1999999999998</v>
      </c>
      <c r="H235" s="1887">
        <v>80.599999999999994</v>
      </c>
      <c r="I235" s="1887">
        <v>13455.9</v>
      </c>
      <c r="J235" s="1887">
        <v>98.9</v>
      </c>
      <c r="K235" s="1887">
        <v>713.2</v>
      </c>
      <c r="L235" s="1887">
        <v>95.8</v>
      </c>
      <c r="M235" s="1887">
        <v>0.85630559999999889</v>
      </c>
      <c r="N235" s="1887">
        <v>4.0810849364998347</v>
      </c>
      <c r="O235" s="1887">
        <v>3.8506978000000061</v>
      </c>
    </row>
    <row r="236" spans="1:16" ht="15" customHeight="1">
      <c r="A236" s="1885" t="s">
        <v>21</v>
      </c>
      <c r="B236" s="1887">
        <v>25119.8</v>
      </c>
      <c r="C236" s="1887">
        <v>99.8</v>
      </c>
      <c r="D236" s="1887">
        <v>110.8</v>
      </c>
      <c r="E236" s="1887">
        <v>13638.4</v>
      </c>
      <c r="F236" s="1887">
        <v>104.1</v>
      </c>
      <c r="G236" s="1887">
        <v>3752.8</v>
      </c>
      <c r="H236" s="1887">
        <v>91.3</v>
      </c>
      <c r="I236" s="1887">
        <v>17037.900000000001</v>
      </c>
      <c r="J236" s="1887">
        <v>98.9</v>
      </c>
      <c r="K236" s="1887">
        <v>722.3</v>
      </c>
      <c r="L236" s="1887">
        <v>98.1</v>
      </c>
      <c r="M236" s="1887">
        <v>0.31258090000000038</v>
      </c>
      <c r="N236" s="1887">
        <v>4.3172299408007291</v>
      </c>
      <c r="O236" s="1887">
        <v>3.968178199999997</v>
      </c>
    </row>
    <row r="237" spans="1:16" ht="15" customHeight="1">
      <c r="A237" s="1885" t="s">
        <v>22</v>
      </c>
      <c r="B237" s="1887">
        <v>32126.2</v>
      </c>
      <c r="C237" s="1887">
        <v>100.8</v>
      </c>
      <c r="D237" s="1887">
        <v>113.1</v>
      </c>
      <c r="E237" s="1887">
        <v>17321.8</v>
      </c>
      <c r="F237" s="1887">
        <v>104.5</v>
      </c>
      <c r="G237" s="1887">
        <v>4907</v>
      </c>
      <c r="H237" s="1887">
        <v>94.7</v>
      </c>
      <c r="I237" s="1887">
        <v>22090</v>
      </c>
      <c r="J237" s="1887">
        <v>99.2</v>
      </c>
      <c r="K237" s="1887">
        <v>724</v>
      </c>
      <c r="L237" s="1887">
        <v>99.3</v>
      </c>
      <c r="M237" s="1887">
        <v>4.6719800000005307E-2</v>
      </c>
      <c r="N237" s="1887">
        <v>4.9074676175963674</v>
      </c>
      <c r="O237" s="1887">
        <v>4.1563464999999979</v>
      </c>
    </row>
    <row r="238" spans="1:16" ht="15" customHeight="1">
      <c r="A238" s="1885" t="s">
        <v>23</v>
      </c>
      <c r="B238" s="1887">
        <v>40763.699999999997</v>
      </c>
      <c r="C238" s="1887">
        <v>102.1</v>
      </c>
      <c r="D238" s="1887">
        <v>113.7</v>
      </c>
      <c r="E238" s="1887">
        <v>22467.5</v>
      </c>
      <c r="F238" s="1887">
        <v>105.1</v>
      </c>
      <c r="G238" s="1887">
        <v>5919.4</v>
      </c>
      <c r="H238" s="1887">
        <v>92.4</v>
      </c>
      <c r="I238" s="1887">
        <v>27580.7</v>
      </c>
      <c r="J238" s="1887">
        <v>100.4</v>
      </c>
      <c r="K238" s="1887">
        <v>724.4</v>
      </c>
      <c r="L238" s="1887">
        <v>100.6</v>
      </c>
      <c r="M238" s="1887">
        <v>-0.49214870000000133</v>
      </c>
      <c r="N238" s="1887">
        <v>4.7366830373955793</v>
      </c>
      <c r="O238" s="1887">
        <v>4.2529360999999994</v>
      </c>
    </row>
    <row r="239" spans="1:16" ht="15" customHeight="1">
      <c r="A239" s="1885" t="s">
        <v>24</v>
      </c>
      <c r="B239" s="1887">
        <v>48103.7</v>
      </c>
      <c r="C239" s="1887">
        <v>102.7</v>
      </c>
      <c r="D239" s="1887">
        <v>114.1</v>
      </c>
      <c r="E239" s="1887">
        <v>26511.9</v>
      </c>
      <c r="F239" s="1887">
        <v>105.3</v>
      </c>
      <c r="G239" s="1887">
        <v>7059.3</v>
      </c>
      <c r="H239" s="1887">
        <v>87.9</v>
      </c>
      <c r="I239" s="1887">
        <v>32321</v>
      </c>
      <c r="J239" s="1887">
        <v>100.6</v>
      </c>
      <c r="K239" s="1887">
        <v>728.5</v>
      </c>
      <c r="L239" s="1887">
        <v>101.8</v>
      </c>
      <c r="M239" s="1887">
        <v>0.91673509999999681</v>
      </c>
      <c r="N239" s="1887">
        <v>5.9891122036342495</v>
      </c>
      <c r="O239" s="1887">
        <v>4.5000825000000049</v>
      </c>
    </row>
    <row r="240" spans="1:16" ht="15" customHeight="1">
      <c r="A240" s="1885" t="s">
        <v>25</v>
      </c>
      <c r="B240" s="1887">
        <v>55576.7</v>
      </c>
      <c r="C240" s="1887">
        <v>103.6</v>
      </c>
      <c r="D240" s="1887">
        <v>114.6</v>
      </c>
      <c r="E240" s="1887">
        <v>30574.3</v>
      </c>
      <c r="F240" s="1887">
        <v>105.7</v>
      </c>
      <c r="G240" s="1887">
        <v>8259.4</v>
      </c>
      <c r="H240" s="1887">
        <v>89.9</v>
      </c>
      <c r="I240" s="1887">
        <v>37170.400000000001</v>
      </c>
      <c r="J240" s="1887">
        <v>101.2</v>
      </c>
      <c r="K240" s="1887">
        <v>725.6</v>
      </c>
      <c r="L240" s="1887">
        <v>102.2</v>
      </c>
      <c r="M240" s="1887">
        <v>0.4657703999999967</v>
      </c>
      <c r="N240" s="1887">
        <v>6.6750082939223603</v>
      </c>
      <c r="O240" s="1887">
        <v>4.770677500000005</v>
      </c>
    </row>
    <row r="241" spans="1:15" ht="15" customHeight="1">
      <c r="A241" s="1885" t="s">
        <v>26</v>
      </c>
      <c r="B241" s="1887">
        <v>63889</v>
      </c>
      <c r="C241" s="1887">
        <v>104.8</v>
      </c>
      <c r="D241" s="1887">
        <v>114.7</v>
      </c>
      <c r="E241" s="1887">
        <v>35352</v>
      </c>
      <c r="F241" s="1887">
        <v>106.2</v>
      </c>
      <c r="G241" s="1887">
        <v>9560.2000000000007</v>
      </c>
      <c r="H241" s="1887">
        <v>91.3</v>
      </c>
      <c r="I241" s="1887">
        <v>42251.7</v>
      </c>
      <c r="J241" s="1887">
        <v>102</v>
      </c>
      <c r="K241" s="1887">
        <v>723.2</v>
      </c>
      <c r="L241" s="1887">
        <v>102.3</v>
      </c>
      <c r="M241" s="1887">
        <v>1.8156395999999972</v>
      </c>
      <c r="N241" s="1887">
        <v>8.4949436767658</v>
      </c>
      <c r="O241" s="1887">
        <v>5.1831593999999939</v>
      </c>
    </row>
    <row r="242" spans="1:15" ht="15" customHeight="1">
      <c r="A242" s="1885" t="s">
        <v>27</v>
      </c>
      <c r="B242" s="1887">
        <v>72407.8</v>
      </c>
      <c r="C242" s="1887">
        <v>104.9</v>
      </c>
      <c r="D242" s="1887">
        <v>116.7</v>
      </c>
      <c r="E242" s="1887">
        <v>39913.300000000003</v>
      </c>
      <c r="F242" s="1887">
        <v>105.9</v>
      </c>
      <c r="G242" s="1887">
        <v>10568.5</v>
      </c>
      <c r="H242" s="1887">
        <v>88.5</v>
      </c>
      <c r="I242" s="1887">
        <v>47259.8</v>
      </c>
      <c r="J242" s="1887">
        <v>102.4</v>
      </c>
      <c r="K242" s="1887">
        <v>722.9</v>
      </c>
      <c r="L242" s="1887">
        <v>102.6</v>
      </c>
      <c r="M242" s="1887">
        <v>1.574101799999994</v>
      </c>
      <c r="N242" s="1887">
        <v>10.018726312901791</v>
      </c>
      <c r="O242" s="1887">
        <v>5.6660478000000012</v>
      </c>
    </row>
    <row r="243" spans="1:15" ht="15" customHeight="1">
      <c r="A243" s="1885" t="s">
        <v>28</v>
      </c>
      <c r="B243" s="1887">
        <v>81100.7</v>
      </c>
      <c r="C243" s="1887">
        <v>105.3</v>
      </c>
      <c r="D243" s="1887">
        <v>118.9</v>
      </c>
      <c r="E243" s="1887">
        <v>44419.7</v>
      </c>
      <c r="F243" s="1887">
        <v>106.4</v>
      </c>
      <c r="G243" s="1887">
        <v>11708.1</v>
      </c>
      <c r="H243" s="1887">
        <v>88.8</v>
      </c>
      <c r="I243" s="1887">
        <v>51619.3</v>
      </c>
      <c r="J243" s="1887">
        <v>102.5</v>
      </c>
      <c r="K243" s="1887">
        <v>724.1</v>
      </c>
      <c r="L243" s="1887">
        <v>102.9</v>
      </c>
      <c r="M243" s="1887">
        <v>1.4770500999999996</v>
      </c>
      <c r="N243" s="1887">
        <v>11.095137015894778</v>
      </c>
      <c r="O243" s="1887">
        <v>6.1611934000000019</v>
      </c>
    </row>
    <row r="244" spans="1:15" ht="15" customHeight="1">
      <c r="A244" s="1885" t="s">
        <v>29</v>
      </c>
      <c r="B244" s="1887">
        <v>93203.199999999997</v>
      </c>
      <c r="C244" s="1887">
        <v>105.6</v>
      </c>
      <c r="D244" s="1887">
        <v>121.6</v>
      </c>
      <c r="E244" s="1887">
        <v>51122.2</v>
      </c>
      <c r="F244" s="1887">
        <v>107.1</v>
      </c>
      <c r="G244" s="1887">
        <v>16815.458999999999</v>
      </c>
      <c r="H244" s="1887">
        <v>95.5</v>
      </c>
      <c r="I244" s="1887">
        <v>57206.8</v>
      </c>
      <c r="J244" s="1887">
        <v>102.6</v>
      </c>
      <c r="K244" s="1887">
        <v>732.1</v>
      </c>
      <c r="L244" s="1887">
        <v>103.4</v>
      </c>
      <c r="M244" s="1887">
        <v>1.5861479999999943</v>
      </c>
      <c r="N244" s="1887">
        <v>11.97139806863818</v>
      </c>
      <c r="O244" s="1887">
        <v>6.650326899999996</v>
      </c>
    </row>
    <row r="245" spans="1:15" ht="15" customHeight="1">
      <c r="A245" s="1885" t="s">
        <v>2827</v>
      </c>
      <c r="B245" s="1886">
        <v>133972.70000000001</v>
      </c>
      <c r="C245" s="1886">
        <v>104.7</v>
      </c>
      <c r="D245" s="1886">
        <v>137.30000000000001</v>
      </c>
      <c r="E245" s="1886">
        <v>61509.1</v>
      </c>
      <c r="F245" s="1886">
        <v>109</v>
      </c>
      <c r="G245" s="1886">
        <v>17878.165099999998</v>
      </c>
      <c r="H245" s="1886">
        <v>103.3</v>
      </c>
      <c r="I245" s="1886">
        <v>69163</v>
      </c>
      <c r="J245" s="1886">
        <v>120.9</v>
      </c>
      <c r="K245" s="1886">
        <v>839.4</v>
      </c>
      <c r="L245" s="1886">
        <v>114.7</v>
      </c>
      <c r="M245" s="1886">
        <v>0.9582556000000011</v>
      </c>
      <c r="N245" s="1886">
        <f>+N257</f>
        <v>14.382451264983615</v>
      </c>
      <c r="O245" s="1886">
        <v>13.852259099999998</v>
      </c>
    </row>
    <row r="246" spans="1:15" ht="15" customHeight="1">
      <c r="A246" s="1885" t="s">
        <v>18</v>
      </c>
      <c r="B246" s="1887">
        <v>9283.5</v>
      </c>
      <c r="C246" s="1887">
        <v>105.8</v>
      </c>
      <c r="D246" s="1887">
        <v>139.5</v>
      </c>
      <c r="E246" s="1887">
        <v>4085.8</v>
      </c>
      <c r="F246" s="1887">
        <v>108.7</v>
      </c>
      <c r="G246" s="1887">
        <v>658.1</v>
      </c>
      <c r="H246" s="1887">
        <v>88.9</v>
      </c>
      <c r="I246" s="1887">
        <v>4675.8999999999996</v>
      </c>
      <c r="J246" s="1887">
        <v>115.5</v>
      </c>
      <c r="K246" s="1887">
        <v>765.9</v>
      </c>
      <c r="L246" s="1887">
        <v>110.9</v>
      </c>
      <c r="M246" s="1887">
        <v>1.6459641</v>
      </c>
      <c r="N246" s="1887">
        <v>12.464832911976657</v>
      </c>
      <c r="O246" s="1887">
        <v>12.464832899999999</v>
      </c>
    </row>
    <row r="247" spans="1:15" ht="15" customHeight="1">
      <c r="A247" s="1885" t="s">
        <v>19</v>
      </c>
      <c r="B247" s="1887">
        <v>18742.8</v>
      </c>
      <c r="C247" s="1887">
        <v>106.7</v>
      </c>
      <c r="D247" s="1887">
        <v>144.69999999999999</v>
      </c>
      <c r="E247" s="1887">
        <v>8093.6</v>
      </c>
      <c r="F247" s="1887">
        <v>110.1</v>
      </c>
      <c r="G247" s="1887">
        <v>1339.7</v>
      </c>
      <c r="H247" s="1887">
        <v>97.9</v>
      </c>
      <c r="I247" s="1887">
        <v>9273.2000000000007</v>
      </c>
      <c r="J247" s="1887">
        <v>115.6</v>
      </c>
      <c r="K247" s="1887">
        <v>768.3</v>
      </c>
      <c r="L247" s="1887">
        <v>111</v>
      </c>
      <c r="M247" s="1887">
        <v>1.0978858000000002</v>
      </c>
      <c r="N247" s="1887">
        <v>11.874729289442683</v>
      </c>
      <c r="O247" s="1887">
        <v>12.167394200000004</v>
      </c>
    </row>
    <row r="248" spans="1:15" ht="15" customHeight="1">
      <c r="A248" s="1885" t="s">
        <v>20</v>
      </c>
      <c r="B248" s="1887">
        <v>29676.7</v>
      </c>
      <c r="C248" s="1887">
        <v>106.8</v>
      </c>
      <c r="D248" s="1887">
        <v>146.69999999999999</v>
      </c>
      <c r="E248" s="1887">
        <v>13080.5</v>
      </c>
      <c r="F248" s="1887">
        <v>110.3</v>
      </c>
      <c r="G248" s="1887">
        <v>2440.6999999999998</v>
      </c>
      <c r="H248" s="1887">
        <v>90.5</v>
      </c>
      <c r="I248" s="1887">
        <v>16043.8</v>
      </c>
      <c r="J248" s="1887">
        <v>119.2</v>
      </c>
      <c r="K248" s="1887">
        <v>809</v>
      </c>
      <c r="L248" s="1887">
        <v>113.4</v>
      </c>
      <c r="M248" s="1887">
        <v>1.1043106999999992</v>
      </c>
      <c r="N248" s="1887">
        <v>12.149828632610578</v>
      </c>
      <c r="O248" s="1887">
        <v>12.161474100000007</v>
      </c>
    </row>
    <row r="249" spans="1:15" ht="15" customHeight="1">
      <c r="A249" s="1885" t="s">
        <v>21</v>
      </c>
      <c r="B249" s="1887">
        <v>39859</v>
      </c>
      <c r="C249" s="1887">
        <v>107.2</v>
      </c>
      <c r="D249" s="1887">
        <v>146.9</v>
      </c>
      <c r="E249" s="1887">
        <v>16870.8</v>
      </c>
      <c r="F249" s="1887">
        <v>111.3</v>
      </c>
      <c r="G249" s="1887">
        <v>3678</v>
      </c>
      <c r="H249" s="1887">
        <v>94.7</v>
      </c>
      <c r="I249" s="1887">
        <v>20480.900000000001</v>
      </c>
      <c r="J249" s="1887">
        <v>119.6</v>
      </c>
      <c r="K249" s="1887">
        <v>824.7</v>
      </c>
      <c r="L249" s="1887">
        <v>114.2</v>
      </c>
      <c r="M249" s="1887">
        <v>1.0396510000000063</v>
      </c>
      <c r="N249" s="1887">
        <v>12.962695636802053</v>
      </c>
      <c r="O249" s="1887">
        <v>12.363912200000001</v>
      </c>
    </row>
    <row r="250" spans="1:15" ht="15" customHeight="1">
      <c r="A250" s="1885" t="s">
        <v>22</v>
      </c>
      <c r="B250" s="1887">
        <v>51073.9</v>
      </c>
      <c r="C250" s="1887">
        <v>107.2</v>
      </c>
      <c r="D250" s="1887">
        <v>147.80000000000001</v>
      </c>
      <c r="E250" s="1887">
        <v>21730.400000000001</v>
      </c>
      <c r="F250" s="1887">
        <v>111</v>
      </c>
      <c r="G250" s="1887">
        <v>4915.5</v>
      </c>
      <c r="H250" s="1887">
        <v>96.8</v>
      </c>
      <c r="I250" s="1887">
        <v>26422.400000000001</v>
      </c>
      <c r="J250" s="1887">
        <v>119.6</v>
      </c>
      <c r="K250" s="1887">
        <v>825.3</v>
      </c>
      <c r="L250" s="1887">
        <v>114</v>
      </c>
      <c r="M250" s="1887">
        <v>0.73696019999999862</v>
      </c>
      <c r="N250" s="1887">
        <v>13.742045688230945</v>
      </c>
      <c r="O250" s="1887">
        <v>12.641985300000002</v>
      </c>
    </row>
    <row r="251" spans="1:15" ht="15" customHeight="1">
      <c r="A251" s="1885" t="s">
        <v>23</v>
      </c>
      <c r="B251" s="1887">
        <v>63389.599999999999</v>
      </c>
      <c r="C251" s="1887">
        <v>106.2</v>
      </c>
      <c r="D251" s="1887">
        <v>146.4</v>
      </c>
      <c r="E251" s="1887">
        <v>27965.8</v>
      </c>
      <c r="F251" s="1887">
        <v>109.4</v>
      </c>
      <c r="G251" s="1887">
        <v>6299.6</v>
      </c>
      <c r="H251" s="1887">
        <v>100.7</v>
      </c>
      <c r="I251" s="1887">
        <v>33017.4</v>
      </c>
      <c r="J251" s="1887">
        <v>119.6</v>
      </c>
      <c r="K251" s="1887">
        <v>827.1</v>
      </c>
      <c r="L251" s="1887">
        <v>114.2</v>
      </c>
      <c r="M251" s="1887">
        <v>-0.10657299999999736</v>
      </c>
      <c r="N251" s="1887">
        <v>14.182776427692417</v>
      </c>
      <c r="O251" s="1887">
        <v>12.899620100000007</v>
      </c>
    </row>
    <row r="252" spans="1:15" ht="15" customHeight="1">
      <c r="A252" s="1885" t="s">
        <v>24</v>
      </c>
      <c r="B252" s="1887">
        <v>74910.100000000006</v>
      </c>
      <c r="C252" s="1887">
        <v>106.2</v>
      </c>
      <c r="D252" s="1887">
        <v>145.19999999999999</v>
      </c>
      <c r="E252" s="1887">
        <v>32909.300000000003</v>
      </c>
      <c r="F252" s="1887">
        <v>109.9</v>
      </c>
      <c r="G252" s="1887">
        <v>7301.7000000000007</v>
      </c>
      <c r="H252" s="1887">
        <v>100.1</v>
      </c>
      <c r="I252" s="1887">
        <v>38806.6</v>
      </c>
      <c r="J252" s="1887">
        <v>120.1</v>
      </c>
      <c r="K252" s="1887">
        <v>831.3</v>
      </c>
      <c r="L252" s="1887">
        <v>114.1</v>
      </c>
      <c r="M252" s="1887">
        <v>0.47719069999999419</v>
      </c>
      <c r="N252" s="1887">
        <v>13.685451579583585</v>
      </c>
      <c r="O252" s="1887">
        <v>13.013077999999993</v>
      </c>
    </row>
    <row r="253" spans="1:15" ht="15" customHeight="1">
      <c r="A253" s="1885" t="s">
        <v>25</v>
      </c>
      <c r="B253" s="1887">
        <v>85691.4</v>
      </c>
      <c r="C253" s="1887">
        <v>105.8</v>
      </c>
      <c r="D253" s="1887">
        <v>144.30000000000001</v>
      </c>
      <c r="E253" s="1887">
        <v>37985.1</v>
      </c>
      <c r="F253" s="1887">
        <v>110.2</v>
      </c>
      <c r="G253" s="1887">
        <v>9117</v>
      </c>
      <c r="H253" s="1887">
        <v>106.9</v>
      </c>
      <c r="I253" s="1887">
        <v>44491.199999999997</v>
      </c>
      <c r="J253" s="1887">
        <v>120</v>
      </c>
      <c r="K253" s="1887">
        <v>829</v>
      </c>
      <c r="L253" s="1887">
        <v>114.3</v>
      </c>
      <c r="M253" s="1887">
        <v>0.89103889999999808</v>
      </c>
      <c r="N253" s="1887">
        <v>14.166678581303501</v>
      </c>
      <c r="O253" s="1887">
        <v>13.159212800000006</v>
      </c>
    </row>
    <row r="254" spans="1:15" ht="15" customHeight="1">
      <c r="A254" s="1885" t="s">
        <v>26</v>
      </c>
      <c r="B254" s="1887">
        <v>98193.8</v>
      </c>
      <c r="C254" s="1887">
        <v>105.6</v>
      </c>
      <c r="D254" s="1887">
        <v>145.4</v>
      </c>
      <c r="E254" s="1887">
        <v>43951.5</v>
      </c>
      <c r="F254" s="1887">
        <v>110</v>
      </c>
      <c r="G254" s="1887">
        <v>10154.400000000001</v>
      </c>
      <c r="H254" s="1887">
        <v>104.6</v>
      </c>
      <c r="I254" s="1887">
        <v>50990.6</v>
      </c>
      <c r="J254" s="1887">
        <v>120.3</v>
      </c>
      <c r="K254" s="1887">
        <v>827.4</v>
      </c>
      <c r="L254" s="1887">
        <v>114.4</v>
      </c>
      <c r="M254" s="1887">
        <v>3.1123975999999942</v>
      </c>
      <c r="N254" s="1887">
        <v>15.620743539942069</v>
      </c>
      <c r="O254" s="1887">
        <v>13.440424100000001</v>
      </c>
    </row>
    <row r="255" spans="1:15" ht="15" customHeight="1">
      <c r="A255" s="1885" t="s">
        <v>27</v>
      </c>
      <c r="B255" s="1887">
        <v>111474.6</v>
      </c>
      <c r="C255" s="1887">
        <v>105.2</v>
      </c>
      <c r="D255" s="1887">
        <v>145.69999999999999</v>
      </c>
      <c r="E255" s="1887">
        <v>49104.9</v>
      </c>
      <c r="F255" s="1887">
        <v>109.6</v>
      </c>
      <c r="G255" s="1887">
        <v>11774.5</v>
      </c>
      <c r="H255" s="1887">
        <v>108.2</v>
      </c>
      <c r="I255" s="1887">
        <v>56860.800000000003</v>
      </c>
      <c r="J255" s="1887">
        <v>120.4</v>
      </c>
      <c r="K255" s="1887">
        <v>827.9</v>
      </c>
      <c r="L255" s="1887">
        <v>114.5</v>
      </c>
      <c r="M255" s="1887">
        <v>1.5513487000000055</v>
      </c>
      <c r="N255" s="1887">
        <v>15.594843922882021</v>
      </c>
      <c r="O255" s="1887">
        <v>13.664430699999997</v>
      </c>
    </row>
    <row r="256" spans="1:15" ht="15" customHeight="1">
      <c r="A256" s="1885" t="s">
        <v>28</v>
      </c>
      <c r="B256" s="1887">
        <v>121984.7</v>
      </c>
      <c r="C256" s="1887">
        <v>104.8</v>
      </c>
      <c r="D256" s="1887">
        <v>142.9</v>
      </c>
      <c r="E256" s="1887">
        <v>54052.2</v>
      </c>
      <c r="F256" s="1887">
        <v>109.099999999999</v>
      </c>
      <c r="G256" s="1887">
        <v>13053.600000000002</v>
      </c>
      <c r="H256" s="1887">
        <v>108.2</v>
      </c>
      <c r="I256" s="1887">
        <v>62238.7</v>
      </c>
      <c r="J256" s="1887">
        <v>120.5</v>
      </c>
      <c r="K256" s="1887">
        <v>829.9</v>
      </c>
      <c r="L256" s="1887">
        <v>114.6</v>
      </c>
      <c r="M256" s="1887">
        <v>1.0372286000000059</v>
      </c>
      <c r="N256" s="1887">
        <v>15.093833126881108</v>
      </c>
      <c r="O256" s="1887">
        <v>13.8</v>
      </c>
    </row>
    <row r="257" spans="1:15" ht="15" customHeight="1">
      <c r="A257" s="1885" t="s">
        <v>29</v>
      </c>
      <c r="B257" s="1887">
        <v>133972.70000000001</v>
      </c>
      <c r="C257" s="1887">
        <v>104.7</v>
      </c>
      <c r="D257" s="1887">
        <v>137.30000000000001</v>
      </c>
      <c r="E257" s="1887">
        <v>61509.1</v>
      </c>
      <c r="F257" s="1887">
        <v>109</v>
      </c>
      <c r="G257" s="1887">
        <v>17878.165099999998</v>
      </c>
      <c r="H257" s="1887">
        <v>103.3</v>
      </c>
      <c r="I257" s="1887">
        <v>69163</v>
      </c>
      <c r="J257" s="1887">
        <v>120.9</v>
      </c>
      <c r="K257" s="1887">
        <v>839.4</v>
      </c>
      <c r="L257" s="1887">
        <v>114.7</v>
      </c>
      <c r="M257" s="1887">
        <v>0.9582556000000011</v>
      </c>
      <c r="N257" s="1887">
        <v>14.382451264983615</v>
      </c>
      <c r="O257" s="1887">
        <v>13.852259099999998</v>
      </c>
    </row>
    <row r="258" spans="1:15" ht="15" customHeight="1">
      <c r="A258" s="1885" t="s">
        <v>3518</v>
      </c>
      <c r="B258" s="1886">
        <v>123128.4</v>
      </c>
      <c r="C258" s="1886">
        <v>101.4</v>
      </c>
      <c r="D258" s="1886">
        <v>90.6</v>
      </c>
      <c r="E258" s="1886">
        <v>69482.8</v>
      </c>
      <c r="F258" s="1886">
        <v>104.5</v>
      </c>
      <c r="G258" s="1886">
        <v>21310.7055</v>
      </c>
      <c r="H258" s="1886">
        <v>115.2</v>
      </c>
      <c r="I258" s="1886">
        <v>78050.2</v>
      </c>
      <c r="J258" s="1886">
        <v>112.8</v>
      </c>
      <c r="K258" s="1886">
        <v>933.8</v>
      </c>
      <c r="L258" s="1886">
        <v>111.2</v>
      </c>
      <c r="M258" s="1886">
        <v>0.50078760000000955</v>
      </c>
      <c r="N258" s="1886">
        <f>+N270</f>
        <v>2.1499577082974497</v>
      </c>
      <c r="O258" s="1886">
        <v>8.7854305000000039</v>
      </c>
    </row>
    <row r="259" spans="1:15" ht="15" customHeight="1">
      <c r="A259" s="1885" t="s">
        <v>18</v>
      </c>
      <c r="B259" s="1887">
        <v>9727.7000000000007</v>
      </c>
      <c r="C259" s="1887">
        <v>98.5</v>
      </c>
      <c r="D259" s="1887">
        <v>105.9</v>
      </c>
      <c r="E259" s="1887">
        <v>4272.2</v>
      </c>
      <c r="F259" s="1887">
        <v>101.7</v>
      </c>
      <c r="G259" s="1887">
        <v>1091.7</v>
      </c>
      <c r="H259" s="1887">
        <v>161.19999999999999</v>
      </c>
      <c r="I259" s="1887">
        <v>5378.4</v>
      </c>
      <c r="J259" s="1887">
        <v>115</v>
      </c>
      <c r="K259" s="1887">
        <v>856.2</v>
      </c>
      <c r="L259" s="1887">
        <v>111.8</v>
      </c>
      <c r="M259" s="1887">
        <v>0.98019559999999994</v>
      </c>
      <c r="N259" s="1887">
        <v>13.633260348459956</v>
      </c>
      <c r="O259" s="1887">
        <v>13.633260399999999</v>
      </c>
    </row>
    <row r="260" spans="1:15" ht="15" customHeight="1">
      <c r="A260" s="1885" t="s">
        <v>19</v>
      </c>
      <c r="B260" s="1887">
        <v>19724.7</v>
      </c>
      <c r="C260" s="1887">
        <v>100.4</v>
      </c>
      <c r="D260" s="1887">
        <v>105.3</v>
      </c>
      <c r="E260" s="1887">
        <v>9052.2000000000007</v>
      </c>
      <c r="F260" s="1887">
        <v>104.599999999999</v>
      </c>
      <c r="G260" s="1887">
        <v>2206.9</v>
      </c>
      <c r="H260" s="1887">
        <v>160.1</v>
      </c>
      <c r="I260" s="1887">
        <v>10688.5</v>
      </c>
      <c r="J260" s="1887">
        <v>115.3</v>
      </c>
      <c r="K260" s="1887">
        <v>854.5</v>
      </c>
      <c r="L260" s="1887">
        <v>111.2</v>
      </c>
      <c r="M260" s="1887">
        <v>1.4831996000000061</v>
      </c>
      <c r="N260" s="1887">
        <v>14.066350150534277</v>
      </c>
      <c r="O260" s="1887">
        <v>13.8509875</v>
      </c>
    </row>
    <row r="261" spans="1:15" ht="15" customHeight="1">
      <c r="A261" s="1885" t="s">
        <v>20</v>
      </c>
      <c r="B261" s="1887">
        <v>30360.3</v>
      </c>
      <c r="C261" s="1887">
        <v>100.4</v>
      </c>
      <c r="D261" s="1887">
        <v>101.7</v>
      </c>
      <c r="E261" s="1887">
        <v>14498.6</v>
      </c>
      <c r="F261" s="1887">
        <v>104.8</v>
      </c>
      <c r="G261" s="1887">
        <v>3523.1000000000004</v>
      </c>
      <c r="H261" s="1887">
        <v>140.30000000000001</v>
      </c>
      <c r="I261" s="1887">
        <v>18482.900000000001</v>
      </c>
      <c r="J261" s="1887">
        <v>115.2</v>
      </c>
      <c r="K261" s="1887">
        <v>901.3</v>
      </c>
      <c r="L261" s="1887">
        <v>111.4</v>
      </c>
      <c r="M261" s="1887">
        <v>0.69390169999999785</v>
      </c>
      <c r="N261" s="1887">
        <v>13.603324821793962</v>
      </c>
      <c r="O261" s="1887">
        <v>13.767526699999999</v>
      </c>
    </row>
    <row r="262" spans="1:15" ht="15" customHeight="1">
      <c r="A262" s="1885" t="s">
        <v>21</v>
      </c>
      <c r="B262" s="1887">
        <v>39480</v>
      </c>
      <c r="C262" s="1887">
        <v>100.1</v>
      </c>
      <c r="D262" s="1887">
        <v>100.299999999999</v>
      </c>
      <c r="E262" s="1887">
        <v>19170.5</v>
      </c>
      <c r="F262" s="1887">
        <v>103.099999999999</v>
      </c>
      <c r="G262" s="1887">
        <v>4580</v>
      </c>
      <c r="H262" s="1887">
        <v>121.1</v>
      </c>
      <c r="I262" s="1887">
        <v>23570.6</v>
      </c>
      <c r="J262" s="1887">
        <v>115.1</v>
      </c>
      <c r="K262" s="1887">
        <v>913.9</v>
      </c>
      <c r="L262" s="1887">
        <v>110.8</v>
      </c>
      <c r="M262" s="1887">
        <v>0.30707580000000689</v>
      </c>
      <c r="N262" s="1887">
        <v>12.779658295055938</v>
      </c>
      <c r="O262" s="1887">
        <v>13.5166</v>
      </c>
    </row>
    <row r="263" spans="1:15" ht="15" customHeight="1">
      <c r="A263" s="1885" t="s">
        <v>22</v>
      </c>
      <c r="B263" s="1887">
        <v>49384.7</v>
      </c>
      <c r="C263" s="1887">
        <v>100.7</v>
      </c>
      <c r="D263" s="1887">
        <v>96.4</v>
      </c>
      <c r="E263" s="1887">
        <v>24747.1</v>
      </c>
      <c r="F263" s="1887">
        <v>104</v>
      </c>
      <c r="G263" s="1887">
        <v>5858.2</v>
      </c>
      <c r="H263" s="1887">
        <v>115.9</v>
      </c>
      <c r="I263" s="1887">
        <v>30297.9</v>
      </c>
      <c r="J263" s="1887">
        <v>114.7</v>
      </c>
      <c r="K263" s="1887">
        <v>916.8</v>
      </c>
      <c r="L263" s="1887">
        <v>111.1</v>
      </c>
      <c r="M263" s="1887">
        <v>-0.38304540000000031</v>
      </c>
      <c r="N263" s="1887">
        <v>11.525760533938595</v>
      </c>
      <c r="O263" s="1887">
        <v>13.110975100000005</v>
      </c>
    </row>
    <row r="264" spans="1:15" ht="15" customHeight="1">
      <c r="A264" s="1885" t="s">
        <v>23</v>
      </c>
      <c r="B264" s="1887">
        <v>60413</v>
      </c>
      <c r="C264" s="1887">
        <v>100.5</v>
      </c>
      <c r="D264" s="1887">
        <v>94.7</v>
      </c>
      <c r="E264" s="1887">
        <v>31265.4</v>
      </c>
      <c r="F264" s="1887">
        <v>103.1</v>
      </c>
      <c r="G264" s="1887">
        <v>7148.3</v>
      </c>
      <c r="H264" s="1887">
        <v>110.4</v>
      </c>
      <c r="I264" s="1887">
        <v>37879.5</v>
      </c>
      <c r="J264" s="1887">
        <v>114.7</v>
      </c>
      <c r="K264" s="1887">
        <v>921.9</v>
      </c>
      <c r="L264" s="1887">
        <v>111.5</v>
      </c>
      <c r="M264" s="1887">
        <v>-0.90000890000000311</v>
      </c>
      <c r="N264" s="1887">
        <v>10.639931057065908</v>
      </c>
      <c r="O264" s="1887">
        <v>12.693097199999997</v>
      </c>
    </row>
    <row r="265" spans="1:15" ht="15" customHeight="1">
      <c r="A265" s="1885" t="s">
        <v>24</v>
      </c>
      <c r="B265" s="1887">
        <v>70303.8</v>
      </c>
      <c r="C265" s="1887">
        <v>100.7</v>
      </c>
      <c r="D265" s="1887">
        <v>93.3</v>
      </c>
      <c r="E265" s="1887">
        <v>37224.9</v>
      </c>
      <c r="F265" s="1887">
        <v>103.4</v>
      </c>
      <c r="G265" s="1887">
        <v>9114.9</v>
      </c>
      <c r="H265" s="1887">
        <v>120.8</v>
      </c>
      <c r="I265" s="1887">
        <v>44559.4</v>
      </c>
      <c r="J265" s="1887">
        <v>114.8</v>
      </c>
      <c r="K265" s="1887">
        <v>925.3</v>
      </c>
      <c r="L265" s="1887">
        <v>111.3</v>
      </c>
      <c r="M265" s="1887">
        <v>-0.65338739999999973</v>
      </c>
      <c r="N265" s="1887">
        <v>9.3950009175270139</v>
      </c>
      <c r="O265" s="1887">
        <v>12.2</v>
      </c>
    </row>
    <row r="266" spans="1:15" ht="15" customHeight="1">
      <c r="A266" s="1885" t="s">
        <v>25</v>
      </c>
      <c r="B266" s="919">
        <v>80162.2</v>
      </c>
      <c r="C266" s="1887">
        <v>100.8</v>
      </c>
      <c r="D266" s="1887">
        <v>92.7</v>
      </c>
      <c r="E266" s="1887">
        <v>42591.1</v>
      </c>
      <c r="F266" s="1887">
        <v>102.6</v>
      </c>
      <c r="G266" s="1887">
        <v>10864.8</v>
      </c>
      <c r="H266" s="1887">
        <v>115.4</v>
      </c>
      <c r="I266" s="1887">
        <v>50861.1</v>
      </c>
      <c r="J266" s="1887">
        <v>114.3</v>
      </c>
      <c r="K266" s="1887">
        <v>923</v>
      </c>
      <c r="L266" s="1887">
        <v>111.3</v>
      </c>
      <c r="M266" s="1887">
        <v>-0.4034168999999963</v>
      </c>
      <c r="N266" s="1887">
        <v>7.9914372812257284</v>
      </c>
      <c r="O266" s="1887">
        <v>11.7</v>
      </c>
    </row>
    <row r="267" spans="1:15" ht="15" customHeight="1">
      <c r="A267" s="1885" t="s">
        <v>26</v>
      </c>
      <c r="B267" s="1887">
        <v>91489.4</v>
      </c>
      <c r="C267" s="1887">
        <v>100.8</v>
      </c>
      <c r="D267" s="1887">
        <v>91.7</v>
      </c>
      <c r="E267" s="1887">
        <v>48915.3</v>
      </c>
      <c r="F267" s="1887">
        <v>103</v>
      </c>
      <c r="G267" s="1887">
        <v>12728.9</v>
      </c>
      <c r="H267" s="1887">
        <v>121.3</v>
      </c>
      <c r="I267" s="1887">
        <v>58020.1</v>
      </c>
      <c r="J267" s="1887">
        <v>113.8</v>
      </c>
      <c r="K267" s="1887">
        <v>919.8</v>
      </c>
      <c r="L267" s="1887">
        <v>111.2</v>
      </c>
      <c r="M267" s="1887">
        <v>0.3</v>
      </c>
      <c r="N267" s="1887">
        <v>5.0558398552808654</v>
      </c>
      <c r="O267" s="1887">
        <v>10.903757000000001</v>
      </c>
    </row>
    <row r="268" spans="1:15" ht="15" customHeight="1">
      <c r="A268" s="1885" t="s">
        <v>27</v>
      </c>
      <c r="B268" s="1887">
        <v>101327.7</v>
      </c>
      <c r="C268" s="1887">
        <v>100.5</v>
      </c>
      <c r="D268" s="1887">
        <v>90.1</v>
      </c>
      <c r="E268" s="1887">
        <v>54711.9</v>
      </c>
      <c r="F268" s="1887">
        <v>103.1</v>
      </c>
      <c r="G268" s="1887">
        <v>14258</v>
      </c>
      <c r="H268" s="1887">
        <v>117.1</v>
      </c>
      <c r="I268" s="1887">
        <v>64346.6</v>
      </c>
      <c r="J268" s="1887">
        <v>113.2</v>
      </c>
      <c r="K268" s="1887">
        <v>921.1</v>
      </c>
      <c r="L268" s="1887">
        <v>111.3</v>
      </c>
      <c r="M268" s="1887">
        <v>0.40862479999999834</v>
      </c>
      <c r="N268" s="1887">
        <v>3.873681069858435</v>
      </c>
      <c r="O268" s="1887">
        <v>10.160388100000006</v>
      </c>
    </row>
    <row r="269" spans="1:15" ht="15" customHeight="1">
      <c r="A269" s="1885" t="s">
        <v>28</v>
      </c>
      <c r="B269" s="1887">
        <v>110933.4</v>
      </c>
      <c r="C269" s="1887">
        <v>100.8</v>
      </c>
      <c r="D269" s="1887">
        <v>89.6</v>
      </c>
      <c r="E269" s="1887">
        <v>59870</v>
      </c>
      <c r="F269" s="1887">
        <v>103.2</v>
      </c>
      <c r="G269" s="1887">
        <v>15725.9</v>
      </c>
      <c r="H269" s="1887">
        <v>116.5</v>
      </c>
      <c r="I269" s="1887">
        <v>70223.5</v>
      </c>
      <c r="J269" s="1887">
        <v>112.8</v>
      </c>
      <c r="K269" s="1887">
        <v>923.1</v>
      </c>
      <c r="L269" s="1887">
        <v>111.2</v>
      </c>
      <c r="M269" s="1887">
        <v>-0.18714760000000297</v>
      </c>
      <c r="N269" s="1887">
        <v>2.6149325405235118</v>
      </c>
      <c r="O269" s="1887">
        <v>9.4320597999999904</v>
      </c>
    </row>
    <row r="270" spans="1:15" ht="15" customHeight="1">
      <c r="A270" s="1885" t="s">
        <v>29</v>
      </c>
      <c r="B270" s="1887">
        <v>123128.4</v>
      </c>
      <c r="C270" s="1887">
        <v>101.4</v>
      </c>
      <c r="D270" s="1887">
        <v>90.6</v>
      </c>
      <c r="E270" s="1887">
        <v>69482.8</v>
      </c>
      <c r="F270" s="1887">
        <v>104.5</v>
      </c>
      <c r="G270" s="919">
        <v>21310.7055</v>
      </c>
      <c r="H270" s="919">
        <v>115.2</v>
      </c>
      <c r="I270" s="1887">
        <v>78050.2</v>
      </c>
      <c r="J270" s="1887">
        <v>112.8</v>
      </c>
      <c r="K270" s="1887">
        <v>933.8</v>
      </c>
      <c r="L270" s="1887">
        <v>111.2</v>
      </c>
      <c r="M270" s="1887">
        <v>0.50078760000000955</v>
      </c>
      <c r="N270" s="1887">
        <v>2.1499577082974497</v>
      </c>
      <c r="O270" s="1887">
        <v>8.7854305000000039</v>
      </c>
    </row>
    <row r="271" spans="1:15" ht="15" customHeight="1">
      <c r="A271" s="1885" t="s">
        <v>3989</v>
      </c>
      <c r="B271" s="1886">
        <v>126337</v>
      </c>
      <c r="C271" s="1886">
        <v>104.1</v>
      </c>
      <c r="D271" s="1886">
        <v>98.6</v>
      </c>
      <c r="E271" s="1886">
        <v>75335.8</v>
      </c>
      <c r="F271" s="1886">
        <v>106.1</v>
      </c>
      <c r="G271" s="1886">
        <v>21435.1</v>
      </c>
      <c r="H271" s="1886">
        <v>99.3</v>
      </c>
      <c r="I271" s="1886">
        <v>83093.399999999994</v>
      </c>
      <c r="J271" s="1886">
        <v>106.4</v>
      </c>
      <c r="K271" s="1886">
        <v>1009.2</v>
      </c>
      <c r="L271" s="1886">
        <v>108.1</v>
      </c>
      <c r="M271" s="1886">
        <v>1.0387630999999971</v>
      </c>
      <c r="N271" s="1886">
        <v>4.9344123838892529</v>
      </c>
      <c r="O271" s="1886">
        <v>2.2105434000000059</v>
      </c>
    </row>
    <row r="272" spans="1:15" ht="15" customHeight="1">
      <c r="A272" s="1885" t="s">
        <v>18</v>
      </c>
      <c r="B272" s="919">
        <v>9173.7000000000007</v>
      </c>
      <c r="C272" s="1887">
        <v>105</v>
      </c>
      <c r="D272" s="1887">
        <v>89.4</v>
      </c>
      <c r="E272" s="1887">
        <v>4837.3999999999996</v>
      </c>
      <c r="F272" s="1887">
        <v>112.2</v>
      </c>
      <c r="G272" s="1887">
        <v>1553</v>
      </c>
      <c r="H272" s="1887">
        <v>137.4</v>
      </c>
      <c r="I272" s="1887">
        <v>5618.8</v>
      </c>
      <c r="J272" s="1887">
        <v>104.5</v>
      </c>
      <c r="K272" s="1887">
        <v>942.4</v>
      </c>
      <c r="L272" s="1887">
        <v>110.1</v>
      </c>
      <c r="M272" s="1887">
        <v>0.52366509999998812</v>
      </c>
      <c r="N272" s="1887">
        <v>1.6881387249764117</v>
      </c>
      <c r="O272" s="1887">
        <v>1.6881386999999961</v>
      </c>
    </row>
    <row r="273" spans="1:15" ht="15" customHeight="1">
      <c r="A273" s="1885" t="s">
        <v>19</v>
      </c>
      <c r="B273" s="1887">
        <v>18361</v>
      </c>
      <c r="C273" s="1887">
        <v>105</v>
      </c>
      <c r="D273" s="1887">
        <v>89.7</v>
      </c>
      <c r="E273" s="1887">
        <v>10083.299999999999</v>
      </c>
      <c r="F273" s="1887">
        <v>110.1</v>
      </c>
      <c r="G273" s="1887">
        <v>2638.1</v>
      </c>
      <c r="H273" s="1887">
        <v>115.5</v>
      </c>
      <c r="I273" s="1887">
        <v>11190.3</v>
      </c>
      <c r="J273" s="1887">
        <v>104.7</v>
      </c>
      <c r="K273" s="1887">
        <v>946.8</v>
      </c>
      <c r="L273" s="1887">
        <v>110.8</v>
      </c>
      <c r="M273" s="1887">
        <v>0.63771800000000667</v>
      </c>
      <c r="N273" s="1887">
        <v>0.8409497265107575</v>
      </c>
      <c r="O273" s="1887">
        <v>1.2614259000000061</v>
      </c>
    </row>
    <row r="274" spans="1:15" ht="15" customHeight="1">
      <c r="A274" s="1885" t="s">
        <v>20</v>
      </c>
      <c r="B274" s="1887">
        <v>28940.6</v>
      </c>
      <c r="C274" s="1887">
        <v>104</v>
      </c>
      <c r="D274" s="1887">
        <v>92.2</v>
      </c>
      <c r="E274" s="1887">
        <v>16022.8</v>
      </c>
      <c r="F274" s="1887">
        <v>106.7</v>
      </c>
      <c r="G274" s="1887">
        <v>3809.2</v>
      </c>
      <c r="H274" s="1887">
        <v>104</v>
      </c>
      <c r="I274" s="1887">
        <v>19408.099999999999</v>
      </c>
      <c r="J274" s="1887">
        <v>105</v>
      </c>
      <c r="K274" s="1887">
        <v>985.3</v>
      </c>
      <c r="L274" s="1887">
        <v>109.3</v>
      </c>
      <c r="M274" s="1887">
        <v>0.2279941999999977</v>
      </c>
      <c r="N274" s="1887">
        <v>0.37436183994061878</v>
      </c>
      <c r="O274" s="1887">
        <v>0.96292229999998824</v>
      </c>
    </row>
    <row r="275" spans="1:15" ht="15" customHeight="1">
      <c r="A275" s="1885" t="s">
        <v>21</v>
      </c>
      <c r="B275" s="1887">
        <v>37912.6</v>
      </c>
      <c r="C275" s="1887">
        <v>104.3</v>
      </c>
      <c r="D275" s="1887">
        <v>92.7</v>
      </c>
      <c r="E275" s="1887">
        <v>21010</v>
      </c>
      <c r="F275" s="1887">
        <v>107.7</v>
      </c>
      <c r="G275" s="1887">
        <v>5230.3999999999996</v>
      </c>
      <c r="H275" s="1887">
        <v>111.8</v>
      </c>
      <c r="I275" s="1887">
        <v>24579.9</v>
      </c>
      <c r="J275" s="1887">
        <v>104.3</v>
      </c>
      <c r="K275" s="1887">
        <v>1007.5</v>
      </c>
      <c r="L275" s="1887">
        <v>110.2</v>
      </c>
      <c r="M275" s="1887">
        <v>-9.9999999999994316E-2</v>
      </c>
      <c r="N275" s="1887">
        <v>-3.2987026723091617E-2</v>
      </c>
      <c r="O275" s="1887">
        <v>0.70000000000000284</v>
      </c>
    </row>
    <row r="276" spans="1:15" ht="15" customHeight="1">
      <c r="A276" s="1885" t="s">
        <v>22</v>
      </c>
      <c r="B276" s="1887">
        <v>48168</v>
      </c>
      <c r="C276" s="1887">
        <v>104.2</v>
      </c>
      <c r="D276" s="1887">
        <v>93.3</v>
      </c>
      <c r="E276" s="1887">
        <v>26889.3</v>
      </c>
      <c r="F276" s="1887">
        <v>107.2</v>
      </c>
      <c r="G276" s="1887">
        <v>6640.9</v>
      </c>
      <c r="H276" s="1887">
        <v>111</v>
      </c>
      <c r="I276" s="1887">
        <v>31899.3</v>
      </c>
      <c r="J276" s="1887">
        <v>105.3</v>
      </c>
      <c r="K276" s="1887">
        <v>1003.3</v>
      </c>
      <c r="L276" s="1887">
        <v>109.4</v>
      </c>
      <c r="M276" s="1887">
        <v>-8.2871100000005526E-2</v>
      </c>
      <c r="N276" s="1887">
        <v>0.25853956578119153</v>
      </c>
      <c r="O276" s="1887">
        <v>0.61863010000000429</v>
      </c>
    </row>
    <row r="277" spans="1:15" ht="15" customHeight="1">
      <c r="A277" s="1885" t="s">
        <v>23</v>
      </c>
      <c r="B277" s="1887">
        <v>59520.4</v>
      </c>
      <c r="C277" s="1887">
        <v>104.3</v>
      </c>
      <c r="D277" s="1887">
        <v>94.4</v>
      </c>
      <c r="E277" s="1887">
        <v>33997.599999999999</v>
      </c>
      <c r="F277" s="1887">
        <v>106.8</v>
      </c>
      <c r="G277" s="1887">
        <v>7984.4</v>
      </c>
      <c r="H277" s="1887">
        <v>109.4</v>
      </c>
      <c r="I277" s="1887">
        <v>39881.199999999997</v>
      </c>
      <c r="J277" s="1887">
        <v>105.3</v>
      </c>
      <c r="K277" s="1887">
        <v>1002.8</v>
      </c>
      <c r="L277" s="1887">
        <v>108.8</v>
      </c>
      <c r="M277" s="1887">
        <v>-8.4068999999999505E-2</v>
      </c>
      <c r="N277" s="1887">
        <v>1.0840183760154218</v>
      </c>
      <c r="O277" s="1887">
        <v>0.69589799999999968</v>
      </c>
    </row>
    <row r="278" spans="1:15" ht="15" customHeight="1">
      <c r="A278" s="1885" t="s">
        <v>24</v>
      </c>
      <c r="B278" s="1887">
        <v>70544</v>
      </c>
      <c r="C278" s="1887">
        <v>104.5</v>
      </c>
      <c r="D278" s="1887">
        <v>96</v>
      </c>
      <c r="E278" s="1887">
        <v>40081.1</v>
      </c>
      <c r="F278" s="1887">
        <v>106.599999999999</v>
      </c>
      <c r="G278" s="1887">
        <v>9438.7000000000007</v>
      </c>
      <c r="H278" s="1887">
        <v>102</v>
      </c>
      <c r="I278" s="1887">
        <v>47138.9</v>
      </c>
      <c r="J278" s="1887">
        <v>105.8</v>
      </c>
      <c r="K278" s="1887">
        <v>1002.4</v>
      </c>
      <c r="L278" s="1887">
        <v>108.3</v>
      </c>
      <c r="M278" s="1887">
        <v>0.90000000000000568</v>
      </c>
      <c r="N278" s="1887">
        <v>2.6645719185794974</v>
      </c>
      <c r="O278" s="1887">
        <v>1</v>
      </c>
    </row>
    <row r="279" spans="1:15" ht="15" customHeight="1">
      <c r="A279" s="1885" t="s">
        <v>25</v>
      </c>
      <c r="B279" s="1887">
        <v>80960.3</v>
      </c>
      <c r="C279" s="1887">
        <v>104.3</v>
      </c>
      <c r="D279" s="1887">
        <v>96.8</v>
      </c>
      <c r="E279" s="1887">
        <v>46287.7</v>
      </c>
      <c r="F279" s="1887">
        <v>106.9</v>
      </c>
      <c r="G279" s="1887">
        <v>11216.9</v>
      </c>
      <c r="H279" s="1887">
        <v>101.7</v>
      </c>
      <c r="I279" s="1887">
        <v>53947.199999999997</v>
      </c>
      <c r="J279" s="1887">
        <v>106.1</v>
      </c>
      <c r="K279" s="1887">
        <v>997.1</v>
      </c>
      <c r="L279" s="1887">
        <v>108</v>
      </c>
      <c r="M279" s="1887">
        <v>0.42996990000000324</v>
      </c>
      <c r="N279" s="1887">
        <v>3.5236304967105383</v>
      </c>
      <c r="O279" s="1887">
        <v>1.2893272999999965</v>
      </c>
    </row>
    <row r="280" spans="1:15" ht="15" customHeight="1">
      <c r="A280" s="1885" t="s">
        <v>26</v>
      </c>
      <c r="B280" s="1887">
        <v>92829.5</v>
      </c>
      <c r="C280" s="1887">
        <v>104.7</v>
      </c>
      <c r="D280" s="1887">
        <v>96.9</v>
      </c>
      <c r="E280" s="1887">
        <v>53758.5</v>
      </c>
      <c r="F280" s="1887">
        <v>107</v>
      </c>
      <c r="G280" s="1887">
        <v>12711.1</v>
      </c>
      <c r="H280" s="1887">
        <v>96.1</v>
      </c>
      <c r="I280" s="1887">
        <v>61587</v>
      </c>
      <c r="J280" s="1887">
        <v>106.1</v>
      </c>
      <c r="K280" s="1887">
        <v>993</v>
      </c>
      <c r="L280" s="1887">
        <v>108</v>
      </c>
      <c r="M280" s="1887">
        <v>0.29681469999999877</v>
      </c>
      <c r="N280" s="1887">
        <v>3.510610863293536</v>
      </c>
      <c r="O280" s="1887">
        <v>1.5341776000000067</v>
      </c>
    </row>
    <row r="281" spans="1:15" ht="15" customHeight="1">
      <c r="A281" s="1885" t="s">
        <v>27</v>
      </c>
      <c r="B281" s="1887">
        <v>103495.8</v>
      </c>
      <c r="C281" s="1887">
        <v>104.9</v>
      </c>
      <c r="D281" s="1887">
        <v>97.4</v>
      </c>
      <c r="E281" s="1887">
        <v>60173</v>
      </c>
      <c r="F281" s="1887">
        <v>106.7</v>
      </c>
      <c r="G281" s="1887">
        <v>14391.1</v>
      </c>
      <c r="H281" s="1887">
        <v>95.6</v>
      </c>
      <c r="I281" s="1887">
        <v>68097.2</v>
      </c>
      <c r="J281" s="1887">
        <v>105.8</v>
      </c>
      <c r="K281" s="1887">
        <v>993.2</v>
      </c>
      <c r="L281" s="1887">
        <v>107.8</v>
      </c>
      <c r="M281" s="1887">
        <v>0.32893629999999519</v>
      </c>
      <c r="N281" s="1887">
        <v>3.4284604969259931</v>
      </c>
      <c r="O281" s="1887">
        <v>1.722911400000001</v>
      </c>
    </row>
    <row r="282" spans="1:15" ht="15" customHeight="1">
      <c r="A282" s="1885" t="s">
        <v>28</v>
      </c>
      <c r="B282" s="1887">
        <v>113282.4</v>
      </c>
      <c r="C282" s="1887">
        <v>104.1</v>
      </c>
      <c r="D282" s="1887">
        <v>98.1</v>
      </c>
      <c r="E282" s="1887">
        <v>65868.100000000006</v>
      </c>
      <c r="F282" s="1887">
        <v>106.3</v>
      </c>
      <c r="G282" s="1887">
        <v>15910.3</v>
      </c>
      <c r="H282" s="1887">
        <v>96.2</v>
      </c>
      <c r="I282" s="1887">
        <v>74670.8</v>
      </c>
      <c r="J282" s="1887">
        <v>106.3</v>
      </c>
      <c r="K282" s="1887">
        <v>996.8</v>
      </c>
      <c r="L282" s="1887">
        <v>108</v>
      </c>
      <c r="M282" s="1887">
        <v>0.72697360000000799</v>
      </c>
      <c r="N282" s="1887">
        <v>4.3756947072530465</v>
      </c>
      <c r="O282" s="1887">
        <v>1.9628936999999951</v>
      </c>
    </row>
    <row r="283" spans="1:15" ht="15" customHeight="1">
      <c r="A283" s="1885" t="s">
        <v>29</v>
      </c>
      <c r="B283" s="1887">
        <v>126337</v>
      </c>
      <c r="C283" s="1887">
        <v>104.1</v>
      </c>
      <c r="D283" s="1887">
        <v>98.6</v>
      </c>
      <c r="E283" s="1887">
        <v>75335.8</v>
      </c>
      <c r="F283" s="1887">
        <v>106.1</v>
      </c>
      <c r="G283" s="1887">
        <v>21435.1</v>
      </c>
      <c r="H283" s="1887">
        <v>99.3</v>
      </c>
      <c r="I283" s="1887">
        <v>83093.399999999994</v>
      </c>
      <c r="J283" s="1887">
        <v>106.4</v>
      </c>
      <c r="K283" s="1887">
        <v>1009.2</v>
      </c>
      <c r="L283" s="1887">
        <v>108.1</v>
      </c>
      <c r="M283" s="1887">
        <v>1.0387630999999971</v>
      </c>
      <c r="N283" s="1887">
        <v>4.9344123838892529</v>
      </c>
      <c r="O283" s="1887">
        <v>2.2105434000000059</v>
      </c>
    </row>
    <row r="284" spans="1:15" ht="15" customHeight="1">
      <c r="A284" s="1885" t="s">
        <v>4222</v>
      </c>
      <c r="B284" s="1887"/>
      <c r="C284" s="1887"/>
      <c r="D284" s="1887"/>
      <c r="E284" s="1887"/>
      <c r="F284" s="1887"/>
      <c r="G284" s="1887"/>
      <c r="H284" s="1887"/>
      <c r="I284" s="1887"/>
      <c r="J284" s="1887"/>
      <c r="K284" s="1887"/>
      <c r="L284" s="1887"/>
      <c r="M284" s="1887"/>
      <c r="N284" s="1887"/>
      <c r="O284" s="1887"/>
    </row>
    <row r="285" spans="1:15" ht="15" customHeight="1">
      <c r="A285" s="1885" t="s">
        <v>18</v>
      </c>
      <c r="B285" s="1887">
        <v>9430.2000000000007</v>
      </c>
      <c r="C285" s="1887">
        <v>99.1</v>
      </c>
      <c r="D285" s="1887">
        <v>103.7</v>
      </c>
      <c r="E285" s="1887">
        <v>5250.8</v>
      </c>
      <c r="F285" s="1887">
        <v>101</v>
      </c>
      <c r="G285" s="1887">
        <v>787</v>
      </c>
      <c r="H285" s="1887">
        <v>50</v>
      </c>
      <c r="I285" s="1887">
        <v>5967.8</v>
      </c>
      <c r="J285" s="1887">
        <v>106.2</v>
      </c>
      <c r="K285" s="1887">
        <v>1062.9000000000001</v>
      </c>
      <c r="L285" s="1887">
        <v>112.8</v>
      </c>
      <c r="M285" s="1887">
        <v>1</v>
      </c>
      <c r="N285" s="1887">
        <v>5.4</v>
      </c>
      <c r="O285" s="1887">
        <v>5.4</v>
      </c>
    </row>
    <row r="286" spans="1:15" ht="15" customHeight="1">
      <c r="A286" s="1885" t="s">
        <v>19</v>
      </c>
      <c r="B286" s="1887">
        <v>19072.2</v>
      </c>
      <c r="C286" s="1887">
        <v>100.2</v>
      </c>
      <c r="D286" s="1887">
        <v>103.7</v>
      </c>
      <c r="E286" s="1887">
        <v>10868</v>
      </c>
      <c r="F286" s="1887">
        <v>101.7</v>
      </c>
      <c r="G286" s="1887">
        <v>2008.9</v>
      </c>
      <c r="H286" s="1887">
        <v>75.2</v>
      </c>
      <c r="I286" s="1887">
        <v>11907.1</v>
      </c>
      <c r="J286" s="1887">
        <v>106.4</v>
      </c>
      <c r="K286" s="1887">
        <v>1043.5999999999999</v>
      </c>
      <c r="L286" s="1887">
        <v>110.2</v>
      </c>
      <c r="M286" s="1887">
        <v>0.70159979999999678</v>
      </c>
      <c r="N286" s="1887">
        <v>5.4518591965788232</v>
      </c>
      <c r="O286" s="1887">
        <v>5.4170976000000053</v>
      </c>
    </row>
    <row r="287" spans="1:15" ht="15" customHeight="1">
      <c r="A287" s="1885" t="s">
        <v>20</v>
      </c>
      <c r="B287" s="1887">
        <v>29892.9</v>
      </c>
      <c r="C287" s="1887">
        <v>100.3</v>
      </c>
      <c r="D287" s="1887">
        <v>103</v>
      </c>
      <c r="E287" s="1887">
        <v>17369.900000000001</v>
      </c>
      <c r="F287" s="1887">
        <v>102.5</v>
      </c>
      <c r="G287" s="1887">
        <v>3467.7</v>
      </c>
      <c r="H287" s="1887">
        <v>89.9</v>
      </c>
      <c r="I287" s="1887">
        <v>20690.7</v>
      </c>
      <c r="J287" s="1887">
        <v>106.6</v>
      </c>
      <c r="K287" s="1887">
        <v>1083.8</v>
      </c>
      <c r="L287" s="1887">
        <v>110</v>
      </c>
      <c r="M287" s="1887">
        <v>0.63890920000000051</v>
      </c>
      <c r="N287" s="1887">
        <v>5.8841910123317689</v>
      </c>
      <c r="O287" s="1887">
        <v>5.5728844000000066</v>
      </c>
    </row>
    <row r="288" spans="1:15" ht="15" customHeight="1">
      <c r="A288" s="1885" t="s">
        <v>21</v>
      </c>
      <c r="B288" s="1887">
        <v>39305.800000000003</v>
      </c>
      <c r="C288" s="1887">
        <v>100.9</v>
      </c>
      <c r="D288" s="1887">
        <v>102.8</v>
      </c>
      <c r="E288" s="1887">
        <v>22970.3</v>
      </c>
      <c r="F288" s="1887">
        <v>103.3</v>
      </c>
      <c r="G288" s="1887">
        <v>5069.3</v>
      </c>
      <c r="H288" s="1887">
        <v>95.4</v>
      </c>
      <c r="I288" s="1887">
        <v>26277.599999999999</v>
      </c>
      <c r="J288" s="1887">
        <v>106.9</v>
      </c>
      <c r="K288" s="1887">
        <v>1100.5999999999999</v>
      </c>
      <c r="L288" s="1887">
        <v>109.2</v>
      </c>
      <c r="M288" s="1887">
        <v>0.31185290000000521</v>
      </c>
      <c r="N288" s="1887">
        <v>6.3310038483046043</v>
      </c>
      <c r="O288" s="1887">
        <v>5.7624157999999994</v>
      </c>
    </row>
    <row r="289" spans="1:15" ht="15" customHeight="1">
      <c r="A289" s="1890" t="s">
        <v>22</v>
      </c>
      <c r="B289" s="1891">
        <v>50099.5</v>
      </c>
      <c r="C289" s="1891">
        <v>101.5</v>
      </c>
      <c r="D289" s="1243">
        <v>102.5</v>
      </c>
      <c r="E289" s="1891">
        <v>29688.3</v>
      </c>
      <c r="F289" s="1891">
        <v>103.9</v>
      </c>
      <c r="G289" s="1891">
        <v>6694.6</v>
      </c>
      <c r="H289" s="1891">
        <v>99.2</v>
      </c>
      <c r="I289" s="1891">
        <v>34104</v>
      </c>
      <c r="J289" s="1891">
        <v>106.9</v>
      </c>
      <c r="K289" s="1891" t="s">
        <v>93</v>
      </c>
      <c r="L289" s="1891" t="s">
        <v>93</v>
      </c>
      <c r="M289" s="1891">
        <v>-7.3078199999997651E-2</v>
      </c>
      <c r="N289" s="1891">
        <v>6.3414253736131059</v>
      </c>
      <c r="O289" s="1891">
        <v>5.8780301000000037</v>
      </c>
    </row>
    <row r="290" spans="1:15" s="1892" customFormat="1" ht="11.25" customHeight="1">
      <c r="A290" s="2224" t="s">
        <v>2811</v>
      </c>
      <c r="B290" s="2224"/>
      <c r="C290" s="2224"/>
      <c r="D290" s="2224"/>
      <c r="E290" s="2224"/>
      <c r="F290" s="2224"/>
      <c r="G290" s="2224"/>
      <c r="H290" s="2224"/>
      <c r="I290" s="2224"/>
      <c r="J290" s="2224"/>
      <c r="K290" s="2224"/>
      <c r="L290" s="2224"/>
      <c r="M290" s="2224"/>
      <c r="N290" s="2224"/>
      <c r="O290" s="2224"/>
    </row>
    <row r="291" spans="1:15" s="1892" customFormat="1" ht="11.25" customHeight="1">
      <c r="A291" s="2225" t="s">
        <v>2810</v>
      </c>
      <c r="B291" s="2225"/>
      <c r="C291" s="2225"/>
      <c r="D291" s="2225"/>
      <c r="E291" s="2225"/>
      <c r="F291" s="2225"/>
      <c r="G291" s="2225"/>
      <c r="H291" s="2225"/>
      <c r="I291" s="2225"/>
      <c r="J291" s="2225"/>
      <c r="K291" s="2225"/>
      <c r="L291" s="2225"/>
      <c r="M291" s="2225"/>
      <c r="N291" s="2225"/>
      <c r="O291" s="2225"/>
    </row>
    <row r="292" spans="1:15">
      <c r="A292" s="1893"/>
      <c r="B292" s="1893"/>
      <c r="C292" s="1893"/>
      <c r="D292" s="1893"/>
      <c r="E292" s="1893"/>
      <c r="F292" s="1893"/>
      <c r="G292" s="1893"/>
      <c r="H292" s="1893"/>
      <c r="I292" s="1893"/>
      <c r="J292" s="1893"/>
      <c r="K292" s="1893"/>
      <c r="L292" s="1893"/>
      <c r="M292" s="1893"/>
      <c r="N292" s="1893"/>
      <c r="O292" s="1893"/>
    </row>
    <row r="293" spans="1:15">
      <c r="D293" s="1894"/>
    </row>
    <row r="294" spans="1:15" ht="15.75" customHeight="1">
      <c r="E294" s="503"/>
      <c r="F294" s="503"/>
    </row>
  </sheetData>
  <mergeCells count="38">
    <mergeCell ref="A290:O290"/>
    <mergeCell ref="A291:O291"/>
    <mergeCell ref="K9:L9"/>
    <mergeCell ref="M9:O9"/>
    <mergeCell ref="C10:C11"/>
    <mergeCell ref="F10:F11"/>
    <mergeCell ref="H10:H11"/>
    <mergeCell ref="J10:J11"/>
    <mergeCell ref="L10:L11"/>
    <mergeCell ref="M10:M11"/>
    <mergeCell ref="N10:N11"/>
    <mergeCell ref="O10:O11"/>
    <mergeCell ref="A9:A11"/>
    <mergeCell ref="B9:C9"/>
    <mergeCell ref="D9:D11"/>
    <mergeCell ref="E9:F9"/>
    <mergeCell ref="G9:H9"/>
    <mergeCell ref="I9:J9"/>
    <mergeCell ref="K6:L6"/>
    <mergeCell ref="M6:O6"/>
    <mergeCell ref="C7:C8"/>
    <mergeCell ref="F7:F8"/>
    <mergeCell ref="H7:H8"/>
    <mergeCell ref="J7:J8"/>
    <mergeCell ref="L7:L8"/>
    <mergeCell ref="M7:M8"/>
    <mergeCell ref="N7:N8"/>
    <mergeCell ref="O7:O8"/>
    <mergeCell ref="A1:O1"/>
    <mergeCell ref="A2:O2"/>
    <mergeCell ref="A3:O3"/>
    <mergeCell ref="A5:O5"/>
    <mergeCell ref="A6:A8"/>
    <mergeCell ref="B6:C6"/>
    <mergeCell ref="D6:D8"/>
    <mergeCell ref="E6:F6"/>
    <mergeCell ref="G6:H6"/>
    <mergeCell ref="I6:J6"/>
  </mergeCells>
  <pageMargins left="0.7" right="0.7" top="0.31" bottom="0.75" header="0.3" footer="0.3"/>
  <pageSetup paperSize="9" scale="28"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92D050"/>
  </sheetPr>
  <dimension ref="A1:XFD25"/>
  <sheetViews>
    <sheetView showGridLines="0" view="pageBreakPreview" zoomScale="85" zoomScaleNormal="85" zoomScaleSheetLayoutView="85" workbookViewId="0">
      <pane ySplit="8" topLeftCell="A9" activePane="bottomLeft" state="frozen"/>
      <selection activeCell="B39" sqref="B39"/>
      <selection pane="bottomLeft" activeCell="H20" sqref="H20"/>
    </sheetView>
  </sheetViews>
  <sheetFormatPr defaultColWidth="27" defaultRowHeight="15"/>
  <cols>
    <col min="1" max="1" width="68.7109375" style="15" customWidth="1"/>
    <col min="2" max="4" width="27.7109375" style="497" customWidth="1"/>
    <col min="5" max="5" width="5.140625" style="15" customWidth="1"/>
    <col min="6" max="200" width="4" style="15" customWidth="1"/>
    <col min="201" max="201" width="0" style="15" hidden="1" customWidth="1"/>
    <col min="202" max="202" width="56" style="15" bestFit="1" customWidth="1"/>
    <col min="203" max="203" width="29.140625" style="15" customWidth="1"/>
    <col min="204" max="205" width="0" style="15" hidden="1" customWidth="1"/>
    <col min="206" max="16384" width="27" style="15"/>
  </cols>
  <sheetData>
    <row r="1" spans="1:197" ht="9" customHeight="1">
      <c r="A1" s="2242"/>
      <c r="B1" s="2242"/>
      <c r="C1" s="2242"/>
      <c r="D1" s="2242"/>
    </row>
    <row r="2" spans="1:197" ht="24.75" customHeight="1">
      <c r="A2" s="2243" t="s">
        <v>2809</v>
      </c>
      <c r="B2" s="2243"/>
      <c r="C2" s="2243"/>
      <c r="D2" s="2243"/>
    </row>
    <row r="3" spans="1:197" ht="29.25" customHeight="1">
      <c r="A3" s="2244" t="s">
        <v>3672</v>
      </c>
      <c r="B3" s="2245"/>
      <c r="C3" s="2245"/>
      <c r="D3" s="2245"/>
    </row>
    <row r="4" spans="1:197" ht="14.25" customHeight="1">
      <c r="A4" s="529"/>
      <c r="B4" s="530"/>
      <c r="C4" s="530"/>
      <c r="D4" s="530"/>
    </row>
    <row r="5" spans="1:197" ht="14.25" customHeight="1">
      <c r="A5" s="938"/>
      <c r="B5" s="937"/>
      <c r="C5" s="937"/>
      <c r="D5" s="937"/>
    </row>
    <row r="6" spans="1:197" s="932" customFormat="1" ht="24.75" customHeight="1">
      <c r="A6" s="2246"/>
      <c r="B6" s="936" t="s">
        <v>2556</v>
      </c>
      <c r="C6" s="936" t="s">
        <v>3905</v>
      </c>
      <c r="D6" s="935" t="s">
        <v>2557</v>
      </c>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304"/>
      <c r="CB6" s="328"/>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row>
    <row r="7" spans="1:197" s="932" customFormat="1" ht="24.75" customHeight="1">
      <c r="A7" s="2247"/>
      <c r="B7" s="934" t="s">
        <v>2558</v>
      </c>
      <c r="C7" s="934" t="s">
        <v>3906</v>
      </c>
      <c r="D7" s="933" t="s">
        <v>2559</v>
      </c>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304"/>
      <c r="CB7" s="328"/>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row>
    <row r="8" spans="1:197" s="932" customFormat="1" ht="24.75" customHeight="1">
      <c r="A8" s="2248"/>
      <c r="B8" s="2249" t="s">
        <v>4285</v>
      </c>
      <c r="C8" s="2250"/>
      <c r="D8" s="2251"/>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329"/>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row>
    <row r="9" spans="1:197" s="927" customFormat="1" ht="43.5" customHeight="1">
      <c r="A9" s="498" t="s">
        <v>4312</v>
      </c>
      <c r="B9" s="931">
        <v>-7.3078199999997651E-2</v>
      </c>
      <c r="C9" s="1487">
        <v>6.3414253736131059</v>
      </c>
      <c r="D9" s="930">
        <v>5.8780301000000037</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330"/>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c r="FI9" s="17"/>
      <c r="FJ9" s="17"/>
      <c r="FK9" s="17"/>
      <c r="FL9" s="17"/>
      <c r="FM9" s="17"/>
      <c r="FN9" s="17"/>
      <c r="FO9" s="17"/>
      <c r="FP9" s="17"/>
      <c r="FQ9" s="17"/>
      <c r="FR9" s="17"/>
      <c r="FS9" s="17"/>
      <c r="FT9" s="17"/>
      <c r="FU9" s="17"/>
      <c r="FV9" s="17"/>
      <c r="FW9" s="17"/>
      <c r="FX9" s="17"/>
      <c r="FY9" s="17"/>
      <c r="FZ9" s="17"/>
      <c r="GA9" s="17"/>
      <c r="GB9" s="17"/>
      <c r="GC9" s="17"/>
      <c r="GD9" s="17"/>
      <c r="GE9" s="17"/>
      <c r="GF9" s="17"/>
      <c r="GG9" s="17"/>
      <c r="GH9" s="17"/>
      <c r="GI9" s="17"/>
      <c r="GJ9" s="17"/>
      <c r="GK9" s="17"/>
      <c r="GL9" s="17"/>
      <c r="GM9" s="17"/>
      <c r="GN9" s="17"/>
      <c r="GO9" s="17"/>
    </row>
    <row r="10" spans="1:197" s="927" customFormat="1" ht="18.75" customHeight="1">
      <c r="A10" s="2237" t="s">
        <v>1204</v>
      </c>
      <c r="B10" s="2238"/>
      <c r="C10" s="2238"/>
      <c r="D10" s="2239"/>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330"/>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c r="EJ10" s="17"/>
      <c r="EK10" s="17"/>
      <c r="EL10" s="17"/>
      <c r="EM10" s="17"/>
      <c r="EN10" s="17"/>
      <c r="EO10" s="17"/>
      <c r="EP10" s="17"/>
      <c r="EQ10" s="17"/>
      <c r="ER10" s="17"/>
      <c r="ES10" s="17"/>
      <c r="ET10" s="17"/>
      <c r="EU10" s="17"/>
      <c r="EV10" s="17"/>
      <c r="EW10" s="17"/>
      <c r="EX10" s="17"/>
      <c r="EY10" s="17"/>
      <c r="EZ10" s="17"/>
      <c r="FA10" s="17"/>
      <c r="FB10" s="17"/>
      <c r="FC10" s="17"/>
      <c r="FD10" s="17"/>
      <c r="FE10" s="17"/>
      <c r="FF10" s="17"/>
      <c r="FG10" s="17"/>
      <c r="FH10" s="17"/>
      <c r="FI10" s="17"/>
      <c r="FJ10" s="17"/>
      <c r="FK10" s="17"/>
      <c r="FL10" s="17"/>
      <c r="FM10" s="17"/>
      <c r="FN10" s="17"/>
      <c r="FO10" s="17"/>
      <c r="FP10" s="17"/>
      <c r="FQ10" s="17"/>
      <c r="FR10" s="17"/>
      <c r="FS10" s="17"/>
      <c r="FT10" s="17"/>
      <c r="FU10" s="17"/>
      <c r="FV10" s="17"/>
      <c r="FW10" s="17"/>
      <c r="FX10" s="17"/>
      <c r="FY10" s="17"/>
      <c r="FZ10" s="17"/>
      <c r="GA10" s="17"/>
      <c r="GB10" s="17"/>
      <c r="GC10" s="17"/>
      <c r="GD10" s="17"/>
      <c r="GE10" s="17"/>
      <c r="GF10" s="17"/>
      <c r="GG10" s="17"/>
      <c r="GH10" s="17"/>
      <c r="GI10" s="17"/>
      <c r="GJ10" s="17"/>
      <c r="GK10" s="17"/>
      <c r="GL10" s="17"/>
      <c r="GM10" s="17"/>
      <c r="GN10" s="17"/>
      <c r="GO10" s="17"/>
    </row>
    <row r="11" spans="1:197" s="927" customFormat="1" ht="38.25" customHeight="1">
      <c r="A11" s="499" t="s">
        <v>4302</v>
      </c>
      <c r="B11" s="929">
        <v>-0.44811099999999726</v>
      </c>
      <c r="C11" s="1488">
        <v>7.8406673075691344</v>
      </c>
      <c r="D11" s="928">
        <v>6.5250015000000019</v>
      </c>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330"/>
      <c r="CC11" s="17"/>
      <c r="CD11" s="17"/>
      <c r="CE11" s="17"/>
      <c r="CF11" s="17"/>
      <c r="CG11" s="17"/>
      <c r="CH11" s="17"/>
      <c r="CI11" s="17"/>
      <c r="CJ11" s="17"/>
      <c r="CK11" s="17"/>
      <c r="CL11" s="17"/>
      <c r="CM11" s="17"/>
      <c r="CN11" s="17"/>
      <c r="CO11" s="17"/>
      <c r="CP11" s="17"/>
      <c r="CQ11" s="17"/>
      <c r="CR11" s="17"/>
      <c r="CS11" s="17"/>
      <c r="CT11" s="17"/>
      <c r="CU11" s="17"/>
      <c r="CV11" s="17"/>
      <c r="CW11" s="17"/>
      <c r="CX11" s="17"/>
      <c r="CY11" s="17"/>
      <c r="CZ11" s="17"/>
      <c r="DA11" s="17"/>
      <c r="DB11" s="17"/>
      <c r="DC11" s="17"/>
      <c r="DD11" s="17"/>
      <c r="DE11" s="17"/>
      <c r="DF11" s="17"/>
      <c r="DG11" s="17"/>
      <c r="DH11" s="17"/>
      <c r="DI11" s="17"/>
      <c r="DJ11" s="17"/>
      <c r="DK11" s="17"/>
      <c r="DL11" s="17"/>
      <c r="DM11" s="17"/>
      <c r="DN11" s="17"/>
      <c r="DO11" s="17"/>
      <c r="DP11" s="17"/>
      <c r="DQ11" s="17"/>
      <c r="DR11" s="17"/>
      <c r="DS11" s="17"/>
      <c r="DT11" s="17"/>
      <c r="DU11" s="17"/>
      <c r="DV11" s="17"/>
      <c r="DW11" s="17"/>
      <c r="DX11" s="17"/>
      <c r="DY11" s="17"/>
      <c r="DZ11" s="17"/>
      <c r="EA11" s="17"/>
      <c r="EB11" s="17"/>
      <c r="EC11" s="17"/>
      <c r="ED11" s="17"/>
      <c r="EE11" s="17"/>
      <c r="EF11" s="17"/>
      <c r="EG11" s="17"/>
      <c r="EH11" s="17"/>
      <c r="EI11" s="17"/>
      <c r="EJ11" s="17"/>
      <c r="EK11" s="17"/>
      <c r="EL11" s="17"/>
      <c r="EM11" s="17"/>
      <c r="EN11" s="17"/>
      <c r="EO11" s="17"/>
      <c r="EP11" s="17"/>
      <c r="EQ11" s="17"/>
      <c r="ER11" s="17"/>
      <c r="ES11" s="17"/>
      <c r="ET11" s="17"/>
      <c r="EU11" s="17"/>
      <c r="EV11" s="17"/>
      <c r="EW11" s="17"/>
      <c r="EX11" s="17"/>
      <c r="EY11" s="17"/>
      <c r="EZ11" s="17"/>
      <c r="FA11" s="17"/>
      <c r="FB11" s="17"/>
      <c r="FC11" s="17"/>
      <c r="FD11" s="17"/>
      <c r="FE11" s="17"/>
      <c r="FF11" s="17"/>
      <c r="FG11" s="17"/>
      <c r="FH11" s="17"/>
      <c r="FI11" s="17"/>
      <c r="FJ11" s="17"/>
      <c r="FK11" s="17"/>
      <c r="FL11" s="17"/>
      <c r="FM11" s="17"/>
      <c r="FN11" s="17"/>
      <c r="FO11" s="17"/>
      <c r="FP11" s="17"/>
      <c r="FQ11" s="17"/>
      <c r="FR11" s="17"/>
      <c r="FS11" s="17"/>
      <c r="FT11" s="17"/>
      <c r="FU11" s="17"/>
      <c r="FV11" s="17"/>
      <c r="FW11" s="17"/>
      <c r="FX11" s="17"/>
      <c r="FY11" s="17"/>
      <c r="FZ11" s="17"/>
      <c r="GA11" s="17"/>
      <c r="GB11" s="17"/>
      <c r="GC11" s="17"/>
      <c r="GD11" s="17"/>
      <c r="GE11" s="17"/>
      <c r="GF11" s="17"/>
      <c r="GG11" s="17"/>
      <c r="GH11" s="17"/>
      <c r="GI11" s="17"/>
      <c r="GJ11" s="17"/>
      <c r="GK11" s="17"/>
      <c r="GL11" s="17"/>
      <c r="GM11" s="17"/>
      <c r="GN11" s="17"/>
      <c r="GO11" s="17"/>
    </row>
    <row r="12" spans="1:197" s="927" customFormat="1" ht="38.25" customHeight="1">
      <c r="A12" s="499" t="s">
        <v>4306</v>
      </c>
      <c r="B12" s="929">
        <v>0.21933319999999412</v>
      </c>
      <c r="C12" s="1488">
        <v>5.1722044961374678</v>
      </c>
      <c r="D12" s="928">
        <v>5.3539915000000065</v>
      </c>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330"/>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c r="EX12" s="17"/>
      <c r="EY12" s="17"/>
      <c r="EZ12" s="17"/>
      <c r="FA12" s="17"/>
      <c r="FB12" s="17"/>
      <c r="FC12" s="17"/>
      <c r="FD12" s="17"/>
      <c r="FE12" s="17"/>
      <c r="FF12" s="17"/>
      <c r="FG12" s="17"/>
      <c r="FH12" s="17"/>
      <c r="FI12" s="17"/>
      <c r="FJ12" s="17"/>
      <c r="FK12" s="17"/>
      <c r="FL12" s="17"/>
      <c r="FM12" s="17"/>
      <c r="FN12" s="17"/>
      <c r="FO12" s="17"/>
      <c r="FP12" s="17"/>
      <c r="FQ12" s="17"/>
      <c r="FR12" s="17"/>
      <c r="FS12" s="17"/>
      <c r="FT12" s="17"/>
      <c r="FU12" s="17"/>
      <c r="FV12" s="17"/>
      <c r="FW12" s="17"/>
      <c r="FX12" s="17"/>
      <c r="FY12" s="17"/>
      <c r="FZ12" s="17"/>
      <c r="GA12" s="17"/>
      <c r="GB12" s="17"/>
      <c r="GC12" s="17"/>
      <c r="GD12" s="17"/>
      <c r="GE12" s="17"/>
      <c r="GF12" s="17"/>
      <c r="GG12" s="17"/>
      <c r="GH12" s="17"/>
      <c r="GI12" s="17"/>
      <c r="GJ12" s="17"/>
      <c r="GK12" s="17"/>
      <c r="GL12" s="17"/>
      <c r="GM12" s="17"/>
      <c r="GN12" s="17"/>
      <c r="GO12" s="17"/>
    </row>
    <row r="13" spans="1:197" s="927" customFormat="1" ht="38.25" customHeight="1">
      <c r="A13" s="499" t="s">
        <v>4304</v>
      </c>
      <c r="B13" s="929">
        <v>0.21921840000000259</v>
      </c>
      <c r="C13" s="1488">
        <v>2.7260366629345611</v>
      </c>
      <c r="D13" s="928">
        <v>2.7188186000000059</v>
      </c>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330"/>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c r="EY13" s="17"/>
      <c r="EZ13" s="17"/>
      <c r="FA13" s="17"/>
      <c r="FB13" s="17"/>
      <c r="FC13" s="17"/>
      <c r="FD13" s="17"/>
      <c r="FE13" s="17"/>
      <c r="FF13" s="17"/>
      <c r="FG13" s="17"/>
      <c r="FH13" s="17"/>
      <c r="FI13" s="17"/>
      <c r="FJ13" s="17"/>
      <c r="FK13" s="17"/>
      <c r="FL13" s="17"/>
      <c r="FM13" s="17"/>
      <c r="FN13" s="17"/>
      <c r="FO13" s="17"/>
      <c r="FP13" s="17"/>
      <c r="FQ13" s="17"/>
      <c r="FR13" s="17"/>
      <c r="FS13" s="17"/>
      <c r="FT13" s="17"/>
      <c r="FU13" s="17"/>
      <c r="FV13" s="17"/>
      <c r="FW13" s="17"/>
      <c r="FX13" s="17"/>
      <c r="FY13" s="17"/>
      <c r="FZ13" s="17"/>
      <c r="GA13" s="17"/>
      <c r="GB13" s="17"/>
      <c r="GC13" s="17"/>
      <c r="GD13" s="17"/>
      <c r="GE13" s="17"/>
      <c r="GF13" s="17"/>
      <c r="GG13" s="17"/>
      <c r="GH13" s="17"/>
      <c r="GI13" s="17"/>
      <c r="GJ13" s="17"/>
      <c r="GK13" s="17"/>
      <c r="GL13" s="17"/>
      <c r="GM13" s="17"/>
      <c r="GN13" s="17"/>
      <c r="GO13" s="17"/>
    </row>
    <row r="14" spans="1:197" s="927" customFormat="1" ht="38.25" customHeight="1">
      <c r="A14" s="499" t="s">
        <v>4303</v>
      </c>
      <c r="B14" s="929">
        <v>-0.20124260000000049</v>
      </c>
      <c r="C14" s="1488">
        <v>5.9135684725049202</v>
      </c>
      <c r="D14" s="928">
        <v>5.0988312000000064</v>
      </c>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330"/>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17"/>
      <c r="EQ14" s="17"/>
      <c r="ER14" s="17"/>
      <c r="ES14" s="17"/>
      <c r="ET14" s="17"/>
      <c r="EU14" s="17"/>
      <c r="EV14" s="17"/>
      <c r="EW14" s="17"/>
      <c r="EX14" s="17"/>
      <c r="EY14" s="17"/>
      <c r="EZ14" s="17"/>
      <c r="FA14" s="17"/>
      <c r="FB14" s="17"/>
      <c r="FC14" s="17"/>
      <c r="FD14" s="17"/>
      <c r="FE14" s="17"/>
      <c r="FF14" s="17"/>
      <c r="FG14" s="17"/>
      <c r="FH14" s="17"/>
      <c r="FI14" s="17"/>
      <c r="FJ14" s="17"/>
      <c r="FK14" s="17"/>
      <c r="FL14" s="17"/>
      <c r="FM14" s="17"/>
      <c r="FN14" s="17"/>
      <c r="FO14" s="17"/>
      <c r="FP14" s="17"/>
      <c r="FQ14" s="17"/>
      <c r="FR14" s="17"/>
      <c r="FS14" s="17"/>
      <c r="FT14" s="17"/>
      <c r="FU14" s="17"/>
      <c r="FV14" s="17"/>
      <c r="FW14" s="17"/>
      <c r="FX14" s="17"/>
      <c r="FY14" s="17"/>
      <c r="FZ14" s="17"/>
      <c r="GA14" s="17"/>
      <c r="GB14" s="17"/>
      <c r="GC14" s="17"/>
      <c r="GD14" s="17"/>
      <c r="GE14" s="17"/>
      <c r="GF14" s="17"/>
      <c r="GG14" s="17"/>
      <c r="GH14" s="17"/>
      <c r="GI14" s="17"/>
      <c r="GJ14" s="17"/>
      <c r="GK14" s="17"/>
      <c r="GL14" s="17"/>
      <c r="GM14" s="17"/>
      <c r="GN14" s="17"/>
      <c r="GO14" s="17"/>
    </row>
    <row r="15" spans="1:197" s="927" customFormat="1" ht="38.25" customHeight="1">
      <c r="A15" s="499" t="s">
        <v>4305</v>
      </c>
      <c r="B15" s="929">
        <v>0.21943009999999674</v>
      </c>
      <c r="C15" s="1488">
        <v>7.2766413895505764</v>
      </c>
      <c r="D15" s="928">
        <v>7.6255402000000032</v>
      </c>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330"/>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17"/>
      <c r="FI15" s="17"/>
      <c r="FJ15" s="17"/>
      <c r="FK15" s="17"/>
      <c r="FL15" s="17"/>
      <c r="FM15" s="17"/>
      <c r="FN15" s="17"/>
      <c r="FO15" s="17"/>
      <c r="FP15" s="17"/>
      <c r="FQ15" s="17"/>
      <c r="FR15" s="17"/>
      <c r="FS15" s="17"/>
      <c r="FT15" s="17"/>
      <c r="FU15" s="17"/>
      <c r="FV15" s="17"/>
      <c r="FW15" s="17"/>
      <c r="FX15" s="17"/>
      <c r="FY15" s="17"/>
      <c r="FZ15" s="17"/>
      <c r="GA15" s="17"/>
      <c r="GB15" s="17"/>
      <c r="GC15" s="17"/>
      <c r="GD15" s="17"/>
      <c r="GE15" s="17"/>
      <c r="GF15" s="17"/>
      <c r="GG15" s="17"/>
      <c r="GH15" s="17"/>
      <c r="GI15" s="17"/>
      <c r="GJ15" s="17"/>
      <c r="GK15" s="17"/>
      <c r="GL15" s="17"/>
      <c r="GM15" s="17"/>
      <c r="GN15" s="17"/>
      <c r="GO15" s="17"/>
    </row>
    <row r="16" spans="1:197" s="927" customFormat="1" ht="43.5" customHeight="1">
      <c r="A16" s="965" t="s">
        <v>4313</v>
      </c>
      <c r="B16" s="931">
        <v>-5</v>
      </c>
      <c r="C16" s="1487">
        <v>-15.400000000000006</v>
      </c>
      <c r="D16" s="930">
        <v>-8.7999999999999972</v>
      </c>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330"/>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17"/>
      <c r="FG16" s="17"/>
      <c r="FH16" s="17"/>
      <c r="FI16" s="17"/>
      <c r="FJ16" s="17"/>
      <c r="FK16" s="17"/>
      <c r="FL16" s="17"/>
      <c r="FM16" s="17"/>
      <c r="FN16" s="17"/>
      <c r="FO16" s="17"/>
      <c r="FP16" s="17"/>
      <c r="FQ16" s="17"/>
      <c r="FR16" s="17"/>
      <c r="FS16" s="17"/>
      <c r="FT16" s="17"/>
      <c r="FU16" s="17"/>
      <c r="FV16" s="17"/>
      <c r="FW16" s="17"/>
      <c r="FX16" s="17"/>
      <c r="FY16" s="17"/>
      <c r="FZ16" s="17"/>
      <c r="GA16" s="17"/>
      <c r="GB16" s="17"/>
      <c r="GC16" s="17"/>
      <c r="GD16" s="17"/>
      <c r="GE16" s="17"/>
      <c r="GF16" s="17"/>
      <c r="GG16" s="17"/>
      <c r="GH16" s="17"/>
      <c r="GI16" s="17"/>
      <c r="GJ16" s="17"/>
      <c r="GK16" s="17"/>
      <c r="GL16" s="17"/>
      <c r="GM16" s="17"/>
      <c r="GN16" s="17"/>
      <c r="GO16" s="17"/>
    </row>
    <row r="17" spans="1:16384" s="927" customFormat="1" ht="18.75" customHeight="1">
      <c r="A17" s="2237" t="s">
        <v>4310</v>
      </c>
      <c r="B17" s="2238"/>
      <c r="C17" s="2238"/>
      <c r="D17" s="2239"/>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330"/>
      <c r="CC17" s="17"/>
      <c r="CD17" s="17"/>
      <c r="CE17" s="17"/>
      <c r="CF17" s="17"/>
      <c r="CG17" s="17"/>
      <c r="CH17" s="17"/>
      <c r="CI17" s="17"/>
      <c r="CJ17" s="17"/>
      <c r="CK17" s="17"/>
      <c r="CL17" s="17"/>
      <c r="CM17" s="17"/>
      <c r="CN17" s="17"/>
      <c r="CO17" s="17"/>
      <c r="CP17" s="17"/>
      <c r="CQ17" s="17"/>
      <c r="CR17" s="17"/>
      <c r="CS17" s="17"/>
      <c r="CT17" s="17"/>
      <c r="CU17" s="17"/>
      <c r="CV17" s="17"/>
      <c r="CW17" s="17"/>
      <c r="CX17" s="17"/>
      <c r="CY17" s="17"/>
      <c r="CZ17" s="17"/>
      <c r="DA17" s="17"/>
      <c r="DB17" s="17"/>
      <c r="DC17" s="17"/>
      <c r="DD17" s="17"/>
      <c r="DE17" s="17"/>
      <c r="DF17" s="17"/>
      <c r="DG17" s="17"/>
      <c r="DH17" s="17"/>
      <c r="DI17" s="17"/>
      <c r="DJ17" s="17"/>
      <c r="DK17" s="17"/>
      <c r="DL17" s="17"/>
      <c r="DM17" s="17"/>
      <c r="DN17" s="17"/>
      <c r="DO17" s="17"/>
      <c r="DP17" s="17"/>
      <c r="DQ17" s="17"/>
      <c r="DR17" s="17"/>
      <c r="DS17" s="17"/>
      <c r="DT17" s="17"/>
      <c r="DU17" s="17"/>
      <c r="DV17" s="17"/>
      <c r="DW17" s="17"/>
      <c r="DX17" s="17"/>
      <c r="DY17" s="17"/>
      <c r="DZ17" s="17"/>
      <c r="EA17" s="17"/>
      <c r="EB17" s="17"/>
      <c r="EC17" s="17"/>
      <c r="ED17" s="17"/>
      <c r="EE17" s="17"/>
      <c r="EF17" s="17"/>
      <c r="EG17" s="17"/>
      <c r="EH17" s="17"/>
      <c r="EI17" s="17"/>
      <c r="EJ17" s="17"/>
      <c r="EK17" s="17"/>
      <c r="EL17" s="17"/>
      <c r="EM17" s="17"/>
      <c r="EN17" s="17"/>
      <c r="EO17" s="17"/>
      <c r="EP17" s="17"/>
      <c r="EQ17" s="17"/>
      <c r="ER17" s="17"/>
      <c r="ES17" s="17"/>
      <c r="ET17" s="17"/>
      <c r="EU17" s="17"/>
      <c r="EV17" s="17"/>
      <c r="EW17" s="17"/>
      <c r="EX17" s="17"/>
      <c r="EY17" s="17"/>
      <c r="EZ17" s="17"/>
      <c r="FA17" s="17"/>
      <c r="FB17" s="17"/>
      <c r="FC17" s="17"/>
      <c r="FD17" s="17"/>
      <c r="FE17" s="17"/>
      <c r="FF17" s="17"/>
      <c r="FG17" s="17"/>
      <c r="FH17" s="17"/>
      <c r="FI17" s="17"/>
      <c r="FJ17" s="17"/>
      <c r="FK17" s="17"/>
      <c r="FL17" s="17"/>
      <c r="FM17" s="17"/>
      <c r="FN17" s="17"/>
      <c r="FO17" s="17"/>
      <c r="FP17" s="17"/>
      <c r="FQ17" s="17"/>
      <c r="FR17" s="17"/>
      <c r="FS17" s="17"/>
      <c r="FT17" s="17"/>
      <c r="FU17" s="17"/>
      <c r="FV17" s="17"/>
      <c r="FW17" s="17"/>
      <c r="FX17" s="17"/>
      <c r="FY17" s="17"/>
      <c r="FZ17" s="17"/>
      <c r="GA17" s="17"/>
      <c r="GB17" s="17"/>
      <c r="GC17" s="17"/>
      <c r="GD17" s="17"/>
      <c r="GE17" s="17"/>
      <c r="GF17" s="17"/>
      <c r="GG17" s="17"/>
      <c r="GH17" s="17"/>
      <c r="GI17" s="17"/>
      <c r="GJ17" s="17"/>
      <c r="GK17" s="17"/>
      <c r="GL17" s="17"/>
      <c r="GM17" s="17"/>
      <c r="GN17" s="17"/>
      <c r="GO17" s="17"/>
    </row>
    <row r="18" spans="1:16384" s="927" customFormat="1" ht="38.25" customHeight="1">
      <c r="A18" s="499" t="s">
        <v>4315</v>
      </c>
      <c r="B18" s="929">
        <v>-7</v>
      </c>
      <c r="C18" s="1488">
        <v>-22.200000000000003</v>
      </c>
      <c r="D18" s="928">
        <v>-13.5</v>
      </c>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330"/>
      <c r="CC18" s="17"/>
      <c r="CD18" s="17"/>
      <c r="CE18" s="17"/>
      <c r="CF18" s="17"/>
      <c r="CG18" s="17"/>
      <c r="CH18" s="17"/>
      <c r="CI18" s="17"/>
      <c r="CJ18" s="17"/>
      <c r="CK18" s="17"/>
      <c r="CL18" s="17"/>
      <c r="CM18" s="17"/>
      <c r="CN18" s="17"/>
      <c r="CO18" s="17"/>
      <c r="CP18" s="17"/>
      <c r="CQ18" s="17"/>
      <c r="CR18" s="17"/>
      <c r="CS18" s="17"/>
      <c r="CT18" s="17"/>
      <c r="CU18" s="17"/>
      <c r="CV18" s="17"/>
      <c r="CW18" s="17"/>
      <c r="CX18" s="17"/>
      <c r="CY18" s="17"/>
      <c r="CZ18" s="17"/>
      <c r="DA18" s="17"/>
      <c r="DB18" s="17"/>
      <c r="DC18" s="17"/>
      <c r="DD18" s="17"/>
      <c r="DE18" s="17"/>
      <c r="DF18" s="17"/>
      <c r="DG18" s="17"/>
      <c r="DH18" s="17"/>
      <c r="DI18" s="17"/>
      <c r="DJ18" s="17"/>
      <c r="DK18" s="17"/>
      <c r="DL18" s="17"/>
      <c r="DM18" s="17"/>
      <c r="DN18" s="17"/>
      <c r="DO18" s="17"/>
      <c r="DP18" s="17"/>
      <c r="DQ18" s="17"/>
      <c r="DR18" s="17"/>
      <c r="DS18" s="17"/>
      <c r="DT18" s="17"/>
      <c r="DU18" s="17"/>
      <c r="DV18" s="17"/>
      <c r="DW18" s="17"/>
      <c r="DX18" s="17"/>
      <c r="DY18" s="17"/>
      <c r="DZ18" s="17"/>
      <c r="EA18" s="17"/>
      <c r="EB18" s="17"/>
      <c r="EC18" s="17"/>
      <c r="ED18" s="17"/>
      <c r="EE18" s="17"/>
      <c r="EF18" s="17"/>
      <c r="EG18" s="17"/>
      <c r="EH18" s="17"/>
      <c r="EI18" s="17"/>
      <c r="EJ18" s="17"/>
      <c r="EK18" s="17"/>
      <c r="EL18" s="17"/>
      <c r="EM18" s="17"/>
      <c r="EN18" s="17"/>
      <c r="EO18" s="17"/>
      <c r="EP18" s="17"/>
      <c r="EQ18" s="17"/>
      <c r="ER18" s="17"/>
      <c r="ES18" s="17"/>
      <c r="ET18" s="17"/>
      <c r="EU18" s="17"/>
      <c r="EV18" s="17"/>
      <c r="EW18" s="17"/>
      <c r="EX18" s="17"/>
      <c r="EY18" s="17"/>
      <c r="EZ18" s="17"/>
      <c r="FA18" s="17"/>
      <c r="FB18" s="17"/>
      <c r="FC18" s="17"/>
      <c r="FD18" s="17"/>
      <c r="FE18" s="17"/>
      <c r="FF18" s="17"/>
      <c r="FG18" s="17"/>
      <c r="FH18" s="17"/>
      <c r="FI18" s="17"/>
      <c r="FJ18" s="17"/>
      <c r="FK18" s="17"/>
      <c r="FL18" s="17"/>
      <c r="FM18" s="17"/>
      <c r="FN18" s="17"/>
      <c r="FO18" s="17"/>
      <c r="FP18" s="17"/>
      <c r="FQ18" s="17"/>
      <c r="FR18" s="17"/>
      <c r="FS18" s="17"/>
      <c r="FT18" s="17"/>
      <c r="FU18" s="17"/>
      <c r="FV18" s="17"/>
      <c r="FW18" s="17"/>
      <c r="FX18" s="17"/>
      <c r="FY18" s="17"/>
      <c r="FZ18" s="17"/>
      <c r="GA18" s="17"/>
      <c r="GB18" s="17"/>
      <c r="GC18" s="17"/>
      <c r="GD18" s="17"/>
      <c r="GE18" s="17"/>
      <c r="GF18" s="17"/>
      <c r="GG18" s="17"/>
      <c r="GH18" s="17"/>
      <c r="GI18" s="17"/>
      <c r="GJ18" s="17"/>
      <c r="GK18" s="17"/>
      <c r="GL18" s="17"/>
      <c r="GM18" s="17"/>
      <c r="GN18" s="17"/>
      <c r="GO18" s="17"/>
    </row>
    <row r="19" spans="1:16384" s="927" customFormat="1" ht="38.25" customHeight="1">
      <c r="A19" s="499" t="s">
        <v>4307</v>
      </c>
      <c r="B19" s="929">
        <v>-0.20000000000000284</v>
      </c>
      <c r="C19" s="1488">
        <v>6.2000000000000028</v>
      </c>
      <c r="D19" s="928">
        <v>6.5</v>
      </c>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330"/>
      <c r="CC19" s="17"/>
      <c r="CD19" s="17"/>
      <c r="CE19" s="17"/>
      <c r="CF19" s="17"/>
      <c r="CG19" s="17"/>
      <c r="CH19" s="17"/>
      <c r="CI19" s="17"/>
      <c r="CJ19" s="17"/>
      <c r="CK19" s="17"/>
      <c r="CL19" s="17"/>
      <c r="CM19" s="17"/>
      <c r="CN19" s="17"/>
      <c r="CO19" s="17"/>
      <c r="CP19" s="17"/>
      <c r="CQ19" s="17"/>
      <c r="CR19" s="17"/>
      <c r="CS19" s="17"/>
      <c r="CT19" s="17"/>
      <c r="CU19" s="17"/>
      <c r="CV19" s="17"/>
      <c r="CW19" s="17"/>
      <c r="CX19" s="17"/>
      <c r="CY19" s="17"/>
      <c r="CZ19" s="17"/>
      <c r="DA19" s="17"/>
      <c r="DB19" s="17"/>
      <c r="DC19" s="17"/>
      <c r="DD19" s="17"/>
      <c r="DE19" s="17"/>
      <c r="DF19" s="17"/>
      <c r="DG19" s="17"/>
      <c r="DH19" s="17"/>
      <c r="DI19" s="17"/>
      <c r="DJ19" s="17"/>
      <c r="DK19" s="17"/>
      <c r="DL19" s="17"/>
      <c r="DM19" s="17"/>
      <c r="DN19" s="17"/>
      <c r="DO19" s="17"/>
      <c r="DP19" s="17"/>
      <c r="DQ19" s="17"/>
      <c r="DR19" s="17"/>
      <c r="DS19" s="17"/>
      <c r="DT19" s="17"/>
      <c r="DU19" s="17"/>
      <c r="DV19" s="17"/>
      <c r="DW19" s="17"/>
      <c r="DX19" s="17"/>
      <c r="DY19" s="17"/>
      <c r="DZ19" s="17"/>
      <c r="EA19" s="17"/>
      <c r="EB19" s="17"/>
      <c r="EC19" s="17"/>
      <c r="ED19" s="17"/>
      <c r="EE19" s="17"/>
      <c r="EF19" s="17"/>
      <c r="EG19" s="17"/>
      <c r="EH19" s="17"/>
      <c r="EI19" s="17"/>
      <c r="EJ19" s="17"/>
      <c r="EK19" s="17"/>
      <c r="EL19" s="17"/>
      <c r="EM19" s="17"/>
      <c r="EN19" s="17"/>
      <c r="EO19" s="17"/>
      <c r="EP19" s="17"/>
      <c r="EQ19" s="17"/>
      <c r="ER19" s="17"/>
      <c r="ES19" s="17"/>
      <c r="ET19" s="17"/>
      <c r="EU19" s="17"/>
      <c r="EV19" s="17"/>
      <c r="EW19" s="17"/>
      <c r="EX19" s="17"/>
      <c r="EY19" s="17"/>
      <c r="EZ19" s="17"/>
      <c r="FA19" s="17"/>
      <c r="FB19" s="17"/>
      <c r="FC19" s="17"/>
      <c r="FD19" s="17"/>
      <c r="FE19" s="17"/>
      <c r="FF19" s="17"/>
      <c r="FG19" s="17"/>
      <c r="FH19" s="17"/>
      <c r="FI19" s="17"/>
      <c r="FJ19" s="17"/>
      <c r="FK19" s="17"/>
      <c r="FL19" s="17"/>
      <c r="FM19" s="17"/>
      <c r="FN19" s="17"/>
      <c r="FO19" s="17"/>
      <c r="FP19" s="17"/>
      <c r="FQ19" s="17"/>
      <c r="FR19" s="17"/>
      <c r="FS19" s="17"/>
      <c r="FT19" s="17"/>
      <c r="FU19" s="17"/>
      <c r="FV19" s="17"/>
      <c r="FW19" s="17"/>
      <c r="FX19" s="17"/>
      <c r="FY19" s="17"/>
      <c r="FZ19" s="17"/>
      <c r="GA19" s="17"/>
      <c r="GB19" s="17"/>
      <c r="GC19" s="17"/>
      <c r="GD19" s="17"/>
      <c r="GE19" s="17"/>
      <c r="GF19" s="17"/>
      <c r="GG19" s="17"/>
      <c r="GH19" s="17"/>
      <c r="GI19" s="17"/>
      <c r="GJ19" s="17"/>
      <c r="GK19" s="17"/>
      <c r="GL19" s="17"/>
      <c r="GM19" s="17"/>
      <c r="GN19" s="17"/>
      <c r="GO19" s="17"/>
    </row>
    <row r="20" spans="1:16384" s="927" customFormat="1" ht="38.25" customHeight="1">
      <c r="A20" s="499" t="s">
        <v>4308</v>
      </c>
      <c r="B20" s="929">
        <v>0</v>
      </c>
      <c r="C20" s="1488">
        <v>0.79999999999999716</v>
      </c>
      <c r="D20" s="928">
        <v>0.79999999999999716</v>
      </c>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330"/>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c r="ET20" s="17"/>
      <c r="EU20" s="17"/>
      <c r="EV20" s="17"/>
      <c r="EW20" s="17"/>
      <c r="EX20" s="17"/>
      <c r="EY20" s="17"/>
      <c r="EZ20" s="17"/>
      <c r="FA20" s="17"/>
      <c r="FB20" s="17"/>
      <c r="FC20" s="17"/>
      <c r="FD20" s="17"/>
      <c r="FE20" s="17"/>
      <c r="FF20" s="17"/>
      <c r="FG20" s="17"/>
      <c r="FH20" s="17"/>
      <c r="FI20" s="17"/>
      <c r="FJ20" s="17"/>
      <c r="FK20" s="17"/>
      <c r="FL20" s="17"/>
      <c r="FM20" s="17"/>
      <c r="FN20" s="17"/>
      <c r="FO20" s="17"/>
      <c r="FP20" s="17"/>
      <c r="FQ20" s="17"/>
      <c r="FR20" s="17"/>
      <c r="FS20" s="17"/>
      <c r="FT20" s="17"/>
      <c r="FU20" s="17"/>
      <c r="FV20" s="17"/>
      <c r="FW20" s="17"/>
      <c r="FX20" s="17"/>
      <c r="FY20" s="17"/>
      <c r="FZ20" s="17"/>
      <c r="GA20" s="17"/>
      <c r="GB20" s="17"/>
      <c r="GC20" s="17"/>
      <c r="GD20" s="17"/>
      <c r="GE20" s="17"/>
      <c r="GF20" s="17"/>
      <c r="GG20" s="17"/>
      <c r="GH20" s="17"/>
      <c r="GI20" s="17"/>
      <c r="GJ20" s="17"/>
      <c r="GK20" s="17"/>
      <c r="GL20" s="17"/>
      <c r="GM20" s="17"/>
      <c r="GN20" s="17"/>
      <c r="GO20" s="17"/>
    </row>
    <row r="21" spans="1:16384" s="927" customFormat="1" ht="43.5" customHeight="1">
      <c r="A21" s="498" t="s">
        <v>4314</v>
      </c>
      <c r="B21" s="931">
        <v>-0.20000000000000284</v>
      </c>
      <c r="C21" s="1487">
        <v>9.5999999999999943</v>
      </c>
      <c r="D21" s="930">
        <v>8.4000000000000057</v>
      </c>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330"/>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c r="ET21" s="17"/>
      <c r="EU21" s="17"/>
      <c r="EV21" s="17"/>
      <c r="EW21" s="17"/>
      <c r="EX21" s="17"/>
      <c r="EY21" s="17"/>
      <c r="EZ21" s="17"/>
      <c r="FA21" s="17"/>
      <c r="FB21" s="17"/>
      <c r="FC21" s="17"/>
      <c r="FD21" s="17"/>
      <c r="FE21" s="17"/>
      <c r="FF21" s="17"/>
      <c r="FG21" s="17"/>
      <c r="FH21" s="17"/>
      <c r="FI21" s="17"/>
      <c r="FJ21" s="17"/>
      <c r="FK21" s="17"/>
      <c r="FL21" s="17"/>
      <c r="FM21" s="17"/>
      <c r="FN21" s="17"/>
      <c r="FO21" s="17"/>
      <c r="FP21" s="17"/>
      <c r="FQ21" s="17"/>
      <c r="FR21" s="17"/>
      <c r="FS21" s="17"/>
      <c r="FT21" s="17"/>
      <c r="FU21" s="17"/>
      <c r="FV21" s="17"/>
      <c r="FW21" s="17"/>
      <c r="FX21" s="17"/>
      <c r="FY21" s="17"/>
      <c r="FZ21" s="17"/>
      <c r="GA21" s="17"/>
      <c r="GB21" s="17"/>
      <c r="GC21" s="17"/>
      <c r="GD21" s="17"/>
      <c r="GE21" s="17"/>
      <c r="GF21" s="17"/>
      <c r="GG21" s="17"/>
      <c r="GH21" s="17"/>
      <c r="GI21" s="17"/>
      <c r="GJ21" s="17"/>
      <c r="GK21" s="17"/>
      <c r="GL21" s="17"/>
      <c r="GM21" s="17"/>
      <c r="GN21" s="17"/>
      <c r="GO21" s="17"/>
    </row>
    <row r="22" spans="1:16384" s="927" customFormat="1" ht="18.75" customHeight="1">
      <c r="A22" s="2237" t="s">
        <v>4311</v>
      </c>
      <c r="B22" s="2238"/>
      <c r="C22" s="2238"/>
      <c r="D22" s="2239"/>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330"/>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17"/>
      <c r="EZ22" s="17"/>
      <c r="FA22" s="17"/>
      <c r="FB22" s="17"/>
      <c r="FC22" s="17"/>
      <c r="FD22" s="17"/>
      <c r="FE22" s="17"/>
      <c r="FF22" s="17"/>
      <c r="FG22" s="17"/>
      <c r="FH22" s="17"/>
      <c r="FI22" s="17"/>
      <c r="FJ22" s="17"/>
      <c r="FK22" s="17"/>
      <c r="FL22" s="17"/>
      <c r="FM22" s="17"/>
      <c r="FN22" s="17"/>
      <c r="FO22" s="17"/>
      <c r="FP22" s="17"/>
      <c r="FQ22" s="17"/>
      <c r="FR22" s="17"/>
      <c r="FS22" s="17"/>
      <c r="FT22" s="17"/>
      <c r="FU22" s="17"/>
      <c r="FV22" s="17"/>
      <c r="FW22" s="17"/>
      <c r="FX22" s="17"/>
      <c r="FY22" s="17"/>
      <c r="FZ22" s="17"/>
      <c r="GA22" s="17"/>
      <c r="GB22" s="17"/>
      <c r="GC22" s="17"/>
      <c r="GD22" s="17"/>
      <c r="GE22" s="17"/>
      <c r="GF22" s="17"/>
      <c r="GG22" s="17"/>
      <c r="GH22" s="17"/>
      <c r="GI22" s="17"/>
      <c r="GJ22" s="17"/>
      <c r="GK22" s="17"/>
      <c r="GL22" s="17"/>
      <c r="GM22" s="17"/>
      <c r="GN22" s="17"/>
      <c r="GO22" s="17"/>
    </row>
    <row r="23" spans="1:16384" s="927" customFormat="1" ht="38.25" customHeight="1">
      <c r="A23" s="1489" t="s">
        <v>4309</v>
      </c>
      <c r="B23" s="929">
        <v>0.90000000000000568</v>
      </c>
      <c r="C23" s="1488">
        <v>10.5</v>
      </c>
      <c r="D23" s="928">
        <v>9.4000000000000057</v>
      </c>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330"/>
      <c r="CC23" s="17"/>
      <c r="CD23" s="17"/>
      <c r="CE23" s="17"/>
      <c r="CF23" s="17"/>
      <c r="CG23" s="17"/>
      <c r="CH23" s="17"/>
      <c r="CI23" s="17"/>
      <c r="CJ23" s="17"/>
      <c r="CK23" s="17"/>
      <c r="CL23" s="17"/>
      <c r="CM23" s="17"/>
      <c r="CN23" s="17"/>
      <c r="CO23" s="17"/>
      <c r="CP23" s="17"/>
      <c r="CQ23" s="17"/>
      <c r="CR23" s="17"/>
      <c r="CS23" s="17"/>
      <c r="CT23" s="17"/>
      <c r="CU23" s="17"/>
      <c r="CV23" s="17"/>
      <c r="CW23" s="17"/>
      <c r="CX23" s="17"/>
      <c r="CY23" s="17"/>
      <c r="CZ23" s="17"/>
      <c r="DA23" s="17"/>
      <c r="DB23" s="17"/>
      <c r="DC23" s="17"/>
      <c r="DD23" s="17"/>
      <c r="DE23" s="17"/>
      <c r="DF23" s="17"/>
      <c r="DG23" s="17"/>
      <c r="DH23" s="17"/>
      <c r="DI23" s="17"/>
      <c r="DJ23" s="17"/>
      <c r="DK23" s="17"/>
      <c r="DL23" s="17"/>
      <c r="DM23" s="17"/>
      <c r="DN23" s="17"/>
      <c r="DO23" s="17"/>
      <c r="DP23" s="17"/>
      <c r="DQ23" s="17"/>
      <c r="DR23" s="17"/>
      <c r="DS23" s="17"/>
      <c r="DT23" s="17"/>
      <c r="DU23" s="17"/>
      <c r="DV23" s="17"/>
      <c r="DW23" s="17"/>
      <c r="DX23" s="17"/>
      <c r="DY23" s="17"/>
      <c r="DZ23" s="17"/>
      <c r="EA23" s="17"/>
      <c r="EB23" s="17"/>
      <c r="EC23" s="17"/>
      <c r="ED23" s="17"/>
      <c r="EE23" s="17"/>
      <c r="EF23" s="17"/>
      <c r="EG23" s="17"/>
      <c r="EH23" s="17"/>
      <c r="EI23" s="17"/>
      <c r="EJ23" s="17"/>
      <c r="EK23" s="17"/>
      <c r="EL23" s="17"/>
      <c r="EM23" s="17"/>
      <c r="EN23" s="17"/>
      <c r="EO23" s="17"/>
      <c r="EP23" s="17"/>
      <c r="EQ23" s="17"/>
      <c r="ER23" s="17"/>
      <c r="ES23" s="17"/>
      <c r="ET23" s="17"/>
      <c r="EU23" s="17"/>
      <c r="EV23" s="17"/>
      <c r="EW23" s="17"/>
      <c r="EX23" s="17"/>
      <c r="EY23" s="17"/>
      <c r="EZ23" s="17"/>
      <c r="FA23" s="17"/>
      <c r="FB23" s="17"/>
      <c r="FC23" s="17"/>
      <c r="FD23" s="17"/>
      <c r="FE23" s="17"/>
      <c r="FF23" s="17"/>
      <c r="FG23" s="17"/>
      <c r="FH23" s="17"/>
      <c r="FI23" s="17"/>
      <c r="FJ23" s="17"/>
      <c r="FK23" s="17"/>
      <c r="FL23" s="17"/>
      <c r="FM23" s="17"/>
      <c r="FN23" s="17"/>
      <c r="FO23" s="17"/>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row>
    <row r="24" spans="1:16384" s="777" customFormat="1" ht="32.25" customHeight="1">
      <c r="A24" s="2240" t="s">
        <v>2808</v>
      </c>
      <c r="B24" s="2241"/>
      <c r="C24" s="2241"/>
      <c r="D24" s="2241"/>
      <c r="E24" s="2234"/>
      <c r="F24" s="2235"/>
      <c r="G24" s="2235"/>
      <c r="H24" s="2234"/>
      <c r="I24" s="2235"/>
      <c r="J24" s="2235"/>
      <c r="K24" s="2234"/>
      <c r="L24" s="2235"/>
      <c r="M24" s="2235"/>
      <c r="N24" s="2234"/>
      <c r="O24" s="2235"/>
      <c r="P24" s="2235"/>
      <c r="Q24" s="2234"/>
      <c r="R24" s="2235"/>
      <c r="S24" s="2235"/>
      <c r="T24" s="2234"/>
      <c r="U24" s="2235"/>
      <c r="V24" s="2235"/>
      <c r="W24" s="2234"/>
      <c r="X24" s="2235"/>
      <c r="Y24" s="2235"/>
      <c r="Z24" s="2234"/>
      <c r="AA24" s="2235"/>
      <c r="AB24" s="2235"/>
      <c r="AC24" s="2234"/>
      <c r="AD24" s="2235"/>
      <c r="AE24" s="2235"/>
      <c r="AF24" s="2234"/>
      <c r="AG24" s="2235"/>
      <c r="AH24" s="2235"/>
      <c r="AI24" s="2234"/>
      <c r="AJ24" s="2235"/>
      <c r="AK24" s="2235"/>
      <c r="AL24" s="2234"/>
      <c r="AM24" s="2235"/>
      <c r="AN24" s="2235"/>
      <c r="AO24" s="2234"/>
      <c r="AP24" s="2235"/>
      <c r="AQ24" s="2235"/>
      <c r="AR24" s="2234"/>
      <c r="AS24" s="2235"/>
      <c r="AT24" s="2235"/>
      <c r="AU24" s="2234"/>
      <c r="AV24" s="2235"/>
      <c r="AW24" s="2235"/>
      <c r="AX24" s="2234"/>
      <c r="AY24" s="2235"/>
      <c r="AZ24" s="2235"/>
      <c r="BA24" s="2234"/>
      <c r="BB24" s="2235"/>
      <c r="BC24" s="2235"/>
      <c r="BD24" s="2234"/>
      <c r="BE24" s="2235"/>
      <c r="BF24" s="2235"/>
      <c r="BG24" s="2234"/>
      <c r="BH24" s="2235"/>
      <c r="BI24" s="2235"/>
      <c r="BJ24" s="2234"/>
      <c r="BK24" s="2235"/>
      <c r="BL24" s="2235"/>
      <c r="BM24" s="2234"/>
      <c r="BN24" s="2235"/>
      <c r="BO24" s="2235"/>
      <c r="BP24" s="2234"/>
      <c r="BQ24" s="2235"/>
      <c r="BR24" s="2235"/>
      <c r="BS24" s="2234"/>
      <c r="BT24" s="2235"/>
      <c r="BU24" s="2235"/>
      <c r="BV24" s="2234"/>
      <c r="BW24" s="2235"/>
      <c r="BX24" s="2235"/>
      <c r="BY24" s="2234"/>
      <c r="BZ24" s="2235"/>
      <c r="CA24" s="2235"/>
      <c r="CB24" s="2234"/>
      <c r="CC24" s="2235"/>
      <c r="CD24" s="2235"/>
      <c r="CE24" s="2234"/>
      <c r="CF24" s="2235"/>
      <c r="CG24" s="2235"/>
      <c r="CH24" s="2234"/>
      <c r="CI24" s="2235"/>
      <c r="CJ24" s="2235"/>
      <c r="CK24" s="2234"/>
      <c r="CL24" s="2235"/>
      <c r="CM24" s="2235"/>
      <c r="CN24" s="2234"/>
      <c r="CO24" s="2235"/>
      <c r="CP24" s="2235"/>
      <c r="CQ24" s="2234"/>
      <c r="CR24" s="2235"/>
      <c r="CS24" s="2235"/>
      <c r="CT24" s="2234"/>
      <c r="CU24" s="2235"/>
      <c r="CV24" s="2235"/>
      <c r="CW24" s="2234"/>
      <c r="CX24" s="2235"/>
      <c r="CY24" s="2235"/>
      <c r="CZ24" s="2234"/>
      <c r="DA24" s="2235"/>
      <c r="DB24" s="2235"/>
      <c r="DC24" s="2234"/>
      <c r="DD24" s="2235"/>
      <c r="DE24" s="2235"/>
      <c r="DF24" s="2234"/>
      <c r="DG24" s="2235"/>
      <c r="DH24" s="2235"/>
      <c r="DI24" s="2234"/>
      <c r="DJ24" s="2235"/>
      <c r="DK24" s="2235"/>
      <c r="DL24" s="2234"/>
      <c r="DM24" s="2235"/>
      <c r="DN24" s="2235"/>
      <c r="DO24" s="2234"/>
      <c r="DP24" s="2235"/>
      <c r="DQ24" s="2235"/>
      <c r="DR24" s="2234"/>
      <c r="DS24" s="2235"/>
      <c r="DT24" s="2235"/>
      <c r="DU24" s="2234"/>
      <c r="DV24" s="2235"/>
      <c r="DW24" s="2235"/>
      <c r="DX24" s="2234"/>
      <c r="DY24" s="2235"/>
      <c r="DZ24" s="2235"/>
      <c r="EA24" s="2234"/>
      <c r="EB24" s="2235"/>
      <c r="EC24" s="2235"/>
      <c r="ED24" s="2234"/>
      <c r="EE24" s="2235"/>
      <c r="EF24" s="2235"/>
      <c r="EG24" s="2234"/>
      <c r="EH24" s="2235"/>
      <c r="EI24" s="2235"/>
      <c r="EJ24" s="2234"/>
      <c r="EK24" s="2235"/>
      <c r="EL24" s="2235"/>
      <c r="EM24" s="2234"/>
      <c r="EN24" s="2235"/>
      <c r="EO24" s="2235"/>
      <c r="EP24" s="2234"/>
      <c r="EQ24" s="2235"/>
      <c r="ER24" s="2235"/>
      <c r="ES24" s="2234"/>
      <c r="ET24" s="2235"/>
      <c r="EU24" s="2235"/>
      <c r="EV24" s="2234"/>
      <c r="EW24" s="2235"/>
      <c r="EX24" s="2235"/>
      <c r="EY24" s="2234"/>
      <c r="EZ24" s="2235"/>
      <c r="FA24" s="2235"/>
      <c r="FB24" s="2234"/>
      <c r="FC24" s="2235"/>
      <c r="FD24" s="2235"/>
      <c r="FE24" s="2234"/>
      <c r="FF24" s="2235"/>
      <c r="FG24" s="2235"/>
      <c r="FH24" s="2234"/>
      <c r="FI24" s="2235"/>
      <c r="FJ24" s="2235"/>
      <c r="FK24" s="2234"/>
      <c r="FL24" s="2235"/>
      <c r="FM24" s="2235"/>
      <c r="FN24" s="2234"/>
      <c r="FO24" s="2235"/>
      <c r="FP24" s="2235"/>
      <c r="FQ24" s="2234"/>
      <c r="FR24" s="2235"/>
      <c r="FS24" s="2235"/>
      <c r="FT24" s="2234"/>
      <c r="FU24" s="2235"/>
      <c r="FV24" s="2235"/>
      <c r="FW24" s="2234"/>
      <c r="FX24" s="2235"/>
      <c r="FY24" s="2235"/>
      <c r="FZ24" s="2234"/>
      <c r="GA24" s="2235"/>
      <c r="GB24" s="2235"/>
      <c r="GC24" s="2234"/>
      <c r="GD24" s="2235"/>
      <c r="GE24" s="2235"/>
      <c r="GF24" s="2234"/>
      <c r="GG24" s="2235"/>
      <c r="GH24" s="2235"/>
      <c r="GI24" s="2234"/>
      <c r="GJ24" s="2235"/>
      <c r="GK24" s="2235"/>
      <c r="GL24" s="2234"/>
      <c r="GM24" s="2235"/>
      <c r="GN24" s="2235"/>
      <c r="GO24" s="2234"/>
      <c r="GP24" s="2235"/>
      <c r="GQ24" s="2235"/>
      <c r="GR24" s="2234"/>
      <c r="GS24" s="2235"/>
      <c r="GT24" s="2235"/>
      <c r="GU24" s="2234"/>
      <c r="GV24" s="2235"/>
      <c r="GW24" s="2235"/>
      <c r="GX24" s="2234"/>
      <c r="GY24" s="2235"/>
      <c r="GZ24" s="2235"/>
      <c r="HA24" s="2234"/>
      <c r="HB24" s="2235"/>
      <c r="HC24" s="2235"/>
      <c r="HD24" s="2234"/>
      <c r="HE24" s="2235"/>
      <c r="HF24" s="2235"/>
      <c r="HG24" s="2234"/>
      <c r="HH24" s="2235"/>
      <c r="HI24" s="2235"/>
      <c r="HJ24" s="2234"/>
      <c r="HK24" s="2235"/>
      <c r="HL24" s="2235"/>
      <c r="HM24" s="2234"/>
      <c r="HN24" s="2235"/>
      <c r="HO24" s="2235"/>
      <c r="HP24" s="2234"/>
      <c r="HQ24" s="2235"/>
      <c r="HR24" s="2235"/>
      <c r="HS24" s="2234"/>
      <c r="HT24" s="2235"/>
      <c r="HU24" s="2235"/>
      <c r="HV24" s="2234"/>
      <c r="HW24" s="2235"/>
      <c r="HX24" s="2235"/>
      <c r="HY24" s="2234"/>
      <c r="HZ24" s="2235"/>
      <c r="IA24" s="2235"/>
      <c r="IB24" s="2234"/>
      <c r="IC24" s="2235"/>
      <c r="ID24" s="2235"/>
      <c r="IE24" s="2234"/>
      <c r="IF24" s="2235"/>
      <c r="IG24" s="2235"/>
      <c r="IH24" s="2234"/>
      <c r="II24" s="2235"/>
      <c r="IJ24" s="2235"/>
      <c r="IK24" s="2234"/>
      <c r="IL24" s="2235"/>
      <c r="IM24" s="2235"/>
      <c r="IN24" s="2234"/>
      <c r="IO24" s="2235"/>
      <c r="IP24" s="2235"/>
      <c r="IQ24" s="2234"/>
      <c r="IR24" s="2235"/>
      <c r="IS24" s="2235"/>
      <c r="IT24" s="2234"/>
      <c r="IU24" s="2235"/>
      <c r="IV24" s="2235"/>
      <c r="IW24" s="2234"/>
      <c r="IX24" s="2235"/>
      <c r="IY24" s="2235"/>
      <c r="IZ24" s="2234"/>
      <c r="JA24" s="2235"/>
      <c r="JB24" s="2235"/>
      <c r="JC24" s="2234"/>
      <c r="JD24" s="2235"/>
      <c r="JE24" s="2235"/>
      <c r="JF24" s="2234"/>
      <c r="JG24" s="2235"/>
      <c r="JH24" s="2235"/>
      <c r="JI24" s="2234"/>
      <c r="JJ24" s="2235"/>
      <c r="JK24" s="2235"/>
      <c r="JL24" s="2234"/>
      <c r="JM24" s="2235"/>
      <c r="JN24" s="2235"/>
      <c r="JO24" s="2234"/>
      <c r="JP24" s="2235"/>
      <c r="JQ24" s="2235"/>
      <c r="JR24" s="2234"/>
      <c r="JS24" s="2235"/>
      <c r="JT24" s="2235"/>
      <c r="JU24" s="2234"/>
      <c r="JV24" s="2235"/>
      <c r="JW24" s="2235"/>
      <c r="JX24" s="2234"/>
      <c r="JY24" s="2235"/>
      <c r="JZ24" s="2235"/>
      <c r="KA24" s="2234"/>
      <c r="KB24" s="2235"/>
      <c r="KC24" s="2235"/>
      <c r="KD24" s="2234"/>
      <c r="KE24" s="2235"/>
      <c r="KF24" s="2235"/>
      <c r="KG24" s="2234"/>
      <c r="KH24" s="2235"/>
      <c r="KI24" s="2235"/>
      <c r="KJ24" s="2234"/>
      <c r="KK24" s="2235"/>
      <c r="KL24" s="2235"/>
      <c r="KM24" s="2234"/>
      <c r="KN24" s="2235"/>
      <c r="KO24" s="2235"/>
      <c r="KP24" s="2234"/>
      <c r="KQ24" s="2235"/>
      <c r="KR24" s="2235"/>
      <c r="KS24" s="2234"/>
      <c r="KT24" s="2235"/>
      <c r="KU24" s="2235"/>
      <c r="KV24" s="2234"/>
      <c r="KW24" s="2235"/>
      <c r="KX24" s="2235"/>
      <c r="KY24" s="2234"/>
      <c r="KZ24" s="2235"/>
      <c r="LA24" s="2235"/>
      <c r="LB24" s="2234"/>
      <c r="LC24" s="2235"/>
      <c r="LD24" s="2235"/>
      <c r="LE24" s="2234"/>
      <c r="LF24" s="2235"/>
      <c r="LG24" s="2235"/>
      <c r="LH24" s="2234"/>
      <c r="LI24" s="2235"/>
      <c r="LJ24" s="2235"/>
      <c r="LK24" s="2234"/>
      <c r="LL24" s="2235"/>
      <c r="LM24" s="2235"/>
      <c r="LN24" s="2234"/>
      <c r="LO24" s="2235"/>
      <c r="LP24" s="2235"/>
      <c r="LQ24" s="2234"/>
      <c r="LR24" s="2235"/>
      <c r="LS24" s="2235"/>
      <c r="LT24" s="2234"/>
      <c r="LU24" s="2235"/>
      <c r="LV24" s="2235"/>
      <c r="LW24" s="2234"/>
      <c r="LX24" s="2235"/>
      <c r="LY24" s="2235"/>
      <c r="LZ24" s="2234"/>
      <c r="MA24" s="2235"/>
      <c r="MB24" s="2235"/>
      <c r="MC24" s="2234"/>
      <c r="MD24" s="2235"/>
      <c r="ME24" s="2235"/>
      <c r="MF24" s="2234"/>
      <c r="MG24" s="2235"/>
      <c r="MH24" s="2235"/>
      <c r="MI24" s="2234"/>
      <c r="MJ24" s="2235"/>
      <c r="MK24" s="2235"/>
      <c r="ML24" s="2234"/>
      <c r="MM24" s="2235"/>
      <c r="MN24" s="2235"/>
      <c r="MO24" s="2234"/>
      <c r="MP24" s="2235"/>
      <c r="MQ24" s="2235"/>
      <c r="MR24" s="2234"/>
      <c r="MS24" s="2235"/>
      <c r="MT24" s="2235"/>
      <c r="MU24" s="2234"/>
      <c r="MV24" s="2235"/>
      <c r="MW24" s="2235"/>
      <c r="MX24" s="2234"/>
      <c r="MY24" s="2235"/>
      <c r="MZ24" s="2235"/>
      <c r="NA24" s="2234"/>
      <c r="NB24" s="2235"/>
      <c r="NC24" s="2235"/>
      <c r="ND24" s="2234"/>
      <c r="NE24" s="2235"/>
      <c r="NF24" s="2235"/>
      <c r="NG24" s="2234"/>
      <c r="NH24" s="2235"/>
      <c r="NI24" s="2235"/>
      <c r="NJ24" s="2234"/>
      <c r="NK24" s="2235"/>
      <c r="NL24" s="2235"/>
      <c r="NM24" s="2234"/>
      <c r="NN24" s="2235"/>
      <c r="NO24" s="2235"/>
      <c r="NP24" s="2234"/>
      <c r="NQ24" s="2235"/>
      <c r="NR24" s="2235"/>
      <c r="NS24" s="2234"/>
      <c r="NT24" s="2235"/>
      <c r="NU24" s="2235"/>
      <c r="NV24" s="2234"/>
      <c r="NW24" s="2235"/>
      <c r="NX24" s="2235"/>
      <c r="NY24" s="2234"/>
      <c r="NZ24" s="2235"/>
      <c r="OA24" s="2235"/>
      <c r="OB24" s="2234"/>
      <c r="OC24" s="2235"/>
      <c r="OD24" s="2235"/>
      <c r="OE24" s="2234"/>
      <c r="OF24" s="2235"/>
      <c r="OG24" s="2235"/>
      <c r="OH24" s="2234"/>
      <c r="OI24" s="2235"/>
      <c r="OJ24" s="2235"/>
      <c r="OK24" s="2234"/>
      <c r="OL24" s="2235"/>
      <c r="OM24" s="2235"/>
      <c r="ON24" s="2234"/>
      <c r="OO24" s="2235"/>
      <c r="OP24" s="2235"/>
      <c r="OQ24" s="2234"/>
      <c r="OR24" s="2235"/>
      <c r="OS24" s="2235"/>
      <c r="OT24" s="2234"/>
      <c r="OU24" s="2235"/>
      <c r="OV24" s="2235"/>
      <c r="OW24" s="2234"/>
      <c r="OX24" s="2235"/>
      <c r="OY24" s="2235"/>
      <c r="OZ24" s="2234"/>
      <c r="PA24" s="2235"/>
      <c r="PB24" s="2235"/>
      <c r="PC24" s="2234"/>
      <c r="PD24" s="2235"/>
      <c r="PE24" s="2235"/>
      <c r="PF24" s="2234"/>
      <c r="PG24" s="2235"/>
      <c r="PH24" s="2235"/>
      <c r="PI24" s="2234"/>
      <c r="PJ24" s="2235"/>
      <c r="PK24" s="2235"/>
      <c r="PL24" s="2234"/>
      <c r="PM24" s="2235"/>
      <c r="PN24" s="2235"/>
      <c r="PO24" s="2234"/>
      <c r="PP24" s="2235"/>
      <c r="PQ24" s="2235"/>
      <c r="PR24" s="2234"/>
      <c r="PS24" s="2235"/>
      <c r="PT24" s="2235"/>
      <c r="PU24" s="2234"/>
      <c r="PV24" s="2235"/>
      <c r="PW24" s="2235"/>
      <c r="PX24" s="2234"/>
      <c r="PY24" s="2235"/>
      <c r="PZ24" s="2235"/>
      <c r="QA24" s="2234"/>
      <c r="QB24" s="2235"/>
      <c r="QC24" s="2235"/>
      <c r="QD24" s="2234"/>
      <c r="QE24" s="2235"/>
      <c r="QF24" s="2235"/>
      <c r="QG24" s="2234"/>
      <c r="QH24" s="2235"/>
      <c r="QI24" s="2235"/>
      <c r="QJ24" s="2234"/>
      <c r="QK24" s="2235"/>
      <c r="QL24" s="2235"/>
      <c r="QM24" s="2234"/>
      <c r="QN24" s="2235"/>
      <c r="QO24" s="2235"/>
      <c r="QP24" s="2234"/>
      <c r="QQ24" s="2235"/>
      <c r="QR24" s="2235"/>
      <c r="QS24" s="2234"/>
      <c r="QT24" s="2235"/>
      <c r="QU24" s="2235"/>
      <c r="QV24" s="2234"/>
      <c r="QW24" s="2235"/>
      <c r="QX24" s="2235"/>
      <c r="QY24" s="2234"/>
      <c r="QZ24" s="2235"/>
      <c r="RA24" s="2235"/>
      <c r="RB24" s="2234"/>
      <c r="RC24" s="2235"/>
      <c r="RD24" s="2235"/>
      <c r="RE24" s="2234"/>
      <c r="RF24" s="2235"/>
      <c r="RG24" s="2235"/>
      <c r="RH24" s="2234"/>
      <c r="RI24" s="2235"/>
      <c r="RJ24" s="2235"/>
      <c r="RK24" s="2234"/>
      <c r="RL24" s="2235"/>
      <c r="RM24" s="2235"/>
      <c r="RN24" s="2234"/>
      <c r="RO24" s="2235"/>
      <c r="RP24" s="2235"/>
      <c r="RQ24" s="2234"/>
      <c r="RR24" s="2235"/>
      <c r="RS24" s="2235"/>
      <c r="RT24" s="2234"/>
      <c r="RU24" s="2235"/>
      <c r="RV24" s="2235"/>
      <c r="RW24" s="2234"/>
      <c r="RX24" s="2235"/>
      <c r="RY24" s="2235"/>
      <c r="RZ24" s="2234"/>
      <c r="SA24" s="2235"/>
      <c r="SB24" s="2235"/>
      <c r="SC24" s="2234"/>
      <c r="SD24" s="2235"/>
      <c r="SE24" s="2235"/>
      <c r="SF24" s="2234"/>
      <c r="SG24" s="2235"/>
      <c r="SH24" s="2235"/>
      <c r="SI24" s="2234"/>
      <c r="SJ24" s="2235"/>
      <c r="SK24" s="2235"/>
      <c r="SL24" s="2234"/>
      <c r="SM24" s="2235"/>
      <c r="SN24" s="2235"/>
      <c r="SO24" s="2234"/>
      <c r="SP24" s="2235"/>
      <c r="SQ24" s="2235"/>
      <c r="SR24" s="2234"/>
      <c r="SS24" s="2235"/>
      <c r="ST24" s="2235"/>
      <c r="SU24" s="2234"/>
      <c r="SV24" s="2235"/>
      <c r="SW24" s="2235"/>
      <c r="SX24" s="2234"/>
      <c r="SY24" s="2235"/>
      <c r="SZ24" s="2235"/>
      <c r="TA24" s="2234"/>
      <c r="TB24" s="2235"/>
      <c r="TC24" s="2235"/>
      <c r="TD24" s="2234"/>
      <c r="TE24" s="2235"/>
      <c r="TF24" s="2235"/>
      <c r="TG24" s="2234"/>
      <c r="TH24" s="2235"/>
      <c r="TI24" s="2235"/>
      <c r="TJ24" s="2234"/>
      <c r="TK24" s="2235"/>
      <c r="TL24" s="2235"/>
      <c r="TM24" s="2234"/>
      <c r="TN24" s="2235"/>
      <c r="TO24" s="2235"/>
      <c r="TP24" s="2234"/>
      <c r="TQ24" s="2235"/>
      <c r="TR24" s="2235"/>
      <c r="TS24" s="2234"/>
      <c r="TT24" s="2235"/>
      <c r="TU24" s="2235"/>
      <c r="TV24" s="2234"/>
      <c r="TW24" s="2235"/>
      <c r="TX24" s="2235"/>
      <c r="TY24" s="2234"/>
      <c r="TZ24" s="2235"/>
      <c r="UA24" s="2235"/>
      <c r="UB24" s="2234"/>
      <c r="UC24" s="2235"/>
      <c r="UD24" s="2235"/>
      <c r="UE24" s="2234"/>
      <c r="UF24" s="2235"/>
      <c r="UG24" s="2235"/>
      <c r="UH24" s="2234"/>
      <c r="UI24" s="2235"/>
      <c r="UJ24" s="2235"/>
      <c r="UK24" s="2234"/>
      <c r="UL24" s="2235"/>
      <c r="UM24" s="2235"/>
      <c r="UN24" s="2234"/>
      <c r="UO24" s="2235"/>
      <c r="UP24" s="2235"/>
      <c r="UQ24" s="2234"/>
      <c r="UR24" s="2235"/>
      <c r="US24" s="2235"/>
      <c r="UT24" s="2234"/>
      <c r="UU24" s="2235"/>
      <c r="UV24" s="2235"/>
      <c r="UW24" s="2234"/>
      <c r="UX24" s="2235"/>
      <c r="UY24" s="2235"/>
      <c r="UZ24" s="2234"/>
      <c r="VA24" s="2235"/>
      <c r="VB24" s="2235"/>
      <c r="VC24" s="2234"/>
      <c r="VD24" s="2235"/>
      <c r="VE24" s="2235"/>
      <c r="VF24" s="2234"/>
      <c r="VG24" s="2235"/>
      <c r="VH24" s="2235"/>
      <c r="VI24" s="2234"/>
      <c r="VJ24" s="2235"/>
      <c r="VK24" s="2235"/>
      <c r="VL24" s="2234"/>
      <c r="VM24" s="2235"/>
      <c r="VN24" s="2235"/>
      <c r="VO24" s="2234"/>
      <c r="VP24" s="2235"/>
      <c r="VQ24" s="2235"/>
      <c r="VR24" s="2234"/>
      <c r="VS24" s="2235"/>
      <c r="VT24" s="2235"/>
      <c r="VU24" s="2234"/>
      <c r="VV24" s="2235"/>
      <c r="VW24" s="2235"/>
      <c r="VX24" s="2234"/>
      <c r="VY24" s="2235"/>
      <c r="VZ24" s="2235"/>
      <c r="WA24" s="2234"/>
      <c r="WB24" s="2235"/>
      <c r="WC24" s="2235"/>
      <c r="WD24" s="2234"/>
      <c r="WE24" s="2235"/>
      <c r="WF24" s="2235"/>
      <c r="WG24" s="2234"/>
      <c r="WH24" s="2235"/>
      <c r="WI24" s="2235"/>
      <c r="WJ24" s="2234"/>
      <c r="WK24" s="2235"/>
      <c r="WL24" s="2235"/>
      <c r="WM24" s="2234"/>
      <c r="WN24" s="2235"/>
      <c r="WO24" s="2235"/>
      <c r="WP24" s="2234"/>
      <c r="WQ24" s="2235"/>
      <c r="WR24" s="2235"/>
      <c r="WS24" s="2234"/>
      <c r="WT24" s="2235"/>
      <c r="WU24" s="2235"/>
      <c r="WV24" s="2234"/>
      <c r="WW24" s="2235"/>
      <c r="WX24" s="2235"/>
      <c r="WY24" s="2234"/>
      <c r="WZ24" s="2235"/>
      <c r="XA24" s="2235"/>
      <c r="XB24" s="2234"/>
      <c r="XC24" s="2235"/>
      <c r="XD24" s="2235"/>
      <c r="XE24" s="2234"/>
      <c r="XF24" s="2235"/>
      <c r="XG24" s="2235"/>
      <c r="XH24" s="2234"/>
      <c r="XI24" s="2235"/>
      <c r="XJ24" s="2235"/>
      <c r="XK24" s="2234"/>
      <c r="XL24" s="2235"/>
      <c r="XM24" s="2235"/>
      <c r="XN24" s="2234"/>
      <c r="XO24" s="2235"/>
      <c r="XP24" s="2235"/>
      <c r="XQ24" s="2234"/>
      <c r="XR24" s="2235"/>
      <c r="XS24" s="2235"/>
      <c r="XT24" s="2234"/>
      <c r="XU24" s="2235"/>
      <c r="XV24" s="2235"/>
      <c r="XW24" s="2234"/>
      <c r="XX24" s="2235"/>
      <c r="XY24" s="2235"/>
      <c r="XZ24" s="2234"/>
      <c r="YA24" s="2235"/>
      <c r="YB24" s="2235"/>
      <c r="YC24" s="2234"/>
      <c r="YD24" s="2235"/>
      <c r="YE24" s="2235"/>
      <c r="YF24" s="2234"/>
      <c r="YG24" s="2235"/>
      <c r="YH24" s="2235"/>
      <c r="YI24" s="2234"/>
      <c r="YJ24" s="2235"/>
      <c r="YK24" s="2235"/>
      <c r="YL24" s="2234"/>
      <c r="YM24" s="2235"/>
      <c r="YN24" s="2235"/>
      <c r="YO24" s="2234"/>
      <c r="YP24" s="2235"/>
      <c r="YQ24" s="2235"/>
      <c r="YR24" s="2234"/>
      <c r="YS24" s="2235"/>
      <c r="YT24" s="2235"/>
      <c r="YU24" s="2234"/>
      <c r="YV24" s="2235"/>
      <c r="YW24" s="2235"/>
      <c r="YX24" s="2234"/>
      <c r="YY24" s="2235"/>
      <c r="YZ24" s="2235"/>
      <c r="ZA24" s="2234"/>
      <c r="ZB24" s="2235"/>
      <c r="ZC24" s="2235"/>
      <c r="ZD24" s="2234"/>
      <c r="ZE24" s="2235"/>
      <c r="ZF24" s="2235"/>
      <c r="ZG24" s="2234"/>
      <c r="ZH24" s="2235"/>
      <c r="ZI24" s="2235"/>
      <c r="ZJ24" s="2234"/>
      <c r="ZK24" s="2235"/>
      <c r="ZL24" s="2235"/>
      <c r="ZM24" s="2234"/>
      <c r="ZN24" s="2235"/>
      <c r="ZO24" s="2235"/>
      <c r="ZP24" s="2234"/>
      <c r="ZQ24" s="2235"/>
      <c r="ZR24" s="2235"/>
      <c r="ZS24" s="2234"/>
      <c r="ZT24" s="2235"/>
      <c r="ZU24" s="2235"/>
      <c r="ZV24" s="2234"/>
      <c r="ZW24" s="2235"/>
      <c r="ZX24" s="2235"/>
      <c r="ZY24" s="2234"/>
      <c r="ZZ24" s="2235"/>
      <c r="AAA24" s="2235"/>
      <c r="AAB24" s="2234"/>
      <c r="AAC24" s="2235"/>
      <c r="AAD24" s="2235"/>
      <c r="AAE24" s="2234"/>
      <c r="AAF24" s="2235"/>
      <c r="AAG24" s="2235"/>
      <c r="AAH24" s="2234"/>
      <c r="AAI24" s="2235"/>
      <c r="AAJ24" s="2235"/>
      <c r="AAK24" s="2234"/>
      <c r="AAL24" s="2235"/>
      <c r="AAM24" s="2235"/>
      <c r="AAN24" s="2234"/>
      <c r="AAO24" s="2235"/>
      <c r="AAP24" s="2235"/>
      <c r="AAQ24" s="2234"/>
      <c r="AAR24" s="2235"/>
      <c r="AAS24" s="2235"/>
      <c r="AAT24" s="2234"/>
      <c r="AAU24" s="2235"/>
      <c r="AAV24" s="2235"/>
      <c r="AAW24" s="2234"/>
      <c r="AAX24" s="2235"/>
      <c r="AAY24" s="2235"/>
      <c r="AAZ24" s="2234"/>
      <c r="ABA24" s="2235"/>
      <c r="ABB24" s="2235"/>
      <c r="ABC24" s="2234"/>
      <c r="ABD24" s="2235"/>
      <c r="ABE24" s="2235"/>
      <c r="ABF24" s="2234"/>
      <c r="ABG24" s="2235"/>
      <c r="ABH24" s="2235"/>
      <c r="ABI24" s="2234"/>
      <c r="ABJ24" s="2235"/>
      <c r="ABK24" s="2235"/>
      <c r="ABL24" s="2234"/>
      <c r="ABM24" s="2235"/>
      <c r="ABN24" s="2235"/>
      <c r="ABO24" s="2234"/>
      <c r="ABP24" s="2235"/>
      <c r="ABQ24" s="2235"/>
      <c r="ABR24" s="2234"/>
      <c r="ABS24" s="2235"/>
      <c r="ABT24" s="2235"/>
      <c r="ABU24" s="2234"/>
      <c r="ABV24" s="2235"/>
      <c r="ABW24" s="2235"/>
      <c r="ABX24" s="2234"/>
      <c r="ABY24" s="2235"/>
      <c r="ABZ24" s="2235"/>
      <c r="ACA24" s="2234"/>
      <c r="ACB24" s="2235"/>
      <c r="ACC24" s="2235"/>
      <c r="ACD24" s="2234"/>
      <c r="ACE24" s="2235"/>
      <c r="ACF24" s="2235"/>
      <c r="ACG24" s="2234"/>
      <c r="ACH24" s="2235"/>
      <c r="ACI24" s="2235"/>
      <c r="ACJ24" s="2234"/>
      <c r="ACK24" s="2235"/>
      <c r="ACL24" s="2235"/>
      <c r="ACM24" s="2234"/>
      <c r="ACN24" s="2235"/>
      <c r="ACO24" s="2235"/>
      <c r="ACP24" s="2234"/>
      <c r="ACQ24" s="2235"/>
      <c r="ACR24" s="2235"/>
      <c r="ACS24" s="2234"/>
      <c r="ACT24" s="2235"/>
      <c r="ACU24" s="2235"/>
      <c r="ACV24" s="2234"/>
      <c r="ACW24" s="2235"/>
      <c r="ACX24" s="2235"/>
      <c r="ACY24" s="2234"/>
      <c r="ACZ24" s="2235"/>
      <c r="ADA24" s="2235"/>
      <c r="ADB24" s="2234"/>
      <c r="ADC24" s="2235"/>
      <c r="ADD24" s="2235"/>
      <c r="ADE24" s="2234"/>
      <c r="ADF24" s="2235"/>
      <c r="ADG24" s="2235"/>
      <c r="ADH24" s="2234"/>
      <c r="ADI24" s="2235"/>
      <c r="ADJ24" s="2235"/>
      <c r="ADK24" s="2234"/>
      <c r="ADL24" s="2235"/>
      <c r="ADM24" s="2235"/>
      <c r="ADN24" s="2234"/>
      <c r="ADO24" s="2235"/>
      <c r="ADP24" s="2235"/>
      <c r="ADQ24" s="2234"/>
      <c r="ADR24" s="2235"/>
      <c r="ADS24" s="2235"/>
      <c r="ADT24" s="2234"/>
      <c r="ADU24" s="2235"/>
      <c r="ADV24" s="2235"/>
      <c r="ADW24" s="2234"/>
      <c r="ADX24" s="2235"/>
      <c r="ADY24" s="2235"/>
      <c r="ADZ24" s="2234"/>
      <c r="AEA24" s="2235"/>
      <c r="AEB24" s="2235"/>
      <c r="AEC24" s="2234"/>
      <c r="AED24" s="2235"/>
      <c r="AEE24" s="2235"/>
      <c r="AEF24" s="2234"/>
      <c r="AEG24" s="2235"/>
      <c r="AEH24" s="2235"/>
      <c r="AEI24" s="2234"/>
      <c r="AEJ24" s="2235"/>
      <c r="AEK24" s="2235"/>
      <c r="AEL24" s="2234"/>
      <c r="AEM24" s="2235"/>
      <c r="AEN24" s="2235"/>
      <c r="AEO24" s="2234"/>
      <c r="AEP24" s="2235"/>
      <c r="AEQ24" s="2235"/>
      <c r="AER24" s="2234"/>
      <c r="AES24" s="2235"/>
      <c r="AET24" s="2235"/>
      <c r="AEU24" s="2234"/>
      <c r="AEV24" s="2235"/>
      <c r="AEW24" s="2235"/>
      <c r="AEX24" s="2234"/>
      <c r="AEY24" s="2235"/>
      <c r="AEZ24" s="2235"/>
      <c r="AFA24" s="2234"/>
      <c r="AFB24" s="2235"/>
      <c r="AFC24" s="2235"/>
      <c r="AFD24" s="2234"/>
      <c r="AFE24" s="2235"/>
      <c r="AFF24" s="2235"/>
      <c r="AFG24" s="2234"/>
      <c r="AFH24" s="2235"/>
      <c r="AFI24" s="2235"/>
      <c r="AFJ24" s="2234"/>
      <c r="AFK24" s="2235"/>
      <c r="AFL24" s="2235"/>
      <c r="AFM24" s="2234"/>
      <c r="AFN24" s="2235"/>
      <c r="AFO24" s="2235"/>
      <c r="AFP24" s="2234"/>
      <c r="AFQ24" s="2235"/>
      <c r="AFR24" s="2235"/>
      <c r="AFS24" s="2234"/>
      <c r="AFT24" s="2235"/>
      <c r="AFU24" s="2235"/>
      <c r="AFV24" s="2234"/>
      <c r="AFW24" s="2235"/>
      <c r="AFX24" s="2235"/>
      <c r="AFY24" s="2234"/>
      <c r="AFZ24" s="2235"/>
      <c r="AGA24" s="2235"/>
      <c r="AGB24" s="2234"/>
      <c r="AGC24" s="2235"/>
      <c r="AGD24" s="2235"/>
      <c r="AGE24" s="2234"/>
      <c r="AGF24" s="2235"/>
      <c r="AGG24" s="2235"/>
      <c r="AGH24" s="2234"/>
      <c r="AGI24" s="2235"/>
      <c r="AGJ24" s="2235"/>
      <c r="AGK24" s="2234"/>
      <c r="AGL24" s="2235"/>
      <c r="AGM24" s="2235"/>
      <c r="AGN24" s="2234"/>
      <c r="AGO24" s="2235"/>
      <c r="AGP24" s="2235"/>
      <c r="AGQ24" s="2234"/>
      <c r="AGR24" s="2235"/>
      <c r="AGS24" s="2235"/>
      <c r="AGT24" s="2234"/>
      <c r="AGU24" s="2235"/>
      <c r="AGV24" s="2235"/>
      <c r="AGW24" s="2234"/>
      <c r="AGX24" s="2235"/>
      <c r="AGY24" s="2235"/>
      <c r="AGZ24" s="2234"/>
      <c r="AHA24" s="2235"/>
      <c r="AHB24" s="2235"/>
      <c r="AHC24" s="2234"/>
      <c r="AHD24" s="2235"/>
      <c r="AHE24" s="2235"/>
      <c r="AHF24" s="2234"/>
      <c r="AHG24" s="2235"/>
      <c r="AHH24" s="2235"/>
      <c r="AHI24" s="2234"/>
      <c r="AHJ24" s="2235"/>
      <c r="AHK24" s="2235"/>
      <c r="AHL24" s="2234"/>
      <c r="AHM24" s="2235"/>
      <c r="AHN24" s="2235"/>
      <c r="AHO24" s="2234"/>
      <c r="AHP24" s="2235"/>
      <c r="AHQ24" s="2235"/>
      <c r="AHR24" s="2234"/>
      <c r="AHS24" s="2235"/>
      <c r="AHT24" s="2235"/>
      <c r="AHU24" s="2234"/>
      <c r="AHV24" s="2235"/>
      <c r="AHW24" s="2235"/>
      <c r="AHX24" s="2234"/>
      <c r="AHY24" s="2235"/>
      <c r="AHZ24" s="2235"/>
      <c r="AIA24" s="2234"/>
      <c r="AIB24" s="2235"/>
      <c r="AIC24" s="2235"/>
      <c r="AID24" s="2234"/>
      <c r="AIE24" s="2235"/>
      <c r="AIF24" s="2235"/>
      <c r="AIG24" s="2234"/>
      <c r="AIH24" s="2235"/>
      <c r="AII24" s="2235"/>
      <c r="AIJ24" s="2234"/>
      <c r="AIK24" s="2235"/>
      <c r="AIL24" s="2235"/>
      <c r="AIM24" s="2234"/>
      <c r="AIN24" s="2235"/>
      <c r="AIO24" s="2235"/>
      <c r="AIP24" s="2234"/>
      <c r="AIQ24" s="2235"/>
      <c r="AIR24" s="2235"/>
      <c r="AIS24" s="2234"/>
      <c r="AIT24" s="2235"/>
      <c r="AIU24" s="2235"/>
      <c r="AIV24" s="2234"/>
      <c r="AIW24" s="2235"/>
      <c r="AIX24" s="2235"/>
      <c r="AIY24" s="2234"/>
      <c r="AIZ24" s="2235"/>
      <c r="AJA24" s="2235"/>
      <c r="AJB24" s="2234"/>
      <c r="AJC24" s="2235"/>
      <c r="AJD24" s="2235"/>
      <c r="AJE24" s="2234"/>
      <c r="AJF24" s="2235"/>
      <c r="AJG24" s="2235"/>
      <c r="AJH24" s="2234"/>
      <c r="AJI24" s="2235"/>
      <c r="AJJ24" s="2235"/>
      <c r="AJK24" s="2234"/>
      <c r="AJL24" s="2235"/>
      <c r="AJM24" s="2235"/>
      <c r="AJN24" s="2234"/>
      <c r="AJO24" s="2235"/>
      <c r="AJP24" s="2235"/>
      <c r="AJQ24" s="2234"/>
      <c r="AJR24" s="2235"/>
      <c r="AJS24" s="2235"/>
      <c r="AJT24" s="2234"/>
      <c r="AJU24" s="2235"/>
      <c r="AJV24" s="2235"/>
      <c r="AJW24" s="2234"/>
      <c r="AJX24" s="2235"/>
      <c r="AJY24" s="2235"/>
      <c r="AJZ24" s="2234"/>
      <c r="AKA24" s="2235"/>
      <c r="AKB24" s="2235"/>
      <c r="AKC24" s="2234"/>
      <c r="AKD24" s="2235"/>
      <c r="AKE24" s="2235"/>
      <c r="AKF24" s="2234"/>
      <c r="AKG24" s="2235"/>
      <c r="AKH24" s="2235"/>
      <c r="AKI24" s="2234"/>
      <c r="AKJ24" s="2235"/>
      <c r="AKK24" s="2235"/>
      <c r="AKL24" s="2234"/>
      <c r="AKM24" s="2235"/>
      <c r="AKN24" s="2235"/>
      <c r="AKO24" s="2234"/>
      <c r="AKP24" s="2235"/>
      <c r="AKQ24" s="2235"/>
      <c r="AKR24" s="2234"/>
      <c r="AKS24" s="2235"/>
      <c r="AKT24" s="2235"/>
      <c r="AKU24" s="2234"/>
      <c r="AKV24" s="2235"/>
      <c r="AKW24" s="2235"/>
      <c r="AKX24" s="2234"/>
      <c r="AKY24" s="2235"/>
      <c r="AKZ24" s="2235"/>
      <c r="ALA24" s="2234"/>
      <c r="ALB24" s="2235"/>
      <c r="ALC24" s="2235"/>
      <c r="ALD24" s="2234"/>
      <c r="ALE24" s="2235"/>
      <c r="ALF24" s="2235"/>
      <c r="ALG24" s="2234"/>
      <c r="ALH24" s="2235"/>
      <c r="ALI24" s="2235"/>
      <c r="ALJ24" s="2234"/>
      <c r="ALK24" s="2235"/>
      <c r="ALL24" s="2235"/>
      <c r="ALM24" s="2234"/>
      <c r="ALN24" s="2235"/>
      <c r="ALO24" s="2235"/>
      <c r="ALP24" s="2234"/>
      <c r="ALQ24" s="2235"/>
      <c r="ALR24" s="2235"/>
      <c r="ALS24" s="2234"/>
      <c r="ALT24" s="2235"/>
      <c r="ALU24" s="2235"/>
      <c r="ALV24" s="2234"/>
      <c r="ALW24" s="2235"/>
      <c r="ALX24" s="2235"/>
      <c r="ALY24" s="2234"/>
      <c r="ALZ24" s="2235"/>
      <c r="AMA24" s="2235"/>
      <c r="AMB24" s="2234"/>
      <c r="AMC24" s="2235"/>
      <c r="AMD24" s="2235"/>
      <c r="AME24" s="2234"/>
      <c r="AMF24" s="2235"/>
      <c r="AMG24" s="2235"/>
      <c r="AMH24" s="2234"/>
      <c r="AMI24" s="2235"/>
      <c r="AMJ24" s="2235"/>
      <c r="AMK24" s="2234"/>
      <c r="AML24" s="2235"/>
      <c r="AMM24" s="2235"/>
      <c r="AMN24" s="2234"/>
      <c r="AMO24" s="2235"/>
      <c r="AMP24" s="2235"/>
      <c r="AMQ24" s="2234"/>
      <c r="AMR24" s="2235"/>
      <c r="AMS24" s="2235"/>
      <c r="AMT24" s="2234"/>
      <c r="AMU24" s="2235"/>
      <c r="AMV24" s="2235"/>
      <c r="AMW24" s="2234"/>
      <c r="AMX24" s="2235"/>
      <c r="AMY24" s="2235"/>
      <c r="AMZ24" s="2234"/>
      <c r="ANA24" s="2235"/>
      <c r="ANB24" s="2235"/>
      <c r="ANC24" s="2234"/>
      <c r="AND24" s="2235"/>
      <c r="ANE24" s="2235"/>
      <c r="ANF24" s="2234"/>
      <c r="ANG24" s="2235"/>
      <c r="ANH24" s="2235"/>
      <c r="ANI24" s="2234"/>
      <c r="ANJ24" s="2235"/>
      <c r="ANK24" s="2235"/>
      <c r="ANL24" s="2234"/>
      <c r="ANM24" s="2235"/>
      <c r="ANN24" s="2235"/>
      <c r="ANO24" s="2234"/>
      <c r="ANP24" s="2235"/>
      <c r="ANQ24" s="2235"/>
      <c r="ANR24" s="2234"/>
      <c r="ANS24" s="2235"/>
      <c r="ANT24" s="2235"/>
      <c r="ANU24" s="2234"/>
      <c r="ANV24" s="2235"/>
      <c r="ANW24" s="2235"/>
      <c r="ANX24" s="2234"/>
      <c r="ANY24" s="2235"/>
      <c r="ANZ24" s="2235"/>
      <c r="AOA24" s="2234"/>
      <c r="AOB24" s="2235"/>
      <c r="AOC24" s="2235"/>
      <c r="AOD24" s="2234"/>
      <c r="AOE24" s="2235"/>
      <c r="AOF24" s="2235"/>
      <c r="AOG24" s="2234"/>
      <c r="AOH24" s="2235"/>
      <c r="AOI24" s="2235"/>
      <c r="AOJ24" s="2234"/>
      <c r="AOK24" s="2235"/>
      <c r="AOL24" s="2235"/>
      <c r="AOM24" s="2234"/>
      <c r="AON24" s="2235"/>
      <c r="AOO24" s="2235"/>
      <c r="AOP24" s="2234"/>
      <c r="AOQ24" s="2235"/>
      <c r="AOR24" s="2235"/>
      <c r="AOS24" s="2234"/>
      <c r="AOT24" s="2235"/>
      <c r="AOU24" s="2235"/>
      <c r="AOV24" s="2234"/>
      <c r="AOW24" s="2235"/>
      <c r="AOX24" s="2235"/>
      <c r="AOY24" s="2234"/>
      <c r="AOZ24" s="2235"/>
      <c r="APA24" s="2235"/>
      <c r="APB24" s="2234"/>
      <c r="APC24" s="2235"/>
      <c r="APD24" s="2235"/>
      <c r="APE24" s="2234"/>
      <c r="APF24" s="2235"/>
      <c r="APG24" s="2235"/>
      <c r="APH24" s="2234"/>
      <c r="API24" s="2235"/>
      <c r="APJ24" s="2235"/>
      <c r="APK24" s="2234"/>
      <c r="APL24" s="2235"/>
      <c r="APM24" s="2235"/>
      <c r="APN24" s="2234"/>
      <c r="APO24" s="2235"/>
      <c r="APP24" s="2235"/>
      <c r="APQ24" s="2234"/>
      <c r="APR24" s="2235"/>
      <c r="APS24" s="2235"/>
      <c r="APT24" s="2234"/>
      <c r="APU24" s="2235"/>
      <c r="APV24" s="2235"/>
      <c r="APW24" s="2234"/>
      <c r="APX24" s="2235"/>
      <c r="APY24" s="2235"/>
      <c r="APZ24" s="2234"/>
      <c r="AQA24" s="2235"/>
      <c r="AQB24" s="2235"/>
      <c r="AQC24" s="2234"/>
      <c r="AQD24" s="2235"/>
      <c r="AQE24" s="2235"/>
      <c r="AQF24" s="2234"/>
      <c r="AQG24" s="2235"/>
      <c r="AQH24" s="2235"/>
      <c r="AQI24" s="2234"/>
      <c r="AQJ24" s="2235"/>
      <c r="AQK24" s="2235"/>
      <c r="AQL24" s="2234"/>
      <c r="AQM24" s="2235"/>
      <c r="AQN24" s="2235"/>
      <c r="AQO24" s="2234"/>
      <c r="AQP24" s="2235"/>
      <c r="AQQ24" s="2235"/>
      <c r="AQR24" s="2234"/>
      <c r="AQS24" s="2235"/>
      <c r="AQT24" s="2235"/>
      <c r="AQU24" s="2234"/>
      <c r="AQV24" s="2235"/>
      <c r="AQW24" s="2235"/>
      <c r="AQX24" s="2234"/>
      <c r="AQY24" s="2235"/>
      <c r="AQZ24" s="2235"/>
      <c r="ARA24" s="2234"/>
      <c r="ARB24" s="2235"/>
      <c r="ARC24" s="2235"/>
      <c r="ARD24" s="2234"/>
      <c r="ARE24" s="2235"/>
      <c r="ARF24" s="2235"/>
      <c r="ARG24" s="2234"/>
      <c r="ARH24" s="2235"/>
      <c r="ARI24" s="2235"/>
      <c r="ARJ24" s="2234"/>
      <c r="ARK24" s="2235"/>
      <c r="ARL24" s="2235"/>
      <c r="ARM24" s="2234"/>
      <c r="ARN24" s="2235"/>
      <c r="ARO24" s="2235"/>
      <c r="ARP24" s="2234"/>
      <c r="ARQ24" s="2235"/>
      <c r="ARR24" s="2235"/>
      <c r="ARS24" s="2234"/>
      <c r="ART24" s="2235"/>
      <c r="ARU24" s="2235"/>
      <c r="ARV24" s="2234"/>
      <c r="ARW24" s="2235"/>
      <c r="ARX24" s="2235"/>
      <c r="ARY24" s="2234"/>
      <c r="ARZ24" s="2235"/>
      <c r="ASA24" s="2235"/>
      <c r="ASB24" s="2234"/>
      <c r="ASC24" s="2235"/>
      <c r="ASD24" s="2235"/>
      <c r="ASE24" s="2234"/>
      <c r="ASF24" s="2235"/>
      <c r="ASG24" s="2235"/>
      <c r="ASH24" s="2234"/>
      <c r="ASI24" s="2235"/>
      <c r="ASJ24" s="2235"/>
      <c r="ASK24" s="2234"/>
      <c r="ASL24" s="2235"/>
      <c r="ASM24" s="2235"/>
      <c r="ASN24" s="2234"/>
      <c r="ASO24" s="2235"/>
      <c r="ASP24" s="2235"/>
      <c r="ASQ24" s="2234"/>
      <c r="ASR24" s="2235"/>
      <c r="ASS24" s="2235"/>
      <c r="AST24" s="2234"/>
      <c r="ASU24" s="2235"/>
      <c r="ASV24" s="2235"/>
      <c r="ASW24" s="2234"/>
      <c r="ASX24" s="2235"/>
      <c r="ASY24" s="2235"/>
      <c r="ASZ24" s="2234"/>
      <c r="ATA24" s="2235"/>
      <c r="ATB24" s="2235"/>
      <c r="ATC24" s="2234"/>
      <c r="ATD24" s="2235"/>
      <c r="ATE24" s="2235"/>
      <c r="ATF24" s="2234"/>
      <c r="ATG24" s="2235"/>
      <c r="ATH24" s="2235"/>
      <c r="ATI24" s="2234"/>
      <c r="ATJ24" s="2235"/>
      <c r="ATK24" s="2235"/>
      <c r="ATL24" s="2234"/>
      <c r="ATM24" s="2235"/>
      <c r="ATN24" s="2235"/>
      <c r="ATO24" s="2234"/>
      <c r="ATP24" s="2235"/>
      <c r="ATQ24" s="2235"/>
      <c r="ATR24" s="2234"/>
      <c r="ATS24" s="2235"/>
      <c r="ATT24" s="2235"/>
      <c r="ATU24" s="2234"/>
      <c r="ATV24" s="2235"/>
      <c r="ATW24" s="2235"/>
      <c r="ATX24" s="2234"/>
      <c r="ATY24" s="2235"/>
      <c r="ATZ24" s="2235"/>
      <c r="AUA24" s="2234"/>
      <c r="AUB24" s="2235"/>
      <c r="AUC24" s="2235"/>
      <c r="AUD24" s="2234"/>
      <c r="AUE24" s="2235"/>
      <c r="AUF24" s="2235"/>
      <c r="AUG24" s="2234"/>
      <c r="AUH24" s="2235"/>
      <c r="AUI24" s="2235"/>
      <c r="AUJ24" s="2234"/>
      <c r="AUK24" s="2235"/>
      <c r="AUL24" s="2235"/>
      <c r="AUM24" s="2234"/>
      <c r="AUN24" s="2235"/>
      <c r="AUO24" s="2235"/>
      <c r="AUP24" s="2234"/>
      <c r="AUQ24" s="2235"/>
      <c r="AUR24" s="2235"/>
      <c r="AUS24" s="2234"/>
      <c r="AUT24" s="2235"/>
      <c r="AUU24" s="2235"/>
      <c r="AUV24" s="2234"/>
      <c r="AUW24" s="2235"/>
      <c r="AUX24" s="2235"/>
      <c r="AUY24" s="2234"/>
      <c r="AUZ24" s="2235"/>
      <c r="AVA24" s="2235"/>
      <c r="AVB24" s="2234"/>
      <c r="AVC24" s="2235"/>
      <c r="AVD24" s="2235"/>
      <c r="AVE24" s="2234"/>
      <c r="AVF24" s="2235"/>
      <c r="AVG24" s="2235"/>
      <c r="AVH24" s="2234"/>
      <c r="AVI24" s="2235"/>
      <c r="AVJ24" s="2235"/>
      <c r="AVK24" s="2234"/>
      <c r="AVL24" s="2235"/>
      <c r="AVM24" s="2235"/>
      <c r="AVN24" s="2234"/>
      <c r="AVO24" s="2235"/>
      <c r="AVP24" s="2235"/>
      <c r="AVQ24" s="2234"/>
      <c r="AVR24" s="2235"/>
      <c r="AVS24" s="2235"/>
      <c r="AVT24" s="2234"/>
      <c r="AVU24" s="2235"/>
      <c r="AVV24" s="2235"/>
      <c r="AVW24" s="2234"/>
      <c r="AVX24" s="2235"/>
      <c r="AVY24" s="2235"/>
      <c r="AVZ24" s="2234"/>
      <c r="AWA24" s="2235"/>
      <c r="AWB24" s="2235"/>
      <c r="AWC24" s="2234"/>
      <c r="AWD24" s="2235"/>
      <c r="AWE24" s="2235"/>
      <c r="AWF24" s="2234"/>
      <c r="AWG24" s="2235"/>
      <c r="AWH24" s="2235"/>
      <c r="AWI24" s="2234"/>
      <c r="AWJ24" s="2235"/>
      <c r="AWK24" s="2235"/>
      <c r="AWL24" s="2234"/>
      <c r="AWM24" s="2235"/>
      <c r="AWN24" s="2235"/>
      <c r="AWO24" s="2234"/>
      <c r="AWP24" s="2235"/>
      <c r="AWQ24" s="2235"/>
      <c r="AWR24" s="2234"/>
      <c r="AWS24" s="2235"/>
      <c r="AWT24" s="2235"/>
      <c r="AWU24" s="2234"/>
      <c r="AWV24" s="2235"/>
      <c r="AWW24" s="2235"/>
      <c r="AWX24" s="2234"/>
      <c r="AWY24" s="2235"/>
      <c r="AWZ24" s="2235"/>
      <c r="AXA24" s="2234"/>
      <c r="AXB24" s="2235"/>
      <c r="AXC24" s="2235"/>
      <c r="AXD24" s="2234"/>
      <c r="AXE24" s="2235"/>
      <c r="AXF24" s="2235"/>
      <c r="AXG24" s="2234"/>
      <c r="AXH24" s="2235"/>
      <c r="AXI24" s="2235"/>
      <c r="AXJ24" s="2234"/>
      <c r="AXK24" s="2235"/>
      <c r="AXL24" s="2235"/>
      <c r="AXM24" s="2234"/>
      <c r="AXN24" s="2235"/>
      <c r="AXO24" s="2235"/>
      <c r="AXP24" s="2234"/>
      <c r="AXQ24" s="2235"/>
      <c r="AXR24" s="2235"/>
      <c r="AXS24" s="2234"/>
      <c r="AXT24" s="2235"/>
      <c r="AXU24" s="2235"/>
      <c r="AXV24" s="2234"/>
      <c r="AXW24" s="2235"/>
      <c r="AXX24" s="2235"/>
      <c r="AXY24" s="2234"/>
      <c r="AXZ24" s="2235"/>
      <c r="AYA24" s="2235"/>
      <c r="AYB24" s="2234"/>
      <c r="AYC24" s="2235"/>
      <c r="AYD24" s="2235"/>
      <c r="AYE24" s="2234"/>
      <c r="AYF24" s="2235"/>
      <c r="AYG24" s="2235"/>
      <c r="AYH24" s="2234"/>
      <c r="AYI24" s="2235"/>
      <c r="AYJ24" s="2235"/>
      <c r="AYK24" s="2234"/>
      <c r="AYL24" s="2235"/>
      <c r="AYM24" s="2235"/>
      <c r="AYN24" s="2234"/>
      <c r="AYO24" s="2235"/>
      <c r="AYP24" s="2235"/>
      <c r="AYQ24" s="2234"/>
      <c r="AYR24" s="2235"/>
      <c r="AYS24" s="2235"/>
      <c r="AYT24" s="2234"/>
      <c r="AYU24" s="2235"/>
      <c r="AYV24" s="2235"/>
      <c r="AYW24" s="2234"/>
      <c r="AYX24" s="2235"/>
      <c r="AYY24" s="2235"/>
      <c r="AYZ24" s="2234"/>
      <c r="AZA24" s="2235"/>
      <c r="AZB24" s="2235"/>
      <c r="AZC24" s="2234"/>
      <c r="AZD24" s="2235"/>
      <c r="AZE24" s="2235"/>
      <c r="AZF24" s="2234"/>
      <c r="AZG24" s="2235"/>
      <c r="AZH24" s="2235"/>
      <c r="AZI24" s="2234"/>
      <c r="AZJ24" s="2235"/>
      <c r="AZK24" s="2235"/>
      <c r="AZL24" s="2234"/>
      <c r="AZM24" s="2235"/>
      <c r="AZN24" s="2235"/>
      <c r="AZO24" s="2234"/>
      <c r="AZP24" s="2235"/>
      <c r="AZQ24" s="2235"/>
      <c r="AZR24" s="2234"/>
      <c r="AZS24" s="2235"/>
      <c r="AZT24" s="2235"/>
      <c r="AZU24" s="2234"/>
      <c r="AZV24" s="2235"/>
      <c r="AZW24" s="2235"/>
      <c r="AZX24" s="2234"/>
      <c r="AZY24" s="2235"/>
      <c r="AZZ24" s="2235"/>
      <c r="BAA24" s="2234"/>
      <c r="BAB24" s="2235"/>
      <c r="BAC24" s="2235"/>
      <c r="BAD24" s="2234"/>
      <c r="BAE24" s="2235"/>
      <c r="BAF24" s="2235"/>
      <c r="BAG24" s="2234"/>
      <c r="BAH24" s="2235"/>
      <c r="BAI24" s="2235"/>
      <c r="BAJ24" s="2234"/>
      <c r="BAK24" s="2235"/>
      <c r="BAL24" s="2235"/>
      <c r="BAM24" s="2234"/>
      <c r="BAN24" s="2235"/>
      <c r="BAO24" s="2235"/>
      <c r="BAP24" s="2234"/>
      <c r="BAQ24" s="2235"/>
      <c r="BAR24" s="2235"/>
      <c r="BAS24" s="2234"/>
      <c r="BAT24" s="2235"/>
      <c r="BAU24" s="2235"/>
      <c r="BAV24" s="2234"/>
      <c r="BAW24" s="2235"/>
      <c r="BAX24" s="2235"/>
      <c r="BAY24" s="2234"/>
      <c r="BAZ24" s="2235"/>
      <c r="BBA24" s="2235"/>
      <c r="BBB24" s="2234"/>
      <c r="BBC24" s="2235"/>
      <c r="BBD24" s="2235"/>
      <c r="BBE24" s="2234"/>
      <c r="BBF24" s="2235"/>
      <c r="BBG24" s="2235"/>
      <c r="BBH24" s="2234"/>
      <c r="BBI24" s="2235"/>
      <c r="BBJ24" s="2235"/>
      <c r="BBK24" s="2234"/>
      <c r="BBL24" s="2235"/>
      <c r="BBM24" s="2235"/>
      <c r="BBN24" s="2234"/>
      <c r="BBO24" s="2235"/>
      <c r="BBP24" s="2235"/>
      <c r="BBQ24" s="2234"/>
      <c r="BBR24" s="2235"/>
      <c r="BBS24" s="2235"/>
      <c r="BBT24" s="2234"/>
      <c r="BBU24" s="2235"/>
      <c r="BBV24" s="2235"/>
      <c r="BBW24" s="2234"/>
      <c r="BBX24" s="2235"/>
      <c r="BBY24" s="2235"/>
      <c r="BBZ24" s="2234"/>
      <c r="BCA24" s="2235"/>
      <c r="BCB24" s="2235"/>
      <c r="BCC24" s="2234"/>
      <c r="BCD24" s="2235"/>
      <c r="BCE24" s="2235"/>
      <c r="BCF24" s="2234"/>
      <c r="BCG24" s="2235"/>
      <c r="BCH24" s="2235"/>
      <c r="BCI24" s="2234"/>
      <c r="BCJ24" s="2235"/>
      <c r="BCK24" s="2235"/>
      <c r="BCL24" s="2234"/>
      <c r="BCM24" s="2235"/>
      <c r="BCN24" s="2235"/>
      <c r="BCO24" s="2234"/>
      <c r="BCP24" s="2235"/>
      <c r="BCQ24" s="2235"/>
      <c r="BCR24" s="2234"/>
      <c r="BCS24" s="2235"/>
      <c r="BCT24" s="2235"/>
      <c r="BCU24" s="2234"/>
      <c r="BCV24" s="2235"/>
      <c r="BCW24" s="2235"/>
      <c r="BCX24" s="2234"/>
      <c r="BCY24" s="2235"/>
      <c r="BCZ24" s="2235"/>
      <c r="BDA24" s="2234"/>
      <c r="BDB24" s="2235"/>
      <c r="BDC24" s="2235"/>
      <c r="BDD24" s="2234"/>
      <c r="BDE24" s="2235"/>
      <c r="BDF24" s="2235"/>
      <c r="BDG24" s="2234"/>
      <c r="BDH24" s="2235"/>
      <c r="BDI24" s="2235"/>
      <c r="BDJ24" s="2234"/>
      <c r="BDK24" s="2235"/>
      <c r="BDL24" s="2235"/>
      <c r="BDM24" s="2234"/>
      <c r="BDN24" s="2235"/>
      <c r="BDO24" s="2235"/>
      <c r="BDP24" s="2234"/>
      <c r="BDQ24" s="2235"/>
      <c r="BDR24" s="2235"/>
      <c r="BDS24" s="2234"/>
      <c r="BDT24" s="2235"/>
      <c r="BDU24" s="2235"/>
      <c r="BDV24" s="2234"/>
      <c r="BDW24" s="2235"/>
      <c r="BDX24" s="2235"/>
      <c r="BDY24" s="2234"/>
      <c r="BDZ24" s="2235"/>
      <c r="BEA24" s="2235"/>
      <c r="BEB24" s="2234"/>
      <c r="BEC24" s="2235"/>
      <c r="BED24" s="2235"/>
      <c r="BEE24" s="2234"/>
      <c r="BEF24" s="2235"/>
      <c r="BEG24" s="2235"/>
      <c r="BEH24" s="2234"/>
      <c r="BEI24" s="2235"/>
      <c r="BEJ24" s="2235"/>
      <c r="BEK24" s="2234"/>
      <c r="BEL24" s="2235"/>
      <c r="BEM24" s="2235"/>
      <c r="BEN24" s="2234"/>
      <c r="BEO24" s="2235"/>
      <c r="BEP24" s="2235"/>
      <c r="BEQ24" s="2234"/>
      <c r="BER24" s="2235"/>
      <c r="BES24" s="2235"/>
      <c r="BET24" s="2234"/>
      <c r="BEU24" s="2235"/>
      <c r="BEV24" s="2235"/>
      <c r="BEW24" s="2234"/>
      <c r="BEX24" s="2235"/>
      <c r="BEY24" s="2235"/>
      <c r="BEZ24" s="2234"/>
      <c r="BFA24" s="2235"/>
      <c r="BFB24" s="2235"/>
      <c r="BFC24" s="2234"/>
      <c r="BFD24" s="2235"/>
      <c r="BFE24" s="2235"/>
      <c r="BFF24" s="2234"/>
      <c r="BFG24" s="2235"/>
      <c r="BFH24" s="2235"/>
      <c r="BFI24" s="2234"/>
      <c r="BFJ24" s="2235"/>
      <c r="BFK24" s="2235"/>
      <c r="BFL24" s="2234"/>
      <c r="BFM24" s="2235"/>
      <c r="BFN24" s="2235"/>
      <c r="BFO24" s="2234"/>
      <c r="BFP24" s="2235"/>
      <c r="BFQ24" s="2235"/>
      <c r="BFR24" s="2234"/>
      <c r="BFS24" s="2235"/>
      <c r="BFT24" s="2235"/>
      <c r="BFU24" s="2234"/>
      <c r="BFV24" s="2235"/>
      <c r="BFW24" s="2235"/>
      <c r="BFX24" s="2234"/>
      <c r="BFY24" s="2235"/>
      <c r="BFZ24" s="2235"/>
      <c r="BGA24" s="2234"/>
      <c r="BGB24" s="2235"/>
      <c r="BGC24" s="2235"/>
      <c r="BGD24" s="2234"/>
      <c r="BGE24" s="2235"/>
      <c r="BGF24" s="2235"/>
      <c r="BGG24" s="2234"/>
      <c r="BGH24" s="2235"/>
      <c r="BGI24" s="2235"/>
      <c r="BGJ24" s="2234"/>
      <c r="BGK24" s="2235"/>
      <c r="BGL24" s="2235"/>
      <c r="BGM24" s="2234"/>
      <c r="BGN24" s="2235"/>
      <c r="BGO24" s="2235"/>
      <c r="BGP24" s="2234"/>
      <c r="BGQ24" s="2235"/>
      <c r="BGR24" s="2235"/>
      <c r="BGS24" s="2234"/>
      <c r="BGT24" s="2235"/>
      <c r="BGU24" s="2235"/>
      <c r="BGV24" s="2234"/>
      <c r="BGW24" s="2235"/>
      <c r="BGX24" s="2235"/>
      <c r="BGY24" s="2234"/>
      <c r="BGZ24" s="2235"/>
      <c r="BHA24" s="2235"/>
      <c r="BHB24" s="2234"/>
      <c r="BHC24" s="2235"/>
      <c r="BHD24" s="2235"/>
      <c r="BHE24" s="2234"/>
      <c r="BHF24" s="2235"/>
      <c r="BHG24" s="2235"/>
      <c r="BHH24" s="2234"/>
      <c r="BHI24" s="2235"/>
      <c r="BHJ24" s="2235"/>
      <c r="BHK24" s="2234"/>
      <c r="BHL24" s="2235"/>
      <c r="BHM24" s="2235"/>
      <c r="BHN24" s="2234"/>
      <c r="BHO24" s="2235"/>
      <c r="BHP24" s="2235"/>
      <c r="BHQ24" s="2234"/>
      <c r="BHR24" s="2235"/>
      <c r="BHS24" s="2235"/>
      <c r="BHT24" s="2234"/>
      <c r="BHU24" s="2235"/>
      <c r="BHV24" s="2235"/>
      <c r="BHW24" s="2234"/>
      <c r="BHX24" s="2235"/>
      <c r="BHY24" s="2235"/>
      <c r="BHZ24" s="2234"/>
      <c r="BIA24" s="2235"/>
      <c r="BIB24" s="2235"/>
      <c r="BIC24" s="2234"/>
      <c r="BID24" s="2235"/>
      <c r="BIE24" s="2235"/>
      <c r="BIF24" s="2234"/>
      <c r="BIG24" s="2235"/>
      <c r="BIH24" s="2235"/>
      <c r="BII24" s="2234"/>
      <c r="BIJ24" s="2235"/>
      <c r="BIK24" s="2235"/>
      <c r="BIL24" s="2234"/>
      <c r="BIM24" s="2235"/>
      <c r="BIN24" s="2235"/>
      <c r="BIO24" s="2234"/>
      <c r="BIP24" s="2235"/>
      <c r="BIQ24" s="2235"/>
      <c r="BIR24" s="2234"/>
      <c r="BIS24" s="2235"/>
      <c r="BIT24" s="2235"/>
      <c r="BIU24" s="2234"/>
      <c r="BIV24" s="2235"/>
      <c r="BIW24" s="2235"/>
      <c r="BIX24" s="2234"/>
      <c r="BIY24" s="2235"/>
      <c r="BIZ24" s="2235"/>
      <c r="BJA24" s="2234"/>
      <c r="BJB24" s="2235"/>
      <c r="BJC24" s="2235"/>
      <c r="BJD24" s="2234"/>
      <c r="BJE24" s="2235"/>
      <c r="BJF24" s="2235"/>
      <c r="BJG24" s="2234"/>
      <c r="BJH24" s="2235"/>
      <c r="BJI24" s="2235"/>
      <c r="BJJ24" s="2234"/>
      <c r="BJK24" s="2235"/>
      <c r="BJL24" s="2235"/>
      <c r="BJM24" s="2234"/>
      <c r="BJN24" s="2235"/>
      <c r="BJO24" s="2235"/>
      <c r="BJP24" s="2234"/>
      <c r="BJQ24" s="2235"/>
      <c r="BJR24" s="2235"/>
      <c r="BJS24" s="2234"/>
      <c r="BJT24" s="2235"/>
      <c r="BJU24" s="2235"/>
      <c r="BJV24" s="2234"/>
      <c r="BJW24" s="2235"/>
      <c r="BJX24" s="2235"/>
      <c r="BJY24" s="2234"/>
      <c r="BJZ24" s="2235"/>
      <c r="BKA24" s="2235"/>
      <c r="BKB24" s="2234"/>
      <c r="BKC24" s="2235"/>
      <c r="BKD24" s="2235"/>
      <c r="BKE24" s="2234"/>
      <c r="BKF24" s="2235"/>
      <c r="BKG24" s="2235"/>
      <c r="BKH24" s="2234"/>
      <c r="BKI24" s="2235"/>
      <c r="BKJ24" s="2235"/>
      <c r="BKK24" s="2234"/>
      <c r="BKL24" s="2235"/>
      <c r="BKM24" s="2235"/>
      <c r="BKN24" s="2234"/>
      <c r="BKO24" s="2235"/>
      <c r="BKP24" s="2235"/>
      <c r="BKQ24" s="2234"/>
      <c r="BKR24" s="2235"/>
      <c r="BKS24" s="2235"/>
      <c r="BKT24" s="2234"/>
      <c r="BKU24" s="2235"/>
      <c r="BKV24" s="2235"/>
      <c r="BKW24" s="2234"/>
      <c r="BKX24" s="2235"/>
      <c r="BKY24" s="2235"/>
      <c r="BKZ24" s="2234"/>
      <c r="BLA24" s="2235"/>
      <c r="BLB24" s="2235"/>
      <c r="BLC24" s="2234"/>
      <c r="BLD24" s="2235"/>
      <c r="BLE24" s="2235"/>
      <c r="BLF24" s="2234"/>
      <c r="BLG24" s="2235"/>
      <c r="BLH24" s="2235"/>
      <c r="BLI24" s="2234"/>
      <c r="BLJ24" s="2235"/>
      <c r="BLK24" s="2235"/>
      <c r="BLL24" s="2234"/>
      <c r="BLM24" s="2235"/>
      <c r="BLN24" s="2235"/>
      <c r="BLO24" s="2234"/>
      <c r="BLP24" s="2235"/>
      <c r="BLQ24" s="2235"/>
      <c r="BLR24" s="2234"/>
      <c r="BLS24" s="2235"/>
      <c r="BLT24" s="2235"/>
      <c r="BLU24" s="2234"/>
      <c r="BLV24" s="2235"/>
      <c r="BLW24" s="2235"/>
      <c r="BLX24" s="2234"/>
      <c r="BLY24" s="2235"/>
      <c r="BLZ24" s="2235"/>
      <c r="BMA24" s="2234"/>
      <c r="BMB24" s="2235"/>
      <c r="BMC24" s="2235"/>
      <c r="BMD24" s="2234"/>
      <c r="BME24" s="2235"/>
      <c r="BMF24" s="2235"/>
      <c r="BMG24" s="2234"/>
      <c r="BMH24" s="2235"/>
      <c r="BMI24" s="2235"/>
      <c r="BMJ24" s="2234"/>
      <c r="BMK24" s="2235"/>
      <c r="BML24" s="2235"/>
      <c r="BMM24" s="2234"/>
      <c r="BMN24" s="2235"/>
      <c r="BMO24" s="2235"/>
      <c r="BMP24" s="2234"/>
      <c r="BMQ24" s="2235"/>
      <c r="BMR24" s="2235"/>
      <c r="BMS24" s="2234"/>
      <c r="BMT24" s="2235"/>
      <c r="BMU24" s="2235"/>
      <c r="BMV24" s="2234"/>
      <c r="BMW24" s="2235"/>
      <c r="BMX24" s="2235"/>
      <c r="BMY24" s="2234"/>
      <c r="BMZ24" s="2235"/>
      <c r="BNA24" s="2235"/>
      <c r="BNB24" s="2234"/>
      <c r="BNC24" s="2235"/>
      <c r="BND24" s="2235"/>
      <c r="BNE24" s="2234"/>
      <c r="BNF24" s="2235"/>
      <c r="BNG24" s="2235"/>
      <c r="BNH24" s="2234"/>
      <c r="BNI24" s="2235"/>
      <c r="BNJ24" s="2235"/>
      <c r="BNK24" s="2234"/>
      <c r="BNL24" s="2235"/>
      <c r="BNM24" s="2235"/>
      <c r="BNN24" s="2234"/>
      <c r="BNO24" s="2235"/>
      <c r="BNP24" s="2235"/>
      <c r="BNQ24" s="2234"/>
      <c r="BNR24" s="2235"/>
      <c r="BNS24" s="2235"/>
      <c r="BNT24" s="2234"/>
      <c r="BNU24" s="2235"/>
      <c r="BNV24" s="2235"/>
      <c r="BNW24" s="2234"/>
      <c r="BNX24" s="2235"/>
      <c r="BNY24" s="2235"/>
      <c r="BNZ24" s="2234"/>
      <c r="BOA24" s="2235"/>
      <c r="BOB24" s="2235"/>
      <c r="BOC24" s="2234"/>
      <c r="BOD24" s="2235"/>
      <c r="BOE24" s="2235"/>
      <c r="BOF24" s="2234"/>
      <c r="BOG24" s="2235"/>
      <c r="BOH24" s="2235"/>
      <c r="BOI24" s="2234"/>
      <c r="BOJ24" s="2235"/>
      <c r="BOK24" s="2235"/>
      <c r="BOL24" s="2234"/>
      <c r="BOM24" s="2235"/>
      <c r="BON24" s="2235"/>
      <c r="BOO24" s="2234"/>
      <c r="BOP24" s="2235"/>
      <c r="BOQ24" s="2235"/>
      <c r="BOR24" s="2234"/>
      <c r="BOS24" s="2235"/>
      <c r="BOT24" s="2235"/>
      <c r="BOU24" s="2234"/>
      <c r="BOV24" s="2235"/>
      <c r="BOW24" s="2235"/>
      <c r="BOX24" s="2234"/>
      <c r="BOY24" s="2235"/>
      <c r="BOZ24" s="2235"/>
      <c r="BPA24" s="2234"/>
      <c r="BPB24" s="2235"/>
      <c r="BPC24" s="2235"/>
      <c r="BPD24" s="2234"/>
      <c r="BPE24" s="2235"/>
      <c r="BPF24" s="2235"/>
      <c r="BPG24" s="2234"/>
      <c r="BPH24" s="2235"/>
      <c r="BPI24" s="2235"/>
      <c r="BPJ24" s="2234"/>
      <c r="BPK24" s="2235"/>
      <c r="BPL24" s="2235"/>
      <c r="BPM24" s="2234"/>
      <c r="BPN24" s="2235"/>
      <c r="BPO24" s="2235"/>
      <c r="BPP24" s="2234"/>
      <c r="BPQ24" s="2235"/>
      <c r="BPR24" s="2235"/>
      <c r="BPS24" s="2234"/>
      <c r="BPT24" s="2235"/>
      <c r="BPU24" s="2235"/>
      <c r="BPV24" s="2234"/>
      <c r="BPW24" s="2235"/>
      <c r="BPX24" s="2235"/>
      <c r="BPY24" s="2234"/>
      <c r="BPZ24" s="2235"/>
      <c r="BQA24" s="2235"/>
      <c r="BQB24" s="2234"/>
      <c r="BQC24" s="2235"/>
      <c r="BQD24" s="2235"/>
      <c r="BQE24" s="2234"/>
      <c r="BQF24" s="2235"/>
      <c r="BQG24" s="2235"/>
      <c r="BQH24" s="2234"/>
      <c r="BQI24" s="2235"/>
      <c r="BQJ24" s="2235"/>
      <c r="BQK24" s="2234"/>
      <c r="BQL24" s="2235"/>
      <c r="BQM24" s="2235"/>
      <c r="BQN24" s="2234"/>
      <c r="BQO24" s="2235"/>
      <c r="BQP24" s="2235"/>
      <c r="BQQ24" s="2234"/>
      <c r="BQR24" s="2235"/>
      <c r="BQS24" s="2235"/>
      <c r="BQT24" s="2234"/>
      <c r="BQU24" s="2235"/>
      <c r="BQV24" s="2235"/>
      <c r="BQW24" s="2234"/>
      <c r="BQX24" s="2235"/>
      <c r="BQY24" s="2235"/>
      <c r="BQZ24" s="2234"/>
      <c r="BRA24" s="2235"/>
      <c r="BRB24" s="2235"/>
      <c r="BRC24" s="2234"/>
      <c r="BRD24" s="2235"/>
      <c r="BRE24" s="2235"/>
      <c r="BRF24" s="2234"/>
      <c r="BRG24" s="2235"/>
      <c r="BRH24" s="2235"/>
      <c r="BRI24" s="2234"/>
      <c r="BRJ24" s="2235"/>
      <c r="BRK24" s="2235"/>
      <c r="BRL24" s="2234"/>
      <c r="BRM24" s="2235"/>
      <c r="BRN24" s="2235"/>
      <c r="BRO24" s="2234"/>
      <c r="BRP24" s="2235"/>
      <c r="BRQ24" s="2235"/>
      <c r="BRR24" s="2234"/>
      <c r="BRS24" s="2235"/>
      <c r="BRT24" s="2235"/>
      <c r="BRU24" s="2234"/>
      <c r="BRV24" s="2235"/>
      <c r="BRW24" s="2235"/>
      <c r="BRX24" s="2234"/>
      <c r="BRY24" s="2235"/>
      <c r="BRZ24" s="2235"/>
      <c r="BSA24" s="2234"/>
      <c r="BSB24" s="2235"/>
      <c r="BSC24" s="2235"/>
      <c r="BSD24" s="2234"/>
      <c r="BSE24" s="2235"/>
      <c r="BSF24" s="2235"/>
      <c r="BSG24" s="2234"/>
      <c r="BSH24" s="2235"/>
      <c r="BSI24" s="2235"/>
      <c r="BSJ24" s="2234"/>
      <c r="BSK24" s="2235"/>
      <c r="BSL24" s="2235"/>
      <c r="BSM24" s="2234"/>
      <c r="BSN24" s="2235"/>
      <c r="BSO24" s="2235"/>
      <c r="BSP24" s="2234"/>
      <c r="BSQ24" s="2235"/>
      <c r="BSR24" s="2235"/>
      <c r="BSS24" s="2234"/>
      <c r="BST24" s="2235"/>
      <c r="BSU24" s="2235"/>
      <c r="BSV24" s="2234"/>
      <c r="BSW24" s="2235"/>
      <c r="BSX24" s="2235"/>
      <c r="BSY24" s="2234"/>
      <c r="BSZ24" s="2235"/>
      <c r="BTA24" s="2235"/>
      <c r="BTB24" s="2234"/>
      <c r="BTC24" s="2235"/>
      <c r="BTD24" s="2235"/>
      <c r="BTE24" s="2234"/>
      <c r="BTF24" s="2235"/>
      <c r="BTG24" s="2235"/>
      <c r="BTH24" s="2234"/>
      <c r="BTI24" s="2235"/>
      <c r="BTJ24" s="2235"/>
      <c r="BTK24" s="2234"/>
      <c r="BTL24" s="2235"/>
      <c r="BTM24" s="2235"/>
      <c r="BTN24" s="2234"/>
      <c r="BTO24" s="2235"/>
      <c r="BTP24" s="2235"/>
      <c r="BTQ24" s="2234"/>
      <c r="BTR24" s="2235"/>
      <c r="BTS24" s="2235"/>
      <c r="BTT24" s="2234"/>
      <c r="BTU24" s="2235"/>
      <c r="BTV24" s="2235"/>
      <c r="BTW24" s="2234"/>
      <c r="BTX24" s="2235"/>
      <c r="BTY24" s="2235"/>
      <c r="BTZ24" s="2234"/>
      <c r="BUA24" s="2235"/>
      <c r="BUB24" s="2235"/>
      <c r="BUC24" s="2234"/>
      <c r="BUD24" s="2235"/>
      <c r="BUE24" s="2235"/>
      <c r="BUF24" s="2234"/>
      <c r="BUG24" s="2235"/>
      <c r="BUH24" s="2235"/>
      <c r="BUI24" s="2234"/>
      <c r="BUJ24" s="2235"/>
      <c r="BUK24" s="2235"/>
      <c r="BUL24" s="2234"/>
      <c r="BUM24" s="2235"/>
      <c r="BUN24" s="2235"/>
      <c r="BUO24" s="2234"/>
      <c r="BUP24" s="2235"/>
      <c r="BUQ24" s="2235"/>
      <c r="BUR24" s="2234"/>
      <c r="BUS24" s="2235"/>
      <c r="BUT24" s="2235"/>
      <c r="BUU24" s="2234"/>
      <c r="BUV24" s="2235"/>
      <c r="BUW24" s="2235"/>
      <c r="BUX24" s="2234"/>
      <c r="BUY24" s="2235"/>
      <c r="BUZ24" s="2235"/>
      <c r="BVA24" s="2234"/>
      <c r="BVB24" s="2235"/>
      <c r="BVC24" s="2235"/>
      <c r="BVD24" s="2234"/>
      <c r="BVE24" s="2235"/>
      <c r="BVF24" s="2235"/>
      <c r="BVG24" s="2234"/>
      <c r="BVH24" s="2235"/>
      <c r="BVI24" s="2235"/>
      <c r="BVJ24" s="2234"/>
      <c r="BVK24" s="2235"/>
      <c r="BVL24" s="2235"/>
      <c r="BVM24" s="2234"/>
      <c r="BVN24" s="2235"/>
      <c r="BVO24" s="2235"/>
      <c r="BVP24" s="2234"/>
      <c r="BVQ24" s="2235"/>
      <c r="BVR24" s="2235"/>
      <c r="BVS24" s="2234"/>
      <c r="BVT24" s="2235"/>
      <c r="BVU24" s="2235"/>
      <c r="BVV24" s="2234"/>
      <c r="BVW24" s="2235"/>
      <c r="BVX24" s="2235"/>
      <c r="BVY24" s="2234"/>
      <c r="BVZ24" s="2235"/>
      <c r="BWA24" s="2235"/>
      <c r="BWB24" s="2234"/>
      <c r="BWC24" s="2235"/>
      <c r="BWD24" s="2235"/>
      <c r="BWE24" s="2234"/>
      <c r="BWF24" s="2235"/>
      <c r="BWG24" s="2235"/>
      <c r="BWH24" s="2234"/>
      <c r="BWI24" s="2235"/>
      <c r="BWJ24" s="2235"/>
      <c r="BWK24" s="2234"/>
      <c r="BWL24" s="2235"/>
      <c r="BWM24" s="2235"/>
      <c r="BWN24" s="2234"/>
      <c r="BWO24" s="2235"/>
      <c r="BWP24" s="2235"/>
      <c r="BWQ24" s="2234"/>
      <c r="BWR24" s="2235"/>
      <c r="BWS24" s="2235"/>
      <c r="BWT24" s="2234"/>
      <c r="BWU24" s="2235"/>
      <c r="BWV24" s="2235"/>
      <c r="BWW24" s="2234"/>
      <c r="BWX24" s="2235"/>
      <c r="BWY24" s="2235"/>
      <c r="BWZ24" s="2234"/>
      <c r="BXA24" s="2235"/>
      <c r="BXB24" s="2235"/>
      <c r="BXC24" s="2234"/>
      <c r="BXD24" s="2235"/>
      <c r="BXE24" s="2235"/>
      <c r="BXF24" s="2234"/>
      <c r="BXG24" s="2235"/>
      <c r="BXH24" s="2235"/>
      <c r="BXI24" s="2234"/>
      <c r="BXJ24" s="2235"/>
      <c r="BXK24" s="2235"/>
      <c r="BXL24" s="2234"/>
      <c r="BXM24" s="2235"/>
      <c r="BXN24" s="2235"/>
      <c r="BXO24" s="2234"/>
      <c r="BXP24" s="2235"/>
      <c r="BXQ24" s="2235"/>
      <c r="BXR24" s="2234"/>
      <c r="BXS24" s="2235"/>
      <c r="BXT24" s="2235"/>
      <c r="BXU24" s="2234"/>
      <c r="BXV24" s="2235"/>
      <c r="BXW24" s="2235"/>
      <c r="BXX24" s="2234"/>
      <c r="BXY24" s="2235"/>
      <c r="BXZ24" s="2235"/>
      <c r="BYA24" s="2234"/>
      <c r="BYB24" s="2235"/>
      <c r="BYC24" s="2235"/>
      <c r="BYD24" s="2234"/>
      <c r="BYE24" s="2235"/>
      <c r="BYF24" s="2235"/>
      <c r="BYG24" s="2234"/>
      <c r="BYH24" s="2235"/>
      <c r="BYI24" s="2235"/>
      <c r="BYJ24" s="2234"/>
      <c r="BYK24" s="2235"/>
      <c r="BYL24" s="2235"/>
      <c r="BYM24" s="2234"/>
      <c r="BYN24" s="2235"/>
      <c r="BYO24" s="2235"/>
      <c r="BYP24" s="2234"/>
      <c r="BYQ24" s="2235"/>
      <c r="BYR24" s="2235"/>
      <c r="BYS24" s="2234"/>
      <c r="BYT24" s="2235"/>
      <c r="BYU24" s="2235"/>
      <c r="BYV24" s="2234"/>
      <c r="BYW24" s="2235"/>
      <c r="BYX24" s="2235"/>
      <c r="BYY24" s="2234"/>
      <c r="BYZ24" s="2235"/>
      <c r="BZA24" s="2235"/>
      <c r="BZB24" s="2234"/>
      <c r="BZC24" s="2235"/>
      <c r="BZD24" s="2235"/>
      <c r="BZE24" s="2234"/>
      <c r="BZF24" s="2235"/>
      <c r="BZG24" s="2235"/>
      <c r="BZH24" s="2234"/>
      <c r="BZI24" s="2235"/>
      <c r="BZJ24" s="2235"/>
      <c r="BZK24" s="2234"/>
      <c r="BZL24" s="2235"/>
      <c r="BZM24" s="2235"/>
      <c r="BZN24" s="2234"/>
      <c r="BZO24" s="2235"/>
      <c r="BZP24" s="2235"/>
      <c r="BZQ24" s="2234"/>
      <c r="BZR24" s="2235"/>
      <c r="BZS24" s="2235"/>
      <c r="BZT24" s="2234"/>
      <c r="BZU24" s="2235"/>
      <c r="BZV24" s="2235"/>
      <c r="BZW24" s="2234"/>
      <c r="BZX24" s="2235"/>
      <c r="BZY24" s="2235"/>
      <c r="BZZ24" s="2234"/>
      <c r="CAA24" s="2235"/>
      <c r="CAB24" s="2235"/>
      <c r="CAC24" s="2234"/>
      <c r="CAD24" s="2235"/>
      <c r="CAE24" s="2235"/>
      <c r="CAF24" s="2234"/>
      <c r="CAG24" s="2235"/>
      <c r="CAH24" s="2235"/>
      <c r="CAI24" s="2234"/>
      <c r="CAJ24" s="2235"/>
      <c r="CAK24" s="2235"/>
      <c r="CAL24" s="2234"/>
      <c r="CAM24" s="2235"/>
      <c r="CAN24" s="2235"/>
      <c r="CAO24" s="2234"/>
      <c r="CAP24" s="2235"/>
      <c r="CAQ24" s="2235"/>
      <c r="CAR24" s="2234"/>
      <c r="CAS24" s="2235"/>
      <c r="CAT24" s="2235"/>
      <c r="CAU24" s="2234"/>
      <c r="CAV24" s="2235"/>
      <c r="CAW24" s="2235"/>
      <c r="CAX24" s="2234"/>
      <c r="CAY24" s="2235"/>
      <c r="CAZ24" s="2235"/>
      <c r="CBA24" s="2234"/>
      <c r="CBB24" s="2235"/>
      <c r="CBC24" s="2235"/>
      <c r="CBD24" s="2234"/>
      <c r="CBE24" s="2235"/>
      <c r="CBF24" s="2235"/>
      <c r="CBG24" s="2234"/>
      <c r="CBH24" s="2235"/>
      <c r="CBI24" s="2235"/>
      <c r="CBJ24" s="2234"/>
      <c r="CBK24" s="2235"/>
      <c r="CBL24" s="2235"/>
      <c r="CBM24" s="2234"/>
      <c r="CBN24" s="2235"/>
      <c r="CBO24" s="2235"/>
      <c r="CBP24" s="2234"/>
      <c r="CBQ24" s="2235"/>
      <c r="CBR24" s="2235"/>
      <c r="CBS24" s="2234"/>
      <c r="CBT24" s="2235"/>
      <c r="CBU24" s="2235"/>
      <c r="CBV24" s="2234"/>
      <c r="CBW24" s="2235"/>
      <c r="CBX24" s="2235"/>
      <c r="CBY24" s="2234"/>
      <c r="CBZ24" s="2235"/>
      <c r="CCA24" s="2235"/>
      <c r="CCB24" s="2234"/>
      <c r="CCC24" s="2235"/>
      <c r="CCD24" s="2235"/>
      <c r="CCE24" s="2234"/>
      <c r="CCF24" s="2235"/>
      <c r="CCG24" s="2235"/>
      <c r="CCH24" s="2234"/>
      <c r="CCI24" s="2235"/>
      <c r="CCJ24" s="2235"/>
      <c r="CCK24" s="2234"/>
      <c r="CCL24" s="2235"/>
      <c r="CCM24" s="2235"/>
      <c r="CCN24" s="2234"/>
      <c r="CCO24" s="2235"/>
      <c r="CCP24" s="2235"/>
      <c r="CCQ24" s="2234"/>
      <c r="CCR24" s="2235"/>
      <c r="CCS24" s="2235"/>
      <c r="CCT24" s="2234"/>
      <c r="CCU24" s="2235"/>
      <c r="CCV24" s="2235"/>
      <c r="CCW24" s="2234"/>
      <c r="CCX24" s="2235"/>
      <c r="CCY24" s="2235"/>
      <c r="CCZ24" s="2234"/>
      <c r="CDA24" s="2235"/>
      <c r="CDB24" s="2235"/>
      <c r="CDC24" s="2234"/>
      <c r="CDD24" s="2235"/>
      <c r="CDE24" s="2235"/>
      <c r="CDF24" s="2234"/>
      <c r="CDG24" s="2235"/>
      <c r="CDH24" s="2235"/>
      <c r="CDI24" s="2234"/>
      <c r="CDJ24" s="2235"/>
      <c r="CDK24" s="2235"/>
      <c r="CDL24" s="2234"/>
      <c r="CDM24" s="2235"/>
      <c r="CDN24" s="2235"/>
      <c r="CDO24" s="2234"/>
      <c r="CDP24" s="2235"/>
      <c r="CDQ24" s="2235"/>
      <c r="CDR24" s="2234"/>
      <c r="CDS24" s="2235"/>
      <c r="CDT24" s="2235"/>
      <c r="CDU24" s="2234"/>
      <c r="CDV24" s="2235"/>
      <c r="CDW24" s="2235"/>
      <c r="CDX24" s="2234"/>
      <c r="CDY24" s="2235"/>
      <c r="CDZ24" s="2235"/>
      <c r="CEA24" s="2234"/>
      <c r="CEB24" s="2235"/>
      <c r="CEC24" s="2235"/>
      <c r="CED24" s="2234"/>
      <c r="CEE24" s="2235"/>
      <c r="CEF24" s="2235"/>
      <c r="CEG24" s="2234"/>
      <c r="CEH24" s="2235"/>
      <c r="CEI24" s="2235"/>
      <c r="CEJ24" s="2234"/>
      <c r="CEK24" s="2235"/>
      <c r="CEL24" s="2235"/>
      <c r="CEM24" s="2234"/>
      <c r="CEN24" s="2235"/>
      <c r="CEO24" s="2235"/>
      <c r="CEP24" s="2234"/>
      <c r="CEQ24" s="2235"/>
      <c r="CER24" s="2235"/>
      <c r="CES24" s="2234"/>
      <c r="CET24" s="2235"/>
      <c r="CEU24" s="2235"/>
      <c r="CEV24" s="2234"/>
      <c r="CEW24" s="2235"/>
      <c r="CEX24" s="2235"/>
      <c r="CEY24" s="2234"/>
      <c r="CEZ24" s="2235"/>
      <c r="CFA24" s="2235"/>
      <c r="CFB24" s="2234"/>
      <c r="CFC24" s="2235"/>
      <c r="CFD24" s="2235"/>
      <c r="CFE24" s="2234"/>
      <c r="CFF24" s="2235"/>
      <c r="CFG24" s="2235"/>
      <c r="CFH24" s="2234"/>
      <c r="CFI24" s="2235"/>
      <c r="CFJ24" s="2235"/>
      <c r="CFK24" s="2234"/>
      <c r="CFL24" s="2235"/>
      <c r="CFM24" s="2235"/>
      <c r="CFN24" s="2234"/>
      <c r="CFO24" s="2235"/>
      <c r="CFP24" s="2235"/>
      <c r="CFQ24" s="2234"/>
      <c r="CFR24" s="2235"/>
      <c r="CFS24" s="2235"/>
      <c r="CFT24" s="2234"/>
      <c r="CFU24" s="2235"/>
      <c r="CFV24" s="2235"/>
      <c r="CFW24" s="2234"/>
      <c r="CFX24" s="2235"/>
      <c r="CFY24" s="2235"/>
      <c r="CFZ24" s="2234"/>
      <c r="CGA24" s="2235"/>
      <c r="CGB24" s="2235"/>
      <c r="CGC24" s="2234"/>
      <c r="CGD24" s="2235"/>
      <c r="CGE24" s="2235"/>
      <c r="CGF24" s="2234"/>
      <c r="CGG24" s="2235"/>
      <c r="CGH24" s="2235"/>
      <c r="CGI24" s="2234"/>
      <c r="CGJ24" s="2235"/>
      <c r="CGK24" s="2235"/>
      <c r="CGL24" s="2234"/>
      <c r="CGM24" s="2235"/>
      <c r="CGN24" s="2235"/>
      <c r="CGO24" s="2234"/>
      <c r="CGP24" s="2235"/>
      <c r="CGQ24" s="2235"/>
      <c r="CGR24" s="2234"/>
      <c r="CGS24" s="2235"/>
      <c r="CGT24" s="2235"/>
      <c r="CGU24" s="2234"/>
      <c r="CGV24" s="2235"/>
      <c r="CGW24" s="2235"/>
      <c r="CGX24" s="2234"/>
      <c r="CGY24" s="2235"/>
      <c r="CGZ24" s="2235"/>
      <c r="CHA24" s="2234"/>
      <c r="CHB24" s="2235"/>
      <c r="CHC24" s="2235"/>
      <c r="CHD24" s="2234"/>
      <c r="CHE24" s="2235"/>
      <c r="CHF24" s="2235"/>
      <c r="CHG24" s="2234"/>
      <c r="CHH24" s="2235"/>
      <c r="CHI24" s="2235"/>
      <c r="CHJ24" s="2234"/>
      <c r="CHK24" s="2235"/>
      <c r="CHL24" s="2235"/>
      <c r="CHM24" s="2234"/>
      <c r="CHN24" s="2235"/>
      <c r="CHO24" s="2235"/>
      <c r="CHP24" s="2234"/>
      <c r="CHQ24" s="2235"/>
      <c r="CHR24" s="2235"/>
      <c r="CHS24" s="2234"/>
      <c r="CHT24" s="2235"/>
      <c r="CHU24" s="2235"/>
      <c r="CHV24" s="2234"/>
      <c r="CHW24" s="2235"/>
      <c r="CHX24" s="2235"/>
      <c r="CHY24" s="2234"/>
      <c r="CHZ24" s="2235"/>
      <c r="CIA24" s="2235"/>
      <c r="CIB24" s="2234"/>
      <c r="CIC24" s="2235"/>
      <c r="CID24" s="2235"/>
      <c r="CIE24" s="2234"/>
      <c r="CIF24" s="2235"/>
      <c r="CIG24" s="2235"/>
      <c r="CIH24" s="2234"/>
      <c r="CII24" s="2235"/>
      <c r="CIJ24" s="2235"/>
      <c r="CIK24" s="2234"/>
      <c r="CIL24" s="2235"/>
      <c r="CIM24" s="2235"/>
      <c r="CIN24" s="2234"/>
      <c r="CIO24" s="2235"/>
      <c r="CIP24" s="2235"/>
      <c r="CIQ24" s="2234"/>
      <c r="CIR24" s="2235"/>
      <c r="CIS24" s="2235"/>
      <c r="CIT24" s="2234"/>
      <c r="CIU24" s="2235"/>
      <c r="CIV24" s="2235"/>
      <c r="CIW24" s="2234"/>
      <c r="CIX24" s="2235"/>
      <c r="CIY24" s="2235"/>
      <c r="CIZ24" s="2234"/>
      <c r="CJA24" s="2235"/>
      <c r="CJB24" s="2235"/>
      <c r="CJC24" s="2234"/>
      <c r="CJD24" s="2235"/>
      <c r="CJE24" s="2235"/>
      <c r="CJF24" s="2234"/>
      <c r="CJG24" s="2235"/>
      <c r="CJH24" s="2235"/>
      <c r="CJI24" s="2234"/>
      <c r="CJJ24" s="2235"/>
      <c r="CJK24" s="2235"/>
      <c r="CJL24" s="2234"/>
      <c r="CJM24" s="2235"/>
      <c r="CJN24" s="2235"/>
      <c r="CJO24" s="2234"/>
      <c r="CJP24" s="2235"/>
      <c r="CJQ24" s="2235"/>
      <c r="CJR24" s="2234"/>
      <c r="CJS24" s="2235"/>
      <c r="CJT24" s="2235"/>
      <c r="CJU24" s="2234"/>
      <c r="CJV24" s="2235"/>
      <c r="CJW24" s="2235"/>
      <c r="CJX24" s="2234"/>
      <c r="CJY24" s="2235"/>
      <c r="CJZ24" s="2235"/>
      <c r="CKA24" s="2234"/>
      <c r="CKB24" s="2235"/>
      <c r="CKC24" s="2235"/>
      <c r="CKD24" s="2234"/>
      <c r="CKE24" s="2235"/>
      <c r="CKF24" s="2235"/>
      <c r="CKG24" s="2234"/>
      <c r="CKH24" s="2235"/>
      <c r="CKI24" s="2235"/>
      <c r="CKJ24" s="2234"/>
      <c r="CKK24" s="2235"/>
      <c r="CKL24" s="2235"/>
      <c r="CKM24" s="2234"/>
      <c r="CKN24" s="2235"/>
      <c r="CKO24" s="2235"/>
      <c r="CKP24" s="2234"/>
      <c r="CKQ24" s="2235"/>
      <c r="CKR24" s="2235"/>
      <c r="CKS24" s="2234"/>
      <c r="CKT24" s="2235"/>
      <c r="CKU24" s="2235"/>
      <c r="CKV24" s="2234"/>
      <c r="CKW24" s="2235"/>
      <c r="CKX24" s="2235"/>
      <c r="CKY24" s="2234"/>
      <c r="CKZ24" s="2235"/>
      <c r="CLA24" s="2235"/>
      <c r="CLB24" s="2234"/>
      <c r="CLC24" s="2235"/>
      <c r="CLD24" s="2235"/>
      <c r="CLE24" s="2234"/>
      <c r="CLF24" s="2235"/>
      <c r="CLG24" s="2235"/>
      <c r="CLH24" s="2234"/>
      <c r="CLI24" s="2235"/>
      <c r="CLJ24" s="2235"/>
      <c r="CLK24" s="2234"/>
      <c r="CLL24" s="2235"/>
      <c r="CLM24" s="2235"/>
      <c r="CLN24" s="2234"/>
      <c r="CLO24" s="2235"/>
      <c r="CLP24" s="2235"/>
      <c r="CLQ24" s="2234"/>
      <c r="CLR24" s="2235"/>
      <c r="CLS24" s="2235"/>
      <c r="CLT24" s="2234"/>
      <c r="CLU24" s="2235"/>
      <c r="CLV24" s="2235"/>
      <c r="CLW24" s="2234"/>
      <c r="CLX24" s="2235"/>
      <c r="CLY24" s="2235"/>
      <c r="CLZ24" s="2234"/>
      <c r="CMA24" s="2235"/>
      <c r="CMB24" s="2235"/>
      <c r="CMC24" s="2234"/>
      <c r="CMD24" s="2235"/>
      <c r="CME24" s="2235"/>
      <c r="CMF24" s="2234"/>
      <c r="CMG24" s="2235"/>
      <c r="CMH24" s="2235"/>
      <c r="CMI24" s="2234"/>
      <c r="CMJ24" s="2235"/>
      <c r="CMK24" s="2235"/>
      <c r="CML24" s="2234"/>
      <c r="CMM24" s="2235"/>
      <c r="CMN24" s="2235"/>
      <c r="CMO24" s="2234"/>
      <c r="CMP24" s="2235"/>
      <c r="CMQ24" s="2235"/>
      <c r="CMR24" s="2234"/>
      <c r="CMS24" s="2235"/>
      <c r="CMT24" s="2235"/>
      <c r="CMU24" s="2234"/>
      <c r="CMV24" s="2235"/>
      <c r="CMW24" s="2235"/>
      <c r="CMX24" s="2234"/>
      <c r="CMY24" s="2235"/>
      <c r="CMZ24" s="2235"/>
      <c r="CNA24" s="2234"/>
      <c r="CNB24" s="2235"/>
      <c r="CNC24" s="2235"/>
      <c r="CND24" s="2234"/>
      <c r="CNE24" s="2235"/>
      <c r="CNF24" s="2235"/>
      <c r="CNG24" s="2234"/>
      <c r="CNH24" s="2235"/>
      <c r="CNI24" s="2235"/>
      <c r="CNJ24" s="2234"/>
      <c r="CNK24" s="2235"/>
      <c r="CNL24" s="2235"/>
      <c r="CNM24" s="2234"/>
      <c r="CNN24" s="2235"/>
      <c r="CNO24" s="2235"/>
      <c r="CNP24" s="2234"/>
      <c r="CNQ24" s="2235"/>
      <c r="CNR24" s="2235"/>
      <c r="CNS24" s="2234"/>
      <c r="CNT24" s="2235"/>
      <c r="CNU24" s="2235"/>
      <c r="CNV24" s="2234"/>
      <c r="CNW24" s="2235"/>
      <c r="CNX24" s="2235"/>
      <c r="CNY24" s="2234"/>
      <c r="CNZ24" s="2235"/>
      <c r="COA24" s="2235"/>
      <c r="COB24" s="2234"/>
      <c r="COC24" s="2235"/>
      <c r="COD24" s="2235"/>
      <c r="COE24" s="2234"/>
      <c r="COF24" s="2235"/>
      <c r="COG24" s="2235"/>
      <c r="COH24" s="2234"/>
      <c r="COI24" s="2235"/>
      <c r="COJ24" s="2235"/>
      <c r="COK24" s="2234"/>
      <c r="COL24" s="2235"/>
      <c r="COM24" s="2235"/>
      <c r="CON24" s="2234"/>
      <c r="COO24" s="2235"/>
      <c r="COP24" s="2235"/>
      <c r="COQ24" s="2234"/>
      <c r="COR24" s="2235"/>
      <c r="COS24" s="2235"/>
      <c r="COT24" s="2234"/>
      <c r="COU24" s="2235"/>
      <c r="COV24" s="2235"/>
      <c r="COW24" s="2234"/>
      <c r="COX24" s="2235"/>
      <c r="COY24" s="2235"/>
      <c r="COZ24" s="2234"/>
      <c r="CPA24" s="2235"/>
      <c r="CPB24" s="2235"/>
      <c r="CPC24" s="2234"/>
      <c r="CPD24" s="2235"/>
      <c r="CPE24" s="2235"/>
      <c r="CPF24" s="2234"/>
      <c r="CPG24" s="2235"/>
      <c r="CPH24" s="2235"/>
      <c r="CPI24" s="2234"/>
      <c r="CPJ24" s="2235"/>
      <c r="CPK24" s="2235"/>
      <c r="CPL24" s="2234"/>
      <c r="CPM24" s="2235"/>
      <c r="CPN24" s="2235"/>
      <c r="CPO24" s="2234"/>
      <c r="CPP24" s="2235"/>
      <c r="CPQ24" s="2235"/>
      <c r="CPR24" s="2234"/>
      <c r="CPS24" s="2235"/>
      <c r="CPT24" s="2235"/>
      <c r="CPU24" s="2234"/>
      <c r="CPV24" s="2235"/>
      <c r="CPW24" s="2235"/>
      <c r="CPX24" s="2234"/>
      <c r="CPY24" s="2235"/>
      <c r="CPZ24" s="2235"/>
      <c r="CQA24" s="2234"/>
      <c r="CQB24" s="2235"/>
      <c r="CQC24" s="2235"/>
      <c r="CQD24" s="2234"/>
      <c r="CQE24" s="2235"/>
      <c r="CQF24" s="2235"/>
      <c r="CQG24" s="2234"/>
      <c r="CQH24" s="2235"/>
      <c r="CQI24" s="2235"/>
      <c r="CQJ24" s="2234"/>
      <c r="CQK24" s="2235"/>
      <c r="CQL24" s="2235"/>
      <c r="CQM24" s="2234"/>
      <c r="CQN24" s="2235"/>
      <c r="CQO24" s="2235"/>
      <c r="CQP24" s="2234"/>
      <c r="CQQ24" s="2235"/>
      <c r="CQR24" s="2235"/>
      <c r="CQS24" s="2234"/>
      <c r="CQT24" s="2235"/>
      <c r="CQU24" s="2235"/>
      <c r="CQV24" s="2234"/>
      <c r="CQW24" s="2235"/>
      <c r="CQX24" s="2235"/>
      <c r="CQY24" s="2234"/>
      <c r="CQZ24" s="2235"/>
      <c r="CRA24" s="2235"/>
      <c r="CRB24" s="2234"/>
      <c r="CRC24" s="2235"/>
      <c r="CRD24" s="2235"/>
      <c r="CRE24" s="2234"/>
      <c r="CRF24" s="2235"/>
      <c r="CRG24" s="2235"/>
      <c r="CRH24" s="2234"/>
      <c r="CRI24" s="2235"/>
      <c r="CRJ24" s="2235"/>
      <c r="CRK24" s="2234"/>
      <c r="CRL24" s="2235"/>
      <c r="CRM24" s="2235"/>
      <c r="CRN24" s="2234"/>
      <c r="CRO24" s="2235"/>
      <c r="CRP24" s="2235"/>
      <c r="CRQ24" s="2234"/>
      <c r="CRR24" s="2235"/>
      <c r="CRS24" s="2235"/>
      <c r="CRT24" s="2234"/>
      <c r="CRU24" s="2235"/>
      <c r="CRV24" s="2235"/>
      <c r="CRW24" s="2234"/>
      <c r="CRX24" s="2235"/>
      <c r="CRY24" s="2235"/>
      <c r="CRZ24" s="2234"/>
      <c r="CSA24" s="2235"/>
      <c r="CSB24" s="2235"/>
      <c r="CSC24" s="2234"/>
      <c r="CSD24" s="2235"/>
      <c r="CSE24" s="2235"/>
      <c r="CSF24" s="2234"/>
      <c r="CSG24" s="2235"/>
      <c r="CSH24" s="2235"/>
      <c r="CSI24" s="2234"/>
      <c r="CSJ24" s="2235"/>
      <c r="CSK24" s="2235"/>
      <c r="CSL24" s="2234"/>
      <c r="CSM24" s="2235"/>
      <c r="CSN24" s="2235"/>
      <c r="CSO24" s="2234"/>
      <c r="CSP24" s="2235"/>
      <c r="CSQ24" s="2235"/>
      <c r="CSR24" s="2234"/>
      <c r="CSS24" s="2235"/>
      <c r="CST24" s="2235"/>
      <c r="CSU24" s="2234"/>
      <c r="CSV24" s="2235"/>
      <c r="CSW24" s="2235"/>
      <c r="CSX24" s="2234"/>
      <c r="CSY24" s="2235"/>
      <c r="CSZ24" s="2235"/>
      <c r="CTA24" s="2234"/>
      <c r="CTB24" s="2235"/>
      <c r="CTC24" s="2235"/>
      <c r="CTD24" s="2234"/>
      <c r="CTE24" s="2235"/>
      <c r="CTF24" s="2235"/>
      <c r="CTG24" s="2234"/>
      <c r="CTH24" s="2235"/>
      <c r="CTI24" s="2235"/>
      <c r="CTJ24" s="2234"/>
      <c r="CTK24" s="2235"/>
      <c r="CTL24" s="2235"/>
      <c r="CTM24" s="2234"/>
      <c r="CTN24" s="2235"/>
      <c r="CTO24" s="2235"/>
      <c r="CTP24" s="2234"/>
      <c r="CTQ24" s="2235"/>
      <c r="CTR24" s="2235"/>
      <c r="CTS24" s="2234"/>
      <c r="CTT24" s="2235"/>
      <c r="CTU24" s="2235"/>
      <c r="CTV24" s="2234"/>
      <c r="CTW24" s="2235"/>
      <c r="CTX24" s="2235"/>
      <c r="CTY24" s="2234"/>
      <c r="CTZ24" s="2235"/>
      <c r="CUA24" s="2235"/>
      <c r="CUB24" s="2234"/>
      <c r="CUC24" s="2235"/>
      <c r="CUD24" s="2235"/>
      <c r="CUE24" s="2234"/>
      <c r="CUF24" s="2235"/>
      <c r="CUG24" s="2235"/>
      <c r="CUH24" s="2234"/>
      <c r="CUI24" s="2235"/>
      <c r="CUJ24" s="2235"/>
      <c r="CUK24" s="2234"/>
      <c r="CUL24" s="2235"/>
      <c r="CUM24" s="2235"/>
      <c r="CUN24" s="2234"/>
      <c r="CUO24" s="2235"/>
      <c r="CUP24" s="2235"/>
      <c r="CUQ24" s="2234"/>
      <c r="CUR24" s="2235"/>
      <c r="CUS24" s="2235"/>
      <c r="CUT24" s="2234"/>
      <c r="CUU24" s="2235"/>
      <c r="CUV24" s="2235"/>
      <c r="CUW24" s="2234"/>
      <c r="CUX24" s="2235"/>
      <c r="CUY24" s="2235"/>
      <c r="CUZ24" s="2234"/>
      <c r="CVA24" s="2235"/>
      <c r="CVB24" s="2235"/>
      <c r="CVC24" s="2234"/>
      <c r="CVD24" s="2235"/>
      <c r="CVE24" s="2235"/>
      <c r="CVF24" s="2234"/>
      <c r="CVG24" s="2235"/>
      <c r="CVH24" s="2235"/>
      <c r="CVI24" s="2234"/>
      <c r="CVJ24" s="2235"/>
      <c r="CVK24" s="2235"/>
      <c r="CVL24" s="2234"/>
      <c r="CVM24" s="2235"/>
      <c r="CVN24" s="2235"/>
      <c r="CVO24" s="2234"/>
      <c r="CVP24" s="2235"/>
      <c r="CVQ24" s="2235"/>
      <c r="CVR24" s="2234"/>
      <c r="CVS24" s="2235"/>
      <c r="CVT24" s="2235"/>
      <c r="CVU24" s="2234"/>
      <c r="CVV24" s="2235"/>
      <c r="CVW24" s="2235"/>
      <c r="CVX24" s="2234"/>
      <c r="CVY24" s="2235"/>
      <c r="CVZ24" s="2235"/>
      <c r="CWA24" s="2234"/>
      <c r="CWB24" s="2235"/>
      <c r="CWC24" s="2235"/>
      <c r="CWD24" s="2234"/>
      <c r="CWE24" s="2235"/>
      <c r="CWF24" s="2235"/>
      <c r="CWG24" s="2234"/>
      <c r="CWH24" s="2235"/>
      <c r="CWI24" s="2235"/>
      <c r="CWJ24" s="2234"/>
      <c r="CWK24" s="2235"/>
      <c r="CWL24" s="2235"/>
      <c r="CWM24" s="2234"/>
      <c r="CWN24" s="2235"/>
      <c r="CWO24" s="2235"/>
      <c r="CWP24" s="2234"/>
      <c r="CWQ24" s="2235"/>
      <c r="CWR24" s="2235"/>
      <c r="CWS24" s="2234"/>
      <c r="CWT24" s="2235"/>
      <c r="CWU24" s="2235"/>
      <c r="CWV24" s="2234"/>
      <c r="CWW24" s="2235"/>
      <c r="CWX24" s="2235"/>
      <c r="CWY24" s="2234"/>
      <c r="CWZ24" s="2235"/>
      <c r="CXA24" s="2235"/>
      <c r="CXB24" s="2234"/>
      <c r="CXC24" s="2235"/>
      <c r="CXD24" s="2235"/>
      <c r="CXE24" s="2234"/>
      <c r="CXF24" s="2235"/>
      <c r="CXG24" s="2235"/>
      <c r="CXH24" s="2234"/>
      <c r="CXI24" s="2235"/>
      <c r="CXJ24" s="2235"/>
      <c r="CXK24" s="2234"/>
      <c r="CXL24" s="2235"/>
      <c r="CXM24" s="2235"/>
      <c r="CXN24" s="2234"/>
      <c r="CXO24" s="2235"/>
      <c r="CXP24" s="2235"/>
      <c r="CXQ24" s="2234"/>
      <c r="CXR24" s="2235"/>
      <c r="CXS24" s="2235"/>
      <c r="CXT24" s="2234"/>
      <c r="CXU24" s="2235"/>
      <c r="CXV24" s="2235"/>
      <c r="CXW24" s="2234"/>
      <c r="CXX24" s="2235"/>
      <c r="CXY24" s="2235"/>
      <c r="CXZ24" s="2234"/>
      <c r="CYA24" s="2235"/>
      <c r="CYB24" s="2235"/>
      <c r="CYC24" s="2234"/>
      <c r="CYD24" s="2235"/>
      <c r="CYE24" s="2235"/>
      <c r="CYF24" s="2234"/>
      <c r="CYG24" s="2235"/>
      <c r="CYH24" s="2235"/>
      <c r="CYI24" s="2234"/>
      <c r="CYJ24" s="2235"/>
      <c r="CYK24" s="2235"/>
      <c r="CYL24" s="2234"/>
      <c r="CYM24" s="2235"/>
      <c r="CYN24" s="2235"/>
      <c r="CYO24" s="2234"/>
      <c r="CYP24" s="2235"/>
      <c r="CYQ24" s="2235"/>
      <c r="CYR24" s="2234"/>
      <c r="CYS24" s="2235"/>
      <c r="CYT24" s="2235"/>
      <c r="CYU24" s="2234"/>
      <c r="CYV24" s="2235"/>
      <c r="CYW24" s="2235"/>
      <c r="CYX24" s="2234"/>
      <c r="CYY24" s="2235"/>
      <c r="CYZ24" s="2235"/>
      <c r="CZA24" s="2234"/>
      <c r="CZB24" s="2235"/>
      <c r="CZC24" s="2235"/>
      <c r="CZD24" s="2234"/>
      <c r="CZE24" s="2235"/>
      <c r="CZF24" s="2235"/>
      <c r="CZG24" s="2234"/>
      <c r="CZH24" s="2235"/>
      <c r="CZI24" s="2235"/>
      <c r="CZJ24" s="2234"/>
      <c r="CZK24" s="2235"/>
      <c r="CZL24" s="2235"/>
      <c r="CZM24" s="2234"/>
      <c r="CZN24" s="2235"/>
      <c r="CZO24" s="2235"/>
      <c r="CZP24" s="2234"/>
      <c r="CZQ24" s="2235"/>
      <c r="CZR24" s="2235"/>
      <c r="CZS24" s="2234"/>
      <c r="CZT24" s="2235"/>
      <c r="CZU24" s="2235"/>
      <c r="CZV24" s="2234"/>
      <c r="CZW24" s="2235"/>
      <c r="CZX24" s="2235"/>
      <c r="CZY24" s="2234"/>
      <c r="CZZ24" s="2235"/>
      <c r="DAA24" s="2235"/>
      <c r="DAB24" s="2234"/>
      <c r="DAC24" s="2235"/>
      <c r="DAD24" s="2235"/>
      <c r="DAE24" s="2234"/>
      <c r="DAF24" s="2235"/>
      <c r="DAG24" s="2235"/>
      <c r="DAH24" s="2234"/>
      <c r="DAI24" s="2235"/>
      <c r="DAJ24" s="2235"/>
      <c r="DAK24" s="2234"/>
      <c r="DAL24" s="2235"/>
      <c r="DAM24" s="2235"/>
      <c r="DAN24" s="2234"/>
      <c r="DAO24" s="2235"/>
      <c r="DAP24" s="2235"/>
      <c r="DAQ24" s="2234"/>
      <c r="DAR24" s="2235"/>
      <c r="DAS24" s="2235"/>
      <c r="DAT24" s="2234"/>
      <c r="DAU24" s="2235"/>
      <c r="DAV24" s="2235"/>
      <c r="DAW24" s="2234"/>
      <c r="DAX24" s="2235"/>
      <c r="DAY24" s="2235"/>
      <c r="DAZ24" s="2234"/>
      <c r="DBA24" s="2235"/>
      <c r="DBB24" s="2235"/>
      <c r="DBC24" s="2234"/>
      <c r="DBD24" s="2235"/>
      <c r="DBE24" s="2235"/>
      <c r="DBF24" s="2234"/>
      <c r="DBG24" s="2235"/>
      <c r="DBH24" s="2235"/>
      <c r="DBI24" s="2234"/>
      <c r="DBJ24" s="2235"/>
      <c r="DBK24" s="2235"/>
      <c r="DBL24" s="2234"/>
      <c r="DBM24" s="2235"/>
      <c r="DBN24" s="2235"/>
      <c r="DBO24" s="2234"/>
      <c r="DBP24" s="2235"/>
      <c r="DBQ24" s="2235"/>
      <c r="DBR24" s="2234"/>
      <c r="DBS24" s="2235"/>
      <c r="DBT24" s="2235"/>
      <c r="DBU24" s="2234"/>
      <c r="DBV24" s="2235"/>
      <c r="DBW24" s="2235"/>
      <c r="DBX24" s="2234"/>
      <c r="DBY24" s="2235"/>
      <c r="DBZ24" s="2235"/>
      <c r="DCA24" s="2234"/>
      <c r="DCB24" s="2235"/>
      <c r="DCC24" s="2235"/>
      <c r="DCD24" s="2234"/>
      <c r="DCE24" s="2235"/>
      <c r="DCF24" s="2235"/>
      <c r="DCG24" s="2234"/>
      <c r="DCH24" s="2235"/>
      <c r="DCI24" s="2235"/>
      <c r="DCJ24" s="2234"/>
      <c r="DCK24" s="2235"/>
      <c r="DCL24" s="2235"/>
      <c r="DCM24" s="2234"/>
      <c r="DCN24" s="2235"/>
      <c r="DCO24" s="2235"/>
      <c r="DCP24" s="2234"/>
      <c r="DCQ24" s="2235"/>
      <c r="DCR24" s="2235"/>
      <c r="DCS24" s="2234"/>
      <c r="DCT24" s="2235"/>
      <c r="DCU24" s="2235"/>
      <c r="DCV24" s="2234"/>
      <c r="DCW24" s="2235"/>
      <c r="DCX24" s="2235"/>
      <c r="DCY24" s="2234"/>
      <c r="DCZ24" s="2235"/>
      <c r="DDA24" s="2235"/>
      <c r="DDB24" s="2234"/>
      <c r="DDC24" s="2235"/>
      <c r="DDD24" s="2235"/>
      <c r="DDE24" s="2234"/>
      <c r="DDF24" s="2235"/>
      <c r="DDG24" s="2235"/>
      <c r="DDH24" s="2234"/>
      <c r="DDI24" s="2235"/>
      <c r="DDJ24" s="2235"/>
      <c r="DDK24" s="2234"/>
      <c r="DDL24" s="2235"/>
      <c r="DDM24" s="2235"/>
      <c r="DDN24" s="2234"/>
      <c r="DDO24" s="2235"/>
      <c r="DDP24" s="2235"/>
      <c r="DDQ24" s="2234"/>
      <c r="DDR24" s="2235"/>
      <c r="DDS24" s="2235"/>
      <c r="DDT24" s="2234"/>
      <c r="DDU24" s="2235"/>
      <c r="DDV24" s="2235"/>
      <c r="DDW24" s="2234"/>
      <c r="DDX24" s="2235"/>
      <c r="DDY24" s="2235"/>
      <c r="DDZ24" s="2234"/>
      <c r="DEA24" s="2235"/>
      <c r="DEB24" s="2235"/>
      <c r="DEC24" s="2234"/>
      <c r="DED24" s="2235"/>
      <c r="DEE24" s="2235"/>
      <c r="DEF24" s="2234"/>
      <c r="DEG24" s="2235"/>
      <c r="DEH24" s="2235"/>
      <c r="DEI24" s="2234"/>
      <c r="DEJ24" s="2235"/>
      <c r="DEK24" s="2235"/>
      <c r="DEL24" s="2234"/>
      <c r="DEM24" s="2235"/>
      <c r="DEN24" s="2235"/>
      <c r="DEO24" s="2234"/>
      <c r="DEP24" s="2235"/>
      <c r="DEQ24" s="2235"/>
      <c r="DER24" s="2234"/>
      <c r="DES24" s="2235"/>
      <c r="DET24" s="2235"/>
      <c r="DEU24" s="2234"/>
      <c r="DEV24" s="2235"/>
      <c r="DEW24" s="2235"/>
      <c r="DEX24" s="2234"/>
      <c r="DEY24" s="2235"/>
      <c r="DEZ24" s="2235"/>
      <c r="DFA24" s="2234"/>
      <c r="DFB24" s="2235"/>
      <c r="DFC24" s="2235"/>
      <c r="DFD24" s="2234"/>
      <c r="DFE24" s="2235"/>
      <c r="DFF24" s="2235"/>
      <c r="DFG24" s="2234"/>
      <c r="DFH24" s="2235"/>
      <c r="DFI24" s="2235"/>
      <c r="DFJ24" s="2234"/>
      <c r="DFK24" s="2235"/>
      <c r="DFL24" s="2235"/>
      <c r="DFM24" s="2234"/>
      <c r="DFN24" s="2235"/>
      <c r="DFO24" s="2235"/>
      <c r="DFP24" s="2234"/>
      <c r="DFQ24" s="2235"/>
      <c r="DFR24" s="2235"/>
      <c r="DFS24" s="2234"/>
      <c r="DFT24" s="2235"/>
      <c r="DFU24" s="2235"/>
      <c r="DFV24" s="2234"/>
      <c r="DFW24" s="2235"/>
      <c r="DFX24" s="2235"/>
      <c r="DFY24" s="2234"/>
      <c r="DFZ24" s="2235"/>
      <c r="DGA24" s="2235"/>
      <c r="DGB24" s="2234"/>
      <c r="DGC24" s="2235"/>
      <c r="DGD24" s="2235"/>
      <c r="DGE24" s="2234"/>
      <c r="DGF24" s="2235"/>
      <c r="DGG24" s="2235"/>
      <c r="DGH24" s="2234"/>
      <c r="DGI24" s="2235"/>
      <c r="DGJ24" s="2235"/>
      <c r="DGK24" s="2234"/>
      <c r="DGL24" s="2235"/>
      <c r="DGM24" s="2235"/>
      <c r="DGN24" s="2234"/>
      <c r="DGO24" s="2235"/>
      <c r="DGP24" s="2235"/>
      <c r="DGQ24" s="2234"/>
      <c r="DGR24" s="2235"/>
      <c r="DGS24" s="2235"/>
      <c r="DGT24" s="2234"/>
      <c r="DGU24" s="2235"/>
      <c r="DGV24" s="2235"/>
      <c r="DGW24" s="2234"/>
      <c r="DGX24" s="2235"/>
      <c r="DGY24" s="2235"/>
      <c r="DGZ24" s="2234"/>
      <c r="DHA24" s="2235"/>
      <c r="DHB24" s="2235"/>
      <c r="DHC24" s="2234"/>
      <c r="DHD24" s="2235"/>
      <c r="DHE24" s="2235"/>
      <c r="DHF24" s="2234"/>
      <c r="DHG24" s="2235"/>
      <c r="DHH24" s="2235"/>
      <c r="DHI24" s="2234"/>
      <c r="DHJ24" s="2235"/>
      <c r="DHK24" s="2235"/>
      <c r="DHL24" s="2234"/>
      <c r="DHM24" s="2235"/>
      <c r="DHN24" s="2235"/>
      <c r="DHO24" s="2234"/>
      <c r="DHP24" s="2235"/>
      <c r="DHQ24" s="2235"/>
      <c r="DHR24" s="2234"/>
      <c r="DHS24" s="2235"/>
      <c r="DHT24" s="2235"/>
      <c r="DHU24" s="2234"/>
      <c r="DHV24" s="2235"/>
      <c r="DHW24" s="2235"/>
      <c r="DHX24" s="2234"/>
      <c r="DHY24" s="2235"/>
      <c r="DHZ24" s="2235"/>
      <c r="DIA24" s="2234"/>
      <c r="DIB24" s="2235"/>
      <c r="DIC24" s="2235"/>
      <c r="DID24" s="2234"/>
      <c r="DIE24" s="2235"/>
      <c r="DIF24" s="2235"/>
      <c r="DIG24" s="2234"/>
      <c r="DIH24" s="2235"/>
      <c r="DII24" s="2235"/>
      <c r="DIJ24" s="2234"/>
      <c r="DIK24" s="2235"/>
      <c r="DIL24" s="2235"/>
      <c r="DIM24" s="2234"/>
      <c r="DIN24" s="2235"/>
      <c r="DIO24" s="2235"/>
      <c r="DIP24" s="2234"/>
      <c r="DIQ24" s="2235"/>
      <c r="DIR24" s="2235"/>
      <c r="DIS24" s="2234"/>
      <c r="DIT24" s="2235"/>
      <c r="DIU24" s="2235"/>
      <c r="DIV24" s="2234"/>
      <c r="DIW24" s="2235"/>
      <c r="DIX24" s="2235"/>
      <c r="DIY24" s="2234"/>
      <c r="DIZ24" s="2235"/>
      <c r="DJA24" s="2235"/>
      <c r="DJB24" s="2234"/>
      <c r="DJC24" s="2235"/>
      <c r="DJD24" s="2235"/>
      <c r="DJE24" s="2234"/>
      <c r="DJF24" s="2235"/>
      <c r="DJG24" s="2235"/>
      <c r="DJH24" s="2234"/>
      <c r="DJI24" s="2235"/>
      <c r="DJJ24" s="2235"/>
      <c r="DJK24" s="2234"/>
      <c r="DJL24" s="2235"/>
      <c r="DJM24" s="2235"/>
      <c r="DJN24" s="2234"/>
      <c r="DJO24" s="2235"/>
      <c r="DJP24" s="2235"/>
      <c r="DJQ24" s="2234"/>
      <c r="DJR24" s="2235"/>
      <c r="DJS24" s="2235"/>
      <c r="DJT24" s="2234"/>
      <c r="DJU24" s="2235"/>
      <c r="DJV24" s="2235"/>
      <c r="DJW24" s="2234"/>
      <c r="DJX24" s="2235"/>
      <c r="DJY24" s="2235"/>
      <c r="DJZ24" s="2234"/>
      <c r="DKA24" s="2235"/>
      <c r="DKB24" s="2235"/>
      <c r="DKC24" s="2234"/>
      <c r="DKD24" s="2235"/>
      <c r="DKE24" s="2235"/>
      <c r="DKF24" s="2234"/>
      <c r="DKG24" s="2235"/>
      <c r="DKH24" s="2235"/>
      <c r="DKI24" s="2234"/>
      <c r="DKJ24" s="2235"/>
      <c r="DKK24" s="2235"/>
      <c r="DKL24" s="2234"/>
      <c r="DKM24" s="2235"/>
      <c r="DKN24" s="2235"/>
      <c r="DKO24" s="2234"/>
      <c r="DKP24" s="2235"/>
      <c r="DKQ24" s="2235"/>
      <c r="DKR24" s="2234"/>
      <c r="DKS24" s="2235"/>
      <c r="DKT24" s="2235"/>
      <c r="DKU24" s="2234"/>
      <c r="DKV24" s="2235"/>
      <c r="DKW24" s="2235"/>
      <c r="DKX24" s="2234"/>
      <c r="DKY24" s="2235"/>
      <c r="DKZ24" s="2235"/>
      <c r="DLA24" s="2234"/>
      <c r="DLB24" s="2235"/>
      <c r="DLC24" s="2235"/>
      <c r="DLD24" s="2234"/>
      <c r="DLE24" s="2235"/>
      <c r="DLF24" s="2235"/>
      <c r="DLG24" s="2234"/>
      <c r="DLH24" s="2235"/>
      <c r="DLI24" s="2235"/>
      <c r="DLJ24" s="2234"/>
      <c r="DLK24" s="2235"/>
      <c r="DLL24" s="2235"/>
      <c r="DLM24" s="2234"/>
      <c r="DLN24" s="2235"/>
      <c r="DLO24" s="2235"/>
      <c r="DLP24" s="2234"/>
      <c r="DLQ24" s="2235"/>
      <c r="DLR24" s="2235"/>
      <c r="DLS24" s="2234"/>
      <c r="DLT24" s="2235"/>
      <c r="DLU24" s="2235"/>
      <c r="DLV24" s="2234"/>
      <c r="DLW24" s="2235"/>
      <c r="DLX24" s="2235"/>
      <c r="DLY24" s="2234"/>
      <c r="DLZ24" s="2235"/>
      <c r="DMA24" s="2235"/>
      <c r="DMB24" s="2234"/>
      <c r="DMC24" s="2235"/>
      <c r="DMD24" s="2235"/>
      <c r="DME24" s="2234"/>
      <c r="DMF24" s="2235"/>
      <c r="DMG24" s="2235"/>
      <c r="DMH24" s="2234"/>
      <c r="DMI24" s="2235"/>
      <c r="DMJ24" s="2235"/>
      <c r="DMK24" s="2234"/>
      <c r="DML24" s="2235"/>
      <c r="DMM24" s="2235"/>
      <c r="DMN24" s="2234"/>
      <c r="DMO24" s="2235"/>
      <c r="DMP24" s="2235"/>
      <c r="DMQ24" s="2234"/>
      <c r="DMR24" s="2235"/>
      <c r="DMS24" s="2235"/>
      <c r="DMT24" s="2234"/>
      <c r="DMU24" s="2235"/>
      <c r="DMV24" s="2235"/>
      <c r="DMW24" s="2234"/>
      <c r="DMX24" s="2235"/>
      <c r="DMY24" s="2235"/>
      <c r="DMZ24" s="2234"/>
      <c r="DNA24" s="2235"/>
      <c r="DNB24" s="2235"/>
      <c r="DNC24" s="2234"/>
      <c r="DND24" s="2235"/>
      <c r="DNE24" s="2235"/>
      <c r="DNF24" s="2234"/>
      <c r="DNG24" s="2235"/>
      <c r="DNH24" s="2235"/>
      <c r="DNI24" s="2234"/>
      <c r="DNJ24" s="2235"/>
      <c r="DNK24" s="2235"/>
      <c r="DNL24" s="2234"/>
      <c r="DNM24" s="2235"/>
      <c r="DNN24" s="2235"/>
      <c r="DNO24" s="2234"/>
      <c r="DNP24" s="2235"/>
      <c r="DNQ24" s="2235"/>
      <c r="DNR24" s="2234"/>
      <c r="DNS24" s="2235"/>
      <c r="DNT24" s="2235"/>
      <c r="DNU24" s="2234"/>
      <c r="DNV24" s="2235"/>
      <c r="DNW24" s="2235"/>
      <c r="DNX24" s="2234"/>
      <c r="DNY24" s="2235"/>
      <c r="DNZ24" s="2235"/>
      <c r="DOA24" s="2234"/>
      <c r="DOB24" s="2235"/>
      <c r="DOC24" s="2235"/>
      <c r="DOD24" s="2234"/>
      <c r="DOE24" s="2235"/>
      <c r="DOF24" s="2235"/>
      <c r="DOG24" s="2234"/>
      <c r="DOH24" s="2235"/>
      <c r="DOI24" s="2235"/>
      <c r="DOJ24" s="2234"/>
      <c r="DOK24" s="2235"/>
      <c r="DOL24" s="2235"/>
      <c r="DOM24" s="2234"/>
      <c r="DON24" s="2235"/>
      <c r="DOO24" s="2235"/>
      <c r="DOP24" s="2234"/>
      <c r="DOQ24" s="2235"/>
      <c r="DOR24" s="2235"/>
      <c r="DOS24" s="2234"/>
      <c r="DOT24" s="2235"/>
      <c r="DOU24" s="2235"/>
      <c r="DOV24" s="2234"/>
      <c r="DOW24" s="2235"/>
      <c r="DOX24" s="2235"/>
      <c r="DOY24" s="2234"/>
      <c r="DOZ24" s="2235"/>
      <c r="DPA24" s="2235"/>
      <c r="DPB24" s="2234"/>
      <c r="DPC24" s="2235"/>
      <c r="DPD24" s="2235"/>
      <c r="DPE24" s="2234"/>
      <c r="DPF24" s="2235"/>
      <c r="DPG24" s="2235"/>
      <c r="DPH24" s="2234"/>
      <c r="DPI24" s="2235"/>
      <c r="DPJ24" s="2235"/>
      <c r="DPK24" s="2234"/>
      <c r="DPL24" s="2235"/>
      <c r="DPM24" s="2235"/>
      <c r="DPN24" s="2234"/>
      <c r="DPO24" s="2235"/>
      <c r="DPP24" s="2235"/>
      <c r="DPQ24" s="2234"/>
      <c r="DPR24" s="2235"/>
      <c r="DPS24" s="2235"/>
      <c r="DPT24" s="2234"/>
      <c r="DPU24" s="2235"/>
      <c r="DPV24" s="2235"/>
      <c r="DPW24" s="2234"/>
      <c r="DPX24" s="2235"/>
      <c r="DPY24" s="2235"/>
      <c r="DPZ24" s="2234"/>
      <c r="DQA24" s="2235"/>
      <c r="DQB24" s="2235"/>
      <c r="DQC24" s="2234"/>
      <c r="DQD24" s="2235"/>
      <c r="DQE24" s="2235"/>
      <c r="DQF24" s="2234"/>
      <c r="DQG24" s="2235"/>
      <c r="DQH24" s="2235"/>
      <c r="DQI24" s="2234"/>
      <c r="DQJ24" s="2235"/>
      <c r="DQK24" s="2235"/>
      <c r="DQL24" s="2234"/>
      <c r="DQM24" s="2235"/>
      <c r="DQN24" s="2235"/>
      <c r="DQO24" s="2234"/>
      <c r="DQP24" s="2235"/>
      <c r="DQQ24" s="2235"/>
      <c r="DQR24" s="2234"/>
      <c r="DQS24" s="2235"/>
      <c r="DQT24" s="2235"/>
      <c r="DQU24" s="2234"/>
      <c r="DQV24" s="2235"/>
      <c r="DQW24" s="2235"/>
      <c r="DQX24" s="2234"/>
      <c r="DQY24" s="2235"/>
      <c r="DQZ24" s="2235"/>
      <c r="DRA24" s="2234"/>
      <c r="DRB24" s="2235"/>
      <c r="DRC24" s="2235"/>
      <c r="DRD24" s="2234"/>
      <c r="DRE24" s="2235"/>
      <c r="DRF24" s="2235"/>
      <c r="DRG24" s="2234"/>
      <c r="DRH24" s="2235"/>
      <c r="DRI24" s="2235"/>
      <c r="DRJ24" s="2234"/>
      <c r="DRK24" s="2235"/>
      <c r="DRL24" s="2235"/>
      <c r="DRM24" s="2234"/>
      <c r="DRN24" s="2235"/>
      <c r="DRO24" s="2235"/>
      <c r="DRP24" s="2234"/>
      <c r="DRQ24" s="2235"/>
      <c r="DRR24" s="2235"/>
      <c r="DRS24" s="2234"/>
      <c r="DRT24" s="2235"/>
      <c r="DRU24" s="2235"/>
      <c r="DRV24" s="2234"/>
      <c r="DRW24" s="2235"/>
      <c r="DRX24" s="2235"/>
      <c r="DRY24" s="2234"/>
      <c r="DRZ24" s="2235"/>
      <c r="DSA24" s="2235"/>
      <c r="DSB24" s="2234"/>
      <c r="DSC24" s="2235"/>
      <c r="DSD24" s="2235"/>
      <c r="DSE24" s="2234"/>
      <c r="DSF24" s="2235"/>
      <c r="DSG24" s="2235"/>
      <c r="DSH24" s="2234"/>
      <c r="DSI24" s="2235"/>
      <c r="DSJ24" s="2235"/>
      <c r="DSK24" s="2234"/>
      <c r="DSL24" s="2235"/>
      <c r="DSM24" s="2235"/>
      <c r="DSN24" s="2234"/>
      <c r="DSO24" s="2235"/>
      <c r="DSP24" s="2235"/>
      <c r="DSQ24" s="2234"/>
      <c r="DSR24" s="2235"/>
      <c r="DSS24" s="2235"/>
      <c r="DST24" s="2234"/>
      <c r="DSU24" s="2235"/>
      <c r="DSV24" s="2235"/>
      <c r="DSW24" s="2234"/>
      <c r="DSX24" s="2235"/>
      <c r="DSY24" s="2235"/>
      <c r="DSZ24" s="2234"/>
      <c r="DTA24" s="2235"/>
      <c r="DTB24" s="2235"/>
      <c r="DTC24" s="2234"/>
      <c r="DTD24" s="2235"/>
      <c r="DTE24" s="2235"/>
      <c r="DTF24" s="2234"/>
      <c r="DTG24" s="2235"/>
      <c r="DTH24" s="2235"/>
      <c r="DTI24" s="2234"/>
      <c r="DTJ24" s="2235"/>
      <c r="DTK24" s="2235"/>
      <c r="DTL24" s="2234"/>
      <c r="DTM24" s="2235"/>
      <c r="DTN24" s="2235"/>
      <c r="DTO24" s="2234"/>
      <c r="DTP24" s="2235"/>
      <c r="DTQ24" s="2235"/>
      <c r="DTR24" s="2234"/>
      <c r="DTS24" s="2235"/>
      <c r="DTT24" s="2235"/>
      <c r="DTU24" s="2234"/>
      <c r="DTV24" s="2235"/>
      <c r="DTW24" s="2235"/>
      <c r="DTX24" s="2234"/>
      <c r="DTY24" s="2235"/>
      <c r="DTZ24" s="2235"/>
      <c r="DUA24" s="2234"/>
      <c r="DUB24" s="2235"/>
      <c r="DUC24" s="2235"/>
      <c r="DUD24" s="2234"/>
      <c r="DUE24" s="2235"/>
      <c r="DUF24" s="2235"/>
      <c r="DUG24" s="2234"/>
      <c r="DUH24" s="2235"/>
      <c r="DUI24" s="2235"/>
      <c r="DUJ24" s="2234"/>
      <c r="DUK24" s="2235"/>
      <c r="DUL24" s="2235"/>
      <c r="DUM24" s="2234"/>
      <c r="DUN24" s="2235"/>
      <c r="DUO24" s="2235"/>
      <c r="DUP24" s="2234"/>
      <c r="DUQ24" s="2235"/>
      <c r="DUR24" s="2235"/>
      <c r="DUS24" s="2234"/>
      <c r="DUT24" s="2235"/>
      <c r="DUU24" s="2235"/>
      <c r="DUV24" s="2234"/>
      <c r="DUW24" s="2235"/>
      <c r="DUX24" s="2235"/>
      <c r="DUY24" s="2234"/>
      <c r="DUZ24" s="2235"/>
      <c r="DVA24" s="2235"/>
      <c r="DVB24" s="2234"/>
      <c r="DVC24" s="2235"/>
      <c r="DVD24" s="2235"/>
      <c r="DVE24" s="2234"/>
      <c r="DVF24" s="2235"/>
      <c r="DVG24" s="2235"/>
      <c r="DVH24" s="2234"/>
      <c r="DVI24" s="2235"/>
      <c r="DVJ24" s="2235"/>
      <c r="DVK24" s="2234"/>
      <c r="DVL24" s="2235"/>
      <c r="DVM24" s="2235"/>
      <c r="DVN24" s="2234"/>
      <c r="DVO24" s="2235"/>
      <c r="DVP24" s="2235"/>
      <c r="DVQ24" s="2234"/>
      <c r="DVR24" s="2235"/>
      <c r="DVS24" s="2235"/>
      <c r="DVT24" s="2234"/>
      <c r="DVU24" s="2235"/>
      <c r="DVV24" s="2235"/>
      <c r="DVW24" s="2234"/>
      <c r="DVX24" s="2235"/>
      <c r="DVY24" s="2235"/>
      <c r="DVZ24" s="2234"/>
      <c r="DWA24" s="2235"/>
      <c r="DWB24" s="2235"/>
      <c r="DWC24" s="2234"/>
      <c r="DWD24" s="2235"/>
      <c r="DWE24" s="2235"/>
      <c r="DWF24" s="2234"/>
      <c r="DWG24" s="2235"/>
      <c r="DWH24" s="2235"/>
      <c r="DWI24" s="2234"/>
      <c r="DWJ24" s="2235"/>
      <c r="DWK24" s="2235"/>
      <c r="DWL24" s="2234"/>
      <c r="DWM24" s="2235"/>
      <c r="DWN24" s="2235"/>
      <c r="DWO24" s="2234"/>
      <c r="DWP24" s="2235"/>
      <c r="DWQ24" s="2235"/>
      <c r="DWR24" s="2234"/>
      <c r="DWS24" s="2235"/>
      <c r="DWT24" s="2235"/>
      <c r="DWU24" s="2234"/>
      <c r="DWV24" s="2235"/>
      <c r="DWW24" s="2235"/>
      <c r="DWX24" s="2234"/>
      <c r="DWY24" s="2235"/>
      <c r="DWZ24" s="2235"/>
      <c r="DXA24" s="2234"/>
      <c r="DXB24" s="2235"/>
      <c r="DXC24" s="2235"/>
      <c r="DXD24" s="2234"/>
      <c r="DXE24" s="2235"/>
      <c r="DXF24" s="2235"/>
      <c r="DXG24" s="2234"/>
      <c r="DXH24" s="2235"/>
      <c r="DXI24" s="2235"/>
      <c r="DXJ24" s="2234"/>
      <c r="DXK24" s="2235"/>
      <c r="DXL24" s="2235"/>
      <c r="DXM24" s="2234"/>
      <c r="DXN24" s="2235"/>
      <c r="DXO24" s="2235"/>
      <c r="DXP24" s="2234"/>
      <c r="DXQ24" s="2235"/>
      <c r="DXR24" s="2235"/>
      <c r="DXS24" s="2234"/>
      <c r="DXT24" s="2235"/>
      <c r="DXU24" s="2235"/>
      <c r="DXV24" s="2234"/>
      <c r="DXW24" s="2235"/>
      <c r="DXX24" s="2235"/>
      <c r="DXY24" s="2234"/>
      <c r="DXZ24" s="2235"/>
      <c r="DYA24" s="2235"/>
      <c r="DYB24" s="2234"/>
      <c r="DYC24" s="2235"/>
      <c r="DYD24" s="2235"/>
      <c r="DYE24" s="2234"/>
      <c r="DYF24" s="2235"/>
      <c r="DYG24" s="2235"/>
      <c r="DYH24" s="2234"/>
      <c r="DYI24" s="2235"/>
      <c r="DYJ24" s="2235"/>
      <c r="DYK24" s="2234"/>
      <c r="DYL24" s="2235"/>
      <c r="DYM24" s="2235"/>
      <c r="DYN24" s="2234"/>
      <c r="DYO24" s="2235"/>
      <c r="DYP24" s="2235"/>
      <c r="DYQ24" s="2234"/>
      <c r="DYR24" s="2235"/>
      <c r="DYS24" s="2235"/>
      <c r="DYT24" s="2234"/>
      <c r="DYU24" s="2235"/>
      <c r="DYV24" s="2235"/>
      <c r="DYW24" s="2234"/>
      <c r="DYX24" s="2235"/>
      <c r="DYY24" s="2235"/>
      <c r="DYZ24" s="2234"/>
      <c r="DZA24" s="2235"/>
      <c r="DZB24" s="2235"/>
      <c r="DZC24" s="2234"/>
      <c r="DZD24" s="2235"/>
      <c r="DZE24" s="2235"/>
      <c r="DZF24" s="2234"/>
      <c r="DZG24" s="2235"/>
      <c r="DZH24" s="2235"/>
      <c r="DZI24" s="2234"/>
      <c r="DZJ24" s="2235"/>
      <c r="DZK24" s="2235"/>
      <c r="DZL24" s="2234"/>
      <c r="DZM24" s="2235"/>
      <c r="DZN24" s="2235"/>
      <c r="DZO24" s="2234"/>
      <c r="DZP24" s="2235"/>
      <c r="DZQ24" s="2235"/>
      <c r="DZR24" s="2234"/>
      <c r="DZS24" s="2235"/>
      <c r="DZT24" s="2235"/>
      <c r="DZU24" s="2234"/>
      <c r="DZV24" s="2235"/>
      <c r="DZW24" s="2235"/>
      <c r="DZX24" s="2234"/>
      <c r="DZY24" s="2235"/>
      <c r="DZZ24" s="2235"/>
      <c r="EAA24" s="2234"/>
      <c r="EAB24" s="2235"/>
      <c r="EAC24" s="2235"/>
      <c r="EAD24" s="2234"/>
      <c r="EAE24" s="2235"/>
      <c r="EAF24" s="2235"/>
      <c r="EAG24" s="2234"/>
      <c r="EAH24" s="2235"/>
      <c r="EAI24" s="2235"/>
      <c r="EAJ24" s="2234"/>
      <c r="EAK24" s="2235"/>
      <c r="EAL24" s="2235"/>
      <c r="EAM24" s="2234"/>
      <c r="EAN24" s="2235"/>
      <c r="EAO24" s="2235"/>
      <c r="EAP24" s="2234"/>
      <c r="EAQ24" s="2235"/>
      <c r="EAR24" s="2235"/>
      <c r="EAS24" s="2234"/>
      <c r="EAT24" s="2235"/>
      <c r="EAU24" s="2235"/>
      <c r="EAV24" s="2234"/>
      <c r="EAW24" s="2235"/>
      <c r="EAX24" s="2235"/>
      <c r="EAY24" s="2234"/>
      <c r="EAZ24" s="2235"/>
      <c r="EBA24" s="2235"/>
      <c r="EBB24" s="2234"/>
      <c r="EBC24" s="2235"/>
      <c r="EBD24" s="2235"/>
      <c r="EBE24" s="2234"/>
      <c r="EBF24" s="2235"/>
      <c r="EBG24" s="2235"/>
      <c r="EBH24" s="2234"/>
      <c r="EBI24" s="2235"/>
      <c r="EBJ24" s="2235"/>
      <c r="EBK24" s="2234"/>
      <c r="EBL24" s="2235"/>
      <c r="EBM24" s="2235"/>
      <c r="EBN24" s="2234"/>
      <c r="EBO24" s="2235"/>
      <c r="EBP24" s="2235"/>
      <c r="EBQ24" s="2234"/>
      <c r="EBR24" s="2235"/>
      <c r="EBS24" s="2235"/>
      <c r="EBT24" s="2234"/>
      <c r="EBU24" s="2235"/>
      <c r="EBV24" s="2235"/>
      <c r="EBW24" s="2234"/>
      <c r="EBX24" s="2235"/>
      <c r="EBY24" s="2235"/>
      <c r="EBZ24" s="2234"/>
      <c r="ECA24" s="2235"/>
      <c r="ECB24" s="2235"/>
      <c r="ECC24" s="2234"/>
      <c r="ECD24" s="2235"/>
      <c r="ECE24" s="2235"/>
      <c r="ECF24" s="2234"/>
      <c r="ECG24" s="2235"/>
      <c r="ECH24" s="2235"/>
      <c r="ECI24" s="2234"/>
      <c r="ECJ24" s="2235"/>
      <c r="ECK24" s="2235"/>
      <c r="ECL24" s="2234"/>
      <c r="ECM24" s="2235"/>
      <c r="ECN24" s="2235"/>
      <c r="ECO24" s="2234"/>
      <c r="ECP24" s="2235"/>
      <c r="ECQ24" s="2235"/>
      <c r="ECR24" s="2234"/>
      <c r="ECS24" s="2235"/>
      <c r="ECT24" s="2235"/>
      <c r="ECU24" s="2234"/>
      <c r="ECV24" s="2235"/>
      <c r="ECW24" s="2235"/>
      <c r="ECX24" s="2234"/>
      <c r="ECY24" s="2235"/>
      <c r="ECZ24" s="2235"/>
      <c r="EDA24" s="2234"/>
      <c r="EDB24" s="2235"/>
      <c r="EDC24" s="2235"/>
      <c r="EDD24" s="2234"/>
      <c r="EDE24" s="2235"/>
      <c r="EDF24" s="2235"/>
      <c r="EDG24" s="2234"/>
      <c r="EDH24" s="2235"/>
      <c r="EDI24" s="2235"/>
      <c r="EDJ24" s="2234"/>
      <c r="EDK24" s="2235"/>
      <c r="EDL24" s="2235"/>
      <c r="EDM24" s="2234"/>
      <c r="EDN24" s="2235"/>
      <c r="EDO24" s="2235"/>
      <c r="EDP24" s="2234"/>
      <c r="EDQ24" s="2235"/>
      <c r="EDR24" s="2235"/>
      <c r="EDS24" s="2234"/>
      <c r="EDT24" s="2235"/>
      <c r="EDU24" s="2235"/>
      <c r="EDV24" s="2234"/>
      <c r="EDW24" s="2235"/>
      <c r="EDX24" s="2235"/>
      <c r="EDY24" s="2234"/>
      <c r="EDZ24" s="2235"/>
      <c r="EEA24" s="2235"/>
      <c r="EEB24" s="2234"/>
      <c r="EEC24" s="2235"/>
      <c r="EED24" s="2235"/>
      <c r="EEE24" s="2234"/>
      <c r="EEF24" s="2235"/>
      <c r="EEG24" s="2235"/>
      <c r="EEH24" s="2234"/>
      <c r="EEI24" s="2235"/>
      <c r="EEJ24" s="2235"/>
      <c r="EEK24" s="2234"/>
      <c r="EEL24" s="2235"/>
      <c r="EEM24" s="2235"/>
      <c r="EEN24" s="2234"/>
      <c r="EEO24" s="2235"/>
      <c r="EEP24" s="2235"/>
      <c r="EEQ24" s="2234"/>
      <c r="EER24" s="2235"/>
      <c r="EES24" s="2235"/>
      <c r="EET24" s="2234"/>
      <c r="EEU24" s="2235"/>
      <c r="EEV24" s="2235"/>
      <c r="EEW24" s="2234"/>
      <c r="EEX24" s="2235"/>
      <c r="EEY24" s="2235"/>
      <c r="EEZ24" s="2234"/>
      <c r="EFA24" s="2235"/>
      <c r="EFB24" s="2235"/>
      <c r="EFC24" s="2234"/>
      <c r="EFD24" s="2235"/>
      <c r="EFE24" s="2235"/>
      <c r="EFF24" s="2234"/>
      <c r="EFG24" s="2235"/>
      <c r="EFH24" s="2235"/>
      <c r="EFI24" s="2234"/>
      <c r="EFJ24" s="2235"/>
      <c r="EFK24" s="2235"/>
      <c r="EFL24" s="2234"/>
      <c r="EFM24" s="2235"/>
      <c r="EFN24" s="2235"/>
      <c r="EFO24" s="2234"/>
      <c r="EFP24" s="2235"/>
      <c r="EFQ24" s="2235"/>
      <c r="EFR24" s="2234"/>
      <c r="EFS24" s="2235"/>
      <c r="EFT24" s="2235"/>
      <c r="EFU24" s="2234"/>
      <c r="EFV24" s="2235"/>
      <c r="EFW24" s="2235"/>
      <c r="EFX24" s="2234"/>
      <c r="EFY24" s="2235"/>
      <c r="EFZ24" s="2235"/>
      <c r="EGA24" s="2234"/>
      <c r="EGB24" s="2235"/>
      <c r="EGC24" s="2235"/>
      <c r="EGD24" s="2234"/>
      <c r="EGE24" s="2235"/>
      <c r="EGF24" s="2235"/>
      <c r="EGG24" s="2234"/>
      <c r="EGH24" s="2235"/>
      <c r="EGI24" s="2235"/>
      <c r="EGJ24" s="2234"/>
      <c r="EGK24" s="2235"/>
      <c r="EGL24" s="2235"/>
      <c r="EGM24" s="2234"/>
      <c r="EGN24" s="2235"/>
      <c r="EGO24" s="2235"/>
      <c r="EGP24" s="2234"/>
      <c r="EGQ24" s="2235"/>
      <c r="EGR24" s="2235"/>
      <c r="EGS24" s="2234"/>
      <c r="EGT24" s="2235"/>
      <c r="EGU24" s="2235"/>
      <c r="EGV24" s="2234"/>
      <c r="EGW24" s="2235"/>
      <c r="EGX24" s="2235"/>
      <c r="EGY24" s="2234"/>
      <c r="EGZ24" s="2235"/>
      <c r="EHA24" s="2235"/>
      <c r="EHB24" s="2234"/>
      <c r="EHC24" s="2235"/>
      <c r="EHD24" s="2235"/>
      <c r="EHE24" s="2234"/>
      <c r="EHF24" s="2235"/>
      <c r="EHG24" s="2235"/>
      <c r="EHH24" s="2234"/>
      <c r="EHI24" s="2235"/>
      <c r="EHJ24" s="2235"/>
      <c r="EHK24" s="2234"/>
      <c r="EHL24" s="2235"/>
      <c r="EHM24" s="2235"/>
      <c r="EHN24" s="2234"/>
      <c r="EHO24" s="2235"/>
      <c r="EHP24" s="2235"/>
      <c r="EHQ24" s="2234"/>
      <c r="EHR24" s="2235"/>
      <c r="EHS24" s="2235"/>
      <c r="EHT24" s="2234"/>
      <c r="EHU24" s="2235"/>
      <c r="EHV24" s="2235"/>
      <c r="EHW24" s="2234"/>
      <c r="EHX24" s="2235"/>
      <c r="EHY24" s="2235"/>
      <c r="EHZ24" s="2234"/>
      <c r="EIA24" s="2235"/>
      <c r="EIB24" s="2235"/>
      <c r="EIC24" s="2234"/>
      <c r="EID24" s="2235"/>
      <c r="EIE24" s="2235"/>
      <c r="EIF24" s="2234"/>
      <c r="EIG24" s="2235"/>
      <c r="EIH24" s="2235"/>
      <c r="EII24" s="2234"/>
      <c r="EIJ24" s="2235"/>
      <c r="EIK24" s="2235"/>
      <c r="EIL24" s="2234"/>
      <c r="EIM24" s="2235"/>
      <c r="EIN24" s="2235"/>
      <c r="EIO24" s="2234"/>
      <c r="EIP24" s="2235"/>
      <c r="EIQ24" s="2235"/>
      <c r="EIR24" s="2234"/>
      <c r="EIS24" s="2235"/>
      <c r="EIT24" s="2235"/>
      <c r="EIU24" s="2234"/>
      <c r="EIV24" s="2235"/>
      <c r="EIW24" s="2235"/>
      <c r="EIX24" s="2234"/>
      <c r="EIY24" s="2235"/>
      <c r="EIZ24" s="2235"/>
      <c r="EJA24" s="2234"/>
      <c r="EJB24" s="2235"/>
      <c r="EJC24" s="2235"/>
      <c r="EJD24" s="2234"/>
      <c r="EJE24" s="2235"/>
      <c r="EJF24" s="2235"/>
      <c r="EJG24" s="2234"/>
      <c r="EJH24" s="2235"/>
      <c r="EJI24" s="2235"/>
      <c r="EJJ24" s="2234"/>
      <c r="EJK24" s="2235"/>
      <c r="EJL24" s="2235"/>
      <c r="EJM24" s="2234"/>
      <c r="EJN24" s="2235"/>
      <c r="EJO24" s="2235"/>
      <c r="EJP24" s="2234"/>
      <c r="EJQ24" s="2235"/>
      <c r="EJR24" s="2235"/>
      <c r="EJS24" s="2234"/>
      <c r="EJT24" s="2235"/>
      <c r="EJU24" s="2235"/>
      <c r="EJV24" s="2234"/>
      <c r="EJW24" s="2235"/>
      <c r="EJX24" s="2235"/>
      <c r="EJY24" s="2234"/>
      <c r="EJZ24" s="2235"/>
      <c r="EKA24" s="2235"/>
      <c r="EKB24" s="2234"/>
      <c r="EKC24" s="2235"/>
      <c r="EKD24" s="2235"/>
      <c r="EKE24" s="2234"/>
      <c r="EKF24" s="2235"/>
      <c r="EKG24" s="2235"/>
      <c r="EKH24" s="2234"/>
      <c r="EKI24" s="2235"/>
      <c r="EKJ24" s="2235"/>
      <c r="EKK24" s="2234"/>
      <c r="EKL24" s="2235"/>
      <c r="EKM24" s="2235"/>
      <c r="EKN24" s="2234"/>
      <c r="EKO24" s="2235"/>
      <c r="EKP24" s="2235"/>
      <c r="EKQ24" s="2234"/>
      <c r="EKR24" s="2235"/>
      <c r="EKS24" s="2235"/>
      <c r="EKT24" s="2234"/>
      <c r="EKU24" s="2235"/>
      <c r="EKV24" s="2235"/>
      <c r="EKW24" s="2234"/>
      <c r="EKX24" s="2235"/>
      <c r="EKY24" s="2235"/>
      <c r="EKZ24" s="2234"/>
      <c r="ELA24" s="2235"/>
      <c r="ELB24" s="2235"/>
      <c r="ELC24" s="2234"/>
      <c r="ELD24" s="2235"/>
      <c r="ELE24" s="2235"/>
      <c r="ELF24" s="2234"/>
      <c r="ELG24" s="2235"/>
      <c r="ELH24" s="2235"/>
      <c r="ELI24" s="2234"/>
      <c r="ELJ24" s="2235"/>
      <c r="ELK24" s="2235"/>
      <c r="ELL24" s="2234"/>
      <c r="ELM24" s="2235"/>
      <c r="ELN24" s="2235"/>
      <c r="ELO24" s="2234"/>
      <c r="ELP24" s="2235"/>
      <c r="ELQ24" s="2235"/>
      <c r="ELR24" s="2234"/>
      <c r="ELS24" s="2235"/>
      <c r="ELT24" s="2235"/>
      <c r="ELU24" s="2234"/>
      <c r="ELV24" s="2235"/>
      <c r="ELW24" s="2235"/>
      <c r="ELX24" s="2234"/>
      <c r="ELY24" s="2235"/>
      <c r="ELZ24" s="2235"/>
      <c r="EMA24" s="2234"/>
      <c r="EMB24" s="2235"/>
      <c r="EMC24" s="2235"/>
      <c r="EMD24" s="2234"/>
      <c r="EME24" s="2235"/>
      <c r="EMF24" s="2235"/>
      <c r="EMG24" s="2234"/>
      <c r="EMH24" s="2235"/>
      <c r="EMI24" s="2235"/>
      <c r="EMJ24" s="2234"/>
      <c r="EMK24" s="2235"/>
      <c r="EML24" s="2235"/>
      <c r="EMM24" s="2234"/>
      <c r="EMN24" s="2235"/>
      <c r="EMO24" s="2235"/>
      <c r="EMP24" s="2234"/>
      <c r="EMQ24" s="2235"/>
      <c r="EMR24" s="2235"/>
      <c r="EMS24" s="2234"/>
      <c r="EMT24" s="2235"/>
      <c r="EMU24" s="2235"/>
      <c r="EMV24" s="2234"/>
      <c r="EMW24" s="2235"/>
      <c r="EMX24" s="2235"/>
      <c r="EMY24" s="2234"/>
      <c r="EMZ24" s="2235"/>
      <c r="ENA24" s="2235"/>
      <c r="ENB24" s="2234"/>
      <c r="ENC24" s="2235"/>
      <c r="END24" s="2235"/>
      <c r="ENE24" s="2234"/>
      <c r="ENF24" s="2235"/>
      <c r="ENG24" s="2235"/>
      <c r="ENH24" s="2234"/>
      <c r="ENI24" s="2235"/>
      <c r="ENJ24" s="2235"/>
      <c r="ENK24" s="2234"/>
      <c r="ENL24" s="2235"/>
      <c r="ENM24" s="2235"/>
      <c r="ENN24" s="2234"/>
      <c r="ENO24" s="2235"/>
      <c r="ENP24" s="2235"/>
      <c r="ENQ24" s="2234"/>
      <c r="ENR24" s="2235"/>
      <c r="ENS24" s="2235"/>
      <c r="ENT24" s="2234"/>
      <c r="ENU24" s="2235"/>
      <c r="ENV24" s="2235"/>
      <c r="ENW24" s="2234"/>
      <c r="ENX24" s="2235"/>
      <c r="ENY24" s="2235"/>
      <c r="ENZ24" s="2234"/>
      <c r="EOA24" s="2235"/>
      <c r="EOB24" s="2235"/>
      <c r="EOC24" s="2234"/>
      <c r="EOD24" s="2235"/>
      <c r="EOE24" s="2235"/>
      <c r="EOF24" s="2234"/>
      <c r="EOG24" s="2235"/>
      <c r="EOH24" s="2235"/>
      <c r="EOI24" s="2234"/>
      <c r="EOJ24" s="2235"/>
      <c r="EOK24" s="2235"/>
      <c r="EOL24" s="2234"/>
      <c r="EOM24" s="2235"/>
      <c r="EON24" s="2235"/>
      <c r="EOO24" s="2234"/>
      <c r="EOP24" s="2235"/>
      <c r="EOQ24" s="2235"/>
      <c r="EOR24" s="2234"/>
      <c r="EOS24" s="2235"/>
      <c r="EOT24" s="2235"/>
      <c r="EOU24" s="2234"/>
      <c r="EOV24" s="2235"/>
      <c r="EOW24" s="2235"/>
      <c r="EOX24" s="2234"/>
      <c r="EOY24" s="2235"/>
      <c r="EOZ24" s="2235"/>
      <c r="EPA24" s="2234"/>
      <c r="EPB24" s="2235"/>
      <c r="EPC24" s="2235"/>
      <c r="EPD24" s="2234"/>
      <c r="EPE24" s="2235"/>
      <c r="EPF24" s="2235"/>
      <c r="EPG24" s="2234"/>
      <c r="EPH24" s="2235"/>
      <c r="EPI24" s="2235"/>
      <c r="EPJ24" s="2234"/>
      <c r="EPK24" s="2235"/>
      <c r="EPL24" s="2235"/>
      <c r="EPM24" s="2234"/>
      <c r="EPN24" s="2235"/>
      <c r="EPO24" s="2235"/>
      <c r="EPP24" s="2234"/>
      <c r="EPQ24" s="2235"/>
      <c r="EPR24" s="2235"/>
      <c r="EPS24" s="2234"/>
      <c r="EPT24" s="2235"/>
      <c r="EPU24" s="2235"/>
      <c r="EPV24" s="2234"/>
      <c r="EPW24" s="2235"/>
      <c r="EPX24" s="2235"/>
      <c r="EPY24" s="2234"/>
      <c r="EPZ24" s="2235"/>
      <c r="EQA24" s="2235"/>
      <c r="EQB24" s="2234"/>
      <c r="EQC24" s="2235"/>
      <c r="EQD24" s="2235"/>
      <c r="EQE24" s="2234"/>
      <c r="EQF24" s="2235"/>
      <c r="EQG24" s="2235"/>
      <c r="EQH24" s="2234"/>
      <c r="EQI24" s="2235"/>
      <c r="EQJ24" s="2235"/>
      <c r="EQK24" s="2234"/>
      <c r="EQL24" s="2235"/>
      <c r="EQM24" s="2235"/>
      <c r="EQN24" s="2234"/>
      <c r="EQO24" s="2235"/>
      <c r="EQP24" s="2235"/>
      <c r="EQQ24" s="2234"/>
      <c r="EQR24" s="2235"/>
      <c r="EQS24" s="2235"/>
      <c r="EQT24" s="2234"/>
      <c r="EQU24" s="2235"/>
      <c r="EQV24" s="2235"/>
      <c r="EQW24" s="2234"/>
      <c r="EQX24" s="2235"/>
      <c r="EQY24" s="2235"/>
      <c r="EQZ24" s="2234"/>
      <c r="ERA24" s="2235"/>
      <c r="ERB24" s="2235"/>
      <c r="ERC24" s="2234"/>
      <c r="ERD24" s="2235"/>
      <c r="ERE24" s="2235"/>
      <c r="ERF24" s="2234"/>
      <c r="ERG24" s="2235"/>
      <c r="ERH24" s="2235"/>
      <c r="ERI24" s="2234"/>
      <c r="ERJ24" s="2235"/>
      <c r="ERK24" s="2235"/>
      <c r="ERL24" s="2234"/>
      <c r="ERM24" s="2235"/>
      <c r="ERN24" s="2235"/>
      <c r="ERO24" s="2234"/>
      <c r="ERP24" s="2235"/>
      <c r="ERQ24" s="2235"/>
      <c r="ERR24" s="2234"/>
      <c r="ERS24" s="2235"/>
      <c r="ERT24" s="2235"/>
      <c r="ERU24" s="2234"/>
      <c r="ERV24" s="2235"/>
      <c r="ERW24" s="2235"/>
      <c r="ERX24" s="2234"/>
      <c r="ERY24" s="2235"/>
      <c r="ERZ24" s="2235"/>
      <c r="ESA24" s="2234"/>
      <c r="ESB24" s="2235"/>
      <c r="ESC24" s="2235"/>
      <c r="ESD24" s="2234"/>
      <c r="ESE24" s="2235"/>
      <c r="ESF24" s="2235"/>
      <c r="ESG24" s="2234"/>
      <c r="ESH24" s="2235"/>
      <c r="ESI24" s="2235"/>
      <c r="ESJ24" s="2234"/>
      <c r="ESK24" s="2235"/>
      <c r="ESL24" s="2235"/>
      <c r="ESM24" s="2234"/>
      <c r="ESN24" s="2235"/>
      <c r="ESO24" s="2235"/>
      <c r="ESP24" s="2234"/>
      <c r="ESQ24" s="2235"/>
      <c r="ESR24" s="2235"/>
      <c r="ESS24" s="2234"/>
      <c r="EST24" s="2235"/>
      <c r="ESU24" s="2235"/>
      <c r="ESV24" s="2234"/>
      <c r="ESW24" s="2235"/>
      <c r="ESX24" s="2235"/>
      <c r="ESY24" s="2234"/>
      <c r="ESZ24" s="2235"/>
      <c r="ETA24" s="2235"/>
      <c r="ETB24" s="2234"/>
      <c r="ETC24" s="2235"/>
      <c r="ETD24" s="2235"/>
      <c r="ETE24" s="2234"/>
      <c r="ETF24" s="2235"/>
      <c r="ETG24" s="2235"/>
      <c r="ETH24" s="2234"/>
      <c r="ETI24" s="2235"/>
      <c r="ETJ24" s="2235"/>
      <c r="ETK24" s="2234"/>
      <c r="ETL24" s="2235"/>
      <c r="ETM24" s="2235"/>
      <c r="ETN24" s="2234"/>
      <c r="ETO24" s="2235"/>
      <c r="ETP24" s="2235"/>
      <c r="ETQ24" s="2234"/>
      <c r="ETR24" s="2235"/>
      <c r="ETS24" s="2235"/>
      <c r="ETT24" s="2234"/>
      <c r="ETU24" s="2235"/>
      <c r="ETV24" s="2235"/>
      <c r="ETW24" s="2234"/>
      <c r="ETX24" s="2235"/>
      <c r="ETY24" s="2235"/>
      <c r="ETZ24" s="2234"/>
      <c r="EUA24" s="2235"/>
      <c r="EUB24" s="2235"/>
      <c r="EUC24" s="2234"/>
      <c r="EUD24" s="2235"/>
      <c r="EUE24" s="2235"/>
      <c r="EUF24" s="2234"/>
      <c r="EUG24" s="2235"/>
      <c r="EUH24" s="2235"/>
      <c r="EUI24" s="2234"/>
      <c r="EUJ24" s="2235"/>
      <c r="EUK24" s="2235"/>
      <c r="EUL24" s="2234"/>
      <c r="EUM24" s="2235"/>
      <c r="EUN24" s="2235"/>
      <c r="EUO24" s="2234"/>
      <c r="EUP24" s="2235"/>
      <c r="EUQ24" s="2235"/>
      <c r="EUR24" s="2234"/>
      <c r="EUS24" s="2235"/>
      <c r="EUT24" s="2235"/>
      <c r="EUU24" s="2234"/>
      <c r="EUV24" s="2235"/>
      <c r="EUW24" s="2235"/>
      <c r="EUX24" s="2234"/>
      <c r="EUY24" s="2235"/>
      <c r="EUZ24" s="2235"/>
      <c r="EVA24" s="2234"/>
      <c r="EVB24" s="2235"/>
      <c r="EVC24" s="2235"/>
      <c r="EVD24" s="2234"/>
      <c r="EVE24" s="2235"/>
      <c r="EVF24" s="2235"/>
      <c r="EVG24" s="2234"/>
      <c r="EVH24" s="2235"/>
      <c r="EVI24" s="2235"/>
      <c r="EVJ24" s="2234"/>
      <c r="EVK24" s="2235"/>
      <c r="EVL24" s="2235"/>
      <c r="EVM24" s="2234"/>
      <c r="EVN24" s="2235"/>
      <c r="EVO24" s="2235"/>
      <c r="EVP24" s="2234"/>
      <c r="EVQ24" s="2235"/>
      <c r="EVR24" s="2235"/>
      <c r="EVS24" s="2234"/>
      <c r="EVT24" s="2235"/>
      <c r="EVU24" s="2235"/>
      <c r="EVV24" s="2234"/>
      <c r="EVW24" s="2235"/>
      <c r="EVX24" s="2235"/>
      <c r="EVY24" s="2234"/>
      <c r="EVZ24" s="2235"/>
      <c r="EWA24" s="2235"/>
      <c r="EWB24" s="2234"/>
      <c r="EWC24" s="2235"/>
      <c r="EWD24" s="2235"/>
      <c r="EWE24" s="2234"/>
      <c r="EWF24" s="2235"/>
      <c r="EWG24" s="2235"/>
      <c r="EWH24" s="2234"/>
      <c r="EWI24" s="2235"/>
      <c r="EWJ24" s="2235"/>
      <c r="EWK24" s="2234"/>
      <c r="EWL24" s="2235"/>
      <c r="EWM24" s="2235"/>
      <c r="EWN24" s="2234"/>
      <c r="EWO24" s="2235"/>
      <c r="EWP24" s="2235"/>
      <c r="EWQ24" s="2234"/>
      <c r="EWR24" s="2235"/>
      <c r="EWS24" s="2235"/>
      <c r="EWT24" s="2234"/>
      <c r="EWU24" s="2235"/>
      <c r="EWV24" s="2235"/>
      <c r="EWW24" s="2234"/>
      <c r="EWX24" s="2235"/>
      <c r="EWY24" s="2235"/>
      <c r="EWZ24" s="2234"/>
      <c r="EXA24" s="2235"/>
      <c r="EXB24" s="2235"/>
      <c r="EXC24" s="2234"/>
      <c r="EXD24" s="2235"/>
      <c r="EXE24" s="2235"/>
      <c r="EXF24" s="2234"/>
      <c r="EXG24" s="2235"/>
      <c r="EXH24" s="2235"/>
      <c r="EXI24" s="2234"/>
      <c r="EXJ24" s="2235"/>
      <c r="EXK24" s="2235"/>
      <c r="EXL24" s="2234"/>
      <c r="EXM24" s="2235"/>
      <c r="EXN24" s="2235"/>
      <c r="EXO24" s="2234"/>
      <c r="EXP24" s="2235"/>
      <c r="EXQ24" s="2235"/>
      <c r="EXR24" s="2234"/>
      <c r="EXS24" s="2235"/>
      <c r="EXT24" s="2235"/>
      <c r="EXU24" s="2234"/>
      <c r="EXV24" s="2235"/>
      <c r="EXW24" s="2235"/>
      <c r="EXX24" s="2234"/>
      <c r="EXY24" s="2235"/>
      <c r="EXZ24" s="2235"/>
      <c r="EYA24" s="2234"/>
      <c r="EYB24" s="2235"/>
      <c r="EYC24" s="2235"/>
      <c r="EYD24" s="2234"/>
      <c r="EYE24" s="2235"/>
      <c r="EYF24" s="2235"/>
      <c r="EYG24" s="2234"/>
      <c r="EYH24" s="2235"/>
      <c r="EYI24" s="2235"/>
      <c r="EYJ24" s="2234"/>
      <c r="EYK24" s="2235"/>
      <c r="EYL24" s="2235"/>
      <c r="EYM24" s="2234"/>
      <c r="EYN24" s="2235"/>
      <c r="EYO24" s="2235"/>
      <c r="EYP24" s="2234"/>
      <c r="EYQ24" s="2235"/>
      <c r="EYR24" s="2235"/>
      <c r="EYS24" s="2234"/>
      <c r="EYT24" s="2235"/>
      <c r="EYU24" s="2235"/>
      <c r="EYV24" s="2234"/>
      <c r="EYW24" s="2235"/>
      <c r="EYX24" s="2235"/>
      <c r="EYY24" s="2234"/>
      <c r="EYZ24" s="2235"/>
      <c r="EZA24" s="2235"/>
      <c r="EZB24" s="2234"/>
      <c r="EZC24" s="2235"/>
      <c r="EZD24" s="2235"/>
      <c r="EZE24" s="2234"/>
      <c r="EZF24" s="2235"/>
      <c r="EZG24" s="2235"/>
      <c r="EZH24" s="2234"/>
      <c r="EZI24" s="2235"/>
      <c r="EZJ24" s="2235"/>
      <c r="EZK24" s="2234"/>
      <c r="EZL24" s="2235"/>
      <c r="EZM24" s="2235"/>
      <c r="EZN24" s="2234"/>
      <c r="EZO24" s="2235"/>
      <c r="EZP24" s="2235"/>
      <c r="EZQ24" s="2234"/>
      <c r="EZR24" s="2235"/>
      <c r="EZS24" s="2235"/>
      <c r="EZT24" s="2234"/>
      <c r="EZU24" s="2235"/>
      <c r="EZV24" s="2235"/>
      <c r="EZW24" s="2234"/>
      <c r="EZX24" s="2235"/>
      <c r="EZY24" s="2235"/>
      <c r="EZZ24" s="2234"/>
      <c r="FAA24" s="2235"/>
      <c r="FAB24" s="2235"/>
      <c r="FAC24" s="2234"/>
      <c r="FAD24" s="2235"/>
      <c r="FAE24" s="2235"/>
      <c r="FAF24" s="2234"/>
      <c r="FAG24" s="2235"/>
      <c r="FAH24" s="2235"/>
      <c r="FAI24" s="2234"/>
      <c r="FAJ24" s="2235"/>
      <c r="FAK24" s="2235"/>
      <c r="FAL24" s="2234"/>
      <c r="FAM24" s="2235"/>
      <c r="FAN24" s="2235"/>
      <c r="FAO24" s="2234"/>
      <c r="FAP24" s="2235"/>
      <c r="FAQ24" s="2235"/>
      <c r="FAR24" s="2234"/>
      <c r="FAS24" s="2235"/>
      <c r="FAT24" s="2235"/>
      <c r="FAU24" s="2234"/>
      <c r="FAV24" s="2235"/>
      <c r="FAW24" s="2235"/>
      <c r="FAX24" s="2234"/>
      <c r="FAY24" s="2235"/>
      <c r="FAZ24" s="2235"/>
      <c r="FBA24" s="2234"/>
      <c r="FBB24" s="2235"/>
      <c r="FBC24" s="2235"/>
      <c r="FBD24" s="2234"/>
      <c r="FBE24" s="2235"/>
      <c r="FBF24" s="2235"/>
      <c r="FBG24" s="2234"/>
      <c r="FBH24" s="2235"/>
      <c r="FBI24" s="2235"/>
      <c r="FBJ24" s="2234"/>
      <c r="FBK24" s="2235"/>
      <c r="FBL24" s="2235"/>
      <c r="FBM24" s="2234"/>
      <c r="FBN24" s="2235"/>
      <c r="FBO24" s="2235"/>
      <c r="FBP24" s="2234"/>
      <c r="FBQ24" s="2235"/>
      <c r="FBR24" s="2235"/>
      <c r="FBS24" s="2234"/>
      <c r="FBT24" s="2235"/>
      <c r="FBU24" s="2235"/>
      <c r="FBV24" s="2234"/>
      <c r="FBW24" s="2235"/>
      <c r="FBX24" s="2235"/>
      <c r="FBY24" s="2234"/>
      <c r="FBZ24" s="2235"/>
      <c r="FCA24" s="2235"/>
      <c r="FCB24" s="2234"/>
      <c r="FCC24" s="2235"/>
      <c r="FCD24" s="2235"/>
      <c r="FCE24" s="2234"/>
      <c r="FCF24" s="2235"/>
      <c r="FCG24" s="2235"/>
      <c r="FCH24" s="2234"/>
      <c r="FCI24" s="2235"/>
      <c r="FCJ24" s="2235"/>
      <c r="FCK24" s="2234"/>
      <c r="FCL24" s="2235"/>
      <c r="FCM24" s="2235"/>
      <c r="FCN24" s="2234"/>
      <c r="FCO24" s="2235"/>
      <c r="FCP24" s="2235"/>
      <c r="FCQ24" s="2234"/>
      <c r="FCR24" s="2235"/>
      <c r="FCS24" s="2235"/>
      <c r="FCT24" s="2234"/>
      <c r="FCU24" s="2235"/>
      <c r="FCV24" s="2235"/>
      <c r="FCW24" s="2234"/>
      <c r="FCX24" s="2235"/>
      <c r="FCY24" s="2235"/>
      <c r="FCZ24" s="2234"/>
      <c r="FDA24" s="2235"/>
      <c r="FDB24" s="2235"/>
      <c r="FDC24" s="2234"/>
      <c r="FDD24" s="2235"/>
      <c r="FDE24" s="2235"/>
      <c r="FDF24" s="2234"/>
      <c r="FDG24" s="2235"/>
      <c r="FDH24" s="2235"/>
      <c r="FDI24" s="2234"/>
      <c r="FDJ24" s="2235"/>
      <c r="FDK24" s="2235"/>
      <c r="FDL24" s="2234"/>
      <c r="FDM24" s="2235"/>
      <c r="FDN24" s="2235"/>
      <c r="FDO24" s="2234"/>
      <c r="FDP24" s="2235"/>
      <c r="FDQ24" s="2235"/>
      <c r="FDR24" s="2234"/>
      <c r="FDS24" s="2235"/>
      <c r="FDT24" s="2235"/>
      <c r="FDU24" s="2234"/>
      <c r="FDV24" s="2235"/>
      <c r="FDW24" s="2235"/>
      <c r="FDX24" s="2234"/>
      <c r="FDY24" s="2235"/>
      <c r="FDZ24" s="2235"/>
      <c r="FEA24" s="2234"/>
      <c r="FEB24" s="2235"/>
      <c r="FEC24" s="2235"/>
      <c r="FED24" s="2234"/>
      <c r="FEE24" s="2235"/>
      <c r="FEF24" s="2235"/>
      <c r="FEG24" s="2234"/>
      <c r="FEH24" s="2235"/>
      <c r="FEI24" s="2235"/>
      <c r="FEJ24" s="2234"/>
      <c r="FEK24" s="2235"/>
      <c r="FEL24" s="2235"/>
      <c r="FEM24" s="2234"/>
      <c r="FEN24" s="2235"/>
      <c r="FEO24" s="2235"/>
      <c r="FEP24" s="2234"/>
      <c r="FEQ24" s="2235"/>
      <c r="FER24" s="2235"/>
      <c r="FES24" s="2234"/>
      <c r="FET24" s="2235"/>
      <c r="FEU24" s="2235"/>
      <c r="FEV24" s="2234"/>
      <c r="FEW24" s="2235"/>
      <c r="FEX24" s="2235"/>
      <c r="FEY24" s="2234"/>
      <c r="FEZ24" s="2235"/>
      <c r="FFA24" s="2235"/>
      <c r="FFB24" s="2234"/>
      <c r="FFC24" s="2235"/>
      <c r="FFD24" s="2235"/>
      <c r="FFE24" s="2234"/>
      <c r="FFF24" s="2235"/>
      <c r="FFG24" s="2235"/>
      <c r="FFH24" s="2234"/>
      <c r="FFI24" s="2235"/>
      <c r="FFJ24" s="2235"/>
      <c r="FFK24" s="2234"/>
      <c r="FFL24" s="2235"/>
      <c r="FFM24" s="2235"/>
      <c r="FFN24" s="2234"/>
      <c r="FFO24" s="2235"/>
      <c r="FFP24" s="2235"/>
      <c r="FFQ24" s="2234"/>
      <c r="FFR24" s="2235"/>
      <c r="FFS24" s="2235"/>
      <c r="FFT24" s="2234"/>
      <c r="FFU24" s="2235"/>
      <c r="FFV24" s="2235"/>
      <c r="FFW24" s="2234"/>
      <c r="FFX24" s="2235"/>
      <c r="FFY24" s="2235"/>
      <c r="FFZ24" s="2234"/>
      <c r="FGA24" s="2235"/>
      <c r="FGB24" s="2235"/>
      <c r="FGC24" s="2234"/>
      <c r="FGD24" s="2235"/>
      <c r="FGE24" s="2235"/>
      <c r="FGF24" s="2234"/>
      <c r="FGG24" s="2235"/>
      <c r="FGH24" s="2235"/>
      <c r="FGI24" s="2234"/>
      <c r="FGJ24" s="2235"/>
      <c r="FGK24" s="2235"/>
      <c r="FGL24" s="2234"/>
      <c r="FGM24" s="2235"/>
      <c r="FGN24" s="2235"/>
      <c r="FGO24" s="2234"/>
      <c r="FGP24" s="2235"/>
      <c r="FGQ24" s="2235"/>
      <c r="FGR24" s="2234"/>
      <c r="FGS24" s="2235"/>
      <c r="FGT24" s="2235"/>
      <c r="FGU24" s="2234"/>
      <c r="FGV24" s="2235"/>
      <c r="FGW24" s="2235"/>
      <c r="FGX24" s="2234"/>
      <c r="FGY24" s="2235"/>
      <c r="FGZ24" s="2235"/>
      <c r="FHA24" s="2234"/>
      <c r="FHB24" s="2235"/>
      <c r="FHC24" s="2235"/>
      <c r="FHD24" s="2234"/>
      <c r="FHE24" s="2235"/>
      <c r="FHF24" s="2235"/>
      <c r="FHG24" s="2234"/>
      <c r="FHH24" s="2235"/>
      <c r="FHI24" s="2235"/>
      <c r="FHJ24" s="2234"/>
      <c r="FHK24" s="2235"/>
      <c r="FHL24" s="2235"/>
      <c r="FHM24" s="2234"/>
      <c r="FHN24" s="2235"/>
      <c r="FHO24" s="2235"/>
      <c r="FHP24" s="2234"/>
      <c r="FHQ24" s="2235"/>
      <c r="FHR24" s="2235"/>
      <c r="FHS24" s="2234"/>
      <c r="FHT24" s="2235"/>
      <c r="FHU24" s="2235"/>
      <c r="FHV24" s="2234"/>
      <c r="FHW24" s="2235"/>
      <c r="FHX24" s="2235"/>
      <c r="FHY24" s="2234"/>
      <c r="FHZ24" s="2235"/>
      <c r="FIA24" s="2235"/>
      <c r="FIB24" s="2234"/>
      <c r="FIC24" s="2235"/>
      <c r="FID24" s="2235"/>
      <c r="FIE24" s="2234"/>
      <c r="FIF24" s="2235"/>
      <c r="FIG24" s="2235"/>
      <c r="FIH24" s="2234"/>
      <c r="FII24" s="2235"/>
      <c r="FIJ24" s="2235"/>
      <c r="FIK24" s="2234"/>
      <c r="FIL24" s="2235"/>
      <c r="FIM24" s="2235"/>
      <c r="FIN24" s="2234"/>
      <c r="FIO24" s="2235"/>
      <c r="FIP24" s="2235"/>
      <c r="FIQ24" s="2234"/>
      <c r="FIR24" s="2235"/>
      <c r="FIS24" s="2235"/>
      <c r="FIT24" s="2234"/>
      <c r="FIU24" s="2235"/>
      <c r="FIV24" s="2235"/>
      <c r="FIW24" s="2234"/>
      <c r="FIX24" s="2235"/>
      <c r="FIY24" s="2235"/>
      <c r="FIZ24" s="2234"/>
      <c r="FJA24" s="2235"/>
      <c r="FJB24" s="2235"/>
      <c r="FJC24" s="2234"/>
      <c r="FJD24" s="2235"/>
      <c r="FJE24" s="2235"/>
      <c r="FJF24" s="2234"/>
      <c r="FJG24" s="2235"/>
      <c r="FJH24" s="2235"/>
      <c r="FJI24" s="2234"/>
      <c r="FJJ24" s="2235"/>
      <c r="FJK24" s="2235"/>
      <c r="FJL24" s="2234"/>
      <c r="FJM24" s="2235"/>
      <c r="FJN24" s="2235"/>
      <c r="FJO24" s="2234"/>
      <c r="FJP24" s="2235"/>
      <c r="FJQ24" s="2235"/>
      <c r="FJR24" s="2234"/>
      <c r="FJS24" s="2235"/>
      <c r="FJT24" s="2235"/>
      <c r="FJU24" s="2234"/>
      <c r="FJV24" s="2235"/>
      <c r="FJW24" s="2235"/>
      <c r="FJX24" s="2234"/>
      <c r="FJY24" s="2235"/>
      <c r="FJZ24" s="2235"/>
      <c r="FKA24" s="2234"/>
      <c r="FKB24" s="2235"/>
      <c r="FKC24" s="2235"/>
      <c r="FKD24" s="2234"/>
      <c r="FKE24" s="2235"/>
      <c r="FKF24" s="2235"/>
      <c r="FKG24" s="2234"/>
      <c r="FKH24" s="2235"/>
      <c r="FKI24" s="2235"/>
      <c r="FKJ24" s="2234"/>
      <c r="FKK24" s="2235"/>
      <c r="FKL24" s="2235"/>
      <c r="FKM24" s="2234"/>
      <c r="FKN24" s="2235"/>
      <c r="FKO24" s="2235"/>
      <c r="FKP24" s="2234"/>
      <c r="FKQ24" s="2235"/>
      <c r="FKR24" s="2235"/>
      <c r="FKS24" s="2234"/>
      <c r="FKT24" s="2235"/>
      <c r="FKU24" s="2235"/>
      <c r="FKV24" s="2234"/>
      <c r="FKW24" s="2235"/>
      <c r="FKX24" s="2235"/>
      <c r="FKY24" s="2234"/>
      <c r="FKZ24" s="2235"/>
      <c r="FLA24" s="2235"/>
      <c r="FLB24" s="2234"/>
      <c r="FLC24" s="2235"/>
      <c r="FLD24" s="2235"/>
      <c r="FLE24" s="2234"/>
      <c r="FLF24" s="2235"/>
      <c r="FLG24" s="2235"/>
      <c r="FLH24" s="2234"/>
      <c r="FLI24" s="2235"/>
      <c r="FLJ24" s="2235"/>
      <c r="FLK24" s="2234"/>
      <c r="FLL24" s="2235"/>
      <c r="FLM24" s="2235"/>
      <c r="FLN24" s="2234"/>
      <c r="FLO24" s="2235"/>
      <c r="FLP24" s="2235"/>
      <c r="FLQ24" s="2234"/>
      <c r="FLR24" s="2235"/>
      <c r="FLS24" s="2235"/>
      <c r="FLT24" s="2234"/>
      <c r="FLU24" s="2235"/>
      <c r="FLV24" s="2235"/>
      <c r="FLW24" s="2234"/>
      <c r="FLX24" s="2235"/>
      <c r="FLY24" s="2235"/>
      <c r="FLZ24" s="2234"/>
      <c r="FMA24" s="2235"/>
      <c r="FMB24" s="2235"/>
      <c r="FMC24" s="2234"/>
      <c r="FMD24" s="2235"/>
      <c r="FME24" s="2235"/>
      <c r="FMF24" s="2234"/>
      <c r="FMG24" s="2235"/>
      <c r="FMH24" s="2235"/>
      <c r="FMI24" s="2234"/>
      <c r="FMJ24" s="2235"/>
      <c r="FMK24" s="2235"/>
      <c r="FML24" s="2234"/>
      <c r="FMM24" s="2235"/>
      <c r="FMN24" s="2235"/>
      <c r="FMO24" s="2234"/>
      <c r="FMP24" s="2235"/>
      <c r="FMQ24" s="2235"/>
      <c r="FMR24" s="2234"/>
      <c r="FMS24" s="2235"/>
      <c r="FMT24" s="2235"/>
      <c r="FMU24" s="2234"/>
      <c r="FMV24" s="2235"/>
      <c r="FMW24" s="2235"/>
      <c r="FMX24" s="2234"/>
      <c r="FMY24" s="2235"/>
      <c r="FMZ24" s="2235"/>
      <c r="FNA24" s="2234"/>
      <c r="FNB24" s="2235"/>
      <c r="FNC24" s="2235"/>
      <c r="FND24" s="2234"/>
      <c r="FNE24" s="2235"/>
      <c r="FNF24" s="2235"/>
      <c r="FNG24" s="2234"/>
      <c r="FNH24" s="2235"/>
      <c r="FNI24" s="2235"/>
      <c r="FNJ24" s="2234"/>
      <c r="FNK24" s="2235"/>
      <c r="FNL24" s="2235"/>
      <c r="FNM24" s="2234"/>
      <c r="FNN24" s="2235"/>
      <c r="FNO24" s="2235"/>
      <c r="FNP24" s="2234"/>
      <c r="FNQ24" s="2235"/>
      <c r="FNR24" s="2235"/>
      <c r="FNS24" s="2234"/>
      <c r="FNT24" s="2235"/>
      <c r="FNU24" s="2235"/>
      <c r="FNV24" s="2234"/>
      <c r="FNW24" s="2235"/>
      <c r="FNX24" s="2235"/>
      <c r="FNY24" s="2234"/>
      <c r="FNZ24" s="2235"/>
      <c r="FOA24" s="2235"/>
      <c r="FOB24" s="2234"/>
      <c r="FOC24" s="2235"/>
      <c r="FOD24" s="2235"/>
      <c r="FOE24" s="2234"/>
      <c r="FOF24" s="2235"/>
      <c r="FOG24" s="2235"/>
      <c r="FOH24" s="2234"/>
      <c r="FOI24" s="2235"/>
      <c r="FOJ24" s="2235"/>
      <c r="FOK24" s="2234"/>
      <c r="FOL24" s="2235"/>
      <c r="FOM24" s="2235"/>
      <c r="FON24" s="2234"/>
      <c r="FOO24" s="2235"/>
      <c r="FOP24" s="2235"/>
      <c r="FOQ24" s="2234"/>
      <c r="FOR24" s="2235"/>
      <c r="FOS24" s="2235"/>
      <c r="FOT24" s="2234"/>
      <c r="FOU24" s="2235"/>
      <c r="FOV24" s="2235"/>
      <c r="FOW24" s="2234"/>
      <c r="FOX24" s="2235"/>
      <c r="FOY24" s="2235"/>
      <c r="FOZ24" s="2234"/>
      <c r="FPA24" s="2235"/>
      <c r="FPB24" s="2235"/>
      <c r="FPC24" s="2234"/>
      <c r="FPD24" s="2235"/>
      <c r="FPE24" s="2235"/>
      <c r="FPF24" s="2234"/>
      <c r="FPG24" s="2235"/>
      <c r="FPH24" s="2235"/>
      <c r="FPI24" s="2234"/>
      <c r="FPJ24" s="2235"/>
      <c r="FPK24" s="2235"/>
      <c r="FPL24" s="2234"/>
      <c r="FPM24" s="2235"/>
      <c r="FPN24" s="2235"/>
      <c r="FPO24" s="2234"/>
      <c r="FPP24" s="2235"/>
      <c r="FPQ24" s="2235"/>
      <c r="FPR24" s="2234"/>
      <c r="FPS24" s="2235"/>
      <c r="FPT24" s="2235"/>
      <c r="FPU24" s="2234"/>
      <c r="FPV24" s="2235"/>
      <c r="FPW24" s="2235"/>
      <c r="FPX24" s="2234"/>
      <c r="FPY24" s="2235"/>
      <c r="FPZ24" s="2235"/>
      <c r="FQA24" s="2234"/>
      <c r="FQB24" s="2235"/>
      <c r="FQC24" s="2235"/>
      <c r="FQD24" s="2234"/>
      <c r="FQE24" s="2235"/>
      <c r="FQF24" s="2235"/>
      <c r="FQG24" s="2234"/>
      <c r="FQH24" s="2235"/>
      <c r="FQI24" s="2235"/>
      <c r="FQJ24" s="2234"/>
      <c r="FQK24" s="2235"/>
      <c r="FQL24" s="2235"/>
      <c r="FQM24" s="2234"/>
      <c r="FQN24" s="2235"/>
      <c r="FQO24" s="2235"/>
      <c r="FQP24" s="2234"/>
      <c r="FQQ24" s="2235"/>
      <c r="FQR24" s="2235"/>
      <c r="FQS24" s="2234"/>
      <c r="FQT24" s="2235"/>
      <c r="FQU24" s="2235"/>
      <c r="FQV24" s="2234"/>
      <c r="FQW24" s="2235"/>
      <c r="FQX24" s="2235"/>
      <c r="FQY24" s="2234"/>
      <c r="FQZ24" s="2235"/>
      <c r="FRA24" s="2235"/>
      <c r="FRB24" s="2234"/>
      <c r="FRC24" s="2235"/>
      <c r="FRD24" s="2235"/>
      <c r="FRE24" s="2234"/>
      <c r="FRF24" s="2235"/>
      <c r="FRG24" s="2235"/>
      <c r="FRH24" s="2234"/>
      <c r="FRI24" s="2235"/>
      <c r="FRJ24" s="2235"/>
      <c r="FRK24" s="2234"/>
      <c r="FRL24" s="2235"/>
      <c r="FRM24" s="2235"/>
      <c r="FRN24" s="2234"/>
      <c r="FRO24" s="2235"/>
      <c r="FRP24" s="2235"/>
      <c r="FRQ24" s="2234"/>
      <c r="FRR24" s="2235"/>
      <c r="FRS24" s="2235"/>
      <c r="FRT24" s="2234"/>
      <c r="FRU24" s="2235"/>
      <c r="FRV24" s="2235"/>
      <c r="FRW24" s="2234"/>
      <c r="FRX24" s="2235"/>
      <c r="FRY24" s="2235"/>
      <c r="FRZ24" s="2234"/>
      <c r="FSA24" s="2235"/>
      <c r="FSB24" s="2235"/>
      <c r="FSC24" s="2234"/>
      <c r="FSD24" s="2235"/>
      <c r="FSE24" s="2235"/>
      <c r="FSF24" s="2234"/>
      <c r="FSG24" s="2235"/>
      <c r="FSH24" s="2235"/>
      <c r="FSI24" s="2234"/>
      <c r="FSJ24" s="2235"/>
      <c r="FSK24" s="2235"/>
      <c r="FSL24" s="2234"/>
      <c r="FSM24" s="2235"/>
      <c r="FSN24" s="2235"/>
      <c r="FSO24" s="2234"/>
      <c r="FSP24" s="2235"/>
      <c r="FSQ24" s="2235"/>
      <c r="FSR24" s="2234"/>
      <c r="FSS24" s="2235"/>
      <c r="FST24" s="2235"/>
      <c r="FSU24" s="2234"/>
      <c r="FSV24" s="2235"/>
      <c r="FSW24" s="2235"/>
      <c r="FSX24" s="2234"/>
      <c r="FSY24" s="2235"/>
      <c r="FSZ24" s="2235"/>
      <c r="FTA24" s="2234"/>
      <c r="FTB24" s="2235"/>
      <c r="FTC24" s="2235"/>
      <c r="FTD24" s="2234"/>
      <c r="FTE24" s="2235"/>
      <c r="FTF24" s="2235"/>
      <c r="FTG24" s="2234"/>
      <c r="FTH24" s="2235"/>
      <c r="FTI24" s="2235"/>
      <c r="FTJ24" s="2234"/>
      <c r="FTK24" s="2235"/>
      <c r="FTL24" s="2235"/>
      <c r="FTM24" s="2234"/>
      <c r="FTN24" s="2235"/>
      <c r="FTO24" s="2235"/>
      <c r="FTP24" s="2234"/>
      <c r="FTQ24" s="2235"/>
      <c r="FTR24" s="2235"/>
      <c r="FTS24" s="2234"/>
      <c r="FTT24" s="2235"/>
      <c r="FTU24" s="2235"/>
      <c r="FTV24" s="2234"/>
      <c r="FTW24" s="2235"/>
      <c r="FTX24" s="2235"/>
      <c r="FTY24" s="2234"/>
      <c r="FTZ24" s="2235"/>
      <c r="FUA24" s="2235"/>
      <c r="FUB24" s="2234"/>
      <c r="FUC24" s="2235"/>
      <c r="FUD24" s="2235"/>
      <c r="FUE24" s="2234"/>
      <c r="FUF24" s="2235"/>
      <c r="FUG24" s="2235"/>
      <c r="FUH24" s="2234"/>
      <c r="FUI24" s="2235"/>
      <c r="FUJ24" s="2235"/>
      <c r="FUK24" s="2234"/>
      <c r="FUL24" s="2235"/>
      <c r="FUM24" s="2235"/>
      <c r="FUN24" s="2234"/>
      <c r="FUO24" s="2235"/>
      <c r="FUP24" s="2235"/>
      <c r="FUQ24" s="2234"/>
      <c r="FUR24" s="2235"/>
      <c r="FUS24" s="2235"/>
      <c r="FUT24" s="2234"/>
      <c r="FUU24" s="2235"/>
      <c r="FUV24" s="2235"/>
      <c r="FUW24" s="2234"/>
      <c r="FUX24" s="2235"/>
      <c r="FUY24" s="2235"/>
      <c r="FUZ24" s="2234"/>
      <c r="FVA24" s="2235"/>
      <c r="FVB24" s="2235"/>
      <c r="FVC24" s="2234"/>
      <c r="FVD24" s="2235"/>
      <c r="FVE24" s="2235"/>
      <c r="FVF24" s="2234"/>
      <c r="FVG24" s="2235"/>
      <c r="FVH24" s="2235"/>
      <c r="FVI24" s="2234"/>
      <c r="FVJ24" s="2235"/>
      <c r="FVK24" s="2235"/>
      <c r="FVL24" s="2234"/>
      <c r="FVM24" s="2235"/>
      <c r="FVN24" s="2235"/>
      <c r="FVO24" s="2234"/>
      <c r="FVP24" s="2235"/>
      <c r="FVQ24" s="2235"/>
      <c r="FVR24" s="2234"/>
      <c r="FVS24" s="2235"/>
      <c r="FVT24" s="2235"/>
      <c r="FVU24" s="2234"/>
      <c r="FVV24" s="2235"/>
      <c r="FVW24" s="2235"/>
      <c r="FVX24" s="2234"/>
      <c r="FVY24" s="2235"/>
      <c r="FVZ24" s="2235"/>
      <c r="FWA24" s="2234"/>
      <c r="FWB24" s="2235"/>
      <c r="FWC24" s="2235"/>
      <c r="FWD24" s="2234"/>
      <c r="FWE24" s="2235"/>
      <c r="FWF24" s="2235"/>
      <c r="FWG24" s="2234"/>
      <c r="FWH24" s="2235"/>
      <c r="FWI24" s="2235"/>
      <c r="FWJ24" s="2234"/>
      <c r="FWK24" s="2235"/>
      <c r="FWL24" s="2235"/>
      <c r="FWM24" s="2234"/>
      <c r="FWN24" s="2235"/>
      <c r="FWO24" s="2235"/>
      <c r="FWP24" s="2234"/>
      <c r="FWQ24" s="2235"/>
      <c r="FWR24" s="2235"/>
      <c r="FWS24" s="2234"/>
      <c r="FWT24" s="2235"/>
      <c r="FWU24" s="2235"/>
      <c r="FWV24" s="2234"/>
      <c r="FWW24" s="2235"/>
      <c r="FWX24" s="2235"/>
      <c r="FWY24" s="2234"/>
      <c r="FWZ24" s="2235"/>
      <c r="FXA24" s="2235"/>
      <c r="FXB24" s="2234"/>
      <c r="FXC24" s="2235"/>
      <c r="FXD24" s="2235"/>
      <c r="FXE24" s="2234"/>
      <c r="FXF24" s="2235"/>
      <c r="FXG24" s="2235"/>
      <c r="FXH24" s="2234"/>
      <c r="FXI24" s="2235"/>
      <c r="FXJ24" s="2235"/>
      <c r="FXK24" s="2234"/>
      <c r="FXL24" s="2235"/>
      <c r="FXM24" s="2235"/>
      <c r="FXN24" s="2234"/>
      <c r="FXO24" s="2235"/>
      <c r="FXP24" s="2235"/>
      <c r="FXQ24" s="2234"/>
      <c r="FXR24" s="2235"/>
      <c r="FXS24" s="2235"/>
      <c r="FXT24" s="2234"/>
      <c r="FXU24" s="2235"/>
      <c r="FXV24" s="2235"/>
      <c r="FXW24" s="2234"/>
      <c r="FXX24" s="2235"/>
      <c r="FXY24" s="2235"/>
      <c r="FXZ24" s="2234"/>
      <c r="FYA24" s="2235"/>
      <c r="FYB24" s="2235"/>
      <c r="FYC24" s="2234"/>
      <c r="FYD24" s="2235"/>
      <c r="FYE24" s="2235"/>
      <c r="FYF24" s="2234"/>
      <c r="FYG24" s="2235"/>
      <c r="FYH24" s="2235"/>
      <c r="FYI24" s="2234"/>
      <c r="FYJ24" s="2235"/>
      <c r="FYK24" s="2235"/>
      <c r="FYL24" s="2234"/>
      <c r="FYM24" s="2235"/>
      <c r="FYN24" s="2235"/>
      <c r="FYO24" s="2234"/>
      <c r="FYP24" s="2235"/>
      <c r="FYQ24" s="2235"/>
      <c r="FYR24" s="2234"/>
      <c r="FYS24" s="2235"/>
      <c r="FYT24" s="2235"/>
      <c r="FYU24" s="2234"/>
      <c r="FYV24" s="2235"/>
      <c r="FYW24" s="2235"/>
      <c r="FYX24" s="2234"/>
      <c r="FYY24" s="2235"/>
      <c r="FYZ24" s="2235"/>
      <c r="FZA24" s="2234"/>
      <c r="FZB24" s="2235"/>
      <c r="FZC24" s="2235"/>
      <c r="FZD24" s="2234"/>
      <c r="FZE24" s="2235"/>
      <c r="FZF24" s="2235"/>
      <c r="FZG24" s="2234"/>
      <c r="FZH24" s="2235"/>
      <c r="FZI24" s="2235"/>
      <c r="FZJ24" s="2234"/>
      <c r="FZK24" s="2235"/>
      <c r="FZL24" s="2235"/>
      <c r="FZM24" s="2234"/>
      <c r="FZN24" s="2235"/>
      <c r="FZO24" s="2235"/>
      <c r="FZP24" s="2234"/>
      <c r="FZQ24" s="2235"/>
      <c r="FZR24" s="2235"/>
      <c r="FZS24" s="2234"/>
      <c r="FZT24" s="2235"/>
      <c r="FZU24" s="2235"/>
      <c r="FZV24" s="2234"/>
      <c r="FZW24" s="2235"/>
      <c r="FZX24" s="2235"/>
      <c r="FZY24" s="2234"/>
      <c r="FZZ24" s="2235"/>
      <c r="GAA24" s="2235"/>
      <c r="GAB24" s="2234"/>
      <c r="GAC24" s="2235"/>
      <c r="GAD24" s="2235"/>
      <c r="GAE24" s="2234"/>
      <c r="GAF24" s="2235"/>
      <c r="GAG24" s="2235"/>
      <c r="GAH24" s="2234"/>
      <c r="GAI24" s="2235"/>
      <c r="GAJ24" s="2235"/>
      <c r="GAK24" s="2234"/>
      <c r="GAL24" s="2235"/>
      <c r="GAM24" s="2235"/>
      <c r="GAN24" s="2234"/>
      <c r="GAO24" s="2235"/>
      <c r="GAP24" s="2235"/>
      <c r="GAQ24" s="2234"/>
      <c r="GAR24" s="2235"/>
      <c r="GAS24" s="2235"/>
      <c r="GAT24" s="2234"/>
      <c r="GAU24" s="2235"/>
      <c r="GAV24" s="2235"/>
      <c r="GAW24" s="2234"/>
      <c r="GAX24" s="2235"/>
      <c r="GAY24" s="2235"/>
      <c r="GAZ24" s="2234"/>
      <c r="GBA24" s="2235"/>
      <c r="GBB24" s="2235"/>
      <c r="GBC24" s="2234"/>
      <c r="GBD24" s="2235"/>
      <c r="GBE24" s="2235"/>
      <c r="GBF24" s="2234"/>
      <c r="GBG24" s="2235"/>
      <c r="GBH24" s="2235"/>
      <c r="GBI24" s="2234"/>
      <c r="GBJ24" s="2235"/>
      <c r="GBK24" s="2235"/>
      <c r="GBL24" s="2234"/>
      <c r="GBM24" s="2235"/>
      <c r="GBN24" s="2235"/>
      <c r="GBO24" s="2234"/>
      <c r="GBP24" s="2235"/>
      <c r="GBQ24" s="2235"/>
      <c r="GBR24" s="2234"/>
      <c r="GBS24" s="2235"/>
      <c r="GBT24" s="2235"/>
      <c r="GBU24" s="2234"/>
      <c r="GBV24" s="2235"/>
      <c r="GBW24" s="2235"/>
      <c r="GBX24" s="2234"/>
      <c r="GBY24" s="2235"/>
      <c r="GBZ24" s="2235"/>
      <c r="GCA24" s="2234"/>
      <c r="GCB24" s="2235"/>
      <c r="GCC24" s="2235"/>
      <c r="GCD24" s="2234"/>
      <c r="GCE24" s="2235"/>
      <c r="GCF24" s="2235"/>
      <c r="GCG24" s="2234"/>
      <c r="GCH24" s="2235"/>
      <c r="GCI24" s="2235"/>
      <c r="GCJ24" s="2234"/>
      <c r="GCK24" s="2235"/>
      <c r="GCL24" s="2235"/>
      <c r="GCM24" s="2234"/>
      <c r="GCN24" s="2235"/>
      <c r="GCO24" s="2235"/>
      <c r="GCP24" s="2234"/>
      <c r="GCQ24" s="2235"/>
      <c r="GCR24" s="2235"/>
      <c r="GCS24" s="2234"/>
      <c r="GCT24" s="2235"/>
      <c r="GCU24" s="2235"/>
      <c r="GCV24" s="2234"/>
      <c r="GCW24" s="2235"/>
      <c r="GCX24" s="2235"/>
      <c r="GCY24" s="2234"/>
      <c r="GCZ24" s="2235"/>
      <c r="GDA24" s="2235"/>
      <c r="GDB24" s="2234"/>
      <c r="GDC24" s="2235"/>
      <c r="GDD24" s="2235"/>
      <c r="GDE24" s="2234"/>
      <c r="GDF24" s="2235"/>
      <c r="GDG24" s="2235"/>
      <c r="GDH24" s="2234"/>
      <c r="GDI24" s="2235"/>
      <c r="GDJ24" s="2235"/>
      <c r="GDK24" s="2234"/>
      <c r="GDL24" s="2235"/>
      <c r="GDM24" s="2235"/>
      <c r="GDN24" s="2234"/>
      <c r="GDO24" s="2235"/>
      <c r="GDP24" s="2235"/>
      <c r="GDQ24" s="2234"/>
      <c r="GDR24" s="2235"/>
      <c r="GDS24" s="2235"/>
      <c r="GDT24" s="2234"/>
      <c r="GDU24" s="2235"/>
      <c r="GDV24" s="2235"/>
      <c r="GDW24" s="2234"/>
      <c r="GDX24" s="2235"/>
      <c r="GDY24" s="2235"/>
      <c r="GDZ24" s="2234"/>
      <c r="GEA24" s="2235"/>
      <c r="GEB24" s="2235"/>
      <c r="GEC24" s="2234"/>
      <c r="GED24" s="2235"/>
      <c r="GEE24" s="2235"/>
      <c r="GEF24" s="2234"/>
      <c r="GEG24" s="2235"/>
      <c r="GEH24" s="2235"/>
      <c r="GEI24" s="2234"/>
      <c r="GEJ24" s="2235"/>
      <c r="GEK24" s="2235"/>
      <c r="GEL24" s="2234"/>
      <c r="GEM24" s="2235"/>
      <c r="GEN24" s="2235"/>
      <c r="GEO24" s="2234"/>
      <c r="GEP24" s="2235"/>
      <c r="GEQ24" s="2235"/>
      <c r="GER24" s="2234"/>
      <c r="GES24" s="2235"/>
      <c r="GET24" s="2235"/>
      <c r="GEU24" s="2234"/>
      <c r="GEV24" s="2235"/>
      <c r="GEW24" s="2235"/>
      <c r="GEX24" s="2234"/>
      <c r="GEY24" s="2235"/>
      <c r="GEZ24" s="2235"/>
      <c r="GFA24" s="2234"/>
      <c r="GFB24" s="2235"/>
      <c r="GFC24" s="2235"/>
      <c r="GFD24" s="2234"/>
      <c r="GFE24" s="2235"/>
      <c r="GFF24" s="2235"/>
      <c r="GFG24" s="2234"/>
      <c r="GFH24" s="2235"/>
      <c r="GFI24" s="2235"/>
      <c r="GFJ24" s="2234"/>
      <c r="GFK24" s="2235"/>
      <c r="GFL24" s="2235"/>
      <c r="GFM24" s="2234"/>
      <c r="GFN24" s="2235"/>
      <c r="GFO24" s="2235"/>
      <c r="GFP24" s="2234"/>
      <c r="GFQ24" s="2235"/>
      <c r="GFR24" s="2235"/>
      <c r="GFS24" s="2234"/>
      <c r="GFT24" s="2235"/>
      <c r="GFU24" s="2235"/>
      <c r="GFV24" s="2234"/>
      <c r="GFW24" s="2235"/>
      <c r="GFX24" s="2235"/>
      <c r="GFY24" s="2234"/>
      <c r="GFZ24" s="2235"/>
      <c r="GGA24" s="2235"/>
      <c r="GGB24" s="2234"/>
      <c r="GGC24" s="2235"/>
      <c r="GGD24" s="2235"/>
      <c r="GGE24" s="2234"/>
      <c r="GGF24" s="2235"/>
      <c r="GGG24" s="2235"/>
      <c r="GGH24" s="2234"/>
      <c r="GGI24" s="2235"/>
      <c r="GGJ24" s="2235"/>
      <c r="GGK24" s="2234"/>
      <c r="GGL24" s="2235"/>
      <c r="GGM24" s="2235"/>
      <c r="GGN24" s="2234"/>
      <c r="GGO24" s="2235"/>
      <c r="GGP24" s="2235"/>
      <c r="GGQ24" s="2234"/>
      <c r="GGR24" s="2235"/>
      <c r="GGS24" s="2235"/>
      <c r="GGT24" s="2234"/>
      <c r="GGU24" s="2235"/>
      <c r="GGV24" s="2235"/>
      <c r="GGW24" s="2234"/>
      <c r="GGX24" s="2235"/>
      <c r="GGY24" s="2235"/>
      <c r="GGZ24" s="2234"/>
      <c r="GHA24" s="2235"/>
      <c r="GHB24" s="2235"/>
      <c r="GHC24" s="2234"/>
      <c r="GHD24" s="2235"/>
      <c r="GHE24" s="2235"/>
      <c r="GHF24" s="2234"/>
      <c r="GHG24" s="2235"/>
      <c r="GHH24" s="2235"/>
      <c r="GHI24" s="2234"/>
      <c r="GHJ24" s="2235"/>
      <c r="GHK24" s="2235"/>
      <c r="GHL24" s="2234"/>
      <c r="GHM24" s="2235"/>
      <c r="GHN24" s="2235"/>
      <c r="GHO24" s="2234"/>
      <c r="GHP24" s="2235"/>
      <c r="GHQ24" s="2235"/>
      <c r="GHR24" s="2234"/>
      <c r="GHS24" s="2235"/>
      <c r="GHT24" s="2235"/>
      <c r="GHU24" s="2234"/>
      <c r="GHV24" s="2235"/>
      <c r="GHW24" s="2235"/>
      <c r="GHX24" s="2234"/>
      <c r="GHY24" s="2235"/>
      <c r="GHZ24" s="2235"/>
      <c r="GIA24" s="2234"/>
      <c r="GIB24" s="2235"/>
      <c r="GIC24" s="2235"/>
      <c r="GID24" s="2234"/>
      <c r="GIE24" s="2235"/>
      <c r="GIF24" s="2235"/>
      <c r="GIG24" s="2234"/>
      <c r="GIH24" s="2235"/>
      <c r="GII24" s="2235"/>
      <c r="GIJ24" s="2234"/>
      <c r="GIK24" s="2235"/>
      <c r="GIL24" s="2235"/>
      <c r="GIM24" s="2234"/>
      <c r="GIN24" s="2235"/>
      <c r="GIO24" s="2235"/>
      <c r="GIP24" s="2234"/>
      <c r="GIQ24" s="2235"/>
      <c r="GIR24" s="2235"/>
      <c r="GIS24" s="2234"/>
      <c r="GIT24" s="2235"/>
      <c r="GIU24" s="2235"/>
      <c r="GIV24" s="2234"/>
      <c r="GIW24" s="2235"/>
      <c r="GIX24" s="2235"/>
      <c r="GIY24" s="2234"/>
      <c r="GIZ24" s="2235"/>
      <c r="GJA24" s="2235"/>
      <c r="GJB24" s="2234"/>
      <c r="GJC24" s="2235"/>
      <c r="GJD24" s="2235"/>
      <c r="GJE24" s="2234"/>
      <c r="GJF24" s="2235"/>
      <c r="GJG24" s="2235"/>
      <c r="GJH24" s="2234"/>
      <c r="GJI24" s="2235"/>
      <c r="GJJ24" s="2235"/>
      <c r="GJK24" s="2234"/>
      <c r="GJL24" s="2235"/>
      <c r="GJM24" s="2235"/>
      <c r="GJN24" s="2234"/>
      <c r="GJO24" s="2235"/>
      <c r="GJP24" s="2235"/>
      <c r="GJQ24" s="2234"/>
      <c r="GJR24" s="2235"/>
      <c r="GJS24" s="2235"/>
      <c r="GJT24" s="2234"/>
      <c r="GJU24" s="2235"/>
      <c r="GJV24" s="2235"/>
      <c r="GJW24" s="2234"/>
      <c r="GJX24" s="2235"/>
      <c r="GJY24" s="2235"/>
      <c r="GJZ24" s="2234"/>
      <c r="GKA24" s="2235"/>
      <c r="GKB24" s="2235"/>
      <c r="GKC24" s="2234"/>
      <c r="GKD24" s="2235"/>
      <c r="GKE24" s="2235"/>
      <c r="GKF24" s="2234"/>
      <c r="GKG24" s="2235"/>
      <c r="GKH24" s="2235"/>
      <c r="GKI24" s="2234"/>
      <c r="GKJ24" s="2235"/>
      <c r="GKK24" s="2235"/>
      <c r="GKL24" s="2234"/>
      <c r="GKM24" s="2235"/>
      <c r="GKN24" s="2235"/>
      <c r="GKO24" s="2234"/>
      <c r="GKP24" s="2235"/>
      <c r="GKQ24" s="2235"/>
      <c r="GKR24" s="2234"/>
      <c r="GKS24" s="2235"/>
      <c r="GKT24" s="2235"/>
      <c r="GKU24" s="2234"/>
      <c r="GKV24" s="2235"/>
      <c r="GKW24" s="2235"/>
      <c r="GKX24" s="2234"/>
      <c r="GKY24" s="2235"/>
      <c r="GKZ24" s="2235"/>
      <c r="GLA24" s="2234"/>
      <c r="GLB24" s="2235"/>
      <c r="GLC24" s="2235"/>
      <c r="GLD24" s="2234"/>
      <c r="GLE24" s="2235"/>
      <c r="GLF24" s="2235"/>
      <c r="GLG24" s="2234"/>
      <c r="GLH24" s="2235"/>
      <c r="GLI24" s="2235"/>
      <c r="GLJ24" s="2234"/>
      <c r="GLK24" s="2235"/>
      <c r="GLL24" s="2235"/>
      <c r="GLM24" s="2234"/>
      <c r="GLN24" s="2235"/>
      <c r="GLO24" s="2235"/>
      <c r="GLP24" s="2234"/>
      <c r="GLQ24" s="2235"/>
      <c r="GLR24" s="2235"/>
      <c r="GLS24" s="2234"/>
      <c r="GLT24" s="2235"/>
      <c r="GLU24" s="2235"/>
      <c r="GLV24" s="2234"/>
      <c r="GLW24" s="2235"/>
      <c r="GLX24" s="2235"/>
      <c r="GLY24" s="2234"/>
      <c r="GLZ24" s="2235"/>
      <c r="GMA24" s="2235"/>
      <c r="GMB24" s="2234"/>
      <c r="GMC24" s="2235"/>
      <c r="GMD24" s="2235"/>
      <c r="GME24" s="2234"/>
      <c r="GMF24" s="2235"/>
      <c r="GMG24" s="2235"/>
      <c r="GMH24" s="2234"/>
      <c r="GMI24" s="2235"/>
      <c r="GMJ24" s="2235"/>
      <c r="GMK24" s="2234"/>
      <c r="GML24" s="2235"/>
      <c r="GMM24" s="2235"/>
      <c r="GMN24" s="2234"/>
      <c r="GMO24" s="2235"/>
      <c r="GMP24" s="2235"/>
      <c r="GMQ24" s="2234"/>
      <c r="GMR24" s="2235"/>
      <c r="GMS24" s="2235"/>
      <c r="GMT24" s="2234"/>
      <c r="GMU24" s="2235"/>
      <c r="GMV24" s="2235"/>
      <c r="GMW24" s="2234"/>
      <c r="GMX24" s="2235"/>
      <c r="GMY24" s="2235"/>
      <c r="GMZ24" s="2234"/>
      <c r="GNA24" s="2235"/>
      <c r="GNB24" s="2235"/>
      <c r="GNC24" s="2234"/>
      <c r="GND24" s="2235"/>
      <c r="GNE24" s="2235"/>
      <c r="GNF24" s="2234"/>
      <c r="GNG24" s="2235"/>
      <c r="GNH24" s="2235"/>
      <c r="GNI24" s="2234"/>
      <c r="GNJ24" s="2235"/>
      <c r="GNK24" s="2235"/>
      <c r="GNL24" s="2234"/>
      <c r="GNM24" s="2235"/>
      <c r="GNN24" s="2235"/>
      <c r="GNO24" s="2234"/>
      <c r="GNP24" s="2235"/>
      <c r="GNQ24" s="2235"/>
      <c r="GNR24" s="2234"/>
      <c r="GNS24" s="2235"/>
      <c r="GNT24" s="2235"/>
      <c r="GNU24" s="2234"/>
      <c r="GNV24" s="2235"/>
      <c r="GNW24" s="2235"/>
      <c r="GNX24" s="2234"/>
      <c r="GNY24" s="2235"/>
      <c r="GNZ24" s="2235"/>
      <c r="GOA24" s="2234"/>
      <c r="GOB24" s="2235"/>
      <c r="GOC24" s="2235"/>
      <c r="GOD24" s="2234"/>
      <c r="GOE24" s="2235"/>
      <c r="GOF24" s="2235"/>
      <c r="GOG24" s="2234"/>
      <c r="GOH24" s="2235"/>
      <c r="GOI24" s="2235"/>
      <c r="GOJ24" s="2234"/>
      <c r="GOK24" s="2235"/>
      <c r="GOL24" s="2235"/>
      <c r="GOM24" s="2234"/>
      <c r="GON24" s="2235"/>
      <c r="GOO24" s="2235"/>
      <c r="GOP24" s="2234"/>
      <c r="GOQ24" s="2235"/>
      <c r="GOR24" s="2235"/>
      <c r="GOS24" s="2234"/>
      <c r="GOT24" s="2235"/>
      <c r="GOU24" s="2235"/>
      <c r="GOV24" s="2234"/>
      <c r="GOW24" s="2235"/>
      <c r="GOX24" s="2235"/>
      <c r="GOY24" s="2234"/>
      <c r="GOZ24" s="2235"/>
      <c r="GPA24" s="2235"/>
      <c r="GPB24" s="2234"/>
      <c r="GPC24" s="2235"/>
      <c r="GPD24" s="2235"/>
      <c r="GPE24" s="2234"/>
      <c r="GPF24" s="2235"/>
      <c r="GPG24" s="2235"/>
      <c r="GPH24" s="2234"/>
      <c r="GPI24" s="2235"/>
      <c r="GPJ24" s="2235"/>
      <c r="GPK24" s="2234"/>
      <c r="GPL24" s="2235"/>
      <c r="GPM24" s="2235"/>
      <c r="GPN24" s="2234"/>
      <c r="GPO24" s="2235"/>
      <c r="GPP24" s="2235"/>
      <c r="GPQ24" s="2234"/>
      <c r="GPR24" s="2235"/>
      <c r="GPS24" s="2235"/>
      <c r="GPT24" s="2234"/>
      <c r="GPU24" s="2235"/>
      <c r="GPV24" s="2235"/>
      <c r="GPW24" s="2234"/>
      <c r="GPX24" s="2235"/>
      <c r="GPY24" s="2235"/>
      <c r="GPZ24" s="2234"/>
      <c r="GQA24" s="2235"/>
      <c r="GQB24" s="2235"/>
      <c r="GQC24" s="2234"/>
      <c r="GQD24" s="2235"/>
      <c r="GQE24" s="2235"/>
      <c r="GQF24" s="2234"/>
      <c r="GQG24" s="2235"/>
      <c r="GQH24" s="2235"/>
      <c r="GQI24" s="2234"/>
      <c r="GQJ24" s="2235"/>
      <c r="GQK24" s="2235"/>
      <c r="GQL24" s="2234"/>
      <c r="GQM24" s="2235"/>
      <c r="GQN24" s="2235"/>
      <c r="GQO24" s="2234"/>
      <c r="GQP24" s="2235"/>
      <c r="GQQ24" s="2235"/>
      <c r="GQR24" s="2234"/>
      <c r="GQS24" s="2235"/>
      <c r="GQT24" s="2235"/>
      <c r="GQU24" s="2234"/>
      <c r="GQV24" s="2235"/>
      <c r="GQW24" s="2235"/>
      <c r="GQX24" s="2234"/>
      <c r="GQY24" s="2235"/>
      <c r="GQZ24" s="2235"/>
      <c r="GRA24" s="2234"/>
      <c r="GRB24" s="2235"/>
      <c r="GRC24" s="2235"/>
      <c r="GRD24" s="2234"/>
      <c r="GRE24" s="2235"/>
      <c r="GRF24" s="2235"/>
      <c r="GRG24" s="2234"/>
      <c r="GRH24" s="2235"/>
      <c r="GRI24" s="2235"/>
      <c r="GRJ24" s="2234"/>
      <c r="GRK24" s="2235"/>
      <c r="GRL24" s="2235"/>
      <c r="GRM24" s="2234"/>
      <c r="GRN24" s="2235"/>
      <c r="GRO24" s="2235"/>
      <c r="GRP24" s="2234"/>
      <c r="GRQ24" s="2235"/>
      <c r="GRR24" s="2235"/>
      <c r="GRS24" s="2234"/>
      <c r="GRT24" s="2235"/>
      <c r="GRU24" s="2235"/>
      <c r="GRV24" s="2234"/>
      <c r="GRW24" s="2235"/>
      <c r="GRX24" s="2235"/>
      <c r="GRY24" s="2234"/>
      <c r="GRZ24" s="2235"/>
      <c r="GSA24" s="2235"/>
      <c r="GSB24" s="2234"/>
      <c r="GSC24" s="2235"/>
      <c r="GSD24" s="2235"/>
      <c r="GSE24" s="2234"/>
      <c r="GSF24" s="2235"/>
      <c r="GSG24" s="2235"/>
      <c r="GSH24" s="2234"/>
      <c r="GSI24" s="2235"/>
      <c r="GSJ24" s="2235"/>
      <c r="GSK24" s="2234"/>
      <c r="GSL24" s="2235"/>
      <c r="GSM24" s="2235"/>
      <c r="GSN24" s="2234"/>
      <c r="GSO24" s="2235"/>
      <c r="GSP24" s="2235"/>
      <c r="GSQ24" s="2234"/>
      <c r="GSR24" s="2235"/>
      <c r="GSS24" s="2235"/>
      <c r="GST24" s="2234"/>
      <c r="GSU24" s="2235"/>
      <c r="GSV24" s="2235"/>
      <c r="GSW24" s="2234"/>
      <c r="GSX24" s="2235"/>
      <c r="GSY24" s="2235"/>
      <c r="GSZ24" s="2234"/>
      <c r="GTA24" s="2235"/>
      <c r="GTB24" s="2235"/>
      <c r="GTC24" s="2234"/>
      <c r="GTD24" s="2235"/>
      <c r="GTE24" s="2235"/>
      <c r="GTF24" s="2234"/>
      <c r="GTG24" s="2235"/>
      <c r="GTH24" s="2235"/>
      <c r="GTI24" s="2234"/>
      <c r="GTJ24" s="2235"/>
      <c r="GTK24" s="2235"/>
      <c r="GTL24" s="2234"/>
      <c r="GTM24" s="2235"/>
      <c r="GTN24" s="2235"/>
      <c r="GTO24" s="2234"/>
      <c r="GTP24" s="2235"/>
      <c r="GTQ24" s="2235"/>
      <c r="GTR24" s="2234"/>
      <c r="GTS24" s="2235"/>
      <c r="GTT24" s="2235"/>
      <c r="GTU24" s="2234"/>
      <c r="GTV24" s="2235"/>
      <c r="GTW24" s="2235"/>
      <c r="GTX24" s="2234"/>
      <c r="GTY24" s="2235"/>
      <c r="GTZ24" s="2235"/>
      <c r="GUA24" s="2234"/>
      <c r="GUB24" s="2235"/>
      <c r="GUC24" s="2235"/>
      <c r="GUD24" s="2234"/>
      <c r="GUE24" s="2235"/>
      <c r="GUF24" s="2235"/>
      <c r="GUG24" s="2234"/>
      <c r="GUH24" s="2235"/>
      <c r="GUI24" s="2235"/>
      <c r="GUJ24" s="2234"/>
      <c r="GUK24" s="2235"/>
      <c r="GUL24" s="2235"/>
      <c r="GUM24" s="2234"/>
      <c r="GUN24" s="2235"/>
      <c r="GUO24" s="2235"/>
      <c r="GUP24" s="2234"/>
      <c r="GUQ24" s="2235"/>
      <c r="GUR24" s="2235"/>
      <c r="GUS24" s="2234"/>
      <c r="GUT24" s="2235"/>
      <c r="GUU24" s="2235"/>
      <c r="GUV24" s="2234"/>
      <c r="GUW24" s="2235"/>
      <c r="GUX24" s="2235"/>
      <c r="GUY24" s="2234"/>
      <c r="GUZ24" s="2235"/>
      <c r="GVA24" s="2235"/>
      <c r="GVB24" s="2234"/>
      <c r="GVC24" s="2235"/>
      <c r="GVD24" s="2235"/>
      <c r="GVE24" s="2234"/>
      <c r="GVF24" s="2235"/>
      <c r="GVG24" s="2235"/>
      <c r="GVH24" s="2234"/>
      <c r="GVI24" s="2235"/>
      <c r="GVJ24" s="2235"/>
      <c r="GVK24" s="2234"/>
      <c r="GVL24" s="2235"/>
      <c r="GVM24" s="2235"/>
      <c r="GVN24" s="2234"/>
      <c r="GVO24" s="2235"/>
      <c r="GVP24" s="2235"/>
      <c r="GVQ24" s="2234"/>
      <c r="GVR24" s="2235"/>
      <c r="GVS24" s="2235"/>
      <c r="GVT24" s="2234"/>
      <c r="GVU24" s="2235"/>
      <c r="GVV24" s="2235"/>
      <c r="GVW24" s="2234"/>
      <c r="GVX24" s="2235"/>
      <c r="GVY24" s="2235"/>
      <c r="GVZ24" s="2234"/>
      <c r="GWA24" s="2235"/>
      <c r="GWB24" s="2235"/>
      <c r="GWC24" s="2234"/>
      <c r="GWD24" s="2235"/>
      <c r="GWE24" s="2235"/>
      <c r="GWF24" s="2234"/>
      <c r="GWG24" s="2235"/>
      <c r="GWH24" s="2235"/>
      <c r="GWI24" s="2234"/>
      <c r="GWJ24" s="2235"/>
      <c r="GWK24" s="2235"/>
      <c r="GWL24" s="2234"/>
      <c r="GWM24" s="2235"/>
      <c r="GWN24" s="2235"/>
      <c r="GWO24" s="2234"/>
      <c r="GWP24" s="2235"/>
      <c r="GWQ24" s="2235"/>
      <c r="GWR24" s="2234"/>
      <c r="GWS24" s="2235"/>
      <c r="GWT24" s="2235"/>
      <c r="GWU24" s="2234"/>
      <c r="GWV24" s="2235"/>
      <c r="GWW24" s="2235"/>
      <c r="GWX24" s="2234"/>
      <c r="GWY24" s="2235"/>
      <c r="GWZ24" s="2235"/>
      <c r="GXA24" s="2234"/>
      <c r="GXB24" s="2235"/>
      <c r="GXC24" s="2235"/>
      <c r="GXD24" s="2234"/>
      <c r="GXE24" s="2235"/>
      <c r="GXF24" s="2235"/>
      <c r="GXG24" s="2234"/>
      <c r="GXH24" s="2235"/>
      <c r="GXI24" s="2235"/>
      <c r="GXJ24" s="2234"/>
      <c r="GXK24" s="2235"/>
      <c r="GXL24" s="2235"/>
      <c r="GXM24" s="2234"/>
      <c r="GXN24" s="2235"/>
      <c r="GXO24" s="2235"/>
      <c r="GXP24" s="2234"/>
      <c r="GXQ24" s="2235"/>
      <c r="GXR24" s="2235"/>
      <c r="GXS24" s="2234"/>
      <c r="GXT24" s="2235"/>
      <c r="GXU24" s="2235"/>
      <c r="GXV24" s="2234"/>
      <c r="GXW24" s="2235"/>
      <c r="GXX24" s="2235"/>
      <c r="GXY24" s="2234"/>
      <c r="GXZ24" s="2235"/>
      <c r="GYA24" s="2235"/>
      <c r="GYB24" s="2234"/>
      <c r="GYC24" s="2235"/>
      <c r="GYD24" s="2235"/>
      <c r="GYE24" s="2234"/>
      <c r="GYF24" s="2235"/>
      <c r="GYG24" s="2235"/>
      <c r="GYH24" s="2234"/>
      <c r="GYI24" s="2235"/>
      <c r="GYJ24" s="2235"/>
      <c r="GYK24" s="2234"/>
      <c r="GYL24" s="2235"/>
      <c r="GYM24" s="2235"/>
      <c r="GYN24" s="2234"/>
      <c r="GYO24" s="2235"/>
      <c r="GYP24" s="2235"/>
      <c r="GYQ24" s="2234"/>
      <c r="GYR24" s="2235"/>
      <c r="GYS24" s="2235"/>
      <c r="GYT24" s="2234"/>
      <c r="GYU24" s="2235"/>
      <c r="GYV24" s="2235"/>
      <c r="GYW24" s="2234"/>
      <c r="GYX24" s="2235"/>
      <c r="GYY24" s="2235"/>
      <c r="GYZ24" s="2234"/>
      <c r="GZA24" s="2235"/>
      <c r="GZB24" s="2235"/>
      <c r="GZC24" s="2234"/>
      <c r="GZD24" s="2235"/>
      <c r="GZE24" s="2235"/>
      <c r="GZF24" s="2234"/>
      <c r="GZG24" s="2235"/>
      <c r="GZH24" s="2235"/>
      <c r="GZI24" s="2234"/>
      <c r="GZJ24" s="2235"/>
      <c r="GZK24" s="2235"/>
      <c r="GZL24" s="2234"/>
      <c r="GZM24" s="2235"/>
      <c r="GZN24" s="2235"/>
      <c r="GZO24" s="2234"/>
      <c r="GZP24" s="2235"/>
      <c r="GZQ24" s="2235"/>
      <c r="GZR24" s="2234"/>
      <c r="GZS24" s="2235"/>
      <c r="GZT24" s="2235"/>
      <c r="GZU24" s="2234"/>
      <c r="GZV24" s="2235"/>
      <c r="GZW24" s="2235"/>
      <c r="GZX24" s="2234"/>
      <c r="GZY24" s="2235"/>
      <c r="GZZ24" s="2235"/>
      <c r="HAA24" s="2234"/>
      <c r="HAB24" s="2235"/>
      <c r="HAC24" s="2235"/>
      <c r="HAD24" s="2234"/>
      <c r="HAE24" s="2235"/>
      <c r="HAF24" s="2235"/>
      <c r="HAG24" s="2234"/>
      <c r="HAH24" s="2235"/>
      <c r="HAI24" s="2235"/>
      <c r="HAJ24" s="2234"/>
      <c r="HAK24" s="2235"/>
      <c r="HAL24" s="2235"/>
      <c r="HAM24" s="2234"/>
      <c r="HAN24" s="2235"/>
      <c r="HAO24" s="2235"/>
      <c r="HAP24" s="2234"/>
      <c r="HAQ24" s="2235"/>
      <c r="HAR24" s="2235"/>
      <c r="HAS24" s="2234"/>
      <c r="HAT24" s="2235"/>
      <c r="HAU24" s="2235"/>
      <c r="HAV24" s="2234"/>
      <c r="HAW24" s="2235"/>
      <c r="HAX24" s="2235"/>
      <c r="HAY24" s="2234"/>
      <c r="HAZ24" s="2235"/>
      <c r="HBA24" s="2235"/>
      <c r="HBB24" s="2234"/>
      <c r="HBC24" s="2235"/>
      <c r="HBD24" s="2235"/>
      <c r="HBE24" s="2234"/>
      <c r="HBF24" s="2235"/>
      <c r="HBG24" s="2235"/>
      <c r="HBH24" s="2234"/>
      <c r="HBI24" s="2235"/>
      <c r="HBJ24" s="2235"/>
      <c r="HBK24" s="2234"/>
      <c r="HBL24" s="2235"/>
      <c r="HBM24" s="2235"/>
      <c r="HBN24" s="2234"/>
      <c r="HBO24" s="2235"/>
      <c r="HBP24" s="2235"/>
      <c r="HBQ24" s="2234"/>
      <c r="HBR24" s="2235"/>
      <c r="HBS24" s="2235"/>
      <c r="HBT24" s="2234"/>
      <c r="HBU24" s="2235"/>
      <c r="HBV24" s="2235"/>
      <c r="HBW24" s="2234"/>
      <c r="HBX24" s="2235"/>
      <c r="HBY24" s="2235"/>
      <c r="HBZ24" s="2234"/>
      <c r="HCA24" s="2235"/>
      <c r="HCB24" s="2235"/>
      <c r="HCC24" s="2234"/>
      <c r="HCD24" s="2235"/>
      <c r="HCE24" s="2235"/>
      <c r="HCF24" s="2234"/>
      <c r="HCG24" s="2235"/>
      <c r="HCH24" s="2235"/>
      <c r="HCI24" s="2234"/>
      <c r="HCJ24" s="2235"/>
      <c r="HCK24" s="2235"/>
      <c r="HCL24" s="2234"/>
      <c r="HCM24" s="2235"/>
      <c r="HCN24" s="2235"/>
      <c r="HCO24" s="2234"/>
      <c r="HCP24" s="2235"/>
      <c r="HCQ24" s="2235"/>
      <c r="HCR24" s="2234"/>
      <c r="HCS24" s="2235"/>
      <c r="HCT24" s="2235"/>
      <c r="HCU24" s="2234"/>
      <c r="HCV24" s="2235"/>
      <c r="HCW24" s="2235"/>
      <c r="HCX24" s="2234"/>
      <c r="HCY24" s="2235"/>
      <c r="HCZ24" s="2235"/>
      <c r="HDA24" s="2234"/>
      <c r="HDB24" s="2235"/>
      <c r="HDC24" s="2235"/>
      <c r="HDD24" s="2234"/>
      <c r="HDE24" s="2235"/>
      <c r="HDF24" s="2235"/>
      <c r="HDG24" s="2234"/>
      <c r="HDH24" s="2235"/>
      <c r="HDI24" s="2235"/>
      <c r="HDJ24" s="2234"/>
      <c r="HDK24" s="2235"/>
      <c r="HDL24" s="2235"/>
      <c r="HDM24" s="2234"/>
      <c r="HDN24" s="2235"/>
      <c r="HDO24" s="2235"/>
      <c r="HDP24" s="2234"/>
      <c r="HDQ24" s="2235"/>
      <c r="HDR24" s="2235"/>
      <c r="HDS24" s="2234"/>
      <c r="HDT24" s="2235"/>
      <c r="HDU24" s="2235"/>
      <c r="HDV24" s="2234"/>
      <c r="HDW24" s="2235"/>
      <c r="HDX24" s="2235"/>
      <c r="HDY24" s="2234"/>
      <c r="HDZ24" s="2235"/>
      <c r="HEA24" s="2235"/>
      <c r="HEB24" s="2234"/>
      <c r="HEC24" s="2235"/>
      <c r="HED24" s="2235"/>
      <c r="HEE24" s="2234"/>
      <c r="HEF24" s="2235"/>
      <c r="HEG24" s="2235"/>
      <c r="HEH24" s="2234"/>
      <c r="HEI24" s="2235"/>
      <c r="HEJ24" s="2235"/>
      <c r="HEK24" s="2234"/>
      <c r="HEL24" s="2235"/>
      <c r="HEM24" s="2235"/>
      <c r="HEN24" s="2234"/>
      <c r="HEO24" s="2235"/>
      <c r="HEP24" s="2235"/>
      <c r="HEQ24" s="2234"/>
      <c r="HER24" s="2235"/>
      <c r="HES24" s="2235"/>
      <c r="HET24" s="2234"/>
      <c r="HEU24" s="2235"/>
      <c r="HEV24" s="2235"/>
      <c r="HEW24" s="2234"/>
      <c r="HEX24" s="2235"/>
      <c r="HEY24" s="2235"/>
      <c r="HEZ24" s="2234"/>
      <c r="HFA24" s="2235"/>
      <c r="HFB24" s="2235"/>
      <c r="HFC24" s="2234"/>
      <c r="HFD24" s="2235"/>
      <c r="HFE24" s="2235"/>
      <c r="HFF24" s="2234"/>
      <c r="HFG24" s="2235"/>
      <c r="HFH24" s="2235"/>
      <c r="HFI24" s="2234"/>
      <c r="HFJ24" s="2235"/>
      <c r="HFK24" s="2235"/>
      <c r="HFL24" s="2234"/>
      <c r="HFM24" s="2235"/>
      <c r="HFN24" s="2235"/>
      <c r="HFO24" s="2234"/>
      <c r="HFP24" s="2235"/>
      <c r="HFQ24" s="2235"/>
      <c r="HFR24" s="2234"/>
      <c r="HFS24" s="2235"/>
      <c r="HFT24" s="2235"/>
      <c r="HFU24" s="2234"/>
      <c r="HFV24" s="2235"/>
      <c r="HFW24" s="2235"/>
      <c r="HFX24" s="2234"/>
      <c r="HFY24" s="2235"/>
      <c r="HFZ24" s="2235"/>
      <c r="HGA24" s="2234"/>
      <c r="HGB24" s="2235"/>
      <c r="HGC24" s="2235"/>
      <c r="HGD24" s="2234"/>
      <c r="HGE24" s="2235"/>
      <c r="HGF24" s="2235"/>
      <c r="HGG24" s="2234"/>
      <c r="HGH24" s="2235"/>
      <c r="HGI24" s="2235"/>
      <c r="HGJ24" s="2234"/>
      <c r="HGK24" s="2235"/>
      <c r="HGL24" s="2235"/>
      <c r="HGM24" s="2234"/>
      <c r="HGN24" s="2235"/>
      <c r="HGO24" s="2235"/>
      <c r="HGP24" s="2234"/>
      <c r="HGQ24" s="2235"/>
      <c r="HGR24" s="2235"/>
      <c r="HGS24" s="2234"/>
      <c r="HGT24" s="2235"/>
      <c r="HGU24" s="2235"/>
      <c r="HGV24" s="2234"/>
      <c r="HGW24" s="2235"/>
      <c r="HGX24" s="2235"/>
      <c r="HGY24" s="2234"/>
      <c r="HGZ24" s="2235"/>
      <c r="HHA24" s="2235"/>
      <c r="HHB24" s="2234"/>
      <c r="HHC24" s="2235"/>
      <c r="HHD24" s="2235"/>
      <c r="HHE24" s="2234"/>
      <c r="HHF24" s="2235"/>
      <c r="HHG24" s="2235"/>
      <c r="HHH24" s="2234"/>
      <c r="HHI24" s="2235"/>
      <c r="HHJ24" s="2235"/>
      <c r="HHK24" s="2234"/>
      <c r="HHL24" s="2235"/>
      <c r="HHM24" s="2235"/>
      <c r="HHN24" s="2234"/>
      <c r="HHO24" s="2235"/>
      <c r="HHP24" s="2235"/>
      <c r="HHQ24" s="2234"/>
      <c r="HHR24" s="2235"/>
      <c r="HHS24" s="2235"/>
      <c r="HHT24" s="2234"/>
      <c r="HHU24" s="2235"/>
      <c r="HHV24" s="2235"/>
      <c r="HHW24" s="2234"/>
      <c r="HHX24" s="2235"/>
      <c r="HHY24" s="2235"/>
      <c r="HHZ24" s="2234"/>
      <c r="HIA24" s="2235"/>
      <c r="HIB24" s="2235"/>
      <c r="HIC24" s="2234"/>
      <c r="HID24" s="2235"/>
      <c r="HIE24" s="2235"/>
      <c r="HIF24" s="2234"/>
      <c r="HIG24" s="2235"/>
      <c r="HIH24" s="2235"/>
      <c r="HII24" s="2234"/>
      <c r="HIJ24" s="2235"/>
      <c r="HIK24" s="2235"/>
      <c r="HIL24" s="2234"/>
      <c r="HIM24" s="2235"/>
      <c r="HIN24" s="2235"/>
      <c r="HIO24" s="2234"/>
      <c r="HIP24" s="2235"/>
      <c r="HIQ24" s="2235"/>
      <c r="HIR24" s="2234"/>
      <c r="HIS24" s="2235"/>
      <c r="HIT24" s="2235"/>
      <c r="HIU24" s="2234"/>
      <c r="HIV24" s="2235"/>
      <c r="HIW24" s="2235"/>
      <c r="HIX24" s="2234"/>
      <c r="HIY24" s="2235"/>
      <c r="HIZ24" s="2235"/>
      <c r="HJA24" s="2234"/>
      <c r="HJB24" s="2235"/>
      <c r="HJC24" s="2235"/>
      <c r="HJD24" s="2234"/>
      <c r="HJE24" s="2235"/>
      <c r="HJF24" s="2235"/>
      <c r="HJG24" s="2234"/>
      <c r="HJH24" s="2235"/>
      <c r="HJI24" s="2235"/>
      <c r="HJJ24" s="2234"/>
      <c r="HJK24" s="2235"/>
      <c r="HJL24" s="2235"/>
      <c r="HJM24" s="2234"/>
      <c r="HJN24" s="2235"/>
      <c r="HJO24" s="2235"/>
      <c r="HJP24" s="2234"/>
      <c r="HJQ24" s="2235"/>
      <c r="HJR24" s="2235"/>
      <c r="HJS24" s="2234"/>
      <c r="HJT24" s="2235"/>
      <c r="HJU24" s="2235"/>
      <c r="HJV24" s="2234"/>
      <c r="HJW24" s="2235"/>
      <c r="HJX24" s="2235"/>
      <c r="HJY24" s="2234"/>
      <c r="HJZ24" s="2235"/>
      <c r="HKA24" s="2235"/>
      <c r="HKB24" s="2234"/>
      <c r="HKC24" s="2235"/>
      <c r="HKD24" s="2235"/>
      <c r="HKE24" s="2234"/>
      <c r="HKF24" s="2235"/>
      <c r="HKG24" s="2235"/>
      <c r="HKH24" s="2234"/>
      <c r="HKI24" s="2235"/>
      <c r="HKJ24" s="2235"/>
      <c r="HKK24" s="2234"/>
      <c r="HKL24" s="2235"/>
      <c r="HKM24" s="2235"/>
      <c r="HKN24" s="2234"/>
      <c r="HKO24" s="2235"/>
      <c r="HKP24" s="2235"/>
      <c r="HKQ24" s="2234"/>
      <c r="HKR24" s="2235"/>
      <c r="HKS24" s="2235"/>
      <c r="HKT24" s="2234"/>
      <c r="HKU24" s="2235"/>
      <c r="HKV24" s="2235"/>
      <c r="HKW24" s="2234"/>
      <c r="HKX24" s="2235"/>
      <c r="HKY24" s="2235"/>
      <c r="HKZ24" s="2234"/>
      <c r="HLA24" s="2235"/>
      <c r="HLB24" s="2235"/>
      <c r="HLC24" s="2234"/>
      <c r="HLD24" s="2235"/>
      <c r="HLE24" s="2235"/>
      <c r="HLF24" s="2234"/>
      <c r="HLG24" s="2235"/>
      <c r="HLH24" s="2235"/>
      <c r="HLI24" s="2234"/>
      <c r="HLJ24" s="2235"/>
      <c r="HLK24" s="2235"/>
      <c r="HLL24" s="2234"/>
      <c r="HLM24" s="2235"/>
      <c r="HLN24" s="2235"/>
      <c r="HLO24" s="2234"/>
      <c r="HLP24" s="2235"/>
      <c r="HLQ24" s="2235"/>
      <c r="HLR24" s="2234"/>
      <c r="HLS24" s="2235"/>
      <c r="HLT24" s="2235"/>
      <c r="HLU24" s="2234"/>
      <c r="HLV24" s="2235"/>
      <c r="HLW24" s="2235"/>
      <c r="HLX24" s="2234"/>
      <c r="HLY24" s="2235"/>
      <c r="HLZ24" s="2235"/>
      <c r="HMA24" s="2234"/>
      <c r="HMB24" s="2235"/>
      <c r="HMC24" s="2235"/>
      <c r="HMD24" s="2234"/>
      <c r="HME24" s="2235"/>
      <c r="HMF24" s="2235"/>
      <c r="HMG24" s="2234"/>
      <c r="HMH24" s="2235"/>
      <c r="HMI24" s="2235"/>
      <c r="HMJ24" s="2234"/>
      <c r="HMK24" s="2235"/>
      <c r="HML24" s="2235"/>
      <c r="HMM24" s="2234"/>
      <c r="HMN24" s="2235"/>
      <c r="HMO24" s="2235"/>
      <c r="HMP24" s="2234"/>
      <c r="HMQ24" s="2235"/>
      <c r="HMR24" s="2235"/>
      <c r="HMS24" s="2234"/>
      <c r="HMT24" s="2235"/>
      <c r="HMU24" s="2235"/>
      <c r="HMV24" s="2234"/>
      <c r="HMW24" s="2235"/>
      <c r="HMX24" s="2235"/>
      <c r="HMY24" s="2234"/>
      <c r="HMZ24" s="2235"/>
      <c r="HNA24" s="2235"/>
      <c r="HNB24" s="2234"/>
      <c r="HNC24" s="2235"/>
      <c r="HND24" s="2235"/>
      <c r="HNE24" s="2234"/>
      <c r="HNF24" s="2235"/>
      <c r="HNG24" s="2235"/>
      <c r="HNH24" s="2234"/>
      <c r="HNI24" s="2235"/>
      <c r="HNJ24" s="2235"/>
      <c r="HNK24" s="2234"/>
      <c r="HNL24" s="2235"/>
      <c r="HNM24" s="2235"/>
      <c r="HNN24" s="2234"/>
      <c r="HNO24" s="2235"/>
      <c r="HNP24" s="2235"/>
      <c r="HNQ24" s="2234"/>
      <c r="HNR24" s="2235"/>
      <c r="HNS24" s="2235"/>
      <c r="HNT24" s="2234"/>
      <c r="HNU24" s="2235"/>
      <c r="HNV24" s="2235"/>
      <c r="HNW24" s="2234"/>
      <c r="HNX24" s="2235"/>
      <c r="HNY24" s="2235"/>
      <c r="HNZ24" s="2234"/>
      <c r="HOA24" s="2235"/>
      <c r="HOB24" s="2235"/>
      <c r="HOC24" s="2234"/>
      <c r="HOD24" s="2235"/>
      <c r="HOE24" s="2235"/>
      <c r="HOF24" s="2234"/>
      <c r="HOG24" s="2235"/>
      <c r="HOH24" s="2235"/>
      <c r="HOI24" s="2234"/>
      <c r="HOJ24" s="2235"/>
      <c r="HOK24" s="2235"/>
      <c r="HOL24" s="2234"/>
      <c r="HOM24" s="2235"/>
      <c r="HON24" s="2235"/>
      <c r="HOO24" s="2234"/>
      <c r="HOP24" s="2235"/>
      <c r="HOQ24" s="2235"/>
      <c r="HOR24" s="2234"/>
      <c r="HOS24" s="2235"/>
      <c r="HOT24" s="2235"/>
      <c r="HOU24" s="2234"/>
      <c r="HOV24" s="2235"/>
      <c r="HOW24" s="2235"/>
      <c r="HOX24" s="2234"/>
      <c r="HOY24" s="2235"/>
      <c r="HOZ24" s="2235"/>
      <c r="HPA24" s="2234"/>
      <c r="HPB24" s="2235"/>
      <c r="HPC24" s="2235"/>
      <c r="HPD24" s="2234"/>
      <c r="HPE24" s="2235"/>
      <c r="HPF24" s="2235"/>
      <c r="HPG24" s="2234"/>
      <c r="HPH24" s="2235"/>
      <c r="HPI24" s="2235"/>
      <c r="HPJ24" s="2234"/>
      <c r="HPK24" s="2235"/>
      <c r="HPL24" s="2235"/>
      <c r="HPM24" s="2234"/>
      <c r="HPN24" s="2235"/>
      <c r="HPO24" s="2235"/>
      <c r="HPP24" s="2234"/>
      <c r="HPQ24" s="2235"/>
      <c r="HPR24" s="2235"/>
      <c r="HPS24" s="2234"/>
      <c r="HPT24" s="2235"/>
      <c r="HPU24" s="2235"/>
      <c r="HPV24" s="2234"/>
      <c r="HPW24" s="2235"/>
      <c r="HPX24" s="2235"/>
      <c r="HPY24" s="2234"/>
      <c r="HPZ24" s="2235"/>
      <c r="HQA24" s="2235"/>
      <c r="HQB24" s="2234"/>
      <c r="HQC24" s="2235"/>
      <c r="HQD24" s="2235"/>
      <c r="HQE24" s="2234"/>
      <c r="HQF24" s="2235"/>
      <c r="HQG24" s="2235"/>
      <c r="HQH24" s="2234"/>
      <c r="HQI24" s="2235"/>
      <c r="HQJ24" s="2235"/>
      <c r="HQK24" s="2234"/>
      <c r="HQL24" s="2235"/>
      <c r="HQM24" s="2235"/>
      <c r="HQN24" s="2234"/>
      <c r="HQO24" s="2235"/>
      <c r="HQP24" s="2235"/>
      <c r="HQQ24" s="2234"/>
      <c r="HQR24" s="2235"/>
      <c r="HQS24" s="2235"/>
      <c r="HQT24" s="2234"/>
      <c r="HQU24" s="2235"/>
      <c r="HQV24" s="2235"/>
      <c r="HQW24" s="2234"/>
      <c r="HQX24" s="2235"/>
      <c r="HQY24" s="2235"/>
      <c r="HQZ24" s="2234"/>
      <c r="HRA24" s="2235"/>
      <c r="HRB24" s="2235"/>
      <c r="HRC24" s="2234"/>
      <c r="HRD24" s="2235"/>
      <c r="HRE24" s="2235"/>
      <c r="HRF24" s="2234"/>
      <c r="HRG24" s="2235"/>
      <c r="HRH24" s="2235"/>
      <c r="HRI24" s="2234"/>
      <c r="HRJ24" s="2235"/>
      <c r="HRK24" s="2235"/>
      <c r="HRL24" s="2234"/>
      <c r="HRM24" s="2235"/>
      <c r="HRN24" s="2235"/>
      <c r="HRO24" s="2234"/>
      <c r="HRP24" s="2235"/>
      <c r="HRQ24" s="2235"/>
      <c r="HRR24" s="2234"/>
      <c r="HRS24" s="2235"/>
      <c r="HRT24" s="2235"/>
      <c r="HRU24" s="2234"/>
      <c r="HRV24" s="2235"/>
      <c r="HRW24" s="2235"/>
      <c r="HRX24" s="2234"/>
      <c r="HRY24" s="2235"/>
      <c r="HRZ24" s="2235"/>
      <c r="HSA24" s="2234"/>
      <c r="HSB24" s="2235"/>
      <c r="HSC24" s="2235"/>
      <c r="HSD24" s="2234"/>
      <c r="HSE24" s="2235"/>
      <c r="HSF24" s="2235"/>
      <c r="HSG24" s="2234"/>
      <c r="HSH24" s="2235"/>
      <c r="HSI24" s="2235"/>
      <c r="HSJ24" s="2234"/>
      <c r="HSK24" s="2235"/>
      <c r="HSL24" s="2235"/>
      <c r="HSM24" s="2234"/>
      <c r="HSN24" s="2235"/>
      <c r="HSO24" s="2235"/>
      <c r="HSP24" s="2234"/>
      <c r="HSQ24" s="2235"/>
      <c r="HSR24" s="2235"/>
      <c r="HSS24" s="2234"/>
      <c r="HST24" s="2235"/>
      <c r="HSU24" s="2235"/>
      <c r="HSV24" s="2234"/>
      <c r="HSW24" s="2235"/>
      <c r="HSX24" s="2235"/>
      <c r="HSY24" s="2234"/>
      <c r="HSZ24" s="2235"/>
      <c r="HTA24" s="2235"/>
      <c r="HTB24" s="2234"/>
      <c r="HTC24" s="2235"/>
      <c r="HTD24" s="2235"/>
      <c r="HTE24" s="2234"/>
      <c r="HTF24" s="2235"/>
      <c r="HTG24" s="2235"/>
      <c r="HTH24" s="2234"/>
      <c r="HTI24" s="2235"/>
      <c r="HTJ24" s="2235"/>
      <c r="HTK24" s="2234"/>
      <c r="HTL24" s="2235"/>
      <c r="HTM24" s="2235"/>
      <c r="HTN24" s="2234"/>
      <c r="HTO24" s="2235"/>
      <c r="HTP24" s="2235"/>
      <c r="HTQ24" s="2234"/>
      <c r="HTR24" s="2235"/>
      <c r="HTS24" s="2235"/>
      <c r="HTT24" s="2234"/>
      <c r="HTU24" s="2235"/>
      <c r="HTV24" s="2235"/>
      <c r="HTW24" s="2234"/>
      <c r="HTX24" s="2235"/>
      <c r="HTY24" s="2235"/>
      <c r="HTZ24" s="2234"/>
      <c r="HUA24" s="2235"/>
      <c r="HUB24" s="2235"/>
      <c r="HUC24" s="2234"/>
      <c r="HUD24" s="2235"/>
      <c r="HUE24" s="2235"/>
      <c r="HUF24" s="2234"/>
      <c r="HUG24" s="2235"/>
      <c r="HUH24" s="2235"/>
      <c r="HUI24" s="2234"/>
      <c r="HUJ24" s="2235"/>
      <c r="HUK24" s="2235"/>
      <c r="HUL24" s="2234"/>
      <c r="HUM24" s="2235"/>
      <c r="HUN24" s="2235"/>
      <c r="HUO24" s="2234"/>
      <c r="HUP24" s="2235"/>
      <c r="HUQ24" s="2235"/>
      <c r="HUR24" s="2234"/>
      <c r="HUS24" s="2235"/>
      <c r="HUT24" s="2235"/>
      <c r="HUU24" s="2234"/>
      <c r="HUV24" s="2235"/>
      <c r="HUW24" s="2235"/>
      <c r="HUX24" s="2234"/>
      <c r="HUY24" s="2235"/>
      <c r="HUZ24" s="2235"/>
      <c r="HVA24" s="2234"/>
      <c r="HVB24" s="2235"/>
      <c r="HVC24" s="2235"/>
      <c r="HVD24" s="2234"/>
      <c r="HVE24" s="2235"/>
      <c r="HVF24" s="2235"/>
      <c r="HVG24" s="2234"/>
      <c r="HVH24" s="2235"/>
      <c r="HVI24" s="2235"/>
      <c r="HVJ24" s="2234"/>
      <c r="HVK24" s="2235"/>
      <c r="HVL24" s="2235"/>
      <c r="HVM24" s="2234"/>
      <c r="HVN24" s="2235"/>
      <c r="HVO24" s="2235"/>
      <c r="HVP24" s="2234"/>
      <c r="HVQ24" s="2235"/>
      <c r="HVR24" s="2235"/>
      <c r="HVS24" s="2234"/>
      <c r="HVT24" s="2235"/>
      <c r="HVU24" s="2235"/>
      <c r="HVV24" s="2234"/>
      <c r="HVW24" s="2235"/>
      <c r="HVX24" s="2235"/>
      <c r="HVY24" s="2234"/>
      <c r="HVZ24" s="2235"/>
      <c r="HWA24" s="2235"/>
      <c r="HWB24" s="2234"/>
      <c r="HWC24" s="2235"/>
      <c r="HWD24" s="2235"/>
      <c r="HWE24" s="2234"/>
      <c r="HWF24" s="2235"/>
      <c r="HWG24" s="2235"/>
      <c r="HWH24" s="2234"/>
      <c r="HWI24" s="2235"/>
      <c r="HWJ24" s="2235"/>
      <c r="HWK24" s="2234"/>
      <c r="HWL24" s="2235"/>
      <c r="HWM24" s="2235"/>
      <c r="HWN24" s="2234"/>
      <c r="HWO24" s="2235"/>
      <c r="HWP24" s="2235"/>
      <c r="HWQ24" s="2234"/>
      <c r="HWR24" s="2235"/>
      <c r="HWS24" s="2235"/>
      <c r="HWT24" s="2234"/>
      <c r="HWU24" s="2235"/>
      <c r="HWV24" s="2235"/>
      <c r="HWW24" s="2234"/>
      <c r="HWX24" s="2235"/>
      <c r="HWY24" s="2235"/>
      <c r="HWZ24" s="2234"/>
      <c r="HXA24" s="2235"/>
      <c r="HXB24" s="2235"/>
      <c r="HXC24" s="2234"/>
      <c r="HXD24" s="2235"/>
      <c r="HXE24" s="2235"/>
      <c r="HXF24" s="2234"/>
      <c r="HXG24" s="2235"/>
      <c r="HXH24" s="2235"/>
      <c r="HXI24" s="2234"/>
      <c r="HXJ24" s="2235"/>
      <c r="HXK24" s="2235"/>
      <c r="HXL24" s="2234"/>
      <c r="HXM24" s="2235"/>
      <c r="HXN24" s="2235"/>
      <c r="HXO24" s="2234"/>
      <c r="HXP24" s="2235"/>
      <c r="HXQ24" s="2235"/>
      <c r="HXR24" s="2234"/>
      <c r="HXS24" s="2235"/>
      <c r="HXT24" s="2235"/>
      <c r="HXU24" s="2234"/>
      <c r="HXV24" s="2235"/>
      <c r="HXW24" s="2235"/>
      <c r="HXX24" s="2234"/>
      <c r="HXY24" s="2235"/>
      <c r="HXZ24" s="2235"/>
      <c r="HYA24" s="2234"/>
      <c r="HYB24" s="2235"/>
      <c r="HYC24" s="2235"/>
      <c r="HYD24" s="2234"/>
      <c r="HYE24" s="2235"/>
      <c r="HYF24" s="2235"/>
      <c r="HYG24" s="2234"/>
      <c r="HYH24" s="2235"/>
      <c r="HYI24" s="2235"/>
      <c r="HYJ24" s="2234"/>
      <c r="HYK24" s="2235"/>
      <c r="HYL24" s="2235"/>
      <c r="HYM24" s="2234"/>
      <c r="HYN24" s="2235"/>
      <c r="HYO24" s="2235"/>
      <c r="HYP24" s="2234"/>
      <c r="HYQ24" s="2235"/>
      <c r="HYR24" s="2235"/>
      <c r="HYS24" s="2234"/>
      <c r="HYT24" s="2235"/>
      <c r="HYU24" s="2235"/>
      <c r="HYV24" s="2234"/>
      <c r="HYW24" s="2235"/>
      <c r="HYX24" s="2235"/>
      <c r="HYY24" s="2234"/>
      <c r="HYZ24" s="2235"/>
      <c r="HZA24" s="2235"/>
      <c r="HZB24" s="2234"/>
      <c r="HZC24" s="2235"/>
      <c r="HZD24" s="2235"/>
      <c r="HZE24" s="2234"/>
      <c r="HZF24" s="2235"/>
      <c r="HZG24" s="2235"/>
      <c r="HZH24" s="2234"/>
      <c r="HZI24" s="2235"/>
      <c r="HZJ24" s="2235"/>
      <c r="HZK24" s="2234"/>
      <c r="HZL24" s="2235"/>
      <c r="HZM24" s="2235"/>
      <c r="HZN24" s="2234"/>
      <c r="HZO24" s="2235"/>
      <c r="HZP24" s="2235"/>
      <c r="HZQ24" s="2234"/>
      <c r="HZR24" s="2235"/>
      <c r="HZS24" s="2235"/>
      <c r="HZT24" s="2234"/>
      <c r="HZU24" s="2235"/>
      <c r="HZV24" s="2235"/>
      <c r="HZW24" s="2234"/>
      <c r="HZX24" s="2235"/>
      <c r="HZY24" s="2235"/>
      <c r="HZZ24" s="2234"/>
      <c r="IAA24" s="2235"/>
      <c r="IAB24" s="2235"/>
      <c r="IAC24" s="2234"/>
      <c r="IAD24" s="2235"/>
      <c r="IAE24" s="2235"/>
      <c r="IAF24" s="2234"/>
      <c r="IAG24" s="2235"/>
      <c r="IAH24" s="2235"/>
      <c r="IAI24" s="2234"/>
      <c r="IAJ24" s="2235"/>
      <c r="IAK24" s="2235"/>
      <c r="IAL24" s="2234"/>
      <c r="IAM24" s="2235"/>
      <c r="IAN24" s="2235"/>
      <c r="IAO24" s="2234"/>
      <c r="IAP24" s="2235"/>
      <c r="IAQ24" s="2235"/>
      <c r="IAR24" s="2234"/>
      <c r="IAS24" s="2235"/>
      <c r="IAT24" s="2235"/>
      <c r="IAU24" s="2234"/>
      <c r="IAV24" s="2235"/>
      <c r="IAW24" s="2235"/>
      <c r="IAX24" s="2234"/>
      <c r="IAY24" s="2235"/>
      <c r="IAZ24" s="2235"/>
      <c r="IBA24" s="2234"/>
      <c r="IBB24" s="2235"/>
      <c r="IBC24" s="2235"/>
      <c r="IBD24" s="2234"/>
      <c r="IBE24" s="2235"/>
      <c r="IBF24" s="2235"/>
      <c r="IBG24" s="2234"/>
      <c r="IBH24" s="2235"/>
      <c r="IBI24" s="2235"/>
      <c r="IBJ24" s="2234"/>
      <c r="IBK24" s="2235"/>
      <c r="IBL24" s="2235"/>
      <c r="IBM24" s="2234"/>
      <c r="IBN24" s="2235"/>
      <c r="IBO24" s="2235"/>
      <c r="IBP24" s="2234"/>
      <c r="IBQ24" s="2235"/>
      <c r="IBR24" s="2235"/>
      <c r="IBS24" s="2234"/>
      <c r="IBT24" s="2235"/>
      <c r="IBU24" s="2235"/>
      <c r="IBV24" s="2234"/>
      <c r="IBW24" s="2235"/>
      <c r="IBX24" s="2235"/>
      <c r="IBY24" s="2234"/>
      <c r="IBZ24" s="2235"/>
      <c r="ICA24" s="2235"/>
      <c r="ICB24" s="2234"/>
      <c r="ICC24" s="2235"/>
      <c r="ICD24" s="2235"/>
      <c r="ICE24" s="2234"/>
      <c r="ICF24" s="2235"/>
      <c r="ICG24" s="2235"/>
      <c r="ICH24" s="2234"/>
      <c r="ICI24" s="2235"/>
      <c r="ICJ24" s="2235"/>
      <c r="ICK24" s="2234"/>
      <c r="ICL24" s="2235"/>
      <c r="ICM24" s="2235"/>
      <c r="ICN24" s="2234"/>
      <c r="ICO24" s="2235"/>
      <c r="ICP24" s="2235"/>
      <c r="ICQ24" s="2234"/>
      <c r="ICR24" s="2235"/>
      <c r="ICS24" s="2235"/>
      <c r="ICT24" s="2234"/>
      <c r="ICU24" s="2235"/>
      <c r="ICV24" s="2235"/>
      <c r="ICW24" s="2234"/>
      <c r="ICX24" s="2235"/>
      <c r="ICY24" s="2235"/>
      <c r="ICZ24" s="2234"/>
      <c r="IDA24" s="2235"/>
      <c r="IDB24" s="2235"/>
      <c r="IDC24" s="2234"/>
      <c r="IDD24" s="2235"/>
      <c r="IDE24" s="2235"/>
      <c r="IDF24" s="2234"/>
      <c r="IDG24" s="2235"/>
      <c r="IDH24" s="2235"/>
      <c r="IDI24" s="2234"/>
      <c r="IDJ24" s="2235"/>
      <c r="IDK24" s="2235"/>
      <c r="IDL24" s="2234"/>
      <c r="IDM24" s="2235"/>
      <c r="IDN24" s="2235"/>
      <c r="IDO24" s="2234"/>
      <c r="IDP24" s="2235"/>
      <c r="IDQ24" s="2235"/>
      <c r="IDR24" s="2234"/>
      <c r="IDS24" s="2235"/>
      <c r="IDT24" s="2235"/>
      <c r="IDU24" s="2234"/>
      <c r="IDV24" s="2235"/>
      <c r="IDW24" s="2235"/>
      <c r="IDX24" s="2234"/>
      <c r="IDY24" s="2235"/>
      <c r="IDZ24" s="2235"/>
      <c r="IEA24" s="2234"/>
      <c r="IEB24" s="2235"/>
      <c r="IEC24" s="2235"/>
      <c r="IED24" s="2234"/>
      <c r="IEE24" s="2235"/>
      <c r="IEF24" s="2235"/>
      <c r="IEG24" s="2234"/>
      <c r="IEH24" s="2235"/>
      <c r="IEI24" s="2235"/>
      <c r="IEJ24" s="2234"/>
      <c r="IEK24" s="2235"/>
      <c r="IEL24" s="2235"/>
      <c r="IEM24" s="2234"/>
      <c r="IEN24" s="2235"/>
      <c r="IEO24" s="2235"/>
      <c r="IEP24" s="2234"/>
      <c r="IEQ24" s="2235"/>
      <c r="IER24" s="2235"/>
      <c r="IES24" s="2234"/>
      <c r="IET24" s="2235"/>
      <c r="IEU24" s="2235"/>
      <c r="IEV24" s="2234"/>
      <c r="IEW24" s="2235"/>
      <c r="IEX24" s="2235"/>
      <c r="IEY24" s="2234"/>
      <c r="IEZ24" s="2235"/>
      <c r="IFA24" s="2235"/>
      <c r="IFB24" s="2234"/>
      <c r="IFC24" s="2235"/>
      <c r="IFD24" s="2235"/>
      <c r="IFE24" s="2234"/>
      <c r="IFF24" s="2235"/>
      <c r="IFG24" s="2235"/>
      <c r="IFH24" s="2234"/>
      <c r="IFI24" s="2235"/>
      <c r="IFJ24" s="2235"/>
      <c r="IFK24" s="2234"/>
      <c r="IFL24" s="2235"/>
      <c r="IFM24" s="2235"/>
      <c r="IFN24" s="2234"/>
      <c r="IFO24" s="2235"/>
      <c r="IFP24" s="2235"/>
      <c r="IFQ24" s="2234"/>
      <c r="IFR24" s="2235"/>
      <c r="IFS24" s="2235"/>
      <c r="IFT24" s="2234"/>
      <c r="IFU24" s="2235"/>
      <c r="IFV24" s="2235"/>
      <c r="IFW24" s="2234"/>
      <c r="IFX24" s="2235"/>
      <c r="IFY24" s="2235"/>
      <c r="IFZ24" s="2234"/>
      <c r="IGA24" s="2235"/>
      <c r="IGB24" s="2235"/>
      <c r="IGC24" s="2234"/>
      <c r="IGD24" s="2235"/>
      <c r="IGE24" s="2235"/>
      <c r="IGF24" s="2234"/>
      <c r="IGG24" s="2235"/>
      <c r="IGH24" s="2235"/>
      <c r="IGI24" s="2234"/>
      <c r="IGJ24" s="2235"/>
      <c r="IGK24" s="2235"/>
      <c r="IGL24" s="2234"/>
      <c r="IGM24" s="2235"/>
      <c r="IGN24" s="2235"/>
      <c r="IGO24" s="2234"/>
      <c r="IGP24" s="2235"/>
      <c r="IGQ24" s="2235"/>
      <c r="IGR24" s="2234"/>
      <c r="IGS24" s="2235"/>
      <c r="IGT24" s="2235"/>
      <c r="IGU24" s="2234"/>
      <c r="IGV24" s="2235"/>
      <c r="IGW24" s="2235"/>
      <c r="IGX24" s="2234"/>
      <c r="IGY24" s="2235"/>
      <c r="IGZ24" s="2235"/>
      <c r="IHA24" s="2234"/>
      <c r="IHB24" s="2235"/>
      <c r="IHC24" s="2235"/>
      <c r="IHD24" s="2234"/>
      <c r="IHE24" s="2235"/>
      <c r="IHF24" s="2235"/>
      <c r="IHG24" s="2234"/>
      <c r="IHH24" s="2235"/>
      <c r="IHI24" s="2235"/>
      <c r="IHJ24" s="2234"/>
      <c r="IHK24" s="2235"/>
      <c r="IHL24" s="2235"/>
      <c r="IHM24" s="2234"/>
      <c r="IHN24" s="2235"/>
      <c r="IHO24" s="2235"/>
      <c r="IHP24" s="2234"/>
      <c r="IHQ24" s="2235"/>
      <c r="IHR24" s="2235"/>
      <c r="IHS24" s="2234"/>
      <c r="IHT24" s="2235"/>
      <c r="IHU24" s="2235"/>
      <c r="IHV24" s="2234"/>
      <c r="IHW24" s="2235"/>
      <c r="IHX24" s="2235"/>
      <c r="IHY24" s="2234"/>
      <c r="IHZ24" s="2235"/>
      <c r="IIA24" s="2235"/>
      <c r="IIB24" s="2234"/>
      <c r="IIC24" s="2235"/>
      <c r="IID24" s="2235"/>
      <c r="IIE24" s="2234"/>
      <c r="IIF24" s="2235"/>
      <c r="IIG24" s="2235"/>
      <c r="IIH24" s="2234"/>
      <c r="III24" s="2235"/>
      <c r="IIJ24" s="2235"/>
      <c r="IIK24" s="2234"/>
      <c r="IIL24" s="2235"/>
      <c r="IIM24" s="2235"/>
      <c r="IIN24" s="2234"/>
      <c r="IIO24" s="2235"/>
      <c r="IIP24" s="2235"/>
      <c r="IIQ24" s="2234"/>
      <c r="IIR24" s="2235"/>
      <c r="IIS24" s="2235"/>
      <c r="IIT24" s="2234"/>
      <c r="IIU24" s="2235"/>
      <c r="IIV24" s="2235"/>
      <c r="IIW24" s="2234"/>
      <c r="IIX24" s="2235"/>
      <c r="IIY24" s="2235"/>
      <c r="IIZ24" s="2234"/>
      <c r="IJA24" s="2235"/>
      <c r="IJB24" s="2235"/>
      <c r="IJC24" s="2234"/>
      <c r="IJD24" s="2235"/>
      <c r="IJE24" s="2235"/>
      <c r="IJF24" s="2234"/>
      <c r="IJG24" s="2235"/>
      <c r="IJH24" s="2235"/>
      <c r="IJI24" s="2234"/>
      <c r="IJJ24" s="2235"/>
      <c r="IJK24" s="2235"/>
      <c r="IJL24" s="2234"/>
      <c r="IJM24" s="2235"/>
      <c r="IJN24" s="2235"/>
      <c r="IJO24" s="2234"/>
      <c r="IJP24" s="2235"/>
      <c r="IJQ24" s="2235"/>
      <c r="IJR24" s="2234"/>
      <c r="IJS24" s="2235"/>
      <c r="IJT24" s="2235"/>
      <c r="IJU24" s="2234"/>
      <c r="IJV24" s="2235"/>
      <c r="IJW24" s="2235"/>
      <c r="IJX24" s="2234"/>
      <c r="IJY24" s="2235"/>
      <c r="IJZ24" s="2235"/>
      <c r="IKA24" s="2234"/>
      <c r="IKB24" s="2235"/>
      <c r="IKC24" s="2235"/>
      <c r="IKD24" s="2234"/>
      <c r="IKE24" s="2235"/>
      <c r="IKF24" s="2235"/>
      <c r="IKG24" s="2234"/>
      <c r="IKH24" s="2235"/>
      <c r="IKI24" s="2235"/>
      <c r="IKJ24" s="2234"/>
      <c r="IKK24" s="2235"/>
      <c r="IKL24" s="2235"/>
      <c r="IKM24" s="2234"/>
      <c r="IKN24" s="2235"/>
      <c r="IKO24" s="2235"/>
      <c r="IKP24" s="2234"/>
      <c r="IKQ24" s="2235"/>
      <c r="IKR24" s="2235"/>
      <c r="IKS24" s="2234"/>
      <c r="IKT24" s="2235"/>
      <c r="IKU24" s="2235"/>
      <c r="IKV24" s="2234"/>
      <c r="IKW24" s="2235"/>
      <c r="IKX24" s="2235"/>
      <c r="IKY24" s="2234"/>
      <c r="IKZ24" s="2235"/>
      <c r="ILA24" s="2235"/>
      <c r="ILB24" s="2234"/>
      <c r="ILC24" s="2235"/>
      <c r="ILD24" s="2235"/>
      <c r="ILE24" s="2234"/>
      <c r="ILF24" s="2235"/>
      <c r="ILG24" s="2235"/>
      <c r="ILH24" s="2234"/>
      <c r="ILI24" s="2235"/>
      <c r="ILJ24" s="2235"/>
      <c r="ILK24" s="2234"/>
      <c r="ILL24" s="2235"/>
      <c r="ILM24" s="2235"/>
      <c r="ILN24" s="2234"/>
      <c r="ILO24" s="2235"/>
      <c r="ILP24" s="2235"/>
      <c r="ILQ24" s="2234"/>
      <c r="ILR24" s="2235"/>
      <c r="ILS24" s="2235"/>
      <c r="ILT24" s="2234"/>
      <c r="ILU24" s="2235"/>
      <c r="ILV24" s="2235"/>
      <c r="ILW24" s="2234"/>
      <c r="ILX24" s="2235"/>
      <c r="ILY24" s="2235"/>
      <c r="ILZ24" s="2234"/>
      <c r="IMA24" s="2235"/>
      <c r="IMB24" s="2235"/>
      <c r="IMC24" s="2234"/>
      <c r="IMD24" s="2235"/>
      <c r="IME24" s="2235"/>
      <c r="IMF24" s="2234"/>
      <c r="IMG24" s="2235"/>
      <c r="IMH24" s="2235"/>
      <c r="IMI24" s="2234"/>
      <c r="IMJ24" s="2235"/>
      <c r="IMK24" s="2235"/>
      <c r="IML24" s="2234"/>
      <c r="IMM24" s="2235"/>
      <c r="IMN24" s="2235"/>
      <c r="IMO24" s="2234"/>
      <c r="IMP24" s="2235"/>
      <c r="IMQ24" s="2235"/>
      <c r="IMR24" s="2234"/>
      <c r="IMS24" s="2235"/>
      <c r="IMT24" s="2235"/>
      <c r="IMU24" s="2234"/>
      <c r="IMV24" s="2235"/>
      <c r="IMW24" s="2235"/>
      <c r="IMX24" s="2234"/>
      <c r="IMY24" s="2235"/>
      <c r="IMZ24" s="2235"/>
      <c r="INA24" s="2234"/>
      <c r="INB24" s="2235"/>
      <c r="INC24" s="2235"/>
      <c r="IND24" s="2234"/>
      <c r="INE24" s="2235"/>
      <c r="INF24" s="2235"/>
      <c r="ING24" s="2234"/>
      <c r="INH24" s="2235"/>
      <c r="INI24" s="2235"/>
      <c r="INJ24" s="2234"/>
      <c r="INK24" s="2235"/>
      <c r="INL24" s="2235"/>
      <c r="INM24" s="2234"/>
      <c r="INN24" s="2235"/>
      <c r="INO24" s="2235"/>
      <c r="INP24" s="2234"/>
      <c r="INQ24" s="2235"/>
      <c r="INR24" s="2235"/>
      <c r="INS24" s="2234"/>
      <c r="INT24" s="2235"/>
      <c r="INU24" s="2235"/>
      <c r="INV24" s="2234"/>
      <c r="INW24" s="2235"/>
      <c r="INX24" s="2235"/>
      <c r="INY24" s="2234"/>
      <c r="INZ24" s="2235"/>
      <c r="IOA24" s="2235"/>
      <c r="IOB24" s="2234"/>
      <c r="IOC24" s="2235"/>
      <c r="IOD24" s="2235"/>
      <c r="IOE24" s="2234"/>
      <c r="IOF24" s="2235"/>
      <c r="IOG24" s="2235"/>
      <c r="IOH24" s="2234"/>
      <c r="IOI24" s="2235"/>
      <c r="IOJ24" s="2235"/>
      <c r="IOK24" s="2234"/>
      <c r="IOL24" s="2235"/>
      <c r="IOM24" s="2235"/>
      <c r="ION24" s="2234"/>
      <c r="IOO24" s="2235"/>
      <c r="IOP24" s="2235"/>
      <c r="IOQ24" s="2234"/>
      <c r="IOR24" s="2235"/>
      <c r="IOS24" s="2235"/>
      <c r="IOT24" s="2234"/>
      <c r="IOU24" s="2235"/>
      <c r="IOV24" s="2235"/>
      <c r="IOW24" s="2234"/>
      <c r="IOX24" s="2235"/>
      <c r="IOY24" s="2235"/>
      <c r="IOZ24" s="2234"/>
      <c r="IPA24" s="2235"/>
      <c r="IPB24" s="2235"/>
      <c r="IPC24" s="2234"/>
      <c r="IPD24" s="2235"/>
      <c r="IPE24" s="2235"/>
      <c r="IPF24" s="2234"/>
      <c r="IPG24" s="2235"/>
      <c r="IPH24" s="2235"/>
      <c r="IPI24" s="2234"/>
      <c r="IPJ24" s="2235"/>
      <c r="IPK24" s="2235"/>
      <c r="IPL24" s="2234"/>
      <c r="IPM24" s="2235"/>
      <c r="IPN24" s="2235"/>
      <c r="IPO24" s="2234"/>
      <c r="IPP24" s="2235"/>
      <c r="IPQ24" s="2235"/>
      <c r="IPR24" s="2234"/>
      <c r="IPS24" s="2235"/>
      <c r="IPT24" s="2235"/>
      <c r="IPU24" s="2234"/>
      <c r="IPV24" s="2235"/>
      <c r="IPW24" s="2235"/>
      <c r="IPX24" s="2234"/>
      <c r="IPY24" s="2235"/>
      <c r="IPZ24" s="2235"/>
      <c r="IQA24" s="2234"/>
      <c r="IQB24" s="2235"/>
      <c r="IQC24" s="2235"/>
      <c r="IQD24" s="2234"/>
      <c r="IQE24" s="2235"/>
      <c r="IQF24" s="2235"/>
      <c r="IQG24" s="2234"/>
      <c r="IQH24" s="2235"/>
      <c r="IQI24" s="2235"/>
      <c r="IQJ24" s="2234"/>
      <c r="IQK24" s="2235"/>
      <c r="IQL24" s="2235"/>
      <c r="IQM24" s="2234"/>
      <c r="IQN24" s="2235"/>
      <c r="IQO24" s="2235"/>
      <c r="IQP24" s="2234"/>
      <c r="IQQ24" s="2235"/>
      <c r="IQR24" s="2235"/>
      <c r="IQS24" s="2234"/>
      <c r="IQT24" s="2235"/>
      <c r="IQU24" s="2235"/>
      <c r="IQV24" s="2234"/>
      <c r="IQW24" s="2235"/>
      <c r="IQX24" s="2235"/>
      <c r="IQY24" s="2234"/>
      <c r="IQZ24" s="2235"/>
      <c r="IRA24" s="2235"/>
      <c r="IRB24" s="2234"/>
      <c r="IRC24" s="2235"/>
      <c r="IRD24" s="2235"/>
      <c r="IRE24" s="2234"/>
      <c r="IRF24" s="2235"/>
      <c r="IRG24" s="2235"/>
      <c r="IRH24" s="2234"/>
      <c r="IRI24" s="2235"/>
      <c r="IRJ24" s="2235"/>
      <c r="IRK24" s="2234"/>
      <c r="IRL24" s="2235"/>
      <c r="IRM24" s="2235"/>
      <c r="IRN24" s="2234"/>
      <c r="IRO24" s="2235"/>
      <c r="IRP24" s="2235"/>
      <c r="IRQ24" s="2234"/>
      <c r="IRR24" s="2235"/>
      <c r="IRS24" s="2235"/>
      <c r="IRT24" s="2234"/>
      <c r="IRU24" s="2235"/>
      <c r="IRV24" s="2235"/>
      <c r="IRW24" s="2234"/>
      <c r="IRX24" s="2235"/>
      <c r="IRY24" s="2235"/>
      <c r="IRZ24" s="2234"/>
      <c r="ISA24" s="2235"/>
      <c r="ISB24" s="2235"/>
      <c r="ISC24" s="2234"/>
      <c r="ISD24" s="2235"/>
      <c r="ISE24" s="2235"/>
      <c r="ISF24" s="2234"/>
      <c r="ISG24" s="2235"/>
      <c r="ISH24" s="2235"/>
      <c r="ISI24" s="2234"/>
      <c r="ISJ24" s="2235"/>
      <c r="ISK24" s="2235"/>
      <c r="ISL24" s="2234"/>
      <c r="ISM24" s="2235"/>
      <c r="ISN24" s="2235"/>
      <c r="ISO24" s="2234"/>
      <c r="ISP24" s="2235"/>
      <c r="ISQ24" s="2235"/>
      <c r="ISR24" s="2234"/>
      <c r="ISS24" s="2235"/>
      <c r="IST24" s="2235"/>
      <c r="ISU24" s="2234"/>
      <c r="ISV24" s="2235"/>
      <c r="ISW24" s="2235"/>
      <c r="ISX24" s="2234"/>
      <c r="ISY24" s="2235"/>
      <c r="ISZ24" s="2235"/>
      <c r="ITA24" s="2234"/>
      <c r="ITB24" s="2235"/>
      <c r="ITC24" s="2235"/>
      <c r="ITD24" s="2234"/>
      <c r="ITE24" s="2235"/>
      <c r="ITF24" s="2235"/>
      <c r="ITG24" s="2234"/>
      <c r="ITH24" s="2235"/>
      <c r="ITI24" s="2235"/>
      <c r="ITJ24" s="2234"/>
      <c r="ITK24" s="2235"/>
      <c r="ITL24" s="2235"/>
      <c r="ITM24" s="2234"/>
      <c r="ITN24" s="2235"/>
      <c r="ITO24" s="2235"/>
      <c r="ITP24" s="2234"/>
      <c r="ITQ24" s="2235"/>
      <c r="ITR24" s="2235"/>
      <c r="ITS24" s="2234"/>
      <c r="ITT24" s="2235"/>
      <c r="ITU24" s="2235"/>
      <c r="ITV24" s="2234"/>
      <c r="ITW24" s="2235"/>
      <c r="ITX24" s="2235"/>
      <c r="ITY24" s="2234"/>
      <c r="ITZ24" s="2235"/>
      <c r="IUA24" s="2235"/>
      <c r="IUB24" s="2234"/>
      <c r="IUC24" s="2235"/>
      <c r="IUD24" s="2235"/>
      <c r="IUE24" s="2234"/>
      <c r="IUF24" s="2235"/>
      <c r="IUG24" s="2235"/>
      <c r="IUH24" s="2234"/>
      <c r="IUI24" s="2235"/>
      <c r="IUJ24" s="2235"/>
      <c r="IUK24" s="2234"/>
      <c r="IUL24" s="2235"/>
      <c r="IUM24" s="2235"/>
      <c r="IUN24" s="2234"/>
      <c r="IUO24" s="2235"/>
      <c r="IUP24" s="2235"/>
      <c r="IUQ24" s="2234"/>
      <c r="IUR24" s="2235"/>
      <c r="IUS24" s="2235"/>
      <c r="IUT24" s="2234"/>
      <c r="IUU24" s="2235"/>
      <c r="IUV24" s="2235"/>
      <c r="IUW24" s="2234"/>
      <c r="IUX24" s="2235"/>
      <c r="IUY24" s="2235"/>
      <c r="IUZ24" s="2234"/>
      <c r="IVA24" s="2235"/>
      <c r="IVB24" s="2235"/>
      <c r="IVC24" s="2234"/>
      <c r="IVD24" s="2235"/>
      <c r="IVE24" s="2235"/>
      <c r="IVF24" s="2234"/>
      <c r="IVG24" s="2235"/>
      <c r="IVH24" s="2235"/>
      <c r="IVI24" s="2234"/>
      <c r="IVJ24" s="2235"/>
      <c r="IVK24" s="2235"/>
      <c r="IVL24" s="2234"/>
      <c r="IVM24" s="2235"/>
      <c r="IVN24" s="2235"/>
      <c r="IVO24" s="2234"/>
      <c r="IVP24" s="2235"/>
      <c r="IVQ24" s="2235"/>
      <c r="IVR24" s="2234"/>
      <c r="IVS24" s="2235"/>
      <c r="IVT24" s="2235"/>
      <c r="IVU24" s="2234"/>
      <c r="IVV24" s="2235"/>
      <c r="IVW24" s="2235"/>
      <c r="IVX24" s="2234"/>
      <c r="IVY24" s="2235"/>
      <c r="IVZ24" s="2235"/>
      <c r="IWA24" s="2234"/>
      <c r="IWB24" s="2235"/>
      <c r="IWC24" s="2235"/>
      <c r="IWD24" s="2234"/>
      <c r="IWE24" s="2235"/>
      <c r="IWF24" s="2235"/>
      <c r="IWG24" s="2234"/>
      <c r="IWH24" s="2235"/>
      <c r="IWI24" s="2235"/>
      <c r="IWJ24" s="2234"/>
      <c r="IWK24" s="2235"/>
      <c r="IWL24" s="2235"/>
      <c r="IWM24" s="2234"/>
      <c r="IWN24" s="2235"/>
      <c r="IWO24" s="2235"/>
      <c r="IWP24" s="2234"/>
      <c r="IWQ24" s="2235"/>
      <c r="IWR24" s="2235"/>
      <c r="IWS24" s="2234"/>
      <c r="IWT24" s="2235"/>
      <c r="IWU24" s="2235"/>
      <c r="IWV24" s="2234"/>
      <c r="IWW24" s="2235"/>
      <c r="IWX24" s="2235"/>
      <c r="IWY24" s="2234"/>
      <c r="IWZ24" s="2235"/>
      <c r="IXA24" s="2235"/>
      <c r="IXB24" s="2234"/>
      <c r="IXC24" s="2235"/>
      <c r="IXD24" s="2235"/>
      <c r="IXE24" s="2234"/>
      <c r="IXF24" s="2235"/>
      <c r="IXG24" s="2235"/>
      <c r="IXH24" s="2234"/>
      <c r="IXI24" s="2235"/>
      <c r="IXJ24" s="2235"/>
      <c r="IXK24" s="2234"/>
      <c r="IXL24" s="2235"/>
      <c r="IXM24" s="2235"/>
      <c r="IXN24" s="2234"/>
      <c r="IXO24" s="2235"/>
      <c r="IXP24" s="2235"/>
      <c r="IXQ24" s="2234"/>
      <c r="IXR24" s="2235"/>
      <c r="IXS24" s="2235"/>
      <c r="IXT24" s="2234"/>
      <c r="IXU24" s="2235"/>
      <c r="IXV24" s="2235"/>
      <c r="IXW24" s="2234"/>
      <c r="IXX24" s="2235"/>
      <c r="IXY24" s="2235"/>
      <c r="IXZ24" s="2234"/>
      <c r="IYA24" s="2235"/>
      <c r="IYB24" s="2235"/>
      <c r="IYC24" s="2234"/>
      <c r="IYD24" s="2235"/>
      <c r="IYE24" s="2235"/>
      <c r="IYF24" s="2234"/>
      <c r="IYG24" s="2235"/>
      <c r="IYH24" s="2235"/>
      <c r="IYI24" s="2234"/>
      <c r="IYJ24" s="2235"/>
      <c r="IYK24" s="2235"/>
      <c r="IYL24" s="2234"/>
      <c r="IYM24" s="2235"/>
      <c r="IYN24" s="2235"/>
      <c r="IYO24" s="2234"/>
      <c r="IYP24" s="2235"/>
      <c r="IYQ24" s="2235"/>
      <c r="IYR24" s="2234"/>
      <c r="IYS24" s="2235"/>
      <c r="IYT24" s="2235"/>
      <c r="IYU24" s="2234"/>
      <c r="IYV24" s="2235"/>
      <c r="IYW24" s="2235"/>
      <c r="IYX24" s="2234"/>
      <c r="IYY24" s="2235"/>
      <c r="IYZ24" s="2235"/>
      <c r="IZA24" s="2234"/>
      <c r="IZB24" s="2235"/>
      <c r="IZC24" s="2235"/>
      <c r="IZD24" s="2234"/>
      <c r="IZE24" s="2235"/>
      <c r="IZF24" s="2235"/>
      <c r="IZG24" s="2234"/>
      <c r="IZH24" s="2235"/>
      <c r="IZI24" s="2235"/>
      <c r="IZJ24" s="2234"/>
      <c r="IZK24" s="2235"/>
      <c r="IZL24" s="2235"/>
      <c r="IZM24" s="2234"/>
      <c r="IZN24" s="2235"/>
      <c r="IZO24" s="2235"/>
      <c r="IZP24" s="2234"/>
      <c r="IZQ24" s="2235"/>
      <c r="IZR24" s="2235"/>
      <c r="IZS24" s="2234"/>
      <c r="IZT24" s="2235"/>
      <c r="IZU24" s="2235"/>
      <c r="IZV24" s="2234"/>
      <c r="IZW24" s="2235"/>
      <c r="IZX24" s="2235"/>
      <c r="IZY24" s="2234"/>
      <c r="IZZ24" s="2235"/>
      <c r="JAA24" s="2235"/>
      <c r="JAB24" s="2234"/>
      <c r="JAC24" s="2235"/>
      <c r="JAD24" s="2235"/>
      <c r="JAE24" s="2234"/>
      <c r="JAF24" s="2235"/>
      <c r="JAG24" s="2235"/>
      <c r="JAH24" s="2234"/>
      <c r="JAI24" s="2235"/>
      <c r="JAJ24" s="2235"/>
      <c r="JAK24" s="2234"/>
      <c r="JAL24" s="2235"/>
      <c r="JAM24" s="2235"/>
      <c r="JAN24" s="2234"/>
      <c r="JAO24" s="2235"/>
      <c r="JAP24" s="2235"/>
      <c r="JAQ24" s="2234"/>
      <c r="JAR24" s="2235"/>
      <c r="JAS24" s="2235"/>
      <c r="JAT24" s="2234"/>
      <c r="JAU24" s="2235"/>
      <c r="JAV24" s="2235"/>
      <c r="JAW24" s="2234"/>
      <c r="JAX24" s="2235"/>
      <c r="JAY24" s="2235"/>
      <c r="JAZ24" s="2234"/>
      <c r="JBA24" s="2235"/>
      <c r="JBB24" s="2235"/>
      <c r="JBC24" s="2234"/>
      <c r="JBD24" s="2235"/>
      <c r="JBE24" s="2235"/>
      <c r="JBF24" s="2234"/>
      <c r="JBG24" s="2235"/>
      <c r="JBH24" s="2235"/>
      <c r="JBI24" s="2234"/>
      <c r="JBJ24" s="2235"/>
      <c r="JBK24" s="2235"/>
      <c r="JBL24" s="2234"/>
      <c r="JBM24" s="2235"/>
      <c r="JBN24" s="2235"/>
      <c r="JBO24" s="2234"/>
      <c r="JBP24" s="2235"/>
      <c r="JBQ24" s="2235"/>
      <c r="JBR24" s="2234"/>
      <c r="JBS24" s="2235"/>
      <c r="JBT24" s="2235"/>
      <c r="JBU24" s="2234"/>
      <c r="JBV24" s="2235"/>
      <c r="JBW24" s="2235"/>
      <c r="JBX24" s="2234"/>
      <c r="JBY24" s="2235"/>
      <c r="JBZ24" s="2235"/>
      <c r="JCA24" s="2234"/>
      <c r="JCB24" s="2235"/>
      <c r="JCC24" s="2235"/>
      <c r="JCD24" s="2234"/>
      <c r="JCE24" s="2235"/>
      <c r="JCF24" s="2235"/>
      <c r="JCG24" s="2234"/>
      <c r="JCH24" s="2235"/>
      <c r="JCI24" s="2235"/>
      <c r="JCJ24" s="2234"/>
      <c r="JCK24" s="2235"/>
      <c r="JCL24" s="2235"/>
      <c r="JCM24" s="2234"/>
      <c r="JCN24" s="2235"/>
      <c r="JCO24" s="2235"/>
      <c r="JCP24" s="2234"/>
      <c r="JCQ24" s="2235"/>
      <c r="JCR24" s="2235"/>
      <c r="JCS24" s="2234"/>
      <c r="JCT24" s="2235"/>
      <c r="JCU24" s="2235"/>
      <c r="JCV24" s="2234"/>
      <c r="JCW24" s="2235"/>
      <c r="JCX24" s="2235"/>
      <c r="JCY24" s="2234"/>
      <c r="JCZ24" s="2235"/>
      <c r="JDA24" s="2235"/>
      <c r="JDB24" s="2234"/>
      <c r="JDC24" s="2235"/>
      <c r="JDD24" s="2235"/>
      <c r="JDE24" s="2234"/>
      <c r="JDF24" s="2235"/>
      <c r="JDG24" s="2235"/>
      <c r="JDH24" s="2234"/>
      <c r="JDI24" s="2235"/>
      <c r="JDJ24" s="2235"/>
      <c r="JDK24" s="2234"/>
      <c r="JDL24" s="2235"/>
      <c r="JDM24" s="2235"/>
      <c r="JDN24" s="2234"/>
      <c r="JDO24" s="2235"/>
      <c r="JDP24" s="2235"/>
      <c r="JDQ24" s="2234"/>
      <c r="JDR24" s="2235"/>
      <c r="JDS24" s="2235"/>
      <c r="JDT24" s="2234"/>
      <c r="JDU24" s="2235"/>
      <c r="JDV24" s="2235"/>
      <c r="JDW24" s="2234"/>
      <c r="JDX24" s="2235"/>
      <c r="JDY24" s="2235"/>
      <c r="JDZ24" s="2234"/>
      <c r="JEA24" s="2235"/>
      <c r="JEB24" s="2235"/>
      <c r="JEC24" s="2234"/>
      <c r="JED24" s="2235"/>
      <c r="JEE24" s="2235"/>
      <c r="JEF24" s="2234"/>
      <c r="JEG24" s="2235"/>
      <c r="JEH24" s="2235"/>
      <c r="JEI24" s="2234"/>
      <c r="JEJ24" s="2235"/>
      <c r="JEK24" s="2235"/>
      <c r="JEL24" s="2234"/>
      <c r="JEM24" s="2235"/>
      <c r="JEN24" s="2235"/>
      <c r="JEO24" s="2234"/>
      <c r="JEP24" s="2235"/>
      <c r="JEQ24" s="2235"/>
      <c r="JER24" s="2234"/>
      <c r="JES24" s="2235"/>
      <c r="JET24" s="2235"/>
      <c r="JEU24" s="2234"/>
      <c r="JEV24" s="2235"/>
      <c r="JEW24" s="2235"/>
      <c r="JEX24" s="2234"/>
      <c r="JEY24" s="2235"/>
      <c r="JEZ24" s="2235"/>
      <c r="JFA24" s="2234"/>
      <c r="JFB24" s="2235"/>
      <c r="JFC24" s="2235"/>
      <c r="JFD24" s="2234"/>
      <c r="JFE24" s="2235"/>
      <c r="JFF24" s="2235"/>
      <c r="JFG24" s="2234"/>
      <c r="JFH24" s="2235"/>
      <c r="JFI24" s="2235"/>
      <c r="JFJ24" s="2234"/>
      <c r="JFK24" s="2235"/>
      <c r="JFL24" s="2235"/>
      <c r="JFM24" s="2234"/>
      <c r="JFN24" s="2235"/>
      <c r="JFO24" s="2235"/>
      <c r="JFP24" s="2234"/>
      <c r="JFQ24" s="2235"/>
      <c r="JFR24" s="2235"/>
      <c r="JFS24" s="2234"/>
      <c r="JFT24" s="2235"/>
      <c r="JFU24" s="2235"/>
      <c r="JFV24" s="2234"/>
      <c r="JFW24" s="2235"/>
      <c r="JFX24" s="2235"/>
      <c r="JFY24" s="2234"/>
      <c r="JFZ24" s="2235"/>
      <c r="JGA24" s="2235"/>
      <c r="JGB24" s="2234"/>
      <c r="JGC24" s="2235"/>
      <c r="JGD24" s="2235"/>
      <c r="JGE24" s="2234"/>
      <c r="JGF24" s="2235"/>
      <c r="JGG24" s="2235"/>
      <c r="JGH24" s="2234"/>
      <c r="JGI24" s="2235"/>
      <c r="JGJ24" s="2235"/>
      <c r="JGK24" s="2234"/>
      <c r="JGL24" s="2235"/>
      <c r="JGM24" s="2235"/>
      <c r="JGN24" s="2234"/>
      <c r="JGO24" s="2235"/>
      <c r="JGP24" s="2235"/>
      <c r="JGQ24" s="2234"/>
      <c r="JGR24" s="2235"/>
      <c r="JGS24" s="2235"/>
      <c r="JGT24" s="2234"/>
      <c r="JGU24" s="2235"/>
      <c r="JGV24" s="2235"/>
      <c r="JGW24" s="2234"/>
      <c r="JGX24" s="2235"/>
      <c r="JGY24" s="2235"/>
      <c r="JGZ24" s="2234"/>
      <c r="JHA24" s="2235"/>
      <c r="JHB24" s="2235"/>
      <c r="JHC24" s="2234"/>
      <c r="JHD24" s="2235"/>
      <c r="JHE24" s="2235"/>
      <c r="JHF24" s="2234"/>
      <c r="JHG24" s="2235"/>
      <c r="JHH24" s="2235"/>
      <c r="JHI24" s="2234"/>
      <c r="JHJ24" s="2235"/>
      <c r="JHK24" s="2235"/>
      <c r="JHL24" s="2234"/>
      <c r="JHM24" s="2235"/>
      <c r="JHN24" s="2235"/>
      <c r="JHO24" s="2234"/>
      <c r="JHP24" s="2235"/>
      <c r="JHQ24" s="2235"/>
      <c r="JHR24" s="2234"/>
      <c r="JHS24" s="2235"/>
      <c r="JHT24" s="2235"/>
      <c r="JHU24" s="2234"/>
      <c r="JHV24" s="2235"/>
      <c r="JHW24" s="2235"/>
      <c r="JHX24" s="2234"/>
      <c r="JHY24" s="2235"/>
      <c r="JHZ24" s="2235"/>
      <c r="JIA24" s="2234"/>
      <c r="JIB24" s="2235"/>
      <c r="JIC24" s="2235"/>
      <c r="JID24" s="2234"/>
      <c r="JIE24" s="2235"/>
      <c r="JIF24" s="2235"/>
      <c r="JIG24" s="2234"/>
      <c r="JIH24" s="2235"/>
      <c r="JII24" s="2235"/>
      <c r="JIJ24" s="2234"/>
      <c r="JIK24" s="2235"/>
      <c r="JIL24" s="2235"/>
      <c r="JIM24" s="2234"/>
      <c r="JIN24" s="2235"/>
      <c r="JIO24" s="2235"/>
      <c r="JIP24" s="2234"/>
      <c r="JIQ24" s="2235"/>
      <c r="JIR24" s="2235"/>
      <c r="JIS24" s="2234"/>
      <c r="JIT24" s="2235"/>
      <c r="JIU24" s="2235"/>
      <c r="JIV24" s="2234"/>
      <c r="JIW24" s="2235"/>
      <c r="JIX24" s="2235"/>
      <c r="JIY24" s="2234"/>
      <c r="JIZ24" s="2235"/>
      <c r="JJA24" s="2235"/>
      <c r="JJB24" s="2234"/>
      <c r="JJC24" s="2235"/>
      <c r="JJD24" s="2235"/>
      <c r="JJE24" s="2234"/>
      <c r="JJF24" s="2235"/>
      <c r="JJG24" s="2235"/>
      <c r="JJH24" s="2234"/>
      <c r="JJI24" s="2235"/>
      <c r="JJJ24" s="2235"/>
      <c r="JJK24" s="2234"/>
      <c r="JJL24" s="2235"/>
      <c r="JJM24" s="2235"/>
      <c r="JJN24" s="2234"/>
      <c r="JJO24" s="2235"/>
      <c r="JJP24" s="2235"/>
      <c r="JJQ24" s="2234"/>
      <c r="JJR24" s="2235"/>
      <c r="JJS24" s="2235"/>
      <c r="JJT24" s="2234"/>
      <c r="JJU24" s="2235"/>
      <c r="JJV24" s="2235"/>
      <c r="JJW24" s="2234"/>
      <c r="JJX24" s="2235"/>
      <c r="JJY24" s="2235"/>
      <c r="JJZ24" s="2234"/>
      <c r="JKA24" s="2235"/>
      <c r="JKB24" s="2235"/>
      <c r="JKC24" s="2234"/>
      <c r="JKD24" s="2235"/>
      <c r="JKE24" s="2235"/>
      <c r="JKF24" s="2234"/>
      <c r="JKG24" s="2235"/>
      <c r="JKH24" s="2235"/>
      <c r="JKI24" s="2234"/>
      <c r="JKJ24" s="2235"/>
      <c r="JKK24" s="2235"/>
      <c r="JKL24" s="2234"/>
      <c r="JKM24" s="2235"/>
      <c r="JKN24" s="2235"/>
      <c r="JKO24" s="2234"/>
      <c r="JKP24" s="2235"/>
      <c r="JKQ24" s="2235"/>
      <c r="JKR24" s="2234"/>
      <c r="JKS24" s="2235"/>
      <c r="JKT24" s="2235"/>
      <c r="JKU24" s="2234"/>
      <c r="JKV24" s="2235"/>
      <c r="JKW24" s="2235"/>
      <c r="JKX24" s="2234"/>
      <c r="JKY24" s="2235"/>
      <c r="JKZ24" s="2235"/>
      <c r="JLA24" s="2234"/>
      <c r="JLB24" s="2235"/>
      <c r="JLC24" s="2235"/>
      <c r="JLD24" s="2234"/>
      <c r="JLE24" s="2235"/>
      <c r="JLF24" s="2235"/>
      <c r="JLG24" s="2234"/>
      <c r="JLH24" s="2235"/>
      <c r="JLI24" s="2235"/>
      <c r="JLJ24" s="2234"/>
      <c r="JLK24" s="2235"/>
      <c r="JLL24" s="2235"/>
      <c r="JLM24" s="2234"/>
      <c r="JLN24" s="2235"/>
      <c r="JLO24" s="2235"/>
      <c r="JLP24" s="2234"/>
      <c r="JLQ24" s="2235"/>
      <c r="JLR24" s="2235"/>
      <c r="JLS24" s="2234"/>
      <c r="JLT24" s="2235"/>
      <c r="JLU24" s="2235"/>
      <c r="JLV24" s="2234"/>
      <c r="JLW24" s="2235"/>
      <c r="JLX24" s="2235"/>
      <c r="JLY24" s="2234"/>
      <c r="JLZ24" s="2235"/>
      <c r="JMA24" s="2235"/>
      <c r="JMB24" s="2234"/>
      <c r="JMC24" s="2235"/>
      <c r="JMD24" s="2235"/>
      <c r="JME24" s="2234"/>
      <c r="JMF24" s="2235"/>
      <c r="JMG24" s="2235"/>
      <c r="JMH24" s="2234"/>
      <c r="JMI24" s="2235"/>
      <c r="JMJ24" s="2235"/>
      <c r="JMK24" s="2234"/>
      <c r="JML24" s="2235"/>
      <c r="JMM24" s="2235"/>
      <c r="JMN24" s="2234"/>
      <c r="JMO24" s="2235"/>
      <c r="JMP24" s="2235"/>
      <c r="JMQ24" s="2234"/>
      <c r="JMR24" s="2235"/>
      <c r="JMS24" s="2235"/>
      <c r="JMT24" s="2234"/>
      <c r="JMU24" s="2235"/>
      <c r="JMV24" s="2235"/>
      <c r="JMW24" s="2234"/>
      <c r="JMX24" s="2235"/>
      <c r="JMY24" s="2235"/>
      <c r="JMZ24" s="2234"/>
      <c r="JNA24" s="2235"/>
      <c r="JNB24" s="2235"/>
      <c r="JNC24" s="2234"/>
      <c r="JND24" s="2235"/>
      <c r="JNE24" s="2235"/>
      <c r="JNF24" s="2234"/>
      <c r="JNG24" s="2235"/>
      <c r="JNH24" s="2235"/>
      <c r="JNI24" s="2234"/>
      <c r="JNJ24" s="2235"/>
      <c r="JNK24" s="2235"/>
      <c r="JNL24" s="2234"/>
      <c r="JNM24" s="2235"/>
      <c r="JNN24" s="2235"/>
      <c r="JNO24" s="2234"/>
      <c r="JNP24" s="2235"/>
      <c r="JNQ24" s="2235"/>
      <c r="JNR24" s="2234"/>
      <c r="JNS24" s="2235"/>
      <c r="JNT24" s="2235"/>
      <c r="JNU24" s="2234"/>
      <c r="JNV24" s="2235"/>
      <c r="JNW24" s="2235"/>
      <c r="JNX24" s="2234"/>
      <c r="JNY24" s="2235"/>
      <c r="JNZ24" s="2235"/>
      <c r="JOA24" s="2234"/>
      <c r="JOB24" s="2235"/>
      <c r="JOC24" s="2235"/>
      <c r="JOD24" s="2234"/>
      <c r="JOE24" s="2235"/>
      <c r="JOF24" s="2235"/>
      <c r="JOG24" s="2234"/>
      <c r="JOH24" s="2235"/>
      <c r="JOI24" s="2235"/>
      <c r="JOJ24" s="2234"/>
      <c r="JOK24" s="2235"/>
      <c r="JOL24" s="2235"/>
      <c r="JOM24" s="2234"/>
      <c r="JON24" s="2235"/>
      <c r="JOO24" s="2235"/>
      <c r="JOP24" s="2234"/>
      <c r="JOQ24" s="2235"/>
      <c r="JOR24" s="2235"/>
      <c r="JOS24" s="2234"/>
      <c r="JOT24" s="2235"/>
      <c r="JOU24" s="2235"/>
      <c r="JOV24" s="2234"/>
      <c r="JOW24" s="2235"/>
      <c r="JOX24" s="2235"/>
      <c r="JOY24" s="2234"/>
      <c r="JOZ24" s="2235"/>
      <c r="JPA24" s="2235"/>
      <c r="JPB24" s="2234"/>
      <c r="JPC24" s="2235"/>
      <c r="JPD24" s="2235"/>
      <c r="JPE24" s="2234"/>
      <c r="JPF24" s="2235"/>
      <c r="JPG24" s="2235"/>
      <c r="JPH24" s="2234"/>
      <c r="JPI24" s="2235"/>
      <c r="JPJ24" s="2235"/>
      <c r="JPK24" s="2234"/>
      <c r="JPL24" s="2235"/>
      <c r="JPM24" s="2235"/>
      <c r="JPN24" s="2234"/>
      <c r="JPO24" s="2235"/>
      <c r="JPP24" s="2235"/>
      <c r="JPQ24" s="2234"/>
      <c r="JPR24" s="2235"/>
      <c r="JPS24" s="2235"/>
      <c r="JPT24" s="2234"/>
      <c r="JPU24" s="2235"/>
      <c r="JPV24" s="2235"/>
      <c r="JPW24" s="2234"/>
      <c r="JPX24" s="2235"/>
      <c r="JPY24" s="2235"/>
      <c r="JPZ24" s="2234"/>
      <c r="JQA24" s="2235"/>
      <c r="JQB24" s="2235"/>
      <c r="JQC24" s="2234"/>
      <c r="JQD24" s="2235"/>
      <c r="JQE24" s="2235"/>
      <c r="JQF24" s="2234"/>
      <c r="JQG24" s="2235"/>
      <c r="JQH24" s="2235"/>
      <c r="JQI24" s="2234"/>
      <c r="JQJ24" s="2235"/>
      <c r="JQK24" s="2235"/>
      <c r="JQL24" s="2234"/>
      <c r="JQM24" s="2235"/>
      <c r="JQN24" s="2235"/>
      <c r="JQO24" s="2234"/>
      <c r="JQP24" s="2235"/>
      <c r="JQQ24" s="2235"/>
      <c r="JQR24" s="2234"/>
      <c r="JQS24" s="2235"/>
      <c r="JQT24" s="2235"/>
      <c r="JQU24" s="2234"/>
      <c r="JQV24" s="2235"/>
      <c r="JQW24" s="2235"/>
      <c r="JQX24" s="2234"/>
      <c r="JQY24" s="2235"/>
      <c r="JQZ24" s="2235"/>
      <c r="JRA24" s="2234"/>
      <c r="JRB24" s="2235"/>
      <c r="JRC24" s="2235"/>
      <c r="JRD24" s="2234"/>
      <c r="JRE24" s="2235"/>
      <c r="JRF24" s="2235"/>
      <c r="JRG24" s="2234"/>
      <c r="JRH24" s="2235"/>
      <c r="JRI24" s="2235"/>
      <c r="JRJ24" s="2234"/>
      <c r="JRK24" s="2235"/>
      <c r="JRL24" s="2235"/>
      <c r="JRM24" s="2234"/>
      <c r="JRN24" s="2235"/>
      <c r="JRO24" s="2235"/>
      <c r="JRP24" s="2234"/>
      <c r="JRQ24" s="2235"/>
      <c r="JRR24" s="2235"/>
      <c r="JRS24" s="2234"/>
      <c r="JRT24" s="2235"/>
      <c r="JRU24" s="2235"/>
      <c r="JRV24" s="2234"/>
      <c r="JRW24" s="2235"/>
      <c r="JRX24" s="2235"/>
      <c r="JRY24" s="2234"/>
      <c r="JRZ24" s="2235"/>
      <c r="JSA24" s="2235"/>
      <c r="JSB24" s="2234"/>
      <c r="JSC24" s="2235"/>
      <c r="JSD24" s="2235"/>
      <c r="JSE24" s="2234"/>
      <c r="JSF24" s="2235"/>
      <c r="JSG24" s="2235"/>
      <c r="JSH24" s="2234"/>
      <c r="JSI24" s="2235"/>
      <c r="JSJ24" s="2235"/>
      <c r="JSK24" s="2234"/>
      <c r="JSL24" s="2235"/>
      <c r="JSM24" s="2235"/>
      <c r="JSN24" s="2234"/>
      <c r="JSO24" s="2235"/>
      <c r="JSP24" s="2235"/>
      <c r="JSQ24" s="2234"/>
      <c r="JSR24" s="2235"/>
      <c r="JSS24" s="2235"/>
      <c r="JST24" s="2234"/>
      <c r="JSU24" s="2235"/>
      <c r="JSV24" s="2235"/>
      <c r="JSW24" s="2234"/>
      <c r="JSX24" s="2235"/>
      <c r="JSY24" s="2235"/>
      <c r="JSZ24" s="2234"/>
      <c r="JTA24" s="2235"/>
      <c r="JTB24" s="2235"/>
      <c r="JTC24" s="2234"/>
      <c r="JTD24" s="2235"/>
      <c r="JTE24" s="2235"/>
      <c r="JTF24" s="2234"/>
      <c r="JTG24" s="2235"/>
      <c r="JTH24" s="2235"/>
      <c r="JTI24" s="2234"/>
      <c r="JTJ24" s="2235"/>
      <c r="JTK24" s="2235"/>
      <c r="JTL24" s="2234"/>
      <c r="JTM24" s="2235"/>
      <c r="JTN24" s="2235"/>
      <c r="JTO24" s="2234"/>
      <c r="JTP24" s="2235"/>
      <c r="JTQ24" s="2235"/>
      <c r="JTR24" s="2234"/>
      <c r="JTS24" s="2235"/>
      <c r="JTT24" s="2235"/>
      <c r="JTU24" s="2234"/>
      <c r="JTV24" s="2235"/>
      <c r="JTW24" s="2235"/>
      <c r="JTX24" s="2234"/>
      <c r="JTY24" s="2235"/>
      <c r="JTZ24" s="2235"/>
      <c r="JUA24" s="2234"/>
      <c r="JUB24" s="2235"/>
      <c r="JUC24" s="2235"/>
      <c r="JUD24" s="2234"/>
      <c r="JUE24" s="2235"/>
      <c r="JUF24" s="2235"/>
      <c r="JUG24" s="2234"/>
      <c r="JUH24" s="2235"/>
      <c r="JUI24" s="2235"/>
      <c r="JUJ24" s="2234"/>
      <c r="JUK24" s="2235"/>
      <c r="JUL24" s="2235"/>
      <c r="JUM24" s="2234"/>
      <c r="JUN24" s="2235"/>
      <c r="JUO24" s="2235"/>
      <c r="JUP24" s="2234"/>
      <c r="JUQ24" s="2235"/>
      <c r="JUR24" s="2235"/>
      <c r="JUS24" s="2234"/>
      <c r="JUT24" s="2235"/>
      <c r="JUU24" s="2235"/>
      <c r="JUV24" s="2234"/>
      <c r="JUW24" s="2235"/>
      <c r="JUX24" s="2235"/>
      <c r="JUY24" s="2234"/>
      <c r="JUZ24" s="2235"/>
      <c r="JVA24" s="2235"/>
      <c r="JVB24" s="2234"/>
      <c r="JVC24" s="2235"/>
      <c r="JVD24" s="2235"/>
      <c r="JVE24" s="2234"/>
      <c r="JVF24" s="2235"/>
      <c r="JVG24" s="2235"/>
      <c r="JVH24" s="2234"/>
      <c r="JVI24" s="2235"/>
      <c r="JVJ24" s="2235"/>
      <c r="JVK24" s="2234"/>
      <c r="JVL24" s="2235"/>
      <c r="JVM24" s="2235"/>
      <c r="JVN24" s="2234"/>
      <c r="JVO24" s="2235"/>
      <c r="JVP24" s="2235"/>
      <c r="JVQ24" s="2234"/>
      <c r="JVR24" s="2235"/>
      <c r="JVS24" s="2235"/>
      <c r="JVT24" s="2234"/>
      <c r="JVU24" s="2235"/>
      <c r="JVV24" s="2235"/>
      <c r="JVW24" s="2234"/>
      <c r="JVX24" s="2235"/>
      <c r="JVY24" s="2235"/>
      <c r="JVZ24" s="2234"/>
      <c r="JWA24" s="2235"/>
      <c r="JWB24" s="2235"/>
      <c r="JWC24" s="2234"/>
      <c r="JWD24" s="2235"/>
      <c r="JWE24" s="2235"/>
      <c r="JWF24" s="2234"/>
      <c r="JWG24" s="2235"/>
      <c r="JWH24" s="2235"/>
      <c r="JWI24" s="2234"/>
      <c r="JWJ24" s="2235"/>
      <c r="JWK24" s="2235"/>
      <c r="JWL24" s="2234"/>
      <c r="JWM24" s="2235"/>
      <c r="JWN24" s="2235"/>
      <c r="JWO24" s="2234"/>
      <c r="JWP24" s="2235"/>
      <c r="JWQ24" s="2235"/>
      <c r="JWR24" s="2234"/>
      <c r="JWS24" s="2235"/>
      <c r="JWT24" s="2235"/>
      <c r="JWU24" s="2234"/>
      <c r="JWV24" s="2235"/>
      <c r="JWW24" s="2235"/>
      <c r="JWX24" s="2234"/>
      <c r="JWY24" s="2235"/>
      <c r="JWZ24" s="2235"/>
      <c r="JXA24" s="2234"/>
      <c r="JXB24" s="2235"/>
      <c r="JXC24" s="2235"/>
      <c r="JXD24" s="2234"/>
      <c r="JXE24" s="2235"/>
      <c r="JXF24" s="2235"/>
      <c r="JXG24" s="2234"/>
      <c r="JXH24" s="2235"/>
      <c r="JXI24" s="2235"/>
      <c r="JXJ24" s="2234"/>
      <c r="JXK24" s="2235"/>
      <c r="JXL24" s="2235"/>
      <c r="JXM24" s="2234"/>
      <c r="JXN24" s="2235"/>
      <c r="JXO24" s="2235"/>
      <c r="JXP24" s="2234"/>
      <c r="JXQ24" s="2235"/>
      <c r="JXR24" s="2235"/>
      <c r="JXS24" s="2234"/>
      <c r="JXT24" s="2235"/>
      <c r="JXU24" s="2235"/>
      <c r="JXV24" s="2234"/>
      <c r="JXW24" s="2235"/>
      <c r="JXX24" s="2235"/>
      <c r="JXY24" s="2234"/>
      <c r="JXZ24" s="2235"/>
      <c r="JYA24" s="2235"/>
      <c r="JYB24" s="2234"/>
      <c r="JYC24" s="2235"/>
      <c r="JYD24" s="2235"/>
      <c r="JYE24" s="2234"/>
      <c r="JYF24" s="2235"/>
      <c r="JYG24" s="2235"/>
      <c r="JYH24" s="2234"/>
      <c r="JYI24" s="2235"/>
      <c r="JYJ24" s="2235"/>
      <c r="JYK24" s="2234"/>
      <c r="JYL24" s="2235"/>
      <c r="JYM24" s="2235"/>
      <c r="JYN24" s="2234"/>
      <c r="JYO24" s="2235"/>
      <c r="JYP24" s="2235"/>
      <c r="JYQ24" s="2234"/>
      <c r="JYR24" s="2235"/>
      <c r="JYS24" s="2235"/>
      <c r="JYT24" s="2234"/>
      <c r="JYU24" s="2235"/>
      <c r="JYV24" s="2235"/>
      <c r="JYW24" s="2234"/>
      <c r="JYX24" s="2235"/>
      <c r="JYY24" s="2235"/>
      <c r="JYZ24" s="2234"/>
      <c r="JZA24" s="2235"/>
      <c r="JZB24" s="2235"/>
      <c r="JZC24" s="2234"/>
      <c r="JZD24" s="2235"/>
      <c r="JZE24" s="2235"/>
      <c r="JZF24" s="2234"/>
      <c r="JZG24" s="2235"/>
      <c r="JZH24" s="2235"/>
      <c r="JZI24" s="2234"/>
      <c r="JZJ24" s="2235"/>
      <c r="JZK24" s="2235"/>
      <c r="JZL24" s="2234"/>
      <c r="JZM24" s="2235"/>
      <c r="JZN24" s="2235"/>
      <c r="JZO24" s="2234"/>
      <c r="JZP24" s="2235"/>
      <c r="JZQ24" s="2235"/>
      <c r="JZR24" s="2234"/>
      <c r="JZS24" s="2235"/>
      <c r="JZT24" s="2235"/>
      <c r="JZU24" s="2234"/>
      <c r="JZV24" s="2235"/>
      <c r="JZW24" s="2235"/>
      <c r="JZX24" s="2234"/>
      <c r="JZY24" s="2235"/>
      <c r="JZZ24" s="2235"/>
      <c r="KAA24" s="2234"/>
      <c r="KAB24" s="2235"/>
      <c r="KAC24" s="2235"/>
      <c r="KAD24" s="2234"/>
      <c r="KAE24" s="2235"/>
      <c r="KAF24" s="2235"/>
      <c r="KAG24" s="2234"/>
      <c r="KAH24" s="2235"/>
      <c r="KAI24" s="2235"/>
      <c r="KAJ24" s="2234"/>
      <c r="KAK24" s="2235"/>
      <c r="KAL24" s="2235"/>
      <c r="KAM24" s="2234"/>
      <c r="KAN24" s="2235"/>
      <c r="KAO24" s="2235"/>
      <c r="KAP24" s="2234"/>
      <c r="KAQ24" s="2235"/>
      <c r="KAR24" s="2235"/>
      <c r="KAS24" s="2234"/>
      <c r="KAT24" s="2235"/>
      <c r="KAU24" s="2235"/>
      <c r="KAV24" s="2234"/>
      <c r="KAW24" s="2235"/>
      <c r="KAX24" s="2235"/>
      <c r="KAY24" s="2234"/>
      <c r="KAZ24" s="2235"/>
      <c r="KBA24" s="2235"/>
      <c r="KBB24" s="2234"/>
      <c r="KBC24" s="2235"/>
      <c r="KBD24" s="2235"/>
      <c r="KBE24" s="2234"/>
      <c r="KBF24" s="2235"/>
      <c r="KBG24" s="2235"/>
      <c r="KBH24" s="2234"/>
      <c r="KBI24" s="2235"/>
      <c r="KBJ24" s="2235"/>
      <c r="KBK24" s="2234"/>
      <c r="KBL24" s="2235"/>
      <c r="KBM24" s="2235"/>
      <c r="KBN24" s="2234"/>
      <c r="KBO24" s="2235"/>
      <c r="KBP24" s="2235"/>
      <c r="KBQ24" s="2234"/>
      <c r="KBR24" s="2235"/>
      <c r="KBS24" s="2235"/>
      <c r="KBT24" s="2234"/>
      <c r="KBU24" s="2235"/>
      <c r="KBV24" s="2235"/>
      <c r="KBW24" s="2234"/>
      <c r="KBX24" s="2235"/>
      <c r="KBY24" s="2235"/>
      <c r="KBZ24" s="2234"/>
      <c r="KCA24" s="2235"/>
      <c r="KCB24" s="2235"/>
      <c r="KCC24" s="2234"/>
      <c r="KCD24" s="2235"/>
      <c r="KCE24" s="2235"/>
      <c r="KCF24" s="2234"/>
      <c r="KCG24" s="2235"/>
      <c r="KCH24" s="2235"/>
      <c r="KCI24" s="2234"/>
      <c r="KCJ24" s="2235"/>
      <c r="KCK24" s="2235"/>
      <c r="KCL24" s="2234"/>
      <c r="KCM24" s="2235"/>
      <c r="KCN24" s="2235"/>
      <c r="KCO24" s="2234"/>
      <c r="KCP24" s="2235"/>
      <c r="KCQ24" s="2235"/>
      <c r="KCR24" s="2234"/>
      <c r="KCS24" s="2235"/>
      <c r="KCT24" s="2235"/>
      <c r="KCU24" s="2234"/>
      <c r="KCV24" s="2235"/>
      <c r="KCW24" s="2235"/>
      <c r="KCX24" s="2234"/>
      <c r="KCY24" s="2235"/>
      <c r="KCZ24" s="2235"/>
      <c r="KDA24" s="2234"/>
      <c r="KDB24" s="2235"/>
      <c r="KDC24" s="2235"/>
      <c r="KDD24" s="2234"/>
      <c r="KDE24" s="2235"/>
      <c r="KDF24" s="2235"/>
      <c r="KDG24" s="2234"/>
      <c r="KDH24" s="2235"/>
      <c r="KDI24" s="2235"/>
      <c r="KDJ24" s="2234"/>
      <c r="KDK24" s="2235"/>
      <c r="KDL24" s="2235"/>
      <c r="KDM24" s="2234"/>
      <c r="KDN24" s="2235"/>
      <c r="KDO24" s="2235"/>
      <c r="KDP24" s="2234"/>
      <c r="KDQ24" s="2235"/>
      <c r="KDR24" s="2235"/>
      <c r="KDS24" s="2234"/>
      <c r="KDT24" s="2235"/>
      <c r="KDU24" s="2235"/>
      <c r="KDV24" s="2234"/>
      <c r="KDW24" s="2235"/>
      <c r="KDX24" s="2235"/>
      <c r="KDY24" s="2234"/>
      <c r="KDZ24" s="2235"/>
      <c r="KEA24" s="2235"/>
      <c r="KEB24" s="2234"/>
      <c r="KEC24" s="2235"/>
      <c r="KED24" s="2235"/>
      <c r="KEE24" s="2234"/>
      <c r="KEF24" s="2235"/>
      <c r="KEG24" s="2235"/>
      <c r="KEH24" s="2234"/>
      <c r="KEI24" s="2235"/>
      <c r="KEJ24" s="2235"/>
      <c r="KEK24" s="2234"/>
      <c r="KEL24" s="2235"/>
      <c r="KEM24" s="2235"/>
      <c r="KEN24" s="2234"/>
      <c r="KEO24" s="2235"/>
      <c r="KEP24" s="2235"/>
      <c r="KEQ24" s="2234"/>
      <c r="KER24" s="2235"/>
      <c r="KES24" s="2235"/>
      <c r="KET24" s="2234"/>
      <c r="KEU24" s="2235"/>
      <c r="KEV24" s="2235"/>
      <c r="KEW24" s="2234"/>
      <c r="KEX24" s="2235"/>
      <c r="KEY24" s="2235"/>
      <c r="KEZ24" s="2234"/>
      <c r="KFA24" s="2235"/>
      <c r="KFB24" s="2235"/>
      <c r="KFC24" s="2234"/>
      <c r="KFD24" s="2235"/>
      <c r="KFE24" s="2235"/>
      <c r="KFF24" s="2234"/>
      <c r="KFG24" s="2235"/>
      <c r="KFH24" s="2235"/>
      <c r="KFI24" s="2234"/>
      <c r="KFJ24" s="2235"/>
      <c r="KFK24" s="2235"/>
      <c r="KFL24" s="2234"/>
      <c r="KFM24" s="2235"/>
      <c r="KFN24" s="2235"/>
      <c r="KFO24" s="2234"/>
      <c r="KFP24" s="2235"/>
      <c r="KFQ24" s="2235"/>
      <c r="KFR24" s="2234"/>
      <c r="KFS24" s="2235"/>
      <c r="KFT24" s="2235"/>
      <c r="KFU24" s="2234"/>
      <c r="KFV24" s="2235"/>
      <c r="KFW24" s="2235"/>
      <c r="KFX24" s="2234"/>
      <c r="KFY24" s="2235"/>
      <c r="KFZ24" s="2235"/>
      <c r="KGA24" s="2234"/>
      <c r="KGB24" s="2235"/>
      <c r="KGC24" s="2235"/>
      <c r="KGD24" s="2234"/>
      <c r="KGE24" s="2235"/>
      <c r="KGF24" s="2235"/>
      <c r="KGG24" s="2234"/>
      <c r="KGH24" s="2235"/>
      <c r="KGI24" s="2235"/>
      <c r="KGJ24" s="2234"/>
      <c r="KGK24" s="2235"/>
      <c r="KGL24" s="2235"/>
      <c r="KGM24" s="2234"/>
      <c r="KGN24" s="2235"/>
      <c r="KGO24" s="2235"/>
      <c r="KGP24" s="2234"/>
      <c r="KGQ24" s="2235"/>
      <c r="KGR24" s="2235"/>
      <c r="KGS24" s="2234"/>
      <c r="KGT24" s="2235"/>
      <c r="KGU24" s="2235"/>
      <c r="KGV24" s="2234"/>
      <c r="KGW24" s="2235"/>
      <c r="KGX24" s="2235"/>
      <c r="KGY24" s="2234"/>
      <c r="KGZ24" s="2235"/>
      <c r="KHA24" s="2235"/>
      <c r="KHB24" s="2234"/>
      <c r="KHC24" s="2235"/>
      <c r="KHD24" s="2235"/>
      <c r="KHE24" s="2234"/>
      <c r="KHF24" s="2235"/>
      <c r="KHG24" s="2235"/>
      <c r="KHH24" s="2234"/>
      <c r="KHI24" s="2235"/>
      <c r="KHJ24" s="2235"/>
      <c r="KHK24" s="2234"/>
      <c r="KHL24" s="2235"/>
      <c r="KHM24" s="2235"/>
      <c r="KHN24" s="2234"/>
      <c r="KHO24" s="2235"/>
      <c r="KHP24" s="2235"/>
      <c r="KHQ24" s="2234"/>
      <c r="KHR24" s="2235"/>
      <c r="KHS24" s="2235"/>
      <c r="KHT24" s="2234"/>
      <c r="KHU24" s="2235"/>
      <c r="KHV24" s="2235"/>
      <c r="KHW24" s="2234"/>
      <c r="KHX24" s="2235"/>
      <c r="KHY24" s="2235"/>
      <c r="KHZ24" s="2234"/>
      <c r="KIA24" s="2235"/>
      <c r="KIB24" s="2235"/>
      <c r="KIC24" s="2234"/>
      <c r="KID24" s="2235"/>
      <c r="KIE24" s="2235"/>
      <c r="KIF24" s="2234"/>
      <c r="KIG24" s="2235"/>
      <c r="KIH24" s="2235"/>
      <c r="KII24" s="2234"/>
      <c r="KIJ24" s="2235"/>
      <c r="KIK24" s="2235"/>
      <c r="KIL24" s="2234"/>
      <c r="KIM24" s="2235"/>
      <c r="KIN24" s="2235"/>
      <c r="KIO24" s="2234"/>
      <c r="KIP24" s="2235"/>
      <c r="KIQ24" s="2235"/>
      <c r="KIR24" s="2234"/>
      <c r="KIS24" s="2235"/>
      <c r="KIT24" s="2235"/>
      <c r="KIU24" s="2234"/>
      <c r="KIV24" s="2235"/>
      <c r="KIW24" s="2235"/>
      <c r="KIX24" s="2234"/>
      <c r="KIY24" s="2235"/>
      <c r="KIZ24" s="2235"/>
      <c r="KJA24" s="2234"/>
      <c r="KJB24" s="2235"/>
      <c r="KJC24" s="2235"/>
      <c r="KJD24" s="2234"/>
      <c r="KJE24" s="2235"/>
      <c r="KJF24" s="2235"/>
      <c r="KJG24" s="2234"/>
      <c r="KJH24" s="2235"/>
      <c r="KJI24" s="2235"/>
      <c r="KJJ24" s="2234"/>
      <c r="KJK24" s="2235"/>
      <c r="KJL24" s="2235"/>
      <c r="KJM24" s="2234"/>
      <c r="KJN24" s="2235"/>
      <c r="KJO24" s="2235"/>
      <c r="KJP24" s="2234"/>
      <c r="KJQ24" s="2235"/>
      <c r="KJR24" s="2235"/>
      <c r="KJS24" s="2234"/>
      <c r="KJT24" s="2235"/>
      <c r="KJU24" s="2235"/>
      <c r="KJV24" s="2234"/>
      <c r="KJW24" s="2235"/>
      <c r="KJX24" s="2235"/>
      <c r="KJY24" s="2234"/>
      <c r="KJZ24" s="2235"/>
      <c r="KKA24" s="2235"/>
      <c r="KKB24" s="2234"/>
      <c r="KKC24" s="2235"/>
      <c r="KKD24" s="2235"/>
      <c r="KKE24" s="2234"/>
      <c r="KKF24" s="2235"/>
      <c r="KKG24" s="2235"/>
      <c r="KKH24" s="2234"/>
      <c r="KKI24" s="2235"/>
      <c r="KKJ24" s="2235"/>
      <c r="KKK24" s="2234"/>
      <c r="KKL24" s="2235"/>
      <c r="KKM24" s="2235"/>
      <c r="KKN24" s="2234"/>
      <c r="KKO24" s="2235"/>
      <c r="KKP24" s="2235"/>
      <c r="KKQ24" s="2234"/>
      <c r="KKR24" s="2235"/>
      <c r="KKS24" s="2235"/>
      <c r="KKT24" s="2234"/>
      <c r="KKU24" s="2235"/>
      <c r="KKV24" s="2235"/>
      <c r="KKW24" s="2234"/>
      <c r="KKX24" s="2235"/>
      <c r="KKY24" s="2235"/>
      <c r="KKZ24" s="2234"/>
      <c r="KLA24" s="2235"/>
      <c r="KLB24" s="2235"/>
      <c r="KLC24" s="2234"/>
      <c r="KLD24" s="2235"/>
      <c r="KLE24" s="2235"/>
      <c r="KLF24" s="2234"/>
      <c r="KLG24" s="2235"/>
      <c r="KLH24" s="2235"/>
      <c r="KLI24" s="2234"/>
      <c r="KLJ24" s="2235"/>
      <c r="KLK24" s="2235"/>
      <c r="KLL24" s="2234"/>
      <c r="KLM24" s="2235"/>
      <c r="KLN24" s="2235"/>
      <c r="KLO24" s="2234"/>
      <c r="KLP24" s="2235"/>
      <c r="KLQ24" s="2235"/>
      <c r="KLR24" s="2234"/>
      <c r="KLS24" s="2235"/>
      <c r="KLT24" s="2235"/>
      <c r="KLU24" s="2234"/>
      <c r="KLV24" s="2235"/>
      <c r="KLW24" s="2235"/>
      <c r="KLX24" s="2234"/>
      <c r="KLY24" s="2235"/>
      <c r="KLZ24" s="2235"/>
      <c r="KMA24" s="2234"/>
      <c r="KMB24" s="2235"/>
      <c r="KMC24" s="2235"/>
      <c r="KMD24" s="2234"/>
      <c r="KME24" s="2235"/>
      <c r="KMF24" s="2235"/>
      <c r="KMG24" s="2234"/>
      <c r="KMH24" s="2235"/>
      <c r="KMI24" s="2235"/>
      <c r="KMJ24" s="2234"/>
      <c r="KMK24" s="2235"/>
      <c r="KML24" s="2235"/>
      <c r="KMM24" s="2234"/>
      <c r="KMN24" s="2235"/>
      <c r="KMO24" s="2235"/>
      <c r="KMP24" s="2234"/>
      <c r="KMQ24" s="2235"/>
      <c r="KMR24" s="2235"/>
      <c r="KMS24" s="2234"/>
      <c r="KMT24" s="2235"/>
      <c r="KMU24" s="2235"/>
      <c r="KMV24" s="2234"/>
      <c r="KMW24" s="2235"/>
      <c r="KMX24" s="2235"/>
      <c r="KMY24" s="2234"/>
      <c r="KMZ24" s="2235"/>
      <c r="KNA24" s="2235"/>
      <c r="KNB24" s="2234"/>
      <c r="KNC24" s="2235"/>
      <c r="KND24" s="2235"/>
      <c r="KNE24" s="2234"/>
      <c r="KNF24" s="2235"/>
      <c r="KNG24" s="2235"/>
      <c r="KNH24" s="2234"/>
      <c r="KNI24" s="2235"/>
      <c r="KNJ24" s="2235"/>
      <c r="KNK24" s="2234"/>
      <c r="KNL24" s="2235"/>
      <c r="KNM24" s="2235"/>
      <c r="KNN24" s="2234"/>
      <c r="KNO24" s="2235"/>
      <c r="KNP24" s="2235"/>
      <c r="KNQ24" s="2234"/>
      <c r="KNR24" s="2235"/>
      <c r="KNS24" s="2235"/>
      <c r="KNT24" s="2234"/>
      <c r="KNU24" s="2235"/>
      <c r="KNV24" s="2235"/>
      <c r="KNW24" s="2234"/>
      <c r="KNX24" s="2235"/>
      <c r="KNY24" s="2235"/>
      <c r="KNZ24" s="2234"/>
      <c r="KOA24" s="2235"/>
      <c r="KOB24" s="2235"/>
      <c r="KOC24" s="2234"/>
      <c r="KOD24" s="2235"/>
      <c r="KOE24" s="2235"/>
      <c r="KOF24" s="2234"/>
      <c r="KOG24" s="2235"/>
      <c r="KOH24" s="2235"/>
      <c r="KOI24" s="2234"/>
      <c r="KOJ24" s="2235"/>
      <c r="KOK24" s="2235"/>
      <c r="KOL24" s="2234"/>
      <c r="KOM24" s="2235"/>
      <c r="KON24" s="2235"/>
      <c r="KOO24" s="2234"/>
      <c r="KOP24" s="2235"/>
      <c r="KOQ24" s="2235"/>
      <c r="KOR24" s="2234"/>
      <c r="KOS24" s="2235"/>
      <c r="KOT24" s="2235"/>
      <c r="KOU24" s="2234"/>
      <c r="KOV24" s="2235"/>
      <c r="KOW24" s="2235"/>
      <c r="KOX24" s="2234"/>
      <c r="KOY24" s="2235"/>
      <c r="KOZ24" s="2235"/>
      <c r="KPA24" s="2234"/>
      <c r="KPB24" s="2235"/>
      <c r="KPC24" s="2235"/>
      <c r="KPD24" s="2234"/>
      <c r="KPE24" s="2235"/>
      <c r="KPF24" s="2235"/>
      <c r="KPG24" s="2234"/>
      <c r="KPH24" s="2235"/>
      <c r="KPI24" s="2235"/>
      <c r="KPJ24" s="2234"/>
      <c r="KPK24" s="2235"/>
      <c r="KPL24" s="2235"/>
      <c r="KPM24" s="2234"/>
      <c r="KPN24" s="2235"/>
      <c r="KPO24" s="2235"/>
      <c r="KPP24" s="2234"/>
      <c r="KPQ24" s="2235"/>
      <c r="KPR24" s="2235"/>
      <c r="KPS24" s="2234"/>
      <c r="KPT24" s="2235"/>
      <c r="KPU24" s="2235"/>
      <c r="KPV24" s="2234"/>
      <c r="KPW24" s="2235"/>
      <c r="KPX24" s="2235"/>
      <c r="KPY24" s="2234"/>
      <c r="KPZ24" s="2235"/>
      <c r="KQA24" s="2235"/>
      <c r="KQB24" s="2234"/>
      <c r="KQC24" s="2235"/>
      <c r="KQD24" s="2235"/>
      <c r="KQE24" s="2234"/>
      <c r="KQF24" s="2235"/>
      <c r="KQG24" s="2235"/>
      <c r="KQH24" s="2234"/>
      <c r="KQI24" s="2235"/>
      <c r="KQJ24" s="2235"/>
      <c r="KQK24" s="2234"/>
      <c r="KQL24" s="2235"/>
      <c r="KQM24" s="2235"/>
      <c r="KQN24" s="2234"/>
      <c r="KQO24" s="2235"/>
      <c r="KQP24" s="2235"/>
      <c r="KQQ24" s="2234"/>
      <c r="KQR24" s="2235"/>
      <c r="KQS24" s="2235"/>
      <c r="KQT24" s="2234"/>
      <c r="KQU24" s="2235"/>
      <c r="KQV24" s="2235"/>
      <c r="KQW24" s="2234"/>
      <c r="KQX24" s="2235"/>
      <c r="KQY24" s="2235"/>
      <c r="KQZ24" s="2234"/>
      <c r="KRA24" s="2235"/>
      <c r="KRB24" s="2235"/>
      <c r="KRC24" s="2234"/>
      <c r="KRD24" s="2235"/>
      <c r="KRE24" s="2235"/>
      <c r="KRF24" s="2234"/>
      <c r="KRG24" s="2235"/>
      <c r="KRH24" s="2235"/>
      <c r="KRI24" s="2234"/>
      <c r="KRJ24" s="2235"/>
      <c r="KRK24" s="2235"/>
      <c r="KRL24" s="2234"/>
      <c r="KRM24" s="2235"/>
      <c r="KRN24" s="2235"/>
      <c r="KRO24" s="2234"/>
      <c r="KRP24" s="2235"/>
      <c r="KRQ24" s="2235"/>
      <c r="KRR24" s="2234"/>
      <c r="KRS24" s="2235"/>
      <c r="KRT24" s="2235"/>
      <c r="KRU24" s="2234"/>
      <c r="KRV24" s="2235"/>
      <c r="KRW24" s="2235"/>
      <c r="KRX24" s="2234"/>
      <c r="KRY24" s="2235"/>
      <c r="KRZ24" s="2235"/>
      <c r="KSA24" s="2234"/>
      <c r="KSB24" s="2235"/>
      <c r="KSC24" s="2235"/>
      <c r="KSD24" s="2234"/>
      <c r="KSE24" s="2235"/>
      <c r="KSF24" s="2235"/>
      <c r="KSG24" s="2234"/>
      <c r="KSH24" s="2235"/>
      <c r="KSI24" s="2235"/>
      <c r="KSJ24" s="2234"/>
      <c r="KSK24" s="2235"/>
      <c r="KSL24" s="2235"/>
      <c r="KSM24" s="2234"/>
      <c r="KSN24" s="2235"/>
      <c r="KSO24" s="2235"/>
      <c r="KSP24" s="2234"/>
      <c r="KSQ24" s="2235"/>
      <c r="KSR24" s="2235"/>
      <c r="KSS24" s="2234"/>
      <c r="KST24" s="2235"/>
      <c r="KSU24" s="2235"/>
      <c r="KSV24" s="2234"/>
      <c r="KSW24" s="2235"/>
      <c r="KSX24" s="2235"/>
      <c r="KSY24" s="2234"/>
      <c r="KSZ24" s="2235"/>
      <c r="KTA24" s="2235"/>
      <c r="KTB24" s="2234"/>
      <c r="KTC24" s="2235"/>
      <c r="KTD24" s="2235"/>
      <c r="KTE24" s="2234"/>
      <c r="KTF24" s="2235"/>
      <c r="KTG24" s="2235"/>
      <c r="KTH24" s="2234"/>
      <c r="KTI24" s="2235"/>
      <c r="KTJ24" s="2235"/>
      <c r="KTK24" s="2234"/>
      <c r="KTL24" s="2235"/>
      <c r="KTM24" s="2235"/>
      <c r="KTN24" s="2234"/>
      <c r="KTO24" s="2235"/>
      <c r="KTP24" s="2235"/>
      <c r="KTQ24" s="2234"/>
      <c r="KTR24" s="2235"/>
      <c r="KTS24" s="2235"/>
      <c r="KTT24" s="2234"/>
      <c r="KTU24" s="2235"/>
      <c r="KTV24" s="2235"/>
      <c r="KTW24" s="2234"/>
      <c r="KTX24" s="2235"/>
      <c r="KTY24" s="2235"/>
      <c r="KTZ24" s="2234"/>
      <c r="KUA24" s="2235"/>
      <c r="KUB24" s="2235"/>
      <c r="KUC24" s="2234"/>
      <c r="KUD24" s="2235"/>
      <c r="KUE24" s="2235"/>
      <c r="KUF24" s="2234"/>
      <c r="KUG24" s="2235"/>
      <c r="KUH24" s="2235"/>
      <c r="KUI24" s="2234"/>
      <c r="KUJ24" s="2235"/>
      <c r="KUK24" s="2235"/>
      <c r="KUL24" s="2234"/>
      <c r="KUM24" s="2235"/>
      <c r="KUN24" s="2235"/>
      <c r="KUO24" s="2234"/>
      <c r="KUP24" s="2235"/>
      <c r="KUQ24" s="2235"/>
      <c r="KUR24" s="2234"/>
      <c r="KUS24" s="2235"/>
      <c r="KUT24" s="2235"/>
      <c r="KUU24" s="2234"/>
      <c r="KUV24" s="2235"/>
      <c r="KUW24" s="2235"/>
      <c r="KUX24" s="2234"/>
      <c r="KUY24" s="2235"/>
      <c r="KUZ24" s="2235"/>
      <c r="KVA24" s="2234"/>
      <c r="KVB24" s="2235"/>
      <c r="KVC24" s="2235"/>
      <c r="KVD24" s="2234"/>
      <c r="KVE24" s="2235"/>
      <c r="KVF24" s="2235"/>
      <c r="KVG24" s="2234"/>
      <c r="KVH24" s="2235"/>
      <c r="KVI24" s="2235"/>
      <c r="KVJ24" s="2234"/>
      <c r="KVK24" s="2235"/>
      <c r="KVL24" s="2235"/>
      <c r="KVM24" s="2234"/>
      <c r="KVN24" s="2235"/>
      <c r="KVO24" s="2235"/>
      <c r="KVP24" s="2234"/>
      <c r="KVQ24" s="2235"/>
      <c r="KVR24" s="2235"/>
      <c r="KVS24" s="2234"/>
      <c r="KVT24" s="2235"/>
      <c r="KVU24" s="2235"/>
      <c r="KVV24" s="2234"/>
      <c r="KVW24" s="2235"/>
      <c r="KVX24" s="2235"/>
      <c r="KVY24" s="2234"/>
      <c r="KVZ24" s="2235"/>
      <c r="KWA24" s="2235"/>
      <c r="KWB24" s="2234"/>
      <c r="KWC24" s="2235"/>
      <c r="KWD24" s="2235"/>
      <c r="KWE24" s="2234"/>
      <c r="KWF24" s="2235"/>
      <c r="KWG24" s="2235"/>
      <c r="KWH24" s="2234"/>
      <c r="KWI24" s="2235"/>
      <c r="KWJ24" s="2235"/>
      <c r="KWK24" s="2234"/>
      <c r="KWL24" s="2235"/>
      <c r="KWM24" s="2235"/>
      <c r="KWN24" s="2234"/>
      <c r="KWO24" s="2235"/>
      <c r="KWP24" s="2235"/>
      <c r="KWQ24" s="2234"/>
      <c r="KWR24" s="2235"/>
      <c r="KWS24" s="2235"/>
      <c r="KWT24" s="2234"/>
      <c r="KWU24" s="2235"/>
      <c r="KWV24" s="2235"/>
      <c r="KWW24" s="2234"/>
      <c r="KWX24" s="2235"/>
      <c r="KWY24" s="2235"/>
      <c r="KWZ24" s="2234"/>
      <c r="KXA24" s="2235"/>
      <c r="KXB24" s="2235"/>
      <c r="KXC24" s="2234"/>
      <c r="KXD24" s="2235"/>
      <c r="KXE24" s="2235"/>
      <c r="KXF24" s="2234"/>
      <c r="KXG24" s="2235"/>
      <c r="KXH24" s="2235"/>
      <c r="KXI24" s="2234"/>
      <c r="KXJ24" s="2235"/>
      <c r="KXK24" s="2235"/>
      <c r="KXL24" s="2234"/>
      <c r="KXM24" s="2235"/>
      <c r="KXN24" s="2235"/>
      <c r="KXO24" s="2234"/>
      <c r="KXP24" s="2235"/>
      <c r="KXQ24" s="2235"/>
      <c r="KXR24" s="2234"/>
      <c r="KXS24" s="2235"/>
      <c r="KXT24" s="2235"/>
      <c r="KXU24" s="2234"/>
      <c r="KXV24" s="2235"/>
      <c r="KXW24" s="2235"/>
      <c r="KXX24" s="2234"/>
      <c r="KXY24" s="2235"/>
      <c r="KXZ24" s="2235"/>
      <c r="KYA24" s="2234"/>
      <c r="KYB24" s="2235"/>
      <c r="KYC24" s="2235"/>
      <c r="KYD24" s="2234"/>
      <c r="KYE24" s="2235"/>
      <c r="KYF24" s="2235"/>
      <c r="KYG24" s="2234"/>
      <c r="KYH24" s="2235"/>
      <c r="KYI24" s="2235"/>
      <c r="KYJ24" s="2234"/>
      <c r="KYK24" s="2235"/>
      <c r="KYL24" s="2235"/>
      <c r="KYM24" s="2234"/>
      <c r="KYN24" s="2235"/>
      <c r="KYO24" s="2235"/>
      <c r="KYP24" s="2234"/>
      <c r="KYQ24" s="2235"/>
      <c r="KYR24" s="2235"/>
      <c r="KYS24" s="2234"/>
      <c r="KYT24" s="2235"/>
      <c r="KYU24" s="2235"/>
      <c r="KYV24" s="2234"/>
      <c r="KYW24" s="2235"/>
      <c r="KYX24" s="2235"/>
      <c r="KYY24" s="2234"/>
      <c r="KYZ24" s="2235"/>
      <c r="KZA24" s="2235"/>
      <c r="KZB24" s="2234"/>
      <c r="KZC24" s="2235"/>
      <c r="KZD24" s="2235"/>
      <c r="KZE24" s="2234"/>
      <c r="KZF24" s="2235"/>
      <c r="KZG24" s="2235"/>
      <c r="KZH24" s="2234"/>
      <c r="KZI24" s="2235"/>
      <c r="KZJ24" s="2235"/>
      <c r="KZK24" s="2234"/>
      <c r="KZL24" s="2235"/>
      <c r="KZM24" s="2235"/>
      <c r="KZN24" s="2234"/>
      <c r="KZO24" s="2235"/>
      <c r="KZP24" s="2235"/>
      <c r="KZQ24" s="2234"/>
      <c r="KZR24" s="2235"/>
      <c r="KZS24" s="2235"/>
      <c r="KZT24" s="2234"/>
      <c r="KZU24" s="2235"/>
      <c r="KZV24" s="2235"/>
      <c r="KZW24" s="2234"/>
      <c r="KZX24" s="2235"/>
      <c r="KZY24" s="2235"/>
      <c r="KZZ24" s="2234"/>
      <c r="LAA24" s="2235"/>
      <c r="LAB24" s="2235"/>
      <c r="LAC24" s="2234"/>
      <c r="LAD24" s="2235"/>
      <c r="LAE24" s="2235"/>
      <c r="LAF24" s="2234"/>
      <c r="LAG24" s="2235"/>
      <c r="LAH24" s="2235"/>
      <c r="LAI24" s="2234"/>
      <c r="LAJ24" s="2235"/>
      <c r="LAK24" s="2235"/>
      <c r="LAL24" s="2234"/>
      <c r="LAM24" s="2235"/>
      <c r="LAN24" s="2235"/>
      <c r="LAO24" s="2234"/>
      <c r="LAP24" s="2235"/>
      <c r="LAQ24" s="2235"/>
      <c r="LAR24" s="2234"/>
      <c r="LAS24" s="2235"/>
      <c r="LAT24" s="2235"/>
      <c r="LAU24" s="2234"/>
      <c r="LAV24" s="2235"/>
      <c r="LAW24" s="2235"/>
      <c r="LAX24" s="2234"/>
      <c r="LAY24" s="2235"/>
      <c r="LAZ24" s="2235"/>
      <c r="LBA24" s="2234"/>
      <c r="LBB24" s="2235"/>
      <c r="LBC24" s="2235"/>
      <c r="LBD24" s="2234"/>
      <c r="LBE24" s="2235"/>
      <c r="LBF24" s="2235"/>
      <c r="LBG24" s="2234"/>
      <c r="LBH24" s="2235"/>
      <c r="LBI24" s="2235"/>
      <c r="LBJ24" s="2234"/>
      <c r="LBK24" s="2235"/>
      <c r="LBL24" s="2235"/>
      <c r="LBM24" s="2234"/>
      <c r="LBN24" s="2235"/>
      <c r="LBO24" s="2235"/>
      <c r="LBP24" s="2234"/>
      <c r="LBQ24" s="2235"/>
      <c r="LBR24" s="2235"/>
      <c r="LBS24" s="2234"/>
      <c r="LBT24" s="2235"/>
      <c r="LBU24" s="2235"/>
      <c r="LBV24" s="2234"/>
      <c r="LBW24" s="2235"/>
      <c r="LBX24" s="2235"/>
      <c r="LBY24" s="2234"/>
      <c r="LBZ24" s="2235"/>
      <c r="LCA24" s="2235"/>
      <c r="LCB24" s="2234"/>
      <c r="LCC24" s="2235"/>
      <c r="LCD24" s="2235"/>
      <c r="LCE24" s="2234"/>
      <c r="LCF24" s="2235"/>
      <c r="LCG24" s="2235"/>
      <c r="LCH24" s="2234"/>
      <c r="LCI24" s="2235"/>
      <c r="LCJ24" s="2235"/>
      <c r="LCK24" s="2234"/>
      <c r="LCL24" s="2235"/>
      <c r="LCM24" s="2235"/>
      <c r="LCN24" s="2234"/>
      <c r="LCO24" s="2235"/>
      <c r="LCP24" s="2235"/>
      <c r="LCQ24" s="2234"/>
      <c r="LCR24" s="2235"/>
      <c r="LCS24" s="2235"/>
      <c r="LCT24" s="2234"/>
      <c r="LCU24" s="2235"/>
      <c r="LCV24" s="2235"/>
      <c r="LCW24" s="2234"/>
      <c r="LCX24" s="2235"/>
      <c r="LCY24" s="2235"/>
      <c r="LCZ24" s="2234"/>
      <c r="LDA24" s="2235"/>
      <c r="LDB24" s="2235"/>
      <c r="LDC24" s="2234"/>
      <c r="LDD24" s="2235"/>
      <c r="LDE24" s="2235"/>
      <c r="LDF24" s="2234"/>
      <c r="LDG24" s="2235"/>
      <c r="LDH24" s="2235"/>
      <c r="LDI24" s="2234"/>
      <c r="LDJ24" s="2235"/>
      <c r="LDK24" s="2235"/>
      <c r="LDL24" s="2234"/>
      <c r="LDM24" s="2235"/>
      <c r="LDN24" s="2235"/>
      <c r="LDO24" s="2234"/>
      <c r="LDP24" s="2235"/>
      <c r="LDQ24" s="2235"/>
      <c r="LDR24" s="2234"/>
      <c r="LDS24" s="2235"/>
      <c r="LDT24" s="2235"/>
      <c r="LDU24" s="2234"/>
      <c r="LDV24" s="2235"/>
      <c r="LDW24" s="2235"/>
      <c r="LDX24" s="2234"/>
      <c r="LDY24" s="2235"/>
      <c r="LDZ24" s="2235"/>
      <c r="LEA24" s="2234"/>
      <c r="LEB24" s="2235"/>
      <c r="LEC24" s="2235"/>
      <c r="LED24" s="2234"/>
      <c r="LEE24" s="2235"/>
      <c r="LEF24" s="2235"/>
      <c r="LEG24" s="2234"/>
      <c r="LEH24" s="2235"/>
      <c r="LEI24" s="2235"/>
      <c r="LEJ24" s="2234"/>
      <c r="LEK24" s="2235"/>
      <c r="LEL24" s="2235"/>
      <c r="LEM24" s="2234"/>
      <c r="LEN24" s="2235"/>
      <c r="LEO24" s="2235"/>
      <c r="LEP24" s="2234"/>
      <c r="LEQ24" s="2235"/>
      <c r="LER24" s="2235"/>
      <c r="LES24" s="2234"/>
      <c r="LET24" s="2235"/>
      <c r="LEU24" s="2235"/>
      <c r="LEV24" s="2234"/>
      <c r="LEW24" s="2235"/>
      <c r="LEX24" s="2235"/>
      <c r="LEY24" s="2234"/>
      <c r="LEZ24" s="2235"/>
      <c r="LFA24" s="2235"/>
      <c r="LFB24" s="2234"/>
      <c r="LFC24" s="2235"/>
      <c r="LFD24" s="2235"/>
      <c r="LFE24" s="2234"/>
      <c r="LFF24" s="2235"/>
      <c r="LFG24" s="2235"/>
      <c r="LFH24" s="2234"/>
      <c r="LFI24" s="2235"/>
      <c r="LFJ24" s="2235"/>
      <c r="LFK24" s="2234"/>
      <c r="LFL24" s="2235"/>
      <c r="LFM24" s="2235"/>
      <c r="LFN24" s="2234"/>
      <c r="LFO24" s="2235"/>
      <c r="LFP24" s="2235"/>
      <c r="LFQ24" s="2234"/>
      <c r="LFR24" s="2235"/>
      <c r="LFS24" s="2235"/>
      <c r="LFT24" s="2234"/>
      <c r="LFU24" s="2235"/>
      <c r="LFV24" s="2235"/>
      <c r="LFW24" s="2234"/>
      <c r="LFX24" s="2235"/>
      <c r="LFY24" s="2235"/>
      <c r="LFZ24" s="2234"/>
      <c r="LGA24" s="2235"/>
      <c r="LGB24" s="2235"/>
      <c r="LGC24" s="2234"/>
      <c r="LGD24" s="2235"/>
      <c r="LGE24" s="2235"/>
      <c r="LGF24" s="2234"/>
      <c r="LGG24" s="2235"/>
      <c r="LGH24" s="2235"/>
      <c r="LGI24" s="2234"/>
      <c r="LGJ24" s="2235"/>
      <c r="LGK24" s="2235"/>
      <c r="LGL24" s="2234"/>
      <c r="LGM24" s="2235"/>
      <c r="LGN24" s="2235"/>
      <c r="LGO24" s="2234"/>
      <c r="LGP24" s="2235"/>
      <c r="LGQ24" s="2235"/>
      <c r="LGR24" s="2234"/>
      <c r="LGS24" s="2235"/>
      <c r="LGT24" s="2235"/>
      <c r="LGU24" s="2234"/>
      <c r="LGV24" s="2235"/>
      <c r="LGW24" s="2235"/>
      <c r="LGX24" s="2234"/>
      <c r="LGY24" s="2235"/>
      <c r="LGZ24" s="2235"/>
      <c r="LHA24" s="2234"/>
      <c r="LHB24" s="2235"/>
      <c r="LHC24" s="2235"/>
      <c r="LHD24" s="2234"/>
      <c r="LHE24" s="2235"/>
      <c r="LHF24" s="2235"/>
      <c r="LHG24" s="2234"/>
      <c r="LHH24" s="2235"/>
      <c r="LHI24" s="2235"/>
      <c r="LHJ24" s="2234"/>
      <c r="LHK24" s="2235"/>
      <c r="LHL24" s="2235"/>
      <c r="LHM24" s="2234"/>
      <c r="LHN24" s="2235"/>
      <c r="LHO24" s="2235"/>
      <c r="LHP24" s="2234"/>
      <c r="LHQ24" s="2235"/>
      <c r="LHR24" s="2235"/>
      <c r="LHS24" s="2234"/>
      <c r="LHT24" s="2235"/>
      <c r="LHU24" s="2235"/>
      <c r="LHV24" s="2234"/>
      <c r="LHW24" s="2235"/>
      <c r="LHX24" s="2235"/>
      <c r="LHY24" s="2234"/>
      <c r="LHZ24" s="2235"/>
      <c r="LIA24" s="2235"/>
      <c r="LIB24" s="2234"/>
      <c r="LIC24" s="2235"/>
      <c r="LID24" s="2235"/>
      <c r="LIE24" s="2234"/>
      <c r="LIF24" s="2235"/>
      <c r="LIG24" s="2235"/>
      <c r="LIH24" s="2234"/>
      <c r="LII24" s="2235"/>
      <c r="LIJ24" s="2235"/>
      <c r="LIK24" s="2234"/>
      <c r="LIL24" s="2235"/>
      <c r="LIM24" s="2235"/>
      <c r="LIN24" s="2234"/>
      <c r="LIO24" s="2235"/>
      <c r="LIP24" s="2235"/>
      <c r="LIQ24" s="2234"/>
      <c r="LIR24" s="2235"/>
      <c r="LIS24" s="2235"/>
      <c r="LIT24" s="2234"/>
      <c r="LIU24" s="2235"/>
      <c r="LIV24" s="2235"/>
      <c r="LIW24" s="2234"/>
      <c r="LIX24" s="2235"/>
      <c r="LIY24" s="2235"/>
      <c r="LIZ24" s="2234"/>
      <c r="LJA24" s="2235"/>
      <c r="LJB24" s="2235"/>
      <c r="LJC24" s="2234"/>
      <c r="LJD24" s="2235"/>
      <c r="LJE24" s="2235"/>
      <c r="LJF24" s="2234"/>
      <c r="LJG24" s="2235"/>
      <c r="LJH24" s="2235"/>
      <c r="LJI24" s="2234"/>
      <c r="LJJ24" s="2235"/>
      <c r="LJK24" s="2235"/>
      <c r="LJL24" s="2234"/>
      <c r="LJM24" s="2235"/>
      <c r="LJN24" s="2235"/>
      <c r="LJO24" s="2234"/>
      <c r="LJP24" s="2235"/>
      <c r="LJQ24" s="2235"/>
      <c r="LJR24" s="2234"/>
      <c r="LJS24" s="2235"/>
      <c r="LJT24" s="2235"/>
      <c r="LJU24" s="2234"/>
      <c r="LJV24" s="2235"/>
      <c r="LJW24" s="2235"/>
      <c r="LJX24" s="2234"/>
      <c r="LJY24" s="2235"/>
      <c r="LJZ24" s="2235"/>
      <c r="LKA24" s="2234"/>
      <c r="LKB24" s="2235"/>
      <c r="LKC24" s="2235"/>
      <c r="LKD24" s="2234"/>
      <c r="LKE24" s="2235"/>
      <c r="LKF24" s="2235"/>
      <c r="LKG24" s="2234"/>
      <c r="LKH24" s="2235"/>
      <c r="LKI24" s="2235"/>
      <c r="LKJ24" s="2234"/>
      <c r="LKK24" s="2235"/>
      <c r="LKL24" s="2235"/>
      <c r="LKM24" s="2234"/>
      <c r="LKN24" s="2235"/>
      <c r="LKO24" s="2235"/>
      <c r="LKP24" s="2234"/>
      <c r="LKQ24" s="2235"/>
      <c r="LKR24" s="2235"/>
      <c r="LKS24" s="2234"/>
      <c r="LKT24" s="2235"/>
      <c r="LKU24" s="2235"/>
      <c r="LKV24" s="2234"/>
      <c r="LKW24" s="2235"/>
      <c r="LKX24" s="2235"/>
      <c r="LKY24" s="2234"/>
      <c r="LKZ24" s="2235"/>
      <c r="LLA24" s="2235"/>
      <c r="LLB24" s="2234"/>
      <c r="LLC24" s="2235"/>
      <c r="LLD24" s="2235"/>
      <c r="LLE24" s="2234"/>
      <c r="LLF24" s="2235"/>
      <c r="LLG24" s="2235"/>
      <c r="LLH24" s="2234"/>
      <c r="LLI24" s="2235"/>
      <c r="LLJ24" s="2235"/>
      <c r="LLK24" s="2234"/>
      <c r="LLL24" s="2235"/>
      <c r="LLM24" s="2235"/>
      <c r="LLN24" s="2234"/>
      <c r="LLO24" s="2235"/>
      <c r="LLP24" s="2235"/>
      <c r="LLQ24" s="2234"/>
      <c r="LLR24" s="2235"/>
      <c r="LLS24" s="2235"/>
      <c r="LLT24" s="2234"/>
      <c r="LLU24" s="2235"/>
      <c r="LLV24" s="2235"/>
      <c r="LLW24" s="2234"/>
      <c r="LLX24" s="2235"/>
      <c r="LLY24" s="2235"/>
      <c r="LLZ24" s="2234"/>
      <c r="LMA24" s="2235"/>
      <c r="LMB24" s="2235"/>
      <c r="LMC24" s="2234"/>
      <c r="LMD24" s="2235"/>
      <c r="LME24" s="2235"/>
      <c r="LMF24" s="2234"/>
      <c r="LMG24" s="2235"/>
      <c r="LMH24" s="2235"/>
      <c r="LMI24" s="2234"/>
      <c r="LMJ24" s="2235"/>
      <c r="LMK24" s="2235"/>
      <c r="LML24" s="2234"/>
      <c r="LMM24" s="2235"/>
      <c r="LMN24" s="2235"/>
      <c r="LMO24" s="2234"/>
      <c r="LMP24" s="2235"/>
      <c r="LMQ24" s="2235"/>
      <c r="LMR24" s="2234"/>
      <c r="LMS24" s="2235"/>
      <c r="LMT24" s="2235"/>
      <c r="LMU24" s="2234"/>
      <c r="LMV24" s="2235"/>
      <c r="LMW24" s="2235"/>
      <c r="LMX24" s="2234"/>
      <c r="LMY24" s="2235"/>
      <c r="LMZ24" s="2235"/>
      <c r="LNA24" s="2234"/>
      <c r="LNB24" s="2235"/>
      <c r="LNC24" s="2235"/>
      <c r="LND24" s="2234"/>
      <c r="LNE24" s="2235"/>
      <c r="LNF24" s="2235"/>
      <c r="LNG24" s="2234"/>
      <c r="LNH24" s="2235"/>
      <c r="LNI24" s="2235"/>
      <c r="LNJ24" s="2234"/>
      <c r="LNK24" s="2235"/>
      <c r="LNL24" s="2235"/>
      <c r="LNM24" s="2234"/>
      <c r="LNN24" s="2235"/>
      <c r="LNO24" s="2235"/>
      <c r="LNP24" s="2234"/>
      <c r="LNQ24" s="2235"/>
      <c r="LNR24" s="2235"/>
      <c r="LNS24" s="2234"/>
      <c r="LNT24" s="2235"/>
      <c r="LNU24" s="2235"/>
      <c r="LNV24" s="2234"/>
      <c r="LNW24" s="2235"/>
      <c r="LNX24" s="2235"/>
      <c r="LNY24" s="2234"/>
      <c r="LNZ24" s="2235"/>
      <c r="LOA24" s="2235"/>
      <c r="LOB24" s="2234"/>
      <c r="LOC24" s="2235"/>
      <c r="LOD24" s="2235"/>
      <c r="LOE24" s="2234"/>
      <c r="LOF24" s="2235"/>
      <c r="LOG24" s="2235"/>
      <c r="LOH24" s="2234"/>
      <c r="LOI24" s="2235"/>
      <c r="LOJ24" s="2235"/>
      <c r="LOK24" s="2234"/>
      <c r="LOL24" s="2235"/>
      <c r="LOM24" s="2235"/>
      <c r="LON24" s="2234"/>
      <c r="LOO24" s="2235"/>
      <c r="LOP24" s="2235"/>
      <c r="LOQ24" s="2234"/>
      <c r="LOR24" s="2235"/>
      <c r="LOS24" s="2235"/>
      <c r="LOT24" s="2234"/>
      <c r="LOU24" s="2235"/>
      <c r="LOV24" s="2235"/>
      <c r="LOW24" s="2234"/>
      <c r="LOX24" s="2235"/>
      <c r="LOY24" s="2235"/>
      <c r="LOZ24" s="2234"/>
      <c r="LPA24" s="2235"/>
      <c r="LPB24" s="2235"/>
      <c r="LPC24" s="2234"/>
      <c r="LPD24" s="2235"/>
      <c r="LPE24" s="2235"/>
      <c r="LPF24" s="2234"/>
      <c r="LPG24" s="2235"/>
      <c r="LPH24" s="2235"/>
      <c r="LPI24" s="2234"/>
      <c r="LPJ24" s="2235"/>
      <c r="LPK24" s="2235"/>
      <c r="LPL24" s="2234"/>
      <c r="LPM24" s="2235"/>
      <c r="LPN24" s="2235"/>
      <c r="LPO24" s="2234"/>
      <c r="LPP24" s="2235"/>
      <c r="LPQ24" s="2235"/>
      <c r="LPR24" s="2234"/>
      <c r="LPS24" s="2235"/>
      <c r="LPT24" s="2235"/>
      <c r="LPU24" s="2234"/>
      <c r="LPV24" s="2235"/>
      <c r="LPW24" s="2235"/>
      <c r="LPX24" s="2234"/>
      <c r="LPY24" s="2235"/>
      <c r="LPZ24" s="2235"/>
      <c r="LQA24" s="2234"/>
      <c r="LQB24" s="2235"/>
      <c r="LQC24" s="2235"/>
      <c r="LQD24" s="2234"/>
      <c r="LQE24" s="2235"/>
      <c r="LQF24" s="2235"/>
      <c r="LQG24" s="2234"/>
      <c r="LQH24" s="2235"/>
      <c r="LQI24" s="2235"/>
      <c r="LQJ24" s="2234"/>
      <c r="LQK24" s="2235"/>
      <c r="LQL24" s="2235"/>
      <c r="LQM24" s="2234"/>
      <c r="LQN24" s="2235"/>
      <c r="LQO24" s="2235"/>
      <c r="LQP24" s="2234"/>
      <c r="LQQ24" s="2235"/>
      <c r="LQR24" s="2235"/>
      <c r="LQS24" s="2234"/>
      <c r="LQT24" s="2235"/>
      <c r="LQU24" s="2235"/>
      <c r="LQV24" s="2234"/>
      <c r="LQW24" s="2235"/>
      <c r="LQX24" s="2235"/>
      <c r="LQY24" s="2234"/>
      <c r="LQZ24" s="2235"/>
      <c r="LRA24" s="2235"/>
      <c r="LRB24" s="2234"/>
      <c r="LRC24" s="2235"/>
      <c r="LRD24" s="2235"/>
      <c r="LRE24" s="2234"/>
      <c r="LRF24" s="2235"/>
      <c r="LRG24" s="2235"/>
      <c r="LRH24" s="2234"/>
      <c r="LRI24" s="2235"/>
      <c r="LRJ24" s="2235"/>
      <c r="LRK24" s="2234"/>
      <c r="LRL24" s="2235"/>
      <c r="LRM24" s="2235"/>
      <c r="LRN24" s="2234"/>
      <c r="LRO24" s="2235"/>
      <c r="LRP24" s="2235"/>
      <c r="LRQ24" s="2234"/>
      <c r="LRR24" s="2235"/>
      <c r="LRS24" s="2235"/>
      <c r="LRT24" s="2234"/>
      <c r="LRU24" s="2235"/>
      <c r="LRV24" s="2235"/>
      <c r="LRW24" s="2234"/>
      <c r="LRX24" s="2235"/>
      <c r="LRY24" s="2235"/>
      <c r="LRZ24" s="2234"/>
      <c r="LSA24" s="2235"/>
      <c r="LSB24" s="2235"/>
      <c r="LSC24" s="2234"/>
      <c r="LSD24" s="2235"/>
      <c r="LSE24" s="2235"/>
      <c r="LSF24" s="2234"/>
      <c r="LSG24" s="2235"/>
      <c r="LSH24" s="2235"/>
      <c r="LSI24" s="2234"/>
      <c r="LSJ24" s="2235"/>
      <c r="LSK24" s="2235"/>
      <c r="LSL24" s="2234"/>
      <c r="LSM24" s="2235"/>
      <c r="LSN24" s="2235"/>
      <c r="LSO24" s="2234"/>
      <c r="LSP24" s="2235"/>
      <c r="LSQ24" s="2235"/>
      <c r="LSR24" s="2234"/>
      <c r="LSS24" s="2235"/>
      <c r="LST24" s="2235"/>
      <c r="LSU24" s="2234"/>
      <c r="LSV24" s="2235"/>
      <c r="LSW24" s="2235"/>
      <c r="LSX24" s="2234"/>
      <c r="LSY24" s="2235"/>
      <c r="LSZ24" s="2235"/>
      <c r="LTA24" s="2234"/>
      <c r="LTB24" s="2235"/>
      <c r="LTC24" s="2235"/>
      <c r="LTD24" s="2234"/>
      <c r="LTE24" s="2235"/>
      <c r="LTF24" s="2235"/>
      <c r="LTG24" s="2234"/>
      <c r="LTH24" s="2235"/>
      <c r="LTI24" s="2235"/>
      <c r="LTJ24" s="2234"/>
      <c r="LTK24" s="2235"/>
      <c r="LTL24" s="2235"/>
      <c r="LTM24" s="2234"/>
      <c r="LTN24" s="2235"/>
      <c r="LTO24" s="2235"/>
      <c r="LTP24" s="2234"/>
      <c r="LTQ24" s="2235"/>
      <c r="LTR24" s="2235"/>
      <c r="LTS24" s="2234"/>
      <c r="LTT24" s="2235"/>
      <c r="LTU24" s="2235"/>
      <c r="LTV24" s="2234"/>
      <c r="LTW24" s="2235"/>
      <c r="LTX24" s="2235"/>
      <c r="LTY24" s="2234"/>
      <c r="LTZ24" s="2235"/>
      <c r="LUA24" s="2235"/>
      <c r="LUB24" s="2234"/>
      <c r="LUC24" s="2235"/>
      <c r="LUD24" s="2235"/>
      <c r="LUE24" s="2234"/>
      <c r="LUF24" s="2235"/>
      <c r="LUG24" s="2235"/>
      <c r="LUH24" s="2234"/>
      <c r="LUI24" s="2235"/>
      <c r="LUJ24" s="2235"/>
      <c r="LUK24" s="2234"/>
      <c r="LUL24" s="2235"/>
      <c r="LUM24" s="2235"/>
      <c r="LUN24" s="2234"/>
      <c r="LUO24" s="2235"/>
      <c r="LUP24" s="2235"/>
      <c r="LUQ24" s="2234"/>
      <c r="LUR24" s="2235"/>
      <c r="LUS24" s="2235"/>
      <c r="LUT24" s="2234"/>
      <c r="LUU24" s="2235"/>
      <c r="LUV24" s="2235"/>
      <c r="LUW24" s="2234"/>
      <c r="LUX24" s="2235"/>
      <c r="LUY24" s="2235"/>
      <c r="LUZ24" s="2234"/>
      <c r="LVA24" s="2235"/>
      <c r="LVB24" s="2235"/>
      <c r="LVC24" s="2234"/>
      <c r="LVD24" s="2235"/>
      <c r="LVE24" s="2235"/>
      <c r="LVF24" s="2234"/>
      <c r="LVG24" s="2235"/>
      <c r="LVH24" s="2235"/>
      <c r="LVI24" s="2234"/>
      <c r="LVJ24" s="2235"/>
      <c r="LVK24" s="2235"/>
      <c r="LVL24" s="2234"/>
      <c r="LVM24" s="2235"/>
      <c r="LVN24" s="2235"/>
      <c r="LVO24" s="2234"/>
      <c r="LVP24" s="2235"/>
      <c r="LVQ24" s="2235"/>
      <c r="LVR24" s="2234"/>
      <c r="LVS24" s="2235"/>
      <c r="LVT24" s="2235"/>
      <c r="LVU24" s="2234"/>
      <c r="LVV24" s="2235"/>
      <c r="LVW24" s="2235"/>
      <c r="LVX24" s="2234"/>
      <c r="LVY24" s="2235"/>
      <c r="LVZ24" s="2235"/>
      <c r="LWA24" s="2234"/>
      <c r="LWB24" s="2235"/>
      <c r="LWC24" s="2235"/>
      <c r="LWD24" s="2234"/>
      <c r="LWE24" s="2235"/>
      <c r="LWF24" s="2235"/>
      <c r="LWG24" s="2234"/>
      <c r="LWH24" s="2235"/>
      <c r="LWI24" s="2235"/>
      <c r="LWJ24" s="2234"/>
      <c r="LWK24" s="2235"/>
      <c r="LWL24" s="2235"/>
      <c r="LWM24" s="2234"/>
      <c r="LWN24" s="2235"/>
      <c r="LWO24" s="2235"/>
      <c r="LWP24" s="2234"/>
      <c r="LWQ24" s="2235"/>
      <c r="LWR24" s="2235"/>
      <c r="LWS24" s="2234"/>
      <c r="LWT24" s="2235"/>
      <c r="LWU24" s="2235"/>
      <c r="LWV24" s="2234"/>
      <c r="LWW24" s="2235"/>
      <c r="LWX24" s="2235"/>
      <c r="LWY24" s="2234"/>
      <c r="LWZ24" s="2235"/>
      <c r="LXA24" s="2235"/>
      <c r="LXB24" s="2234"/>
      <c r="LXC24" s="2235"/>
      <c r="LXD24" s="2235"/>
      <c r="LXE24" s="2234"/>
      <c r="LXF24" s="2235"/>
      <c r="LXG24" s="2235"/>
      <c r="LXH24" s="2234"/>
      <c r="LXI24" s="2235"/>
      <c r="LXJ24" s="2235"/>
      <c r="LXK24" s="2234"/>
      <c r="LXL24" s="2235"/>
      <c r="LXM24" s="2235"/>
      <c r="LXN24" s="2234"/>
      <c r="LXO24" s="2235"/>
      <c r="LXP24" s="2235"/>
      <c r="LXQ24" s="2234"/>
      <c r="LXR24" s="2235"/>
      <c r="LXS24" s="2235"/>
      <c r="LXT24" s="2234"/>
      <c r="LXU24" s="2235"/>
      <c r="LXV24" s="2235"/>
      <c r="LXW24" s="2234"/>
      <c r="LXX24" s="2235"/>
      <c r="LXY24" s="2235"/>
      <c r="LXZ24" s="2234"/>
      <c r="LYA24" s="2235"/>
      <c r="LYB24" s="2235"/>
      <c r="LYC24" s="2234"/>
      <c r="LYD24" s="2235"/>
      <c r="LYE24" s="2235"/>
      <c r="LYF24" s="2234"/>
      <c r="LYG24" s="2235"/>
      <c r="LYH24" s="2235"/>
      <c r="LYI24" s="2234"/>
      <c r="LYJ24" s="2235"/>
      <c r="LYK24" s="2235"/>
      <c r="LYL24" s="2234"/>
      <c r="LYM24" s="2235"/>
      <c r="LYN24" s="2235"/>
      <c r="LYO24" s="2234"/>
      <c r="LYP24" s="2235"/>
      <c r="LYQ24" s="2235"/>
      <c r="LYR24" s="2234"/>
      <c r="LYS24" s="2235"/>
      <c r="LYT24" s="2235"/>
      <c r="LYU24" s="2234"/>
      <c r="LYV24" s="2235"/>
      <c r="LYW24" s="2235"/>
      <c r="LYX24" s="2234"/>
      <c r="LYY24" s="2235"/>
      <c r="LYZ24" s="2235"/>
      <c r="LZA24" s="2234"/>
      <c r="LZB24" s="2235"/>
      <c r="LZC24" s="2235"/>
      <c r="LZD24" s="2234"/>
      <c r="LZE24" s="2235"/>
      <c r="LZF24" s="2235"/>
      <c r="LZG24" s="2234"/>
      <c r="LZH24" s="2235"/>
      <c r="LZI24" s="2235"/>
      <c r="LZJ24" s="2234"/>
      <c r="LZK24" s="2235"/>
      <c r="LZL24" s="2235"/>
      <c r="LZM24" s="2234"/>
      <c r="LZN24" s="2235"/>
      <c r="LZO24" s="2235"/>
      <c r="LZP24" s="2234"/>
      <c r="LZQ24" s="2235"/>
      <c r="LZR24" s="2235"/>
      <c r="LZS24" s="2234"/>
      <c r="LZT24" s="2235"/>
      <c r="LZU24" s="2235"/>
      <c r="LZV24" s="2234"/>
      <c r="LZW24" s="2235"/>
      <c r="LZX24" s="2235"/>
      <c r="LZY24" s="2234"/>
      <c r="LZZ24" s="2235"/>
      <c r="MAA24" s="2235"/>
      <c r="MAB24" s="2234"/>
      <c r="MAC24" s="2235"/>
      <c r="MAD24" s="2235"/>
      <c r="MAE24" s="2234"/>
      <c r="MAF24" s="2235"/>
      <c r="MAG24" s="2235"/>
      <c r="MAH24" s="2234"/>
      <c r="MAI24" s="2235"/>
      <c r="MAJ24" s="2235"/>
      <c r="MAK24" s="2234"/>
      <c r="MAL24" s="2235"/>
      <c r="MAM24" s="2235"/>
      <c r="MAN24" s="2234"/>
      <c r="MAO24" s="2235"/>
      <c r="MAP24" s="2235"/>
      <c r="MAQ24" s="2234"/>
      <c r="MAR24" s="2235"/>
      <c r="MAS24" s="2235"/>
      <c r="MAT24" s="2234"/>
      <c r="MAU24" s="2235"/>
      <c r="MAV24" s="2235"/>
      <c r="MAW24" s="2234"/>
      <c r="MAX24" s="2235"/>
      <c r="MAY24" s="2235"/>
      <c r="MAZ24" s="2234"/>
      <c r="MBA24" s="2235"/>
      <c r="MBB24" s="2235"/>
      <c r="MBC24" s="2234"/>
      <c r="MBD24" s="2235"/>
      <c r="MBE24" s="2235"/>
      <c r="MBF24" s="2234"/>
      <c r="MBG24" s="2235"/>
      <c r="MBH24" s="2235"/>
      <c r="MBI24" s="2234"/>
      <c r="MBJ24" s="2235"/>
      <c r="MBK24" s="2235"/>
      <c r="MBL24" s="2234"/>
      <c r="MBM24" s="2235"/>
      <c r="MBN24" s="2235"/>
      <c r="MBO24" s="2234"/>
      <c r="MBP24" s="2235"/>
      <c r="MBQ24" s="2235"/>
      <c r="MBR24" s="2234"/>
      <c r="MBS24" s="2235"/>
      <c r="MBT24" s="2235"/>
      <c r="MBU24" s="2234"/>
      <c r="MBV24" s="2235"/>
      <c r="MBW24" s="2235"/>
      <c r="MBX24" s="2234"/>
      <c r="MBY24" s="2235"/>
      <c r="MBZ24" s="2235"/>
      <c r="MCA24" s="2234"/>
      <c r="MCB24" s="2235"/>
      <c r="MCC24" s="2235"/>
      <c r="MCD24" s="2234"/>
      <c r="MCE24" s="2235"/>
      <c r="MCF24" s="2235"/>
      <c r="MCG24" s="2234"/>
      <c r="MCH24" s="2235"/>
      <c r="MCI24" s="2235"/>
      <c r="MCJ24" s="2234"/>
      <c r="MCK24" s="2235"/>
      <c r="MCL24" s="2235"/>
      <c r="MCM24" s="2234"/>
      <c r="MCN24" s="2235"/>
      <c r="MCO24" s="2235"/>
      <c r="MCP24" s="2234"/>
      <c r="MCQ24" s="2235"/>
      <c r="MCR24" s="2235"/>
      <c r="MCS24" s="2234"/>
      <c r="MCT24" s="2235"/>
      <c r="MCU24" s="2235"/>
      <c r="MCV24" s="2234"/>
      <c r="MCW24" s="2235"/>
      <c r="MCX24" s="2235"/>
      <c r="MCY24" s="2234"/>
      <c r="MCZ24" s="2235"/>
      <c r="MDA24" s="2235"/>
      <c r="MDB24" s="2234"/>
      <c r="MDC24" s="2235"/>
      <c r="MDD24" s="2235"/>
      <c r="MDE24" s="2234"/>
      <c r="MDF24" s="2235"/>
      <c r="MDG24" s="2235"/>
      <c r="MDH24" s="2234"/>
      <c r="MDI24" s="2235"/>
      <c r="MDJ24" s="2235"/>
      <c r="MDK24" s="2234"/>
      <c r="MDL24" s="2235"/>
      <c r="MDM24" s="2235"/>
      <c r="MDN24" s="2234"/>
      <c r="MDO24" s="2235"/>
      <c r="MDP24" s="2235"/>
      <c r="MDQ24" s="2234"/>
      <c r="MDR24" s="2235"/>
      <c r="MDS24" s="2235"/>
      <c r="MDT24" s="2234"/>
      <c r="MDU24" s="2235"/>
      <c r="MDV24" s="2235"/>
      <c r="MDW24" s="2234"/>
      <c r="MDX24" s="2235"/>
      <c r="MDY24" s="2235"/>
      <c r="MDZ24" s="2234"/>
      <c r="MEA24" s="2235"/>
      <c r="MEB24" s="2235"/>
      <c r="MEC24" s="2234"/>
      <c r="MED24" s="2235"/>
      <c r="MEE24" s="2235"/>
      <c r="MEF24" s="2234"/>
      <c r="MEG24" s="2235"/>
      <c r="MEH24" s="2235"/>
      <c r="MEI24" s="2234"/>
      <c r="MEJ24" s="2235"/>
      <c r="MEK24" s="2235"/>
      <c r="MEL24" s="2234"/>
      <c r="MEM24" s="2235"/>
      <c r="MEN24" s="2235"/>
      <c r="MEO24" s="2234"/>
      <c r="MEP24" s="2235"/>
      <c r="MEQ24" s="2235"/>
      <c r="MER24" s="2234"/>
      <c r="MES24" s="2235"/>
      <c r="MET24" s="2235"/>
      <c r="MEU24" s="2234"/>
      <c r="MEV24" s="2235"/>
      <c r="MEW24" s="2235"/>
      <c r="MEX24" s="2234"/>
      <c r="MEY24" s="2235"/>
      <c r="MEZ24" s="2235"/>
      <c r="MFA24" s="2234"/>
      <c r="MFB24" s="2235"/>
      <c r="MFC24" s="2235"/>
      <c r="MFD24" s="2234"/>
      <c r="MFE24" s="2235"/>
      <c r="MFF24" s="2235"/>
      <c r="MFG24" s="2234"/>
      <c r="MFH24" s="2235"/>
      <c r="MFI24" s="2235"/>
      <c r="MFJ24" s="2234"/>
      <c r="MFK24" s="2235"/>
      <c r="MFL24" s="2235"/>
      <c r="MFM24" s="2234"/>
      <c r="MFN24" s="2235"/>
      <c r="MFO24" s="2235"/>
      <c r="MFP24" s="2234"/>
      <c r="MFQ24" s="2235"/>
      <c r="MFR24" s="2235"/>
      <c r="MFS24" s="2234"/>
      <c r="MFT24" s="2235"/>
      <c r="MFU24" s="2235"/>
      <c r="MFV24" s="2234"/>
      <c r="MFW24" s="2235"/>
      <c r="MFX24" s="2235"/>
      <c r="MFY24" s="2234"/>
      <c r="MFZ24" s="2235"/>
      <c r="MGA24" s="2235"/>
      <c r="MGB24" s="2234"/>
      <c r="MGC24" s="2235"/>
      <c r="MGD24" s="2235"/>
      <c r="MGE24" s="2234"/>
      <c r="MGF24" s="2235"/>
      <c r="MGG24" s="2235"/>
      <c r="MGH24" s="2234"/>
      <c r="MGI24" s="2235"/>
      <c r="MGJ24" s="2235"/>
      <c r="MGK24" s="2234"/>
      <c r="MGL24" s="2235"/>
      <c r="MGM24" s="2235"/>
      <c r="MGN24" s="2234"/>
      <c r="MGO24" s="2235"/>
      <c r="MGP24" s="2235"/>
      <c r="MGQ24" s="2234"/>
      <c r="MGR24" s="2235"/>
      <c r="MGS24" s="2235"/>
      <c r="MGT24" s="2234"/>
      <c r="MGU24" s="2235"/>
      <c r="MGV24" s="2235"/>
      <c r="MGW24" s="2234"/>
      <c r="MGX24" s="2235"/>
      <c r="MGY24" s="2235"/>
      <c r="MGZ24" s="2234"/>
      <c r="MHA24" s="2235"/>
      <c r="MHB24" s="2235"/>
      <c r="MHC24" s="2234"/>
      <c r="MHD24" s="2235"/>
      <c r="MHE24" s="2235"/>
      <c r="MHF24" s="2234"/>
      <c r="MHG24" s="2235"/>
      <c r="MHH24" s="2235"/>
      <c r="MHI24" s="2234"/>
      <c r="MHJ24" s="2235"/>
      <c r="MHK24" s="2235"/>
      <c r="MHL24" s="2234"/>
      <c r="MHM24" s="2235"/>
      <c r="MHN24" s="2235"/>
      <c r="MHO24" s="2234"/>
      <c r="MHP24" s="2235"/>
      <c r="MHQ24" s="2235"/>
      <c r="MHR24" s="2234"/>
      <c r="MHS24" s="2235"/>
      <c r="MHT24" s="2235"/>
      <c r="MHU24" s="2234"/>
      <c r="MHV24" s="2235"/>
      <c r="MHW24" s="2235"/>
      <c r="MHX24" s="2234"/>
      <c r="MHY24" s="2235"/>
      <c r="MHZ24" s="2235"/>
      <c r="MIA24" s="2234"/>
      <c r="MIB24" s="2235"/>
      <c r="MIC24" s="2235"/>
      <c r="MID24" s="2234"/>
      <c r="MIE24" s="2235"/>
      <c r="MIF24" s="2235"/>
      <c r="MIG24" s="2234"/>
      <c r="MIH24" s="2235"/>
      <c r="MII24" s="2235"/>
      <c r="MIJ24" s="2234"/>
      <c r="MIK24" s="2235"/>
      <c r="MIL24" s="2235"/>
      <c r="MIM24" s="2234"/>
      <c r="MIN24" s="2235"/>
      <c r="MIO24" s="2235"/>
      <c r="MIP24" s="2234"/>
      <c r="MIQ24" s="2235"/>
      <c r="MIR24" s="2235"/>
      <c r="MIS24" s="2234"/>
      <c r="MIT24" s="2235"/>
      <c r="MIU24" s="2235"/>
      <c r="MIV24" s="2234"/>
      <c r="MIW24" s="2235"/>
      <c r="MIX24" s="2235"/>
      <c r="MIY24" s="2234"/>
      <c r="MIZ24" s="2235"/>
      <c r="MJA24" s="2235"/>
      <c r="MJB24" s="2234"/>
      <c r="MJC24" s="2235"/>
      <c r="MJD24" s="2235"/>
      <c r="MJE24" s="2234"/>
      <c r="MJF24" s="2235"/>
      <c r="MJG24" s="2235"/>
      <c r="MJH24" s="2234"/>
      <c r="MJI24" s="2235"/>
      <c r="MJJ24" s="2235"/>
      <c r="MJK24" s="2234"/>
      <c r="MJL24" s="2235"/>
      <c r="MJM24" s="2235"/>
      <c r="MJN24" s="2234"/>
      <c r="MJO24" s="2235"/>
      <c r="MJP24" s="2235"/>
      <c r="MJQ24" s="2234"/>
      <c r="MJR24" s="2235"/>
      <c r="MJS24" s="2235"/>
      <c r="MJT24" s="2234"/>
      <c r="MJU24" s="2235"/>
      <c r="MJV24" s="2235"/>
      <c r="MJW24" s="2234"/>
      <c r="MJX24" s="2235"/>
      <c r="MJY24" s="2235"/>
      <c r="MJZ24" s="2234"/>
      <c r="MKA24" s="2235"/>
      <c r="MKB24" s="2235"/>
      <c r="MKC24" s="2234"/>
      <c r="MKD24" s="2235"/>
      <c r="MKE24" s="2235"/>
      <c r="MKF24" s="2234"/>
      <c r="MKG24" s="2235"/>
      <c r="MKH24" s="2235"/>
      <c r="MKI24" s="2234"/>
      <c r="MKJ24" s="2235"/>
      <c r="MKK24" s="2235"/>
      <c r="MKL24" s="2234"/>
      <c r="MKM24" s="2235"/>
      <c r="MKN24" s="2235"/>
      <c r="MKO24" s="2234"/>
      <c r="MKP24" s="2235"/>
      <c r="MKQ24" s="2235"/>
      <c r="MKR24" s="2234"/>
      <c r="MKS24" s="2235"/>
      <c r="MKT24" s="2235"/>
      <c r="MKU24" s="2234"/>
      <c r="MKV24" s="2235"/>
      <c r="MKW24" s="2235"/>
      <c r="MKX24" s="2234"/>
      <c r="MKY24" s="2235"/>
      <c r="MKZ24" s="2235"/>
      <c r="MLA24" s="2234"/>
      <c r="MLB24" s="2235"/>
      <c r="MLC24" s="2235"/>
      <c r="MLD24" s="2234"/>
      <c r="MLE24" s="2235"/>
      <c r="MLF24" s="2235"/>
      <c r="MLG24" s="2234"/>
      <c r="MLH24" s="2235"/>
      <c r="MLI24" s="2235"/>
      <c r="MLJ24" s="2234"/>
      <c r="MLK24" s="2235"/>
      <c r="MLL24" s="2235"/>
      <c r="MLM24" s="2234"/>
      <c r="MLN24" s="2235"/>
      <c r="MLO24" s="2235"/>
      <c r="MLP24" s="2234"/>
      <c r="MLQ24" s="2235"/>
      <c r="MLR24" s="2235"/>
      <c r="MLS24" s="2234"/>
      <c r="MLT24" s="2235"/>
      <c r="MLU24" s="2235"/>
      <c r="MLV24" s="2234"/>
      <c r="MLW24" s="2235"/>
      <c r="MLX24" s="2235"/>
      <c r="MLY24" s="2234"/>
      <c r="MLZ24" s="2235"/>
      <c r="MMA24" s="2235"/>
      <c r="MMB24" s="2234"/>
      <c r="MMC24" s="2235"/>
      <c r="MMD24" s="2235"/>
      <c r="MME24" s="2234"/>
      <c r="MMF24" s="2235"/>
      <c r="MMG24" s="2235"/>
      <c r="MMH24" s="2234"/>
      <c r="MMI24" s="2235"/>
      <c r="MMJ24" s="2235"/>
      <c r="MMK24" s="2234"/>
      <c r="MML24" s="2235"/>
      <c r="MMM24" s="2235"/>
      <c r="MMN24" s="2234"/>
      <c r="MMO24" s="2235"/>
      <c r="MMP24" s="2235"/>
      <c r="MMQ24" s="2234"/>
      <c r="MMR24" s="2235"/>
      <c r="MMS24" s="2235"/>
      <c r="MMT24" s="2234"/>
      <c r="MMU24" s="2235"/>
      <c r="MMV24" s="2235"/>
      <c r="MMW24" s="2234"/>
      <c r="MMX24" s="2235"/>
      <c r="MMY24" s="2235"/>
      <c r="MMZ24" s="2234"/>
      <c r="MNA24" s="2235"/>
      <c r="MNB24" s="2235"/>
      <c r="MNC24" s="2234"/>
      <c r="MND24" s="2235"/>
      <c r="MNE24" s="2235"/>
      <c r="MNF24" s="2234"/>
      <c r="MNG24" s="2235"/>
      <c r="MNH24" s="2235"/>
      <c r="MNI24" s="2234"/>
      <c r="MNJ24" s="2235"/>
      <c r="MNK24" s="2235"/>
      <c r="MNL24" s="2234"/>
      <c r="MNM24" s="2235"/>
      <c r="MNN24" s="2235"/>
      <c r="MNO24" s="2234"/>
      <c r="MNP24" s="2235"/>
      <c r="MNQ24" s="2235"/>
      <c r="MNR24" s="2234"/>
      <c r="MNS24" s="2235"/>
      <c r="MNT24" s="2235"/>
      <c r="MNU24" s="2234"/>
      <c r="MNV24" s="2235"/>
      <c r="MNW24" s="2235"/>
      <c r="MNX24" s="2234"/>
      <c r="MNY24" s="2235"/>
      <c r="MNZ24" s="2235"/>
      <c r="MOA24" s="2234"/>
      <c r="MOB24" s="2235"/>
      <c r="MOC24" s="2235"/>
      <c r="MOD24" s="2234"/>
      <c r="MOE24" s="2235"/>
      <c r="MOF24" s="2235"/>
      <c r="MOG24" s="2234"/>
      <c r="MOH24" s="2235"/>
      <c r="MOI24" s="2235"/>
      <c r="MOJ24" s="2234"/>
      <c r="MOK24" s="2235"/>
      <c r="MOL24" s="2235"/>
      <c r="MOM24" s="2234"/>
      <c r="MON24" s="2235"/>
      <c r="MOO24" s="2235"/>
      <c r="MOP24" s="2234"/>
      <c r="MOQ24" s="2235"/>
      <c r="MOR24" s="2235"/>
      <c r="MOS24" s="2234"/>
      <c r="MOT24" s="2235"/>
      <c r="MOU24" s="2235"/>
      <c r="MOV24" s="2234"/>
      <c r="MOW24" s="2235"/>
      <c r="MOX24" s="2235"/>
      <c r="MOY24" s="2234"/>
      <c r="MOZ24" s="2235"/>
      <c r="MPA24" s="2235"/>
      <c r="MPB24" s="2234"/>
      <c r="MPC24" s="2235"/>
      <c r="MPD24" s="2235"/>
      <c r="MPE24" s="2234"/>
      <c r="MPF24" s="2235"/>
      <c r="MPG24" s="2235"/>
      <c r="MPH24" s="2234"/>
      <c r="MPI24" s="2235"/>
      <c r="MPJ24" s="2235"/>
      <c r="MPK24" s="2234"/>
      <c r="MPL24" s="2235"/>
      <c r="MPM24" s="2235"/>
      <c r="MPN24" s="2234"/>
      <c r="MPO24" s="2235"/>
      <c r="MPP24" s="2235"/>
      <c r="MPQ24" s="2234"/>
      <c r="MPR24" s="2235"/>
      <c r="MPS24" s="2235"/>
      <c r="MPT24" s="2234"/>
      <c r="MPU24" s="2235"/>
      <c r="MPV24" s="2235"/>
      <c r="MPW24" s="2234"/>
      <c r="MPX24" s="2235"/>
      <c r="MPY24" s="2235"/>
      <c r="MPZ24" s="2234"/>
      <c r="MQA24" s="2235"/>
      <c r="MQB24" s="2235"/>
      <c r="MQC24" s="2234"/>
      <c r="MQD24" s="2235"/>
      <c r="MQE24" s="2235"/>
      <c r="MQF24" s="2234"/>
      <c r="MQG24" s="2235"/>
      <c r="MQH24" s="2235"/>
      <c r="MQI24" s="2234"/>
      <c r="MQJ24" s="2235"/>
      <c r="MQK24" s="2235"/>
      <c r="MQL24" s="2234"/>
      <c r="MQM24" s="2235"/>
      <c r="MQN24" s="2235"/>
      <c r="MQO24" s="2234"/>
      <c r="MQP24" s="2235"/>
      <c r="MQQ24" s="2235"/>
      <c r="MQR24" s="2234"/>
      <c r="MQS24" s="2235"/>
      <c r="MQT24" s="2235"/>
      <c r="MQU24" s="2234"/>
      <c r="MQV24" s="2235"/>
      <c r="MQW24" s="2235"/>
      <c r="MQX24" s="2234"/>
      <c r="MQY24" s="2235"/>
      <c r="MQZ24" s="2235"/>
      <c r="MRA24" s="2234"/>
      <c r="MRB24" s="2235"/>
      <c r="MRC24" s="2235"/>
      <c r="MRD24" s="2234"/>
      <c r="MRE24" s="2235"/>
      <c r="MRF24" s="2235"/>
      <c r="MRG24" s="2234"/>
      <c r="MRH24" s="2235"/>
      <c r="MRI24" s="2235"/>
      <c r="MRJ24" s="2234"/>
      <c r="MRK24" s="2235"/>
      <c r="MRL24" s="2235"/>
      <c r="MRM24" s="2234"/>
      <c r="MRN24" s="2235"/>
      <c r="MRO24" s="2235"/>
      <c r="MRP24" s="2234"/>
      <c r="MRQ24" s="2235"/>
      <c r="MRR24" s="2235"/>
      <c r="MRS24" s="2234"/>
      <c r="MRT24" s="2235"/>
      <c r="MRU24" s="2235"/>
      <c r="MRV24" s="2234"/>
      <c r="MRW24" s="2235"/>
      <c r="MRX24" s="2235"/>
      <c r="MRY24" s="2234"/>
      <c r="MRZ24" s="2235"/>
      <c r="MSA24" s="2235"/>
      <c r="MSB24" s="2234"/>
      <c r="MSC24" s="2235"/>
      <c r="MSD24" s="2235"/>
      <c r="MSE24" s="2234"/>
      <c r="MSF24" s="2235"/>
      <c r="MSG24" s="2235"/>
      <c r="MSH24" s="2234"/>
      <c r="MSI24" s="2235"/>
      <c r="MSJ24" s="2235"/>
      <c r="MSK24" s="2234"/>
      <c r="MSL24" s="2235"/>
      <c r="MSM24" s="2235"/>
      <c r="MSN24" s="2234"/>
      <c r="MSO24" s="2235"/>
      <c r="MSP24" s="2235"/>
      <c r="MSQ24" s="2234"/>
      <c r="MSR24" s="2235"/>
      <c r="MSS24" s="2235"/>
      <c r="MST24" s="2234"/>
      <c r="MSU24" s="2235"/>
      <c r="MSV24" s="2235"/>
      <c r="MSW24" s="2234"/>
      <c r="MSX24" s="2235"/>
      <c r="MSY24" s="2235"/>
      <c r="MSZ24" s="2234"/>
      <c r="MTA24" s="2235"/>
      <c r="MTB24" s="2235"/>
      <c r="MTC24" s="2234"/>
      <c r="MTD24" s="2235"/>
      <c r="MTE24" s="2235"/>
      <c r="MTF24" s="2234"/>
      <c r="MTG24" s="2235"/>
      <c r="MTH24" s="2235"/>
      <c r="MTI24" s="2234"/>
      <c r="MTJ24" s="2235"/>
      <c r="MTK24" s="2235"/>
      <c r="MTL24" s="2234"/>
      <c r="MTM24" s="2235"/>
      <c r="MTN24" s="2235"/>
      <c r="MTO24" s="2234"/>
      <c r="MTP24" s="2235"/>
      <c r="MTQ24" s="2235"/>
      <c r="MTR24" s="2234"/>
      <c r="MTS24" s="2235"/>
      <c r="MTT24" s="2235"/>
      <c r="MTU24" s="2234"/>
      <c r="MTV24" s="2235"/>
      <c r="MTW24" s="2235"/>
      <c r="MTX24" s="2234"/>
      <c r="MTY24" s="2235"/>
      <c r="MTZ24" s="2235"/>
      <c r="MUA24" s="2234"/>
      <c r="MUB24" s="2235"/>
      <c r="MUC24" s="2235"/>
      <c r="MUD24" s="2234"/>
      <c r="MUE24" s="2235"/>
      <c r="MUF24" s="2235"/>
      <c r="MUG24" s="2234"/>
      <c r="MUH24" s="2235"/>
      <c r="MUI24" s="2235"/>
      <c r="MUJ24" s="2234"/>
      <c r="MUK24" s="2235"/>
      <c r="MUL24" s="2235"/>
      <c r="MUM24" s="2234"/>
      <c r="MUN24" s="2235"/>
      <c r="MUO24" s="2235"/>
      <c r="MUP24" s="2234"/>
      <c r="MUQ24" s="2235"/>
      <c r="MUR24" s="2235"/>
      <c r="MUS24" s="2234"/>
      <c r="MUT24" s="2235"/>
      <c r="MUU24" s="2235"/>
      <c r="MUV24" s="2234"/>
      <c r="MUW24" s="2235"/>
      <c r="MUX24" s="2235"/>
      <c r="MUY24" s="2234"/>
      <c r="MUZ24" s="2235"/>
      <c r="MVA24" s="2235"/>
      <c r="MVB24" s="2234"/>
      <c r="MVC24" s="2235"/>
      <c r="MVD24" s="2235"/>
      <c r="MVE24" s="2234"/>
      <c r="MVF24" s="2235"/>
      <c r="MVG24" s="2235"/>
      <c r="MVH24" s="2234"/>
      <c r="MVI24" s="2235"/>
      <c r="MVJ24" s="2235"/>
      <c r="MVK24" s="2234"/>
      <c r="MVL24" s="2235"/>
      <c r="MVM24" s="2235"/>
      <c r="MVN24" s="2234"/>
      <c r="MVO24" s="2235"/>
      <c r="MVP24" s="2235"/>
      <c r="MVQ24" s="2234"/>
      <c r="MVR24" s="2235"/>
      <c r="MVS24" s="2235"/>
      <c r="MVT24" s="2234"/>
      <c r="MVU24" s="2235"/>
      <c r="MVV24" s="2235"/>
      <c r="MVW24" s="2234"/>
      <c r="MVX24" s="2235"/>
      <c r="MVY24" s="2235"/>
      <c r="MVZ24" s="2234"/>
      <c r="MWA24" s="2235"/>
      <c r="MWB24" s="2235"/>
      <c r="MWC24" s="2234"/>
      <c r="MWD24" s="2235"/>
      <c r="MWE24" s="2235"/>
      <c r="MWF24" s="2234"/>
      <c r="MWG24" s="2235"/>
      <c r="MWH24" s="2235"/>
      <c r="MWI24" s="2234"/>
      <c r="MWJ24" s="2235"/>
      <c r="MWK24" s="2235"/>
      <c r="MWL24" s="2234"/>
      <c r="MWM24" s="2235"/>
      <c r="MWN24" s="2235"/>
      <c r="MWO24" s="2234"/>
      <c r="MWP24" s="2235"/>
      <c r="MWQ24" s="2235"/>
      <c r="MWR24" s="2234"/>
      <c r="MWS24" s="2235"/>
      <c r="MWT24" s="2235"/>
      <c r="MWU24" s="2234"/>
      <c r="MWV24" s="2235"/>
      <c r="MWW24" s="2235"/>
      <c r="MWX24" s="2234"/>
      <c r="MWY24" s="2235"/>
      <c r="MWZ24" s="2235"/>
      <c r="MXA24" s="2234"/>
      <c r="MXB24" s="2235"/>
      <c r="MXC24" s="2235"/>
      <c r="MXD24" s="2234"/>
      <c r="MXE24" s="2235"/>
      <c r="MXF24" s="2235"/>
      <c r="MXG24" s="2234"/>
      <c r="MXH24" s="2235"/>
      <c r="MXI24" s="2235"/>
      <c r="MXJ24" s="2234"/>
      <c r="MXK24" s="2235"/>
      <c r="MXL24" s="2235"/>
      <c r="MXM24" s="2234"/>
      <c r="MXN24" s="2235"/>
      <c r="MXO24" s="2235"/>
      <c r="MXP24" s="2234"/>
      <c r="MXQ24" s="2235"/>
      <c r="MXR24" s="2235"/>
      <c r="MXS24" s="2234"/>
      <c r="MXT24" s="2235"/>
      <c r="MXU24" s="2235"/>
      <c r="MXV24" s="2234"/>
      <c r="MXW24" s="2235"/>
      <c r="MXX24" s="2235"/>
      <c r="MXY24" s="2234"/>
      <c r="MXZ24" s="2235"/>
      <c r="MYA24" s="2235"/>
      <c r="MYB24" s="2234"/>
      <c r="MYC24" s="2235"/>
      <c r="MYD24" s="2235"/>
      <c r="MYE24" s="2234"/>
      <c r="MYF24" s="2235"/>
      <c r="MYG24" s="2235"/>
      <c r="MYH24" s="2234"/>
      <c r="MYI24" s="2235"/>
      <c r="MYJ24" s="2235"/>
      <c r="MYK24" s="2234"/>
      <c r="MYL24" s="2235"/>
      <c r="MYM24" s="2235"/>
      <c r="MYN24" s="2234"/>
      <c r="MYO24" s="2235"/>
      <c r="MYP24" s="2235"/>
      <c r="MYQ24" s="2234"/>
      <c r="MYR24" s="2235"/>
      <c r="MYS24" s="2235"/>
      <c r="MYT24" s="2234"/>
      <c r="MYU24" s="2235"/>
      <c r="MYV24" s="2235"/>
      <c r="MYW24" s="2234"/>
      <c r="MYX24" s="2235"/>
      <c r="MYY24" s="2235"/>
      <c r="MYZ24" s="2234"/>
      <c r="MZA24" s="2235"/>
      <c r="MZB24" s="2235"/>
      <c r="MZC24" s="2234"/>
      <c r="MZD24" s="2235"/>
      <c r="MZE24" s="2235"/>
      <c r="MZF24" s="2234"/>
      <c r="MZG24" s="2235"/>
      <c r="MZH24" s="2235"/>
      <c r="MZI24" s="2234"/>
      <c r="MZJ24" s="2235"/>
      <c r="MZK24" s="2235"/>
      <c r="MZL24" s="2234"/>
      <c r="MZM24" s="2235"/>
      <c r="MZN24" s="2235"/>
      <c r="MZO24" s="2234"/>
      <c r="MZP24" s="2235"/>
      <c r="MZQ24" s="2235"/>
      <c r="MZR24" s="2234"/>
      <c r="MZS24" s="2235"/>
      <c r="MZT24" s="2235"/>
      <c r="MZU24" s="2234"/>
      <c r="MZV24" s="2235"/>
      <c r="MZW24" s="2235"/>
      <c r="MZX24" s="2234"/>
      <c r="MZY24" s="2235"/>
      <c r="MZZ24" s="2235"/>
      <c r="NAA24" s="2234"/>
      <c r="NAB24" s="2235"/>
      <c r="NAC24" s="2235"/>
      <c r="NAD24" s="2234"/>
      <c r="NAE24" s="2235"/>
      <c r="NAF24" s="2235"/>
      <c r="NAG24" s="2234"/>
      <c r="NAH24" s="2235"/>
      <c r="NAI24" s="2235"/>
      <c r="NAJ24" s="2234"/>
      <c r="NAK24" s="2235"/>
      <c r="NAL24" s="2235"/>
      <c r="NAM24" s="2234"/>
      <c r="NAN24" s="2235"/>
      <c r="NAO24" s="2235"/>
      <c r="NAP24" s="2234"/>
      <c r="NAQ24" s="2235"/>
      <c r="NAR24" s="2235"/>
      <c r="NAS24" s="2234"/>
      <c r="NAT24" s="2235"/>
      <c r="NAU24" s="2235"/>
      <c r="NAV24" s="2234"/>
      <c r="NAW24" s="2235"/>
      <c r="NAX24" s="2235"/>
      <c r="NAY24" s="2234"/>
      <c r="NAZ24" s="2235"/>
      <c r="NBA24" s="2235"/>
      <c r="NBB24" s="2234"/>
      <c r="NBC24" s="2235"/>
      <c r="NBD24" s="2235"/>
      <c r="NBE24" s="2234"/>
      <c r="NBF24" s="2235"/>
      <c r="NBG24" s="2235"/>
      <c r="NBH24" s="2234"/>
      <c r="NBI24" s="2235"/>
      <c r="NBJ24" s="2235"/>
      <c r="NBK24" s="2234"/>
      <c r="NBL24" s="2235"/>
      <c r="NBM24" s="2235"/>
      <c r="NBN24" s="2234"/>
      <c r="NBO24" s="2235"/>
      <c r="NBP24" s="2235"/>
      <c r="NBQ24" s="2234"/>
      <c r="NBR24" s="2235"/>
      <c r="NBS24" s="2235"/>
      <c r="NBT24" s="2234"/>
      <c r="NBU24" s="2235"/>
      <c r="NBV24" s="2235"/>
      <c r="NBW24" s="2234"/>
      <c r="NBX24" s="2235"/>
      <c r="NBY24" s="2235"/>
      <c r="NBZ24" s="2234"/>
      <c r="NCA24" s="2235"/>
      <c r="NCB24" s="2235"/>
      <c r="NCC24" s="2234"/>
      <c r="NCD24" s="2235"/>
      <c r="NCE24" s="2235"/>
      <c r="NCF24" s="2234"/>
      <c r="NCG24" s="2235"/>
      <c r="NCH24" s="2235"/>
      <c r="NCI24" s="2234"/>
      <c r="NCJ24" s="2235"/>
      <c r="NCK24" s="2235"/>
      <c r="NCL24" s="2234"/>
      <c r="NCM24" s="2235"/>
      <c r="NCN24" s="2235"/>
      <c r="NCO24" s="2234"/>
      <c r="NCP24" s="2235"/>
      <c r="NCQ24" s="2235"/>
      <c r="NCR24" s="2234"/>
      <c r="NCS24" s="2235"/>
      <c r="NCT24" s="2235"/>
      <c r="NCU24" s="2234"/>
      <c r="NCV24" s="2235"/>
      <c r="NCW24" s="2235"/>
      <c r="NCX24" s="2234"/>
      <c r="NCY24" s="2235"/>
      <c r="NCZ24" s="2235"/>
      <c r="NDA24" s="2234"/>
      <c r="NDB24" s="2235"/>
      <c r="NDC24" s="2235"/>
      <c r="NDD24" s="2234"/>
      <c r="NDE24" s="2235"/>
      <c r="NDF24" s="2235"/>
      <c r="NDG24" s="2234"/>
      <c r="NDH24" s="2235"/>
      <c r="NDI24" s="2235"/>
      <c r="NDJ24" s="2234"/>
      <c r="NDK24" s="2235"/>
      <c r="NDL24" s="2235"/>
      <c r="NDM24" s="2234"/>
      <c r="NDN24" s="2235"/>
      <c r="NDO24" s="2235"/>
      <c r="NDP24" s="2234"/>
      <c r="NDQ24" s="2235"/>
      <c r="NDR24" s="2235"/>
      <c r="NDS24" s="2234"/>
      <c r="NDT24" s="2235"/>
      <c r="NDU24" s="2235"/>
      <c r="NDV24" s="2234"/>
      <c r="NDW24" s="2235"/>
      <c r="NDX24" s="2235"/>
      <c r="NDY24" s="2234"/>
      <c r="NDZ24" s="2235"/>
      <c r="NEA24" s="2235"/>
      <c r="NEB24" s="2234"/>
      <c r="NEC24" s="2235"/>
      <c r="NED24" s="2235"/>
      <c r="NEE24" s="2234"/>
      <c r="NEF24" s="2235"/>
      <c r="NEG24" s="2235"/>
      <c r="NEH24" s="2234"/>
      <c r="NEI24" s="2235"/>
      <c r="NEJ24" s="2235"/>
      <c r="NEK24" s="2234"/>
      <c r="NEL24" s="2235"/>
      <c r="NEM24" s="2235"/>
      <c r="NEN24" s="2234"/>
      <c r="NEO24" s="2235"/>
      <c r="NEP24" s="2235"/>
      <c r="NEQ24" s="2234"/>
      <c r="NER24" s="2235"/>
      <c r="NES24" s="2235"/>
      <c r="NET24" s="2234"/>
      <c r="NEU24" s="2235"/>
      <c r="NEV24" s="2235"/>
      <c r="NEW24" s="2234"/>
      <c r="NEX24" s="2235"/>
      <c r="NEY24" s="2235"/>
      <c r="NEZ24" s="2234"/>
      <c r="NFA24" s="2235"/>
      <c r="NFB24" s="2235"/>
      <c r="NFC24" s="2234"/>
      <c r="NFD24" s="2235"/>
      <c r="NFE24" s="2235"/>
      <c r="NFF24" s="2234"/>
      <c r="NFG24" s="2235"/>
      <c r="NFH24" s="2235"/>
      <c r="NFI24" s="2234"/>
      <c r="NFJ24" s="2235"/>
      <c r="NFK24" s="2235"/>
      <c r="NFL24" s="2234"/>
      <c r="NFM24" s="2235"/>
      <c r="NFN24" s="2235"/>
      <c r="NFO24" s="2234"/>
      <c r="NFP24" s="2235"/>
      <c r="NFQ24" s="2235"/>
      <c r="NFR24" s="2234"/>
      <c r="NFS24" s="2235"/>
      <c r="NFT24" s="2235"/>
      <c r="NFU24" s="2234"/>
      <c r="NFV24" s="2235"/>
      <c r="NFW24" s="2235"/>
      <c r="NFX24" s="2234"/>
      <c r="NFY24" s="2235"/>
      <c r="NFZ24" s="2235"/>
      <c r="NGA24" s="2234"/>
      <c r="NGB24" s="2235"/>
      <c r="NGC24" s="2235"/>
      <c r="NGD24" s="2234"/>
      <c r="NGE24" s="2235"/>
      <c r="NGF24" s="2235"/>
      <c r="NGG24" s="2234"/>
      <c r="NGH24" s="2235"/>
      <c r="NGI24" s="2235"/>
      <c r="NGJ24" s="2234"/>
      <c r="NGK24" s="2235"/>
      <c r="NGL24" s="2235"/>
      <c r="NGM24" s="2234"/>
      <c r="NGN24" s="2235"/>
      <c r="NGO24" s="2235"/>
      <c r="NGP24" s="2234"/>
      <c r="NGQ24" s="2235"/>
      <c r="NGR24" s="2235"/>
      <c r="NGS24" s="2234"/>
      <c r="NGT24" s="2235"/>
      <c r="NGU24" s="2235"/>
      <c r="NGV24" s="2234"/>
      <c r="NGW24" s="2235"/>
      <c r="NGX24" s="2235"/>
      <c r="NGY24" s="2234"/>
      <c r="NGZ24" s="2235"/>
      <c r="NHA24" s="2235"/>
      <c r="NHB24" s="2234"/>
      <c r="NHC24" s="2235"/>
      <c r="NHD24" s="2235"/>
      <c r="NHE24" s="2234"/>
      <c r="NHF24" s="2235"/>
      <c r="NHG24" s="2235"/>
      <c r="NHH24" s="2234"/>
      <c r="NHI24" s="2235"/>
      <c r="NHJ24" s="2235"/>
      <c r="NHK24" s="2234"/>
      <c r="NHL24" s="2235"/>
      <c r="NHM24" s="2235"/>
      <c r="NHN24" s="2234"/>
      <c r="NHO24" s="2235"/>
      <c r="NHP24" s="2235"/>
      <c r="NHQ24" s="2234"/>
      <c r="NHR24" s="2235"/>
      <c r="NHS24" s="2235"/>
      <c r="NHT24" s="2234"/>
      <c r="NHU24" s="2235"/>
      <c r="NHV24" s="2235"/>
      <c r="NHW24" s="2234"/>
      <c r="NHX24" s="2235"/>
      <c r="NHY24" s="2235"/>
      <c r="NHZ24" s="2234"/>
      <c r="NIA24" s="2235"/>
      <c r="NIB24" s="2235"/>
      <c r="NIC24" s="2234"/>
      <c r="NID24" s="2235"/>
      <c r="NIE24" s="2235"/>
      <c r="NIF24" s="2234"/>
      <c r="NIG24" s="2235"/>
      <c r="NIH24" s="2235"/>
      <c r="NII24" s="2234"/>
      <c r="NIJ24" s="2235"/>
      <c r="NIK24" s="2235"/>
      <c r="NIL24" s="2234"/>
      <c r="NIM24" s="2235"/>
      <c r="NIN24" s="2235"/>
      <c r="NIO24" s="2234"/>
      <c r="NIP24" s="2235"/>
      <c r="NIQ24" s="2235"/>
      <c r="NIR24" s="2234"/>
      <c r="NIS24" s="2235"/>
      <c r="NIT24" s="2235"/>
      <c r="NIU24" s="2234"/>
      <c r="NIV24" s="2235"/>
      <c r="NIW24" s="2235"/>
      <c r="NIX24" s="2234"/>
      <c r="NIY24" s="2235"/>
      <c r="NIZ24" s="2235"/>
      <c r="NJA24" s="2234"/>
      <c r="NJB24" s="2235"/>
      <c r="NJC24" s="2235"/>
      <c r="NJD24" s="2234"/>
      <c r="NJE24" s="2235"/>
      <c r="NJF24" s="2235"/>
      <c r="NJG24" s="2234"/>
      <c r="NJH24" s="2235"/>
      <c r="NJI24" s="2235"/>
      <c r="NJJ24" s="2234"/>
      <c r="NJK24" s="2235"/>
      <c r="NJL24" s="2235"/>
      <c r="NJM24" s="2234"/>
      <c r="NJN24" s="2235"/>
      <c r="NJO24" s="2235"/>
      <c r="NJP24" s="2234"/>
      <c r="NJQ24" s="2235"/>
      <c r="NJR24" s="2235"/>
      <c r="NJS24" s="2234"/>
      <c r="NJT24" s="2235"/>
      <c r="NJU24" s="2235"/>
      <c r="NJV24" s="2234"/>
      <c r="NJW24" s="2235"/>
      <c r="NJX24" s="2235"/>
      <c r="NJY24" s="2234"/>
      <c r="NJZ24" s="2235"/>
      <c r="NKA24" s="2235"/>
      <c r="NKB24" s="2234"/>
      <c r="NKC24" s="2235"/>
      <c r="NKD24" s="2235"/>
      <c r="NKE24" s="2234"/>
      <c r="NKF24" s="2235"/>
      <c r="NKG24" s="2235"/>
      <c r="NKH24" s="2234"/>
      <c r="NKI24" s="2235"/>
      <c r="NKJ24" s="2235"/>
      <c r="NKK24" s="2234"/>
      <c r="NKL24" s="2235"/>
      <c r="NKM24" s="2235"/>
      <c r="NKN24" s="2234"/>
      <c r="NKO24" s="2235"/>
      <c r="NKP24" s="2235"/>
      <c r="NKQ24" s="2234"/>
      <c r="NKR24" s="2235"/>
      <c r="NKS24" s="2235"/>
      <c r="NKT24" s="2234"/>
      <c r="NKU24" s="2235"/>
      <c r="NKV24" s="2235"/>
      <c r="NKW24" s="2234"/>
      <c r="NKX24" s="2235"/>
      <c r="NKY24" s="2235"/>
      <c r="NKZ24" s="2234"/>
      <c r="NLA24" s="2235"/>
      <c r="NLB24" s="2235"/>
      <c r="NLC24" s="2234"/>
      <c r="NLD24" s="2235"/>
      <c r="NLE24" s="2235"/>
      <c r="NLF24" s="2234"/>
      <c r="NLG24" s="2235"/>
      <c r="NLH24" s="2235"/>
      <c r="NLI24" s="2234"/>
      <c r="NLJ24" s="2235"/>
      <c r="NLK24" s="2235"/>
      <c r="NLL24" s="2234"/>
      <c r="NLM24" s="2235"/>
      <c r="NLN24" s="2235"/>
      <c r="NLO24" s="2234"/>
      <c r="NLP24" s="2235"/>
      <c r="NLQ24" s="2235"/>
      <c r="NLR24" s="2234"/>
      <c r="NLS24" s="2235"/>
      <c r="NLT24" s="2235"/>
      <c r="NLU24" s="2234"/>
      <c r="NLV24" s="2235"/>
      <c r="NLW24" s="2235"/>
      <c r="NLX24" s="2234"/>
      <c r="NLY24" s="2235"/>
      <c r="NLZ24" s="2235"/>
      <c r="NMA24" s="2234"/>
      <c r="NMB24" s="2235"/>
      <c r="NMC24" s="2235"/>
      <c r="NMD24" s="2234"/>
      <c r="NME24" s="2235"/>
      <c r="NMF24" s="2235"/>
      <c r="NMG24" s="2234"/>
      <c r="NMH24" s="2235"/>
      <c r="NMI24" s="2235"/>
      <c r="NMJ24" s="2234"/>
      <c r="NMK24" s="2235"/>
      <c r="NML24" s="2235"/>
      <c r="NMM24" s="2234"/>
      <c r="NMN24" s="2235"/>
      <c r="NMO24" s="2235"/>
      <c r="NMP24" s="2234"/>
      <c r="NMQ24" s="2235"/>
      <c r="NMR24" s="2235"/>
      <c r="NMS24" s="2234"/>
      <c r="NMT24" s="2235"/>
      <c r="NMU24" s="2235"/>
      <c r="NMV24" s="2234"/>
      <c r="NMW24" s="2235"/>
      <c r="NMX24" s="2235"/>
      <c r="NMY24" s="2234"/>
      <c r="NMZ24" s="2235"/>
      <c r="NNA24" s="2235"/>
      <c r="NNB24" s="2234"/>
      <c r="NNC24" s="2235"/>
      <c r="NND24" s="2235"/>
      <c r="NNE24" s="2234"/>
      <c r="NNF24" s="2235"/>
      <c r="NNG24" s="2235"/>
      <c r="NNH24" s="2234"/>
      <c r="NNI24" s="2235"/>
      <c r="NNJ24" s="2235"/>
      <c r="NNK24" s="2234"/>
      <c r="NNL24" s="2235"/>
      <c r="NNM24" s="2235"/>
      <c r="NNN24" s="2234"/>
      <c r="NNO24" s="2235"/>
      <c r="NNP24" s="2235"/>
      <c r="NNQ24" s="2234"/>
      <c r="NNR24" s="2235"/>
      <c r="NNS24" s="2235"/>
      <c r="NNT24" s="2234"/>
      <c r="NNU24" s="2235"/>
      <c r="NNV24" s="2235"/>
      <c r="NNW24" s="2234"/>
      <c r="NNX24" s="2235"/>
      <c r="NNY24" s="2235"/>
      <c r="NNZ24" s="2234"/>
      <c r="NOA24" s="2235"/>
      <c r="NOB24" s="2235"/>
      <c r="NOC24" s="2234"/>
      <c r="NOD24" s="2235"/>
      <c r="NOE24" s="2235"/>
      <c r="NOF24" s="2234"/>
      <c r="NOG24" s="2235"/>
      <c r="NOH24" s="2235"/>
      <c r="NOI24" s="2234"/>
      <c r="NOJ24" s="2235"/>
      <c r="NOK24" s="2235"/>
      <c r="NOL24" s="2234"/>
      <c r="NOM24" s="2235"/>
      <c r="NON24" s="2235"/>
      <c r="NOO24" s="2234"/>
      <c r="NOP24" s="2235"/>
      <c r="NOQ24" s="2235"/>
      <c r="NOR24" s="2234"/>
      <c r="NOS24" s="2235"/>
      <c r="NOT24" s="2235"/>
      <c r="NOU24" s="2234"/>
      <c r="NOV24" s="2235"/>
      <c r="NOW24" s="2235"/>
      <c r="NOX24" s="2234"/>
      <c r="NOY24" s="2235"/>
      <c r="NOZ24" s="2235"/>
      <c r="NPA24" s="2234"/>
      <c r="NPB24" s="2235"/>
      <c r="NPC24" s="2235"/>
      <c r="NPD24" s="2234"/>
      <c r="NPE24" s="2235"/>
      <c r="NPF24" s="2235"/>
      <c r="NPG24" s="2234"/>
      <c r="NPH24" s="2235"/>
      <c r="NPI24" s="2235"/>
      <c r="NPJ24" s="2234"/>
      <c r="NPK24" s="2235"/>
      <c r="NPL24" s="2235"/>
      <c r="NPM24" s="2234"/>
      <c r="NPN24" s="2235"/>
      <c r="NPO24" s="2235"/>
      <c r="NPP24" s="2234"/>
      <c r="NPQ24" s="2235"/>
      <c r="NPR24" s="2235"/>
      <c r="NPS24" s="2234"/>
      <c r="NPT24" s="2235"/>
      <c r="NPU24" s="2235"/>
      <c r="NPV24" s="2234"/>
      <c r="NPW24" s="2235"/>
      <c r="NPX24" s="2235"/>
      <c r="NPY24" s="2234"/>
      <c r="NPZ24" s="2235"/>
      <c r="NQA24" s="2235"/>
      <c r="NQB24" s="2234"/>
      <c r="NQC24" s="2235"/>
      <c r="NQD24" s="2235"/>
      <c r="NQE24" s="2234"/>
      <c r="NQF24" s="2235"/>
      <c r="NQG24" s="2235"/>
      <c r="NQH24" s="2234"/>
      <c r="NQI24" s="2235"/>
      <c r="NQJ24" s="2235"/>
      <c r="NQK24" s="2234"/>
      <c r="NQL24" s="2235"/>
      <c r="NQM24" s="2235"/>
      <c r="NQN24" s="2234"/>
      <c r="NQO24" s="2235"/>
      <c r="NQP24" s="2235"/>
      <c r="NQQ24" s="2234"/>
      <c r="NQR24" s="2235"/>
      <c r="NQS24" s="2235"/>
      <c r="NQT24" s="2234"/>
      <c r="NQU24" s="2235"/>
      <c r="NQV24" s="2235"/>
      <c r="NQW24" s="2234"/>
      <c r="NQX24" s="2235"/>
      <c r="NQY24" s="2235"/>
      <c r="NQZ24" s="2234"/>
      <c r="NRA24" s="2235"/>
      <c r="NRB24" s="2235"/>
      <c r="NRC24" s="2234"/>
      <c r="NRD24" s="2235"/>
      <c r="NRE24" s="2235"/>
      <c r="NRF24" s="2234"/>
      <c r="NRG24" s="2235"/>
      <c r="NRH24" s="2235"/>
      <c r="NRI24" s="2234"/>
      <c r="NRJ24" s="2235"/>
      <c r="NRK24" s="2235"/>
      <c r="NRL24" s="2234"/>
      <c r="NRM24" s="2235"/>
      <c r="NRN24" s="2235"/>
      <c r="NRO24" s="2234"/>
      <c r="NRP24" s="2235"/>
      <c r="NRQ24" s="2235"/>
      <c r="NRR24" s="2234"/>
      <c r="NRS24" s="2235"/>
      <c r="NRT24" s="2235"/>
      <c r="NRU24" s="2234"/>
      <c r="NRV24" s="2235"/>
      <c r="NRW24" s="2235"/>
      <c r="NRX24" s="2234"/>
      <c r="NRY24" s="2235"/>
      <c r="NRZ24" s="2235"/>
      <c r="NSA24" s="2234"/>
      <c r="NSB24" s="2235"/>
      <c r="NSC24" s="2235"/>
      <c r="NSD24" s="2234"/>
      <c r="NSE24" s="2235"/>
      <c r="NSF24" s="2235"/>
      <c r="NSG24" s="2234"/>
      <c r="NSH24" s="2235"/>
      <c r="NSI24" s="2235"/>
      <c r="NSJ24" s="2234"/>
      <c r="NSK24" s="2235"/>
      <c r="NSL24" s="2235"/>
      <c r="NSM24" s="2234"/>
      <c r="NSN24" s="2235"/>
      <c r="NSO24" s="2235"/>
      <c r="NSP24" s="2234"/>
      <c r="NSQ24" s="2235"/>
      <c r="NSR24" s="2235"/>
      <c r="NSS24" s="2234"/>
      <c r="NST24" s="2235"/>
      <c r="NSU24" s="2235"/>
      <c r="NSV24" s="2234"/>
      <c r="NSW24" s="2235"/>
      <c r="NSX24" s="2235"/>
      <c r="NSY24" s="2234"/>
      <c r="NSZ24" s="2235"/>
      <c r="NTA24" s="2235"/>
      <c r="NTB24" s="2234"/>
      <c r="NTC24" s="2235"/>
      <c r="NTD24" s="2235"/>
      <c r="NTE24" s="2234"/>
      <c r="NTF24" s="2235"/>
      <c r="NTG24" s="2235"/>
      <c r="NTH24" s="2234"/>
      <c r="NTI24" s="2235"/>
      <c r="NTJ24" s="2235"/>
      <c r="NTK24" s="2234"/>
      <c r="NTL24" s="2235"/>
      <c r="NTM24" s="2235"/>
      <c r="NTN24" s="2234"/>
      <c r="NTO24" s="2235"/>
      <c r="NTP24" s="2235"/>
      <c r="NTQ24" s="2234"/>
      <c r="NTR24" s="2235"/>
      <c r="NTS24" s="2235"/>
      <c r="NTT24" s="2234"/>
      <c r="NTU24" s="2235"/>
      <c r="NTV24" s="2235"/>
      <c r="NTW24" s="2234"/>
      <c r="NTX24" s="2235"/>
      <c r="NTY24" s="2235"/>
      <c r="NTZ24" s="2234"/>
      <c r="NUA24" s="2235"/>
      <c r="NUB24" s="2235"/>
      <c r="NUC24" s="2234"/>
      <c r="NUD24" s="2235"/>
      <c r="NUE24" s="2235"/>
      <c r="NUF24" s="2234"/>
      <c r="NUG24" s="2235"/>
      <c r="NUH24" s="2235"/>
      <c r="NUI24" s="2234"/>
      <c r="NUJ24" s="2235"/>
      <c r="NUK24" s="2235"/>
      <c r="NUL24" s="2234"/>
      <c r="NUM24" s="2235"/>
      <c r="NUN24" s="2235"/>
      <c r="NUO24" s="2234"/>
      <c r="NUP24" s="2235"/>
      <c r="NUQ24" s="2235"/>
      <c r="NUR24" s="2234"/>
      <c r="NUS24" s="2235"/>
      <c r="NUT24" s="2235"/>
      <c r="NUU24" s="2234"/>
      <c r="NUV24" s="2235"/>
      <c r="NUW24" s="2235"/>
      <c r="NUX24" s="2234"/>
      <c r="NUY24" s="2235"/>
      <c r="NUZ24" s="2235"/>
      <c r="NVA24" s="2234"/>
      <c r="NVB24" s="2235"/>
      <c r="NVC24" s="2235"/>
      <c r="NVD24" s="2234"/>
      <c r="NVE24" s="2235"/>
      <c r="NVF24" s="2235"/>
      <c r="NVG24" s="2234"/>
      <c r="NVH24" s="2235"/>
      <c r="NVI24" s="2235"/>
      <c r="NVJ24" s="2234"/>
      <c r="NVK24" s="2235"/>
      <c r="NVL24" s="2235"/>
      <c r="NVM24" s="2234"/>
      <c r="NVN24" s="2235"/>
      <c r="NVO24" s="2235"/>
      <c r="NVP24" s="2234"/>
      <c r="NVQ24" s="2235"/>
      <c r="NVR24" s="2235"/>
      <c r="NVS24" s="2234"/>
      <c r="NVT24" s="2235"/>
      <c r="NVU24" s="2235"/>
      <c r="NVV24" s="2234"/>
      <c r="NVW24" s="2235"/>
      <c r="NVX24" s="2235"/>
      <c r="NVY24" s="2234"/>
      <c r="NVZ24" s="2235"/>
      <c r="NWA24" s="2235"/>
      <c r="NWB24" s="2234"/>
      <c r="NWC24" s="2235"/>
      <c r="NWD24" s="2235"/>
      <c r="NWE24" s="2234"/>
      <c r="NWF24" s="2235"/>
      <c r="NWG24" s="2235"/>
      <c r="NWH24" s="2234"/>
      <c r="NWI24" s="2235"/>
      <c r="NWJ24" s="2235"/>
      <c r="NWK24" s="2234"/>
      <c r="NWL24" s="2235"/>
      <c r="NWM24" s="2235"/>
      <c r="NWN24" s="2234"/>
      <c r="NWO24" s="2235"/>
      <c r="NWP24" s="2235"/>
      <c r="NWQ24" s="2234"/>
      <c r="NWR24" s="2235"/>
      <c r="NWS24" s="2235"/>
      <c r="NWT24" s="2234"/>
      <c r="NWU24" s="2235"/>
      <c r="NWV24" s="2235"/>
      <c r="NWW24" s="2234"/>
      <c r="NWX24" s="2235"/>
      <c r="NWY24" s="2235"/>
      <c r="NWZ24" s="2234"/>
      <c r="NXA24" s="2235"/>
      <c r="NXB24" s="2235"/>
      <c r="NXC24" s="2234"/>
      <c r="NXD24" s="2235"/>
      <c r="NXE24" s="2235"/>
      <c r="NXF24" s="2234"/>
      <c r="NXG24" s="2235"/>
      <c r="NXH24" s="2235"/>
      <c r="NXI24" s="2234"/>
      <c r="NXJ24" s="2235"/>
      <c r="NXK24" s="2235"/>
      <c r="NXL24" s="2234"/>
      <c r="NXM24" s="2235"/>
      <c r="NXN24" s="2235"/>
      <c r="NXO24" s="2234"/>
      <c r="NXP24" s="2235"/>
      <c r="NXQ24" s="2235"/>
      <c r="NXR24" s="2234"/>
      <c r="NXS24" s="2235"/>
      <c r="NXT24" s="2235"/>
      <c r="NXU24" s="2234"/>
      <c r="NXV24" s="2235"/>
      <c r="NXW24" s="2235"/>
      <c r="NXX24" s="2234"/>
      <c r="NXY24" s="2235"/>
      <c r="NXZ24" s="2235"/>
      <c r="NYA24" s="2234"/>
      <c r="NYB24" s="2235"/>
      <c r="NYC24" s="2235"/>
      <c r="NYD24" s="2234"/>
      <c r="NYE24" s="2235"/>
      <c r="NYF24" s="2235"/>
      <c r="NYG24" s="2234"/>
      <c r="NYH24" s="2235"/>
      <c r="NYI24" s="2235"/>
      <c r="NYJ24" s="2234"/>
      <c r="NYK24" s="2235"/>
      <c r="NYL24" s="2235"/>
      <c r="NYM24" s="2234"/>
      <c r="NYN24" s="2235"/>
      <c r="NYO24" s="2235"/>
      <c r="NYP24" s="2234"/>
      <c r="NYQ24" s="2235"/>
      <c r="NYR24" s="2235"/>
      <c r="NYS24" s="2234"/>
      <c r="NYT24" s="2235"/>
      <c r="NYU24" s="2235"/>
      <c r="NYV24" s="2234"/>
      <c r="NYW24" s="2235"/>
      <c r="NYX24" s="2235"/>
      <c r="NYY24" s="2234"/>
      <c r="NYZ24" s="2235"/>
      <c r="NZA24" s="2235"/>
      <c r="NZB24" s="2234"/>
      <c r="NZC24" s="2235"/>
      <c r="NZD24" s="2235"/>
      <c r="NZE24" s="2234"/>
      <c r="NZF24" s="2235"/>
      <c r="NZG24" s="2235"/>
      <c r="NZH24" s="2234"/>
      <c r="NZI24" s="2235"/>
      <c r="NZJ24" s="2235"/>
      <c r="NZK24" s="2234"/>
      <c r="NZL24" s="2235"/>
      <c r="NZM24" s="2235"/>
      <c r="NZN24" s="2234"/>
      <c r="NZO24" s="2235"/>
      <c r="NZP24" s="2235"/>
      <c r="NZQ24" s="2234"/>
      <c r="NZR24" s="2235"/>
      <c r="NZS24" s="2235"/>
      <c r="NZT24" s="2234"/>
      <c r="NZU24" s="2235"/>
      <c r="NZV24" s="2235"/>
      <c r="NZW24" s="2234"/>
      <c r="NZX24" s="2235"/>
      <c r="NZY24" s="2235"/>
      <c r="NZZ24" s="2234"/>
      <c r="OAA24" s="2235"/>
      <c r="OAB24" s="2235"/>
      <c r="OAC24" s="2234"/>
      <c r="OAD24" s="2235"/>
      <c r="OAE24" s="2235"/>
      <c r="OAF24" s="2234"/>
      <c r="OAG24" s="2235"/>
      <c r="OAH24" s="2235"/>
      <c r="OAI24" s="2234"/>
      <c r="OAJ24" s="2235"/>
      <c r="OAK24" s="2235"/>
      <c r="OAL24" s="2234"/>
      <c r="OAM24" s="2235"/>
      <c r="OAN24" s="2235"/>
      <c r="OAO24" s="2234"/>
      <c r="OAP24" s="2235"/>
      <c r="OAQ24" s="2235"/>
      <c r="OAR24" s="2234"/>
      <c r="OAS24" s="2235"/>
      <c r="OAT24" s="2235"/>
      <c r="OAU24" s="2234"/>
      <c r="OAV24" s="2235"/>
      <c r="OAW24" s="2235"/>
      <c r="OAX24" s="2234"/>
      <c r="OAY24" s="2235"/>
      <c r="OAZ24" s="2235"/>
      <c r="OBA24" s="2234"/>
      <c r="OBB24" s="2235"/>
      <c r="OBC24" s="2235"/>
      <c r="OBD24" s="2234"/>
      <c r="OBE24" s="2235"/>
      <c r="OBF24" s="2235"/>
      <c r="OBG24" s="2234"/>
      <c r="OBH24" s="2235"/>
      <c r="OBI24" s="2235"/>
      <c r="OBJ24" s="2234"/>
      <c r="OBK24" s="2235"/>
      <c r="OBL24" s="2235"/>
      <c r="OBM24" s="2234"/>
      <c r="OBN24" s="2235"/>
      <c r="OBO24" s="2235"/>
      <c r="OBP24" s="2234"/>
      <c r="OBQ24" s="2235"/>
      <c r="OBR24" s="2235"/>
      <c r="OBS24" s="2234"/>
      <c r="OBT24" s="2235"/>
      <c r="OBU24" s="2235"/>
      <c r="OBV24" s="2234"/>
      <c r="OBW24" s="2235"/>
      <c r="OBX24" s="2235"/>
      <c r="OBY24" s="2234"/>
      <c r="OBZ24" s="2235"/>
      <c r="OCA24" s="2235"/>
      <c r="OCB24" s="2234"/>
      <c r="OCC24" s="2235"/>
      <c r="OCD24" s="2235"/>
      <c r="OCE24" s="2234"/>
      <c r="OCF24" s="2235"/>
      <c r="OCG24" s="2235"/>
      <c r="OCH24" s="2234"/>
      <c r="OCI24" s="2235"/>
      <c r="OCJ24" s="2235"/>
      <c r="OCK24" s="2234"/>
      <c r="OCL24" s="2235"/>
      <c r="OCM24" s="2235"/>
      <c r="OCN24" s="2234"/>
      <c r="OCO24" s="2235"/>
      <c r="OCP24" s="2235"/>
      <c r="OCQ24" s="2234"/>
      <c r="OCR24" s="2235"/>
      <c r="OCS24" s="2235"/>
      <c r="OCT24" s="2234"/>
      <c r="OCU24" s="2235"/>
      <c r="OCV24" s="2235"/>
      <c r="OCW24" s="2234"/>
      <c r="OCX24" s="2235"/>
      <c r="OCY24" s="2235"/>
      <c r="OCZ24" s="2234"/>
      <c r="ODA24" s="2235"/>
      <c r="ODB24" s="2235"/>
      <c r="ODC24" s="2234"/>
      <c r="ODD24" s="2235"/>
      <c r="ODE24" s="2235"/>
      <c r="ODF24" s="2234"/>
      <c r="ODG24" s="2235"/>
      <c r="ODH24" s="2235"/>
      <c r="ODI24" s="2234"/>
      <c r="ODJ24" s="2235"/>
      <c r="ODK24" s="2235"/>
      <c r="ODL24" s="2234"/>
      <c r="ODM24" s="2235"/>
      <c r="ODN24" s="2235"/>
      <c r="ODO24" s="2234"/>
      <c r="ODP24" s="2235"/>
      <c r="ODQ24" s="2235"/>
      <c r="ODR24" s="2234"/>
      <c r="ODS24" s="2235"/>
      <c r="ODT24" s="2235"/>
      <c r="ODU24" s="2234"/>
      <c r="ODV24" s="2235"/>
      <c r="ODW24" s="2235"/>
      <c r="ODX24" s="2234"/>
      <c r="ODY24" s="2235"/>
      <c r="ODZ24" s="2235"/>
      <c r="OEA24" s="2234"/>
      <c r="OEB24" s="2235"/>
      <c r="OEC24" s="2235"/>
      <c r="OED24" s="2234"/>
      <c r="OEE24" s="2235"/>
      <c r="OEF24" s="2235"/>
      <c r="OEG24" s="2234"/>
      <c r="OEH24" s="2235"/>
      <c r="OEI24" s="2235"/>
      <c r="OEJ24" s="2234"/>
      <c r="OEK24" s="2235"/>
      <c r="OEL24" s="2235"/>
      <c r="OEM24" s="2234"/>
      <c r="OEN24" s="2235"/>
      <c r="OEO24" s="2235"/>
      <c r="OEP24" s="2234"/>
      <c r="OEQ24" s="2235"/>
      <c r="OER24" s="2235"/>
      <c r="OES24" s="2234"/>
      <c r="OET24" s="2235"/>
      <c r="OEU24" s="2235"/>
      <c r="OEV24" s="2234"/>
      <c r="OEW24" s="2235"/>
      <c r="OEX24" s="2235"/>
      <c r="OEY24" s="2234"/>
      <c r="OEZ24" s="2235"/>
      <c r="OFA24" s="2235"/>
      <c r="OFB24" s="2234"/>
      <c r="OFC24" s="2235"/>
      <c r="OFD24" s="2235"/>
      <c r="OFE24" s="2234"/>
      <c r="OFF24" s="2235"/>
      <c r="OFG24" s="2235"/>
      <c r="OFH24" s="2234"/>
      <c r="OFI24" s="2235"/>
      <c r="OFJ24" s="2235"/>
      <c r="OFK24" s="2234"/>
      <c r="OFL24" s="2235"/>
      <c r="OFM24" s="2235"/>
      <c r="OFN24" s="2234"/>
      <c r="OFO24" s="2235"/>
      <c r="OFP24" s="2235"/>
      <c r="OFQ24" s="2234"/>
      <c r="OFR24" s="2235"/>
      <c r="OFS24" s="2235"/>
      <c r="OFT24" s="2234"/>
      <c r="OFU24" s="2235"/>
      <c r="OFV24" s="2235"/>
      <c r="OFW24" s="2234"/>
      <c r="OFX24" s="2235"/>
      <c r="OFY24" s="2235"/>
      <c r="OFZ24" s="2234"/>
      <c r="OGA24" s="2235"/>
      <c r="OGB24" s="2235"/>
      <c r="OGC24" s="2234"/>
      <c r="OGD24" s="2235"/>
      <c r="OGE24" s="2235"/>
      <c r="OGF24" s="2234"/>
      <c r="OGG24" s="2235"/>
      <c r="OGH24" s="2235"/>
      <c r="OGI24" s="2234"/>
      <c r="OGJ24" s="2235"/>
      <c r="OGK24" s="2235"/>
      <c r="OGL24" s="2234"/>
      <c r="OGM24" s="2235"/>
      <c r="OGN24" s="2235"/>
      <c r="OGO24" s="2234"/>
      <c r="OGP24" s="2235"/>
      <c r="OGQ24" s="2235"/>
      <c r="OGR24" s="2234"/>
      <c r="OGS24" s="2235"/>
      <c r="OGT24" s="2235"/>
      <c r="OGU24" s="2234"/>
      <c r="OGV24" s="2235"/>
      <c r="OGW24" s="2235"/>
      <c r="OGX24" s="2234"/>
      <c r="OGY24" s="2235"/>
      <c r="OGZ24" s="2235"/>
      <c r="OHA24" s="2234"/>
      <c r="OHB24" s="2235"/>
      <c r="OHC24" s="2235"/>
      <c r="OHD24" s="2234"/>
      <c r="OHE24" s="2235"/>
      <c r="OHF24" s="2235"/>
      <c r="OHG24" s="2234"/>
      <c r="OHH24" s="2235"/>
      <c r="OHI24" s="2235"/>
      <c r="OHJ24" s="2234"/>
      <c r="OHK24" s="2235"/>
      <c r="OHL24" s="2235"/>
      <c r="OHM24" s="2234"/>
      <c r="OHN24" s="2235"/>
      <c r="OHO24" s="2235"/>
      <c r="OHP24" s="2234"/>
      <c r="OHQ24" s="2235"/>
      <c r="OHR24" s="2235"/>
      <c r="OHS24" s="2234"/>
      <c r="OHT24" s="2235"/>
      <c r="OHU24" s="2235"/>
      <c r="OHV24" s="2234"/>
      <c r="OHW24" s="2235"/>
      <c r="OHX24" s="2235"/>
      <c r="OHY24" s="2234"/>
      <c r="OHZ24" s="2235"/>
      <c r="OIA24" s="2235"/>
      <c r="OIB24" s="2234"/>
      <c r="OIC24" s="2235"/>
      <c r="OID24" s="2235"/>
      <c r="OIE24" s="2234"/>
      <c r="OIF24" s="2235"/>
      <c r="OIG24" s="2235"/>
      <c r="OIH24" s="2234"/>
      <c r="OII24" s="2235"/>
      <c r="OIJ24" s="2235"/>
      <c r="OIK24" s="2234"/>
      <c r="OIL24" s="2235"/>
      <c r="OIM24" s="2235"/>
      <c r="OIN24" s="2234"/>
      <c r="OIO24" s="2235"/>
      <c r="OIP24" s="2235"/>
      <c r="OIQ24" s="2234"/>
      <c r="OIR24" s="2235"/>
      <c r="OIS24" s="2235"/>
      <c r="OIT24" s="2234"/>
      <c r="OIU24" s="2235"/>
      <c r="OIV24" s="2235"/>
      <c r="OIW24" s="2234"/>
      <c r="OIX24" s="2235"/>
      <c r="OIY24" s="2235"/>
      <c r="OIZ24" s="2234"/>
      <c r="OJA24" s="2235"/>
      <c r="OJB24" s="2235"/>
      <c r="OJC24" s="2234"/>
      <c r="OJD24" s="2235"/>
      <c r="OJE24" s="2235"/>
      <c r="OJF24" s="2234"/>
      <c r="OJG24" s="2235"/>
      <c r="OJH24" s="2235"/>
      <c r="OJI24" s="2234"/>
      <c r="OJJ24" s="2235"/>
      <c r="OJK24" s="2235"/>
      <c r="OJL24" s="2234"/>
      <c r="OJM24" s="2235"/>
      <c r="OJN24" s="2235"/>
      <c r="OJO24" s="2234"/>
      <c r="OJP24" s="2235"/>
      <c r="OJQ24" s="2235"/>
      <c r="OJR24" s="2234"/>
      <c r="OJS24" s="2235"/>
      <c r="OJT24" s="2235"/>
      <c r="OJU24" s="2234"/>
      <c r="OJV24" s="2235"/>
      <c r="OJW24" s="2235"/>
      <c r="OJX24" s="2234"/>
      <c r="OJY24" s="2235"/>
      <c r="OJZ24" s="2235"/>
      <c r="OKA24" s="2234"/>
      <c r="OKB24" s="2235"/>
      <c r="OKC24" s="2235"/>
      <c r="OKD24" s="2234"/>
      <c r="OKE24" s="2235"/>
      <c r="OKF24" s="2235"/>
      <c r="OKG24" s="2234"/>
      <c r="OKH24" s="2235"/>
      <c r="OKI24" s="2235"/>
      <c r="OKJ24" s="2234"/>
      <c r="OKK24" s="2235"/>
      <c r="OKL24" s="2235"/>
      <c r="OKM24" s="2234"/>
      <c r="OKN24" s="2235"/>
      <c r="OKO24" s="2235"/>
      <c r="OKP24" s="2234"/>
      <c r="OKQ24" s="2235"/>
      <c r="OKR24" s="2235"/>
      <c r="OKS24" s="2234"/>
      <c r="OKT24" s="2235"/>
      <c r="OKU24" s="2235"/>
      <c r="OKV24" s="2234"/>
      <c r="OKW24" s="2235"/>
      <c r="OKX24" s="2235"/>
      <c r="OKY24" s="2234"/>
      <c r="OKZ24" s="2235"/>
      <c r="OLA24" s="2235"/>
      <c r="OLB24" s="2234"/>
      <c r="OLC24" s="2235"/>
      <c r="OLD24" s="2235"/>
      <c r="OLE24" s="2234"/>
      <c r="OLF24" s="2235"/>
      <c r="OLG24" s="2235"/>
      <c r="OLH24" s="2234"/>
      <c r="OLI24" s="2235"/>
      <c r="OLJ24" s="2235"/>
      <c r="OLK24" s="2234"/>
      <c r="OLL24" s="2235"/>
      <c r="OLM24" s="2235"/>
      <c r="OLN24" s="2234"/>
      <c r="OLO24" s="2235"/>
      <c r="OLP24" s="2235"/>
      <c r="OLQ24" s="2234"/>
      <c r="OLR24" s="2235"/>
      <c r="OLS24" s="2235"/>
      <c r="OLT24" s="2234"/>
      <c r="OLU24" s="2235"/>
      <c r="OLV24" s="2235"/>
      <c r="OLW24" s="2234"/>
      <c r="OLX24" s="2235"/>
      <c r="OLY24" s="2235"/>
      <c r="OLZ24" s="2234"/>
      <c r="OMA24" s="2235"/>
      <c r="OMB24" s="2235"/>
      <c r="OMC24" s="2234"/>
      <c r="OMD24" s="2235"/>
      <c r="OME24" s="2235"/>
      <c r="OMF24" s="2234"/>
      <c r="OMG24" s="2235"/>
      <c r="OMH24" s="2235"/>
      <c r="OMI24" s="2234"/>
      <c r="OMJ24" s="2235"/>
      <c r="OMK24" s="2235"/>
      <c r="OML24" s="2234"/>
      <c r="OMM24" s="2235"/>
      <c r="OMN24" s="2235"/>
      <c r="OMO24" s="2234"/>
      <c r="OMP24" s="2235"/>
      <c r="OMQ24" s="2235"/>
      <c r="OMR24" s="2234"/>
      <c r="OMS24" s="2235"/>
      <c r="OMT24" s="2235"/>
      <c r="OMU24" s="2234"/>
      <c r="OMV24" s="2235"/>
      <c r="OMW24" s="2235"/>
      <c r="OMX24" s="2234"/>
      <c r="OMY24" s="2235"/>
      <c r="OMZ24" s="2235"/>
      <c r="ONA24" s="2234"/>
      <c r="ONB24" s="2235"/>
      <c r="ONC24" s="2235"/>
      <c r="OND24" s="2234"/>
      <c r="ONE24" s="2235"/>
      <c r="ONF24" s="2235"/>
      <c r="ONG24" s="2234"/>
      <c r="ONH24" s="2235"/>
      <c r="ONI24" s="2235"/>
      <c r="ONJ24" s="2234"/>
      <c r="ONK24" s="2235"/>
      <c r="ONL24" s="2235"/>
      <c r="ONM24" s="2234"/>
      <c r="ONN24" s="2235"/>
      <c r="ONO24" s="2235"/>
      <c r="ONP24" s="2234"/>
      <c r="ONQ24" s="2235"/>
      <c r="ONR24" s="2235"/>
      <c r="ONS24" s="2234"/>
      <c r="ONT24" s="2235"/>
      <c r="ONU24" s="2235"/>
      <c r="ONV24" s="2234"/>
      <c r="ONW24" s="2235"/>
      <c r="ONX24" s="2235"/>
      <c r="ONY24" s="2234"/>
      <c r="ONZ24" s="2235"/>
      <c r="OOA24" s="2235"/>
      <c r="OOB24" s="2234"/>
      <c r="OOC24" s="2235"/>
      <c r="OOD24" s="2235"/>
      <c r="OOE24" s="2234"/>
      <c r="OOF24" s="2235"/>
      <c r="OOG24" s="2235"/>
      <c r="OOH24" s="2234"/>
      <c r="OOI24" s="2235"/>
      <c r="OOJ24" s="2235"/>
      <c r="OOK24" s="2234"/>
      <c r="OOL24" s="2235"/>
      <c r="OOM24" s="2235"/>
      <c r="OON24" s="2234"/>
      <c r="OOO24" s="2235"/>
      <c r="OOP24" s="2235"/>
      <c r="OOQ24" s="2234"/>
      <c r="OOR24" s="2235"/>
      <c r="OOS24" s="2235"/>
      <c r="OOT24" s="2234"/>
      <c r="OOU24" s="2235"/>
      <c r="OOV24" s="2235"/>
      <c r="OOW24" s="2234"/>
      <c r="OOX24" s="2235"/>
      <c r="OOY24" s="2235"/>
      <c r="OOZ24" s="2234"/>
      <c r="OPA24" s="2235"/>
      <c r="OPB24" s="2235"/>
      <c r="OPC24" s="2234"/>
      <c r="OPD24" s="2235"/>
      <c r="OPE24" s="2235"/>
      <c r="OPF24" s="2234"/>
      <c r="OPG24" s="2235"/>
      <c r="OPH24" s="2235"/>
      <c r="OPI24" s="2234"/>
      <c r="OPJ24" s="2235"/>
      <c r="OPK24" s="2235"/>
      <c r="OPL24" s="2234"/>
      <c r="OPM24" s="2235"/>
      <c r="OPN24" s="2235"/>
      <c r="OPO24" s="2234"/>
      <c r="OPP24" s="2235"/>
      <c r="OPQ24" s="2235"/>
      <c r="OPR24" s="2234"/>
      <c r="OPS24" s="2235"/>
      <c r="OPT24" s="2235"/>
      <c r="OPU24" s="2234"/>
      <c r="OPV24" s="2235"/>
      <c r="OPW24" s="2235"/>
      <c r="OPX24" s="2234"/>
      <c r="OPY24" s="2235"/>
      <c r="OPZ24" s="2235"/>
      <c r="OQA24" s="2234"/>
      <c r="OQB24" s="2235"/>
      <c r="OQC24" s="2235"/>
      <c r="OQD24" s="2234"/>
      <c r="OQE24" s="2235"/>
      <c r="OQF24" s="2235"/>
      <c r="OQG24" s="2234"/>
      <c r="OQH24" s="2235"/>
      <c r="OQI24" s="2235"/>
      <c r="OQJ24" s="2234"/>
      <c r="OQK24" s="2235"/>
      <c r="OQL24" s="2235"/>
      <c r="OQM24" s="2234"/>
      <c r="OQN24" s="2235"/>
      <c r="OQO24" s="2235"/>
      <c r="OQP24" s="2234"/>
      <c r="OQQ24" s="2235"/>
      <c r="OQR24" s="2235"/>
      <c r="OQS24" s="2234"/>
      <c r="OQT24" s="2235"/>
      <c r="OQU24" s="2235"/>
      <c r="OQV24" s="2234"/>
      <c r="OQW24" s="2235"/>
      <c r="OQX24" s="2235"/>
      <c r="OQY24" s="2234"/>
      <c r="OQZ24" s="2235"/>
      <c r="ORA24" s="2235"/>
      <c r="ORB24" s="2234"/>
      <c r="ORC24" s="2235"/>
      <c r="ORD24" s="2235"/>
      <c r="ORE24" s="2234"/>
      <c r="ORF24" s="2235"/>
      <c r="ORG24" s="2235"/>
      <c r="ORH24" s="2234"/>
      <c r="ORI24" s="2235"/>
      <c r="ORJ24" s="2235"/>
      <c r="ORK24" s="2234"/>
      <c r="ORL24" s="2235"/>
      <c r="ORM24" s="2235"/>
      <c r="ORN24" s="2234"/>
      <c r="ORO24" s="2235"/>
      <c r="ORP24" s="2235"/>
      <c r="ORQ24" s="2234"/>
      <c r="ORR24" s="2235"/>
      <c r="ORS24" s="2235"/>
      <c r="ORT24" s="2234"/>
      <c r="ORU24" s="2235"/>
      <c r="ORV24" s="2235"/>
      <c r="ORW24" s="2234"/>
      <c r="ORX24" s="2235"/>
      <c r="ORY24" s="2235"/>
      <c r="ORZ24" s="2234"/>
      <c r="OSA24" s="2235"/>
      <c r="OSB24" s="2235"/>
      <c r="OSC24" s="2234"/>
      <c r="OSD24" s="2235"/>
      <c r="OSE24" s="2235"/>
      <c r="OSF24" s="2234"/>
      <c r="OSG24" s="2235"/>
      <c r="OSH24" s="2235"/>
      <c r="OSI24" s="2234"/>
      <c r="OSJ24" s="2235"/>
      <c r="OSK24" s="2235"/>
      <c r="OSL24" s="2234"/>
      <c r="OSM24" s="2235"/>
      <c r="OSN24" s="2235"/>
      <c r="OSO24" s="2234"/>
      <c r="OSP24" s="2235"/>
      <c r="OSQ24" s="2235"/>
      <c r="OSR24" s="2234"/>
      <c r="OSS24" s="2235"/>
      <c r="OST24" s="2235"/>
      <c r="OSU24" s="2234"/>
      <c r="OSV24" s="2235"/>
      <c r="OSW24" s="2235"/>
      <c r="OSX24" s="2234"/>
      <c r="OSY24" s="2235"/>
      <c r="OSZ24" s="2235"/>
      <c r="OTA24" s="2234"/>
      <c r="OTB24" s="2235"/>
      <c r="OTC24" s="2235"/>
      <c r="OTD24" s="2234"/>
      <c r="OTE24" s="2235"/>
      <c r="OTF24" s="2235"/>
      <c r="OTG24" s="2234"/>
      <c r="OTH24" s="2235"/>
      <c r="OTI24" s="2235"/>
      <c r="OTJ24" s="2234"/>
      <c r="OTK24" s="2235"/>
      <c r="OTL24" s="2235"/>
      <c r="OTM24" s="2234"/>
      <c r="OTN24" s="2235"/>
      <c r="OTO24" s="2235"/>
      <c r="OTP24" s="2234"/>
      <c r="OTQ24" s="2235"/>
      <c r="OTR24" s="2235"/>
      <c r="OTS24" s="2234"/>
      <c r="OTT24" s="2235"/>
      <c r="OTU24" s="2235"/>
      <c r="OTV24" s="2234"/>
      <c r="OTW24" s="2235"/>
      <c r="OTX24" s="2235"/>
      <c r="OTY24" s="2234"/>
      <c r="OTZ24" s="2235"/>
      <c r="OUA24" s="2235"/>
      <c r="OUB24" s="2234"/>
      <c r="OUC24" s="2235"/>
      <c r="OUD24" s="2235"/>
      <c r="OUE24" s="2234"/>
      <c r="OUF24" s="2235"/>
      <c r="OUG24" s="2235"/>
      <c r="OUH24" s="2234"/>
      <c r="OUI24" s="2235"/>
      <c r="OUJ24" s="2235"/>
      <c r="OUK24" s="2234"/>
      <c r="OUL24" s="2235"/>
      <c r="OUM24" s="2235"/>
      <c r="OUN24" s="2234"/>
      <c r="OUO24" s="2235"/>
      <c r="OUP24" s="2235"/>
      <c r="OUQ24" s="2234"/>
      <c r="OUR24" s="2235"/>
      <c r="OUS24" s="2235"/>
      <c r="OUT24" s="2234"/>
      <c r="OUU24" s="2235"/>
      <c r="OUV24" s="2235"/>
      <c r="OUW24" s="2234"/>
      <c r="OUX24" s="2235"/>
      <c r="OUY24" s="2235"/>
      <c r="OUZ24" s="2234"/>
      <c r="OVA24" s="2235"/>
      <c r="OVB24" s="2235"/>
      <c r="OVC24" s="2234"/>
      <c r="OVD24" s="2235"/>
      <c r="OVE24" s="2235"/>
      <c r="OVF24" s="2234"/>
      <c r="OVG24" s="2235"/>
      <c r="OVH24" s="2235"/>
      <c r="OVI24" s="2234"/>
      <c r="OVJ24" s="2235"/>
      <c r="OVK24" s="2235"/>
      <c r="OVL24" s="2234"/>
      <c r="OVM24" s="2235"/>
      <c r="OVN24" s="2235"/>
      <c r="OVO24" s="2234"/>
      <c r="OVP24" s="2235"/>
      <c r="OVQ24" s="2235"/>
      <c r="OVR24" s="2234"/>
      <c r="OVS24" s="2235"/>
      <c r="OVT24" s="2235"/>
      <c r="OVU24" s="2234"/>
      <c r="OVV24" s="2235"/>
      <c r="OVW24" s="2235"/>
      <c r="OVX24" s="2234"/>
      <c r="OVY24" s="2235"/>
      <c r="OVZ24" s="2235"/>
      <c r="OWA24" s="2234"/>
      <c r="OWB24" s="2235"/>
      <c r="OWC24" s="2235"/>
      <c r="OWD24" s="2234"/>
      <c r="OWE24" s="2235"/>
      <c r="OWF24" s="2235"/>
      <c r="OWG24" s="2234"/>
      <c r="OWH24" s="2235"/>
      <c r="OWI24" s="2235"/>
      <c r="OWJ24" s="2234"/>
      <c r="OWK24" s="2235"/>
      <c r="OWL24" s="2235"/>
      <c r="OWM24" s="2234"/>
      <c r="OWN24" s="2235"/>
      <c r="OWO24" s="2235"/>
      <c r="OWP24" s="2234"/>
      <c r="OWQ24" s="2235"/>
      <c r="OWR24" s="2235"/>
      <c r="OWS24" s="2234"/>
      <c r="OWT24" s="2235"/>
      <c r="OWU24" s="2235"/>
      <c r="OWV24" s="2234"/>
      <c r="OWW24" s="2235"/>
      <c r="OWX24" s="2235"/>
      <c r="OWY24" s="2234"/>
      <c r="OWZ24" s="2235"/>
      <c r="OXA24" s="2235"/>
      <c r="OXB24" s="2234"/>
      <c r="OXC24" s="2235"/>
      <c r="OXD24" s="2235"/>
      <c r="OXE24" s="2234"/>
      <c r="OXF24" s="2235"/>
      <c r="OXG24" s="2235"/>
      <c r="OXH24" s="2234"/>
      <c r="OXI24" s="2235"/>
      <c r="OXJ24" s="2235"/>
      <c r="OXK24" s="2234"/>
      <c r="OXL24" s="2235"/>
      <c r="OXM24" s="2235"/>
      <c r="OXN24" s="2234"/>
      <c r="OXO24" s="2235"/>
      <c r="OXP24" s="2235"/>
      <c r="OXQ24" s="2234"/>
      <c r="OXR24" s="2235"/>
      <c r="OXS24" s="2235"/>
      <c r="OXT24" s="2234"/>
      <c r="OXU24" s="2235"/>
      <c r="OXV24" s="2235"/>
      <c r="OXW24" s="2234"/>
      <c r="OXX24" s="2235"/>
      <c r="OXY24" s="2235"/>
      <c r="OXZ24" s="2234"/>
      <c r="OYA24" s="2235"/>
      <c r="OYB24" s="2235"/>
      <c r="OYC24" s="2234"/>
      <c r="OYD24" s="2235"/>
      <c r="OYE24" s="2235"/>
      <c r="OYF24" s="2234"/>
      <c r="OYG24" s="2235"/>
      <c r="OYH24" s="2235"/>
      <c r="OYI24" s="2234"/>
      <c r="OYJ24" s="2235"/>
      <c r="OYK24" s="2235"/>
      <c r="OYL24" s="2234"/>
      <c r="OYM24" s="2235"/>
      <c r="OYN24" s="2235"/>
      <c r="OYO24" s="2234"/>
      <c r="OYP24" s="2235"/>
      <c r="OYQ24" s="2235"/>
      <c r="OYR24" s="2234"/>
      <c r="OYS24" s="2235"/>
      <c r="OYT24" s="2235"/>
      <c r="OYU24" s="2234"/>
      <c r="OYV24" s="2235"/>
      <c r="OYW24" s="2235"/>
      <c r="OYX24" s="2234"/>
      <c r="OYY24" s="2235"/>
      <c r="OYZ24" s="2235"/>
      <c r="OZA24" s="2234"/>
      <c r="OZB24" s="2235"/>
      <c r="OZC24" s="2235"/>
      <c r="OZD24" s="2234"/>
      <c r="OZE24" s="2235"/>
      <c r="OZF24" s="2235"/>
      <c r="OZG24" s="2234"/>
      <c r="OZH24" s="2235"/>
      <c r="OZI24" s="2235"/>
      <c r="OZJ24" s="2234"/>
      <c r="OZK24" s="2235"/>
      <c r="OZL24" s="2235"/>
      <c r="OZM24" s="2234"/>
      <c r="OZN24" s="2235"/>
      <c r="OZO24" s="2235"/>
      <c r="OZP24" s="2234"/>
      <c r="OZQ24" s="2235"/>
      <c r="OZR24" s="2235"/>
      <c r="OZS24" s="2234"/>
      <c r="OZT24" s="2235"/>
      <c r="OZU24" s="2235"/>
      <c r="OZV24" s="2234"/>
      <c r="OZW24" s="2235"/>
      <c r="OZX24" s="2235"/>
      <c r="OZY24" s="2234"/>
      <c r="OZZ24" s="2235"/>
      <c r="PAA24" s="2235"/>
      <c r="PAB24" s="2234"/>
      <c r="PAC24" s="2235"/>
      <c r="PAD24" s="2235"/>
      <c r="PAE24" s="2234"/>
      <c r="PAF24" s="2235"/>
      <c r="PAG24" s="2235"/>
      <c r="PAH24" s="2234"/>
      <c r="PAI24" s="2235"/>
      <c r="PAJ24" s="2235"/>
      <c r="PAK24" s="2234"/>
      <c r="PAL24" s="2235"/>
      <c r="PAM24" s="2235"/>
      <c r="PAN24" s="2234"/>
      <c r="PAO24" s="2235"/>
      <c r="PAP24" s="2235"/>
      <c r="PAQ24" s="2234"/>
      <c r="PAR24" s="2235"/>
      <c r="PAS24" s="2235"/>
      <c r="PAT24" s="2234"/>
      <c r="PAU24" s="2235"/>
      <c r="PAV24" s="2235"/>
      <c r="PAW24" s="2234"/>
      <c r="PAX24" s="2235"/>
      <c r="PAY24" s="2235"/>
      <c r="PAZ24" s="2234"/>
      <c r="PBA24" s="2235"/>
      <c r="PBB24" s="2235"/>
      <c r="PBC24" s="2234"/>
      <c r="PBD24" s="2235"/>
      <c r="PBE24" s="2235"/>
      <c r="PBF24" s="2234"/>
      <c r="PBG24" s="2235"/>
      <c r="PBH24" s="2235"/>
      <c r="PBI24" s="2234"/>
      <c r="PBJ24" s="2235"/>
      <c r="PBK24" s="2235"/>
      <c r="PBL24" s="2234"/>
      <c r="PBM24" s="2235"/>
      <c r="PBN24" s="2235"/>
      <c r="PBO24" s="2234"/>
      <c r="PBP24" s="2235"/>
      <c r="PBQ24" s="2235"/>
      <c r="PBR24" s="2234"/>
      <c r="PBS24" s="2235"/>
      <c r="PBT24" s="2235"/>
      <c r="PBU24" s="2234"/>
      <c r="PBV24" s="2235"/>
      <c r="PBW24" s="2235"/>
      <c r="PBX24" s="2234"/>
      <c r="PBY24" s="2235"/>
      <c r="PBZ24" s="2235"/>
      <c r="PCA24" s="2234"/>
      <c r="PCB24" s="2235"/>
      <c r="PCC24" s="2235"/>
      <c r="PCD24" s="2234"/>
      <c r="PCE24" s="2235"/>
      <c r="PCF24" s="2235"/>
      <c r="PCG24" s="2234"/>
      <c r="PCH24" s="2235"/>
      <c r="PCI24" s="2235"/>
      <c r="PCJ24" s="2234"/>
      <c r="PCK24" s="2235"/>
      <c r="PCL24" s="2235"/>
      <c r="PCM24" s="2234"/>
      <c r="PCN24" s="2235"/>
      <c r="PCO24" s="2235"/>
      <c r="PCP24" s="2234"/>
      <c r="PCQ24" s="2235"/>
      <c r="PCR24" s="2235"/>
      <c r="PCS24" s="2234"/>
      <c r="PCT24" s="2235"/>
      <c r="PCU24" s="2235"/>
      <c r="PCV24" s="2234"/>
      <c r="PCW24" s="2235"/>
      <c r="PCX24" s="2235"/>
      <c r="PCY24" s="2234"/>
      <c r="PCZ24" s="2235"/>
      <c r="PDA24" s="2235"/>
      <c r="PDB24" s="2234"/>
      <c r="PDC24" s="2235"/>
      <c r="PDD24" s="2235"/>
      <c r="PDE24" s="2234"/>
      <c r="PDF24" s="2235"/>
      <c r="PDG24" s="2235"/>
      <c r="PDH24" s="2234"/>
      <c r="PDI24" s="2235"/>
      <c r="PDJ24" s="2235"/>
      <c r="PDK24" s="2234"/>
      <c r="PDL24" s="2235"/>
      <c r="PDM24" s="2235"/>
      <c r="PDN24" s="2234"/>
      <c r="PDO24" s="2235"/>
      <c r="PDP24" s="2235"/>
      <c r="PDQ24" s="2234"/>
      <c r="PDR24" s="2235"/>
      <c r="PDS24" s="2235"/>
      <c r="PDT24" s="2234"/>
      <c r="PDU24" s="2235"/>
      <c r="PDV24" s="2235"/>
      <c r="PDW24" s="2234"/>
      <c r="PDX24" s="2235"/>
      <c r="PDY24" s="2235"/>
      <c r="PDZ24" s="2234"/>
      <c r="PEA24" s="2235"/>
      <c r="PEB24" s="2235"/>
      <c r="PEC24" s="2234"/>
      <c r="PED24" s="2235"/>
      <c r="PEE24" s="2235"/>
      <c r="PEF24" s="2234"/>
      <c r="PEG24" s="2235"/>
      <c r="PEH24" s="2235"/>
      <c r="PEI24" s="2234"/>
      <c r="PEJ24" s="2235"/>
      <c r="PEK24" s="2235"/>
      <c r="PEL24" s="2234"/>
      <c r="PEM24" s="2235"/>
      <c r="PEN24" s="2235"/>
      <c r="PEO24" s="2234"/>
      <c r="PEP24" s="2235"/>
      <c r="PEQ24" s="2235"/>
      <c r="PER24" s="2234"/>
      <c r="PES24" s="2235"/>
      <c r="PET24" s="2235"/>
      <c r="PEU24" s="2234"/>
      <c r="PEV24" s="2235"/>
      <c r="PEW24" s="2235"/>
      <c r="PEX24" s="2234"/>
      <c r="PEY24" s="2235"/>
      <c r="PEZ24" s="2235"/>
      <c r="PFA24" s="2234"/>
      <c r="PFB24" s="2235"/>
      <c r="PFC24" s="2235"/>
      <c r="PFD24" s="2234"/>
      <c r="PFE24" s="2235"/>
      <c r="PFF24" s="2235"/>
      <c r="PFG24" s="2234"/>
      <c r="PFH24" s="2235"/>
      <c r="PFI24" s="2235"/>
      <c r="PFJ24" s="2234"/>
      <c r="PFK24" s="2235"/>
      <c r="PFL24" s="2235"/>
      <c r="PFM24" s="2234"/>
      <c r="PFN24" s="2235"/>
      <c r="PFO24" s="2235"/>
      <c r="PFP24" s="2234"/>
      <c r="PFQ24" s="2235"/>
      <c r="PFR24" s="2235"/>
      <c r="PFS24" s="2234"/>
      <c r="PFT24" s="2235"/>
      <c r="PFU24" s="2235"/>
      <c r="PFV24" s="2234"/>
      <c r="PFW24" s="2235"/>
      <c r="PFX24" s="2235"/>
      <c r="PFY24" s="2234"/>
      <c r="PFZ24" s="2235"/>
      <c r="PGA24" s="2235"/>
      <c r="PGB24" s="2234"/>
      <c r="PGC24" s="2235"/>
      <c r="PGD24" s="2235"/>
      <c r="PGE24" s="2234"/>
      <c r="PGF24" s="2235"/>
      <c r="PGG24" s="2235"/>
      <c r="PGH24" s="2234"/>
      <c r="PGI24" s="2235"/>
      <c r="PGJ24" s="2235"/>
      <c r="PGK24" s="2234"/>
      <c r="PGL24" s="2235"/>
      <c r="PGM24" s="2235"/>
      <c r="PGN24" s="2234"/>
      <c r="PGO24" s="2235"/>
      <c r="PGP24" s="2235"/>
      <c r="PGQ24" s="2234"/>
      <c r="PGR24" s="2235"/>
      <c r="PGS24" s="2235"/>
      <c r="PGT24" s="2234"/>
      <c r="PGU24" s="2235"/>
      <c r="PGV24" s="2235"/>
      <c r="PGW24" s="2234"/>
      <c r="PGX24" s="2235"/>
      <c r="PGY24" s="2235"/>
      <c r="PGZ24" s="2234"/>
      <c r="PHA24" s="2235"/>
      <c r="PHB24" s="2235"/>
      <c r="PHC24" s="2234"/>
      <c r="PHD24" s="2235"/>
      <c r="PHE24" s="2235"/>
      <c r="PHF24" s="2234"/>
      <c r="PHG24" s="2235"/>
      <c r="PHH24" s="2235"/>
      <c r="PHI24" s="2234"/>
      <c r="PHJ24" s="2235"/>
      <c r="PHK24" s="2235"/>
      <c r="PHL24" s="2234"/>
      <c r="PHM24" s="2235"/>
      <c r="PHN24" s="2235"/>
      <c r="PHO24" s="2234"/>
      <c r="PHP24" s="2235"/>
      <c r="PHQ24" s="2235"/>
      <c r="PHR24" s="2234"/>
      <c r="PHS24" s="2235"/>
      <c r="PHT24" s="2235"/>
      <c r="PHU24" s="2234"/>
      <c r="PHV24" s="2235"/>
      <c r="PHW24" s="2235"/>
      <c r="PHX24" s="2234"/>
      <c r="PHY24" s="2235"/>
      <c r="PHZ24" s="2235"/>
      <c r="PIA24" s="2234"/>
      <c r="PIB24" s="2235"/>
      <c r="PIC24" s="2235"/>
      <c r="PID24" s="2234"/>
      <c r="PIE24" s="2235"/>
      <c r="PIF24" s="2235"/>
      <c r="PIG24" s="2234"/>
      <c r="PIH24" s="2235"/>
      <c r="PII24" s="2235"/>
      <c r="PIJ24" s="2234"/>
      <c r="PIK24" s="2235"/>
      <c r="PIL24" s="2235"/>
      <c r="PIM24" s="2234"/>
      <c r="PIN24" s="2235"/>
      <c r="PIO24" s="2235"/>
      <c r="PIP24" s="2234"/>
      <c r="PIQ24" s="2235"/>
      <c r="PIR24" s="2235"/>
      <c r="PIS24" s="2234"/>
      <c r="PIT24" s="2235"/>
      <c r="PIU24" s="2235"/>
      <c r="PIV24" s="2234"/>
      <c r="PIW24" s="2235"/>
      <c r="PIX24" s="2235"/>
      <c r="PIY24" s="2234"/>
      <c r="PIZ24" s="2235"/>
      <c r="PJA24" s="2235"/>
      <c r="PJB24" s="2234"/>
      <c r="PJC24" s="2235"/>
      <c r="PJD24" s="2235"/>
      <c r="PJE24" s="2234"/>
      <c r="PJF24" s="2235"/>
      <c r="PJG24" s="2235"/>
      <c r="PJH24" s="2234"/>
      <c r="PJI24" s="2235"/>
      <c r="PJJ24" s="2235"/>
      <c r="PJK24" s="2234"/>
      <c r="PJL24" s="2235"/>
      <c r="PJM24" s="2235"/>
      <c r="PJN24" s="2234"/>
      <c r="PJO24" s="2235"/>
      <c r="PJP24" s="2235"/>
      <c r="PJQ24" s="2234"/>
      <c r="PJR24" s="2235"/>
      <c r="PJS24" s="2235"/>
      <c r="PJT24" s="2234"/>
      <c r="PJU24" s="2235"/>
      <c r="PJV24" s="2235"/>
      <c r="PJW24" s="2234"/>
      <c r="PJX24" s="2235"/>
      <c r="PJY24" s="2235"/>
      <c r="PJZ24" s="2234"/>
      <c r="PKA24" s="2235"/>
      <c r="PKB24" s="2235"/>
      <c r="PKC24" s="2234"/>
      <c r="PKD24" s="2235"/>
      <c r="PKE24" s="2235"/>
      <c r="PKF24" s="2234"/>
      <c r="PKG24" s="2235"/>
      <c r="PKH24" s="2235"/>
      <c r="PKI24" s="2234"/>
      <c r="PKJ24" s="2235"/>
      <c r="PKK24" s="2235"/>
      <c r="PKL24" s="2234"/>
      <c r="PKM24" s="2235"/>
      <c r="PKN24" s="2235"/>
      <c r="PKO24" s="2234"/>
      <c r="PKP24" s="2235"/>
      <c r="PKQ24" s="2235"/>
      <c r="PKR24" s="2234"/>
      <c r="PKS24" s="2235"/>
      <c r="PKT24" s="2235"/>
      <c r="PKU24" s="2234"/>
      <c r="PKV24" s="2235"/>
      <c r="PKW24" s="2235"/>
      <c r="PKX24" s="2234"/>
      <c r="PKY24" s="2235"/>
      <c r="PKZ24" s="2235"/>
      <c r="PLA24" s="2234"/>
      <c r="PLB24" s="2235"/>
      <c r="PLC24" s="2235"/>
      <c r="PLD24" s="2234"/>
      <c r="PLE24" s="2235"/>
      <c r="PLF24" s="2235"/>
      <c r="PLG24" s="2234"/>
      <c r="PLH24" s="2235"/>
      <c r="PLI24" s="2235"/>
      <c r="PLJ24" s="2234"/>
      <c r="PLK24" s="2235"/>
      <c r="PLL24" s="2235"/>
      <c r="PLM24" s="2234"/>
      <c r="PLN24" s="2235"/>
      <c r="PLO24" s="2235"/>
      <c r="PLP24" s="2234"/>
      <c r="PLQ24" s="2235"/>
      <c r="PLR24" s="2235"/>
      <c r="PLS24" s="2234"/>
      <c r="PLT24" s="2235"/>
      <c r="PLU24" s="2235"/>
      <c r="PLV24" s="2234"/>
      <c r="PLW24" s="2235"/>
      <c r="PLX24" s="2235"/>
      <c r="PLY24" s="2234"/>
      <c r="PLZ24" s="2235"/>
      <c r="PMA24" s="2235"/>
      <c r="PMB24" s="2234"/>
      <c r="PMC24" s="2235"/>
      <c r="PMD24" s="2235"/>
      <c r="PME24" s="2234"/>
      <c r="PMF24" s="2235"/>
      <c r="PMG24" s="2235"/>
      <c r="PMH24" s="2234"/>
      <c r="PMI24" s="2235"/>
      <c r="PMJ24" s="2235"/>
      <c r="PMK24" s="2234"/>
      <c r="PML24" s="2235"/>
      <c r="PMM24" s="2235"/>
      <c r="PMN24" s="2234"/>
      <c r="PMO24" s="2235"/>
      <c r="PMP24" s="2235"/>
      <c r="PMQ24" s="2234"/>
      <c r="PMR24" s="2235"/>
      <c r="PMS24" s="2235"/>
      <c r="PMT24" s="2234"/>
      <c r="PMU24" s="2235"/>
      <c r="PMV24" s="2235"/>
      <c r="PMW24" s="2234"/>
      <c r="PMX24" s="2235"/>
      <c r="PMY24" s="2235"/>
      <c r="PMZ24" s="2234"/>
      <c r="PNA24" s="2235"/>
      <c r="PNB24" s="2235"/>
      <c r="PNC24" s="2234"/>
      <c r="PND24" s="2235"/>
      <c r="PNE24" s="2235"/>
      <c r="PNF24" s="2234"/>
      <c r="PNG24" s="2235"/>
      <c r="PNH24" s="2235"/>
      <c r="PNI24" s="2234"/>
      <c r="PNJ24" s="2235"/>
      <c r="PNK24" s="2235"/>
      <c r="PNL24" s="2234"/>
      <c r="PNM24" s="2235"/>
      <c r="PNN24" s="2235"/>
      <c r="PNO24" s="2234"/>
      <c r="PNP24" s="2235"/>
      <c r="PNQ24" s="2235"/>
      <c r="PNR24" s="2234"/>
      <c r="PNS24" s="2235"/>
      <c r="PNT24" s="2235"/>
      <c r="PNU24" s="2234"/>
      <c r="PNV24" s="2235"/>
      <c r="PNW24" s="2235"/>
      <c r="PNX24" s="2234"/>
      <c r="PNY24" s="2235"/>
      <c r="PNZ24" s="2235"/>
      <c r="POA24" s="2234"/>
      <c r="POB24" s="2235"/>
      <c r="POC24" s="2235"/>
      <c r="POD24" s="2234"/>
      <c r="POE24" s="2235"/>
      <c r="POF24" s="2235"/>
      <c r="POG24" s="2234"/>
      <c r="POH24" s="2235"/>
      <c r="POI24" s="2235"/>
      <c r="POJ24" s="2234"/>
      <c r="POK24" s="2235"/>
      <c r="POL24" s="2235"/>
      <c r="POM24" s="2234"/>
      <c r="PON24" s="2235"/>
      <c r="POO24" s="2235"/>
      <c r="POP24" s="2234"/>
      <c r="POQ24" s="2235"/>
      <c r="POR24" s="2235"/>
      <c r="POS24" s="2234"/>
      <c r="POT24" s="2235"/>
      <c r="POU24" s="2235"/>
      <c r="POV24" s="2234"/>
      <c r="POW24" s="2235"/>
      <c r="POX24" s="2235"/>
      <c r="POY24" s="2234"/>
      <c r="POZ24" s="2235"/>
      <c r="PPA24" s="2235"/>
      <c r="PPB24" s="2234"/>
      <c r="PPC24" s="2235"/>
      <c r="PPD24" s="2235"/>
      <c r="PPE24" s="2234"/>
      <c r="PPF24" s="2235"/>
      <c r="PPG24" s="2235"/>
      <c r="PPH24" s="2234"/>
      <c r="PPI24" s="2235"/>
      <c r="PPJ24" s="2235"/>
      <c r="PPK24" s="2234"/>
      <c r="PPL24" s="2235"/>
      <c r="PPM24" s="2235"/>
      <c r="PPN24" s="2234"/>
      <c r="PPO24" s="2235"/>
      <c r="PPP24" s="2235"/>
      <c r="PPQ24" s="2234"/>
      <c r="PPR24" s="2235"/>
      <c r="PPS24" s="2235"/>
      <c r="PPT24" s="2234"/>
      <c r="PPU24" s="2235"/>
      <c r="PPV24" s="2235"/>
      <c r="PPW24" s="2234"/>
      <c r="PPX24" s="2235"/>
      <c r="PPY24" s="2235"/>
      <c r="PPZ24" s="2234"/>
      <c r="PQA24" s="2235"/>
      <c r="PQB24" s="2235"/>
      <c r="PQC24" s="2234"/>
      <c r="PQD24" s="2235"/>
      <c r="PQE24" s="2235"/>
      <c r="PQF24" s="2234"/>
      <c r="PQG24" s="2235"/>
      <c r="PQH24" s="2235"/>
      <c r="PQI24" s="2234"/>
      <c r="PQJ24" s="2235"/>
      <c r="PQK24" s="2235"/>
      <c r="PQL24" s="2234"/>
      <c r="PQM24" s="2235"/>
      <c r="PQN24" s="2235"/>
      <c r="PQO24" s="2234"/>
      <c r="PQP24" s="2235"/>
      <c r="PQQ24" s="2235"/>
      <c r="PQR24" s="2234"/>
      <c r="PQS24" s="2235"/>
      <c r="PQT24" s="2235"/>
      <c r="PQU24" s="2234"/>
      <c r="PQV24" s="2235"/>
      <c r="PQW24" s="2235"/>
      <c r="PQX24" s="2234"/>
      <c r="PQY24" s="2235"/>
      <c r="PQZ24" s="2235"/>
      <c r="PRA24" s="2234"/>
      <c r="PRB24" s="2235"/>
      <c r="PRC24" s="2235"/>
      <c r="PRD24" s="2234"/>
      <c r="PRE24" s="2235"/>
      <c r="PRF24" s="2235"/>
      <c r="PRG24" s="2234"/>
      <c r="PRH24" s="2235"/>
      <c r="PRI24" s="2235"/>
      <c r="PRJ24" s="2234"/>
      <c r="PRK24" s="2235"/>
      <c r="PRL24" s="2235"/>
      <c r="PRM24" s="2234"/>
      <c r="PRN24" s="2235"/>
      <c r="PRO24" s="2235"/>
      <c r="PRP24" s="2234"/>
      <c r="PRQ24" s="2235"/>
      <c r="PRR24" s="2235"/>
      <c r="PRS24" s="2234"/>
      <c r="PRT24" s="2235"/>
      <c r="PRU24" s="2235"/>
      <c r="PRV24" s="2234"/>
      <c r="PRW24" s="2235"/>
      <c r="PRX24" s="2235"/>
      <c r="PRY24" s="2234"/>
      <c r="PRZ24" s="2235"/>
      <c r="PSA24" s="2235"/>
      <c r="PSB24" s="2234"/>
      <c r="PSC24" s="2235"/>
      <c r="PSD24" s="2235"/>
      <c r="PSE24" s="2234"/>
      <c r="PSF24" s="2235"/>
      <c r="PSG24" s="2235"/>
      <c r="PSH24" s="2234"/>
      <c r="PSI24" s="2235"/>
      <c r="PSJ24" s="2235"/>
      <c r="PSK24" s="2234"/>
      <c r="PSL24" s="2235"/>
      <c r="PSM24" s="2235"/>
      <c r="PSN24" s="2234"/>
      <c r="PSO24" s="2235"/>
      <c r="PSP24" s="2235"/>
      <c r="PSQ24" s="2234"/>
      <c r="PSR24" s="2235"/>
      <c r="PSS24" s="2235"/>
      <c r="PST24" s="2234"/>
      <c r="PSU24" s="2235"/>
      <c r="PSV24" s="2235"/>
      <c r="PSW24" s="2234"/>
      <c r="PSX24" s="2235"/>
      <c r="PSY24" s="2235"/>
      <c r="PSZ24" s="2234"/>
      <c r="PTA24" s="2235"/>
      <c r="PTB24" s="2235"/>
      <c r="PTC24" s="2234"/>
      <c r="PTD24" s="2235"/>
      <c r="PTE24" s="2235"/>
      <c r="PTF24" s="2234"/>
      <c r="PTG24" s="2235"/>
      <c r="PTH24" s="2235"/>
      <c r="PTI24" s="2234"/>
      <c r="PTJ24" s="2235"/>
      <c r="PTK24" s="2235"/>
      <c r="PTL24" s="2234"/>
      <c r="PTM24" s="2235"/>
      <c r="PTN24" s="2235"/>
      <c r="PTO24" s="2234"/>
      <c r="PTP24" s="2235"/>
      <c r="PTQ24" s="2235"/>
      <c r="PTR24" s="2234"/>
      <c r="PTS24" s="2235"/>
      <c r="PTT24" s="2235"/>
      <c r="PTU24" s="2234"/>
      <c r="PTV24" s="2235"/>
      <c r="PTW24" s="2235"/>
      <c r="PTX24" s="2234"/>
      <c r="PTY24" s="2235"/>
      <c r="PTZ24" s="2235"/>
      <c r="PUA24" s="2234"/>
      <c r="PUB24" s="2235"/>
      <c r="PUC24" s="2235"/>
      <c r="PUD24" s="2234"/>
      <c r="PUE24" s="2235"/>
      <c r="PUF24" s="2235"/>
      <c r="PUG24" s="2234"/>
      <c r="PUH24" s="2235"/>
      <c r="PUI24" s="2235"/>
      <c r="PUJ24" s="2234"/>
      <c r="PUK24" s="2235"/>
      <c r="PUL24" s="2235"/>
      <c r="PUM24" s="2234"/>
      <c r="PUN24" s="2235"/>
      <c r="PUO24" s="2235"/>
      <c r="PUP24" s="2234"/>
      <c r="PUQ24" s="2235"/>
      <c r="PUR24" s="2235"/>
      <c r="PUS24" s="2234"/>
      <c r="PUT24" s="2235"/>
      <c r="PUU24" s="2235"/>
      <c r="PUV24" s="2234"/>
      <c r="PUW24" s="2235"/>
      <c r="PUX24" s="2235"/>
      <c r="PUY24" s="2234"/>
      <c r="PUZ24" s="2235"/>
      <c r="PVA24" s="2235"/>
      <c r="PVB24" s="2234"/>
      <c r="PVC24" s="2235"/>
      <c r="PVD24" s="2235"/>
      <c r="PVE24" s="2234"/>
      <c r="PVF24" s="2235"/>
      <c r="PVG24" s="2235"/>
      <c r="PVH24" s="2234"/>
      <c r="PVI24" s="2235"/>
      <c r="PVJ24" s="2235"/>
      <c r="PVK24" s="2234"/>
      <c r="PVL24" s="2235"/>
      <c r="PVM24" s="2235"/>
      <c r="PVN24" s="2234"/>
      <c r="PVO24" s="2235"/>
      <c r="PVP24" s="2235"/>
      <c r="PVQ24" s="2234"/>
      <c r="PVR24" s="2235"/>
      <c r="PVS24" s="2235"/>
      <c r="PVT24" s="2234"/>
      <c r="PVU24" s="2235"/>
      <c r="PVV24" s="2235"/>
      <c r="PVW24" s="2234"/>
      <c r="PVX24" s="2235"/>
      <c r="PVY24" s="2235"/>
      <c r="PVZ24" s="2234"/>
      <c r="PWA24" s="2235"/>
      <c r="PWB24" s="2235"/>
      <c r="PWC24" s="2234"/>
      <c r="PWD24" s="2235"/>
      <c r="PWE24" s="2235"/>
      <c r="PWF24" s="2234"/>
      <c r="PWG24" s="2235"/>
      <c r="PWH24" s="2235"/>
      <c r="PWI24" s="2234"/>
      <c r="PWJ24" s="2235"/>
      <c r="PWK24" s="2235"/>
      <c r="PWL24" s="2234"/>
      <c r="PWM24" s="2235"/>
      <c r="PWN24" s="2235"/>
      <c r="PWO24" s="2234"/>
      <c r="PWP24" s="2235"/>
      <c r="PWQ24" s="2235"/>
      <c r="PWR24" s="2234"/>
      <c r="PWS24" s="2235"/>
      <c r="PWT24" s="2235"/>
      <c r="PWU24" s="2234"/>
      <c r="PWV24" s="2235"/>
      <c r="PWW24" s="2235"/>
      <c r="PWX24" s="2234"/>
      <c r="PWY24" s="2235"/>
      <c r="PWZ24" s="2235"/>
      <c r="PXA24" s="2234"/>
      <c r="PXB24" s="2235"/>
      <c r="PXC24" s="2235"/>
      <c r="PXD24" s="2234"/>
      <c r="PXE24" s="2235"/>
      <c r="PXF24" s="2235"/>
      <c r="PXG24" s="2234"/>
      <c r="PXH24" s="2235"/>
      <c r="PXI24" s="2235"/>
      <c r="PXJ24" s="2234"/>
      <c r="PXK24" s="2235"/>
      <c r="PXL24" s="2235"/>
      <c r="PXM24" s="2234"/>
      <c r="PXN24" s="2235"/>
      <c r="PXO24" s="2235"/>
      <c r="PXP24" s="2234"/>
      <c r="PXQ24" s="2235"/>
      <c r="PXR24" s="2235"/>
      <c r="PXS24" s="2234"/>
      <c r="PXT24" s="2235"/>
      <c r="PXU24" s="2235"/>
      <c r="PXV24" s="2234"/>
      <c r="PXW24" s="2235"/>
      <c r="PXX24" s="2235"/>
      <c r="PXY24" s="2234"/>
      <c r="PXZ24" s="2235"/>
      <c r="PYA24" s="2235"/>
      <c r="PYB24" s="2234"/>
      <c r="PYC24" s="2235"/>
      <c r="PYD24" s="2235"/>
      <c r="PYE24" s="2234"/>
      <c r="PYF24" s="2235"/>
      <c r="PYG24" s="2235"/>
      <c r="PYH24" s="2234"/>
      <c r="PYI24" s="2235"/>
      <c r="PYJ24" s="2235"/>
      <c r="PYK24" s="2234"/>
      <c r="PYL24" s="2235"/>
      <c r="PYM24" s="2235"/>
      <c r="PYN24" s="2234"/>
      <c r="PYO24" s="2235"/>
      <c r="PYP24" s="2235"/>
      <c r="PYQ24" s="2234"/>
      <c r="PYR24" s="2235"/>
      <c r="PYS24" s="2235"/>
      <c r="PYT24" s="2234"/>
      <c r="PYU24" s="2235"/>
      <c r="PYV24" s="2235"/>
      <c r="PYW24" s="2234"/>
      <c r="PYX24" s="2235"/>
      <c r="PYY24" s="2235"/>
      <c r="PYZ24" s="2234"/>
      <c r="PZA24" s="2235"/>
      <c r="PZB24" s="2235"/>
      <c r="PZC24" s="2234"/>
      <c r="PZD24" s="2235"/>
      <c r="PZE24" s="2235"/>
      <c r="PZF24" s="2234"/>
      <c r="PZG24" s="2235"/>
      <c r="PZH24" s="2235"/>
      <c r="PZI24" s="2234"/>
      <c r="PZJ24" s="2235"/>
      <c r="PZK24" s="2235"/>
      <c r="PZL24" s="2234"/>
      <c r="PZM24" s="2235"/>
      <c r="PZN24" s="2235"/>
      <c r="PZO24" s="2234"/>
      <c r="PZP24" s="2235"/>
      <c r="PZQ24" s="2235"/>
      <c r="PZR24" s="2234"/>
      <c r="PZS24" s="2235"/>
      <c r="PZT24" s="2235"/>
      <c r="PZU24" s="2234"/>
      <c r="PZV24" s="2235"/>
      <c r="PZW24" s="2235"/>
      <c r="PZX24" s="2234"/>
      <c r="PZY24" s="2235"/>
      <c r="PZZ24" s="2235"/>
      <c r="QAA24" s="2234"/>
      <c r="QAB24" s="2235"/>
      <c r="QAC24" s="2235"/>
      <c r="QAD24" s="2234"/>
      <c r="QAE24" s="2235"/>
      <c r="QAF24" s="2235"/>
      <c r="QAG24" s="2234"/>
      <c r="QAH24" s="2235"/>
      <c r="QAI24" s="2235"/>
      <c r="QAJ24" s="2234"/>
      <c r="QAK24" s="2235"/>
      <c r="QAL24" s="2235"/>
      <c r="QAM24" s="2234"/>
      <c r="QAN24" s="2235"/>
      <c r="QAO24" s="2235"/>
      <c r="QAP24" s="2234"/>
      <c r="QAQ24" s="2235"/>
      <c r="QAR24" s="2235"/>
      <c r="QAS24" s="2234"/>
      <c r="QAT24" s="2235"/>
      <c r="QAU24" s="2235"/>
      <c r="QAV24" s="2234"/>
      <c r="QAW24" s="2235"/>
      <c r="QAX24" s="2235"/>
      <c r="QAY24" s="2234"/>
      <c r="QAZ24" s="2235"/>
      <c r="QBA24" s="2235"/>
      <c r="QBB24" s="2234"/>
      <c r="QBC24" s="2235"/>
      <c r="QBD24" s="2235"/>
      <c r="QBE24" s="2234"/>
      <c r="QBF24" s="2235"/>
      <c r="QBG24" s="2235"/>
      <c r="QBH24" s="2234"/>
      <c r="QBI24" s="2235"/>
      <c r="QBJ24" s="2235"/>
      <c r="QBK24" s="2234"/>
      <c r="QBL24" s="2235"/>
      <c r="QBM24" s="2235"/>
      <c r="QBN24" s="2234"/>
      <c r="QBO24" s="2235"/>
      <c r="QBP24" s="2235"/>
      <c r="QBQ24" s="2234"/>
      <c r="QBR24" s="2235"/>
      <c r="QBS24" s="2235"/>
      <c r="QBT24" s="2234"/>
      <c r="QBU24" s="2235"/>
      <c r="QBV24" s="2235"/>
      <c r="QBW24" s="2234"/>
      <c r="QBX24" s="2235"/>
      <c r="QBY24" s="2235"/>
      <c r="QBZ24" s="2234"/>
      <c r="QCA24" s="2235"/>
      <c r="QCB24" s="2235"/>
      <c r="QCC24" s="2234"/>
      <c r="QCD24" s="2235"/>
      <c r="QCE24" s="2235"/>
      <c r="QCF24" s="2234"/>
      <c r="QCG24" s="2235"/>
      <c r="QCH24" s="2235"/>
      <c r="QCI24" s="2234"/>
      <c r="QCJ24" s="2235"/>
      <c r="QCK24" s="2235"/>
      <c r="QCL24" s="2234"/>
      <c r="QCM24" s="2235"/>
      <c r="QCN24" s="2235"/>
      <c r="QCO24" s="2234"/>
      <c r="QCP24" s="2235"/>
      <c r="QCQ24" s="2235"/>
      <c r="QCR24" s="2234"/>
      <c r="QCS24" s="2235"/>
      <c r="QCT24" s="2235"/>
      <c r="QCU24" s="2234"/>
      <c r="QCV24" s="2235"/>
      <c r="QCW24" s="2235"/>
      <c r="QCX24" s="2234"/>
      <c r="QCY24" s="2235"/>
      <c r="QCZ24" s="2235"/>
      <c r="QDA24" s="2234"/>
      <c r="QDB24" s="2235"/>
      <c r="QDC24" s="2235"/>
      <c r="QDD24" s="2234"/>
      <c r="QDE24" s="2235"/>
      <c r="QDF24" s="2235"/>
      <c r="QDG24" s="2234"/>
      <c r="QDH24" s="2235"/>
      <c r="QDI24" s="2235"/>
      <c r="QDJ24" s="2234"/>
      <c r="QDK24" s="2235"/>
      <c r="QDL24" s="2235"/>
      <c r="QDM24" s="2234"/>
      <c r="QDN24" s="2235"/>
      <c r="QDO24" s="2235"/>
      <c r="QDP24" s="2234"/>
      <c r="QDQ24" s="2235"/>
      <c r="QDR24" s="2235"/>
      <c r="QDS24" s="2234"/>
      <c r="QDT24" s="2235"/>
      <c r="QDU24" s="2235"/>
      <c r="QDV24" s="2234"/>
      <c r="QDW24" s="2235"/>
      <c r="QDX24" s="2235"/>
      <c r="QDY24" s="2234"/>
      <c r="QDZ24" s="2235"/>
      <c r="QEA24" s="2235"/>
      <c r="QEB24" s="2234"/>
      <c r="QEC24" s="2235"/>
      <c r="QED24" s="2235"/>
      <c r="QEE24" s="2234"/>
      <c r="QEF24" s="2235"/>
      <c r="QEG24" s="2235"/>
      <c r="QEH24" s="2234"/>
      <c r="QEI24" s="2235"/>
      <c r="QEJ24" s="2235"/>
      <c r="QEK24" s="2234"/>
      <c r="QEL24" s="2235"/>
      <c r="QEM24" s="2235"/>
      <c r="QEN24" s="2234"/>
      <c r="QEO24" s="2235"/>
      <c r="QEP24" s="2235"/>
      <c r="QEQ24" s="2234"/>
      <c r="QER24" s="2235"/>
      <c r="QES24" s="2235"/>
      <c r="QET24" s="2234"/>
      <c r="QEU24" s="2235"/>
      <c r="QEV24" s="2235"/>
      <c r="QEW24" s="2234"/>
      <c r="QEX24" s="2235"/>
      <c r="QEY24" s="2235"/>
      <c r="QEZ24" s="2234"/>
      <c r="QFA24" s="2235"/>
      <c r="QFB24" s="2235"/>
      <c r="QFC24" s="2234"/>
      <c r="QFD24" s="2235"/>
      <c r="QFE24" s="2235"/>
      <c r="QFF24" s="2234"/>
      <c r="QFG24" s="2235"/>
      <c r="QFH24" s="2235"/>
      <c r="QFI24" s="2234"/>
      <c r="QFJ24" s="2235"/>
      <c r="QFK24" s="2235"/>
      <c r="QFL24" s="2234"/>
      <c r="QFM24" s="2235"/>
      <c r="QFN24" s="2235"/>
      <c r="QFO24" s="2234"/>
      <c r="QFP24" s="2235"/>
      <c r="QFQ24" s="2235"/>
      <c r="QFR24" s="2234"/>
      <c r="QFS24" s="2235"/>
      <c r="QFT24" s="2235"/>
      <c r="QFU24" s="2234"/>
      <c r="QFV24" s="2235"/>
      <c r="QFW24" s="2235"/>
      <c r="QFX24" s="2234"/>
      <c r="QFY24" s="2235"/>
      <c r="QFZ24" s="2235"/>
      <c r="QGA24" s="2234"/>
      <c r="QGB24" s="2235"/>
      <c r="QGC24" s="2235"/>
      <c r="QGD24" s="2234"/>
      <c r="QGE24" s="2235"/>
      <c r="QGF24" s="2235"/>
      <c r="QGG24" s="2234"/>
      <c r="QGH24" s="2235"/>
      <c r="QGI24" s="2235"/>
      <c r="QGJ24" s="2234"/>
      <c r="QGK24" s="2235"/>
      <c r="QGL24" s="2235"/>
      <c r="QGM24" s="2234"/>
      <c r="QGN24" s="2235"/>
      <c r="QGO24" s="2235"/>
      <c r="QGP24" s="2234"/>
      <c r="QGQ24" s="2235"/>
      <c r="QGR24" s="2235"/>
      <c r="QGS24" s="2234"/>
      <c r="QGT24" s="2235"/>
      <c r="QGU24" s="2235"/>
      <c r="QGV24" s="2234"/>
      <c r="QGW24" s="2235"/>
      <c r="QGX24" s="2235"/>
      <c r="QGY24" s="2234"/>
      <c r="QGZ24" s="2235"/>
      <c r="QHA24" s="2235"/>
      <c r="QHB24" s="2234"/>
      <c r="QHC24" s="2235"/>
      <c r="QHD24" s="2235"/>
      <c r="QHE24" s="2234"/>
      <c r="QHF24" s="2235"/>
      <c r="QHG24" s="2235"/>
      <c r="QHH24" s="2234"/>
      <c r="QHI24" s="2235"/>
      <c r="QHJ24" s="2235"/>
      <c r="QHK24" s="2234"/>
      <c r="QHL24" s="2235"/>
      <c r="QHM24" s="2235"/>
      <c r="QHN24" s="2234"/>
      <c r="QHO24" s="2235"/>
      <c r="QHP24" s="2235"/>
      <c r="QHQ24" s="2234"/>
      <c r="QHR24" s="2235"/>
      <c r="QHS24" s="2235"/>
      <c r="QHT24" s="2234"/>
      <c r="QHU24" s="2235"/>
      <c r="QHV24" s="2235"/>
      <c r="QHW24" s="2234"/>
      <c r="QHX24" s="2235"/>
      <c r="QHY24" s="2235"/>
      <c r="QHZ24" s="2234"/>
      <c r="QIA24" s="2235"/>
      <c r="QIB24" s="2235"/>
      <c r="QIC24" s="2234"/>
      <c r="QID24" s="2235"/>
      <c r="QIE24" s="2235"/>
      <c r="QIF24" s="2234"/>
      <c r="QIG24" s="2235"/>
      <c r="QIH24" s="2235"/>
      <c r="QII24" s="2234"/>
      <c r="QIJ24" s="2235"/>
      <c r="QIK24" s="2235"/>
      <c r="QIL24" s="2234"/>
      <c r="QIM24" s="2235"/>
      <c r="QIN24" s="2235"/>
      <c r="QIO24" s="2234"/>
      <c r="QIP24" s="2235"/>
      <c r="QIQ24" s="2235"/>
      <c r="QIR24" s="2234"/>
      <c r="QIS24" s="2235"/>
      <c r="QIT24" s="2235"/>
      <c r="QIU24" s="2234"/>
      <c r="QIV24" s="2235"/>
      <c r="QIW24" s="2235"/>
      <c r="QIX24" s="2234"/>
      <c r="QIY24" s="2235"/>
      <c r="QIZ24" s="2235"/>
      <c r="QJA24" s="2234"/>
      <c r="QJB24" s="2235"/>
      <c r="QJC24" s="2235"/>
      <c r="QJD24" s="2234"/>
      <c r="QJE24" s="2235"/>
      <c r="QJF24" s="2235"/>
      <c r="QJG24" s="2234"/>
      <c r="QJH24" s="2235"/>
      <c r="QJI24" s="2235"/>
      <c r="QJJ24" s="2234"/>
      <c r="QJK24" s="2235"/>
      <c r="QJL24" s="2235"/>
      <c r="QJM24" s="2234"/>
      <c r="QJN24" s="2235"/>
      <c r="QJO24" s="2235"/>
      <c r="QJP24" s="2234"/>
      <c r="QJQ24" s="2235"/>
      <c r="QJR24" s="2235"/>
      <c r="QJS24" s="2234"/>
      <c r="QJT24" s="2235"/>
      <c r="QJU24" s="2235"/>
      <c r="QJV24" s="2234"/>
      <c r="QJW24" s="2235"/>
      <c r="QJX24" s="2235"/>
      <c r="QJY24" s="2234"/>
      <c r="QJZ24" s="2235"/>
      <c r="QKA24" s="2235"/>
      <c r="QKB24" s="2234"/>
      <c r="QKC24" s="2235"/>
      <c r="QKD24" s="2235"/>
      <c r="QKE24" s="2234"/>
      <c r="QKF24" s="2235"/>
      <c r="QKG24" s="2235"/>
      <c r="QKH24" s="2234"/>
      <c r="QKI24" s="2235"/>
      <c r="QKJ24" s="2235"/>
      <c r="QKK24" s="2234"/>
      <c r="QKL24" s="2235"/>
      <c r="QKM24" s="2235"/>
      <c r="QKN24" s="2234"/>
      <c r="QKO24" s="2235"/>
      <c r="QKP24" s="2235"/>
      <c r="QKQ24" s="2234"/>
      <c r="QKR24" s="2235"/>
      <c r="QKS24" s="2235"/>
      <c r="QKT24" s="2234"/>
      <c r="QKU24" s="2235"/>
      <c r="QKV24" s="2235"/>
      <c r="QKW24" s="2234"/>
      <c r="QKX24" s="2235"/>
      <c r="QKY24" s="2235"/>
      <c r="QKZ24" s="2234"/>
      <c r="QLA24" s="2235"/>
      <c r="QLB24" s="2235"/>
      <c r="QLC24" s="2234"/>
      <c r="QLD24" s="2235"/>
      <c r="QLE24" s="2235"/>
      <c r="QLF24" s="2234"/>
      <c r="QLG24" s="2235"/>
      <c r="QLH24" s="2235"/>
      <c r="QLI24" s="2234"/>
      <c r="QLJ24" s="2235"/>
      <c r="QLK24" s="2235"/>
      <c r="QLL24" s="2234"/>
      <c r="QLM24" s="2235"/>
      <c r="QLN24" s="2235"/>
      <c r="QLO24" s="2234"/>
      <c r="QLP24" s="2235"/>
      <c r="QLQ24" s="2235"/>
      <c r="QLR24" s="2234"/>
      <c r="QLS24" s="2235"/>
      <c r="QLT24" s="2235"/>
      <c r="QLU24" s="2234"/>
      <c r="QLV24" s="2235"/>
      <c r="QLW24" s="2235"/>
      <c r="QLX24" s="2234"/>
      <c r="QLY24" s="2235"/>
      <c r="QLZ24" s="2235"/>
      <c r="QMA24" s="2234"/>
      <c r="QMB24" s="2235"/>
      <c r="QMC24" s="2235"/>
      <c r="QMD24" s="2234"/>
      <c r="QME24" s="2235"/>
      <c r="QMF24" s="2235"/>
      <c r="QMG24" s="2234"/>
      <c r="QMH24" s="2235"/>
      <c r="QMI24" s="2235"/>
      <c r="QMJ24" s="2234"/>
      <c r="QMK24" s="2235"/>
      <c r="QML24" s="2235"/>
      <c r="QMM24" s="2234"/>
      <c r="QMN24" s="2235"/>
      <c r="QMO24" s="2235"/>
      <c r="QMP24" s="2234"/>
      <c r="QMQ24" s="2235"/>
      <c r="QMR24" s="2235"/>
      <c r="QMS24" s="2234"/>
      <c r="QMT24" s="2235"/>
      <c r="QMU24" s="2235"/>
      <c r="QMV24" s="2234"/>
      <c r="QMW24" s="2235"/>
      <c r="QMX24" s="2235"/>
      <c r="QMY24" s="2234"/>
      <c r="QMZ24" s="2235"/>
      <c r="QNA24" s="2235"/>
      <c r="QNB24" s="2234"/>
      <c r="QNC24" s="2235"/>
      <c r="QND24" s="2235"/>
      <c r="QNE24" s="2234"/>
      <c r="QNF24" s="2235"/>
      <c r="QNG24" s="2235"/>
      <c r="QNH24" s="2234"/>
      <c r="QNI24" s="2235"/>
      <c r="QNJ24" s="2235"/>
      <c r="QNK24" s="2234"/>
      <c r="QNL24" s="2235"/>
      <c r="QNM24" s="2235"/>
      <c r="QNN24" s="2234"/>
      <c r="QNO24" s="2235"/>
      <c r="QNP24" s="2235"/>
      <c r="QNQ24" s="2234"/>
      <c r="QNR24" s="2235"/>
      <c r="QNS24" s="2235"/>
      <c r="QNT24" s="2234"/>
      <c r="QNU24" s="2235"/>
      <c r="QNV24" s="2235"/>
      <c r="QNW24" s="2234"/>
      <c r="QNX24" s="2235"/>
      <c r="QNY24" s="2235"/>
      <c r="QNZ24" s="2234"/>
      <c r="QOA24" s="2235"/>
      <c r="QOB24" s="2235"/>
      <c r="QOC24" s="2234"/>
      <c r="QOD24" s="2235"/>
      <c r="QOE24" s="2235"/>
      <c r="QOF24" s="2234"/>
      <c r="QOG24" s="2235"/>
      <c r="QOH24" s="2235"/>
      <c r="QOI24" s="2234"/>
      <c r="QOJ24" s="2235"/>
      <c r="QOK24" s="2235"/>
      <c r="QOL24" s="2234"/>
      <c r="QOM24" s="2235"/>
      <c r="QON24" s="2235"/>
      <c r="QOO24" s="2234"/>
      <c r="QOP24" s="2235"/>
      <c r="QOQ24" s="2235"/>
      <c r="QOR24" s="2234"/>
      <c r="QOS24" s="2235"/>
      <c r="QOT24" s="2235"/>
      <c r="QOU24" s="2234"/>
      <c r="QOV24" s="2235"/>
      <c r="QOW24" s="2235"/>
      <c r="QOX24" s="2234"/>
      <c r="QOY24" s="2235"/>
      <c r="QOZ24" s="2235"/>
      <c r="QPA24" s="2234"/>
      <c r="QPB24" s="2235"/>
      <c r="QPC24" s="2235"/>
      <c r="QPD24" s="2234"/>
      <c r="QPE24" s="2235"/>
      <c r="QPF24" s="2235"/>
      <c r="QPG24" s="2234"/>
      <c r="QPH24" s="2235"/>
      <c r="QPI24" s="2235"/>
      <c r="QPJ24" s="2234"/>
      <c r="QPK24" s="2235"/>
      <c r="QPL24" s="2235"/>
      <c r="QPM24" s="2234"/>
      <c r="QPN24" s="2235"/>
      <c r="QPO24" s="2235"/>
      <c r="QPP24" s="2234"/>
      <c r="QPQ24" s="2235"/>
      <c r="QPR24" s="2235"/>
      <c r="QPS24" s="2234"/>
      <c r="QPT24" s="2235"/>
      <c r="QPU24" s="2235"/>
      <c r="QPV24" s="2234"/>
      <c r="QPW24" s="2235"/>
      <c r="QPX24" s="2235"/>
      <c r="QPY24" s="2234"/>
      <c r="QPZ24" s="2235"/>
      <c r="QQA24" s="2235"/>
      <c r="QQB24" s="2234"/>
      <c r="QQC24" s="2235"/>
      <c r="QQD24" s="2235"/>
      <c r="QQE24" s="2234"/>
      <c r="QQF24" s="2235"/>
      <c r="QQG24" s="2235"/>
      <c r="QQH24" s="2234"/>
      <c r="QQI24" s="2235"/>
      <c r="QQJ24" s="2235"/>
      <c r="QQK24" s="2234"/>
      <c r="QQL24" s="2235"/>
      <c r="QQM24" s="2235"/>
      <c r="QQN24" s="2234"/>
      <c r="QQO24" s="2235"/>
      <c r="QQP24" s="2235"/>
      <c r="QQQ24" s="2234"/>
      <c r="QQR24" s="2235"/>
      <c r="QQS24" s="2235"/>
      <c r="QQT24" s="2234"/>
      <c r="QQU24" s="2235"/>
      <c r="QQV24" s="2235"/>
      <c r="QQW24" s="2234"/>
      <c r="QQX24" s="2235"/>
      <c r="QQY24" s="2235"/>
      <c r="QQZ24" s="2234"/>
      <c r="QRA24" s="2235"/>
      <c r="QRB24" s="2235"/>
      <c r="QRC24" s="2234"/>
      <c r="QRD24" s="2235"/>
      <c r="QRE24" s="2235"/>
      <c r="QRF24" s="2234"/>
      <c r="QRG24" s="2235"/>
      <c r="QRH24" s="2235"/>
      <c r="QRI24" s="2234"/>
      <c r="QRJ24" s="2235"/>
      <c r="QRK24" s="2235"/>
      <c r="QRL24" s="2234"/>
      <c r="QRM24" s="2235"/>
      <c r="QRN24" s="2235"/>
      <c r="QRO24" s="2234"/>
      <c r="QRP24" s="2235"/>
      <c r="QRQ24" s="2235"/>
      <c r="QRR24" s="2234"/>
      <c r="QRS24" s="2235"/>
      <c r="QRT24" s="2235"/>
      <c r="QRU24" s="2234"/>
      <c r="QRV24" s="2235"/>
      <c r="QRW24" s="2235"/>
      <c r="QRX24" s="2234"/>
      <c r="QRY24" s="2235"/>
      <c r="QRZ24" s="2235"/>
      <c r="QSA24" s="2234"/>
      <c r="QSB24" s="2235"/>
      <c r="QSC24" s="2235"/>
      <c r="QSD24" s="2234"/>
      <c r="QSE24" s="2235"/>
      <c r="QSF24" s="2235"/>
      <c r="QSG24" s="2234"/>
      <c r="QSH24" s="2235"/>
      <c r="QSI24" s="2235"/>
      <c r="QSJ24" s="2234"/>
      <c r="QSK24" s="2235"/>
      <c r="QSL24" s="2235"/>
      <c r="QSM24" s="2234"/>
      <c r="QSN24" s="2235"/>
      <c r="QSO24" s="2235"/>
      <c r="QSP24" s="2234"/>
      <c r="QSQ24" s="2235"/>
      <c r="QSR24" s="2235"/>
      <c r="QSS24" s="2234"/>
      <c r="QST24" s="2235"/>
      <c r="QSU24" s="2235"/>
      <c r="QSV24" s="2234"/>
      <c r="QSW24" s="2235"/>
      <c r="QSX24" s="2235"/>
      <c r="QSY24" s="2234"/>
      <c r="QSZ24" s="2235"/>
      <c r="QTA24" s="2235"/>
      <c r="QTB24" s="2234"/>
      <c r="QTC24" s="2235"/>
      <c r="QTD24" s="2235"/>
      <c r="QTE24" s="2234"/>
      <c r="QTF24" s="2235"/>
      <c r="QTG24" s="2235"/>
      <c r="QTH24" s="2234"/>
      <c r="QTI24" s="2235"/>
      <c r="QTJ24" s="2235"/>
      <c r="QTK24" s="2234"/>
      <c r="QTL24" s="2235"/>
      <c r="QTM24" s="2235"/>
      <c r="QTN24" s="2234"/>
      <c r="QTO24" s="2235"/>
      <c r="QTP24" s="2235"/>
      <c r="QTQ24" s="2234"/>
      <c r="QTR24" s="2235"/>
      <c r="QTS24" s="2235"/>
      <c r="QTT24" s="2234"/>
      <c r="QTU24" s="2235"/>
      <c r="QTV24" s="2235"/>
      <c r="QTW24" s="2234"/>
      <c r="QTX24" s="2235"/>
      <c r="QTY24" s="2235"/>
      <c r="QTZ24" s="2234"/>
      <c r="QUA24" s="2235"/>
      <c r="QUB24" s="2235"/>
      <c r="QUC24" s="2234"/>
      <c r="QUD24" s="2235"/>
      <c r="QUE24" s="2235"/>
      <c r="QUF24" s="2234"/>
      <c r="QUG24" s="2235"/>
      <c r="QUH24" s="2235"/>
      <c r="QUI24" s="2234"/>
      <c r="QUJ24" s="2235"/>
      <c r="QUK24" s="2235"/>
      <c r="QUL24" s="2234"/>
      <c r="QUM24" s="2235"/>
      <c r="QUN24" s="2235"/>
      <c r="QUO24" s="2234"/>
      <c r="QUP24" s="2235"/>
      <c r="QUQ24" s="2235"/>
      <c r="QUR24" s="2234"/>
      <c r="QUS24" s="2235"/>
      <c r="QUT24" s="2235"/>
      <c r="QUU24" s="2234"/>
      <c r="QUV24" s="2235"/>
      <c r="QUW24" s="2235"/>
      <c r="QUX24" s="2234"/>
      <c r="QUY24" s="2235"/>
      <c r="QUZ24" s="2235"/>
      <c r="QVA24" s="2234"/>
      <c r="QVB24" s="2235"/>
      <c r="QVC24" s="2235"/>
      <c r="QVD24" s="2234"/>
      <c r="QVE24" s="2235"/>
      <c r="QVF24" s="2235"/>
      <c r="QVG24" s="2234"/>
      <c r="QVH24" s="2235"/>
      <c r="QVI24" s="2235"/>
      <c r="QVJ24" s="2234"/>
      <c r="QVK24" s="2235"/>
      <c r="QVL24" s="2235"/>
      <c r="QVM24" s="2234"/>
      <c r="QVN24" s="2235"/>
      <c r="QVO24" s="2235"/>
      <c r="QVP24" s="2234"/>
      <c r="QVQ24" s="2235"/>
      <c r="QVR24" s="2235"/>
      <c r="QVS24" s="2234"/>
      <c r="QVT24" s="2235"/>
      <c r="QVU24" s="2235"/>
      <c r="QVV24" s="2234"/>
      <c r="QVW24" s="2235"/>
      <c r="QVX24" s="2235"/>
      <c r="QVY24" s="2234"/>
      <c r="QVZ24" s="2235"/>
      <c r="QWA24" s="2235"/>
      <c r="QWB24" s="2234"/>
      <c r="QWC24" s="2235"/>
      <c r="QWD24" s="2235"/>
      <c r="QWE24" s="2234"/>
      <c r="QWF24" s="2235"/>
      <c r="QWG24" s="2235"/>
      <c r="QWH24" s="2234"/>
      <c r="QWI24" s="2235"/>
      <c r="QWJ24" s="2235"/>
      <c r="QWK24" s="2234"/>
      <c r="QWL24" s="2235"/>
      <c r="QWM24" s="2235"/>
      <c r="QWN24" s="2234"/>
      <c r="QWO24" s="2235"/>
      <c r="QWP24" s="2235"/>
      <c r="QWQ24" s="2234"/>
      <c r="QWR24" s="2235"/>
      <c r="QWS24" s="2235"/>
      <c r="QWT24" s="2234"/>
      <c r="QWU24" s="2235"/>
      <c r="QWV24" s="2235"/>
      <c r="QWW24" s="2234"/>
      <c r="QWX24" s="2235"/>
      <c r="QWY24" s="2235"/>
      <c r="QWZ24" s="2234"/>
      <c r="QXA24" s="2235"/>
      <c r="QXB24" s="2235"/>
      <c r="QXC24" s="2234"/>
      <c r="QXD24" s="2235"/>
      <c r="QXE24" s="2235"/>
      <c r="QXF24" s="2234"/>
      <c r="QXG24" s="2235"/>
      <c r="QXH24" s="2235"/>
      <c r="QXI24" s="2234"/>
      <c r="QXJ24" s="2235"/>
      <c r="QXK24" s="2235"/>
      <c r="QXL24" s="2234"/>
      <c r="QXM24" s="2235"/>
      <c r="QXN24" s="2235"/>
      <c r="QXO24" s="2234"/>
      <c r="QXP24" s="2235"/>
      <c r="QXQ24" s="2235"/>
      <c r="QXR24" s="2234"/>
      <c r="QXS24" s="2235"/>
      <c r="QXT24" s="2235"/>
      <c r="QXU24" s="2234"/>
      <c r="QXV24" s="2235"/>
      <c r="QXW24" s="2235"/>
      <c r="QXX24" s="2234"/>
      <c r="QXY24" s="2235"/>
      <c r="QXZ24" s="2235"/>
      <c r="QYA24" s="2234"/>
      <c r="QYB24" s="2235"/>
      <c r="QYC24" s="2235"/>
      <c r="QYD24" s="2234"/>
      <c r="QYE24" s="2235"/>
      <c r="QYF24" s="2235"/>
      <c r="QYG24" s="2234"/>
      <c r="QYH24" s="2235"/>
      <c r="QYI24" s="2235"/>
      <c r="QYJ24" s="2234"/>
      <c r="QYK24" s="2235"/>
      <c r="QYL24" s="2235"/>
      <c r="QYM24" s="2234"/>
      <c r="QYN24" s="2235"/>
      <c r="QYO24" s="2235"/>
      <c r="QYP24" s="2234"/>
      <c r="QYQ24" s="2235"/>
      <c r="QYR24" s="2235"/>
      <c r="QYS24" s="2234"/>
      <c r="QYT24" s="2235"/>
      <c r="QYU24" s="2235"/>
      <c r="QYV24" s="2234"/>
      <c r="QYW24" s="2235"/>
      <c r="QYX24" s="2235"/>
      <c r="QYY24" s="2234"/>
      <c r="QYZ24" s="2235"/>
      <c r="QZA24" s="2235"/>
      <c r="QZB24" s="2234"/>
      <c r="QZC24" s="2235"/>
      <c r="QZD24" s="2235"/>
      <c r="QZE24" s="2234"/>
      <c r="QZF24" s="2235"/>
      <c r="QZG24" s="2235"/>
      <c r="QZH24" s="2234"/>
      <c r="QZI24" s="2235"/>
      <c r="QZJ24" s="2235"/>
      <c r="QZK24" s="2234"/>
      <c r="QZL24" s="2235"/>
      <c r="QZM24" s="2235"/>
      <c r="QZN24" s="2234"/>
      <c r="QZO24" s="2235"/>
      <c r="QZP24" s="2235"/>
      <c r="QZQ24" s="2234"/>
      <c r="QZR24" s="2235"/>
      <c r="QZS24" s="2235"/>
      <c r="QZT24" s="2234"/>
      <c r="QZU24" s="2235"/>
      <c r="QZV24" s="2235"/>
      <c r="QZW24" s="2234"/>
      <c r="QZX24" s="2235"/>
      <c r="QZY24" s="2235"/>
      <c r="QZZ24" s="2234"/>
      <c r="RAA24" s="2235"/>
      <c r="RAB24" s="2235"/>
      <c r="RAC24" s="2234"/>
      <c r="RAD24" s="2235"/>
      <c r="RAE24" s="2235"/>
      <c r="RAF24" s="2234"/>
      <c r="RAG24" s="2235"/>
      <c r="RAH24" s="2235"/>
      <c r="RAI24" s="2234"/>
      <c r="RAJ24" s="2235"/>
      <c r="RAK24" s="2235"/>
      <c r="RAL24" s="2234"/>
      <c r="RAM24" s="2235"/>
      <c r="RAN24" s="2235"/>
      <c r="RAO24" s="2234"/>
      <c r="RAP24" s="2235"/>
      <c r="RAQ24" s="2235"/>
      <c r="RAR24" s="2234"/>
      <c r="RAS24" s="2235"/>
      <c r="RAT24" s="2235"/>
      <c r="RAU24" s="2234"/>
      <c r="RAV24" s="2235"/>
      <c r="RAW24" s="2235"/>
      <c r="RAX24" s="2234"/>
      <c r="RAY24" s="2235"/>
      <c r="RAZ24" s="2235"/>
      <c r="RBA24" s="2234"/>
      <c r="RBB24" s="2235"/>
      <c r="RBC24" s="2235"/>
      <c r="RBD24" s="2234"/>
      <c r="RBE24" s="2235"/>
      <c r="RBF24" s="2235"/>
      <c r="RBG24" s="2234"/>
      <c r="RBH24" s="2235"/>
      <c r="RBI24" s="2235"/>
      <c r="RBJ24" s="2234"/>
      <c r="RBK24" s="2235"/>
      <c r="RBL24" s="2235"/>
      <c r="RBM24" s="2234"/>
      <c r="RBN24" s="2235"/>
      <c r="RBO24" s="2235"/>
      <c r="RBP24" s="2234"/>
      <c r="RBQ24" s="2235"/>
      <c r="RBR24" s="2235"/>
      <c r="RBS24" s="2234"/>
      <c r="RBT24" s="2235"/>
      <c r="RBU24" s="2235"/>
      <c r="RBV24" s="2234"/>
      <c r="RBW24" s="2235"/>
      <c r="RBX24" s="2235"/>
      <c r="RBY24" s="2234"/>
      <c r="RBZ24" s="2235"/>
      <c r="RCA24" s="2235"/>
      <c r="RCB24" s="2234"/>
      <c r="RCC24" s="2235"/>
      <c r="RCD24" s="2235"/>
      <c r="RCE24" s="2234"/>
      <c r="RCF24" s="2235"/>
      <c r="RCG24" s="2235"/>
      <c r="RCH24" s="2234"/>
      <c r="RCI24" s="2235"/>
      <c r="RCJ24" s="2235"/>
      <c r="RCK24" s="2234"/>
      <c r="RCL24" s="2235"/>
      <c r="RCM24" s="2235"/>
      <c r="RCN24" s="2234"/>
      <c r="RCO24" s="2235"/>
      <c r="RCP24" s="2235"/>
      <c r="RCQ24" s="2234"/>
      <c r="RCR24" s="2235"/>
      <c r="RCS24" s="2235"/>
      <c r="RCT24" s="2234"/>
      <c r="RCU24" s="2235"/>
      <c r="RCV24" s="2235"/>
      <c r="RCW24" s="2234"/>
      <c r="RCX24" s="2235"/>
      <c r="RCY24" s="2235"/>
      <c r="RCZ24" s="2234"/>
      <c r="RDA24" s="2235"/>
      <c r="RDB24" s="2235"/>
      <c r="RDC24" s="2234"/>
      <c r="RDD24" s="2235"/>
      <c r="RDE24" s="2235"/>
      <c r="RDF24" s="2234"/>
      <c r="RDG24" s="2235"/>
      <c r="RDH24" s="2235"/>
      <c r="RDI24" s="2234"/>
      <c r="RDJ24" s="2235"/>
      <c r="RDK24" s="2235"/>
      <c r="RDL24" s="2234"/>
      <c r="RDM24" s="2235"/>
      <c r="RDN24" s="2235"/>
      <c r="RDO24" s="2234"/>
      <c r="RDP24" s="2235"/>
      <c r="RDQ24" s="2235"/>
      <c r="RDR24" s="2234"/>
      <c r="RDS24" s="2235"/>
      <c r="RDT24" s="2235"/>
      <c r="RDU24" s="2234"/>
      <c r="RDV24" s="2235"/>
      <c r="RDW24" s="2235"/>
      <c r="RDX24" s="2234"/>
      <c r="RDY24" s="2235"/>
      <c r="RDZ24" s="2235"/>
      <c r="REA24" s="2234"/>
      <c r="REB24" s="2235"/>
      <c r="REC24" s="2235"/>
      <c r="RED24" s="2234"/>
      <c r="REE24" s="2235"/>
      <c r="REF24" s="2235"/>
      <c r="REG24" s="2234"/>
      <c r="REH24" s="2235"/>
      <c r="REI24" s="2235"/>
      <c r="REJ24" s="2234"/>
      <c r="REK24" s="2235"/>
      <c r="REL24" s="2235"/>
      <c r="REM24" s="2234"/>
      <c r="REN24" s="2235"/>
      <c r="REO24" s="2235"/>
      <c r="REP24" s="2234"/>
      <c r="REQ24" s="2235"/>
      <c r="RER24" s="2235"/>
      <c r="RES24" s="2234"/>
      <c r="RET24" s="2235"/>
      <c r="REU24" s="2235"/>
      <c r="REV24" s="2234"/>
      <c r="REW24" s="2235"/>
      <c r="REX24" s="2235"/>
      <c r="REY24" s="2234"/>
      <c r="REZ24" s="2235"/>
      <c r="RFA24" s="2235"/>
      <c r="RFB24" s="2234"/>
      <c r="RFC24" s="2235"/>
      <c r="RFD24" s="2235"/>
      <c r="RFE24" s="2234"/>
      <c r="RFF24" s="2235"/>
      <c r="RFG24" s="2235"/>
      <c r="RFH24" s="2234"/>
      <c r="RFI24" s="2235"/>
      <c r="RFJ24" s="2235"/>
      <c r="RFK24" s="2234"/>
      <c r="RFL24" s="2235"/>
      <c r="RFM24" s="2235"/>
      <c r="RFN24" s="2234"/>
      <c r="RFO24" s="2235"/>
      <c r="RFP24" s="2235"/>
      <c r="RFQ24" s="2234"/>
      <c r="RFR24" s="2235"/>
      <c r="RFS24" s="2235"/>
      <c r="RFT24" s="2234"/>
      <c r="RFU24" s="2235"/>
      <c r="RFV24" s="2235"/>
      <c r="RFW24" s="2234"/>
      <c r="RFX24" s="2235"/>
      <c r="RFY24" s="2235"/>
      <c r="RFZ24" s="2234"/>
      <c r="RGA24" s="2235"/>
      <c r="RGB24" s="2235"/>
      <c r="RGC24" s="2234"/>
      <c r="RGD24" s="2235"/>
      <c r="RGE24" s="2235"/>
      <c r="RGF24" s="2234"/>
      <c r="RGG24" s="2235"/>
      <c r="RGH24" s="2235"/>
      <c r="RGI24" s="2234"/>
      <c r="RGJ24" s="2235"/>
      <c r="RGK24" s="2235"/>
      <c r="RGL24" s="2234"/>
      <c r="RGM24" s="2235"/>
      <c r="RGN24" s="2235"/>
      <c r="RGO24" s="2234"/>
      <c r="RGP24" s="2235"/>
      <c r="RGQ24" s="2235"/>
      <c r="RGR24" s="2234"/>
      <c r="RGS24" s="2235"/>
      <c r="RGT24" s="2235"/>
      <c r="RGU24" s="2234"/>
      <c r="RGV24" s="2235"/>
      <c r="RGW24" s="2235"/>
      <c r="RGX24" s="2234"/>
      <c r="RGY24" s="2235"/>
      <c r="RGZ24" s="2235"/>
      <c r="RHA24" s="2234"/>
      <c r="RHB24" s="2235"/>
      <c r="RHC24" s="2235"/>
      <c r="RHD24" s="2234"/>
      <c r="RHE24" s="2235"/>
      <c r="RHF24" s="2235"/>
      <c r="RHG24" s="2234"/>
      <c r="RHH24" s="2235"/>
      <c r="RHI24" s="2235"/>
      <c r="RHJ24" s="2234"/>
      <c r="RHK24" s="2235"/>
      <c r="RHL24" s="2235"/>
      <c r="RHM24" s="2234"/>
      <c r="RHN24" s="2235"/>
      <c r="RHO24" s="2235"/>
      <c r="RHP24" s="2234"/>
      <c r="RHQ24" s="2235"/>
      <c r="RHR24" s="2235"/>
      <c r="RHS24" s="2234"/>
      <c r="RHT24" s="2235"/>
      <c r="RHU24" s="2235"/>
      <c r="RHV24" s="2234"/>
      <c r="RHW24" s="2235"/>
      <c r="RHX24" s="2235"/>
      <c r="RHY24" s="2234"/>
      <c r="RHZ24" s="2235"/>
      <c r="RIA24" s="2235"/>
      <c r="RIB24" s="2234"/>
      <c r="RIC24" s="2235"/>
      <c r="RID24" s="2235"/>
      <c r="RIE24" s="2234"/>
      <c r="RIF24" s="2235"/>
      <c r="RIG24" s="2235"/>
      <c r="RIH24" s="2234"/>
      <c r="RII24" s="2235"/>
      <c r="RIJ24" s="2235"/>
      <c r="RIK24" s="2234"/>
      <c r="RIL24" s="2235"/>
      <c r="RIM24" s="2235"/>
      <c r="RIN24" s="2234"/>
      <c r="RIO24" s="2235"/>
      <c r="RIP24" s="2235"/>
      <c r="RIQ24" s="2234"/>
      <c r="RIR24" s="2235"/>
      <c r="RIS24" s="2235"/>
      <c r="RIT24" s="2234"/>
      <c r="RIU24" s="2235"/>
      <c r="RIV24" s="2235"/>
      <c r="RIW24" s="2234"/>
      <c r="RIX24" s="2235"/>
      <c r="RIY24" s="2235"/>
      <c r="RIZ24" s="2234"/>
      <c r="RJA24" s="2235"/>
      <c r="RJB24" s="2235"/>
      <c r="RJC24" s="2234"/>
      <c r="RJD24" s="2235"/>
      <c r="RJE24" s="2235"/>
      <c r="RJF24" s="2234"/>
      <c r="RJG24" s="2235"/>
      <c r="RJH24" s="2235"/>
      <c r="RJI24" s="2234"/>
      <c r="RJJ24" s="2235"/>
      <c r="RJK24" s="2235"/>
      <c r="RJL24" s="2234"/>
      <c r="RJM24" s="2235"/>
      <c r="RJN24" s="2235"/>
      <c r="RJO24" s="2234"/>
      <c r="RJP24" s="2235"/>
      <c r="RJQ24" s="2235"/>
      <c r="RJR24" s="2234"/>
      <c r="RJS24" s="2235"/>
      <c r="RJT24" s="2235"/>
      <c r="RJU24" s="2234"/>
      <c r="RJV24" s="2235"/>
      <c r="RJW24" s="2235"/>
      <c r="RJX24" s="2234"/>
      <c r="RJY24" s="2235"/>
      <c r="RJZ24" s="2235"/>
      <c r="RKA24" s="2234"/>
      <c r="RKB24" s="2235"/>
      <c r="RKC24" s="2235"/>
      <c r="RKD24" s="2234"/>
      <c r="RKE24" s="2235"/>
      <c r="RKF24" s="2235"/>
      <c r="RKG24" s="2234"/>
      <c r="RKH24" s="2235"/>
      <c r="RKI24" s="2235"/>
      <c r="RKJ24" s="2234"/>
      <c r="RKK24" s="2235"/>
      <c r="RKL24" s="2235"/>
      <c r="RKM24" s="2234"/>
      <c r="RKN24" s="2235"/>
      <c r="RKO24" s="2235"/>
      <c r="RKP24" s="2234"/>
      <c r="RKQ24" s="2235"/>
      <c r="RKR24" s="2235"/>
      <c r="RKS24" s="2234"/>
      <c r="RKT24" s="2235"/>
      <c r="RKU24" s="2235"/>
      <c r="RKV24" s="2234"/>
      <c r="RKW24" s="2235"/>
      <c r="RKX24" s="2235"/>
      <c r="RKY24" s="2234"/>
      <c r="RKZ24" s="2235"/>
      <c r="RLA24" s="2235"/>
      <c r="RLB24" s="2234"/>
      <c r="RLC24" s="2235"/>
      <c r="RLD24" s="2235"/>
      <c r="RLE24" s="2234"/>
      <c r="RLF24" s="2235"/>
      <c r="RLG24" s="2235"/>
      <c r="RLH24" s="2234"/>
      <c r="RLI24" s="2235"/>
      <c r="RLJ24" s="2235"/>
      <c r="RLK24" s="2234"/>
      <c r="RLL24" s="2235"/>
      <c r="RLM24" s="2235"/>
      <c r="RLN24" s="2234"/>
      <c r="RLO24" s="2235"/>
      <c r="RLP24" s="2235"/>
      <c r="RLQ24" s="2234"/>
      <c r="RLR24" s="2235"/>
      <c r="RLS24" s="2235"/>
      <c r="RLT24" s="2234"/>
      <c r="RLU24" s="2235"/>
      <c r="RLV24" s="2235"/>
      <c r="RLW24" s="2234"/>
      <c r="RLX24" s="2235"/>
      <c r="RLY24" s="2235"/>
      <c r="RLZ24" s="2234"/>
      <c r="RMA24" s="2235"/>
      <c r="RMB24" s="2235"/>
      <c r="RMC24" s="2234"/>
      <c r="RMD24" s="2235"/>
      <c r="RME24" s="2235"/>
      <c r="RMF24" s="2234"/>
      <c r="RMG24" s="2235"/>
      <c r="RMH24" s="2235"/>
      <c r="RMI24" s="2234"/>
      <c r="RMJ24" s="2235"/>
      <c r="RMK24" s="2235"/>
      <c r="RML24" s="2234"/>
      <c r="RMM24" s="2235"/>
      <c r="RMN24" s="2235"/>
      <c r="RMO24" s="2234"/>
      <c r="RMP24" s="2235"/>
      <c r="RMQ24" s="2235"/>
      <c r="RMR24" s="2234"/>
      <c r="RMS24" s="2235"/>
      <c r="RMT24" s="2235"/>
      <c r="RMU24" s="2234"/>
      <c r="RMV24" s="2235"/>
      <c r="RMW24" s="2235"/>
      <c r="RMX24" s="2234"/>
      <c r="RMY24" s="2235"/>
      <c r="RMZ24" s="2235"/>
      <c r="RNA24" s="2234"/>
      <c r="RNB24" s="2235"/>
      <c r="RNC24" s="2235"/>
      <c r="RND24" s="2234"/>
      <c r="RNE24" s="2235"/>
      <c r="RNF24" s="2235"/>
      <c r="RNG24" s="2234"/>
      <c r="RNH24" s="2235"/>
      <c r="RNI24" s="2235"/>
      <c r="RNJ24" s="2234"/>
      <c r="RNK24" s="2235"/>
      <c r="RNL24" s="2235"/>
      <c r="RNM24" s="2234"/>
      <c r="RNN24" s="2235"/>
      <c r="RNO24" s="2235"/>
      <c r="RNP24" s="2234"/>
      <c r="RNQ24" s="2235"/>
      <c r="RNR24" s="2235"/>
      <c r="RNS24" s="2234"/>
      <c r="RNT24" s="2235"/>
      <c r="RNU24" s="2235"/>
      <c r="RNV24" s="2234"/>
      <c r="RNW24" s="2235"/>
      <c r="RNX24" s="2235"/>
      <c r="RNY24" s="2234"/>
      <c r="RNZ24" s="2235"/>
      <c r="ROA24" s="2235"/>
      <c r="ROB24" s="2234"/>
      <c r="ROC24" s="2235"/>
      <c r="ROD24" s="2235"/>
      <c r="ROE24" s="2234"/>
      <c r="ROF24" s="2235"/>
      <c r="ROG24" s="2235"/>
      <c r="ROH24" s="2234"/>
      <c r="ROI24" s="2235"/>
      <c r="ROJ24" s="2235"/>
      <c r="ROK24" s="2234"/>
      <c r="ROL24" s="2235"/>
      <c r="ROM24" s="2235"/>
      <c r="RON24" s="2234"/>
      <c r="ROO24" s="2235"/>
      <c r="ROP24" s="2235"/>
      <c r="ROQ24" s="2234"/>
      <c r="ROR24" s="2235"/>
      <c r="ROS24" s="2235"/>
      <c r="ROT24" s="2234"/>
      <c r="ROU24" s="2235"/>
      <c r="ROV24" s="2235"/>
      <c r="ROW24" s="2234"/>
      <c r="ROX24" s="2235"/>
      <c r="ROY24" s="2235"/>
      <c r="ROZ24" s="2234"/>
      <c r="RPA24" s="2235"/>
      <c r="RPB24" s="2235"/>
      <c r="RPC24" s="2234"/>
      <c r="RPD24" s="2235"/>
      <c r="RPE24" s="2235"/>
      <c r="RPF24" s="2234"/>
      <c r="RPG24" s="2235"/>
      <c r="RPH24" s="2235"/>
      <c r="RPI24" s="2234"/>
      <c r="RPJ24" s="2235"/>
      <c r="RPK24" s="2235"/>
      <c r="RPL24" s="2234"/>
      <c r="RPM24" s="2235"/>
      <c r="RPN24" s="2235"/>
      <c r="RPO24" s="2234"/>
      <c r="RPP24" s="2235"/>
      <c r="RPQ24" s="2235"/>
      <c r="RPR24" s="2234"/>
      <c r="RPS24" s="2235"/>
      <c r="RPT24" s="2235"/>
      <c r="RPU24" s="2234"/>
      <c r="RPV24" s="2235"/>
      <c r="RPW24" s="2235"/>
      <c r="RPX24" s="2234"/>
      <c r="RPY24" s="2235"/>
      <c r="RPZ24" s="2235"/>
      <c r="RQA24" s="2234"/>
      <c r="RQB24" s="2235"/>
      <c r="RQC24" s="2235"/>
      <c r="RQD24" s="2234"/>
      <c r="RQE24" s="2235"/>
      <c r="RQF24" s="2235"/>
      <c r="RQG24" s="2234"/>
      <c r="RQH24" s="2235"/>
      <c r="RQI24" s="2235"/>
      <c r="RQJ24" s="2234"/>
      <c r="RQK24" s="2235"/>
      <c r="RQL24" s="2235"/>
      <c r="RQM24" s="2234"/>
      <c r="RQN24" s="2235"/>
      <c r="RQO24" s="2235"/>
      <c r="RQP24" s="2234"/>
      <c r="RQQ24" s="2235"/>
      <c r="RQR24" s="2235"/>
      <c r="RQS24" s="2234"/>
      <c r="RQT24" s="2235"/>
      <c r="RQU24" s="2235"/>
      <c r="RQV24" s="2234"/>
      <c r="RQW24" s="2235"/>
      <c r="RQX24" s="2235"/>
      <c r="RQY24" s="2234"/>
      <c r="RQZ24" s="2235"/>
      <c r="RRA24" s="2235"/>
      <c r="RRB24" s="2234"/>
      <c r="RRC24" s="2235"/>
      <c r="RRD24" s="2235"/>
      <c r="RRE24" s="2234"/>
      <c r="RRF24" s="2235"/>
      <c r="RRG24" s="2235"/>
      <c r="RRH24" s="2234"/>
      <c r="RRI24" s="2235"/>
      <c r="RRJ24" s="2235"/>
      <c r="RRK24" s="2234"/>
      <c r="RRL24" s="2235"/>
      <c r="RRM24" s="2235"/>
      <c r="RRN24" s="2234"/>
      <c r="RRO24" s="2235"/>
      <c r="RRP24" s="2235"/>
      <c r="RRQ24" s="2234"/>
      <c r="RRR24" s="2235"/>
      <c r="RRS24" s="2235"/>
      <c r="RRT24" s="2234"/>
      <c r="RRU24" s="2235"/>
      <c r="RRV24" s="2235"/>
      <c r="RRW24" s="2234"/>
      <c r="RRX24" s="2235"/>
      <c r="RRY24" s="2235"/>
      <c r="RRZ24" s="2234"/>
      <c r="RSA24" s="2235"/>
      <c r="RSB24" s="2235"/>
      <c r="RSC24" s="2234"/>
      <c r="RSD24" s="2235"/>
      <c r="RSE24" s="2235"/>
      <c r="RSF24" s="2234"/>
      <c r="RSG24" s="2235"/>
      <c r="RSH24" s="2235"/>
      <c r="RSI24" s="2234"/>
      <c r="RSJ24" s="2235"/>
      <c r="RSK24" s="2235"/>
      <c r="RSL24" s="2234"/>
      <c r="RSM24" s="2235"/>
      <c r="RSN24" s="2235"/>
      <c r="RSO24" s="2234"/>
      <c r="RSP24" s="2235"/>
      <c r="RSQ24" s="2235"/>
      <c r="RSR24" s="2234"/>
      <c r="RSS24" s="2235"/>
      <c r="RST24" s="2235"/>
      <c r="RSU24" s="2234"/>
      <c r="RSV24" s="2235"/>
      <c r="RSW24" s="2235"/>
      <c r="RSX24" s="2234"/>
      <c r="RSY24" s="2235"/>
      <c r="RSZ24" s="2235"/>
      <c r="RTA24" s="2234"/>
      <c r="RTB24" s="2235"/>
      <c r="RTC24" s="2235"/>
      <c r="RTD24" s="2234"/>
      <c r="RTE24" s="2235"/>
      <c r="RTF24" s="2235"/>
      <c r="RTG24" s="2234"/>
      <c r="RTH24" s="2235"/>
      <c r="RTI24" s="2235"/>
      <c r="RTJ24" s="2234"/>
      <c r="RTK24" s="2235"/>
      <c r="RTL24" s="2235"/>
      <c r="RTM24" s="2234"/>
      <c r="RTN24" s="2235"/>
      <c r="RTO24" s="2235"/>
      <c r="RTP24" s="2234"/>
      <c r="RTQ24" s="2235"/>
      <c r="RTR24" s="2235"/>
      <c r="RTS24" s="2234"/>
      <c r="RTT24" s="2235"/>
      <c r="RTU24" s="2235"/>
      <c r="RTV24" s="2234"/>
      <c r="RTW24" s="2235"/>
      <c r="RTX24" s="2235"/>
      <c r="RTY24" s="2234"/>
      <c r="RTZ24" s="2235"/>
      <c r="RUA24" s="2235"/>
      <c r="RUB24" s="2234"/>
      <c r="RUC24" s="2235"/>
      <c r="RUD24" s="2235"/>
      <c r="RUE24" s="2234"/>
      <c r="RUF24" s="2235"/>
      <c r="RUG24" s="2235"/>
      <c r="RUH24" s="2234"/>
      <c r="RUI24" s="2235"/>
      <c r="RUJ24" s="2235"/>
      <c r="RUK24" s="2234"/>
      <c r="RUL24" s="2235"/>
      <c r="RUM24" s="2235"/>
      <c r="RUN24" s="2234"/>
      <c r="RUO24" s="2235"/>
      <c r="RUP24" s="2235"/>
      <c r="RUQ24" s="2234"/>
      <c r="RUR24" s="2235"/>
      <c r="RUS24" s="2235"/>
      <c r="RUT24" s="2234"/>
      <c r="RUU24" s="2235"/>
      <c r="RUV24" s="2235"/>
      <c r="RUW24" s="2234"/>
      <c r="RUX24" s="2235"/>
      <c r="RUY24" s="2235"/>
      <c r="RUZ24" s="2234"/>
      <c r="RVA24" s="2235"/>
      <c r="RVB24" s="2235"/>
      <c r="RVC24" s="2234"/>
      <c r="RVD24" s="2235"/>
      <c r="RVE24" s="2235"/>
      <c r="RVF24" s="2234"/>
      <c r="RVG24" s="2235"/>
      <c r="RVH24" s="2235"/>
      <c r="RVI24" s="2234"/>
      <c r="RVJ24" s="2235"/>
      <c r="RVK24" s="2235"/>
      <c r="RVL24" s="2234"/>
      <c r="RVM24" s="2235"/>
      <c r="RVN24" s="2235"/>
      <c r="RVO24" s="2234"/>
      <c r="RVP24" s="2235"/>
      <c r="RVQ24" s="2235"/>
      <c r="RVR24" s="2234"/>
      <c r="RVS24" s="2235"/>
      <c r="RVT24" s="2235"/>
      <c r="RVU24" s="2234"/>
      <c r="RVV24" s="2235"/>
      <c r="RVW24" s="2235"/>
      <c r="RVX24" s="2234"/>
      <c r="RVY24" s="2235"/>
      <c r="RVZ24" s="2235"/>
      <c r="RWA24" s="2234"/>
      <c r="RWB24" s="2235"/>
      <c r="RWC24" s="2235"/>
      <c r="RWD24" s="2234"/>
      <c r="RWE24" s="2235"/>
      <c r="RWF24" s="2235"/>
      <c r="RWG24" s="2234"/>
      <c r="RWH24" s="2235"/>
      <c r="RWI24" s="2235"/>
      <c r="RWJ24" s="2234"/>
      <c r="RWK24" s="2235"/>
      <c r="RWL24" s="2235"/>
      <c r="RWM24" s="2234"/>
      <c r="RWN24" s="2235"/>
      <c r="RWO24" s="2235"/>
      <c r="RWP24" s="2234"/>
      <c r="RWQ24" s="2235"/>
      <c r="RWR24" s="2235"/>
      <c r="RWS24" s="2234"/>
      <c r="RWT24" s="2235"/>
      <c r="RWU24" s="2235"/>
      <c r="RWV24" s="2234"/>
      <c r="RWW24" s="2235"/>
      <c r="RWX24" s="2235"/>
      <c r="RWY24" s="2234"/>
      <c r="RWZ24" s="2235"/>
      <c r="RXA24" s="2235"/>
      <c r="RXB24" s="2234"/>
      <c r="RXC24" s="2235"/>
      <c r="RXD24" s="2235"/>
      <c r="RXE24" s="2234"/>
      <c r="RXF24" s="2235"/>
      <c r="RXG24" s="2235"/>
      <c r="RXH24" s="2234"/>
      <c r="RXI24" s="2235"/>
      <c r="RXJ24" s="2235"/>
      <c r="RXK24" s="2234"/>
      <c r="RXL24" s="2235"/>
      <c r="RXM24" s="2235"/>
      <c r="RXN24" s="2234"/>
      <c r="RXO24" s="2235"/>
      <c r="RXP24" s="2235"/>
      <c r="RXQ24" s="2234"/>
      <c r="RXR24" s="2235"/>
      <c r="RXS24" s="2235"/>
      <c r="RXT24" s="2234"/>
      <c r="RXU24" s="2235"/>
      <c r="RXV24" s="2235"/>
      <c r="RXW24" s="2234"/>
      <c r="RXX24" s="2235"/>
      <c r="RXY24" s="2235"/>
      <c r="RXZ24" s="2234"/>
      <c r="RYA24" s="2235"/>
      <c r="RYB24" s="2235"/>
      <c r="RYC24" s="2234"/>
      <c r="RYD24" s="2235"/>
      <c r="RYE24" s="2235"/>
      <c r="RYF24" s="2234"/>
      <c r="RYG24" s="2235"/>
      <c r="RYH24" s="2235"/>
      <c r="RYI24" s="2234"/>
      <c r="RYJ24" s="2235"/>
      <c r="RYK24" s="2235"/>
      <c r="RYL24" s="2234"/>
      <c r="RYM24" s="2235"/>
      <c r="RYN24" s="2235"/>
      <c r="RYO24" s="2234"/>
      <c r="RYP24" s="2235"/>
      <c r="RYQ24" s="2235"/>
      <c r="RYR24" s="2234"/>
      <c r="RYS24" s="2235"/>
      <c r="RYT24" s="2235"/>
      <c r="RYU24" s="2234"/>
      <c r="RYV24" s="2235"/>
      <c r="RYW24" s="2235"/>
      <c r="RYX24" s="2234"/>
      <c r="RYY24" s="2235"/>
      <c r="RYZ24" s="2235"/>
      <c r="RZA24" s="2234"/>
      <c r="RZB24" s="2235"/>
      <c r="RZC24" s="2235"/>
      <c r="RZD24" s="2234"/>
      <c r="RZE24" s="2235"/>
      <c r="RZF24" s="2235"/>
      <c r="RZG24" s="2234"/>
      <c r="RZH24" s="2235"/>
      <c r="RZI24" s="2235"/>
      <c r="RZJ24" s="2234"/>
      <c r="RZK24" s="2235"/>
      <c r="RZL24" s="2235"/>
      <c r="RZM24" s="2234"/>
      <c r="RZN24" s="2235"/>
      <c r="RZO24" s="2235"/>
      <c r="RZP24" s="2234"/>
      <c r="RZQ24" s="2235"/>
      <c r="RZR24" s="2235"/>
      <c r="RZS24" s="2234"/>
      <c r="RZT24" s="2235"/>
      <c r="RZU24" s="2235"/>
      <c r="RZV24" s="2234"/>
      <c r="RZW24" s="2235"/>
      <c r="RZX24" s="2235"/>
      <c r="RZY24" s="2234"/>
      <c r="RZZ24" s="2235"/>
      <c r="SAA24" s="2235"/>
      <c r="SAB24" s="2234"/>
      <c r="SAC24" s="2235"/>
      <c r="SAD24" s="2235"/>
      <c r="SAE24" s="2234"/>
      <c r="SAF24" s="2235"/>
      <c r="SAG24" s="2235"/>
      <c r="SAH24" s="2234"/>
      <c r="SAI24" s="2235"/>
      <c r="SAJ24" s="2235"/>
      <c r="SAK24" s="2234"/>
      <c r="SAL24" s="2235"/>
      <c r="SAM24" s="2235"/>
      <c r="SAN24" s="2234"/>
      <c r="SAO24" s="2235"/>
      <c r="SAP24" s="2235"/>
      <c r="SAQ24" s="2234"/>
      <c r="SAR24" s="2235"/>
      <c r="SAS24" s="2235"/>
      <c r="SAT24" s="2234"/>
      <c r="SAU24" s="2235"/>
      <c r="SAV24" s="2235"/>
      <c r="SAW24" s="2234"/>
      <c r="SAX24" s="2235"/>
      <c r="SAY24" s="2235"/>
      <c r="SAZ24" s="2234"/>
      <c r="SBA24" s="2235"/>
      <c r="SBB24" s="2235"/>
      <c r="SBC24" s="2234"/>
      <c r="SBD24" s="2235"/>
      <c r="SBE24" s="2235"/>
      <c r="SBF24" s="2234"/>
      <c r="SBG24" s="2235"/>
      <c r="SBH24" s="2235"/>
      <c r="SBI24" s="2234"/>
      <c r="SBJ24" s="2235"/>
      <c r="SBK24" s="2235"/>
      <c r="SBL24" s="2234"/>
      <c r="SBM24" s="2235"/>
      <c r="SBN24" s="2235"/>
      <c r="SBO24" s="2234"/>
      <c r="SBP24" s="2235"/>
      <c r="SBQ24" s="2235"/>
      <c r="SBR24" s="2234"/>
      <c r="SBS24" s="2235"/>
      <c r="SBT24" s="2235"/>
      <c r="SBU24" s="2234"/>
      <c r="SBV24" s="2235"/>
      <c r="SBW24" s="2235"/>
      <c r="SBX24" s="2234"/>
      <c r="SBY24" s="2235"/>
      <c r="SBZ24" s="2235"/>
      <c r="SCA24" s="2234"/>
      <c r="SCB24" s="2235"/>
      <c r="SCC24" s="2235"/>
      <c r="SCD24" s="2234"/>
      <c r="SCE24" s="2235"/>
      <c r="SCF24" s="2235"/>
      <c r="SCG24" s="2234"/>
      <c r="SCH24" s="2235"/>
      <c r="SCI24" s="2235"/>
      <c r="SCJ24" s="2234"/>
      <c r="SCK24" s="2235"/>
      <c r="SCL24" s="2235"/>
      <c r="SCM24" s="2234"/>
      <c r="SCN24" s="2235"/>
      <c r="SCO24" s="2235"/>
      <c r="SCP24" s="2234"/>
      <c r="SCQ24" s="2235"/>
      <c r="SCR24" s="2235"/>
      <c r="SCS24" s="2234"/>
      <c r="SCT24" s="2235"/>
      <c r="SCU24" s="2235"/>
      <c r="SCV24" s="2234"/>
      <c r="SCW24" s="2235"/>
      <c r="SCX24" s="2235"/>
      <c r="SCY24" s="2234"/>
      <c r="SCZ24" s="2235"/>
      <c r="SDA24" s="2235"/>
      <c r="SDB24" s="2234"/>
      <c r="SDC24" s="2235"/>
      <c r="SDD24" s="2235"/>
      <c r="SDE24" s="2234"/>
      <c r="SDF24" s="2235"/>
      <c r="SDG24" s="2235"/>
      <c r="SDH24" s="2234"/>
      <c r="SDI24" s="2235"/>
      <c r="SDJ24" s="2235"/>
      <c r="SDK24" s="2234"/>
      <c r="SDL24" s="2235"/>
      <c r="SDM24" s="2235"/>
      <c r="SDN24" s="2234"/>
      <c r="SDO24" s="2235"/>
      <c r="SDP24" s="2235"/>
      <c r="SDQ24" s="2234"/>
      <c r="SDR24" s="2235"/>
      <c r="SDS24" s="2235"/>
      <c r="SDT24" s="2234"/>
      <c r="SDU24" s="2235"/>
      <c r="SDV24" s="2235"/>
      <c r="SDW24" s="2234"/>
      <c r="SDX24" s="2235"/>
      <c r="SDY24" s="2235"/>
      <c r="SDZ24" s="2234"/>
      <c r="SEA24" s="2235"/>
      <c r="SEB24" s="2235"/>
      <c r="SEC24" s="2234"/>
      <c r="SED24" s="2235"/>
      <c r="SEE24" s="2235"/>
      <c r="SEF24" s="2234"/>
      <c r="SEG24" s="2235"/>
      <c r="SEH24" s="2235"/>
      <c r="SEI24" s="2234"/>
      <c r="SEJ24" s="2235"/>
      <c r="SEK24" s="2235"/>
      <c r="SEL24" s="2234"/>
      <c r="SEM24" s="2235"/>
      <c r="SEN24" s="2235"/>
      <c r="SEO24" s="2234"/>
      <c r="SEP24" s="2235"/>
      <c r="SEQ24" s="2235"/>
      <c r="SER24" s="2234"/>
      <c r="SES24" s="2235"/>
      <c r="SET24" s="2235"/>
      <c r="SEU24" s="2234"/>
      <c r="SEV24" s="2235"/>
      <c r="SEW24" s="2235"/>
      <c r="SEX24" s="2234"/>
      <c r="SEY24" s="2235"/>
      <c r="SEZ24" s="2235"/>
      <c r="SFA24" s="2234"/>
      <c r="SFB24" s="2235"/>
      <c r="SFC24" s="2235"/>
      <c r="SFD24" s="2234"/>
      <c r="SFE24" s="2235"/>
      <c r="SFF24" s="2235"/>
      <c r="SFG24" s="2234"/>
      <c r="SFH24" s="2235"/>
      <c r="SFI24" s="2235"/>
      <c r="SFJ24" s="2234"/>
      <c r="SFK24" s="2235"/>
      <c r="SFL24" s="2235"/>
      <c r="SFM24" s="2234"/>
      <c r="SFN24" s="2235"/>
      <c r="SFO24" s="2235"/>
      <c r="SFP24" s="2234"/>
      <c r="SFQ24" s="2235"/>
      <c r="SFR24" s="2235"/>
      <c r="SFS24" s="2234"/>
      <c r="SFT24" s="2235"/>
      <c r="SFU24" s="2235"/>
      <c r="SFV24" s="2234"/>
      <c r="SFW24" s="2235"/>
      <c r="SFX24" s="2235"/>
      <c r="SFY24" s="2234"/>
      <c r="SFZ24" s="2235"/>
      <c r="SGA24" s="2235"/>
      <c r="SGB24" s="2234"/>
      <c r="SGC24" s="2235"/>
      <c r="SGD24" s="2235"/>
      <c r="SGE24" s="2234"/>
      <c r="SGF24" s="2235"/>
      <c r="SGG24" s="2235"/>
      <c r="SGH24" s="2234"/>
      <c r="SGI24" s="2235"/>
      <c r="SGJ24" s="2235"/>
      <c r="SGK24" s="2234"/>
      <c r="SGL24" s="2235"/>
      <c r="SGM24" s="2235"/>
      <c r="SGN24" s="2234"/>
      <c r="SGO24" s="2235"/>
      <c r="SGP24" s="2235"/>
      <c r="SGQ24" s="2234"/>
      <c r="SGR24" s="2235"/>
      <c r="SGS24" s="2235"/>
      <c r="SGT24" s="2234"/>
      <c r="SGU24" s="2235"/>
      <c r="SGV24" s="2235"/>
      <c r="SGW24" s="2234"/>
      <c r="SGX24" s="2235"/>
      <c r="SGY24" s="2235"/>
      <c r="SGZ24" s="2234"/>
      <c r="SHA24" s="2235"/>
      <c r="SHB24" s="2235"/>
      <c r="SHC24" s="2234"/>
      <c r="SHD24" s="2235"/>
      <c r="SHE24" s="2235"/>
      <c r="SHF24" s="2234"/>
      <c r="SHG24" s="2235"/>
      <c r="SHH24" s="2235"/>
      <c r="SHI24" s="2234"/>
      <c r="SHJ24" s="2235"/>
      <c r="SHK24" s="2235"/>
      <c r="SHL24" s="2234"/>
      <c r="SHM24" s="2235"/>
      <c r="SHN24" s="2235"/>
      <c r="SHO24" s="2234"/>
      <c r="SHP24" s="2235"/>
      <c r="SHQ24" s="2235"/>
      <c r="SHR24" s="2234"/>
      <c r="SHS24" s="2235"/>
      <c r="SHT24" s="2235"/>
      <c r="SHU24" s="2234"/>
      <c r="SHV24" s="2235"/>
      <c r="SHW24" s="2235"/>
      <c r="SHX24" s="2234"/>
      <c r="SHY24" s="2235"/>
      <c r="SHZ24" s="2235"/>
      <c r="SIA24" s="2234"/>
      <c r="SIB24" s="2235"/>
      <c r="SIC24" s="2235"/>
      <c r="SID24" s="2234"/>
      <c r="SIE24" s="2235"/>
      <c r="SIF24" s="2235"/>
      <c r="SIG24" s="2234"/>
      <c r="SIH24" s="2235"/>
      <c r="SII24" s="2235"/>
      <c r="SIJ24" s="2234"/>
      <c r="SIK24" s="2235"/>
      <c r="SIL24" s="2235"/>
      <c r="SIM24" s="2234"/>
      <c r="SIN24" s="2235"/>
      <c r="SIO24" s="2235"/>
      <c r="SIP24" s="2234"/>
      <c r="SIQ24" s="2235"/>
      <c r="SIR24" s="2235"/>
      <c r="SIS24" s="2234"/>
      <c r="SIT24" s="2235"/>
      <c r="SIU24" s="2235"/>
      <c r="SIV24" s="2234"/>
      <c r="SIW24" s="2235"/>
      <c r="SIX24" s="2235"/>
      <c r="SIY24" s="2234"/>
      <c r="SIZ24" s="2235"/>
      <c r="SJA24" s="2235"/>
      <c r="SJB24" s="2234"/>
      <c r="SJC24" s="2235"/>
      <c r="SJD24" s="2235"/>
      <c r="SJE24" s="2234"/>
      <c r="SJF24" s="2235"/>
      <c r="SJG24" s="2235"/>
      <c r="SJH24" s="2234"/>
      <c r="SJI24" s="2235"/>
      <c r="SJJ24" s="2235"/>
      <c r="SJK24" s="2234"/>
      <c r="SJL24" s="2235"/>
      <c r="SJM24" s="2235"/>
      <c r="SJN24" s="2234"/>
      <c r="SJO24" s="2235"/>
      <c r="SJP24" s="2235"/>
      <c r="SJQ24" s="2234"/>
      <c r="SJR24" s="2235"/>
      <c r="SJS24" s="2235"/>
      <c r="SJT24" s="2234"/>
      <c r="SJU24" s="2235"/>
      <c r="SJV24" s="2235"/>
      <c r="SJW24" s="2234"/>
      <c r="SJX24" s="2235"/>
      <c r="SJY24" s="2235"/>
      <c r="SJZ24" s="2234"/>
      <c r="SKA24" s="2235"/>
      <c r="SKB24" s="2235"/>
      <c r="SKC24" s="2234"/>
      <c r="SKD24" s="2235"/>
      <c r="SKE24" s="2235"/>
      <c r="SKF24" s="2234"/>
      <c r="SKG24" s="2235"/>
      <c r="SKH24" s="2235"/>
      <c r="SKI24" s="2234"/>
      <c r="SKJ24" s="2235"/>
      <c r="SKK24" s="2235"/>
      <c r="SKL24" s="2234"/>
      <c r="SKM24" s="2235"/>
      <c r="SKN24" s="2235"/>
      <c r="SKO24" s="2234"/>
      <c r="SKP24" s="2235"/>
      <c r="SKQ24" s="2235"/>
      <c r="SKR24" s="2234"/>
      <c r="SKS24" s="2235"/>
      <c r="SKT24" s="2235"/>
      <c r="SKU24" s="2234"/>
      <c r="SKV24" s="2235"/>
      <c r="SKW24" s="2235"/>
      <c r="SKX24" s="2234"/>
      <c r="SKY24" s="2235"/>
      <c r="SKZ24" s="2235"/>
      <c r="SLA24" s="2234"/>
      <c r="SLB24" s="2235"/>
      <c r="SLC24" s="2235"/>
      <c r="SLD24" s="2234"/>
      <c r="SLE24" s="2235"/>
      <c r="SLF24" s="2235"/>
      <c r="SLG24" s="2234"/>
      <c r="SLH24" s="2235"/>
      <c r="SLI24" s="2235"/>
      <c r="SLJ24" s="2234"/>
      <c r="SLK24" s="2235"/>
      <c r="SLL24" s="2235"/>
      <c r="SLM24" s="2234"/>
      <c r="SLN24" s="2235"/>
      <c r="SLO24" s="2235"/>
      <c r="SLP24" s="2234"/>
      <c r="SLQ24" s="2235"/>
      <c r="SLR24" s="2235"/>
      <c r="SLS24" s="2234"/>
      <c r="SLT24" s="2235"/>
      <c r="SLU24" s="2235"/>
      <c r="SLV24" s="2234"/>
      <c r="SLW24" s="2235"/>
      <c r="SLX24" s="2235"/>
      <c r="SLY24" s="2234"/>
      <c r="SLZ24" s="2235"/>
      <c r="SMA24" s="2235"/>
      <c r="SMB24" s="2234"/>
      <c r="SMC24" s="2235"/>
      <c r="SMD24" s="2235"/>
      <c r="SME24" s="2234"/>
      <c r="SMF24" s="2235"/>
      <c r="SMG24" s="2235"/>
      <c r="SMH24" s="2234"/>
      <c r="SMI24" s="2235"/>
      <c r="SMJ24" s="2235"/>
      <c r="SMK24" s="2234"/>
      <c r="SML24" s="2235"/>
      <c r="SMM24" s="2235"/>
      <c r="SMN24" s="2234"/>
      <c r="SMO24" s="2235"/>
      <c r="SMP24" s="2235"/>
      <c r="SMQ24" s="2234"/>
      <c r="SMR24" s="2235"/>
      <c r="SMS24" s="2235"/>
      <c r="SMT24" s="2234"/>
      <c r="SMU24" s="2235"/>
      <c r="SMV24" s="2235"/>
      <c r="SMW24" s="2234"/>
      <c r="SMX24" s="2235"/>
      <c r="SMY24" s="2235"/>
      <c r="SMZ24" s="2234"/>
      <c r="SNA24" s="2235"/>
      <c r="SNB24" s="2235"/>
      <c r="SNC24" s="2234"/>
      <c r="SND24" s="2235"/>
      <c r="SNE24" s="2235"/>
      <c r="SNF24" s="2234"/>
      <c r="SNG24" s="2235"/>
      <c r="SNH24" s="2235"/>
      <c r="SNI24" s="2234"/>
      <c r="SNJ24" s="2235"/>
      <c r="SNK24" s="2235"/>
      <c r="SNL24" s="2234"/>
      <c r="SNM24" s="2235"/>
      <c r="SNN24" s="2235"/>
      <c r="SNO24" s="2234"/>
      <c r="SNP24" s="2235"/>
      <c r="SNQ24" s="2235"/>
      <c r="SNR24" s="2234"/>
      <c r="SNS24" s="2235"/>
      <c r="SNT24" s="2235"/>
      <c r="SNU24" s="2234"/>
      <c r="SNV24" s="2235"/>
      <c r="SNW24" s="2235"/>
      <c r="SNX24" s="2234"/>
      <c r="SNY24" s="2235"/>
      <c r="SNZ24" s="2235"/>
      <c r="SOA24" s="2234"/>
      <c r="SOB24" s="2235"/>
      <c r="SOC24" s="2235"/>
      <c r="SOD24" s="2234"/>
      <c r="SOE24" s="2235"/>
      <c r="SOF24" s="2235"/>
      <c r="SOG24" s="2234"/>
      <c r="SOH24" s="2235"/>
      <c r="SOI24" s="2235"/>
      <c r="SOJ24" s="2234"/>
      <c r="SOK24" s="2235"/>
      <c r="SOL24" s="2235"/>
      <c r="SOM24" s="2234"/>
      <c r="SON24" s="2235"/>
      <c r="SOO24" s="2235"/>
      <c r="SOP24" s="2234"/>
      <c r="SOQ24" s="2235"/>
      <c r="SOR24" s="2235"/>
      <c r="SOS24" s="2234"/>
      <c r="SOT24" s="2235"/>
      <c r="SOU24" s="2235"/>
      <c r="SOV24" s="2234"/>
      <c r="SOW24" s="2235"/>
      <c r="SOX24" s="2235"/>
      <c r="SOY24" s="2234"/>
      <c r="SOZ24" s="2235"/>
      <c r="SPA24" s="2235"/>
      <c r="SPB24" s="2234"/>
      <c r="SPC24" s="2235"/>
      <c r="SPD24" s="2235"/>
      <c r="SPE24" s="2234"/>
      <c r="SPF24" s="2235"/>
      <c r="SPG24" s="2235"/>
      <c r="SPH24" s="2234"/>
      <c r="SPI24" s="2235"/>
      <c r="SPJ24" s="2235"/>
      <c r="SPK24" s="2234"/>
      <c r="SPL24" s="2235"/>
      <c r="SPM24" s="2235"/>
      <c r="SPN24" s="2234"/>
      <c r="SPO24" s="2235"/>
      <c r="SPP24" s="2235"/>
      <c r="SPQ24" s="2234"/>
      <c r="SPR24" s="2235"/>
      <c r="SPS24" s="2235"/>
      <c r="SPT24" s="2234"/>
      <c r="SPU24" s="2235"/>
      <c r="SPV24" s="2235"/>
      <c r="SPW24" s="2234"/>
      <c r="SPX24" s="2235"/>
      <c r="SPY24" s="2235"/>
      <c r="SPZ24" s="2234"/>
      <c r="SQA24" s="2235"/>
      <c r="SQB24" s="2235"/>
      <c r="SQC24" s="2234"/>
      <c r="SQD24" s="2235"/>
      <c r="SQE24" s="2235"/>
      <c r="SQF24" s="2234"/>
      <c r="SQG24" s="2235"/>
      <c r="SQH24" s="2235"/>
      <c r="SQI24" s="2234"/>
      <c r="SQJ24" s="2235"/>
      <c r="SQK24" s="2235"/>
      <c r="SQL24" s="2234"/>
      <c r="SQM24" s="2235"/>
      <c r="SQN24" s="2235"/>
      <c r="SQO24" s="2234"/>
      <c r="SQP24" s="2235"/>
      <c r="SQQ24" s="2235"/>
      <c r="SQR24" s="2234"/>
      <c r="SQS24" s="2235"/>
      <c r="SQT24" s="2235"/>
      <c r="SQU24" s="2234"/>
      <c r="SQV24" s="2235"/>
      <c r="SQW24" s="2235"/>
      <c r="SQX24" s="2234"/>
      <c r="SQY24" s="2235"/>
      <c r="SQZ24" s="2235"/>
      <c r="SRA24" s="2234"/>
      <c r="SRB24" s="2235"/>
      <c r="SRC24" s="2235"/>
      <c r="SRD24" s="2234"/>
      <c r="SRE24" s="2235"/>
      <c r="SRF24" s="2235"/>
      <c r="SRG24" s="2234"/>
      <c r="SRH24" s="2235"/>
      <c r="SRI24" s="2235"/>
      <c r="SRJ24" s="2234"/>
      <c r="SRK24" s="2235"/>
      <c r="SRL24" s="2235"/>
      <c r="SRM24" s="2234"/>
      <c r="SRN24" s="2235"/>
      <c r="SRO24" s="2235"/>
      <c r="SRP24" s="2234"/>
      <c r="SRQ24" s="2235"/>
      <c r="SRR24" s="2235"/>
      <c r="SRS24" s="2234"/>
      <c r="SRT24" s="2235"/>
      <c r="SRU24" s="2235"/>
      <c r="SRV24" s="2234"/>
      <c r="SRW24" s="2235"/>
      <c r="SRX24" s="2235"/>
      <c r="SRY24" s="2234"/>
      <c r="SRZ24" s="2235"/>
      <c r="SSA24" s="2235"/>
      <c r="SSB24" s="2234"/>
      <c r="SSC24" s="2235"/>
      <c r="SSD24" s="2235"/>
      <c r="SSE24" s="2234"/>
      <c r="SSF24" s="2235"/>
      <c r="SSG24" s="2235"/>
      <c r="SSH24" s="2234"/>
      <c r="SSI24" s="2235"/>
      <c r="SSJ24" s="2235"/>
      <c r="SSK24" s="2234"/>
      <c r="SSL24" s="2235"/>
      <c r="SSM24" s="2235"/>
      <c r="SSN24" s="2234"/>
      <c r="SSO24" s="2235"/>
      <c r="SSP24" s="2235"/>
      <c r="SSQ24" s="2234"/>
      <c r="SSR24" s="2235"/>
      <c r="SSS24" s="2235"/>
      <c r="SST24" s="2234"/>
      <c r="SSU24" s="2235"/>
      <c r="SSV24" s="2235"/>
      <c r="SSW24" s="2234"/>
      <c r="SSX24" s="2235"/>
      <c r="SSY24" s="2235"/>
      <c r="SSZ24" s="2234"/>
      <c r="STA24" s="2235"/>
      <c r="STB24" s="2235"/>
      <c r="STC24" s="2234"/>
      <c r="STD24" s="2235"/>
      <c r="STE24" s="2235"/>
      <c r="STF24" s="2234"/>
      <c r="STG24" s="2235"/>
      <c r="STH24" s="2235"/>
      <c r="STI24" s="2234"/>
      <c r="STJ24" s="2235"/>
      <c r="STK24" s="2235"/>
      <c r="STL24" s="2234"/>
      <c r="STM24" s="2235"/>
      <c r="STN24" s="2235"/>
      <c r="STO24" s="2234"/>
      <c r="STP24" s="2235"/>
      <c r="STQ24" s="2235"/>
      <c r="STR24" s="2234"/>
      <c r="STS24" s="2235"/>
      <c r="STT24" s="2235"/>
      <c r="STU24" s="2234"/>
      <c r="STV24" s="2235"/>
      <c r="STW24" s="2235"/>
      <c r="STX24" s="2234"/>
      <c r="STY24" s="2235"/>
      <c r="STZ24" s="2235"/>
      <c r="SUA24" s="2234"/>
      <c r="SUB24" s="2235"/>
      <c r="SUC24" s="2235"/>
      <c r="SUD24" s="2234"/>
      <c r="SUE24" s="2235"/>
      <c r="SUF24" s="2235"/>
      <c r="SUG24" s="2234"/>
      <c r="SUH24" s="2235"/>
      <c r="SUI24" s="2235"/>
      <c r="SUJ24" s="2234"/>
      <c r="SUK24" s="2235"/>
      <c r="SUL24" s="2235"/>
      <c r="SUM24" s="2234"/>
      <c r="SUN24" s="2235"/>
      <c r="SUO24" s="2235"/>
      <c r="SUP24" s="2234"/>
      <c r="SUQ24" s="2235"/>
      <c r="SUR24" s="2235"/>
      <c r="SUS24" s="2234"/>
      <c r="SUT24" s="2235"/>
      <c r="SUU24" s="2235"/>
      <c r="SUV24" s="2234"/>
      <c r="SUW24" s="2235"/>
      <c r="SUX24" s="2235"/>
      <c r="SUY24" s="2234"/>
      <c r="SUZ24" s="2235"/>
      <c r="SVA24" s="2235"/>
      <c r="SVB24" s="2234"/>
      <c r="SVC24" s="2235"/>
      <c r="SVD24" s="2235"/>
      <c r="SVE24" s="2234"/>
      <c r="SVF24" s="2235"/>
      <c r="SVG24" s="2235"/>
      <c r="SVH24" s="2234"/>
      <c r="SVI24" s="2235"/>
      <c r="SVJ24" s="2235"/>
      <c r="SVK24" s="2234"/>
      <c r="SVL24" s="2235"/>
      <c r="SVM24" s="2235"/>
      <c r="SVN24" s="2234"/>
      <c r="SVO24" s="2235"/>
      <c r="SVP24" s="2235"/>
      <c r="SVQ24" s="2234"/>
      <c r="SVR24" s="2235"/>
      <c r="SVS24" s="2235"/>
      <c r="SVT24" s="2234"/>
      <c r="SVU24" s="2235"/>
      <c r="SVV24" s="2235"/>
      <c r="SVW24" s="2234"/>
      <c r="SVX24" s="2235"/>
      <c r="SVY24" s="2235"/>
      <c r="SVZ24" s="2234"/>
      <c r="SWA24" s="2235"/>
      <c r="SWB24" s="2235"/>
      <c r="SWC24" s="2234"/>
      <c r="SWD24" s="2235"/>
      <c r="SWE24" s="2235"/>
      <c r="SWF24" s="2234"/>
      <c r="SWG24" s="2235"/>
      <c r="SWH24" s="2235"/>
      <c r="SWI24" s="2234"/>
      <c r="SWJ24" s="2235"/>
      <c r="SWK24" s="2235"/>
      <c r="SWL24" s="2234"/>
      <c r="SWM24" s="2235"/>
      <c r="SWN24" s="2235"/>
      <c r="SWO24" s="2234"/>
      <c r="SWP24" s="2235"/>
      <c r="SWQ24" s="2235"/>
      <c r="SWR24" s="2234"/>
      <c r="SWS24" s="2235"/>
      <c r="SWT24" s="2235"/>
      <c r="SWU24" s="2234"/>
      <c r="SWV24" s="2235"/>
      <c r="SWW24" s="2235"/>
      <c r="SWX24" s="2234"/>
      <c r="SWY24" s="2235"/>
      <c r="SWZ24" s="2235"/>
      <c r="SXA24" s="2234"/>
      <c r="SXB24" s="2235"/>
      <c r="SXC24" s="2235"/>
      <c r="SXD24" s="2234"/>
      <c r="SXE24" s="2235"/>
      <c r="SXF24" s="2235"/>
      <c r="SXG24" s="2234"/>
      <c r="SXH24" s="2235"/>
      <c r="SXI24" s="2235"/>
      <c r="SXJ24" s="2234"/>
      <c r="SXK24" s="2235"/>
      <c r="SXL24" s="2235"/>
      <c r="SXM24" s="2234"/>
      <c r="SXN24" s="2235"/>
      <c r="SXO24" s="2235"/>
      <c r="SXP24" s="2234"/>
      <c r="SXQ24" s="2235"/>
      <c r="SXR24" s="2235"/>
      <c r="SXS24" s="2234"/>
      <c r="SXT24" s="2235"/>
      <c r="SXU24" s="2235"/>
      <c r="SXV24" s="2234"/>
      <c r="SXW24" s="2235"/>
      <c r="SXX24" s="2235"/>
      <c r="SXY24" s="2234"/>
      <c r="SXZ24" s="2235"/>
      <c r="SYA24" s="2235"/>
      <c r="SYB24" s="2234"/>
      <c r="SYC24" s="2235"/>
      <c r="SYD24" s="2235"/>
      <c r="SYE24" s="2234"/>
      <c r="SYF24" s="2235"/>
      <c r="SYG24" s="2235"/>
      <c r="SYH24" s="2234"/>
      <c r="SYI24" s="2235"/>
      <c r="SYJ24" s="2235"/>
      <c r="SYK24" s="2234"/>
      <c r="SYL24" s="2235"/>
      <c r="SYM24" s="2235"/>
      <c r="SYN24" s="2234"/>
      <c r="SYO24" s="2235"/>
      <c r="SYP24" s="2235"/>
      <c r="SYQ24" s="2234"/>
      <c r="SYR24" s="2235"/>
      <c r="SYS24" s="2235"/>
      <c r="SYT24" s="2234"/>
      <c r="SYU24" s="2235"/>
      <c r="SYV24" s="2235"/>
      <c r="SYW24" s="2234"/>
      <c r="SYX24" s="2235"/>
      <c r="SYY24" s="2235"/>
      <c r="SYZ24" s="2234"/>
      <c r="SZA24" s="2235"/>
      <c r="SZB24" s="2235"/>
      <c r="SZC24" s="2234"/>
      <c r="SZD24" s="2235"/>
      <c r="SZE24" s="2235"/>
      <c r="SZF24" s="2234"/>
      <c r="SZG24" s="2235"/>
      <c r="SZH24" s="2235"/>
      <c r="SZI24" s="2234"/>
      <c r="SZJ24" s="2235"/>
      <c r="SZK24" s="2235"/>
      <c r="SZL24" s="2234"/>
      <c r="SZM24" s="2235"/>
      <c r="SZN24" s="2235"/>
      <c r="SZO24" s="2234"/>
      <c r="SZP24" s="2235"/>
      <c r="SZQ24" s="2235"/>
      <c r="SZR24" s="2234"/>
      <c r="SZS24" s="2235"/>
      <c r="SZT24" s="2235"/>
      <c r="SZU24" s="2234"/>
      <c r="SZV24" s="2235"/>
      <c r="SZW24" s="2235"/>
      <c r="SZX24" s="2234"/>
      <c r="SZY24" s="2235"/>
      <c r="SZZ24" s="2235"/>
      <c r="TAA24" s="2234"/>
      <c r="TAB24" s="2235"/>
      <c r="TAC24" s="2235"/>
      <c r="TAD24" s="2234"/>
      <c r="TAE24" s="2235"/>
      <c r="TAF24" s="2235"/>
      <c r="TAG24" s="2234"/>
      <c r="TAH24" s="2235"/>
      <c r="TAI24" s="2235"/>
      <c r="TAJ24" s="2234"/>
      <c r="TAK24" s="2235"/>
      <c r="TAL24" s="2235"/>
      <c r="TAM24" s="2234"/>
      <c r="TAN24" s="2235"/>
      <c r="TAO24" s="2235"/>
      <c r="TAP24" s="2234"/>
      <c r="TAQ24" s="2235"/>
      <c r="TAR24" s="2235"/>
      <c r="TAS24" s="2234"/>
      <c r="TAT24" s="2235"/>
      <c r="TAU24" s="2235"/>
      <c r="TAV24" s="2234"/>
      <c r="TAW24" s="2235"/>
      <c r="TAX24" s="2235"/>
      <c r="TAY24" s="2234"/>
      <c r="TAZ24" s="2235"/>
      <c r="TBA24" s="2235"/>
      <c r="TBB24" s="2234"/>
      <c r="TBC24" s="2235"/>
      <c r="TBD24" s="2235"/>
      <c r="TBE24" s="2234"/>
      <c r="TBF24" s="2235"/>
      <c r="TBG24" s="2235"/>
      <c r="TBH24" s="2234"/>
      <c r="TBI24" s="2235"/>
      <c r="TBJ24" s="2235"/>
      <c r="TBK24" s="2234"/>
      <c r="TBL24" s="2235"/>
      <c r="TBM24" s="2235"/>
      <c r="TBN24" s="2234"/>
      <c r="TBO24" s="2235"/>
      <c r="TBP24" s="2235"/>
      <c r="TBQ24" s="2234"/>
      <c r="TBR24" s="2235"/>
      <c r="TBS24" s="2235"/>
      <c r="TBT24" s="2234"/>
      <c r="TBU24" s="2235"/>
      <c r="TBV24" s="2235"/>
      <c r="TBW24" s="2234"/>
      <c r="TBX24" s="2235"/>
      <c r="TBY24" s="2235"/>
      <c r="TBZ24" s="2234"/>
      <c r="TCA24" s="2235"/>
      <c r="TCB24" s="2235"/>
      <c r="TCC24" s="2234"/>
      <c r="TCD24" s="2235"/>
      <c r="TCE24" s="2235"/>
      <c r="TCF24" s="2234"/>
      <c r="TCG24" s="2235"/>
      <c r="TCH24" s="2235"/>
      <c r="TCI24" s="2234"/>
      <c r="TCJ24" s="2235"/>
      <c r="TCK24" s="2235"/>
      <c r="TCL24" s="2234"/>
      <c r="TCM24" s="2235"/>
      <c r="TCN24" s="2235"/>
      <c r="TCO24" s="2234"/>
      <c r="TCP24" s="2235"/>
      <c r="TCQ24" s="2235"/>
      <c r="TCR24" s="2234"/>
      <c r="TCS24" s="2235"/>
      <c r="TCT24" s="2235"/>
      <c r="TCU24" s="2234"/>
      <c r="TCV24" s="2235"/>
      <c r="TCW24" s="2235"/>
      <c r="TCX24" s="2234"/>
      <c r="TCY24" s="2235"/>
      <c r="TCZ24" s="2235"/>
      <c r="TDA24" s="2234"/>
      <c r="TDB24" s="2235"/>
      <c r="TDC24" s="2235"/>
      <c r="TDD24" s="2234"/>
      <c r="TDE24" s="2235"/>
      <c r="TDF24" s="2235"/>
      <c r="TDG24" s="2234"/>
      <c r="TDH24" s="2235"/>
      <c r="TDI24" s="2235"/>
      <c r="TDJ24" s="2234"/>
      <c r="TDK24" s="2235"/>
      <c r="TDL24" s="2235"/>
      <c r="TDM24" s="2234"/>
      <c r="TDN24" s="2235"/>
      <c r="TDO24" s="2235"/>
      <c r="TDP24" s="2234"/>
      <c r="TDQ24" s="2235"/>
      <c r="TDR24" s="2235"/>
      <c r="TDS24" s="2234"/>
      <c r="TDT24" s="2235"/>
      <c r="TDU24" s="2235"/>
      <c r="TDV24" s="2234"/>
      <c r="TDW24" s="2235"/>
      <c r="TDX24" s="2235"/>
      <c r="TDY24" s="2234"/>
      <c r="TDZ24" s="2235"/>
      <c r="TEA24" s="2235"/>
      <c r="TEB24" s="2234"/>
      <c r="TEC24" s="2235"/>
      <c r="TED24" s="2235"/>
      <c r="TEE24" s="2234"/>
      <c r="TEF24" s="2235"/>
      <c r="TEG24" s="2235"/>
      <c r="TEH24" s="2234"/>
      <c r="TEI24" s="2235"/>
      <c r="TEJ24" s="2235"/>
      <c r="TEK24" s="2234"/>
      <c r="TEL24" s="2235"/>
      <c r="TEM24" s="2235"/>
      <c r="TEN24" s="2234"/>
      <c r="TEO24" s="2235"/>
      <c r="TEP24" s="2235"/>
      <c r="TEQ24" s="2234"/>
      <c r="TER24" s="2235"/>
      <c r="TES24" s="2235"/>
      <c r="TET24" s="2234"/>
      <c r="TEU24" s="2235"/>
      <c r="TEV24" s="2235"/>
      <c r="TEW24" s="2234"/>
      <c r="TEX24" s="2235"/>
      <c r="TEY24" s="2235"/>
      <c r="TEZ24" s="2234"/>
      <c r="TFA24" s="2235"/>
      <c r="TFB24" s="2235"/>
      <c r="TFC24" s="2234"/>
      <c r="TFD24" s="2235"/>
      <c r="TFE24" s="2235"/>
      <c r="TFF24" s="2234"/>
      <c r="TFG24" s="2235"/>
      <c r="TFH24" s="2235"/>
      <c r="TFI24" s="2234"/>
      <c r="TFJ24" s="2235"/>
      <c r="TFK24" s="2235"/>
      <c r="TFL24" s="2234"/>
      <c r="TFM24" s="2235"/>
      <c r="TFN24" s="2235"/>
      <c r="TFO24" s="2234"/>
      <c r="TFP24" s="2235"/>
      <c r="TFQ24" s="2235"/>
      <c r="TFR24" s="2234"/>
      <c r="TFS24" s="2235"/>
      <c r="TFT24" s="2235"/>
      <c r="TFU24" s="2234"/>
      <c r="TFV24" s="2235"/>
      <c r="TFW24" s="2235"/>
      <c r="TFX24" s="2234"/>
      <c r="TFY24" s="2235"/>
      <c r="TFZ24" s="2235"/>
      <c r="TGA24" s="2234"/>
      <c r="TGB24" s="2235"/>
      <c r="TGC24" s="2235"/>
      <c r="TGD24" s="2234"/>
      <c r="TGE24" s="2235"/>
      <c r="TGF24" s="2235"/>
      <c r="TGG24" s="2234"/>
      <c r="TGH24" s="2235"/>
      <c r="TGI24" s="2235"/>
      <c r="TGJ24" s="2234"/>
      <c r="TGK24" s="2235"/>
      <c r="TGL24" s="2235"/>
      <c r="TGM24" s="2234"/>
      <c r="TGN24" s="2235"/>
      <c r="TGO24" s="2235"/>
      <c r="TGP24" s="2234"/>
      <c r="TGQ24" s="2235"/>
      <c r="TGR24" s="2235"/>
      <c r="TGS24" s="2234"/>
      <c r="TGT24" s="2235"/>
      <c r="TGU24" s="2235"/>
      <c r="TGV24" s="2234"/>
      <c r="TGW24" s="2235"/>
      <c r="TGX24" s="2235"/>
      <c r="TGY24" s="2234"/>
      <c r="TGZ24" s="2235"/>
      <c r="THA24" s="2235"/>
      <c r="THB24" s="2234"/>
      <c r="THC24" s="2235"/>
      <c r="THD24" s="2235"/>
      <c r="THE24" s="2234"/>
      <c r="THF24" s="2235"/>
      <c r="THG24" s="2235"/>
      <c r="THH24" s="2234"/>
      <c r="THI24" s="2235"/>
      <c r="THJ24" s="2235"/>
      <c r="THK24" s="2234"/>
      <c r="THL24" s="2235"/>
      <c r="THM24" s="2235"/>
      <c r="THN24" s="2234"/>
      <c r="THO24" s="2235"/>
      <c r="THP24" s="2235"/>
      <c r="THQ24" s="2234"/>
      <c r="THR24" s="2235"/>
      <c r="THS24" s="2235"/>
      <c r="THT24" s="2234"/>
      <c r="THU24" s="2235"/>
      <c r="THV24" s="2235"/>
      <c r="THW24" s="2234"/>
      <c r="THX24" s="2235"/>
      <c r="THY24" s="2235"/>
      <c r="THZ24" s="2234"/>
      <c r="TIA24" s="2235"/>
      <c r="TIB24" s="2235"/>
      <c r="TIC24" s="2234"/>
      <c r="TID24" s="2235"/>
      <c r="TIE24" s="2235"/>
      <c r="TIF24" s="2234"/>
      <c r="TIG24" s="2235"/>
      <c r="TIH24" s="2235"/>
      <c r="TII24" s="2234"/>
      <c r="TIJ24" s="2235"/>
      <c r="TIK24" s="2235"/>
      <c r="TIL24" s="2234"/>
      <c r="TIM24" s="2235"/>
      <c r="TIN24" s="2235"/>
      <c r="TIO24" s="2234"/>
      <c r="TIP24" s="2235"/>
      <c r="TIQ24" s="2235"/>
      <c r="TIR24" s="2234"/>
      <c r="TIS24" s="2235"/>
      <c r="TIT24" s="2235"/>
      <c r="TIU24" s="2234"/>
      <c r="TIV24" s="2235"/>
      <c r="TIW24" s="2235"/>
      <c r="TIX24" s="2234"/>
      <c r="TIY24" s="2235"/>
      <c r="TIZ24" s="2235"/>
      <c r="TJA24" s="2234"/>
      <c r="TJB24" s="2235"/>
      <c r="TJC24" s="2235"/>
      <c r="TJD24" s="2234"/>
      <c r="TJE24" s="2235"/>
      <c r="TJF24" s="2235"/>
      <c r="TJG24" s="2234"/>
      <c r="TJH24" s="2235"/>
      <c r="TJI24" s="2235"/>
      <c r="TJJ24" s="2234"/>
      <c r="TJK24" s="2235"/>
      <c r="TJL24" s="2235"/>
      <c r="TJM24" s="2234"/>
      <c r="TJN24" s="2235"/>
      <c r="TJO24" s="2235"/>
      <c r="TJP24" s="2234"/>
      <c r="TJQ24" s="2235"/>
      <c r="TJR24" s="2235"/>
      <c r="TJS24" s="2234"/>
      <c r="TJT24" s="2235"/>
      <c r="TJU24" s="2235"/>
      <c r="TJV24" s="2234"/>
      <c r="TJW24" s="2235"/>
      <c r="TJX24" s="2235"/>
      <c r="TJY24" s="2234"/>
      <c r="TJZ24" s="2235"/>
      <c r="TKA24" s="2235"/>
      <c r="TKB24" s="2234"/>
      <c r="TKC24" s="2235"/>
      <c r="TKD24" s="2235"/>
      <c r="TKE24" s="2234"/>
      <c r="TKF24" s="2235"/>
      <c r="TKG24" s="2235"/>
      <c r="TKH24" s="2234"/>
      <c r="TKI24" s="2235"/>
      <c r="TKJ24" s="2235"/>
      <c r="TKK24" s="2234"/>
      <c r="TKL24" s="2235"/>
      <c r="TKM24" s="2235"/>
      <c r="TKN24" s="2234"/>
      <c r="TKO24" s="2235"/>
      <c r="TKP24" s="2235"/>
      <c r="TKQ24" s="2234"/>
      <c r="TKR24" s="2235"/>
      <c r="TKS24" s="2235"/>
      <c r="TKT24" s="2234"/>
      <c r="TKU24" s="2235"/>
      <c r="TKV24" s="2235"/>
      <c r="TKW24" s="2234"/>
      <c r="TKX24" s="2235"/>
      <c r="TKY24" s="2235"/>
      <c r="TKZ24" s="2234"/>
      <c r="TLA24" s="2235"/>
      <c r="TLB24" s="2235"/>
      <c r="TLC24" s="2234"/>
      <c r="TLD24" s="2235"/>
      <c r="TLE24" s="2235"/>
      <c r="TLF24" s="2234"/>
      <c r="TLG24" s="2235"/>
      <c r="TLH24" s="2235"/>
      <c r="TLI24" s="2234"/>
      <c r="TLJ24" s="2235"/>
      <c r="TLK24" s="2235"/>
      <c r="TLL24" s="2234"/>
      <c r="TLM24" s="2235"/>
      <c r="TLN24" s="2235"/>
      <c r="TLO24" s="2234"/>
      <c r="TLP24" s="2235"/>
      <c r="TLQ24" s="2235"/>
      <c r="TLR24" s="2234"/>
      <c r="TLS24" s="2235"/>
      <c r="TLT24" s="2235"/>
      <c r="TLU24" s="2234"/>
      <c r="TLV24" s="2235"/>
      <c r="TLW24" s="2235"/>
      <c r="TLX24" s="2234"/>
      <c r="TLY24" s="2235"/>
      <c r="TLZ24" s="2235"/>
      <c r="TMA24" s="2234"/>
      <c r="TMB24" s="2235"/>
      <c r="TMC24" s="2235"/>
      <c r="TMD24" s="2234"/>
      <c r="TME24" s="2235"/>
      <c r="TMF24" s="2235"/>
      <c r="TMG24" s="2234"/>
      <c r="TMH24" s="2235"/>
      <c r="TMI24" s="2235"/>
      <c r="TMJ24" s="2234"/>
      <c r="TMK24" s="2235"/>
      <c r="TML24" s="2235"/>
      <c r="TMM24" s="2234"/>
      <c r="TMN24" s="2235"/>
      <c r="TMO24" s="2235"/>
      <c r="TMP24" s="2234"/>
      <c r="TMQ24" s="2235"/>
      <c r="TMR24" s="2235"/>
      <c r="TMS24" s="2234"/>
      <c r="TMT24" s="2235"/>
      <c r="TMU24" s="2235"/>
      <c r="TMV24" s="2234"/>
      <c r="TMW24" s="2235"/>
      <c r="TMX24" s="2235"/>
      <c r="TMY24" s="2234"/>
      <c r="TMZ24" s="2235"/>
      <c r="TNA24" s="2235"/>
      <c r="TNB24" s="2234"/>
      <c r="TNC24" s="2235"/>
      <c r="TND24" s="2235"/>
      <c r="TNE24" s="2234"/>
      <c r="TNF24" s="2235"/>
      <c r="TNG24" s="2235"/>
      <c r="TNH24" s="2234"/>
      <c r="TNI24" s="2235"/>
      <c r="TNJ24" s="2235"/>
      <c r="TNK24" s="2234"/>
      <c r="TNL24" s="2235"/>
      <c r="TNM24" s="2235"/>
      <c r="TNN24" s="2234"/>
      <c r="TNO24" s="2235"/>
      <c r="TNP24" s="2235"/>
      <c r="TNQ24" s="2234"/>
      <c r="TNR24" s="2235"/>
      <c r="TNS24" s="2235"/>
      <c r="TNT24" s="2234"/>
      <c r="TNU24" s="2235"/>
      <c r="TNV24" s="2235"/>
      <c r="TNW24" s="2234"/>
      <c r="TNX24" s="2235"/>
      <c r="TNY24" s="2235"/>
      <c r="TNZ24" s="2234"/>
      <c r="TOA24" s="2235"/>
      <c r="TOB24" s="2235"/>
      <c r="TOC24" s="2234"/>
      <c r="TOD24" s="2235"/>
      <c r="TOE24" s="2235"/>
      <c r="TOF24" s="2234"/>
      <c r="TOG24" s="2235"/>
      <c r="TOH24" s="2235"/>
      <c r="TOI24" s="2234"/>
      <c r="TOJ24" s="2235"/>
      <c r="TOK24" s="2235"/>
      <c r="TOL24" s="2234"/>
      <c r="TOM24" s="2235"/>
      <c r="TON24" s="2235"/>
      <c r="TOO24" s="2234"/>
      <c r="TOP24" s="2235"/>
      <c r="TOQ24" s="2235"/>
      <c r="TOR24" s="2234"/>
      <c r="TOS24" s="2235"/>
      <c r="TOT24" s="2235"/>
      <c r="TOU24" s="2234"/>
      <c r="TOV24" s="2235"/>
      <c r="TOW24" s="2235"/>
      <c r="TOX24" s="2234"/>
      <c r="TOY24" s="2235"/>
      <c r="TOZ24" s="2235"/>
      <c r="TPA24" s="2234"/>
      <c r="TPB24" s="2235"/>
      <c r="TPC24" s="2235"/>
      <c r="TPD24" s="2234"/>
      <c r="TPE24" s="2235"/>
      <c r="TPF24" s="2235"/>
      <c r="TPG24" s="2234"/>
      <c r="TPH24" s="2235"/>
      <c r="TPI24" s="2235"/>
      <c r="TPJ24" s="2234"/>
      <c r="TPK24" s="2235"/>
      <c r="TPL24" s="2235"/>
      <c r="TPM24" s="2234"/>
      <c r="TPN24" s="2235"/>
      <c r="TPO24" s="2235"/>
      <c r="TPP24" s="2234"/>
      <c r="TPQ24" s="2235"/>
      <c r="TPR24" s="2235"/>
      <c r="TPS24" s="2234"/>
      <c r="TPT24" s="2235"/>
      <c r="TPU24" s="2235"/>
      <c r="TPV24" s="2234"/>
      <c r="TPW24" s="2235"/>
      <c r="TPX24" s="2235"/>
      <c r="TPY24" s="2234"/>
      <c r="TPZ24" s="2235"/>
      <c r="TQA24" s="2235"/>
      <c r="TQB24" s="2234"/>
      <c r="TQC24" s="2235"/>
      <c r="TQD24" s="2235"/>
      <c r="TQE24" s="2234"/>
      <c r="TQF24" s="2235"/>
      <c r="TQG24" s="2235"/>
      <c r="TQH24" s="2234"/>
      <c r="TQI24" s="2235"/>
      <c r="TQJ24" s="2235"/>
      <c r="TQK24" s="2234"/>
      <c r="TQL24" s="2235"/>
      <c r="TQM24" s="2235"/>
      <c r="TQN24" s="2234"/>
      <c r="TQO24" s="2235"/>
      <c r="TQP24" s="2235"/>
      <c r="TQQ24" s="2234"/>
      <c r="TQR24" s="2235"/>
      <c r="TQS24" s="2235"/>
      <c r="TQT24" s="2234"/>
      <c r="TQU24" s="2235"/>
      <c r="TQV24" s="2235"/>
      <c r="TQW24" s="2234"/>
      <c r="TQX24" s="2235"/>
      <c r="TQY24" s="2235"/>
      <c r="TQZ24" s="2234"/>
      <c r="TRA24" s="2235"/>
      <c r="TRB24" s="2235"/>
      <c r="TRC24" s="2234"/>
      <c r="TRD24" s="2235"/>
      <c r="TRE24" s="2235"/>
      <c r="TRF24" s="2234"/>
      <c r="TRG24" s="2235"/>
      <c r="TRH24" s="2235"/>
      <c r="TRI24" s="2234"/>
      <c r="TRJ24" s="2235"/>
      <c r="TRK24" s="2235"/>
      <c r="TRL24" s="2234"/>
      <c r="TRM24" s="2235"/>
      <c r="TRN24" s="2235"/>
      <c r="TRO24" s="2234"/>
      <c r="TRP24" s="2235"/>
      <c r="TRQ24" s="2235"/>
      <c r="TRR24" s="2234"/>
      <c r="TRS24" s="2235"/>
      <c r="TRT24" s="2235"/>
      <c r="TRU24" s="2234"/>
      <c r="TRV24" s="2235"/>
      <c r="TRW24" s="2235"/>
      <c r="TRX24" s="2234"/>
      <c r="TRY24" s="2235"/>
      <c r="TRZ24" s="2235"/>
      <c r="TSA24" s="2234"/>
      <c r="TSB24" s="2235"/>
      <c r="TSC24" s="2235"/>
      <c r="TSD24" s="2234"/>
      <c r="TSE24" s="2235"/>
      <c r="TSF24" s="2235"/>
      <c r="TSG24" s="2234"/>
      <c r="TSH24" s="2235"/>
      <c r="TSI24" s="2235"/>
      <c r="TSJ24" s="2234"/>
      <c r="TSK24" s="2235"/>
      <c r="TSL24" s="2235"/>
      <c r="TSM24" s="2234"/>
      <c r="TSN24" s="2235"/>
      <c r="TSO24" s="2235"/>
      <c r="TSP24" s="2234"/>
      <c r="TSQ24" s="2235"/>
      <c r="TSR24" s="2235"/>
      <c r="TSS24" s="2234"/>
      <c r="TST24" s="2235"/>
      <c r="TSU24" s="2235"/>
      <c r="TSV24" s="2234"/>
      <c r="TSW24" s="2235"/>
      <c r="TSX24" s="2235"/>
      <c r="TSY24" s="2234"/>
      <c r="TSZ24" s="2235"/>
      <c r="TTA24" s="2235"/>
      <c r="TTB24" s="2234"/>
      <c r="TTC24" s="2235"/>
      <c r="TTD24" s="2235"/>
      <c r="TTE24" s="2234"/>
      <c r="TTF24" s="2235"/>
      <c r="TTG24" s="2235"/>
      <c r="TTH24" s="2234"/>
      <c r="TTI24" s="2235"/>
      <c r="TTJ24" s="2235"/>
      <c r="TTK24" s="2234"/>
      <c r="TTL24" s="2235"/>
      <c r="TTM24" s="2235"/>
      <c r="TTN24" s="2234"/>
      <c r="TTO24" s="2235"/>
      <c r="TTP24" s="2235"/>
      <c r="TTQ24" s="2234"/>
      <c r="TTR24" s="2235"/>
      <c r="TTS24" s="2235"/>
      <c r="TTT24" s="2234"/>
      <c r="TTU24" s="2235"/>
      <c r="TTV24" s="2235"/>
      <c r="TTW24" s="2234"/>
      <c r="TTX24" s="2235"/>
      <c r="TTY24" s="2235"/>
      <c r="TTZ24" s="2234"/>
      <c r="TUA24" s="2235"/>
      <c r="TUB24" s="2235"/>
      <c r="TUC24" s="2234"/>
      <c r="TUD24" s="2235"/>
      <c r="TUE24" s="2235"/>
      <c r="TUF24" s="2234"/>
      <c r="TUG24" s="2235"/>
      <c r="TUH24" s="2235"/>
      <c r="TUI24" s="2234"/>
      <c r="TUJ24" s="2235"/>
      <c r="TUK24" s="2235"/>
      <c r="TUL24" s="2234"/>
      <c r="TUM24" s="2235"/>
      <c r="TUN24" s="2235"/>
      <c r="TUO24" s="2234"/>
      <c r="TUP24" s="2235"/>
      <c r="TUQ24" s="2235"/>
      <c r="TUR24" s="2234"/>
      <c r="TUS24" s="2235"/>
      <c r="TUT24" s="2235"/>
      <c r="TUU24" s="2234"/>
      <c r="TUV24" s="2235"/>
      <c r="TUW24" s="2235"/>
      <c r="TUX24" s="2234"/>
      <c r="TUY24" s="2235"/>
      <c r="TUZ24" s="2235"/>
      <c r="TVA24" s="2234"/>
      <c r="TVB24" s="2235"/>
      <c r="TVC24" s="2235"/>
      <c r="TVD24" s="2234"/>
      <c r="TVE24" s="2235"/>
      <c r="TVF24" s="2235"/>
      <c r="TVG24" s="2234"/>
      <c r="TVH24" s="2235"/>
      <c r="TVI24" s="2235"/>
      <c r="TVJ24" s="2234"/>
      <c r="TVK24" s="2235"/>
      <c r="TVL24" s="2235"/>
      <c r="TVM24" s="2234"/>
      <c r="TVN24" s="2235"/>
      <c r="TVO24" s="2235"/>
      <c r="TVP24" s="2234"/>
      <c r="TVQ24" s="2235"/>
      <c r="TVR24" s="2235"/>
      <c r="TVS24" s="2234"/>
      <c r="TVT24" s="2235"/>
      <c r="TVU24" s="2235"/>
      <c r="TVV24" s="2234"/>
      <c r="TVW24" s="2235"/>
      <c r="TVX24" s="2235"/>
      <c r="TVY24" s="2234"/>
      <c r="TVZ24" s="2235"/>
      <c r="TWA24" s="2235"/>
      <c r="TWB24" s="2234"/>
      <c r="TWC24" s="2235"/>
      <c r="TWD24" s="2235"/>
      <c r="TWE24" s="2234"/>
      <c r="TWF24" s="2235"/>
      <c r="TWG24" s="2235"/>
      <c r="TWH24" s="2234"/>
      <c r="TWI24" s="2235"/>
      <c r="TWJ24" s="2235"/>
      <c r="TWK24" s="2234"/>
      <c r="TWL24" s="2235"/>
      <c r="TWM24" s="2235"/>
      <c r="TWN24" s="2234"/>
      <c r="TWO24" s="2235"/>
      <c r="TWP24" s="2235"/>
      <c r="TWQ24" s="2234"/>
      <c r="TWR24" s="2235"/>
      <c r="TWS24" s="2235"/>
      <c r="TWT24" s="2234"/>
      <c r="TWU24" s="2235"/>
      <c r="TWV24" s="2235"/>
      <c r="TWW24" s="2234"/>
      <c r="TWX24" s="2235"/>
      <c r="TWY24" s="2235"/>
      <c r="TWZ24" s="2234"/>
      <c r="TXA24" s="2235"/>
      <c r="TXB24" s="2235"/>
      <c r="TXC24" s="2234"/>
      <c r="TXD24" s="2235"/>
      <c r="TXE24" s="2235"/>
      <c r="TXF24" s="2234"/>
      <c r="TXG24" s="2235"/>
      <c r="TXH24" s="2235"/>
      <c r="TXI24" s="2234"/>
      <c r="TXJ24" s="2235"/>
      <c r="TXK24" s="2235"/>
      <c r="TXL24" s="2234"/>
      <c r="TXM24" s="2235"/>
      <c r="TXN24" s="2235"/>
      <c r="TXO24" s="2234"/>
      <c r="TXP24" s="2235"/>
      <c r="TXQ24" s="2235"/>
      <c r="TXR24" s="2234"/>
      <c r="TXS24" s="2235"/>
      <c r="TXT24" s="2235"/>
      <c r="TXU24" s="2234"/>
      <c r="TXV24" s="2235"/>
      <c r="TXW24" s="2235"/>
      <c r="TXX24" s="2234"/>
      <c r="TXY24" s="2235"/>
      <c r="TXZ24" s="2235"/>
      <c r="TYA24" s="2234"/>
      <c r="TYB24" s="2235"/>
      <c r="TYC24" s="2235"/>
      <c r="TYD24" s="2234"/>
      <c r="TYE24" s="2235"/>
      <c r="TYF24" s="2235"/>
      <c r="TYG24" s="2234"/>
      <c r="TYH24" s="2235"/>
      <c r="TYI24" s="2235"/>
      <c r="TYJ24" s="2234"/>
      <c r="TYK24" s="2235"/>
      <c r="TYL24" s="2235"/>
      <c r="TYM24" s="2234"/>
      <c r="TYN24" s="2235"/>
      <c r="TYO24" s="2235"/>
      <c r="TYP24" s="2234"/>
      <c r="TYQ24" s="2235"/>
      <c r="TYR24" s="2235"/>
      <c r="TYS24" s="2234"/>
      <c r="TYT24" s="2235"/>
      <c r="TYU24" s="2235"/>
      <c r="TYV24" s="2234"/>
      <c r="TYW24" s="2235"/>
      <c r="TYX24" s="2235"/>
      <c r="TYY24" s="2234"/>
      <c r="TYZ24" s="2235"/>
      <c r="TZA24" s="2235"/>
      <c r="TZB24" s="2234"/>
      <c r="TZC24" s="2235"/>
      <c r="TZD24" s="2235"/>
      <c r="TZE24" s="2234"/>
      <c r="TZF24" s="2235"/>
      <c r="TZG24" s="2235"/>
      <c r="TZH24" s="2234"/>
      <c r="TZI24" s="2235"/>
      <c r="TZJ24" s="2235"/>
      <c r="TZK24" s="2234"/>
      <c r="TZL24" s="2235"/>
      <c r="TZM24" s="2235"/>
      <c r="TZN24" s="2234"/>
      <c r="TZO24" s="2235"/>
      <c r="TZP24" s="2235"/>
      <c r="TZQ24" s="2234"/>
      <c r="TZR24" s="2235"/>
      <c r="TZS24" s="2235"/>
      <c r="TZT24" s="2234"/>
      <c r="TZU24" s="2235"/>
      <c r="TZV24" s="2235"/>
      <c r="TZW24" s="2234"/>
      <c r="TZX24" s="2235"/>
      <c r="TZY24" s="2235"/>
      <c r="TZZ24" s="2234"/>
      <c r="UAA24" s="2235"/>
      <c r="UAB24" s="2235"/>
      <c r="UAC24" s="2234"/>
      <c r="UAD24" s="2235"/>
      <c r="UAE24" s="2235"/>
      <c r="UAF24" s="2234"/>
      <c r="UAG24" s="2235"/>
      <c r="UAH24" s="2235"/>
      <c r="UAI24" s="2234"/>
      <c r="UAJ24" s="2235"/>
      <c r="UAK24" s="2235"/>
      <c r="UAL24" s="2234"/>
      <c r="UAM24" s="2235"/>
      <c r="UAN24" s="2235"/>
      <c r="UAO24" s="2234"/>
      <c r="UAP24" s="2235"/>
      <c r="UAQ24" s="2235"/>
      <c r="UAR24" s="2234"/>
      <c r="UAS24" s="2235"/>
      <c r="UAT24" s="2235"/>
      <c r="UAU24" s="2234"/>
      <c r="UAV24" s="2235"/>
      <c r="UAW24" s="2235"/>
      <c r="UAX24" s="2234"/>
      <c r="UAY24" s="2235"/>
      <c r="UAZ24" s="2235"/>
      <c r="UBA24" s="2234"/>
      <c r="UBB24" s="2235"/>
      <c r="UBC24" s="2235"/>
      <c r="UBD24" s="2234"/>
      <c r="UBE24" s="2235"/>
      <c r="UBF24" s="2235"/>
      <c r="UBG24" s="2234"/>
      <c r="UBH24" s="2235"/>
      <c r="UBI24" s="2235"/>
      <c r="UBJ24" s="2234"/>
      <c r="UBK24" s="2235"/>
      <c r="UBL24" s="2235"/>
      <c r="UBM24" s="2234"/>
      <c r="UBN24" s="2235"/>
      <c r="UBO24" s="2235"/>
      <c r="UBP24" s="2234"/>
      <c r="UBQ24" s="2235"/>
      <c r="UBR24" s="2235"/>
      <c r="UBS24" s="2234"/>
      <c r="UBT24" s="2235"/>
      <c r="UBU24" s="2235"/>
      <c r="UBV24" s="2234"/>
      <c r="UBW24" s="2235"/>
      <c r="UBX24" s="2235"/>
      <c r="UBY24" s="2234"/>
      <c r="UBZ24" s="2235"/>
      <c r="UCA24" s="2235"/>
      <c r="UCB24" s="2234"/>
      <c r="UCC24" s="2235"/>
      <c r="UCD24" s="2235"/>
      <c r="UCE24" s="2234"/>
      <c r="UCF24" s="2235"/>
      <c r="UCG24" s="2235"/>
      <c r="UCH24" s="2234"/>
      <c r="UCI24" s="2235"/>
      <c r="UCJ24" s="2235"/>
      <c r="UCK24" s="2234"/>
      <c r="UCL24" s="2235"/>
      <c r="UCM24" s="2235"/>
      <c r="UCN24" s="2234"/>
      <c r="UCO24" s="2235"/>
      <c r="UCP24" s="2235"/>
      <c r="UCQ24" s="2234"/>
      <c r="UCR24" s="2235"/>
      <c r="UCS24" s="2235"/>
      <c r="UCT24" s="2234"/>
      <c r="UCU24" s="2235"/>
      <c r="UCV24" s="2235"/>
      <c r="UCW24" s="2234"/>
      <c r="UCX24" s="2235"/>
      <c r="UCY24" s="2235"/>
      <c r="UCZ24" s="2234"/>
      <c r="UDA24" s="2235"/>
      <c r="UDB24" s="2235"/>
      <c r="UDC24" s="2234"/>
      <c r="UDD24" s="2235"/>
      <c r="UDE24" s="2235"/>
      <c r="UDF24" s="2234"/>
      <c r="UDG24" s="2235"/>
      <c r="UDH24" s="2235"/>
      <c r="UDI24" s="2234"/>
      <c r="UDJ24" s="2235"/>
      <c r="UDK24" s="2235"/>
      <c r="UDL24" s="2234"/>
      <c r="UDM24" s="2235"/>
      <c r="UDN24" s="2235"/>
      <c r="UDO24" s="2234"/>
      <c r="UDP24" s="2235"/>
      <c r="UDQ24" s="2235"/>
      <c r="UDR24" s="2234"/>
      <c r="UDS24" s="2235"/>
      <c r="UDT24" s="2235"/>
      <c r="UDU24" s="2234"/>
      <c r="UDV24" s="2235"/>
      <c r="UDW24" s="2235"/>
      <c r="UDX24" s="2234"/>
      <c r="UDY24" s="2235"/>
      <c r="UDZ24" s="2235"/>
      <c r="UEA24" s="2234"/>
      <c r="UEB24" s="2235"/>
      <c r="UEC24" s="2235"/>
      <c r="UED24" s="2234"/>
      <c r="UEE24" s="2235"/>
      <c r="UEF24" s="2235"/>
      <c r="UEG24" s="2234"/>
      <c r="UEH24" s="2235"/>
      <c r="UEI24" s="2235"/>
      <c r="UEJ24" s="2234"/>
      <c r="UEK24" s="2235"/>
      <c r="UEL24" s="2235"/>
      <c r="UEM24" s="2234"/>
      <c r="UEN24" s="2235"/>
      <c r="UEO24" s="2235"/>
      <c r="UEP24" s="2234"/>
      <c r="UEQ24" s="2235"/>
      <c r="UER24" s="2235"/>
      <c r="UES24" s="2234"/>
      <c r="UET24" s="2235"/>
      <c r="UEU24" s="2235"/>
      <c r="UEV24" s="2234"/>
      <c r="UEW24" s="2235"/>
      <c r="UEX24" s="2235"/>
      <c r="UEY24" s="2234"/>
      <c r="UEZ24" s="2235"/>
      <c r="UFA24" s="2235"/>
      <c r="UFB24" s="2234"/>
      <c r="UFC24" s="2235"/>
      <c r="UFD24" s="2235"/>
      <c r="UFE24" s="2234"/>
      <c r="UFF24" s="2235"/>
      <c r="UFG24" s="2235"/>
      <c r="UFH24" s="2234"/>
      <c r="UFI24" s="2235"/>
      <c r="UFJ24" s="2235"/>
      <c r="UFK24" s="2234"/>
      <c r="UFL24" s="2235"/>
      <c r="UFM24" s="2235"/>
      <c r="UFN24" s="2234"/>
      <c r="UFO24" s="2235"/>
      <c r="UFP24" s="2235"/>
      <c r="UFQ24" s="2234"/>
      <c r="UFR24" s="2235"/>
      <c r="UFS24" s="2235"/>
      <c r="UFT24" s="2234"/>
      <c r="UFU24" s="2235"/>
      <c r="UFV24" s="2235"/>
      <c r="UFW24" s="2234"/>
      <c r="UFX24" s="2235"/>
      <c r="UFY24" s="2235"/>
      <c r="UFZ24" s="2234"/>
      <c r="UGA24" s="2235"/>
      <c r="UGB24" s="2235"/>
      <c r="UGC24" s="2234"/>
      <c r="UGD24" s="2235"/>
      <c r="UGE24" s="2235"/>
      <c r="UGF24" s="2234"/>
      <c r="UGG24" s="2235"/>
      <c r="UGH24" s="2235"/>
      <c r="UGI24" s="2234"/>
      <c r="UGJ24" s="2235"/>
      <c r="UGK24" s="2235"/>
      <c r="UGL24" s="2234"/>
      <c r="UGM24" s="2235"/>
      <c r="UGN24" s="2235"/>
      <c r="UGO24" s="2234"/>
      <c r="UGP24" s="2235"/>
      <c r="UGQ24" s="2235"/>
      <c r="UGR24" s="2234"/>
      <c r="UGS24" s="2235"/>
      <c r="UGT24" s="2235"/>
      <c r="UGU24" s="2234"/>
      <c r="UGV24" s="2235"/>
      <c r="UGW24" s="2235"/>
      <c r="UGX24" s="2234"/>
      <c r="UGY24" s="2235"/>
      <c r="UGZ24" s="2235"/>
      <c r="UHA24" s="2234"/>
      <c r="UHB24" s="2235"/>
      <c r="UHC24" s="2235"/>
      <c r="UHD24" s="2234"/>
      <c r="UHE24" s="2235"/>
      <c r="UHF24" s="2235"/>
      <c r="UHG24" s="2234"/>
      <c r="UHH24" s="2235"/>
      <c r="UHI24" s="2235"/>
      <c r="UHJ24" s="2234"/>
      <c r="UHK24" s="2235"/>
      <c r="UHL24" s="2235"/>
      <c r="UHM24" s="2234"/>
      <c r="UHN24" s="2235"/>
      <c r="UHO24" s="2235"/>
      <c r="UHP24" s="2234"/>
      <c r="UHQ24" s="2235"/>
      <c r="UHR24" s="2235"/>
      <c r="UHS24" s="2234"/>
      <c r="UHT24" s="2235"/>
      <c r="UHU24" s="2235"/>
      <c r="UHV24" s="2234"/>
      <c r="UHW24" s="2235"/>
      <c r="UHX24" s="2235"/>
      <c r="UHY24" s="2234"/>
      <c r="UHZ24" s="2235"/>
      <c r="UIA24" s="2235"/>
      <c r="UIB24" s="2234"/>
      <c r="UIC24" s="2235"/>
      <c r="UID24" s="2235"/>
      <c r="UIE24" s="2234"/>
      <c r="UIF24" s="2235"/>
      <c r="UIG24" s="2235"/>
      <c r="UIH24" s="2234"/>
      <c r="UII24" s="2235"/>
      <c r="UIJ24" s="2235"/>
      <c r="UIK24" s="2234"/>
      <c r="UIL24" s="2235"/>
      <c r="UIM24" s="2235"/>
      <c r="UIN24" s="2234"/>
      <c r="UIO24" s="2235"/>
      <c r="UIP24" s="2235"/>
      <c r="UIQ24" s="2234"/>
      <c r="UIR24" s="2235"/>
      <c r="UIS24" s="2235"/>
      <c r="UIT24" s="2234"/>
      <c r="UIU24" s="2235"/>
      <c r="UIV24" s="2235"/>
      <c r="UIW24" s="2234"/>
      <c r="UIX24" s="2235"/>
      <c r="UIY24" s="2235"/>
      <c r="UIZ24" s="2234"/>
      <c r="UJA24" s="2235"/>
      <c r="UJB24" s="2235"/>
      <c r="UJC24" s="2234"/>
      <c r="UJD24" s="2235"/>
      <c r="UJE24" s="2235"/>
      <c r="UJF24" s="2234"/>
      <c r="UJG24" s="2235"/>
      <c r="UJH24" s="2235"/>
      <c r="UJI24" s="2234"/>
      <c r="UJJ24" s="2235"/>
      <c r="UJK24" s="2235"/>
      <c r="UJL24" s="2234"/>
      <c r="UJM24" s="2235"/>
      <c r="UJN24" s="2235"/>
      <c r="UJO24" s="2234"/>
      <c r="UJP24" s="2235"/>
      <c r="UJQ24" s="2235"/>
      <c r="UJR24" s="2234"/>
      <c r="UJS24" s="2235"/>
      <c r="UJT24" s="2235"/>
      <c r="UJU24" s="2234"/>
      <c r="UJV24" s="2235"/>
      <c r="UJW24" s="2235"/>
      <c r="UJX24" s="2234"/>
      <c r="UJY24" s="2235"/>
      <c r="UJZ24" s="2235"/>
      <c r="UKA24" s="2234"/>
      <c r="UKB24" s="2235"/>
      <c r="UKC24" s="2235"/>
      <c r="UKD24" s="2234"/>
      <c r="UKE24" s="2235"/>
      <c r="UKF24" s="2235"/>
      <c r="UKG24" s="2234"/>
      <c r="UKH24" s="2235"/>
      <c r="UKI24" s="2235"/>
      <c r="UKJ24" s="2234"/>
      <c r="UKK24" s="2235"/>
      <c r="UKL24" s="2235"/>
      <c r="UKM24" s="2234"/>
      <c r="UKN24" s="2235"/>
      <c r="UKO24" s="2235"/>
      <c r="UKP24" s="2234"/>
      <c r="UKQ24" s="2235"/>
      <c r="UKR24" s="2235"/>
      <c r="UKS24" s="2234"/>
      <c r="UKT24" s="2235"/>
      <c r="UKU24" s="2235"/>
      <c r="UKV24" s="2234"/>
      <c r="UKW24" s="2235"/>
      <c r="UKX24" s="2235"/>
      <c r="UKY24" s="2234"/>
      <c r="UKZ24" s="2235"/>
      <c r="ULA24" s="2235"/>
      <c r="ULB24" s="2234"/>
      <c r="ULC24" s="2235"/>
      <c r="ULD24" s="2235"/>
      <c r="ULE24" s="2234"/>
      <c r="ULF24" s="2235"/>
      <c r="ULG24" s="2235"/>
      <c r="ULH24" s="2234"/>
      <c r="ULI24" s="2235"/>
      <c r="ULJ24" s="2235"/>
      <c r="ULK24" s="2234"/>
      <c r="ULL24" s="2235"/>
      <c r="ULM24" s="2235"/>
      <c r="ULN24" s="2234"/>
      <c r="ULO24" s="2235"/>
      <c r="ULP24" s="2235"/>
      <c r="ULQ24" s="2234"/>
      <c r="ULR24" s="2235"/>
      <c r="ULS24" s="2235"/>
      <c r="ULT24" s="2234"/>
      <c r="ULU24" s="2235"/>
      <c r="ULV24" s="2235"/>
      <c r="ULW24" s="2234"/>
      <c r="ULX24" s="2235"/>
      <c r="ULY24" s="2235"/>
      <c r="ULZ24" s="2234"/>
      <c r="UMA24" s="2235"/>
      <c r="UMB24" s="2235"/>
      <c r="UMC24" s="2234"/>
      <c r="UMD24" s="2235"/>
      <c r="UME24" s="2235"/>
      <c r="UMF24" s="2234"/>
      <c r="UMG24" s="2235"/>
      <c r="UMH24" s="2235"/>
      <c r="UMI24" s="2234"/>
      <c r="UMJ24" s="2235"/>
      <c r="UMK24" s="2235"/>
      <c r="UML24" s="2234"/>
      <c r="UMM24" s="2235"/>
      <c r="UMN24" s="2235"/>
      <c r="UMO24" s="2234"/>
      <c r="UMP24" s="2235"/>
      <c r="UMQ24" s="2235"/>
      <c r="UMR24" s="2234"/>
      <c r="UMS24" s="2235"/>
      <c r="UMT24" s="2235"/>
      <c r="UMU24" s="2234"/>
      <c r="UMV24" s="2235"/>
      <c r="UMW24" s="2235"/>
      <c r="UMX24" s="2234"/>
      <c r="UMY24" s="2235"/>
      <c r="UMZ24" s="2235"/>
      <c r="UNA24" s="2234"/>
      <c r="UNB24" s="2235"/>
      <c r="UNC24" s="2235"/>
      <c r="UND24" s="2234"/>
      <c r="UNE24" s="2235"/>
      <c r="UNF24" s="2235"/>
      <c r="UNG24" s="2234"/>
      <c r="UNH24" s="2235"/>
      <c r="UNI24" s="2235"/>
      <c r="UNJ24" s="2234"/>
      <c r="UNK24" s="2235"/>
      <c r="UNL24" s="2235"/>
      <c r="UNM24" s="2234"/>
      <c r="UNN24" s="2235"/>
      <c r="UNO24" s="2235"/>
      <c r="UNP24" s="2234"/>
      <c r="UNQ24" s="2235"/>
      <c r="UNR24" s="2235"/>
      <c r="UNS24" s="2234"/>
      <c r="UNT24" s="2235"/>
      <c r="UNU24" s="2235"/>
      <c r="UNV24" s="2234"/>
      <c r="UNW24" s="2235"/>
      <c r="UNX24" s="2235"/>
      <c r="UNY24" s="2234"/>
      <c r="UNZ24" s="2235"/>
      <c r="UOA24" s="2235"/>
      <c r="UOB24" s="2234"/>
      <c r="UOC24" s="2235"/>
      <c r="UOD24" s="2235"/>
      <c r="UOE24" s="2234"/>
      <c r="UOF24" s="2235"/>
      <c r="UOG24" s="2235"/>
      <c r="UOH24" s="2234"/>
      <c r="UOI24" s="2235"/>
      <c r="UOJ24" s="2235"/>
      <c r="UOK24" s="2234"/>
      <c r="UOL24" s="2235"/>
      <c r="UOM24" s="2235"/>
      <c r="UON24" s="2234"/>
      <c r="UOO24" s="2235"/>
      <c r="UOP24" s="2235"/>
      <c r="UOQ24" s="2234"/>
      <c r="UOR24" s="2235"/>
      <c r="UOS24" s="2235"/>
      <c r="UOT24" s="2234"/>
      <c r="UOU24" s="2235"/>
      <c r="UOV24" s="2235"/>
      <c r="UOW24" s="2234"/>
      <c r="UOX24" s="2235"/>
      <c r="UOY24" s="2235"/>
      <c r="UOZ24" s="2234"/>
      <c r="UPA24" s="2235"/>
      <c r="UPB24" s="2235"/>
      <c r="UPC24" s="2234"/>
      <c r="UPD24" s="2235"/>
      <c r="UPE24" s="2235"/>
      <c r="UPF24" s="2234"/>
      <c r="UPG24" s="2235"/>
      <c r="UPH24" s="2235"/>
      <c r="UPI24" s="2234"/>
      <c r="UPJ24" s="2235"/>
      <c r="UPK24" s="2235"/>
      <c r="UPL24" s="2234"/>
      <c r="UPM24" s="2235"/>
      <c r="UPN24" s="2235"/>
      <c r="UPO24" s="2234"/>
      <c r="UPP24" s="2235"/>
      <c r="UPQ24" s="2235"/>
      <c r="UPR24" s="2234"/>
      <c r="UPS24" s="2235"/>
      <c r="UPT24" s="2235"/>
      <c r="UPU24" s="2234"/>
      <c r="UPV24" s="2235"/>
      <c r="UPW24" s="2235"/>
      <c r="UPX24" s="2234"/>
      <c r="UPY24" s="2235"/>
      <c r="UPZ24" s="2235"/>
      <c r="UQA24" s="2234"/>
      <c r="UQB24" s="2235"/>
      <c r="UQC24" s="2235"/>
      <c r="UQD24" s="2234"/>
      <c r="UQE24" s="2235"/>
      <c r="UQF24" s="2235"/>
      <c r="UQG24" s="2234"/>
      <c r="UQH24" s="2235"/>
      <c r="UQI24" s="2235"/>
      <c r="UQJ24" s="2234"/>
      <c r="UQK24" s="2235"/>
      <c r="UQL24" s="2235"/>
      <c r="UQM24" s="2234"/>
      <c r="UQN24" s="2235"/>
      <c r="UQO24" s="2235"/>
      <c r="UQP24" s="2234"/>
      <c r="UQQ24" s="2235"/>
      <c r="UQR24" s="2235"/>
      <c r="UQS24" s="2234"/>
      <c r="UQT24" s="2235"/>
      <c r="UQU24" s="2235"/>
      <c r="UQV24" s="2234"/>
      <c r="UQW24" s="2235"/>
      <c r="UQX24" s="2235"/>
      <c r="UQY24" s="2234"/>
      <c r="UQZ24" s="2235"/>
      <c r="URA24" s="2235"/>
      <c r="URB24" s="2234"/>
      <c r="URC24" s="2235"/>
      <c r="URD24" s="2235"/>
      <c r="URE24" s="2234"/>
      <c r="URF24" s="2235"/>
      <c r="URG24" s="2235"/>
      <c r="URH24" s="2234"/>
      <c r="URI24" s="2235"/>
      <c r="URJ24" s="2235"/>
      <c r="URK24" s="2234"/>
      <c r="URL24" s="2235"/>
      <c r="URM24" s="2235"/>
      <c r="URN24" s="2234"/>
      <c r="URO24" s="2235"/>
      <c r="URP24" s="2235"/>
      <c r="URQ24" s="2234"/>
      <c r="URR24" s="2235"/>
      <c r="URS24" s="2235"/>
      <c r="URT24" s="2234"/>
      <c r="URU24" s="2235"/>
      <c r="URV24" s="2235"/>
      <c r="URW24" s="2234"/>
      <c r="URX24" s="2235"/>
      <c r="URY24" s="2235"/>
      <c r="URZ24" s="2234"/>
      <c r="USA24" s="2235"/>
      <c r="USB24" s="2235"/>
      <c r="USC24" s="2234"/>
      <c r="USD24" s="2235"/>
      <c r="USE24" s="2235"/>
      <c r="USF24" s="2234"/>
      <c r="USG24" s="2235"/>
      <c r="USH24" s="2235"/>
      <c r="USI24" s="2234"/>
      <c r="USJ24" s="2235"/>
      <c r="USK24" s="2235"/>
      <c r="USL24" s="2234"/>
      <c r="USM24" s="2235"/>
      <c r="USN24" s="2235"/>
      <c r="USO24" s="2234"/>
      <c r="USP24" s="2235"/>
      <c r="USQ24" s="2235"/>
      <c r="USR24" s="2234"/>
      <c r="USS24" s="2235"/>
      <c r="UST24" s="2235"/>
      <c r="USU24" s="2234"/>
      <c r="USV24" s="2235"/>
      <c r="USW24" s="2235"/>
      <c r="USX24" s="2234"/>
      <c r="USY24" s="2235"/>
      <c r="USZ24" s="2235"/>
      <c r="UTA24" s="2234"/>
      <c r="UTB24" s="2235"/>
      <c r="UTC24" s="2235"/>
      <c r="UTD24" s="2234"/>
      <c r="UTE24" s="2235"/>
      <c r="UTF24" s="2235"/>
      <c r="UTG24" s="2234"/>
      <c r="UTH24" s="2235"/>
      <c r="UTI24" s="2235"/>
      <c r="UTJ24" s="2234"/>
      <c r="UTK24" s="2235"/>
      <c r="UTL24" s="2235"/>
      <c r="UTM24" s="2234"/>
      <c r="UTN24" s="2235"/>
      <c r="UTO24" s="2235"/>
      <c r="UTP24" s="2234"/>
      <c r="UTQ24" s="2235"/>
      <c r="UTR24" s="2235"/>
      <c r="UTS24" s="2234"/>
      <c r="UTT24" s="2235"/>
      <c r="UTU24" s="2235"/>
      <c r="UTV24" s="2234"/>
      <c r="UTW24" s="2235"/>
      <c r="UTX24" s="2235"/>
      <c r="UTY24" s="2234"/>
      <c r="UTZ24" s="2235"/>
      <c r="UUA24" s="2235"/>
      <c r="UUB24" s="2234"/>
      <c r="UUC24" s="2235"/>
      <c r="UUD24" s="2235"/>
      <c r="UUE24" s="2234"/>
      <c r="UUF24" s="2235"/>
      <c r="UUG24" s="2235"/>
      <c r="UUH24" s="2234"/>
      <c r="UUI24" s="2235"/>
      <c r="UUJ24" s="2235"/>
      <c r="UUK24" s="2234"/>
      <c r="UUL24" s="2235"/>
      <c r="UUM24" s="2235"/>
      <c r="UUN24" s="2234"/>
      <c r="UUO24" s="2235"/>
      <c r="UUP24" s="2235"/>
      <c r="UUQ24" s="2234"/>
      <c r="UUR24" s="2235"/>
      <c r="UUS24" s="2235"/>
      <c r="UUT24" s="2234"/>
      <c r="UUU24" s="2235"/>
      <c r="UUV24" s="2235"/>
      <c r="UUW24" s="2234"/>
      <c r="UUX24" s="2235"/>
      <c r="UUY24" s="2235"/>
      <c r="UUZ24" s="2234"/>
      <c r="UVA24" s="2235"/>
      <c r="UVB24" s="2235"/>
      <c r="UVC24" s="2234"/>
      <c r="UVD24" s="2235"/>
      <c r="UVE24" s="2235"/>
      <c r="UVF24" s="2234"/>
      <c r="UVG24" s="2235"/>
      <c r="UVH24" s="2235"/>
      <c r="UVI24" s="2234"/>
      <c r="UVJ24" s="2235"/>
      <c r="UVK24" s="2235"/>
      <c r="UVL24" s="2234"/>
      <c r="UVM24" s="2235"/>
      <c r="UVN24" s="2235"/>
      <c r="UVO24" s="2234"/>
      <c r="UVP24" s="2235"/>
      <c r="UVQ24" s="2235"/>
      <c r="UVR24" s="2234"/>
      <c r="UVS24" s="2235"/>
      <c r="UVT24" s="2235"/>
      <c r="UVU24" s="2234"/>
      <c r="UVV24" s="2235"/>
      <c r="UVW24" s="2235"/>
      <c r="UVX24" s="2234"/>
      <c r="UVY24" s="2235"/>
      <c r="UVZ24" s="2235"/>
      <c r="UWA24" s="2234"/>
      <c r="UWB24" s="2235"/>
      <c r="UWC24" s="2235"/>
      <c r="UWD24" s="2234"/>
      <c r="UWE24" s="2235"/>
      <c r="UWF24" s="2235"/>
      <c r="UWG24" s="2234"/>
      <c r="UWH24" s="2235"/>
      <c r="UWI24" s="2235"/>
      <c r="UWJ24" s="2234"/>
      <c r="UWK24" s="2235"/>
      <c r="UWL24" s="2235"/>
      <c r="UWM24" s="2234"/>
      <c r="UWN24" s="2235"/>
      <c r="UWO24" s="2235"/>
      <c r="UWP24" s="2234"/>
      <c r="UWQ24" s="2235"/>
      <c r="UWR24" s="2235"/>
      <c r="UWS24" s="2234"/>
      <c r="UWT24" s="2235"/>
      <c r="UWU24" s="2235"/>
      <c r="UWV24" s="2234"/>
      <c r="UWW24" s="2235"/>
      <c r="UWX24" s="2235"/>
      <c r="UWY24" s="2234"/>
      <c r="UWZ24" s="2235"/>
      <c r="UXA24" s="2235"/>
      <c r="UXB24" s="2234"/>
      <c r="UXC24" s="2235"/>
      <c r="UXD24" s="2235"/>
      <c r="UXE24" s="2234"/>
      <c r="UXF24" s="2235"/>
      <c r="UXG24" s="2235"/>
      <c r="UXH24" s="2234"/>
      <c r="UXI24" s="2235"/>
      <c r="UXJ24" s="2235"/>
      <c r="UXK24" s="2234"/>
      <c r="UXL24" s="2235"/>
      <c r="UXM24" s="2235"/>
      <c r="UXN24" s="2234"/>
      <c r="UXO24" s="2235"/>
      <c r="UXP24" s="2235"/>
      <c r="UXQ24" s="2234"/>
      <c r="UXR24" s="2235"/>
      <c r="UXS24" s="2235"/>
      <c r="UXT24" s="2234"/>
      <c r="UXU24" s="2235"/>
      <c r="UXV24" s="2235"/>
      <c r="UXW24" s="2234"/>
      <c r="UXX24" s="2235"/>
      <c r="UXY24" s="2235"/>
      <c r="UXZ24" s="2234"/>
      <c r="UYA24" s="2235"/>
      <c r="UYB24" s="2235"/>
      <c r="UYC24" s="2234"/>
      <c r="UYD24" s="2235"/>
      <c r="UYE24" s="2235"/>
      <c r="UYF24" s="2234"/>
      <c r="UYG24" s="2235"/>
      <c r="UYH24" s="2235"/>
      <c r="UYI24" s="2234"/>
      <c r="UYJ24" s="2235"/>
      <c r="UYK24" s="2235"/>
      <c r="UYL24" s="2234"/>
      <c r="UYM24" s="2235"/>
      <c r="UYN24" s="2235"/>
      <c r="UYO24" s="2234"/>
      <c r="UYP24" s="2235"/>
      <c r="UYQ24" s="2235"/>
      <c r="UYR24" s="2234"/>
      <c r="UYS24" s="2235"/>
      <c r="UYT24" s="2235"/>
      <c r="UYU24" s="2234"/>
      <c r="UYV24" s="2235"/>
      <c r="UYW24" s="2235"/>
      <c r="UYX24" s="2234"/>
      <c r="UYY24" s="2235"/>
      <c r="UYZ24" s="2235"/>
      <c r="UZA24" s="2234"/>
      <c r="UZB24" s="2235"/>
      <c r="UZC24" s="2235"/>
      <c r="UZD24" s="2234"/>
      <c r="UZE24" s="2235"/>
      <c r="UZF24" s="2235"/>
      <c r="UZG24" s="2234"/>
      <c r="UZH24" s="2235"/>
      <c r="UZI24" s="2235"/>
      <c r="UZJ24" s="2234"/>
      <c r="UZK24" s="2235"/>
      <c r="UZL24" s="2235"/>
      <c r="UZM24" s="2234"/>
      <c r="UZN24" s="2235"/>
      <c r="UZO24" s="2235"/>
      <c r="UZP24" s="2234"/>
      <c r="UZQ24" s="2235"/>
      <c r="UZR24" s="2235"/>
      <c r="UZS24" s="2234"/>
      <c r="UZT24" s="2235"/>
      <c r="UZU24" s="2235"/>
      <c r="UZV24" s="2234"/>
      <c r="UZW24" s="2235"/>
      <c r="UZX24" s="2235"/>
      <c r="UZY24" s="2234"/>
      <c r="UZZ24" s="2235"/>
      <c r="VAA24" s="2235"/>
      <c r="VAB24" s="2234"/>
      <c r="VAC24" s="2235"/>
      <c r="VAD24" s="2235"/>
      <c r="VAE24" s="2234"/>
      <c r="VAF24" s="2235"/>
      <c r="VAG24" s="2235"/>
      <c r="VAH24" s="2234"/>
      <c r="VAI24" s="2235"/>
      <c r="VAJ24" s="2235"/>
      <c r="VAK24" s="2234"/>
      <c r="VAL24" s="2235"/>
      <c r="VAM24" s="2235"/>
      <c r="VAN24" s="2234"/>
      <c r="VAO24" s="2235"/>
      <c r="VAP24" s="2235"/>
      <c r="VAQ24" s="2234"/>
      <c r="VAR24" s="2235"/>
      <c r="VAS24" s="2235"/>
      <c r="VAT24" s="2234"/>
      <c r="VAU24" s="2235"/>
      <c r="VAV24" s="2235"/>
      <c r="VAW24" s="2234"/>
      <c r="VAX24" s="2235"/>
      <c r="VAY24" s="2235"/>
      <c r="VAZ24" s="2234"/>
      <c r="VBA24" s="2235"/>
      <c r="VBB24" s="2235"/>
      <c r="VBC24" s="2234"/>
      <c r="VBD24" s="2235"/>
      <c r="VBE24" s="2235"/>
      <c r="VBF24" s="2234"/>
      <c r="VBG24" s="2235"/>
      <c r="VBH24" s="2235"/>
      <c r="VBI24" s="2234"/>
      <c r="VBJ24" s="2235"/>
      <c r="VBK24" s="2235"/>
      <c r="VBL24" s="2234"/>
      <c r="VBM24" s="2235"/>
      <c r="VBN24" s="2235"/>
      <c r="VBO24" s="2234"/>
      <c r="VBP24" s="2235"/>
      <c r="VBQ24" s="2235"/>
      <c r="VBR24" s="2234"/>
      <c r="VBS24" s="2235"/>
      <c r="VBT24" s="2235"/>
      <c r="VBU24" s="2234"/>
      <c r="VBV24" s="2235"/>
      <c r="VBW24" s="2235"/>
      <c r="VBX24" s="2234"/>
      <c r="VBY24" s="2235"/>
      <c r="VBZ24" s="2235"/>
      <c r="VCA24" s="2234"/>
      <c r="VCB24" s="2235"/>
      <c r="VCC24" s="2235"/>
      <c r="VCD24" s="2234"/>
      <c r="VCE24" s="2235"/>
      <c r="VCF24" s="2235"/>
      <c r="VCG24" s="2234"/>
      <c r="VCH24" s="2235"/>
      <c r="VCI24" s="2235"/>
      <c r="VCJ24" s="2234"/>
      <c r="VCK24" s="2235"/>
      <c r="VCL24" s="2235"/>
      <c r="VCM24" s="2234"/>
      <c r="VCN24" s="2235"/>
      <c r="VCO24" s="2235"/>
      <c r="VCP24" s="2234"/>
      <c r="VCQ24" s="2235"/>
      <c r="VCR24" s="2235"/>
      <c r="VCS24" s="2234"/>
      <c r="VCT24" s="2235"/>
      <c r="VCU24" s="2235"/>
      <c r="VCV24" s="2234"/>
      <c r="VCW24" s="2235"/>
      <c r="VCX24" s="2235"/>
      <c r="VCY24" s="2234"/>
      <c r="VCZ24" s="2235"/>
      <c r="VDA24" s="2235"/>
      <c r="VDB24" s="2234"/>
      <c r="VDC24" s="2235"/>
      <c r="VDD24" s="2235"/>
      <c r="VDE24" s="2234"/>
      <c r="VDF24" s="2235"/>
      <c r="VDG24" s="2235"/>
      <c r="VDH24" s="2234"/>
      <c r="VDI24" s="2235"/>
      <c r="VDJ24" s="2235"/>
      <c r="VDK24" s="2234"/>
      <c r="VDL24" s="2235"/>
      <c r="VDM24" s="2235"/>
      <c r="VDN24" s="2234"/>
      <c r="VDO24" s="2235"/>
      <c r="VDP24" s="2235"/>
      <c r="VDQ24" s="2234"/>
      <c r="VDR24" s="2235"/>
      <c r="VDS24" s="2235"/>
      <c r="VDT24" s="2234"/>
      <c r="VDU24" s="2235"/>
      <c r="VDV24" s="2235"/>
      <c r="VDW24" s="2234"/>
      <c r="VDX24" s="2235"/>
      <c r="VDY24" s="2235"/>
      <c r="VDZ24" s="2234"/>
      <c r="VEA24" s="2235"/>
      <c r="VEB24" s="2235"/>
      <c r="VEC24" s="2234"/>
      <c r="VED24" s="2235"/>
      <c r="VEE24" s="2235"/>
      <c r="VEF24" s="2234"/>
      <c r="VEG24" s="2235"/>
      <c r="VEH24" s="2235"/>
      <c r="VEI24" s="2234"/>
      <c r="VEJ24" s="2235"/>
      <c r="VEK24" s="2235"/>
      <c r="VEL24" s="2234"/>
      <c r="VEM24" s="2235"/>
      <c r="VEN24" s="2235"/>
      <c r="VEO24" s="2234"/>
      <c r="VEP24" s="2235"/>
      <c r="VEQ24" s="2235"/>
      <c r="VER24" s="2234"/>
      <c r="VES24" s="2235"/>
      <c r="VET24" s="2235"/>
      <c r="VEU24" s="2234"/>
      <c r="VEV24" s="2235"/>
      <c r="VEW24" s="2235"/>
      <c r="VEX24" s="2234"/>
      <c r="VEY24" s="2235"/>
      <c r="VEZ24" s="2235"/>
      <c r="VFA24" s="2234"/>
      <c r="VFB24" s="2235"/>
      <c r="VFC24" s="2235"/>
      <c r="VFD24" s="2234"/>
      <c r="VFE24" s="2235"/>
      <c r="VFF24" s="2235"/>
      <c r="VFG24" s="2234"/>
      <c r="VFH24" s="2235"/>
      <c r="VFI24" s="2235"/>
      <c r="VFJ24" s="2234"/>
      <c r="VFK24" s="2235"/>
      <c r="VFL24" s="2235"/>
      <c r="VFM24" s="2234"/>
      <c r="VFN24" s="2235"/>
      <c r="VFO24" s="2235"/>
      <c r="VFP24" s="2234"/>
      <c r="VFQ24" s="2235"/>
      <c r="VFR24" s="2235"/>
      <c r="VFS24" s="2234"/>
      <c r="VFT24" s="2235"/>
      <c r="VFU24" s="2235"/>
      <c r="VFV24" s="2234"/>
      <c r="VFW24" s="2235"/>
      <c r="VFX24" s="2235"/>
      <c r="VFY24" s="2234"/>
      <c r="VFZ24" s="2235"/>
      <c r="VGA24" s="2235"/>
      <c r="VGB24" s="2234"/>
      <c r="VGC24" s="2235"/>
      <c r="VGD24" s="2235"/>
      <c r="VGE24" s="2234"/>
      <c r="VGF24" s="2235"/>
      <c r="VGG24" s="2235"/>
      <c r="VGH24" s="2234"/>
      <c r="VGI24" s="2235"/>
      <c r="VGJ24" s="2235"/>
      <c r="VGK24" s="2234"/>
      <c r="VGL24" s="2235"/>
      <c r="VGM24" s="2235"/>
      <c r="VGN24" s="2234"/>
      <c r="VGO24" s="2235"/>
      <c r="VGP24" s="2235"/>
      <c r="VGQ24" s="2234"/>
      <c r="VGR24" s="2235"/>
      <c r="VGS24" s="2235"/>
      <c r="VGT24" s="2234"/>
      <c r="VGU24" s="2235"/>
      <c r="VGV24" s="2235"/>
      <c r="VGW24" s="2234"/>
      <c r="VGX24" s="2235"/>
      <c r="VGY24" s="2235"/>
      <c r="VGZ24" s="2234"/>
      <c r="VHA24" s="2235"/>
      <c r="VHB24" s="2235"/>
      <c r="VHC24" s="2234"/>
      <c r="VHD24" s="2235"/>
      <c r="VHE24" s="2235"/>
      <c r="VHF24" s="2234"/>
      <c r="VHG24" s="2235"/>
      <c r="VHH24" s="2235"/>
      <c r="VHI24" s="2234"/>
      <c r="VHJ24" s="2235"/>
      <c r="VHK24" s="2235"/>
      <c r="VHL24" s="2234"/>
      <c r="VHM24" s="2235"/>
      <c r="VHN24" s="2235"/>
      <c r="VHO24" s="2234"/>
      <c r="VHP24" s="2235"/>
      <c r="VHQ24" s="2235"/>
      <c r="VHR24" s="2234"/>
      <c r="VHS24" s="2235"/>
      <c r="VHT24" s="2235"/>
      <c r="VHU24" s="2234"/>
      <c r="VHV24" s="2235"/>
      <c r="VHW24" s="2235"/>
      <c r="VHX24" s="2234"/>
      <c r="VHY24" s="2235"/>
      <c r="VHZ24" s="2235"/>
      <c r="VIA24" s="2234"/>
      <c r="VIB24" s="2235"/>
      <c r="VIC24" s="2235"/>
      <c r="VID24" s="2234"/>
      <c r="VIE24" s="2235"/>
      <c r="VIF24" s="2235"/>
      <c r="VIG24" s="2234"/>
      <c r="VIH24" s="2235"/>
      <c r="VII24" s="2235"/>
      <c r="VIJ24" s="2234"/>
      <c r="VIK24" s="2235"/>
      <c r="VIL24" s="2235"/>
      <c r="VIM24" s="2234"/>
      <c r="VIN24" s="2235"/>
      <c r="VIO24" s="2235"/>
      <c r="VIP24" s="2234"/>
      <c r="VIQ24" s="2235"/>
      <c r="VIR24" s="2235"/>
      <c r="VIS24" s="2234"/>
      <c r="VIT24" s="2235"/>
      <c r="VIU24" s="2235"/>
      <c r="VIV24" s="2234"/>
      <c r="VIW24" s="2235"/>
      <c r="VIX24" s="2235"/>
      <c r="VIY24" s="2234"/>
      <c r="VIZ24" s="2235"/>
      <c r="VJA24" s="2235"/>
      <c r="VJB24" s="2234"/>
      <c r="VJC24" s="2235"/>
      <c r="VJD24" s="2235"/>
      <c r="VJE24" s="2234"/>
      <c r="VJF24" s="2235"/>
      <c r="VJG24" s="2235"/>
      <c r="VJH24" s="2234"/>
      <c r="VJI24" s="2235"/>
      <c r="VJJ24" s="2235"/>
      <c r="VJK24" s="2234"/>
      <c r="VJL24" s="2235"/>
      <c r="VJM24" s="2235"/>
      <c r="VJN24" s="2234"/>
      <c r="VJO24" s="2235"/>
      <c r="VJP24" s="2235"/>
      <c r="VJQ24" s="2234"/>
      <c r="VJR24" s="2235"/>
      <c r="VJS24" s="2235"/>
      <c r="VJT24" s="2234"/>
      <c r="VJU24" s="2235"/>
      <c r="VJV24" s="2235"/>
      <c r="VJW24" s="2234"/>
      <c r="VJX24" s="2235"/>
      <c r="VJY24" s="2235"/>
      <c r="VJZ24" s="2234"/>
      <c r="VKA24" s="2235"/>
      <c r="VKB24" s="2235"/>
      <c r="VKC24" s="2234"/>
      <c r="VKD24" s="2235"/>
      <c r="VKE24" s="2235"/>
      <c r="VKF24" s="2234"/>
      <c r="VKG24" s="2235"/>
      <c r="VKH24" s="2235"/>
      <c r="VKI24" s="2234"/>
      <c r="VKJ24" s="2235"/>
      <c r="VKK24" s="2235"/>
      <c r="VKL24" s="2234"/>
      <c r="VKM24" s="2235"/>
      <c r="VKN24" s="2235"/>
      <c r="VKO24" s="2234"/>
      <c r="VKP24" s="2235"/>
      <c r="VKQ24" s="2235"/>
      <c r="VKR24" s="2234"/>
      <c r="VKS24" s="2235"/>
      <c r="VKT24" s="2235"/>
      <c r="VKU24" s="2234"/>
      <c r="VKV24" s="2235"/>
      <c r="VKW24" s="2235"/>
      <c r="VKX24" s="2234"/>
      <c r="VKY24" s="2235"/>
      <c r="VKZ24" s="2235"/>
      <c r="VLA24" s="2234"/>
      <c r="VLB24" s="2235"/>
      <c r="VLC24" s="2235"/>
      <c r="VLD24" s="2234"/>
      <c r="VLE24" s="2235"/>
      <c r="VLF24" s="2235"/>
      <c r="VLG24" s="2234"/>
      <c r="VLH24" s="2235"/>
      <c r="VLI24" s="2235"/>
      <c r="VLJ24" s="2234"/>
      <c r="VLK24" s="2235"/>
      <c r="VLL24" s="2235"/>
      <c r="VLM24" s="2234"/>
      <c r="VLN24" s="2235"/>
      <c r="VLO24" s="2235"/>
      <c r="VLP24" s="2234"/>
      <c r="VLQ24" s="2235"/>
      <c r="VLR24" s="2235"/>
      <c r="VLS24" s="2234"/>
      <c r="VLT24" s="2235"/>
      <c r="VLU24" s="2235"/>
      <c r="VLV24" s="2234"/>
      <c r="VLW24" s="2235"/>
      <c r="VLX24" s="2235"/>
      <c r="VLY24" s="2234"/>
      <c r="VLZ24" s="2235"/>
      <c r="VMA24" s="2235"/>
      <c r="VMB24" s="2234"/>
      <c r="VMC24" s="2235"/>
      <c r="VMD24" s="2235"/>
      <c r="VME24" s="2234"/>
      <c r="VMF24" s="2235"/>
      <c r="VMG24" s="2235"/>
      <c r="VMH24" s="2234"/>
      <c r="VMI24" s="2235"/>
      <c r="VMJ24" s="2235"/>
      <c r="VMK24" s="2234"/>
      <c r="VML24" s="2235"/>
      <c r="VMM24" s="2235"/>
      <c r="VMN24" s="2234"/>
      <c r="VMO24" s="2235"/>
      <c r="VMP24" s="2235"/>
      <c r="VMQ24" s="2234"/>
      <c r="VMR24" s="2235"/>
      <c r="VMS24" s="2235"/>
      <c r="VMT24" s="2234"/>
      <c r="VMU24" s="2235"/>
      <c r="VMV24" s="2235"/>
      <c r="VMW24" s="2234"/>
      <c r="VMX24" s="2235"/>
      <c r="VMY24" s="2235"/>
      <c r="VMZ24" s="2234"/>
      <c r="VNA24" s="2235"/>
      <c r="VNB24" s="2235"/>
      <c r="VNC24" s="2234"/>
      <c r="VND24" s="2235"/>
      <c r="VNE24" s="2235"/>
      <c r="VNF24" s="2234"/>
      <c r="VNG24" s="2235"/>
      <c r="VNH24" s="2235"/>
      <c r="VNI24" s="2234"/>
      <c r="VNJ24" s="2235"/>
      <c r="VNK24" s="2235"/>
      <c r="VNL24" s="2234"/>
      <c r="VNM24" s="2235"/>
      <c r="VNN24" s="2235"/>
      <c r="VNO24" s="2234"/>
      <c r="VNP24" s="2235"/>
      <c r="VNQ24" s="2235"/>
      <c r="VNR24" s="2234"/>
      <c r="VNS24" s="2235"/>
      <c r="VNT24" s="2235"/>
      <c r="VNU24" s="2234"/>
      <c r="VNV24" s="2235"/>
      <c r="VNW24" s="2235"/>
      <c r="VNX24" s="2234"/>
      <c r="VNY24" s="2235"/>
      <c r="VNZ24" s="2235"/>
      <c r="VOA24" s="2234"/>
      <c r="VOB24" s="2235"/>
      <c r="VOC24" s="2235"/>
      <c r="VOD24" s="2234"/>
      <c r="VOE24" s="2235"/>
      <c r="VOF24" s="2235"/>
      <c r="VOG24" s="2234"/>
      <c r="VOH24" s="2235"/>
      <c r="VOI24" s="2235"/>
      <c r="VOJ24" s="2234"/>
      <c r="VOK24" s="2235"/>
      <c r="VOL24" s="2235"/>
      <c r="VOM24" s="2234"/>
      <c r="VON24" s="2235"/>
      <c r="VOO24" s="2235"/>
      <c r="VOP24" s="2234"/>
      <c r="VOQ24" s="2235"/>
      <c r="VOR24" s="2235"/>
      <c r="VOS24" s="2234"/>
      <c r="VOT24" s="2235"/>
      <c r="VOU24" s="2235"/>
      <c r="VOV24" s="2234"/>
      <c r="VOW24" s="2235"/>
      <c r="VOX24" s="2235"/>
      <c r="VOY24" s="2234"/>
      <c r="VOZ24" s="2235"/>
      <c r="VPA24" s="2235"/>
      <c r="VPB24" s="2234"/>
      <c r="VPC24" s="2235"/>
      <c r="VPD24" s="2235"/>
      <c r="VPE24" s="2234"/>
      <c r="VPF24" s="2235"/>
      <c r="VPG24" s="2235"/>
      <c r="VPH24" s="2234"/>
      <c r="VPI24" s="2235"/>
      <c r="VPJ24" s="2235"/>
      <c r="VPK24" s="2234"/>
      <c r="VPL24" s="2235"/>
      <c r="VPM24" s="2235"/>
      <c r="VPN24" s="2234"/>
      <c r="VPO24" s="2235"/>
      <c r="VPP24" s="2235"/>
      <c r="VPQ24" s="2234"/>
      <c r="VPR24" s="2235"/>
      <c r="VPS24" s="2235"/>
      <c r="VPT24" s="2234"/>
      <c r="VPU24" s="2235"/>
      <c r="VPV24" s="2235"/>
      <c r="VPW24" s="2234"/>
      <c r="VPX24" s="2235"/>
      <c r="VPY24" s="2235"/>
      <c r="VPZ24" s="2234"/>
      <c r="VQA24" s="2235"/>
      <c r="VQB24" s="2235"/>
      <c r="VQC24" s="2234"/>
      <c r="VQD24" s="2235"/>
      <c r="VQE24" s="2235"/>
      <c r="VQF24" s="2234"/>
      <c r="VQG24" s="2235"/>
      <c r="VQH24" s="2235"/>
      <c r="VQI24" s="2234"/>
      <c r="VQJ24" s="2235"/>
      <c r="VQK24" s="2235"/>
      <c r="VQL24" s="2234"/>
      <c r="VQM24" s="2235"/>
      <c r="VQN24" s="2235"/>
      <c r="VQO24" s="2234"/>
      <c r="VQP24" s="2235"/>
      <c r="VQQ24" s="2235"/>
      <c r="VQR24" s="2234"/>
      <c r="VQS24" s="2235"/>
      <c r="VQT24" s="2235"/>
      <c r="VQU24" s="2234"/>
      <c r="VQV24" s="2235"/>
      <c r="VQW24" s="2235"/>
      <c r="VQX24" s="2234"/>
      <c r="VQY24" s="2235"/>
      <c r="VQZ24" s="2235"/>
      <c r="VRA24" s="2234"/>
      <c r="VRB24" s="2235"/>
      <c r="VRC24" s="2235"/>
      <c r="VRD24" s="2234"/>
      <c r="VRE24" s="2235"/>
      <c r="VRF24" s="2235"/>
      <c r="VRG24" s="2234"/>
      <c r="VRH24" s="2235"/>
      <c r="VRI24" s="2235"/>
      <c r="VRJ24" s="2234"/>
      <c r="VRK24" s="2235"/>
      <c r="VRL24" s="2235"/>
      <c r="VRM24" s="2234"/>
      <c r="VRN24" s="2235"/>
      <c r="VRO24" s="2235"/>
      <c r="VRP24" s="2234"/>
      <c r="VRQ24" s="2235"/>
      <c r="VRR24" s="2235"/>
      <c r="VRS24" s="2234"/>
      <c r="VRT24" s="2235"/>
      <c r="VRU24" s="2235"/>
      <c r="VRV24" s="2234"/>
      <c r="VRW24" s="2235"/>
      <c r="VRX24" s="2235"/>
      <c r="VRY24" s="2234"/>
      <c r="VRZ24" s="2235"/>
      <c r="VSA24" s="2235"/>
      <c r="VSB24" s="2234"/>
      <c r="VSC24" s="2235"/>
      <c r="VSD24" s="2235"/>
      <c r="VSE24" s="2234"/>
      <c r="VSF24" s="2235"/>
      <c r="VSG24" s="2235"/>
      <c r="VSH24" s="2234"/>
      <c r="VSI24" s="2235"/>
      <c r="VSJ24" s="2235"/>
      <c r="VSK24" s="2234"/>
      <c r="VSL24" s="2235"/>
      <c r="VSM24" s="2235"/>
      <c r="VSN24" s="2234"/>
      <c r="VSO24" s="2235"/>
      <c r="VSP24" s="2235"/>
      <c r="VSQ24" s="2234"/>
      <c r="VSR24" s="2235"/>
      <c r="VSS24" s="2235"/>
      <c r="VST24" s="2234"/>
      <c r="VSU24" s="2235"/>
      <c r="VSV24" s="2235"/>
      <c r="VSW24" s="2234"/>
      <c r="VSX24" s="2235"/>
      <c r="VSY24" s="2235"/>
      <c r="VSZ24" s="2234"/>
      <c r="VTA24" s="2235"/>
      <c r="VTB24" s="2235"/>
      <c r="VTC24" s="2234"/>
      <c r="VTD24" s="2235"/>
      <c r="VTE24" s="2235"/>
      <c r="VTF24" s="2234"/>
      <c r="VTG24" s="2235"/>
      <c r="VTH24" s="2235"/>
      <c r="VTI24" s="2234"/>
      <c r="VTJ24" s="2235"/>
      <c r="VTK24" s="2235"/>
      <c r="VTL24" s="2234"/>
      <c r="VTM24" s="2235"/>
      <c r="VTN24" s="2235"/>
      <c r="VTO24" s="2234"/>
      <c r="VTP24" s="2235"/>
      <c r="VTQ24" s="2235"/>
      <c r="VTR24" s="2234"/>
      <c r="VTS24" s="2235"/>
      <c r="VTT24" s="2235"/>
      <c r="VTU24" s="2234"/>
      <c r="VTV24" s="2235"/>
      <c r="VTW24" s="2235"/>
      <c r="VTX24" s="2234"/>
      <c r="VTY24" s="2235"/>
      <c r="VTZ24" s="2235"/>
      <c r="VUA24" s="2234"/>
      <c r="VUB24" s="2235"/>
      <c r="VUC24" s="2235"/>
      <c r="VUD24" s="2234"/>
      <c r="VUE24" s="2235"/>
      <c r="VUF24" s="2235"/>
      <c r="VUG24" s="2234"/>
      <c r="VUH24" s="2235"/>
      <c r="VUI24" s="2235"/>
      <c r="VUJ24" s="2234"/>
      <c r="VUK24" s="2235"/>
      <c r="VUL24" s="2235"/>
      <c r="VUM24" s="2234"/>
      <c r="VUN24" s="2235"/>
      <c r="VUO24" s="2235"/>
      <c r="VUP24" s="2234"/>
      <c r="VUQ24" s="2235"/>
      <c r="VUR24" s="2235"/>
      <c r="VUS24" s="2234"/>
      <c r="VUT24" s="2235"/>
      <c r="VUU24" s="2235"/>
      <c r="VUV24" s="2234"/>
      <c r="VUW24" s="2235"/>
      <c r="VUX24" s="2235"/>
      <c r="VUY24" s="2234"/>
      <c r="VUZ24" s="2235"/>
      <c r="VVA24" s="2235"/>
      <c r="VVB24" s="2234"/>
      <c r="VVC24" s="2235"/>
      <c r="VVD24" s="2235"/>
      <c r="VVE24" s="2234"/>
      <c r="VVF24" s="2235"/>
      <c r="VVG24" s="2235"/>
      <c r="VVH24" s="2234"/>
      <c r="VVI24" s="2235"/>
      <c r="VVJ24" s="2235"/>
      <c r="VVK24" s="2234"/>
      <c r="VVL24" s="2235"/>
      <c r="VVM24" s="2235"/>
      <c r="VVN24" s="2234"/>
      <c r="VVO24" s="2235"/>
      <c r="VVP24" s="2235"/>
      <c r="VVQ24" s="2234"/>
      <c r="VVR24" s="2235"/>
      <c r="VVS24" s="2235"/>
      <c r="VVT24" s="2234"/>
      <c r="VVU24" s="2235"/>
      <c r="VVV24" s="2235"/>
      <c r="VVW24" s="2234"/>
      <c r="VVX24" s="2235"/>
      <c r="VVY24" s="2235"/>
      <c r="VVZ24" s="2234"/>
      <c r="VWA24" s="2235"/>
      <c r="VWB24" s="2235"/>
      <c r="VWC24" s="2234"/>
      <c r="VWD24" s="2235"/>
      <c r="VWE24" s="2235"/>
      <c r="VWF24" s="2234"/>
      <c r="VWG24" s="2235"/>
      <c r="VWH24" s="2235"/>
      <c r="VWI24" s="2234"/>
      <c r="VWJ24" s="2235"/>
      <c r="VWK24" s="2235"/>
      <c r="VWL24" s="2234"/>
      <c r="VWM24" s="2235"/>
      <c r="VWN24" s="2235"/>
      <c r="VWO24" s="2234"/>
      <c r="VWP24" s="2235"/>
      <c r="VWQ24" s="2235"/>
      <c r="VWR24" s="2234"/>
      <c r="VWS24" s="2235"/>
      <c r="VWT24" s="2235"/>
      <c r="VWU24" s="2234"/>
      <c r="VWV24" s="2235"/>
      <c r="VWW24" s="2235"/>
      <c r="VWX24" s="2234"/>
      <c r="VWY24" s="2235"/>
      <c r="VWZ24" s="2235"/>
      <c r="VXA24" s="2234"/>
      <c r="VXB24" s="2235"/>
      <c r="VXC24" s="2235"/>
      <c r="VXD24" s="2234"/>
      <c r="VXE24" s="2235"/>
      <c r="VXF24" s="2235"/>
      <c r="VXG24" s="2234"/>
      <c r="VXH24" s="2235"/>
      <c r="VXI24" s="2235"/>
      <c r="VXJ24" s="2234"/>
      <c r="VXK24" s="2235"/>
      <c r="VXL24" s="2235"/>
      <c r="VXM24" s="2234"/>
      <c r="VXN24" s="2235"/>
      <c r="VXO24" s="2235"/>
      <c r="VXP24" s="2234"/>
      <c r="VXQ24" s="2235"/>
      <c r="VXR24" s="2235"/>
      <c r="VXS24" s="2234"/>
      <c r="VXT24" s="2235"/>
      <c r="VXU24" s="2235"/>
      <c r="VXV24" s="2234"/>
      <c r="VXW24" s="2235"/>
      <c r="VXX24" s="2235"/>
      <c r="VXY24" s="2234"/>
      <c r="VXZ24" s="2235"/>
      <c r="VYA24" s="2235"/>
      <c r="VYB24" s="2234"/>
      <c r="VYC24" s="2235"/>
      <c r="VYD24" s="2235"/>
      <c r="VYE24" s="2234"/>
      <c r="VYF24" s="2235"/>
      <c r="VYG24" s="2235"/>
      <c r="VYH24" s="2234"/>
      <c r="VYI24" s="2235"/>
      <c r="VYJ24" s="2235"/>
      <c r="VYK24" s="2234"/>
      <c r="VYL24" s="2235"/>
      <c r="VYM24" s="2235"/>
      <c r="VYN24" s="2234"/>
      <c r="VYO24" s="2235"/>
      <c r="VYP24" s="2235"/>
      <c r="VYQ24" s="2234"/>
      <c r="VYR24" s="2235"/>
      <c r="VYS24" s="2235"/>
      <c r="VYT24" s="2234"/>
      <c r="VYU24" s="2235"/>
      <c r="VYV24" s="2235"/>
      <c r="VYW24" s="2234"/>
      <c r="VYX24" s="2235"/>
      <c r="VYY24" s="2235"/>
      <c r="VYZ24" s="2234"/>
      <c r="VZA24" s="2235"/>
      <c r="VZB24" s="2235"/>
      <c r="VZC24" s="2234"/>
      <c r="VZD24" s="2235"/>
      <c r="VZE24" s="2235"/>
      <c r="VZF24" s="2234"/>
      <c r="VZG24" s="2235"/>
      <c r="VZH24" s="2235"/>
      <c r="VZI24" s="2234"/>
      <c r="VZJ24" s="2235"/>
      <c r="VZK24" s="2235"/>
      <c r="VZL24" s="2234"/>
      <c r="VZM24" s="2235"/>
      <c r="VZN24" s="2235"/>
      <c r="VZO24" s="2234"/>
      <c r="VZP24" s="2235"/>
      <c r="VZQ24" s="2235"/>
      <c r="VZR24" s="2234"/>
      <c r="VZS24" s="2235"/>
      <c r="VZT24" s="2235"/>
      <c r="VZU24" s="2234"/>
      <c r="VZV24" s="2235"/>
      <c r="VZW24" s="2235"/>
      <c r="VZX24" s="2234"/>
      <c r="VZY24" s="2235"/>
      <c r="VZZ24" s="2235"/>
      <c r="WAA24" s="2234"/>
      <c r="WAB24" s="2235"/>
      <c r="WAC24" s="2235"/>
      <c r="WAD24" s="2234"/>
      <c r="WAE24" s="2235"/>
      <c r="WAF24" s="2235"/>
      <c r="WAG24" s="2234"/>
      <c r="WAH24" s="2235"/>
      <c r="WAI24" s="2235"/>
      <c r="WAJ24" s="2234"/>
      <c r="WAK24" s="2235"/>
      <c r="WAL24" s="2235"/>
      <c r="WAM24" s="2234"/>
      <c r="WAN24" s="2235"/>
      <c r="WAO24" s="2235"/>
      <c r="WAP24" s="2234"/>
      <c r="WAQ24" s="2235"/>
      <c r="WAR24" s="2235"/>
      <c r="WAS24" s="2234"/>
      <c r="WAT24" s="2235"/>
      <c r="WAU24" s="2235"/>
      <c r="WAV24" s="2234"/>
      <c r="WAW24" s="2235"/>
      <c r="WAX24" s="2235"/>
      <c r="WAY24" s="2234"/>
      <c r="WAZ24" s="2235"/>
      <c r="WBA24" s="2235"/>
      <c r="WBB24" s="2234"/>
      <c r="WBC24" s="2235"/>
      <c r="WBD24" s="2235"/>
      <c r="WBE24" s="2234"/>
      <c r="WBF24" s="2235"/>
      <c r="WBG24" s="2235"/>
      <c r="WBH24" s="2234"/>
      <c r="WBI24" s="2235"/>
      <c r="WBJ24" s="2235"/>
      <c r="WBK24" s="2234"/>
      <c r="WBL24" s="2235"/>
      <c r="WBM24" s="2235"/>
      <c r="WBN24" s="2234"/>
      <c r="WBO24" s="2235"/>
      <c r="WBP24" s="2235"/>
      <c r="WBQ24" s="2234"/>
      <c r="WBR24" s="2235"/>
      <c r="WBS24" s="2235"/>
      <c r="WBT24" s="2234"/>
      <c r="WBU24" s="2235"/>
      <c r="WBV24" s="2235"/>
      <c r="WBW24" s="2234"/>
      <c r="WBX24" s="2235"/>
      <c r="WBY24" s="2235"/>
      <c r="WBZ24" s="2234"/>
      <c r="WCA24" s="2235"/>
      <c r="WCB24" s="2235"/>
      <c r="WCC24" s="2234"/>
      <c r="WCD24" s="2235"/>
      <c r="WCE24" s="2235"/>
      <c r="WCF24" s="2234"/>
      <c r="WCG24" s="2235"/>
      <c r="WCH24" s="2235"/>
      <c r="WCI24" s="2234"/>
      <c r="WCJ24" s="2235"/>
      <c r="WCK24" s="2235"/>
      <c r="WCL24" s="2234"/>
      <c r="WCM24" s="2235"/>
      <c r="WCN24" s="2235"/>
      <c r="WCO24" s="2234"/>
      <c r="WCP24" s="2235"/>
      <c r="WCQ24" s="2235"/>
      <c r="WCR24" s="2234"/>
      <c r="WCS24" s="2235"/>
      <c r="WCT24" s="2235"/>
      <c r="WCU24" s="2234"/>
      <c r="WCV24" s="2235"/>
      <c r="WCW24" s="2235"/>
      <c r="WCX24" s="2234"/>
      <c r="WCY24" s="2235"/>
      <c r="WCZ24" s="2235"/>
      <c r="WDA24" s="2234"/>
      <c r="WDB24" s="2235"/>
      <c r="WDC24" s="2235"/>
      <c r="WDD24" s="2234"/>
      <c r="WDE24" s="2235"/>
      <c r="WDF24" s="2235"/>
      <c r="WDG24" s="2234"/>
      <c r="WDH24" s="2235"/>
      <c r="WDI24" s="2235"/>
      <c r="WDJ24" s="2234"/>
      <c r="WDK24" s="2235"/>
      <c r="WDL24" s="2235"/>
      <c r="WDM24" s="2234"/>
      <c r="WDN24" s="2235"/>
      <c r="WDO24" s="2235"/>
      <c r="WDP24" s="2234"/>
      <c r="WDQ24" s="2235"/>
      <c r="WDR24" s="2235"/>
      <c r="WDS24" s="2234"/>
      <c r="WDT24" s="2235"/>
      <c r="WDU24" s="2235"/>
      <c r="WDV24" s="2234"/>
      <c r="WDW24" s="2235"/>
      <c r="WDX24" s="2235"/>
      <c r="WDY24" s="2234"/>
      <c r="WDZ24" s="2235"/>
      <c r="WEA24" s="2235"/>
      <c r="WEB24" s="2234"/>
      <c r="WEC24" s="2235"/>
      <c r="WED24" s="2235"/>
      <c r="WEE24" s="2234"/>
      <c r="WEF24" s="2235"/>
      <c r="WEG24" s="2235"/>
      <c r="WEH24" s="2234"/>
      <c r="WEI24" s="2235"/>
      <c r="WEJ24" s="2235"/>
      <c r="WEK24" s="2234"/>
      <c r="WEL24" s="2235"/>
      <c r="WEM24" s="2235"/>
      <c r="WEN24" s="2234"/>
      <c r="WEO24" s="2235"/>
      <c r="WEP24" s="2235"/>
      <c r="WEQ24" s="2234"/>
      <c r="WER24" s="2235"/>
      <c r="WES24" s="2235"/>
      <c r="WET24" s="2234"/>
      <c r="WEU24" s="2235"/>
      <c r="WEV24" s="2235"/>
      <c r="WEW24" s="2234"/>
      <c r="WEX24" s="2235"/>
      <c r="WEY24" s="2235"/>
      <c r="WEZ24" s="2234"/>
      <c r="WFA24" s="2235"/>
      <c r="WFB24" s="2235"/>
      <c r="WFC24" s="2234"/>
      <c r="WFD24" s="2235"/>
      <c r="WFE24" s="2235"/>
      <c r="WFF24" s="2234"/>
      <c r="WFG24" s="2235"/>
      <c r="WFH24" s="2235"/>
      <c r="WFI24" s="2234"/>
      <c r="WFJ24" s="2235"/>
      <c r="WFK24" s="2235"/>
      <c r="WFL24" s="2234"/>
      <c r="WFM24" s="2235"/>
      <c r="WFN24" s="2235"/>
      <c r="WFO24" s="2234"/>
      <c r="WFP24" s="2235"/>
      <c r="WFQ24" s="2235"/>
      <c r="WFR24" s="2234"/>
      <c r="WFS24" s="2235"/>
      <c r="WFT24" s="2235"/>
      <c r="WFU24" s="2234"/>
      <c r="WFV24" s="2235"/>
      <c r="WFW24" s="2235"/>
      <c r="WFX24" s="2234"/>
      <c r="WFY24" s="2235"/>
      <c r="WFZ24" s="2235"/>
      <c r="WGA24" s="2234"/>
      <c r="WGB24" s="2235"/>
      <c r="WGC24" s="2235"/>
      <c r="WGD24" s="2234"/>
      <c r="WGE24" s="2235"/>
      <c r="WGF24" s="2235"/>
      <c r="WGG24" s="2234"/>
      <c r="WGH24" s="2235"/>
      <c r="WGI24" s="2235"/>
      <c r="WGJ24" s="2234"/>
      <c r="WGK24" s="2235"/>
      <c r="WGL24" s="2235"/>
      <c r="WGM24" s="2234"/>
      <c r="WGN24" s="2235"/>
      <c r="WGO24" s="2235"/>
      <c r="WGP24" s="2234"/>
      <c r="WGQ24" s="2235"/>
      <c r="WGR24" s="2235"/>
      <c r="WGS24" s="2234"/>
      <c r="WGT24" s="2235"/>
      <c r="WGU24" s="2235"/>
      <c r="WGV24" s="2234"/>
      <c r="WGW24" s="2235"/>
      <c r="WGX24" s="2235"/>
      <c r="WGY24" s="2234"/>
      <c r="WGZ24" s="2235"/>
      <c r="WHA24" s="2235"/>
      <c r="WHB24" s="2234"/>
      <c r="WHC24" s="2235"/>
      <c r="WHD24" s="2235"/>
      <c r="WHE24" s="2234"/>
      <c r="WHF24" s="2235"/>
      <c r="WHG24" s="2235"/>
      <c r="WHH24" s="2234"/>
      <c r="WHI24" s="2235"/>
      <c r="WHJ24" s="2235"/>
      <c r="WHK24" s="2234"/>
      <c r="WHL24" s="2235"/>
      <c r="WHM24" s="2235"/>
      <c r="WHN24" s="2234"/>
      <c r="WHO24" s="2235"/>
      <c r="WHP24" s="2235"/>
      <c r="WHQ24" s="2234"/>
      <c r="WHR24" s="2235"/>
      <c r="WHS24" s="2235"/>
      <c r="WHT24" s="2234"/>
      <c r="WHU24" s="2235"/>
      <c r="WHV24" s="2235"/>
      <c r="WHW24" s="2234"/>
      <c r="WHX24" s="2235"/>
      <c r="WHY24" s="2235"/>
      <c r="WHZ24" s="2234"/>
      <c r="WIA24" s="2235"/>
      <c r="WIB24" s="2235"/>
      <c r="WIC24" s="2234"/>
      <c r="WID24" s="2235"/>
      <c r="WIE24" s="2235"/>
      <c r="WIF24" s="2234"/>
      <c r="WIG24" s="2235"/>
      <c r="WIH24" s="2235"/>
      <c r="WII24" s="2234"/>
      <c r="WIJ24" s="2235"/>
      <c r="WIK24" s="2235"/>
      <c r="WIL24" s="2234"/>
      <c r="WIM24" s="2235"/>
      <c r="WIN24" s="2235"/>
      <c r="WIO24" s="2234"/>
      <c r="WIP24" s="2235"/>
      <c r="WIQ24" s="2235"/>
      <c r="WIR24" s="2234"/>
      <c r="WIS24" s="2235"/>
      <c r="WIT24" s="2235"/>
      <c r="WIU24" s="2234"/>
      <c r="WIV24" s="2235"/>
      <c r="WIW24" s="2235"/>
      <c r="WIX24" s="2234"/>
      <c r="WIY24" s="2235"/>
      <c r="WIZ24" s="2235"/>
      <c r="WJA24" s="2234"/>
      <c r="WJB24" s="2235"/>
      <c r="WJC24" s="2235"/>
      <c r="WJD24" s="2234"/>
      <c r="WJE24" s="2235"/>
      <c r="WJF24" s="2235"/>
      <c r="WJG24" s="2234"/>
      <c r="WJH24" s="2235"/>
      <c r="WJI24" s="2235"/>
      <c r="WJJ24" s="2234"/>
      <c r="WJK24" s="2235"/>
      <c r="WJL24" s="2235"/>
      <c r="WJM24" s="2234"/>
      <c r="WJN24" s="2235"/>
      <c r="WJO24" s="2235"/>
      <c r="WJP24" s="2234"/>
      <c r="WJQ24" s="2235"/>
      <c r="WJR24" s="2235"/>
      <c r="WJS24" s="2234"/>
      <c r="WJT24" s="2235"/>
      <c r="WJU24" s="2235"/>
      <c r="WJV24" s="2234"/>
      <c r="WJW24" s="2235"/>
      <c r="WJX24" s="2235"/>
      <c r="WJY24" s="2234"/>
      <c r="WJZ24" s="2235"/>
      <c r="WKA24" s="2235"/>
      <c r="WKB24" s="2234"/>
      <c r="WKC24" s="2235"/>
      <c r="WKD24" s="2235"/>
      <c r="WKE24" s="2234"/>
      <c r="WKF24" s="2235"/>
      <c r="WKG24" s="2235"/>
      <c r="WKH24" s="2234"/>
      <c r="WKI24" s="2235"/>
      <c r="WKJ24" s="2235"/>
      <c r="WKK24" s="2234"/>
      <c r="WKL24" s="2235"/>
      <c r="WKM24" s="2235"/>
      <c r="WKN24" s="2234"/>
      <c r="WKO24" s="2235"/>
      <c r="WKP24" s="2235"/>
      <c r="WKQ24" s="2234"/>
      <c r="WKR24" s="2235"/>
      <c r="WKS24" s="2235"/>
      <c r="WKT24" s="2234"/>
      <c r="WKU24" s="2235"/>
      <c r="WKV24" s="2235"/>
      <c r="WKW24" s="2234"/>
      <c r="WKX24" s="2235"/>
      <c r="WKY24" s="2235"/>
      <c r="WKZ24" s="2234"/>
      <c r="WLA24" s="2235"/>
      <c r="WLB24" s="2235"/>
      <c r="WLC24" s="2234"/>
      <c r="WLD24" s="2235"/>
      <c r="WLE24" s="2235"/>
      <c r="WLF24" s="2234"/>
      <c r="WLG24" s="2235"/>
      <c r="WLH24" s="2235"/>
      <c r="WLI24" s="2234"/>
      <c r="WLJ24" s="2235"/>
      <c r="WLK24" s="2235"/>
      <c r="WLL24" s="2234"/>
      <c r="WLM24" s="2235"/>
      <c r="WLN24" s="2235"/>
      <c r="WLO24" s="2234"/>
      <c r="WLP24" s="2235"/>
      <c r="WLQ24" s="2235"/>
      <c r="WLR24" s="2234"/>
      <c r="WLS24" s="2235"/>
      <c r="WLT24" s="2235"/>
      <c r="WLU24" s="2234"/>
      <c r="WLV24" s="2235"/>
      <c r="WLW24" s="2235"/>
      <c r="WLX24" s="2234"/>
      <c r="WLY24" s="2235"/>
      <c r="WLZ24" s="2235"/>
      <c r="WMA24" s="2234"/>
      <c r="WMB24" s="2235"/>
      <c r="WMC24" s="2235"/>
      <c r="WMD24" s="2234"/>
      <c r="WME24" s="2235"/>
      <c r="WMF24" s="2235"/>
      <c r="WMG24" s="2234"/>
      <c r="WMH24" s="2235"/>
      <c r="WMI24" s="2235"/>
      <c r="WMJ24" s="2234"/>
      <c r="WMK24" s="2235"/>
      <c r="WML24" s="2235"/>
      <c r="WMM24" s="2234"/>
      <c r="WMN24" s="2235"/>
      <c r="WMO24" s="2235"/>
      <c r="WMP24" s="2234"/>
      <c r="WMQ24" s="2235"/>
      <c r="WMR24" s="2235"/>
      <c r="WMS24" s="2234"/>
      <c r="WMT24" s="2235"/>
      <c r="WMU24" s="2235"/>
      <c r="WMV24" s="2234"/>
      <c r="WMW24" s="2235"/>
      <c r="WMX24" s="2235"/>
      <c r="WMY24" s="2234"/>
      <c r="WMZ24" s="2235"/>
      <c r="WNA24" s="2235"/>
      <c r="WNB24" s="2234"/>
      <c r="WNC24" s="2235"/>
      <c r="WND24" s="2235"/>
      <c r="WNE24" s="2234"/>
      <c r="WNF24" s="2235"/>
      <c r="WNG24" s="2235"/>
      <c r="WNH24" s="2234"/>
      <c r="WNI24" s="2235"/>
      <c r="WNJ24" s="2235"/>
      <c r="WNK24" s="2234"/>
      <c r="WNL24" s="2235"/>
      <c r="WNM24" s="2235"/>
      <c r="WNN24" s="2234"/>
      <c r="WNO24" s="2235"/>
      <c r="WNP24" s="2235"/>
      <c r="WNQ24" s="2234"/>
      <c r="WNR24" s="2235"/>
      <c r="WNS24" s="2235"/>
      <c r="WNT24" s="2234"/>
      <c r="WNU24" s="2235"/>
      <c r="WNV24" s="2235"/>
      <c r="WNW24" s="2234"/>
      <c r="WNX24" s="2235"/>
      <c r="WNY24" s="2235"/>
      <c r="WNZ24" s="2234"/>
      <c r="WOA24" s="2235"/>
      <c r="WOB24" s="2235"/>
      <c r="WOC24" s="2234"/>
      <c r="WOD24" s="2235"/>
      <c r="WOE24" s="2235"/>
      <c r="WOF24" s="2234"/>
      <c r="WOG24" s="2235"/>
      <c r="WOH24" s="2235"/>
      <c r="WOI24" s="2234"/>
      <c r="WOJ24" s="2235"/>
      <c r="WOK24" s="2235"/>
      <c r="WOL24" s="2234"/>
      <c r="WOM24" s="2235"/>
      <c r="WON24" s="2235"/>
      <c r="WOO24" s="2234"/>
      <c r="WOP24" s="2235"/>
      <c r="WOQ24" s="2235"/>
      <c r="WOR24" s="2234"/>
      <c r="WOS24" s="2235"/>
      <c r="WOT24" s="2235"/>
      <c r="WOU24" s="2234"/>
      <c r="WOV24" s="2235"/>
      <c r="WOW24" s="2235"/>
      <c r="WOX24" s="2234"/>
      <c r="WOY24" s="2235"/>
      <c r="WOZ24" s="2235"/>
      <c r="WPA24" s="2234"/>
      <c r="WPB24" s="2235"/>
      <c r="WPC24" s="2235"/>
      <c r="WPD24" s="2234"/>
      <c r="WPE24" s="2235"/>
      <c r="WPF24" s="2235"/>
      <c r="WPG24" s="2234"/>
      <c r="WPH24" s="2235"/>
      <c r="WPI24" s="2235"/>
      <c r="WPJ24" s="2234"/>
      <c r="WPK24" s="2235"/>
      <c r="WPL24" s="2235"/>
      <c r="WPM24" s="2234"/>
      <c r="WPN24" s="2235"/>
      <c r="WPO24" s="2235"/>
      <c r="WPP24" s="2234"/>
      <c r="WPQ24" s="2235"/>
      <c r="WPR24" s="2235"/>
      <c r="WPS24" s="2234"/>
      <c r="WPT24" s="2235"/>
      <c r="WPU24" s="2235"/>
      <c r="WPV24" s="2234"/>
      <c r="WPW24" s="2235"/>
      <c r="WPX24" s="2235"/>
      <c r="WPY24" s="2234"/>
      <c r="WPZ24" s="2235"/>
      <c r="WQA24" s="2235"/>
      <c r="WQB24" s="2234"/>
      <c r="WQC24" s="2235"/>
      <c r="WQD24" s="2235"/>
      <c r="WQE24" s="2234"/>
      <c r="WQF24" s="2235"/>
      <c r="WQG24" s="2235"/>
      <c r="WQH24" s="2234"/>
      <c r="WQI24" s="2235"/>
      <c r="WQJ24" s="2235"/>
      <c r="WQK24" s="2234"/>
      <c r="WQL24" s="2235"/>
      <c r="WQM24" s="2235"/>
      <c r="WQN24" s="2234"/>
      <c r="WQO24" s="2235"/>
      <c r="WQP24" s="2235"/>
      <c r="WQQ24" s="2234"/>
      <c r="WQR24" s="2235"/>
      <c r="WQS24" s="2235"/>
      <c r="WQT24" s="2234"/>
      <c r="WQU24" s="2235"/>
      <c r="WQV24" s="2235"/>
      <c r="WQW24" s="2234"/>
      <c r="WQX24" s="2235"/>
      <c r="WQY24" s="2235"/>
      <c r="WQZ24" s="2234"/>
      <c r="WRA24" s="2235"/>
      <c r="WRB24" s="2235"/>
      <c r="WRC24" s="2234"/>
      <c r="WRD24" s="2235"/>
      <c r="WRE24" s="2235"/>
      <c r="WRF24" s="2234"/>
      <c r="WRG24" s="2235"/>
      <c r="WRH24" s="2235"/>
      <c r="WRI24" s="2234"/>
      <c r="WRJ24" s="2235"/>
      <c r="WRK24" s="2235"/>
      <c r="WRL24" s="2234"/>
      <c r="WRM24" s="2235"/>
      <c r="WRN24" s="2235"/>
      <c r="WRO24" s="2234"/>
      <c r="WRP24" s="2235"/>
      <c r="WRQ24" s="2235"/>
      <c r="WRR24" s="2234"/>
      <c r="WRS24" s="2235"/>
      <c r="WRT24" s="2235"/>
      <c r="WRU24" s="2234"/>
      <c r="WRV24" s="2235"/>
      <c r="WRW24" s="2235"/>
      <c r="WRX24" s="2234"/>
      <c r="WRY24" s="2235"/>
      <c r="WRZ24" s="2235"/>
      <c r="WSA24" s="2234"/>
      <c r="WSB24" s="2235"/>
      <c r="WSC24" s="2235"/>
      <c r="WSD24" s="2234"/>
      <c r="WSE24" s="2235"/>
      <c r="WSF24" s="2235"/>
      <c r="WSG24" s="2234"/>
      <c r="WSH24" s="2235"/>
      <c r="WSI24" s="2235"/>
      <c r="WSJ24" s="2234"/>
      <c r="WSK24" s="2235"/>
      <c r="WSL24" s="2235"/>
      <c r="WSM24" s="2234"/>
      <c r="WSN24" s="2235"/>
      <c r="WSO24" s="2235"/>
      <c r="WSP24" s="2234"/>
      <c r="WSQ24" s="2235"/>
      <c r="WSR24" s="2235"/>
      <c r="WSS24" s="2234"/>
      <c r="WST24" s="2235"/>
      <c r="WSU24" s="2235"/>
      <c r="WSV24" s="2234"/>
      <c r="WSW24" s="2235"/>
      <c r="WSX24" s="2235"/>
      <c r="WSY24" s="2234"/>
      <c r="WSZ24" s="2235"/>
      <c r="WTA24" s="2235"/>
      <c r="WTB24" s="2234"/>
      <c r="WTC24" s="2235"/>
      <c r="WTD24" s="2235"/>
      <c r="WTE24" s="2234"/>
      <c r="WTF24" s="2235"/>
      <c r="WTG24" s="2235"/>
      <c r="WTH24" s="2234"/>
      <c r="WTI24" s="2235"/>
      <c r="WTJ24" s="2235"/>
      <c r="WTK24" s="2234"/>
      <c r="WTL24" s="2235"/>
      <c r="WTM24" s="2235"/>
      <c r="WTN24" s="2234"/>
      <c r="WTO24" s="2235"/>
      <c r="WTP24" s="2235"/>
      <c r="WTQ24" s="2234"/>
      <c r="WTR24" s="2235"/>
      <c r="WTS24" s="2235"/>
      <c r="WTT24" s="2234"/>
      <c r="WTU24" s="2235"/>
      <c r="WTV24" s="2235"/>
      <c r="WTW24" s="2234"/>
      <c r="WTX24" s="2235"/>
      <c r="WTY24" s="2235"/>
      <c r="WTZ24" s="2234"/>
      <c r="WUA24" s="2235"/>
      <c r="WUB24" s="2235"/>
      <c r="WUC24" s="2234"/>
      <c r="WUD24" s="2235"/>
      <c r="WUE24" s="2235"/>
      <c r="WUF24" s="2234"/>
      <c r="WUG24" s="2235"/>
      <c r="WUH24" s="2235"/>
      <c r="WUI24" s="2234"/>
      <c r="WUJ24" s="2235"/>
      <c r="WUK24" s="2235"/>
      <c r="WUL24" s="2234"/>
      <c r="WUM24" s="2235"/>
      <c r="WUN24" s="2235"/>
      <c r="WUO24" s="2234"/>
      <c r="WUP24" s="2235"/>
      <c r="WUQ24" s="2235"/>
      <c r="WUR24" s="2234"/>
      <c r="WUS24" s="2235"/>
      <c r="WUT24" s="2235"/>
      <c r="WUU24" s="2234"/>
      <c r="WUV24" s="2235"/>
      <c r="WUW24" s="2235"/>
      <c r="WUX24" s="2234"/>
      <c r="WUY24" s="2235"/>
      <c r="WUZ24" s="2235"/>
      <c r="WVA24" s="2234"/>
      <c r="WVB24" s="2235"/>
      <c r="WVC24" s="2235"/>
      <c r="WVD24" s="2234"/>
      <c r="WVE24" s="2235"/>
      <c r="WVF24" s="2235"/>
      <c r="WVG24" s="2234"/>
      <c r="WVH24" s="2235"/>
      <c r="WVI24" s="2235"/>
      <c r="WVJ24" s="2234"/>
      <c r="WVK24" s="2235"/>
      <c r="WVL24" s="2235"/>
      <c r="WVM24" s="2234"/>
      <c r="WVN24" s="2235"/>
      <c r="WVO24" s="2235"/>
      <c r="WVP24" s="2234"/>
      <c r="WVQ24" s="2235"/>
      <c r="WVR24" s="2235"/>
      <c r="WVS24" s="2234"/>
      <c r="WVT24" s="2235"/>
      <c r="WVU24" s="2235"/>
      <c r="WVV24" s="2234"/>
      <c r="WVW24" s="2235"/>
      <c r="WVX24" s="2235"/>
      <c r="WVY24" s="2234"/>
      <c r="WVZ24" s="2235"/>
      <c r="WWA24" s="2235"/>
      <c r="WWB24" s="2234"/>
      <c r="WWC24" s="2235"/>
      <c r="WWD24" s="2235"/>
      <c r="WWE24" s="2234"/>
      <c r="WWF24" s="2235"/>
      <c r="WWG24" s="2235"/>
      <c r="WWH24" s="2234"/>
      <c r="WWI24" s="2235"/>
      <c r="WWJ24" s="2235"/>
      <c r="WWK24" s="2234"/>
      <c r="WWL24" s="2235"/>
      <c r="WWM24" s="2235"/>
      <c r="WWN24" s="2234"/>
      <c r="WWO24" s="2235"/>
      <c r="WWP24" s="2235"/>
      <c r="WWQ24" s="2234"/>
      <c r="WWR24" s="2235"/>
      <c r="WWS24" s="2235"/>
      <c r="WWT24" s="2234"/>
      <c r="WWU24" s="2235"/>
      <c r="WWV24" s="2235"/>
      <c r="WWW24" s="2234"/>
      <c r="WWX24" s="2235"/>
      <c r="WWY24" s="2235"/>
      <c r="WWZ24" s="2234"/>
      <c r="WXA24" s="2235"/>
      <c r="WXB24" s="2235"/>
      <c r="WXC24" s="2234"/>
      <c r="WXD24" s="2235"/>
      <c r="WXE24" s="2235"/>
      <c r="WXF24" s="2234"/>
      <c r="WXG24" s="2235"/>
      <c r="WXH24" s="2235"/>
      <c r="WXI24" s="2234"/>
      <c r="WXJ24" s="2235"/>
      <c r="WXK24" s="2235"/>
      <c r="WXL24" s="2234"/>
      <c r="WXM24" s="2235"/>
      <c r="WXN24" s="2235"/>
      <c r="WXO24" s="2234"/>
      <c r="WXP24" s="2235"/>
      <c r="WXQ24" s="2235"/>
      <c r="WXR24" s="2234"/>
      <c r="WXS24" s="2235"/>
      <c r="WXT24" s="2235"/>
      <c r="WXU24" s="2234"/>
      <c r="WXV24" s="2235"/>
      <c r="WXW24" s="2235"/>
      <c r="WXX24" s="2234"/>
      <c r="WXY24" s="2235"/>
      <c r="WXZ24" s="2235"/>
      <c r="WYA24" s="2234"/>
      <c r="WYB24" s="2235"/>
      <c r="WYC24" s="2235"/>
      <c r="WYD24" s="2234"/>
      <c r="WYE24" s="2235"/>
      <c r="WYF24" s="2235"/>
      <c r="WYG24" s="2234"/>
      <c r="WYH24" s="2235"/>
      <c r="WYI24" s="2235"/>
      <c r="WYJ24" s="2234"/>
      <c r="WYK24" s="2235"/>
      <c r="WYL24" s="2235"/>
      <c r="WYM24" s="2234"/>
      <c r="WYN24" s="2235"/>
      <c r="WYO24" s="2235"/>
      <c r="WYP24" s="2234"/>
      <c r="WYQ24" s="2235"/>
      <c r="WYR24" s="2235"/>
      <c r="WYS24" s="2234"/>
      <c r="WYT24" s="2235"/>
      <c r="WYU24" s="2235"/>
      <c r="WYV24" s="2234"/>
      <c r="WYW24" s="2235"/>
      <c r="WYX24" s="2235"/>
      <c r="WYY24" s="2234"/>
      <c r="WYZ24" s="2235"/>
      <c r="WZA24" s="2235"/>
      <c r="WZB24" s="2234"/>
      <c r="WZC24" s="2235"/>
      <c r="WZD24" s="2235"/>
      <c r="WZE24" s="2234"/>
      <c r="WZF24" s="2235"/>
      <c r="WZG24" s="2235"/>
      <c r="WZH24" s="2234"/>
      <c r="WZI24" s="2235"/>
      <c r="WZJ24" s="2235"/>
      <c r="WZK24" s="2234"/>
      <c r="WZL24" s="2235"/>
      <c r="WZM24" s="2235"/>
      <c r="WZN24" s="2234"/>
      <c r="WZO24" s="2235"/>
      <c r="WZP24" s="2235"/>
      <c r="WZQ24" s="2234"/>
      <c r="WZR24" s="2235"/>
      <c r="WZS24" s="2235"/>
      <c r="WZT24" s="2234"/>
      <c r="WZU24" s="2235"/>
      <c r="WZV24" s="2235"/>
      <c r="WZW24" s="2234"/>
      <c r="WZX24" s="2235"/>
      <c r="WZY24" s="2235"/>
      <c r="WZZ24" s="2234"/>
      <c r="XAA24" s="2235"/>
      <c r="XAB24" s="2235"/>
      <c r="XAC24" s="2234"/>
      <c r="XAD24" s="2235"/>
      <c r="XAE24" s="2235"/>
      <c r="XAF24" s="2234"/>
      <c r="XAG24" s="2235"/>
      <c r="XAH24" s="2235"/>
      <c r="XAI24" s="2234"/>
      <c r="XAJ24" s="2235"/>
      <c r="XAK24" s="2235"/>
      <c r="XAL24" s="2234"/>
      <c r="XAM24" s="2235"/>
      <c r="XAN24" s="2235"/>
      <c r="XAO24" s="2234"/>
      <c r="XAP24" s="2235"/>
      <c r="XAQ24" s="2235"/>
      <c r="XAR24" s="2234"/>
      <c r="XAS24" s="2235"/>
      <c r="XAT24" s="2235"/>
      <c r="XAU24" s="2234"/>
      <c r="XAV24" s="2235"/>
      <c r="XAW24" s="2235"/>
      <c r="XAX24" s="2234"/>
      <c r="XAY24" s="2235"/>
      <c r="XAZ24" s="2235"/>
      <c r="XBA24" s="2234"/>
      <c r="XBB24" s="2235"/>
      <c r="XBC24" s="2235"/>
      <c r="XBD24" s="2234"/>
      <c r="XBE24" s="2235"/>
      <c r="XBF24" s="2235"/>
      <c r="XBG24" s="2234"/>
      <c r="XBH24" s="2235"/>
      <c r="XBI24" s="2235"/>
      <c r="XBJ24" s="2234"/>
      <c r="XBK24" s="2235"/>
      <c r="XBL24" s="2235"/>
      <c r="XBM24" s="2234"/>
      <c r="XBN24" s="2235"/>
      <c r="XBO24" s="2235"/>
      <c r="XBP24" s="2234"/>
      <c r="XBQ24" s="2235"/>
      <c r="XBR24" s="2235"/>
      <c r="XBS24" s="2234"/>
      <c r="XBT24" s="2235"/>
      <c r="XBU24" s="2235"/>
      <c r="XBV24" s="2234"/>
      <c r="XBW24" s="2235"/>
      <c r="XBX24" s="2235"/>
      <c r="XBY24" s="2234"/>
      <c r="XBZ24" s="2235"/>
      <c r="XCA24" s="2235"/>
      <c r="XCB24" s="2234"/>
      <c r="XCC24" s="2235"/>
      <c r="XCD24" s="2235"/>
      <c r="XCE24" s="2234"/>
      <c r="XCF24" s="2235"/>
      <c r="XCG24" s="2235"/>
      <c r="XCH24" s="2234"/>
      <c r="XCI24" s="2235"/>
      <c r="XCJ24" s="2235"/>
      <c r="XCK24" s="2234"/>
      <c r="XCL24" s="2235"/>
      <c r="XCM24" s="2235"/>
      <c r="XCN24" s="2234"/>
      <c r="XCO24" s="2235"/>
      <c r="XCP24" s="2235"/>
      <c r="XCQ24" s="2234"/>
      <c r="XCR24" s="2235"/>
      <c r="XCS24" s="2235"/>
      <c r="XCT24" s="2234"/>
      <c r="XCU24" s="2235"/>
      <c r="XCV24" s="2235"/>
      <c r="XCW24" s="2234"/>
      <c r="XCX24" s="2235"/>
      <c r="XCY24" s="2235"/>
      <c r="XCZ24" s="2234"/>
      <c r="XDA24" s="2235"/>
      <c r="XDB24" s="2235"/>
      <c r="XDC24" s="2234"/>
      <c r="XDD24" s="2235"/>
      <c r="XDE24" s="2235"/>
      <c r="XDF24" s="2234"/>
      <c r="XDG24" s="2235"/>
      <c r="XDH24" s="2235"/>
      <c r="XDI24" s="2234"/>
      <c r="XDJ24" s="2235"/>
      <c r="XDK24" s="2235"/>
      <c r="XDL24" s="2234"/>
      <c r="XDM24" s="2235"/>
      <c r="XDN24" s="2235"/>
      <c r="XDO24" s="2234"/>
      <c r="XDP24" s="2235"/>
      <c r="XDQ24" s="2235"/>
      <c r="XDR24" s="2234"/>
      <c r="XDS24" s="2235"/>
      <c r="XDT24" s="2235"/>
      <c r="XDU24" s="2234"/>
      <c r="XDV24" s="2235"/>
      <c r="XDW24" s="2235"/>
      <c r="XDX24" s="2234"/>
      <c r="XDY24" s="2235"/>
      <c r="XDZ24" s="2235"/>
      <c r="XEA24" s="2234"/>
      <c r="XEB24" s="2235"/>
      <c r="XEC24" s="2235"/>
      <c r="XED24" s="2234"/>
      <c r="XEE24" s="2235"/>
      <c r="XEF24" s="2235"/>
      <c r="XEG24" s="2234"/>
      <c r="XEH24" s="2235"/>
      <c r="XEI24" s="2235"/>
      <c r="XEJ24" s="2234"/>
      <c r="XEK24" s="2235"/>
      <c r="XEL24" s="2235"/>
      <c r="XEM24" s="2234"/>
      <c r="XEN24" s="2235"/>
      <c r="XEO24" s="2235"/>
      <c r="XEP24" s="2234"/>
      <c r="XEQ24" s="2235"/>
      <c r="XER24" s="2235"/>
      <c r="XES24" s="2234"/>
      <c r="XET24" s="2235"/>
      <c r="XEU24" s="2235"/>
      <c r="XEV24" s="2234"/>
      <c r="XEW24" s="2235"/>
      <c r="XEX24" s="2235"/>
      <c r="XEY24" s="2234"/>
      <c r="XEZ24" s="2235"/>
      <c r="XFA24" s="2235"/>
      <c r="XFB24" s="2234"/>
      <c r="XFC24" s="2235"/>
      <c r="XFD24" s="2235"/>
    </row>
    <row r="25" spans="1:16384" s="777" customFormat="1" ht="15.75">
      <c r="A25" s="2236"/>
      <c r="B25" s="2236"/>
      <c r="C25" s="2236"/>
      <c r="D25" s="2236"/>
    </row>
  </sheetData>
  <mergeCells count="5470">
    <mergeCell ref="Q24:S24"/>
    <mergeCell ref="T24:V24"/>
    <mergeCell ref="W24:Y24"/>
    <mergeCell ref="Z24:AB24"/>
    <mergeCell ref="AC24:AE24"/>
    <mergeCell ref="AF24:AH24"/>
    <mergeCell ref="A22:D22"/>
    <mergeCell ref="A24:D24"/>
    <mergeCell ref="E24:G24"/>
    <mergeCell ref="H24:J24"/>
    <mergeCell ref="K24:M24"/>
    <mergeCell ref="N24:P24"/>
    <mergeCell ref="A1:D1"/>
    <mergeCell ref="A2:D2"/>
    <mergeCell ref="A3:D3"/>
    <mergeCell ref="A6:A8"/>
    <mergeCell ref="A10:D10"/>
    <mergeCell ref="A17:D17"/>
    <mergeCell ref="B8:D8"/>
    <mergeCell ref="BS24:BU24"/>
    <mergeCell ref="BV24:BX24"/>
    <mergeCell ref="BY24:CA24"/>
    <mergeCell ref="CB24:CD24"/>
    <mergeCell ref="CE24:CG24"/>
    <mergeCell ref="CH24:CJ24"/>
    <mergeCell ref="BA24:BC24"/>
    <mergeCell ref="BD24:BF24"/>
    <mergeCell ref="BG24:BI24"/>
    <mergeCell ref="BJ24:BL24"/>
    <mergeCell ref="BM24:BO24"/>
    <mergeCell ref="BP24:BR24"/>
    <mergeCell ref="AI24:AK24"/>
    <mergeCell ref="AL24:AN24"/>
    <mergeCell ref="AO24:AQ24"/>
    <mergeCell ref="AR24:AT24"/>
    <mergeCell ref="AU24:AW24"/>
    <mergeCell ref="AX24:AZ24"/>
    <mergeCell ref="DU24:DW24"/>
    <mergeCell ref="DX24:DZ24"/>
    <mergeCell ref="EA24:EC24"/>
    <mergeCell ref="ED24:EF24"/>
    <mergeCell ref="EG24:EI24"/>
    <mergeCell ref="EJ24:EL24"/>
    <mergeCell ref="DC24:DE24"/>
    <mergeCell ref="DF24:DH24"/>
    <mergeCell ref="DI24:DK24"/>
    <mergeCell ref="DL24:DN24"/>
    <mergeCell ref="DO24:DQ24"/>
    <mergeCell ref="DR24:DT24"/>
    <mergeCell ref="CK24:CM24"/>
    <mergeCell ref="CN24:CP24"/>
    <mergeCell ref="CQ24:CS24"/>
    <mergeCell ref="CT24:CV24"/>
    <mergeCell ref="CW24:CY24"/>
    <mergeCell ref="CZ24:DB24"/>
    <mergeCell ref="FW24:FY24"/>
    <mergeCell ref="FZ24:GB24"/>
    <mergeCell ref="GC24:GE24"/>
    <mergeCell ref="GF24:GH24"/>
    <mergeCell ref="GI24:GK24"/>
    <mergeCell ref="GL24:GN24"/>
    <mergeCell ref="FE24:FG24"/>
    <mergeCell ref="FH24:FJ24"/>
    <mergeCell ref="FK24:FM24"/>
    <mergeCell ref="FN24:FP24"/>
    <mergeCell ref="FQ24:FS24"/>
    <mergeCell ref="FT24:FV24"/>
    <mergeCell ref="EM24:EO24"/>
    <mergeCell ref="EP24:ER24"/>
    <mergeCell ref="ES24:EU24"/>
    <mergeCell ref="EV24:EX24"/>
    <mergeCell ref="EY24:FA24"/>
    <mergeCell ref="FB24:FD24"/>
    <mergeCell ref="HY24:IA24"/>
    <mergeCell ref="IB24:ID24"/>
    <mergeCell ref="IE24:IG24"/>
    <mergeCell ref="IH24:IJ24"/>
    <mergeCell ref="IK24:IM24"/>
    <mergeCell ref="IN24:IP24"/>
    <mergeCell ref="HG24:HI24"/>
    <mergeCell ref="HJ24:HL24"/>
    <mergeCell ref="HM24:HO24"/>
    <mergeCell ref="HP24:HR24"/>
    <mergeCell ref="HS24:HU24"/>
    <mergeCell ref="HV24:HX24"/>
    <mergeCell ref="GO24:GQ24"/>
    <mergeCell ref="GR24:GT24"/>
    <mergeCell ref="GU24:GW24"/>
    <mergeCell ref="GX24:GZ24"/>
    <mergeCell ref="HA24:HC24"/>
    <mergeCell ref="HD24:HF24"/>
    <mergeCell ref="KA24:KC24"/>
    <mergeCell ref="KD24:KF24"/>
    <mergeCell ref="KG24:KI24"/>
    <mergeCell ref="KJ24:KL24"/>
    <mergeCell ref="KM24:KO24"/>
    <mergeCell ref="KP24:KR24"/>
    <mergeCell ref="JI24:JK24"/>
    <mergeCell ref="JL24:JN24"/>
    <mergeCell ref="JO24:JQ24"/>
    <mergeCell ref="JR24:JT24"/>
    <mergeCell ref="JU24:JW24"/>
    <mergeCell ref="JX24:JZ24"/>
    <mergeCell ref="IQ24:IS24"/>
    <mergeCell ref="IT24:IV24"/>
    <mergeCell ref="IW24:IY24"/>
    <mergeCell ref="IZ24:JB24"/>
    <mergeCell ref="JC24:JE24"/>
    <mergeCell ref="JF24:JH24"/>
    <mergeCell ref="MC24:ME24"/>
    <mergeCell ref="MF24:MH24"/>
    <mergeCell ref="MI24:MK24"/>
    <mergeCell ref="ML24:MN24"/>
    <mergeCell ref="MO24:MQ24"/>
    <mergeCell ref="MR24:MT24"/>
    <mergeCell ref="LK24:LM24"/>
    <mergeCell ref="LN24:LP24"/>
    <mergeCell ref="LQ24:LS24"/>
    <mergeCell ref="LT24:LV24"/>
    <mergeCell ref="LW24:LY24"/>
    <mergeCell ref="LZ24:MB24"/>
    <mergeCell ref="KS24:KU24"/>
    <mergeCell ref="KV24:KX24"/>
    <mergeCell ref="KY24:LA24"/>
    <mergeCell ref="LB24:LD24"/>
    <mergeCell ref="LE24:LG24"/>
    <mergeCell ref="LH24:LJ24"/>
    <mergeCell ref="OE24:OG24"/>
    <mergeCell ref="OH24:OJ24"/>
    <mergeCell ref="OK24:OM24"/>
    <mergeCell ref="ON24:OP24"/>
    <mergeCell ref="OQ24:OS24"/>
    <mergeCell ref="OT24:OV24"/>
    <mergeCell ref="NM24:NO24"/>
    <mergeCell ref="NP24:NR24"/>
    <mergeCell ref="NS24:NU24"/>
    <mergeCell ref="NV24:NX24"/>
    <mergeCell ref="NY24:OA24"/>
    <mergeCell ref="OB24:OD24"/>
    <mergeCell ref="MU24:MW24"/>
    <mergeCell ref="MX24:MZ24"/>
    <mergeCell ref="NA24:NC24"/>
    <mergeCell ref="ND24:NF24"/>
    <mergeCell ref="NG24:NI24"/>
    <mergeCell ref="NJ24:NL24"/>
    <mergeCell ref="QG24:QI24"/>
    <mergeCell ref="QJ24:QL24"/>
    <mergeCell ref="QM24:QO24"/>
    <mergeCell ref="QP24:QR24"/>
    <mergeCell ref="QS24:QU24"/>
    <mergeCell ref="QV24:QX24"/>
    <mergeCell ref="PO24:PQ24"/>
    <mergeCell ref="PR24:PT24"/>
    <mergeCell ref="PU24:PW24"/>
    <mergeCell ref="PX24:PZ24"/>
    <mergeCell ref="QA24:QC24"/>
    <mergeCell ref="QD24:QF24"/>
    <mergeCell ref="OW24:OY24"/>
    <mergeCell ref="OZ24:PB24"/>
    <mergeCell ref="PC24:PE24"/>
    <mergeCell ref="PF24:PH24"/>
    <mergeCell ref="PI24:PK24"/>
    <mergeCell ref="PL24:PN24"/>
    <mergeCell ref="SI24:SK24"/>
    <mergeCell ref="SL24:SN24"/>
    <mergeCell ref="SO24:SQ24"/>
    <mergeCell ref="SR24:ST24"/>
    <mergeCell ref="SU24:SW24"/>
    <mergeCell ref="SX24:SZ24"/>
    <mergeCell ref="RQ24:RS24"/>
    <mergeCell ref="RT24:RV24"/>
    <mergeCell ref="RW24:RY24"/>
    <mergeCell ref="RZ24:SB24"/>
    <mergeCell ref="SC24:SE24"/>
    <mergeCell ref="SF24:SH24"/>
    <mergeCell ref="QY24:RA24"/>
    <mergeCell ref="RB24:RD24"/>
    <mergeCell ref="RE24:RG24"/>
    <mergeCell ref="RH24:RJ24"/>
    <mergeCell ref="RK24:RM24"/>
    <mergeCell ref="RN24:RP24"/>
    <mergeCell ref="UK24:UM24"/>
    <mergeCell ref="UN24:UP24"/>
    <mergeCell ref="UQ24:US24"/>
    <mergeCell ref="UT24:UV24"/>
    <mergeCell ref="UW24:UY24"/>
    <mergeCell ref="UZ24:VB24"/>
    <mergeCell ref="TS24:TU24"/>
    <mergeCell ref="TV24:TX24"/>
    <mergeCell ref="TY24:UA24"/>
    <mergeCell ref="UB24:UD24"/>
    <mergeCell ref="UE24:UG24"/>
    <mergeCell ref="UH24:UJ24"/>
    <mergeCell ref="TA24:TC24"/>
    <mergeCell ref="TD24:TF24"/>
    <mergeCell ref="TG24:TI24"/>
    <mergeCell ref="TJ24:TL24"/>
    <mergeCell ref="TM24:TO24"/>
    <mergeCell ref="TP24:TR24"/>
    <mergeCell ref="WM24:WO24"/>
    <mergeCell ref="WP24:WR24"/>
    <mergeCell ref="WS24:WU24"/>
    <mergeCell ref="WV24:WX24"/>
    <mergeCell ref="WY24:XA24"/>
    <mergeCell ref="XB24:XD24"/>
    <mergeCell ref="VU24:VW24"/>
    <mergeCell ref="VX24:VZ24"/>
    <mergeCell ref="WA24:WC24"/>
    <mergeCell ref="WD24:WF24"/>
    <mergeCell ref="WG24:WI24"/>
    <mergeCell ref="WJ24:WL24"/>
    <mergeCell ref="VC24:VE24"/>
    <mergeCell ref="VF24:VH24"/>
    <mergeCell ref="VI24:VK24"/>
    <mergeCell ref="VL24:VN24"/>
    <mergeCell ref="VO24:VQ24"/>
    <mergeCell ref="VR24:VT24"/>
    <mergeCell ref="YO24:YQ24"/>
    <mergeCell ref="YR24:YT24"/>
    <mergeCell ref="YU24:YW24"/>
    <mergeCell ref="YX24:YZ24"/>
    <mergeCell ref="ZA24:ZC24"/>
    <mergeCell ref="ZD24:ZF24"/>
    <mergeCell ref="XW24:XY24"/>
    <mergeCell ref="XZ24:YB24"/>
    <mergeCell ref="YC24:YE24"/>
    <mergeCell ref="YF24:YH24"/>
    <mergeCell ref="YI24:YK24"/>
    <mergeCell ref="YL24:YN24"/>
    <mergeCell ref="XE24:XG24"/>
    <mergeCell ref="XH24:XJ24"/>
    <mergeCell ref="XK24:XM24"/>
    <mergeCell ref="XN24:XP24"/>
    <mergeCell ref="XQ24:XS24"/>
    <mergeCell ref="XT24:XV24"/>
    <mergeCell ref="AAQ24:AAS24"/>
    <mergeCell ref="AAT24:AAV24"/>
    <mergeCell ref="AAW24:AAY24"/>
    <mergeCell ref="AAZ24:ABB24"/>
    <mergeCell ref="ABC24:ABE24"/>
    <mergeCell ref="ABF24:ABH24"/>
    <mergeCell ref="ZY24:AAA24"/>
    <mergeCell ref="AAB24:AAD24"/>
    <mergeCell ref="AAE24:AAG24"/>
    <mergeCell ref="AAH24:AAJ24"/>
    <mergeCell ref="AAK24:AAM24"/>
    <mergeCell ref="AAN24:AAP24"/>
    <mergeCell ref="ZG24:ZI24"/>
    <mergeCell ref="ZJ24:ZL24"/>
    <mergeCell ref="ZM24:ZO24"/>
    <mergeCell ref="ZP24:ZR24"/>
    <mergeCell ref="ZS24:ZU24"/>
    <mergeCell ref="ZV24:ZX24"/>
    <mergeCell ref="ACS24:ACU24"/>
    <mergeCell ref="ACV24:ACX24"/>
    <mergeCell ref="ACY24:ADA24"/>
    <mergeCell ref="ADB24:ADD24"/>
    <mergeCell ref="ADE24:ADG24"/>
    <mergeCell ref="ADH24:ADJ24"/>
    <mergeCell ref="ACA24:ACC24"/>
    <mergeCell ref="ACD24:ACF24"/>
    <mergeCell ref="ACG24:ACI24"/>
    <mergeCell ref="ACJ24:ACL24"/>
    <mergeCell ref="ACM24:ACO24"/>
    <mergeCell ref="ACP24:ACR24"/>
    <mergeCell ref="ABI24:ABK24"/>
    <mergeCell ref="ABL24:ABN24"/>
    <mergeCell ref="ABO24:ABQ24"/>
    <mergeCell ref="ABR24:ABT24"/>
    <mergeCell ref="ABU24:ABW24"/>
    <mergeCell ref="ABX24:ABZ24"/>
    <mergeCell ref="AEU24:AEW24"/>
    <mergeCell ref="AEX24:AEZ24"/>
    <mergeCell ref="AFA24:AFC24"/>
    <mergeCell ref="AFD24:AFF24"/>
    <mergeCell ref="AFG24:AFI24"/>
    <mergeCell ref="AFJ24:AFL24"/>
    <mergeCell ref="AEC24:AEE24"/>
    <mergeCell ref="AEF24:AEH24"/>
    <mergeCell ref="AEI24:AEK24"/>
    <mergeCell ref="AEL24:AEN24"/>
    <mergeCell ref="AEO24:AEQ24"/>
    <mergeCell ref="AER24:AET24"/>
    <mergeCell ref="ADK24:ADM24"/>
    <mergeCell ref="ADN24:ADP24"/>
    <mergeCell ref="ADQ24:ADS24"/>
    <mergeCell ref="ADT24:ADV24"/>
    <mergeCell ref="ADW24:ADY24"/>
    <mergeCell ref="ADZ24:AEB24"/>
    <mergeCell ref="AGW24:AGY24"/>
    <mergeCell ref="AGZ24:AHB24"/>
    <mergeCell ref="AHC24:AHE24"/>
    <mergeCell ref="AHF24:AHH24"/>
    <mergeCell ref="AHI24:AHK24"/>
    <mergeCell ref="AHL24:AHN24"/>
    <mergeCell ref="AGE24:AGG24"/>
    <mergeCell ref="AGH24:AGJ24"/>
    <mergeCell ref="AGK24:AGM24"/>
    <mergeCell ref="AGN24:AGP24"/>
    <mergeCell ref="AGQ24:AGS24"/>
    <mergeCell ref="AGT24:AGV24"/>
    <mergeCell ref="AFM24:AFO24"/>
    <mergeCell ref="AFP24:AFR24"/>
    <mergeCell ref="AFS24:AFU24"/>
    <mergeCell ref="AFV24:AFX24"/>
    <mergeCell ref="AFY24:AGA24"/>
    <mergeCell ref="AGB24:AGD24"/>
    <mergeCell ref="AIY24:AJA24"/>
    <mergeCell ref="AJB24:AJD24"/>
    <mergeCell ref="AJE24:AJG24"/>
    <mergeCell ref="AJH24:AJJ24"/>
    <mergeCell ref="AJK24:AJM24"/>
    <mergeCell ref="AJN24:AJP24"/>
    <mergeCell ref="AIG24:AII24"/>
    <mergeCell ref="AIJ24:AIL24"/>
    <mergeCell ref="AIM24:AIO24"/>
    <mergeCell ref="AIP24:AIR24"/>
    <mergeCell ref="AIS24:AIU24"/>
    <mergeCell ref="AIV24:AIX24"/>
    <mergeCell ref="AHO24:AHQ24"/>
    <mergeCell ref="AHR24:AHT24"/>
    <mergeCell ref="AHU24:AHW24"/>
    <mergeCell ref="AHX24:AHZ24"/>
    <mergeCell ref="AIA24:AIC24"/>
    <mergeCell ref="AID24:AIF24"/>
    <mergeCell ref="ALA24:ALC24"/>
    <mergeCell ref="ALD24:ALF24"/>
    <mergeCell ref="ALG24:ALI24"/>
    <mergeCell ref="ALJ24:ALL24"/>
    <mergeCell ref="ALM24:ALO24"/>
    <mergeCell ref="ALP24:ALR24"/>
    <mergeCell ref="AKI24:AKK24"/>
    <mergeCell ref="AKL24:AKN24"/>
    <mergeCell ref="AKO24:AKQ24"/>
    <mergeCell ref="AKR24:AKT24"/>
    <mergeCell ref="AKU24:AKW24"/>
    <mergeCell ref="AKX24:AKZ24"/>
    <mergeCell ref="AJQ24:AJS24"/>
    <mergeCell ref="AJT24:AJV24"/>
    <mergeCell ref="AJW24:AJY24"/>
    <mergeCell ref="AJZ24:AKB24"/>
    <mergeCell ref="AKC24:AKE24"/>
    <mergeCell ref="AKF24:AKH24"/>
    <mergeCell ref="ANC24:ANE24"/>
    <mergeCell ref="ANF24:ANH24"/>
    <mergeCell ref="ANI24:ANK24"/>
    <mergeCell ref="ANL24:ANN24"/>
    <mergeCell ref="ANO24:ANQ24"/>
    <mergeCell ref="ANR24:ANT24"/>
    <mergeCell ref="AMK24:AMM24"/>
    <mergeCell ref="AMN24:AMP24"/>
    <mergeCell ref="AMQ24:AMS24"/>
    <mergeCell ref="AMT24:AMV24"/>
    <mergeCell ref="AMW24:AMY24"/>
    <mergeCell ref="AMZ24:ANB24"/>
    <mergeCell ref="ALS24:ALU24"/>
    <mergeCell ref="ALV24:ALX24"/>
    <mergeCell ref="ALY24:AMA24"/>
    <mergeCell ref="AMB24:AMD24"/>
    <mergeCell ref="AME24:AMG24"/>
    <mergeCell ref="AMH24:AMJ24"/>
    <mergeCell ref="APE24:APG24"/>
    <mergeCell ref="APH24:APJ24"/>
    <mergeCell ref="APK24:APM24"/>
    <mergeCell ref="APN24:APP24"/>
    <mergeCell ref="APQ24:APS24"/>
    <mergeCell ref="APT24:APV24"/>
    <mergeCell ref="AOM24:AOO24"/>
    <mergeCell ref="AOP24:AOR24"/>
    <mergeCell ref="AOS24:AOU24"/>
    <mergeCell ref="AOV24:AOX24"/>
    <mergeCell ref="AOY24:APA24"/>
    <mergeCell ref="APB24:APD24"/>
    <mergeCell ref="ANU24:ANW24"/>
    <mergeCell ref="ANX24:ANZ24"/>
    <mergeCell ref="AOA24:AOC24"/>
    <mergeCell ref="AOD24:AOF24"/>
    <mergeCell ref="AOG24:AOI24"/>
    <mergeCell ref="AOJ24:AOL24"/>
    <mergeCell ref="ARG24:ARI24"/>
    <mergeCell ref="ARJ24:ARL24"/>
    <mergeCell ref="ARM24:ARO24"/>
    <mergeCell ref="ARP24:ARR24"/>
    <mergeCell ref="ARS24:ARU24"/>
    <mergeCell ref="ARV24:ARX24"/>
    <mergeCell ref="AQO24:AQQ24"/>
    <mergeCell ref="AQR24:AQT24"/>
    <mergeCell ref="AQU24:AQW24"/>
    <mergeCell ref="AQX24:AQZ24"/>
    <mergeCell ref="ARA24:ARC24"/>
    <mergeCell ref="ARD24:ARF24"/>
    <mergeCell ref="APW24:APY24"/>
    <mergeCell ref="APZ24:AQB24"/>
    <mergeCell ref="AQC24:AQE24"/>
    <mergeCell ref="AQF24:AQH24"/>
    <mergeCell ref="AQI24:AQK24"/>
    <mergeCell ref="AQL24:AQN24"/>
    <mergeCell ref="ATI24:ATK24"/>
    <mergeCell ref="ATL24:ATN24"/>
    <mergeCell ref="ATO24:ATQ24"/>
    <mergeCell ref="ATR24:ATT24"/>
    <mergeCell ref="ATU24:ATW24"/>
    <mergeCell ref="ATX24:ATZ24"/>
    <mergeCell ref="ASQ24:ASS24"/>
    <mergeCell ref="AST24:ASV24"/>
    <mergeCell ref="ASW24:ASY24"/>
    <mergeCell ref="ASZ24:ATB24"/>
    <mergeCell ref="ATC24:ATE24"/>
    <mergeCell ref="ATF24:ATH24"/>
    <mergeCell ref="ARY24:ASA24"/>
    <mergeCell ref="ASB24:ASD24"/>
    <mergeCell ref="ASE24:ASG24"/>
    <mergeCell ref="ASH24:ASJ24"/>
    <mergeCell ref="ASK24:ASM24"/>
    <mergeCell ref="ASN24:ASP24"/>
    <mergeCell ref="AVK24:AVM24"/>
    <mergeCell ref="AVN24:AVP24"/>
    <mergeCell ref="AVQ24:AVS24"/>
    <mergeCell ref="AVT24:AVV24"/>
    <mergeCell ref="AVW24:AVY24"/>
    <mergeCell ref="AVZ24:AWB24"/>
    <mergeCell ref="AUS24:AUU24"/>
    <mergeCell ref="AUV24:AUX24"/>
    <mergeCell ref="AUY24:AVA24"/>
    <mergeCell ref="AVB24:AVD24"/>
    <mergeCell ref="AVE24:AVG24"/>
    <mergeCell ref="AVH24:AVJ24"/>
    <mergeCell ref="AUA24:AUC24"/>
    <mergeCell ref="AUD24:AUF24"/>
    <mergeCell ref="AUG24:AUI24"/>
    <mergeCell ref="AUJ24:AUL24"/>
    <mergeCell ref="AUM24:AUO24"/>
    <mergeCell ref="AUP24:AUR24"/>
    <mergeCell ref="AXM24:AXO24"/>
    <mergeCell ref="AXP24:AXR24"/>
    <mergeCell ref="AXS24:AXU24"/>
    <mergeCell ref="AXV24:AXX24"/>
    <mergeCell ref="AXY24:AYA24"/>
    <mergeCell ref="AYB24:AYD24"/>
    <mergeCell ref="AWU24:AWW24"/>
    <mergeCell ref="AWX24:AWZ24"/>
    <mergeCell ref="AXA24:AXC24"/>
    <mergeCell ref="AXD24:AXF24"/>
    <mergeCell ref="AXG24:AXI24"/>
    <mergeCell ref="AXJ24:AXL24"/>
    <mergeCell ref="AWC24:AWE24"/>
    <mergeCell ref="AWF24:AWH24"/>
    <mergeCell ref="AWI24:AWK24"/>
    <mergeCell ref="AWL24:AWN24"/>
    <mergeCell ref="AWO24:AWQ24"/>
    <mergeCell ref="AWR24:AWT24"/>
    <mergeCell ref="AZO24:AZQ24"/>
    <mergeCell ref="AZR24:AZT24"/>
    <mergeCell ref="AZU24:AZW24"/>
    <mergeCell ref="AZX24:AZZ24"/>
    <mergeCell ref="BAA24:BAC24"/>
    <mergeCell ref="BAD24:BAF24"/>
    <mergeCell ref="AYW24:AYY24"/>
    <mergeCell ref="AYZ24:AZB24"/>
    <mergeCell ref="AZC24:AZE24"/>
    <mergeCell ref="AZF24:AZH24"/>
    <mergeCell ref="AZI24:AZK24"/>
    <mergeCell ref="AZL24:AZN24"/>
    <mergeCell ref="AYE24:AYG24"/>
    <mergeCell ref="AYH24:AYJ24"/>
    <mergeCell ref="AYK24:AYM24"/>
    <mergeCell ref="AYN24:AYP24"/>
    <mergeCell ref="AYQ24:AYS24"/>
    <mergeCell ref="AYT24:AYV24"/>
    <mergeCell ref="BBQ24:BBS24"/>
    <mergeCell ref="BBT24:BBV24"/>
    <mergeCell ref="BBW24:BBY24"/>
    <mergeCell ref="BBZ24:BCB24"/>
    <mergeCell ref="BCC24:BCE24"/>
    <mergeCell ref="BCF24:BCH24"/>
    <mergeCell ref="BAY24:BBA24"/>
    <mergeCell ref="BBB24:BBD24"/>
    <mergeCell ref="BBE24:BBG24"/>
    <mergeCell ref="BBH24:BBJ24"/>
    <mergeCell ref="BBK24:BBM24"/>
    <mergeCell ref="BBN24:BBP24"/>
    <mergeCell ref="BAG24:BAI24"/>
    <mergeCell ref="BAJ24:BAL24"/>
    <mergeCell ref="BAM24:BAO24"/>
    <mergeCell ref="BAP24:BAR24"/>
    <mergeCell ref="BAS24:BAU24"/>
    <mergeCell ref="BAV24:BAX24"/>
    <mergeCell ref="BDS24:BDU24"/>
    <mergeCell ref="BDV24:BDX24"/>
    <mergeCell ref="BDY24:BEA24"/>
    <mergeCell ref="BEB24:BED24"/>
    <mergeCell ref="BEE24:BEG24"/>
    <mergeCell ref="BEH24:BEJ24"/>
    <mergeCell ref="BDA24:BDC24"/>
    <mergeCell ref="BDD24:BDF24"/>
    <mergeCell ref="BDG24:BDI24"/>
    <mergeCell ref="BDJ24:BDL24"/>
    <mergeCell ref="BDM24:BDO24"/>
    <mergeCell ref="BDP24:BDR24"/>
    <mergeCell ref="BCI24:BCK24"/>
    <mergeCell ref="BCL24:BCN24"/>
    <mergeCell ref="BCO24:BCQ24"/>
    <mergeCell ref="BCR24:BCT24"/>
    <mergeCell ref="BCU24:BCW24"/>
    <mergeCell ref="BCX24:BCZ24"/>
    <mergeCell ref="BFU24:BFW24"/>
    <mergeCell ref="BFX24:BFZ24"/>
    <mergeCell ref="BGA24:BGC24"/>
    <mergeCell ref="BGD24:BGF24"/>
    <mergeCell ref="BGG24:BGI24"/>
    <mergeCell ref="BGJ24:BGL24"/>
    <mergeCell ref="BFC24:BFE24"/>
    <mergeCell ref="BFF24:BFH24"/>
    <mergeCell ref="BFI24:BFK24"/>
    <mergeCell ref="BFL24:BFN24"/>
    <mergeCell ref="BFO24:BFQ24"/>
    <mergeCell ref="BFR24:BFT24"/>
    <mergeCell ref="BEK24:BEM24"/>
    <mergeCell ref="BEN24:BEP24"/>
    <mergeCell ref="BEQ24:BES24"/>
    <mergeCell ref="BET24:BEV24"/>
    <mergeCell ref="BEW24:BEY24"/>
    <mergeCell ref="BEZ24:BFB24"/>
    <mergeCell ref="BHW24:BHY24"/>
    <mergeCell ref="BHZ24:BIB24"/>
    <mergeCell ref="BIC24:BIE24"/>
    <mergeCell ref="BIF24:BIH24"/>
    <mergeCell ref="BII24:BIK24"/>
    <mergeCell ref="BIL24:BIN24"/>
    <mergeCell ref="BHE24:BHG24"/>
    <mergeCell ref="BHH24:BHJ24"/>
    <mergeCell ref="BHK24:BHM24"/>
    <mergeCell ref="BHN24:BHP24"/>
    <mergeCell ref="BHQ24:BHS24"/>
    <mergeCell ref="BHT24:BHV24"/>
    <mergeCell ref="BGM24:BGO24"/>
    <mergeCell ref="BGP24:BGR24"/>
    <mergeCell ref="BGS24:BGU24"/>
    <mergeCell ref="BGV24:BGX24"/>
    <mergeCell ref="BGY24:BHA24"/>
    <mergeCell ref="BHB24:BHD24"/>
    <mergeCell ref="BJY24:BKA24"/>
    <mergeCell ref="BKB24:BKD24"/>
    <mergeCell ref="BKE24:BKG24"/>
    <mergeCell ref="BKH24:BKJ24"/>
    <mergeCell ref="BKK24:BKM24"/>
    <mergeCell ref="BKN24:BKP24"/>
    <mergeCell ref="BJG24:BJI24"/>
    <mergeCell ref="BJJ24:BJL24"/>
    <mergeCell ref="BJM24:BJO24"/>
    <mergeCell ref="BJP24:BJR24"/>
    <mergeCell ref="BJS24:BJU24"/>
    <mergeCell ref="BJV24:BJX24"/>
    <mergeCell ref="BIO24:BIQ24"/>
    <mergeCell ref="BIR24:BIT24"/>
    <mergeCell ref="BIU24:BIW24"/>
    <mergeCell ref="BIX24:BIZ24"/>
    <mergeCell ref="BJA24:BJC24"/>
    <mergeCell ref="BJD24:BJF24"/>
    <mergeCell ref="BMA24:BMC24"/>
    <mergeCell ref="BMD24:BMF24"/>
    <mergeCell ref="BMG24:BMI24"/>
    <mergeCell ref="BMJ24:BML24"/>
    <mergeCell ref="BMM24:BMO24"/>
    <mergeCell ref="BMP24:BMR24"/>
    <mergeCell ref="BLI24:BLK24"/>
    <mergeCell ref="BLL24:BLN24"/>
    <mergeCell ref="BLO24:BLQ24"/>
    <mergeCell ref="BLR24:BLT24"/>
    <mergeCell ref="BLU24:BLW24"/>
    <mergeCell ref="BLX24:BLZ24"/>
    <mergeCell ref="BKQ24:BKS24"/>
    <mergeCell ref="BKT24:BKV24"/>
    <mergeCell ref="BKW24:BKY24"/>
    <mergeCell ref="BKZ24:BLB24"/>
    <mergeCell ref="BLC24:BLE24"/>
    <mergeCell ref="BLF24:BLH24"/>
    <mergeCell ref="BOC24:BOE24"/>
    <mergeCell ref="BOF24:BOH24"/>
    <mergeCell ref="BOI24:BOK24"/>
    <mergeCell ref="BOL24:BON24"/>
    <mergeCell ref="BOO24:BOQ24"/>
    <mergeCell ref="BOR24:BOT24"/>
    <mergeCell ref="BNK24:BNM24"/>
    <mergeCell ref="BNN24:BNP24"/>
    <mergeCell ref="BNQ24:BNS24"/>
    <mergeCell ref="BNT24:BNV24"/>
    <mergeCell ref="BNW24:BNY24"/>
    <mergeCell ref="BNZ24:BOB24"/>
    <mergeCell ref="BMS24:BMU24"/>
    <mergeCell ref="BMV24:BMX24"/>
    <mergeCell ref="BMY24:BNA24"/>
    <mergeCell ref="BNB24:BND24"/>
    <mergeCell ref="BNE24:BNG24"/>
    <mergeCell ref="BNH24:BNJ24"/>
    <mergeCell ref="BQE24:BQG24"/>
    <mergeCell ref="BQH24:BQJ24"/>
    <mergeCell ref="BQK24:BQM24"/>
    <mergeCell ref="BQN24:BQP24"/>
    <mergeCell ref="BQQ24:BQS24"/>
    <mergeCell ref="BQT24:BQV24"/>
    <mergeCell ref="BPM24:BPO24"/>
    <mergeCell ref="BPP24:BPR24"/>
    <mergeCell ref="BPS24:BPU24"/>
    <mergeCell ref="BPV24:BPX24"/>
    <mergeCell ref="BPY24:BQA24"/>
    <mergeCell ref="BQB24:BQD24"/>
    <mergeCell ref="BOU24:BOW24"/>
    <mergeCell ref="BOX24:BOZ24"/>
    <mergeCell ref="BPA24:BPC24"/>
    <mergeCell ref="BPD24:BPF24"/>
    <mergeCell ref="BPG24:BPI24"/>
    <mergeCell ref="BPJ24:BPL24"/>
    <mergeCell ref="BSG24:BSI24"/>
    <mergeCell ref="BSJ24:BSL24"/>
    <mergeCell ref="BSM24:BSO24"/>
    <mergeCell ref="BSP24:BSR24"/>
    <mergeCell ref="BSS24:BSU24"/>
    <mergeCell ref="BSV24:BSX24"/>
    <mergeCell ref="BRO24:BRQ24"/>
    <mergeCell ref="BRR24:BRT24"/>
    <mergeCell ref="BRU24:BRW24"/>
    <mergeCell ref="BRX24:BRZ24"/>
    <mergeCell ref="BSA24:BSC24"/>
    <mergeCell ref="BSD24:BSF24"/>
    <mergeCell ref="BQW24:BQY24"/>
    <mergeCell ref="BQZ24:BRB24"/>
    <mergeCell ref="BRC24:BRE24"/>
    <mergeCell ref="BRF24:BRH24"/>
    <mergeCell ref="BRI24:BRK24"/>
    <mergeCell ref="BRL24:BRN24"/>
    <mergeCell ref="BUI24:BUK24"/>
    <mergeCell ref="BUL24:BUN24"/>
    <mergeCell ref="BUO24:BUQ24"/>
    <mergeCell ref="BUR24:BUT24"/>
    <mergeCell ref="BUU24:BUW24"/>
    <mergeCell ref="BUX24:BUZ24"/>
    <mergeCell ref="BTQ24:BTS24"/>
    <mergeCell ref="BTT24:BTV24"/>
    <mergeCell ref="BTW24:BTY24"/>
    <mergeCell ref="BTZ24:BUB24"/>
    <mergeCell ref="BUC24:BUE24"/>
    <mergeCell ref="BUF24:BUH24"/>
    <mergeCell ref="BSY24:BTA24"/>
    <mergeCell ref="BTB24:BTD24"/>
    <mergeCell ref="BTE24:BTG24"/>
    <mergeCell ref="BTH24:BTJ24"/>
    <mergeCell ref="BTK24:BTM24"/>
    <mergeCell ref="BTN24:BTP24"/>
    <mergeCell ref="BWK24:BWM24"/>
    <mergeCell ref="BWN24:BWP24"/>
    <mergeCell ref="BWQ24:BWS24"/>
    <mergeCell ref="BWT24:BWV24"/>
    <mergeCell ref="BWW24:BWY24"/>
    <mergeCell ref="BWZ24:BXB24"/>
    <mergeCell ref="BVS24:BVU24"/>
    <mergeCell ref="BVV24:BVX24"/>
    <mergeCell ref="BVY24:BWA24"/>
    <mergeCell ref="BWB24:BWD24"/>
    <mergeCell ref="BWE24:BWG24"/>
    <mergeCell ref="BWH24:BWJ24"/>
    <mergeCell ref="BVA24:BVC24"/>
    <mergeCell ref="BVD24:BVF24"/>
    <mergeCell ref="BVG24:BVI24"/>
    <mergeCell ref="BVJ24:BVL24"/>
    <mergeCell ref="BVM24:BVO24"/>
    <mergeCell ref="BVP24:BVR24"/>
    <mergeCell ref="BYM24:BYO24"/>
    <mergeCell ref="BYP24:BYR24"/>
    <mergeCell ref="BYS24:BYU24"/>
    <mergeCell ref="BYV24:BYX24"/>
    <mergeCell ref="BYY24:BZA24"/>
    <mergeCell ref="BZB24:BZD24"/>
    <mergeCell ref="BXU24:BXW24"/>
    <mergeCell ref="BXX24:BXZ24"/>
    <mergeCell ref="BYA24:BYC24"/>
    <mergeCell ref="BYD24:BYF24"/>
    <mergeCell ref="BYG24:BYI24"/>
    <mergeCell ref="BYJ24:BYL24"/>
    <mergeCell ref="BXC24:BXE24"/>
    <mergeCell ref="BXF24:BXH24"/>
    <mergeCell ref="BXI24:BXK24"/>
    <mergeCell ref="BXL24:BXN24"/>
    <mergeCell ref="BXO24:BXQ24"/>
    <mergeCell ref="BXR24:BXT24"/>
    <mergeCell ref="CAO24:CAQ24"/>
    <mergeCell ref="CAR24:CAT24"/>
    <mergeCell ref="CAU24:CAW24"/>
    <mergeCell ref="CAX24:CAZ24"/>
    <mergeCell ref="CBA24:CBC24"/>
    <mergeCell ref="CBD24:CBF24"/>
    <mergeCell ref="BZW24:BZY24"/>
    <mergeCell ref="BZZ24:CAB24"/>
    <mergeCell ref="CAC24:CAE24"/>
    <mergeCell ref="CAF24:CAH24"/>
    <mergeCell ref="CAI24:CAK24"/>
    <mergeCell ref="CAL24:CAN24"/>
    <mergeCell ref="BZE24:BZG24"/>
    <mergeCell ref="BZH24:BZJ24"/>
    <mergeCell ref="BZK24:BZM24"/>
    <mergeCell ref="BZN24:BZP24"/>
    <mergeCell ref="BZQ24:BZS24"/>
    <mergeCell ref="BZT24:BZV24"/>
    <mergeCell ref="CCQ24:CCS24"/>
    <mergeCell ref="CCT24:CCV24"/>
    <mergeCell ref="CCW24:CCY24"/>
    <mergeCell ref="CCZ24:CDB24"/>
    <mergeCell ref="CDC24:CDE24"/>
    <mergeCell ref="CDF24:CDH24"/>
    <mergeCell ref="CBY24:CCA24"/>
    <mergeCell ref="CCB24:CCD24"/>
    <mergeCell ref="CCE24:CCG24"/>
    <mergeCell ref="CCH24:CCJ24"/>
    <mergeCell ref="CCK24:CCM24"/>
    <mergeCell ref="CCN24:CCP24"/>
    <mergeCell ref="CBG24:CBI24"/>
    <mergeCell ref="CBJ24:CBL24"/>
    <mergeCell ref="CBM24:CBO24"/>
    <mergeCell ref="CBP24:CBR24"/>
    <mergeCell ref="CBS24:CBU24"/>
    <mergeCell ref="CBV24:CBX24"/>
    <mergeCell ref="CES24:CEU24"/>
    <mergeCell ref="CEV24:CEX24"/>
    <mergeCell ref="CEY24:CFA24"/>
    <mergeCell ref="CFB24:CFD24"/>
    <mergeCell ref="CFE24:CFG24"/>
    <mergeCell ref="CFH24:CFJ24"/>
    <mergeCell ref="CEA24:CEC24"/>
    <mergeCell ref="CED24:CEF24"/>
    <mergeCell ref="CEG24:CEI24"/>
    <mergeCell ref="CEJ24:CEL24"/>
    <mergeCell ref="CEM24:CEO24"/>
    <mergeCell ref="CEP24:CER24"/>
    <mergeCell ref="CDI24:CDK24"/>
    <mergeCell ref="CDL24:CDN24"/>
    <mergeCell ref="CDO24:CDQ24"/>
    <mergeCell ref="CDR24:CDT24"/>
    <mergeCell ref="CDU24:CDW24"/>
    <mergeCell ref="CDX24:CDZ24"/>
    <mergeCell ref="CGU24:CGW24"/>
    <mergeCell ref="CGX24:CGZ24"/>
    <mergeCell ref="CHA24:CHC24"/>
    <mergeCell ref="CHD24:CHF24"/>
    <mergeCell ref="CHG24:CHI24"/>
    <mergeCell ref="CHJ24:CHL24"/>
    <mergeCell ref="CGC24:CGE24"/>
    <mergeCell ref="CGF24:CGH24"/>
    <mergeCell ref="CGI24:CGK24"/>
    <mergeCell ref="CGL24:CGN24"/>
    <mergeCell ref="CGO24:CGQ24"/>
    <mergeCell ref="CGR24:CGT24"/>
    <mergeCell ref="CFK24:CFM24"/>
    <mergeCell ref="CFN24:CFP24"/>
    <mergeCell ref="CFQ24:CFS24"/>
    <mergeCell ref="CFT24:CFV24"/>
    <mergeCell ref="CFW24:CFY24"/>
    <mergeCell ref="CFZ24:CGB24"/>
    <mergeCell ref="CIW24:CIY24"/>
    <mergeCell ref="CIZ24:CJB24"/>
    <mergeCell ref="CJC24:CJE24"/>
    <mergeCell ref="CJF24:CJH24"/>
    <mergeCell ref="CJI24:CJK24"/>
    <mergeCell ref="CJL24:CJN24"/>
    <mergeCell ref="CIE24:CIG24"/>
    <mergeCell ref="CIH24:CIJ24"/>
    <mergeCell ref="CIK24:CIM24"/>
    <mergeCell ref="CIN24:CIP24"/>
    <mergeCell ref="CIQ24:CIS24"/>
    <mergeCell ref="CIT24:CIV24"/>
    <mergeCell ref="CHM24:CHO24"/>
    <mergeCell ref="CHP24:CHR24"/>
    <mergeCell ref="CHS24:CHU24"/>
    <mergeCell ref="CHV24:CHX24"/>
    <mergeCell ref="CHY24:CIA24"/>
    <mergeCell ref="CIB24:CID24"/>
    <mergeCell ref="CKY24:CLA24"/>
    <mergeCell ref="CLB24:CLD24"/>
    <mergeCell ref="CLE24:CLG24"/>
    <mergeCell ref="CLH24:CLJ24"/>
    <mergeCell ref="CLK24:CLM24"/>
    <mergeCell ref="CLN24:CLP24"/>
    <mergeCell ref="CKG24:CKI24"/>
    <mergeCell ref="CKJ24:CKL24"/>
    <mergeCell ref="CKM24:CKO24"/>
    <mergeCell ref="CKP24:CKR24"/>
    <mergeCell ref="CKS24:CKU24"/>
    <mergeCell ref="CKV24:CKX24"/>
    <mergeCell ref="CJO24:CJQ24"/>
    <mergeCell ref="CJR24:CJT24"/>
    <mergeCell ref="CJU24:CJW24"/>
    <mergeCell ref="CJX24:CJZ24"/>
    <mergeCell ref="CKA24:CKC24"/>
    <mergeCell ref="CKD24:CKF24"/>
    <mergeCell ref="CNA24:CNC24"/>
    <mergeCell ref="CND24:CNF24"/>
    <mergeCell ref="CNG24:CNI24"/>
    <mergeCell ref="CNJ24:CNL24"/>
    <mergeCell ref="CNM24:CNO24"/>
    <mergeCell ref="CNP24:CNR24"/>
    <mergeCell ref="CMI24:CMK24"/>
    <mergeCell ref="CML24:CMN24"/>
    <mergeCell ref="CMO24:CMQ24"/>
    <mergeCell ref="CMR24:CMT24"/>
    <mergeCell ref="CMU24:CMW24"/>
    <mergeCell ref="CMX24:CMZ24"/>
    <mergeCell ref="CLQ24:CLS24"/>
    <mergeCell ref="CLT24:CLV24"/>
    <mergeCell ref="CLW24:CLY24"/>
    <mergeCell ref="CLZ24:CMB24"/>
    <mergeCell ref="CMC24:CME24"/>
    <mergeCell ref="CMF24:CMH24"/>
    <mergeCell ref="CPC24:CPE24"/>
    <mergeCell ref="CPF24:CPH24"/>
    <mergeCell ref="CPI24:CPK24"/>
    <mergeCell ref="CPL24:CPN24"/>
    <mergeCell ref="CPO24:CPQ24"/>
    <mergeCell ref="CPR24:CPT24"/>
    <mergeCell ref="COK24:COM24"/>
    <mergeCell ref="CON24:COP24"/>
    <mergeCell ref="COQ24:COS24"/>
    <mergeCell ref="COT24:COV24"/>
    <mergeCell ref="COW24:COY24"/>
    <mergeCell ref="COZ24:CPB24"/>
    <mergeCell ref="CNS24:CNU24"/>
    <mergeCell ref="CNV24:CNX24"/>
    <mergeCell ref="CNY24:COA24"/>
    <mergeCell ref="COB24:COD24"/>
    <mergeCell ref="COE24:COG24"/>
    <mergeCell ref="COH24:COJ24"/>
    <mergeCell ref="CRE24:CRG24"/>
    <mergeCell ref="CRH24:CRJ24"/>
    <mergeCell ref="CRK24:CRM24"/>
    <mergeCell ref="CRN24:CRP24"/>
    <mergeCell ref="CRQ24:CRS24"/>
    <mergeCell ref="CRT24:CRV24"/>
    <mergeCell ref="CQM24:CQO24"/>
    <mergeCell ref="CQP24:CQR24"/>
    <mergeCell ref="CQS24:CQU24"/>
    <mergeCell ref="CQV24:CQX24"/>
    <mergeCell ref="CQY24:CRA24"/>
    <mergeCell ref="CRB24:CRD24"/>
    <mergeCell ref="CPU24:CPW24"/>
    <mergeCell ref="CPX24:CPZ24"/>
    <mergeCell ref="CQA24:CQC24"/>
    <mergeCell ref="CQD24:CQF24"/>
    <mergeCell ref="CQG24:CQI24"/>
    <mergeCell ref="CQJ24:CQL24"/>
    <mergeCell ref="CTG24:CTI24"/>
    <mergeCell ref="CTJ24:CTL24"/>
    <mergeCell ref="CTM24:CTO24"/>
    <mergeCell ref="CTP24:CTR24"/>
    <mergeCell ref="CTS24:CTU24"/>
    <mergeCell ref="CTV24:CTX24"/>
    <mergeCell ref="CSO24:CSQ24"/>
    <mergeCell ref="CSR24:CST24"/>
    <mergeCell ref="CSU24:CSW24"/>
    <mergeCell ref="CSX24:CSZ24"/>
    <mergeCell ref="CTA24:CTC24"/>
    <mergeCell ref="CTD24:CTF24"/>
    <mergeCell ref="CRW24:CRY24"/>
    <mergeCell ref="CRZ24:CSB24"/>
    <mergeCell ref="CSC24:CSE24"/>
    <mergeCell ref="CSF24:CSH24"/>
    <mergeCell ref="CSI24:CSK24"/>
    <mergeCell ref="CSL24:CSN24"/>
    <mergeCell ref="CVI24:CVK24"/>
    <mergeCell ref="CVL24:CVN24"/>
    <mergeCell ref="CVO24:CVQ24"/>
    <mergeCell ref="CVR24:CVT24"/>
    <mergeCell ref="CVU24:CVW24"/>
    <mergeCell ref="CVX24:CVZ24"/>
    <mergeCell ref="CUQ24:CUS24"/>
    <mergeCell ref="CUT24:CUV24"/>
    <mergeCell ref="CUW24:CUY24"/>
    <mergeCell ref="CUZ24:CVB24"/>
    <mergeCell ref="CVC24:CVE24"/>
    <mergeCell ref="CVF24:CVH24"/>
    <mergeCell ref="CTY24:CUA24"/>
    <mergeCell ref="CUB24:CUD24"/>
    <mergeCell ref="CUE24:CUG24"/>
    <mergeCell ref="CUH24:CUJ24"/>
    <mergeCell ref="CUK24:CUM24"/>
    <mergeCell ref="CUN24:CUP24"/>
    <mergeCell ref="CXK24:CXM24"/>
    <mergeCell ref="CXN24:CXP24"/>
    <mergeCell ref="CXQ24:CXS24"/>
    <mergeCell ref="CXT24:CXV24"/>
    <mergeCell ref="CXW24:CXY24"/>
    <mergeCell ref="CXZ24:CYB24"/>
    <mergeCell ref="CWS24:CWU24"/>
    <mergeCell ref="CWV24:CWX24"/>
    <mergeCell ref="CWY24:CXA24"/>
    <mergeCell ref="CXB24:CXD24"/>
    <mergeCell ref="CXE24:CXG24"/>
    <mergeCell ref="CXH24:CXJ24"/>
    <mergeCell ref="CWA24:CWC24"/>
    <mergeCell ref="CWD24:CWF24"/>
    <mergeCell ref="CWG24:CWI24"/>
    <mergeCell ref="CWJ24:CWL24"/>
    <mergeCell ref="CWM24:CWO24"/>
    <mergeCell ref="CWP24:CWR24"/>
    <mergeCell ref="CZM24:CZO24"/>
    <mergeCell ref="CZP24:CZR24"/>
    <mergeCell ref="CZS24:CZU24"/>
    <mergeCell ref="CZV24:CZX24"/>
    <mergeCell ref="CZY24:DAA24"/>
    <mergeCell ref="DAB24:DAD24"/>
    <mergeCell ref="CYU24:CYW24"/>
    <mergeCell ref="CYX24:CYZ24"/>
    <mergeCell ref="CZA24:CZC24"/>
    <mergeCell ref="CZD24:CZF24"/>
    <mergeCell ref="CZG24:CZI24"/>
    <mergeCell ref="CZJ24:CZL24"/>
    <mergeCell ref="CYC24:CYE24"/>
    <mergeCell ref="CYF24:CYH24"/>
    <mergeCell ref="CYI24:CYK24"/>
    <mergeCell ref="CYL24:CYN24"/>
    <mergeCell ref="CYO24:CYQ24"/>
    <mergeCell ref="CYR24:CYT24"/>
    <mergeCell ref="DBO24:DBQ24"/>
    <mergeCell ref="DBR24:DBT24"/>
    <mergeCell ref="DBU24:DBW24"/>
    <mergeCell ref="DBX24:DBZ24"/>
    <mergeCell ref="DCA24:DCC24"/>
    <mergeCell ref="DCD24:DCF24"/>
    <mergeCell ref="DAW24:DAY24"/>
    <mergeCell ref="DAZ24:DBB24"/>
    <mergeCell ref="DBC24:DBE24"/>
    <mergeCell ref="DBF24:DBH24"/>
    <mergeCell ref="DBI24:DBK24"/>
    <mergeCell ref="DBL24:DBN24"/>
    <mergeCell ref="DAE24:DAG24"/>
    <mergeCell ref="DAH24:DAJ24"/>
    <mergeCell ref="DAK24:DAM24"/>
    <mergeCell ref="DAN24:DAP24"/>
    <mergeCell ref="DAQ24:DAS24"/>
    <mergeCell ref="DAT24:DAV24"/>
    <mergeCell ref="DDQ24:DDS24"/>
    <mergeCell ref="DDT24:DDV24"/>
    <mergeCell ref="DDW24:DDY24"/>
    <mergeCell ref="DDZ24:DEB24"/>
    <mergeCell ref="DEC24:DEE24"/>
    <mergeCell ref="DEF24:DEH24"/>
    <mergeCell ref="DCY24:DDA24"/>
    <mergeCell ref="DDB24:DDD24"/>
    <mergeCell ref="DDE24:DDG24"/>
    <mergeCell ref="DDH24:DDJ24"/>
    <mergeCell ref="DDK24:DDM24"/>
    <mergeCell ref="DDN24:DDP24"/>
    <mergeCell ref="DCG24:DCI24"/>
    <mergeCell ref="DCJ24:DCL24"/>
    <mergeCell ref="DCM24:DCO24"/>
    <mergeCell ref="DCP24:DCR24"/>
    <mergeCell ref="DCS24:DCU24"/>
    <mergeCell ref="DCV24:DCX24"/>
    <mergeCell ref="DFS24:DFU24"/>
    <mergeCell ref="DFV24:DFX24"/>
    <mergeCell ref="DFY24:DGA24"/>
    <mergeCell ref="DGB24:DGD24"/>
    <mergeCell ref="DGE24:DGG24"/>
    <mergeCell ref="DGH24:DGJ24"/>
    <mergeCell ref="DFA24:DFC24"/>
    <mergeCell ref="DFD24:DFF24"/>
    <mergeCell ref="DFG24:DFI24"/>
    <mergeCell ref="DFJ24:DFL24"/>
    <mergeCell ref="DFM24:DFO24"/>
    <mergeCell ref="DFP24:DFR24"/>
    <mergeCell ref="DEI24:DEK24"/>
    <mergeCell ref="DEL24:DEN24"/>
    <mergeCell ref="DEO24:DEQ24"/>
    <mergeCell ref="DER24:DET24"/>
    <mergeCell ref="DEU24:DEW24"/>
    <mergeCell ref="DEX24:DEZ24"/>
    <mergeCell ref="DHU24:DHW24"/>
    <mergeCell ref="DHX24:DHZ24"/>
    <mergeCell ref="DIA24:DIC24"/>
    <mergeCell ref="DID24:DIF24"/>
    <mergeCell ref="DIG24:DII24"/>
    <mergeCell ref="DIJ24:DIL24"/>
    <mergeCell ref="DHC24:DHE24"/>
    <mergeCell ref="DHF24:DHH24"/>
    <mergeCell ref="DHI24:DHK24"/>
    <mergeCell ref="DHL24:DHN24"/>
    <mergeCell ref="DHO24:DHQ24"/>
    <mergeCell ref="DHR24:DHT24"/>
    <mergeCell ref="DGK24:DGM24"/>
    <mergeCell ref="DGN24:DGP24"/>
    <mergeCell ref="DGQ24:DGS24"/>
    <mergeCell ref="DGT24:DGV24"/>
    <mergeCell ref="DGW24:DGY24"/>
    <mergeCell ref="DGZ24:DHB24"/>
    <mergeCell ref="DJW24:DJY24"/>
    <mergeCell ref="DJZ24:DKB24"/>
    <mergeCell ref="DKC24:DKE24"/>
    <mergeCell ref="DKF24:DKH24"/>
    <mergeCell ref="DKI24:DKK24"/>
    <mergeCell ref="DKL24:DKN24"/>
    <mergeCell ref="DJE24:DJG24"/>
    <mergeCell ref="DJH24:DJJ24"/>
    <mergeCell ref="DJK24:DJM24"/>
    <mergeCell ref="DJN24:DJP24"/>
    <mergeCell ref="DJQ24:DJS24"/>
    <mergeCell ref="DJT24:DJV24"/>
    <mergeCell ref="DIM24:DIO24"/>
    <mergeCell ref="DIP24:DIR24"/>
    <mergeCell ref="DIS24:DIU24"/>
    <mergeCell ref="DIV24:DIX24"/>
    <mergeCell ref="DIY24:DJA24"/>
    <mergeCell ref="DJB24:DJD24"/>
    <mergeCell ref="DLY24:DMA24"/>
    <mergeCell ref="DMB24:DMD24"/>
    <mergeCell ref="DME24:DMG24"/>
    <mergeCell ref="DMH24:DMJ24"/>
    <mergeCell ref="DMK24:DMM24"/>
    <mergeCell ref="DMN24:DMP24"/>
    <mergeCell ref="DLG24:DLI24"/>
    <mergeCell ref="DLJ24:DLL24"/>
    <mergeCell ref="DLM24:DLO24"/>
    <mergeCell ref="DLP24:DLR24"/>
    <mergeCell ref="DLS24:DLU24"/>
    <mergeCell ref="DLV24:DLX24"/>
    <mergeCell ref="DKO24:DKQ24"/>
    <mergeCell ref="DKR24:DKT24"/>
    <mergeCell ref="DKU24:DKW24"/>
    <mergeCell ref="DKX24:DKZ24"/>
    <mergeCell ref="DLA24:DLC24"/>
    <mergeCell ref="DLD24:DLF24"/>
    <mergeCell ref="DOA24:DOC24"/>
    <mergeCell ref="DOD24:DOF24"/>
    <mergeCell ref="DOG24:DOI24"/>
    <mergeCell ref="DOJ24:DOL24"/>
    <mergeCell ref="DOM24:DOO24"/>
    <mergeCell ref="DOP24:DOR24"/>
    <mergeCell ref="DNI24:DNK24"/>
    <mergeCell ref="DNL24:DNN24"/>
    <mergeCell ref="DNO24:DNQ24"/>
    <mergeCell ref="DNR24:DNT24"/>
    <mergeCell ref="DNU24:DNW24"/>
    <mergeCell ref="DNX24:DNZ24"/>
    <mergeCell ref="DMQ24:DMS24"/>
    <mergeCell ref="DMT24:DMV24"/>
    <mergeCell ref="DMW24:DMY24"/>
    <mergeCell ref="DMZ24:DNB24"/>
    <mergeCell ref="DNC24:DNE24"/>
    <mergeCell ref="DNF24:DNH24"/>
    <mergeCell ref="DQC24:DQE24"/>
    <mergeCell ref="DQF24:DQH24"/>
    <mergeCell ref="DQI24:DQK24"/>
    <mergeCell ref="DQL24:DQN24"/>
    <mergeCell ref="DQO24:DQQ24"/>
    <mergeCell ref="DQR24:DQT24"/>
    <mergeCell ref="DPK24:DPM24"/>
    <mergeCell ref="DPN24:DPP24"/>
    <mergeCell ref="DPQ24:DPS24"/>
    <mergeCell ref="DPT24:DPV24"/>
    <mergeCell ref="DPW24:DPY24"/>
    <mergeCell ref="DPZ24:DQB24"/>
    <mergeCell ref="DOS24:DOU24"/>
    <mergeCell ref="DOV24:DOX24"/>
    <mergeCell ref="DOY24:DPA24"/>
    <mergeCell ref="DPB24:DPD24"/>
    <mergeCell ref="DPE24:DPG24"/>
    <mergeCell ref="DPH24:DPJ24"/>
    <mergeCell ref="DSE24:DSG24"/>
    <mergeCell ref="DSH24:DSJ24"/>
    <mergeCell ref="DSK24:DSM24"/>
    <mergeCell ref="DSN24:DSP24"/>
    <mergeCell ref="DSQ24:DSS24"/>
    <mergeCell ref="DST24:DSV24"/>
    <mergeCell ref="DRM24:DRO24"/>
    <mergeCell ref="DRP24:DRR24"/>
    <mergeCell ref="DRS24:DRU24"/>
    <mergeCell ref="DRV24:DRX24"/>
    <mergeCell ref="DRY24:DSA24"/>
    <mergeCell ref="DSB24:DSD24"/>
    <mergeCell ref="DQU24:DQW24"/>
    <mergeCell ref="DQX24:DQZ24"/>
    <mergeCell ref="DRA24:DRC24"/>
    <mergeCell ref="DRD24:DRF24"/>
    <mergeCell ref="DRG24:DRI24"/>
    <mergeCell ref="DRJ24:DRL24"/>
    <mergeCell ref="DUG24:DUI24"/>
    <mergeCell ref="DUJ24:DUL24"/>
    <mergeCell ref="DUM24:DUO24"/>
    <mergeCell ref="DUP24:DUR24"/>
    <mergeCell ref="DUS24:DUU24"/>
    <mergeCell ref="DUV24:DUX24"/>
    <mergeCell ref="DTO24:DTQ24"/>
    <mergeCell ref="DTR24:DTT24"/>
    <mergeCell ref="DTU24:DTW24"/>
    <mergeCell ref="DTX24:DTZ24"/>
    <mergeCell ref="DUA24:DUC24"/>
    <mergeCell ref="DUD24:DUF24"/>
    <mergeCell ref="DSW24:DSY24"/>
    <mergeCell ref="DSZ24:DTB24"/>
    <mergeCell ref="DTC24:DTE24"/>
    <mergeCell ref="DTF24:DTH24"/>
    <mergeCell ref="DTI24:DTK24"/>
    <mergeCell ref="DTL24:DTN24"/>
    <mergeCell ref="DWI24:DWK24"/>
    <mergeCell ref="DWL24:DWN24"/>
    <mergeCell ref="DWO24:DWQ24"/>
    <mergeCell ref="DWR24:DWT24"/>
    <mergeCell ref="DWU24:DWW24"/>
    <mergeCell ref="DWX24:DWZ24"/>
    <mergeCell ref="DVQ24:DVS24"/>
    <mergeCell ref="DVT24:DVV24"/>
    <mergeCell ref="DVW24:DVY24"/>
    <mergeCell ref="DVZ24:DWB24"/>
    <mergeCell ref="DWC24:DWE24"/>
    <mergeCell ref="DWF24:DWH24"/>
    <mergeCell ref="DUY24:DVA24"/>
    <mergeCell ref="DVB24:DVD24"/>
    <mergeCell ref="DVE24:DVG24"/>
    <mergeCell ref="DVH24:DVJ24"/>
    <mergeCell ref="DVK24:DVM24"/>
    <mergeCell ref="DVN24:DVP24"/>
    <mergeCell ref="DYK24:DYM24"/>
    <mergeCell ref="DYN24:DYP24"/>
    <mergeCell ref="DYQ24:DYS24"/>
    <mergeCell ref="DYT24:DYV24"/>
    <mergeCell ref="DYW24:DYY24"/>
    <mergeCell ref="DYZ24:DZB24"/>
    <mergeCell ref="DXS24:DXU24"/>
    <mergeCell ref="DXV24:DXX24"/>
    <mergeCell ref="DXY24:DYA24"/>
    <mergeCell ref="DYB24:DYD24"/>
    <mergeCell ref="DYE24:DYG24"/>
    <mergeCell ref="DYH24:DYJ24"/>
    <mergeCell ref="DXA24:DXC24"/>
    <mergeCell ref="DXD24:DXF24"/>
    <mergeCell ref="DXG24:DXI24"/>
    <mergeCell ref="DXJ24:DXL24"/>
    <mergeCell ref="DXM24:DXO24"/>
    <mergeCell ref="DXP24:DXR24"/>
    <mergeCell ref="EAM24:EAO24"/>
    <mergeCell ref="EAP24:EAR24"/>
    <mergeCell ref="EAS24:EAU24"/>
    <mergeCell ref="EAV24:EAX24"/>
    <mergeCell ref="EAY24:EBA24"/>
    <mergeCell ref="EBB24:EBD24"/>
    <mergeCell ref="DZU24:DZW24"/>
    <mergeCell ref="DZX24:DZZ24"/>
    <mergeCell ref="EAA24:EAC24"/>
    <mergeCell ref="EAD24:EAF24"/>
    <mergeCell ref="EAG24:EAI24"/>
    <mergeCell ref="EAJ24:EAL24"/>
    <mergeCell ref="DZC24:DZE24"/>
    <mergeCell ref="DZF24:DZH24"/>
    <mergeCell ref="DZI24:DZK24"/>
    <mergeCell ref="DZL24:DZN24"/>
    <mergeCell ref="DZO24:DZQ24"/>
    <mergeCell ref="DZR24:DZT24"/>
    <mergeCell ref="ECO24:ECQ24"/>
    <mergeCell ref="ECR24:ECT24"/>
    <mergeCell ref="ECU24:ECW24"/>
    <mergeCell ref="ECX24:ECZ24"/>
    <mergeCell ref="EDA24:EDC24"/>
    <mergeCell ref="EDD24:EDF24"/>
    <mergeCell ref="EBW24:EBY24"/>
    <mergeCell ref="EBZ24:ECB24"/>
    <mergeCell ref="ECC24:ECE24"/>
    <mergeCell ref="ECF24:ECH24"/>
    <mergeCell ref="ECI24:ECK24"/>
    <mergeCell ref="ECL24:ECN24"/>
    <mergeCell ref="EBE24:EBG24"/>
    <mergeCell ref="EBH24:EBJ24"/>
    <mergeCell ref="EBK24:EBM24"/>
    <mergeCell ref="EBN24:EBP24"/>
    <mergeCell ref="EBQ24:EBS24"/>
    <mergeCell ref="EBT24:EBV24"/>
    <mergeCell ref="EEQ24:EES24"/>
    <mergeCell ref="EET24:EEV24"/>
    <mergeCell ref="EEW24:EEY24"/>
    <mergeCell ref="EEZ24:EFB24"/>
    <mergeCell ref="EFC24:EFE24"/>
    <mergeCell ref="EFF24:EFH24"/>
    <mergeCell ref="EDY24:EEA24"/>
    <mergeCell ref="EEB24:EED24"/>
    <mergeCell ref="EEE24:EEG24"/>
    <mergeCell ref="EEH24:EEJ24"/>
    <mergeCell ref="EEK24:EEM24"/>
    <mergeCell ref="EEN24:EEP24"/>
    <mergeCell ref="EDG24:EDI24"/>
    <mergeCell ref="EDJ24:EDL24"/>
    <mergeCell ref="EDM24:EDO24"/>
    <mergeCell ref="EDP24:EDR24"/>
    <mergeCell ref="EDS24:EDU24"/>
    <mergeCell ref="EDV24:EDX24"/>
    <mergeCell ref="EGS24:EGU24"/>
    <mergeCell ref="EGV24:EGX24"/>
    <mergeCell ref="EGY24:EHA24"/>
    <mergeCell ref="EHB24:EHD24"/>
    <mergeCell ref="EHE24:EHG24"/>
    <mergeCell ref="EHH24:EHJ24"/>
    <mergeCell ref="EGA24:EGC24"/>
    <mergeCell ref="EGD24:EGF24"/>
    <mergeCell ref="EGG24:EGI24"/>
    <mergeCell ref="EGJ24:EGL24"/>
    <mergeCell ref="EGM24:EGO24"/>
    <mergeCell ref="EGP24:EGR24"/>
    <mergeCell ref="EFI24:EFK24"/>
    <mergeCell ref="EFL24:EFN24"/>
    <mergeCell ref="EFO24:EFQ24"/>
    <mergeCell ref="EFR24:EFT24"/>
    <mergeCell ref="EFU24:EFW24"/>
    <mergeCell ref="EFX24:EFZ24"/>
    <mergeCell ref="EIU24:EIW24"/>
    <mergeCell ref="EIX24:EIZ24"/>
    <mergeCell ref="EJA24:EJC24"/>
    <mergeCell ref="EJD24:EJF24"/>
    <mergeCell ref="EJG24:EJI24"/>
    <mergeCell ref="EJJ24:EJL24"/>
    <mergeCell ref="EIC24:EIE24"/>
    <mergeCell ref="EIF24:EIH24"/>
    <mergeCell ref="EII24:EIK24"/>
    <mergeCell ref="EIL24:EIN24"/>
    <mergeCell ref="EIO24:EIQ24"/>
    <mergeCell ref="EIR24:EIT24"/>
    <mergeCell ref="EHK24:EHM24"/>
    <mergeCell ref="EHN24:EHP24"/>
    <mergeCell ref="EHQ24:EHS24"/>
    <mergeCell ref="EHT24:EHV24"/>
    <mergeCell ref="EHW24:EHY24"/>
    <mergeCell ref="EHZ24:EIB24"/>
    <mergeCell ref="EKW24:EKY24"/>
    <mergeCell ref="EKZ24:ELB24"/>
    <mergeCell ref="ELC24:ELE24"/>
    <mergeCell ref="ELF24:ELH24"/>
    <mergeCell ref="ELI24:ELK24"/>
    <mergeCell ref="ELL24:ELN24"/>
    <mergeCell ref="EKE24:EKG24"/>
    <mergeCell ref="EKH24:EKJ24"/>
    <mergeCell ref="EKK24:EKM24"/>
    <mergeCell ref="EKN24:EKP24"/>
    <mergeCell ref="EKQ24:EKS24"/>
    <mergeCell ref="EKT24:EKV24"/>
    <mergeCell ref="EJM24:EJO24"/>
    <mergeCell ref="EJP24:EJR24"/>
    <mergeCell ref="EJS24:EJU24"/>
    <mergeCell ref="EJV24:EJX24"/>
    <mergeCell ref="EJY24:EKA24"/>
    <mergeCell ref="EKB24:EKD24"/>
    <mergeCell ref="EMY24:ENA24"/>
    <mergeCell ref="ENB24:END24"/>
    <mergeCell ref="ENE24:ENG24"/>
    <mergeCell ref="ENH24:ENJ24"/>
    <mergeCell ref="ENK24:ENM24"/>
    <mergeCell ref="ENN24:ENP24"/>
    <mergeCell ref="EMG24:EMI24"/>
    <mergeCell ref="EMJ24:EML24"/>
    <mergeCell ref="EMM24:EMO24"/>
    <mergeCell ref="EMP24:EMR24"/>
    <mergeCell ref="EMS24:EMU24"/>
    <mergeCell ref="EMV24:EMX24"/>
    <mergeCell ref="ELO24:ELQ24"/>
    <mergeCell ref="ELR24:ELT24"/>
    <mergeCell ref="ELU24:ELW24"/>
    <mergeCell ref="ELX24:ELZ24"/>
    <mergeCell ref="EMA24:EMC24"/>
    <mergeCell ref="EMD24:EMF24"/>
    <mergeCell ref="EPA24:EPC24"/>
    <mergeCell ref="EPD24:EPF24"/>
    <mergeCell ref="EPG24:EPI24"/>
    <mergeCell ref="EPJ24:EPL24"/>
    <mergeCell ref="EPM24:EPO24"/>
    <mergeCell ref="EPP24:EPR24"/>
    <mergeCell ref="EOI24:EOK24"/>
    <mergeCell ref="EOL24:EON24"/>
    <mergeCell ref="EOO24:EOQ24"/>
    <mergeCell ref="EOR24:EOT24"/>
    <mergeCell ref="EOU24:EOW24"/>
    <mergeCell ref="EOX24:EOZ24"/>
    <mergeCell ref="ENQ24:ENS24"/>
    <mergeCell ref="ENT24:ENV24"/>
    <mergeCell ref="ENW24:ENY24"/>
    <mergeCell ref="ENZ24:EOB24"/>
    <mergeCell ref="EOC24:EOE24"/>
    <mergeCell ref="EOF24:EOH24"/>
    <mergeCell ref="ERC24:ERE24"/>
    <mergeCell ref="ERF24:ERH24"/>
    <mergeCell ref="ERI24:ERK24"/>
    <mergeCell ref="ERL24:ERN24"/>
    <mergeCell ref="ERO24:ERQ24"/>
    <mergeCell ref="ERR24:ERT24"/>
    <mergeCell ref="EQK24:EQM24"/>
    <mergeCell ref="EQN24:EQP24"/>
    <mergeCell ref="EQQ24:EQS24"/>
    <mergeCell ref="EQT24:EQV24"/>
    <mergeCell ref="EQW24:EQY24"/>
    <mergeCell ref="EQZ24:ERB24"/>
    <mergeCell ref="EPS24:EPU24"/>
    <mergeCell ref="EPV24:EPX24"/>
    <mergeCell ref="EPY24:EQA24"/>
    <mergeCell ref="EQB24:EQD24"/>
    <mergeCell ref="EQE24:EQG24"/>
    <mergeCell ref="EQH24:EQJ24"/>
    <mergeCell ref="ETE24:ETG24"/>
    <mergeCell ref="ETH24:ETJ24"/>
    <mergeCell ref="ETK24:ETM24"/>
    <mergeCell ref="ETN24:ETP24"/>
    <mergeCell ref="ETQ24:ETS24"/>
    <mergeCell ref="ETT24:ETV24"/>
    <mergeCell ref="ESM24:ESO24"/>
    <mergeCell ref="ESP24:ESR24"/>
    <mergeCell ref="ESS24:ESU24"/>
    <mergeCell ref="ESV24:ESX24"/>
    <mergeCell ref="ESY24:ETA24"/>
    <mergeCell ref="ETB24:ETD24"/>
    <mergeCell ref="ERU24:ERW24"/>
    <mergeCell ref="ERX24:ERZ24"/>
    <mergeCell ref="ESA24:ESC24"/>
    <mergeCell ref="ESD24:ESF24"/>
    <mergeCell ref="ESG24:ESI24"/>
    <mergeCell ref="ESJ24:ESL24"/>
    <mergeCell ref="EVG24:EVI24"/>
    <mergeCell ref="EVJ24:EVL24"/>
    <mergeCell ref="EVM24:EVO24"/>
    <mergeCell ref="EVP24:EVR24"/>
    <mergeCell ref="EVS24:EVU24"/>
    <mergeCell ref="EVV24:EVX24"/>
    <mergeCell ref="EUO24:EUQ24"/>
    <mergeCell ref="EUR24:EUT24"/>
    <mergeCell ref="EUU24:EUW24"/>
    <mergeCell ref="EUX24:EUZ24"/>
    <mergeCell ref="EVA24:EVC24"/>
    <mergeCell ref="EVD24:EVF24"/>
    <mergeCell ref="ETW24:ETY24"/>
    <mergeCell ref="ETZ24:EUB24"/>
    <mergeCell ref="EUC24:EUE24"/>
    <mergeCell ref="EUF24:EUH24"/>
    <mergeCell ref="EUI24:EUK24"/>
    <mergeCell ref="EUL24:EUN24"/>
    <mergeCell ref="EXI24:EXK24"/>
    <mergeCell ref="EXL24:EXN24"/>
    <mergeCell ref="EXO24:EXQ24"/>
    <mergeCell ref="EXR24:EXT24"/>
    <mergeCell ref="EXU24:EXW24"/>
    <mergeCell ref="EXX24:EXZ24"/>
    <mergeCell ref="EWQ24:EWS24"/>
    <mergeCell ref="EWT24:EWV24"/>
    <mergeCell ref="EWW24:EWY24"/>
    <mergeCell ref="EWZ24:EXB24"/>
    <mergeCell ref="EXC24:EXE24"/>
    <mergeCell ref="EXF24:EXH24"/>
    <mergeCell ref="EVY24:EWA24"/>
    <mergeCell ref="EWB24:EWD24"/>
    <mergeCell ref="EWE24:EWG24"/>
    <mergeCell ref="EWH24:EWJ24"/>
    <mergeCell ref="EWK24:EWM24"/>
    <mergeCell ref="EWN24:EWP24"/>
    <mergeCell ref="EZK24:EZM24"/>
    <mergeCell ref="EZN24:EZP24"/>
    <mergeCell ref="EZQ24:EZS24"/>
    <mergeCell ref="EZT24:EZV24"/>
    <mergeCell ref="EZW24:EZY24"/>
    <mergeCell ref="EZZ24:FAB24"/>
    <mergeCell ref="EYS24:EYU24"/>
    <mergeCell ref="EYV24:EYX24"/>
    <mergeCell ref="EYY24:EZA24"/>
    <mergeCell ref="EZB24:EZD24"/>
    <mergeCell ref="EZE24:EZG24"/>
    <mergeCell ref="EZH24:EZJ24"/>
    <mergeCell ref="EYA24:EYC24"/>
    <mergeCell ref="EYD24:EYF24"/>
    <mergeCell ref="EYG24:EYI24"/>
    <mergeCell ref="EYJ24:EYL24"/>
    <mergeCell ref="EYM24:EYO24"/>
    <mergeCell ref="EYP24:EYR24"/>
    <mergeCell ref="FBM24:FBO24"/>
    <mergeCell ref="FBP24:FBR24"/>
    <mergeCell ref="FBS24:FBU24"/>
    <mergeCell ref="FBV24:FBX24"/>
    <mergeCell ref="FBY24:FCA24"/>
    <mergeCell ref="FCB24:FCD24"/>
    <mergeCell ref="FAU24:FAW24"/>
    <mergeCell ref="FAX24:FAZ24"/>
    <mergeCell ref="FBA24:FBC24"/>
    <mergeCell ref="FBD24:FBF24"/>
    <mergeCell ref="FBG24:FBI24"/>
    <mergeCell ref="FBJ24:FBL24"/>
    <mergeCell ref="FAC24:FAE24"/>
    <mergeCell ref="FAF24:FAH24"/>
    <mergeCell ref="FAI24:FAK24"/>
    <mergeCell ref="FAL24:FAN24"/>
    <mergeCell ref="FAO24:FAQ24"/>
    <mergeCell ref="FAR24:FAT24"/>
    <mergeCell ref="FDO24:FDQ24"/>
    <mergeCell ref="FDR24:FDT24"/>
    <mergeCell ref="FDU24:FDW24"/>
    <mergeCell ref="FDX24:FDZ24"/>
    <mergeCell ref="FEA24:FEC24"/>
    <mergeCell ref="FED24:FEF24"/>
    <mergeCell ref="FCW24:FCY24"/>
    <mergeCell ref="FCZ24:FDB24"/>
    <mergeCell ref="FDC24:FDE24"/>
    <mergeCell ref="FDF24:FDH24"/>
    <mergeCell ref="FDI24:FDK24"/>
    <mergeCell ref="FDL24:FDN24"/>
    <mergeCell ref="FCE24:FCG24"/>
    <mergeCell ref="FCH24:FCJ24"/>
    <mergeCell ref="FCK24:FCM24"/>
    <mergeCell ref="FCN24:FCP24"/>
    <mergeCell ref="FCQ24:FCS24"/>
    <mergeCell ref="FCT24:FCV24"/>
    <mergeCell ref="FFQ24:FFS24"/>
    <mergeCell ref="FFT24:FFV24"/>
    <mergeCell ref="FFW24:FFY24"/>
    <mergeCell ref="FFZ24:FGB24"/>
    <mergeCell ref="FGC24:FGE24"/>
    <mergeCell ref="FGF24:FGH24"/>
    <mergeCell ref="FEY24:FFA24"/>
    <mergeCell ref="FFB24:FFD24"/>
    <mergeCell ref="FFE24:FFG24"/>
    <mergeCell ref="FFH24:FFJ24"/>
    <mergeCell ref="FFK24:FFM24"/>
    <mergeCell ref="FFN24:FFP24"/>
    <mergeCell ref="FEG24:FEI24"/>
    <mergeCell ref="FEJ24:FEL24"/>
    <mergeCell ref="FEM24:FEO24"/>
    <mergeCell ref="FEP24:FER24"/>
    <mergeCell ref="FES24:FEU24"/>
    <mergeCell ref="FEV24:FEX24"/>
    <mergeCell ref="FHS24:FHU24"/>
    <mergeCell ref="FHV24:FHX24"/>
    <mergeCell ref="FHY24:FIA24"/>
    <mergeCell ref="FIB24:FID24"/>
    <mergeCell ref="FIE24:FIG24"/>
    <mergeCell ref="FIH24:FIJ24"/>
    <mergeCell ref="FHA24:FHC24"/>
    <mergeCell ref="FHD24:FHF24"/>
    <mergeCell ref="FHG24:FHI24"/>
    <mergeCell ref="FHJ24:FHL24"/>
    <mergeCell ref="FHM24:FHO24"/>
    <mergeCell ref="FHP24:FHR24"/>
    <mergeCell ref="FGI24:FGK24"/>
    <mergeCell ref="FGL24:FGN24"/>
    <mergeCell ref="FGO24:FGQ24"/>
    <mergeCell ref="FGR24:FGT24"/>
    <mergeCell ref="FGU24:FGW24"/>
    <mergeCell ref="FGX24:FGZ24"/>
    <mergeCell ref="FJU24:FJW24"/>
    <mergeCell ref="FJX24:FJZ24"/>
    <mergeCell ref="FKA24:FKC24"/>
    <mergeCell ref="FKD24:FKF24"/>
    <mergeCell ref="FKG24:FKI24"/>
    <mergeCell ref="FKJ24:FKL24"/>
    <mergeCell ref="FJC24:FJE24"/>
    <mergeCell ref="FJF24:FJH24"/>
    <mergeCell ref="FJI24:FJK24"/>
    <mergeCell ref="FJL24:FJN24"/>
    <mergeCell ref="FJO24:FJQ24"/>
    <mergeCell ref="FJR24:FJT24"/>
    <mergeCell ref="FIK24:FIM24"/>
    <mergeCell ref="FIN24:FIP24"/>
    <mergeCell ref="FIQ24:FIS24"/>
    <mergeCell ref="FIT24:FIV24"/>
    <mergeCell ref="FIW24:FIY24"/>
    <mergeCell ref="FIZ24:FJB24"/>
    <mergeCell ref="FLW24:FLY24"/>
    <mergeCell ref="FLZ24:FMB24"/>
    <mergeCell ref="FMC24:FME24"/>
    <mergeCell ref="FMF24:FMH24"/>
    <mergeCell ref="FMI24:FMK24"/>
    <mergeCell ref="FML24:FMN24"/>
    <mergeCell ref="FLE24:FLG24"/>
    <mergeCell ref="FLH24:FLJ24"/>
    <mergeCell ref="FLK24:FLM24"/>
    <mergeCell ref="FLN24:FLP24"/>
    <mergeCell ref="FLQ24:FLS24"/>
    <mergeCell ref="FLT24:FLV24"/>
    <mergeCell ref="FKM24:FKO24"/>
    <mergeCell ref="FKP24:FKR24"/>
    <mergeCell ref="FKS24:FKU24"/>
    <mergeCell ref="FKV24:FKX24"/>
    <mergeCell ref="FKY24:FLA24"/>
    <mergeCell ref="FLB24:FLD24"/>
    <mergeCell ref="FNY24:FOA24"/>
    <mergeCell ref="FOB24:FOD24"/>
    <mergeCell ref="FOE24:FOG24"/>
    <mergeCell ref="FOH24:FOJ24"/>
    <mergeCell ref="FOK24:FOM24"/>
    <mergeCell ref="FON24:FOP24"/>
    <mergeCell ref="FNG24:FNI24"/>
    <mergeCell ref="FNJ24:FNL24"/>
    <mergeCell ref="FNM24:FNO24"/>
    <mergeCell ref="FNP24:FNR24"/>
    <mergeCell ref="FNS24:FNU24"/>
    <mergeCell ref="FNV24:FNX24"/>
    <mergeCell ref="FMO24:FMQ24"/>
    <mergeCell ref="FMR24:FMT24"/>
    <mergeCell ref="FMU24:FMW24"/>
    <mergeCell ref="FMX24:FMZ24"/>
    <mergeCell ref="FNA24:FNC24"/>
    <mergeCell ref="FND24:FNF24"/>
    <mergeCell ref="FQA24:FQC24"/>
    <mergeCell ref="FQD24:FQF24"/>
    <mergeCell ref="FQG24:FQI24"/>
    <mergeCell ref="FQJ24:FQL24"/>
    <mergeCell ref="FQM24:FQO24"/>
    <mergeCell ref="FQP24:FQR24"/>
    <mergeCell ref="FPI24:FPK24"/>
    <mergeCell ref="FPL24:FPN24"/>
    <mergeCell ref="FPO24:FPQ24"/>
    <mergeCell ref="FPR24:FPT24"/>
    <mergeCell ref="FPU24:FPW24"/>
    <mergeCell ref="FPX24:FPZ24"/>
    <mergeCell ref="FOQ24:FOS24"/>
    <mergeCell ref="FOT24:FOV24"/>
    <mergeCell ref="FOW24:FOY24"/>
    <mergeCell ref="FOZ24:FPB24"/>
    <mergeCell ref="FPC24:FPE24"/>
    <mergeCell ref="FPF24:FPH24"/>
    <mergeCell ref="FSC24:FSE24"/>
    <mergeCell ref="FSF24:FSH24"/>
    <mergeCell ref="FSI24:FSK24"/>
    <mergeCell ref="FSL24:FSN24"/>
    <mergeCell ref="FSO24:FSQ24"/>
    <mergeCell ref="FSR24:FST24"/>
    <mergeCell ref="FRK24:FRM24"/>
    <mergeCell ref="FRN24:FRP24"/>
    <mergeCell ref="FRQ24:FRS24"/>
    <mergeCell ref="FRT24:FRV24"/>
    <mergeCell ref="FRW24:FRY24"/>
    <mergeCell ref="FRZ24:FSB24"/>
    <mergeCell ref="FQS24:FQU24"/>
    <mergeCell ref="FQV24:FQX24"/>
    <mergeCell ref="FQY24:FRA24"/>
    <mergeCell ref="FRB24:FRD24"/>
    <mergeCell ref="FRE24:FRG24"/>
    <mergeCell ref="FRH24:FRJ24"/>
    <mergeCell ref="FUE24:FUG24"/>
    <mergeCell ref="FUH24:FUJ24"/>
    <mergeCell ref="FUK24:FUM24"/>
    <mergeCell ref="FUN24:FUP24"/>
    <mergeCell ref="FUQ24:FUS24"/>
    <mergeCell ref="FUT24:FUV24"/>
    <mergeCell ref="FTM24:FTO24"/>
    <mergeCell ref="FTP24:FTR24"/>
    <mergeCell ref="FTS24:FTU24"/>
    <mergeCell ref="FTV24:FTX24"/>
    <mergeCell ref="FTY24:FUA24"/>
    <mergeCell ref="FUB24:FUD24"/>
    <mergeCell ref="FSU24:FSW24"/>
    <mergeCell ref="FSX24:FSZ24"/>
    <mergeCell ref="FTA24:FTC24"/>
    <mergeCell ref="FTD24:FTF24"/>
    <mergeCell ref="FTG24:FTI24"/>
    <mergeCell ref="FTJ24:FTL24"/>
    <mergeCell ref="FWG24:FWI24"/>
    <mergeCell ref="FWJ24:FWL24"/>
    <mergeCell ref="FWM24:FWO24"/>
    <mergeCell ref="FWP24:FWR24"/>
    <mergeCell ref="FWS24:FWU24"/>
    <mergeCell ref="FWV24:FWX24"/>
    <mergeCell ref="FVO24:FVQ24"/>
    <mergeCell ref="FVR24:FVT24"/>
    <mergeCell ref="FVU24:FVW24"/>
    <mergeCell ref="FVX24:FVZ24"/>
    <mergeCell ref="FWA24:FWC24"/>
    <mergeCell ref="FWD24:FWF24"/>
    <mergeCell ref="FUW24:FUY24"/>
    <mergeCell ref="FUZ24:FVB24"/>
    <mergeCell ref="FVC24:FVE24"/>
    <mergeCell ref="FVF24:FVH24"/>
    <mergeCell ref="FVI24:FVK24"/>
    <mergeCell ref="FVL24:FVN24"/>
    <mergeCell ref="FYI24:FYK24"/>
    <mergeCell ref="FYL24:FYN24"/>
    <mergeCell ref="FYO24:FYQ24"/>
    <mergeCell ref="FYR24:FYT24"/>
    <mergeCell ref="FYU24:FYW24"/>
    <mergeCell ref="FYX24:FYZ24"/>
    <mergeCell ref="FXQ24:FXS24"/>
    <mergeCell ref="FXT24:FXV24"/>
    <mergeCell ref="FXW24:FXY24"/>
    <mergeCell ref="FXZ24:FYB24"/>
    <mergeCell ref="FYC24:FYE24"/>
    <mergeCell ref="FYF24:FYH24"/>
    <mergeCell ref="FWY24:FXA24"/>
    <mergeCell ref="FXB24:FXD24"/>
    <mergeCell ref="FXE24:FXG24"/>
    <mergeCell ref="FXH24:FXJ24"/>
    <mergeCell ref="FXK24:FXM24"/>
    <mergeCell ref="FXN24:FXP24"/>
    <mergeCell ref="GAK24:GAM24"/>
    <mergeCell ref="GAN24:GAP24"/>
    <mergeCell ref="GAQ24:GAS24"/>
    <mergeCell ref="GAT24:GAV24"/>
    <mergeCell ref="GAW24:GAY24"/>
    <mergeCell ref="GAZ24:GBB24"/>
    <mergeCell ref="FZS24:FZU24"/>
    <mergeCell ref="FZV24:FZX24"/>
    <mergeCell ref="FZY24:GAA24"/>
    <mergeCell ref="GAB24:GAD24"/>
    <mergeCell ref="GAE24:GAG24"/>
    <mergeCell ref="GAH24:GAJ24"/>
    <mergeCell ref="FZA24:FZC24"/>
    <mergeCell ref="FZD24:FZF24"/>
    <mergeCell ref="FZG24:FZI24"/>
    <mergeCell ref="FZJ24:FZL24"/>
    <mergeCell ref="FZM24:FZO24"/>
    <mergeCell ref="FZP24:FZR24"/>
    <mergeCell ref="GCM24:GCO24"/>
    <mergeCell ref="GCP24:GCR24"/>
    <mergeCell ref="GCS24:GCU24"/>
    <mergeCell ref="GCV24:GCX24"/>
    <mergeCell ref="GCY24:GDA24"/>
    <mergeCell ref="GDB24:GDD24"/>
    <mergeCell ref="GBU24:GBW24"/>
    <mergeCell ref="GBX24:GBZ24"/>
    <mergeCell ref="GCA24:GCC24"/>
    <mergeCell ref="GCD24:GCF24"/>
    <mergeCell ref="GCG24:GCI24"/>
    <mergeCell ref="GCJ24:GCL24"/>
    <mergeCell ref="GBC24:GBE24"/>
    <mergeCell ref="GBF24:GBH24"/>
    <mergeCell ref="GBI24:GBK24"/>
    <mergeCell ref="GBL24:GBN24"/>
    <mergeCell ref="GBO24:GBQ24"/>
    <mergeCell ref="GBR24:GBT24"/>
    <mergeCell ref="GEO24:GEQ24"/>
    <mergeCell ref="GER24:GET24"/>
    <mergeCell ref="GEU24:GEW24"/>
    <mergeCell ref="GEX24:GEZ24"/>
    <mergeCell ref="GFA24:GFC24"/>
    <mergeCell ref="GFD24:GFF24"/>
    <mergeCell ref="GDW24:GDY24"/>
    <mergeCell ref="GDZ24:GEB24"/>
    <mergeCell ref="GEC24:GEE24"/>
    <mergeCell ref="GEF24:GEH24"/>
    <mergeCell ref="GEI24:GEK24"/>
    <mergeCell ref="GEL24:GEN24"/>
    <mergeCell ref="GDE24:GDG24"/>
    <mergeCell ref="GDH24:GDJ24"/>
    <mergeCell ref="GDK24:GDM24"/>
    <mergeCell ref="GDN24:GDP24"/>
    <mergeCell ref="GDQ24:GDS24"/>
    <mergeCell ref="GDT24:GDV24"/>
    <mergeCell ref="GGQ24:GGS24"/>
    <mergeCell ref="GGT24:GGV24"/>
    <mergeCell ref="GGW24:GGY24"/>
    <mergeCell ref="GGZ24:GHB24"/>
    <mergeCell ref="GHC24:GHE24"/>
    <mergeCell ref="GHF24:GHH24"/>
    <mergeCell ref="GFY24:GGA24"/>
    <mergeCell ref="GGB24:GGD24"/>
    <mergeCell ref="GGE24:GGG24"/>
    <mergeCell ref="GGH24:GGJ24"/>
    <mergeCell ref="GGK24:GGM24"/>
    <mergeCell ref="GGN24:GGP24"/>
    <mergeCell ref="GFG24:GFI24"/>
    <mergeCell ref="GFJ24:GFL24"/>
    <mergeCell ref="GFM24:GFO24"/>
    <mergeCell ref="GFP24:GFR24"/>
    <mergeCell ref="GFS24:GFU24"/>
    <mergeCell ref="GFV24:GFX24"/>
    <mergeCell ref="GIS24:GIU24"/>
    <mergeCell ref="GIV24:GIX24"/>
    <mergeCell ref="GIY24:GJA24"/>
    <mergeCell ref="GJB24:GJD24"/>
    <mergeCell ref="GJE24:GJG24"/>
    <mergeCell ref="GJH24:GJJ24"/>
    <mergeCell ref="GIA24:GIC24"/>
    <mergeCell ref="GID24:GIF24"/>
    <mergeCell ref="GIG24:GII24"/>
    <mergeCell ref="GIJ24:GIL24"/>
    <mergeCell ref="GIM24:GIO24"/>
    <mergeCell ref="GIP24:GIR24"/>
    <mergeCell ref="GHI24:GHK24"/>
    <mergeCell ref="GHL24:GHN24"/>
    <mergeCell ref="GHO24:GHQ24"/>
    <mergeCell ref="GHR24:GHT24"/>
    <mergeCell ref="GHU24:GHW24"/>
    <mergeCell ref="GHX24:GHZ24"/>
    <mergeCell ref="GKU24:GKW24"/>
    <mergeCell ref="GKX24:GKZ24"/>
    <mergeCell ref="GLA24:GLC24"/>
    <mergeCell ref="GLD24:GLF24"/>
    <mergeCell ref="GLG24:GLI24"/>
    <mergeCell ref="GLJ24:GLL24"/>
    <mergeCell ref="GKC24:GKE24"/>
    <mergeCell ref="GKF24:GKH24"/>
    <mergeCell ref="GKI24:GKK24"/>
    <mergeCell ref="GKL24:GKN24"/>
    <mergeCell ref="GKO24:GKQ24"/>
    <mergeCell ref="GKR24:GKT24"/>
    <mergeCell ref="GJK24:GJM24"/>
    <mergeCell ref="GJN24:GJP24"/>
    <mergeCell ref="GJQ24:GJS24"/>
    <mergeCell ref="GJT24:GJV24"/>
    <mergeCell ref="GJW24:GJY24"/>
    <mergeCell ref="GJZ24:GKB24"/>
    <mergeCell ref="GMW24:GMY24"/>
    <mergeCell ref="GMZ24:GNB24"/>
    <mergeCell ref="GNC24:GNE24"/>
    <mergeCell ref="GNF24:GNH24"/>
    <mergeCell ref="GNI24:GNK24"/>
    <mergeCell ref="GNL24:GNN24"/>
    <mergeCell ref="GME24:GMG24"/>
    <mergeCell ref="GMH24:GMJ24"/>
    <mergeCell ref="GMK24:GMM24"/>
    <mergeCell ref="GMN24:GMP24"/>
    <mergeCell ref="GMQ24:GMS24"/>
    <mergeCell ref="GMT24:GMV24"/>
    <mergeCell ref="GLM24:GLO24"/>
    <mergeCell ref="GLP24:GLR24"/>
    <mergeCell ref="GLS24:GLU24"/>
    <mergeCell ref="GLV24:GLX24"/>
    <mergeCell ref="GLY24:GMA24"/>
    <mergeCell ref="GMB24:GMD24"/>
    <mergeCell ref="GOY24:GPA24"/>
    <mergeCell ref="GPB24:GPD24"/>
    <mergeCell ref="GPE24:GPG24"/>
    <mergeCell ref="GPH24:GPJ24"/>
    <mergeCell ref="GPK24:GPM24"/>
    <mergeCell ref="GPN24:GPP24"/>
    <mergeCell ref="GOG24:GOI24"/>
    <mergeCell ref="GOJ24:GOL24"/>
    <mergeCell ref="GOM24:GOO24"/>
    <mergeCell ref="GOP24:GOR24"/>
    <mergeCell ref="GOS24:GOU24"/>
    <mergeCell ref="GOV24:GOX24"/>
    <mergeCell ref="GNO24:GNQ24"/>
    <mergeCell ref="GNR24:GNT24"/>
    <mergeCell ref="GNU24:GNW24"/>
    <mergeCell ref="GNX24:GNZ24"/>
    <mergeCell ref="GOA24:GOC24"/>
    <mergeCell ref="GOD24:GOF24"/>
    <mergeCell ref="GRA24:GRC24"/>
    <mergeCell ref="GRD24:GRF24"/>
    <mergeCell ref="GRG24:GRI24"/>
    <mergeCell ref="GRJ24:GRL24"/>
    <mergeCell ref="GRM24:GRO24"/>
    <mergeCell ref="GRP24:GRR24"/>
    <mergeCell ref="GQI24:GQK24"/>
    <mergeCell ref="GQL24:GQN24"/>
    <mergeCell ref="GQO24:GQQ24"/>
    <mergeCell ref="GQR24:GQT24"/>
    <mergeCell ref="GQU24:GQW24"/>
    <mergeCell ref="GQX24:GQZ24"/>
    <mergeCell ref="GPQ24:GPS24"/>
    <mergeCell ref="GPT24:GPV24"/>
    <mergeCell ref="GPW24:GPY24"/>
    <mergeCell ref="GPZ24:GQB24"/>
    <mergeCell ref="GQC24:GQE24"/>
    <mergeCell ref="GQF24:GQH24"/>
    <mergeCell ref="GTC24:GTE24"/>
    <mergeCell ref="GTF24:GTH24"/>
    <mergeCell ref="GTI24:GTK24"/>
    <mergeCell ref="GTL24:GTN24"/>
    <mergeCell ref="GTO24:GTQ24"/>
    <mergeCell ref="GTR24:GTT24"/>
    <mergeCell ref="GSK24:GSM24"/>
    <mergeCell ref="GSN24:GSP24"/>
    <mergeCell ref="GSQ24:GSS24"/>
    <mergeCell ref="GST24:GSV24"/>
    <mergeCell ref="GSW24:GSY24"/>
    <mergeCell ref="GSZ24:GTB24"/>
    <mergeCell ref="GRS24:GRU24"/>
    <mergeCell ref="GRV24:GRX24"/>
    <mergeCell ref="GRY24:GSA24"/>
    <mergeCell ref="GSB24:GSD24"/>
    <mergeCell ref="GSE24:GSG24"/>
    <mergeCell ref="GSH24:GSJ24"/>
    <mergeCell ref="GVE24:GVG24"/>
    <mergeCell ref="GVH24:GVJ24"/>
    <mergeCell ref="GVK24:GVM24"/>
    <mergeCell ref="GVN24:GVP24"/>
    <mergeCell ref="GVQ24:GVS24"/>
    <mergeCell ref="GVT24:GVV24"/>
    <mergeCell ref="GUM24:GUO24"/>
    <mergeCell ref="GUP24:GUR24"/>
    <mergeCell ref="GUS24:GUU24"/>
    <mergeCell ref="GUV24:GUX24"/>
    <mergeCell ref="GUY24:GVA24"/>
    <mergeCell ref="GVB24:GVD24"/>
    <mergeCell ref="GTU24:GTW24"/>
    <mergeCell ref="GTX24:GTZ24"/>
    <mergeCell ref="GUA24:GUC24"/>
    <mergeCell ref="GUD24:GUF24"/>
    <mergeCell ref="GUG24:GUI24"/>
    <mergeCell ref="GUJ24:GUL24"/>
    <mergeCell ref="GXG24:GXI24"/>
    <mergeCell ref="GXJ24:GXL24"/>
    <mergeCell ref="GXM24:GXO24"/>
    <mergeCell ref="GXP24:GXR24"/>
    <mergeCell ref="GXS24:GXU24"/>
    <mergeCell ref="GXV24:GXX24"/>
    <mergeCell ref="GWO24:GWQ24"/>
    <mergeCell ref="GWR24:GWT24"/>
    <mergeCell ref="GWU24:GWW24"/>
    <mergeCell ref="GWX24:GWZ24"/>
    <mergeCell ref="GXA24:GXC24"/>
    <mergeCell ref="GXD24:GXF24"/>
    <mergeCell ref="GVW24:GVY24"/>
    <mergeCell ref="GVZ24:GWB24"/>
    <mergeCell ref="GWC24:GWE24"/>
    <mergeCell ref="GWF24:GWH24"/>
    <mergeCell ref="GWI24:GWK24"/>
    <mergeCell ref="GWL24:GWN24"/>
    <mergeCell ref="GZI24:GZK24"/>
    <mergeCell ref="GZL24:GZN24"/>
    <mergeCell ref="GZO24:GZQ24"/>
    <mergeCell ref="GZR24:GZT24"/>
    <mergeCell ref="GZU24:GZW24"/>
    <mergeCell ref="GZX24:GZZ24"/>
    <mergeCell ref="GYQ24:GYS24"/>
    <mergeCell ref="GYT24:GYV24"/>
    <mergeCell ref="GYW24:GYY24"/>
    <mergeCell ref="GYZ24:GZB24"/>
    <mergeCell ref="GZC24:GZE24"/>
    <mergeCell ref="GZF24:GZH24"/>
    <mergeCell ref="GXY24:GYA24"/>
    <mergeCell ref="GYB24:GYD24"/>
    <mergeCell ref="GYE24:GYG24"/>
    <mergeCell ref="GYH24:GYJ24"/>
    <mergeCell ref="GYK24:GYM24"/>
    <mergeCell ref="GYN24:GYP24"/>
    <mergeCell ref="HBK24:HBM24"/>
    <mergeCell ref="HBN24:HBP24"/>
    <mergeCell ref="HBQ24:HBS24"/>
    <mergeCell ref="HBT24:HBV24"/>
    <mergeCell ref="HBW24:HBY24"/>
    <mergeCell ref="HBZ24:HCB24"/>
    <mergeCell ref="HAS24:HAU24"/>
    <mergeCell ref="HAV24:HAX24"/>
    <mergeCell ref="HAY24:HBA24"/>
    <mergeCell ref="HBB24:HBD24"/>
    <mergeCell ref="HBE24:HBG24"/>
    <mergeCell ref="HBH24:HBJ24"/>
    <mergeCell ref="HAA24:HAC24"/>
    <mergeCell ref="HAD24:HAF24"/>
    <mergeCell ref="HAG24:HAI24"/>
    <mergeCell ref="HAJ24:HAL24"/>
    <mergeCell ref="HAM24:HAO24"/>
    <mergeCell ref="HAP24:HAR24"/>
    <mergeCell ref="HDM24:HDO24"/>
    <mergeCell ref="HDP24:HDR24"/>
    <mergeCell ref="HDS24:HDU24"/>
    <mergeCell ref="HDV24:HDX24"/>
    <mergeCell ref="HDY24:HEA24"/>
    <mergeCell ref="HEB24:HED24"/>
    <mergeCell ref="HCU24:HCW24"/>
    <mergeCell ref="HCX24:HCZ24"/>
    <mergeCell ref="HDA24:HDC24"/>
    <mergeCell ref="HDD24:HDF24"/>
    <mergeCell ref="HDG24:HDI24"/>
    <mergeCell ref="HDJ24:HDL24"/>
    <mergeCell ref="HCC24:HCE24"/>
    <mergeCell ref="HCF24:HCH24"/>
    <mergeCell ref="HCI24:HCK24"/>
    <mergeCell ref="HCL24:HCN24"/>
    <mergeCell ref="HCO24:HCQ24"/>
    <mergeCell ref="HCR24:HCT24"/>
    <mergeCell ref="HFO24:HFQ24"/>
    <mergeCell ref="HFR24:HFT24"/>
    <mergeCell ref="HFU24:HFW24"/>
    <mergeCell ref="HFX24:HFZ24"/>
    <mergeCell ref="HGA24:HGC24"/>
    <mergeCell ref="HGD24:HGF24"/>
    <mergeCell ref="HEW24:HEY24"/>
    <mergeCell ref="HEZ24:HFB24"/>
    <mergeCell ref="HFC24:HFE24"/>
    <mergeCell ref="HFF24:HFH24"/>
    <mergeCell ref="HFI24:HFK24"/>
    <mergeCell ref="HFL24:HFN24"/>
    <mergeCell ref="HEE24:HEG24"/>
    <mergeCell ref="HEH24:HEJ24"/>
    <mergeCell ref="HEK24:HEM24"/>
    <mergeCell ref="HEN24:HEP24"/>
    <mergeCell ref="HEQ24:HES24"/>
    <mergeCell ref="HET24:HEV24"/>
    <mergeCell ref="HHQ24:HHS24"/>
    <mergeCell ref="HHT24:HHV24"/>
    <mergeCell ref="HHW24:HHY24"/>
    <mergeCell ref="HHZ24:HIB24"/>
    <mergeCell ref="HIC24:HIE24"/>
    <mergeCell ref="HIF24:HIH24"/>
    <mergeCell ref="HGY24:HHA24"/>
    <mergeCell ref="HHB24:HHD24"/>
    <mergeCell ref="HHE24:HHG24"/>
    <mergeCell ref="HHH24:HHJ24"/>
    <mergeCell ref="HHK24:HHM24"/>
    <mergeCell ref="HHN24:HHP24"/>
    <mergeCell ref="HGG24:HGI24"/>
    <mergeCell ref="HGJ24:HGL24"/>
    <mergeCell ref="HGM24:HGO24"/>
    <mergeCell ref="HGP24:HGR24"/>
    <mergeCell ref="HGS24:HGU24"/>
    <mergeCell ref="HGV24:HGX24"/>
    <mergeCell ref="HJS24:HJU24"/>
    <mergeCell ref="HJV24:HJX24"/>
    <mergeCell ref="HJY24:HKA24"/>
    <mergeCell ref="HKB24:HKD24"/>
    <mergeCell ref="HKE24:HKG24"/>
    <mergeCell ref="HKH24:HKJ24"/>
    <mergeCell ref="HJA24:HJC24"/>
    <mergeCell ref="HJD24:HJF24"/>
    <mergeCell ref="HJG24:HJI24"/>
    <mergeCell ref="HJJ24:HJL24"/>
    <mergeCell ref="HJM24:HJO24"/>
    <mergeCell ref="HJP24:HJR24"/>
    <mergeCell ref="HII24:HIK24"/>
    <mergeCell ref="HIL24:HIN24"/>
    <mergeCell ref="HIO24:HIQ24"/>
    <mergeCell ref="HIR24:HIT24"/>
    <mergeCell ref="HIU24:HIW24"/>
    <mergeCell ref="HIX24:HIZ24"/>
    <mergeCell ref="HLU24:HLW24"/>
    <mergeCell ref="HLX24:HLZ24"/>
    <mergeCell ref="HMA24:HMC24"/>
    <mergeCell ref="HMD24:HMF24"/>
    <mergeCell ref="HMG24:HMI24"/>
    <mergeCell ref="HMJ24:HML24"/>
    <mergeCell ref="HLC24:HLE24"/>
    <mergeCell ref="HLF24:HLH24"/>
    <mergeCell ref="HLI24:HLK24"/>
    <mergeCell ref="HLL24:HLN24"/>
    <mergeCell ref="HLO24:HLQ24"/>
    <mergeCell ref="HLR24:HLT24"/>
    <mergeCell ref="HKK24:HKM24"/>
    <mergeCell ref="HKN24:HKP24"/>
    <mergeCell ref="HKQ24:HKS24"/>
    <mergeCell ref="HKT24:HKV24"/>
    <mergeCell ref="HKW24:HKY24"/>
    <mergeCell ref="HKZ24:HLB24"/>
    <mergeCell ref="HNW24:HNY24"/>
    <mergeCell ref="HNZ24:HOB24"/>
    <mergeCell ref="HOC24:HOE24"/>
    <mergeCell ref="HOF24:HOH24"/>
    <mergeCell ref="HOI24:HOK24"/>
    <mergeCell ref="HOL24:HON24"/>
    <mergeCell ref="HNE24:HNG24"/>
    <mergeCell ref="HNH24:HNJ24"/>
    <mergeCell ref="HNK24:HNM24"/>
    <mergeCell ref="HNN24:HNP24"/>
    <mergeCell ref="HNQ24:HNS24"/>
    <mergeCell ref="HNT24:HNV24"/>
    <mergeCell ref="HMM24:HMO24"/>
    <mergeCell ref="HMP24:HMR24"/>
    <mergeCell ref="HMS24:HMU24"/>
    <mergeCell ref="HMV24:HMX24"/>
    <mergeCell ref="HMY24:HNA24"/>
    <mergeCell ref="HNB24:HND24"/>
    <mergeCell ref="HPY24:HQA24"/>
    <mergeCell ref="HQB24:HQD24"/>
    <mergeCell ref="HQE24:HQG24"/>
    <mergeCell ref="HQH24:HQJ24"/>
    <mergeCell ref="HQK24:HQM24"/>
    <mergeCell ref="HQN24:HQP24"/>
    <mergeCell ref="HPG24:HPI24"/>
    <mergeCell ref="HPJ24:HPL24"/>
    <mergeCell ref="HPM24:HPO24"/>
    <mergeCell ref="HPP24:HPR24"/>
    <mergeCell ref="HPS24:HPU24"/>
    <mergeCell ref="HPV24:HPX24"/>
    <mergeCell ref="HOO24:HOQ24"/>
    <mergeCell ref="HOR24:HOT24"/>
    <mergeCell ref="HOU24:HOW24"/>
    <mergeCell ref="HOX24:HOZ24"/>
    <mergeCell ref="HPA24:HPC24"/>
    <mergeCell ref="HPD24:HPF24"/>
    <mergeCell ref="HSA24:HSC24"/>
    <mergeCell ref="HSD24:HSF24"/>
    <mergeCell ref="HSG24:HSI24"/>
    <mergeCell ref="HSJ24:HSL24"/>
    <mergeCell ref="HSM24:HSO24"/>
    <mergeCell ref="HSP24:HSR24"/>
    <mergeCell ref="HRI24:HRK24"/>
    <mergeCell ref="HRL24:HRN24"/>
    <mergeCell ref="HRO24:HRQ24"/>
    <mergeCell ref="HRR24:HRT24"/>
    <mergeCell ref="HRU24:HRW24"/>
    <mergeCell ref="HRX24:HRZ24"/>
    <mergeCell ref="HQQ24:HQS24"/>
    <mergeCell ref="HQT24:HQV24"/>
    <mergeCell ref="HQW24:HQY24"/>
    <mergeCell ref="HQZ24:HRB24"/>
    <mergeCell ref="HRC24:HRE24"/>
    <mergeCell ref="HRF24:HRH24"/>
    <mergeCell ref="HUC24:HUE24"/>
    <mergeCell ref="HUF24:HUH24"/>
    <mergeCell ref="HUI24:HUK24"/>
    <mergeCell ref="HUL24:HUN24"/>
    <mergeCell ref="HUO24:HUQ24"/>
    <mergeCell ref="HUR24:HUT24"/>
    <mergeCell ref="HTK24:HTM24"/>
    <mergeCell ref="HTN24:HTP24"/>
    <mergeCell ref="HTQ24:HTS24"/>
    <mergeCell ref="HTT24:HTV24"/>
    <mergeCell ref="HTW24:HTY24"/>
    <mergeCell ref="HTZ24:HUB24"/>
    <mergeCell ref="HSS24:HSU24"/>
    <mergeCell ref="HSV24:HSX24"/>
    <mergeCell ref="HSY24:HTA24"/>
    <mergeCell ref="HTB24:HTD24"/>
    <mergeCell ref="HTE24:HTG24"/>
    <mergeCell ref="HTH24:HTJ24"/>
    <mergeCell ref="HWE24:HWG24"/>
    <mergeCell ref="HWH24:HWJ24"/>
    <mergeCell ref="HWK24:HWM24"/>
    <mergeCell ref="HWN24:HWP24"/>
    <mergeCell ref="HWQ24:HWS24"/>
    <mergeCell ref="HWT24:HWV24"/>
    <mergeCell ref="HVM24:HVO24"/>
    <mergeCell ref="HVP24:HVR24"/>
    <mergeCell ref="HVS24:HVU24"/>
    <mergeCell ref="HVV24:HVX24"/>
    <mergeCell ref="HVY24:HWA24"/>
    <mergeCell ref="HWB24:HWD24"/>
    <mergeCell ref="HUU24:HUW24"/>
    <mergeCell ref="HUX24:HUZ24"/>
    <mergeCell ref="HVA24:HVC24"/>
    <mergeCell ref="HVD24:HVF24"/>
    <mergeCell ref="HVG24:HVI24"/>
    <mergeCell ref="HVJ24:HVL24"/>
    <mergeCell ref="HYG24:HYI24"/>
    <mergeCell ref="HYJ24:HYL24"/>
    <mergeCell ref="HYM24:HYO24"/>
    <mergeCell ref="HYP24:HYR24"/>
    <mergeCell ref="HYS24:HYU24"/>
    <mergeCell ref="HYV24:HYX24"/>
    <mergeCell ref="HXO24:HXQ24"/>
    <mergeCell ref="HXR24:HXT24"/>
    <mergeCell ref="HXU24:HXW24"/>
    <mergeCell ref="HXX24:HXZ24"/>
    <mergeCell ref="HYA24:HYC24"/>
    <mergeCell ref="HYD24:HYF24"/>
    <mergeCell ref="HWW24:HWY24"/>
    <mergeCell ref="HWZ24:HXB24"/>
    <mergeCell ref="HXC24:HXE24"/>
    <mergeCell ref="HXF24:HXH24"/>
    <mergeCell ref="HXI24:HXK24"/>
    <mergeCell ref="HXL24:HXN24"/>
    <mergeCell ref="IAI24:IAK24"/>
    <mergeCell ref="IAL24:IAN24"/>
    <mergeCell ref="IAO24:IAQ24"/>
    <mergeCell ref="IAR24:IAT24"/>
    <mergeCell ref="IAU24:IAW24"/>
    <mergeCell ref="IAX24:IAZ24"/>
    <mergeCell ref="HZQ24:HZS24"/>
    <mergeCell ref="HZT24:HZV24"/>
    <mergeCell ref="HZW24:HZY24"/>
    <mergeCell ref="HZZ24:IAB24"/>
    <mergeCell ref="IAC24:IAE24"/>
    <mergeCell ref="IAF24:IAH24"/>
    <mergeCell ref="HYY24:HZA24"/>
    <mergeCell ref="HZB24:HZD24"/>
    <mergeCell ref="HZE24:HZG24"/>
    <mergeCell ref="HZH24:HZJ24"/>
    <mergeCell ref="HZK24:HZM24"/>
    <mergeCell ref="HZN24:HZP24"/>
    <mergeCell ref="ICK24:ICM24"/>
    <mergeCell ref="ICN24:ICP24"/>
    <mergeCell ref="ICQ24:ICS24"/>
    <mergeCell ref="ICT24:ICV24"/>
    <mergeCell ref="ICW24:ICY24"/>
    <mergeCell ref="ICZ24:IDB24"/>
    <mergeCell ref="IBS24:IBU24"/>
    <mergeCell ref="IBV24:IBX24"/>
    <mergeCell ref="IBY24:ICA24"/>
    <mergeCell ref="ICB24:ICD24"/>
    <mergeCell ref="ICE24:ICG24"/>
    <mergeCell ref="ICH24:ICJ24"/>
    <mergeCell ref="IBA24:IBC24"/>
    <mergeCell ref="IBD24:IBF24"/>
    <mergeCell ref="IBG24:IBI24"/>
    <mergeCell ref="IBJ24:IBL24"/>
    <mergeCell ref="IBM24:IBO24"/>
    <mergeCell ref="IBP24:IBR24"/>
    <mergeCell ref="IEM24:IEO24"/>
    <mergeCell ref="IEP24:IER24"/>
    <mergeCell ref="IES24:IEU24"/>
    <mergeCell ref="IEV24:IEX24"/>
    <mergeCell ref="IEY24:IFA24"/>
    <mergeCell ref="IFB24:IFD24"/>
    <mergeCell ref="IDU24:IDW24"/>
    <mergeCell ref="IDX24:IDZ24"/>
    <mergeCell ref="IEA24:IEC24"/>
    <mergeCell ref="IED24:IEF24"/>
    <mergeCell ref="IEG24:IEI24"/>
    <mergeCell ref="IEJ24:IEL24"/>
    <mergeCell ref="IDC24:IDE24"/>
    <mergeCell ref="IDF24:IDH24"/>
    <mergeCell ref="IDI24:IDK24"/>
    <mergeCell ref="IDL24:IDN24"/>
    <mergeCell ref="IDO24:IDQ24"/>
    <mergeCell ref="IDR24:IDT24"/>
    <mergeCell ref="IGO24:IGQ24"/>
    <mergeCell ref="IGR24:IGT24"/>
    <mergeCell ref="IGU24:IGW24"/>
    <mergeCell ref="IGX24:IGZ24"/>
    <mergeCell ref="IHA24:IHC24"/>
    <mergeCell ref="IHD24:IHF24"/>
    <mergeCell ref="IFW24:IFY24"/>
    <mergeCell ref="IFZ24:IGB24"/>
    <mergeCell ref="IGC24:IGE24"/>
    <mergeCell ref="IGF24:IGH24"/>
    <mergeCell ref="IGI24:IGK24"/>
    <mergeCell ref="IGL24:IGN24"/>
    <mergeCell ref="IFE24:IFG24"/>
    <mergeCell ref="IFH24:IFJ24"/>
    <mergeCell ref="IFK24:IFM24"/>
    <mergeCell ref="IFN24:IFP24"/>
    <mergeCell ref="IFQ24:IFS24"/>
    <mergeCell ref="IFT24:IFV24"/>
    <mergeCell ref="IIQ24:IIS24"/>
    <mergeCell ref="IIT24:IIV24"/>
    <mergeCell ref="IIW24:IIY24"/>
    <mergeCell ref="IIZ24:IJB24"/>
    <mergeCell ref="IJC24:IJE24"/>
    <mergeCell ref="IJF24:IJH24"/>
    <mergeCell ref="IHY24:IIA24"/>
    <mergeCell ref="IIB24:IID24"/>
    <mergeCell ref="IIE24:IIG24"/>
    <mergeCell ref="IIH24:IIJ24"/>
    <mergeCell ref="IIK24:IIM24"/>
    <mergeCell ref="IIN24:IIP24"/>
    <mergeCell ref="IHG24:IHI24"/>
    <mergeCell ref="IHJ24:IHL24"/>
    <mergeCell ref="IHM24:IHO24"/>
    <mergeCell ref="IHP24:IHR24"/>
    <mergeCell ref="IHS24:IHU24"/>
    <mergeCell ref="IHV24:IHX24"/>
    <mergeCell ref="IKS24:IKU24"/>
    <mergeCell ref="IKV24:IKX24"/>
    <mergeCell ref="IKY24:ILA24"/>
    <mergeCell ref="ILB24:ILD24"/>
    <mergeCell ref="ILE24:ILG24"/>
    <mergeCell ref="ILH24:ILJ24"/>
    <mergeCell ref="IKA24:IKC24"/>
    <mergeCell ref="IKD24:IKF24"/>
    <mergeCell ref="IKG24:IKI24"/>
    <mergeCell ref="IKJ24:IKL24"/>
    <mergeCell ref="IKM24:IKO24"/>
    <mergeCell ref="IKP24:IKR24"/>
    <mergeCell ref="IJI24:IJK24"/>
    <mergeCell ref="IJL24:IJN24"/>
    <mergeCell ref="IJO24:IJQ24"/>
    <mergeCell ref="IJR24:IJT24"/>
    <mergeCell ref="IJU24:IJW24"/>
    <mergeCell ref="IJX24:IJZ24"/>
    <mergeCell ref="IMU24:IMW24"/>
    <mergeCell ref="IMX24:IMZ24"/>
    <mergeCell ref="INA24:INC24"/>
    <mergeCell ref="IND24:INF24"/>
    <mergeCell ref="ING24:INI24"/>
    <mergeCell ref="INJ24:INL24"/>
    <mergeCell ref="IMC24:IME24"/>
    <mergeCell ref="IMF24:IMH24"/>
    <mergeCell ref="IMI24:IMK24"/>
    <mergeCell ref="IML24:IMN24"/>
    <mergeCell ref="IMO24:IMQ24"/>
    <mergeCell ref="IMR24:IMT24"/>
    <mergeCell ref="ILK24:ILM24"/>
    <mergeCell ref="ILN24:ILP24"/>
    <mergeCell ref="ILQ24:ILS24"/>
    <mergeCell ref="ILT24:ILV24"/>
    <mergeCell ref="ILW24:ILY24"/>
    <mergeCell ref="ILZ24:IMB24"/>
    <mergeCell ref="IOW24:IOY24"/>
    <mergeCell ref="IOZ24:IPB24"/>
    <mergeCell ref="IPC24:IPE24"/>
    <mergeCell ref="IPF24:IPH24"/>
    <mergeCell ref="IPI24:IPK24"/>
    <mergeCell ref="IPL24:IPN24"/>
    <mergeCell ref="IOE24:IOG24"/>
    <mergeCell ref="IOH24:IOJ24"/>
    <mergeCell ref="IOK24:IOM24"/>
    <mergeCell ref="ION24:IOP24"/>
    <mergeCell ref="IOQ24:IOS24"/>
    <mergeCell ref="IOT24:IOV24"/>
    <mergeCell ref="INM24:INO24"/>
    <mergeCell ref="INP24:INR24"/>
    <mergeCell ref="INS24:INU24"/>
    <mergeCell ref="INV24:INX24"/>
    <mergeCell ref="INY24:IOA24"/>
    <mergeCell ref="IOB24:IOD24"/>
    <mergeCell ref="IQY24:IRA24"/>
    <mergeCell ref="IRB24:IRD24"/>
    <mergeCell ref="IRE24:IRG24"/>
    <mergeCell ref="IRH24:IRJ24"/>
    <mergeCell ref="IRK24:IRM24"/>
    <mergeCell ref="IRN24:IRP24"/>
    <mergeCell ref="IQG24:IQI24"/>
    <mergeCell ref="IQJ24:IQL24"/>
    <mergeCell ref="IQM24:IQO24"/>
    <mergeCell ref="IQP24:IQR24"/>
    <mergeCell ref="IQS24:IQU24"/>
    <mergeCell ref="IQV24:IQX24"/>
    <mergeCell ref="IPO24:IPQ24"/>
    <mergeCell ref="IPR24:IPT24"/>
    <mergeCell ref="IPU24:IPW24"/>
    <mergeCell ref="IPX24:IPZ24"/>
    <mergeCell ref="IQA24:IQC24"/>
    <mergeCell ref="IQD24:IQF24"/>
    <mergeCell ref="ITA24:ITC24"/>
    <mergeCell ref="ITD24:ITF24"/>
    <mergeCell ref="ITG24:ITI24"/>
    <mergeCell ref="ITJ24:ITL24"/>
    <mergeCell ref="ITM24:ITO24"/>
    <mergeCell ref="ITP24:ITR24"/>
    <mergeCell ref="ISI24:ISK24"/>
    <mergeCell ref="ISL24:ISN24"/>
    <mergeCell ref="ISO24:ISQ24"/>
    <mergeCell ref="ISR24:IST24"/>
    <mergeCell ref="ISU24:ISW24"/>
    <mergeCell ref="ISX24:ISZ24"/>
    <mergeCell ref="IRQ24:IRS24"/>
    <mergeCell ref="IRT24:IRV24"/>
    <mergeCell ref="IRW24:IRY24"/>
    <mergeCell ref="IRZ24:ISB24"/>
    <mergeCell ref="ISC24:ISE24"/>
    <mergeCell ref="ISF24:ISH24"/>
    <mergeCell ref="IVC24:IVE24"/>
    <mergeCell ref="IVF24:IVH24"/>
    <mergeCell ref="IVI24:IVK24"/>
    <mergeCell ref="IVL24:IVN24"/>
    <mergeCell ref="IVO24:IVQ24"/>
    <mergeCell ref="IVR24:IVT24"/>
    <mergeCell ref="IUK24:IUM24"/>
    <mergeCell ref="IUN24:IUP24"/>
    <mergeCell ref="IUQ24:IUS24"/>
    <mergeCell ref="IUT24:IUV24"/>
    <mergeCell ref="IUW24:IUY24"/>
    <mergeCell ref="IUZ24:IVB24"/>
    <mergeCell ref="ITS24:ITU24"/>
    <mergeCell ref="ITV24:ITX24"/>
    <mergeCell ref="ITY24:IUA24"/>
    <mergeCell ref="IUB24:IUD24"/>
    <mergeCell ref="IUE24:IUG24"/>
    <mergeCell ref="IUH24:IUJ24"/>
    <mergeCell ref="IXE24:IXG24"/>
    <mergeCell ref="IXH24:IXJ24"/>
    <mergeCell ref="IXK24:IXM24"/>
    <mergeCell ref="IXN24:IXP24"/>
    <mergeCell ref="IXQ24:IXS24"/>
    <mergeCell ref="IXT24:IXV24"/>
    <mergeCell ref="IWM24:IWO24"/>
    <mergeCell ref="IWP24:IWR24"/>
    <mergeCell ref="IWS24:IWU24"/>
    <mergeCell ref="IWV24:IWX24"/>
    <mergeCell ref="IWY24:IXA24"/>
    <mergeCell ref="IXB24:IXD24"/>
    <mergeCell ref="IVU24:IVW24"/>
    <mergeCell ref="IVX24:IVZ24"/>
    <mergeCell ref="IWA24:IWC24"/>
    <mergeCell ref="IWD24:IWF24"/>
    <mergeCell ref="IWG24:IWI24"/>
    <mergeCell ref="IWJ24:IWL24"/>
    <mergeCell ref="IZG24:IZI24"/>
    <mergeCell ref="IZJ24:IZL24"/>
    <mergeCell ref="IZM24:IZO24"/>
    <mergeCell ref="IZP24:IZR24"/>
    <mergeCell ref="IZS24:IZU24"/>
    <mergeCell ref="IZV24:IZX24"/>
    <mergeCell ref="IYO24:IYQ24"/>
    <mergeCell ref="IYR24:IYT24"/>
    <mergeCell ref="IYU24:IYW24"/>
    <mergeCell ref="IYX24:IYZ24"/>
    <mergeCell ref="IZA24:IZC24"/>
    <mergeCell ref="IZD24:IZF24"/>
    <mergeCell ref="IXW24:IXY24"/>
    <mergeCell ref="IXZ24:IYB24"/>
    <mergeCell ref="IYC24:IYE24"/>
    <mergeCell ref="IYF24:IYH24"/>
    <mergeCell ref="IYI24:IYK24"/>
    <mergeCell ref="IYL24:IYN24"/>
    <mergeCell ref="JBI24:JBK24"/>
    <mergeCell ref="JBL24:JBN24"/>
    <mergeCell ref="JBO24:JBQ24"/>
    <mergeCell ref="JBR24:JBT24"/>
    <mergeCell ref="JBU24:JBW24"/>
    <mergeCell ref="JBX24:JBZ24"/>
    <mergeCell ref="JAQ24:JAS24"/>
    <mergeCell ref="JAT24:JAV24"/>
    <mergeCell ref="JAW24:JAY24"/>
    <mergeCell ref="JAZ24:JBB24"/>
    <mergeCell ref="JBC24:JBE24"/>
    <mergeCell ref="JBF24:JBH24"/>
    <mergeCell ref="IZY24:JAA24"/>
    <mergeCell ref="JAB24:JAD24"/>
    <mergeCell ref="JAE24:JAG24"/>
    <mergeCell ref="JAH24:JAJ24"/>
    <mergeCell ref="JAK24:JAM24"/>
    <mergeCell ref="JAN24:JAP24"/>
    <mergeCell ref="JDK24:JDM24"/>
    <mergeCell ref="JDN24:JDP24"/>
    <mergeCell ref="JDQ24:JDS24"/>
    <mergeCell ref="JDT24:JDV24"/>
    <mergeCell ref="JDW24:JDY24"/>
    <mergeCell ref="JDZ24:JEB24"/>
    <mergeCell ref="JCS24:JCU24"/>
    <mergeCell ref="JCV24:JCX24"/>
    <mergeCell ref="JCY24:JDA24"/>
    <mergeCell ref="JDB24:JDD24"/>
    <mergeCell ref="JDE24:JDG24"/>
    <mergeCell ref="JDH24:JDJ24"/>
    <mergeCell ref="JCA24:JCC24"/>
    <mergeCell ref="JCD24:JCF24"/>
    <mergeCell ref="JCG24:JCI24"/>
    <mergeCell ref="JCJ24:JCL24"/>
    <mergeCell ref="JCM24:JCO24"/>
    <mergeCell ref="JCP24:JCR24"/>
    <mergeCell ref="JFM24:JFO24"/>
    <mergeCell ref="JFP24:JFR24"/>
    <mergeCell ref="JFS24:JFU24"/>
    <mergeCell ref="JFV24:JFX24"/>
    <mergeCell ref="JFY24:JGA24"/>
    <mergeCell ref="JGB24:JGD24"/>
    <mergeCell ref="JEU24:JEW24"/>
    <mergeCell ref="JEX24:JEZ24"/>
    <mergeCell ref="JFA24:JFC24"/>
    <mergeCell ref="JFD24:JFF24"/>
    <mergeCell ref="JFG24:JFI24"/>
    <mergeCell ref="JFJ24:JFL24"/>
    <mergeCell ref="JEC24:JEE24"/>
    <mergeCell ref="JEF24:JEH24"/>
    <mergeCell ref="JEI24:JEK24"/>
    <mergeCell ref="JEL24:JEN24"/>
    <mergeCell ref="JEO24:JEQ24"/>
    <mergeCell ref="JER24:JET24"/>
    <mergeCell ref="JHO24:JHQ24"/>
    <mergeCell ref="JHR24:JHT24"/>
    <mergeCell ref="JHU24:JHW24"/>
    <mergeCell ref="JHX24:JHZ24"/>
    <mergeCell ref="JIA24:JIC24"/>
    <mergeCell ref="JID24:JIF24"/>
    <mergeCell ref="JGW24:JGY24"/>
    <mergeCell ref="JGZ24:JHB24"/>
    <mergeCell ref="JHC24:JHE24"/>
    <mergeCell ref="JHF24:JHH24"/>
    <mergeCell ref="JHI24:JHK24"/>
    <mergeCell ref="JHL24:JHN24"/>
    <mergeCell ref="JGE24:JGG24"/>
    <mergeCell ref="JGH24:JGJ24"/>
    <mergeCell ref="JGK24:JGM24"/>
    <mergeCell ref="JGN24:JGP24"/>
    <mergeCell ref="JGQ24:JGS24"/>
    <mergeCell ref="JGT24:JGV24"/>
    <mergeCell ref="JJQ24:JJS24"/>
    <mergeCell ref="JJT24:JJV24"/>
    <mergeCell ref="JJW24:JJY24"/>
    <mergeCell ref="JJZ24:JKB24"/>
    <mergeCell ref="JKC24:JKE24"/>
    <mergeCell ref="JKF24:JKH24"/>
    <mergeCell ref="JIY24:JJA24"/>
    <mergeCell ref="JJB24:JJD24"/>
    <mergeCell ref="JJE24:JJG24"/>
    <mergeCell ref="JJH24:JJJ24"/>
    <mergeCell ref="JJK24:JJM24"/>
    <mergeCell ref="JJN24:JJP24"/>
    <mergeCell ref="JIG24:JII24"/>
    <mergeCell ref="JIJ24:JIL24"/>
    <mergeCell ref="JIM24:JIO24"/>
    <mergeCell ref="JIP24:JIR24"/>
    <mergeCell ref="JIS24:JIU24"/>
    <mergeCell ref="JIV24:JIX24"/>
    <mergeCell ref="JLS24:JLU24"/>
    <mergeCell ref="JLV24:JLX24"/>
    <mergeCell ref="JLY24:JMA24"/>
    <mergeCell ref="JMB24:JMD24"/>
    <mergeCell ref="JME24:JMG24"/>
    <mergeCell ref="JMH24:JMJ24"/>
    <mergeCell ref="JLA24:JLC24"/>
    <mergeCell ref="JLD24:JLF24"/>
    <mergeCell ref="JLG24:JLI24"/>
    <mergeCell ref="JLJ24:JLL24"/>
    <mergeCell ref="JLM24:JLO24"/>
    <mergeCell ref="JLP24:JLR24"/>
    <mergeCell ref="JKI24:JKK24"/>
    <mergeCell ref="JKL24:JKN24"/>
    <mergeCell ref="JKO24:JKQ24"/>
    <mergeCell ref="JKR24:JKT24"/>
    <mergeCell ref="JKU24:JKW24"/>
    <mergeCell ref="JKX24:JKZ24"/>
    <mergeCell ref="JNU24:JNW24"/>
    <mergeCell ref="JNX24:JNZ24"/>
    <mergeCell ref="JOA24:JOC24"/>
    <mergeCell ref="JOD24:JOF24"/>
    <mergeCell ref="JOG24:JOI24"/>
    <mergeCell ref="JOJ24:JOL24"/>
    <mergeCell ref="JNC24:JNE24"/>
    <mergeCell ref="JNF24:JNH24"/>
    <mergeCell ref="JNI24:JNK24"/>
    <mergeCell ref="JNL24:JNN24"/>
    <mergeCell ref="JNO24:JNQ24"/>
    <mergeCell ref="JNR24:JNT24"/>
    <mergeCell ref="JMK24:JMM24"/>
    <mergeCell ref="JMN24:JMP24"/>
    <mergeCell ref="JMQ24:JMS24"/>
    <mergeCell ref="JMT24:JMV24"/>
    <mergeCell ref="JMW24:JMY24"/>
    <mergeCell ref="JMZ24:JNB24"/>
    <mergeCell ref="JPW24:JPY24"/>
    <mergeCell ref="JPZ24:JQB24"/>
    <mergeCell ref="JQC24:JQE24"/>
    <mergeCell ref="JQF24:JQH24"/>
    <mergeCell ref="JQI24:JQK24"/>
    <mergeCell ref="JQL24:JQN24"/>
    <mergeCell ref="JPE24:JPG24"/>
    <mergeCell ref="JPH24:JPJ24"/>
    <mergeCell ref="JPK24:JPM24"/>
    <mergeCell ref="JPN24:JPP24"/>
    <mergeCell ref="JPQ24:JPS24"/>
    <mergeCell ref="JPT24:JPV24"/>
    <mergeCell ref="JOM24:JOO24"/>
    <mergeCell ref="JOP24:JOR24"/>
    <mergeCell ref="JOS24:JOU24"/>
    <mergeCell ref="JOV24:JOX24"/>
    <mergeCell ref="JOY24:JPA24"/>
    <mergeCell ref="JPB24:JPD24"/>
    <mergeCell ref="JRY24:JSA24"/>
    <mergeCell ref="JSB24:JSD24"/>
    <mergeCell ref="JSE24:JSG24"/>
    <mergeCell ref="JSH24:JSJ24"/>
    <mergeCell ref="JSK24:JSM24"/>
    <mergeCell ref="JSN24:JSP24"/>
    <mergeCell ref="JRG24:JRI24"/>
    <mergeCell ref="JRJ24:JRL24"/>
    <mergeCell ref="JRM24:JRO24"/>
    <mergeCell ref="JRP24:JRR24"/>
    <mergeCell ref="JRS24:JRU24"/>
    <mergeCell ref="JRV24:JRX24"/>
    <mergeCell ref="JQO24:JQQ24"/>
    <mergeCell ref="JQR24:JQT24"/>
    <mergeCell ref="JQU24:JQW24"/>
    <mergeCell ref="JQX24:JQZ24"/>
    <mergeCell ref="JRA24:JRC24"/>
    <mergeCell ref="JRD24:JRF24"/>
    <mergeCell ref="JUA24:JUC24"/>
    <mergeCell ref="JUD24:JUF24"/>
    <mergeCell ref="JUG24:JUI24"/>
    <mergeCell ref="JUJ24:JUL24"/>
    <mergeCell ref="JUM24:JUO24"/>
    <mergeCell ref="JUP24:JUR24"/>
    <mergeCell ref="JTI24:JTK24"/>
    <mergeCell ref="JTL24:JTN24"/>
    <mergeCell ref="JTO24:JTQ24"/>
    <mergeCell ref="JTR24:JTT24"/>
    <mergeCell ref="JTU24:JTW24"/>
    <mergeCell ref="JTX24:JTZ24"/>
    <mergeCell ref="JSQ24:JSS24"/>
    <mergeCell ref="JST24:JSV24"/>
    <mergeCell ref="JSW24:JSY24"/>
    <mergeCell ref="JSZ24:JTB24"/>
    <mergeCell ref="JTC24:JTE24"/>
    <mergeCell ref="JTF24:JTH24"/>
    <mergeCell ref="JWC24:JWE24"/>
    <mergeCell ref="JWF24:JWH24"/>
    <mergeCell ref="JWI24:JWK24"/>
    <mergeCell ref="JWL24:JWN24"/>
    <mergeCell ref="JWO24:JWQ24"/>
    <mergeCell ref="JWR24:JWT24"/>
    <mergeCell ref="JVK24:JVM24"/>
    <mergeCell ref="JVN24:JVP24"/>
    <mergeCell ref="JVQ24:JVS24"/>
    <mergeCell ref="JVT24:JVV24"/>
    <mergeCell ref="JVW24:JVY24"/>
    <mergeCell ref="JVZ24:JWB24"/>
    <mergeCell ref="JUS24:JUU24"/>
    <mergeCell ref="JUV24:JUX24"/>
    <mergeCell ref="JUY24:JVA24"/>
    <mergeCell ref="JVB24:JVD24"/>
    <mergeCell ref="JVE24:JVG24"/>
    <mergeCell ref="JVH24:JVJ24"/>
    <mergeCell ref="JYE24:JYG24"/>
    <mergeCell ref="JYH24:JYJ24"/>
    <mergeCell ref="JYK24:JYM24"/>
    <mergeCell ref="JYN24:JYP24"/>
    <mergeCell ref="JYQ24:JYS24"/>
    <mergeCell ref="JYT24:JYV24"/>
    <mergeCell ref="JXM24:JXO24"/>
    <mergeCell ref="JXP24:JXR24"/>
    <mergeCell ref="JXS24:JXU24"/>
    <mergeCell ref="JXV24:JXX24"/>
    <mergeCell ref="JXY24:JYA24"/>
    <mergeCell ref="JYB24:JYD24"/>
    <mergeCell ref="JWU24:JWW24"/>
    <mergeCell ref="JWX24:JWZ24"/>
    <mergeCell ref="JXA24:JXC24"/>
    <mergeCell ref="JXD24:JXF24"/>
    <mergeCell ref="JXG24:JXI24"/>
    <mergeCell ref="JXJ24:JXL24"/>
    <mergeCell ref="KAG24:KAI24"/>
    <mergeCell ref="KAJ24:KAL24"/>
    <mergeCell ref="KAM24:KAO24"/>
    <mergeCell ref="KAP24:KAR24"/>
    <mergeCell ref="KAS24:KAU24"/>
    <mergeCell ref="KAV24:KAX24"/>
    <mergeCell ref="JZO24:JZQ24"/>
    <mergeCell ref="JZR24:JZT24"/>
    <mergeCell ref="JZU24:JZW24"/>
    <mergeCell ref="JZX24:JZZ24"/>
    <mergeCell ref="KAA24:KAC24"/>
    <mergeCell ref="KAD24:KAF24"/>
    <mergeCell ref="JYW24:JYY24"/>
    <mergeCell ref="JYZ24:JZB24"/>
    <mergeCell ref="JZC24:JZE24"/>
    <mergeCell ref="JZF24:JZH24"/>
    <mergeCell ref="JZI24:JZK24"/>
    <mergeCell ref="JZL24:JZN24"/>
    <mergeCell ref="KCI24:KCK24"/>
    <mergeCell ref="KCL24:KCN24"/>
    <mergeCell ref="KCO24:KCQ24"/>
    <mergeCell ref="KCR24:KCT24"/>
    <mergeCell ref="KCU24:KCW24"/>
    <mergeCell ref="KCX24:KCZ24"/>
    <mergeCell ref="KBQ24:KBS24"/>
    <mergeCell ref="KBT24:KBV24"/>
    <mergeCell ref="KBW24:KBY24"/>
    <mergeCell ref="KBZ24:KCB24"/>
    <mergeCell ref="KCC24:KCE24"/>
    <mergeCell ref="KCF24:KCH24"/>
    <mergeCell ref="KAY24:KBA24"/>
    <mergeCell ref="KBB24:KBD24"/>
    <mergeCell ref="KBE24:KBG24"/>
    <mergeCell ref="KBH24:KBJ24"/>
    <mergeCell ref="KBK24:KBM24"/>
    <mergeCell ref="KBN24:KBP24"/>
    <mergeCell ref="KEK24:KEM24"/>
    <mergeCell ref="KEN24:KEP24"/>
    <mergeCell ref="KEQ24:KES24"/>
    <mergeCell ref="KET24:KEV24"/>
    <mergeCell ref="KEW24:KEY24"/>
    <mergeCell ref="KEZ24:KFB24"/>
    <mergeCell ref="KDS24:KDU24"/>
    <mergeCell ref="KDV24:KDX24"/>
    <mergeCell ref="KDY24:KEA24"/>
    <mergeCell ref="KEB24:KED24"/>
    <mergeCell ref="KEE24:KEG24"/>
    <mergeCell ref="KEH24:KEJ24"/>
    <mergeCell ref="KDA24:KDC24"/>
    <mergeCell ref="KDD24:KDF24"/>
    <mergeCell ref="KDG24:KDI24"/>
    <mergeCell ref="KDJ24:KDL24"/>
    <mergeCell ref="KDM24:KDO24"/>
    <mergeCell ref="KDP24:KDR24"/>
    <mergeCell ref="KGM24:KGO24"/>
    <mergeCell ref="KGP24:KGR24"/>
    <mergeCell ref="KGS24:KGU24"/>
    <mergeCell ref="KGV24:KGX24"/>
    <mergeCell ref="KGY24:KHA24"/>
    <mergeCell ref="KHB24:KHD24"/>
    <mergeCell ref="KFU24:KFW24"/>
    <mergeCell ref="KFX24:KFZ24"/>
    <mergeCell ref="KGA24:KGC24"/>
    <mergeCell ref="KGD24:KGF24"/>
    <mergeCell ref="KGG24:KGI24"/>
    <mergeCell ref="KGJ24:KGL24"/>
    <mergeCell ref="KFC24:KFE24"/>
    <mergeCell ref="KFF24:KFH24"/>
    <mergeCell ref="KFI24:KFK24"/>
    <mergeCell ref="KFL24:KFN24"/>
    <mergeCell ref="KFO24:KFQ24"/>
    <mergeCell ref="KFR24:KFT24"/>
    <mergeCell ref="KIO24:KIQ24"/>
    <mergeCell ref="KIR24:KIT24"/>
    <mergeCell ref="KIU24:KIW24"/>
    <mergeCell ref="KIX24:KIZ24"/>
    <mergeCell ref="KJA24:KJC24"/>
    <mergeCell ref="KJD24:KJF24"/>
    <mergeCell ref="KHW24:KHY24"/>
    <mergeCell ref="KHZ24:KIB24"/>
    <mergeCell ref="KIC24:KIE24"/>
    <mergeCell ref="KIF24:KIH24"/>
    <mergeCell ref="KII24:KIK24"/>
    <mergeCell ref="KIL24:KIN24"/>
    <mergeCell ref="KHE24:KHG24"/>
    <mergeCell ref="KHH24:KHJ24"/>
    <mergeCell ref="KHK24:KHM24"/>
    <mergeCell ref="KHN24:KHP24"/>
    <mergeCell ref="KHQ24:KHS24"/>
    <mergeCell ref="KHT24:KHV24"/>
    <mergeCell ref="KKQ24:KKS24"/>
    <mergeCell ref="KKT24:KKV24"/>
    <mergeCell ref="KKW24:KKY24"/>
    <mergeCell ref="KKZ24:KLB24"/>
    <mergeCell ref="KLC24:KLE24"/>
    <mergeCell ref="KLF24:KLH24"/>
    <mergeCell ref="KJY24:KKA24"/>
    <mergeCell ref="KKB24:KKD24"/>
    <mergeCell ref="KKE24:KKG24"/>
    <mergeCell ref="KKH24:KKJ24"/>
    <mergeCell ref="KKK24:KKM24"/>
    <mergeCell ref="KKN24:KKP24"/>
    <mergeCell ref="KJG24:KJI24"/>
    <mergeCell ref="KJJ24:KJL24"/>
    <mergeCell ref="KJM24:KJO24"/>
    <mergeCell ref="KJP24:KJR24"/>
    <mergeCell ref="KJS24:KJU24"/>
    <mergeCell ref="KJV24:KJX24"/>
    <mergeCell ref="KMS24:KMU24"/>
    <mergeCell ref="KMV24:KMX24"/>
    <mergeCell ref="KMY24:KNA24"/>
    <mergeCell ref="KNB24:KND24"/>
    <mergeCell ref="KNE24:KNG24"/>
    <mergeCell ref="KNH24:KNJ24"/>
    <mergeCell ref="KMA24:KMC24"/>
    <mergeCell ref="KMD24:KMF24"/>
    <mergeCell ref="KMG24:KMI24"/>
    <mergeCell ref="KMJ24:KML24"/>
    <mergeCell ref="KMM24:KMO24"/>
    <mergeCell ref="KMP24:KMR24"/>
    <mergeCell ref="KLI24:KLK24"/>
    <mergeCell ref="KLL24:KLN24"/>
    <mergeCell ref="KLO24:KLQ24"/>
    <mergeCell ref="KLR24:KLT24"/>
    <mergeCell ref="KLU24:KLW24"/>
    <mergeCell ref="KLX24:KLZ24"/>
    <mergeCell ref="KOU24:KOW24"/>
    <mergeCell ref="KOX24:KOZ24"/>
    <mergeCell ref="KPA24:KPC24"/>
    <mergeCell ref="KPD24:KPF24"/>
    <mergeCell ref="KPG24:KPI24"/>
    <mergeCell ref="KPJ24:KPL24"/>
    <mergeCell ref="KOC24:KOE24"/>
    <mergeCell ref="KOF24:KOH24"/>
    <mergeCell ref="KOI24:KOK24"/>
    <mergeCell ref="KOL24:KON24"/>
    <mergeCell ref="KOO24:KOQ24"/>
    <mergeCell ref="KOR24:KOT24"/>
    <mergeCell ref="KNK24:KNM24"/>
    <mergeCell ref="KNN24:KNP24"/>
    <mergeCell ref="KNQ24:KNS24"/>
    <mergeCell ref="KNT24:KNV24"/>
    <mergeCell ref="KNW24:KNY24"/>
    <mergeCell ref="KNZ24:KOB24"/>
    <mergeCell ref="KQW24:KQY24"/>
    <mergeCell ref="KQZ24:KRB24"/>
    <mergeCell ref="KRC24:KRE24"/>
    <mergeCell ref="KRF24:KRH24"/>
    <mergeCell ref="KRI24:KRK24"/>
    <mergeCell ref="KRL24:KRN24"/>
    <mergeCell ref="KQE24:KQG24"/>
    <mergeCell ref="KQH24:KQJ24"/>
    <mergeCell ref="KQK24:KQM24"/>
    <mergeCell ref="KQN24:KQP24"/>
    <mergeCell ref="KQQ24:KQS24"/>
    <mergeCell ref="KQT24:KQV24"/>
    <mergeCell ref="KPM24:KPO24"/>
    <mergeCell ref="KPP24:KPR24"/>
    <mergeCell ref="KPS24:KPU24"/>
    <mergeCell ref="KPV24:KPX24"/>
    <mergeCell ref="KPY24:KQA24"/>
    <mergeCell ref="KQB24:KQD24"/>
    <mergeCell ref="KSY24:KTA24"/>
    <mergeCell ref="KTB24:KTD24"/>
    <mergeCell ref="KTE24:KTG24"/>
    <mergeCell ref="KTH24:KTJ24"/>
    <mergeCell ref="KTK24:KTM24"/>
    <mergeCell ref="KTN24:KTP24"/>
    <mergeCell ref="KSG24:KSI24"/>
    <mergeCell ref="KSJ24:KSL24"/>
    <mergeCell ref="KSM24:KSO24"/>
    <mergeCell ref="KSP24:KSR24"/>
    <mergeCell ref="KSS24:KSU24"/>
    <mergeCell ref="KSV24:KSX24"/>
    <mergeCell ref="KRO24:KRQ24"/>
    <mergeCell ref="KRR24:KRT24"/>
    <mergeCell ref="KRU24:KRW24"/>
    <mergeCell ref="KRX24:KRZ24"/>
    <mergeCell ref="KSA24:KSC24"/>
    <mergeCell ref="KSD24:KSF24"/>
    <mergeCell ref="KVA24:KVC24"/>
    <mergeCell ref="KVD24:KVF24"/>
    <mergeCell ref="KVG24:KVI24"/>
    <mergeCell ref="KVJ24:KVL24"/>
    <mergeCell ref="KVM24:KVO24"/>
    <mergeCell ref="KVP24:KVR24"/>
    <mergeCell ref="KUI24:KUK24"/>
    <mergeCell ref="KUL24:KUN24"/>
    <mergeCell ref="KUO24:KUQ24"/>
    <mergeCell ref="KUR24:KUT24"/>
    <mergeCell ref="KUU24:KUW24"/>
    <mergeCell ref="KUX24:KUZ24"/>
    <mergeCell ref="KTQ24:KTS24"/>
    <mergeCell ref="KTT24:KTV24"/>
    <mergeCell ref="KTW24:KTY24"/>
    <mergeCell ref="KTZ24:KUB24"/>
    <mergeCell ref="KUC24:KUE24"/>
    <mergeCell ref="KUF24:KUH24"/>
    <mergeCell ref="KXC24:KXE24"/>
    <mergeCell ref="KXF24:KXH24"/>
    <mergeCell ref="KXI24:KXK24"/>
    <mergeCell ref="KXL24:KXN24"/>
    <mergeCell ref="KXO24:KXQ24"/>
    <mergeCell ref="KXR24:KXT24"/>
    <mergeCell ref="KWK24:KWM24"/>
    <mergeCell ref="KWN24:KWP24"/>
    <mergeCell ref="KWQ24:KWS24"/>
    <mergeCell ref="KWT24:KWV24"/>
    <mergeCell ref="KWW24:KWY24"/>
    <mergeCell ref="KWZ24:KXB24"/>
    <mergeCell ref="KVS24:KVU24"/>
    <mergeCell ref="KVV24:KVX24"/>
    <mergeCell ref="KVY24:KWA24"/>
    <mergeCell ref="KWB24:KWD24"/>
    <mergeCell ref="KWE24:KWG24"/>
    <mergeCell ref="KWH24:KWJ24"/>
    <mergeCell ref="KZE24:KZG24"/>
    <mergeCell ref="KZH24:KZJ24"/>
    <mergeCell ref="KZK24:KZM24"/>
    <mergeCell ref="KZN24:KZP24"/>
    <mergeCell ref="KZQ24:KZS24"/>
    <mergeCell ref="KZT24:KZV24"/>
    <mergeCell ref="KYM24:KYO24"/>
    <mergeCell ref="KYP24:KYR24"/>
    <mergeCell ref="KYS24:KYU24"/>
    <mergeCell ref="KYV24:KYX24"/>
    <mergeCell ref="KYY24:KZA24"/>
    <mergeCell ref="KZB24:KZD24"/>
    <mergeCell ref="KXU24:KXW24"/>
    <mergeCell ref="KXX24:KXZ24"/>
    <mergeCell ref="KYA24:KYC24"/>
    <mergeCell ref="KYD24:KYF24"/>
    <mergeCell ref="KYG24:KYI24"/>
    <mergeCell ref="KYJ24:KYL24"/>
    <mergeCell ref="LBG24:LBI24"/>
    <mergeCell ref="LBJ24:LBL24"/>
    <mergeCell ref="LBM24:LBO24"/>
    <mergeCell ref="LBP24:LBR24"/>
    <mergeCell ref="LBS24:LBU24"/>
    <mergeCell ref="LBV24:LBX24"/>
    <mergeCell ref="LAO24:LAQ24"/>
    <mergeCell ref="LAR24:LAT24"/>
    <mergeCell ref="LAU24:LAW24"/>
    <mergeCell ref="LAX24:LAZ24"/>
    <mergeCell ref="LBA24:LBC24"/>
    <mergeCell ref="LBD24:LBF24"/>
    <mergeCell ref="KZW24:KZY24"/>
    <mergeCell ref="KZZ24:LAB24"/>
    <mergeCell ref="LAC24:LAE24"/>
    <mergeCell ref="LAF24:LAH24"/>
    <mergeCell ref="LAI24:LAK24"/>
    <mergeCell ref="LAL24:LAN24"/>
    <mergeCell ref="LDI24:LDK24"/>
    <mergeCell ref="LDL24:LDN24"/>
    <mergeCell ref="LDO24:LDQ24"/>
    <mergeCell ref="LDR24:LDT24"/>
    <mergeCell ref="LDU24:LDW24"/>
    <mergeCell ref="LDX24:LDZ24"/>
    <mergeCell ref="LCQ24:LCS24"/>
    <mergeCell ref="LCT24:LCV24"/>
    <mergeCell ref="LCW24:LCY24"/>
    <mergeCell ref="LCZ24:LDB24"/>
    <mergeCell ref="LDC24:LDE24"/>
    <mergeCell ref="LDF24:LDH24"/>
    <mergeCell ref="LBY24:LCA24"/>
    <mergeCell ref="LCB24:LCD24"/>
    <mergeCell ref="LCE24:LCG24"/>
    <mergeCell ref="LCH24:LCJ24"/>
    <mergeCell ref="LCK24:LCM24"/>
    <mergeCell ref="LCN24:LCP24"/>
    <mergeCell ref="LFK24:LFM24"/>
    <mergeCell ref="LFN24:LFP24"/>
    <mergeCell ref="LFQ24:LFS24"/>
    <mergeCell ref="LFT24:LFV24"/>
    <mergeCell ref="LFW24:LFY24"/>
    <mergeCell ref="LFZ24:LGB24"/>
    <mergeCell ref="LES24:LEU24"/>
    <mergeCell ref="LEV24:LEX24"/>
    <mergeCell ref="LEY24:LFA24"/>
    <mergeCell ref="LFB24:LFD24"/>
    <mergeCell ref="LFE24:LFG24"/>
    <mergeCell ref="LFH24:LFJ24"/>
    <mergeCell ref="LEA24:LEC24"/>
    <mergeCell ref="LED24:LEF24"/>
    <mergeCell ref="LEG24:LEI24"/>
    <mergeCell ref="LEJ24:LEL24"/>
    <mergeCell ref="LEM24:LEO24"/>
    <mergeCell ref="LEP24:LER24"/>
    <mergeCell ref="LHM24:LHO24"/>
    <mergeCell ref="LHP24:LHR24"/>
    <mergeCell ref="LHS24:LHU24"/>
    <mergeCell ref="LHV24:LHX24"/>
    <mergeCell ref="LHY24:LIA24"/>
    <mergeCell ref="LIB24:LID24"/>
    <mergeCell ref="LGU24:LGW24"/>
    <mergeCell ref="LGX24:LGZ24"/>
    <mergeCell ref="LHA24:LHC24"/>
    <mergeCell ref="LHD24:LHF24"/>
    <mergeCell ref="LHG24:LHI24"/>
    <mergeCell ref="LHJ24:LHL24"/>
    <mergeCell ref="LGC24:LGE24"/>
    <mergeCell ref="LGF24:LGH24"/>
    <mergeCell ref="LGI24:LGK24"/>
    <mergeCell ref="LGL24:LGN24"/>
    <mergeCell ref="LGO24:LGQ24"/>
    <mergeCell ref="LGR24:LGT24"/>
    <mergeCell ref="LJO24:LJQ24"/>
    <mergeCell ref="LJR24:LJT24"/>
    <mergeCell ref="LJU24:LJW24"/>
    <mergeCell ref="LJX24:LJZ24"/>
    <mergeCell ref="LKA24:LKC24"/>
    <mergeCell ref="LKD24:LKF24"/>
    <mergeCell ref="LIW24:LIY24"/>
    <mergeCell ref="LIZ24:LJB24"/>
    <mergeCell ref="LJC24:LJE24"/>
    <mergeCell ref="LJF24:LJH24"/>
    <mergeCell ref="LJI24:LJK24"/>
    <mergeCell ref="LJL24:LJN24"/>
    <mergeCell ref="LIE24:LIG24"/>
    <mergeCell ref="LIH24:LIJ24"/>
    <mergeCell ref="LIK24:LIM24"/>
    <mergeCell ref="LIN24:LIP24"/>
    <mergeCell ref="LIQ24:LIS24"/>
    <mergeCell ref="LIT24:LIV24"/>
    <mergeCell ref="LLQ24:LLS24"/>
    <mergeCell ref="LLT24:LLV24"/>
    <mergeCell ref="LLW24:LLY24"/>
    <mergeCell ref="LLZ24:LMB24"/>
    <mergeCell ref="LMC24:LME24"/>
    <mergeCell ref="LMF24:LMH24"/>
    <mergeCell ref="LKY24:LLA24"/>
    <mergeCell ref="LLB24:LLD24"/>
    <mergeCell ref="LLE24:LLG24"/>
    <mergeCell ref="LLH24:LLJ24"/>
    <mergeCell ref="LLK24:LLM24"/>
    <mergeCell ref="LLN24:LLP24"/>
    <mergeCell ref="LKG24:LKI24"/>
    <mergeCell ref="LKJ24:LKL24"/>
    <mergeCell ref="LKM24:LKO24"/>
    <mergeCell ref="LKP24:LKR24"/>
    <mergeCell ref="LKS24:LKU24"/>
    <mergeCell ref="LKV24:LKX24"/>
    <mergeCell ref="LNS24:LNU24"/>
    <mergeCell ref="LNV24:LNX24"/>
    <mergeCell ref="LNY24:LOA24"/>
    <mergeCell ref="LOB24:LOD24"/>
    <mergeCell ref="LOE24:LOG24"/>
    <mergeCell ref="LOH24:LOJ24"/>
    <mergeCell ref="LNA24:LNC24"/>
    <mergeCell ref="LND24:LNF24"/>
    <mergeCell ref="LNG24:LNI24"/>
    <mergeCell ref="LNJ24:LNL24"/>
    <mergeCell ref="LNM24:LNO24"/>
    <mergeCell ref="LNP24:LNR24"/>
    <mergeCell ref="LMI24:LMK24"/>
    <mergeCell ref="LML24:LMN24"/>
    <mergeCell ref="LMO24:LMQ24"/>
    <mergeCell ref="LMR24:LMT24"/>
    <mergeCell ref="LMU24:LMW24"/>
    <mergeCell ref="LMX24:LMZ24"/>
    <mergeCell ref="LPU24:LPW24"/>
    <mergeCell ref="LPX24:LPZ24"/>
    <mergeCell ref="LQA24:LQC24"/>
    <mergeCell ref="LQD24:LQF24"/>
    <mergeCell ref="LQG24:LQI24"/>
    <mergeCell ref="LQJ24:LQL24"/>
    <mergeCell ref="LPC24:LPE24"/>
    <mergeCell ref="LPF24:LPH24"/>
    <mergeCell ref="LPI24:LPK24"/>
    <mergeCell ref="LPL24:LPN24"/>
    <mergeCell ref="LPO24:LPQ24"/>
    <mergeCell ref="LPR24:LPT24"/>
    <mergeCell ref="LOK24:LOM24"/>
    <mergeCell ref="LON24:LOP24"/>
    <mergeCell ref="LOQ24:LOS24"/>
    <mergeCell ref="LOT24:LOV24"/>
    <mergeCell ref="LOW24:LOY24"/>
    <mergeCell ref="LOZ24:LPB24"/>
    <mergeCell ref="LRW24:LRY24"/>
    <mergeCell ref="LRZ24:LSB24"/>
    <mergeCell ref="LSC24:LSE24"/>
    <mergeCell ref="LSF24:LSH24"/>
    <mergeCell ref="LSI24:LSK24"/>
    <mergeCell ref="LSL24:LSN24"/>
    <mergeCell ref="LRE24:LRG24"/>
    <mergeCell ref="LRH24:LRJ24"/>
    <mergeCell ref="LRK24:LRM24"/>
    <mergeCell ref="LRN24:LRP24"/>
    <mergeCell ref="LRQ24:LRS24"/>
    <mergeCell ref="LRT24:LRV24"/>
    <mergeCell ref="LQM24:LQO24"/>
    <mergeCell ref="LQP24:LQR24"/>
    <mergeCell ref="LQS24:LQU24"/>
    <mergeCell ref="LQV24:LQX24"/>
    <mergeCell ref="LQY24:LRA24"/>
    <mergeCell ref="LRB24:LRD24"/>
    <mergeCell ref="LTY24:LUA24"/>
    <mergeCell ref="LUB24:LUD24"/>
    <mergeCell ref="LUE24:LUG24"/>
    <mergeCell ref="LUH24:LUJ24"/>
    <mergeCell ref="LUK24:LUM24"/>
    <mergeCell ref="LUN24:LUP24"/>
    <mergeCell ref="LTG24:LTI24"/>
    <mergeCell ref="LTJ24:LTL24"/>
    <mergeCell ref="LTM24:LTO24"/>
    <mergeCell ref="LTP24:LTR24"/>
    <mergeCell ref="LTS24:LTU24"/>
    <mergeCell ref="LTV24:LTX24"/>
    <mergeCell ref="LSO24:LSQ24"/>
    <mergeCell ref="LSR24:LST24"/>
    <mergeCell ref="LSU24:LSW24"/>
    <mergeCell ref="LSX24:LSZ24"/>
    <mergeCell ref="LTA24:LTC24"/>
    <mergeCell ref="LTD24:LTF24"/>
    <mergeCell ref="LWA24:LWC24"/>
    <mergeCell ref="LWD24:LWF24"/>
    <mergeCell ref="LWG24:LWI24"/>
    <mergeCell ref="LWJ24:LWL24"/>
    <mergeCell ref="LWM24:LWO24"/>
    <mergeCell ref="LWP24:LWR24"/>
    <mergeCell ref="LVI24:LVK24"/>
    <mergeCell ref="LVL24:LVN24"/>
    <mergeCell ref="LVO24:LVQ24"/>
    <mergeCell ref="LVR24:LVT24"/>
    <mergeCell ref="LVU24:LVW24"/>
    <mergeCell ref="LVX24:LVZ24"/>
    <mergeCell ref="LUQ24:LUS24"/>
    <mergeCell ref="LUT24:LUV24"/>
    <mergeCell ref="LUW24:LUY24"/>
    <mergeCell ref="LUZ24:LVB24"/>
    <mergeCell ref="LVC24:LVE24"/>
    <mergeCell ref="LVF24:LVH24"/>
    <mergeCell ref="LYC24:LYE24"/>
    <mergeCell ref="LYF24:LYH24"/>
    <mergeCell ref="LYI24:LYK24"/>
    <mergeCell ref="LYL24:LYN24"/>
    <mergeCell ref="LYO24:LYQ24"/>
    <mergeCell ref="LYR24:LYT24"/>
    <mergeCell ref="LXK24:LXM24"/>
    <mergeCell ref="LXN24:LXP24"/>
    <mergeCell ref="LXQ24:LXS24"/>
    <mergeCell ref="LXT24:LXV24"/>
    <mergeCell ref="LXW24:LXY24"/>
    <mergeCell ref="LXZ24:LYB24"/>
    <mergeCell ref="LWS24:LWU24"/>
    <mergeCell ref="LWV24:LWX24"/>
    <mergeCell ref="LWY24:LXA24"/>
    <mergeCell ref="LXB24:LXD24"/>
    <mergeCell ref="LXE24:LXG24"/>
    <mergeCell ref="LXH24:LXJ24"/>
    <mergeCell ref="MAE24:MAG24"/>
    <mergeCell ref="MAH24:MAJ24"/>
    <mergeCell ref="MAK24:MAM24"/>
    <mergeCell ref="MAN24:MAP24"/>
    <mergeCell ref="MAQ24:MAS24"/>
    <mergeCell ref="MAT24:MAV24"/>
    <mergeCell ref="LZM24:LZO24"/>
    <mergeCell ref="LZP24:LZR24"/>
    <mergeCell ref="LZS24:LZU24"/>
    <mergeCell ref="LZV24:LZX24"/>
    <mergeCell ref="LZY24:MAA24"/>
    <mergeCell ref="MAB24:MAD24"/>
    <mergeCell ref="LYU24:LYW24"/>
    <mergeCell ref="LYX24:LYZ24"/>
    <mergeCell ref="LZA24:LZC24"/>
    <mergeCell ref="LZD24:LZF24"/>
    <mergeCell ref="LZG24:LZI24"/>
    <mergeCell ref="LZJ24:LZL24"/>
    <mergeCell ref="MCG24:MCI24"/>
    <mergeCell ref="MCJ24:MCL24"/>
    <mergeCell ref="MCM24:MCO24"/>
    <mergeCell ref="MCP24:MCR24"/>
    <mergeCell ref="MCS24:MCU24"/>
    <mergeCell ref="MCV24:MCX24"/>
    <mergeCell ref="MBO24:MBQ24"/>
    <mergeCell ref="MBR24:MBT24"/>
    <mergeCell ref="MBU24:MBW24"/>
    <mergeCell ref="MBX24:MBZ24"/>
    <mergeCell ref="MCA24:MCC24"/>
    <mergeCell ref="MCD24:MCF24"/>
    <mergeCell ref="MAW24:MAY24"/>
    <mergeCell ref="MAZ24:MBB24"/>
    <mergeCell ref="MBC24:MBE24"/>
    <mergeCell ref="MBF24:MBH24"/>
    <mergeCell ref="MBI24:MBK24"/>
    <mergeCell ref="MBL24:MBN24"/>
    <mergeCell ref="MEI24:MEK24"/>
    <mergeCell ref="MEL24:MEN24"/>
    <mergeCell ref="MEO24:MEQ24"/>
    <mergeCell ref="MER24:MET24"/>
    <mergeCell ref="MEU24:MEW24"/>
    <mergeCell ref="MEX24:MEZ24"/>
    <mergeCell ref="MDQ24:MDS24"/>
    <mergeCell ref="MDT24:MDV24"/>
    <mergeCell ref="MDW24:MDY24"/>
    <mergeCell ref="MDZ24:MEB24"/>
    <mergeCell ref="MEC24:MEE24"/>
    <mergeCell ref="MEF24:MEH24"/>
    <mergeCell ref="MCY24:MDA24"/>
    <mergeCell ref="MDB24:MDD24"/>
    <mergeCell ref="MDE24:MDG24"/>
    <mergeCell ref="MDH24:MDJ24"/>
    <mergeCell ref="MDK24:MDM24"/>
    <mergeCell ref="MDN24:MDP24"/>
    <mergeCell ref="MGK24:MGM24"/>
    <mergeCell ref="MGN24:MGP24"/>
    <mergeCell ref="MGQ24:MGS24"/>
    <mergeCell ref="MGT24:MGV24"/>
    <mergeCell ref="MGW24:MGY24"/>
    <mergeCell ref="MGZ24:MHB24"/>
    <mergeCell ref="MFS24:MFU24"/>
    <mergeCell ref="MFV24:MFX24"/>
    <mergeCell ref="MFY24:MGA24"/>
    <mergeCell ref="MGB24:MGD24"/>
    <mergeCell ref="MGE24:MGG24"/>
    <mergeCell ref="MGH24:MGJ24"/>
    <mergeCell ref="MFA24:MFC24"/>
    <mergeCell ref="MFD24:MFF24"/>
    <mergeCell ref="MFG24:MFI24"/>
    <mergeCell ref="MFJ24:MFL24"/>
    <mergeCell ref="MFM24:MFO24"/>
    <mergeCell ref="MFP24:MFR24"/>
    <mergeCell ref="MIM24:MIO24"/>
    <mergeCell ref="MIP24:MIR24"/>
    <mergeCell ref="MIS24:MIU24"/>
    <mergeCell ref="MIV24:MIX24"/>
    <mergeCell ref="MIY24:MJA24"/>
    <mergeCell ref="MJB24:MJD24"/>
    <mergeCell ref="MHU24:MHW24"/>
    <mergeCell ref="MHX24:MHZ24"/>
    <mergeCell ref="MIA24:MIC24"/>
    <mergeCell ref="MID24:MIF24"/>
    <mergeCell ref="MIG24:MII24"/>
    <mergeCell ref="MIJ24:MIL24"/>
    <mergeCell ref="MHC24:MHE24"/>
    <mergeCell ref="MHF24:MHH24"/>
    <mergeCell ref="MHI24:MHK24"/>
    <mergeCell ref="MHL24:MHN24"/>
    <mergeCell ref="MHO24:MHQ24"/>
    <mergeCell ref="MHR24:MHT24"/>
    <mergeCell ref="MKO24:MKQ24"/>
    <mergeCell ref="MKR24:MKT24"/>
    <mergeCell ref="MKU24:MKW24"/>
    <mergeCell ref="MKX24:MKZ24"/>
    <mergeCell ref="MLA24:MLC24"/>
    <mergeCell ref="MLD24:MLF24"/>
    <mergeCell ref="MJW24:MJY24"/>
    <mergeCell ref="MJZ24:MKB24"/>
    <mergeCell ref="MKC24:MKE24"/>
    <mergeCell ref="MKF24:MKH24"/>
    <mergeCell ref="MKI24:MKK24"/>
    <mergeCell ref="MKL24:MKN24"/>
    <mergeCell ref="MJE24:MJG24"/>
    <mergeCell ref="MJH24:MJJ24"/>
    <mergeCell ref="MJK24:MJM24"/>
    <mergeCell ref="MJN24:MJP24"/>
    <mergeCell ref="MJQ24:MJS24"/>
    <mergeCell ref="MJT24:MJV24"/>
    <mergeCell ref="MMQ24:MMS24"/>
    <mergeCell ref="MMT24:MMV24"/>
    <mergeCell ref="MMW24:MMY24"/>
    <mergeCell ref="MMZ24:MNB24"/>
    <mergeCell ref="MNC24:MNE24"/>
    <mergeCell ref="MNF24:MNH24"/>
    <mergeCell ref="MLY24:MMA24"/>
    <mergeCell ref="MMB24:MMD24"/>
    <mergeCell ref="MME24:MMG24"/>
    <mergeCell ref="MMH24:MMJ24"/>
    <mergeCell ref="MMK24:MMM24"/>
    <mergeCell ref="MMN24:MMP24"/>
    <mergeCell ref="MLG24:MLI24"/>
    <mergeCell ref="MLJ24:MLL24"/>
    <mergeCell ref="MLM24:MLO24"/>
    <mergeCell ref="MLP24:MLR24"/>
    <mergeCell ref="MLS24:MLU24"/>
    <mergeCell ref="MLV24:MLX24"/>
    <mergeCell ref="MOS24:MOU24"/>
    <mergeCell ref="MOV24:MOX24"/>
    <mergeCell ref="MOY24:MPA24"/>
    <mergeCell ref="MPB24:MPD24"/>
    <mergeCell ref="MPE24:MPG24"/>
    <mergeCell ref="MPH24:MPJ24"/>
    <mergeCell ref="MOA24:MOC24"/>
    <mergeCell ref="MOD24:MOF24"/>
    <mergeCell ref="MOG24:MOI24"/>
    <mergeCell ref="MOJ24:MOL24"/>
    <mergeCell ref="MOM24:MOO24"/>
    <mergeCell ref="MOP24:MOR24"/>
    <mergeCell ref="MNI24:MNK24"/>
    <mergeCell ref="MNL24:MNN24"/>
    <mergeCell ref="MNO24:MNQ24"/>
    <mergeCell ref="MNR24:MNT24"/>
    <mergeCell ref="MNU24:MNW24"/>
    <mergeCell ref="MNX24:MNZ24"/>
    <mergeCell ref="MQU24:MQW24"/>
    <mergeCell ref="MQX24:MQZ24"/>
    <mergeCell ref="MRA24:MRC24"/>
    <mergeCell ref="MRD24:MRF24"/>
    <mergeCell ref="MRG24:MRI24"/>
    <mergeCell ref="MRJ24:MRL24"/>
    <mergeCell ref="MQC24:MQE24"/>
    <mergeCell ref="MQF24:MQH24"/>
    <mergeCell ref="MQI24:MQK24"/>
    <mergeCell ref="MQL24:MQN24"/>
    <mergeCell ref="MQO24:MQQ24"/>
    <mergeCell ref="MQR24:MQT24"/>
    <mergeCell ref="MPK24:MPM24"/>
    <mergeCell ref="MPN24:MPP24"/>
    <mergeCell ref="MPQ24:MPS24"/>
    <mergeCell ref="MPT24:MPV24"/>
    <mergeCell ref="MPW24:MPY24"/>
    <mergeCell ref="MPZ24:MQB24"/>
    <mergeCell ref="MSW24:MSY24"/>
    <mergeCell ref="MSZ24:MTB24"/>
    <mergeCell ref="MTC24:MTE24"/>
    <mergeCell ref="MTF24:MTH24"/>
    <mergeCell ref="MTI24:MTK24"/>
    <mergeCell ref="MTL24:MTN24"/>
    <mergeCell ref="MSE24:MSG24"/>
    <mergeCell ref="MSH24:MSJ24"/>
    <mergeCell ref="MSK24:MSM24"/>
    <mergeCell ref="MSN24:MSP24"/>
    <mergeCell ref="MSQ24:MSS24"/>
    <mergeCell ref="MST24:MSV24"/>
    <mergeCell ref="MRM24:MRO24"/>
    <mergeCell ref="MRP24:MRR24"/>
    <mergeCell ref="MRS24:MRU24"/>
    <mergeCell ref="MRV24:MRX24"/>
    <mergeCell ref="MRY24:MSA24"/>
    <mergeCell ref="MSB24:MSD24"/>
    <mergeCell ref="MUY24:MVA24"/>
    <mergeCell ref="MVB24:MVD24"/>
    <mergeCell ref="MVE24:MVG24"/>
    <mergeCell ref="MVH24:MVJ24"/>
    <mergeCell ref="MVK24:MVM24"/>
    <mergeCell ref="MVN24:MVP24"/>
    <mergeCell ref="MUG24:MUI24"/>
    <mergeCell ref="MUJ24:MUL24"/>
    <mergeCell ref="MUM24:MUO24"/>
    <mergeCell ref="MUP24:MUR24"/>
    <mergeCell ref="MUS24:MUU24"/>
    <mergeCell ref="MUV24:MUX24"/>
    <mergeCell ref="MTO24:MTQ24"/>
    <mergeCell ref="MTR24:MTT24"/>
    <mergeCell ref="MTU24:MTW24"/>
    <mergeCell ref="MTX24:MTZ24"/>
    <mergeCell ref="MUA24:MUC24"/>
    <mergeCell ref="MUD24:MUF24"/>
    <mergeCell ref="MXA24:MXC24"/>
    <mergeCell ref="MXD24:MXF24"/>
    <mergeCell ref="MXG24:MXI24"/>
    <mergeCell ref="MXJ24:MXL24"/>
    <mergeCell ref="MXM24:MXO24"/>
    <mergeCell ref="MXP24:MXR24"/>
    <mergeCell ref="MWI24:MWK24"/>
    <mergeCell ref="MWL24:MWN24"/>
    <mergeCell ref="MWO24:MWQ24"/>
    <mergeCell ref="MWR24:MWT24"/>
    <mergeCell ref="MWU24:MWW24"/>
    <mergeCell ref="MWX24:MWZ24"/>
    <mergeCell ref="MVQ24:MVS24"/>
    <mergeCell ref="MVT24:MVV24"/>
    <mergeCell ref="MVW24:MVY24"/>
    <mergeCell ref="MVZ24:MWB24"/>
    <mergeCell ref="MWC24:MWE24"/>
    <mergeCell ref="MWF24:MWH24"/>
    <mergeCell ref="MZC24:MZE24"/>
    <mergeCell ref="MZF24:MZH24"/>
    <mergeCell ref="MZI24:MZK24"/>
    <mergeCell ref="MZL24:MZN24"/>
    <mergeCell ref="MZO24:MZQ24"/>
    <mergeCell ref="MZR24:MZT24"/>
    <mergeCell ref="MYK24:MYM24"/>
    <mergeCell ref="MYN24:MYP24"/>
    <mergeCell ref="MYQ24:MYS24"/>
    <mergeCell ref="MYT24:MYV24"/>
    <mergeCell ref="MYW24:MYY24"/>
    <mergeCell ref="MYZ24:MZB24"/>
    <mergeCell ref="MXS24:MXU24"/>
    <mergeCell ref="MXV24:MXX24"/>
    <mergeCell ref="MXY24:MYA24"/>
    <mergeCell ref="MYB24:MYD24"/>
    <mergeCell ref="MYE24:MYG24"/>
    <mergeCell ref="MYH24:MYJ24"/>
    <mergeCell ref="NBE24:NBG24"/>
    <mergeCell ref="NBH24:NBJ24"/>
    <mergeCell ref="NBK24:NBM24"/>
    <mergeCell ref="NBN24:NBP24"/>
    <mergeCell ref="NBQ24:NBS24"/>
    <mergeCell ref="NBT24:NBV24"/>
    <mergeCell ref="NAM24:NAO24"/>
    <mergeCell ref="NAP24:NAR24"/>
    <mergeCell ref="NAS24:NAU24"/>
    <mergeCell ref="NAV24:NAX24"/>
    <mergeCell ref="NAY24:NBA24"/>
    <mergeCell ref="NBB24:NBD24"/>
    <mergeCell ref="MZU24:MZW24"/>
    <mergeCell ref="MZX24:MZZ24"/>
    <mergeCell ref="NAA24:NAC24"/>
    <mergeCell ref="NAD24:NAF24"/>
    <mergeCell ref="NAG24:NAI24"/>
    <mergeCell ref="NAJ24:NAL24"/>
    <mergeCell ref="NDG24:NDI24"/>
    <mergeCell ref="NDJ24:NDL24"/>
    <mergeCell ref="NDM24:NDO24"/>
    <mergeCell ref="NDP24:NDR24"/>
    <mergeCell ref="NDS24:NDU24"/>
    <mergeCell ref="NDV24:NDX24"/>
    <mergeCell ref="NCO24:NCQ24"/>
    <mergeCell ref="NCR24:NCT24"/>
    <mergeCell ref="NCU24:NCW24"/>
    <mergeCell ref="NCX24:NCZ24"/>
    <mergeCell ref="NDA24:NDC24"/>
    <mergeCell ref="NDD24:NDF24"/>
    <mergeCell ref="NBW24:NBY24"/>
    <mergeCell ref="NBZ24:NCB24"/>
    <mergeCell ref="NCC24:NCE24"/>
    <mergeCell ref="NCF24:NCH24"/>
    <mergeCell ref="NCI24:NCK24"/>
    <mergeCell ref="NCL24:NCN24"/>
    <mergeCell ref="NFI24:NFK24"/>
    <mergeCell ref="NFL24:NFN24"/>
    <mergeCell ref="NFO24:NFQ24"/>
    <mergeCell ref="NFR24:NFT24"/>
    <mergeCell ref="NFU24:NFW24"/>
    <mergeCell ref="NFX24:NFZ24"/>
    <mergeCell ref="NEQ24:NES24"/>
    <mergeCell ref="NET24:NEV24"/>
    <mergeCell ref="NEW24:NEY24"/>
    <mergeCell ref="NEZ24:NFB24"/>
    <mergeCell ref="NFC24:NFE24"/>
    <mergeCell ref="NFF24:NFH24"/>
    <mergeCell ref="NDY24:NEA24"/>
    <mergeCell ref="NEB24:NED24"/>
    <mergeCell ref="NEE24:NEG24"/>
    <mergeCell ref="NEH24:NEJ24"/>
    <mergeCell ref="NEK24:NEM24"/>
    <mergeCell ref="NEN24:NEP24"/>
    <mergeCell ref="NHK24:NHM24"/>
    <mergeCell ref="NHN24:NHP24"/>
    <mergeCell ref="NHQ24:NHS24"/>
    <mergeCell ref="NHT24:NHV24"/>
    <mergeCell ref="NHW24:NHY24"/>
    <mergeCell ref="NHZ24:NIB24"/>
    <mergeCell ref="NGS24:NGU24"/>
    <mergeCell ref="NGV24:NGX24"/>
    <mergeCell ref="NGY24:NHA24"/>
    <mergeCell ref="NHB24:NHD24"/>
    <mergeCell ref="NHE24:NHG24"/>
    <mergeCell ref="NHH24:NHJ24"/>
    <mergeCell ref="NGA24:NGC24"/>
    <mergeCell ref="NGD24:NGF24"/>
    <mergeCell ref="NGG24:NGI24"/>
    <mergeCell ref="NGJ24:NGL24"/>
    <mergeCell ref="NGM24:NGO24"/>
    <mergeCell ref="NGP24:NGR24"/>
    <mergeCell ref="NJM24:NJO24"/>
    <mergeCell ref="NJP24:NJR24"/>
    <mergeCell ref="NJS24:NJU24"/>
    <mergeCell ref="NJV24:NJX24"/>
    <mergeCell ref="NJY24:NKA24"/>
    <mergeCell ref="NKB24:NKD24"/>
    <mergeCell ref="NIU24:NIW24"/>
    <mergeCell ref="NIX24:NIZ24"/>
    <mergeCell ref="NJA24:NJC24"/>
    <mergeCell ref="NJD24:NJF24"/>
    <mergeCell ref="NJG24:NJI24"/>
    <mergeCell ref="NJJ24:NJL24"/>
    <mergeCell ref="NIC24:NIE24"/>
    <mergeCell ref="NIF24:NIH24"/>
    <mergeCell ref="NII24:NIK24"/>
    <mergeCell ref="NIL24:NIN24"/>
    <mergeCell ref="NIO24:NIQ24"/>
    <mergeCell ref="NIR24:NIT24"/>
    <mergeCell ref="NLO24:NLQ24"/>
    <mergeCell ref="NLR24:NLT24"/>
    <mergeCell ref="NLU24:NLW24"/>
    <mergeCell ref="NLX24:NLZ24"/>
    <mergeCell ref="NMA24:NMC24"/>
    <mergeCell ref="NMD24:NMF24"/>
    <mergeCell ref="NKW24:NKY24"/>
    <mergeCell ref="NKZ24:NLB24"/>
    <mergeCell ref="NLC24:NLE24"/>
    <mergeCell ref="NLF24:NLH24"/>
    <mergeCell ref="NLI24:NLK24"/>
    <mergeCell ref="NLL24:NLN24"/>
    <mergeCell ref="NKE24:NKG24"/>
    <mergeCell ref="NKH24:NKJ24"/>
    <mergeCell ref="NKK24:NKM24"/>
    <mergeCell ref="NKN24:NKP24"/>
    <mergeCell ref="NKQ24:NKS24"/>
    <mergeCell ref="NKT24:NKV24"/>
    <mergeCell ref="NNQ24:NNS24"/>
    <mergeCell ref="NNT24:NNV24"/>
    <mergeCell ref="NNW24:NNY24"/>
    <mergeCell ref="NNZ24:NOB24"/>
    <mergeCell ref="NOC24:NOE24"/>
    <mergeCell ref="NOF24:NOH24"/>
    <mergeCell ref="NMY24:NNA24"/>
    <mergeCell ref="NNB24:NND24"/>
    <mergeCell ref="NNE24:NNG24"/>
    <mergeCell ref="NNH24:NNJ24"/>
    <mergeCell ref="NNK24:NNM24"/>
    <mergeCell ref="NNN24:NNP24"/>
    <mergeCell ref="NMG24:NMI24"/>
    <mergeCell ref="NMJ24:NML24"/>
    <mergeCell ref="NMM24:NMO24"/>
    <mergeCell ref="NMP24:NMR24"/>
    <mergeCell ref="NMS24:NMU24"/>
    <mergeCell ref="NMV24:NMX24"/>
    <mergeCell ref="NPS24:NPU24"/>
    <mergeCell ref="NPV24:NPX24"/>
    <mergeCell ref="NPY24:NQA24"/>
    <mergeCell ref="NQB24:NQD24"/>
    <mergeCell ref="NQE24:NQG24"/>
    <mergeCell ref="NQH24:NQJ24"/>
    <mergeCell ref="NPA24:NPC24"/>
    <mergeCell ref="NPD24:NPF24"/>
    <mergeCell ref="NPG24:NPI24"/>
    <mergeCell ref="NPJ24:NPL24"/>
    <mergeCell ref="NPM24:NPO24"/>
    <mergeCell ref="NPP24:NPR24"/>
    <mergeCell ref="NOI24:NOK24"/>
    <mergeCell ref="NOL24:NON24"/>
    <mergeCell ref="NOO24:NOQ24"/>
    <mergeCell ref="NOR24:NOT24"/>
    <mergeCell ref="NOU24:NOW24"/>
    <mergeCell ref="NOX24:NOZ24"/>
    <mergeCell ref="NRU24:NRW24"/>
    <mergeCell ref="NRX24:NRZ24"/>
    <mergeCell ref="NSA24:NSC24"/>
    <mergeCell ref="NSD24:NSF24"/>
    <mergeCell ref="NSG24:NSI24"/>
    <mergeCell ref="NSJ24:NSL24"/>
    <mergeCell ref="NRC24:NRE24"/>
    <mergeCell ref="NRF24:NRH24"/>
    <mergeCell ref="NRI24:NRK24"/>
    <mergeCell ref="NRL24:NRN24"/>
    <mergeCell ref="NRO24:NRQ24"/>
    <mergeCell ref="NRR24:NRT24"/>
    <mergeCell ref="NQK24:NQM24"/>
    <mergeCell ref="NQN24:NQP24"/>
    <mergeCell ref="NQQ24:NQS24"/>
    <mergeCell ref="NQT24:NQV24"/>
    <mergeCell ref="NQW24:NQY24"/>
    <mergeCell ref="NQZ24:NRB24"/>
    <mergeCell ref="NTW24:NTY24"/>
    <mergeCell ref="NTZ24:NUB24"/>
    <mergeCell ref="NUC24:NUE24"/>
    <mergeCell ref="NUF24:NUH24"/>
    <mergeCell ref="NUI24:NUK24"/>
    <mergeCell ref="NUL24:NUN24"/>
    <mergeCell ref="NTE24:NTG24"/>
    <mergeCell ref="NTH24:NTJ24"/>
    <mergeCell ref="NTK24:NTM24"/>
    <mergeCell ref="NTN24:NTP24"/>
    <mergeCell ref="NTQ24:NTS24"/>
    <mergeCell ref="NTT24:NTV24"/>
    <mergeCell ref="NSM24:NSO24"/>
    <mergeCell ref="NSP24:NSR24"/>
    <mergeCell ref="NSS24:NSU24"/>
    <mergeCell ref="NSV24:NSX24"/>
    <mergeCell ref="NSY24:NTA24"/>
    <mergeCell ref="NTB24:NTD24"/>
    <mergeCell ref="NVY24:NWA24"/>
    <mergeCell ref="NWB24:NWD24"/>
    <mergeCell ref="NWE24:NWG24"/>
    <mergeCell ref="NWH24:NWJ24"/>
    <mergeCell ref="NWK24:NWM24"/>
    <mergeCell ref="NWN24:NWP24"/>
    <mergeCell ref="NVG24:NVI24"/>
    <mergeCell ref="NVJ24:NVL24"/>
    <mergeCell ref="NVM24:NVO24"/>
    <mergeCell ref="NVP24:NVR24"/>
    <mergeCell ref="NVS24:NVU24"/>
    <mergeCell ref="NVV24:NVX24"/>
    <mergeCell ref="NUO24:NUQ24"/>
    <mergeCell ref="NUR24:NUT24"/>
    <mergeCell ref="NUU24:NUW24"/>
    <mergeCell ref="NUX24:NUZ24"/>
    <mergeCell ref="NVA24:NVC24"/>
    <mergeCell ref="NVD24:NVF24"/>
    <mergeCell ref="NYA24:NYC24"/>
    <mergeCell ref="NYD24:NYF24"/>
    <mergeCell ref="NYG24:NYI24"/>
    <mergeCell ref="NYJ24:NYL24"/>
    <mergeCell ref="NYM24:NYO24"/>
    <mergeCell ref="NYP24:NYR24"/>
    <mergeCell ref="NXI24:NXK24"/>
    <mergeCell ref="NXL24:NXN24"/>
    <mergeCell ref="NXO24:NXQ24"/>
    <mergeCell ref="NXR24:NXT24"/>
    <mergeCell ref="NXU24:NXW24"/>
    <mergeCell ref="NXX24:NXZ24"/>
    <mergeCell ref="NWQ24:NWS24"/>
    <mergeCell ref="NWT24:NWV24"/>
    <mergeCell ref="NWW24:NWY24"/>
    <mergeCell ref="NWZ24:NXB24"/>
    <mergeCell ref="NXC24:NXE24"/>
    <mergeCell ref="NXF24:NXH24"/>
    <mergeCell ref="OAC24:OAE24"/>
    <mergeCell ref="OAF24:OAH24"/>
    <mergeCell ref="OAI24:OAK24"/>
    <mergeCell ref="OAL24:OAN24"/>
    <mergeCell ref="OAO24:OAQ24"/>
    <mergeCell ref="OAR24:OAT24"/>
    <mergeCell ref="NZK24:NZM24"/>
    <mergeCell ref="NZN24:NZP24"/>
    <mergeCell ref="NZQ24:NZS24"/>
    <mergeCell ref="NZT24:NZV24"/>
    <mergeCell ref="NZW24:NZY24"/>
    <mergeCell ref="NZZ24:OAB24"/>
    <mergeCell ref="NYS24:NYU24"/>
    <mergeCell ref="NYV24:NYX24"/>
    <mergeCell ref="NYY24:NZA24"/>
    <mergeCell ref="NZB24:NZD24"/>
    <mergeCell ref="NZE24:NZG24"/>
    <mergeCell ref="NZH24:NZJ24"/>
    <mergeCell ref="OCE24:OCG24"/>
    <mergeCell ref="OCH24:OCJ24"/>
    <mergeCell ref="OCK24:OCM24"/>
    <mergeCell ref="OCN24:OCP24"/>
    <mergeCell ref="OCQ24:OCS24"/>
    <mergeCell ref="OCT24:OCV24"/>
    <mergeCell ref="OBM24:OBO24"/>
    <mergeCell ref="OBP24:OBR24"/>
    <mergeCell ref="OBS24:OBU24"/>
    <mergeCell ref="OBV24:OBX24"/>
    <mergeCell ref="OBY24:OCA24"/>
    <mergeCell ref="OCB24:OCD24"/>
    <mergeCell ref="OAU24:OAW24"/>
    <mergeCell ref="OAX24:OAZ24"/>
    <mergeCell ref="OBA24:OBC24"/>
    <mergeCell ref="OBD24:OBF24"/>
    <mergeCell ref="OBG24:OBI24"/>
    <mergeCell ref="OBJ24:OBL24"/>
    <mergeCell ref="OEG24:OEI24"/>
    <mergeCell ref="OEJ24:OEL24"/>
    <mergeCell ref="OEM24:OEO24"/>
    <mergeCell ref="OEP24:OER24"/>
    <mergeCell ref="OES24:OEU24"/>
    <mergeCell ref="OEV24:OEX24"/>
    <mergeCell ref="ODO24:ODQ24"/>
    <mergeCell ref="ODR24:ODT24"/>
    <mergeCell ref="ODU24:ODW24"/>
    <mergeCell ref="ODX24:ODZ24"/>
    <mergeCell ref="OEA24:OEC24"/>
    <mergeCell ref="OED24:OEF24"/>
    <mergeCell ref="OCW24:OCY24"/>
    <mergeCell ref="OCZ24:ODB24"/>
    <mergeCell ref="ODC24:ODE24"/>
    <mergeCell ref="ODF24:ODH24"/>
    <mergeCell ref="ODI24:ODK24"/>
    <mergeCell ref="ODL24:ODN24"/>
    <mergeCell ref="OGI24:OGK24"/>
    <mergeCell ref="OGL24:OGN24"/>
    <mergeCell ref="OGO24:OGQ24"/>
    <mergeCell ref="OGR24:OGT24"/>
    <mergeCell ref="OGU24:OGW24"/>
    <mergeCell ref="OGX24:OGZ24"/>
    <mergeCell ref="OFQ24:OFS24"/>
    <mergeCell ref="OFT24:OFV24"/>
    <mergeCell ref="OFW24:OFY24"/>
    <mergeCell ref="OFZ24:OGB24"/>
    <mergeCell ref="OGC24:OGE24"/>
    <mergeCell ref="OGF24:OGH24"/>
    <mergeCell ref="OEY24:OFA24"/>
    <mergeCell ref="OFB24:OFD24"/>
    <mergeCell ref="OFE24:OFG24"/>
    <mergeCell ref="OFH24:OFJ24"/>
    <mergeCell ref="OFK24:OFM24"/>
    <mergeCell ref="OFN24:OFP24"/>
    <mergeCell ref="OIK24:OIM24"/>
    <mergeCell ref="OIN24:OIP24"/>
    <mergeCell ref="OIQ24:OIS24"/>
    <mergeCell ref="OIT24:OIV24"/>
    <mergeCell ref="OIW24:OIY24"/>
    <mergeCell ref="OIZ24:OJB24"/>
    <mergeCell ref="OHS24:OHU24"/>
    <mergeCell ref="OHV24:OHX24"/>
    <mergeCell ref="OHY24:OIA24"/>
    <mergeCell ref="OIB24:OID24"/>
    <mergeCell ref="OIE24:OIG24"/>
    <mergeCell ref="OIH24:OIJ24"/>
    <mergeCell ref="OHA24:OHC24"/>
    <mergeCell ref="OHD24:OHF24"/>
    <mergeCell ref="OHG24:OHI24"/>
    <mergeCell ref="OHJ24:OHL24"/>
    <mergeCell ref="OHM24:OHO24"/>
    <mergeCell ref="OHP24:OHR24"/>
    <mergeCell ref="OKM24:OKO24"/>
    <mergeCell ref="OKP24:OKR24"/>
    <mergeCell ref="OKS24:OKU24"/>
    <mergeCell ref="OKV24:OKX24"/>
    <mergeCell ref="OKY24:OLA24"/>
    <mergeCell ref="OLB24:OLD24"/>
    <mergeCell ref="OJU24:OJW24"/>
    <mergeCell ref="OJX24:OJZ24"/>
    <mergeCell ref="OKA24:OKC24"/>
    <mergeCell ref="OKD24:OKF24"/>
    <mergeCell ref="OKG24:OKI24"/>
    <mergeCell ref="OKJ24:OKL24"/>
    <mergeCell ref="OJC24:OJE24"/>
    <mergeCell ref="OJF24:OJH24"/>
    <mergeCell ref="OJI24:OJK24"/>
    <mergeCell ref="OJL24:OJN24"/>
    <mergeCell ref="OJO24:OJQ24"/>
    <mergeCell ref="OJR24:OJT24"/>
    <mergeCell ref="OMO24:OMQ24"/>
    <mergeCell ref="OMR24:OMT24"/>
    <mergeCell ref="OMU24:OMW24"/>
    <mergeCell ref="OMX24:OMZ24"/>
    <mergeCell ref="ONA24:ONC24"/>
    <mergeCell ref="OND24:ONF24"/>
    <mergeCell ref="OLW24:OLY24"/>
    <mergeCell ref="OLZ24:OMB24"/>
    <mergeCell ref="OMC24:OME24"/>
    <mergeCell ref="OMF24:OMH24"/>
    <mergeCell ref="OMI24:OMK24"/>
    <mergeCell ref="OML24:OMN24"/>
    <mergeCell ref="OLE24:OLG24"/>
    <mergeCell ref="OLH24:OLJ24"/>
    <mergeCell ref="OLK24:OLM24"/>
    <mergeCell ref="OLN24:OLP24"/>
    <mergeCell ref="OLQ24:OLS24"/>
    <mergeCell ref="OLT24:OLV24"/>
    <mergeCell ref="OOQ24:OOS24"/>
    <mergeCell ref="OOT24:OOV24"/>
    <mergeCell ref="OOW24:OOY24"/>
    <mergeCell ref="OOZ24:OPB24"/>
    <mergeCell ref="OPC24:OPE24"/>
    <mergeCell ref="OPF24:OPH24"/>
    <mergeCell ref="ONY24:OOA24"/>
    <mergeCell ref="OOB24:OOD24"/>
    <mergeCell ref="OOE24:OOG24"/>
    <mergeCell ref="OOH24:OOJ24"/>
    <mergeCell ref="OOK24:OOM24"/>
    <mergeCell ref="OON24:OOP24"/>
    <mergeCell ref="ONG24:ONI24"/>
    <mergeCell ref="ONJ24:ONL24"/>
    <mergeCell ref="ONM24:ONO24"/>
    <mergeCell ref="ONP24:ONR24"/>
    <mergeCell ref="ONS24:ONU24"/>
    <mergeCell ref="ONV24:ONX24"/>
    <mergeCell ref="OQS24:OQU24"/>
    <mergeCell ref="OQV24:OQX24"/>
    <mergeCell ref="OQY24:ORA24"/>
    <mergeCell ref="ORB24:ORD24"/>
    <mergeCell ref="ORE24:ORG24"/>
    <mergeCell ref="ORH24:ORJ24"/>
    <mergeCell ref="OQA24:OQC24"/>
    <mergeCell ref="OQD24:OQF24"/>
    <mergeCell ref="OQG24:OQI24"/>
    <mergeCell ref="OQJ24:OQL24"/>
    <mergeCell ref="OQM24:OQO24"/>
    <mergeCell ref="OQP24:OQR24"/>
    <mergeCell ref="OPI24:OPK24"/>
    <mergeCell ref="OPL24:OPN24"/>
    <mergeCell ref="OPO24:OPQ24"/>
    <mergeCell ref="OPR24:OPT24"/>
    <mergeCell ref="OPU24:OPW24"/>
    <mergeCell ref="OPX24:OPZ24"/>
    <mergeCell ref="OSU24:OSW24"/>
    <mergeCell ref="OSX24:OSZ24"/>
    <mergeCell ref="OTA24:OTC24"/>
    <mergeCell ref="OTD24:OTF24"/>
    <mergeCell ref="OTG24:OTI24"/>
    <mergeCell ref="OTJ24:OTL24"/>
    <mergeCell ref="OSC24:OSE24"/>
    <mergeCell ref="OSF24:OSH24"/>
    <mergeCell ref="OSI24:OSK24"/>
    <mergeCell ref="OSL24:OSN24"/>
    <mergeCell ref="OSO24:OSQ24"/>
    <mergeCell ref="OSR24:OST24"/>
    <mergeCell ref="ORK24:ORM24"/>
    <mergeCell ref="ORN24:ORP24"/>
    <mergeCell ref="ORQ24:ORS24"/>
    <mergeCell ref="ORT24:ORV24"/>
    <mergeCell ref="ORW24:ORY24"/>
    <mergeCell ref="ORZ24:OSB24"/>
    <mergeCell ref="OUW24:OUY24"/>
    <mergeCell ref="OUZ24:OVB24"/>
    <mergeCell ref="OVC24:OVE24"/>
    <mergeCell ref="OVF24:OVH24"/>
    <mergeCell ref="OVI24:OVK24"/>
    <mergeCell ref="OVL24:OVN24"/>
    <mergeCell ref="OUE24:OUG24"/>
    <mergeCell ref="OUH24:OUJ24"/>
    <mergeCell ref="OUK24:OUM24"/>
    <mergeCell ref="OUN24:OUP24"/>
    <mergeCell ref="OUQ24:OUS24"/>
    <mergeCell ref="OUT24:OUV24"/>
    <mergeCell ref="OTM24:OTO24"/>
    <mergeCell ref="OTP24:OTR24"/>
    <mergeCell ref="OTS24:OTU24"/>
    <mergeCell ref="OTV24:OTX24"/>
    <mergeCell ref="OTY24:OUA24"/>
    <mergeCell ref="OUB24:OUD24"/>
    <mergeCell ref="OWY24:OXA24"/>
    <mergeCell ref="OXB24:OXD24"/>
    <mergeCell ref="OXE24:OXG24"/>
    <mergeCell ref="OXH24:OXJ24"/>
    <mergeCell ref="OXK24:OXM24"/>
    <mergeCell ref="OXN24:OXP24"/>
    <mergeCell ref="OWG24:OWI24"/>
    <mergeCell ref="OWJ24:OWL24"/>
    <mergeCell ref="OWM24:OWO24"/>
    <mergeCell ref="OWP24:OWR24"/>
    <mergeCell ref="OWS24:OWU24"/>
    <mergeCell ref="OWV24:OWX24"/>
    <mergeCell ref="OVO24:OVQ24"/>
    <mergeCell ref="OVR24:OVT24"/>
    <mergeCell ref="OVU24:OVW24"/>
    <mergeCell ref="OVX24:OVZ24"/>
    <mergeCell ref="OWA24:OWC24"/>
    <mergeCell ref="OWD24:OWF24"/>
    <mergeCell ref="OZA24:OZC24"/>
    <mergeCell ref="OZD24:OZF24"/>
    <mergeCell ref="OZG24:OZI24"/>
    <mergeCell ref="OZJ24:OZL24"/>
    <mergeCell ref="OZM24:OZO24"/>
    <mergeCell ref="OZP24:OZR24"/>
    <mergeCell ref="OYI24:OYK24"/>
    <mergeCell ref="OYL24:OYN24"/>
    <mergeCell ref="OYO24:OYQ24"/>
    <mergeCell ref="OYR24:OYT24"/>
    <mergeCell ref="OYU24:OYW24"/>
    <mergeCell ref="OYX24:OYZ24"/>
    <mergeCell ref="OXQ24:OXS24"/>
    <mergeCell ref="OXT24:OXV24"/>
    <mergeCell ref="OXW24:OXY24"/>
    <mergeCell ref="OXZ24:OYB24"/>
    <mergeCell ref="OYC24:OYE24"/>
    <mergeCell ref="OYF24:OYH24"/>
    <mergeCell ref="PBC24:PBE24"/>
    <mergeCell ref="PBF24:PBH24"/>
    <mergeCell ref="PBI24:PBK24"/>
    <mergeCell ref="PBL24:PBN24"/>
    <mergeCell ref="PBO24:PBQ24"/>
    <mergeCell ref="PBR24:PBT24"/>
    <mergeCell ref="PAK24:PAM24"/>
    <mergeCell ref="PAN24:PAP24"/>
    <mergeCell ref="PAQ24:PAS24"/>
    <mergeCell ref="PAT24:PAV24"/>
    <mergeCell ref="PAW24:PAY24"/>
    <mergeCell ref="PAZ24:PBB24"/>
    <mergeCell ref="OZS24:OZU24"/>
    <mergeCell ref="OZV24:OZX24"/>
    <mergeCell ref="OZY24:PAA24"/>
    <mergeCell ref="PAB24:PAD24"/>
    <mergeCell ref="PAE24:PAG24"/>
    <mergeCell ref="PAH24:PAJ24"/>
    <mergeCell ref="PDE24:PDG24"/>
    <mergeCell ref="PDH24:PDJ24"/>
    <mergeCell ref="PDK24:PDM24"/>
    <mergeCell ref="PDN24:PDP24"/>
    <mergeCell ref="PDQ24:PDS24"/>
    <mergeCell ref="PDT24:PDV24"/>
    <mergeCell ref="PCM24:PCO24"/>
    <mergeCell ref="PCP24:PCR24"/>
    <mergeCell ref="PCS24:PCU24"/>
    <mergeCell ref="PCV24:PCX24"/>
    <mergeCell ref="PCY24:PDA24"/>
    <mergeCell ref="PDB24:PDD24"/>
    <mergeCell ref="PBU24:PBW24"/>
    <mergeCell ref="PBX24:PBZ24"/>
    <mergeCell ref="PCA24:PCC24"/>
    <mergeCell ref="PCD24:PCF24"/>
    <mergeCell ref="PCG24:PCI24"/>
    <mergeCell ref="PCJ24:PCL24"/>
    <mergeCell ref="PFG24:PFI24"/>
    <mergeCell ref="PFJ24:PFL24"/>
    <mergeCell ref="PFM24:PFO24"/>
    <mergeCell ref="PFP24:PFR24"/>
    <mergeCell ref="PFS24:PFU24"/>
    <mergeCell ref="PFV24:PFX24"/>
    <mergeCell ref="PEO24:PEQ24"/>
    <mergeCell ref="PER24:PET24"/>
    <mergeCell ref="PEU24:PEW24"/>
    <mergeCell ref="PEX24:PEZ24"/>
    <mergeCell ref="PFA24:PFC24"/>
    <mergeCell ref="PFD24:PFF24"/>
    <mergeCell ref="PDW24:PDY24"/>
    <mergeCell ref="PDZ24:PEB24"/>
    <mergeCell ref="PEC24:PEE24"/>
    <mergeCell ref="PEF24:PEH24"/>
    <mergeCell ref="PEI24:PEK24"/>
    <mergeCell ref="PEL24:PEN24"/>
    <mergeCell ref="PHI24:PHK24"/>
    <mergeCell ref="PHL24:PHN24"/>
    <mergeCell ref="PHO24:PHQ24"/>
    <mergeCell ref="PHR24:PHT24"/>
    <mergeCell ref="PHU24:PHW24"/>
    <mergeCell ref="PHX24:PHZ24"/>
    <mergeCell ref="PGQ24:PGS24"/>
    <mergeCell ref="PGT24:PGV24"/>
    <mergeCell ref="PGW24:PGY24"/>
    <mergeCell ref="PGZ24:PHB24"/>
    <mergeCell ref="PHC24:PHE24"/>
    <mergeCell ref="PHF24:PHH24"/>
    <mergeCell ref="PFY24:PGA24"/>
    <mergeCell ref="PGB24:PGD24"/>
    <mergeCell ref="PGE24:PGG24"/>
    <mergeCell ref="PGH24:PGJ24"/>
    <mergeCell ref="PGK24:PGM24"/>
    <mergeCell ref="PGN24:PGP24"/>
    <mergeCell ref="PJK24:PJM24"/>
    <mergeCell ref="PJN24:PJP24"/>
    <mergeCell ref="PJQ24:PJS24"/>
    <mergeCell ref="PJT24:PJV24"/>
    <mergeCell ref="PJW24:PJY24"/>
    <mergeCell ref="PJZ24:PKB24"/>
    <mergeCell ref="PIS24:PIU24"/>
    <mergeCell ref="PIV24:PIX24"/>
    <mergeCell ref="PIY24:PJA24"/>
    <mergeCell ref="PJB24:PJD24"/>
    <mergeCell ref="PJE24:PJG24"/>
    <mergeCell ref="PJH24:PJJ24"/>
    <mergeCell ref="PIA24:PIC24"/>
    <mergeCell ref="PID24:PIF24"/>
    <mergeCell ref="PIG24:PII24"/>
    <mergeCell ref="PIJ24:PIL24"/>
    <mergeCell ref="PIM24:PIO24"/>
    <mergeCell ref="PIP24:PIR24"/>
    <mergeCell ref="PLM24:PLO24"/>
    <mergeCell ref="PLP24:PLR24"/>
    <mergeCell ref="PLS24:PLU24"/>
    <mergeCell ref="PLV24:PLX24"/>
    <mergeCell ref="PLY24:PMA24"/>
    <mergeCell ref="PMB24:PMD24"/>
    <mergeCell ref="PKU24:PKW24"/>
    <mergeCell ref="PKX24:PKZ24"/>
    <mergeCell ref="PLA24:PLC24"/>
    <mergeCell ref="PLD24:PLF24"/>
    <mergeCell ref="PLG24:PLI24"/>
    <mergeCell ref="PLJ24:PLL24"/>
    <mergeCell ref="PKC24:PKE24"/>
    <mergeCell ref="PKF24:PKH24"/>
    <mergeCell ref="PKI24:PKK24"/>
    <mergeCell ref="PKL24:PKN24"/>
    <mergeCell ref="PKO24:PKQ24"/>
    <mergeCell ref="PKR24:PKT24"/>
    <mergeCell ref="PNO24:PNQ24"/>
    <mergeCell ref="PNR24:PNT24"/>
    <mergeCell ref="PNU24:PNW24"/>
    <mergeCell ref="PNX24:PNZ24"/>
    <mergeCell ref="POA24:POC24"/>
    <mergeCell ref="POD24:POF24"/>
    <mergeCell ref="PMW24:PMY24"/>
    <mergeCell ref="PMZ24:PNB24"/>
    <mergeCell ref="PNC24:PNE24"/>
    <mergeCell ref="PNF24:PNH24"/>
    <mergeCell ref="PNI24:PNK24"/>
    <mergeCell ref="PNL24:PNN24"/>
    <mergeCell ref="PME24:PMG24"/>
    <mergeCell ref="PMH24:PMJ24"/>
    <mergeCell ref="PMK24:PMM24"/>
    <mergeCell ref="PMN24:PMP24"/>
    <mergeCell ref="PMQ24:PMS24"/>
    <mergeCell ref="PMT24:PMV24"/>
    <mergeCell ref="PPQ24:PPS24"/>
    <mergeCell ref="PPT24:PPV24"/>
    <mergeCell ref="PPW24:PPY24"/>
    <mergeCell ref="PPZ24:PQB24"/>
    <mergeCell ref="PQC24:PQE24"/>
    <mergeCell ref="PQF24:PQH24"/>
    <mergeCell ref="POY24:PPA24"/>
    <mergeCell ref="PPB24:PPD24"/>
    <mergeCell ref="PPE24:PPG24"/>
    <mergeCell ref="PPH24:PPJ24"/>
    <mergeCell ref="PPK24:PPM24"/>
    <mergeCell ref="PPN24:PPP24"/>
    <mergeCell ref="POG24:POI24"/>
    <mergeCell ref="POJ24:POL24"/>
    <mergeCell ref="POM24:POO24"/>
    <mergeCell ref="POP24:POR24"/>
    <mergeCell ref="POS24:POU24"/>
    <mergeCell ref="POV24:POX24"/>
    <mergeCell ref="PRS24:PRU24"/>
    <mergeCell ref="PRV24:PRX24"/>
    <mergeCell ref="PRY24:PSA24"/>
    <mergeCell ref="PSB24:PSD24"/>
    <mergeCell ref="PSE24:PSG24"/>
    <mergeCell ref="PSH24:PSJ24"/>
    <mergeCell ref="PRA24:PRC24"/>
    <mergeCell ref="PRD24:PRF24"/>
    <mergeCell ref="PRG24:PRI24"/>
    <mergeCell ref="PRJ24:PRL24"/>
    <mergeCell ref="PRM24:PRO24"/>
    <mergeCell ref="PRP24:PRR24"/>
    <mergeCell ref="PQI24:PQK24"/>
    <mergeCell ref="PQL24:PQN24"/>
    <mergeCell ref="PQO24:PQQ24"/>
    <mergeCell ref="PQR24:PQT24"/>
    <mergeCell ref="PQU24:PQW24"/>
    <mergeCell ref="PQX24:PQZ24"/>
    <mergeCell ref="PTU24:PTW24"/>
    <mergeCell ref="PTX24:PTZ24"/>
    <mergeCell ref="PUA24:PUC24"/>
    <mergeCell ref="PUD24:PUF24"/>
    <mergeCell ref="PUG24:PUI24"/>
    <mergeCell ref="PUJ24:PUL24"/>
    <mergeCell ref="PTC24:PTE24"/>
    <mergeCell ref="PTF24:PTH24"/>
    <mergeCell ref="PTI24:PTK24"/>
    <mergeCell ref="PTL24:PTN24"/>
    <mergeCell ref="PTO24:PTQ24"/>
    <mergeCell ref="PTR24:PTT24"/>
    <mergeCell ref="PSK24:PSM24"/>
    <mergeCell ref="PSN24:PSP24"/>
    <mergeCell ref="PSQ24:PSS24"/>
    <mergeCell ref="PST24:PSV24"/>
    <mergeCell ref="PSW24:PSY24"/>
    <mergeCell ref="PSZ24:PTB24"/>
    <mergeCell ref="PVW24:PVY24"/>
    <mergeCell ref="PVZ24:PWB24"/>
    <mergeCell ref="PWC24:PWE24"/>
    <mergeCell ref="PWF24:PWH24"/>
    <mergeCell ref="PWI24:PWK24"/>
    <mergeCell ref="PWL24:PWN24"/>
    <mergeCell ref="PVE24:PVG24"/>
    <mergeCell ref="PVH24:PVJ24"/>
    <mergeCell ref="PVK24:PVM24"/>
    <mergeCell ref="PVN24:PVP24"/>
    <mergeCell ref="PVQ24:PVS24"/>
    <mergeCell ref="PVT24:PVV24"/>
    <mergeCell ref="PUM24:PUO24"/>
    <mergeCell ref="PUP24:PUR24"/>
    <mergeCell ref="PUS24:PUU24"/>
    <mergeCell ref="PUV24:PUX24"/>
    <mergeCell ref="PUY24:PVA24"/>
    <mergeCell ref="PVB24:PVD24"/>
    <mergeCell ref="PXY24:PYA24"/>
    <mergeCell ref="PYB24:PYD24"/>
    <mergeCell ref="PYE24:PYG24"/>
    <mergeCell ref="PYH24:PYJ24"/>
    <mergeCell ref="PYK24:PYM24"/>
    <mergeCell ref="PYN24:PYP24"/>
    <mergeCell ref="PXG24:PXI24"/>
    <mergeCell ref="PXJ24:PXL24"/>
    <mergeCell ref="PXM24:PXO24"/>
    <mergeCell ref="PXP24:PXR24"/>
    <mergeCell ref="PXS24:PXU24"/>
    <mergeCell ref="PXV24:PXX24"/>
    <mergeCell ref="PWO24:PWQ24"/>
    <mergeCell ref="PWR24:PWT24"/>
    <mergeCell ref="PWU24:PWW24"/>
    <mergeCell ref="PWX24:PWZ24"/>
    <mergeCell ref="PXA24:PXC24"/>
    <mergeCell ref="PXD24:PXF24"/>
    <mergeCell ref="QAA24:QAC24"/>
    <mergeCell ref="QAD24:QAF24"/>
    <mergeCell ref="QAG24:QAI24"/>
    <mergeCell ref="QAJ24:QAL24"/>
    <mergeCell ref="QAM24:QAO24"/>
    <mergeCell ref="QAP24:QAR24"/>
    <mergeCell ref="PZI24:PZK24"/>
    <mergeCell ref="PZL24:PZN24"/>
    <mergeCell ref="PZO24:PZQ24"/>
    <mergeCell ref="PZR24:PZT24"/>
    <mergeCell ref="PZU24:PZW24"/>
    <mergeCell ref="PZX24:PZZ24"/>
    <mergeCell ref="PYQ24:PYS24"/>
    <mergeCell ref="PYT24:PYV24"/>
    <mergeCell ref="PYW24:PYY24"/>
    <mergeCell ref="PYZ24:PZB24"/>
    <mergeCell ref="PZC24:PZE24"/>
    <mergeCell ref="PZF24:PZH24"/>
    <mergeCell ref="QCC24:QCE24"/>
    <mergeCell ref="QCF24:QCH24"/>
    <mergeCell ref="QCI24:QCK24"/>
    <mergeCell ref="QCL24:QCN24"/>
    <mergeCell ref="QCO24:QCQ24"/>
    <mergeCell ref="QCR24:QCT24"/>
    <mergeCell ref="QBK24:QBM24"/>
    <mergeCell ref="QBN24:QBP24"/>
    <mergeCell ref="QBQ24:QBS24"/>
    <mergeCell ref="QBT24:QBV24"/>
    <mergeCell ref="QBW24:QBY24"/>
    <mergeCell ref="QBZ24:QCB24"/>
    <mergeCell ref="QAS24:QAU24"/>
    <mergeCell ref="QAV24:QAX24"/>
    <mergeCell ref="QAY24:QBA24"/>
    <mergeCell ref="QBB24:QBD24"/>
    <mergeCell ref="QBE24:QBG24"/>
    <mergeCell ref="QBH24:QBJ24"/>
    <mergeCell ref="QEE24:QEG24"/>
    <mergeCell ref="QEH24:QEJ24"/>
    <mergeCell ref="QEK24:QEM24"/>
    <mergeCell ref="QEN24:QEP24"/>
    <mergeCell ref="QEQ24:QES24"/>
    <mergeCell ref="QET24:QEV24"/>
    <mergeCell ref="QDM24:QDO24"/>
    <mergeCell ref="QDP24:QDR24"/>
    <mergeCell ref="QDS24:QDU24"/>
    <mergeCell ref="QDV24:QDX24"/>
    <mergeCell ref="QDY24:QEA24"/>
    <mergeCell ref="QEB24:QED24"/>
    <mergeCell ref="QCU24:QCW24"/>
    <mergeCell ref="QCX24:QCZ24"/>
    <mergeCell ref="QDA24:QDC24"/>
    <mergeCell ref="QDD24:QDF24"/>
    <mergeCell ref="QDG24:QDI24"/>
    <mergeCell ref="QDJ24:QDL24"/>
    <mergeCell ref="QGG24:QGI24"/>
    <mergeCell ref="QGJ24:QGL24"/>
    <mergeCell ref="QGM24:QGO24"/>
    <mergeCell ref="QGP24:QGR24"/>
    <mergeCell ref="QGS24:QGU24"/>
    <mergeCell ref="QGV24:QGX24"/>
    <mergeCell ref="QFO24:QFQ24"/>
    <mergeCell ref="QFR24:QFT24"/>
    <mergeCell ref="QFU24:QFW24"/>
    <mergeCell ref="QFX24:QFZ24"/>
    <mergeCell ref="QGA24:QGC24"/>
    <mergeCell ref="QGD24:QGF24"/>
    <mergeCell ref="QEW24:QEY24"/>
    <mergeCell ref="QEZ24:QFB24"/>
    <mergeCell ref="QFC24:QFE24"/>
    <mergeCell ref="QFF24:QFH24"/>
    <mergeCell ref="QFI24:QFK24"/>
    <mergeCell ref="QFL24:QFN24"/>
    <mergeCell ref="QII24:QIK24"/>
    <mergeCell ref="QIL24:QIN24"/>
    <mergeCell ref="QIO24:QIQ24"/>
    <mergeCell ref="QIR24:QIT24"/>
    <mergeCell ref="QIU24:QIW24"/>
    <mergeCell ref="QIX24:QIZ24"/>
    <mergeCell ref="QHQ24:QHS24"/>
    <mergeCell ref="QHT24:QHV24"/>
    <mergeCell ref="QHW24:QHY24"/>
    <mergeCell ref="QHZ24:QIB24"/>
    <mergeCell ref="QIC24:QIE24"/>
    <mergeCell ref="QIF24:QIH24"/>
    <mergeCell ref="QGY24:QHA24"/>
    <mergeCell ref="QHB24:QHD24"/>
    <mergeCell ref="QHE24:QHG24"/>
    <mergeCell ref="QHH24:QHJ24"/>
    <mergeCell ref="QHK24:QHM24"/>
    <mergeCell ref="QHN24:QHP24"/>
    <mergeCell ref="QKK24:QKM24"/>
    <mergeCell ref="QKN24:QKP24"/>
    <mergeCell ref="QKQ24:QKS24"/>
    <mergeCell ref="QKT24:QKV24"/>
    <mergeCell ref="QKW24:QKY24"/>
    <mergeCell ref="QKZ24:QLB24"/>
    <mergeCell ref="QJS24:QJU24"/>
    <mergeCell ref="QJV24:QJX24"/>
    <mergeCell ref="QJY24:QKA24"/>
    <mergeCell ref="QKB24:QKD24"/>
    <mergeCell ref="QKE24:QKG24"/>
    <mergeCell ref="QKH24:QKJ24"/>
    <mergeCell ref="QJA24:QJC24"/>
    <mergeCell ref="QJD24:QJF24"/>
    <mergeCell ref="QJG24:QJI24"/>
    <mergeCell ref="QJJ24:QJL24"/>
    <mergeCell ref="QJM24:QJO24"/>
    <mergeCell ref="QJP24:QJR24"/>
    <mergeCell ref="QMM24:QMO24"/>
    <mergeCell ref="QMP24:QMR24"/>
    <mergeCell ref="QMS24:QMU24"/>
    <mergeCell ref="QMV24:QMX24"/>
    <mergeCell ref="QMY24:QNA24"/>
    <mergeCell ref="QNB24:QND24"/>
    <mergeCell ref="QLU24:QLW24"/>
    <mergeCell ref="QLX24:QLZ24"/>
    <mergeCell ref="QMA24:QMC24"/>
    <mergeCell ref="QMD24:QMF24"/>
    <mergeCell ref="QMG24:QMI24"/>
    <mergeCell ref="QMJ24:QML24"/>
    <mergeCell ref="QLC24:QLE24"/>
    <mergeCell ref="QLF24:QLH24"/>
    <mergeCell ref="QLI24:QLK24"/>
    <mergeCell ref="QLL24:QLN24"/>
    <mergeCell ref="QLO24:QLQ24"/>
    <mergeCell ref="QLR24:QLT24"/>
    <mergeCell ref="QOO24:QOQ24"/>
    <mergeCell ref="QOR24:QOT24"/>
    <mergeCell ref="QOU24:QOW24"/>
    <mergeCell ref="QOX24:QOZ24"/>
    <mergeCell ref="QPA24:QPC24"/>
    <mergeCell ref="QPD24:QPF24"/>
    <mergeCell ref="QNW24:QNY24"/>
    <mergeCell ref="QNZ24:QOB24"/>
    <mergeCell ref="QOC24:QOE24"/>
    <mergeCell ref="QOF24:QOH24"/>
    <mergeCell ref="QOI24:QOK24"/>
    <mergeCell ref="QOL24:QON24"/>
    <mergeCell ref="QNE24:QNG24"/>
    <mergeCell ref="QNH24:QNJ24"/>
    <mergeCell ref="QNK24:QNM24"/>
    <mergeCell ref="QNN24:QNP24"/>
    <mergeCell ref="QNQ24:QNS24"/>
    <mergeCell ref="QNT24:QNV24"/>
    <mergeCell ref="QQQ24:QQS24"/>
    <mergeCell ref="QQT24:QQV24"/>
    <mergeCell ref="QQW24:QQY24"/>
    <mergeCell ref="QQZ24:QRB24"/>
    <mergeCell ref="QRC24:QRE24"/>
    <mergeCell ref="QRF24:QRH24"/>
    <mergeCell ref="QPY24:QQA24"/>
    <mergeCell ref="QQB24:QQD24"/>
    <mergeCell ref="QQE24:QQG24"/>
    <mergeCell ref="QQH24:QQJ24"/>
    <mergeCell ref="QQK24:QQM24"/>
    <mergeCell ref="QQN24:QQP24"/>
    <mergeCell ref="QPG24:QPI24"/>
    <mergeCell ref="QPJ24:QPL24"/>
    <mergeCell ref="QPM24:QPO24"/>
    <mergeCell ref="QPP24:QPR24"/>
    <mergeCell ref="QPS24:QPU24"/>
    <mergeCell ref="QPV24:QPX24"/>
    <mergeCell ref="QSS24:QSU24"/>
    <mergeCell ref="QSV24:QSX24"/>
    <mergeCell ref="QSY24:QTA24"/>
    <mergeCell ref="QTB24:QTD24"/>
    <mergeCell ref="QTE24:QTG24"/>
    <mergeCell ref="QTH24:QTJ24"/>
    <mergeCell ref="QSA24:QSC24"/>
    <mergeCell ref="QSD24:QSF24"/>
    <mergeCell ref="QSG24:QSI24"/>
    <mergeCell ref="QSJ24:QSL24"/>
    <mergeCell ref="QSM24:QSO24"/>
    <mergeCell ref="QSP24:QSR24"/>
    <mergeCell ref="QRI24:QRK24"/>
    <mergeCell ref="QRL24:QRN24"/>
    <mergeCell ref="QRO24:QRQ24"/>
    <mergeCell ref="QRR24:QRT24"/>
    <mergeCell ref="QRU24:QRW24"/>
    <mergeCell ref="QRX24:QRZ24"/>
    <mergeCell ref="QUU24:QUW24"/>
    <mergeCell ref="QUX24:QUZ24"/>
    <mergeCell ref="QVA24:QVC24"/>
    <mergeCell ref="QVD24:QVF24"/>
    <mergeCell ref="QVG24:QVI24"/>
    <mergeCell ref="QVJ24:QVL24"/>
    <mergeCell ref="QUC24:QUE24"/>
    <mergeCell ref="QUF24:QUH24"/>
    <mergeCell ref="QUI24:QUK24"/>
    <mergeCell ref="QUL24:QUN24"/>
    <mergeCell ref="QUO24:QUQ24"/>
    <mergeCell ref="QUR24:QUT24"/>
    <mergeCell ref="QTK24:QTM24"/>
    <mergeCell ref="QTN24:QTP24"/>
    <mergeCell ref="QTQ24:QTS24"/>
    <mergeCell ref="QTT24:QTV24"/>
    <mergeCell ref="QTW24:QTY24"/>
    <mergeCell ref="QTZ24:QUB24"/>
    <mergeCell ref="QWW24:QWY24"/>
    <mergeCell ref="QWZ24:QXB24"/>
    <mergeCell ref="QXC24:QXE24"/>
    <mergeCell ref="QXF24:QXH24"/>
    <mergeCell ref="QXI24:QXK24"/>
    <mergeCell ref="QXL24:QXN24"/>
    <mergeCell ref="QWE24:QWG24"/>
    <mergeCell ref="QWH24:QWJ24"/>
    <mergeCell ref="QWK24:QWM24"/>
    <mergeCell ref="QWN24:QWP24"/>
    <mergeCell ref="QWQ24:QWS24"/>
    <mergeCell ref="QWT24:QWV24"/>
    <mergeCell ref="QVM24:QVO24"/>
    <mergeCell ref="QVP24:QVR24"/>
    <mergeCell ref="QVS24:QVU24"/>
    <mergeCell ref="QVV24:QVX24"/>
    <mergeCell ref="QVY24:QWA24"/>
    <mergeCell ref="QWB24:QWD24"/>
    <mergeCell ref="QYY24:QZA24"/>
    <mergeCell ref="QZB24:QZD24"/>
    <mergeCell ref="QZE24:QZG24"/>
    <mergeCell ref="QZH24:QZJ24"/>
    <mergeCell ref="QZK24:QZM24"/>
    <mergeCell ref="QZN24:QZP24"/>
    <mergeCell ref="QYG24:QYI24"/>
    <mergeCell ref="QYJ24:QYL24"/>
    <mergeCell ref="QYM24:QYO24"/>
    <mergeCell ref="QYP24:QYR24"/>
    <mergeCell ref="QYS24:QYU24"/>
    <mergeCell ref="QYV24:QYX24"/>
    <mergeCell ref="QXO24:QXQ24"/>
    <mergeCell ref="QXR24:QXT24"/>
    <mergeCell ref="QXU24:QXW24"/>
    <mergeCell ref="QXX24:QXZ24"/>
    <mergeCell ref="QYA24:QYC24"/>
    <mergeCell ref="QYD24:QYF24"/>
    <mergeCell ref="RBA24:RBC24"/>
    <mergeCell ref="RBD24:RBF24"/>
    <mergeCell ref="RBG24:RBI24"/>
    <mergeCell ref="RBJ24:RBL24"/>
    <mergeCell ref="RBM24:RBO24"/>
    <mergeCell ref="RBP24:RBR24"/>
    <mergeCell ref="RAI24:RAK24"/>
    <mergeCell ref="RAL24:RAN24"/>
    <mergeCell ref="RAO24:RAQ24"/>
    <mergeCell ref="RAR24:RAT24"/>
    <mergeCell ref="RAU24:RAW24"/>
    <mergeCell ref="RAX24:RAZ24"/>
    <mergeCell ref="QZQ24:QZS24"/>
    <mergeCell ref="QZT24:QZV24"/>
    <mergeCell ref="QZW24:QZY24"/>
    <mergeCell ref="QZZ24:RAB24"/>
    <mergeCell ref="RAC24:RAE24"/>
    <mergeCell ref="RAF24:RAH24"/>
    <mergeCell ref="RDC24:RDE24"/>
    <mergeCell ref="RDF24:RDH24"/>
    <mergeCell ref="RDI24:RDK24"/>
    <mergeCell ref="RDL24:RDN24"/>
    <mergeCell ref="RDO24:RDQ24"/>
    <mergeCell ref="RDR24:RDT24"/>
    <mergeCell ref="RCK24:RCM24"/>
    <mergeCell ref="RCN24:RCP24"/>
    <mergeCell ref="RCQ24:RCS24"/>
    <mergeCell ref="RCT24:RCV24"/>
    <mergeCell ref="RCW24:RCY24"/>
    <mergeCell ref="RCZ24:RDB24"/>
    <mergeCell ref="RBS24:RBU24"/>
    <mergeCell ref="RBV24:RBX24"/>
    <mergeCell ref="RBY24:RCA24"/>
    <mergeCell ref="RCB24:RCD24"/>
    <mergeCell ref="RCE24:RCG24"/>
    <mergeCell ref="RCH24:RCJ24"/>
    <mergeCell ref="RFE24:RFG24"/>
    <mergeCell ref="RFH24:RFJ24"/>
    <mergeCell ref="RFK24:RFM24"/>
    <mergeCell ref="RFN24:RFP24"/>
    <mergeCell ref="RFQ24:RFS24"/>
    <mergeCell ref="RFT24:RFV24"/>
    <mergeCell ref="REM24:REO24"/>
    <mergeCell ref="REP24:RER24"/>
    <mergeCell ref="RES24:REU24"/>
    <mergeCell ref="REV24:REX24"/>
    <mergeCell ref="REY24:RFA24"/>
    <mergeCell ref="RFB24:RFD24"/>
    <mergeCell ref="RDU24:RDW24"/>
    <mergeCell ref="RDX24:RDZ24"/>
    <mergeCell ref="REA24:REC24"/>
    <mergeCell ref="RED24:REF24"/>
    <mergeCell ref="REG24:REI24"/>
    <mergeCell ref="REJ24:REL24"/>
    <mergeCell ref="RHG24:RHI24"/>
    <mergeCell ref="RHJ24:RHL24"/>
    <mergeCell ref="RHM24:RHO24"/>
    <mergeCell ref="RHP24:RHR24"/>
    <mergeCell ref="RHS24:RHU24"/>
    <mergeCell ref="RHV24:RHX24"/>
    <mergeCell ref="RGO24:RGQ24"/>
    <mergeCell ref="RGR24:RGT24"/>
    <mergeCell ref="RGU24:RGW24"/>
    <mergeCell ref="RGX24:RGZ24"/>
    <mergeCell ref="RHA24:RHC24"/>
    <mergeCell ref="RHD24:RHF24"/>
    <mergeCell ref="RFW24:RFY24"/>
    <mergeCell ref="RFZ24:RGB24"/>
    <mergeCell ref="RGC24:RGE24"/>
    <mergeCell ref="RGF24:RGH24"/>
    <mergeCell ref="RGI24:RGK24"/>
    <mergeCell ref="RGL24:RGN24"/>
    <mergeCell ref="RJI24:RJK24"/>
    <mergeCell ref="RJL24:RJN24"/>
    <mergeCell ref="RJO24:RJQ24"/>
    <mergeCell ref="RJR24:RJT24"/>
    <mergeCell ref="RJU24:RJW24"/>
    <mergeCell ref="RJX24:RJZ24"/>
    <mergeCell ref="RIQ24:RIS24"/>
    <mergeCell ref="RIT24:RIV24"/>
    <mergeCell ref="RIW24:RIY24"/>
    <mergeCell ref="RIZ24:RJB24"/>
    <mergeCell ref="RJC24:RJE24"/>
    <mergeCell ref="RJF24:RJH24"/>
    <mergeCell ref="RHY24:RIA24"/>
    <mergeCell ref="RIB24:RID24"/>
    <mergeCell ref="RIE24:RIG24"/>
    <mergeCell ref="RIH24:RIJ24"/>
    <mergeCell ref="RIK24:RIM24"/>
    <mergeCell ref="RIN24:RIP24"/>
    <mergeCell ref="RLK24:RLM24"/>
    <mergeCell ref="RLN24:RLP24"/>
    <mergeCell ref="RLQ24:RLS24"/>
    <mergeCell ref="RLT24:RLV24"/>
    <mergeCell ref="RLW24:RLY24"/>
    <mergeCell ref="RLZ24:RMB24"/>
    <mergeCell ref="RKS24:RKU24"/>
    <mergeCell ref="RKV24:RKX24"/>
    <mergeCell ref="RKY24:RLA24"/>
    <mergeCell ref="RLB24:RLD24"/>
    <mergeCell ref="RLE24:RLG24"/>
    <mergeCell ref="RLH24:RLJ24"/>
    <mergeCell ref="RKA24:RKC24"/>
    <mergeCell ref="RKD24:RKF24"/>
    <mergeCell ref="RKG24:RKI24"/>
    <mergeCell ref="RKJ24:RKL24"/>
    <mergeCell ref="RKM24:RKO24"/>
    <mergeCell ref="RKP24:RKR24"/>
    <mergeCell ref="RNM24:RNO24"/>
    <mergeCell ref="RNP24:RNR24"/>
    <mergeCell ref="RNS24:RNU24"/>
    <mergeCell ref="RNV24:RNX24"/>
    <mergeCell ref="RNY24:ROA24"/>
    <mergeCell ref="ROB24:ROD24"/>
    <mergeCell ref="RMU24:RMW24"/>
    <mergeCell ref="RMX24:RMZ24"/>
    <mergeCell ref="RNA24:RNC24"/>
    <mergeCell ref="RND24:RNF24"/>
    <mergeCell ref="RNG24:RNI24"/>
    <mergeCell ref="RNJ24:RNL24"/>
    <mergeCell ref="RMC24:RME24"/>
    <mergeCell ref="RMF24:RMH24"/>
    <mergeCell ref="RMI24:RMK24"/>
    <mergeCell ref="RML24:RMN24"/>
    <mergeCell ref="RMO24:RMQ24"/>
    <mergeCell ref="RMR24:RMT24"/>
    <mergeCell ref="RPO24:RPQ24"/>
    <mergeCell ref="RPR24:RPT24"/>
    <mergeCell ref="RPU24:RPW24"/>
    <mergeCell ref="RPX24:RPZ24"/>
    <mergeCell ref="RQA24:RQC24"/>
    <mergeCell ref="RQD24:RQF24"/>
    <mergeCell ref="ROW24:ROY24"/>
    <mergeCell ref="ROZ24:RPB24"/>
    <mergeCell ref="RPC24:RPE24"/>
    <mergeCell ref="RPF24:RPH24"/>
    <mergeCell ref="RPI24:RPK24"/>
    <mergeCell ref="RPL24:RPN24"/>
    <mergeCell ref="ROE24:ROG24"/>
    <mergeCell ref="ROH24:ROJ24"/>
    <mergeCell ref="ROK24:ROM24"/>
    <mergeCell ref="RON24:ROP24"/>
    <mergeCell ref="ROQ24:ROS24"/>
    <mergeCell ref="ROT24:ROV24"/>
    <mergeCell ref="RRQ24:RRS24"/>
    <mergeCell ref="RRT24:RRV24"/>
    <mergeCell ref="RRW24:RRY24"/>
    <mergeCell ref="RRZ24:RSB24"/>
    <mergeCell ref="RSC24:RSE24"/>
    <mergeCell ref="RSF24:RSH24"/>
    <mergeCell ref="RQY24:RRA24"/>
    <mergeCell ref="RRB24:RRD24"/>
    <mergeCell ref="RRE24:RRG24"/>
    <mergeCell ref="RRH24:RRJ24"/>
    <mergeCell ref="RRK24:RRM24"/>
    <mergeCell ref="RRN24:RRP24"/>
    <mergeCell ref="RQG24:RQI24"/>
    <mergeCell ref="RQJ24:RQL24"/>
    <mergeCell ref="RQM24:RQO24"/>
    <mergeCell ref="RQP24:RQR24"/>
    <mergeCell ref="RQS24:RQU24"/>
    <mergeCell ref="RQV24:RQX24"/>
    <mergeCell ref="RTS24:RTU24"/>
    <mergeCell ref="RTV24:RTX24"/>
    <mergeCell ref="RTY24:RUA24"/>
    <mergeCell ref="RUB24:RUD24"/>
    <mergeCell ref="RUE24:RUG24"/>
    <mergeCell ref="RUH24:RUJ24"/>
    <mergeCell ref="RTA24:RTC24"/>
    <mergeCell ref="RTD24:RTF24"/>
    <mergeCell ref="RTG24:RTI24"/>
    <mergeCell ref="RTJ24:RTL24"/>
    <mergeCell ref="RTM24:RTO24"/>
    <mergeCell ref="RTP24:RTR24"/>
    <mergeCell ref="RSI24:RSK24"/>
    <mergeCell ref="RSL24:RSN24"/>
    <mergeCell ref="RSO24:RSQ24"/>
    <mergeCell ref="RSR24:RST24"/>
    <mergeCell ref="RSU24:RSW24"/>
    <mergeCell ref="RSX24:RSZ24"/>
    <mergeCell ref="RVU24:RVW24"/>
    <mergeCell ref="RVX24:RVZ24"/>
    <mergeCell ref="RWA24:RWC24"/>
    <mergeCell ref="RWD24:RWF24"/>
    <mergeCell ref="RWG24:RWI24"/>
    <mergeCell ref="RWJ24:RWL24"/>
    <mergeCell ref="RVC24:RVE24"/>
    <mergeCell ref="RVF24:RVH24"/>
    <mergeCell ref="RVI24:RVK24"/>
    <mergeCell ref="RVL24:RVN24"/>
    <mergeCell ref="RVO24:RVQ24"/>
    <mergeCell ref="RVR24:RVT24"/>
    <mergeCell ref="RUK24:RUM24"/>
    <mergeCell ref="RUN24:RUP24"/>
    <mergeCell ref="RUQ24:RUS24"/>
    <mergeCell ref="RUT24:RUV24"/>
    <mergeCell ref="RUW24:RUY24"/>
    <mergeCell ref="RUZ24:RVB24"/>
    <mergeCell ref="RXW24:RXY24"/>
    <mergeCell ref="RXZ24:RYB24"/>
    <mergeCell ref="RYC24:RYE24"/>
    <mergeCell ref="RYF24:RYH24"/>
    <mergeCell ref="RYI24:RYK24"/>
    <mergeCell ref="RYL24:RYN24"/>
    <mergeCell ref="RXE24:RXG24"/>
    <mergeCell ref="RXH24:RXJ24"/>
    <mergeCell ref="RXK24:RXM24"/>
    <mergeCell ref="RXN24:RXP24"/>
    <mergeCell ref="RXQ24:RXS24"/>
    <mergeCell ref="RXT24:RXV24"/>
    <mergeCell ref="RWM24:RWO24"/>
    <mergeCell ref="RWP24:RWR24"/>
    <mergeCell ref="RWS24:RWU24"/>
    <mergeCell ref="RWV24:RWX24"/>
    <mergeCell ref="RWY24:RXA24"/>
    <mergeCell ref="RXB24:RXD24"/>
    <mergeCell ref="RZY24:SAA24"/>
    <mergeCell ref="SAB24:SAD24"/>
    <mergeCell ref="SAE24:SAG24"/>
    <mergeCell ref="SAH24:SAJ24"/>
    <mergeCell ref="SAK24:SAM24"/>
    <mergeCell ref="SAN24:SAP24"/>
    <mergeCell ref="RZG24:RZI24"/>
    <mergeCell ref="RZJ24:RZL24"/>
    <mergeCell ref="RZM24:RZO24"/>
    <mergeCell ref="RZP24:RZR24"/>
    <mergeCell ref="RZS24:RZU24"/>
    <mergeCell ref="RZV24:RZX24"/>
    <mergeCell ref="RYO24:RYQ24"/>
    <mergeCell ref="RYR24:RYT24"/>
    <mergeCell ref="RYU24:RYW24"/>
    <mergeCell ref="RYX24:RYZ24"/>
    <mergeCell ref="RZA24:RZC24"/>
    <mergeCell ref="RZD24:RZF24"/>
    <mergeCell ref="SCA24:SCC24"/>
    <mergeCell ref="SCD24:SCF24"/>
    <mergeCell ref="SCG24:SCI24"/>
    <mergeCell ref="SCJ24:SCL24"/>
    <mergeCell ref="SCM24:SCO24"/>
    <mergeCell ref="SCP24:SCR24"/>
    <mergeCell ref="SBI24:SBK24"/>
    <mergeCell ref="SBL24:SBN24"/>
    <mergeCell ref="SBO24:SBQ24"/>
    <mergeCell ref="SBR24:SBT24"/>
    <mergeCell ref="SBU24:SBW24"/>
    <mergeCell ref="SBX24:SBZ24"/>
    <mergeCell ref="SAQ24:SAS24"/>
    <mergeCell ref="SAT24:SAV24"/>
    <mergeCell ref="SAW24:SAY24"/>
    <mergeCell ref="SAZ24:SBB24"/>
    <mergeCell ref="SBC24:SBE24"/>
    <mergeCell ref="SBF24:SBH24"/>
    <mergeCell ref="SEC24:SEE24"/>
    <mergeCell ref="SEF24:SEH24"/>
    <mergeCell ref="SEI24:SEK24"/>
    <mergeCell ref="SEL24:SEN24"/>
    <mergeCell ref="SEO24:SEQ24"/>
    <mergeCell ref="SER24:SET24"/>
    <mergeCell ref="SDK24:SDM24"/>
    <mergeCell ref="SDN24:SDP24"/>
    <mergeCell ref="SDQ24:SDS24"/>
    <mergeCell ref="SDT24:SDV24"/>
    <mergeCell ref="SDW24:SDY24"/>
    <mergeCell ref="SDZ24:SEB24"/>
    <mergeCell ref="SCS24:SCU24"/>
    <mergeCell ref="SCV24:SCX24"/>
    <mergeCell ref="SCY24:SDA24"/>
    <mergeCell ref="SDB24:SDD24"/>
    <mergeCell ref="SDE24:SDG24"/>
    <mergeCell ref="SDH24:SDJ24"/>
    <mergeCell ref="SGE24:SGG24"/>
    <mergeCell ref="SGH24:SGJ24"/>
    <mergeCell ref="SGK24:SGM24"/>
    <mergeCell ref="SGN24:SGP24"/>
    <mergeCell ref="SGQ24:SGS24"/>
    <mergeCell ref="SGT24:SGV24"/>
    <mergeCell ref="SFM24:SFO24"/>
    <mergeCell ref="SFP24:SFR24"/>
    <mergeCell ref="SFS24:SFU24"/>
    <mergeCell ref="SFV24:SFX24"/>
    <mergeCell ref="SFY24:SGA24"/>
    <mergeCell ref="SGB24:SGD24"/>
    <mergeCell ref="SEU24:SEW24"/>
    <mergeCell ref="SEX24:SEZ24"/>
    <mergeCell ref="SFA24:SFC24"/>
    <mergeCell ref="SFD24:SFF24"/>
    <mergeCell ref="SFG24:SFI24"/>
    <mergeCell ref="SFJ24:SFL24"/>
    <mergeCell ref="SIG24:SII24"/>
    <mergeCell ref="SIJ24:SIL24"/>
    <mergeCell ref="SIM24:SIO24"/>
    <mergeCell ref="SIP24:SIR24"/>
    <mergeCell ref="SIS24:SIU24"/>
    <mergeCell ref="SIV24:SIX24"/>
    <mergeCell ref="SHO24:SHQ24"/>
    <mergeCell ref="SHR24:SHT24"/>
    <mergeCell ref="SHU24:SHW24"/>
    <mergeCell ref="SHX24:SHZ24"/>
    <mergeCell ref="SIA24:SIC24"/>
    <mergeCell ref="SID24:SIF24"/>
    <mergeCell ref="SGW24:SGY24"/>
    <mergeCell ref="SGZ24:SHB24"/>
    <mergeCell ref="SHC24:SHE24"/>
    <mergeCell ref="SHF24:SHH24"/>
    <mergeCell ref="SHI24:SHK24"/>
    <mergeCell ref="SHL24:SHN24"/>
    <mergeCell ref="SKI24:SKK24"/>
    <mergeCell ref="SKL24:SKN24"/>
    <mergeCell ref="SKO24:SKQ24"/>
    <mergeCell ref="SKR24:SKT24"/>
    <mergeCell ref="SKU24:SKW24"/>
    <mergeCell ref="SKX24:SKZ24"/>
    <mergeCell ref="SJQ24:SJS24"/>
    <mergeCell ref="SJT24:SJV24"/>
    <mergeCell ref="SJW24:SJY24"/>
    <mergeCell ref="SJZ24:SKB24"/>
    <mergeCell ref="SKC24:SKE24"/>
    <mergeCell ref="SKF24:SKH24"/>
    <mergeCell ref="SIY24:SJA24"/>
    <mergeCell ref="SJB24:SJD24"/>
    <mergeCell ref="SJE24:SJG24"/>
    <mergeCell ref="SJH24:SJJ24"/>
    <mergeCell ref="SJK24:SJM24"/>
    <mergeCell ref="SJN24:SJP24"/>
    <mergeCell ref="SMK24:SMM24"/>
    <mergeCell ref="SMN24:SMP24"/>
    <mergeCell ref="SMQ24:SMS24"/>
    <mergeCell ref="SMT24:SMV24"/>
    <mergeCell ref="SMW24:SMY24"/>
    <mergeCell ref="SMZ24:SNB24"/>
    <mergeCell ref="SLS24:SLU24"/>
    <mergeCell ref="SLV24:SLX24"/>
    <mergeCell ref="SLY24:SMA24"/>
    <mergeCell ref="SMB24:SMD24"/>
    <mergeCell ref="SME24:SMG24"/>
    <mergeCell ref="SMH24:SMJ24"/>
    <mergeCell ref="SLA24:SLC24"/>
    <mergeCell ref="SLD24:SLF24"/>
    <mergeCell ref="SLG24:SLI24"/>
    <mergeCell ref="SLJ24:SLL24"/>
    <mergeCell ref="SLM24:SLO24"/>
    <mergeCell ref="SLP24:SLR24"/>
    <mergeCell ref="SOM24:SOO24"/>
    <mergeCell ref="SOP24:SOR24"/>
    <mergeCell ref="SOS24:SOU24"/>
    <mergeCell ref="SOV24:SOX24"/>
    <mergeCell ref="SOY24:SPA24"/>
    <mergeCell ref="SPB24:SPD24"/>
    <mergeCell ref="SNU24:SNW24"/>
    <mergeCell ref="SNX24:SNZ24"/>
    <mergeCell ref="SOA24:SOC24"/>
    <mergeCell ref="SOD24:SOF24"/>
    <mergeCell ref="SOG24:SOI24"/>
    <mergeCell ref="SOJ24:SOL24"/>
    <mergeCell ref="SNC24:SNE24"/>
    <mergeCell ref="SNF24:SNH24"/>
    <mergeCell ref="SNI24:SNK24"/>
    <mergeCell ref="SNL24:SNN24"/>
    <mergeCell ref="SNO24:SNQ24"/>
    <mergeCell ref="SNR24:SNT24"/>
    <mergeCell ref="SQO24:SQQ24"/>
    <mergeCell ref="SQR24:SQT24"/>
    <mergeCell ref="SQU24:SQW24"/>
    <mergeCell ref="SQX24:SQZ24"/>
    <mergeCell ref="SRA24:SRC24"/>
    <mergeCell ref="SRD24:SRF24"/>
    <mergeCell ref="SPW24:SPY24"/>
    <mergeCell ref="SPZ24:SQB24"/>
    <mergeCell ref="SQC24:SQE24"/>
    <mergeCell ref="SQF24:SQH24"/>
    <mergeCell ref="SQI24:SQK24"/>
    <mergeCell ref="SQL24:SQN24"/>
    <mergeCell ref="SPE24:SPG24"/>
    <mergeCell ref="SPH24:SPJ24"/>
    <mergeCell ref="SPK24:SPM24"/>
    <mergeCell ref="SPN24:SPP24"/>
    <mergeCell ref="SPQ24:SPS24"/>
    <mergeCell ref="SPT24:SPV24"/>
    <mergeCell ref="SSQ24:SSS24"/>
    <mergeCell ref="SST24:SSV24"/>
    <mergeCell ref="SSW24:SSY24"/>
    <mergeCell ref="SSZ24:STB24"/>
    <mergeCell ref="STC24:STE24"/>
    <mergeCell ref="STF24:STH24"/>
    <mergeCell ref="SRY24:SSA24"/>
    <mergeCell ref="SSB24:SSD24"/>
    <mergeCell ref="SSE24:SSG24"/>
    <mergeCell ref="SSH24:SSJ24"/>
    <mergeCell ref="SSK24:SSM24"/>
    <mergeCell ref="SSN24:SSP24"/>
    <mergeCell ref="SRG24:SRI24"/>
    <mergeCell ref="SRJ24:SRL24"/>
    <mergeCell ref="SRM24:SRO24"/>
    <mergeCell ref="SRP24:SRR24"/>
    <mergeCell ref="SRS24:SRU24"/>
    <mergeCell ref="SRV24:SRX24"/>
    <mergeCell ref="SUS24:SUU24"/>
    <mergeCell ref="SUV24:SUX24"/>
    <mergeCell ref="SUY24:SVA24"/>
    <mergeCell ref="SVB24:SVD24"/>
    <mergeCell ref="SVE24:SVG24"/>
    <mergeCell ref="SVH24:SVJ24"/>
    <mergeCell ref="SUA24:SUC24"/>
    <mergeCell ref="SUD24:SUF24"/>
    <mergeCell ref="SUG24:SUI24"/>
    <mergeCell ref="SUJ24:SUL24"/>
    <mergeCell ref="SUM24:SUO24"/>
    <mergeCell ref="SUP24:SUR24"/>
    <mergeCell ref="STI24:STK24"/>
    <mergeCell ref="STL24:STN24"/>
    <mergeCell ref="STO24:STQ24"/>
    <mergeCell ref="STR24:STT24"/>
    <mergeCell ref="STU24:STW24"/>
    <mergeCell ref="STX24:STZ24"/>
    <mergeCell ref="SWU24:SWW24"/>
    <mergeCell ref="SWX24:SWZ24"/>
    <mergeCell ref="SXA24:SXC24"/>
    <mergeCell ref="SXD24:SXF24"/>
    <mergeCell ref="SXG24:SXI24"/>
    <mergeCell ref="SXJ24:SXL24"/>
    <mergeCell ref="SWC24:SWE24"/>
    <mergeCell ref="SWF24:SWH24"/>
    <mergeCell ref="SWI24:SWK24"/>
    <mergeCell ref="SWL24:SWN24"/>
    <mergeCell ref="SWO24:SWQ24"/>
    <mergeCell ref="SWR24:SWT24"/>
    <mergeCell ref="SVK24:SVM24"/>
    <mergeCell ref="SVN24:SVP24"/>
    <mergeCell ref="SVQ24:SVS24"/>
    <mergeCell ref="SVT24:SVV24"/>
    <mergeCell ref="SVW24:SVY24"/>
    <mergeCell ref="SVZ24:SWB24"/>
    <mergeCell ref="SYW24:SYY24"/>
    <mergeCell ref="SYZ24:SZB24"/>
    <mergeCell ref="SZC24:SZE24"/>
    <mergeCell ref="SZF24:SZH24"/>
    <mergeCell ref="SZI24:SZK24"/>
    <mergeCell ref="SZL24:SZN24"/>
    <mergeCell ref="SYE24:SYG24"/>
    <mergeCell ref="SYH24:SYJ24"/>
    <mergeCell ref="SYK24:SYM24"/>
    <mergeCell ref="SYN24:SYP24"/>
    <mergeCell ref="SYQ24:SYS24"/>
    <mergeCell ref="SYT24:SYV24"/>
    <mergeCell ref="SXM24:SXO24"/>
    <mergeCell ref="SXP24:SXR24"/>
    <mergeCell ref="SXS24:SXU24"/>
    <mergeCell ref="SXV24:SXX24"/>
    <mergeCell ref="SXY24:SYA24"/>
    <mergeCell ref="SYB24:SYD24"/>
    <mergeCell ref="TAY24:TBA24"/>
    <mergeCell ref="TBB24:TBD24"/>
    <mergeCell ref="TBE24:TBG24"/>
    <mergeCell ref="TBH24:TBJ24"/>
    <mergeCell ref="TBK24:TBM24"/>
    <mergeCell ref="TBN24:TBP24"/>
    <mergeCell ref="TAG24:TAI24"/>
    <mergeCell ref="TAJ24:TAL24"/>
    <mergeCell ref="TAM24:TAO24"/>
    <mergeCell ref="TAP24:TAR24"/>
    <mergeCell ref="TAS24:TAU24"/>
    <mergeCell ref="TAV24:TAX24"/>
    <mergeCell ref="SZO24:SZQ24"/>
    <mergeCell ref="SZR24:SZT24"/>
    <mergeCell ref="SZU24:SZW24"/>
    <mergeCell ref="SZX24:SZZ24"/>
    <mergeCell ref="TAA24:TAC24"/>
    <mergeCell ref="TAD24:TAF24"/>
    <mergeCell ref="TDA24:TDC24"/>
    <mergeCell ref="TDD24:TDF24"/>
    <mergeCell ref="TDG24:TDI24"/>
    <mergeCell ref="TDJ24:TDL24"/>
    <mergeCell ref="TDM24:TDO24"/>
    <mergeCell ref="TDP24:TDR24"/>
    <mergeCell ref="TCI24:TCK24"/>
    <mergeCell ref="TCL24:TCN24"/>
    <mergeCell ref="TCO24:TCQ24"/>
    <mergeCell ref="TCR24:TCT24"/>
    <mergeCell ref="TCU24:TCW24"/>
    <mergeCell ref="TCX24:TCZ24"/>
    <mergeCell ref="TBQ24:TBS24"/>
    <mergeCell ref="TBT24:TBV24"/>
    <mergeCell ref="TBW24:TBY24"/>
    <mergeCell ref="TBZ24:TCB24"/>
    <mergeCell ref="TCC24:TCE24"/>
    <mergeCell ref="TCF24:TCH24"/>
    <mergeCell ref="TFC24:TFE24"/>
    <mergeCell ref="TFF24:TFH24"/>
    <mergeCell ref="TFI24:TFK24"/>
    <mergeCell ref="TFL24:TFN24"/>
    <mergeCell ref="TFO24:TFQ24"/>
    <mergeCell ref="TFR24:TFT24"/>
    <mergeCell ref="TEK24:TEM24"/>
    <mergeCell ref="TEN24:TEP24"/>
    <mergeCell ref="TEQ24:TES24"/>
    <mergeCell ref="TET24:TEV24"/>
    <mergeCell ref="TEW24:TEY24"/>
    <mergeCell ref="TEZ24:TFB24"/>
    <mergeCell ref="TDS24:TDU24"/>
    <mergeCell ref="TDV24:TDX24"/>
    <mergeCell ref="TDY24:TEA24"/>
    <mergeCell ref="TEB24:TED24"/>
    <mergeCell ref="TEE24:TEG24"/>
    <mergeCell ref="TEH24:TEJ24"/>
    <mergeCell ref="THE24:THG24"/>
    <mergeCell ref="THH24:THJ24"/>
    <mergeCell ref="THK24:THM24"/>
    <mergeCell ref="THN24:THP24"/>
    <mergeCell ref="THQ24:THS24"/>
    <mergeCell ref="THT24:THV24"/>
    <mergeCell ref="TGM24:TGO24"/>
    <mergeCell ref="TGP24:TGR24"/>
    <mergeCell ref="TGS24:TGU24"/>
    <mergeCell ref="TGV24:TGX24"/>
    <mergeCell ref="TGY24:THA24"/>
    <mergeCell ref="THB24:THD24"/>
    <mergeCell ref="TFU24:TFW24"/>
    <mergeCell ref="TFX24:TFZ24"/>
    <mergeCell ref="TGA24:TGC24"/>
    <mergeCell ref="TGD24:TGF24"/>
    <mergeCell ref="TGG24:TGI24"/>
    <mergeCell ref="TGJ24:TGL24"/>
    <mergeCell ref="TJG24:TJI24"/>
    <mergeCell ref="TJJ24:TJL24"/>
    <mergeCell ref="TJM24:TJO24"/>
    <mergeCell ref="TJP24:TJR24"/>
    <mergeCell ref="TJS24:TJU24"/>
    <mergeCell ref="TJV24:TJX24"/>
    <mergeCell ref="TIO24:TIQ24"/>
    <mergeCell ref="TIR24:TIT24"/>
    <mergeCell ref="TIU24:TIW24"/>
    <mergeCell ref="TIX24:TIZ24"/>
    <mergeCell ref="TJA24:TJC24"/>
    <mergeCell ref="TJD24:TJF24"/>
    <mergeCell ref="THW24:THY24"/>
    <mergeCell ref="THZ24:TIB24"/>
    <mergeCell ref="TIC24:TIE24"/>
    <mergeCell ref="TIF24:TIH24"/>
    <mergeCell ref="TII24:TIK24"/>
    <mergeCell ref="TIL24:TIN24"/>
    <mergeCell ref="TLI24:TLK24"/>
    <mergeCell ref="TLL24:TLN24"/>
    <mergeCell ref="TLO24:TLQ24"/>
    <mergeCell ref="TLR24:TLT24"/>
    <mergeCell ref="TLU24:TLW24"/>
    <mergeCell ref="TLX24:TLZ24"/>
    <mergeCell ref="TKQ24:TKS24"/>
    <mergeCell ref="TKT24:TKV24"/>
    <mergeCell ref="TKW24:TKY24"/>
    <mergeCell ref="TKZ24:TLB24"/>
    <mergeCell ref="TLC24:TLE24"/>
    <mergeCell ref="TLF24:TLH24"/>
    <mergeCell ref="TJY24:TKA24"/>
    <mergeCell ref="TKB24:TKD24"/>
    <mergeCell ref="TKE24:TKG24"/>
    <mergeCell ref="TKH24:TKJ24"/>
    <mergeCell ref="TKK24:TKM24"/>
    <mergeCell ref="TKN24:TKP24"/>
    <mergeCell ref="TNK24:TNM24"/>
    <mergeCell ref="TNN24:TNP24"/>
    <mergeCell ref="TNQ24:TNS24"/>
    <mergeCell ref="TNT24:TNV24"/>
    <mergeCell ref="TNW24:TNY24"/>
    <mergeCell ref="TNZ24:TOB24"/>
    <mergeCell ref="TMS24:TMU24"/>
    <mergeCell ref="TMV24:TMX24"/>
    <mergeCell ref="TMY24:TNA24"/>
    <mergeCell ref="TNB24:TND24"/>
    <mergeCell ref="TNE24:TNG24"/>
    <mergeCell ref="TNH24:TNJ24"/>
    <mergeCell ref="TMA24:TMC24"/>
    <mergeCell ref="TMD24:TMF24"/>
    <mergeCell ref="TMG24:TMI24"/>
    <mergeCell ref="TMJ24:TML24"/>
    <mergeCell ref="TMM24:TMO24"/>
    <mergeCell ref="TMP24:TMR24"/>
    <mergeCell ref="TPM24:TPO24"/>
    <mergeCell ref="TPP24:TPR24"/>
    <mergeCell ref="TPS24:TPU24"/>
    <mergeCell ref="TPV24:TPX24"/>
    <mergeCell ref="TPY24:TQA24"/>
    <mergeCell ref="TQB24:TQD24"/>
    <mergeCell ref="TOU24:TOW24"/>
    <mergeCell ref="TOX24:TOZ24"/>
    <mergeCell ref="TPA24:TPC24"/>
    <mergeCell ref="TPD24:TPF24"/>
    <mergeCell ref="TPG24:TPI24"/>
    <mergeCell ref="TPJ24:TPL24"/>
    <mergeCell ref="TOC24:TOE24"/>
    <mergeCell ref="TOF24:TOH24"/>
    <mergeCell ref="TOI24:TOK24"/>
    <mergeCell ref="TOL24:TON24"/>
    <mergeCell ref="TOO24:TOQ24"/>
    <mergeCell ref="TOR24:TOT24"/>
    <mergeCell ref="TRO24:TRQ24"/>
    <mergeCell ref="TRR24:TRT24"/>
    <mergeCell ref="TRU24:TRW24"/>
    <mergeCell ref="TRX24:TRZ24"/>
    <mergeCell ref="TSA24:TSC24"/>
    <mergeCell ref="TSD24:TSF24"/>
    <mergeCell ref="TQW24:TQY24"/>
    <mergeCell ref="TQZ24:TRB24"/>
    <mergeCell ref="TRC24:TRE24"/>
    <mergeCell ref="TRF24:TRH24"/>
    <mergeCell ref="TRI24:TRK24"/>
    <mergeCell ref="TRL24:TRN24"/>
    <mergeCell ref="TQE24:TQG24"/>
    <mergeCell ref="TQH24:TQJ24"/>
    <mergeCell ref="TQK24:TQM24"/>
    <mergeCell ref="TQN24:TQP24"/>
    <mergeCell ref="TQQ24:TQS24"/>
    <mergeCell ref="TQT24:TQV24"/>
    <mergeCell ref="TTQ24:TTS24"/>
    <mergeCell ref="TTT24:TTV24"/>
    <mergeCell ref="TTW24:TTY24"/>
    <mergeCell ref="TTZ24:TUB24"/>
    <mergeCell ref="TUC24:TUE24"/>
    <mergeCell ref="TUF24:TUH24"/>
    <mergeCell ref="TSY24:TTA24"/>
    <mergeCell ref="TTB24:TTD24"/>
    <mergeCell ref="TTE24:TTG24"/>
    <mergeCell ref="TTH24:TTJ24"/>
    <mergeCell ref="TTK24:TTM24"/>
    <mergeCell ref="TTN24:TTP24"/>
    <mergeCell ref="TSG24:TSI24"/>
    <mergeCell ref="TSJ24:TSL24"/>
    <mergeCell ref="TSM24:TSO24"/>
    <mergeCell ref="TSP24:TSR24"/>
    <mergeCell ref="TSS24:TSU24"/>
    <mergeCell ref="TSV24:TSX24"/>
    <mergeCell ref="TVS24:TVU24"/>
    <mergeCell ref="TVV24:TVX24"/>
    <mergeCell ref="TVY24:TWA24"/>
    <mergeCell ref="TWB24:TWD24"/>
    <mergeCell ref="TWE24:TWG24"/>
    <mergeCell ref="TWH24:TWJ24"/>
    <mergeCell ref="TVA24:TVC24"/>
    <mergeCell ref="TVD24:TVF24"/>
    <mergeCell ref="TVG24:TVI24"/>
    <mergeCell ref="TVJ24:TVL24"/>
    <mergeCell ref="TVM24:TVO24"/>
    <mergeCell ref="TVP24:TVR24"/>
    <mergeCell ref="TUI24:TUK24"/>
    <mergeCell ref="TUL24:TUN24"/>
    <mergeCell ref="TUO24:TUQ24"/>
    <mergeCell ref="TUR24:TUT24"/>
    <mergeCell ref="TUU24:TUW24"/>
    <mergeCell ref="TUX24:TUZ24"/>
    <mergeCell ref="TXU24:TXW24"/>
    <mergeCell ref="TXX24:TXZ24"/>
    <mergeCell ref="TYA24:TYC24"/>
    <mergeCell ref="TYD24:TYF24"/>
    <mergeCell ref="TYG24:TYI24"/>
    <mergeCell ref="TYJ24:TYL24"/>
    <mergeCell ref="TXC24:TXE24"/>
    <mergeCell ref="TXF24:TXH24"/>
    <mergeCell ref="TXI24:TXK24"/>
    <mergeCell ref="TXL24:TXN24"/>
    <mergeCell ref="TXO24:TXQ24"/>
    <mergeCell ref="TXR24:TXT24"/>
    <mergeCell ref="TWK24:TWM24"/>
    <mergeCell ref="TWN24:TWP24"/>
    <mergeCell ref="TWQ24:TWS24"/>
    <mergeCell ref="TWT24:TWV24"/>
    <mergeCell ref="TWW24:TWY24"/>
    <mergeCell ref="TWZ24:TXB24"/>
    <mergeCell ref="TZW24:TZY24"/>
    <mergeCell ref="TZZ24:UAB24"/>
    <mergeCell ref="UAC24:UAE24"/>
    <mergeCell ref="UAF24:UAH24"/>
    <mergeCell ref="UAI24:UAK24"/>
    <mergeCell ref="UAL24:UAN24"/>
    <mergeCell ref="TZE24:TZG24"/>
    <mergeCell ref="TZH24:TZJ24"/>
    <mergeCell ref="TZK24:TZM24"/>
    <mergeCell ref="TZN24:TZP24"/>
    <mergeCell ref="TZQ24:TZS24"/>
    <mergeCell ref="TZT24:TZV24"/>
    <mergeCell ref="TYM24:TYO24"/>
    <mergeCell ref="TYP24:TYR24"/>
    <mergeCell ref="TYS24:TYU24"/>
    <mergeCell ref="TYV24:TYX24"/>
    <mergeCell ref="TYY24:TZA24"/>
    <mergeCell ref="TZB24:TZD24"/>
    <mergeCell ref="UBY24:UCA24"/>
    <mergeCell ref="UCB24:UCD24"/>
    <mergeCell ref="UCE24:UCG24"/>
    <mergeCell ref="UCH24:UCJ24"/>
    <mergeCell ref="UCK24:UCM24"/>
    <mergeCell ref="UCN24:UCP24"/>
    <mergeCell ref="UBG24:UBI24"/>
    <mergeCell ref="UBJ24:UBL24"/>
    <mergeCell ref="UBM24:UBO24"/>
    <mergeCell ref="UBP24:UBR24"/>
    <mergeCell ref="UBS24:UBU24"/>
    <mergeCell ref="UBV24:UBX24"/>
    <mergeCell ref="UAO24:UAQ24"/>
    <mergeCell ref="UAR24:UAT24"/>
    <mergeCell ref="UAU24:UAW24"/>
    <mergeCell ref="UAX24:UAZ24"/>
    <mergeCell ref="UBA24:UBC24"/>
    <mergeCell ref="UBD24:UBF24"/>
    <mergeCell ref="UEA24:UEC24"/>
    <mergeCell ref="UED24:UEF24"/>
    <mergeCell ref="UEG24:UEI24"/>
    <mergeCell ref="UEJ24:UEL24"/>
    <mergeCell ref="UEM24:UEO24"/>
    <mergeCell ref="UEP24:UER24"/>
    <mergeCell ref="UDI24:UDK24"/>
    <mergeCell ref="UDL24:UDN24"/>
    <mergeCell ref="UDO24:UDQ24"/>
    <mergeCell ref="UDR24:UDT24"/>
    <mergeCell ref="UDU24:UDW24"/>
    <mergeCell ref="UDX24:UDZ24"/>
    <mergeCell ref="UCQ24:UCS24"/>
    <mergeCell ref="UCT24:UCV24"/>
    <mergeCell ref="UCW24:UCY24"/>
    <mergeCell ref="UCZ24:UDB24"/>
    <mergeCell ref="UDC24:UDE24"/>
    <mergeCell ref="UDF24:UDH24"/>
    <mergeCell ref="UGC24:UGE24"/>
    <mergeCell ref="UGF24:UGH24"/>
    <mergeCell ref="UGI24:UGK24"/>
    <mergeCell ref="UGL24:UGN24"/>
    <mergeCell ref="UGO24:UGQ24"/>
    <mergeCell ref="UGR24:UGT24"/>
    <mergeCell ref="UFK24:UFM24"/>
    <mergeCell ref="UFN24:UFP24"/>
    <mergeCell ref="UFQ24:UFS24"/>
    <mergeCell ref="UFT24:UFV24"/>
    <mergeCell ref="UFW24:UFY24"/>
    <mergeCell ref="UFZ24:UGB24"/>
    <mergeCell ref="UES24:UEU24"/>
    <mergeCell ref="UEV24:UEX24"/>
    <mergeCell ref="UEY24:UFA24"/>
    <mergeCell ref="UFB24:UFD24"/>
    <mergeCell ref="UFE24:UFG24"/>
    <mergeCell ref="UFH24:UFJ24"/>
    <mergeCell ref="UIE24:UIG24"/>
    <mergeCell ref="UIH24:UIJ24"/>
    <mergeCell ref="UIK24:UIM24"/>
    <mergeCell ref="UIN24:UIP24"/>
    <mergeCell ref="UIQ24:UIS24"/>
    <mergeCell ref="UIT24:UIV24"/>
    <mergeCell ref="UHM24:UHO24"/>
    <mergeCell ref="UHP24:UHR24"/>
    <mergeCell ref="UHS24:UHU24"/>
    <mergeCell ref="UHV24:UHX24"/>
    <mergeCell ref="UHY24:UIA24"/>
    <mergeCell ref="UIB24:UID24"/>
    <mergeCell ref="UGU24:UGW24"/>
    <mergeCell ref="UGX24:UGZ24"/>
    <mergeCell ref="UHA24:UHC24"/>
    <mergeCell ref="UHD24:UHF24"/>
    <mergeCell ref="UHG24:UHI24"/>
    <mergeCell ref="UHJ24:UHL24"/>
    <mergeCell ref="UKG24:UKI24"/>
    <mergeCell ref="UKJ24:UKL24"/>
    <mergeCell ref="UKM24:UKO24"/>
    <mergeCell ref="UKP24:UKR24"/>
    <mergeCell ref="UKS24:UKU24"/>
    <mergeCell ref="UKV24:UKX24"/>
    <mergeCell ref="UJO24:UJQ24"/>
    <mergeCell ref="UJR24:UJT24"/>
    <mergeCell ref="UJU24:UJW24"/>
    <mergeCell ref="UJX24:UJZ24"/>
    <mergeCell ref="UKA24:UKC24"/>
    <mergeCell ref="UKD24:UKF24"/>
    <mergeCell ref="UIW24:UIY24"/>
    <mergeCell ref="UIZ24:UJB24"/>
    <mergeCell ref="UJC24:UJE24"/>
    <mergeCell ref="UJF24:UJH24"/>
    <mergeCell ref="UJI24:UJK24"/>
    <mergeCell ref="UJL24:UJN24"/>
    <mergeCell ref="UMI24:UMK24"/>
    <mergeCell ref="UML24:UMN24"/>
    <mergeCell ref="UMO24:UMQ24"/>
    <mergeCell ref="UMR24:UMT24"/>
    <mergeCell ref="UMU24:UMW24"/>
    <mergeCell ref="UMX24:UMZ24"/>
    <mergeCell ref="ULQ24:ULS24"/>
    <mergeCell ref="ULT24:ULV24"/>
    <mergeCell ref="ULW24:ULY24"/>
    <mergeCell ref="ULZ24:UMB24"/>
    <mergeCell ref="UMC24:UME24"/>
    <mergeCell ref="UMF24:UMH24"/>
    <mergeCell ref="UKY24:ULA24"/>
    <mergeCell ref="ULB24:ULD24"/>
    <mergeCell ref="ULE24:ULG24"/>
    <mergeCell ref="ULH24:ULJ24"/>
    <mergeCell ref="ULK24:ULM24"/>
    <mergeCell ref="ULN24:ULP24"/>
    <mergeCell ref="UOK24:UOM24"/>
    <mergeCell ref="UON24:UOP24"/>
    <mergeCell ref="UOQ24:UOS24"/>
    <mergeCell ref="UOT24:UOV24"/>
    <mergeCell ref="UOW24:UOY24"/>
    <mergeCell ref="UOZ24:UPB24"/>
    <mergeCell ref="UNS24:UNU24"/>
    <mergeCell ref="UNV24:UNX24"/>
    <mergeCell ref="UNY24:UOA24"/>
    <mergeCell ref="UOB24:UOD24"/>
    <mergeCell ref="UOE24:UOG24"/>
    <mergeCell ref="UOH24:UOJ24"/>
    <mergeCell ref="UNA24:UNC24"/>
    <mergeCell ref="UND24:UNF24"/>
    <mergeCell ref="UNG24:UNI24"/>
    <mergeCell ref="UNJ24:UNL24"/>
    <mergeCell ref="UNM24:UNO24"/>
    <mergeCell ref="UNP24:UNR24"/>
    <mergeCell ref="UQM24:UQO24"/>
    <mergeCell ref="UQP24:UQR24"/>
    <mergeCell ref="UQS24:UQU24"/>
    <mergeCell ref="UQV24:UQX24"/>
    <mergeCell ref="UQY24:URA24"/>
    <mergeCell ref="URB24:URD24"/>
    <mergeCell ref="UPU24:UPW24"/>
    <mergeCell ref="UPX24:UPZ24"/>
    <mergeCell ref="UQA24:UQC24"/>
    <mergeCell ref="UQD24:UQF24"/>
    <mergeCell ref="UQG24:UQI24"/>
    <mergeCell ref="UQJ24:UQL24"/>
    <mergeCell ref="UPC24:UPE24"/>
    <mergeCell ref="UPF24:UPH24"/>
    <mergeCell ref="UPI24:UPK24"/>
    <mergeCell ref="UPL24:UPN24"/>
    <mergeCell ref="UPO24:UPQ24"/>
    <mergeCell ref="UPR24:UPT24"/>
    <mergeCell ref="USO24:USQ24"/>
    <mergeCell ref="USR24:UST24"/>
    <mergeCell ref="USU24:USW24"/>
    <mergeCell ref="USX24:USZ24"/>
    <mergeCell ref="UTA24:UTC24"/>
    <mergeCell ref="UTD24:UTF24"/>
    <mergeCell ref="URW24:URY24"/>
    <mergeCell ref="URZ24:USB24"/>
    <mergeCell ref="USC24:USE24"/>
    <mergeCell ref="USF24:USH24"/>
    <mergeCell ref="USI24:USK24"/>
    <mergeCell ref="USL24:USN24"/>
    <mergeCell ref="URE24:URG24"/>
    <mergeCell ref="URH24:URJ24"/>
    <mergeCell ref="URK24:URM24"/>
    <mergeCell ref="URN24:URP24"/>
    <mergeCell ref="URQ24:URS24"/>
    <mergeCell ref="URT24:URV24"/>
    <mergeCell ref="UUQ24:UUS24"/>
    <mergeCell ref="UUT24:UUV24"/>
    <mergeCell ref="UUW24:UUY24"/>
    <mergeCell ref="UUZ24:UVB24"/>
    <mergeCell ref="UVC24:UVE24"/>
    <mergeCell ref="UVF24:UVH24"/>
    <mergeCell ref="UTY24:UUA24"/>
    <mergeCell ref="UUB24:UUD24"/>
    <mergeCell ref="UUE24:UUG24"/>
    <mergeCell ref="UUH24:UUJ24"/>
    <mergeCell ref="UUK24:UUM24"/>
    <mergeCell ref="UUN24:UUP24"/>
    <mergeCell ref="UTG24:UTI24"/>
    <mergeCell ref="UTJ24:UTL24"/>
    <mergeCell ref="UTM24:UTO24"/>
    <mergeCell ref="UTP24:UTR24"/>
    <mergeCell ref="UTS24:UTU24"/>
    <mergeCell ref="UTV24:UTX24"/>
    <mergeCell ref="UWS24:UWU24"/>
    <mergeCell ref="UWV24:UWX24"/>
    <mergeCell ref="UWY24:UXA24"/>
    <mergeCell ref="UXB24:UXD24"/>
    <mergeCell ref="UXE24:UXG24"/>
    <mergeCell ref="UXH24:UXJ24"/>
    <mergeCell ref="UWA24:UWC24"/>
    <mergeCell ref="UWD24:UWF24"/>
    <mergeCell ref="UWG24:UWI24"/>
    <mergeCell ref="UWJ24:UWL24"/>
    <mergeCell ref="UWM24:UWO24"/>
    <mergeCell ref="UWP24:UWR24"/>
    <mergeCell ref="UVI24:UVK24"/>
    <mergeCell ref="UVL24:UVN24"/>
    <mergeCell ref="UVO24:UVQ24"/>
    <mergeCell ref="UVR24:UVT24"/>
    <mergeCell ref="UVU24:UVW24"/>
    <mergeCell ref="UVX24:UVZ24"/>
    <mergeCell ref="UYU24:UYW24"/>
    <mergeCell ref="UYX24:UYZ24"/>
    <mergeCell ref="UZA24:UZC24"/>
    <mergeCell ref="UZD24:UZF24"/>
    <mergeCell ref="UZG24:UZI24"/>
    <mergeCell ref="UZJ24:UZL24"/>
    <mergeCell ref="UYC24:UYE24"/>
    <mergeCell ref="UYF24:UYH24"/>
    <mergeCell ref="UYI24:UYK24"/>
    <mergeCell ref="UYL24:UYN24"/>
    <mergeCell ref="UYO24:UYQ24"/>
    <mergeCell ref="UYR24:UYT24"/>
    <mergeCell ref="UXK24:UXM24"/>
    <mergeCell ref="UXN24:UXP24"/>
    <mergeCell ref="UXQ24:UXS24"/>
    <mergeCell ref="UXT24:UXV24"/>
    <mergeCell ref="UXW24:UXY24"/>
    <mergeCell ref="UXZ24:UYB24"/>
    <mergeCell ref="VAW24:VAY24"/>
    <mergeCell ref="VAZ24:VBB24"/>
    <mergeCell ref="VBC24:VBE24"/>
    <mergeCell ref="VBF24:VBH24"/>
    <mergeCell ref="VBI24:VBK24"/>
    <mergeCell ref="VBL24:VBN24"/>
    <mergeCell ref="VAE24:VAG24"/>
    <mergeCell ref="VAH24:VAJ24"/>
    <mergeCell ref="VAK24:VAM24"/>
    <mergeCell ref="VAN24:VAP24"/>
    <mergeCell ref="VAQ24:VAS24"/>
    <mergeCell ref="VAT24:VAV24"/>
    <mergeCell ref="UZM24:UZO24"/>
    <mergeCell ref="UZP24:UZR24"/>
    <mergeCell ref="UZS24:UZU24"/>
    <mergeCell ref="UZV24:UZX24"/>
    <mergeCell ref="UZY24:VAA24"/>
    <mergeCell ref="VAB24:VAD24"/>
    <mergeCell ref="VCY24:VDA24"/>
    <mergeCell ref="VDB24:VDD24"/>
    <mergeCell ref="VDE24:VDG24"/>
    <mergeCell ref="VDH24:VDJ24"/>
    <mergeCell ref="VDK24:VDM24"/>
    <mergeCell ref="VDN24:VDP24"/>
    <mergeCell ref="VCG24:VCI24"/>
    <mergeCell ref="VCJ24:VCL24"/>
    <mergeCell ref="VCM24:VCO24"/>
    <mergeCell ref="VCP24:VCR24"/>
    <mergeCell ref="VCS24:VCU24"/>
    <mergeCell ref="VCV24:VCX24"/>
    <mergeCell ref="VBO24:VBQ24"/>
    <mergeCell ref="VBR24:VBT24"/>
    <mergeCell ref="VBU24:VBW24"/>
    <mergeCell ref="VBX24:VBZ24"/>
    <mergeCell ref="VCA24:VCC24"/>
    <mergeCell ref="VCD24:VCF24"/>
    <mergeCell ref="VFA24:VFC24"/>
    <mergeCell ref="VFD24:VFF24"/>
    <mergeCell ref="VFG24:VFI24"/>
    <mergeCell ref="VFJ24:VFL24"/>
    <mergeCell ref="VFM24:VFO24"/>
    <mergeCell ref="VFP24:VFR24"/>
    <mergeCell ref="VEI24:VEK24"/>
    <mergeCell ref="VEL24:VEN24"/>
    <mergeCell ref="VEO24:VEQ24"/>
    <mergeCell ref="VER24:VET24"/>
    <mergeCell ref="VEU24:VEW24"/>
    <mergeCell ref="VEX24:VEZ24"/>
    <mergeCell ref="VDQ24:VDS24"/>
    <mergeCell ref="VDT24:VDV24"/>
    <mergeCell ref="VDW24:VDY24"/>
    <mergeCell ref="VDZ24:VEB24"/>
    <mergeCell ref="VEC24:VEE24"/>
    <mergeCell ref="VEF24:VEH24"/>
    <mergeCell ref="VHC24:VHE24"/>
    <mergeCell ref="VHF24:VHH24"/>
    <mergeCell ref="VHI24:VHK24"/>
    <mergeCell ref="VHL24:VHN24"/>
    <mergeCell ref="VHO24:VHQ24"/>
    <mergeCell ref="VHR24:VHT24"/>
    <mergeCell ref="VGK24:VGM24"/>
    <mergeCell ref="VGN24:VGP24"/>
    <mergeCell ref="VGQ24:VGS24"/>
    <mergeCell ref="VGT24:VGV24"/>
    <mergeCell ref="VGW24:VGY24"/>
    <mergeCell ref="VGZ24:VHB24"/>
    <mergeCell ref="VFS24:VFU24"/>
    <mergeCell ref="VFV24:VFX24"/>
    <mergeCell ref="VFY24:VGA24"/>
    <mergeCell ref="VGB24:VGD24"/>
    <mergeCell ref="VGE24:VGG24"/>
    <mergeCell ref="VGH24:VGJ24"/>
    <mergeCell ref="VJE24:VJG24"/>
    <mergeCell ref="VJH24:VJJ24"/>
    <mergeCell ref="VJK24:VJM24"/>
    <mergeCell ref="VJN24:VJP24"/>
    <mergeCell ref="VJQ24:VJS24"/>
    <mergeCell ref="VJT24:VJV24"/>
    <mergeCell ref="VIM24:VIO24"/>
    <mergeCell ref="VIP24:VIR24"/>
    <mergeCell ref="VIS24:VIU24"/>
    <mergeCell ref="VIV24:VIX24"/>
    <mergeCell ref="VIY24:VJA24"/>
    <mergeCell ref="VJB24:VJD24"/>
    <mergeCell ref="VHU24:VHW24"/>
    <mergeCell ref="VHX24:VHZ24"/>
    <mergeCell ref="VIA24:VIC24"/>
    <mergeCell ref="VID24:VIF24"/>
    <mergeCell ref="VIG24:VII24"/>
    <mergeCell ref="VIJ24:VIL24"/>
    <mergeCell ref="VLG24:VLI24"/>
    <mergeCell ref="VLJ24:VLL24"/>
    <mergeCell ref="VLM24:VLO24"/>
    <mergeCell ref="VLP24:VLR24"/>
    <mergeCell ref="VLS24:VLU24"/>
    <mergeCell ref="VLV24:VLX24"/>
    <mergeCell ref="VKO24:VKQ24"/>
    <mergeCell ref="VKR24:VKT24"/>
    <mergeCell ref="VKU24:VKW24"/>
    <mergeCell ref="VKX24:VKZ24"/>
    <mergeCell ref="VLA24:VLC24"/>
    <mergeCell ref="VLD24:VLF24"/>
    <mergeCell ref="VJW24:VJY24"/>
    <mergeCell ref="VJZ24:VKB24"/>
    <mergeCell ref="VKC24:VKE24"/>
    <mergeCell ref="VKF24:VKH24"/>
    <mergeCell ref="VKI24:VKK24"/>
    <mergeCell ref="VKL24:VKN24"/>
    <mergeCell ref="VNI24:VNK24"/>
    <mergeCell ref="VNL24:VNN24"/>
    <mergeCell ref="VNO24:VNQ24"/>
    <mergeCell ref="VNR24:VNT24"/>
    <mergeCell ref="VNU24:VNW24"/>
    <mergeCell ref="VNX24:VNZ24"/>
    <mergeCell ref="VMQ24:VMS24"/>
    <mergeCell ref="VMT24:VMV24"/>
    <mergeCell ref="VMW24:VMY24"/>
    <mergeCell ref="VMZ24:VNB24"/>
    <mergeCell ref="VNC24:VNE24"/>
    <mergeCell ref="VNF24:VNH24"/>
    <mergeCell ref="VLY24:VMA24"/>
    <mergeCell ref="VMB24:VMD24"/>
    <mergeCell ref="VME24:VMG24"/>
    <mergeCell ref="VMH24:VMJ24"/>
    <mergeCell ref="VMK24:VMM24"/>
    <mergeCell ref="VMN24:VMP24"/>
    <mergeCell ref="VPK24:VPM24"/>
    <mergeCell ref="VPN24:VPP24"/>
    <mergeCell ref="VPQ24:VPS24"/>
    <mergeCell ref="VPT24:VPV24"/>
    <mergeCell ref="VPW24:VPY24"/>
    <mergeCell ref="VPZ24:VQB24"/>
    <mergeCell ref="VOS24:VOU24"/>
    <mergeCell ref="VOV24:VOX24"/>
    <mergeCell ref="VOY24:VPA24"/>
    <mergeCell ref="VPB24:VPD24"/>
    <mergeCell ref="VPE24:VPG24"/>
    <mergeCell ref="VPH24:VPJ24"/>
    <mergeCell ref="VOA24:VOC24"/>
    <mergeCell ref="VOD24:VOF24"/>
    <mergeCell ref="VOG24:VOI24"/>
    <mergeCell ref="VOJ24:VOL24"/>
    <mergeCell ref="VOM24:VOO24"/>
    <mergeCell ref="VOP24:VOR24"/>
    <mergeCell ref="VRM24:VRO24"/>
    <mergeCell ref="VRP24:VRR24"/>
    <mergeCell ref="VRS24:VRU24"/>
    <mergeCell ref="VRV24:VRX24"/>
    <mergeCell ref="VRY24:VSA24"/>
    <mergeCell ref="VSB24:VSD24"/>
    <mergeCell ref="VQU24:VQW24"/>
    <mergeCell ref="VQX24:VQZ24"/>
    <mergeCell ref="VRA24:VRC24"/>
    <mergeCell ref="VRD24:VRF24"/>
    <mergeCell ref="VRG24:VRI24"/>
    <mergeCell ref="VRJ24:VRL24"/>
    <mergeCell ref="VQC24:VQE24"/>
    <mergeCell ref="VQF24:VQH24"/>
    <mergeCell ref="VQI24:VQK24"/>
    <mergeCell ref="VQL24:VQN24"/>
    <mergeCell ref="VQO24:VQQ24"/>
    <mergeCell ref="VQR24:VQT24"/>
    <mergeCell ref="VTO24:VTQ24"/>
    <mergeCell ref="VTR24:VTT24"/>
    <mergeCell ref="VTU24:VTW24"/>
    <mergeCell ref="VTX24:VTZ24"/>
    <mergeCell ref="VUA24:VUC24"/>
    <mergeCell ref="VUD24:VUF24"/>
    <mergeCell ref="VSW24:VSY24"/>
    <mergeCell ref="VSZ24:VTB24"/>
    <mergeCell ref="VTC24:VTE24"/>
    <mergeCell ref="VTF24:VTH24"/>
    <mergeCell ref="VTI24:VTK24"/>
    <mergeCell ref="VTL24:VTN24"/>
    <mergeCell ref="VSE24:VSG24"/>
    <mergeCell ref="VSH24:VSJ24"/>
    <mergeCell ref="VSK24:VSM24"/>
    <mergeCell ref="VSN24:VSP24"/>
    <mergeCell ref="VSQ24:VSS24"/>
    <mergeCell ref="VST24:VSV24"/>
    <mergeCell ref="VVQ24:VVS24"/>
    <mergeCell ref="VVT24:VVV24"/>
    <mergeCell ref="VVW24:VVY24"/>
    <mergeCell ref="VVZ24:VWB24"/>
    <mergeCell ref="VWC24:VWE24"/>
    <mergeCell ref="VWF24:VWH24"/>
    <mergeCell ref="VUY24:VVA24"/>
    <mergeCell ref="VVB24:VVD24"/>
    <mergeCell ref="VVE24:VVG24"/>
    <mergeCell ref="VVH24:VVJ24"/>
    <mergeCell ref="VVK24:VVM24"/>
    <mergeCell ref="VVN24:VVP24"/>
    <mergeCell ref="VUG24:VUI24"/>
    <mergeCell ref="VUJ24:VUL24"/>
    <mergeCell ref="VUM24:VUO24"/>
    <mergeCell ref="VUP24:VUR24"/>
    <mergeCell ref="VUS24:VUU24"/>
    <mergeCell ref="VUV24:VUX24"/>
    <mergeCell ref="VXS24:VXU24"/>
    <mergeCell ref="VXV24:VXX24"/>
    <mergeCell ref="VXY24:VYA24"/>
    <mergeCell ref="VYB24:VYD24"/>
    <mergeCell ref="VYE24:VYG24"/>
    <mergeCell ref="VYH24:VYJ24"/>
    <mergeCell ref="VXA24:VXC24"/>
    <mergeCell ref="VXD24:VXF24"/>
    <mergeCell ref="VXG24:VXI24"/>
    <mergeCell ref="VXJ24:VXL24"/>
    <mergeCell ref="VXM24:VXO24"/>
    <mergeCell ref="VXP24:VXR24"/>
    <mergeCell ref="VWI24:VWK24"/>
    <mergeCell ref="VWL24:VWN24"/>
    <mergeCell ref="VWO24:VWQ24"/>
    <mergeCell ref="VWR24:VWT24"/>
    <mergeCell ref="VWU24:VWW24"/>
    <mergeCell ref="VWX24:VWZ24"/>
    <mergeCell ref="VZU24:VZW24"/>
    <mergeCell ref="VZX24:VZZ24"/>
    <mergeCell ref="WAA24:WAC24"/>
    <mergeCell ref="WAD24:WAF24"/>
    <mergeCell ref="WAG24:WAI24"/>
    <mergeCell ref="WAJ24:WAL24"/>
    <mergeCell ref="VZC24:VZE24"/>
    <mergeCell ref="VZF24:VZH24"/>
    <mergeCell ref="VZI24:VZK24"/>
    <mergeCell ref="VZL24:VZN24"/>
    <mergeCell ref="VZO24:VZQ24"/>
    <mergeCell ref="VZR24:VZT24"/>
    <mergeCell ref="VYK24:VYM24"/>
    <mergeCell ref="VYN24:VYP24"/>
    <mergeCell ref="VYQ24:VYS24"/>
    <mergeCell ref="VYT24:VYV24"/>
    <mergeCell ref="VYW24:VYY24"/>
    <mergeCell ref="VYZ24:VZB24"/>
    <mergeCell ref="WBW24:WBY24"/>
    <mergeCell ref="WBZ24:WCB24"/>
    <mergeCell ref="WCC24:WCE24"/>
    <mergeCell ref="WCF24:WCH24"/>
    <mergeCell ref="WCI24:WCK24"/>
    <mergeCell ref="WCL24:WCN24"/>
    <mergeCell ref="WBE24:WBG24"/>
    <mergeCell ref="WBH24:WBJ24"/>
    <mergeCell ref="WBK24:WBM24"/>
    <mergeCell ref="WBN24:WBP24"/>
    <mergeCell ref="WBQ24:WBS24"/>
    <mergeCell ref="WBT24:WBV24"/>
    <mergeCell ref="WAM24:WAO24"/>
    <mergeCell ref="WAP24:WAR24"/>
    <mergeCell ref="WAS24:WAU24"/>
    <mergeCell ref="WAV24:WAX24"/>
    <mergeCell ref="WAY24:WBA24"/>
    <mergeCell ref="WBB24:WBD24"/>
    <mergeCell ref="WDY24:WEA24"/>
    <mergeCell ref="WEB24:WED24"/>
    <mergeCell ref="WEE24:WEG24"/>
    <mergeCell ref="WEH24:WEJ24"/>
    <mergeCell ref="WEK24:WEM24"/>
    <mergeCell ref="WEN24:WEP24"/>
    <mergeCell ref="WDG24:WDI24"/>
    <mergeCell ref="WDJ24:WDL24"/>
    <mergeCell ref="WDM24:WDO24"/>
    <mergeCell ref="WDP24:WDR24"/>
    <mergeCell ref="WDS24:WDU24"/>
    <mergeCell ref="WDV24:WDX24"/>
    <mergeCell ref="WCO24:WCQ24"/>
    <mergeCell ref="WCR24:WCT24"/>
    <mergeCell ref="WCU24:WCW24"/>
    <mergeCell ref="WCX24:WCZ24"/>
    <mergeCell ref="WDA24:WDC24"/>
    <mergeCell ref="WDD24:WDF24"/>
    <mergeCell ref="WGA24:WGC24"/>
    <mergeCell ref="WGD24:WGF24"/>
    <mergeCell ref="WGG24:WGI24"/>
    <mergeCell ref="WGJ24:WGL24"/>
    <mergeCell ref="WGM24:WGO24"/>
    <mergeCell ref="WGP24:WGR24"/>
    <mergeCell ref="WFI24:WFK24"/>
    <mergeCell ref="WFL24:WFN24"/>
    <mergeCell ref="WFO24:WFQ24"/>
    <mergeCell ref="WFR24:WFT24"/>
    <mergeCell ref="WFU24:WFW24"/>
    <mergeCell ref="WFX24:WFZ24"/>
    <mergeCell ref="WEQ24:WES24"/>
    <mergeCell ref="WET24:WEV24"/>
    <mergeCell ref="WEW24:WEY24"/>
    <mergeCell ref="WEZ24:WFB24"/>
    <mergeCell ref="WFC24:WFE24"/>
    <mergeCell ref="WFF24:WFH24"/>
    <mergeCell ref="WIC24:WIE24"/>
    <mergeCell ref="WIF24:WIH24"/>
    <mergeCell ref="WII24:WIK24"/>
    <mergeCell ref="WIL24:WIN24"/>
    <mergeCell ref="WIO24:WIQ24"/>
    <mergeCell ref="WIR24:WIT24"/>
    <mergeCell ref="WHK24:WHM24"/>
    <mergeCell ref="WHN24:WHP24"/>
    <mergeCell ref="WHQ24:WHS24"/>
    <mergeCell ref="WHT24:WHV24"/>
    <mergeCell ref="WHW24:WHY24"/>
    <mergeCell ref="WHZ24:WIB24"/>
    <mergeCell ref="WGS24:WGU24"/>
    <mergeCell ref="WGV24:WGX24"/>
    <mergeCell ref="WGY24:WHA24"/>
    <mergeCell ref="WHB24:WHD24"/>
    <mergeCell ref="WHE24:WHG24"/>
    <mergeCell ref="WHH24:WHJ24"/>
    <mergeCell ref="WKE24:WKG24"/>
    <mergeCell ref="WKH24:WKJ24"/>
    <mergeCell ref="WKK24:WKM24"/>
    <mergeCell ref="WKN24:WKP24"/>
    <mergeCell ref="WKQ24:WKS24"/>
    <mergeCell ref="WKT24:WKV24"/>
    <mergeCell ref="WJM24:WJO24"/>
    <mergeCell ref="WJP24:WJR24"/>
    <mergeCell ref="WJS24:WJU24"/>
    <mergeCell ref="WJV24:WJX24"/>
    <mergeCell ref="WJY24:WKA24"/>
    <mergeCell ref="WKB24:WKD24"/>
    <mergeCell ref="WIU24:WIW24"/>
    <mergeCell ref="WIX24:WIZ24"/>
    <mergeCell ref="WJA24:WJC24"/>
    <mergeCell ref="WJD24:WJF24"/>
    <mergeCell ref="WJG24:WJI24"/>
    <mergeCell ref="WJJ24:WJL24"/>
    <mergeCell ref="WMG24:WMI24"/>
    <mergeCell ref="WMJ24:WML24"/>
    <mergeCell ref="WMM24:WMO24"/>
    <mergeCell ref="WMP24:WMR24"/>
    <mergeCell ref="WMS24:WMU24"/>
    <mergeCell ref="WMV24:WMX24"/>
    <mergeCell ref="WLO24:WLQ24"/>
    <mergeCell ref="WLR24:WLT24"/>
    <mergeCell ref="WLU24:WLW24"/>
    <mergeCell ref="WLX24:WLZ24"/>
    <mergeCell ref="WMA24:WMC24"/>
    <mergeCell ref="WMD24:WMF24"/>
    <mergeCell ref="WKW24:WKY24"/>
    <mergeCell ref="WKZ24:WLB24"/>
    <mergeCell ref="WLC24:WLE24"/>
    <mergeCell ref="WLF24:WLH24"/>
    <mergeCell ref="WLI24:WLK24"/>
    <mergeCell ref="WLL24:WLN24"/>
    <mergeCell ref="WOI24:WOK24"/>
    <mergeCell ref="WOL24:WON24"/>
    <mergeCell ref="WOO24:WOQ24"/>
    <mergeCell ref="WOR24:WOT24"/>
    <mergeCell ref="WOU24:WOW24"/>
    <mergeCell ref="WOX24:WOZ24"/>
    <mergeCell ref="WNQ24:WNS24"/>
    <mergeCell ref="WNT24:WNV24"/>
    <mergeCell ref="WNW24:WNY24"/>
    <mergeCell ref="WNZ24:WOB24"/>
    <mergeCell ref="WOC24:WOE24"/>
    <mergeCell ref="WOF24:WOH24"/>
    <mergeCell ref="WMY24:WNA24"/>
    <mergeCell ref="WNB24:WND24"/>
    <mergeCell ref="WNE24:WNG24"/>
    <mergeCell ref="WNH24:WNJ24"/>
    <mergeCell ref="WNK24:WNM24"/>
    <mergeCell ref="WNN24:WNP24"/>
    <mergeCell ref="WQK24:WQM24"/>
    <mergeCell ref="WQN24:WQP24"/>
    <mergeCell ref="WQQ24:WQS24"/>
    <mergeCell ref="WQT24:WQV24"/>
    <mergeCell ref="WQW24:WQY24"/>
    <mergeCell ref="WQZ24:WRB24"/>
    <mergeCell ref="WPS24:WPU24"/>
    <mergeCell ref="WPV24:WPX24"/>
    <mergeCell ref="WPY24:WQA24"/>
    <mergeCell ref="WQB24:WQD24"/>
    <mergeCell ref="WQE24:WQG24"/>
    <mergeCell ref="WQH24:WQJ24"/>
    <mergeCell ref="WPA24:WPC24"/>
    <mergeCell ref="WPD24:WPF24"/>
    <mergeCell ref="WPG24:WPI24"/>
    <mergeCell ref="WPJ24:WPL24"/>
    <mergeCell ref="WPM24:WPO24"/>
    <mergeCell ref="WPP24:WPR24"/>
    <mergeCell ref="WSM24:WSO24"/>
    <mergeCell ref="WSP24:WSR24"/>
    <mergeCell ref="WSS24:WSU24"/>
    <mergeCell ref="WSV24:WSX24"/>
    <mergeCell ref="WSY24:WTA24"/>
    <mergeCell ref="WTB24:WTD24"/>
    <mergeCell ref="WRU24:WRW24"/>
    <mergeCell ref="WRX24:WRZ24"/>
    <mergeCell ref="WSA24:WSC24"/>
    <mergeCell ref="WSD24:WSF24"/>
    <mergeCell ref="WSG24:WSI24"/>
    <mergeCell ref="WSJ24:WSL24"/>
    <mergeCell ref="WRC24:WRE24"/>
    <mergeCell ref="WRF24:WRH24"/>
    <mergeCell ref="WRI24:WRK24"/>
    <mergeCell ref="WRL24:WRN24"/>
    <mergeCell ref="WRO24:WRQ24"/>
    <mergeCell ref="WRR24:WRT24"/>
    <mergeCell ref="WUO24:WUQ24"/>
    <mergeCell ref="WUR24:WUT24"/>
    <mergeCell ref="WUU24:WUW24"/>
    <mergeCell ref="WUX24:WUZ24"/>
    <mergeCell ref="WVA24:WVC24"/>
    <mergeCell ref="WVD24:WVF24"/>
    <mergeCell ref="WTW24:WTY24"/>
    <mergeCell ref="WTZ24:WUB24"/>
    <mergeCell ref="WUC24:WUE24"/>
    <mergeCell ref="WUF24:WUH24"/>
    <mergeCell ref="WUI24:WUK24"/>
    <mergeCell ref="WUL24:WUN24"/>
    <mergeCell ref="WTE24:WTG24"/>
    <mergeCell ref="WTH24:WTJ24"/>
    <mergeCell ref="WTK24:WTM24"/>
    <mergeCell ref="WTN24:WTP24"/>
    <mergeCell ref="WTQ24:WTS24"/>
    <mergeCell ref="WTT24:WTV24"/>
    <mergeCell ref="WWQ24:WWS24"/>
    <mergeCell ref="WWT24:WWV24"/>
    <mergeCell ref="WWW24:WWY24"/>
    <mergeCell ref="WWZ24:WXB24"/>
    <mergeCell ref="WXC24:WXE24"/>
    <mergeCell ref="WXF24:WXH24"/>
    <mergeCell ref="WVY24:WWA24"/>
    <mergeCell ref="WWB24:WWD24"/>
    <mergeCell ref="WWE24:WWG24"/>
    <mergeCell ref="WWH24:WWJ24"/>
    <mergeCell ref="WWK24:WWM24"/>
    <mergeCell ref="WWN24:WWP24"/>
    <mergeCell ref="WVG24:WVI24"/>
    <mergeCell ref="WVJ24:WVL24"/>
    <mergeCell ref="WVM24:WVO24"/>
    <mergeCell ref="WVP24:WVR24"/>
    <mergeCell ref="WVS24:WVU24"/>
    <mergeCell ref="WVV24:WVX24"/>
    <mergeCell ref="WYS24:WYU24"/>
    <mergeCell ref="WYV24:WYX24"/>
    <mergeCell ref="WYY24:WZA24"/>
    <mergeCell ref="WZB24:WZD24"/>
    <mergeCell ref="WZE24:WZG24"/>
    <mergeCell ref="WZH24:WZJ24"/>
    <mergeCell ref="WYA24:WYC24"/>
    <mergeCell ref="WYD24:WYF24"/>
    <mergeCell ref="WYG24:WYI24"/>
    <mergeCell ref="WYJ24:WYL24"/>
    <mergeCell ref="WYM24:WYO24"/>
    <mergeCell ref="WYP24:WYR24"/>
    <mergeCell ref="WXI24:WXK24"/>
    <mergeCell ref="WXL24:WXN24"/>
    <mergeCell ref="WXO24:WXQ24"/>
    <mergeCell ref="WXR24:WXT24"/>
    <mergeCell ref="WXU24:WXW24"/>
    <mergeCell ref="WXX24:WXZ24"/>
    <mergeCell ref="XCB24:XCD24"/>
    <mergeCell ref="XAU24:XAW24"/>
    <mergeCell ref="XAX24:XAZ24"/>
    <mergeCell ref="XBA24:XBC24"/>
    <mergeCell ref="XBD24:XBF24"/>
    <mergeCell ref="XBG24:XBI24"/>
    <mergeCell ref="XBJ24:XBL24"/>
    <mergeCell ref="XAC24:XAE24"/>
    <mergeCell ref="XAF24:XAH24"/>
    <mergeCell ref="XAI24:XAK24"/>
    <mergeCell ref="XAL24:XAN24"/>
    <mergeCell ref="XAO24:XAQ24"/>
    <mergeCell ref="XAR24:XAT24"/>
    <mergeCell ref="WZK24:WZM24"/>
    <mergeCell ref="WZN24:WZP24"/>
    <mergeCell ref="WZQ24:WZS24"/>
    <mergeCell ref="WZT24:WZV24"/>
    <mergeCell ref="WZW24:WZY24"/>
    <mergeCell ref="WZZ24:XAB24"/>
    <mergeCell ref="XEY24:XFA24"/>
    <mergeCell ref="XFB24:XFD24"/>
    <mergeCell ref="A25:D25"/>
    <mergeCell ref="XEG24:XEI24"/>
    <mergeCell ref="XEJ24:XEL24"/>
    <mergeCell ref="XEM24:XEO24"/>
    <mergeCell ref="XEP24:XER24"/>
    <mergeCell ref="XES24:XEU24"/>
    <mergeCell ref="XEV24:XEX24"/>
    <mergeCell ref="XDO24:XDQ24"/>
    <mergeCell ref="XDR24:XDT24"/>
    <mergeCell ref="XDU24:XDW24"/>
    <mergeCell ref="XDX24:XDZ24"/>
    <mergeCell ref="XEA24:XEC24"/>
    <mergeCell ref="XED24:XEF24"/>
    <mergeCell ref="XCW24:XCY24"/>
    <mergeCell ref="XCZ24:XDB24"/>
    <mergeCell ref="XDC24:XDE24"/>
    <mergeCell ref="XDF24:XDH24"/>
    <mergeCell ref="XDI24:XDK24"/>
    <mergeCell ref="XDL24:XDN24"/>
    <mergeCell ref="XCE24:XCG24"/>
    <mergeCell ref="XCH24:XCJ24"/>
    <mergeCell ref="XCK24:XCM24"/>
    <mergeCell ref="XCN24:XCP24"/>
    <mergeCell ref="XCQ24:XCS24"/>
    <mergeCell ref="XCT24:XCV24"/>
    <mergeCell ref="XBM24:XBO24"/>
    <mergeCell ref="XBP24:XBR24"/>
    <mergeCell ref="XBS24:XBU24"/>
    <mergeCell ref="XBV24:XBX24"/>
    <mergeCell ref="XBY24:XCA24"/>
  </mergeCells>
  <pageMargins left="0.7" right="0.7" top="0.75" bottom="0.75" header="0.3" footer="0.3"/>
  <pageSetup paperSize="9" scale="56"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92D050"/>
  </sheetPr>
  <dimension ref="A1:IN290"/>
  <sheetViews>
    <sheetView showGridLines="0" view="pageBreakPreview" zoomScale="130" zoomScaleNormal="100" zoomScaleSheetLayoutView="130" workbookViewId="0">
      <pane ySplit="21" topLeftCell="A276" activePane="bottomLeft" state="frozen"/>
      <selection activeCell="B39" sqref="B39"/>
      <selection pane="bottomLeft" activeCell="K289" sqref="K289"/>
    </sheetView>
  </sheetViews>
  <sheetFormatPr defaultColWidth="8.85546875" defaultRowHeight="15.75"/>
  <cols>
    <col min="1" max="1" width="7.7109375" style="27" customWidth="1"/>
    <col min="2" max="2" width="19" style="27" customWidth="1"/>
    <col min="3" max="3" width="17.5703125" style="27" customWidth="1"/>
    <col min="4" max="4" width="19.5703125" style="27" bestFit="1" customWidth="1"/>
    <col min="5" max="5" width="19" style="27" customWidth="1"/>
    <col min="6" max="6" width="17.42578125" style="27" customWidth="1"/>
    <col min="7" max="7" width="21.7109375" style="27" customWidth="1"/>
    <col min="8" max="8" width="15.42578125" style="34" hidden="1" customWidth="1"/>
    <col min="9" max="9" width="8.85546875" style="27" customWidth="1"/>
    <col min="10" max="16384" width="8.85546875" style="27"/>
  </cols>
  <sheetData>
    <row r="1" spans="1:77" ht="6" customHeight="1">
      <c r="A1" s="2256"/>
      <c r="B1" s="2256"/>
      <c r="C1" s="2256"/>
      <c r="D1" s="2256"/>
      <c r="E1" s="2256"/>
      <c r="F1" s="2256"/>
      <c r="G1" s="2256"/>
    </row>
    <row r="2" spans="1:77" ht="16.5" customHeight="1">
      <c r="A2" s="2257" t="s">
        <v>2759</v>
      </c>
      <c r="B2" s="2257"/>
      <c r="C2" s="2257"/>
      <c r="D2" s="2257"/>
      <c r="E2" s="2257"/>
      <c r="F2" s="2257"/>
      <c r="G2" s="2257"/>
    </row>
    <row r="3" spans="1:77" ht="21.75" customHeight="1">
      <c r="A3" s="2258" t="s">
        <v>2760</v>
      </c>
      <c r="B3" s="2258"/>
      <c r="C3" s="2258"/>
      <c r="D3" s="2258"/>
      <c r="E3" s="2258"/>
      <c r="F3" s="2258"/>
      <c r="G3" s="2258"/>
    </row>
    <row r="4" spans="1:77" ht="9.75" customHeight="1">
      <c r="A4" s="531"/>
      <c r="B4" s="531"/>
      <c r="C4" s="531"/>
      <c r="D4" s="531"/>
      <c r="E4" s="531"/>
      <c r="F4" s="531"/>
      <c r="G4" s="531"/>
    </row>
    <row r="5" spans="1:77" ht="9.75" customHeight="1">
      <c r="A5" s="926"/>
      <c r="B5" s="926"/>
      <c r="C5" s="926"/>
      <c r="D5" s="926"/>
      <c r="E5" s="926"/>
      <c r="F5" s="926"/>
      <c r="G5" s="926"/>
    </row>
    <row r="6" spans="1:77">
      <c r="A6" s="2259" t="s">
        <v>182</v>
      </c>
      <c r="B6" s="2262" t="s">
        <v>49</v>
      </c>
      <c r="C6" s="2263"/>
      <c r="D6" s="2263"/>
      <c r="E6" s="2263"/>
      <c r="F6" s="2263"/>
      <c r="G6" s="2264"/>
    </row>
    <row r="7" spans="1:77">
      <c r="A7" s="2260"/>
      <c r="B7" s="910" t="s">
        <v>50</v>
      </c>
      <c r="C7" s="910" t="s">
        <v>51</v>
      </c>
      <c r="D7" s="910" t="s">
        <v>52</v>
      </c>
      <c r="E7" s="910" t="s">
        <v>51</v>
      </c>
      <c r="F7" s="910" t="s">
        <v>53</v>
      </c>
      <c r="G7" s="910" t="s">
        <v>54</v>
      </c>
      <c r="BY7" s="27">
        <f>BY9+BY20+BY29+BY36</f>
        <v>0</v>
      </c>
    </row>
    <row r="8" spans="1:77">
      <c r="A8" s="2261"/>
      <c r="B8" s="549" t="s">
        <v>8</v>
      </c>
      <c r="C8" s="911" t="s">
        <v>55</v>
      </c>
      <c r="D8" s="549" t="s">
        <v>8</v>
      </c>
      <c r="E8" s="911" t="s">
        <v>55</v>
      </c>
      <c r="F8" s="911" t="s">
        <v>56</v>
      </c>
      <c r="G8" s="911" t="s">
        <v>57</v>
      </c>
    </row>
    <row r="9" spans="1:77">
      <c r="A9" s="2268" t="s">
        <v>289</v>
      </c>
      <c r="B9" s="2265" t="s">
        <v>58</v>
      </c>
      <c r="C9" s="2266"/>
      <c r="D9" s="2266"/>
      <c r="E9" s="2266"/>
      <c r="F9" s="2266"/>
      <c r="G9" s="2267"/>
    </row>
    <row r="10" spans="1:77">
      <c r="A10" s="2269"/>
      <c r="B10" s="912" t="s">
        <v>3393</v>
      </c>
      <c r="C10" s="912" t="s">
        <v>59</v>
      </c>
      <c r="D10" s="550" t="s">
        <v>3394</v>
      </c>
      <c r="E10" s="912" t="s">
        <v>59</v>
      </c>
      <c r="F10" s="912" t="s">
        <v>60</v>
      </c>
      <c r="G10" s="912" t="s">
        <v>59</v>
      </c>
    </row>
    <row r="11" spans="1:77">
      <c r="A11" s="2270"/>
      <c r="B11" s="551" t="s">
        <v>8</v>
      </c>
      <c r="C11" s="913" t="s">
        <v>61</v>
      </c>
      <c r="D11" s="552" t="s">
        <v>8</v>
      </c>
      <c r="E11" s="913" t="s">
        <v>61</v>
      </c>
      <c r="F11" s="913" t="s">
        <v>62</v>
      </c>
      <c r="G11" s="913" t="s">
        <v>61</v>
      </c>
    </row>
    <row r="12" spans="1:77" hidden="1">
      <c r="A12" s="21">
        <v>1995</v>
      </c>
      <c r="B12" s="380">
        <v>316.89999999999998</v>
      </c>
      <c r="C12" s="20">
        <v>19.5</v>
      </c>
      <c r="D12" s="380">
        <v>428.4</v>
      </c>
      <c r="E12" s="20">
        <v>20.100000000000001</v>
      </c>
      <c r="F12" s="19">
        <v>-12.8</v>
      </c>
      <c r="G12" s="20">
        <v>0.6</v>
      </c>
    </row>
    <row r="13" spans="1:77" hidden="1">
      <c r="A13" s="21">
        <v>1996</v>
      </c>
      <c r="B13" s="22">
        <v>402.6</v>
      </c>
      <c r="C13" s="20">
        <v>18.2</v>
      </c>
      <c r="D13" s="381">
        <v>481.9</v>
      </c>
      <c r="E13" s="20">
        <v>17.600000000000001</v>
      </c>
      <c r="F13" s="19">
        <v>16.100000000000001</v>
      </c>
      <c r="G13" s="20">
        <v>0.6</v>
      </c>
    </row>
    <row r="14" spans="1:77" hidden="1">
      <c r="A14" s="21">
        <v>1997</v>
      </c>
      <c r="B14" s="22">
        <v>513</v>
      </c>
      <c r="C14" s="23">
        <v>16.2</v>
      </c>
      <c r="D14" s="381">
        <v>588.70000000000005</v>
      </c>
      <c r="E14" s="23">
        <v>18.600000000000001</v>
      </c>
      <c r="F14" s="22">
        <v>-75.7</v>
      </c>
      <c r="G14" s="23">
        <v>2.4</v>
      </c>
    </row>
    <row r="15" spans="1:77" hidden="1">
      <c r="A15" s="21">
        <v>1998</v>
      </c>
      <c r="B15" s="22">
        <v>465.5</v>
      </c>
      <c r="C15" s="23">
        <v>13.5</v>
      </c>
      <c r="D15" s="381">
        <v>528.29999999999995</v>
      </c>
      <c r="E15" s="23">
        <v>15.4</v>
      </c>
      <c r="F15" s="22">
        <v>-62.8</v>
      </c>
      <c r="G15" s="23">
        <v>1.8</v>
      </c>
    </row>
    <row r="16" spans="1:77" hidden="1">
      <c r="A16" s="21">
        <v>1999</v>
      </c>
      <c r="B16" s="22">
        <v>559.5</v>
      </c>
      <c r="C16" s="23">
        <v>14.6</v>
      </c>
      <c r="D16" s="381">
        <v>651.4</v>
      </c>
      <c r="E16" s="23">
        <v>17</v>
      </c>
      <c r="F16" s="22">
        <v>-91.8</v>
      </c>
      <c r="G16" s="23">
        <v>2.4</v>
      </c>
    </row>
    <row r="17" spans="1:7" hidden="1">
      <c r="A17" s="21">
        <v>2000</v>
      </c>
      <c r="B17" s="22">
        <v>714.6</v>
      </c>
      <c r="C17" s="23">
        <v>15.2</v>
      </c>
      <c r="D17" s="381">
        <v>764</v>
      </c>
      <c r="E17" s="23">
        <v>16.2</v>
      </c>
      <c r="F17" s="23">
        <f t="shared" ref="F17:F48" si="0">+B17-D17</f>
        <v>-49.399999999999977</v>
      </c>
      <c r="G17" s="23">
        <f>+E17-C17</f>
        <v>1</v>
      </c>
    </row>
    <row r="18" spans="1:7" hidden="1">
      <c r="A18" s="21">
        <v>2001</v>
      </c>
      <c r="B18" s="22">
        <v>784.8</v>
      </c>
      <c r="C18" s="23">
        <v>14.7</v>
      </c>
      <c r="D18" s="381">
        <v>807.5</v>
      </c>
      <c r="E18" s="23">
        <v>15.2</v>
      </c>
      <c r="F18" s="23">
        <f t="shared" si="0"/>
        <v>-22.700000000000045</v>
      </c>
      <c r="G18" s="23">
        <f>+E18-C18</f>
        <v>0.5</v>
      </c>
    </row>
    <row r="19" spans="1:7" hidden="1">
      <c r="A19" s="21">
        <v>2002</v>
      </c>
      <c r="B19" s="22">
        <v>910.2</v>
      </c>
      <c r="C19" s="23">
        <v>15</v>
      </c>
      <c r="D19" s="381">
        <v>931.8</v>
      </c>
      <c r="E19" s="23">
        <v>15.4</v>
      </c>
      <c r="F19" s="23">
        <f t="shared" si="0"/>
        <v>-21.599999999999909</v>
      </c>
      <c r="G19" s="23">
        <f>+E19-C19</f>
        <v>0.40000000000000036</v>
      </c>
    </row>
    <row r="20" spans="1:7" hidden="1">
      <c r="A20" s="21">
        <v>2003</v>
      </c>
      <c r="B20" s="22">
        <v>1220.9000000000001</v>
      </c>
      <c r="C20" s="23">
        <v>17.100000000000001</v>
      </c>
      <c r="D20" s="381">
        <v>1234.5</v>
      </c>
      <c r="E20" s="23">
        <v>17.3</v>
      </c>
      <c r="F20" s="23">
        <f t="shared" si="0"/>
        <v>-13.599999999999909</v>
      </c>
      <c r="G20" s="23">
        <f>+E20-C20</f>
        <v>0.19999999999999929</v>
      </c>
    </row>
    <row r="21" spans="1:7" hidden="1">
      <c r="A21" s="21">
        <v>2004</v>
      </c>
      <c r="B21" s="22">
        <v>1509.5</v>
      </c>
      <c r="C21" s="23">
        <v>17.399999999999999</v>
      </c>
      <c r="D21" s="381">
        <v>1502.1</v>
      </c>
      <c r="E21" s="23">
        <v>17.600000000000001</v>
      </c>
      <c r="F21" s="23">
        <f t="shared" si="0"/>
        <v>7.4000000000000909</v>
      </c>
      <c r="G21" s="23">
        <f>+E21-C21</f>
        <v>0.20000000000000284</v>
      </c>
    </row>
    <row r="22" spans="1:7">
      <c r="A22" s="610">
        <v>2005</v>
      </c>
      <c r="B22" s="611">
        <v>2055.2141799999999</v>
      </c>
      <c r="C22" s="612">
        <v>17.306072956313784</v>
      </c>
      <c r="D22" s="613">
        <v>2140.6999999999998</v>
      </c>
      <c r="E22" s="614">
        <v>18.026036579204415</v>
      </c>
      <c r="F22" s="925">
        <f t="shared" si="0"/>
        <v>-85.485819999999876</v>
      </c>
      <c r="G22" s="614">
        <v>-0.7</v>
      </c>
    </row>
    <row r="23" spans="1:7" hidden="1">
      <c r="A23" s="615" t="s">
        <v>18</v>
      </c>
      <c r="B23" s="611">
        <v>127.14</v>
      </c>
      <c r="C23" s="612">
        <v>19.37932506173216</v>
      </c>
      <c r="D23" s="613">
        <v>43.32</v>
      </c>
      <c r="E23" s="612">
        <v>6.6030545986647562</v>
      </c>
      <c r="F23" s="920">
        <f t="shared" si="0"/>
        <v>83.82</v>
      </c>
      <c r="G23" s="612">
        <v>12.8</v>
      </c>
    </row>
    <row r="24" spans="1:7" hidden="1">
      <c r="A24" s="615" t="s">
        <v>19</v>
      </c>
      <c r="B24" s="611">
        <v>245.08</v>
      </c>
      <c r="C24" s="612">
        <v>17.426547967803412</v>
      </c>
      <c r="D24" s="616">
        <v>219.14</v>
      </c>
      <c r="E24" s="612">
        <v>15.582070024744732</v>
      </c>
      <c r="F24" s="920">
        <f t="shared" si="0"/>
        <v>25.940000000000026</v>
      </c>
      <c r="G24" s="612">
        <v>1.8</v>
      </c>
    </row>
    <row r="25" spans="1:7" hidden="1">
      <c r="A25" s="615" t="s">
        <v>20</v>
      </c>
      <c r="B25" s="611">
        <v>446.7</v>
      </c>
      <c r="C25" s="612">
        <v>20.957269127554561</v>
      </c>
      <c r="D25" s="613">
        <v>390.36</v>
      </c>
      <c r="E25" s="612">
        <v>18.314035318182672</v>
      </c>
      <c r="F25" s="920">
        <f t="shared" si="0"/>
        <v>56.339999999999975</v>
      </c>
      <c r="G25" s="612">
        <v>2.64</v>
      </c>
    </row>
    <row r="26" spans="1:7" hidden="1">
      <c r="A26" s="615" t="s">
        <v>21</v>
      </c>
      <c r="B26" s="611">
        <v>592.66</v>
      </c>
      <c r="C26" s="612">
        <v>19.186392831244174</v>
      </c>
      <c r="D26" s="613">
        <v>550.96</v>
      </c>
      <c r="E26" s="612">
        <v>17.836423909665388</v>
      </c>
      <c r="F26" s="920">
        <f t="shared" si="0"/>
        <v>41.699999999999932</v>
      </c>
      <c r="G26" s="612">
        <v>1.4</v>
      </c>
    </row>
    <row r="27" spans="1:7" hidden="1">
      <c r="A27" s="615" t="s">
        <v>22</v>
      </c>
      <c r="B27" s="611">
        <v>733.26</v>
      </c>
      <c r="C27" s="612">
        <v>18.480172991718373</v>
      </c>
      <c r="D27" s="613">
        <v>734.44</v>
      </c>
      <c r="E27" s="612">
        <v>18.509912244003004</v>
      </c>
      <c r="F27" s="920">
        <f t="shared" si="0"/>
        <v>-1.1800000000000637</v>
      </c>
      <c r="G27" s="612">
        <v>0.03</v>
      </c>
    </row>
    <row r="28" spans="1:7" hidden="1">
      <c r="A28" s="615" t="s">
        <v>23</v>
      </c>
      <c r="B28" s="611">
        <v>912.54</v>
      </c>
      <c r="C28" s="612">
        <v>18.619389433220022</v>
      </c>
      <c r="D28" s="613">
        <v>904.42</v>
      </c>
      <c r="E28" s="612">
        <v>18.453709635953331</v>
      </c>
      <c r="F28" s="920">
        <f t="shared" si="0"/>
        <v>8.1200000000000045</v>
      </c>
      <c r="G28" s="612">
        <v>0.1</v>
      </c>
    </row>
    <row r="29" spans="1:7" hidden="1">
      <c r="A29" s="615" t="s">
        <v>24</v>
      </c>
      <c r="B29" s="611">
        <v>1102.4000000000001</v>
      </c>
      <c r="C29" s="612">
        <v>18.778766910940544</v>
      </c>
      <c r="D29" s="613">
        <v>1097.52</v>
      </c>
      <c r="E29" s="612">
        <v>18.695638842611991</v>
      </c>
      <c r="F29" s="920">
        <f t="shared" si="0"/>
        <v>4.8800000000001091</v>
      </c>
      <c r="G29" s="612">
        <v>0.1</v>
      </c>
    </row>
    <row r="30" spans="1:7" hidden="1">
      <c r="A30" s="615" t="s">
        <v>25</v>
      </c>
      <c r="B30" s="611">
        <v>1246.96</v>
      </c>
      <c r="C30" s="612">
        <v>17.457579660637286</v>
      </c>
      <c r="D30" s="613">
        <v>1259.48</v>
      </c>
      <c r="E30" s="612">
        <v>17.632861062888502</v>
      </c>
      <c r="F30" s="920">
        <f t="shared" si="0"/>
        <v>-12.519999999999982</v>
      </c>
      <c r="G30" s="612">
        <v>0.1</v>
      </c>
    </row>
    <row r="31" spans="1:7" hidden="1">
      <c r="A31" s="615" t="s">
        <v>26</v>
      </c>
      <c r="B31" s="611">
        <v>1451.68</v>
      </c>
      <c r="C31" s="612">
        <v>17.745441032298444</v>
      </c>
      <c r="D31" s="613">
        <v>1487</v>
      </c>
      <c r="E31" s="612">
        <v>18.177195259993788</v>
      </c>
      <c r="F31" s="920">
        <f t="shared" si="0"/>
        <v>-35.319999999999936</v>
      </c>
      <c r="G31" s="612">
        <v>0.5</v>
      </c>
    </row>
    <row r="32" spans="1:7" hidden="1">
      <c r="A32" s="615" t="s">
        <v>27</v>
      </c>
      <c r="B32" s="611">
        <v>1651.88</v>
      </c>
      <c r="C32" s="612">
        <v>17.802656366528577</v>
      </c>
      <c r="D32" s="613">
        <v>1695.12</v>
      </c>
      <c r="E32" s="612">
        <v>18.268662893206479</v>
      </c>
      <c r="F32" s="920">
        <f t="shared" si="0"/>
        <v>-43.239999999999782</v>
      </c>
      <c r="G32" s="612">
        <v>0.5</v>
      </c>
    </row>
    <row r="33" spans="1:9" hidden="1">
      <c r="A33" s="615" t="s">
        <v>28</v>
      </c>
      <c r="B33" s="611">
        <v>1844.9</v>
      </c>
      <c r="C33" s="612">
        <v>17.627656951979468</v>
      </c>
      <c r="D33" s="613">
        <v>1867.7</v>
      </c>
      <c r="E33" s="612">
        <v>17.845506471468401</v>
      </c>
      <c r="F33" s="920">
        <f t="shared" si="0"/>
        <v>-22.799999999999955</v>
      </c>
      <c r="G33" s="612">
        <v>0.2</v>
      </c>
    </row>
    <row r="34" spans="1:9" hidden="1">
      <c r="A34" s="615" t="s">
        <v>29</v>
      </c>
      <c r="B34" s="611">
        <v>2055.1999999999998</v>
      </c>
      <c r="C34" s="612">
        <v>17.306072956313784</v>
      </c>
      <c r="D34" s="613">
        <v>2140.6999999999998</v>
      </c>
      <c r="E34" s="612">
        <v>18.026036579204415</v>
      </c>
      <c r="F34" s="920">
        <f t="shared" si="0"/>
        <v>-85.5</v>
      </c>
      <c r="G34" s="612">
        <v>0.7</v>
      </c>
    </row>
    <row r="35" spans="1:9">
      <c r="A35" s="610">
        <v>2006</v>
      </c>
      <c r="B35" s="611">
        <v>3868.7730000000001</v>
      </c>
      <c r="C35" s="612">
        <v>21.88342223074234</v>
      </c>
      <c r="D35" s="613">
        <v>3790.1235999999999</v>
      </c>
      <c r="E35" s="612">
        <v>21.367516548450027</v>
      </c>
      <c r="F35" s="920">
        <f t="shared" si="0"/>
        <v>78.649400000000242</v>
      </c>
      <c r="G35" s="612">
        <v>0.51590568229231271</v>
      </c>
    </row>
    <row r="36" spans="1:9" hidden="1">
      <c r="A36" s="615" t="s">
        <v>18</v>
      </c>
      <c r="B36" s="611">
        <v>198.6</v>
      </c>
      <c r="C36" s="612">
        <v>19.600000000000001</v>
      </c>
      <c r="D36" s="613">
        <v>129.4</v>
      </c>
      <c r="E36" s="612">
        <v>12.7</v>
      </c>
      <c r="F36" s="920">
        <f t="shared" si="0"/>
        <v>69.199999999999989</v>
      </c>
      <c r="G36" s="612">
        <v>6.9</v>
      </c>
    </row>
    <row r="37" spans="1:9" hidden="1">
      <c r="A37" s="615" t="s">
        <v>19</v>
      </c>
      <c r="B37" s="611">
        <v>420.2</v>
      </c>
      <c r="C37" s="612">
        <v>18.8</v>
      </c>
      <c r="D37" s="613">
        <v>405.8</v>
      </c>
      <c r="E37" s="612">
        <v>18.2</v>
      </c>
      <c r="F37" s="920">
        <f t="shared" si="0"/>
        <v>14.399999999999977</v>
      </c>
      <c r="G37" s="612">
        <v>0.6</v>
      </c>
    </row>
    <row r="38" spans="1:9" hidden="1">
      <c r="A38" s="615" t="s">
        <v>20</v>
      </c>
      <c r="B38" s="611">
        <v>658.7</v>
      </c>
      <c r="C38" s="612">
        <v>20.399999999999999</v>
      </c>
      <c r="D38" s="613">
        <v>664.4</v>
      </c>
      <c r="E38" s="612">
        <v>20.6</v>
      </c>
      <c r="F38" s="920">
        <f t="shared" si="0"/>
        <v>-5.6999999999999318</v>
      </c>
      <c r="G38" s="612">
        <v>0.2</v>
      </c>
    </row>
    <row r="39" spans="1:9" hidden="1">
      <c r="A39" s="615" t="s">
        <v>21</v>
      </c>
      <c r="B39" s="612">
        <v>1078.5999999999999</v>
      </c>
      <c r="C39" s="612">
        <v>24.087183724513721</v>
      </c>
      <c r="D39" s="613">
        <v>910.6</v>
      </c>
      <c r="E39" s="612">
        <v>20.335425087652698</v>
      </c>
      <c r="F39" s="920">
        <f t="shared" si="0"/>
        <v>167.99999999999989</v>
      </c>
      <c r="G39" s="612">
        <v>3.7517586368610267</v>
      </c>
    </row>
    <row r="40" spans="1:9" hidden="1">
      <c r="A40" s="615" t="s">
        <v>22</v>
      </c>
      <c r="B40" s="612">
        <v>1292.3</v>
      </c>
      <c r="C40" s="612">
        <f t="shared" ref="C40:C47" si="1">B40/H40*100</f>
        <v>22.075881036573907</v>
      </c>
      <c r="D40" s="613">
        <v>1118.0999999999999</v>
      </c>
      <c r="E40" s="612">
        <f t="shared" ref="E40:E47" si="2">D40/H40*100</f>
        <v>19.100087121406244</v>
      </c>
      <c r="F40" s="920">
        <f t="shared" si="0"/>
        <v>174.20000000000005</v>
      </c>
      <c r="G40" s="612">
        <f t="shared" ref="G40:G47" si="3">F40/H40*100</f>
        <v>2.9757939151676669</v>
      </c>
      <c r="H40" s="35">
        <v>5853.9</v>
      </c>
    </row>
    <row r="41" spans="1:9" hidden="1">
      <c r="A41" s="615" t="s">
        <v>23</v>
      </c>
      <c r="B41" s="612">
        <v>1540.6</v>
      </c>
      <c r="C41" s="612">
        <f t="shared" si="1"/>
        <v>21.55770737714094</v>
      </c>
      <c r="D41" s="613">
        <v>1446</v>
      </c>
      <c r="E41" s="612">
        <f t="shared" si="2"/>
        <v>20.233963953878877</v>
      </c>
      <c r="F41" s="920">
        <f t="shared" si="0"/>
        <v>94.599999999999909</v>
      </c>
      <c r="G41" s="612">
        <f t="shared" si="3"/>
        <v>1.3237434232620608</v>
      </c>
      <c r="H41" s="35">
        <v>7146.4</v>
      </c>
    </row>
    <row r="42" spans="1:9" hidden="1">
      <c r="A42" s="615" t="s">
        <v>24</v>
      </c>
      <c r="B42" s="612">
        <v>2077.6999999999998</v>
      </c>
      <c r="C42" s="612">
        <f t="shared" si="1"/>
        <v>23.600840574771397</v>
      </c>
      <c r="D42" s="613">
        <v>1823.9</v>
      </c>
      <c r="E42" s="612">
        <f t="shared" si="2"/>
        <v>20.717896291247801</v>
      </c>
      <c r="F42" s="920">
        <f t="shared" si="0"/>
        <v>253.79999999999973</v>
      </c>
      <c r="G42" s="612">
        <f t="shared" si="3"/>
        <v>2.8829442835235954</v>
      </c>
      <c r="H42" s="35">
        <v>8803.5</v>
      </c>
    </row>
    <row r="43" spans="1:9" hidden="1">
      <c r="A43" s="615" t="s">
        <v>25</v>
      </c>
      <c r="B43" s="612">
        <v>2427.8000000000002</v>
      </c>
      <c r="C43" s="612">
        <f t="shared" si="1"/>
        <v>23.578428040051666</v>
      </c>
      <c r="D43" s="613">
        <v>2155.3000000000002</v>
      </c>
      <c r="E43" s="612">
        <f t="shared" si="2"/>
        <v>20.931949071061602</v>
      </c>
      <c r="F43" s="920">
        <f t="shared" si="0"/>
        <v>272.5</v>
      </c>
      <c r="G43" s="612">
        <f t="shared" si="3"/>
        <v>2.6464789689900647</v>
      </c>
      <c r="H43" s="35">
        <v>10296.700000000001</v>
      </c>
    </row>
    <row r="44" spans="1:9" hidden="1">
      <c r="A44" s="615" t="s">
        <v>26</v>
      </c>
      <c r="B44" s="612">
        <v>2683.6</v>
      </c>
      <c r="C44" s="612">
        <f t="shared" si="1"/>
        <v>21.080580038019825</v>
      </c>
      <c r="D44" s="613">
        <v>2420.9</v>
      </c>
      <c r="E44" s="612">
        <f t="shared" si="2"/>
        <v>19.016983236712697</v>
      </c>
      <c r="F44" s="920">
        <f t="shared" si="0"/>
        <v>262.69999999999982</v>
      </c>
      <c r="G44" s="612">
        <f t="shared" si="3"/>
        <v>2.0635968013071264</v>
      </c>
      <c r="H44" s="35">
        <v>12730.2</v>
      </c>
      <c r="I44" s="36"/>
    </row>
    <row r="45" spans="1:9" hidden="1">
      <c r="A45" s="615" t="s">
        <v>27</v>
      </c>
      <c r="B45" s="612">
        <v>3387.4</v>
      </c>
      <c r="C45" s="612">
        <f t="shared" si="1"/>
        <v>22.947066075952797</v>
      </c>
      <c r="D45" s="613">
        <v>2765.9</v>
      </c>
      <c r="E45" s="612">
        <f t="shared" si="2"/>
        <v>18.73687490685418</v>
      </c>
      <c r="F45" s="920">
        <f t="shared" si="0"/>
        <v>621.5</v>
      </c>
      <c r="G45" s="612">
        <f t="shared" si="3"/>
        <v>4.2101911690986196</v>
      </c>
      <c r="H45" s="37">
        <v>14761.8</v>
      </c>
    </row>
    <row r="46" spans="1:9" hidden="1">
      <c r="A46" s="615" t="s">
        <v>28</v>
      </c>
      <c r="B46" s="612">
        <v>3624.6</v>
      </c>
      <c r="C46" s="612">
        <f t="shared" si="1"/>
        <v>22.196773916984089</v>
      </c>
      <c r="D46" s="613">
        <v>3116.5</v>
      </c>
      <c r="E46" s="612">
        <f t="shared" si="2"/>
        <v>19.085208274645733</v>
      </c>
      <c r="F46" s="920">
        <f t="shared" si="0"/>
        <v>508.09999999999991</v>
      </c>
      <c r="G46" s="612">
        <f t="shared" si="3"/>
        <v>3.1115656423383586</v>
      </c>
      <c r="H46" s="24">
        <v>16329.4</v>
      </c>
    </row>
    <row r="47" spans="1:9" hidden="1">
      <c r="A47" s="615" t="s">
        <v>29</v>
      </c>
      <c r="B47" s="613">
        <v>3881.2</v>
      </c>
      <c r="C47" s="612">
        <f t="shared" si="1"/>
        <v>21.88342223074234</v>
      </c>
      <c r="D47" s="613">
        <v>3789.7</v>
      </c>
      <c r="E47" s="611">
        <f t="shared" si="2"/>
        <v>21.367516548450027</v>
      </c>
      <c r="F47" s="920">
        <f t="shared" si="0"/>
        <v>91.5</v>
      </c>
      <c r="G47" s="612">
        <f t="shared" si="3"/>
        <v>0.51590568229231271</v>
      </c>
      <c r="H47" s="24">
        <v>17735.8</v>
      </c>
    </row>
    <row r="48" spans="1:9" hidden="1">
      <c r="A48" s="615"/>
      <c r="B48" s="616"/>
      <c r="C48" s="612"/>
      <c r="D48" s="616"/>
      <c r="E48" s="612"/>
      <c r="F48" s="920">
        <f t="shared" si="0"/>
        <v>0</v>
      </c>
      <c r="G48" s="612"/>
      <c r="H48" s="24"/>
    </row>
    <row r="49" spans="1:8">
      <c r="A49" s="610">
        <v>2007</v>
      </c>
      <c r="B49" s="616">
        <v>6006.6</v>
      </c>
      <c r="C49" s="612">
        <v>23.809165176925731</v>
      </c>
      <c r="D49" s="616">
        <v>6086.19</v>
      </c>
      <c r="E49" s="612">
        <v>24.018851994403068</v>
      </c>
      <c r="F49" s="920">
        <f t="shared" ref="F49:F75" si="4">+B49-D49</f>
        <v>-79.589999999999236</v>
      </c>
      <c r="G49" s="612">
        <v>-0.209686817477337</v>
      </c>
      <c r="H49" s="24"/>
    </row>
    <row r="50" spans="1:8" hidden="1">
      <c r="A50" s="615" t="s">
        <v>18</v>
      </c>
      <c r="B50" s="616">
        <v>515.29999999999995</v>
      </c>
      <c r="C50" s="612">
        <f t="shared" ref="C50:C61" si="5">B50/H50*100</f>
        <v>31.287188828172429</v>
      </c>
      <c r="D50" s="613">
        <v>92</v>
      </c>
      <c r="E50" s="612">
        <f t="shared" ref="E50:E61" si="6">D50/H50*100</f>
        <v>5.5859137826350942</v>
      </c>
      <c r="F50" s="920">
        <f t="shared" si="4"/>
        <v>423.29999999999995</v>
      </c>
      <c r="G50" s="612">
        <f t="shared" ref="G50:G60" si="7">F50/H50*100</f>
        <v>25.701275045537336</v>
      </c>
      <c r="H50" s="24">
        <v>1647</v>
      </c>
    </row>
    <row r="51" spans="1:8" hidden="1">
      <c r="A51" s="615" t="s">
        <v>19</v>
      </c>
      <c r="B51" s="616">
        <v>777.1</v>
      </c>
      <c r="C51" s="612">
        <f t="shared" si="5"/>
        <v>23.742018270141457</v>
      </c>
      <c r="D51" s="613">
        <v>462.7</v>
      </c>
      <c r="E51" s="612">
        <f t="shared" si="6"/>
        <v>14.136445571476584</v>
      </c>
      <c r="F51" s="920">
        <f t="shared" si="4"/>
        <v>314.40000000000003</v>
      </c>
      <c r="G51" s="612">
        <f t="shared" si="7"/>
        <v>9.6055726986648757</v>
      </c>
      <c r="H51" s="24">
        <v>3273.1</v>
      </c>
    </row>
    <row r="52" spans="1:8" hidden="1">
      <c r="A52" s="615" t="s">
        <v>20</v>
      </c>
      <c r="B52" s="616">
        <v>1086.8</v>
      </c>
      <c r="C52" s="612">
        <f t="shared" si="5"/>
        <v>21.121778676099041</v>
      </c>
      <c r="D52" s="613">
        <v>834.6</v>
      </c>
      <c r="E52" s="612">
        <f t="shared" si="6"/>
        <v>16.220313289540172</v>
      </c>
      <c r="F52" s="920">
        <f t="shared" si="4"/>
        <v>252.19999999999993</v>
      </c>
      <c r="G52" s="612">
        <f t="shared" si="7"/>
        <v>4.9014653865588667</v>
      </c>
      <c r="H52" s="24">
        <v>5145.3999999999996</v>
      </c>
    </row>
    <row r="53" spans="1:8" hidden="1">
      <c r="A53" s="615" t="s">
        <v>21</v>
      </c>
      <c r="B53" s="612">
        <v>1869.1</v>
      </c>
      <c r="C53" s="612">
        <f t="shared" si="5"/>
        <v>27.150576682838963</v>
      </c>
      <c r="D53" s="613">
        <v>1305.7</v>
      </c>
      <c r="E53" s="612">
        <f t="shared" si="6"/>
        <v>18.966619215014092</v>
      </c>
      <c r="F53" s="920">
        <f t="shared" si="4"/>
        <v>563.39999999999986</v>
      </c>
      <c r="G53" s="612">
        <f t="shared" si="7"/>
        <v>8.1839574678248717</v>
      </c>
      <c r="H53" s="24">
        <v>6884.2</v>
      </c>
    </row>
    <row r="54" spans="1:8" hidden="1">
      <c r="A54" s="615" t="s">
        <v>22</v>
      </c>
      <c r="B54" s="612">
        <v>2210.1999999999998</v>
      </c>
      <c r="C54" s="612">
        <f t="shared" si="5"/>
        <v>25.221380317692166</v>
      </c>
      <c r="D54" s="613">
        <v>1731.3</v>
      </c>
      <c r="E54" s="612">
        <f t="shared" si="6"/>
        <v>19.756481650538614</v>
      </c>
      <c r="F54" s="920">
        <f t="shared" si="4"/>
        <v>478.89999999999986</v>
      </c>
      <c r="G54" s="612">
        <f t="shared" si="7"/>
        <v>5.4648986671535491</v>
      </c>
      <c r="H54" s="24">
        <v>8763.2000000000007</v>
      </c>
    </row>
    <row r="55" spans="1:8" hidden="1">
      <c r="A55" s="615" t="s">
        <v>23</v>
      </c>
      <c r="B55" s="612">
        <v>2582.3000000000002</v>
      </c>
      <c r="C55" s="612">
        <f t="shared" si="5"/>
        <v>24.196057119298381</v>
      </c>
      <c r="D55" s="613">
        <v>2284.8000000000002</v>
      </c>
      <c r="E55" s="612">
        <f t="shared" si="6"/>
        <v>21.408492935047416</v>
      </c>
      <c r="F55" s="920">
        <f t="shared" si="4"/>
        <v>297.5</v>
      </c>
      <c r="G55" s="612">
        <f t="shared" si="7"/>
        <v>2.7875641842509653</v>
      </c>
      <c r="H55" s="24">
        <v>10672.4</v>
      </c>
    </row>
    <row r="56" spans="1:8" hidden="1">
      <c r="A56" s="615" t="s">
        <v>24</v>
      </c>
      <c r="B56" s="612">
        <v>3615.6</v>
      </c>
      <c r="C56" s="612">
        <f t="shared" si="5"/>
        <v>28.380574110850333</v>
      </c>
      <c r="D56" s="613">
        <v>2896</v>
      </c>
      <c r="E56" s="612">
        <f t="shared" si="6"/>
        <v>22.73208945265587</v>
      </c>
      <c r="F56" s="920">
        <f t="shared" si="4"/>
        <v>719.59999999999991</v>
      </c>
      <c r="G56" s="612">
        <f t="shared" si="7"/>
        <v>5.6484846581944623</v>
      </c>
      <c r="H56" s="24">
        <v>12739.7</v>
      </c>
    </row>
    <row r="57" spans="1:8" hidden="1">
      <c r="A57" s="615" t="s">
        <v>25</v>
      </c>
      <c r="B57" s="612">
        <v>3963.6</v>
      </c>
      <c r="C57" s="612">
        <f t="shared" si="5"/>
        <v>26.751437596177208</v>
      </c>
      <c r="D57" s="613">
        <v>3388.5</v>
      </c>
      <c r="E57" s="612">
        <f t="shared" si="6"/>
        <v>22.869927917712804</v>
      </c>
      <c r="F57" s="920">
        <f t="shared" si="4"/>
        <v>575.09999999999991</v>
      </c>
      <c r="G57" s="612">
        <f t="shared" si="7"/>
        <v>3.8815096784644036</v>
      </c>
      <c r="H57" s="25">
        <v>14816.4</v>
      </c>
    </row>
    <row r="58" spans="1:8" hidden="1">
      <c r="A58" s="615" t="s">
        <v>26</v>
      </c>
      <c r="B58" s="612">
        <v>4383.3999999999996</v>
      </c>
      <c r="C58" s="612">
        <f t="shared" si="5"/>
        <v>26.39330443159923</v>
      </c>
      <c r="D58" s="613">
        <v>3985.9</v>
      </c>
      <c r="E58" s="612">
        <f t="shared" si="6"/>
        <v>23.999879576107901</v>
      </c>
      <c r="F58" s="920">
        <f t="shared" si="4"/>
        <v>397.49999999999955</v>
      </c>
      <c r="G58" s="612">
        <f t="shared" si="7"/>
        <v>2.3934248554913267</v>
      </c>
      <c r="H58" s="25">
        <v>16608</v>
      </c>
    </row>
    <row r="59" spans="1:8" hidden="1">
      <c r="A59" s="615" t="s">
        <v>27</v>
      </c>
      <c r="B59" s="612">
        <v>5224.1000000000004</v>
      </c>
      <c r="C59" s="612">
        <f t="shared" si="5"/>
        <v>27.877329291980622</v>
      </c>
      <c r="D59" s="613">
        <v>4402.8</v>
      </c>
      <c r="E59" s="612">
        <f t="shared" si="6"/>
        <v>23.494631689043526</v>
      </c>
      <c r="F59" s="920">
        <f t="shared" si="4"/>
        <v>821.30000000000018</v>
      </c>
      <c r="G59" s="612">
        <f t="shared" si="7"/>
        <v>4.382697602937097</v>
      </c>
      <c r="H59" s="25">
        <v>18739.599999999999</v>
      </c>
    </row>
    <row r="60" spans="1:8" hidden="1">
      <c r="A60" s="615" t="s">
        <v>28</v>
      </c>
      <c r="B60" s="612">
        <v>5566.1</v>
      </c>
      <c r="C60" s="612">
        <f t="shared" si="5"/>
        <v>26.736958401383422</v>
      </c>
      <c r="D60" s="613">
        <v>4841.3999999999996</v>
      </c>
      <c r="E60" s="612">
        <f t="shared" si="6"/>
        <v>23.255836295513497</v>
      </c>
      <c r="F60" s="920">
        <f t="shared" si="4"/>
        <v>724.70000000000073</v>
      </c>
      <c r="G60" s="612">
        <f t="shared" si="7"/>
        <v>3.4811221058699235</v>
      </c>
      <c r="H60" s="25">
        <v>20818</v>
      </c>
    </row>
    <row r="61" spans="1:8" hidden="1">
      <c r="A61" s="615" t="s">
        <v>29</v>
      </c>
      <c r="B61" s="612">
        <v>6006.6</v>
      </c>
      <c r="C61" s="612">
        <f t="shared" si="5"/>
        <v>23.809165176925731</v>
      </c>
      <c r="D61" s="613">
        <v>6059.5</v>
      </c>
      <c r="E61" s="612">
        <f t="shared" si="6"/>
        <v>24.018851994403068</v>
      </c>
      <c r="F61" s="920">
        <f t="shared" si="4"/>
        <v>-52.899999999999636</v>
      </c>
      <c r="G61" s="612">
        <f>-F61/H61*100</f>
        <v>0.20968681747733534</v>
      </c>
      <c r="H61" s="25">
        <v>25228.1</v>
      </c>
    </row>
    <row r="62" spans="1:8">
      <c r="A62" s="610">
        <v>2008</v>
      </c>
      <c r="B62" s="612">
        <v>10762</v>
      </c>
      <c r="C62" s="612">
        <v>26.813031302631973</v>
      </c>
      <c r="D62" s="613">
        <v>10774.2341</v>
      </c>
      <c r="E62" s="612">
        <v>26.608732049071687</v>
      </c>
      <c r="F62" s="920">
        <f t="shared" si="4"/>
        <v>-12.234099999999671</v>
      </c>
      <c r="G62" s="612">
        <v>0.20429925356028825</v>
      </c>
      <c r="H62" s="24"/>
    </row>
    <row r="63" spans="1:8" hidden="1">
      <c r="A63" s="615" t="s">
        <v>18</v>
      </c>
      <c r="B63" s="612">
        <v>978.3</v>
      </c>
      <c r="C63" s="612">
        <f t="shared" ref="C63:C73" si="8">B63/H63*100</f>
        <v>42.795275590551178</v>
      </c>
      <c r="D63" s="613">
        <v>179.5</v>
      </c>
      <c r="E63" s="612">
        <f t="shared" ref="E63:E73" si="9">D63/H63*100</f>
        <v>7.8521434820647409</v>
      </c>
      <c r="F63" s="920">
        <f t="shared" si="4"/>
        <v>798.8</v>
      </c>
      <c r="G63" s="612">
        <f t="shared" ref="G63:G73" si="10">F63/H63*100</f>
        <v>34.943132108486438</v>
      </c>
      <c r="H63" s="24">
        <v>2286</v>
      </c>
    </row>
    <row r="64" spans="1:8" hidden="1">
      <c r="A64" s="615" t="s">
        <v>19</v>
      </c>
      <c r="B64" s="612">
        <v>1425.1</v>
      </c>
      <c r="C64" s="612">
        <f t="shared" si="8"/>
        <v>29.895112229913991</v>
      </c>
      <c r="D64" s="613">
        <v>832.6</v>
      </c>
      <c r="E64" s="612">
        <f t="shared" si="9"/>
        <v>17.465911474722049</v>
      </c>
      <c r="F64" s="920">
        <f t="shared" si="4"/>
        <v>592.49999999999989</v>
      </c>
      <c r="G64" s="612">
        <f t="shared" si="10"/>
        <v>12.429200755191943</v>
      </c>
      <c r="H64" s="24">
        <v>4767</v>
      </c>
    </row>
    <row r="65" spans="1:8" s="36" customFormat="1" hidden="1">
      <c r="A65" s="615" t="s">
        <v>20</v>
      </c>
      <c r="B65" s="612">
        <v>1984.4</v>
      </c>
      <c r="C65" s="612">
        <f t="shared" si="8"/>
        <v>24.171112572778878</v>
      </c>
      <c r="D65" s="613">
        <v>1372.5</v>
      </c>
      <c r="E65" s="612">
        <f t="shared" si="9"/>
        <v>16.71782503836878</v>
      </c>
      <c r="F65" s="920">
        <f t="shared" si="4"/>
        <v>611.90000000000009</v>
      </c>
      <c r="G65" s="612">
        <f t="shared" si="10"/>
        <v>7.4532875344100971</v>
      </c>
      <c r="H65" s="24">
        <v>8209.7999999999993</v>
      </c>
    </row>
    <row r="66" spans="1:8" s="36" customFormat="1" hidden="1">
      <c r="A66" s="615" t="s">
        <v>21</v>
      </c>
      <c r="B66" s="611">
        <v>3427.5</v>
      </c>
      <c r="C66" s="612">
        <f t="shared" si="8"/>
        <v>30.678278615158781</v>
      </c>
      <c r="D66" s="613">
        <v>2131.1999999999998</v>
      </c>
      <c r="E66" s="612">
        <f t="shared" si="9"/>
        <v>19.075579105653215</v>
      </c>
      <c r="F66" s="920">
        <f t="shared" si="4"/>
        <v>1296.3000000000002</v>
      </c>
      <c r="G66" s="612">
        <f t="shared" si="10"/>
        <v>11.60269950950557</v>
      </c>
      <c r="H66" s="24">
        <v>11172.4</v>
      </c>
    </row>
    <row r="67" spans="1:8" s="36" customFormat="1" hidden="1">
      <c r="A67" s="615" t="s">
        <v>22</v>
      </c>
      <c r="B67" s="612">
        <v>4070.6</v>
      </c>
      <c r="C67" s="612">
        <f t="shared" si="8"/>
        <v>28.448625302265768</v>
      </c>
      <c r="D67" s="616">
        <v>2972.6</v>
      </c>
      <c r="E67" s="612">
        <f t="shared" si="9"/>
        <v>20.774918580434143</v>
      </c>
      <c r="F67" s="920">
        <f t="shared" si="4"/>
        <v>1098</v>
      </c>
      <c r="G67" s="612">
        <f t="shared" si="10"/>
        <v>7.6737067218316257</v>
      </c>
      <c r="H67" s="24">
        <v>14308.6</v>
      </c>
    </row>
    <row r="68" spans="1:8" s="36" customFormat="1" hidden="1">
      <c r="A68" s="615" t="s">
        <v>23</v>
      </c>
      <c r="B68" s="612">
        <v>4809.7</v>
      </c>
      <c r="C68" s="612">
        <f t="shared" si="8"/>
        <v>25.990370534483969</v>
      </c>
      <c r="D68" s="613">
        <v>4094.6</v>
      </c>
      <c r="E68" s="612">
        <f t="shared" si="9"/>
        <v>22.126155724992838</v>
      </c>
      <c r="F68" s="920">
        <f t="shared" si="4"/>
        <v>715.09999999999991</v>
      </c>
      <c r="G68" s="612">
        <f t="shared" si="10"/>
        <v>3.8642148094911288</v>
      </c>
      <c r="H68" s="24">
        <v>18505.7</v>
      </c>
    </row>
    <row r="69" spans="1:8" s="36" customFormat="1" hidden="1">
      <c r="A69" s="615" t="s">
        <v>24</v>
      </c>
      <c r="B69" s="612">
        <v>6038.9</v>
      </c>
      <c r="C69" s="612">
        <f t="shared" si="8"/>
        <v>26.236580629184392</v>
      </c>
      <c r="D69" s="613">
        <v>5106.5</v>
      </c>
      <c r="E69" s="612">
        <f t="shared" si="9"/>
        <v>22.185679342749523</v>
      </c>
      <c r="F69" s="920">
        <f t="shared" si="4"/>
        <v>932.39999999999964</v>
      </c>
      <c r="G69" s="612">
        <f t="shared" si="10"/>
        <v>4.0509012864348666</v>
      </c>
      <c r="H69" s="24">
        <v>23017.1</v>
      </c>
    </row>
    <row r="70" spans="1:8" s="36" customFormat="1" hidden="1">
      <c r="A70" s="615" t="s">
        <v>25</v>
      </c>
      <c r="B70" s="612">
        <v>6685.7</v>
      </c>
      <c r="C70" s="612">
        <f t="shared" si="8"/>
        <v>25.821588991151671</v>
      </c>
      <c r="D70" s="613">
        <v>5828.2</v>
      </c>
      <c r="E70" s="612">
        <f t="shared" si="9"/>
        <v>22.509742429099447</v>
      </c>
      <c r="F70" s="920">
        <f t="shared" si="4"/>
        <v>857.5</v>
      </c>
      <c r="G70" s="612">
        <f t="shared" si="10"/>
        <v>3.3118465620522244</v>
      </c>
      <c r="H70" s="24">
        <v>25891.9</v>
      </c>
    </row>
    <row r="71" spans="1:8" s="36" customFormat="1" hidden="1">
      <c r="A71" s="615" t="s">
        <v>26</v>
      </c>
      <c r="B71" s="612">
        <v>7606.5</v>
      </c>
      <c r="C71" s="612">
        <f t="shared" si="8"/>
        <v>25.045768248030974</v>
      </c>
      <c r="D71" s="613">
        <v>6719.1</v>
      </c>
      <c r="E71" s="612">
        <f t="shared" si="9"/>
        <v>22.123844269420225</v>
      </c>
      <c r="F71" s="920">
        <f t="shared" si="4"/>
        <v>887.39999999999964</v>
      </c>
      <c r="G71" s="612">
        <f t="shared" si="10"/>
        <v>2.9219239786107511</v>
      </c>
      <c r="H71" s="24">
        <v>30370.400000000001</v>
      </c>
    </row>
    <row r="72" spans="1:8" s="36" customFormat="1" hidden="1">
      <c r="A72" s="615" t="s">
        <v>27</v>
      </c>
      <c r="B72" s="612">
        <v>8736.2999999999993</v>
      </c>
      <c r="C72" s="612">
        <f t="shared" si="8"/>
        <v>26.845899503417076</v>
      </c>
      <c r="D72" s="613">
        <v>7598.4</v>
      </c>
      <c r="E72" s="612">
        <f t="shared" si="9"/>
        <v>23.349230542307879</v>
      </c>
      <c r="F72" s="920">
        <f t="shared" si="4"/>
        <v>1137.8999999999996</v>
      </c>
      <c r="G72" s="612">
        <f t="shared" si="10"/>
        <v>3.4966689611091977</v>
      </c>
      <c r="H72" s="24">
        <v>32542.400000000001</v>
      </c>
    </row>
    <row r="73" spans="1:8" s="36" customFormat="1" hidden="1">
      <c r="A73" s="615" t="s">
        <v>28</v>
      </c>
      <c r="B73" s="612">
        <v>9387.2999999999993</v>
      </c>
      <c r="C73" s="612">
        <f t="shared" si="8"/>
        <v>27.083489610681866</v>
      </c>
      <c r="D73" s="613">
        <v>8280.7999999999993</v>
      </c>
      <c r="E73" s="612">
        <f t="shared" si="9"/>
        <v>23.891104020126598</v>
      </c>
      <c r="F73" s="920">
        <f t="shared" si="4"/>
        <v>1106.5</v>
      </c>
      <c r="G73" s="612">
        <f t="shared" si="10"/>
        <v>3.1923855905552703</v>
      </c>
      <c r="H73" s="24">
        <v>34660.6</v>
      </c>
    </row>
    <row r="74" spans="1:8" s="36" customFormat="1" hidden="1">
      <c r="A74" s="615" t="s">
        <v>29</v>
      </c>
      <c r="B74" s="612">
        <v>10762</v>
      </c>
      <c r="C74" s="612">
        <v>26.813031302631973</v>
      </c>
      <c r="D74" s="613">
        <v>10680</v>
      </c>
      <c r="E74" s="612">
        <v>26.608732049071687</v>
      </c>
      <c r="F74" s="920">
        <f t="shared" si="4"/>
        <v>82</v>
      </c>
      <c r="G74" s="612">
        <v>0.20429925356028825</v>
      </c>
      <c r="H74" s="26">
        <v>40137.199999999997</v>
      </c>
    </row>
    <row r="75" spans="1:8" s="36" customFormat="1">
      <c r="A75" s="610">
        <v>2009</v>
      </c>
      <c r="B75" s="612">
        <v>10325.9</v>
      </c>
      <c r="C75" s="612">
        <v>29.862024888153694</v>
      </c>
      <c r="D75" s="616">
        <v>10503.8588</v>
      </c>
      <c r="E75" s="612">
        <v>30.561877687709487</v>
      </c>
      <c r="F75" s="920">
        <f t="shared" si="4"/>
        <v>-177.95880000000034</v>
      </c>
      <c r="G75" s="612">
        <v>-0.69985279955579605</v>
      </c>
      <c r="H75" s="26"/>
    </row>
    <row r="76" spans="1:8" s="36" customFormat="1" hidden="1">
      <c r="A76" s="615" t="s">
        <v>18</v>
      </c>
      <c r="B76" s="617">
        <v>997.4</v>
      </c>
      <c r="C76" s="617">
        <f t="shared" ref="C76:C86" si="11">B76/H76*100</f>
        <v>53.623655913978496</v>
      </c>
      <c r="D76" s="618">
        <v>241.5</v>
      </c>
      <c r="E76" s="617">
        <v>12.983870967741936</v>
      </c>
      <c r="F76" s="617">
        <v>755.9</v>
      </c>
      <c r="G76" s="617">
        <v>40.63978494623656</v>
      </c>
      <c r="H76" s="26">
        <v>1860</v>
      </c>
    </row>
    <row r="77" spans="1:8" s="36" customFormat="1" hidden="1">
      <c r="A77" s="615" t="s">
        <v>19</v>
      </c>
      <c r="B77" s="617">
        <v>1799.8</v>
      </c>
      <c r="C77" s="617">
        <f t="shared" si="11"/>
        <v>46.635400202109189</v>
      </c>
      <c r="D77" s="618">
        <v>1440</v>
      </c>
      <c r="E77" s="617">
        <v>37.312465991241936</v>
      </c>
      <c r="F77" s="617">
        <v>359.79999999999995</v>
      </c>
      <c r="G77" s="617">
        <v>9.3229342108672544</v>
      </c>
      <c r="H77" s="26">
        <v>3859.3</v>
      </c>
    </row>
    <row r="78" spans="1:8" s="36" customFormat="1" hidden="1">
      <c r="A78" s="615" t="s">
        <v>20</v>
      </c>
      <c r="B78" s="617">
        <v>2522.3000000000002</v>
      </c>
      <c r="C78" s="617">
        <f t="shared" si="11"/>
        <v>37.412857100477623</v>
      </c>
      <c r="D78" s="618">
        <v>2347.6999999999998</v>
      </c>
      <c r="E78" s="617">
        <v>34.823044290842205</v>
      </c>
      <c r="F78" s="617">
        <v>174.6</v>
      </c>
      <c r="G78" s="617">
        <v>2.5898128096354087</v>
      </c>
      <c r="H78" s="26">
        <v>6741.8</v>
      </c>
    </row>
    <row r="79" spans="1:8" s="36" customFormat="1" hidden="1">
      <c r="A79" s="615" t="s">
        <v>21</v>
      </c>
      <c r="B79" s="617">
        <v>3234.2</v>
      </c>
      <c r="C79" s="617">
        <f t="shared" si="11"/>
        <v>35.951534015117829</v>
      </c>
      <c r="D79" s="618">
        <v>2972.4</v>
      </c>
      <c r="E79" s="617">
        <v>33.041351711871947</v>
      </c>
      <c r="F79" s="617">
        <v>261.8</v>
      </c>
      <c r="G79" s="617">
        <v>2.9101823032458873</v>
      </c>
      <c r="H79" s="26">
        <v>8996</v>
      </c>
    </row>
    <row r="80" spans="1:8" s="36" customFormat="1" hidden="1">
      <c r="A80" s="615" t="s">
        <v>22</v>
      </c>
      <c r="B80" s="617">
        <v>3994.4</v>
      </c>
      <c r="C80" s="617">
        <f t="shared" si="11"/>
        <v>35.143100975708464</v>
      </c>
      <c r="D80" s="618">
        <v>3657.4</v>
      </c>
      <c r="E80" s="617">
        <v>32.178143778428833</v>
      </c>
      <c r="F80" s="617">
        <v>337</v>
      </c>
      <c r="G80" s="617">
        <v>2.9649571972796296</v>
      </c>
      <c r="H80" s="26">
        <v>11366.1</v>
      </c>
    </row>
    <row r="81" spans="1:8" s="918" customFormat="1" hidden="1">
      <c r="A81" s="924" t="s">
        <v>23</v>
      </c>
      <c r="B81" s="919">
        <v>4861.8999999999996</v>
      </c>
      <c r="C81" s="919">
        <f t="shared" si="11"/>
        <v>34.028570028765998</v>
      </c>
      <c r="D81" s="923">
        <v>4437.8999999999996</v>
      </c>
      <c r="E81" s="919">
        <v>31.060982523429239</v>
      </c>
      <c r="F81" s="919">
        <f>+B81-D81</f>
        <v>424</v>
      </c>
      <c r="G81" s="919">
        <v>2.9675875053367582</v>
      </c>
      <c r="H81" s="922">
        <v>14287.7</v>
      </c>
    </row>
    <row r="82" spans="1:8" s="918" customFormat="1" hidden="1">
      <c r="A82" s="924" t="s">
        <v>24</v>
      </c>
      <c r="B82" s="919">
        <v>5708.7</v>
      </c>
      <c r="C82" s="919">
        <f t="shared" si="11"/>
        <v>32.928791855334119</v>
      </c>
      <c r="D82" s="923">
        <v>5276</v>
      </c>
      <c r="E82" s="919">
        <v>30.432901681423587</v>
      </c>
      <c r="F82" s="919">
        <v>432.69999999999982</v>
      </c>
      <c r="G82" s="919">
        <v>2.4958901739105346</v>
      </c>
      <c r="H82" s="922">
        <v>17336.5</v>
      </c>
    </row>
    <row r="83" spans="1:8" s="918" customFormat="1" hidden="1">
      <c r="A83" s="924" t="s">
        <v>25</v>
      </c>
      <c r="B83" s="919">
        <v>6539.1</v>
      </c>
      <c r="C83" s="919">
        <f t="shared" si="11"/>
        <v>31.700116346713209</v>
      </c>
      <c r="D83" s="923">
        <v>5861.4</v>
      </c>
      <c r="E83" s="919">
        <f>D83/H83*100</f>
        <v>28.414776032577077</v>
      </c>
      <c r="F83" s="919">
        <v>677.70000000000073</v>
      </c>
      <c r="G83" s="919">
        <f>F83/H83*100</f>
        <v>3.2853403141361293</v>
      </c>
      <c r="H83" s="922">
        <v>20628</v>
      </c>
    </row>
    <row r="84" spans="1:8" s="918" customFormat="1" hidden="1">
      <c r="A84" s="924" t="s">
        <v>26</v>
      </c>
      <c r="B84" s="919">
        <v>7235</v>
      </c>
      <c r="C84" s="919">
        <f t="shared" si="11"/>
        <v>27.150764612064922</v>
      </c>
      <c r="D84" s="923">
        <v>6456.8</v>
      </c>
      <c r="E84" s="919">
        <f>D84/H84*100</f>
        <v>24.230415611220565</v>
      </c>
      <c r="F84" s="919">
        <v>778.2</v>
      </c>
      <c r="G84" s="919">
        <f>F84/H84*100</f>
        <v>2.9203490008443569</v>
      </c>
      <c r="H84" s="922">
        <v>26647.5</v>
      </c>
    </row>
    <row r="85" spans="1:8" s="918" customFormat="1" hidden="1">
      <c r="A85" s="924" t="s">
        <v>27</v>
      </c>
      <c r="B85" s="919">
        <v>8342.2000000000007</v>
      </c>
      <c r="C85" s="919">
        <f t="shared" si="11"/>
        <v>31.305751008537392</v>
      </c>
      <c r="D85" s="923">
        <v>7178.9</v>
      </c>
      <c r="E85" s="919">
        <f>D85/H85*100</f>
        <v>26.940238296275449</v>
      </c>
      <c r="F85" s="919">
        <v>1163.3000000000011</v>
      </c>
      <c r="G85" s="919">
        <f>F85/H85*100</f>
        <v>4.3655127122619426</v>
      </c>
      <c r="H85" s="922">
        <v>26647.5</v>
      </c>
    </row>
    <row r="86" spans="1:8" s="918" customFormat="1" hidden="1">
      <c r="A86" s="924" t="s">
        <v>28</v>
      </c>
      <c r="B86" s="919">
        <v>8919.1</v>
      </c>
      <c r="C86" s="919">
        <f t="shared" si="11"/>
        <v>30.077021130227759</v>
      </c>
      <c r="D86" s="923">
        <v>7892.2</v>
      </c>
      <c r="E86" s="919">
        <f>D86/H86*100</f>
        <v>26.614105253218767</v>
      </c>
      <c r="F86" s="919">
        <v>1026.9000000000005</v>
      </c>
      <c r="G86" s="919">
        <f>F86/H86*100</f>
        <v>3.4629158770089923</v>
      </c>
      <c r="H86" s="922">
        <v>29654.2</v>
      </c>
    </row>
    <row r="87" spans="1:8" s="918" customFormat="1" hidden="1">
      <c r="A87" s="924" t="s">
        <v>29</v>
      </c>
      <c r="B87" s="919">
        <v>10325.9</v>
      </c>
      <c r="C87" s="919">
        <v>29.862024888153694</v>
      </c>
      <c r="D87" s="923">
        <v>10567.9</v>
      </c>
      <c r="E87" s="919">
        <v>30.561877687709487</v>
      </c>
      <c r="F87" s="919">
        <v>-242</v>
      </c>
      <c r="G87" s="919">
        <v>0.69985279955579593</v>
      </c>
      <c r="H87" s="922">
        <v>34578.699999999997</v>
      </c>
    </row>
    <row r="88" spans="1:8" s="918" customFormat="1">
      <c r="A88" s="610">
        <v>2010</v>
      </c>
      <c r="B88" s="612">
        <v>11403</v>
      </c>
      <c r="C88" s="920">
        <v>27.426535849927962</v>
      </c>
      <c r="D88" s="613">
        <v>11765.9</v>
      </c>
      <c r="E88" s="920">
        <v>28.30086567070839</v>
      </c>
      <c r="F88" s="920">
        <v>-363.5</v>
      </c>
      <c r="G88" s="920">
        <v>0.87432982078042665</v>
      </c>
      <c r="H88" s="26"/>
    </row>
    <row r="89" spans="1:8" s="918" customFormat="1" hidden="1">
      <c r="A89" s="615" t="s">
        <v>18</v>
      </c>
      <c r="B89" s="617">
        <v>973</v>
      </c>
      <c r="C89" s="919">
        <v>30.292652552926526</v>
      </c>
      <c r="D89" s="618">
        <v>320.39999999999998</v>
      </c>
      <c r="E89" s="919">
        <v>9.9750933997509339</v>
      </c>
      <c r="F89" s="919">
        <v>652.6</v>
      </c>
      <c r="G89" s="919">
        <v>20.317559153175594</v>
      </c>
      <c r="H89" s="26">
        <v>3212</v>
      </c>
    </row>
    <row r="90" spans="1:8" s="918" customFormat="1" hidden="1">
      <c r="A90" s="615" t="s">
        <v>19</v>
      </c>
      <c r="B90" s="617">
        <v>1632.3</v>
      </c>
      <c r="C90" s="919">
        <v>26.636749347258487</v>
      </c>
      <c r="D90" s="618">
        <v>1081.5999999999999</v>
      </c>
      <c r="E90" s="919">
        <v>17.650130548302869</v>
      </c>
      <c r="F90" s="919">
        <v>550.70000000000005</v>
      </c>
      <c r="G90" s="919">
        <v>8.9866187989556146</v>
      </c>
      <c r="H90" s="26">
        <v>6128</v>
      </c>
    </row>
    <row r="91" spans="1:8" s="918" customFormat="1" hidden="1">
      <c r="A91" s="615" t="s">
        <v>20</v>
      </c>
      <c r="B91" s="617">
        <v>2446.1999999999998</v>
      </c>
      <c r="C91" s="919">
        <v>25.61036894342309</v>
      </c>
      <c r="D91" s="618">
        <v>1979.1</v>
      </c>
      <c r="E91" s="919">
        <v>20.720088780937225</v>
      </c>
      <c r="F91" s="919">
        <v>467.09999999999991</v>
      </c>
      <c r="G91" s="919">
        <v>4.8902801624858654</v>
      </c>
      <c r="H91" s="26">
        <v>9551.6</v>
      </c>
    </row>
    <row r="92" spans="1:8" s="918" customFormat="1" hidden="1">
      <c r="A92" s="615" t="s">
        <v>21</v>
      </c>
      <c r="B92" s="617">
        <v>3232.6</v>
      </c>
      <c r="C92" s="919">
        <v>24.895070427958629</v>
      </c>
      <c r="D92" s="618">
        <v>2779.9</v>
      </c>
      <c r="E92" s="919">
        <v>21.408713197637258</v>
      </c>
      <c r="F92" s="919">
        <v>452.69999999999982</v>
      </c>
      <c r="G92" s="919">
        <v>3.4863572303213721</v>
      </c>
      <c r="H92" s="26">
        <v>12984.9</v>
      </c>
    </row>
    <row r="93" spans="1:8" s="918" customFormat="1" hidden="1">
      <c r="A93" s="615" t="s">
        <v>22</v>
      </c>
      <c r="B93" s="617">
        <v>4096.2</v>
      </c>
      <c r="C93" s="919">
        <v>24.774554097944222</v>
      </c>
      <c r="D93" s="618">
        <v>3559.1</v>
      </c>
      <c r="E93" s="919">
        <v>21.526076727208945</v>
      </c>
      <c r="F93" s="919">
        <v>537.09999999999991</v>
      </c>
      <c r="G93" s="919">
        <v>3.2484773707352761</v>
      </c>
      <c r="H93" s="26">
        <v>16533.900000000001</v>
      </c>
    </row>
    <row r="94" spans="1:8" s="918" customFormat="1" hidden="1">
      <c r="A94" s="615" t="s">
        <v>23</v>
      </c>
      <c r="B94" s="617">
        <v>4922.7</v>
      </c>
      <c r="C94" s="919">
        <v>25.01371951219512</v>
      </c>
      <c r="D94" s="618">
        <v>4276.7</v>
      </c>
      <c r="E94" s="919">
        <v>21.731199186991869</v>
      </c>
      <c r="F94" s="919">
        <v>646</v>
      </c>
      <c r="G94" s="919">
        <v>3.2825203252032518</v>
      </c>
      <c r="H94" s="26">
        <v>19680</v>
      </c>
    </row>
    <row r="95" spans="1:8" s="918" customFormat="1" hidden="1">
      <c r="A95" s="615" t="s">
        <v>24</v>
      </c>
      <c r="B95" s="617">
        <v>5734.2</v>
      </c>
      <c r="C95" s="919">
        <v>24.76473458952178</v>
      </c>
      <c r="D95" s="618">
        <v>5244.1</v>
      </c>
      <c r="E95" s="919">
        <v>22.648101681300126</v>
      </c>
      <c r="F95" s="919">
        <v>490.09999999999945</v>
      </c>
      <c r="G95" s="919">
        <v>2.1166329082216544</v>
      </c>
      <c r="H95" s="26">
        <v>23154.7</v>
      </c>
    </row>
    <row r="96" spans="1:8" s="918" customFormat="1" hidden="1">
      <c r="A96" s="615" t="s">
        <v>25</v>
      </c>
      <c r="B96" s="617">
        <v>6708.9</v>
      </c>
      <c r="C96" s="919">
        <v>25.616656993615788</v>
      </c>
      <c r="D96" s="618">
        <v>6044.5</v>
      </c>
      <c r="E96" s="919">
        <v>23.079772123285579</v>
      </c>
      <c r="F96" s="919">
        <v>664.39999999999964</v>
      </c>
      <c r="G96" s="919">
        <v>2.5368848703302063</v>
      </c>
      <c r="H96" s="26">
        <v>26189.599999999999</v>
      </c>
    </row>
    <row r="97" spans="1:248" s="918" customFormat="1" hidden="1">
      <c r="A97" s="615" t="s">
        <v>26</v>
      </c>
      <c r="B97" s="617">
        <v>7504.5</v>
      </c>
      <c r="C97" s="919">
        <v>25.605636686229015</v>
      </c>
      <c r="D97" s="618">
        <v>6836.6</v>
      </c>
      <c r="E97" s="919">
        <v>23.326736727173468</v>
      </c>
      <c r="F97" s="919">
        <v>667.89999999999964</v>
      </c>
      <c r="G97" s="919">
        <v>2.2788999590555465</v>
      </c>
      <c r="H97" s="26">
        <v>29308</v>
      </c>
    </row>
    <row r="98" spans="1:248" s="918" customFormat="1" hidden="1">
      <c r="A98" s="615" t="s">
        <v>27</v>
      </c>
      <c r="B98" s="617">
        <v>8418.2999999999993</v>
      </c>
      <c r="C98" s="919">
        <v>25.902860044000676</v>
      </c>
      <c r="D98" s="618">
        <v>7643.8</v>
      </c>
      <c r="E98" s="919">
        <v>23.519746457637812</v>
      </c>
      <c r="F98" s="919">
        <v>774.49999999999909</v>
      </c>
      <c r="G98" s="919">
        <v>2.3831135863628643</v>
      </c>
      <c r="H98" s="26">
        <v>32499.5</v>
      </c>
    </row>
    <row r="99" spans="1:248" hidden="1">
      <c r="A99" s="615" t="s">
        <v>28</v>
      </c>
      <c r="B99" s="617">
        <v>9192</v>
      </c>
      <c r="C99" s="919">
        <v>25.131645860332352</v>
      </c>
      <c r="D99" s="618">
        <v>8421</v>
      </c>
      <c r="E99" s="919">
        <v>23.023671648156956</v>
      </c>
      <c r="F99" s="919">
        <v>771</v>
      </c>
      <c r="G99" s="919">
        <v>2.1079742121753968</v>
      </c>
      <c r="H99" s="26">
        <v>32499.5</v>
      </c>
      <c r="I99" s="918"/>
      <c r="J99" s="918"/>
      <c r="K99" s="918"/>
      <c r="L99" s="918"/>
      <c r="M99" s="918"/>
      <c r="N99" s="918"/>
      <c r="O99" s="918"/>
      <c r="P99" s="918"/>
      <c r="Q99" s="918"/>
      <c r="R99" s="918"/>
      <c r="S99" s="918"/>
      <c r="T99" s="918"/>
      <c r="U99" s="918"/>
      <c r="V99" s="918"/>
      <c r="W99" s="918"/>
      <c r="X99" s="918"/>
      <c r="Y99" s="918"/>
      <c r="Z99" s="918"/>
      <c r="AA99" s="918"/>
      <c r="AB99" s="918"/>
      <c r="AC99" s="918"/>
      <c r="AD99" s="918"/>
      <c r="AE99" s="918"/>
      <c r="AF99" s="918"/>
      <c r="AG99" s="918"/>
      <c r="AH99" s="918"/>
      <c r="AI99" s="918"/>
      <c r="AJ99" s="918"/>
      <c r="AK99" s="918"/>
      <c r="AL99" s="918"/>
      <c r="AM99" s="918"/>
      <c r="AN99" s="918"/>
      <c r="AO99" s="918"/>
      <c r="AP99" s="918"/>
      <c r="AQ99" s="918"/>
      <c r="AR99" s="918"/>
      <c r="AS99" s="918"/>
      <c r="AT99" s="918"/>
      <c r="AU99" s="918"/>
      <c r="AV99" s="918"/>
      <c r="AW99" s="918"/>
      <c r="AX99" s="918"/>
      <c r="AY99" s="918"/>
      <c r="AZ99" s="918"/>
      <c r="BA99" s="918"/>
      <c r="BB99" s="918"/>
      <c r="BC99" s="918"/>
      <c r="BD99" s="918"/>
      <c r="BE99" s="918"/>
      <c r="BF99" s="918"/>
      <c r="BG99" s="918"/>
      <c r="BH99" s="918"/>
      <c r="BI99" s="918"/>
      <c r="BJ99" s="918"/>
      <c r="BK99" s="918"/>
      <c r="BL99" s="918"/>
      <c r="BM99" s="918"/>
      <c r="BN99" s="918"/>
      <c r="BO99" s="918"/>
      <c r="BP99" s="918"/>
      <c r="BQ99" s="918"/>
      <c r="BR99" s="918"/>
      <c r="BS99" s="918"/>
      <c r="BT99" s="918"/>
      <c r="BU99" s="918"/>
      <c r="BV99" s="918"/>
      <c r="BW99" s="918"/>
      <c r="BX99" s="918"/>
      <c r="BY99" s="918"/>
      <c r="BZ99" s="918"/>
      <c r="CA99" s="918"/>
      <c r="CB99" s="918"/>
      <c r="CC99" s="918"/>
      <c r="CD99" s="918"/>
      <c r="CE99" s="918"/>
      <c r="CF99" s="918"/>
      <c r="CG99" s="918"/>
      <c r="CH99" s="918"/>
      <c r="CI99" s="918"/>
      <c r="CJ99" s="918"/>
      <c r="CK99" s="918"/>
      <c r="CL99" s="918"/>
      <c r="CM99" s="918"/>
      <c r="CN99" s="918"/>
      <c r="CO99" s="918"/>
      <c r="CP99" s="918"/>
      <c r="CQ99" s="918"/>
      <c r="CR99" s="918"/>
      <c r="CS99" s="918"/>
      <c r="CT99" s="918"/>
      <c r="CU99" s="918"/>
      <c r="CV99" s="918"/>
      <c r="CW99" s="918"/>
      <c r="CX99" s="918"/>
      <c r="CY99" s="918"/>
      <c r="CZ99" s="918"/>
      <c r="DA99" s="918"/>
      <c r="DB99" s="918"/>
      <c r="DC99" s="918"/>
      <c r="DD99" s="918"/>
      <c r="DE99" s="918"/>
      <c r="DF99" s="918"/>
      <c r="DG99" s="918"/>
      <c r="DH99" s="918"/>
      <c r="DI99" s="918"/>
      <c r="DJ99" s="918"/>
      <c r="DK99" s="918"/>
      <c r="DL99" s="918"/>
      <c r="DM99" s="918"/>
      <c r="DN99" s="918"/>
      <c r="DO99" s="918"/>
      <c r="DP99" s="918"/>
      <c r="DQ99" s="918"/>
      <c r="DR99" s="918"/>
      <c r="DS99" s="918"/>
      <c r="DT99" s="918"/>
      <c r="DU99" s="918"/>
      <c r="DV99" s="918"/>
      <c r="DW99" s="918"/>
      <c r="DX99" s="918"/>
      <c r="DY99" s="918"/>
      <c r="DZ99" s="918"/>
      <c r="EA99" s="918"/>
      <c r="EB99" s="918"/>
      <c r="EC99" s="918"/>
      <c r="ED99" s="918"/>
      <c r="EE99" s="918"/>
      <c r="EF99" s="918"/>
      <c r="EG99" s="918"/>
      <c r="EH99" s="918"/>
      <c r="EI99" s="918"/>
      <c r="EJ99" s="918"/>
      <c r="EK99" s="918"/>
      <c r="EL99" s="918"/>
      <c r="EM99" s="918"/>
      <c r="EN99" s="918"/>
      <c r="EO99" s="918"/>
      <c r="EP99" s="918"/>
      <c r="EQ99" s="918"/>
      <c r="ER99" s="918"/>
      <c r="ES99" s="918"/>
      <c r="ET99" s="918"/>
      <c r="EU99" s="918"/>
      <c r="EV99" s="918"/>
      <c r="EW99" s="918"/>
      <c r="EX99" s="918"/>
      <c r="EY99" s="918"/>
      <c r="EZ99" s="918"/>
      <c r="FA99" s="918"/>
      <c r="FB99" s="918"/>
      <c r="FC99" s="918"/>
      <c r="FD99" s="918"/>
      <c r="FE99" s="918"/>
      <c r="FF99" s="918"/>
      <c r="FG99" s="918"/>
      <c r="FH99" s="918"/>
      <c r="FI99" s="918"/>
      <c r="FJ99" s="918"/>
      <c r="FK99" s="918"/>
      <c r="FL99" s="918"/>
      <c r="FM99" s="918"/>
      <c r="FN99" s="918"/>
      <c r="FO99" s="918"/>
      <c r="FP99" s="918"/>
      <c r="FQ99" s="918"/>
      <c r="FR99" s="918"/>
      <c r="FS99" s="918"/>
      <c r="FT99" s="918"/>
      <c r="FU99" s="918"/>
      <c r="FV99" s="918"/>
      <c r="FW99" s="918"/>
      <c r="FX99" s="918"/>
      <c r="FY99" s="918"/>
      <c r="FZ99" s="918"/>
      <c r="GA99" s="918"/>
      <c r="GB99" s="918"/>
      <c r="GC99" s="918"/>
      <c r="GD99" s="918"/>
      <c r="GE99" s="918"/>
      <c r="GF99" s="918"/>
      <c r="GG99" s="918"/>
      <c r="GH99" s="918"/>
      <c r="GI99" s="918"/>
      <c r="GJ99" s="918"/>
      <c r="GK99" s="918"/>
      <c r="GL99" s="918"/>
      <c r="GM99" s="918"/>
      <c r="GN99" s="918"/>
      <c r="GO99" s="918"/>
      <c r="GP99" s="918"/>
      <c r="GQ99" s="918"/>
      <c r="GR99" s="918"/>
      <c r="GS99" s="918"/>
      <c r="GT99" s="918"/>
      <c r="GU99" s="918"/>
      <c r="GV99" s="918"/>
      <c r="GW99" s="918"/>
      <c r="GX99" s="918"/>
      <c r="GY99" s="918"/>
      <c r="GZ99" s="918"/>
      <c r="HA99" s="918"/>
      <c r="HB99" s="918"/>
      <c r="HC99" s="918"/>
      <c r="HD99" s="918"/>
      <c r="HE99" s="918"/>
      <c r="HF99" s="918"/>
      <c r="HG99" s="918"/>
      <c r="HH99" s="918"/>
      <c r="HI99" s="918"/>
      <c r="HJ99" s="918"/>
      <c r="HK99" s="918"/>
      <c r="HL99" s="918"/>
      <c r="HM99" s="918"/>
      <c r="HN99" s="918"/>
      <c r="HO99" s="918"/>
      <c r="HP99" s="918"/>
      <c r="HQ99" s="918"/>
      <c r="HR99" s="918"/>
      <c r="HS99" s="918"/>
      <c r="HT99" s="918"/>
      <c r="HU99" s="918"/>
      <c r="HV99" s="918"/>
      <c r="HW99" s="918"/>
      <c r="HX99" s="918"/>
      <c r="HY99" s="918"/>
      <c r="HZ99" s="918"/>
      <c r="IA99" s="918"/>
      <c r="IB99" s="918"/>
      <c r="IC99" s="918"/>
      <c r="ID99" s="918"/>
      <c r="IE99" s="918"/>
      <c r="IF99" s="918"/>
      <c r="IG99" s="918"/>
      <c r="IH99" s="918"/>
      <c r="II99" s="918"/>
      <c r="IJ99" s="918"/>
      <c r="IK99" s="918"/>
      <c r="IL99" s="918"/>
      <c r="IM99" s="918"/>
      <c r="IN99" s="918"/>
    </row>
    <row r="100" spans="1:248" hidden="1">
      <c r="A100" s="615" t="s">
        <v>29</v>
      </c>
      <c r="B100" s="617">
        <v>11402.5</v>
      </c>
      <c r="C100" s="919">
        <v>27.426535849927962</v>
      </c>
      <c r="D100" s="618">
        <v>11766</v>
      </c>
      <c r="E100" s="919">
        <v>28.30086567070839</v>
      </c>
      <c r="F100" s="919">
        <v>-363.5</v>
      </c>
      <c r="G100" s="919">
        <v>0.87432982078042665</v>
      </c>
      <c r="H100" s="26"/>
      <c r="I100" s="918"/>
      <c r="J100" s="918"/>
      <c r="K100" s="918"/>
      <c r="L100" s="918"/>
      <c r="M100" s="918"/>
      <c r="N100" s="918"/>
      <c r="O100" s="918"/>
      <c r="P100" s="918"/>
      <c r="Q100" s="918"/>
      <c r="R100" s="918"/>
      <c r="S100" s="918"/>
      <c r="T100" s="918"/>
      <c r="U100" s="918"/>
      <c r="V100" s="918"/>
      <c r="W100" s="918"/>
      <c r="X100" s="918"/>
      <c r="Y100" s="918"/>
      <c r="Z100" s="918"/>
      <c r="AA100" s="918"/>
      <c r="AB100" s="918"/>
      <c r="AC100" s="918"/>
      <c r="AD100" s="918"/>
      <c r="AE100" s="918"/>
      <c r="AF100" s="918"/>
      <c r="AG100" s="918"/>
      <c r="AH100" s="918"/>
      <c r="AI100" s="918"/>
      <c r="AJ100" s="918"/>
      <c r="AK100" s="918"/>
      <c r="AL100" s="918"/>
      <c r="AM100" s="918"/>
      <c r="AN100" s="918"/>
      <c r="AO100" s="918"/>
      <c r="AP100" s="918"/>
      <c r="AQ100" s="918"/>
      <c r="AR100" s="918"/>
      <c r="AS100" s="918"/>
      <c r="AT100" s="918"/>
      <c r="AU100" s="918"/>
      <c r="AV100" s="918"/>
      <c r="AW100" s="918"/>
      <c r="AX100" s="918"/>
      <c r="AY100" s="918"/>
      <c r="AZ100" s="918"/>
      <c r="BA100" s="918"/>
      <c r="BB100" s="918"/>
      <c r="BC100" s="918"/>
      <c r="BD100" s="918"/>
      <c r="BE100" s="918"/>
      <c r="BF100" s="918"/>
      <c r="BG100" s="918"/>
      <c r="BH100" s="918"/>
      <c r="BI100" s="918"/>
      <c r="BJ100" s="918"/>
      <c r="BK100" s="918"/>
      <c r="BL100" s="918"/>
      <c r="BM100" s="918"/>
      <c r="BN100" s="918"/>
      <c r="BO100" s="918"/>
      <c r="BP100" s="918"/>
      <c r="BQ100" s="918"/>
      <c r="BR100" s="918"/>
      <c r="BS100" s="918"/>
      <c r="BT100" s="918"/>
      <c r="BU100" s="918"/>
      <c r="BV100" s="918"/>
      <c r="BW100" s="918"/>
      <c r="BX100" s="918"/>
      <c r="BY100" s="918"/>
      <c r="BZ100" s="918"/>
      <c r="CA100" s="918"/>
      <c r="CB100" s="918"/>
      <c r="CC100" s="918"/>
      <c r="CD100" s="918"/>
      <c r="CE100" s="918"/>
      <c r="CF100" s="918"/>
      <c r="CG100" s="918"/>
      <c r="CH100" s="918"/>
      <c r="CI100" s="918"/>
      <c r="CJ100" s="918"/>
      <c r="CK100" s="918"/>
      <c r="CL100" s="918"/>
      <c r="CM100" s="918"/>
      <c r="CN100" s="918"/>
      <c r="CO100" s="918"/>
      <c r="CP100" s="918"/>
      <c r="CQ100" s="918"/>
      <c r="CR100" s="918"/>
      <c r="CS100" s="918"/>
      <c r="CT100" s="918"/>
      <c r="CU100" s="918"/>
      <c r="CV100" s="918"/>
      <c r="CW100" s="918"/>
      <c r="CX100" s="918"/>
      <c r="CY100" s="918"/>
      <c r="CZ100" s="918"/>
      <c r="DA100" s="918"/>
      <c r="DB100" s="918"/>
      <c r="DC100" s="918"/>
      <c r="DD100" s="918"/>
      <c r="DE100" s="918"/>
      <c r="DF100" s="918"/>
      <c r="DG100" s="918"/>
      <c r="DH100" s="918"/>
      <c r="DI100" s="918"/>
      <c r="DJ100" s="918"/>
      <c r="DK100" s="918"/>
      <c r="DL100" s="918"/>
      <c r="DM100" s="918"/>
      <c r="DN100" s="918"/>
      <c r="DO100" s="918"/>
      <c r="DP100" s="918"/>
      <c r="DQ100" s="918"/>
      <c r="DR100" s="918"/>
      <c r="DS100" s="918"/>
      <c r="DT100" s="918"/>
      <c r="DU100" s="918"/>
      <c r="DV100" s="918"/>
      <c r="DW100" s="918"/>
      <c r="DX100" s="918"/>
      <c r="DY100" s="918"/>
      <c r="DZ100" s="918"/>
      <c r="EA100" s="918"/>
      <c r="EB100" s="918"/>
      <c r="EC100" s="918"/>
      <c r="ED100" s="918"/>
      <c r="EE100" s="918"/>
      <c r="EF100" s="918"/>
      <c r="EG100" s="918"/>
      <c r="EH100" s="918"/>
      <c r="EI100" s="918"/>
      <c r="EJ100" s="918"/>
      <c r="EK100" s="918"/>
      <c r="EL100" s="918"/>
      <c r="EM100" s="918"/>
      <c r="EN100" s="918"/>
      <c r="EO100" s="918"/>
      <c r="EP100" s="918"/>
      <c r="EQ100" s="918"/>
      <c r="ER100" s="918"/>
      <c r="ES100" s="918"/>
      <c r="ET100" s="918"/>
      <c r="EU100" s="918"/>
      <c r="EV100" s="918"/>
      <c r="EW100" s="918"/>
      <c r="EX100" s="918"/>
      <c r="EY100" s="918"/>
      <c r="EZ100" s="918"/>
      <c r="FA100" s="918"/>
      <c r="FB100" s="918"/>
      <c r="FC100" s="918"/>
      <c r="FD100" s="918"/>
      <c r="FE100" s="918"/>
      <c r="FF100" s="918"/>
      <c r="FG100" s="918"/>
      <c r="FH100" s="918"/>
      <c r="FI100" s="918"/>
      <c r="FJ100" s="918"/>
      <c r="FK100" s="918"/>
      <c r="FL100" s="918"/>
      <c r="FM100" s="918"/>
      <c r="FN100" s="918"/>
      <c r="FO100" s="918"/>
      <c r="FP100" s="918"/>
      <c r="FQ100" s="918"/>
      <c r="FR100" s="918"/>
      <c r="FS100" s="918"/>
      <c r="FT100" s="918"/>
      <c r="FU100" s="918"/>
      <c r="FV100" s="918"/>
      <c r="FW100" s="918"/>
      <c r="FX100" s="918"/>
      <c r="FY100" s="918"/>
      <c r="FZ100" s="918"/>
      <c r="GA100" s="918"/>
      <c r="GB100" s="918"/>
      <c r="GC100" s="918"/>
      <c r="GD100" s="918"/>
      <c r="GE100" s="918"/>
      <c r="GF100" s="918"/>
      <c r="GG100" s="918"/>
      <c r="GH100" s="918"/>
      <c r="GI100" s="918"/>
      <c r="GJ100" s="918"/>
      <c r="GK100" s="918"/>
      <c r="GL100" s="918"/>
      <c r="GM100" s="918"/>
      <c r="GN100" s="918"/>
      <c r="GO100" s="918"/>
      <c r="GP100" s="918"/>
      <c r="GQ100" s="918"/>
      <c r="GR100" s="918"/>
      <c r="GS100" s="918"/>
      <c r="GT100" s="918"/>
      <c r="GU100" s="918"/>
      <c r="GV100" s="918"/>
      <c r="GW100" s="918"/>
      <c r="GX100" s="918"/>
      <c r="GY100" s="918"/>
      <c r="GZ100" s="918"/>
      <c r="HA100" s="918"/>
      <c r="HB100" s="918"/>
      <c r="HC100" s="918"/>
      <c r="HD100" s="918"/>
      <c r="HE100" s="918"/>
      <c r="HF100" s="918"/>
      <c r="HG100" s="918"/>
      <c r="HH100" s="918"/>
      <c r="HI100" s="918"/>
      <c r="HJ100" s="918"/>
      <c r="HK100" s="918"/>
      <c r="HL100" s="918"/>
      <c r="HM100" s="918"/>
      <c r="HN100" s="918"/>
      <c r="HO100" s="918"/>
      <c r="HP100" s="918"/>
      <c r="HQ100" s="918"/>
      <c r="HR100" s="918"/>
      <c r="HS100" s="918"/>
      <c r="HT100" s="918"/>
      <c r="HU100" s="918"/>
      <c r="HV100" s="918"/>
      <c r="HW100" s="918"/>
      <c r="HX100" s="918"/>
      <c r="HY100" s="918"/>
      <c r="HZ100" s="918"/>
      <c r="IA100" s="918"/>
      <c r="IB100" s="918"/>
      <c r="IC100" s="918"/>
      <c r="ID100" s="918"/>
      <c r="IE100" s="918"/>
      <c r="IF100" s="918"/>
      <c r="IG100" s="918"/>
      <c r="IH100" s="918"/>
      <c r="II100" s="918"/>
      <c r="IJ100" s="918"/>
      <c r="IK100" s="918"/>
      <c r="IL100" s="918"/>
      <c r="IM100" s="918"/>
      <c r="IN100" s="918"/>
    </row>
    <row r="101" spans="1:248">
      <c r="A101" s="610">
        <v>2011</v>
      </c>
      <c r="B101" s="612">
        <v>15700.7</v>
      </c>
      <c r="C101" s="612">
        <v>31.358125786414746</v>
      </c>
      <c r="D101" s="613">
        <v>15397.5</v>
      </c>
      <c r="E101" s="612">
        <v>30.746969182528112</v>
      </c>
      <c r="F101" s="612">
        <v>306</v>
      </c>
      <c r="G101" s="612">
        <v>0.61115660388663651</v>
      </c>
      <c r="H101" s="26"/>
      <c r="I101" s="918"/>
      <c r="J101" s="918"/>
      <c r="K101" s="918"/>
      <c r="L101" s="918"/>
      <c r="M101" s="918"/>
      <c r="N101" s="918"/>
      <c r="O101" s="918"/>
      <c r="P101" s="918"/>
      <c r="Q101" s="918"/>
      <c r="R101" s="918"/>
      <c r="S101" s="918"/>
      <c r="T101" s="918"/>
      <c r="U101" s="918"/>
      <c r="V101" s="918"/>
      <c r="W101" s="918"/>
      <c r="X101" s="918"/>
      <c r="Y101" s="918"/>
      <c r="Z101" s="918"/>
      <c r="AA101" s="918"/>
      <c r="AB101" s="918"/>
      <c r="AC101" s="918"/>
      <c r="AD101" s="918"/>
      <c r="AE101" s="918"/>
      <c r="AF101" s="918"/>
      <c r="AG101" s="918"/>
      <c r="AH101" s="918"/>
      <c r="AI101" s="918"/>
      <c r="AJ101" s="918"/>
      <c r="AK101" s="918"/>
      <c r="AL101" s="918"/>
      <c r="AM101" s="918"/>
      <c r="AN101" s="918"/>
      <c r="AO101" s="918"/>
      <c r="AP101" s="918"/>
      <c r="AQ101" s="918"/>
      <c r="AR101" s="918"/>
      <c r="AS101" s="918"/>
      <c r="AT101" s="918"/>
      <c r="AU101" s="918"/>
      <c r="AV101" s="918"/>
      <c r="AW101" s="918"/>
      <c r="AX101" s="918"/>
      <c r="AY101" s="918"/>
      <c r="AZ101" s="918"/>
      <c r="BA101" s="918"/>
      <c r="BB101" s="918"/>
      <c r="BC101" s="918"/>
      <c r="BD101" s="918"/>
      <c r="BE101" s="918"/>
      <c r="BF101" s="918"/>
      <c r="BG101" s="918"/>
      <c r="BH101" s="918"/>
      <c r="BI101" s="918"/>
      <c r="BJ101" s="918"/>
      <c r="BK101" s="918"/>
      <c r="BL101" s="918"/>
      <c r="BM101" s="918"/>
      <c r="BN101" s="918"/>
      <c r="BO101" s="918"/>
      <c r="BP101" s="918"/>
      <c r="BQ101" s="918"/>
      <c r="BR101" s="918"/>
      <c r="BS101" s="918"/>
      <c r="BT101" s="918"/>
      <c r="BU101" s="918"/>
      <c r="BV101" s="918"/>
      <c r="BW101" s="918"/>
      <c r="BX101" s="918"/>
      <c r="BY101" s="918"/>
      <c r="BZ101" s="918"/>
      <c r="CA101" s="918"/>
      <c r="CB101" s="918"/>
      <c r="CC101" s="918"/>
      <c r="CD101" s="918"/>
      <c r="CE101" s="918"/>
      <c r="CF101" s="918"/>
      <c r="CG101" s="918"/>
      <c r="CH101" s="918"/>
      <c r="CI101" s="918"/>
      <c r="CJ101" s="918"/>
      <c r="CK101" s="918"/>
      <c r="CL101" s="918"/>
      <c r="CM101" s="918"/>
      <c r="CN101" s="918"/>
      <c r="CO101" s="918"/>
      <c r="CP101" s="918"/>
      <c r="CQ101" s="918"/>
      <c r="CR101" s="918"/>
      <c r="CS101" s="918"/>
      <c r="CT101" s="918"/>
      <c r="CU101" s="918"/>
      <c r="CV101" s="918"/>
      <c r="CW101" s="918"/>
      <c r="CX101" s="918"/>
      <c r="CY101" s="918"/>
      <c r="CZ101" s="918"/>
      <c r="DA101" s="918"/>
      <c r="DB101" s="918"/>
      <c r="DC101" s="918"/>
      <c r="DD101" s="918"/>
      <c r="DE101" s="918"/>
      <c r="DF101" s="918"/>
      <c r="DG101" s="918"/>
      <c r="DH101" s="918"/>
      <c r="DI101" s="918"/>
      <c r="DJ101" s="918"/>
      <c r="DK101" s="918"/>
      <c r="DL101" s="918"/>
      <c r="DM101" s="918"/>
      <c r="DN101" s="918"/>
      <c r="DO101" s="918"/>
      <c r="DP101" s="918"/>
      <c r="DQ101" s="918"/>
      <c r="DR101" s="918"/>
      <c r="DS101" s="918"/>
      <c r="DT101" s="918"/>
      <c r="DU101" s="918"/>
      <c r="DV101" s="918"/>
      <c r="DW101" s="918"/>
      <c r="DX101" s="918"/>
      <c r="DY101" s="918"/>
      <c r="DZ101" s="918"/>
      <c r="EA101" s="918"/>
      <c r="EB101" s="918"/>
      <c r="EC101" s="918"/>
      <c r="ED101" s="918"/>
      <c r="EE101" s="918"/>
      <c r="EF101" s="918"/>
      <c r="EG101" s="918"/>
      <c r="EH101" s="918"/>
      <c r="EI101" s="918"/>
      <c r="EJ101" s="918"/>
      <c r="EK101" s="918"/>
      <c r="EL101" s="918"/>
      <c r="EM101" s="918"/>
      <c r="EN101" s="918"/>
      <c r="EO101" s="918"/>
      <c r="EP101" s="918"/>
      <c r="EQ101" s="918"/>
      <c r="ER101" s="918"/>
      <c r="ES101" s="918"/>
      <c r="ET101" s="918"/>
      <c r="EU101" s="918"/>
      <c r="EV101" s="918"/>
      <c r="EW101" s="918"/>
      <c r="EX101" s="918"/>
      <c r="EY101" s="918"/>
      <c r="EZ101" s="918"/>
      <c r="FA101" s="918"/>
      <c r="FB101" s="918"/>
      <c r="FC101" s="918"/>
      <c r="FD101" s="918"/>
      <c r="FE101" s="918"/>
      <c r="FF101" s="918"/>
      <c r="FG101" s="918"/>
      <c r="FH101" s="918"/>
      <c r="FI101" s="918"/>
      <c r="FJ101" s="918"/>
      <c r="FK101" s="918"/>
      <c r="FL101" s="918"/>
      <c r="FM101" s="918"/>
      <c r="FN101" s="918"/>
      <c r="FO101" s="918"/>
      <c r="FP101" s="918"/>
      <c r="FQ101" s="918"/>
      <c r="FR101" s="918"/>
      <c r="FS101" s="918"/>
      <c r="FT101" s="918"/>
      <c r="FU101" s="918"/>
      <c r="FV101" s="918"/>
      <c r="FW101" s="918"/>
      <c r="FX101" s="918"/>
      <c r="FY101" s="918"/>
      <c r="FZ101" s="918"/>
      <c r="GA101" s="918"/>
      <c r="GB101" s="918"/>
      <c r="GC101" s="918"/>
      <c r="GD101" s="918"/>
      <c r="GE101" s="918"/>
      <c r="GF101" s="918"/>
      <c r="GG101" s="918"/>
      <c r="GH101" s="918"/>
      <c r="GI101" s="918"/>
      <c r="GJ101" s="918"/>
      <c r="GK101" s="918"/>
      <c r="GL101" s="918"/>
      <c r="GM101" s="918"/>
      <c r="GN101" s="918"/>
      <c r="GO101" s="918"/>
      <c r="GP101" s="918"/>
      <c r="GQ101" s="918"/>
      <c r="GR101" s="918"/>
      <c r="GS101" s="918"/>
      <c r="GT101" s="918"/>
      <c r="GU101" s="918"/>
      <c r="GV101" s="918"/>
      <c r="GW101" s="918"/>
      <c r="GX101" s="918"/>
      <c r="GY101" s="918"/>
      <c r="GZ101" s="918"/>
      <c r="HA101" s="918"/>
      <c r="HB101" s="918"/>
      <c r="HC101" s="918"/>
      <c r="HD101" s="918"/>
      <c r="HE101" s="918"/>
      <c r="HF101" s="918"/>
      <c r="HG101" s="918"/>
      <c r="HH101" s="918"/>
      <c r="HI101" s="918"/>
      <c r="HJ101" s="918"/>
      <c r="HK101" s="918"/>
      <c r="HL101" s="918"/>
      <c r="HM101" s="918"/>
      <c r="HN101" s="918"/>
      <c r="HO101" s="918"/>
      <c r="HP101" s="918"/>
      <c r="HQ101" s="918"/>
      <c r="HR101" s="918"/>
      <c r="HS101" s="918"/>
      <c r="HT101" s="918"/>
      <c r="HU101" s="918"/>
      <c r="HV101" s="918"/>
      <c r="HW101" s="918"/>
      <c r="HX101" s="918"/>
      <c r="HY101" s="918"/>
      <c r="HZ101" s="918"/>
      <c r="IA101" s="918"/>
      <c r="IB101" s="918"/>
      <c r="IC101" s="918"/>
      <c r="ID101" s="918"/>
      <c r="IE101" s="918"/>
      <c r="IF101" s="918"/>
      <c r="IG101" s="918"/>
      <c r="IH101" s="918"/>
      <c r="II101" s="918"/>
      <c r="IJ101" s="918"/>
      <c r="IK101" s="918"/>
      <c r="IL101" s="918"/>
      <c r="IM101" s="918"/>
      <c r="IN101" s="918"/>
    </row>
    <row r="102" spans="1:248" hidden="1">
      <c r="A102" s="615" t="s">
        <v>18</v>
      </c>
      <c r="B102" s="617">
        <v>1121.5</v>
      </c>
      <c r="C102" s="919">
        <v>32.578068264342775</v>
      </c>
      <c r="D102" s="618">
        <v>382.9</v>
      </c>
      <c r="E102" s="919">
        <v>11.122730573710966</v>
      </c>
      <c r="F102" s="919">
        <v>738.6</v>
      </c>
      <c r="G102" s="919">
        <v>21.455337690631808</v>
      </c>
      <c r="H102" s="26">
        <v>3212</v>
      </c>
      <c r="I102" s="918"/>
      <c r="J102" s="918"/>
      <c r="K102" s="918"/>
      <c r="L102" s="918"/>
      <c r="M102" s="918"/>
      <c r="N102" s="918"/>
      <c r="O102" s="918"/>
      <c r="P102" s="918"/>
      <c r="Q102" s="918"/>
      <c r="R102" s="918"/>
      <c r="S102" s="918"/>
      <c r="T102" s="918"/>
      <c r="U102" s="918"/>
      <c r="V102" s="918"/>
      <c r="W102" s="918"/>
      <c r="X102" s="918"/>
      <c r="Y102" s="918"/>
      <c r="Z102" s="918"/>
      <c r="AA102" s="918"/>
      <c r="AB102" s="918"/>
      <c r="AC102" s="918"/>
      <c r="AD102" s="918"/>
      <c r="AE102" s="918"/>
      <c r="AF102" s="918"/>
      <c r="AG102" s="918"/>
      <c r="AH102" s="918"/>
      <c r="AI102" s="918"/>
      <c r="AJ102" s="918"/>
      <c r="AK102" s="918"/>
      <c r="AL102" s="918"/>
      <c r="AM102" s="918"/>
      <c r="AN102" s="918"/>
      <c r="AO102" s="918"/>
      <c r="AP102" s="918"/>
      <c r="AQ102" s="918"/>
      <c r="AR102" s="918"/>
      <c r="AS102" s="918"/>
      <c r="AT102" s="918"/>
      <c r="AU102" s="918"/>
      <c r="AV102" s="918"/>
      <c r="AW102" s="918"/>
      <c r="AX102" s="918"/>
      <c r="AY102" s="918"/>
      <c r="AZ102" s="918"/>
      <c r="BA102" s="918"/>
      <c r="BB102" s="918"/>
      <c r="BC102" s="918"/>
      <c r="BD102" s="918"/>
      <c r="BE102" s="918"/>
      <c r="BF102" s="918"/>
      <c r="BG102" s="918"/>
      <c r="BH102" s="918"/>
      <c r="BI102" s="918"/>
      <c r="BJ102" s="918"/>
      <c r="BK102" s="918"/>
      <c r="BL102" s="918"/>
      <c r="BM102" s="918"/>
      <c r="BN102" s="918"/>
      <c r="BO102" s="918"/>
      <c r="BP102" s="918"/>
      <c r="BQ102" s="918"/>
      <c r="BR102" s="918"/>
      <c r="BS102" s="918"/>
      <c r="BT102" s="918"/>
      <c r="BU102" s="918"/>
      <c r="BV102" s="918"/>
      <c r="BW102" s="918"/>
      <c r="BX102" s="918"/>
      <c r="BY102" s="918"/>
      <c r="BZ102" s="918"/>
      <c r="CA102" s="918"/>
      <c r="CB102" s="918"/>
      <c r="CC102" s="918"/>
      <c r="CD102" s="918"/>
      <c r="CE102" s="918"/>
      <c r="CF102" s="918"/>
      <c r="CG102" s="918"/>
      <c r="CH102" s="918"/>
      <c r="CI102" s="918"/>
      <c r="CJ102" s="918"/>
      <c r="CK102" s="918"/>
      <c r="CL102" s="918"/>
      <c r="CM102" s="918"/>
      <c r="CN102" s="918"/>
      <c r="CO102" s="918"/>
      <c r="CP102" s="918"/>
      <c r="CQ102" s="918"/>
      <c r="CR102" s="918"/>
      <c r="CS102" s="918"/>
      <c r="CT102" s="918"/>
      <c r="CU102" s="918"/>
      <c r="CV102" s="918"/>
      <c r="CW102" s="918"/>
      <c r="CX102" s="918"/>
      <c r="CY102" s="918"/>
      <c r="CZ102" s="918"/>
      <c r="DA102" s="918"/>
      <c r="DB102" s="918"/>
      <c r="DC102" s="918"/>
      <c r="DD102" s="918"/>
      <c r="DE102" s="918"/>
      <c r="DF102" s="918"/>
      <c r="DG102" s="918"/>
      <c r="DH102" s="918"/>
      <c r="DI102" s="918"/>
      <c r="DJ102" s="918"/>
      <c r="DK102" s="918"/>
      <c r="DL102" s="918"/>
      <c r="DM102" s="918"/>
      <c r="DN102" s="918"/>
      <c r="DO102" s="918"/>
      <c r="DP102" s="918"/>
      <c r="DQ102" s="918"/>
      <c r="DR102" s="918"/>
      <c r="DS102" s="918"/>
      <c r="DT102" s="918"/>
      <c r="DU102" s="918"/>
      <c r="DV102" s="918"/>
      <c r="DW102" s="918"/>
      <c r="DX102" s="918"/>
      <c r="DY102" s="918"/>
      <c r="DZ102" s="918"/>
      <c r="EA102" s="918"/>
      <c r="EB102" s="918"/>
      <c r="EC102" s="918"/>
      <c r="ED102" s="918"/>
      <c r="EE102" s="918"/>
      <c r="EF102" s="918"/>
      <c r="EG102" s="918"/>
      <c r="EH102" s="918"/>
      <c r="EI102" s="918"/>
      <c r="EJ102" s="918"/>
      <c r="EK102" s="918"/>
      <c r="EL102" s="918"/>
      <c r="EM102" s="918"/>
      <c r="EN102" s="918"/>
      <c r="EO102" s="918"/>
      <c r="EP102" s="918"/>
      <c r="EQ102" s="918"/>
      <c r="ER102" s="918"/>
      <c r="ES102" s="918"/>
      <c r="ET102" s="918"/>
      <c r="EU102" s="918"/>
      <c r="EV102" s="918"/>
      <c r="EW102" s="918"/>
      <c r="EX102" s="918"/>
      <c r="EY102" s="918"/>
      <c r="EZ102" s="918"/>
      <c r="FA102" s="918"/>
      <c r="FB102" s="918"/>
      <c r="FC102" s="918"/>
      <c r="FD102" s="918"/>
      <c r="FE102" s="918"/>
      <c r="FF102" s="918"/>
      <c r="FG102" s="918"/>
      <c r="FH102" s="918"/>
      <c r="FI102" s="918"/>
      <c r="FJ102" s="918"/>
      <c r="FK102" s="918"/>
      <c r="FL102" s="918"/>
      <c r="FM102" s="918"/>
      <c r="FN102" s="918"/>
      <c r="FO102" s="918"/>
      <c r="FP102" s="918"/>
      <c r="FQ102" s="918"/>
      <c r="FR102" s="918"/>
      <c r="FS102" s="918"/>
      <c r="FT102" s="918"/>
      <c r="FU102" s="918"/>
      <c r="FV102" s="918"/>
      <c r="FW102" s="918"/>
      <c r="FX102" s="918"/>
      <c r="FY102" s="918"/>
      <c r="FZ102" s="918"/>
      <c r="GA102" s="918"/>
      <c r="GB102" s="918"/>
      <c r="GC102" s="918"/>
      <c r="GD102" s="918"/>
      <c r="GE102" s="918"/>
      <c r="GF102" s="918"/>
      <c r="GG102" s="918"/>
      <c r="GH102" s="918"/>
      <c r="GI102" s="918"/>
      <c r="GJ102" s="918"/>
      <c r="GK102" s="918"/>
      <c r="GL102" s="918"/>
      <c r="GM102" s="918"/>
      <c r="GN102" s="918"/>
      <c r="GO102" s="918"/>
      <c r="GP102" s="918"/>
      <c r="GQ102" s="918"/>
      <c r="GR102" s="918"/>
      <c r="GS102" s="918"/>
      <c r="GT102" s="918"/>
      <c r="GU102" s="918"/>
      <c r="GV102" s="918"/>
      <c r="GW102" s="918"/>
      <c r="GX102" s="918"/>
      <c r="GY102" s="918"/>
      <c r="GZ102" s="918"/>
      <c r="HA102" s="918"/>
      <c r="HB102" s="918"/>
      <c r="HC102" s="918"/>
      <c r="HD102" s="918"/>
      <c r="HE102" s="918"/>
      <c r="HF102" s="918"/>
      <c r="HG102" s="918"/>
      <c r="HH102" s="918"/>
      <c r="HI102" s="918"/>
      <c r="HJ102" s="918"/>
      <c r="HK102" s="918"/>
      <c r="HL102" s="918"/>
      <c r="HM102" s="918"/>
      <c r="HN102" s="918"/>
      <c r="HO102" s="918"/>
      <c r="HP102" s="918"/>
      <c r="HQ102" s="918"/>
      <c r="HR102" s="918"/>
      <c r="HS102" s="918"/>
      <c r="HT102" s="918"/>
      <c r="HU102" s="918"/>
      <c r="HV102" s="918"/>
      <c r="HW102" s="918"/>
      <c r="HX102" s="918"/>
      <c r="HY102" s="918"/>
      <c r="HZ102" s="918"/>
      <c r="IA102" s="918"/>
      <c r="IB102" s="918"/>
      <c r="IC102" s="918"/>
      <c r="ID102" s="918"/>
      <c r="IE102" s="918"/>
      <c r="IF102" s="918"/>
      <c r="IG102" s="918"/>
      <c r="IH102" s="918"/>
      <c r="II102" s="918"/>
      <c r="IJ102" s="918"/>
      <c r="IK102" s="918"/>
      <c r="IL102" s="918"/>
      <c r="IM102" s="918"/>
      <c r="IN102" s="918"/>
    </row>
    <row r="103" spans="1:248" hidden="1">
      <c r="A103" s="615" t="s">
        <v>19</v>
      </c>
      <c r="B103" s="617">
        <v>1829.3</v>
      </c>
      <c r="C103" s="919">
        <f t="shared" ref="C103:C113" si="12">+B103/H103*100</f>
        <v>27.256202041272442</v>
      </c>
      <c r="D103" s="618">
        <v>1186.4000000000001</v>
      </c>
      <c r="E103" s="919">
        <f t="shared" ref="E103:E113" si="13">+D103/H103*100</f>
        <v>17.677121358861655</v>
      </c>
      <c r="F103" s="919">
        <f t="shared" ref="F103:F113" si="14">+B103-D103</f>
        <v>642.89999999999986</v>
      </c>
      <c r="G103" s="919">
        <f t="shared" ref="G103:G113" si="15">F103/H103*100</f>
        <v>9.579080682410785</v>
      </c>
      <c r="H103" s="26">
        <v>6711.5</v>
      </c>
      <c r="I103" s="918"/>
      <c r="J103" s="918"/>
      <c r="K103" s="918"/>
      <c r="L103" s="918"/>
      <c r="M103" s="918"/>
      <c r="N103" s="918"/>
      <c r="O103" s="918"/>
      <c r="P103" s="918"/>
      <c r="Q103" s="918"/>
      <c r="R103" s="918"/>
      <c r="S103" s="918"/>
      <c r="T103" s="918"/>
      <c r="U103" s="918"/>
      <c r="V103" s="918"/>
      <c r="W103" s="918"/>
      <c r="X103" s="918"/>
      <c r="Y103" s="918"/>
      <c r="Z103" s="918"/>
      <c r="AA103" s="918"/>
      <c r="AB103" s="918"/>
      <c r="AC103" s="918"/>
      <c r="AD103" s="918"/>
      <c r="AE103" s="918"/>
      <c r="AF103" s="918"/>
      <c r="AG103" s="918"/>
      <c r="AH103" s="918"/>
      <c r="AI103" s="918"/>
      <c r="AJ103" s="918"/>
      <c r="AK103" s="918"/>
      <c r="AL103" s="918"/>
      <c r="AM103" s="918"/>
      <c r="AN103" s="918"/>
      <c r="AO103" s="918"/>
      <c r="AP103" s="918"/>
      <c r="AQ103" s="918"/>
      <c r="AR103" s="918"/>
      <c r="AS103" s="918"/>
      <c r="AT103" s="918"/>
      <c r="AU103" s="918"/>
      <c r="AV103" s="918"/>
      <c r="AW103" s="918"/>
      <c r="AX103" s="918"/>
      <c r="AY103" s="918"/>
      <c r="AZ103" s="918"/>
      <c r="BA103" s="918"/>
      <c r="BB103" s="918"/>
      <c r="BC103" s="918"/>
      <c r="BD103" s="918"/>
      <c r="BE103" s="918"/>
      <c r="BF103" s="918"/>
      <c r="BG103" s="918"/>
      <c r="BH103" s="918"/>
      <c r="BI103" s="918"/>
      <c r="BJ103" s="918"/>
      <c r="BK103" s="918"/>
      <c r="BL103" s="918"/>
      <c r="BM103" s="918"/>
      <c r="BN103" s="918"/>
      <c r="BO103" s="918"/>
      <c r="BP103" s="918"/>
      <c r="BQ103" s="918"/>
      <c r="BR103" s="918"/>
      <c r="BS103" s="918"/>
      <c r="BT103" s="918"/>
      <c r="BU103" s="918"/>
      <c r="BV103" s="918"/>
      <c r="BW103" s="918"/>
      <c r="BX103" s="918"/>
      <c r="BY103" s="918"/>
      <c r="BZ103" s="918"/>
      <c r="CA103" s="918"/>
      <c r="CB103" s="918"/>
      <c r="CC103" s="918"/>
      <c r="CD103" s="918"/>
      <c r="CE103" s="918"/>
      <c r="CF103" s="918"/>
      <c r="CG103" s="918"/>
      <c r="CH103" s="918"/>
      <c r="CI103" s="918"/>
      <c r="CJ103" s="918"/>
      <c r="CK103" s="918"/>
      <c r="CL103" s="918"/>
      <c r="CM103" s="918"/>
      <c r="CN103" s="918"/>
      <c r="CO103" s="918"/>
      <c r="CP103" s="918"/>
      <c r="CQ103" s="918"/>
      <c r="CR103" s="918"/>
      <c r="CS103" s="918"/>
      <c r="CT103" s="918"/>
      <c r="CU103" s="918"/>
      <c r="CV103" s="918"/>
      <c r="CW103" s="918"/>
      <c r="CX103" s="918"/>
      <c r="CY103" s="918"/>
      <c r="CZ103" s="918"/>
      <c r="DA103" s="918"/>
      <c r="DB103" s="918"/>
      <c r="DC103" s="918"/>
      <c r="DD103" s="918"/>
      <c r="DE103" s="918"/>
      <c r="DF103" s="918"/>
      <c r="DG103" s="918"/>
      <c r="DH103" s="918"/>
      <c r="DI103" s="918"/>
      <c r="DJ103" s="918"/>
      <c r="DK103" s="918"/>
      <c r="DL103" s="918"/>
      <c r="DM103" s="918"/>
      <c r="DN103" s="918"/>
      <c r="DO103" s="918"/>
      <c r="DP103" s="918"/>
      <c r="DQ103" s="918"/>
      <c r="DR103" s="918"/>
      <c r="DS103" s="918"/>
      <c r="DT103" s="918"/>
      <c r="DU103" s="918"/>
      <c r="DV103" s="918"/>
      <c r="DW103" s="918"/>
      <c r="DX103" s="918"/>
      <c r="DY103" s="918"/>
      <c r="DZ103" s="918"/>
      <c r="EA103" s="918"/>
      <c r="EB103" s="918"/>
      <c r="EC103" s="918"/>
      <c r="ED103" s="918"/>
      <c r="EE103" s="918"/>
      <c r="EF103" s="918"/>
      <c r="EG103" s="918"/>
      <c r="EH103" s="918"/>
      <c r="EI103" s="918"/>
      <c r="EJ103" s="918"/>
      <c r="EK103" s="918"/>
      <c r="EL103" s="918"/>
      <c r="EM103" s="918"/>
      <c r="EN103" s="918"/>
      <c r="EO103" s="918"/>
      <c r="EP103" s="918"/>
      <c r="EQ103" s="918"/>
      <c r="ER103" s="918"/>
      <c r="ES103" s="918"/>
      <c r="ET103" s="918"/>
      <c r="EU103" s="918"/>
      <c r="EV103" s="918"/>
      <c r="EW103" s="918"/>
      <c r="EX103" s="918"/>
      <c r="EY103" s="918"/>
      <c r="EZ103" s="918"/>
      <c r="FA103" s="918"/>
      <c r="FB103" s="918"/>
      <c r="FC103" s="918"/>
      <c r="FD103" s="918"/>
      <c r="FE103" s="918"/>
      <c r="FF103" s="918"/>
      <c r="FG103" s="918"/>
      <c r="FH103" s="918"/>
      <c r="FI103" s="918"/>
      <c r="FJ103" s="918"/>
      <c r="FK103" s="918"/>
      <c r="FL103" s="918"/>
      <c r="FM103" s="918"/>
      <c r="FN103" s="918"/>
      <c r="FO103" s="918"/>
      <c r="FP103" s="918"/>
      <c r="FQ103" s="918"/>
      <c r="FR103" s="918"/>
      <c r="FS103" s="918"/>
      <c r="FT103" s="918"/>
      <c r="FU103" s="918"/>
      <c r="FV103" s="918"/>
      <c r="FW103" s="918"/>
      <c r="FX103" s="918"/>
      <c r="FY103" s="918"/>
      <c r="FZ103" s="918"/>
      <c r="GA103" s="918"/>
      <c r="GB103" s="918"/>
      <c r="GC103" s="918"/>
      <c r="GD103" s="918"/>
      <c r="GE103" s="918"/>
      <c r="GF103" s="918"/>
      <c r="GG103" s="918"/>
      <c r="GH103" s="918"/>
      <c r="GI103" s="918"/>
      <c r="GJ103" s="918"/>
      <c r="GK103" s="918"/>
      <c r="GL103" s="918"/>
      <c r="GM103" s="918"/>
      <c r="GN103" s="918"/>
      <c r="GO103" s="918"/>
      <c r="GP103" s="918"/>
      <c r="GQ103" s="918"/>
      <c r="GR103" s="918"/>
      <c r="GS103" s="918"/>
      <c r="GT103" s="918"/>
      <c r="GU103" s="918"/>
      <c r="GV103" s="918"/>
      <c r="GW103" s="918"/>
      <c r="GX103" s="918"/>
      <c r="GY103" s="918"/>
      <c r="GZ103" s="918"/>
      <c r="HA103" s="918"/>
      <c r="HB103" s="918"/>
      <c r="HC103" s="918"/>
      <c r="HD103" s="918"/>
      <c r="HE103" s="918"/>
      <c r="HF103" s="918"/>
      <c r="HG103" s="918"/>
      <c r="HH103" s="918"/>
      <c r="HI103" s="918"/>
      <c r="HJ103" s="918"/>
      <c r="HK103" s="918"/>
      <c r="HL103" s="918"/>
      <c r="HM103" s="918"/>
      <c r="HN103" s="918"/>
      <c r="HO103" s="918"/>
      <c r="HP103" s="918"/>
      <c r="HQ103" s="918"/>
      <c r="HR103" s="918"/>
      <c r="HS103" s="918"/>
      <c r="HT103" s="918"/>
      <c r="HU103" s="918"/>
      <c r="HV103" s="918"/>
      <c r="HW103" s="918"/>
      <c r="HX103" s="918"/>
      <c r="HY103" s="918"/>
      <c r="HZ103" s="918"/>
      <c r="IA103" s="918"/>
      <c r="IB103" s="918"/>
      <c r="IC103" s="918"/>
      <c r="ID103" s="918"/>
      <c r="IE103" s="918"/>
      <c r="IF103" s="918"/>
      <c r="IG103" s="918"/>
      <c r="IH103" s="918"/>
      <c r="II103" s="918"/>
      <c r="IJ103" s="918"/>
      <c r="IK103" s="918"/>
      <c r="IL103" s="918"/>
      <c r="IM103" s="918"/>
      <c r="IN103" s="918"/>
    </row>
    <row r="104" spans="1:248" hidden="1">
      <c r="A104" s="615" t="s">
        <v>20</v>
      </c>
      <c r="B104" s="617">
        <v>2768.4</v>
      </c>
      <c r="C104" s="919">
        <f t="shared" si="12"/>
        <v>26.565333793937302</v>
      </c>
      <c r="D104" s="618">
        <v>2087.4</v>
      </c>
      <c r="E104" s="919">
        <f t="shared" si="13"/>
        <v>20.03051501281055</v>
      </c>
      <c r="F104" s="919">
        <f t="shared" si="14"/>
        <v>681</v>
      </c>
      <c r="G104" s="919">
        <f t="shared" si="15"/>
        <v>6.5348187811267531</v>
      </c>
      <c r="H104" s="26">
        <v>10421.1</v>
      </c>
      <c r="I104" s="918"/>
      <c r="J104" s="918"/>
      <c r="K104" s="918"/>
      <c r="L104" s="918"/>
      <c r="M104" s="918"/>
      <c r="N104" s="918"/>
      <c r="O104" s="918"/>
      <c r="P104" s="918"/>
      <c r="Q104" s="918"/>
      <c r="R104" s="918"/>
      <c r="S104" s="918"/>
      <c r="T104" s="918"/>
      <c r="U104" s="918"/>
      <c r="V104" s="918"/>
      <c r="W104" s="918"/>
      <c r="X104" s="918"/>
      <c r="Y104" s="918"/>
      <c r="Z104" s="918"/>
      <c r="AA104" s="918"/>
      <c r="AB104" s="918"/>
      <c r="AC104" s="918"/>
      <c r="AD104" s="918"/>
      <c r="AE104" s="918"/>
      <c r="AF104" s="918"/>
      <c r="AG104" s="918"/>
      <c r="AH104" s="918"/>
      <c r="AI104" s="918"/>
      <c r="AJ104" s="918"/>
      <c r="AK104" s="918"/>
      <c r="AL104" s="918"/>
      <c r="AM104" s="918"/>
      <c r="AN104" s="918"/>
      <c r="AO104" s="918"/>
      <c r="AP104" s="918"/>
      <c r="AQ104" s="918"/>
      <c r="AR104" s="918"/>
      <c r="AS104" s="918"/>
      <c r="AT104" s="918"/>
      <c r="AU104" s="918"/>
      <c r="AV104" s="918"/>
      <c r="AW104" s="918"/>
      <c r="AX104" s="918"/>
      <c r="AY104" s="918"/>
      <c r="AZ104" s="918"/>
      <c r="BA104" s="918"/>
      <c r="BB104" s="918"/>
      <c r="BC104" s="918"/>
      <c r="BD104" s="918"/>
      <c r="BE104" s="918"/>
      <c r="BF104" s="918"/>
      <c r="BG104" s="918"/>
      <c r="BH104" s="918"/>
      <c r="BI104" s="918"/>
      <c r="BJ104" s="918"/>
      <c r="BK104" s="918"/>
      <c r="BL104" s="918"/>
      <c r="BM104" s="918"/>
      <c r="BN104" s="918"/>
      <c r="BO104" s="918"/>
      <c r="BP104" s="918"/>
      <c r="BQ104" s="918"/>
      <c r="BR104" s="918"/>
      <c r="BS104" s="918"/>
      <c r="BT104" s="918"/>
      <c r="BU104" s="918"/>
      <c r="BV104" s="918"/>
      <c r="BW104" s="918"/>
      <c r="BX104" s="918"/>
      <c r="BY104" s="918"/>
      <c r="BZ104" s="918"/>
      <c r="CA104" s="918"/>
      <c r="CB104" s="918"/>
      <c r="CC104" s="918"/>
      <c r="CD104" s="918"/>
      <c r="CE104" s="918"/>
      <c r="CF104" s="918"/>
      <c r="CG104" s="918"/>
      <c r="CH104" s="918"/>
      <c r="CI104" s="918"/>
      <c r="CJ104" s="918"/>
      <c r="CK104" s="918"/>
      <c r="CL104" s="918"/>
      <c r="CM104" s="918"/>
      <c r="CN104" s="918"/>
      <c r="CO104" s="918"/>
      <c r="CP104" s="918"/>
      <c r="CQ104" s="918"/>
      <c r="CR104" s="918"/>
      <c r="CS104" s="918"/>
      <c r="CT104" s="918"/>
      <c r="CU104" s="918"/>
      <c r="CV104" s="918"/>
      <c r="CW104" s="918"/>
      <c r="CX104" s="918"/>
      <c r="CY104" s="918"/>
      <c r="CZ104" s="918"/>
      <c r="DA104" s="918"/>
      <c r="DB104" s="918"/>
      <c r="DC104" s="918"/>
      <c r="DD104" s="918"/>
      <c r="DE104" s="918"/>
      <c r="DF104" s="918"/>
      <c r="DG104" s="918"/>
      <c r="DH104" s="918"/>
      <c r="DI104" s="918"/>
      <c r="DJ104" s="918"/>
      <c r="DK104" s="918"/>
      <c r="DL104" s="918"/>
      <c r="DM104" s="918"/>
      <c r="DN104" s="918"/>
      <c r="DO104" s="918"/>
      <c r="DP104" s="918"/>
      <c r="DQ104" s="918"/>
      <c r="DR104" s="918"/>
      <c r="DS104" s="918"/>
      <c r="DT104" s="918"/>
      <c r="DU104" s="918"/>
      <c r="DV104" s="918"/>
      <c r="DW104" s="918"/>
      <c r="DX104" s="918"/>
      <c r="DY104" s="918"/>
      <c r="DZ104" s="918"/>
      <c r="EA104" s="918"/>
      <c r="EB104" s="918"/>
      <c r="EC104" s="918"/>
      <c r="ED104" s="918"/>
      <c r="EE104" s="918"/>
      <c r="EF104" s="918"/>
      <c r="EG104" s="918"/>
      <c r="EH104" s="918"/>
      <c r="EI104" s="918"/>
      <c r="EJ104" s="918"/>
      <c r="EK104" s="918"/>
      <c r="EL104" s="918"/>
      <c r="EM104" s="918"/>
      <c r="EN104" s="918"/>
      <c r="EO104" s="918"/>
      <c r="EP104" s="918"/>
      <c r="EQ104" s="918"/>
      <c r="ER104" s="918"/>
      <c r="ES104" s="918"/>
      <c r="ET104" s="918"/>
      <c r="EU104" s="918"/>
      <c r="EV104" s="918"/>
      <c r="EW104" s="918"/>
      <c r="EX104" s="918"/>
      <c r="EY104" s="918"/>
      <c r="EZ104" s="918"/>
      <c r="FA104" s="918"/>
      <c r="FB104" s="918"/>
      <c r="FC104" s="918"/>
      <c r="FD104" s="918"/>
      <c r="FE104" s="918"/>
      <c r="FF104" s="918"/>
      <c r="FG104" s="918"/>
      <c r="FH104" s="918"/>
      <c r="FI104" s="918"/>
      <c r="FJ104" s="918"/>
      <c r="FK104" s="918"/>
      <c r="FL104" s="918"/>
      <c r="FM104" s="918"/>
      <c r="FN104" s="918"/>
      <c r="FO104" s="918"/>
      <c r="FP104" s="918"/>
      <c r="FQ104" s="918"/>
      <c r="FR104" s="918"/>
      <c r="FS104" s="918"/>
      <c r="FT104" s="918"/>
      <c r="FU104" s="918"/>
      <c r="FV104" s="918"/>
      <c r="FW104" s="918"/>
      <c r="FX104" s="918"/>
      <c r="FY104" s="918"/>
      <c r="FZ104" s="918"/>
      <c r="GA104" s="918"/>
      <c r="GB104" s="918"/>
      <c r="GC104" s="918"/>
      <c r="GD104" s="918"/>
      <c r="GE104" s="918"/>
      <c r="GF104" s="918"/>
      <c r="GG104" s="918"/>
      <c r="GH104" s="918"/>
      <c r="GI104" s="918"/>
      <c r="GJ104" s="918"/>
      <c r="GK104" s="918"/>
      <c r="GL104" s="918"/>
      <c r="GM104" s="918"/>
      <c r="GN104" s="918"/>
      <c r="GO104" s="918"/>
      <c r="GP104" s="918"/>
      <c r="GQ104" s="918"/>
      <c r="GR104" s="918"/>
      <c r="GS104" s="918"/>
      <c r="GT104" s="918"/>
      <c r="GU104" s="918"/>
      <c r="GV104" s="918"/>
      <c r="GW104" s="918"/>
      <c r="GX104" s="918"/>
      <c r="GY104" s="918"/>
      <c r="GZ104" s="918"/>
      <c r="HA104" s="918"/>
      <c r="HB104" s="918"/>
      <c r="HC104" s="918"/>
      <c r="HD104" s="918"/>
      <c r="HE104" s="918"/>
      <c r="HF104" s="918"/>
      <c r="HG104" s="918"/>
      <c r="HH104" s="918"/>
      <c r="HI104" s="918"/>
      <c r="HJ104" s="918"/>
      <c r="HK104" s="918"/>
      <c r="HL104" s="918"/>
      <c r="HM104" s="918"/>
      <c r="HN104" s="918"/>
      <c r="HO104" s="918"/>
      <c r="HP104" s="918"/>
      <c r="HQ104" s="918"/>
      <c r="HR104" s="918"/>
      <c r="HS104" s="918"/>
      <c r="HT104" s="918"/>
      <c r="HU104" s="918"/>
      <c r="HV104" s="918"/>
      <c r="HW104" s="918"/>
      <c r="HX104" s="918"/>
      <c r="HY104" s="918"/>
      <c r="HZ104" s="918"/>
      <c r="IA104" s="918"/>
      <c r="IB104" s="918"/>
      <c r="IC104" s="918"/>
      <c r="ID104" s="918"/>
      <c r="IE104" s="918"/>
      <c r="IF104" s="918"/>
      <c r="IG104" s="918"/>
      <c r="IH104" s="918"/>
      <c r="II104" s="918"/>
      <c r="IJ104" s="918"/>
      <c r="IK104" s="918"/>
      <c r="IL104" s="918"/>
      <c r="IM104" s="918"/>
      <c r="IN104" s="918"/>
    </row>
    <row r="105" spans="1:248" hidden="1">
      <c r="A105" s="615" t="s">
        <v>21</v>
      </c>
      <c r="B105" s="617">
        <v>4048.2</v>
      </c>
      <c r="C105" s="919">
        <f t="shared" si="12"/>
        <v>29.516802893203742</v>
      </c>
      <c r="D105" s="618">
        <v>2823.7</v>
      </c>
      <c r="E105" s="919">
        <f t="shared" si="13"/>
        <v>20.588556970885676</v>
      </c>
      <c r="F105" s="919">
        <f t="shared" si="14"/>
        <v>1224.5</v>
      </c>
      <c r="G105" s="919">
        <f t="shared" si="15"/>
        <v>8.9282459223180641</v>
      </c>
      <c r="H105" s="26">
        <v>13714.9</v>
      </c>
      <c r="I105" s="918"/>
      <c r="J105" s="918"/>
      <c r="K105" s="918"/>
      <c r="L105" s="918"/>
      <c r="M105" s="918"/>
      <c r="N105" s="918"/>
      <c r="O105" s="918"/>
      <c r="P105" s="918"/>
      <c r="Q105" s="918"/>
      <c r="R105" s="918"/>
      <c r="S105" s="918"/>
      <c r="T105" s="918"/>
      <c r="U105" s="918"/>
      <c r="V105" s="918"/>
      <c r="W105" s="918"/>
      <c r="X105" s="918"/>
      <c r="Y105" s="918"/>
      <c r="Z105" s="918"/>
      <c r="AA105" s="918"/>
      <c r="AB105" s="918"/>
      <c r="AC105" s="918"/>
      <c r="AD105" s="918"/>
      <c r="AE105" s="918"/>
      <c r="AF105" s="918"/>
      <c r="AG105" s="918"/>
      <c r="AH105" s="918"/>
      <c r="AI105" s="918"/>
      <c r="AJ105" s="918"/>
      <c r="AK105" s="918"/>
      <c r="AL105" s="918"/>
      <c r="AM105" s="918"/>
      <c r="AN105" s="918"/>
      <c r="AO105" s="918"/>
      <c r="AP105" s="918"/>
      <c r="AQ105" s="918"/>
      <c r="AR105" s="918"/>
      <c r="AS105" s="918"/>
      <c r="AT105" s="918"/>
      <c r="AU105" s="918"/>
      <c r="AV105" s="918"/>
      <c r="AW105" s="918"/>
      <c r="AX105" s="918"/>
      <c r="AY105" s="918"/>
      <c r="AZ105" s="918"/>
      <c r="BA105" s="918"/>
      <c r="BB105" s="918"/>
      <c r="BC105" s="918"/>
      <c r="BD105" s="918"/>
      <c r="BE105" s="918"/>
      <c r="BF105" s="918"/>
      <c r="BG105" s="918"/>
      <c r="BH105" s="918"/>
      <c r="BI105" s="918"/>
      <c r="BJ105" s="918"/>
      <c r="BK105" s="918"/>
      <c r="BL105" s="918"/>
      <c r="BM105" s="918"/>
      <c r="BN105" s="918"/>
      <c r="BO105" s="918"/>
      <c r="BP105" s="918"/>
      <c r="BQ105" s="918"/>
      <c r="BR105" s="918"/>
      <c r="BS105" s="918"/>
      <c r="BT105" s="918"/>
      <c r="BU105" s="918"/>
      <c r="BV105" s="918"/>
      <c r="BW105" s="918"/>
      <c r="BX105" s="918"/>
      <c r="BY105" s="918"/>
      <c r="BZ105" s="918"/>
      <c r="CA105" s="918"/>
      <c r="CB105" s="918"/>
      <c r="CC105" s="918"/>
      <c r="CD105" s="918"/>
      <c r="CE105" s="918"/>
      <c r="CF105" s="918"/>
      <c r="CG105" s="918"/>
      <c r="CH105" s="918"/>
      <c r="CI105" s="918"/>
      <c r="CJ105" s="918"/>
      <c r="CK105" s="918"/>
      <c r="CL105" s="918"/>
      <c r="CM105" s="918"/>
      <c r="CN105" s="918"/>
      <c r="CO105" s="918"/>
      <c r="CP105" s="918"/>
      <c r="CQ105" s="918"/>
      <c r="CR105" s="918"/>
      <c r="CS105" s="918"/>
      <c r="CT105" s="918"/>
      <c r="CU105" s="918"/>
      <c r="CV105" s="918"/>
      <c r="CW105" s="918"/>
      <c r="CX105" s="918"/>
      <c r="CY105" s="918"/>
      <c r="CZ105" s="918"/>
      <c r="DA105" s="918"/>
      <c r="DB105" s="918"/>
      <c r="DC105" s="918"/>
      <c r="DD105" s="918"/>
      <c r="DE105" s="918"/>
      <c r="DF105" s="918"/>
      <c r="DG105" s="918"/>
      <c r="DH105" s="918"/>
      <c r="DI105" s="918"/>
      <c r="DJ105" s="918"/>
      <c r="DK105" s="918"/>
      <c r="DL105" s="918"/>
      <c r="DM105" s="918"/>
      <c r="DN105" s="918"/>
      <c r="DO105" s="918"/>
      <c r="DP105" s="918"/>
      <c r="DQ105" s="918"/>
      <c r="DR105" s="918"/>
      <c r="DS105" s="918"/>
      <c r="DT105" s="918"/>
      <c r="DU105" s="918"/>
      <c r="DV105" s="918"/>
      <c r="DW105" s="918"/>
      <c r="DX105" s="918"/>
      <c r="DY105" s="918"/>
      <c r="DZ105" s="918"/>
      <c r="EA105" s="918"/>
      <c r="EB105" s="918"/>
      <c r="EC105" s="918"/>
      <c r="ED105" s="918"/>
      <c r="EE105" s="918"/>
      <c r="EF105" s="918"/>
      <c r="EG105" s="918"/>
      <c r="EH105" s="918"/>
      <c r="EI105" s="918"/>
      <c r="EJ105" s="918"/>
      <c r="EK105" s="918"/>
      <c r="EL105" s="918"/>
      <c r="EM105" s="918"/>
      <c r="EN105" s="918"/>
      <c r="EO105" s="918"/>
      <c r="EP105" s="918"/>
      <c r="EQ105" s="918"/>
      <c r="ER105" s="918"/>
      <c r="ES105" s="918"/>
      <c r="ET105" s="918"/>
      <c r="EU105" s="918"/>
      <c r="EV105" s="918"/>
      <c r="EW105" s="918"/>
      <c r="EX105" s="918"/>
      <c r="EY105" s="918"/>
      <c r="EZ105" s="918"/>
      <c r="FA105" s="918"/>
      <c r="FB105" s="918"/>
      <c r="FC105" s="918"/>
      <c r="FD105" s="918"/>
      <c r="FE105" s="918"/>
      <c r="FF105" s="918"/>
      <c r="FG105" s="918"/>
      <c r="FH105" s="918"/>
      <c r="FI105" s="918"/>
      <c r="FJ105" s="918"/>
      <c r="FK105" s="918"/>
      <c r="FL105" s="918"/>
      <c r="FM105" s="918"/>
      <c r="FN105" s="918"/>
      <c r="FO105" s="918"/>
      <c r="FP105" s="918"/>
      <c r="FQ105" s="918"/>
      <c r="FR105" s="918"/>
      <c r="FS105" s="918"/>
      <c r="FT105" s="918"/>
      <c r="FU105" s="918"/>
      <c r="FV105" s="918"/>
      <c r="FW105" s="918"/>
      <c r="FX105" s="918"/>
      <c r="FY105" s="918"/>
      <c r="FZ105" s="918"/>
      <c r="GA105" s="918"/>
      <c r="GB105" s="918"/>
      <c r="GC105" s="918"/>
      <c r="GD105" s="918"/>
      <c r="GE105" s="918"/>
      <c r="GF105" s="918"/>
      <c r="GG105" s="918"/>
      <c r="GH105" s="918"/>
      <c r="GI105" s="918"/>
      <c r="GJ105" s="918"/>
      <c r="GK105" s="918"/>
      <c r="GL105" s="918"/>
      <c r="GM105" s="918"/>
      <c r="GN105" s="918"/>
      <c r="GO105" s="918"/>
      <c r="GP105" s="918"/>
      <c r="GQ105" s="918"/>
      <c r="GR105" s="918"/>
      <c r="GS105" s="918"/>
      <c r="GT105" s="918"/>
      <c r="GU105" s="918"/>
      <c r="GV105" s="918"/>
      <c r="GW105" s="918"/>
      <c r="GX105" s="918"/>
      <c r="GY105" s="918"/>
      <c r="GZ105" s="918"/>
      <c r="HA105" s="918"/>
      <c r="HB105" s="918"/>
      <c r="HC105" s="918"/>
      <c r="HD105" s="918"/>
      <c r="HE105" s="918"/>
      <c r="HF105" s="918"/>
      <c r="HG105" s="918"/>
      <c r="HH105" s="918"/>
      <c r="HI105" s="918"/>
      <c r="HJ105" s="918"/>
      <c r="HK105" s="918"/>
      <c r="HL105" s="918"/>
      <c r="HM105" s="918"/>
      <c r="HN105" s="918"/>
      <c r="HO105" s="918"/>
      <c r="HP105" s="918"/>
      <c r="HQ105" s="918"/>
      <c r="HR105" s="918"/>
      <c r="HS105" s="918"/>
      <c r="HT105" s="918"/>
      <c r="HU105" s="918"/>
      <c r="HV105" s="918"/>
      <c r="HW105" s="918"/>
      <c r="HX105" s="918"/>
      <c r="HY105" s="918"/>
      <c r="HZ105" s="918"/>
      <c r="IA105" s="918"/>
      <c r="IB105" s="918"/>
      <c r="IC105" s="918"/>
      <c r="ID105" s="918"/>
      <c r="IE105" s="918"/>
      <c r="IF105" s="918"/>
      <c r="IG105" s="918"/>
      <c r="IH105" s="918"/>
      <c r="II105" s="918"/>
      <c r="IJ105" s="918"/>
      <c r="IK105" s="918"/>
      <c r="IL105" s="918"/>
      <c r="IM105" s="918"/>
      <c r="IN105" s="918"/>
    </row>
    <row r="106" spans="1:248" hidden="1">
      <c r="A106" s="615" t="s">
        <v>22</v>
      </c>
      <c r="B106" s="617">
        <v>4825.2</v>
      </c>
      <c r="C106" s="919">
        <f t="shared" si="12"/>
        <v>27.421206369412275</v>
      </c>
      <c r="D106" s="618">
        <v>3683</v>
      </c>
      <c r="E106" s="919">
        <f t="shared" si="13"/>
        <v>20.930179693804487</v>
      </c>
      <c r="F106" s="919">
        <f t="shared" si="14"/>
        <v>1142.1999999999998</v>
      </c>
      <c r="G106" s="919">
        <f t="shared" si="15"/>
        <v>6.4910266756077872</v>
      </c>
      <c r="H106" s="26">
        <v>17596.599999999999</v>
      </c>
      <c r="I106" s="918"/>
      <c r="J106" s="918"/>
      <c r="K106" s="918"/>
      <c r="L106" s="918"/>
      <c r="M106" s="918"/>
      <c r="N106" s="918"/>
      <c r="O106" s="918"/>
      <c r="P106" s="918"/>
      <c r="Q106" s="918"/>
      <c r="R106" s="918"/>
      <c r="S106" s="918"/>
      <c r="T106" s="918"/>
      <c r="U106" s="918"/>
      <c r="V106" s="918"/>
      <c r="W106" s="918"/>
      <c r="X106" s="918"/>
      <c r="Y106" s="918"/>
      <c r="Z106" s="918"/>
      <c r="AA106" s="918"/>
      <c r="AB106" s="918"/>
      <c r="AC106" s="918"/>
      <c r="AD106" s="918"/>
      <c r="AE106" s="918"/>
      <c r="AF106" s="918"/>
      <c r="AG106" s="918"/>
      <c r="AH106" s="918"/>
      <c r="AI106" s="918"/>
      <c r="AJ106" s="918"/>
      <c r="AK106" s="918"/>
      <c r="AL106" s="918"/>
      <c r="AM106" s="918"/>
      <c r="AN106" s="918"/>
      <c r="AO106" s="918"/>
      <c r="AP106" s="918"/>
      <c r="AQ106" s="918"/>
      <c r="AR106" s="918"/>
      <c r="AS106" s="918"/>
      <c r="AT106" s="918"/>
      <c r="AU106" s="918"/>
      <c r="AV106" s="918"/>
      <c r="AW106" s="918"/>
      <c r="AX106" s="918"/>
      <c r="AY106" s="918"/>
      <c r="AZ106" s="918"/>
      <c r="BA106" s="918"/>
      <c r="BB106" s="918"/>
      <c r="BC106" s="918"/>
      <c r="BD106" s="918"/>
      <c r="BE106" s="918"/>
      <c r="BF106" s="918"/>
      <c r="BG106" s="918"/>
      <c r="BH106" s="918"/>
      <c r="BI106" s="918"/>
      <c r="BJ106" s="918"/>
      <c r="BK106" s="918"/>
      <c r="BL106" s="918"/>
      <c r="BM106" s="918"/>
      <c r="BN106" s="918"/>
      <c r="BO106" s="918"/>
      <c r="BP106" s="918"/>
      <c r="BQ106" s="918"/>
      <c r="BR106" s="918"/>
      <c r="BS106" s="918"/>
      <c r="BT106" s="918"/>
      <c r="BU106" s="918"/>
      <c r="BV106" s="918"/>
      <c r="BW106" s="918"/>
      <c r="BX106" s="918"/>
      <c r="BY106" s="918"/>
      <c r="BZ106" s="918"/>
      <c r="CA106" s="918"/>
      <c r="CB106" s="918"/>
      <c r="CC106" s="918"/>
      <c r="CD106" s="918"/>
      <c r="CE106" s="918"/>
      <c r="CF106" s="918"/>
      <c r="CG106" s="918"/>
      <c r="CH106" s="918"/>
      <c r="CI106" s="918"/>
      <c r="CJ106" s="918"/>
      <c r="CK106" s="918"/>
      <c r="CL106" s="918"/>
      <c r="CM106" s="918"/>
      <c r="CN106" s="918"/>
      <c r="CO106" s="918"/>
      <c r="CP106" s="918"/>
      <c r="CQ106" s="918"/>
      <c r="CR106" s="918"/>
      <c r="CS106" s="918"/>
      <c r="CT106" s="918"/>
      <c r="CU106" s="918"/>
      <c r="CV106" s="918"/>
      <c r="CW106" s="918"/>
      <c r="CX106" s="918"/>
      <c r="CY106" s="918"/>
      <c r="CZ106" s="918"/>
      <c r="DA106" s="918"/>
      <c r="DB106" s="918"/>
      <c r="DC106" s="918"/>
      <c r="DD106" s="918"/>
      <c r="DE106" s="918"/>
      <c r="DF106" s="918"/>
      <c r="DG106" s="918"/>
      <c r="DH106" s="918"/>
      <c r="DI106" s="918"/>
      <c r="DJ106" s="918"/>
      <c r="DK106" s="918"/>
      <c r="DL106" s="918"/>
      <c r="DM106" s="918"/>
      <c r="DN106" s="918"/>
      <c r="DO106" s="918"/>
      <c r="DP106" s="918"/>
      <c r="DQ106" s="918"/>
      <c r="DR106" s="918"/>
      <c r="DS106" s="918"/>
      <c r="DT106" s="918"/>
      <c r="DU106" s="918"/>
      <c r="DV106" s="918"/>
      <c r="DW106" s="918"/>
      <c r="DX106" s="918"/>
      <c r="DY106" s="918"/>
      <c r="DZ106" s="918"/>
      <c r="EA106" s="918"/>
      <c r="EB106" s="918"/>
      <c r="EC106" s="918"/>
      <c r="ED106" s="918"/>
      <c r="EE106" s="918"/>
      <c r="EF106" s="918"/>
      <c r="EG106" s="918"/>
      <c r="EH106" s="918"/>
      <c r="EI106" s="918"/>
      <c r="EJ106" s="918"/>
      <c r="EK106" s="918"/>
      <c r="EL106" s="918"/>
      <c r="EM106" s="918"/>
      <c r="EN106" s="918"/>
      <c r="EO106" s="918"/>
      <c r="EP106" s="918"/>
      <c r="EQ106" s="918"/>
      <c r="ER106" s="918"/>
      <c r="ES106" s="918"/>
      <c r="ET106" s="918"/>
      <c r="EU106" s="918"/>
      <c r="EV106" s="918"/>
      <c r="EW106" s="918"/>
      <c r="EX106" s="918"/>
      <c r="EY106" s="918"/>
      <c r="EZ106" s="918"/>
      <c r="FA106" s="918"/>
      <c r="FB106" s="918"/>
      <c r="FC106" s="918"/>
      <c r="FD106" s="918"/>
      <c r="FE106" s="918"/>
      <c r="FF106" s="918"/>
      <c r="FG106" s="918"/>
      <c r="FH106" s="918"/>
      <c r="FI106" s="918"/>
      <c r="FJ106" s="918"/>
      <c r="FK106" s="918"/>
      <c r="FL106" s="918"/>
      <c r="FM106" s="918"/>
      <c r="FN106" s="918"/>
      <c r="FO106" s="918"/>
      <c r="FP106" s="918"/>
      <c r="FQ106" s="918"/>
      <c r="FR106" s="918"/>
      <c r="FS106" s="918"/>
      <c r="FT106" s="918"/>
      <c r="FU106" s="918"/>
      <c r="FV106" s="918"/>
      <c r="FW106" s="918"/>
      <c r="FX106" s="918"/>
      <c r="FY106" s="918"/>
      <c r="FZ106" s="918"/>
      <c r="GA106" s="918"/>
      <c r="GB106" s="918"/>
      <c r="GC106" s="918"/>
      <c r="GD106" s="918"/>
      <c r="GE106" s="918"/>
      <c r="GF106" s="918"/>
      <c r="GG106" s="918"/>
      <c r="GH106" s="918"/>
      <c r="GI106" s="918"/>
      <c r="GJ106" s="918"/>
      <c r="GK106" s="918"/>
      <c r="GL106" s="918"/>
      <c r="GM106" s="918"/>
      <c r="GN106" s="918"/>
      <c r="GO106" s="918"/>
      <c r="GP106" s="918"/>
      <c r="GQ106" s="918"/>
      <c r="GR106" s="918"/>
      <c r="GS106" s="918"/>
      <c r="GT106" s="918"/>
      <c r="GU106" s="918"/>
      <c r="GV106" s="918"/>
      <c r="GW106" s="918"/>
      <c r="GX106" s="918"/>
      <c r="GY106" s="918"/>
      <c r="GZ106" s="918"/>
      <c r="HA106" s="918"/>
      <c r="HB106" s="918"/>
      <c r="HC106" s="918"/>
      <c r="HD106" s="918"/>
      <c r="HE106" s="918"/>
      <c r="HF106" s="918"/>
      <c r="HG106" s="918"/>
      <c r="HH106" s="918"/>
      <c r="HI106" s="918"/>
      <c r="HJ106" s="918"/>
      <c r="HK106" s="918"/>
      <c r="HL106" s="918"/>
      <c r="HM106" s="918"/>
      <c r="HN106" s="918"/>
      <c r="HO106" s="918"/>
      <c r="HP106" s="918"/>
      <c r="HQ106" s="918"/>
      <c r="HR106" s="918"/>
      <c r="HS106" s="918"/>
      <c r="HT106" s="918"/>
      <c r="HU106" s="918"/>
      <c r="HV106" s="918"/>
      <c r="HW106" s="918"/>
      <c r="HX106" s="918"/>
      <c r="HY106" s="918"/>
      <c r="HZ106" s="918"/>
      <c r="IA106" s="918"/>
      <c r="IB106" s="918"/>
      <c r="IC106" s="918"/>
      <c r="ID106" s="918"/>
      <c r="IE106" s="918"/>
      <c r="IF106" s="918"/>
      <c r="IG106" s="918"/>
      <c r="IH106" s="918"/>
      <c r="II106" s="918"/>
      <c r="IJ106" s="918"/>
      <c r="IK106" s="918"/>
      <c r="IL106" s="918"/>
      <c r="IM106" s="918"/>
      <c r="IN106" s="918"/>
    </row>
    <row r="107" spans="1:248" hidden="1">
      <c r="A107" s="615" t="s">
        <v>23</v>
      </c>
      <c r="B107" s="617">
        <v>5610.8</v>
      </c>
      <c r="C107" s="919">
        <f t="shared" si="12"/>
        <v>24.918615237714565</v>
      </c>
      <c r="D107" s="618">
        <v>4882.1000000000004</v>
      </c>
      <c r="E107" s="919">
        <f t="shared" si="13"/>
        <v>21.682321852863456</v>
      </c>
      <c r="F107" s="919">
        <f t="shared" si="14"/>
        <v>728.69999999999982</v>
      </c>
      <c r="G107" s="919">
        <f t="shared" si="15"/>
        <v>3.2362933848511086</v>
      </c>
      <c r="H107" s="26">
        <v>22516.5</v>
      </c>
      <c r="I107" s="918"/>
      <c r="J107" s="918"/>
      <c r="K107" s="918"/>
      <c r="L107" s="918"/>
      <c r="M107" s="918"/>
      <c r="N107" s="918"/>
      <c r="O107" s="918"/>
      <c r="P107" s="918"/>
      <c r="Q107" s="918"/>
      <c r="R107" s="918"/>
      <c r="S107" s="918"/>
      <c r="T107" s="918"/>
      <c r="U107" s="918"/>
      <c r="V107" s="918"/>
      <c r="W107" s="918"/>
      <c r="X107" s="918"/>
      <c r="Y107" s="918"/>
      <c r="Z107" s="918"/>
      <c r="AA107" s="918"/>
      <c r="AB107" s="918"/>
      <c r="AC107" s="918"/>
      <c r="AD107" s="918"/>
      <c r="AE107" s="918"/>
      <c r="AF107" s="918"/>
      <c r="AG107" s="918"/>
      <c r="AH107" s="918"/>
      <c r="AI107" s="918"/>
      <c r="AJ107" s="918"/>
      <c r="AK107" s="918"/>
      <c r="AL107" s="918"/>
      <c r="AM107" s="918"/>
      <c r="AN107" s="918"/>
      <c r="AO107" s="918"/>
      <c r="AP107" s="918"/>
      <c r="AQ107" s="918"/>
      <c r="AR107" s="918"/>
      <c r="AS107" s="918"/>
      <c r="AT107" s="918"/>
      <c r="AU107" s="918"/>
      <c r="AV107" s="918"/>
      <c r="AW107" s="918"/>
      <c r="AX107" s="918"/>
      <c r="AY107" s="918"/>
      <c r="AZ107" s="918"/>
      <c r="BA107" s="918"/>
      <c r="BB107" s="918"/>
      <c r="BC107" s="918"/>
      <c r="BD107" s="918"/>
      <c r="BE107" s="918"/>
      <c r="BF107" s="918"/>
      <c r="BG107" s="918"/>
      <c r="BH107" s="918"/>
      <c r="BI107" s="918"/>
      <c r="BJ107" s="918"/>
      <c r="BK107" s="918"/>
      <c r="BL107" s="918"/>
      <c r="BM107" s="918"/>
      <c r="BN107" s="918"/>
      <c r="BO107" s="918"/>
      <c r="BP107" s="918"/>
      <c r="BQ107" s="918"/>
      <c r="BR107" s="918"/>
      <c r="BS107" s="918"/>
      <c r="BT107" s="918"/>
      <c r="BU107" s="918"/>
      <c r="BV107" s="918"/>
      <c r="BW107" s="918"/>
      <c r="BX107" s="918"/>
      <c r="BY107" s="918"/>
      <c r="BZ107" s="918"/>
      <c r="CA107" s="918"/>
      <c r="CB107" s="918"/>
      <c r="CC107" s="918"/>
      <c r="CD107" s="918"/>
      <c r="CE107" s="918"/>
      <c r="CF107" s="918"/>
      <c r="CG107" s="918"/>
      <c r="CH107" s="918"/>
      <c r="CI107" s="918"/>
      <c r="CJ107" s="918"/>
      <c r="CK107" s="918"/>
      <c r="CL107" s="918"/>
      <c r="CM107" s="918"/>
      <c r="CN107" s="918"/>
      <c r="CO107" s="918"/>
      <c r="CP107" s="918"/>
      <c r="CQ107" s="918"/>
      <c r="CR107" s="918"/>
      <c r="CS107" s="918"/>
      <c r="CT107" s="918"/>
      <c r="CU107" s="918"/>
      <c r="CV107" s="918"/>
      <c r="CW107" s="918"/>
      <c r="CX107" s="918"/>
      <c r="CY107" s="918"/>
      <c r="CZ107" s="918"/>
      <c r="DA107" s="918"/>
      <c r="DB107" s="918"/>
      <c r="DC107" s="918"/>
      <c r="DD107" s="918"/>
      <c r="DE107" s="918"/>
      <c r="DF107" s="918"/>
      <c r="DG107" s="918"/>
      <c r="DH107" s="918"/>
      <c r="DI107" s="918"/>
      <c r="DJ107" s="918"/>
      <c r="DK107" s="918"/>
      <c r="DL107" s="918"/>
      <c r="DM107" s="918"/>
      <c r="DN107" s="918"/>
      <c r="DO107" s="918"/>
      <c r="DP107" s="918"/>
      <c r="DQ107" s="918"/>
      <c r="DR107" s="918"/>
      <c r="DS107" s="918"/>
      <c r="DT107" s="918"/>
      <c r="DU107" s="918"/>
      <c r="DV107" s="918"/>
      <c r="DW107" s="918"/>
      <c r="DX107" s="918"/>
      <c r="DY107" s="918"/>
      <c r="DZ107" s="918"/>
      <c r="EA107" s="918"/>
      <c r="EB107" s="918"/>
      <c r="EC107" s="918"/>
      <c r="ED107" s="918"/>
      <c r="EE107" s="918"/>
      <c r="EF107" s="918"/>
      <c r="EG107" s="918"/>
      <c r="EH107" s="918"/>
      <c r="EI107" s="918"/>
      <c r="EJ107" s="918"/>
      <c r="EK107" s="918"/>
      <c r="EL107" s="918"/>
      <c r="EM107" s="918"/>
      <c r="EN107" s="918"/>
      <c r="EO107" s="918"/>
      <c r="EP107" s="918"/>
      <c r="EQ107" s="918"/>
      <c r="ER107" s="918"/>
      <c r="ES107" s="918"/>
      <c r="ET107" s="918"/>
      <c r="EU107" s="918"/>
      <c r="EV107" s="918"/>
      <c r="EW107" s="918"/>
      <c r="EX107" s="918"/>
      <c r="EY107" s="918"/>
      <c r="EZ107" s="918"/>
      <c r="FA107" s="918"/>
      <c r="FB107" s="918"/>
      <c r="FC107" s="918"/>
      <c r="FD107" s="918"/>
      <c r="FE107" s="918"/>
      <c r="FF107" s="918"/>
      <c r="FG107" s="918"/>
      <c r="FH107" s="918"/>
      <c r="FI107" s="918"/>
      <c r="FJ107" s="918"/>
      <c r="FK107" s="918"/>
      <c r="FL107" s="918"/>
      <c r="FM107" s="918"/>
      <c r="FN107" s="918"/>
      <c r="FO107" s="918"/>
      <c r="FP107" s="918"/>
      <c r="FQ107" s="918"/>
      <c r="FR107" s="918"/>
      <c r="FS107" s="918"/>
      <c r="FT107" s="918"/>
      <c r="FU107" s="918"/>
      <c r="FV107" s="918"/>
      <c r="FW107" s="918"/>
      <c r="FX107" s="918"/>
      <c r="FY107" s="918"/>
      <c r="FZ107" s="918"/>
      <c r="GA107" s="918"/>
      <c r="GB107" s="918"/>
      <c r="GC107" s="918"/>
      <c r="GD107" s="918"/>
      <c r="GE107" s="918"/>
      <c r="GF107" s="918"/>
      <c r="GG107" s="918"/>
      <c r="GH107" s="918"/>
      <c r="GI107" s="918"/>
      <c r="GJ107" s="918"/>
      <c r="GK107" s="918"/>
      <c r="GL107" s="918"/>
      <c r="GM107" s="918"/>
      <c r="GN107" s="918"/>
      <c r="GO107" s="918"/>
      <c r="GP107" s="918"/>
      <c r="GQ107" s="918"/>
      <c r="GR107" s="918"/>
      <c r="GS107" s="918"/>
      <c r="GT107" s="918"/>
      <c r="GU107" s="918"/>
      <c r="GV107" s="918"/>
      <c r="GW107" s="918"/>
      <c r="GX107" s="918"/>
      <c r="GY107" s="918"/>
      <c r="GZ107" s="918"/>
      <c r="HA107" s="918"/>
      <c r="HB107" s="918"/>
      <c r="HC107" s="918"/>
      <c r="HD107" s="918"/>
      <c r="HE107" s="918"/>
      <c r="HF107" s="918"/>
      <c r="HG107" s="918"/>
      <c r="HH107" s="918"/>
      <c r="HI107" s="918"/>
      <c r="HJ107" s="918"/>
      <c r="HK107" s="918"/>
      <c r="HL107" s="918"/>
      <c r="HM107" s="918"/>
      <c r="HN107" s="918"/>
      <c r="HO107" s="918"/>
      <c r="HP107" s="918"/>
      <c r="HQ107" s="918"/>
      <c r="HR107" s="918"/>
      <c r="HS107" s="918"/>
      <c r="HT107" s="918"/>
      <c r="HU107" s="918"/>
      <c r="HV107" s="918"/>
      <c r="HW107" s="918"/>
      <c r="HX107" s="918"/>
      <c r="HY107" s="918"/>
      <c r="HZ107" s="918"/>
      <c r="IA107" s="918"/>
      <c r="IB107" s="918"/>
      <c r="IC107" s="918"/>
      <c r="ID107" s="918"/>
      <c r="IE107" s="918"/>
      <c r="IF107" s="918"/>
      <c r="IG107" s="918"/>
      <c r="IH107" s="918"/>
      <c r="II107" s="918"/>
      <c r="IJ107" s="918"/>
      <c r="IK107" s="918"/>
      <c r="IL107" s="918"/>
      <c r="IM107" s="918"/>
      <c r="IN107" s="918"/>
    </row>
    <row r="108" spans="1:248" hidden="1">
      <c r="A108" s="615" t="s">
        <v>24</v>
      </c>
      <c r="B108" s="617">
        <v>6868.5</v>
      </c>
      <c r="C108" s="919">
        <f t="shared" si="12"/>
        <v>25.916618557634617</v>
      </c>
      <c r="D108" s="618">
        <v>6201.2</v>
      </c>
      <c r="E108" s="919">
        <f t="shared" si="13"/>
        <v>23.398723884342111</v>
      </c>
      <c r="F108" s="919">
        <f t="shared" si="14"/>
        <v>667.30000000000018</v>
      </c>
      <c r="G108" s="919">
        <f t="shared" si="15"/>
        <v>2.5178946732925076</v>
      </c>
      <c r="H108" s="26">
        <v>26502.3</v>
      </c>
      <c r="I108" s="918"/>
      <c r="J108" s="918"/>
      <c r="K108" s="918"/>
      <c r="L108" s="918"/>
      <c r="M108" s="918"/>
      <c r="N108" s="918"/>
      <c r="O108" s="921"/>
      <c r="P108" s="918"/>
      <c r="Q108" s="918"/>
      <c r="R108" s="918"/>
      <c r="S108" s="918"/>
      <c r="T108" s="918"/>
      <c r="U108" s="918"/>
      <c r="V108" s="918"/>
      <c r="W108" s="918"/>
      <c r="X108" s="918"/>
      <c r="Y108" s="918"/>
      <c r="Z108" s="918"/>
      <c r="AA108" s="918"/>
      <c r="AB108" s="918"/>
      <c r="AC108" s="918"/>
      <c r="AD108" s="918"/>
      <c r="AE108" s="918"/>
      <c r="AF108" s="918"/>
      <c r="AG108" s="918"/>
      <c r="AH108" s="918"/>
      <c r="AI108" s="918"/>
      <c r="AJ108" s="918"/>
      <c r="AK108" s="918"/>
      <c r="AL108" s="918"/>
      <c r="AM108" s="918"/>
      <c r="AN108" s="918"/>
      <c r="AO108" s="918"/>
      <c r="AP108" s="918"/>
      <c r="AQ108" s="918"/>
      <c r="AR108" s="918"/>
      <c r="AS108" s="918"/>
      <c r="AT108" s="918"/>
      <c r="AU108" s="918"/>
      <c r="AV108" s="918"/>
      <c r="AW108" s="918"/>
      <c r="AX108" s="918"/>
      <c r="AY108" s="918"/>
      <c r="AZ108" s="918"/>
      <c r="BA108" s="918"/>
      <c r="BB108" s="918"/>
      <c r="BC108" s="918"/>
      <c r="BD108" s="918"/>
      <c r="BE108" s="918"/>
      <c r="BF108" s="918"/>
      <c r="BG108" s="918"/>
      <c r="BH108" s="918"/>
      <c r="BI108" s="918"/>
      <c r="BJ108" s="918"/>
      <c r="BK108" s="918"/>
      <c r="BL108" s="918"/>
      <c r="BM108" s="918"/>
      <c r="BN108" s="918"/>
      <c r="BO108" s="918"/>
      <c r="BP108" s="918"/>
      <c r="BQ108" s="918"/>
      <c r="BR108" s="918"/>
      <c r="BS108" s="918"/>
      <c r="BT108" s="918"/>
      <c r="BU108" s="918"/>
      <c r="BV108" s="918"/>
      <c r="BW108" s="918"/>
      <c r="BX108" s="918"/>
      <c r="BY108" s="918"/>
      <c r="BZ108" s="918"/>
      <c r="CA108" s="918"/>
      <c r="CB108" s="918"/>
      <c r="CC108" s="918"/>
      <c r="CD108" s="918"/>
      <c r="CE108" s="918"/>
      <c r="CF108" s="918"/>
      <c r="CG108" s="918"/>
      <c r="CH108" s="918"/>
      <c r="CI108" s="918"/>
      <c r="CJ108" s="918"/>
      <c r="CK108" s="918"/>
      <c r="CL108" s="918"/>
      <c r="CM108" s="918"/>
      <c r="CN108" s="918"/>
      <c r="CO108" s="918"/>
      <c r="CP108" s="918"/>
      <c r="CQ108" s="918"/>
      <c r="CR108" s="918"/>
      <c r="CS108" s="918"/>
      <c r="CT108" s="918"/>
      <c r="CU108" s="918"/>
      <c r="CV108" s="918"/>
      <c r="CW108" s="918"/>
      <c r="CX108" s="918"/>
      <c r="CY108" s="918"/>
      <c r="CZ108" s="918"/>
      <c r="DA108" s="918"/>
      <c r="DB108" s="918"/>
      <c r="DC108" s="918"/>
      <c r="DD108" s="918"/>
      <c r="DE108" s="918"/>
      <c r="DF108" s="918"/>
      <c r="DG108" s="918"/>
      <c r="DH108" s="918"/>
      <c r="DI108" s="918"/>
      <c r="DJ108" s="918"/>
      <c r="DK108" s="918"/>
      <c r="DL108" s="918"/>
      <c r="DM108" s="918"/>
      <c r="DN108" s="918"/>
      <c r="DO108" s="918"/>
      <c r="DP108" s="918"/>
      <c r="DQ108" s="918"/>
      <c r="DR108" s="918"/>
      <c r="DS108" s="918"/>
      <c r="DT108" s="918"/>
      <c r="DU108" s="918"/>
      <c r="DV108" s="918"/>
      <c r="DW108" s="918"/>
      <c r="DX108" s="918"/>
      <c r="DY108" s="918"/>
      <c r="DZ108" s="918"/>
      <c r="EA108" s="918"/>
      <c r="EB108" s="918"/>
      <c r="EC108" s="918"/>
      <c r="ED108" s="918"/>
      <c r="EE108" s="918"/>
      <c r="EF108" s="918"/>
      <c r="EG108" s="918"/>
      <c r="EH108" s="918"/>
      <c r="EI108" s="918"/>
      <c r="EJ108" s="918"/>
      <c r="EK108" s="918"/>
      <c r="EL108" s="918"/>
      <c r="EM108" s="918"/>
      <c r="EN108" s="918"/>
      <c r="EO108" s="918"/>
      <c r="EP108" s="918"/>
      <c r="EQ108" s="918"/>
      <c r="ER108" s="918"/>
      <c r="ES108" s="918"/>
      <c r="ET108" s="918"/>
      <c r="EU108" s="918"/>
      <c r="EV108" s="918"/>
      <c r="EW108" s="918"/>
      <c r="EX108" s="918"/>
      <c r="EY108" s="918"/>
      <c r="EZ108" s="918"/>
      <c r="FA108" s="918"/>
      <c r="FB108" s="918"/>
      <c r="FC108" s="918"/>
      <c r="FD108" s="918"/>
      <c r="FE108" s="918"/>
      <c r="FF108" s="918"/>
      <c r="FG108" s="918"/>
      <c r="FH108" s="918"/>
      <c r="FI108" s="918"/>
      <c r="FJ108" s="918"/>
      <c r="FK108" s="918"/>
      <c r="FL108" s="918"/>
      <c r="FM108" s="918"/>
      <c r="FN108" s="918"/>
      <c r="FO108" s="918"/>
      <c r="FP108" s="918"/>
      <c r="FQ108" s="918"/>
      <c r="FR108" s="918"/>
      <c r="FS108" s="918"/>
      <c r="FT108" s="918"/>
      <c r="FU108" s="918"/>
      <c r="FV108" s="918"/>
      <c r="FW108" s="918"/>
      <c r="FX108" s="918"/>
      <c r="FY108" s="918"/>
      <c r="FZ108" s="918"/>
      <c r="GA108" s="918"/>
      <c r="GB108" s="918"/>
      <c r="GC108" s="918"/>
      <c r="GD108" s="918"/>
      <c r="GE108" s="918"/>
      <c r="GF108" s="918"/>
      <c r="GG108" s="918"/>
      <c r="GH108" s="918"/>
      <c r="GI108" s="918"/>
      <c r="GJ108" s="918"/>
      <c r="GK108" s="918"/>
      <c r="GL108" s="918"/>
      <c r="GM108" s="918"/>
      <c r="GN108" s="918"/>
      <c r="GO108" s="918"/>
      <c r="GP108" s="918"/>
      <c r="GQ108" s="918"/>
      <c r="GR108" s="918"/>
      <c r="GS108" s="918"/>
      <c r="GT108" s="918"/>
      <c r="GU108" s="918"/>
      <c r="GV108" s="918"/>
      <c r="GW108" s="918"/>
      <c r="GX108" s="918"/>
      <c r="GY108" s="918"/>
      <c r="GZ108" s="918"/>
      <c r="HA108" s="918"/>
      <c r="HB108" s="918"/>
      <c r="HC108" s="918"/>
      <c r="HD108" s="918"/>
      <c r="HE108" s="918"/>
      <c r="HF108" s="918"/>
      <c r="HG108" s="918"/>
      <c r="HH108" s="918"/>
      <c r="HI108" s="918"/>
      <c r="HJ108" s="918"/>
      <c r="HK108" s="918"/>
      <c r="HL108" s="918"/>
      <c r="HM108" s="918"/>
      <c r="HN108" s="918"/>
      <c r="HO108" s="918"/>
      <c r="HP108" s="918"/>
      <c r="HQ108" s="918"/>
      <c r="HR108" s="918"/>
      <c r="HS108" s="918"/>
      <c r="HT108" s="918"/>
      <c r="HU108" s="918"/>
      <c r="HV108" s="918"/>
      <c r="HW108" s="918"/>
      <c r="HX108" s="918"/>
      <c r="HY108" s="918"/>
      <c r="HZ108" s="918"/>
      <c r="IA108" s="918"/>
      <c r="IB108" s="918"/>
      <c r="IC108" s="918"/>
      <c r="ID108" s="918"/>
      <c r="IE108" s="918"/>
      <c r="IF108" s="918"/>
      <c r="IG108" s="918"/>
      <c r="IH108" s="918"/>
      <c r="II108" s="918"/>
      <c r="IJ108" s="918"/>
      <c r="IK108" s="918"/>
      <c r="IL108" s="918"/>
      <c r="IM108" s="918"/>
      <c r="IN108" s="918"/>
    </row>
    <row r="109" spans="1:248" hidden="1">
      <c r="A109" s="615" t="s">
        <v>25</v>
      </c>
      <c r="B109" s="617">
        <v>7738.7</v>
      </c>
      <c r="C109" s="919">
        <f t="shared" si="12"/>
        <v>25.069649613849581</v>
      </c>
      <c r="D109" s="618">
        <v>7538</v>
      </c>
      <c r="E109" s="919">
        <f t="shared" si="13"/>
        <v>24.419478567356038</v>
      </c>
      <c r="F109" s="919">
        <f t="shared" si="14"/>
        <v>200.69999999999982</v>
      </c>
      <c r="G109" s="919">
        <f t="shared" si="15"/>
        <v>0.65017104649354629</v>
      </c>
      <c r="H109" s="26">
        <v>30868.799999999999</v>
      </c>
      <c r="I109" s="918"/>
      <c r="J109" s="918"/>
      <c r="K109" s="918"/>
      <c r="L109" s="918"/>
      <c r="M109" s="918"/>
      <c r="N109" s="918"/>
      <c r="O109" s="918"/>
      <c r="P109" s="918"/>
      <c r="Q109" s="918"/>
      <c r="R109" s="918"/>
      <c r="S109" s="918"/>
      <c r="T109" s="918"/>
      <c r="U109" s="918"/>
      <c r="V109" s="918"/>
      <c r="W109" s="918"/>
      <c r="X109" s="918"/>
      <c r="Y109" s="918"/>
      <c r="Z109" s="918"/>
      <c r="AA109" s="918"/>
      <c r="AB109" s="918"/>
      <c r="AC109" s="918"/>
      <c r="AD109" s="918"/>
      <c r="AE109" s="918"/>
      <c r="AF109" s="918"/>
      <c r="AG109" s="918"/>
      <c r="AH109" s="918"/>
      <c r="AI109" s="918"/>
      <c r="AJ109" s="918"/>
      <c r="AK109" s="918"/>
      <c r="AL109" s="918"/>
      <c r="AM109" s="918"/>
      <c r="AN109" s="918"/>
      <c r="AO109" s="918"/>
      <c r="AP109" s="918"/>
      <c r="AQ109" s="918"/>
      <c r="AR109" s="918"/>
      <c r="AS109" s="918"/>
      <c r="AT109" s="918"/>
      <c r="AU109" s="918"/>
      <c r="AV109" s="918"/>
      <c r="AW109" s="918"/>
      <c r="AX109" s="918"/>
      <c r="AY109" s="918"/>
      <c r="AZ109" s="918"/>
      <c r="BA109" s="918"/>
      <c r="BB109" s="918"/>
      <c r="BC109" s="918"/>
      <c r="BD109" s="918"/>
      <c r="BE109" s="918"/>
      <c r="BF109" s="918"/>
      <c r="BG109" s="918"/>
      <c r="BH109" s="918"/>
      <c r="BI109" s="918"/>
      <c r="BJ109" s="918"/>
      <c r="BK109" s="918"/>
      <c r="BL109" s="918"/>
      <c r="BM109" s="918"/>
      <c r="BN109" s="918"/>
      <c r="BO109" s="918"/>
      <c r="BP109" s="918"/>
      <c r="BQ109" s="918"/>
      <c r="BR109" s="918"/>
      <c r="BS109" s="918"/>
      <c r="BT109" s="918"/>
      <c r="BU109" s="918"/>
      <c r="BV109" s="918"/>
      <c r="BW109" s="918"/>
      <c r="BX109" s="918"/>
      <c r="BY109" s="918"/>
      <c r="BZ109" s="918"/>
      <c r="CA109" s="918"/>
      <c r="CB109" s="918"/>
      <c r="CC109" s="918"/>
      <c r="CD109" s="918"/>
      <c r="CE109" s="918"/>
      <c r="CF109" s="918"/>
      <c r="CG109" s="918"/>
      <c r="CH109" s="918"/>
      <c r="CI109" s="918"/>
      <c r="CJ109" s="918"/>
      <c r="CK109" s="918"/>
      <c r="CL109" s="918"/>
      <c r="CM109" s="918"/>
      <c r="CN109" s="918"/>
      <c r="CO109" s="918"/>
      <c r="CP109" s="918"/>
      <c r="CQ109" s="918"/>
      <c r="CR109" s="918"/>
      <c r="CS109" s="918"/>
      <c r="CT109" s="918"/>
      <c r="CU109" s="918"/>
      <c r="CV109" s="918"/>
      <c r="CW109" s="918"/>
      <c r="CX109" s="918"/>
      <c r="CY109" s="918"/>
      <c r="CZ109" s="918"/>
      <c r="DA109" s="918"/>
      <c r="DB109" s="918"/>
      <c r="DC109" s="918"/>
      <c r="DD109" s="918"/>
      <c r="DE109" s="918"/>
      <c r="DF109" s="918"/>
      <c r="DG109" s="918"/>
      <c r="DH109" s="918"/>
      <c r="DI109" s="918"/>
      <c r="DJ109" s="918"/>
      <c r="DK109" s="918"/>
      <c r="DL109" s="918"/>
      <c r="DM109" s="918"/>
      <c r="DN109" s="918"/>
      <c r="DO109" s="918"/>
      <c r="DP109" s="918"/>
      <c r="DQ109" s="918"/>
      <c r="DR109" s="918"/>
      <c r="DS109" s="918"/>
      <c r="DT109" s="918"/>
      <c r="DU109" s="918"/>
      <c r="DV109" s="918"/>
      <c r="DW109" s="918"/>
      <c r="DX109" s="918"/>
      <c r="DY109" s="918"/>
      <c r="DZ109" s="918"/>
      <c r="EA109" s="918"/>
      <c r="EB109" s="918"/>
      <c r="EC109" s="918"/>
      <c r="ED109" s="918"/>
      <c r="EE109" s="918"/>
      <c r="EF109" s="918"/>
      <c r="EG109" s="918"/>
      <c r="EH109" s="918"/>
      <c r="EI109" s="918"/>
      <c r="EJ109" s="918"/>
      <c r="EK109" s="918"/>
      <c r="EL109" s="918"/>
      <c r="EM109" s="918"/>
      <c r="EN109" s="918"/>
      <c r="EO109" s="918"/>
      <c r="EP109" s="918"/>
      <c r="EQ109" s="918"/>
      <c r="ER109" s="918"/>
      <c r="ES109" s="918"/>
      <c r="ET109" s="918"/>
      <c r="EU109" s="918"/>
      <c r="EV109" s="918"/>
      <c r="EW109" s="918"/>
      <c r="EX109" s="918"/>
      <c r="EY109" s="918"/>
      <c r="EZ109" s="918"/>
      <c r="FA109" s="918"/>
      <c r="FB109" s="918"/>
      <c r="FC109" s="918"/>
      <c r="FD109" s="918"/>
      <c r="FE109" s="918"/>
      <c r="FF109" s="918"/>
      <c r="FG109" s="918"/>
      <c r="FH109" s="918"/>
      <c r="FI109" s="918"/>
      <c r="FJ109" s="918"/>
      <c r="FK109" s="918"/>
      <c r="FL109" s="918"/>
      <c r="FM109" s="918"/>
      <c r="FN109" s="918"/>
      <c r="FO109" s="918"/>
      <c r="FP109" s="918"/>
      <c r="FQ109" s="918"/>
      <c r="FR109" s="918"/>
      <c r="FS109" s="918"/>
      <c r="FT109" s="918"/>
      <c r="FU109" s="918"/>
      <c r="FV109" s="918"/>
      <c r="FW109" s="918"/>
      <c r="FX109" s="918"/>
      <c r="FY109" s="918"/>
      <c r="FZ109" s="918"/>
      <c r="GA109" s="918"/>
      <c r="GB109" s="918"/>
      <c r="GC109" s="918"/>
      <c r="GD109" s="918"/>
      <c r="GE109" s="918"/>
      <c r="GF109" s="918"/>
      <c r="GG109" s="918"/>
      <c r="GH109" s="918"/>
      <c r="GI109" s="918"/>
      <c r="GJ109" s="918"/>
      <c r="GK109" s="918"/>
      <c r="GL109" s="918"/>
      <c r="GM109" s="918"/>
      <c r="GN109" s="918"/>
      <c r="GO109" s="918"/>
      <c r="GP109" s="918"/>
      <c r="GQ109" s="918"/>
      <c r="GR109" s="918"/>
      <c r="GS109" s="918"/>
      <c r="GT109" s="918"/>
      <c r="GU109" s="918"/>
      <c r="GV109" s="918"/>
      <c r="GW109" s="918"/>
      <c r="GX109" s="918"/>
      <c r="GY109" s="918"/>
      <c r="GZ109" s="918"/>
      <c r="HA109" s="918"/>
      <c r="HB109" s="918"/>
      <c r="HC109" s="918"/>
      <c r="HD109" s="918"/>
      <c r="HE109" s="918"/>
      <c r="HF109" s="918"/>
      <c r="HG109" s="918"/>
      <c r="HH109" s="918"/>
      <c r="HI109" s="918"/>
      <c r="HJ109" s="918"/>
      <c r="HK109" s="918"/>
      <c r="HL109" s="918"/>
      <c r="HM109" s="918"/>
      <c r="HN109" s="918"/>
      <c r="HO109" s="918"/>
      <c r="HP109" s="918"/>
      <c r="HQ109" s="918"/>
      <c r="HR109" s="918"/>
      <c r="HS109" s="918"/>
      <c r="HT109" s="918"/>
      <c r="HU109" s="918"/>
      <c r="HV109" s="918"/>
      <c r="HW109" s="918"/>
      <c r="HX109" s="918"/>
      <c r="HY109" s="918"/>
      <c r="HZ109" s="918"/>
      <c r="IA109" s="918"/>
      <c r="IB109" s="918"/>
      <c r="IC109" s="918"/>
      <c r="ID109" s="918"/>
      <c r="IE109" s="918"/>
      <c r="IF109" s="918"/>
      <c r="IG109" s="918"/>
      <c r="IH109" s="918"/>
      <c r="II109" s="918"/>
      <c r="IJ109" s="918"/>
      <c r="IK109" s="918"/>
      <c r="IL109" s="918"/>
      <c r="IM109" s="918"/>
      <c r="IN109" s="918"/>
    </row>
    <row r="110" spans="1:248" hidden="1">
      <c r="A110" s="615" t="s">
        <v>26</v>
      </c>
      <c r="B110" s="617">
        <v>8978.9</v>
      </c>
      <c r="C110" s="919">
        <f t="shared" si="12"/>
        <v>25.963259511148507</v>
      </c>
      <c r="D110" s="618">
        <v>8734.7999999999993</v>
      </c>
      <c r="E110" s="919">
        <f t="shared" si="13"/>
        <v>25.257423423579723</v>
      </c>
      <c r="F110" s="919">
        <f t="shared" si="14"/>
        <v>244.10000000000036</v>
      </c>
      <c r="G110" s="919">
        <f t="shared" si="15"/>
        <v>0.70583608756878469</v>
      </c>
      <c r="H110" s="26">
        <v>34583.1</v>
      </c>
      <c r="I110" s="918"/>
      <c r="J110" s="918"/>
      <c r="K110" s="918"/>
      <c r="L110" s="918"/>
      <c r="M110" s="918"/>
      <c r="N110" s="918"/>
      <c r="O110" s="918"/>
      <c r="P110" s="918"/>
      <c r="Q110" s="918"/>
      <c r="R110" s="918"/>
      <c r="S110" s="918"/>
      <c r="T110" s="918"/>
      <c r="U110" s="918"/>
      <c r="V110" s="918"/>
      <c r="W110" s="918"/>
      <c r="X110" s="918"/>
      <c r="Y110" s="918"/>
      <c r="Z110" s="918"/>
      <c r="AA110" s="918"/>
      <c r="AB110" s="918"/>
      <c r="AC110" s="918"/>
      <c r="AD110" s="918"/>
      <c r="AE110" s="918"/>
      <c r="AF110" s="918"/>
      <c r="AG110" s="918"/>
      <c r="AH110" s="918"/>
      <c r="AI110" s="918"/>
      <c r="AJ110" s="918"/>
      <c r="AK110" s="918"/>
      <c r="AL110" s="918"/>
      <c r="AM110" s="918"/>
      <c r="AN110" s="918"/>
      <c r="AO110" s="918"/>
      <c r="AP110" s="918"/>
      <c r="AQ110" s="918"/>
      <c r="AR110" s="918"/>
      <c r="AS110" s="918"/>
      <c r="AT110" s="918"/>
      <c r="AU110" s="918"/>
      <c r="AV110" s="918"/>
      <c r="AW110" s="918"/>
      <c r="AX110" s="918"/>
      <c r="AY110" s="918"/>
      <c r="AZ110" s="918"/>
      <c r="BA110" s="918"/>
      <c r="BB110" s="918"/>
      <c r="BC110" s="918"/>
      <c r="BD110" s="918"/>
      <c r="BE110" s="918"/>
      <c r="BF110" s="918"/>
      <c r="BG110" s="918"/>
      <c r="BH110" s="918"/>
      <c r="BI110" s="918"/>
      <c r="BJ110" s="918"/>
      <c r="BK110" s="918"/>
      <c r="BL110" s="918"/>
      <c r="BM110" s="918"/>
      <c r="BN110" s="918"/>
      <c r="BO110" s="918"/>
      <c r="BP110" s="918"/>
      <c r="BQ110" s="918"/>
      <c r="BR110" s="918"/>
      <c r="BS110" s="918"/>
      <c r="BT110" s="918"/>
      <c r="BU110" s="918"/>
      <c r="BV110" s="918"/>
      <c r="BW110" s="918"/>
      <c r="BX110" s="918"/>
      <c r="BY110" s="918"/>
      <c r="BZ110" s="918"/>
      <c r="CA110" s="918"/>
      <c r="CB110" s="918"/>
      <c r="CC110" s="918"/>
      <c r="CD110" s="918"/>
      <c r="CE110" s="918"/>
      <c r="CF110" s="918"/>
      <c r="CG110" s="918"/>
      <c r="CH110" s="918"/>
      <c r="CI110" s="918"/>
      <c r="CJ110" s="918"/>
      <c r="CK110" s="918"/>
      <c r="CL110" s="918"/>
      <c r="CM110" s="918"/>
      <c r="CN110" s="918"/>
      <c r="CO110" s="918"/>
      <c r="CP110" s="918"/>
      <c r="CQ110" s="918"/>
      <c r="CR110" s="918"/>
      <c r="CS110" s="918"/>
      <c r="CT110" s="918"/>
      <c r="CU110" s="918"/>
      <c r="CV110" s="918"/>
      <c r="CW110" s="918"/>
      <c r="CX110" s="918"/>
      <c r="CY110" s="918"/>
      <c r="CZ110" s="918"/>
      <c r="DA110" s="918"/>
      <c r="DB110" s="918"/>
      <c r="DC110" s="918"/>
      <c r="DD110" s="918"/>
      <c r="DE110" s="918"/>
      <c r="DF110" s="918"/>
      <c r="DG110" s="918"/>
      <c r="DH110" s="918"/>
      <c r="DI110" s="918"/>
      <c r="DJ110" s="918"/>
      <c r="DK110" s="918"/>
      <c r="DL110" s="918"/>
      <c r="DM110" s="918"/>
      <c r="DN110" s="918"/>
      <c r="DO110" s="918"/>
      <c r="DP110" s="918"/>
      <c r="DQ110" s="918"/>
      <c r="DR110" s="918"/>
      <c r="DS110" s="918"/>
      <c r="DT110" s="918"/>
      <c r="DU110" s="918"/>
      <c r="DV110" s="918"/>
      <c r="DW110" s="918"/>
      <c r="DX110" s="918"/>
      <c r="DY110" s="918"/>
      <c r="DZ110" s="918"/>
      <c r="EA110" s="918"/>
      <c r="EB110" s="918"/>
      <c r="EC110" s="918"/>
      <c r="ED110" s="918"/>
      <c r="EE110" s="918"/>
      <c r="EF110" s="918"/>
      <c r="EG110" s="918"/>
      <c r="EH110" s="918"/>
      <c r="EI110" s="918"/>
      <c r="EJ110" s="918"/>
      <c r="EK110" s="918"/>
      <c r="EL110" s="918"/>
      <c r="EM110" s="918"/>
      <c r="EN110" s="918"/>
      <c r="EO110" s="918"/>
      <c r="EP110" s="918"/>
      <c r="EQ110" s="918"/>
      <c r="ER110" s="918"/>
      <c r="ES110" s="918"/>
      <c r="ET110" s="918"/>
      <c r="EU110" s="918"/>
      <c r="EV110" s="918"/>
      <c r="EW110" s="918"/>
      <c r="EX110" s="918"/>
      <c r="EY110" s="918"/>
      <c r="EZ110" s="918"/>
      <c r="FA110" s="918"/>
      <c r="FB110" s="918"/>
      <c r="FC110" s="918"/>
      <c r="FD110" s="918"/>
      <c r="FE110" s="918"/>
      <c r="FF110" s="918"/>
      <c r="FG110" s="918"/>
      <c r="FH110" s="918"/>
      <c r="FI110" s="918"/>
      <c r="FJ110" s="918"/>
      <c r="FK110" s="918"/>
      <c r="FL110" s="918"/>
      <c r="FM110" s="918"/>
      <c r="FN110" s="918"/>
      <c r="FO110" s="918"/>
      <c r="FP110" s="918"/>
      <c r="FQ110" s="918"/>
      <c r="FR110" s="918"/>
      <c r="FS110" s="918"/>
      <c r="FT110" s="918"/>
      <c r="FU110" s="918"/>
      <c r="FV110" s="918"/>
      <c r="FW110" s="918"/>
      <c r="FX110" s="918"/>
      <c r="FY110" s="918"/>
      <c r="FZ110" s="918"/>
      <c r="GA110" s="918"/>
      <c r="GB110" s="918"/>
      <c r="GC110" s="918"/>
      <c r="GD110" s="918"/>
      <c r="GE110" s="918"/>
      <c r="GF110" s="918"/>
      <c r="GG110" s="918"/>
      <c r="GH110" s="918"/>
      <c r="GI110" s="918"/>
      <c r="GJ110" s="918"/>
      <c r="GK110" s="918"/>
      <c r="GL110" s="918"/>
      <c r="GM110" s="918"/>
      <c r="GN110" s="918"/>
      <c r="GO110" s="918"/>
      <c r="GP110" s="918"/>
      <c r="GQ110" s="918"/>
      <c r="GR110" s="918"/>
      <c r="GS110" s="918"/>
      <c r="GT110" s="918"/>
      <c r="GU110" s="918"/>
      <c r="GV110" s="918"/>
      <c r="GW110" s="918"/>
      <c r="GX110" s="918"/>
      <c r="GY110" s="918"/>
      <c r="GZ110" s="918"/>
      <c r="HA110" s="918"/>
      <c r="HB110" s="918"/>
      <c r="HC110" s="918"/>
      <c r="HD110" s="918"/>
      <c r="HE110" s="918"/>
      <c r="HF110" s="918"/>
      <c r="HG110" s="918"/>
      <c r="HH110" s="918"/>
      <c r="HI110" s="918"/>
      <c r="HJ110" s="918"/>
      <c r="HK110" s="918"/>
      <c r="HL110" s="918"/>
      <c r="HM110" s="918"/>
      <c r="HN110" s="918"/>
      <c r="HO110" s="918"/>
      <c r="HP110" s="918"/>
      <c r="HQ110" s="918"/>
      <c r="HR110" s="918"/>
      <c r="HS110" s="918"/>
      <c r="HT110" s="918"/>
      <c r="HU110" s="918"/>
      <c r="HV110" s="918"/>
      <c r="HW110" s="918"/>
      <c r="HX110" s="918"/>
      <c r="HY110" s="918"/>
      <c r="HZ110" s="918"/>
      <c r="IA110" s="918"/>
      <c r="IB110" s="918"/>
      <c r="IC110" s="918"/>
      <c r="ID110" s="918"/>
      <c r="IE110" s="918"/>
      <c r="IF110" s="918"/>
      <c r="IG110" s="918"/>
      <c r="IH110" s="918"/>
      <c r="II110" s="918"/>
      <c r="IJ110" s="918"/>
      <c r="IK110" s="918"/>
      <c r="IL110" s="918"/>
      <c r="IM110" s="918"/>
      <c r="IN110" s="918"/>
    </row>
    <row r="111" spans="1:248" hidden="1">
      <c r="A111" s="615" t="s">
        <v>27</v>
      </c>
      <c r="B111" s="617">
        <v>10548.7</v>
      </c>
      <c r="C111" s="919">
        <f t="shared" si="12"/>
        <v>25.924551486851811</v>
      </c>
      <c r="D111" s="618">
        <v>9897.5</v>
      </c>
      <c r="E111" s="919">
        <f t="shared" si="13"/>
        <v>24.324158269845171</v>
      </c>
      <c r="F111" s="919">
        <f t="shared" si="14"/>
        <v>651.20000000000073</v>
      </c>
      <c r="G111" s="919">
        <f t="shared" si="15"/>
        <v>1.6003932170066373</v>
      </c>
      <c r="H111" s="26">
        <v>40690</v>
      </c>
      <c r="I111" s="918"/>
      <c r="J111" s="918"/>
      <c r="K111" s="918"/>
      <c r="L111" s="918"/>
      <c r="M111" s="918"/>
      <c r="N111" s="918"/>
      <c r="O111" s="918"/>
      <c r="P111" s="918"/>
      <c r="Q111" s="918"/>
      <c r="R111" s="918"/>
      <c r="S111" s="918"/>
      <c r="T111" s="918"/>
      <c r="U111" s="918"/>
      <c r="V111" s="918"/>
      <c r="W111" s="918"/>
      <c r="X111" s="918"/>
      <c r="Y111" s="918"/>
      <c r="Z111" s="918"/>
      <c r="AA111" s="918"/>
      <c r="AB111" s="918"/>
      <c r="AC111" s="918"/>
      <c r="AD111" s="918"/>
      <c r="AE111" s="918"/>
      <c r="AF111" s="918"/>
      <c r="AG111" s="918"/>
      <c r="AH111" s="918"/>
      <c r="AI111" s="918"/>
      <c r="AJ111" s="918"/>
      <c r="AK111" s="918"/>
      <c r="AL111" s="918"/>
      <c r="AM111" s="918"/>
      <c r="AN111" s="918"/>
      <c r="AO111" s="918"/>
      <c r="AP111" s="918"/>
      <c r="AQ111" s="918"/>
      <c r="AR111" s="918"/>
      <c r="AS111" s="918"/>
      <c r="AT111" s="918"/>
      <c r="AU111" s="918"/>
      <c r="AV111" s="918"/>
      <c r="AW111" s="918"/>
      <c r="AX111" s="918"/>
      <c r="AY111" s="918"/>
      <c r="AZ111" s="918"/>
      <c r="BA111" s="918"/>
      <c r="BB111" s="918"/>
      <c r="BC111" s="918"/>
      <c r="BD111" s="918"/>
      <c r="BE111" s="918"/>
      <c r="BF111" s="918"/>
      <c r="BG111" s="918"/>
      <c r="BH111" s="918"/>
      <c r="BI111" s="918"/>
      <c r="BJ111" s="918"/>
      <c r="BK111" s="918"/>
      <c r="BL111" s="918"/>
      <c r="BM111" s="918"/>
      <c r="BN111" s="918"/>
      <c r="BO111" s="918"/>
      <c r="BP111" s="918"/>
      <c r="BQ111" s="918"/>
      <c r="BR111" s="918"/>
      <c r="BS111" s="918"/>
      <c r="BT111" s="918"/>
      <c r="BU111" s="918"/>
      <c r="BV111" s="918"/>
      <c r="BW111" s="918"/>
      <c r="BX111" s="918"/>
      <c r="BY111" s="918"/>
      <c r="BZ111" s="918"/>
      <c r="CA111" s="918"/>
      <c r="CB111" s="918"/>
      <c r="CC111" s="918"/>
      <c r="CD111" s="918"/>
      <c r="CE111" s="918"/>
      <c r="CF111" s="918"/>
      <c r="CG111" s="918"/>
      <c r="CH111" s="918"/>
      <c r="CI111" s="918"/>
      <c r="CJ111" s="918"/>
      <c r="CK111" s="918"/>
      <c r="CL111" s="918"/>
      <c r="CM111" s="918"/>
      <c r="CN111" s="918"/>
      <c r="CO111" s="918"/>
      <c r="CP111" s="918"/>
      <c r="CQ111" s="918"/>
      <c r="CR111" s="918"/>
      <c r="CS111" s="918"/>
      <c r="CT111" s="918"/>
      <c r="CU111" s="918"/>
      <c r="CV111" s="918"/>
      <c r="CW111" s="918"/>
      <c r="CX111" s="918"/>
      <c r="CY111" s="918"/>
      <c r="CZ111" s="918"/>
      <c r="DA111" s="918"/>
      <c r="DB111" s="918"/>
      <c r="DC111" s="918"/>
      <c r="DD111" s="918"/>
      <c r="DE111" s="918"/>
      <c r="DF111" s="918"/>
      <c r="DG111" s="918"/>
      <c r="DH111" s="918"/>
      <c r="DI111" s="918"/>
      <c r="DJ111" s="918"/>
      <c r="DK111" s="918"/>
      <c r="DL111" s="918"/>
      <c r="DM111" s="918"/>
      <c r="DN111" s="918"/>
      <c r="DO111" s="918"/>
      <c r="DP111" s="918"/>
      <c r="DQ111" s="918"/>
      <c r="DR111" s="918"/>
      <c r="DS111" s="918"/>
      <c r="DT111" s="918"/>
      <c r="DU111" s="918"/>
      <c r="DV111" s="918"/>
      <c r="DW111" s="918"/>
      <c r="DX111" s="918"/>
      <c r="DY111" s="918"/>
      <c r="DZ111" s="918"/>
      <c r="EA111" s="918"/>
      <c r="EB111" s="918"/>
      <c r="EC111" s="918"/>
      <c r="ED111" s="918"/>
      <c r="EE111" s="918"/>
      <c r="EF111" s="918"/>
      <c r="EG111" s="918"/>
      <c r="EH111" s="918"/>
      <c r="EI111" s="918"/>
      <c r="EJ111" s="918"/>
      <c r="EK111" s="918"/>
      <c r="EL111" s="918"/>
      <c r="EM111" s="918"/>
      <c r="EN111" s="918"/>
      <c r="EO111" s="918"/>
      <c r="EP111" s="918"/>
      <c r="EQ111" s="918"/>
      <c r="ER111" s="918"/>
      <c r="ES111" s="918"/>
      <c r="ET111" s="918"/>
      <c r="EU111" s="918"/>
      <c r="EV111" s="918"/>
      <c r="EW111" s="918"/>
      <c r="EX111" s="918"/>
      <c r="EY111" s="918"/>
      <c r="EZ111" s="918"/>
      <c r="FA111" s="918"/>
      <c r="FB111" s="918"/>
      <c r="FC111" s="918"/>
      <c r="FD111" s="918"/>
      <c r="FE111" s="918"/>
      <c r="FF111" s="918"/>
      <c r="FG111" s="918"/>
      <c r="FH111" s="918"/>
      <c r="FI111" s="918"/>
      <c r="FJ111" s="918"/>
      <c r="FK111" s="918"/>
      <c r="FL111" s="918"/>
      <c r="FM111" s="918"/>
      <c r="FN111" s="918"/>
      <c r="FO111" s="918"/>
      <c r="FP111" s="918"/>
      <c r="FQ111" s="918"/>
      <c r="FR111" s="918"/>
      <c r="FS111" s="918"/>
      <c r="FT111" s="918"/>
      <c r="FU111" s="918"/>
      <c r="FV111" s="918"/>
      <c r="FW111" s="918"/>
      <c r="FX111" s="918"/>
      <c r="FY111" s="918"/>
      <c r="FZ111" s="918"/>
      <c r="GA111" s="918"/>
      <c r="GB111" s="918"/>
      <c r="GC111" s="918"/>
      <c r="GD111" s="918"/>
      <c r="GE111" s="918"/>
      <c r="GF111" s="918"/>
      <c r="GG111" s="918"/>
      <c r="GH111" s="918"/>
      <c r="GI111" s="918"/>
      <c r="GJ111" s="918"/>
      <c r="GK111" s="918"/>
      <c r="GL111" s="918"/>
      <c r="GM111" s="918"/>
      <c r="GN111" s="918"/>
      <c r="GO111" s="918"/>
      <c r="GP111" s="918"/>
      <c r="GQ111" s="918"/>
      <c r="GR111" s="918"/>
      <c r="GS111" s="918"/>
      <c r="GT111" s="918"/>
      <c r="GU111" s="918"/>
      <c r="GV111" s="918"/>
      <c r="GW111" s="918"/>
      <c r="GX111" s="918"/>
      <c r="GY111" s="918"/>
      <c r="GZ111" s="918"/>
      <c r="HA111" s="918"/>
      <c r="HB111" s="918"/>
      <c r="HC111" s="918"/>
      <c r="HD111" s="918"/>
      <c r="HE111" s="918"/>
      <c r="HF111" s="918"/>
      <c r="HG111" s="918"/>
      <c r="HH111" s="918"/>
      <c r="HI111" s="918"/>
      <c r="HJ111" s="918"/>
      <c r="HK111" s="918"/>
      <c r="HL111" s="918"/>
      <c r="HM111" s="918"/>
      <c r="HN111" s="918"/>
      <c r="HO111" s="918"/>
      <c r="HP111" s="918"/>
      <c r="HQ111" s="918"/>
      <c r="HR111" s="918"/>
      <c r="HS111" s="918"/>
      <c r="HT111" s="918"/>
      <c r="HU111" s="918"/>
      <c r="HV111" s="918"/>
      <c r="HW111" s="918"/>
      <c r="HX111" s="918"/>
      <c r="HY111" s="918"/>
      <c r="HZ111" s="918"/>
      <c r="IA111" s="918"/>
      <c r="IB111" s="918"/>
      <c r="IC111" s="918"/>
      <c r="ID111" s="918"/>
      <c r="IE111" s="918"/>
      <c r="IF111" s="918"/>
      <c r="IG111" s="918"/>
      <c r="IH111" s="918"/>
      <c r="II111" s="918"/>
      <c r="IJ111" s="918"/>
      <c r="IK111" s="918"/>
      <c r="IL111" s="918"/>
      <c r="IM111" s="918"/>
      <c r="IN111" s="918"/>
    </row>
    <row r="112" spans="1:248" hidden="1">
      <c r="A112" s="615" t="s">
        <v>28</v>
      </c>
      <c r="B112" s="617">
        <v>11638.9</v>
      </c>
      <c r="C112" s="919">
        <f t="shared" si="12"/>
        <v>25.593162197701673</v>
      </c>
      <c r="D112" s="618">
        <v>11387.2</v>
      </c>
      <c r="E112" s="919">
        <f t="shared" si="13"/>
        <v>25.039690742051956</v>
      </c>
      <c r="F112" s="919">
        <f t="shared" si="14"/>
        <v>251.69999999999891</v>
      </c>
      <c r="G112" s="919">
        <f t="shared" si="15"/>
        <v>0.55347145564971645</v>
      </c>
      <c r="H112" s="26">
        <v>45476.6</v>
      </c>
      <c r="I112" s="918"/>
      <c r="J112" s="918"/>
      <c r="K112" s="918"/>
      <c r="L112" s="918"/>
      <c r="M112" s="918"/>
      <c r="N112" s="918"/>
      <c r="O112" s="918"/>
      <c r="P112" s="918"/>
      <c r="Q112" s="918"/>
      <c r="R112" s="918"/>
      <c r="S112" s="918"/>
      <c r="T112" s="918"/>
      <c r="U112" s="918"/>
      <c r="V112" s="918"/>
      <c r="W112" s="918"/>
      <c r="X112" s="918"/>
      <c r="Y112" s="918"/>
      <c r="Z112" s="918"/>
      <c r="AA112" s="918"/>
      <c r="AB112" s="918"/>
      <c r="AC112" s="918"/>
      <c r="AD112" s="918"/>
      <c r="AE112" s="918"/>
      <c r="AF112" s="918"/>
      <c r="AG112" s="918"/>
      <c r="AH112" s="918"/>
      <c r="AI112" s="918"/>
      <c r="AJ112" s="918"/>
      <c r="AK112" s="918"/>
      <c r="AL112" s="918"/>
      <c r="AM112" s="918"/>
      <c r="AN112" s="918"/>
      <c r="AO112" s="918"/>
      <c r="AP112" s="918"/>
      <c r="AQ112" s="918"/>
      <c r="AR112" s="918"/>
      <c r="AS112" s="918"/>
      <c r="AT112" s="918"/>
      <c r="AU112" s="918"/>
      <c r="AV112" s="918"/>
      <c r="AW112" s="918"/>
      <c r="AX112" s="918"/>
      <c r="AY112" s="918"/>
      <c r="AZ112" s="918"/>
      <c r="BA112" s="918"/>
      <c r="BB112" s="918"/>
      <c r="BC112" s="918"/>
      <c r="BD112" s="918"/>
      <c r="BE112" s="918"/>
      <c r="BF112" s="918"/>
      <c r="BG112" s="918"/>
      <c r="BH112" s="918"/>
      <c r="BI112" s="918"/>
      <c r="BJ112" s="918"/>
      <c r="BK112" s="918"/>
      <c r="BL112" s="918"/>
      <c r="BM112" s="918"/>
      <c r="BN112" s="918"/>
      <c r="BO112" s="918"/>
      <c r="BP112" s="918"/>
      <c r="BQ112" s="918"/>
      <c r="BR112" s="918"/>
      <c r="BS112" s="918"/>
      <c r="BT112" s="918"/>
      <c r="BU112" s="918"/>
      <c r="BV112" s="918"/>
      <c r="BW112" s="918"/>
      <c r="BX112" s="918"/>
      <c r="BY112" s="918"/>
      <c r="BZ112" s="918"/>
      <c r="CA112" s="918"/>
      <c r="CB112" s="918"/>
      <c r="CC112" s="918"/>
      <c r="CD112" s="918"/>
      <c r="CE112" s="918"/>
      <c r="CF112" s="918"/>
      <c r="CG112" s="918"/>
      <c r="CH112" s="918"/>
      <c r="CI112" s="918"/>
      <c r="CJ112" s="918"/>
      <c r="CK112" s="918"/>
      <c r="CL112" s="918"/>
      <c r="CM112" s="918"/>
      <c r="CN112" s="918"/>
      <c r="CO112" s="918"/>
      <c r="CP112" s="918"/>
      <c r="CQ112" s="918"/>
      <c r="CR112" s="918"/>
      <c r="CS112" s="918"/>
      <c r="CT112" s="918"/>
      <c r="CU112" s="918"/>
      <c r="CV112" s="918"/>
      <c r="CW112" s="918"/>
      <c r="CX112" s="918"/>
      <c r="CY112" s="918"/>
      <c r="CZ112" s="918"/>
      <c r="DA112" s="918"/>
      <c r="DB112" s="918"/>
      <c r="DC112" s="918"/>
      <c r="DD112" s="918"/>
      <c r="DE112" s="918"/>
      <c r="DF112" s="918"/>
      <c r="DG112" s="918"/>
      <c r="DH112" s="918"/>
      <c r="DI112" s="918"/>
      <c r="DJ112" s="918"/>
      <c r="DK112" s="918"/>
      <c r="DL112" s="918"/>
      <c r="DM112" s="918"/>
      <c r="DN112" s="918"/>
      <c r="DO112" s="918"/>
      <c r="DP112" s="918"/>
      <c r="DQ112" s="918"/>
      <c r="DR112" s="918"/>
      <c r="DS112" s="918"/>
      <c r="DT112" s="918"/>
      <c r="DU112" s="918"/>
      <c r="DV112" s="918"/>
      <c r="DW112" s="918"/>
      <c r="DX112" s="918"/>
      <c r="DY112" s="918"/>
      <c r="DZ112" s="918"/>
      <c r="EA112" s="918"/>
      <c r="EB112" s="918"/>
      <c r="EC112" s="918"/>
      <c r="ED112" s="918"/>
      <c r="EE112" s="918"/>
      <c r="EF112" s="918"/>
      <c r="EG112" s="918"/>
      <c r="EH112" s="918"/>
      <c r="EI112" s="918"/>
      <c r="EJ112" s="918"/>
      <c r="EK112" s="918"/>
      <c r="EL112" s="918"/>
      <c r="EM112" s="918"/>
      <c r="EN112" s="918"/>
      <c r="EO112" s="918"/>
      <c r="EP112" s="918"/>
      <c r="EQ112" s="918"/>
      <c r="ER112" s="918"/>
      <c r="ES112" s="918"/>
      <c r="ET112" s="918"/>
      <c r="EU112" s="918"/>
      <c r="EV112" s="918"/>
      <c r="EW112" s="918"/>
      <c r="EX112" s="918"/>
      <c r="EY112" s="918"/>
      <c r="EZ112" s="918"/>
      <c r="FA112" s="918"/>
      <c r="FB112" s="918"/>
      <c r="FC112" s="918"/>
      <c r="FD112" s="918"/>
      <c r="FE112" s="918"/>
      <c r="FF112" s="918"/>
      <c r="FG112" s="918"/>
      <c r="FH112" s="918"/>
      <c r="FI112" s="918"/>
      <c r="FJ112" s="918"/>
      <c r="FK112" s="918"/>
      <c r="FL112" s="918"/>
      <c r="FM112" s="918"/>
      <c r="FN112" s="918"/>
      <c r="FO112" s="918"/>
      <c r="FP112" s="918"/>
      <c r="FQ112" s="918"/>
      <c r="FR112" s="918"/>
      <c r="FS112" s="918"/>
      <c r="FT112" s="918"/>
      <c r="FU112" s="918"/>
      <c r="FV112" s="918"/>
      <c r="FW112" s="918"/>
      <c r="FX112" s="918"/>
      <c r="FY112" s="918"/>
      <c r="FZ112" s="918"/>
      <c r="GA112" s="918"/>
      <c r="GB112" s="918"/>
      <c r="GC112" s="918"/>
      <c r="GD112" s="918"/>
      <c r="GE112" s="918"/>
      <c r="GF112" s="918"/>
      <c r="GG112" s="918"/>
      <c r="GH112" s="918"/>
      <c r="GI112" s="918"/>
      <c r="GJ112" s="918"/>
      <c r="GK112" s="918"/>
      <c r="GL112" s="918"/>
      <c r="GM112" s="918"/>
      <c r="GN112" s="918"/>
      <c r="GO112" s="918"/>
      <c r="GP112" s="918"/>
      <c r="GQ112" s="918"/>
      <c r="GR112" s="918"/>
      <c r="GS112" s="918"/>
      <c r="GT112" s="918"/>
      <c r="GU112" s="918"/>
      <c r="GV112" s="918"/>
      <c r="GW112" s="918"/>
      <c r="GX112" s="918"/>
      <c r="GY112" s="918"/>
      <c r="GZ112" s="918"/>
      <c r="HA112" s="918"/>
      <c r="HB112" s="918"/>
      <c r="HC112" s="918"/>
      <c r="HD112" s="918"/>
      <c r="HE112" s="918"/>
      <c r="HF112" s="918"/>
      <c r="HG112" s="918"/>
      <c r="HH112" s="918"/>
      <c r="HI112" s="918"/>
      <c r="HJ112" s="918"/>
      <c r="HK112" s="918"/>
      <c r="HL112" s="918"/>
      <c r="HM112" s="918"/>
      <c r="HN112" s="918"/>
      <c r="HO112" s="918"/>
      <c r="HP112" s="918"/>
      <c r="HQ112" s="918"/>
      <c r="HR112" s="918"/>
      <c r="HS112" s="918"/>
      <c r="HT112" s="918"/>
      <c r="HU112" s="918"/>
      <c r="HV112" s="918"/>
      <c r="HW112" s="918"/>
      <c r="HX112" s="918"/>
      <c r="HY112" s="918"/>
      <c r="HZ112" s="918"/>
      <c r="IA112" s="918"/>
      <c r="IB112" s="918"/>
      <c r="IC112" s="918"/>
      <c r="ID112" s="918"/>
      <c r="IE112" s="918"/>
      <c r="IF112" s="918"/>
      <c r="IG112" s="918"/>
      <c r="IH112" s="918"/>
      <c r="II112" s="918"/>
      <c r="IJ112" s="918"/>
      <c r="IK112" s="918"/>
      <c r="IL112" s="918"/>
      <c r="IM112" s="918"/>
      <c r="IN112" s="918"/>
    </row>
    <row r="113" spans="1:248" hidden="1">
      <c r="A113" s="615" t="s">
        <v>29</v>
      </c>
      <c r="B113" s="617">
        <v>15700.7</v>
      </c>
      <c r="C113" s="919">
        <f t="shared" si="12"/>
        <v>31.358125786414746</v>
      </c>
      <c r="D113" s="618">
        <v>15394.7</v>
      </c>
      <c r="E113" s="919">
        <f t="shared" si="13"/>
        <v>30.746969182528112</v>
      </c>
      <c r="F113" s="919">
        <f t="shared" si="14"/>
        <v>306</v>
      </c>
      <c r="G113" s="919">
        <f t="shared" si="15"/>
        <v>0.61115660388663651</v>
      </c>
      <c r="H113" s="26">
        <v>50069</v>
      </c>
      <c r="I113" s="918"/>
      <c r="J113" s="918"/>
      <c r="K113" s="918"/>
      <c r="L113" s="918"/>
      <c r="M113" s="918"/>
      <c r="N113" s="918"/>
      <c r="O113" s="918"/>
      <c r="P113" s="918"/>
      <c r="Q113" s="918"/>
      <c r="R113" s="918"/>
      <c r="S113" s="918"/>
      <c r="T113" s="918"/>
      <c r="U113" s="918"/>
      <c r="V113" s="918"/>
      <c r="W113" s="918"/>
      <c r="X113" s="918"/>
      <c r="Y113" s="918"/>
      <c r="Z113" s="918"/>
      <c r="AA113" s="918"/>
      <c r="AB113" s="918"/>
      <c r="AC113" s="918"/>
      <c r="AD113" s="918"/>
      <c r="AE113" s="918"/>
      <c r="AF113" s="918"/>
      <c r="AG113" s="918"/>
      <c r="AH113" s="918"/>
      <c r="AI113" s="918"/>
      <c r="AJ113" s="918"/>
      <c r="AK113" s="918"/>
      <c r="AL113" s="918"/>
      <c r="AM113" s="918"/>
      <c r="AN113" s="918"/>
      <c r="AO113" s="918"/>
      <c r="AP113" s="918"/>
      <c r="AQ113" s="918"/>
      <c r="AR113" s="918"/>
      <c r="AS113" s="918"/>
      <c r="AT113" s="918"/>
      <c r="AU113" s="918"/>
      <c r="AV113" s="918"/>
      <c r="AW113" s="918"/>
      <c r="AX113" s="918"/>
      <c r="AY113" s="918"/>
      <c r="AZ113" s="918"/>
      <c r="BA113" s="918"/>
      <c r="BB113" s="918"/>
      <c r="BC113" s="918"/>
      <c r="BD113" s="918"/>
      <c r="BE113" s="918"/>
      <c r="BF113" s="918"/>
      <c r="BG113" s="918"/>
      <c r="BH113" s="918"/>
      <c r="BI113" s="918"/>
      <c r="BJ113" s="918"/>
      <c r="BK113" s="918"/>
      <c r="BL113" s="918"/>
      <c r="BM113" s="918"/>
      <c r="BN113" s="918"/>
      <c r="BO113" s="918"/>
      <c r="BP113" s="918"/>
      <c r="BQ113" s="918"/>
      <c r="BR113" s="918"/>
      <c r="BS113" s="918"/>
      <c r="BT113" s="918"/>
      <c r="BU113" s="918"/>
      <c r="BV113" s="918"/>
      <c r="BW113" s="918"/>
      <c r="BX113" s="918"/>
      <c r="BY113" s="918"/>
      <c r="BZ113" s="918"/>
      <c r="CA113" s="918"/>
      <c r="CB113" s="918"/>
      <c r="CC113" s="918"/>
      <c r="CD113" s="918"/>
      <c r="CE113" s="918"/>
      <c r="CF113" s="918"/>
      <c r="CG113" s="918"/>
      <c r="CH113" s="918"/>
      <c r="CI113" s="918"/>
      <c r="CJ113" s="918"/>
      <c r="CK113" s="918"/>
      <c r="CL113" s="918"/>
      <c r="CM113" s="918"/>
      <c r="CN113" s="918"/>
      <c r="CO113" s="918"/>
      <c r="CP113" s="918"/>
      <c r="CQ113" s="918"/>
      <c r="CR113" s="918"/>
      <c r="CS113" s="918"/>
      <c r="CT113" s="918"/>
      <c r="CU113" s="918"/>
      <c r="CV113" s="918"/>
      <c r="CW113" s="918"/>
      <c r="CX113" s="918"/>
      <c r="CY113" s="918"/>
      <c r="CZ113" s="918"/>
      <c r="DA113" s="918"/>
      <c r="DB113" s="918"/>
      <c r="DC113" s="918"/>
      <c r="DD113" s="918"/>
      <c r="DE113" s="918"/>
      <c r="DF113" s="918"/>
      <c r="DG113" s="918"/>
      <c r="DH113" s="918"/>
      <c r="DI113" s="918"/>
      <c r="DJ113" s="918"/>
      <c r="DK113" s="918"/>
      <c r="DL113" s="918"/>
      <c r="DM113" s="918"/>
      <c r="DN113" s="918"/>
      <c r="DO113" s="918"/>
      <c r="DP113" s="918"/>
      <c r="DQ113" s="918"/>
      <c r="DR113" s="918"/>
      <c r="DS113" s="918"/>
      <c r="DT113" s="918"/>
      <c r="DU113" s="918"/>
      <c r="DV113" s="918"/>
      <c r="DW113" s="918"/>
      <c r="DX113" s="918"/>
      <c r="DY113" s="918"/>
      <c r="DZ113" s="918"/>
      <c r="EA113" s="918"/>
      <c r="EB113" s="918"/>
      <c r="EC113" s="918"/>
      <c r="ED113" s="918"/>
      <c r="EE113" s="918"/>
      <c r="EF113" s="918"/>
      <c r="EG113" s="918"/>
      <c r="EH113" s="918"/>
      <c r="EI113" s="918"/>
      <c r="EJ113" s="918"/>
      <c r="EK113" s="918"/>
      <c r="EL113" s="918"/>
      <c r="EM113" s="918"/>
      <c r="EN113" s="918"/>
      <c r="EO113" s="918"/>
      <c r="EP113" s="918"/>
      <c r="EQ113" s="918"/>
      <c r="ER113" s="918"/>
      <c r="ES113" s="918"/>
      <c r="ET113" s="918"/>
      <c r="EU113" s="918"/>
      <c r="EV113" s="918"/>
      <c r="EW113" s="918"/>
      <c r="EX113" s="918"/>
      <c r="EY113" s="918"/>
      <c r="EZ113" s="918"/>
      <c r="FA113" s="918"/>
      <c r="FB113" s="918"/>
      <c r="FC113" s="918"/>
      <c r="FD113" s="918"/>
      <c r="FE113" s="918"/>
      <c r="FF113" s="918"/>
      <c r="FG113" s="918"/>
      <c r="FH113" s="918"/>
      <c r="FI113" s="918"/>
      <c r="FJ113" s="918"/>
      <c r="FK113" s="918"/>
      <c r="FL113" s="918"/>
      <c r="FM113" s="918"/>
      <c r="FN113" s="918"/>
      <c r="FO113" s="918"/>
      <c r="FP113" s="918"/>
      <c r="FQ113" s="918"/>
      <c r="FR113" s="918"/>
      <c r="FS113" s="918"/>
      <c r="FT113" s="918"/>
      <c r="FU113" s="918"/>
      <c r="FV113" s="918"/>
      <c r="FW113" s="918"/>
      <c r="FX113" s="918"/>
      <c r="FY113" s="918"/>
      <c r="FZ113" s="918"/>
      <c r="GA113" s="918"/>
      <c r="GB113" s="918"/>
      <c r="GC113" s="918"/>
      <c r="GD113" s="918"/>
      <c r="GE113" s="918"/>
      <c r="GF113" s="918"/>
      <c r="GG113" s="918"/>
      <c r="GH113" s="918"/>
      <c r="GI113" s="918"/>
      <c r="GJ113" s="918"/>
      <c r="GK113" s="918"/>
      <c r="GL113" s="918"/>
      <c r="GM113" s="918"/>
      <c r="GN113" s="918"/>
      <c r="GO113" s="918"/>
      <c r="GP113" s="918"/>
      <c r="GQ113" s="918"/>
      <c r="GR113" s="918"/>
      <c r="GS113" s="918"/>
      <c r="GT113" s="918"/>
      <c r="GU113" s="918"/>
      <c r="GV113" s="918"/>
      <c r="GW113" s="918"/>
      <c r="GX113" s="918"/>
      <c r="GY113" s="918"/>
      <c r="GZ113" s="918"/>
      <c r="HA113" s="918"/>
      <c r="HB113" s="918"/>
      <c r="HC113" s="918"/>
      <c r="HD113" s="918"/>
      <c r="HE113" s="918"/>
      <c r="HF113" s="918"/>
      <c r="HG113" s="918"/>
      <c r="HH113" s="918"/>
      <c r="HI113" s="918"/>
      <c r="HJ113" s="918"/>
      <c r="HK113" s="918"/>
      <c r="HL113" s="918"/>
      <c r="HM113" s="918"/>
      <c r="HN113" s="918"/>
      <c r="HO113" s="918"/>
      <c r="HP113" s="918"/>
      <c r="HQ113" s="918"/>
      <c r="HR113" s="918"/>
      <c r="HS113" s="918"/>
      <c r="HT113" s="918"/>
      <c r="HU113" s="918"/>
      <c r="HV113" s="918"/>
      <c r="HW113" s="918"/>
      <c r="HX113" s="918"/>
      <c r="HY113" s="918"/>
      <c r="HZ113" s="918"/>
      <c r="IA113" s="918"/>
      <c r="IB113" s="918"/>
      <c r="IC113" s="918"/>
      <c r="ID113" s="918"/>
      <c r="IE113" s="918"/>
      <c r="IF113" s="918"/>
      <c r="IG113" s="918"/>
      <c r="IH113" s="918"/>
      <c r="II113" s="918"/>
      <c r="IJ113" s="918"/>
      <c r="IK113" s="918"/>
      <c r="IL113" s="918"/>
      <c r="IM113" s="918"/>
      <c r="IN113" s="918"/>
    </row>
    <row r="114" spans="1:248">
      <c r="A114" s="610">
        <v>2012</v>
      </c>
      <c r="B114" s="612">
        <v>17281.5</v>
      </c>
      <c r="C114" s="612">
        <v>32.005926474673579</v>
      </c>
      <c r="D114" s="613">
        <v>17416.5</v>
      </c>
      <c r="E114" s="612">
        <v>31.67997036762663</v>
      </c>
      <c r="F114" s="920">
        <f>B114-D114</f>
        <v>-135</v>
      </c>
      <c r="G114" s="612">
        <v>0.32595610704694883</v>
      </c>
      <c r="H114" s="26"/>
      <c r="I114" s="918"/>
      <c r="J114" s="918"/>
      <c r="K114" s="918"/>
      <c r="L114" s="918"/>
      <c r="M114" s="918"/>
      <c r="N114" s="918"/>
      <c r="O114" s="918"/>
      <c r="P114" s="918"/>
      <c r="Q114" s="918"/>
      <c r="R114" s="918"/>
      <c r="S114" s="918"/>
      <c r="T114" s="918"/>
      <c r="U114" s="918"/>
      <c r="V114" s="918"/>
      <c r="W114" s="918"/>
      <c r="X114" s="918"/>
      <c r="Y114" s="918"/>
      <c r="Z114" s="918"/>
      <c r="AA114" s="918"/>
      <c r="AB114" s="918"/>
      <c r="AC114" s="918"/>
      <c r="AD114" s="918"/>
      <c r="AE114" s="918"/>
      <c r="AF114" s="918"/>
      <c r="AG114" s="918"/>
      <c r="AH114" s="918"/>
      <c r="AI114" s="918"/>
      <c r="AJ114" s="918"/>
      <c r="AK114" s="918"/>
      <c r="AL114" s="918"/>
      <c r="AM114" s="918"/>
      <c r="AN114" s="918"/>
      <c r="AO114" s="918"/>
      <c r="AP114" s="918"/>
      <c r="AQ114" s="918"/>
      <c r="AR114" s="918"/>
      <c r="AS114" s="918"/>
      <c r="AT114" s="918"/>
      <c r="AU114" s="918"/>
      <c r="AV114" s="918"/>
      <c r="AW114" s="918"/>
      <c r="AX114" s="918"/>
      <c r="AY114" s="918"/>
      <c r="AZ114" s="918"/>
      <c r="BA114" s="918"/>
      <c r="BB114" s="918"/>
      <c r="BC114" s="918"/>
      <c r="BD114" s="918"/>
      <c r="BE114" s="918"/>
      <c r="BF114" s="918"/>
      <c r="BG114" s="918"/>
      <c r="BH114" s="918"/>
      <c r="BI114" s="918"/>
      <c r="BJ114" s="918"/>
      <c r="BK114" s="918"/>
      <c r="BL114" s="918"/>
      <c r="BM114" s="918"/>
      <c r="BN114" s="918"/>
      <c r="BO114" s="918"/>
      <c r="BP114" s="918"/>
      <c r="BQ114" s="918"/>
      <c r="BR114" s="918"/>
      <c r="BS114" s="918"/>
      <c r="BT114" s="918"/>
      <c r="BU114" s="918"/>
      <c r="BV114" s="918"/>
      <c r="BW114" s="918"/>
      <c r="BX114" s="918"/>
      <c r="BY114" s="918"/>
      <c r="BZ114" s="918"/>
      <c r="CA114" s="918"/>
      <c r="CB114" s="918"/>
      <c r="CC114" s="918"/>
      <c r="CD114" s="918"/>
      <c r="CE114" s="918"/>
      <c r="CF114" s="918"/>
      <c r="CG114" s="918"/>
      <c r="CH114" s="918"/>
      <c r="CI114" s="918"/>
      <c r="CJ114" s="918"/>
      <c r="CK114" s="918"/>
      <c r="CL114" s="918"/>
      <c r="CM114" s="918"/>
      <c r="CN114" s="918"/>
      <c r="CO114" s="918"/>
      <c r="CP114" s="918"/>
      <c r="CQ114" s="918"/>
      <c r="CR114" s="918"/>
      <c r="CS114" s="918"/>
      <c r="CT114" s="918"/>
      <c r="CU114" s="918"/>
      <c r="CV114" s="918"/>
      <c r="CW114" s="918"/>
      <c r="CX114" s="918"/>
      <c r="CY114" s="918"/>
      <c r="CZ114" s="918"/>
      <c r="DA114" s="918"/>
      <c r="DB114" s="918"/>
      <c r="DC114" s="918"/>
      <c r="DD114" s="918"/>
      <c r="DE114" s="918"/>
      <c r="DF114" s="918"/>
      <c r="DG114" s="918"/>
      <c r="DH114" s="918"/>
      <c r="DI114" s="918"/>
      <c r="DJ114" s="918"/>
      <c r="DK114" s="918"/>
      <c r="DL114" s="918"/>
      <c r="DM114" s="918"/>
      <c r="DN114" s="918"/>
      <c r="DO114" s="918"/>
      <c r="DP114" s="918"/>
      <c r="DQ114" s="918"/>
      <c r="DR114" s="918"/>
      <c r="DS114" s="918"/>
      <c r="DT114" s="918"/>
      <c r="DU114" s="918"/>
      <c r="DV114" s="918"/>
      <c r="DW114" s="918"/>
      <c r="DX114" s="918"/>
      <c r="DY114" s="918"/>
      <c r="DZ114" s="918"/>
      <c r="EA114" s="918"/>
      <c r="EB114" s="918"/>
      <c r="EC114" s="918"/>
      <c r="ED114" s="918"/>
      <c r="EE114" s="918"/>
      <c r="EF114" s="918"/>
      <c r="EG114" s="918"/>
      <c r="EH114" s="918"/>
      <c r="EI114" s="918"/>
      <c r="EJ114" s="918"/>
      <c r="EK114" s="918"/>
      <c r="EL114" s="918"/>
      <c r="EM114" s="918"/>
      <c r="EN114" s="918"/>
      <c r="EO114" s="918"/>
      <c r="EP114" s="918"/>
      <c r="EQ114" s="918"/>
      <c r="ER114" s="918"/>
      <c r="ES114" s="918"/>
      <c r="ET114" s="918"/>
      <c r="EU114" s="918"/>
      <c r="EV114" s="918"/>
      <c r="EW114" s="918"/>
      <c r="EX114" s="918"/>
      <c r="EY114" s="918"/>
      <c r="EZ114" s="918"/>
      <c r="FA114" s="918"/>
      <c r="FB114" s="918"/>
      <c r="FC114" s="918"/>
      <c r="FD114" s="918"/>
      <c r="FE114" s="918"/>
      <c r="FF114" s="918"/>
      <c r="FG114" s="918"/>
      <c r="FH114" s="918"/>
      <c r="FI114" s="918"/>
      <c r="FJ114" s="918"/>
      <c r="FK114" s="918"/>
      <c r="FL114" s="918"/>
      <c r="FM114" s="918"/>
      <c r="FN114" s="918"/>
      <c r="FO114" s="918"/>
      <c r="FP114" s="918"/>
      <c r="FQ114" s="918"/>
      <c r="FR114" s="918"/>
      <c r="FS114" s="918"/>
      <c r="FT114" s="918"/>
      <c r="FU114" s="918"/>
      <c r="FV114" s="918"/>
      <c r="FW114" s="918"/>
      <c r="FX114" s="918"/>
      <c r="FY114" s="918"/>
      <c r="FZ114" s="918"/>
      <c r="GA114" s="918"/>
      <c r="GB114" s="918"/>
      <c r="GC114" s="918"/>
      <c r="GD114" s="918"/>
      <c r="GE114" s="918"/>
      <c r="GF114" s="918"/>
      <c r="GG114" s="918"/>
      <c r="GH114" s="918"/>
      <c r="GI114" s="918"/>
      <c r="GJ114" s="918"/>
      <c r="GK114" s="918"/>
      <c r="GL114" s="918"/>
      <c r="GM114" s="918"/>
      <c r="GN114" s="918"/>
      <c r="GO114" s="918"/>
      <c r="GP114" s="918"/>
      <c r="GQ114" s="918"/>
      <c r="GR114" s="918"/>
      <c r="GS114" s="918"/>
      <c r="GT114" s="918"/>
      <c r="GU114" s="918"/>
      <c r="GV114" s="918"/>
      <c r="GW114" s="918"/>
      <c r="GX114" s="918"/>
      <c r="GY114" s="918"/>
      <c r="GZ114" s="918"/>
      <c r="HA114" s="918"/>
      <c r="HB114" s="918"/>
      <c r="HC114" s="918"/>
      <c r="HD114" s="918"/>
      <c r="HE114" s="918"/>
      <c r="HF114" s="918"/>
      <c r="HG114" s="918"/>
      <c r="HH114" s="918"/>
      <c r="HI114" s="918"/>
      <c r="HJ114" s="918"/>
      <c r="HK114" s="918"/>
      <c r="HL114" s="918"/>
      <c r="HM114" s="918"/>
      <c r="HN114" s="918"/>
      <c r="HO114" s="918"/>
      <c r="HP114" s="918"/>
      <c r="HQ114" s="918"/>
      <c r="HR114" s="918"/>
      <c r="HS114" s="918"/>
      <c r="HT114" s="918"/>
      <c r="HU114" s="918"/>
      <c r="HV114" s="918"/>
      <c r="HW114" s="918"/>
      <c r="HX114" s="918"/>
      <c r="HY114" s="918"/>
      <c r="HZ114" s="918"/>
      <c r="IA114" s="918"/>
      <c r="IB114" s="918"/>
      <c r="IC114" s="918"/>
      <c r="ID114" s="918"/>
      <c r="IE114" s="918"/>
      <c r="IF114" s="918"/>
      <c r="IG114" s="918"/>
      <c r="IH114" s="918"/>
      <c r="II114" s="918"/>
      <c r="IJ114" s="918"/>
      <c r="IK114" s="918"/>
      <c r="IL114" s="918"/>
      <c r="IM114" s="918"/>
      <c r="IN114" s="918"/>
    </row>
    <row r="115" spans="1:248" hidden="1">
      <c r="A115" s="615" t="s">
        <v>18</v>
      </c>
      <c r="B115" s="617">
        <v>1547.9</v>
      </c>
      <c r="C115" s="919">
        <f t="shared" ref="C115:C125" si="16">+B115/H115*100</f>
        <v>37.834865076261245</v>
      </c>
      <c r="D115" s="618">
        <v>460.8</v>
      </c>
      <c r="E115" s="919">
        <f t="shared" ref="E115:E125" si="17">+D115/H115*100</f>
        <v>11.26319906140008</v>
      </c>
      <c r="F115" s="919">
        <f t="shared" ref="F115:F125" si="18">+B115-D115</f>
        <v>1087.1000000000001</v>
      </c>
      <c r="G115" s="919">
        <f t="shared" ref="G115:G125" si="19">F115/H115*100</f>
        <v>26.571666014861169</v>
      </c>
      <c r="H115" s="26">
        <v>4091.2</v>
      </c>
      <c r="I115" s="918"/>
      <c r="J115" s="918"/>
      <c r="K115" s="918"/>
      <c r="L115" s="918"/>
      <c r="M115" s="918"/>
      <c r="N115" s="918"/>
      <c r="O115" s="918"/>
      <c r="P115" s="918"/>
      <c r="Q115" s="918"/>
      <c r="R115" s="918"/>
      <c r="S115" s="918"/>
      <c r="T115" s="918"/>
      <c r="U115" s="918"/>
      <c r="V115" s="918"/>
      <c r="W115" s="918"/>
      <c r="X115" s="918"/>
      <c r="Y115" s="918"/>
      <c r="Z115" s="918"/>
      <c r="AA115" s="918"/>
      <c r="AB115" s="918"/>
      <c r="AC115" s="918"/>
      <c r="AD115" s="918"/>
      <c r="AE115" s="918"/>
      <c r="AF115" s="918"/>
      <c r="AG115" s="918"/>
      <c r="AH115" s="918"/>
      <c r="AI115" s="918"/>
      <c r="AJ115" s="918"/>
      <c r="AK115" s="918"/>
      <c r="AL115" s="918"/>
      <c r="AM115" s="918"/>
      <c r="AN115" s="918"/>
      <c r="AO115" s="918"/>
      <c r="AP115" s="918"/>
      <c r="AQ115" s="918"/>
      <c r="AR115" s="918"/>
      <c r="AS115" s="918"/>
      <c r="AT115" s="918"/>
      <c r="AU115" s="918"/>
      <c r="AV115" s="918"/>
      <c r="AW115" s="918"/>
      <c r="AX115" s="918"/>
      <c r="AY115" s="918"/>
      <c r="AZ115" s="918"/>
      <c r="BA115" s="918"/>
      <c r="BB115" s="918"/>
      <c r="BC115" s="918"/>
      <c r="BD115" s="918"/>
      <c r="BE115" s="918"/>
      <c r="BF115" s="918"/>
      <c r="BG115" s="918"/>
      <c r="BH115" s="918"/>
      <c r="BI115" s="918"/>
      <c r="BJ115" s="918"/>
      <c r="BK115" s="918"/>
      <c r="BL115" s="918"/>
      <c r="BM115" s="918"/>
      <c r="BN115" s="918"/>
      <c r="BO115" s="918"/>
      <c r="BP115" s="918"/>
      <c r="BQ115" s="918"/>
      <c r="BR115" s="918"/>
      <c r="BS115" s="918"/>
      <c r="BT115" s="918"/>
      <c r="BU115" s="918"/>
      <c r="BV115" s="918"/>
      <c r="BW115" s="918"/>
      <c r="BX115" s="918"/>
      <c r="BY115" s="918"/>
      <c r="BZ115" s="918"/>
      <c r="CA115" s="918"/>
      <c r="CB115" s="918"/>
      <c r="CC115" s="918"/>
      <c r="CD115" s="918"/>
      <c r="CE115" s="918"/>
      <c r="CF115" s="918"/>
      <c r="CG115" s="918"/>
      <c r="CH115" s="918"/>
      <c r="CI115" s="918"/>
      <c r="CJ115" s="918"/>
      <c r="CK115" s="918"/>
      <c r="CL115" s="918"/>
      <c r="CM115" s="918"/>
      <c r="CN115" s="918"/>
      <c r="CO115" s="918"/>
      <c r="CP115" s="918"/>
      <c r="CQ115" s="918"/>
      <c r="CR115" s="918"/>
      <c r="CS115" s="918"/>
      <c r="CT115" s="918"/>
      <c r="CU115" s="918"/>
      <c r="CV115" s="918"/>
      <c r="CW115" s="918"/>
      <c r="CX115" s="918"/>
      <c r="CY115" s="918"/>
      <c r="CZ115" s="918"/>
      <c r="DA115" s="918"/>
      <c r="DB115" s="918"/>
      <c r="DC115" s="918"/>
      <c r="DD115" s="918"/>
      <c r="DE115" s="918"/>
      <c r="DF115" s="918"/>
      <c r="DG115" s="918"/>
      <c r="DH115" s="918"/>
      <c r="DI115" s="918"/>
      <c r="DJ115" s="918"/>
      <c r="DK115" s="918"/>
      <c r="DL115" s="918"/>
      <c r="DM115" s="918"/>
      <c r="DN115" s="918"/>
      <c r="DO115" s="918"/>
      <c r="DP115" s="918"/>
      <c r="DQ115" s="918"/>
      <c r="DR115" s="918"/>
      <c r="DS115" s="918"/>
      <c r="DT115" s="918"/>
      <c r="DU115" s="918"/>
      <c r="DV115" s="918"/>
      <c r="DW115" s="918"/>
      <c r="DX115" s="918"/>
      <c r="DY115" s="918"/>
      <c r="DZ115" s="918"/>
      <c r="EA115" s="918"/>
      <c r="EB115" s="918"/>
      <c r="EC115" s="918"/>
      <c r="ED115" s="918"/>
      <c r="EE115" s="918"/>
      <c r="EF115" s="918"/>
      <c r="EG115" s="918"/>
      <c r="EH115" s="918"/>
      <c r="EI115" s="918"/>
      <c r="EJ115" s="918"/>
      <c r="EK115" s="918"/>
      <c r="EL115" s="918"/>
      <c r="EM115" s="918"/>
      <c r="EN115" s="918"/>
      <c r="EO115" s="918"/>
      <c r="EP115" s="918"/>
      <c r="EQ115" s="918"/>
      <c r="ER115" s="918"/>
      <c r="ES115" s="918"/>
      <c r="ET115" s="918"/>
      <c r="EU115" s="918"/>
      <c r="EV115" s="918"/>
      <c r="EW115" s="918"/>
      <c r="EX115" s="918"/>
      <c r="EY115" s="918"/>
      <c r="EZ115" s="918"/>
      <c r="FA115" s="918"/>
      <c r="FB115" s="918"/>
      <c r="FC115" s="918"/>
      <c r="FD115" s="918"/>
      <c r="FE115" s="918"/>
      <c r="FF115" s="918"/>
      <c r="FG115" s="918"/>
      <c r="FH115" s="918"/>
      <c r="FI115" s="918"/>
      <c r="FJ115" s="918"/>
      <c r="FK115" s="918"/>
      <c r="FL115" s="918"/>
      <c r="FM115" s="918"/>
      <c r="FN115" s="918"/>
      <c r="FO115" s="918"/>
      <c r="FP115" s="918"/>
      <c r="FQ115" s="918"/>
      <c r="FR115" s="918"/>
      <c r="FS115" s="918"/>
      <c r="FT115" s="918"/>
      <c r="FU115" s="918"/>
      <c r="FV115" s="918"/>
      <c r="FW115" s="918"/>
      <c r="FX115" s="918"/>
      <c r="FY115" s="918"/>
      <c r="FZ115" s="918"/>
      <c r="GA115" s="918"/>
      <c r="GB115" s="918"/>
      <c r="GC115" s="918"/>
      <c r="GD115" s="918"/>
      <c r="GE115" s="918"/>
      <c r="GF115" s="918"/>
      <c r="GG115" s="918"/>
      <c r="GH115" s="918"/>
      <c r="GI115" s="918"/>
      <c r="GJ115" s="918"/>
      <c r="GK115" s="918"/>
      <c r="GL115" s="918"/>
      <c r="GM115" s="918"/>
      <c r="GN115" s="918"/>
      <c r="GO115" s="918"/>
      <c r="GP115" s="918"/>
      <c r="GQ115" s="918"/>
      <c r="GR115" s="918"/>
      <c r="GS115" s="918"/>
      <c r="GT115" s="918"/>
      <c r="GU115" s="918"/>
      <c r="GV115" s="918"/>
      <c r="GW115" s="918"/>
      <c r="GX115" s="918"/>
      <c r="GY115" s="918"/>
      <c r="GZ115" s="918"/>
      <c r="HA115" s="918"/>
      <c r="HB115" s="918"/>
      <c r="HC115" s="918"/>
      <c r="HD115" s="918"/>
      <c r="HE115" s="918"/>
      <c r="HF115" s="918"/>
      <c r="HG115" s="918"/>
      <c r="HH115" s="918"/>
      <c r="HI115" s="918"/>
      <c r="HJ115" s="918"/>
      <c r="HK115" s="918"/>
      <c r="HL115" s="918"/>
      <c r="HM115" s="918"/>
      <c r="HN115" s="918"/>
      <c r="HO115" s="918"/>
      <c r="HP115" s="918"/>
      <c r="HQ115" s="918"/>
      <c r="HR115" s="918"/>
      <c r="HS115" s="918"/>
      <c r="HT115" s="918"/>
      <c r="HU115" s="918"/>
      <c r="HV115" s="918"/>
      <c r="HW115" s="918"/>
      <c r="HX115" s="918"/>
      <c r="HY115" s="918"/>
      <c r="HZ115" s="918"/>
      <c r="IA115" s="918"/>
      <c r="IB115" s="918"/>
      <c r="IC115" s="918"/>
      <c r="ID115" s="918"/>
      <c r="IE115" s="918"/>
      <c r="IF115" s="918"/>
      <c r="IG115" s="918"/>
      <c r="IH115" s="918"/>
      <c r="II115" s="918"/>
      <c r="IJ115" s="918"/>
      <c r="IK115" s="918"/>
      <c r="IL115" s="918"/>
      <c r="IM115" s="918"/>
      <c r="IN115" s="918"/>
    </row>
    <row r="116" spans="1:248" hidden="1">
      <c r="A116" s="615" t="s">
        <v>19</v>
      </c>
      <c r="B116" s="617">
        <v>2475</v>
      </c>
      <c r="C116" s="919">
        <f t="shared" si="16"/>
        <v>30.930154088404006</v>
      </c>
      <c r="D116" s="618">
        <v>1286.7</v>
      </c>
      <c r="E116" s="919">
        <f t="shared" si="17"/>
        <v>16.079931016383611</v>
      </c>
      <c r="F116" s="919">
        <f t="shared" si="18"/>
        <v>1188.3</v>
      </c>
      <c r="G116" s="919">
        <f t="shared" si="19"/>
        <v>14.850223072020396</v>
      </c>
      <c r="H116" s="26">
        <v>8001.9</v>
      </c>
      <c r="I116" s="918"/>
      <c r="J116" s="918"/>
      <c r="K116" s="918"/>
      <c r="L116" s="918"/>
      <c r="M116" s="918"/>
      <c r="N116" s="918"/>
      <c r="O116" s="918"/>
      <c r="P116" s="918"/>
      <c r="Q116" s="918"/>
      <c r="R116" s="918"/>
      <c r="S116" s="918"/>
      <c r="T116" s="918"/>
      <c r="U116" s="918"/>
      <c r="V116" s="918"/>
      <c r="W116" s="918"/>
      <c r="X116" s="918"/>
      <c r="Y116" s="918"/>
      <c r="Z116" s="918"/>
      <c r="AA116" s="918"/>
      <c r="AB116" s="918"/>
      <c r="AC116" s="918"/>
      <c r="AD116" s="918"/>
      <c r="AE116" s="918"/>
      <c r="AF116" s="918"/>
      <c r="AG116" s="918"/>
      <c r="AH116" s="918"/>
      <c r="AI116" s="918"/>
      <c r="AJ116" s="918"/>
      <c r="AK116" s="918"/>
      <c r="AL116" s="918"/>
      <c r="AM116" s="918"/>
      <c r="AN116" s="918"/>
      <c r="AO116" s="918"/>
      <c r="AP116" s="918"/>
      <c r="AQ116" s="918"/>
      <c r="AR116" s="918"/>
      <c r="AS116" s="918"/>
      <c r="AT116" s="918"/>
      <c r="AU116" s="918"/>
      <c r="AV116" s="918"/>
      <c r="AW116" s="918"/>
      <c r="AX116" s="918"/>
      <c r="AY116" s="918"/>
      <c r="AZ116" s="918"/>
      <c r="BA116" s="918"/>
      <c r="BB116" s="918"/>
      <c r="BC116" s="918"/>
      <c r="BD116" s="918"/>
      <c r="BE116" s="918"/>
      <c r="BF116" s="918"/>
      <c r="BG116" s="918"/>
      <c r="BH116" s="918"/>
      <c r="BI116" s="918"/>
      <c r="BJ116" s="918"/>
      <c r="BK116" s="918"/>
      <c r="BL116" s="918"/>
      <c r="BM116" s="918"/>
      <c r="BN116" s="918"/>
      <c r="BO116" s="918"/>
      <c r="BP116" s="918"/>
      <c r="BQ116" s="918"/>
      <c r="BR116" s="918"/>
      <c r="BS116" s="918"/>
      <c r="BT116" s="918"/>
      <c r="BU116" s="918"/>
      <c r="BV116" s="918"/>
      <c r="BW116" s="918"/>
      <c r="BX116" s="918"/>
      <c r="BY116" s="918"/>
      <c r="BZ116" s="918"/>
      <c r="CA116" s="918"/>
      <c r="CB116" s="918"/>
      <c r="CC116" s="918"/>
      <c r="CD116" s="918"/>
      <c r="CE116" s="918"/>
      <c r="CF116" s="918"/>
      <c r="CG116" s="918"/>
      <c r="CH116" s="918"/>
      <c r="CI116" s="918"/>
      <c r="CJ116" s="918"/>
      <c r="CK116" s="918"/>
      <c r="CL116" s="918"/>
      <c r="CM116" s="918"/>
      <c r="CN116" s="918"/>
      <c r="CO116" s="918"/>
      <c r="CP116" s="918"/>
      <c r="CQ116" s="918"/>
      <c r="CR116" s="918"/>
      <c r="CS116" s="918"/>
      <c r="CT116" s="918"/>
      <c r="CU116" s="918"/>
      <c r="CV116" s="918"/>
      <c r="CW116" s="918"/>
      <c r="CX116" s="918"/>
      <c r="CY116" s="918"/>
      <c r="CZ116" s="918"/>
      <c r="DA116" s="918"/>
      <c r="DB116" s="918"/>
      <c r="DC116" s="918"/>
      <c r="DD116" s="918"/>
      <c r="DE116" s="918"/>
      <c r="DF116" s="918"/>
      <c r="DG116" s="918"/>
      <c r="DH116" s="918"/>
      <c r="DI116" s="918"/>
      <c r="DJ116" s="918"/>
      <c r="DK116" s="918"/>
      <c r="DL116" s="918"/>
      <c r="DM116" s="918"/>
      <c r="DN116" s="918"/>
      <c r="DO116" s="918"/>
      <c r="DP116" s="918"/>
      <c r="DQ116" s="918"/>
      <c r="DR116" s="918"/>
      <c r="DS116" s="918"/>
      <c r="DT116" s="918"/>
      <c r="DU116" s="918"/>
      <c r="DV116" s="918"/>
      <c r="DW116" s="918"/>
      <c r="DX116" s="918"/>
      <c r="DY116" s="918"/>
      <c r="DZ116" s="918"/>
      <c r="EA116" s="918"/>
      <c r="EB116" s="918"/>
      <c r="EC116" s="918"/>
      <c r="ED116" s="918"/>
      <c r="EE116" s="918"/>
      <c r="EF116" s="918"/>
      <c r="EG116" s="918"/>
      <c r="EH116" s="918"/>
      <c r="EI116" s="918"/>
      <c r="EJ116" s="918"/>
      <c r="EK116" s="918"/>
      <c r="EL116" s="918"/>
      <c r="EM116" s="918"/>
      <c r="EN116" s="918"/>
      <c r="EO116" s="918"/>
      <c r="EP116" s="918"/>
      <c r="EQ116" s="918"/>
      <c r="ER116" s="918"/>
      <c r="ES116" s="918"/>
      <c r="ET116" s="918"/>
      <c r="EU116" s="918"/>
      <c r="EV116" s="918"/>
      <c r="EW116" s="918"/>
      <c r="EX116" s="918"/>
      <c r="EY116" s="918"/>
      <c r="EZ116" s="918"/>
      <c r="FA116" s="918"/>
      <c r="FB116" s="918"/>
      <c r="FC116" s="918"/>
      <c r="FD116" s="918"/>
      <c r="FE116" s="918"/>
      <c r="FF116" s="918"/>
      <c r="FG116" s="918"/>
      <c r="FH116" s="918"/>
      <c r="FI116" s="918"/>
      <c r="FJ116" s="918"/>
      <c r="FK116" s="918"/>
      <c r="FL116" s="918"/>
      <c r="FM116" s="918"/>
      <c r="FN116" s="918"/>
      <c r="FO116" s="918"/>
      <c r="FP116" s="918"/>
      <c r="FQ116" s="918"/>
      <c r="FR116" s="918"/>
      <c r="FS116" s="918"/>
      <c r="FT116" s="918"/>
      <c r="FU116" s="918"/>
      <c r="FV116" s="918"/>
      <c r="FW116" s="918"/>
      <c r="FX116" s="918"/>
      <c r="FY116" s="918"/>
      <c r="FZ116" s="918"/>
      <c r="GA116" s="918"/>
      <c r="GB116" s="918"/>
      <c r="GC116" s="918"/>
      <c r="GD116" s="918"/>
      <c r="GE116" s="918"/>
      <c r="GF116" s="918"/>
      <c r="GG116" s="918"/>
      <c r="GH116" s="918"/>
      <c r="GI116" s="918"/>
      <c r="GJ116" s="918"/>
      <c r="GK116" s="918"/>
      <c r="GL116" s="918"/>
      <c r="GM116" s="918"/>
      <c r="GN116" s="918"/>
      <c r="GO116" s="918"/>
      <c r="GP116" s="918"/>
      <c r="GQ116" s="918"/>
      <c r="GR116" s="918"/>
      <c r="GS116" s="918"/>
      <c r="GT116" s="918"/>
      <c r="GU116" s="918"/>
      <c r="GV116" s="918"/>
      <c r="GW116" s="918"/>
      <c r="GX116" s="918"/>
      <c r="GY116" s="918"/>
      <c r="GZ116" s="918"/>
      <c r="HA116" s="918"/>
      <c r="HB116" s="918"/>
      <c r="HC116" s="918"/>
      <c r="HD116" s="918"/>
      <c r="HE116" s="918"/>
      <c r="HF116" s="918"/>
      <c r="HG116" s="918"/>
      <c r="HH116" s="918"/>
      <c r="HI116" s="918"/>
      <c r="HJ116" s="918"/>
      <c r="HK116" s="918"/>
      <c r="HL116" s="918"/>
      <c r="HM116" s="918"/>
      <c r="HN116" s="918"/>
      <c r="HO116" s="918"/>
      <c r="HP116" s="918"/>
      <c r="HQ116" s="918"/>
      <c r="HR116" s="918"/>
      <c r="HS116" s="918"/>
      <c r="HT116" s="918"/>
      <c r="HU116" s="918"/>
      <c r="HV116" s="918"/>
      <c r="HW116" s="918"/>
      <c r="HX116" s="918"/>
      <c r="HY116" s="918"/>
      <c r="HZ116" s="918"/>
      <c r="IA116" s="918"/>
      <c r="IB116" s="918"/>
      <c r="IC116" s="918"/>
      <c r="ID116" s="918"/>
      <c r="IE116" s="918"/>
      <c r="IF116" s="918"/>
      <c r="IG116" s="918"/>
      <c r="IH116" s="918"/>
      <c r="II116" s="918"/>
      <c r="IJ116" s="918"/>
      <c r="IK116" s="918"/>
      <c r="IL116" s="918"/>
      <c r="IM116" s="918"/>
      <c r="IN116" s="918"/>
    </row>
    <row r="117" spans="1:248" hidden="1">
      <c r="A117" s="615" t="s">
        <v>20</v>
      </c>
      <c r="B117" s="617">
        <v>3487.8</v>
      </c>
      <c r="C117" s="919">
        <f t="shared" si="16"/>
        <v>28.381248423399597</v>
      </c>
      <c r="D117" s="618">
        <v>2843.2</v>
      </c>
      <c r="E117" s="919">
        <f t="shared" si="17"/>
        <v>23.135949744082151</v>
      </c>
      <c r="F117" s="919">
        <f t="shared" si="18"/>
        <v>644.60000000000036</v>
      </c>
      <c r="G117" s="919">
        <f t="shared" si="19"/>
        <v>5.2452986793174468</v>
      </c>
      <c r="H117" s="26">
        <v>12289.1</v>
      </c>
      <c r="I117" s="918"/>
      <c r="J117" s="918"/>
      <c r="K117" s="918"/>
      <c r="L117" s="918"/>
      <c r="M117" s="918"/>
      <c r="N117" s="918"/>
      <c r="O117" s="918"/>
      <c r="P117" s="918"/>
      <c r="Q117" s="918"/>
      <c r="R117" s="918"/>
      <c r="S117" s="918"/>
      <c r="T117" s="918"/>
      <c r="U117" s="918"/>
      <c r="V117" s="918"/>
      <c r="W117" s="918"/>
      <c r="X117" s="918"/>
      <c r="Y117" s="918"/>
      <c r="Z117" s="918"/>
      <c r="AA117" s="918"/>
      <c r="AB117" s="918"/>
      <c r="AC117" s="918"/>
      <c r="AD117" s="918"/>
      <c r="AE117" s="918"/>
      <c r="AF117" s="918"/>
      <c r="AG117" s="918"/>
      <c r="AH117" s="918"/>
      <c r="AI117" s="918"/>
      <c r="AJ117" s="918"/>
      <c r="AK117" s="918"/>
      <c r="AL117" s="918"/>
      <c r="AM117" s="918"/>
      <c r="AN117" s="918"/>
      <c r="AO117" s="918"/>
      <c r="AP117" s="918"/>
      <c r="AQ117" s="918"/>
      <c r="AR117" s="918"/>
      <c r="AS117" s="918"/>
      <c r="AT117" s="918"/>
      <c r="AU117" s="918"/>
      <c r="AV117" s="918"/>
      <c r="AW117" s="918"/>
      <c r="AX117" s="918"/>
      <c r="AY117" s="918"/>
      <c r="AZ117" s="918"/>
      <c r="BA117" s="918"/>
      <c r="BB117" s="918"/>
      <c r="BC117" s="918"/>
      <c r="BD117" s="918"/>
      <c r="BE117" s="918"/>
      <c r="BF117" s="918"/>
      <c r="BG117" s="918"/>
      <c r="BH117" s="918"/>
      <c r="BI117" s="918"/>
      <c r="BJ117" s="918"/>
      <c r="BK117" s="918"/>
      <c r="BL117" s="918"/>
      <c r="BM117" s="918"/>
      <c r="BN117" s="918"/>
      <c r="BO117" s="918"/>
      <c r="BP117" s="918"/>
      <c r="BQ117" s="918"/>
      <c r="BR117" s="918"/>
      <c r="BS117" s="918"/>
      <c r="BT117" s="918"/>
      <c r="BU117" s="918"/>
      <c r="BV117" s="918"/>
      <c r="BW117" s="918"/>
      <c r="BX117" s="918"/>
      <c r="BY117" s="918"/>
      <c r="BZ117" s="918"/>
      <c r="CA117" s="918"/>
      <c r="CB117" s="918"/>
      <c r="CC117" s="918"/>
      <c r="CD117" s="918"/>
      <c r="CE117" s="918"/>
      <c r="CF117" s="918"/>
      <c r="CG117" s="918"/>
      <c r="CH117" s="918"/>
      <c r="CI117" s="918"/>
      <c r="CJ117" s="918"/>
      <c r="CK117" s="918"/>
      <c r="CL117" s="918"/>
      <c r="CM117" s="918"/>
      <c r="CN117" s="918"/>
      <c r="CO117" s="918"/>
      <c r="CP117" s="918"/>
      <c r="CQ117" s="918"/>
      <c r="CR117" s="918"/>
      <c r="CS117" s="918"/>
      <c r="CT117" s="918"/>
      <c r="CU117" s="918"/>
      <c r="CV117" s="918"/>
      <c r="CW117" s="918"/>
      <c r="CX117" s="918"/>
      <c r="CY117" s="918"/>
      <c r="CZ117" s="918"/>
      <c r="DA117" s="918"/>
      <c r="DB117" s="918"/>
      <c r="DC117" s="918"/>
      <c r="DD117" s="918"/>
      <c r="DE117" s="918"/>
      <c r="DF117" s="918"/>
      <c r="DG117" s="918"/>
      <c r="DH117" s="918"/>
      <c r="DI117" s="918"/>
      <c r="DJ117" s="918"/>
      <c r="DK117" s="918"/>
      <c r="DL117" s="918"/>
      <c r="DM117" s="918"/>
      <c r="DN117" s="918"/>
      <c r="DO117" s="918"/>
      <c r="DP117" s="918"/>
      <c r="DQ117" s="918"/>
      <c r="DR117" s="918"/>
      <c r="DS117" s="918"/>
      <c r="DT117" s="918"/>
      <c r="DU117" s="918"/>
      <c r="DV117" s="918"/>
      <c r="DW117" s="918"/>
      <c r="DX117" s="918"/>
      <c r="DY117" s="918"/>
      <c r="DZ117" s="918"/>
      <c r="EA117" s="918"/>
      <c r="EB117" s="918"/>
      <c r="EC117" s="918"/>
      <c r="ED117" s="918"/>
      <c r="EE117" s="918"/>
      <c r="EF117" s="918"/>
      <c r="EG117" s="918"/>
      <c r="EH117" s="918"/>
      <c r="EI117" s="918"/>
      <c r="EJ117" s="918"/>
      <c r="EK117" s="918"/>
      <c r="EL117" s="918"/>
      <c r="EM117" s="918"/>
      <c r="EN117" s="918"/>
      <c r="EO117" s="918"/>
      <c r="EP117" s="918"/>
      <c r="EQ117" s="918"/>
      <c r="ER117" s="918"/>
      <c r="ES117" s="918"/>
      <c r="ET117" s="918"/>
      <c r="EU117" s="918"/>
      <c r="EV117" s="918"/>
      <c r="EW117" s="918"/>
      <c r="EX117" s="918"/>
      <c r="EY117" s="918"/>
      <c r="EZ117" s="918"/>
      <c r="FA117" s="918"/>
      <c r="FB117" s="918"/>
      <c r="FC117" s="918"/>
      <c r="FD117" s="918"/>
      <c r="FE117" s="918"/>
      <c r="FF117" s="918"/>
      <c r="FG117" s="918"/>
      <c r="FH117" s="918"/>
      <c r="FI117" s="918"/>
      <c r="FJ117" s="918"/>
      <c r="FK117" s="918"/>
      <c r="FL117" s="918"/>
      <c r="FM117" s="918"/>
      <c r="FN117" s="918"/>
      <c r="FO117" s="918"/>
      <c r="FP117" s="918"/>
      <c r="FQ117" s="918"/>
      <c r="FR117" s="918"/>
      <c r="FS117" s="918"/>
      <c r="FT117" s="918"/>
      <c r="FU117" s="918"/>
      <c r="FV117" s="918"/>
      <c r="FW117" s="918"/>
      <c r="FX117" s="918"/>
      <c r="FY117" s="918"/>
      <c r="FZ117" s="918"/>
      <c r="GA117" s="918"/>
      <c r="GB117" s="918"/>
      <c r="GC117" s="918"/>
      <c r="GD117" s="918"/>
      <c r="GE117" s="918"/>
      <c r="GF117" s="918"/>
      <c r="GG117" s="918"/>
      <c r="GH117" s="918"/>
      <c r="GI117" s="918"/>
      <c r="GJ117" s="918"/>
      <c r="GK117" s="918"/>
      <c r="GL117" s="918"/>
      <c r="GM117" s="918"/>
      <c r="GN117" s="918"/>
      <c r="GO117" s="918"/>
      <c r="GP117" s="918"/>
      <c r="GQ117" s="918"/>
      <c r="GR117" s="918"/>
      <c r="GS117" s="918"/>
      <c r="GT117" s="918"/>
      <c r="GU117" s="918"/>
      <c r="GV117" s="918"/>
      <c r="GW117" s="918"/>
      <c r="GX117" s="918"/>
      <c r="GY117" s="918"/>
      <c r="GZ117" s="918"/>
      <c r="HA117" s="918"/>
      <c r="HB117" s="918"/>
      <c r="HC117" s="918"/>
      <c r="HD117" s="918"/>
      <c r="HE117" s="918"/>
      <c r="HF117" s="918"/>
      <c r="HG117" s="918"/>
      <c r="HH117" s="918"/>
      <c r="HI117" s="918"/>
      <c r="HJ117" s="918"/>
      <c r="HK117" s="918"/>
      <c r="HL117" s="918"/>
      <c r="HM117" s="918"/>
      <c r="HN117" s="918"/>
      <c r="HO117" s="918"/>
      <c r="HP117" s="918"/>
      <c r="HQ117" s="918"/>
      <c r="HR117" s="918"/>
      <c r="HS117" s="918"/>
      <c r="HT117" s="918"/>
      <c r="HU117" s="918"/>
      <c r="HV117" s="918"/>
      <c r="HW117" s="918"/>
      <c r="HX117" s="918"/>
      <c r="HY117" s="918"/>
      <c r="HZ117" s="918"/>
      <c r="IA117" s="918"/>
      <c r="IB117" s="918"/>
      <c r="IC117" s="918"/>
      <c r="ID117" s="918"/>
      <c r="IE117" s="918"/>
      <c r="IF117" s="918"/>
      <c r="IG117" s="918"/>
      <c r="IH117" s="918"/>
      <c r="II117" s="918"/>
      <c r="IJ117" s="918"/>
      <c r="IK117" s="918"/>
      <c r="IL117" s="918"/>
      <c r="IM117" s="918"/>
      <c r="IN117" s="918"/>
    </row>
    <row r="118" spans="1:248" hidden="1">
      <c r="A118" s="615" t="s">
        <v>21</v>
      </c>
      <c r="B118" s="617">
        <v>5386.3</v>
      </c>
      <c r="C118" s="919">
        <f t="shared" si="16"/>
        <v>32.398796992481202</v>
      </c>
      <c r="D118" s="618">
        <v>3894.7</v>
      </c>
      <c r="E118" s="919">
        <f t="shared" si="17"/>
        <v>23.426766917293232</v>
      </c>
      <c r="F118" s="919">
        <f t="shared" si="18"/>
        <v>1491.6000000000004</v>
      </c>
      <c r="G118" s="919">
        <f t="shared" si="19"/>
        <v>8.9720300751879734</v>
      </c>
      <c r="H118" s="26">
        <v>16625</v>
      </c>
      <c r="I118" s="918"/>
      <c r="J118" s="918"/>
      <c r="K118" s="918"/>
      <c r="L118" s="918"/>
      <c r="M118" s="918"/>
      <c r="N118" s="918"/>
      <c r="O118" s="918"/>
      <c r="P118" s="918"/>
      <c r="Q118" s="918"/>
      <c r="R118" s="918"/>
      <c r="S118" s="918"/>
      <c r="T118" s="918"/>
      <c r="U118" s="918"/>
      <c r="V118" s="918"/>
      <c r="W118" s="918"/>
      <c r="X118" s="918"/>
      <c r="Y118" s="918"/>
      <c r="Z118" s="918"/>
      <c r="AA118" s="918"/>
      <c r="AB118" s="918"/>
      <c r="AC118" s="918"/>
      <c r="AD118" s="918"/>
      <c r="AE118" s="918"/>
      <c r="AF118" s="918"/>
      <c r="AG118" s="918"/>
      <c r="AH118" s="918"/>
      <c r="AI118" s="918"/>
      <c r="AJ118" s="918"/>
      <c r="AK118" s="918"/>
      <c r="AL118" s="918"/>
      <c r="AM118" s="918"/>
      <c r="AN118" s="918"/>
      <c r="AO118" s="918"/>
      <c r="AP118" s="918"/>
      <c r="AQ118" s="918"/>
      <c r="AR118" s="918"/>
      <c r="AS118" s="918"/>
      <c r="AT118" s="918"/>
      <c r="AU118" s="918"/>
      <c r="AV118" s="918"/>
      <c r="AW118" s="918"/>
      <c r="AX118" s="918"/>
      <c r="AY118" s="918"/>
      <c r="AZ118" s="918"/>
      <c r="BA118" s="918"/>
      <c r="BB118" s="918"/>
      <c r="BC118" s="918"/>
      <c r="BD118" s="918"/>
      <c r="BE118" s="918"/>
      <c r="BF118" s="918"/>
      <c r="BG118" s="918"/>
      <c r="BH118" s="918"/>
      <c r="BI118" s="918"/>
      <c r="BJ118" s="918"/>
      <c r="BK118" s="918"/>
      <c r="BL118" s="918"/>
      <c r="BM118" s="918"/>
      <c r="BN118" s="918"/>
      <c r="BO118" s="918"/>
      <c r="BP118" s="918"/>
      <c r="BQ118" s="918"/>
      <c r="BR118" s="918"/>
      <c r="BS118" s="918"/>
      <c r="BT118" s="918"/>
      <c r="BU118" s="918"/>
      <c r="BV118" s="918"/>
      <c r="BW118" s="918"/>
      <c r="BX118" s="918"/>
      <c r="BY118" s="918"/>
      <c r="BZ118" s="918"/>
      <c r="CA118" s="918"/>
      <c r="CB118" s="918"/>
      <c r="CC118" s="918"/>
      <c r="CD118" s="918"/>
      <c r="CE118" s="918"/>
      <c r="CF118" s="918"/>
      <c r="CG118" s="918"/>
      <c r="CH118" s="918"/>
      <c r="CI118" s="918"/>
      <c r="CJ118" s="918"/>
      <c r="CK118" s="918"/>
      <c r="CL118" s="918"/>
      <c r="CM118" s="918"/>
      <c r="CN118" s="918"/>
      <c r="CO118" s="918"/>
      <c r="CP118" s="918"/>
      <c r="CQ118" s="918"/>
      <c r="CR118" s="918"/>
      <c r="CS118" s="918"/>
      <c r="CT118" s="918"/>
      <c r="CU118" s="918"/>
      <c r="CV118" s="918"/>
      <c r="CW118" s="918"/>
      <c r="CX118" s="918"/>
      <c r="CY118" s="918"/>
      <c r="CZ118" s="918"/>
      <c r="DA118" s="918"/>
      <c r="DB118" s="918"/>
      <c r="DC118" s="918"/>
      <c r="DD118" s="918"/>
      <c r="DE118" s="918"/>
      <c r="DF118" s="918"/>
      <c r="DG118" s="918"/>
      <c r="DH118" s="918"/>
      <c r="DI118" s="918"/>
      <c r="DJ118" s="918"/>
      <c r="DK118" s="918"/>
      <c r="DL118" s="918"/>
      <c r="DM118" s="918"/>
      <c r="DN118" s="918"/>
      <c r="DO118" s="918"/>
      <c r="DP118" s="918"/>
      <c r="DQ118" s="918"/>
      <c r="DR118" s="918"/>
      <c r="DS118" s="918"/>
      <c r="DT118" s="918"/>
      <c r="DU118" s="918"/>
      <c r="DV118" s="918"/>
      <c r="DW118" s="918"/>
      <c r="DX118" s="918"/>
      <c r="DY118" s="918"/>
      <c r="DZ118" s="918"/>
      <c r="EA118" s="918"/>
      <c r="EB118" s="918"/>
      <c r="EC118" s="918"/>
      <c r="ED118" s="918"/>
      <c r="EE118" s="918"/>
      <c r="EF118" s="918"/>
      <c r="EG118" s="918"/>
      <c r="EH118" s="918"/>
      <c r="EI118" s="918"/>
      <c r="EJ118" s="918"/>
      <c r="EK118" s="918"/>
      <c r="EL118" s="918"/>
      <c r="EM118" s="918"/>
      <c r="EN118" s="918"/>
      <c r="EO118" s="918"/>
      <c r="EP118" s="918"/>
      <c r="EQ118" s="918"/>
      <c r="ER118" s="918"/>
      <c r="ES118" s="918"/>
      <c r="ET118" s="918"/>
      <c r="EU118" s="918"/>
      <c r="EV118" s="918"/>
      <c r="EW118" s="918"/>
      <c r="EX118" s="918"/>
      <c r="EY118" s="918"/>
      <c r="EZ118" s="918"/>
      <c r="FA118" s="918"/>
      <c r="FB118" s="918"/>
      <c r="FC118" s="918"/>
      <c r="FD118" s="918"/>
      <c r="FE118" s="918"/>
      <c r="FF118" s="918"/>
      <c r="FG118" s="918"/>
      <c r="FH118" s="918"/>
      <c r="FI118" s="918"/>
      <c r="FJ118" s="918"/>
      <c r="FK118" s="918"/>
      <c r="FL118" s="918"/>
      <c r="FM118" s="918"/>
      <c r="FN118" s="918"/>
      <c r="FO118" s="918"/>
      <c r="FP118" s="918"/>
      <c r="FQ118" s="918"/>
      <c r="FR118" s="918"/>
      <c r="FS118" s="918"/>
      <c r="FT118" s="918"/>
      <c r="FU118" s="918"/>
      <c r="FV118" s="918"/>
      <c r="FW118" s="918"/>
      <c r="FX118" s="918"/>
      <c r="FY118" s="918"/>
      <c r="FZ118" s="918"/>
      <c r="GA118" s="918"/>
      <c r="GB118" s="918"/>
      <c r="GC118" s="918"/>
      <c r="GD118" s="918"/>
      <c r="GE118" s="918"/>
      <c r="GF118" s="918"/>
      <c r="GG118" s="918"/>
      <c r="GH118" s="918"/>
      <c r="GI118" s="918"/>
      <c r="GJ118" s="918"/>
      <c r="GK118" s="918"/>
      <c r="GL118" s="918"/>
      <c r="GM118" s="918"/>
      <c r="GN118" s="918"/>
      <c r="GO118" s="918"/>
      <c r="GP118" s="918"/>
      <c r="GQ118" s="918"/>
      <c r="GR118" s="918"/>
      <c r="GS118" s="918"/>
      <c r="GT118" s="918"/>
      <c r="GU118" s="918"/>
      <c r="GV118" s="918"/>
      <c r="GW118" s="918"/>
      <c r="GX118" s="918"/>
      <c r="GY118" s="918"/>
      <c r="GZ118" s="918"/>
      <c r="HA118" s="918"/>
      <c r="HB118" s="918"/>
      <c r="HC118" s="918"/>
      <c r="HD118" s="918"/>
      <c r="HE118" s="918"/>
      <c r="HF118" s="918"/>
      <c r="HG118" s="918"/>
      <c r="HH118" s="918"/>
      <c r="HI118" s="918"/>
      <c r="HJ118" s="918"/>
      <c r="HK118" s="918"/>
      <c r="HL118" s="918"/>
      <c r="HM118" s="918"/>
      <c r="HN118" s="918"/>
      <c r="HO118" s="918"/>
      <c r="HP118" s="918"/>
      <c r="HQ118" s="918"/>
      <c r="HR118" s="918"/>
      <c r="HS118" s="918"/>
      <c r="HT118" s="918"/>
      <c r="HU118" s="918"/>
      <c r="HV118" s="918"/>
      <c r="HW118" s="918"/>
      <c r="HX118" s="918"/>
      <c r="HY118" s="918"/>
      <c r="HZ118" s="918"/>
      <c r="IA118" s="918"/>
      <c r="IB118" s="918"/>
      <c r="IC118" s="918"/>
      <c r="ID118" s="918"/>
      <c r="IE118" s="918"/>
      <c r="IF118" s="918"/>
      <c r="IG118" s="918"/>
      <c r="IH118" s="918"/>
      <c r="II118" s="918"/>
      <c r="IJ118" s="918"/>
      <c r="IK118" s="918"/>
      <c r="IL118" s="918"/>
      <c r="IM118" s="918"/>
      <c r="IN118" s="918"/>
    </row>
    <row r="119" spans="1:248" hidden="1">
      <c r="A119" s="615" t="s">
        <v>22</v>
      </c>
      <c r="B119" s="617">
        <v>6715.3</v>
      </c>
      <c r="C119" s="919">
        <f t="shared" si="16"/>
        <v>32.204584692115866</v>
      </c>
      <c r="D119" s="618">
        <v>5648.5</v>
      </c>
      <c r="E119" s="919">
        <f t="shared" si="17"/>
        <v>27.08852867830424</v>
      </c>
      <c r="F119" s="919">
        <f t="shared" si="18"/>
        <v>1066.8000000000002</v>
      </c>
      <c r="G119" s="919">
        <f t="shared" si="19"/>
        <v>5.1160560138116251</v>
      </c>
      <c r="H119" s="26">
        <v>20852</v>
      </c>
      <c r="I119" s="918"/>
      <c r="J119" s="918"/>
      <c r="K119" s="918"/>
      <c r="L119" s="918"/>
      <c r="M119" s="918"/>
      <c r="N119" s="918"/>
      <c r="O119" s="918"/>
      <c r="P119" s="918"/>
      <c r="Q119" s="918"/>
      <c r="R119" s="918"/>
      <c r="S119" s="918"/>
      <c r="T119" s="918"/>
      <c r="U119" s="918"/>
      <c r="V119" s="918"/>
      <c r="W119" s="918"/>
      <c r="X119" s="918"/>
      <c r="Y119" s="918"/>
      <c r="Z119" s="918"/>
      <c r="AA119" s="918"/>
      <c r="AB119" s="918"/>
      <c r="AC119" s="918"/>
      <c r="AD119" s="918"/>
      <c r="AE119" s="918"/>
      <c r="AF119" s="918"/>
      <c r="AG119" s="918"/>
      <c r="AH119" s="918"/>
      <c r="AI119" s="918"/>
      <c r="AJ119" s="918"/>
      <c r="AK119" s="918"/>
      <c r="AL119" s="918"/>
      <c r="AM119" s="918"/>
      <c r="AN119" s="918"/>
      <c r="AO119" s="918"/>
      <c r="AP119" s="918"/>
      <c r="AQ119" s="918"/>
      <c r="AR119" s="918"/>
      <c r="AS119" s="918"/>
      <c r="AT119" s="918"/>
      <c r="AU119" s="918"/>
      <c r="AV119" s="918"/>
      <c r="AW119" s="918"/>
      <c r="AX119" s="918"/>
      <c r="AY119" s="918"/>
      <c r="AZ119" s="918"/>
      <c r="BA119" s="918"/>
      <c r="BB119" s="918"/>
      <c r="BC119" s="918"/>
      <c r="BD119" s="918"/>
      <c r="BE119" s="918"/>
      <c r="BF119" s="918"/>
      <c r="BG119" s="918"/>
      <c r="BH119" s="918"/>
      <c r="BI119" s="918"/>
      <c r="BJ119" s="918"/>
      <c r="BK119" s="918"/>
      <c r="BL119" s="918"/>
      <c r="BM119" s="918"/>
      <c r="BN119" s="918"/>
      <c r="BO119" s="918"/>
      <c r="BP119" s="918"/>
      <c r="BQ119" s="918"/>
      <c r="BR119" s="918"/>
      <c r="BS119" s="918"/>
      <c r="BT119" s="918"/>
      <c r="BU119" s="918"/>
      <c r="BV119" s="918"/>
      <c r="BW119" s="918"/>
      <c r="BX119" s="918"/>
      <c r="BY119" s="918"/>
      <c r="BZ119" s="918"/>
      <c r="CA119" s="918"/>
      <c r="CB119" s="918"/>
      <c r="CC119" s="918"/>
      <c r="CD119" s="918"/>
      <c r="CE119" s="918"/>
      <c r="CF119" s="918"/>
      <c r="CG119" s="918"/>
      <c r="CH119" s="918"/>
      <c r="CI119" s="918"/>
      <c r="CJ119" s="918"/>
      <c r="CK119" s="918"/>
      <c r="CL119" s="918"/>
      <c r="CM119" s="918"/>
      <c r="CN119" s="918"/>
      <c r="CO119" s="918"/>
      <c r="CP119" s="918"/>
      <c r="CQ119" s="918"/>
      <c r="CR119" s="918"/>
      <c r="CS119" s="918"/>
      <c r="CT119" s="918"/>
      <c r="CU119" s="918"/>
      <c r="CV119" s="918"/>
      <c r="CW119" s="918"/>
      <c r="CX119" s="918"/>
      <c r="CY119" s="918"/>
      <c r="CZ119" s="918"/>
      <c r="DA119" s="918"/>
      <c r="DB119" s="918"/>
      <c r="DC119" s="918"/>
      <c r="DD119" s="918"/>
      <c r="DE119" s="918"/>
      <c r="DF119" s="918"/>
      <c r="DG119" s="918"/>
      <c r="DH119" s="918"/>
      <c r="DI119" s="918"/>
      <c r="DJ119" s="918"/>
      <c r="DK119" s="918"/>
      <c r="DL119" s="918"/>
      <c r="DM119" s="918"/>
      <c r="DN119" s="918"/>
      <c r="DO119" s="918"/>
      <c r="DP119" s="918"/>
      <c r="DQ119" s="918"/>
      <c r="DR119" s="918"/>
      <c r="DS119" s="918"/>
      <c r="DT119" s="918"/>
      <c r="DU119" s="918"/>
      <c r="DV119" s="918"/>
      <c r="DW119" s="918"/>
      <c r="DX119" s="918"/>
      <c r="DY119" s="918"/>
      <c r="DZ119" s="918"/>
      <c r="EA119" s="918"/>
      <c r="EB119" s="918"/>
      <c r="EC119" s="918"/>
      <c r="ED119" s="918"/>
      <c r="EE119" s="918"/>
      <c r="EF119" s="918"/>
      <c r="EG119" s="918"/>
      <c r="EH119" s="918"/>
      <c r="EI119" s="918"/>
      <c r="EJ119" s="918"/>
      <c r="EK119" s="918"/>
      <c r="EL119" s="918"/>
      <c r="EM119" s="918"/>
      <c r="EN119" s="918"/>
      <c r="EO119" s="918"/>
      <c r="EP119" s="918"/>
      <c r="EQ119" s="918"/>
      <c r="ER119" s="918"/>
      <c r="ES119" s="918"/>
      <c r="ET119" s="918"/>
      <c r="EU119" s="918"/>
      <c r="EV119" s="918"/>
      <c r="EW119" s="918"/>
      <c r="EX119" s="918"/>
      <c r="EY119" s="918"/>
      <c r="EZ119" s="918"/>
      <c r="FA119" s="918"/>
      <c r="FB119" s="918"/>
      <c r="FC119" s="918"/>
      <c r="FD119" s="918"/>
      <c r="FE119" s="918"/>
      <c r="FF119" s="918"/>
      <c r="FG119" s="918"/>
      <c r="FH119" s="918"/>
      <c r="FI119" s="918"/>
      <c r="FJ119" s="918"/>
      <c r="FK119" s="918"/>
      <c r="FL119" s="918"/>
      <c r="FM119" s="918"/>
      <c r="FN119" s="918"/>
      <c r="FO119" s="918"/>
      <c r="FP119" s="918"/>
      <c r="FQ119" s="918"/>
      <c r="FR119" s="918"/>
      <c r="FS119" s="918"/>
      <c r="FT119" s="918"/>
      <c r="FU119" s="918"/>
      <c r="FV119" s="918"/>
      <c r="FW119" s="918"/>
      <c r="FX119" s="918"/>
      <c r="FY119" s="918"/>
      <c r="FZ119" s="918"/>
      <c r="GA119" s="918"/>
      <c r="GB119" s="918"/>
      <c r="GC119" s="918"/>
      <c r="GD119" s="918"/>
      <c r="GE119" s="918"/>
      <c r="GF119" s="918"/>
      <c r="GG119" s="918"/>
      <c r="GH119" s="918"/>
      <c r="GI119" s="918"/>
      <c r="GJ119" s="918"/>
      <c r="GK119" s="918"/>
      <c r="GL119" s="918"/>
      <c r="GM119" s="918"/>
      <c r="GN119" s="918"/>
      <c r="GO119" s="918"/>
      <c r="GP119" s="918"/>
      <c r="GQ119" s="918"/>
      <c r="GR119" s="918"/>
      <c r="GS119" s="918"/>
      <c r="GT119" s="918"/>
      <c r="GU119" s="918"/>
      <c r="GV119" s="918"/>
      <c r="GW119" s="918"/>
      <c r="GX119" s="918"/>
      <c r="GY119" s="918"/>
      <c r="GZ119" s="918"/>
      <c r="HA119" s="918"/>
      <c r="HB119" s="918"/>
      <c r="HC119" s="918"/>
      <c r="HD119" s="918"/>
      <c r="HE119" s="918"/>
      <c r="HF119" s="918"/>
      <c r="HG119" s="918"/>
      <c r="HH119" s="918"/>
      <c r="HI119" s="918"/>
      <c r="HJ119" s="918"/>
      <c r="HK119" s="918"/>
      <c r="HL119" s="918"/>
      <c r="HM119" s="918"/>
      <c r="HN119" s="918"/>
      <c r="HO119" s="918"/>
      <c r="HP119" s="918"/>
      <c r="HQ119" s="918"/>
      <c r="HR119" s="918"/>
      <c r="HS119" s="918"/>
      <c r="HT119" s="918"/>
      <c r="HU119" s="918"/>
      <c r="HV119" s="918"/>
      <c r="HW119" s="918"/>
      <c r="HX119" s="918"/>
      <c r="HY119" s="918"/>
      <c r="HZ119" s="918"/>
      <c r="IA119" s="918"/>
      <c r="IB119" s="918"/>
      <c r="IC119" s="918"/>
      <c r="ID119" s="918"/>
      <c r="IE119" s="918"/>
      <c r="IF119" s="918"/>
      <c r="IG119" s="918"/>
      <c r="IH119" s="918"/>
      <c r="II119" s="918"/>
      <c r="IJ119" s="918"/>
      <c r="IK119" s="918"/>
      <c r="IL119" s="918"/>
      <c r="IM119" s="918"/>
      <c r="IN119" s="918"/>
    </row>
    <row r="120" spans="1:248" hidden="1">
      <c r="A120" s="615" t="s">
        <v>23</v>
      </c>
      <c r="B120" s="617">
        <v>8134.3</v>
      </c>
      <c r="C120" s="919">
        <f t="shared" si="16"/>
        <v>31.453561885906744</v>
      </c>
      <c r="D120" s="618">
        <v>7109.5</v>
      </c>
      <c r="E120" s="919">
        <f t="shared" si="17"/>
        <v>27.490884062286121</v>
      </c>
      <c r="F120" s="919">
        <f t="shared" si="18"/>
        <v>1024.8000000000002</v>
      </c>
      <c r="G120" s="919">
        <f t="shared" si="19"/>
        <v>3.962677823620623</v>
      </c>
      <c r="H120" s="26">
        <v>25861.3</v>
      </c>
      <c r="I120" s="918"/>
      <c r="J120" s="918"/>
      <c r="K120" s="918"/>
      <c r="L120" s="918"/>
      <c r="M120" s="918"/>
      <c r="N120" s="918"/>
      <c r="O120" s="918"/>
      <c r="P120" s="918"/>
      <c r="Q120" s="918"/>
      <c r="R120" s="918"/>
      <c r="S120" s="918"/>
      <c r="T120" s="918"/>
      <c r="U120" s="918"/>
      <c r="V120" s="918"/>
      <c r="W120" s="918"/>
      <c r="X120" s="918"/>
      <c r="Y120" s="918"/>
      <c r="Z120" s="918"/>
      <c r="AA120" s="918"/>
      <c r="AB120" s="918"/>
      <c r="AC120" s="918"/>
      <c r="AD120" s="918"/>
      <c r="AE120" s="918"/>
      <c r="AF120" s="918"/>
      <c r="AG120" s="918"/>
      <c r="AH120" s="918"/>
      <c r="AI120" s="918"/>
      <c r="AJ120" s="918"/>
      <c r="AK120" s="918"/>
      <c r="AL120" s="918"/>
      <c r="AM120" s="918"/>
      <c r="AN120" s="918"/>
      <c r="AO120" s="918"/>
      <c r="AP120" s="918"/>
      <c r="AQ120" s="918"/>
      <c r="AR120" s="918"/>
      <c r="AS120" s="918"/>
      <c r="AT120" s="918"/>
      <c r="AU120" s="918"/>
      <c r="AV120" s="918"/>
      <c r="AW120" s="918"/>
      <c r="AX120" s="918"/>
      <c r="AY120" s="918"/>
      <c r="AZ120" s="918"/>
      <c r="BA120" s="918"/>
      <c r="BB120" s="918"/>
      <c r="BC120" s="918"/>
      <c r="BD120" s="918"/>
      <c r="BE120" s="918"/>
      <c r="BF120" s="918"/>
      <c r="BG120" s="918"/>
      <c r="BH120" s="918"/>
      <c r="BI120" s="918"/>
      <c r="BJ120" s="918"/>
      <c r="BK120" s="918"/>
      <c r="BL120" s="918"/>
      <c r="BM120" s="918"/>
      <c r="BN120" s="918"/>
      <c r="BO120" s="918"/>
      <c r="BP120" s="918"/>
      <c r="BQ120" s="918"/>
      <c r="BR120" s="918"/>
      <c r="BS120" s="918"/>
      <c r="BT120" s="918"/>
      <c r="BU120" s="918"/>
      <c r="BV120" s="918"/>
      <c r="BW120" s="918"/>
      <c r="BX120" s="918"/>
      <c r="BY120" s="918"/>
      <c r="BZ120" s="918"/>
      <c r="CA120" s="918"/>
      <c r="CB120" s="918"/>
      <c r="CC120" s="918"/>
      <c r="CD120" s="918"/>
      <c r="CE120" s="918"/>
      <c r="CF120" s="918"/>
      <c r="CG120" s="918"/>
      <c r="CH120" s="918"/>
      <c r="CI120" s="918"/>
      <c r="CJ120" s="918"/>
      <c r="CK120" s="918"/>
      <c r="CL120" s="918"/>
      <c r="CM120" s="918"/>
      <c r="CN120" s="918"/>
      <c r="CO120" s="918"/>
      <c r="CP120" s="918"/>
      <c r="CQ120" s="918"/>
      <c r="CR120" s="918"/>
      <c r="CS120" s="918"/>
      <c r="CT120" s="918"/>
      <c r="CU120" s="918"/>
      <c r="CV120" s="918"/>
      <c r="CW120" s="918"/>
      <c r="CX120" s="918"/>
      <c r="CY120" s="918"/>
      <c r="CZ120" s="918"/>
      <c r="DA120" s="918"/>
      <c r="DB120" s="918"/>
      <c r="DC120" s="918"/>
      <c r="DD120" s="918"/>
      <c r="DE120" s="918"/>
      <c r="DF120" s="918"/>
      <c r="DG120" s="918"/>
      <c r="DH120" s="918"/>
      <c r="DI120" s="918"/>
      <c r="DJ120" s="918"/>
      <c r="DK120" s="918"/>
      <c r="DL120" s="918"/>
      <c r="DM120" s="918"/>
      <c r="DN120" s="918"/>
      <c r="DO120" s="918"/>
      <c r="DP120" s="918"/>
      <c r="DQ120" s="918"/>
      <c r="DR120" s="918"/>
      <c r="DS120" s="918"/>
      <c r="DT120" s="918"/>
      <c r="DU120" s="918"/>
      <c r="DV120" s="918"/>
      <c r="DW120" s="918"/>
      <c r="DX120" s="918"/>
      <c r="DY120" s="918"/>
      <c r="DZ120" s="918"/>
      <c r="EA120" s="918"/>
      <c r="EB120" s="918"/>
      <c r="EC120" s="918"/>
      <c r="ED120" s="918"/>
      <c r="EE120" s="918"/>
      <c r="EF120" s="918"/>
      <c r="EG120" s="918"/>
      <c r="EH120" s="918"/>
      <c r="EI120" s="918"/>
      <c r="EJ120" s="918"/>
      <c r="EK120" s="918"/>
      <c r="EL120" s="918"/>
      <c r="EM120" s="918"/>
      <c r="EN120" s="918"/>
      <c r="EO120" s="918"/>
      <c r="EP120" s="918"/>
      <c r="EQ120" s="918"/>
      <c r="ER120" s="918"/>
      <c r="ES120" s="918"/>
      <c r="ET120" s="918"/>
      <c r="EU120" s="918"/>
      <c r="EV120" s="918"/>
      <c r="EW120" s="918"/>
      <c r="EX120" s="918"/>
      <c r="EY120" s="918"/>
      <c r="EZ120" s="918"/>
      <c r="FA120" s="918"/>
      <c r="FB120" s="918"/>
      <c r="FC120" s="918"/>
      <c r="FD120" s="918"/>
      <c r="FE120" s="918"/>
      <c r="FF120" s="918"/>
      <c r="FG120" s="918"/>
      <c r="FH120" s="918"/>
      <c r="FI120" s="918"/>
      <c r="FJ120" s="918"/>
      <c r="FK120" s="918"/>
      <c r="FL120" s="918"/>
      <c r="FM120" s="918"/>
      <c r="FN120" s="918"/>
      <c r="FO120" s="918"/>
      <c r="FP120" s="918"/>
      <c r="FQ120" s="918"/>
      <c r="FR120" s="918"/>
      <c r="FS120" s="918"/>
      <c r="FT120" s="918"/>
      <c r="FU120" s="918"/>
      <c r="FV120" s="918"/>
      <c r="FW120" s="918"/>
      <c r="FX120" s="918"/>
      <c r="FY120" s="918"/>
      <c r="FZ120" s="918"/>
      <c r="GA120" s="918"/>
      <c r="GB120" s="918"/>
      <c r="GC120" s="918"/>
      <c r="GD120" s="918"/>
      <c r="GE120" s="918"/>
      <c r="GF120" s="918"/>
      <c r="GG120" s="918"/>
      <c r="GH120" s="918"/>
      <c r="GI120" s="918"/>
      <c r="GJ120" s="918"/>
      <c r="GK120" s="918"/>
      <c r="GL120" s="918"/>
      <c r="GM120" s="918"/>
      <c r="GN120" s="918"/>
      <c r="GO120" s="918"/>
      <c r="GP120" s="918"/>
      <c r="GQ120" s="918"/>
      <c r="GR120" s="918"/>
      <c r="GS120" s="918"/>
      <c r="GT120" s="918"/>
      <c r="GU120" s="918"/>
      <c r="GV120" s="918"/>
      <c r="GW120" s="918"/>
      <c r="GX120" s="918"/>
      <c r="GY120" s="918"/>
      <c r="GZ120" s="918"/>
      <c r="HA120" s="918"/>
      <c r="HB120" s="918"/>
      <c r="HC120" s="918"/>
      <c r="HD120" s="918"/>
      <c r="HE120" s="918"/>
      <c r="HF120" s="918"/>
      <c r="HG120" s="918"/>
      <c r="HH120" s="918"/>
      <c r="HI120" s="918"/>
      <c r="HJ120" s="918"/>
      <c r="HK120" s="918"/>
      <c r="HL120" s="918"/>
      <c r="HM120" s="918"/>
      <c r="HN120" s="918"/>
      <c r="HO120" s="918"/>
      <c r="HP120" s="918"/>
      <c r="HQ120" s="918"/>
      <c r="HR120" s="918"/>
      <c r="HS120" s="918"/>
      <c r="HT120" s="918"/>
      <c r="HU120" s="918"/>
      <c r="HV120" s="918"/>
      <c r="HW120" s="918"/>
      <c r="HX120" s="918"/>
      <c r="HY120" s="918"/>
      <c r="HZ120" s="918"/>
      <c r="IA120" s="918"/>
      <c r="IB120" s="918"/>
      <c r="IC120" s="918"/>
      <c r="ID120" s="918"/>
      <c r="IE120" s="918"/>
      <c r="IF120" s="918"/>
      <c r="IG120" s="918"/>
      <c r="IH120" s="918"/>
      <c r="II120" s="918"/>
      <c r="IJ120" s="918"/>
      <c r="IK120" s="918"/>
      <c r="IL120" s="918"/>
      <c r="IM120" s="918"/>
      <c r="IN120" s="918"/>
    </row>
    <row r="121" spans="1:248" hidden="1">
      <c r="A121" s="615" t="s">
        <v>24</v>
      </c>
      <c r="B121" s="617">
        <v>9681.2000000000007</v>
      </c>
      <c r="C121" s="919">
        <f t="shared" si="16"/>
        <v>31.449724036890377</v>
      </c>
      <c r="D121" s="618">
        <v>8605.7000000000007</v>
      </c>
      <c r="E121" s="919">
        <f t="shared" si="17"/>
        <v>27.955923867316812</v>
      </c>
      <c r="F121" s="919">
        <f t="shared" si="18"/>
        <v>1075.5</v>
      </c>
      <c r="G121" s="919">
        <f t="shared" si="19"/>
        <v>3.4938001695735648</v>
      </c>
      <c r="H121" s="26">
        <v>30783.1</v>
      </c>
      <c r="I121" s="918"/>
      <c r="J121" s="918"/>
      <c r="K121" s="918"/>
      <c r="L121" s="918"/>
      <c r="M121" s="918"/>
      <c r="N121" s="918"/>
      <c r="O121" s="918"/>
      <c r="P121" s="918"/>
      <c r="Q121" s="918"/>
      <c r="R121" s="918"/>
      <c r="S121" s="918"/>
      <c r="T121" s="918"/>
      <c r="U121" s="918"/>
      <c r="V121" s="918"/>
      <c r="W121" s="918"/>
      <c r="X121" s="918"/>
      <c r="Y121" s="918"/>
      <c r="Z121" s="918"/>
      <c r="AA121" s="918"/>
      <c r="AB121" s="918"/>
      <c r="AC121" s="918"/>
      <c r="AD121" s="918"/>
      <c r="AE121" s="918"/>
      <c r="AF121" s="918"/>
      <c r="AG121" s="918"/>
      <c r="AH121" s="918"/>
      <c r="AI121" s="918"/>
      <c r="AJ121" s="918"/>
      <c r="AK121" s="918"/>
      <c r="AL121" s="918"/>
      <c r="AM121" s="918"/>
      <c r="AN121" s="918"/>
      <c r="AO121" s="918"/>
      <c r="AP121" s="918"/>
      <c r="AQ121" s="918"/>
      <c r="AR121" s="918"/>
      <c r="AS121" s="918"/>
      <c r="AT121" s="918"/>
      <c r="AU121" s="918"/>
      <c r="AV121" s="918"/>
      <c r="AW121" s="918"/>
      <c r="AX121" s="918"/>
      <c r="AY121" s="918"/>
      <c r="AZ121" s="918"/>
      <c r="BA121" s="918"/>
      <c r="BB121" s="918"/>
      <c r="BC121" s="918"/>
      <c r="BD121" s="918"/>
      <c r="BE121" s="918"/>
      <c r="BF121" s="918"/>
      <c r="BG121" s="918"/>
      <c r="BH121" s="918"/>
      <c r="BI121" s="918"/>
      <c r="BJ121" s="918"/>
      <c r="BK121" s="918"/>
      <c r="BL121" s="918"/>
      <c r="BM121" s="918"/>
      <c r="BN121" s="918"/>
      <c r="BO121" s="918"/>
      <c r="BP121" s="918"/>
      <c r="BQ121" s="918"/>
      <c r="BR121" s="918"/>
      <c r="BS121" s="918"/>
      <c r="BT121" s="918"/>
      <c r="BU121" s="918"/>
      <c r="BV121" s="918"/>
      <c r="BW121" s="918"/>
      <c r="BX121" s="918"/>
      <c r="BY121" s="918"/>
      <c r="BZ121" s="918"/>
      <c r="CA121" s="918"/>
      <c r="CB121" s="918"/>
      <c r="CC121" s="918"/>
      <c r="CD121" s="918"/>
      <c r="CE121" s="918"/>
      <c r="CF121" s="918"/>
      <c r="CG121" s="918"/>
      <c r="CH121" s="918"/>
      <c r="CI121" s="918"/>
      <c r="CJ121" s="918"/>
      <c r="CK121" s="918"/>
      <c r="CL121" s="918"/>
      <c r="CM121" s="918"/>
      <c r="CN121" s="918"/>
      <c r="CO121" s="918"/>
      <c r="CP121" s="918"/>
      <c r="CQ121" s="918"/>
      <c r="CR121" s="918"/>
      <c r="CS121" s="918"/>
      <c r="CT121" s="918"/>
      <c r="CU121" s="918"/>
      <c r="CV121" s="918"/>
      <c r="CW121" s="918"/>
      <c r="CX121" s="918"/>
      <c r="CY121" s="918"/>
      <c r="CZ121" s="918"/>
      <c r="DA121" s="918"/>
      <c r="DB121" s="918"/>
      <c r="DC121" s="918"/>
      <c r="DD121" s="918"/>
      <c r="DE121" s="918"/>
      <c r="DF121" s="918"/>
      <c r="DG121" s="918"/>
      <c r="DH121" s="918"/>
      <c r="DI121" s="918"/>
      <c r="DJ121" s="918"/>
      <c r="DK121" s="918"/>
      <c r="DL121" s="918"/>
      <c r="DM121" s="918"/>
      <c r="DN121" s="918"/>
      <c r="DO121" s="918"/>
      <c r="DP121" s="918"/>
      <c r="DQ121" s="918"/>
      <c r="DR121" s="918"/>
      <c r="DS121" s="918"/>
      <c r="DT121" s="918"/>
      <c r="DU121" s="918"/>
      <c r="DV121" s="918"/>
      <c r="DW121" s="918"/>
      <c r="DX121" s="918"/>
      <c r="DY121" s="918"/>
      <c r="DZ121" s="918"/>
      <c r="EA121" s="918"/>
      <c r="EB121" s="918"/>
      <c r="EC121" s="918"/>
      <c r="ED121" s="918"/>
      <c r="EE121" s="918"/>
      <c r="EF121" s="918"/>
      <c r="EG121" s="918"/>
      <c r="EH121" s="918"/>
      <c r="EI121" s="918"/>
      <c r="EJ121" s="918"/>
      <c r="EK121" s="918"/>
      <c r="EL121" s="918"/>
      <c r="EM121" s="918"/>
      <c r="EN121" s="918"/>
      <c r="EO121" s="918"/>
      <c r="EP121" s="918"/>
      <c r="EQ121" s="918"/>
      <c r="ER121" s="918"/>
      <c r="ES121" s="918"/>
      <c r="ET121" s="918"/>
      <c r="EU121" s="918"/>
      <c r="EV121" s="918"/>
      <c r="EW121" s="918"/>
      <c r="EX121" s="918"/>
      <c r="EY121" s="918"/>
      <c r="EZ121" s="918"/>
      <c r="FA121" s="918"/>
      <c r="FB121" s="918"/>
      <c r="FC121" s="918"/>
      <c r="FD121" s="918"/>
      <c r="FE121" s="918"/>
      <c r="FF121" s="918"/>
      <c r="FG121" s="918"/>
      <c r="FH121" s="918"/>
      <c r="FI121" s="918"/>
      <c r="FJ121" s="918"/>
      <c r="FK121" s="918"/>
      <c r="FL121" s="918"/>
      <c r="FM121" s="918"/>
      <c r="FN121" s="918"/>
      <c r="FO121" s="918"/>
      <c r="FP121" s="918"/>
      <c r="FQ121" s="918"/>
      <c r="FR121" s="918"/>
      <c r="FS121" s="918"/>
      <c r="FT121" s="918"/>
      <c r="FU121" s="918"/>
      <c r="FV121" s="918"/>
      <c r="FW121" s="918"/>
      <c r="FX121" s="918"/>
      <c r="FY121" s="918"/>
      <c r="FZ121" s="918"/>
      <c r="GA121" s="918"/>
      <c r="GB121" s="918"/>
      <c r="GC121" s="918"/>
      <c r="GD121" s="918"/>
      <c r="GE121" s="918"/>
      <c r="GF121" s="918"/>
      <c r="GG121" s="918"/>
      <c r="GH121" s="918"/>
      <c r="GI121" s="918"/>
      <c r="GJ121" s="918"/>
      <c r="GK121" s="918"/>
      <c r="GL121" s="918"/>
      <c r="GM121" s="918"/>
      <c r="GN121" s="918"/>
      <c r="GO121" s="918"/>
      <c r="GP121" s="918"/>
      <c r="GQ121" s="918"/>
      <c r="GR121" s="918"/>
      <c r="GS121" s="918"/>
      <c r="GT121" s="918"/>
      <c r="GU121" s="918"/>
      <c r="GV121" s="918"/>
      <c r="GW121" s="918"/>
      <c r="GX121" s="918"/>
      <c r="GY121" s="918"/>
      <c r="GZ121" s="918"/>
      <c r="HA121" s="918"/>
      <c r="HB121" s="918"/>
      <c r="HC121" s="918"/>
      <c r="HD121" s="918"/>
      <c r="HE121" s="918"/>
      <c r="HF121" s="918"/>
      <c r="HG121" s="918"/>
      <c r="HH121" s="918"/>
      <c r="HI121" s="918"/>
      <c r="HJ121" s="918"/>
      <c r="HK121" s="918"/>
      <c r="HL121" s="918"/>
      <c r="HM121" s="918"/>
      <c r="HN121" s="918"/>
      <c r="HO121" s="918"/>
      <c r="HP121" s="918"/>
      <c r="HQ121" s="918"/>
      <c r="HR121" s="918"/>
      <c r="HS121" s="918"/>
      <c r="HT121" s="918"/>
      <c r="HU121" s="918"/>
      <c r="HV121" s="918"/>
      <c r="HW121" s="918"/>
      <c r="HX121" s="918"/>
      <c r="HY121" s="918"/>
      <c r="HZ121" s="918"/>
      <c r="IA121" s="918"/>
      <c r="IB121" s="918"/>
      <c r="IC121" s="918"/>
      <c r="ID121" s="918"/>
      <c r="IE121" s="918"/>
      <c r="IF121" s="918"/>
      <c r="IG121" s="918"/>
      <c r="IH121" s="918"/>
      <c r="II121" s="918"/>
      <c r="IJ121" s="918"/>
      <c r="IK121" s="918"/>
      <c r="IL121" s="918"/>
      <c r="IM121" s="918"/>
      <c r="IN121" s="918"/>
    </row>
    <row r="122" spans="1:248" hidden="1">
      <c r="A122" s="615" t="s">
        <v>25</v>
      </c>
      <c r="B122" s="617">
        <v>10990.8</v>
      </c>
      <c r="C122" s="919">
        <f t="shared" si="16"/>
        <v>31.280381598570138</v>
      </c>
      <c r="D122" s="618">
        <v>9724.2000000000007</v>
      </c>
      <c r="E122" s="919">
        <f t="shared" si="17"/>
        <v>27.675572910144471</v>
      </c>
      <c r="F122" s="919">
        <f t="shared" si="18"/>
        <v>1266.5999999999985</v>
      </c>
      <c r="G122" s="919">
        <f t="shared" si="19"/>
        <v>3.6048086884256736</v>
      </c>
      <c r="H122" s="26">
        <v>35136.400000000001</v>
      </c>
      <c r="I122" s="918"/>
      <c r="J122" s="918"/>
      <c r="K122" s="918"/>
      <c r="L122" s="918"/>
      <c r="M122" s="918"/>
      <c r="N122" s="918"/>
      <c r="O122" s="918"/>
      <c r="P122" s="918"/>
      <c r="Q122" s="918"/>
      <c r="R122" s="918"/>
      <c r="S122" s="918"/>
      <c r="T122" s="918"/>
      <c r="U122" s="918"/>
      <c r="V122" s="918"/>
      <c r="W122" s="918"/>
      <c r="X122" s="918"/>
      <c r="Y122" s="918"/>
      <c r="Z122" s="918"/>
      <c r="AA122" s="918"/>
      <c r="AB122" s="918"/>
      <c r="AC122" s="918"/>
      <c r="AD122" s="918"/>
      <c r="AE122" s="918"/>
      <c r="AF122" s="918"/>
      <c r="AG122" s="918"/>
      <c r="AH122" s="918"/>
      <c r="AI122" s="918"/>
      <c r="AJ122" s="918"/>
      <c r="AK122" s="918"/>
      <c r="AL122" s="918"/>
      <c r="AM122" s="918"/>
      <c r="AN122" s="918"/>
      <c r="AO122" s="918"/>
      <c r="AP122" s="918"/>
      <c r="AQ122" s="918"/>
      <c r="AR122" s="918"/>
      <c r="AS122" s="918"/>
      <c r="AT122" s="918"/>
      <c r="AU122" s="918"/>
      <c r="AV122" s="918"/>
      <c r="AW122" s="918"/>
      <c r="AX122" s="918"/>
      <c r="AY122" s="918"/>
      <c r="AZ122" s="918"/>
      <c r="BA122" s="918"/>
      <c r="BB122" s="918"/>
      <c r="BC122" s="918"/>
      <c r="BD122" s="918"/>
      <c r="BE122" s="918"/>
      <c r="BF122" s="918"/>
      <c r="BG122" s="918"/>
      <c r="BH122" s="918"/>
      <c r="BI122" s="918"/>
      <c r="BJ122" s="918"/>
      <c r="BK122" s="918"/>
      <c r="BL122" s="918"/>
      <c r="BM122" s="918"/>
      <c r="BN122" s="918"/>
      <c r="BO122" s="918"/>
      <c r="BP122" s="918"/>
      <c r="BQ122" s="918"/>
      <c r="BR122" s="918"/>
      <c r="BS122" s="918"/>
      <c r="BT122" s="918"/>
      <c r="BU122" s="918"/>
      <c r="BV122" s="918"/>
      <c r="BW122" s="918"/>
      <c r="BX122" s="918"/>
      <c r="BY122" s="918"/>
      <c r="BZ122" s="918"/>
      <c r="CA122" s="918"/>
      <c r="CB122" s="918"/>
      <c r="CC122" s="918"/>
      <c r="CD122" s="918"/>
      <c r="CE122" s="918"/>
      <c r="CF122" s="918"/>
      <c r="CG122" s="918"/>
      <c r="CH122" s="918"/>
      <c r="CI122" s="918"/>
      <c r="CJ122" s="918"/>
      <c r="CK122" s="918"/>
      <c r="CL122" s="918"/>
      <c r="CM122" s="918"/>
      <c r="CN122" s="918"/>
      <c r="CO122" s="918"/>
      <c r="CP122" s="918"/>
      <c r="CQ122" s="918"/>
      <c r="CR122" s="918"/>
      <c r="CS122" s="918"/>
      <c r="CT122" s="918"/>
      <c r="CU122" s="918"/>
      <c r="CV122" s="918"/>
      <c r="CW122" s="918"/>
      <c r="CX122" s="918"/>
      <c r="CY122" s="918"/>
      <c r="CZ122" s="918"/>
      <c r="DA122" s="918"/>
      <c r="DB122" s="918"/>
      <c r="DC122" s="918"/>
      <c r="DD122" s="918"/>
      <c r="DE122" s="918"/>
      <c r="DF122" s="918"/>
      <c r="DG122" s="918"/>
      <c r="DH122" s="918"/>
      <c r="DI122" s="918"/>
      <c r="DJ122" s="918"/>
      <c r="DK122" s="918"/>
      <c r="DL122" s="918"/>
      <c r="DM122" s="918"/>
      <c r="DN122" s="918"/>
      <c r="DO122" s="918"/>
      <c r="DP122" s="918"/>
      <c r="DQ122" s="918"/>
      <c r="DR122" s="918"/>
      <c r="DS122" s="918"/>
      <c r="DT122" s="918"/>
      <c r="DU122" s="918"/>
      <c r="DV122" s="918"/>
      <c r="DW122" s="918"/>
      <c r="DX122" s="918"/>
      <c r="DY122" s="918"/>
      <c r="DZ122" s="918"/>
      <c r="EA122" s="918"/>
      <c r="EB122" s="918"/>
      <c r="EC122" s="918"/>
      <c r="ED122" s="918"/>
      <c r="EE122" s="918"/>
      <c r="EF122" s="918"/>
      <c r="EG122" s="918"/>
      <c r="EH122" s="918"/>
      <c r="EI122" s="918"/>
      <c r="EJ122" s="918"/>
      <c r="EK122" s="918"/>
      <c r="EL122" s="918"/>
      <c r="EM122" s="918"/>
      <c r="EN122" s="918"/>
      <c r="EO122" s="918"/>
      <c r="EP122" s="918"/>
      <c r="EQ122" s="918"/>
      <c r="ER122" s="918"/>
      <c r="ES122" s="918"/>
      <c r="ET122" s="918"/>
      <c r="EU122" s="918"/>
      <c r="EV122" s="918"/>
      <c r="EW122" s="918"/>
      <c r="EX122" s="918"/>
      <c r="EY122" s="918"/>
      <c r="EZ122" s="918"/>
      <c r="FA122" s="918"/>
      <c r="FB122" s="918"/>
      <c r="FC122" s="918"/>
      <c r="FD122" s="918"/>
      <c r="FE122" s="918"/>
      <c r="FF122" s="918"/>
      <c r="FG122" s="918"/>
      <c r="FH122" s="918"/>
      <c r="FI122" s="918"/>
      <c r="FJ122" s="918"/>
      <c r="FK122" s="918"/>
      <c r="FL122" s="918"/>
      <c r="FM122" s="918"/>
      <c r="FN122" s="918"/>
      <c r="FO122" s="918"/>
      <c r="FP122" s="918"/>
      <c r="FQ122" s="918"/>
      <c r="FR122" s="918"/>
      <c r="FS122" s="918"/>
      <c r="FT122" s="918"/>
      <c r="FU122" s="918"/>
      <c r="FV122" s="918"/>
      <c r="FW122" s="918"/>
      <c r="FX122" s="918"/>
      <c r="FY122" s="918"/>
      <c r="FZ122" s="918"/>
      <c r="GA122" s="918"/>
      <c r="GB122" s="918"/>
      <c r="GC122" s="918"/>
      <c r="GD122" s="918"/>
      <c r="GE122" s="918"/>
      <c r="GF122" s="918"/>
      <c r="GG122" s="918"/>
      <c r="GH122" s="918"/>
      <c r="GI122" s="918"/>
      <c r="GJ122" s="918"/>
      <c r="GK122" s="918"/>
      <c r="GL122" s="918"/>
      <c r="GM122" s="918"/>
      <c r="GN122" s="918"/>
      <c r="GO122" s="918"/>
      <c r="GP122" s="918"/>
      <c r="GQ122" s="918"/>
      <c r="GR122" s="918"/>
      <c r="GS122" s="918"/>
      <c r="GT122" s="918"/>
      <c r="GU122" s="918"/>
      <c r="GV122" s="918"/>
      <c r="GW122" s="918"/>
      <c r="GX122" s="918"/>
      <c r="GY122" s="918"/>
      <c r="GZ122" s="918"/>
      <c r="HA122" s="918"/>
      <c r="HB122" s="918"/>
      <c r="HC122" s="918"/>
      <c r="HD122" s="918"/>
      <c r="HE122" s="918"/>
      <c r="HF122" s="918"/>
      <c r="HG122" s="918"/>
      <c r="HH122" s="918"/>
      <c r="HI122" s="918"/>
      <c r="HJ122" s="918"/>
      <c r="HK122" s="918"/>
      <c r="HL122" s="918"/>
      <c r="HM122" s="918"/>
      <c r="HN122" s="918"/>
      <c r="HO122" s="918"/>
      <c r="HP122" s="918"/>
      <c r="HQ122" s="918"/>
      <c r="HR122" s="918"/>
      <c r="HS122" s="918"/>
      <c r="HT122" s="918"/>
      <c r="HU122" s="918"/>
      <c r="HV122" s="918"/>
      <c r="HW122" s="918"/>
      <c r="HX122" s="918"/>
      <c r="HY122" s="918"/>
      <c r="HZ122" s="918"/>
      <c r="IA122" s="918"/>
      <c r="IB122" s="918"/>
      <c r="IC122" s="918"/>
      <c r="ID122" s="918"/>
      <c r="IE122" s="918"/>
      <c r="IF122" s="918"/>
      <c r="IG122" s="918"/>
      <c r="IH122" s="918"/>
      <c r="II122" s="918"/>
      <c r="IJ122" s="918"/>
      <c r="IK122" s="918"/>
      <c r="IL122" s="918"/>
      <c r="IM122" s="918"/>
      <c r="IN122" s="918"/>
    </row>
    <row r="123" spans="1:248" hidden="1">
      <c r="A123" s="615" t="s">
        <v>26</v>
      </c>
      <c r="B123" s="617">
        <v>12521</v>
      </c>
      <c r="C123" s="919">
        <f t="shared" si="16"/>
        <v>31.490973476255391</v>
      </c>
      <c r="D123" s="618">
        <v>11074.2</v>
      </c>
      <c r="E123" s="919">
        <f t="shared" si="17"/>
        <v>27.852195389405594</v>
      </c>
      <c r="F123" s="919">
        <f t="shared" si="18"/>
        <v>1446.7999999999993</v>
      </c>
      <c r="G123" s="919">
        <f t="shared" si="19"/>
        <v>3.6387780868497943</v>
      </c>
      <c r="H123" s="26">
        <v>39760.6</v>
      </c>
      <c r="I123" s="918"/>
      <c r="J123" s="918"/>
      <c r="K123" s="918"/>
      <c r="L123" s="918"/>
      <c r="M123" s="918"/>
      <c r="N123" s="918"/>
      <c r="O123" s="918"/>
      <c r="P123" s="918"/>
      <c r="Q123" s="918"/>
      <c r="R123" s="918"/>
      <c r="S123" s="918"/>
      <c r="T123" s="918"/>
      <c r="U123" s="918"/>
      <c r="V123" s="918"/>
      <c r="W123" s="918"/>
      <c r="X123" s="918"/>
      <c r="Y123" s="918"/>
      <c r="Z123" s="918"/>
      <c r="AA123" s="918"/>
      <c r="AB123" s="918"/>
      <c r="AC123" s="918"/>
      <c r="AD123" s="918"/>
      <c r="AE123" s="918"/>
      <c r="AF123" s="918"/>
      <c r="AG123" s="918"/>
      <c r="AH123" s="918"/>
      <c r="AI123" s="918"/>
      <c r="AJ123" s="918"/>
      <c r="AK123" s="918"/>
      <c r="AL123" s="918"/>
      <c r="AM123" s="918"/>
      <c r="AN123" s="918"/>
      <c r="AO123" s="918"/>
      <c r="AP123" s="918"/>
      <c r="AQ123" s="918"/>
      <c r="AR123" s="918"/>
      <c r="AS123" s="918"/>
      <c r="AT123" s="918"/>
      <c r="AU123" s="918"/>
      <c r="AV123" s="918"/>
      <c r="AW123" s="918"/>
      <c r="AX123" s="918"/>
      <c r="AY123" s="918"/>
      <c r="AZ123" s="918"/>
      <c r="BA123" s="918"/>
      <c r="BB123" s="918"/>
      <c r="BC123" s="918"/>
      <c r="BD123" s="918"/>
      <c r="BE123" s="918"/>
      <c r="BF123" s="918"/>
      <c r="BG123" s="918"/>
      <c r="BH123" s="918"/>
      <c r="BI123" s="918"/>
      <c r="BJ123" s="918"/>
      <c r="BK123" s="918"/>
      <c r="BL123" s="918"/>
      <c r="BM123" s="918"/>
      <c r="BN123" s="918"/>
      <c r="BO123" s="918"/>
      <c r="BP123" s="918"/>
      <c r="BQ123" s="918"/>
      <c r="BR123" s="918"/>
      <c r="BS123" s="918"/>
      <c r="BT123" s="918"/>
      <c r="BU123" s="918"/>
      <c r="BV123" s="918"/>
      <c r="BW123" s="918"/>
      <c r="BX123" s="918"/>
      <c r="BY123" s="918"/>
      <c r="BZ123" s="918"/>
      <c r="CA123" s="918"/>
      <c r="CB123" s="918"/>
      <c r="CC123" s="918"/>
      <c r="CD123" s="918"/>
      <c r="CE123" s="918"/>
      <c r="CF123" s="918"/>
      <c r="CG123" s="918"/>
      <c r="CH123" s="918"/>
      <c r="CI123" s="918"/>
      <c r="CJ123" s="918"/>
      <c r="CK123" s="918"/>
      <c r="CL123" s="918"/>
      <c r="CM123" s="918"/>
      <c r="CN123" s="918"/>
      <c r="CO123" s="918"/>
      <c r="CP123" s="918"/>
      <c r="CQ123" s="918"/>
      <c r="CR123" s="918"/>
      <c r="CS123" s="918"/>
      <c r="CT123" s="918"/>
      <c r="CU123" s="918"/>
      <c r="CV123" s="918"/>
      <c r="CW123" s="918"/>
      <c r="CX123" s="918"/>
      <c r="CY123" s="918"/>
      <c r="CZ123" s="918"/>
      <c r="DA123" s="918"/>
      <c r="DB123" s="918"/>
      <c r="DC123" s="918"/>
      <c r="DD123" s="918"/>
      <c r="DE123" s="918"/>
      <c r="DF123" s="918"/>
      <c r="DG123" s="918"/>
      <c r="DH123" s="918"/>
      <c r="DI123" s="918"/>
      <c r="DJ123" s="918"/>
      <c r="DK123" s="918"/>
      <c r="DL123" s="918"/>
      <c r="DM123" s="918"/>
      <c r="DN123" s="918"/>
      <c r="DO123" s="918"/>
      <c r="DP123" s="918"/>
      <c r="DQ123" s="918"/>
      <c r="DR123" s="918"/>
      <c r="DS123" s="918"/>
      <c r="DT123" s="918"/>
      <c r="DU123" s="918"/>
      <c r="DV123" s="918"/>
      <c r="DW123" s="918"/>
      <c r="DX123" s="918"/>
      <c r="DY123" s="918"/>
      <c r="DZ123" s="918"/>
      <c r="EA123" s="918"/>
      <c r="EB123" s="918"/>
      <c r="EC123" s="918"/>
      <c r="ED123" s="918"/>
      <c r="EE123" s="918"/>
      <c r="EF123" s="918"/>
      <c r="EG123" s="918"/>
      <c r="EH123" s="918"/>
      <c r="EI123" s="918"/>
      <c r="EJ123" s="918"/>
      <c r="EK123" s="918"/>
      <c r="EL123" s="918"/>
      <c r="EM123" s="918"/>
      <c r="EN123" s="918"/>
      <c r="EO123" s="918"/>
      <c r="EP123" s="918"/>
      <c r="EQ123" s="918"/>
      <c r="ER123" s="918"/>
      <c r="ES123" s="918"/>
      <c r="ET123" s="918"/>
      <c r="EU123" s="918"/>
      <c r="EV123" s="918"/>
      <c r="EW123" s="918"/>
      <c r="EX123" s="918"/>
      <c r="EY123" s="918"/>
      <c r="EZ123" s="918"/>
      <c r="FA123" s="918"/>
      <c r="FB123" s="918"/>
      <c r="FC123" s="918"/>
      <c r="FD123" s="918"/>
      <c r="FE123" s="918"/>
      <c r="FF123" s="918"/>
      <c r="FG123" s="918"/>
      <c r="FH123" s="918"/>
      <c r="FI123" s="918"/>
      <c r="FJ123" s="918"/>
      <c r="FK123" s="918"/>
      <c r="FL123" s="918"/>
      <c r="FM123" s="918"/>
      <c r="FN123" s="918"/>
      <c r="FO123" s="918"/>
      <c r="FP123" s="918"/>
      <c r="FQ123" s="918"/>
      <c r="FR123" s="918"/>
      <c r="FS123" s="918"/>
      <c r="FT123" s="918"/>
      <c r="FU123" s="918"/>
      <c r="FV123" s="918"/>
      <c r="FW123" s="918"/>
      <c r="FX123" s="918"/>
      <c r="FY123" s="918"/>
      <c r="FZ123" s="918"/>
      <c r="GA123" s="918"/>
      <c r="GB123" s="918"/>
      <c r="GC123" s="918"/>
      <c r="GD123" s="918"/>
      <c r="GE123" s="918"/>
      <c r="GF123" s="918"/>
      <c r="GG123" s="918"/>
      <c r="GH123" s="918"/>
      <c r="GI123" s="918"/>
      <c r="GJ123" s="918"/>
      <c r="GK123" s="918"/>
      <c r="GL123" s="918"/>
      <c r="GM123" s="918"/>
      <c r="GN123" s="918"/>
      <c r="GO123" s="918"/>
      <c r="GP123" s="918"/>
      <c r="GQ123" s="918"/>
      <c r="GR123" s="918"/>
      <c r="GS123" s="918"/>
      <c r="GT123" s="918"/>
      <c r="GU123" s="918"/>
      <c r="GV123" s="918"/>
      <c r="GW123" s="918"/>
      <c r="GX123" s="918"/>
      <c r="GY123" s="918"/>
      <c r="GZ123" s="918"/>
      <c r="HA123" s="918"/>
      <c r="HB123" s="918"/>
      <c r="HC123" s="918"/>
      <c r="HD123" s="918"/>
      <c r="HE123" s="918"/>
      <c r="HF123" s="918"/>
      <c r="HG123" s="918"/>
      <c r="HH123" s="918"/>
      <c r="HI123" s="918"/>
      <c r="HJ123" s="918"/>
      <c r="HK123" s="918"/>
      <c r="HL123" s="918"/>
      <c r="HM123" s="918"/>
      <c r="HN123" s="918"/>
      <c r="HO123" s="918"/>
      <c r="HP123" s="918"/>
      <c r="HQ123" s="918"/>
      <c r="HR123" s="918"/>
      <c r="HS123" s="918"/>
      <c r="HT123" s="918"/>
      <c r="HU123" s="918"/>
      <c r="HV123" s="918"/>
      <c r="HW123" s="918"/>
      <c r="HX123" s="918"/>
      <c r="HY123" s="918"/>
      <c r="HZ123" s="918"/>
      <c r="IA123" s="918"/>
      <c r="IB123" s="918"/>
      <c r="IC123" s="918"/>
      <c r="ID123" s="918"/>
      <c r="IE123" s="918"/>
      <c r="IF123" s="918"/>
      <c r="IG123" s="918"/>
      <c r="IH123" s="918"/>
      <c r="II123" s="918"/>
      <c r="IJ123" s="918"/>
      <c r="IK123" s="918"/>
      <c r="IL123" s="918"/>
      <c r="IM123" s="918"/>
      <c r="IN123" s="918"/>
    </row>
    <row r="124" spans="1:248" hidden="1">
      <c r="A124" s="615" t="s">
        <v>27</v>
      </c>
      <c r="B124" s="617">
        <v>14225.7</v>
      </c>
      <c r="C124" s="919">
        <f t="shared" si="16"/>
        <v>32.171740015378354</v>
      </c>
      <c r="D124" s="618">
        <v>12209.6</v>
      </c>
      <c r="E124" s="919">
        <f t="shared" si="17"/>
        <v>27.612284589985979</v>
      </c>
      <c r="F124" s="919">
        <f t="shared" si="18"/>
        <v>2016.1000000000004</v>
      </c>
      <c r="G124" s="919">
        <f t="shared" si="19"/>
        <v>4.5594554253923754</v>
      </c>
      <c r="H124" s="26">
        <v>44218</v>
      </c>
      <c r="I124" s="918"/>
      <c r="J124" s="918"/>
      <c r="K124" s="918"/>
      <c r="L124" s="918"/>
      <c r="M124" s="918"/>
      <c r="N124" s="918"/>
      <c r="O124" s="918"/>
      <c r="P124" s="918"/>
      <c r="Q124" s="918"/>
      <c r="R124" s="918"/>
      <c r="S124" s="918"/>
      <c r="T124" s="918"/>
      <c r="U124" s="918"/>
      <c r="V124" s="918"/>
      <c r="W124" s="918"/>
      <c r="X124" s="918"/>
      <c r="Y124" s="918"/>
      <c r="Z124" s="918"/>
      <c r="AA124" s="918"/>
      <c r="AB124" s="918"/>
      <c r="AC124" s="918"/>
      <c r="AD124" s="918"/>
      <c r="AE124" s="918"/>
      <c r="AF124" s="918"/>
      <c r="AG124" s="918"/>
      <c r="AH124" s="918"/>
      <c r="AI124" s="918"/>
      <c r="AJ124" s="918"/>
      <c r="AK124" s="918"/>
      <c r="AL124" s="918"/>
      <c r="AM124" s="918"/>
      <c r="AN124" s="918"/>
      <c r="AO124" s="918"/>
      <c r="AP124" s="918"/>
      <c r="AQ124" s="918"/>
      <c r="AR124" s="918"/>
      <c r="AS124" s="918"/>
      <c r="AT124" s="918"/>
      <c r="AU124" s="918"/>
      <c r="AV124" s="918"/>
      <c r="AW124" s="918"/>
      <c r="AX124" s="918"/>
      <c r="AY124" s="918"/>
      <c r="AZ124" s="918"/>
      <c r="BA124" s="918"/>
      <c r="BB124" s="918"/>
      <c r="BC124" s="918"/>
      <c r="BD124" s="918"/>
      <c r="BE124" s="918"/>
      <c r="BF124" s="918"/>
      <c r="BG124" s="918"/>
      <c r="BH124" s="918"/>
      <c r="BI124" s="918"/>
      <c r="BJ124" s="918"/>
      <c r="BK124" s="918"/>
      <c r="BL124" s="918"/>
      <c r="BM124" s="918"/>
      <c r="BN124" s="918"/>
      <c r="BO124" s="918"/>
      <c r="BP124" s="918"/>
      <c r="BQ124" s="918"/>
      <c r="BR124" s="918"/>
      <c r="BS124" s="918"/>
      <c r="BT124" s="918"/>
      <c r="BU124" s="918"/>
      <c r="BV124" s="918"/>
      <c r="BW124" s="918"/>
      <c r="BX124" s="918"/>
      <c r="BY124" s="918"/>
      <c r="BZ124" s="918"/>
      <c r="CA124" s="918"/>
      <c r="CB124" s="918"/>
      <c r="CC124" s="918"/>
      <c r="CD124" s="918"/>
      <c r="CE124" s="918"/>
      <c r="CF124" s="918"/>
      <c r="CG124" s="918"/>
      <c r="CH124" s="918"/>
      <c r="CI124" s="918"/>
      <c r="CJ124" s="918"/>
      <c r="CK124" s="918"/>
      <c r="CL124" s="918"/>
      <c r="CM124" s="918"/>
      <c r="CN124" s="918"/>
      <c r="CO124" s="918"/>
      <c r="CP124" s="918"/>
      <c r="CQ124" s="918"/>
      <c r="CR124" s="918"/>
      <c r="CS124" s="918"/>
      <c r="CT124" s="918"/>
      <c r="CU124" s="918"/>
      <c r="CV124" s="918"/>
      <c r="CW124" s="918"/>
      <c r="CX124" s="918"/>
      <c r="CY124" s="918"/>
      <c r="CZ124" s="918"/>
      <c r="DA124" s="918"/>
      <c r="DB124" s="918"/>
      <c r="DC124" s="918"/>
      <c r="DD124" s="918"/>
      <c r="DE124" s="918"/>
      <c r="DF124" s="918"/>
      <c r="DG124" s="918"/>
      <c r="DH124" s="918"/>
      <c r="DI124" s="918"/>
      <c r="DJ124" s="918"/>
      <c r="DK124" s="918"/>
      <c r="DL124" s="918"/>
      <c r="DM124" s="918"/>
      <c r="DN124" s="918"/>
      <c r="DO124" s="918"/>
      <c r="DP124" s="918"/>
      <c r="DQ124" s="918"/>
      <c r="DR124" s="918"/>
      <c r="DS124" s="918"/>
      <c r="DT124" s="918"/>
      <c r="DU124" s="918"/>
      <c r="DV124" s="918"/>
      <c r="DW124" s="918"/>
      <c r="DX124" s="918"/>
      <c r="DY124" s="918"/>
      <c r="DZ124" s="918"/>
      <c r="EA124" s="918"/>
      <c r="EB124" s="918"/>
      <c r="EC124" s="918"/>
      <c r="ED124" s="918"/>
      <c r="EE124" s="918"/>
      <c r="EF124" s="918"/>
      <c r="EG124" s="918"/>
      <c r="EH124" s="918"/>
      <c r="EI124" s="918"/>
      <c r="EJ124" s="918"/>
      <c r="EK124" s="918"/>
      <c r="EL124" s="918"/>
      <c r="EM124" s="918"/>
      <c r="EN124" s="918"/>
      <c r="EO124" s="918"/>
      <c r="EP124" s="918"/>
      <c r="EQ124" s="918"/>
      <c r="ER124" s="918"/>
      <c r="ES124" s="918"/>
      <c r="ET124" s="918"/>
      <c r="EU124" s="918"/>
      <c r="EV124" s="918"/>
      <c r="EW124" s="918"/>
      <c r="EX124" s="918"/>
      <c r="EY124" s="918"/>
      <c r="EZ124" s="918"/>
      <c r="FA124" s="918"/>
      <c r="FB124" s="918"/>
      <c r="FC124" s="918"/>
      <c r="FD124" s="918"/>
      <c r="FE124" s="918"/>
      <c r="FF124" s="918"/>
      <c r="FG124" s="918"/>
      <c r="FH124" s="918"/>
      <c r="FI124" s="918"/>
      <c r="FJ124" s="918"/>
      <c r="FK124" s="918"/>
      <c r="FL124" s="918"/>
      <c r="FM124" s="918"/>
      <c r="FN124" s="918"/>
      <c r="FO124" s="918"/>
      <c r="FP124" s="918"/>
      <c r="FQ124" s="918"/>
      <c r="FR124" s="918"/>
      <c r="FS124" s="918"/>
      <c r="FT124" s="918"/>
      <c r="FU124" s="918"/>
      <c r="FV124" s="918"/>
      <c r="FW124" s="918"/>
      <c r="FX124" s="918"/>
      <c r="FY124" s="918"/>
      <c r="FZ124" s="918"/>
      <c r="GA124" s="918"/>
      <c r="GB124" s="918"/>
      <c r="GC124" s="918"/>
      <c r="GD124" s="918"/>
      <c r="GE124" s="918"/>
      <c r="GF124" s="918"/>
      <c r="GG124" s="918"/>
      <c r="GH124" s="918"/>
      <c r="GI124" s="918"/>
      <c r="GJ124" s="918"/>
      <c r="GK124" s="918"/>
      <c r="GL124" s="918"/>
      <c r="GM124" s="918"/>
      <c r="GN124" s="918"/>
      <c r="GO124" s="918"/>
      <c r="GP124" s="918"/>
      <c r="GQ124" s="918"/>
      <c r="GR124" s="918"/>
      <c r="GS124" s="918"/>
      <c r="GT124" s="918"/>
      <c r="GU124" s="918"/>
      <c r="GV124" s="918"/>
      <c r="GW124" s="918"/>
      <c r="GX124" s="918"/>
      <c r="GY124" s="918"/>
      <c r="GZ124" s="918"/>
      <c r="HA124" s="918"/>
      <c r="HB124" s="918"/>
      <c r="HC124" s="918"/>
      <c r="HD124" s="918"/>
      <c r="HE124" s="918"/>
      <c r="HF124" s="918"/>
      <c r="HG124" s="918"/>
      <c r="HH124" s="918"/>
      <c r="HI124" s="918"/>
      <c r="HJ124" s="918"/>
      <c r="HK124" s="918"/>
      <c r="HL124" s="918"/>
      <c r="HM124" s="918"/>
      <c r="HN124" s="918"/>
      <c r="HO124" s="918"/>
      <c r="HP124" s="918"/>
      <c r="HQ124" s="918"/>
      <c r="HR124" s="918"/>
      <c r="HS124" s="918"/>
      <c r="HT124" s="918"/>
      <c r="HU124" s="918"/>
      <c r="HV124" s="918"/>
      <c r="HW124" s="918"/>
      <c r="HX124" s="918"/>
      <c r="HY124" s="918"/>
      <c r="HZ124" s="918"/>
      <c r="IA124" s="918"/>
      <c r="IB124" s="918"/>
      <c r="IC124" s="918"/>
      <c r="ID124" s="918"/>
      <c r="IE124" s="918"/>
      <c r="IF124" s="918"/>
      <c r="IG124" s="918"/>
      <c r="IH124" s="918"/>
      <c r="II124" s="918"/>
      <c r="IJ124" s="918"/>
      <c r="IK124" s="918"/>
      <c r="IL124" s="918"/>
      <c r="IM124" s="918"/>
      <c r="IN124" s="918"/>
    </row>
    <row r="125" spans="1:248" hidden="1">
      <c r="A125" s="615" t="s">
        <v>28</v>
      </c>
      <c r="B125" s="617">
        <v>15687.2</v>
      </c>
      <c r="C125" s="919">
        <f t="shared" si="16"/>
        <v>32.553217097535978</v>
      </c>
      <c r="D125" s="618">
        <v>13940.1</v>
      </c>
      <c r="E125" s="919">
        <f t="shared" si="17"/>
        <v>28.927730994783087</v>
      </c>
      <c r="F125" s="919">
        <f t="shared" si="18"/>
        <v>1747.1000000000004</v>
      </c>
      <c r="G125" s="919">
        <f t="shared" si="19"/>
        <v>3.625486102752888</v>
      </c>
      <c r="H125" s="26">
        <v>48189.4</v>
      </c>
      <c r="I125" s="918"/>
      <c r="J125" s="918"/>
      <c r="K125" s="918"/>
      <c r="L125" s="918"/>
      <c r="M125" s="918"/>
      <c r="N125" s="918"/>
      <c r="O125" s="918"/>
      <c r="P125" s="918"/>
      <c r="Q125" s="918"/>
      <c r="R125" s="918"/>
      <c r="S125" s="918"/>
      <c r="T125" s="918"/>
      <c r="U125" s="918"/>
      <c r="V125" s="918"/>
      <c r="W125" s="918"/>
      <c r="X125" s="918"/>
      <c r="Y125" s="918"/>
      <c r="Z125" s="918"/>
      <c r="AA125" s="918"/>
      <c r="AB125" s="918"/>
      <c r="AC125" s="918"/>
      <c r="AD125" s="918"/>
      <c r="AE125" s="918"/>
      <c r="AF125" s="918"/>
      <c r="AG125" s="918"/>
      <c r="AH125" s="918"/>
      <c r="AI125" s="918"/>
      <c r="AJ125" s="918"/>
      <c r="AK125" s="918"/>
      <c r="AL125" s="918"/>
      <c r="AM125" s="918"/>
      <c r="AN125" s="918"/>
      <c r="AO125" s="918"/>
      <c r="AP125" s="918"/>
      <c r="AQ125" s="918"/>
      <c r="AR125" s="918"/>
      <c r="AS125" s="918"/>
      <c r="AT125" s="918"/>
      <c r="AU125" s="918"/>
      <c r="AV125" s="918"/>
      <c r="AW125" s="918"/>
      <c r="AX125" s="918"/>
      <c r="AY125" s="918"/>
      <c r="AZ125" s="918"/>
      <c r="BA125" s="918"/>
      <c r="BB125" s="918"/>
      <c r="BC125" s="918"/>
      <c r="BD125" s="918"/>
      <c r="BE125" s="918"/>
      <c r="BF125" s="918"/>
      <c r="BG125" s="918"/>
      <c r="BH125" s="918"/>
      <c r="BI125" s="918"/>
      <c r="BJ125" s="918"/>
      <c r="BK125" s="918"/>
      <c r="BL125" s="918"/>
      <c r="BM125" s="918"/>
      <c r="BN125" s="918"/>
      <c r="BO125" s="918"/>
      <c r="BP125" s="918"/>
      <c r="BQ125" s="918"/>
      <c r="BR125" s="918"/>
      <c r="BS125" s="918"/>
      <c r="BT125" s="918"/>
      <c r="BU125" s="918"/>
      <c r="BV125" s="918"/>
      <c r="BW125" s="918"/>
      <c r="BX125" s="918"/>
      <c r="BY125" s="918"/>
      <c r="BZ125" s="918"/>
      <c r="CA125" s="918"/>
      <c r="CB125" s="918"/>
      <c r="CC125" s="918"/>
      <c r="CD125" s="918"/>
      <c r="CE125" s="918"/>
      <c r="CF125" s="918"/>
      <c r="CG125" s="918"/>
      <c r="CH125" s="918"/>
      <c r="CI125" s="918"/>
      <c r="CJ125" s="918"/>
      <c r="CK125" s="918"/>
      <c r="CL125" s="918"/>
      <c r="CM125" s="918"/>
      <c r="CN125" s="918"/>
      <c r="CO125" s="918"/>
      <c r="CP125" s="918"/>
      <c r="CQ125" s="918"/>
      <c r="CR125" s="918"/>
      <c r="CS125" s="918"/>
      <c r="CT125" s="918"/>
      <c r="CU125" s="918"/>
      <c r="CV125" s="918"/>
      <c r="CW125" s="918"/>
      <c r="CX125" s="918"/>
      <c r="CY125" s="918"/>
      <c r="CZ125" s="918"/>
      <c r="DA125" s="918"/>
      <c r="DB125" s="918"/>
      <c r="DC125" s="918"/>
      <c r="DD125" s="918"/>
      <c r="DE125" s="918"/>
      <c r="DF125" s="918"/>
      <c r="DG125" s="918"/>
      <c r="DH125" s="918"/>
      <c r="DI125" s="918"/>
      <c r="DJ125" s="918"/>
      <c r="DK125" s="918"/>
      <c r="DL125" s="918"/>
      <c r="DM125" s="918"/>
      <c r="DN125" s="918"/>
      <c r="DO125" s="918"/>
      <c r="DP125" s="918"/>
      <c r="DQ125" s="918"/>
      <c r="DR125" s="918"/>
      <c r="DS125" s="918"/>
      <c r="DT125" s="918"/>
      <c r="DU125" s="918"/>
      <c r="DV125" s="918"/>
      <c r="DW125" s="918"/>
      <c r="DX125" s="918"/>
      <c r="DY125" s="918"/>
      <c r="DZ125" s="918"/>
      <c r="EA125" s="918"/>
      <c r="EB125" s="918"/>
      <c r="EC125" s="918"/>
      <c r="ED125" s="918"/>
      <c r="EE125" s="918"/>
      <c r="EF125" s="918"/>
      <c r="EG125" s="918"/>
      <c r="EH125" s="918"/>
      <c r="EI125" s="918"/>
      <c r="EJ125" s="918"/>
      <c r="EK125" s="918"/>
      <c r="EL125" s="918"/>
      <c r="EM125" s="918"/>
      <c r="EN125" s="918"/>
      <c r="EO125" s="918"/>
      <c r="EP125" s="918"/>
      <c r="EQ125" s="918"/>
      <c r="ER125" s="918"/>
      <c r="ES125" s="918"/>
      <c r="ET125" s="918"/>
      <c r="EU125" s="918"/>
      <c r="EV125" s="918"/>
      <c r="EW125" s="918"/>
      <c r="EX125" s="918"/>
      <c r="EY125" s="918"/>
      <c r="EZ125" s="918"/>
      <c r="FA125" s="918"/>
      <c r="FB125" s="918"/>
      <c r="FC125" s="918"/>
      <c r="FD125" s="918"/>
      <c r="FE125" s="918"/>
      <c r="FF125" s="918"/>
      <c r="FG125" s="918"/>
      <c r="FH125" s="918"/>
      <c r="FI125" s="918"/>
      <c r="FJ125" s="918"/>
      <c r="FK125" s="918"/>
      <c r="FL125" s="918"/>
      <c r="FM125" s="918"/>
      <c r="FN125" s="918"/>
      <c r="FO125" s="918"/>
      <c r="FP125" s="918"/>
      <c r="FQ125" s="918"/>
      <c r="FR125" s="918"/>
      <c r="FS125" s="918"/>
      <c r="FT125" s="918"/>
      <c r="FU125" s="918"/>
      <c r="FV125" s="918"/>
      <c r="FW125" s="918"/>
      <c r="FX125" s="918"/>
      <c r="FY125" s="918"/>
      <c r="FZ125" s="918"/>
      <c r="GA125" s="918"/>
      <c r="GB125" s="918"/>
      <c r="GC125" s="918"/>
      <c r="GD125" s="918"/>
      <c r="GE125" s="918"/>
      <c r="GF125" s="918"/>
      <c r="GG125" s="918"/>
      <c r="GH125" s="918"/>
      <c r="GI125" s="918"/>
      <c r="GJ125" s="918"/>
      <c r="GK125" s="918"/>
      <c r="GL125" s="918"/>
      <c r="GM125" s="918"/>
      <c r="GN125" s="918"/>
      <c r="GO125" s="918"/>
      <c r="GP125" s="918"/>
      <c r="GQ125" s="918"/>
      <c r="GR125" s="918"/>
      <c r="GS125" s="918"/>
      <c r="GT125" s="918"/>
      <c r="GU125" s="918"/>
      <c r="GV125" s="918"/>
      <c r="GW125" s="918"/>
      <c r="GX125" s="918"/>
      <c r="GY125" s="918"/>
      <c r="GZ125" s="918"/>
      <c r="HA125" s="918"/>
      <c r="HB125" s="918"/>
      <c r="HC125" s="918"/>
      <c r="HD125" s="918"/>
      <c r="HE125" s="918"/>
      <c r="HF125" s="918"/>
      <c r="HG125" s="918"/>
      <c r="HH125" s="918"/>
      <c r="HI125" s="918"/>
      <c r="HJ125" s="918"/>
      <c r="HK125" s="918"/>
      <c r="HL125" s="918"/>
      <c r="HM125" s="918"/>
      <c r="HN125" s="918"/>
      <c r="HO125" s="918"/>
      <c r="HP125" s="918"/>
      <c r="HQ125" s="918"/>
      <c r="HR125" s="918"/>
      <c r="HS125" s="918"/>
      <c r="HT125" s="918"/>
      <c r="HU125" s="918"/>
      <c r="HV125" s="918"/>
      <c r="HW125" s="918"/>
      <c r="HX125" s="918"/>
      <c r="HY125" s="918"/>
      <c r="HZ125" s="918"/>
      <c r="IA125" s="918"/>
      <c r="IB125" s="918"/>
      <c r="IC125" s="918"/>
      <c r="ID125" s="918"/>
      <c r="IE125" s="918"/>
      <c r="IF125" s="918"/>
      <c r="IG125" s="918"/>
      <c r="IH125" s="918"/>
      <c r="II125" s="918"/>
      <c r="IJ125" s="918"/>
      <c r="IK125" s="918"/>
      <c r="IL125" s="918"/>
      <c r="IM125" s="918"/>
      <c r="IN125" s="918"/>
    </row>
    <row r="126" spans="1:248" hidden="1">
      <c r="A126" s="615" t="s">
        <v>29</v>
      </c>
      <c r="B126" s="617">
        <v>17281.5</v>
      </c>
      <c r="C126" s="919">
        <v>32.005926474673579</v>
      </c>
      <c r="D126" s="618">
        <v>17416.5</v>
      </c>
      <c r="E126" s="919">
        <v>31.67997036762663</v>
      </c>
      <c r="F126" s="919">
        <v>-135</v>
      </c>
      <c r="G126" s="919">
        <v>0.32595610704694883</v>
      </c>
      <c r="H126" s="26">
        <v>53995</v>
      </c>
      <c r="I126" s="918"/>
      <c r="J126" s="918"/>
      <c r="K126" s="918"/>
      <c r="L126" s="918"/>
      <c r="M126" s="918"/>
      <c r="N126" s="918"/>
      <c r="O126" s="918"/>
      <c r="P126" s="918"/>
      <c r="Q126" s="918"/>
      <c r="R126" s="918"/>
      <c r="S126" s="918"/>
      <c r="T126" s="918"/>
      <c r="U126" s="918"/>
      <c r="V126" s="918"/>
      <c r="W126" s="918"/>
      <c r="X126" s="918"/>
      <c r="Y126" s="918"/>
      <c r="Z126" s="918"/>
      <c r="AA126" s="918"/>
      <c r="AB126" s="918"/>
      <c r="AC126" s="918"/>
      <c r="AD126" s="918"/>
      <c r="AE126" s="918"/>
      <c r="AF126" s="918"/>
      <c r="AG126" s="918"/>
      <c r="AH126" s="918"/>
      <c r="AI126" s="918"/>
      <c r="AJ126" s="918"/>
      <c r="AK126" s="918"/>
      <c r="AL126" s="918"/>
      <c r="AM126" s="918"/>
      <c r="AN126" s="918"/>
      <c r="AO126" s="918"/>
      <c r="AP126" s="918"/>
      <c r="AQ126" s="918"/>
      <c r="AR126" s="918"/>
      <c r="AS126" s="918"/>
      <c r="AT126" s="918"/>
      <c r="AU126" s="918"/>
      <c r="AV126" s="918"/>
      <c r="AW126" s="918"/>
      <c r="AX126" s="918"/>
      <c r="AY126" s="918"/>
      <c r="AZ126" s="918"/>
      <c r="BA126" s="918"/>
      <c r="BB126" s="918"/>
      <c r="BC126" s="918"/>
      <c r="BD126" s="918"/>
      <c r="BE126" s="918"/>
      <c r="BF126" s="918"/>
      <c r="BG126" s="918"/>
      <c r="BH126" s="918"/>
      <c r="BI126" s="918"/>
      <c r="BJ126" s="918"/>
      <c r="BK126" s="918"/>
      <c r="BL126" s="918"/>
      <c r="BM126" s="918"/>
      <c r="BN126" s="918"/>
      <c r="BO126" s="918"/>
      <c r="BP126" s="918"/>
      <c r="BQ126" s="918"/>
      <c r="BR126" s="918"/>
      <c r="BS126" s="918"/>
      <c r="BT126" s="918"/>
      <c r="BU126" s="918"/>
      <c r="BV126" s="918"/>
      <c r="BW126" s="918"/>
      <c r="BX126" s="918"/>
      <c r="BY126" s="918"/>
      <c r="BZ126" s="918"/>
      <c r="CA126" s="918"/>
      <c r="CB126" s="918"/>
      <c r="CC126" s="918"/>
      <c r="CD126" s="918"/>
      <c r="CE126" s="918"/>
      <c r="CF126" s="918"/>
      <c r="CG126" s="918"/>
      <c r="CH126" s="918"/>
      <c r="CI126" s="918"/>
      <c r="CJ126" s="918"/>
      <c r="CK126" s="918"/>
      <c r="CL126" s="918"/>
      <c r="CM126" s="918"/>
      <c r="CN126" s="918"/>
      <c r="CO126" s="918"/>
      <c r="CP126" s="918"/>
      <c r="CQ126" s="918"/>
      <c r="CR126" s="918"/>
      <c r="CS126" s="918"/>
      <c r="CT126" s="918"/>
      <c r="CU126" s="918"/>
      <c r="CV126" s="918"/>
      <c r="CW126" s="918"/>
      <c r="CX126" s="918"/>
      <c r="CY126" s="918"/>
      <c r="CZ126" s="918"/>
      <c r="DA126" s="918"/>
      <c r="DB126" s="918"/>
      <c r="DC126" s="918"/>
      <c r="DD126" s="918"/>
      <c r="DE126" s="918"/>
      <c r="DF126" s="918"/>
      <c r="DG126" s="918"/>
      <c r="DH126" s="918"/>
      <c r="DI126" s="918"/>
      <c r="DJ126" s="918"/>
      <c r="DK126" s="918"/>
      <c r="DL126" s="918"/>
      <c r="DM126" s="918"/>
      <c r="DN126" s="918"/>
      <c r="DO126" s="918"/>
      <c r="DP126" s="918"/>
      <c r="DQ126" s="918"/>
      <c r="DR126" s="918"/>
      <c r="DS126" s="918"/>
      <c r="DT126" s="918"/>
      <c r="DU126" s="918"/>
      <c r="DV126" s="918"/>
      <c r="DW126" s="918"/>
      <c r="DX126" s="918"/>
      <c r="DY126" s="918"/>
      <c r="DZ126" s="918"/>
      <c r="EA126" s="918"/>
      <c r="EB126" s="918"/>
      <c r="EC126" s="918"/>
      <c r="ED126" s="918"/>
      <c r="EE126" s="918"/>
      <c r="EF126" s="918"/>
      <c r="EG126" s="918"/>
      <c r="EH126" s="918"/>
      <c r="EI126" s="918"/>
      <c r="EJ126" s="918"/>
      <c r="EK126" s="918"/>
      <c r="EL126" s="918"/>
      <c r="EM126" s="918"/>
      <c r="EN126" s="918"/>
      <c r="EO126" s="918"/>
      <c r="EP126" s="918"/>
      <c r="EQ126" s="918"/>
      <c r="ER126" s="918"/>
      <c r="ES126" s="918"/>
      <c r="ET126" s="918"/>
      <c r="EU126" s="918"/>
      <c r="EV126" s="918"/>
      <c r="EW126" s="918"/>
      <c r="EX126" s="918"/>
      <c r="EY126" s="918"/>
      <c r="EZ126" s="918"/>
      <c r="FA126" s="918"/>
      <c r="FB126" s="918"/>
      <c r="FC126" s="918"/>
      <c r="FD126" s="918"/>
      <c r="FE126" s="918"/>
      <c r="FF126" s="918"/>
      <c r="FG126" s="918"/>
      <c r="FH126" s="918"/>
      <c r="FI126" s="918"/>
      <c r="FJ126" s="918"/>
      <c r="FK126" s="918"/>
      <c r="FL126" s="918"/>
      <c r="FM126" s="918"/>
      <c r="FN126" s="918"/>
      <c r="FO126" s="918"/>
      <c r="FP126" s="918"/>
      <c r="FQ126" s="918"/>
      <c r="FR126" s="918"/>
      <c r="FS126" s="918"/>
      <c r="FT126" s="918"/>
      <c r="FU126" s="918"/>
      <c r="FV126" s="918"/>
      <c r="FW126" s="918"/>
      <c r="FX126" s="918"/>
      <c r="FY126" s="918"/>
      <c r="FZ126" s="918"/>
      <c r="GA126" s="918"/>
      <c r="GB126" s="918"/>
      <c r="GC126" s="918"/>
      <c r="GD126" s="918"/>
      <c r="GE126" s="918"/>
      <c r="GF126" s="918"/>
      <c r="GG126" s="918"/>
      <c r="GH126" s="918"/>
      <c r="GI126" s="918"/>
      <c r="GJ126" s="918"/>
      <c r="GK126" s="918"/>
      <c r="GL126" s="918"/>
      <c r="GM126" s="918"/>
      <c r="GN126" s="918"/>
      <c r="GO126" s="918"/>
      <c r="GP126" s="918"/>
      <c r="GQ126" s="918"/>
      <c r="GR126" s="918"/>
      <c r="GS126" s="918"/>
      <c r="GT126" s="918"/>
      <c r="GU126" s="918"/>
      <c r="GV126" s="918"/>
      <c r="GW126" s="918"/>
      <c r="GX126" s="918"/>
      <c r="GY126" s="918"/>
      <c r="GZ126" s="918"/>
      <c r="HA126" s="918"/>
      <c r="HB126" s="918"/>
      <c r="HC126" s="918"/>
      <c r="HD126" s="918"/>
      <c r="HE126" s="918"/>
      <c r="HF126" s="918"/>
      <c r="HG126" s="918"/>
      <c r="HH126" s="918"/>
      <c r="HI126" s="918"/>
      <c r="HJ126" s="918"/>
      <c r="HK126" s="918"/>
      <c r="HL126" s="918"/>
      <c r="HM126" s="918"/>
      <c r="HN126" s="918"/>
      <c r="HO126" s="918"/>
      <c r="HP126" s="918"/>
      <c r="HQ126" s="918"/>
      <c r="HR126" s="918"/>
      <c r="HS126" s="918"/>
      <c r="HT126" s="918"/>
      <c r="HU126" s="918"/>
      <c r="HV126" s="918"/>
      <c r="HW126" s="918"/>
      <c r="HX126" s="918"/>
      <c r="HY126" s="918"/>
      <c r="HZ126" s="918"/>
      <c r="IA126" s="918"/>
      <c r="IB126" s="918"/>
      <c r="IC126" s="918"/>
      <c r="ID126" s="918"/>
      <c r="IE126" s="918"/>
      <c r="IF126" s="918"/>
      <c r="IG126" s="918"/>
      <c r="IH126" s="918"/>
      <c r="II126" s="918"/>
      <c r="IJ126" s="918"/>
      <c r="IK126" s="918"/>
      <c r="IL126" s="918"/>
      <c r="IM126" s="918"/>
      <c r="IN126" s="918"/>
    </row>
    <row r="127" spans="1:248">
      <c r="A127" s="610">
        <v>2013</v>
      </c>
      <c r="B127" s="612">
        <v>19496.3</v>
      </c>
      <c r="C127" s="612">
        <v>33.781334368425973</v>
      </c>
      <c r="D127" s="613">
        <v>19143.5</v>
      </c>
      <c r="E127" s="612">
        <v>33.172928630593226</v>
      </c>
      <c r="F127" s="920">
        <f>B127-D127</f>
        <v>352.79999999999927</v>
      </c>
      <c r="G127" s="612">
        <v>0.6084057378327492</v>
      </c>
      <c r="H127" s="26"/>
      <c r="I127" s="918"/>
      <c r="J127" s="918"/>
      <c r="K127" s="918"/>
      <c r="L127" s="918"/>
      <c r="M127" s="918"/>
      <c r="N127" s="918"/>
      <c r="O127" s="918"/>
      <c r="P127" s="918"/>
      <c r="Q127" s="918"/>
      <c r="R127" s="918"/>
      <c r="S127" s="918"/>
      <c r="T127" s="918"/>
      <c r="U127" s="918"/>
      <c r="V127" s="918"/>
      <c r="W127" s="918"/>
      <c r="X127" s="918"/>
      <c r="Y127" s="918"/>
      <c r="Z127" s="918"/>
      <c r="AA127" s="918"/>
      <c r="AB127" s="918"/>
      <c r="AC127" s="918"/>
      <c r="AD127" s="918"/>
      <c r="AE127" s="918"/>
      <c r="AF127" s="918"/>
      <c r="AG127" s="918"/>
      <c r="AH127" s="918"/>
      <c r="AI127" s="918"/>
      <c r="AJ127" s="918"/>
      <c r="AK127" s="918"/>
      <c r="AL127" s="918"/>
      <c r="AM127" s="918"/>
      <c r="AN127" s="918"/>
      <c r="AO127" s="918"/>
      <c r="AP127" s="918"/>
      <c r="AQ127" s="918"/>
      <c r="AR127" s="918"/>
      <c r="AS127" s="918"/>
      <c r="AT127" s="918"/>
      <c r="AU127" s="918"/>
      <c r="AV127" s="918"/>
      <c r="AW127" s="918"/>
      <c r="AX127" s="918"/>
      <c r="AY127" s="918"/>
      <c r="AZ127" s="918"/>
      <c r="BA127" s="918"/>
      <c r="BB127" s="918"/>
      <c r="BC127" s="918"/>
      <c r="BD127" s="918"/>
      <c r="BE127" s="918"/>
      <c r="BF127" s="918"/>
      <c r="BG127" s="918"/>
      <c r="BH127" s="918"/>
      <c r="BI127" s="918"/>
      <c r="BJ127" s="918"/>
      <c r="BK127" s="918"/>
      <c r="BL127" s="918"/>
      <c r="BM127" s="918"/>
      <c r="BN127" s="918"/>
      <c r="BO127" s="918"/>
      <c r="BP127" s="918"/>
      <c r="BQ127" s="918"/>
      <c r="BR127" s="918"/>
      <c r="BS127" s="918"/>
      <c r="BT127" s="918"/>
      <c r="BU127" s="918"/>
      <c r="BV127" s="918"/>
      <c r="BW127" s="918"/>
      <c r="BX127" s="918"/>
      <c r="BY127" s="918"/>
      <c r="BZ127" s="918"/>
      <c r="CA127" s="918"/>
      <c r="CB127" s="918"/>
      <c r="CC127" s="918"/>
      <c r="CD127" s="918"/>
      <c r="CE127" s="918"/>
      <c r="CF127" s="918"/>
      <c r="CG127" s="918"/>
      <c r="CH127" s="918"/>
      <c r="CI127" s="918"/>
      <c r="CJ127" s="918"/>
      <c r="CK127" s="918"/>
      <c r="CL127" s="918"/>
      <c r="CM127" s="918"/>
      <c r="CN127" s="918"/>
      <c r="CO127" s="918"/>
      <c r="CP127" s="918"/>
      <c r="CQ127" s="918"/>
      <c r="CR127" s="918"/>
      <c r="CS127" s="918"/>
      <c r="CT127" s="918"/>
      <c r="CU127" s="918"/>
      <c r="CV127" s="918"/>
      <c r="CW127" s="918"/>
      <c r="CX127" s="918"/>
      <c r="CY127" s="918"/>
      <c r="CZ127" s="918"/>
      <c r="DA127" s="918"/>
      <c r="DB127" s="918"/>
      <c r="DC127" s="918"/>
      <c r="DD127" s="918"/>
      <c r="DE127" s="918"/>
      <c r="DF127" s="918"/>
      <c r="DG127" s="918"/>
      <c r="DH127" s="918"/>
      <c r="DI127" s="918"/>
      <c r="DJ127" s="918"/>
      <c r="DK127" s="918"/>
      <c r="DL127" s="918"/>
      <c r="DM127" s="918"/>
      <c r="DN127" s="918"/>
      <c r="DO127" s="918"/>
      <c r="DP127" s="918"/>
      <c r="DQ127" s="918"/>
      <c r="DR127" s="918"/>
      <c r="DS127" s="918"/>
      <c r="DT127" s="918"/>
      <c r="DU127" s="918"/>
      <c r="DV127" s="918"/>
      <c r="DW127" s="918"/>
      <c r="DX127" s="918"/>
      <c r="DY127" s="918"/>
      <c r="DZ127" s="918"/>
      <c r="EA127" s="918"/>
      <c r="EB127" s="918"/>
      <c r="EC127" s="918"/>
      <c r="ED127" s="918"/>
      <c r="EE127" s="918"/>
      <c r="EF127" s="918"/>
      <c r="EG127" s="918"/>
      <c r="EH127" s="918"/>
      <c r="EI127" s="918"/>
      <c r="EJ127" s="918"/>
      <c r="EK127" s="918"/>
      <c r="EL127" s="918"/>
      <c r="EM127" s="918"/>
      <c r="EN127" s="918"/>
      <c r="EO127" s="918"/>
      <c r="EP127" s="918"/>
      <c r="EQ127" s="918"/>
      <c r="ER127" s="918"/>
      <c r="ES127" s="918"/>
      <c r="ET127" s="918"/>
      <c r="EU127" s="918"/>
      <c r="EV127" s="918"/>
      <c r="EW127" s="918"/>
      <c r="EX127" s="918"/>
      <c r="EY127" s="918"/>
      <c r="EZ127" s="918"/>
      <c r="FA127" s="918"/>
      <c r="FB127" s="918"/>
      <c r="FC127" s="918"/>
      <c r="FD127" s="918"/>
      <c r="FE127" s="918"/>
      <c r="FF127" s="918"/>
      <c r="FG127" s="918"/>
      <c r="FH127" s="918"/>
      <c r="FI127" s="918"/>
      <c r="FJ127" s="918"/>
      <c r="FK127" s="918"/>
      <c r="FL127" s="918"/>
      <c r="FM127" s="918"/>
      <c r="FN127" s="918"/>
      <c r="FO127" s="918"/>
      <c r="FP127" s="918"/>
      <c r="FQ127" s="918"/>
      <c r="FR127" s="918"/>
      <c r="FS127" s="918"/>
      <c r="FT127" s="918"/>
      <c r="FU127" s="918"/>
      <c r="FV127" s="918"/>
      <c r="FW127" s="918"/>
      <c r="FX127" s="918"/>
      <c r="FY127" s="918"/>
      <c r="FZ127" s="918"/>
      <c r="GA127" s="918"/>
      <c r="GB127" s="918"/>
      <c r="GC127" s="918"/>
      <c r="GD127" s="918"/>
      <c r="GE127" s="918"/>
      <c r="GF127" s="918"/>
      <c r="GG127" s="918"/>
      <c r="GH127" s="918"/>
      <c r="GI127" s="918"/>
      <c r="GJ127" s="918"/>
      <c r="GK127" s="918"/>
      <c r="GL127" s="918"/>
      <c r="GM127" s="918"/>
      <c r="GN127" s="918"/>
      <c r="GO127" s="918"/>
      <c r="GP127" s="918"/>
      <c r="GQ127" s="918"/>
      <c r="GR127" s="918"/>
      <c r="GS127" s="918"/>
      <c r="GT127" s="918"/>
      <c r="GU127" s="918"/>
      <c r="GV127" s="918"/>
      <c r="GW127" s="918"/>
      <c r="GX127" s="918"/>
      <c r="GY127" s="918"/>
      <c r="GZ127" s="918"/>
      <c r="HA127" s="918"/>
      <c r="HB127" s="918"/>
      <c r="HC127" s="918"/>
      <c r="HD127" s="918"/>
      <c r="HE127" s="918"/>
      <c r="HF127" s="918"/>
      <c r="HG127" s="918"/>
      <c r="HH127" s="918"/>
      <c r="HI127" s="918"/>
      <c r="HJ127" s="918"/>
      <c r="HK127" s="918"/>
      <c r="HL127" s="918"/>
      <c r="HM127" s="918"/>
      <c r="HN127" s="918"/>
      <c r="HO127" s="918"/>
      <c r="HP127" s="918"/>
      <c r="HQ127" s="918"/>
      <c r="HR127" s="918"/>
      <c r="HS127" s="918"/>
      <c r="HT127" s="918"/>
      <c r="HU127" s="918"/>
      <c r="HV127" s="918"/>
      <c r="HW127" s="918"/>
      <c r="HX127" s="918"/>
      <c r="HY127" s="918"/>
      <c r="HZ127" s="918"/>
      <c r="IA127" s="918"/>
      <c r="IB127" s="918"/>
      <c r="IC127" s="918"/>
      <c r="ID127" s="918"/>
      <c r="IE127" s="918"/>
      <c r="IF127" s="918"/>
      <c r="IG127" s="918"/>
      <c r="IH127" s="918"/>
      <c r="II127" s="918"/>
      <c r="IJ127" s="918"/>
      <c r="IK127" s="918"/>
      <c r="IL127" s="918"/>
      <c r="IM127" s="918"/>
      <c r="IN127" s="918"/>
    </row>
    <row r="128" spans="1:248">
      <c r="A128" s="615" t="s">
        <v>18</v>
      </c>
      <c r="B128" s="617">
        <v>1768.1</v>
      </c>
      <c r="C128" s="919">
        <f t="shared" ref="C128:C137" si="20">+B128/H128*100</f>
        <v>39.516795923384663</v>
      </c>
      <c r="D128" s="618">
        <v>1391.7</v>
      </c>
      <c r="E128" s="919">
        <f t="shared" ref="E128:E137" si="21">+D128/H128*100</f>
        <v>31.104306818943744</v>
      </c>
      <c r="F128" s="919">
        <f t="shared" ref="F128:F137" si="22">+B128-D128</f>
        <v>376.39999999999986</v>
      </c>
      <c r="G128" s="919">
        <f t="shared" ref="G128:G138" si="23">F128/H128*100</f>
        <v>8.4124891044409154</v>
      </c>
      <c r="H128" s="26">
        <v>4474.3</v>
      </c>
      <c r="I128" s="918"/>
      <c r="J128" s="918"/>
      <c r="K128" s="918"/>
      <c r="L128" s="918"/>
      <c r="M128" s="918"/>
      <c r="N128" s="918"/>
      <c r="O128" s="918"/>
      <c r="P128" s="918"/>
      <c r="Q128" s="918"/>
      <c r="R128" s="918"/>
      <c r="S128" s="918"/>
      <c r="T128" s="918"/>
      <c r="U128" s="918"/>
      <c r="V128" s="918"/>
      <c r="W128" s="918"/>
      <c r="X128" s="918"/>
      <c r="Y128" s="918"/>
      <c r="Z128" s="918"/>
      <c r="AA128" s="918"/>
      <c r="AB128" s="918"/>
      <c r="AC128" s="918"/>
      <c r="AD128" s="918"/>
      <c r="AE128" s="918"/>
      <c r="AF128" s="918"/>
      <c r="AG128" s="918"/>
      <c r="AH128" s="918"/>
      <c r="AI128" s="918"/>
      <c r="AJ128" s="918"/>
      <c r="AK128" s="918"/>
      <c r="AL128" s="918"/>
      <c r="AM128" s="918"/>
      <c r="AN128" s="918"/>
      <c r="AO128" s="918"/>
      <c r="AP128" s="918"/>
      <c r="AQ128" s="918"/>
      <c r="AR128" s="918"/>
      <c r="AS128" s="918"/>
      <c r="AT128" s="918"/>
      <c r="AU128" s="918"/>
      <c r="AV128" s="918"/>
      <c r="AW128" s="918"/>
      <c r="AX128" s="918"/>
      <c r="AY128" s="918"/>
      <c r="AZ128" s="918"/>
      <c r="BA128" s="918"/>
      <c r="BB128" s="918"/>
      <c r="BC128" s="918"/>
      <c r="BD128" s="918"/>
      <c r="BE128" s="918"/>
      <c r="BF128" s="918"/>
      <c r="BG128" s="918"/>
      <c r="BH128" s="918"/>
      <c r="BI128" s="918"/>
      <c r="BJ128" s="918"/>
      <c r="BK128" s="918"/>
      <c r="BL128" s="918"/>
      <c r="BM128" s="918"/>
      <c r="BN128" s="918"/>
      <c r="BO128" s="918"/>
      <c r="BP128" s="918"/>
      <c r="BQ128" s="918"/>
      <c r="BR128" s="918"/>
      <c r="BS128" s="918"/>
      <c r="BT128" s="918"/>
      <c r="BU128" s="918"/>
      <c r="BV128" s="918"/>
      <c r="BW128" s="918"/>
      <c r="BX128" s="918"/>
      <c r="BY128" s="918"/>
      <c r="BZ128" s="918"/>
      <c r="CA128" s="918"/>
      <c r="CB128" s="918"/>
      <c r="CC128" s="918"/>
      <c r="CD128" s="918"/>
      <c r="CE128" s="918"/>
      <c r="CF128" s="918"/>
      <c r="CG128" s="918"/>
      <c r="CH128" s="918"/>
      <c r="CI128" s="918"/>
      <c r="CJ128" s="918"/>
      <c r="CK128" s="918"/>
      <c r="CL128" s="918"/>
      <c r="CM128" s="918"/>
      <c r="CN128" s="918"/>
      <c r="CO128" s="918"/>
      <c r="CP128" s="918"/>
      <c r="CQ128" s="918"/>
      <c r="CR128" s="918"/>
      <c r="CS128" s="918"/>
      <c r="CT128" s="918"/>
      <c r="CU128" s="918"/>
      <c r="CV128" s="918"/>
      <c r="CW128" s="918"/>
      <c r="CX128" s="918"/>
      <c r="CY128" s="918"/>
      <c r="CZ128" s="918"/>
      <c r="DA128" s="918"/>
      <c r="DB128" s="918"/>
      <c r="DC128" s="918"/>
      <c r="DD128" s="918"/>
      <c r="DE128" s="918"/>
      <c r="DF128" s="918"/>
      <c r="DG128" s="918"/>
      <c r="DH128" s="918"/>
      <c r="DI128" s="918"/>
      <c r="DJ128" s="918"/>
      <c r="DK128" s="918"/>
      <c r="DL128" s="918"/>
      <c r="DM128" s="918"/>
      <c r="DN128" s="918"/>
      <c r="DO128" s="918"/>
      <c r="DP128" s="918"/>
      <c r="DQ128" s="918"/>
      <c r="DR128" s="918"/>
      <c r="DS128" s="918"/>
      <c r="DT128" s="918"/>
      <c r="DU128" s="918"/>
      <c r="DV128" s="918"/>
      <c r="DW128" s="918"/>
      <c r="DX128" s="918"/>
      <c r="DY128" s="918"/>
      <c r="DZ128" s="918"/>
      <c r="EA128" s="918"/>
      <c r="EB128" s="918"/>
      <c r="EC128" s="918"/>
      <c r="ED128" s="918"/>
      <c r="EE128" s="918"/>
      <c r="EF128" s="918"/>
      <c r="EG128" s="918"/>
      <c r="EH128" s="918"/>
      <c r="EI128" s="918"/>
      <c r="EJ128" s="918"/>
      <c r="EK128" s="918"/>
      <c r="EL128" s="918"/>
      <c r="EM128" s="918"/>
      <c r="EN128" s="918"/>
      <c r="EO128" s="918"/>
      <c r="EP128" s="918"/>
      <c r="EQ128" s="918"/>
      <c r="ER128" s="918"/>
      <c r="ES128" s="918"/>
      <c r="ET128" s="918"/>
      <c r="EU128" s="918"/>
      <c r="EV128" s="918"/>
      <c r="EW128" s="918"/>
      <c r="EX128" s="918"/>
      <c r="EY128" s="918"/>
      <c r="EZ128" s="918"/>
      <c r="FA128" s="918"/>
      <c r="FB128" s="918"/>
      <c r="FC128" s="918"/>
      <c r="FD128" s="918"/>
      <c r="FE128" s="918"/>
      <c r="FF128" s="918"/>
      <c r="FG128" s="918"/>
      <c r="FH128" s="918"/>
      <c r="FI128" s="918"/>
      <c r="FJ128" s="918"/>
      <c r="FK128" s="918"/>
      <c r="FL128" s="918"/>
      <c r="FM128" s="918"/>
      <c r="FN128" s="918"/>
      <c r="FO128" s="918"/>
      <c r="FP128" s="918"/>
      <c r="FQ128" s="918"/>
      <c r="FR128" s="918"/>
      <c r="FS128" s="918"/>
      <c r="FT128" s="918"/>
      <c r="FU128" s="918"/>
      <c r="FV128" s="918"/>
      <c r="FW128" s="918"/>
      <c r="FX128" s="918"/>
      <c r="FY128" s="918"/>
      <c r="FZ128" s="918"/>
      <c r="GA128" s="918"/>
      <c r="GB128" s="918"/>
      <c r="GC128" s="918"/>
      <c r="GD128" s="918"/>
      <c r="GE128" s="918"/>
      <c r="GF128" s="918"/>
      <c r="GG128" s="918"/>
      <c r="GH128" s="918"/>
      <c r="GI128" s="918"/>
      <c r="GJ128" s="918"/>
      <c r="GK128" s="918"/>
      <c r="GL128" s="918"/>
      <c r="GM128" s="918"/>
      <c r="GN128" s="918"/>
      <c r="GO128" s="918"/>
      <c r="GP128" s="918"/>
      <c r="GQ128" s="918"/>
      <c r="GR128" s="918"/>
      <c r="GS128" s="918"/>
      <c r="GT128" s="918"/>
      <c r="GU128" s="918"/>
      <c r="GV128" s="918"/>
      <c r="GW128" s="918"/>
      <c r="GX128" s="918"/>
      <c r="GY128" s="918"/>
      <c r="GZ128" s="918"/>
      <c r="HA128" s="918"/>
      <c r="HB128" s="918"/>
      <c r="HC128" s="918"/>
      <c r="HD128" s="918"/>
      <c r="HE128" s="918"/>
      <c r="HF128" s="918"/>
      <c r="HG128" s="918"/>
      <c r="HH128" s="918"/>
      <c r="HI128" s="918"/>
      <c r="HJ128" s="918"/>
      <c r="HK128" s="918"/>
      <c r="HL128" s="918"/>
      <c r="HM128" s="918"/>
      <c r="HN128" s="918"/>
      <c r="HO128" s="918"/>
      <c r="HP128" s="918"/>
      <c r="HQ128" s="918"/>
      <c r="HR128" s="918"/>
      <c r="HS128" s="918"/>
      <c r="HT128" s="918"/>
      <c r="HU128" s="918"/>
      <c r="HV128" s="918"/>
      <c r="HW128" s="918"/>
      <c r="HX128" s="918"/>
      <c r="HY128" s="918"/>
      <c r="HZ128" s="918"/>
      <c r="IA128" s="918"/>
      <c r="IB128" s="918"/>
      <c r="IC128" s="918"/>
      <c r="ID128" s="918"/>
      <c r="IE128" s="918"/>
      <c r="IF128" s="918"/>
      <c r="IG128" s="918"/>
      <c r="IH128" s="918"/>
      <c r="II128" s="918"/>
      <c r="IJ128" s="918"/>
      <c r="IK128" s="918"/>
      <c r="IL128" s="918"/>
      <c r="IM128" s="918"/>
      <c r="IN128" s="918"/>
    </row>
    <row r="129" spans="1:248">
      <c r="A129" s="615" t="s">
        <v>19</v>
      </c>
      <c r="B129" s="617">
        <v>3202.3</v>
      </c>
      <c r="C129" s="919">
        <f t="shared" si="20"/>
        <v>38.375716031924838</v>
      </c>
      <c r="D129" s="618">
        <v>2893.4</v>
      </c>
      <c r="E129" s="919">
        <f t="shared" si="21"/>
        <v>34.673920858998635</v>
      </c>
      <c r="F129" s="919">
        <f t="shared" si="22"/>
        <v>308.90000000000009</v>
      </c>
      <c r="G129" s="919">
        <f t="shared" si="23"/>
        <v>3.7017951729262046</v>
      </c>
      <c r="H129" s="26">
        <v>8344.6</v>
      </c>
      <c r="I129" s="918"/>
      <c r="J129" s="918"/>
      <c r="K129" s="918"/>
      <c r="L129" s="918"/>
      <c r="M129" s="918"/>
      <c r="N129" s="918"/>
      <c r="O129" s="918"/>
      <c r="P129" s="918"/>
      <c r="Q129" s="918"/>
      <c r="R129" s="918"/>
      <c r="S129" s="918"/>
      <c r="T129" s="918"/>
      <c r="U129" s="918"/>
      <c r="V129" s="918"/>
      <c r="W129" s="918"/>
      <c r="X129" s="918"/>
      <c r="Y129" s="918"/>
      <c r="Z129" s="918"/>
      <c r="AA129" s="918"/>
      <c r="AB129" s="918"/>
      <c r="AC129" s="918"/>
      <c r="AD129" s="918"/>
      <c r="AE129" s="918"/>
      <c r="AF129" s="918"/>
      <c r="AG129" s="918"/>
      <c r="AH129" s="918"/>
      <c r="AI129" s="918"/>
      <c r="AJ129" s="918"/>
      <c r="AK129" s="918"/>
      <c r="AL129" s="918"/>
      <c r="AM129" s="918"/>
      <c r="AN129" s="918"/>
      <c r="AO129" s="918"/>
      <c r="AP129" s="918"/>
      <c r="AQ129" s="918"/>
      <c r="AR129" s="918"/>
      <c r="AS129" s="918"/>
      <c r="AT129" s="918"/>
      <c r="AU129" s="918"/>
      <c r="AV129" s="918"/>
      <c r="AW129" s="918"/>
      <c r="AX129" s="918"/>
      <c r="AY129" s="918"/>
      <c r="AZ129" s="918"/>
      <c r="BA129" s="918"/>
      <c r="BB129" s="918"/>
      <c r="BC129" s="918"/>
      <c r="BD129" s="918"/>
      <c r="BE129" s="918"/>
      <c r="BF129" s="918"/>
      <c r="BG129" s="918"/>
      <c r="BH129" s="918"/>
      <c r="BI129" s="918"/>
      <c r="BJ129" s="918"/>
      <c r="BK129" s="918"/>
      <c r="BL129" s="918"/>
      <c r="BM129" s="918"/>
      <c r="BN129" s="918"/>
      <c r="BO129" s="918"/>
      <c r="BP129" s="918"/>
      <c r="BQ129" s="918"/>
      <c r="BR129" s="918"/>
      <c r="BS129" s="918"/>
      <c r="BT129" s="918"/>
      <c r="BU129" s="918"/>
      <c r="BV129" s="918"/>
      <c r="BW129" s="918"/>
      <c r="BX129" s="918"/>
      <c r="BY129" s="918"/>
      <c r="BZ129" s="918"/>
      <c r="CA129" s="918"/>
      <c r="CB129" s="918"/>
      <c r="CC129" s="918"/>
      <c r="CD129" s="918"/>
      <c r="CE129" s="918"/>
      <c r="CF129" s="918"/>
      <c r="CG129" s="918"/>
      <c r="CH129" s="918"/>
      <c r="CI129" s="918"/>
      <c r="CJ129" s="918"/>
      <c r="CK129" s="918"/>
      <c r="CL129" s="918"/>
      <c r="CM129" s="918"/>
      <c r="CN129" s="918"/>
      <c r="CO129" s="918"/>
      <c r="CP129" s="918"/>
      <c r="CQ129" s="918"/>
      <c r="CR129" s="918"/>
      <c r="CS129" s="918"/>
      <c r="CT129" s="918"/>
      <c r="CU129" s="918"/>
      <c r="CV129" s="918"/>
      <c r="CW129" s="918"/>
      <c r="CX129" s="918"/>
      <c r="CY129" s="918"/>
      <c r="CZ129" s="918"/>
      <c r="DA129" s="918"/>
      <c r="DB129" s="918"/>
      <c r="DC129" s="918"/>
      <c r="DD129" s="918"/>
      <c r="DE129" s="918"/>
      <c r="DF129" s="918"/>
      <c r="DG129" s="918"/>
      <c r="DH129" s="918"/>
      <c r="DI129" s="918"/>
      <c r="DJ129" s="918"/>
      <c r="DK129" s="918"/>
      <c r="DL129" s="918"/>
      <c r="DM129" s="918"/>
      <c r="DN129" s="918"/>
      <c r="DO129" s="918"/>
      <c r="DP129" s="918"/>
      <c r="DQ129" s="918"/>
      <c r="DR129" s="918"/>
      <c r="DS129" s="918"/>
      <c r="DT129" s="918"/>
      <c r="DU129" s="918"/>
      <c r="DV129" s="918"/>
      <c r="DW129" s="918"/>
      <c r="DX129" s="918"/>
      <c r="DY129" s="918"/>
      <c r="DZ129" s="918"/>
      <c r="EA129" s="918"/>
      <c r="EB129" s="918"/>
      <c r="EC129" s="918"/>
      <c r="ED129" s="918"/>
      <c r="EE129" s="918"/>
      <c r="EF129" s="918"/>
      <c r="EG129" s="918"/>
      <c r="EH129" s="918"/>
      <c r="EI129" s="918"/>
      <c r="EJ129" s="918"/>
      <c r="EK129" s="918"/>
      <c r="EL129" s="918"/>
      <c r="EM129" s="918"/>
      <c r="EN129" s="918"/>
      <c r="EO129" s="918"/>
      <c r="EP129" s="918"/>
      <c r="EQ129" s="918"/>
      <c r="ER129" s="918"/>
      <c r="ES129" s="918"/>
      <c r="ET129" s="918"/>
      <c r="EU129" s="918"/>
      <c r="EV129" s="918"/>
      <c r="EW129" s="918"/>
      <c r="EX129" s="918"/>
      <c r="EY129" s="918"/>
      <c r="EZ129" s="918"/>
      <c r="FA129" s="918"/>
      <c r="FB129" s="918"/>
      <c r="FC129" s="918"/>
      <c r="FD129" s="918"/>
      <c r="FE129" s="918"/>
      <c r="FF129" s="918"/>
      <c r="FG129" s="918"/>
      <c r="FH129" s="918"/>
      <c r="FI129" s="918"/>
      <c r="FJ129" s="918"/>
      <c r="FK129" s="918"/>
      <c r="FL129" s="918"/>
      <c r="FM129" s="918"/>
      <c r="FN129" s="918"/>
      <c r="FO129" s="918"/>
      <c r="FP129" s="918"/>
      <c r="FQ129" s="918"/>
      <c r="FR129" s="918"/>
      <c r="FS129" s="918"/>
      <c r="FT129" s="918"/>
      <c r="FU129" s="918"/>
      <c r="FV129" s="918"/>
      <c r="FW129" s="918"/>
      <c r="FX129" s="918"/>
      <c r="FY129" s="918"/>
      <c r="FZ129" s="918"/>
      <c r="GA129" s="918"/>
      <c r="GB129" s="918"/>
      <c r="GC129" s="918"/>
      <c r="GD129" s="918"/>
      <c r="GE129" s="918"/>
      <c r="GF129" s="918"/>
      <c r="GG129" s="918"/>
      <c r="GH129" s="918"/>
      <c r="GI129" s="918"/>
      <c r="GJ129" s="918"/>
      <c r="GK129" s="918"/>
      <c r="GL129" s="918"/>
      <c r="GM129" s="918"/>
      <c r="GN129" s="918"/>
      <c r="GO129" s="918"/>
      <c r="GP129" s="918"/>
      <c r="GQ129" s="918"/>
      <c r="GR129" s="918"/>
      <c r="GS129" s="918"/>
      <c r="GT129" s="918"/>
      <c r="GU129" s="918"/>
      <c r="GV129" s="918"/>
      <c r="GW129" s="918"/>
      <c r="GX129" s="918"/>
      <c r="GY129" s="918"/>
      <c r="GZ129" s="918"/>
      <c r="HA129" s="918"/>
      <c r="HB129" s="918"/>
      <c r="HC129" s="918"/>
      <c r="HD129" s="918"/>
      <c r="HE129" s="918"/>
      <c r="HF129" s="918"/>
      <c r="HG129" s="918"/>
      <c r="HH129" s="918"/>
      <c r="HI129" s="918"/>
      <c r="HJ129" s="918"/>
      <c r="HK129" s="918"/>
      <c r="HL129" s="918"/>
      <c r="HM129" s="918"/>
      <c r="HN129" s="918"/>
      <c r="HO129" s="918"/>
      <c r="HP129" s="918"/>
      <c r="HQ129" s="918"/>
      <c r="HR129" s="918"/>
      <c r="HS129" s="918"/>
      <c r="HT129" s="918"/>
      <c r="HU129" s="918"/>
      <c r="HV129" s="918"/>
      <c r="HW129" s="918"/>
      <c r="HX129" s="918"/>
      <c r="HY129" s="918"/>
      <c r="HZ129" s="918"/>
      <c r="IA129" s="918"/>
      <c r="IB129" s="918"/>
      <c r="IC129" s="918"/>
      <c r="ID129" s="918"/>
      <c r="IE129" s="918"/>
      <c r="IF129" s="918"/>
      <c r="IG129" s="918"/>
      <c r="IH129" s="918"/>
      <c r="II129" s="918"/>
      <c r="IJ129" s="918"/>
      <c r="IK129" s="918"/>
      <c r="IL129" s="918"/>
      <c r="IM129" s="918"/>
      <c r="IN129" s="918"/>
    </row>
    <row r="130" spans="1:248">
      <c r="A130" s="615" t="s">
        <v>20</v>
      </c>
      <c r="B130" s="617">
        <v>4669.3999999999996</v>
      </c>
      <c r="C130" s="919">
        <f t="shared" si="20"/>
        <v>36.066612083481374</v>
      </c>
      <c r="D130" s="618">
        <v>4514.8</v>
      </c>
      <c r="E130" s="919">
        <f t="shared" si="21"/>
        <v>34.872476171350009</v>
      </c>
      <c r="F130" s="919">
        <f t="shared" si="22"/>
        <v>154.59999999999945</v>
      </c>
      <c r="G130" s="919">
        <f t="shared" si="23"/>
        <v>1.1941359121313662</v>
      </c>
      <c r="H130" s="26">
        <v>12946.6</v>
      </c>
      <c r="I130" s="918"/>
      <c r="J130" s="918"/>
      <c r="K130" s="918"/>
      <c r="L130" s="918"/>
      <c r="M130" s="918"/>
      <c r="N130" s="918"/>
      <c r="O130" s="918"/>
      <c r="P130" s="918"/>
      <c r="Q130" s="918"/>
      <c r="R130" s="918"/>
      <c r="S130" s="918"/>
      <c r="T130" s="918"/>
      <c r="U130" s="918"/>
      <c r="V130" s="918"/>
      <c r="W130" s="918"/>
      <c r="X130" s="918"/>
      <c r="Y130" s="918"/>
      <c r="Z130" s="918"/>
      <c r="AA130" s="918"/>
      <c r="AB130" s="918"/>
      <c r="AC130" s="918"/>
      <c r="AD130" s="918"/>
      <c r="AE130" s="918"/>
      <c r="AF130" s="918"/>
      <c r="AG130" s="918"/>
      <c r="AH130" s="918"/>
      <c r="AI130" s="918"/>
      <c r="AJ130" s="918"/>
      <c r="AK130" s="918"/>
      <c r="AL130" s="918"/>
      <c r="AM130" s="918"/>
      <c r="AN130" s="918"/>
      <c r="AO130" s="918"/>
      <c r="AP130" s="918"/>
      <c r="AQ130" s="918"/>
      <c r="AR130" s="918"/>
      <c r="AS130" s="918"/>
      <c r="AT130" s="918"/>
      <c r="AU130" s="918"/>
      <c r="AV130" s="918"/>
      <c r="AW130" s="918"/>
      <c r="AX130" s="918"/>
      <c r="AY130" s="918"/>
      <c r="AZ130" s="918"/>
      <c r="BA130" s="918"/>
      <c r="BB130" s="918"/>
      <c r="BC130" s="918"/>
      <c r="BD130" s="918"/>
      <c r="BE130" s="918"/>
      <c r="BF130" s="918"/>
      <c r="BG130" s="918"/>
      <c r="BH130" s="918"/>
      <c r="BI130" s="918"/>
      <c r="BJ130" s="918"/>
      <c r="BK130" s="918"/>
      <c r="BL130" s="918"/>
      <c r="BM130" s="918"/>
      <c r="BN130" s="918"/>
      <c r="BO130" s="918"/>
      <c r="BP130" s="918"/>
      <c r="BQ130" s="918"/>
      <c r="BR130" s="918"/>
      <c r="BS130" s="918"/>
      <c r="BT130" s="918"/>
      <c r="BU130" s="918"/>
      <c r="BV130" s="918"/>
      <c r="BW130" s="918"/>
      <c r="BX130" s="918"/>
      <c r="BY130" s="918"/>
      <c r="BZ130" s="918"/>
      <c r="CA130" s="918"/>
      <c r="CB130" s="918"/>
      <c r="CC130" s="918"/>
      <c r="CD130" s="918"/>
      <c r="CE130" s="918"/>
      <c r="CF130" s="918"/>
      <c r="CG130" s="918"/>
      <c r="CH130" s="918"/>
      <c r="CI130" s="918"/>
      <c r="CJ130" s="918"/>
      <c r="CK130" s="918"/>
      <c r="CL130" s="918"/>
      <c r="CM130" s="918"/>
      <c r="CN130" s="918"/>
      <c r="CO130" s="918"/>
      <c r="CP130" s="918"/>
      <c r="CQ130" s="918"/>
      <c r="CR130" s="918"/>
      <c r="CS130" s="918"/>
      <c r="CT130" s="918"/>
      <c r="CU130" s="918"/>
      <c r="CV130" s="918"/>
      <c r="CW130" s="918"/>
      <c r="CX130" s="918"/>
      <c r="CY130" s="918"/>
      <c r="CZ130" s="918"/>
      <c r="DA130" s="918"/>
      <c r="DB130" s="918"/>
      <c r="DC130" s="918"/>
      <c r="DD130" s="918"/>
      <c r="DE130" s="918"/>
      <c r="DF130" s="918"/>
      <c r="DG130" s="918"/>
      <c r="DH130" s="918"/>
      <c r="DI130" s="918"/>
      <c r="DJ130" s="918"/>
      <c r="DK130" s="918"/>
      <c r="DL130" s="918"/>
      <c r="DM130" s="918"/>
      <c r="DN130" s="918"/>
      <c r="DO130" s="918"/>
      <c r="DP130" s="918"/>
      <c r="DQ130" s="918"/>
      <c r="DR130" s="918"/>
      <c r="DS130" s="918"/>
      <c r="DT130" s="918"/>
      <c r="DU130" s="918"/>
      <c r="DV130" s="918"/>
      <c r="DW130" s="918"/>
      <c r="DX130" s="918"/>
      <c r="DY130" s="918"/>
      <c r="DZ130" s="918"/>
      <c r="EA130" s="918"/>
      <c r="EB130" s="918"/>
      <c r="EC130" s="918"/>
      <c r="ED130" s="918"/>
      <c r="EE130" s="918"/>
      <c r="EF130" s="918"/>
      <c r="EG130" s="918"/>
      <c r="EH130" s="918"/>
      <c r="EI130" s="918"/>
      <c r="EJ130" s="918"/>
      <c r="EK130" s="918"/>
      <c r="EL130" s="918"/>
      <c r="EM130" s="918"/>
      <c r="EN130" s="918"/>
      <c r="EO130" s="918"/>
      <c r="EP130" s="918"/>
      <c r="EQ130" s="918"/>
      <c r="ER130" s="918"/>
      <c r="ES130" s="918"/>
      <c r="ET130" s="918"/>
      <c r="EU130" s="918"/>
      <c r="EV130" s="918"/>
      <c r="EW130" s="918"/>
      <c r="EX130" s="918"/>
      <c r="EY130" s="918"/>
      <c r="EZ130" s="918"/>
      <c r="FA130" s="918"/>
      <c r="FB130" s="918"/>
      <c r="FC130" s="918"/>
      <c r="FD130" s="918"/>
      <c r="FE130" s="918"/>
      <c r="FF130" s="918"/>
      <c r="FG130" s="918"/>
      <c r="FH130" s="918"/>
      <c r="FI130" s="918"/>
      <c r="FJ130" s="918"/>
      <c r="FK130" s="918"/>
      <c r="FL130" s="918"/>
      <c r="FM130" s="918"/>
      <c r="FN130" s="918"/>
      <c r="FO130" s="918"/>
      <c r="FP130" s="918"/>
      <c r="FQ130" s="918"/>
      <c r="FR130" s="918"/>
      <c r="FS130" s="918"/>
      <c r="FT130" s="918"/>
      <c r="FU130" s="918"/>
      <c r="FV130" s="918"/>
      <c r="FW130" s="918"/>
      <c r="FX130" s="918"/>
      <c r="FY130" s="918"/>
      <c r="FZ130" s="918"/>
      <c r="GA130" s="918"/>
      <c r="GB130" s="918"/>
      <c r="GC130" s="918"/>
      <c r="GD130" s="918"/>
      <c r="GE130" s="918"/>
      <c r="GF130" s="918"/>
      <c r="GG130" s="918"/>
      <c r="GH130" s="918"/>
      <c r="GI130" s="918"/>
      <c r="GJ130" s="918"/>
      <c r="GK130" s="918"/>
      <c r="GL130" s="918"/>
      <c r="GM130" s="918"/>
      <c r="GN130" s="918"/>
      <c r="GO130" s="918"/>
      <c r="GP130" s="918"/>
      <c r="GQ130" s="918"/>
      <c r="GR130" s="918"/>
      <c r="GS130" s="918"/>
      <c r="GT130" s="918"/>
      <c r="GU130" s="918"/>
      <c r="GV130" s="918"/>
      <c r="GW130" s="918"/>
      <c r="GX130" s="918"/>
      <c r="GY130" s="918"/>
      <c r="GZ130" s="918"/>
      <c r="HA130" s="918"/>
      <c r="HB130" s="918"/>
      <c r="HC130" s="918"/>
      <c r="HD130" s="918"/>
      <c r="HE130" s="918"/>
      <c r="HF130" s="918"/>
      <c r="HG130" s="918"/>
      <c r="HH130" s="918"/>
      <c r="HI130" s="918"/>
      <c r="HJ130" s="918"/>
      <c r="HK130" s="918"/>
      <c r="HL130" s="918"/>
      <c r="HM130" s="918"/>
      <c r="HN130" s="918"/>
      <c r="HO130" s="918"/>
      <c r="HP130" s="918"/>
      <c r="HQ130" s="918"/>
      <c r="HR130" s="918"/>
      <c r="HS130" s="918"/>
      <c r="HT130" s="918"/>
      <c r="HU130" s="918"/>
      <c r="HV130" s="918"/>
      <c r="HW130" s="918"/>
      <c r="HX130" s="918"/>
      <c r="HY130" s="918"/>
      <c r="HZ130" s="918"/>
      <c r="IA130" s="918"/>
      <c r="IB130" s="918"/>
      <c r="IC130" s="918"/>
      <c r="ID130" s="918"/>
      <c r="IE130" s="918"/>
      <c r="IF130" s="918"/>
      <c r="IG130" s="918"/>
      <c r="IH130" s="918"/>
      <c r="II130" s="918"/>
      <c r="IJ130" s="918"/>
      <c r="IK130" s="918"/>
      <c r="IL130" s="918"/>
      <c r="IM130" s="918"/>
      <c r="IN130" s="918"/>
    </row>
    <row r="131" spans="1:248">
      <c r="A131" s="615" t="s">
        <v>21</v>
      </c>
      <c r="B131" s="617">
        <v>6653.9</v>
      </c>
      <c r="C131" s="919">
        <f t="shared" si="20"/>
        <v>38.616987318998284</v>
      </c>
      <c r="D131" s="618">
        <v>6243.5</v>
      </c>
      <c r="E131" s="919">
        <f t="shared" si="21"/>
        <v>36.235164388729288</v>
      </c>
      <c r="F131" s="919">
        <f t="shared" si="22"/>
        <v>410.39999999999964</v>
      </c>
      <c r="G131" s="919">
        <f t="shared" si="23"/>
        <v>2.3818229302689975</v>
      </c>
      <c r="H131" s="26">
        <v>17230.5</v>
      </c>
      <c r="I131" s="918"/>
      <c r="J131" s="918"/>
      <c r="K131" s="918"/>
      <c r="L131" s="918"/>
      <c r="M131" s="918"/>
      <c r="N131" s="918"/>
      <c r="O131" s="918"/>
      <c r="P131" s="918"/>
      <c r="Q131" s="918"/>
      <c r="R131" s="918"/>
      <c r="S131" s="918"/>
      <c r="T131" s="918"/>
      <c r="U131" s="918"/>
      <c r="V131" s="918"/>
      <c r="W131" s="918"/>
      <c r="X131" s="918"/>
      <c r="Y131" s="918"/>
      <c r="Z131" s="918"/>
      <c r="AA131" s="918"/>
      <c r="AB131" s="918"/>
      <c r="AC131" s="918"/>
      <c r="AD131" s="918"/>
      <c r="AE131" s="918"/>
      <c r="AF131" s="918"/>
      <c r="AG131" s="918"/>
      <c r="AH131" s="918"/>
      <c r="AI131" s="918"/>
      <c r="AJ131" s="918"/>
      <c r="AK131" s="918"/>
      <c r="AL131" s="918"/>
      <c r="AM131" s="918"/>
      <c r="AN131" s="918"/>
      <c r="AO131" s="918"/>
      <c r="AP131" s="918"/>
      <c r="AQ131" s="918"/>
      <c r="AR131" s="918"/>
      <c r="AS131" s="918"/>
      <c r="AT131" s="918"/>
      <c r="AU131" s="918"/>
      <c r="AV131" s="918"/>
      <c r="AW131" s="918"/>
      <c r="AX131" s="918"/>
      <c r="AY131" s="918"/>
      <c r="AZ131" s="918"/>
      <c r="BA131" s="918"/>
      <c r="BB131" s="918"/>
      <c r="BC131" s="918"/>
      <c r="BD131" s="918"/>
      <c r="BE131" s="918"/>
      <c r="BF131" s="918"/>
      <c r="BG131" s="918"/>
      <c r="BH131" s="918"/>
      <c r="BI131" s="918"/>
      <c r="BJ131" s="918"/>
      <c r="BK131" s="918"/>
      <c r="BL131" s="918"/>
      <c r="BM131" s="918"/>
      <c r="BN131" s="918"/>
      <c r="BO131" s="918"/>
      <c r="BP131" s="918"/>
      <c r="BQ131" s="918"/>
      <c r="BR131" s="918"/>
      <c r="BS131" s="918"/>
      <c r="BT131" s="918"/>
      <c r="BU131" s="918"/>
      <c r="BV131" s="918"/>
      <c r="BW131" s="918"/>
      <c r="BX131" s="918"/>
      <c r="BY131" s="918"/>
      <c r="BZ131" s="918"/>
      <c r="CA131" s="918"/>
      <c r="CB131" s="918"/>
      <c r="CC131" s="918"/>
      <c r="CD131" s="918"/>
      <c r="CE131" s="918"/>
      <c r="CF131" s="918"/>
      <c r="CG131" s="918"/>
      <c r="CH131" s="918"/>
      <c r="CI131" s="918"/>
      <c r="CJ131" s="918"/>
      <c r="CK131" s="918"/>
      <c r="CL131" s="918"/>
      <c r="CM131" s="918"/>
      <c r="CN131" s="918"/>
      <c r="CO131" s="918"/>
      <c r="CP131" s="918"/>
      <c r="CQ131" s="918"/>
      <c r="CR131" s="918"/>
      <c r="CS131" s="918"/>
      <c r="CT131" s="918"/>
      <c r="CU131" s="918"/>
      <c r="CV131" s="918"/>
      <c r="CW131" s="918"/>
      <c r="CX131" s="918"/>
      <c r="CY131" s="918"/>
      <c r="CZ131" s="918"/>
      <c r="DA131" s="918"/>
      <c r="DB131" s="918"/>
      <c r="DC131" s="918"/>
      <c r="DD131" s="918"/>
      <c r="DE131" s="918"/>
      <c r="DF131" s="918"/>
      <c r="DG131" s="918"/>
      <c r="DH131" s="918"/>
      <c r="DI131" s="918"/>
      <c r="DJ131" s="918"/>
      <c r="DK131" s="918"/>
      <c r="DL131" s="918"/>
      <c r="DM131" s="918"/>
      <c r="DN131" s="918"/>
      <c r="DO131" s="918"/>
      <c r="DP131" s="918"/>
      <c r="DQ131" s="918"/>
      <c r="DR131" s="918"/>
      <c r="DS131" s="918"/>
      <c r="DT131" s="918"/>
      <c r="DU131" s="918"/>
      <c r="DV131" s="918"/>
      <c r="DW131" s="918"/>
      <c r="DX131" s="918"/>
      <c r="DY131" s="918"/>
      <c r="DZ131" s="918"/>
      <c r="EA131" s="918"/>
      <c r="EB131" s="918"/>
      <c r="EC131" s="918"/>
      <c r="ED131" s="918"/>
      <c r="EE131" s="918"/>
      <c r="EF131" s="918"/>
      <c r="EG131" s="918"/>
      <c r="EH131" s="918"/>
      <c r="EI131" s="918"/>
      <c r="EJ131" s="918"/>
      <c r="EK131" s="918"/>
      <c r="EL131" s="918"/>
      <c r="EM131" s="918"/>
      <c r="EN131" s="918"/>
      <c r="EO131" s="918"/>
      <c r="EP131" s="918"/>
      <c r="EQ131" s="918"/>
      <c r="ER131" s="918"/>
      <c r="ES131" s="918"/>
      <c r="ET131" s="918"/>
      <c r="EU131" s="918"/>
      <c r="EV131" s="918"/>
      <c r="EW131" s="918"/>
      <c r="EX131" s="918"/>
      <c r="EY131" s="918"/>
      <c r="EZ131" s="918"/>
      <c r="FA131" s="918"/>
      <c r="FB131" s="918"/>
      <c r="FC131" s="918"/>
      <c r="FD131" s="918"/>
      <c r="FE131" s="918"/>
      <c r="FF131" s="918"/>
      <c r="FG131" s="918"/>
      <c r="FH131" s="918"/>
      <c r="FI131" s="918"/>
      <c r="FJ131" s="918"/>
      <c r="FK131" s="918"/>
      <c r="FL131" s="918"/>
      <c r="FM131" s="918"/>
      <c r="FN131" s="918"/>
      <c r="FO131" s="918"/>
      <c r="FP131" s="918"/>
      <c r="FQ131" s="918"/>
      <c r="FR131" s="918"/>
      <c r="FS131" s="918"/>
      <c r="FT131" s="918"/>
      <c r="FU131" s="918"/>
      <c r="FV131" s="918"/>
      <c r="FW131" s="918"/>
      <c r="FX131" s="918"/>
      <c r="FY131" s="918"/>
      <c r="FZ131" s="918"/>
      <c r="GA131" s="918"/>
      <c r="GB131" s="918"/>
      <c r="GC131" s="918"/>
      <c r="GD131" s="918"/>
      <c r="GE131" s="918"/>
      <c r="GF131" s="918"/>
      <c r="GG131" s="918"/>
      <c r="GH131" s="918"/>
      <c r="GI131" s="918"/>
      <c r="GJ131" s="918"/>
      <c r="GK131" s="918"/>
      <c r="GL131" s="918"/>
      <c r="GM131" s="918"/>
      <c r="GN131" s="918"/>
      <c r="GO131" s="918"/>
      <c r="GP131" s="918"/>
      <c r="GQ131" s="918"/>
      <c r="GR131" s="918"/>
      <c r="GS131" s="918"/>
      <c r="GT131" s="918"/>
      <c r="GU131" s="918"/>
      <c r="GV131" s="918"/>
      <c r="GW131" s="918"/>
      <c r="GX131" s="918"/>
      <c r="GY131" s="918"/>
      <c r="GZ131" s="918"/>
      <c r="HA131" s="918"/>
      <c r="HB131" s="918"/>
      <c r="HC131" s="918"/>
      <c r="HD131" s="918"/>
      <c r="HE131" s="918"/>
      <c r="HF131" s="918"/>
      <c r="HG131" s="918"/>
      <c r="HH131" s="918"/>
      <c r="HI131" s="918"/>
      <c r="HJ131" s="918"/>
      <c r="HK131" s="918"/>
      <c r="HL131" s="918"/>
      <c r="HM131" s="918"/>
      <c r="HN131" s="918"/>
      <c r="HO131" s="918"/>
      <c r="HP131" s="918"/>
      <c r="HQ131" s="918"/>
      <c r="HR131" s="918"/>
      <c r="HS131" s="918"/>
      <c r="HT131" s="918"/>
      <c r="HU131" s="918"/>
      <c r="HV131" s="918"/>
      <c r="HW131" s="918"/>
      <c r="HX131" s="918"/>
      <c r="HY131" s="918"/>
      <c r="HZ131" s="918"/>
      <c r="IA131" s="918"/>
      <c r="IB131" s="918"/>
      <c r="IC131" s="918"/>
      <c r="ID131" s="918"/>
      <c r="IE131" s="918"/>
      <c r="IF131" s="918"/>
      <c r="IG131" s="918"/>
      <c r="IH131" s="918"/>
      <c r="II131" s="918"/>
      <c r="IJ131" s="918"/>
      <c r="IK131" s="918"/>
      <c r="IL131" s="918"/>
      <c r="IM131" s="918"/>
      <c r="IN131" s="918"/>
    </row>
    <row r="132" spans="1:248">
      <c r="A132" s="615" t="s">
        <v>22</v>
      </c>
      <c r="B132" s="617">
        <v>8249.4</v>
      </c>
      <c r="C132" s="919">
        <f t="shared" si="20"/>
        <v>37.295031940432111</v>
      </c>
      <c r="D132" s="618">
        <v>7434.4</v>
      </c>
      <c r="E132" s="919">
        <f t="shared" si="21"/>
        <v>33.610466877342411</v>
      </c>
      <c r="F132" s="919">
        <f t="shared" si="22"/>
        <v>815</v>
      </c>
      <c r="G132" s="919">
        <f t="shared" si="23"/>
        <v>3.6845650630897002</v>
      </c>
      <c r="H132" s="26">
        <v>22119.3</v>
      </c>
      <c r="I132" s="918"/>
      <c r="J132" s="918"/>
      <c r="K132" s="918"/>
      <c r="L132" s="918"/>
      <c r="M132" s="918"/>
      <c r="N132" s="918"/>
      <c r="O132" s="918"/>
      <c r="P132" s="918"/>
      <c r="Q132" s="918"/>
      <c r="R132" s="918"/>
      <c r="S132" s="918"/>
      <c r="T132" s="918"/>
      <c r="U132" s="918"/>
      <c r="V132" s="918"/>
      <c r="W132" s="918"/>
      <c r="X132" s="918"/>
      <c r="Y132" s="918"/>
      <c r="Z132" s="918"/>
      <c r="AA132" s="918"/>
      <c r="AB132" s="918"/>
      <c r="AC132" s="918"/>
      <c r="AD132" s="918"/>
      <c r="AE132" s="918"/>
      <c r="AF132" s="918"/>
      <c r="AG132" s="918"/>
      <c r="AH132" s="918"/>
      <c r="AI132" s="918"/>
      <c r="AJ132" s="918"/>
      <c r="AK132" s="918"/>
      <c r="AL132" s="918"/>
      <c r="AM132" s="918"/>
      <c r="AN132" s="918"/>
      <c r="AO132" s="918"/>
      <c r="AP132" s="918"/>
      <c r="AQ132" s="918"/>
      <c r="AR132" s="918"/>
      <c r="AS132" s="918"/>
      <c r="AT132" s="918"/>
      <c r="AU132" s="918"/>
      <c r="AV132" s="918"/>
      <c r="AW132" s="918"/>
      <c r="AX132" s="918"/>
      <c r="AY132" s="918"/>
      <c r="AZ132" s="918"/>
      <c r="BA132" s="918"/>
      <c r="BB132" s="918"/>
      <c r="BC132" s="918"/>
      <c r="BD132" s="918"/>
      <c r="BE132" s="918"/>
      <c r="BF132" s="918"/>
      <c r="BG132" s="918"/>
      <c r="BH132" s="918"/>
      <c r="BI132" s="918"/>
      <c r="BJ132" s="918"/>
      <c r="BK132" s="918"/>
      <c r="BL132" s="918"/>
      <c r="BM132" s="918"/>
      <c r="BN132" s="918"/>
      <c r="BO132" s="918"/>
      <c r="BP132" s="918"/>
      <c r="BQ132" s="918"/>
      <c r="BR132" s="918"/>
      <c r="BS132" s="918"/>
      <c r="BT132" s="918"/>
      <c r="BU132" s="918"/>
      <c r="BV132" s="918"/>
      <c r="BW132" s="918"/>
      <c r="BX132" s="918"/>
      <c r="BY132" s="918"/>
      <c r="BZ132" s="918"/>
      <c r="CA132" s="918"/>
      <c r="CB132" s="918"/>
      <c r="CC132" s="918"/>
      <c r="CD132" s="918"/>
      <c r="CE132" s="918"/>
      <c r="CF132" s="918"/>
      <c r="CG132" s="918"/>
      <c r="CH132" s="918"/>
      <c r="CI132" s="918"/>
      <c r="CJ132" s="918"/>
      <c r="CK132" s="918"/>
      <c r="CL132" s="918"/>
      <c r="CM132" s="918"/>
      <c r="CN132" s="918"/>
      <c r="CO132" s="918"/>
      <c r="CP132" s="918"/>
      <c r="CQ132" s="918"/>
      <c r="CR132" s="918"/>
      <c r="CS132" s="918"/>
      <c r="CT132" s="918"/>
      <c r="CU132" s="918"/>
      <c r="CV132" s="918"/>
      <c r="CW132" s="918"/>
      <c r="CX132" s="918"/>
      <c r="CY132" s="918"/>
      <c r="CZ132" s="918"/>
      <c r="DA132" s="918"/>
      <c r="DB132" s="918"/>
      <c r="DC132" s="918"/>
      <c r="DD132" s="918"/>
      <c r="DE132" s="918"/>
      <c r="DF132" s="918"/>
      <c r="DG132" s="918"/>
      <c r="DH132" s="918"/>
      <c r="DI132" s="918"/>
      <c r="DJ132" s="918"/>
      <c r="DK132" s="918"/>
      <c r="DL132" s="918"/>
      <c r="DM132" s="918"/>
      <c r="DN132" s="918"/>
      <c r="DO132" s="918"/>
      <c r="DP132" s="918"/>
      <c r="DQ132" s="918"/>
      <c r="DR132" s="918"/>
      <c r="DS132" s="918"/>
      <c r="DT132" s="918"/>
      <c r="DU132" s="918"/>
      <c r="DV132" s="918"/>
      <c r="DW132" s="918"/>
      <c r="DX132" s="918"/>
      <c r="DY132" s="918"/>
      <c r="DZ132" s="918"/>
      <c r="EA132" s="918"/>
      <c r="EB132" s="918"/>
      <c r="EC132" s="918"/>
      <c r="ED132" s="918"/>
      <c r="EE132" s="918"/>
      <c r="EF132" s="918"/>
      <c r="EG132" s="918"/>
      <c r="EH132" s="918"/>
      <c r="EI132" s="918"/>
      <c r="EJ132" s="918"/>
      <c r="EK132" s="918"/>
      <c r="EL132" s="918"/>
      <c r="EM132" s="918"/>
      <c r="EN132" s="918"/>
      <c r="EO132" s="918"/>
      <c r="EP132" s="918"/>
      <c r="EQ132" s="918"/>
      <c r="ER132" s="918"/>
      <c r="ES132" s="918"/>
      <c r="ET132" s="918"/>
      <c r="EU132" s="918"/>
      <c r="EV132" s="918"/>
      <c r="EW132" s="918"/>
      <c r="EX132" s="918"/>
      <c r="EY132" s="918"/>
      <c r="EZ132" s="918"/>
      <c r="FA132" s="918"/>
      <c r="FB132" s="918"/>
      <c r="FC132" s="918"/>
      <c r="FD132" s="918"/>
      <c r="FE132" s="918"/>
      <c r="FF132" s="918"/>
      <c r="FG132" s="918"/>
      <c r="FH132" s="918"/>
      <c r="FI132" s="918"/>
      <c r="FJ132" s="918"/>
      <c r="FK132" s="918"/>
      <c r="FL132" s="918"/>
      <c r="FM132" s="918"/>
      <c r="FN132" s="918"/>
      <c r="FO132" s="918"/>
      <c r="FP132" s="918"/>
      <c r="FQ132" s="918"/>
      <c r="FR132" s="918"/>
      <c r="FS132" s="918"/>
      <c r="FT132" s="918"/>
      <c r="FU132" s="918"/>
      <c r="FV132" s="918"/>
      <c r="FW132" s="918"/>
      <c r="FX132" s="918"/>
      <c r="FY132" s="918"/>
      <c r="FZ132" s="918"/>
      <c r="GA132" s="918"/>
      <c r="GB132" s="918"/>
      <c r="GC132" s="918"/>
      <c r="GD132" s="918"/>
      <c r="GE132" s="918"/>
      <c r="GF132" s="918"/>
      <c r="GG132" s="918"/>
      <c r="GH132" s="918"/>
      <c r="GI132" s="918"/>
      <c r="GJ132" s="918"/>
      <c r="GK132" s="918"/>
      <c r="GL132" s="918"/>
      <c r="GM132" s="918"/>
      <c r="GN132" s="918"/>
      <c r="GO132" s="918"/>
      <c r="GP132" s="918"/>
      <c r="GQ132" s="918"/>
      <c r="GR132" s="918"/>
      <c r="GS132" s="918"/>
      <c r="GT132" s="918"/>
      <c r="GU132" s="918"/>
      <c r="GV132" s="918"/>
      <c r="GW132" s="918"/>
      <c r="GX132" s="918"/>
      <c r="GY132" s="918"/>
      <c r="GZ132" s="918"/>
      <c r="HA132" s="918"/>
      <c r="HB132" s="918"/>
      <c r="HC132" s="918"/>
      <c r="HD132" s="918"/>
      <c r="HE132" s="918"/>
      <c r="HF132" s="918"/>
      <c r="HG132" s="918"/>
      <c r="HH132" s="918"/>
      <c r="HI132" s="918"/>
      <c r="HJ132" s="918"/>
      <c r="HK132" s="918"/>
      <c r="HL132" s="918"/>
      <c r="HM132" s="918"/>
      <c r="HN132" s="918"/>
      <c r="HO132" s="918"/>
      <c r="HP132" s="918"/>
      <c r="HQ132" s="918"/>
      <c r="HR132" s="918"/>
      <c r="HS132" s="918"/>
      <c r="HT132" s="918"/>
      <c r="HU132" s="918"/>
      <c r="HV132" s="918"/>
      <c r="HW132" s="918"/>
      <c r="HX132" s="918"/>
      <c r="HY132" s="918"/>
      <c r="HZ132" s="918"/>
      <c r="IA132" s="918"/>
      <c r="IB132" s="918"/>
      <c r="IC132" s="918"/>
      <c r="ID132" s="918"/>
      <c r="IE132" s="918"/>
      <c r="IF132" s="918"/>
      <c r="IG132" s="918"/>
      <c r="IH132" s="918"/>
      <c r="II132" s="918"/>
      <c r="IJ132" s="918"/>
      <c r="IK132" s="918"/>
      <c r="IL132" s="918"/>
      <c r="IM132" s="918"/>
      <c r="IN132" s="918"/>
    </row>
    <row r="133" spans="1:248">
      <c r="A133" s="615" t="s">
        <v>23</v>
      </c>
      <c r="B133" s="617">
        <v>9524.5</v>
      </c>
      <c r="C133" s="919">
        <f t="shared" si="20"/>
        <v>35.013969561061685</v>
      </c>
      <c r="D133" s="618">
        <v>8730.2000000000007</v>
      </c>
      <c r="E133" s="919">
        <f t="shared" si="21"/>
        <v>32.09396367914124</v>
      </c>
      <c r="F133" s="919">
        <f t="shared" si="22"/>
        <v>794.29999999999927</v>
      </c>
      <c r="G133" s="919">
        <f t="shared" si="23"/>
        <v>2.9200058819204444</v>
      </c>
      <c r="H133" s="26">
        <v>27202</v>
      </c>
      <c r="I133" s="918"/>
      <c r="J133" s="918"/>
      <c r="K133" s="918"/>
      <c r="L133" s="918"/>
      <c r="M133" s="918"/>
      <c r="N133" s="918"/>
      <c r="O133" s="918"/>
      <c r="P133" s="918"/>
      <c r="Q133" s="918"/>
      <c r="R133" s="918"/>
      <c r="S133" s="918"/>
      <c r="T133" s="918"/>
      <c r="U133" s="918"/>
      <c r="V133" s="918"/>
      <c r="W133" s="918"/>
      <c r="X133" s="918"/>
      <c r="Y133" s="918"/>
      <c r="Z133" s="918"/>
      <c r="AA133" s="918"/>
      <c r="AB133" s="918"/>
      <c r="AC133" s="918"/>
      <c r="AD133" s="918"/>
      <c r="AE133" s="918"/>
      <c r="AF133" s="918"/>
      <c r="AG133" s="918"/>
      <c r="AH133" s="918"/>
      <c r="AI133" s="918"/>
      <c r="AJ133" s="918"/>
      <c r="AK133" s="918"/>
      <c r="AL133" s="918"/>
      <c r="AM133" s="918"/>
      <c r="AN133" s="918"/>
      <c r="AO133" s="918"/>
      <c r="AP133" s="918"/>
      <c r="AQ133" s="918"/>
      <c r="AR133" s="918"/>
      <c r="AS133" s="918"/>
      <c r="AT133" s="918"/>
      <c r="AU133" s="918"/>
      <c r="AV133" s="918"/>
      <c r="AW133" s="918"/>
      <c r="AX133" s="918"/>
      <c r="AY133" s="918"/>
      <c r="AZ133" s="918"/>
      <c r="BA133" s="918"/>
      <c r="BB133" s="918"/>
      <c r="BC133" s="918"/>
      <c r="BD133" s="918"/>
      <c r="BE133" s="918"/>
      <c r="BF133" s="918"/>
      <c r="BG133" s="918"/>
      <c r="BH133" s="918"/>
      <c r="BI133" s="918"/>
      <c r="BJ133" s="918"/>
      <c r="BK133" s="918"/>
      <c r="BL133" s="918"/>
      <c r="BM133" s="918"/>
      <c r="BN133" s="918"/>
      <c r="BO133" s="918"/>
      <c r="BP133" s="918"/>
      <c r="BQ133" s="918"/>
      <c r="BR133" s="918"/>
      <c r="BS133" s="918"/>
      <c r="BT133" s="918"/>
      <c r="BU133" s="918"/>
      <c r="BV133" s="918"/>
      <c r="BW133" s="918"/>
      <c r="BX133" s="918"/>
      <c r="BY133" s="918"/>
      <c r="BZ133" s="918"/>
      <c r="CA133" s="918"/>
      <c r="CB133" s="918"/>
      <c r="CC133" s="918"/>
      <c r="CD133" s="918"/>
      <c r="CE133" s="918"/>
      <c r="CF133" s="918"/>
      <c r="CG133" s="918"/>
      <c r="CH133" s="918"/>
      <c r="CI133" s="918"/>
      <c r="CJ133" s="918"/>
      <c r="CK133" s="918"/>
      <c r="CL133" s="918"/>
      <c r="CM133" s="918"/>
      <c r="CN133" s="918"/>
      <c r="CO133" s="918"/>
      <c r="CP133" s="918"/>
      <c r="CQ133" s="918"/>
      <c r="CR133" s="918"/>
      <c r="CS133" s="918"/>
      <c r="CT133" s="918"/>
      <c r="CU133" s="918"/>
      <c r="CV133" s="918"/>
      <c r="CW133" s="918"/>
      <c r="CX133" s="918"/>
      <c r="CY133" s="918"/>
      <c r="CZ133" s="918"/>
      <c r="DA133" s="918"/>
      <c r="DB133" s="918"/>
      <c r="DC133" s="918"/>
      <c r="DD133" s="918"/>
      <c r="DE133" s="918"/>
      <c r="DF133" s="918"/>
      <c r="DG133" s="918"/>
      <c r="DH133" s="918"/>
      <c r="DI133" s="918"/>
      <c r="DJ133" s="918"/>
      <c r="DK133" s="918"/>
      <c r="DL133" s="918"/>
      <c r="DM133" s="918"/>
      <c r="DN133" s="918"/>
      <c r="DO133" s="918"/>
      <c r="DP133" s="918"/>
      <c r="DQ133" s="918"/>
      <c r="DR133" s="918"/>
      <c r="DS133" s="918"/>
      <c r="DT133" s="918"/>
      <c r="DU133" s="918"/>
      <c r="DV133" s="918"/>
      <c r="DW133" s="918"/>
      <c r="DX133" s="918"/>
      <c r="DY133" s="918"/>
      <c r="DZ133" s="918"/>
      <c r="EA133" s="918"/>
      <c r="EB133" s="918"/>
      <c r="EC133" s="918"/>
      <c r="ED133" s="918"/>
      <c r="EE133" s="918"/>
      <c r="EF133" s="918"/>
      <c r="EG133" s="918"/>
      <c r="EH133" s="918"/>
      <c r="EI133" s="918"/>
      <c r="EJ133" s="918"/>
      <c r="EK133" s="918"/>
      <c r="EL133" s="918"/>
      <c r="EM133" s="918"/>
      <c r="EN133" s="918"/>
      <c r="EO133" s="918"/>
      <c r="EP133" s="918"/>
      <c r="EQ133" s="918"/>
      <c r="ER133" s="918"/>
      <c r="ES133" s="918"/>
      <c r="ET133" s="918"/>
      <c r="EU133" s="918"/>
      <c r="EV133" s="918"/>
      <c r="EW133" s="918"/>
      <c r="EX133" s="918"/>
      <c r="EY133" s="918"/>
      <c r="EZ133" s="918"/>
      <c r="FA133" s="918"/>
      <c r="FB133" s="918"/>
      <c r="FC133" s="918"/>
      <c r="FD133" s="918"/>
      <c r="FE133" s="918"/>
      <c r="FF133" s="918"/>
      <c r="FG133" s="918"/>
      <c r="FH133" s="918"/>
      <c r="FI133" s="918"/>
      <c r="FJ133" s="918"/>
      <c r="FK133" s="918"/>
      <c r="FL133" s="918"/>
      <c r="FM133" s="918"/>
      <c r="FN133" s="918"/>
      <c r="FO133" s="918"/>
      <c r="FP133" s="918"/>
      <c r="FQ133" s="918"/>
      <c r="FR133" s="918"/>
      <c r="FS133" s="918"/>
      <c r="FT133" s="918"/>
      <c r="FU133" s="918"/>
      <c r="FV133" s="918"/>
      <c r="FW133" s="918"/>
      <c r="FX133" s="918"/>
      <c r="FY133" s="918"/>
      <c r="FZ133" s="918"/>
      <c r="GA133" s="918"/>
      <c r="GB133" s="918"/>
      <c r="GC133" s="918"/>
      <c r="GD133" s="918"/>
      <c r="GE133" s="918"/>
      <c r="GF133" s="918"/>
      <c r="GG133" s="918"/>
      <c r="GH133" s="918"/>
      <c r="GI133" s="918"/>
      <c r="GJ133" s="918"/>
      <c r="GK133" s="918"/>
      <c r="GL133" s="918"/>
      <c r="GM133" s="918"/>
      <c r="GN133" s="918"/>
      <c r="GO133" s="918"/>
      <c r="GP133" s="918"/>
      <c r="GQ133" s="918"/>
      <c r="GR133" s="918"/>
      <c r="GS133" s="918"/>
      <c r="GT133" s="918"/>
      <c r="GU133" s="918"/>
      <c r="GV133" s="918"/>
      <c r="GW133" s="918"/>
      <c r="GX133" s="918"/>
      <c r="GY133" s="918"/>
      <c r="GZ133" s="918"/>
      <c r="HA133" s="918"/>
      <c r="HB133" s="918"/>
      <c r="HC133" s="918"/>
      <c r="HD133" s="918"/>
      <c r="HE133" s="918"/>
      <c r="HF133" s="918"/>
      <c r="HG133" s="918"/>
      <c r="HH133" s="918"/>
      <c r="HI133" s="918"/>
      <c r="HJ133" s="918"/>
      <c r="HK133" s="918"/>
      <c r="HL133" s="918"/>
      <c r="HM133" s="918"/>
      <c r="HN133" s="918"/>
      <c r="HO133" s="918"/>
      <c r="HP133" s="918"/>
      <c r="HQ133" s="918"/>
      <c r="HR133" s="918"/>
      <c r="HS133" s="918"/>
      <c r="HT133" s="918"/>
      <c r="HU133" s="918"/>
      <c r="HV133" s="918"/>
      <c r="HW133" s="918"/>
      <c r="HX133" s="918"/>
      <c r="HY133" s="918"/>
      <c r="HZ133" s="918"/>
      <c r="IA133" s="918"/>
      <c r="IB133" s="918"/>
      <c r="IC133" s="918"/>
      <c r="ID133" s="918"/>
      <c r="IE133" s="918"/>
      <c r="IF133" s="918"/>
      <c r="IG133" s="918"/>
      <c r="IH133" s="918"/>
      <c r="II133" s="918"/>
      <c r="IJ133" s="918"/>
      <c r="IK133" s="918"/>
      <c r="IL133" s="918"/>
      <c r="IM133" s="918"/>
      <c r="IN133" s="918"/>
    </row>
    <row r="134" spans="1:248">
      <c r="A134" s="615" t="s">
        <v>24</v>
      </c>
      <c r="B134" s="617">
        <v>11371.4</v>
      </c>
      <c r="C134" s="919">
        <f t="shared" si="20"/>
        <v>35.209169977118407</v>
      </c>
      <c r="D134" s="618">
        <v>10224.200000000001</v>
      </c>
      <c r="E134" s="919">
        <f t="shared" si="21"/>
        <v>31.657104286196425</v>
      </c>
      <c r="F134" s="919">
        <f t="shared" si="22"/>
        <v>1147.1999999999989</v>
      </c>
      <c r="G134" s="919">
        <f t="shared" si="23"/>
        <v>3.5520656909219794</v>
      </c>
      <c r="H134" s="26">
        <v>32296.7</v>
      </c>
      <c r="I134" s="918"/>
      <c r="J134" s="918"/>
      <c r="K134" s="918"/>
      <c r="L134" s="918"/>
      <c r="M134" s="918"/>
      <c r="N134" s="918"/>
      <c r="O134" s="918"/>
      <c r="P134" s="918"/>
      <c r="Q134" s="918"/>
      <c r="R134" s="918"/>
      <c r="S134" s="918"/>
      <c r="T134" s="918"/>
      <c r="U134" s="918"/>
      <c r="V134" s="918"/>
      <c r="W134" s="918"/>
      <c r="X134" s="918"/>
      <c r="Y134" s="918"/>
      <c r="Z134" s="918"/>
      <c r="AA134" s="918"/>
      <c r="AB134" s="918"/>
      <c r="AC134" s="918"/>
      <c r="AD134" s="918"/>
      <c r="AE134" s="918"/>
      <c r="AF134" s="918"/>
      <c r="AG134" s="918"/>
      <c r="AH134" s="918"/>
      <c r="AI134" s="918"/>
      <c r="AJ134" s="918"/>
      <c r="AK134" s="918"/>
      <c r="AL134" s="918"/>
      <c r="AM134" s="918"/>
      <c r="AN134" s="918"/>
      <c r="AO134" s="918"/>
      <c r="AP134" s="918"/>
      <c r="AQ134" s="918"/>
      <c r="AR134" s="918"/>
      <c r="AS134" s="918"/>
      <c r="AT134" s="918"/>
      <c r="AU134" s="918"/>
      <c r="AV134" s="918"/>
      <c r="AW134" s="918"/>
      <c r="AX134" s="918"/>
      <c r="AY134" s="918"/>
      <c r="AZ134" s="918"/>
      <c r="BA134" s="918"/>
      <c r="BB134" s="918"/>
      <c r="BC134" s="918"/>
      <c r="BD134" s="918"/>
      <c r="BE134" s="918"/>
      <c r="BF134" s="918"/>
      <c r="BG134" s="918"/>
      <c r="BH134" s="918"/>
      <c r="BI134" s="918"/>
      <c r="BJ134" s="918"/>
      <c r="BK134" s="918"/>
      <c r="BL134" s="918"/>
      <c r="BM134" s="918"/>
      <c r="BN134" s="918"/>
      <c r="BO134" s="918"/>
      <c r="BP134" s="918"/>
      <c r="BQ134" s="918"/>
      <c r="BR134" s="918"/>
      <c r="BS134" s="918"/>
      <c r="BT134" s="918"/>
      <c r="BU134" s="918"/>
      <c r="BV134" s="918"/>
      <c r="BW134" s="918"/>
      <c r="BX134" s="918"/>
      <c r="BY134" s="918"/>
      <c r="BZ134" s="918"/>
      <c r="CA134" s="918"/>
      <c r="CB134" s="918"/>
      <c r="CC134" s="918"/>
      <c r="CD134" s="918"/>
      <c r="CE134" s="918"/>
      <c r="CF134" s="918"/>
      <c r="CG134" s="918"/>
      <c r="CH134" s="918"/>
      <c r="CI134" s="918"/>
      <c r="CJ134" s="918"/>
      <c r="CK134" s="918"/>
      <c r="CL134" s="918"/>
      <c r="CM134" s="918"/>
      <c r="CN134" s="918"/>
      <c r="CO134" s="918"/>
      <c r="CP134" s="918"/>
      <c r="CQ134" s="918"/>
      <c r="CR134" s="918"/>
      <c r="CS134" s="918"/>
      <c r="CT134" s="918"/>
      <c r="CU134" s="918"/>
      <c r="CV134" s="918"/>
      <c r="CW134" s="918"/>
      <c r="CX134" s="918"/>
      <c r="CY134" s="918"/>
      <c r="CZ134" s="918"/>
      <c r="DA134" s="918"/>
      <c r="DB134" s="918"/>
      <c r="DC134" s="918"/>
      <c r="DD134" s="918"/>
      <c r="DE134" s="918"/>
      <c r="DF134" s="918"/>
      <c r="DG134" s="918"/>
      <c r="DH134" s="918"/>
      <c r="DI134" s="918"/>
      <c r="DJ134" s="918"/>
      <c r="DK134" s="918"/>
      <c r="DL134" s="918"/>
      <c r="DM134" s="918"/>
      <c r="DN134" s="918"/>
      <c r="DO134" s="918"/>
      <c r="DP134" s="918"/>
      <c r="DQ134" s="918"/>
      <c r="DR134" s="918"/>
      <c r="DS134" s="918"/>
      <c r="DT134" s="918"/>
      <c r="DU134" s="918"/>
      <c r="DV134" s="918"/>
      <c r="DW134" s="918"/>
      <c r="DX134" s="918"/>
      <c r="DY134" s="918"/>
      <c r="DZ134" s="918"/>
      <c r="EA134" s="918"/>
      <c r="EB134" s="918"/>
      <c r="EC134" s="918"/>
      <c r="ED134" s="918"/>
      <c r="EE134" s="918"/>
      <c r="EF134" s="918"/>
      <c r="EG134" s="918"/>
      <c r="EH134" s="918"/>
      <c r="EI134" s="918"/>
      <c r="EJ134" s="918"/>
      <c r="EK134" s="918"/>
      <c r="EL134" s="918"/>
      <c r="EM134" s="918"/>
      <c r="EN134" s="918"/>
      <c r="EO134" s="918"/>
      <c r="EP134" s="918"/>
      <c r="EQ134" s="918"/>
      <c r="ER134" s="918"/>
      <c r="ES134" s="918"/>
      <c r="ET134" s="918"/>
      <c r="EU134" s="918"/>
      <c r="EV134" s="918"/>
      <c r="EW134" s="918"/>
      <c r="EX134" s="918"/>
      <c r="EY134" s="918"/>
      <c r="EZ134" s="918"/>
      <c r="FA134" s="918"/>
      <c r="FB134" s="918"/>
      <c r="FC134" s="918"/>
      <c r="FD134" s="918"/>
      <c r="FE134" s="918"/>
      <c r="FF134" s="918"/>
      <c r="FG134" s="918"/>
      <c r="FH134" s="918"/>
      <c r="FI134" s="918"/>
      <c r="FJ134" s="918"/>
      <c r="FK134" s="918"/>
      <c r="FL134" s="918"/>
      <c r="FM134" s="918"/>
      <c r="FN134" s="918"/>
      <c r="FO134" s="918"/>
      <c r="FP134" s="918"/>
      <c r="FQ134" s="918"/>
      <c r="FR134" s="918"/>
      <c r="FS134" s="918"/>
      <c r="FT134" s="918"/>
      <c r="FU134" s="918"/>
      <c r="FV134" s="918"/>
      <c r="FW134" s="918"/>
      <c r="FX134" s="918"/>
      <c r="FY134" s="918"/>
      <c r="FZ134" s="918"/>
      <c r="GA134" s="918"/>
      <c r="GB134" s="918"/>
      <c r="GC134" s="918"/>
      <c r="GD134" s="918"/>
      <c r="GE134" s="918"/>
      <c r="GF134" s="918"/>
      <c r="GG134" s="918"/>
      <c r="GH134" s="918"/>
      <c r="GI134" s="918"/>
      <c r="GJ134" s="918"/>
      <c r="GK134" s="918"/>
      <c r="GL134" s="918"/>
      <c r="GM134" s="918"/>
      <c r="GN134" s="918"/>
      <c r="GO134" s="918"/>
      <c r="GP134" s="918"/>
      <c r="GQ134" s="918"/>
      <c r="GR134" s="918"/>
      <c r="GS134" s="918"/>
      <c r="GT134" s="918"/>
      <c r="GU134" s="918"/>
      <c r="GV134" s="918"/>
      <c r="GW134" s="918"/>
      <c r="GX134" s="918"/>
      <c r="GY134" s="918"/>
      <c r="GZ134" s="918"/>
      <c r="HA134" s="918"/>
      <c r="HB134" s="918"/>
      <c r="HC134" s="918"/>
      <c r="HD134" s="918"/>
      <c r="HE134" s="918"/>
      <c r="HF134" s="918"/>
      <c r="HG134" s="918"/>
      <c r="HH134" s="918"/>
      <c r="HI134" s="918"/>
      <c r="HJ134" s="918"/>
      <c r="HK134" s="918"/>
      <c r="HL134" s="918"/>
      <c r="HM134" s="918"/>
      <c r="HN134" s="918"/>
      <c r="HO134" s="918"/>
      <c r="HP134" s="918"/>
      <c r="HQ134" s="918"/>
      <c r="HR134" s="918"/>
      <c r="HS134" s="918"/>
      <c r="HT134" s="918"/>
      <c r="HU134" s="918"/>
      <c r="HV134" s="918"/>
      <c r="HW134" s="918"/>
      <c r="HX134" s="918"/>
      <c r="HY134" s="918"/>
      <c r="HZ134" s="918"/>
      <c r="IA134" s="918"/>
      <c r="IB134" s="918"/>
      <c r="IC134" s="918"/>
      <c r="ID134" s="918"/>
      <c r="IE134" s="918"/>
      <c r="IF134" s="918"/>
      <c r="IG134" s="918"/>
      <c r="IH134" s="918"/>
      <c r="II134" s="918"/>
      <c r="IJ134" s="918"/>
      <c r="IK134" s="918"/>
      <c r="IL134" s="918"/>
      <c r="IM134" s="918"/>
      <c r="IN134" s="918"/>
    </row>
    <row r="135" spans="1:248">
      <c r="A135" s="615" t="s">
        <v>25</v>
      </c>
      <c r="B135" s="617">
        <v>12890.1</v>
      </c>
      <c r="C135" s="919">
        <f t="shared" si="20"/>
        <v>34.447271230738806</v>
      </c>
      <c r="D135" s="618">
        <v>11623.2</v>
      </c>
      <c r="E135" s="919">
        <f t="shared" si="21"/>
        <v>31.06163047370643</v>
      </c>
      <c r="F135" s="919">
        <f t="shared" si="22"/>
        <v>1266.8999999999996</v>
      </c>
      <c r="G135" s="919">
        <f t="shared" si="23"/>
        <v>3.3856407570323719</v>
      </c>
      <c r="H135" s="26">
        <v>37419.800000000003</v>
      </c>
      <c r="I135" s="918"/>
      <c r="J135" s="918"/>
      <c r="K135" s="918"/>
      <c r="L135" s="918"/>
      <c r="M135" s="918"/>
      <c r="N135" s="918"/>
      <c r="O135" s="918"/>
      <c r="P135" s="918"/>
      <c r="Q135" s="918"/>
      <c r="R135" s="918"/>
      <c r="S135" s="918"/>
      <c r="T135" s="918"/>
      <c r="U135" s="918"/>
      <c r="V135" s="918"/>
      <c r="W135" s="918"/>
      <c r="X135" s="918"/>
      <c r="Y135" s="918"/>
      <c r="Z135" s="918"/>
      <c r="AA135" s="918"/>
      <c r="AB135" s="918"/>
      <c r="AC135" s="918"/>
      <c r="AD135" s="918"/>
      <c r="AE135" s="918"/>
      <c r="AF135" s="918"/>
      <c r="AG135" s="918"/>
      <c r="AH135" s="918"/>
      <c r="AI135" s="918"/>
      <c r="AJ135" s="918"/>
      <c r="AK135" s="918"/>
      <c r="AL135" s="918"/>
      <c r="AM135" s="918"/>
      <c r="AN135" s="918"/>
      <c r="AO135" s="918"/>
      <c r="AP135" s="918"/>
      <c r="AQ135" s="918"/>
      <c r="AR135" s="918"/>
      <c r="AS135" s="918"/>
      <c r="AT135" s="918"/>
      <c r="AU135" s="918"/>
      <c r="AV135" s="918"/>
      <c r="AW135" s="918"/>
      <c r="AX135" s="918"/>
      <c r="AY135" s="918"/>
      <c r="AZ135" s="918"/>
      <c r="BA135" s="918"/>
      <c r="BB135" s="918"/>
      <c r="BC135" s="918"/>
      <c r="BD135" s="918"/>
      <c r="BE135" s="918"/>
      <c r="BF135" s="918"/>
      <c r="BG135" s="918"/>
      <c r="BH135" s="918"/>
      <c r="BI135" s="918"/>
      <c r="BJ135" s="918"/>
      <c r="BK135" s="918"/>
      <c r="BL135" s="918"/>
      <c r="BM135" s="918"/>
      <c r="BN135" s="918"/>
      <c r="BO135" s="918"/>
      <c r="BP135" s="918"/>
      <c r="BQ135" s="918"/>
      <c r="BR135" s="918"/>
      <c r="BS135" s="918"/>
      <c r="BT135" s="918"/>
      <c r="BU135" s="918"/>
      <c r="BV135" s="918"/>
      <c r="BW135" s="918"/>
      <c r="BX135" s="918"/>
      <c r="BY135" s="918"/>
      <c r="BZ135" s="918"/>
      <c r="CA135" s="918"/>
      <c r="CB135" s="918"/>
      <c r="CC135" s="918"/>
      <c r="CD135" s="918"/>
      <c r="CE135" s="918"/>
      <c r="CF135" s="918"/>
      <c r="CG135" s="918"/>
      <c r="CH135" s="918"/>
      <c r="CI135" s="918"/>
      <c r="CJ135" s="918"/>
      <c r="CK135" s="918"/>
      <c r="CL135" s="918"/>
      <c r="CM135" s="918"/>
      <c r="CN135" s="918"/>
      <c r="CO135" s="918"/>
      <c r="CP135" s="918"/>
      <c r="CQ135" s="918"/>
      <c r="CR135" s="918"/>
      <c r="CS135" s="918"/>
      <c r="CT135" s="918"/>
      <c r="CU135" s="918"/>
      <c r="CV135" s="918"/>
      <c r="CW135" s="918"/>
      <c r="CX135" s="918"/>
      <c r="CY135" s="918"/>
      <c r="CZ135" s="918"/>
      <c r="DA135" s="918"/>
      <c r="DB135" s="918"/>
      <c r="DC135" s="918"/>
      <c r="DD135" s="918"/>
      <c r="DE135" s="918"/>
      <c r="DF135" s="918"/>
      <c r="DG135" s="918"/>
      <c r="DH135" s="918"/>
      <c r="DI135" s="918"/>
      <c r="DJ135" s="918"/>
      <c r="DK135" s="918"/>
      <c r="DL135" s="918"/>
      <c r="DM135" s="918"/>
      <c r="DN135" s="918"/>
      <c r="DO135" s="918"/>
      <c r="DP135" s="918"/>
      <c r="DQ135" s="918"/>
      <c r="DR135" s="918"/>
      <c r="DS135" s="918"/>
      <c r="DT135" s="918"/>
      <c r="DU135" s="918"/>
      <c r="DV135" s="918"/>
      <c r="DW135" s="918"/>
      <c r="DX135" s="918"/>
      <c r="DY135" s="918"/>
      <c r="DZ135" s="918"/>
      <c r="EA135" s="918"/>
      <c r="EB135" s="918"/>
      <c r="EC135" s="918"/>
      <c r="ED135" s="918"/>
      <c r="EE135" s="918"/>
      <c r="EF135" s="918"/>
      <c r="EG135" s="918"/>
      <c r="EH135" s="918"/>
      <c r="EI135" s="918"/>
      <c r="EJ135" s="918"/>
      <c r="EK135" s="918"/>
      <c r="EL135" s="918"/>
      <c r="EM135" s="918"/>
      <c r="EN135" s="918"/>
      <c r="EO135" s="918"/>
      <c r="EP135" s="918"/>
      <c r="EQ135" s="918"/>
      <c r="ER135" s="918"/>
      <c r="ES135" s="918"/>
      <c r="ET135" s="918"/>
      <c r="EU135" s="918"/>
      <c r="EV135" s="918"/>
      <c r="EW135" s="918"/>
      <c r="EX135" s="918"/>
      <c r="EY135" s="918"/>
      <c r="EZ135" s="918"/>
      <c r="FA135" s="918"/>
      <c r="FB135" s="918"/>
      <c r="FC135" s="918"/>
      <c r="FD135" s="918"/>
      <c r="FE135" s="918"/>
      <c r="FF135" s="918"/>
      <c r="FG135" s="918"/>
      <c r="FH135" s="918"/>
      <c r="FI135" s="918"/>
      <c r="FJ135" s="918"/>
      <c r="FK135" s="918"/>
      <c r="FL135" s="918"/>
      <c r="FM135" s="918"/>
      <c r="FN135" s="918"/>
      <c r="FO135" s="918"/>
      <c r="FP135" s="918"/>
      <c r="FQ135" s="918"/>
      <c r="FR135" s="918"/>
      <c r="FS135" s="918"/>
      <c r="FT135" s="918"/>
      <c r="FU135" s="918"/>
      <c r="FV135" s="918"/>
      <c r="FW135" s="918"/>
      <c r="FX135" s="918"/>
      <c r="FY135" s="918"/>
      <c r="FZ135" s="918"/>
      <c r="GA135" s="918"/>
      <c r="GB135" s="918"/>
      <c r="GC135" s="918"/>
      <c r="GD135" s="918"/>
      <c r="GE135" s="918"/>
      <c r="GF135" s="918"/>
      <c r="GG135" s="918"/>
      <c r="GH135" s="918"/>
      <c r="GI135" s="918"/>
      <c r="GJ135" s="918"/>
      <c r="GK135" s="918"/>
      <c r="GL135" s="918"/>
      <c r="GM135" s="918"/>
      <c r="GN135" s="918"/>
      <c r="GO135" s="918"/>
      <c r="GP135" s="918"/>
      <c r="GQ135" s="918"/>
      <c r="GR135" s="918"/>
      <c r="GS135" s="918"/>
      <c r="GT135" s="918"/>
      <c r="GU135" s="918"/>
      <c r="GV135" s="918"/>
      <c r="GW135" s="918"/>
      <c r="GX135" s="918"/>
      <c r="GY135" s="918"/>
      <c r="GZ135" s="918"/>
      <c r="HA135" s="918"/>
      <c r="HB135" s="918"/>
      <c r="HC135" s="918"/>
      <c r="HD135" s="918"/>
      <c r="HE135" s="918"/>
      <c r="HF135" s="918"/>
      <c r="HG135" s="918"/>
      <c r="HH135" s="918"/>
      <c r="HI135" s="918"/>
      <c r="HJ135" s="918"/>
      <c r="HK135" s="918"/>
      <c r="HL135" s="918"/>
      <c r="HM135" s="918"/>
      <c r="HN135" s="918"/>
      <c r="HO135" s="918"/>
      <c r="HP135" s="918"/>
      <c r="HQ135" s="918"/>
      <c r="HR135" s="918"/>
      <c r="HS135" s="918"/>
      <c r="HT135" s="918"/>
      <c r="HU135" s="918"/>
      <c r="HV135" s="918"/>
      <c r="HW135" s="918"/>
      <c r="HX135" s="918"/>
      <c r="HY135" s="918"/>
      <c r="HZ135" s="918"/>
      <c r="IA135" s="918"/>
      <c r="IB135" s="918"/>
      <c r="IC135" s="918"/>
      <c r="ID135" s="918"/>
      <c r="IE135" s="918"/>
      <c r="IF135" s="918"/>
      <c r="IG135" s="918"/>
      <c r="IH135" s="918"/>
      <c r="II135" s="918"/>
      <c r="IJ135" s="918"/>
      <c r="IK135" s="918"/>
      <c r="IL135" s="918"/>
      <c r="IM135" s="918"/>
      <c r="IN135" s="918"/>
    </row>
    <row r="136" spans="1:248">
      <c r="A136" s="615" t="s">
        <v>26</v>
      </c>
      <c r="B136" s="617">
        <v>14330.1</v>
      </c>
      <c r="C136" s="919">
        <f t="shared" si="20"/>
        <v>33.522270047721534</v>
      </c>
      <c r="D136" s="618">
        <v>12719.7</v>
      </c>
      <c r="E136" s="919">
        <f t="shared" si="21"/>
        <v>29.755076260877704</v>
      </c>
      <c r="F136" s="919">
        <f t="shared" si="22"/>
        <v>1610.3999999999996</v>
      </c>
      <c r="G136" s="919">
        <f t="shared" si="23"/>
        <v>3.7671937868438281</v>
      </c>
      <c r="H136" s="26">
        <v>42748</v>
      </c>
      <c r="I136" s="918"/>
      <c r="J136" s="918"/>
      <c r="K136" s="918"/>
      <c r="L136" s="918"/>
      <c r="M136" s="918"/>
      <c r="N136" s="918"/>
      <c r="O136" s="918"/>
      <c r="P136" s="918"/>
      <c r="Q136" s="918"/>
      <c r="R136" s="918"/>
      <c r="S136" s="918"/>
      <c r="T136" s="918"/>
      <c r="U136" s="918"/>
      <c r="V136" s="918"/>
      <c r="W136" s="918"/>
      <c r="X136" s="918"/>
      <c r="Y136" s="918"/>
      <c r="Z136" s="918"/>
      <c r="AA136" s="918"/>
      <c r="AB136" s="918"/>
      <c r="AC136" s="918"/>
      <c r="AD136" s="918"/>
      <c r="AE136" s="918"/>
      <c r="AF136" s="918"/>
      <c r="AG136" s="918"/>
      <c r="AH136" s="918"/>
      <c r="AI136" s="918"/>
      <c r="AJ136" s="918"/>
      <c r="AK136" s="918"/>
      <c r="AL136" s="918"/>
      <c r="AM136" s="918"/>
      <c r="AN136" s="918"/>
      <c r="AO136" s="918"/>
      <c r="AP136" s="918"/>
      <c r="AQ136" s="918"/>
      <c r="AR136" s="918"/>
      <c r="AS136" s="918"/>
      <c r="AT136" s="918"/>
      <c r="AU136" s="918"/>
      <c r="AV136" s="918"/>
      <c r="AW136" s="918"/>
      <c r="AX136" s="918"/>
      <c r="AY136" s="918"/>
      <c r="AZ136" s="918"/>
      <c r="BA136" s="918"/>
      <c r="BB136" s="918"/>
      <c r="BC136" s="918"/>
      <c r="BD136" s="918"/>
      <c r="BE136" s="918"/>
      <c r="BF136" s="918"/>
      <c r="BG136" s="918"/>
      <c r="BH136" s="918"/>
      <c r="BI136" s="918"/>
      <c r="BJ136" s="918"/>
      <c r="BK136" s="918"/>
      <c r="BL136" s="918"/>
      <c r="BM136" s="918"/>
      <c r="BN136" s="918"/>
      <c r="BO136" s="918"/>
      <c r="BP136" s="918"/>
      <c r="BQ136" s="918"/>
      <c r="BR136" s="918"/>
      <c r="BS136" s="918"/>
      <c r="BT136" s="918"/>
      <c r="BU136" s="918"/>
      <c r="BV136" s="918"/>
      <c r="BW136" s="918"/>
      <c r="BX136" s="918"/>
      <c r="BY136" s="918"/>
      <c r="BZ136" s="918"/>
      <c r="CA136" s="918"/>
      <c r="CB136" s="918"/>
      <c r="CC136" s="918"/>
      <c r="CD136" s="918"/>
      <c r="CE136" s="918"/>
      <c r="CF136" s="918"/>
      <c r="CG136" s="918"/>
      <c r="CH136" s="918"/>
      <c r="CI136" s="918"/>
      <c r="CJ136" s="918"/>
      <c r="CK136" s="918"/>
      <c r="CL136" s="918"/>
      <c r="CM136" s="918"/>
      <c r="CN136" s="918"/>
      <c r="CO136" s="918"/>
      <c r="CP136" s="918"/>
      <c r="CQ136" s="918"/>
      <c r="CR136" s="918"/>
      <c r="CS136" s="918"/>
      <c r="CT136" s="918"/>
      <c r="CU136" s="918"/>
      <c r="CV136" s="918"/>
      <c r="CW136" s="918"/>
      <c r="CX136" s="918"/>
      <c r="CY136" s="918"/>
      <c r="CZ136" s="918"/>
      <c r="DA136" s="918"/>
      <c r="DB136" s="918"/>
      <c r="DC136" s="918"/>
      <c r="DD136" s="918"/>
      <c r="DE136" s="918"/>
      <c r="DF136" s="918"/>
      <c r="DG136" s="918"/>
      <c r="DH136" s="918"/>
      <c r="DI136" s="918"/>
      <c r="DJ136" s="918"/>
      <c r="DK136" s="918"/>
      <c r="DL136" s="918"/>
      <c r="DM136" s="918"/>
      <c r="DN136" s="918"/>
      <c r="DO136" s="918"/>
      <c r="DP136" s="918"/>
      <c r="DQ136" s="918"/>
      <c r="DR136" s="918"/>
      <c r="DS136" s="918"/>
      <c r="DT136" s="918"/>
      <c r="DU136" s="918"/>
      <c r="DV136" s="918"/>
      <c r="DW136" s="918"/>
      <c r="DX136" s="918"/>
      <c r="DY136" s="918"/>
      <c r="DZ136" s="918"/>
      <c r="EA136" s="918"/>
      <c r="EB136" s="918"/>
      <c r="EC136" s="918"/>
      <c r="ED136" s="918"/>
      <c r="EE136" s="918"/>
      <c r="EF136" s="918"/>
      <c r="EG136" s="918"/>
      <c r="EH136" s="918"/>
      <c r="EI136" s="918"/>
      <c r="EJ136" s="918"/>
      <c r="EK136" s="918"/>
      <c r="EL136" s="918"/>
      <c r="EM136" s="918"/>
      <c r="EN136" s="918"/>
      <c r="EO136" s="918"/>
      <c r="EP136" s="918"/>
      <c r="EQ136" s="918"/>
      <c r="ER136" s="918"/>
      <c r="ES136" s="918"/>
      <c r="ET136" s="918"/>
      <c r="EU136" s="918"/>
      <c r="EV136" s="918"/>
      <c r="EW136" s="918"/>
      <c r="EX136" s="918"/>
      <c r="EY136" s="918"/>
      <c r="EZ136" s="918"/>
      <c r="FA136" s="918"/>
      <c r="FB136" s="918"/>
      <c r="FC136" s="918"/>
      <c r="FD136" s="918"/>
      <c r="FE136" s="918"/>
      <c r="FF136" s="918"/>
      <c r="FG136" s="918"/>
      <c r="FH136" s="918"/>
      <c r="FI136" s="918"/>
      <c r="FJ136" s="918"/>
      <c r="FK136" s="918"/>
      <c r="FL136" s="918"/>
      <c r="FM136" s="918"/>
      <c r="FN136" s="918"/>
      <c r="FO136" s="918"/>
      <c r="FP136" s="918"/>
      <c r="FQ136" s="918"/>
      <c r="FR136" s="918"/>
      <c r="FS136" s="918"/>
      <c r="FT136" s="918"/>
      <c r="FU136" s="918"/>
      <c r="FV136" s="918"/>
      <c r="FW136" s="918"/>
      <c r="FX136" s="918"/>
      <c r="FY136" s="918"/>
      <c r="FZ136" s="918"/>
      <c r="GA136" s="918"/>
      <c r="GB136" s="918"/>
      <c r="GC136" s="918"/>
      <c r="GD136" s="918"/>
      <c r="GE136" s="918"/>
      <c r="GF136" s="918"/>
      <c r="GG136" s="918"/>
      <c r="GH136" s="918"/>
      <c r="GI136" s="918"/>
      <c r="GJ136" s="918"/>
      <c r="GK136" s="918"/>
      <c r="GL136" s="918"/>
      <c r="GM136" s="918"/>
      <c r="GN136" s="918"/>
      <c r="GO136" s="918"/>
      <c r="GP136" s="918"/>
      <c r="GQ136" s="918"/>
      <c r="GR136" s="918"/>
      <c r="GS136" s="918"/>
      <c r="GT136" s="918"/>
      <c r="GU136" s="918"/>
      <c r="GV136" s="918"/>
      <c r="GW136" s="918"/>
      <c r="GX136" s="918"/>
      <c r="GY136" s="918"/>
      <c r="GZ136" s="918"/>
      <c r="HA136" s="918"/>
      <c r="HB136" s="918"/>
      <c r="HC136" s="918"/>
      <c r="HD136" s="918"/>
      <c r="HE136" s="918"/>
      <c r="HF136" s="918"/>
      <c r="HG136" s="918"/>
      <c r="HH136" s="918"/>
      <c r="HI136" s="918"/>
      <c r="HJ136" s="918"/>
      <c r="HK136" s="918"/>
      <c r="HL136" s="918"/>
      <c r="HM136" s="918"/>
      <c r="HN136" s="918"/>
      <c r="HO136" s="918"/>
      <c r="HP136" s="918"/>
      <c r="HQ136" s="918"/>
      <c r="HR136" s="918"/>
      <c r="HS136" s="918"/>
      <c r="HT136" s="918"/>
      <c r="HU136" s="918"/>
      <c r="HV136" s="918"/>
      <c r="HW136" s="918"/>
      <c r="HX136" s="918"/>
      <c r="HY136" s="918"/>
      <c r="HZ136" s="918"/>
      <c r="IA136" s="918"/>
      <c r="IB136" s="918"/>
      <c r="IC136" s="918"/>
      <c r="ID136" s="918"/>
      <c r="IE136" s="918"/>
      <c r="IF136" s="918"/>
      <c r="IG136" s="918"/>
      <c r="IH136" s="918"/>
      <c r="II136" s="918"/>
      <c r="IJ136" s="918"/>
      <c r="IK136" s="918"/>
      <c r="IL136" s="918"/>
      <c r="IM136" s="918"/>
      <c r="IN136" s="918"/>
    </row>
    <row r="137" spans="1:248">
      <c r="A137" s="615" t="s">
        <v>27</v>
      </c>
      <c r="B137" s="617">
        <v>16234.8</v>
      </c>
      <c r="C137" s="919">
        <f t="shared" si="20"/>
        <v>34.132106650744461</v>
      </c>
      <c r="D137" s="618">
        <v>14020.7</v>
      </c>
      <c r="E137" s="919">
        <f t="shared" si="21"/>
        <v>29.477174200981406</v>
      </c>
      <c r="F137" s="919">
        <f t="shared" si="22"/>
        <v>2214.0999999999985</v>
      </c>
      <c r="G137" s="919">
        <f t="shared" si="23"/>
        <v>4.6549324497630566</v>
      </c>
      <c r="H137" s="26">
        <v>47564.6</v>
      </c>
      <c r="I137" s="918"/>
      <c r="J137" s="918"/>
      <c r="K137" s="918"/>
      <c r="L137" s="918"/>
      <c r="M137" s="918"/>
      <c r="N137" s="918"/>
      <c r="O137" s="918"/>
      <c r="P137" s="918"/>
      <c r="Q137" s="918"/>
      <c r="R137" s="918"/>
      <c r="S137" s="918"/>
      <c r="T137" s="918"/>
      <c r="U137" s="918"/>
      <c r="V137" s="918"/>
      <c r="W137" s="918"/>
      <c r="X137" s="918"/>
      <c r="Y137" s="918"/>
      <c r="Z137" s="918"/>
      <c r="AA137" s="918"/>
      <c r="AB137" s="918"/>
      <c r="AC137" s="918"/>
      <c r="AD137" s="918"/>
      <c r="AE137" s="918"/>
      <c r="AF137" s="918"/>
      <c r="AG137" s="918"/>
      <c r="AH137" s="918"/>
      <c r="AI137" s="918"/>
      <c r="AJ137" s="918"/>
      <c r="AK137" s="918"/>
      <c r="AL137" s="918"/>
      <c r="AM137" s="918"/>
      <c r="AN137" s="918"/>
      <c r="AO137" s="918"/>
      <c r="AP137" s="918"/>
      <c r="AQ137" s="918"/>
      <c r="AR137" s="918"/>
      <c r="AS137" s="918"/>
      <c r="AT137" s="918"/>
      <c r="AU137" s="918"/>
      <c r="AV137" s="918"/>
      <c r="AW137" s="918"/>
      <c r="AX137" s="918"/>
      <c r="AY137" s="918"/>
      <c r="AZ137" s="918"/>
      <c r="BA137" s="918"/>
      <c r="BB137" s="918"/>
      <c r="BC137" s="918"/>
      <c r="BD137" s="918"/>
      <c r="BE137" s="918"/>
      <c r="BF137" s="918"/>
      <c r="BG137" s="918"/>
      <c r="BH137" s="918"/>
      <c r="BI137" s="918"/>
      <c r="BJ137" s="918"/>
      <c r="BK137" s="918"/>
      <c r="BL137" s="918"/>
      <c r="BM137" s="918"/>
      <c r="BN137" s="918"/>
      <c r="BO137" s="918"/>
      <c r="BP137" s="918"/>
      <c r="BQ137" s="918"/>
      <c r="BR137" s="918"/>
      <c r="BS137" s="918"/>
      <c r="BT137" s="918"/>
      <c r="BU137" s="918"/>
      <c r="BV137" s="918"/>
      <c r="BW137" s="918"/>
      <c r="BX137" s="918"/>
      <c r="BY137" s="918"/>
      <c r="BZ137" s="918"/>
      <c r="CA137" s="918"/>
      <c r="CB137" s="918"/>
      <c r="CC137" s="918"/>
      <c r="CD137" s="918"/>
      <c r="CE137" s="918"/>
      <c r="CF137" s="918"/>
      <c r="CG137" s="918"/>
      <c r="CH137" s="918"/>
      <c r="CI137" s="918"/>
      <c r="CJ137" s="918"/>
      <c r="CK137" s="918"/>
      <c r="CL137" s="918"/>
      <c r="CM137" s="918"/>
      <c r="CN137" s="918"/>
      <c r="CO137" s="918"/>
      <c r="CP137" s="918"/>
      <c r="CQ137" s="918"/>
      <c r="CR137" s="918"/>
      <c r="CS137" s="918"/>
      <c r="CT137" s="918"/>
      <c r="CU137" s="918"/>
      <c r="CV137" s="918"/>
      <c r="CW137" s="918"/>
      <c r="CX137" s="918"/>
      <c r="CY137" s="918"/>
      <c r="CZ137" s="918"/>
      <c r="DA137" s="918"/>
      <c r="DB137" s="918"/>
      <c r="DC137" s="918"/>
      <c r="DD137" s="918"/>
      <c r="DE137" s="918"/>
      <c r="DF137" s="918"/>
      <c r="DG137" s="918"/>
      <c r="DH137" s="918"/>
      <c r="DI137" s="918"/>
      <c r="DJ137" s="918"/>
      <c r="DK137" s="918"/>
      <c r="DL137" s="918"/>
      <c r="DM137" s="918"/>
      <c r="DN137" s="918"/>
      <c r="DO137" s="918"/>
      <c r="DP137" s="918"/>
      <c r="DQ137" s="918"/>
      <c r="DR137" s="918"/>
      <c r="DS137" s="918"/>
      <c r="DT137" s="918"/>
      <c r="DU137" s="918"/>
      <c r="DV137" s="918"/>
      <c r="DW137" s="918"/>
      <c r="DX137" s="918"/>
      <c r="DY137" s="918"/>
      <c r="DZ137" s="918"/>
      <c r="EA137" s="918"/>
      <c r="EB137" s="918"/>
      <c r="EC137" s="918"/>
      <c r="ED137" s="918"/>
      <c r="EE137" s="918"/>
      <c r="EF137" s="918"/>
      <c r="EG137" s="918"/>
      <c r="EH137" s="918"/>
      <c r="EI137" s="918"/>
      <c r="EJ137" s="918"/>
      <c r="EK137" s="918"/>
      <c r="EL137" s="918"/>
      <c r="EM137" s="918"/>
      <c r="EN137" s="918"/>
      <c r="EO137" s="918"/>
      <c r="EP137" s="918"/>
      <c r="EQ137" s="918"/>
      <c r="ER137" s="918"/>
      <c r="ES137" s="918"/>
      <c r="ET137" s="918"/>
      <c r="EU137" s="918"/>
      <c r="EV137" s="918"/>
      <c r="EW137" s="918"/>
      <c r="EX137" s="918"/>
      <c r="EY137" s="918"/>
      <c r="EZ137" s="918"/>
      <c r="FA137" s="918"/>
      <c r="FB137" s="918"/>
      <c r="FC137" s="918"/>
      <c r="FD137" s="918"/>
      <c r="FE137" s="918"/>
      <c r="FF137" s="918"/>
      <c r="FG137" s="918"/>
      <c r="FH137" s="918"/>
      <c r="FI137" s="918"/>
      <c r="FJ137" s="918"/>
      <c r="FK137" s="918"/>
      <c r="FL137" s="918"/>
      <c r="FM137" s="918"/>
      <c r="FN137" s="918"/>
      <c r="FO137" s="918"/>
      <c r="FP137" s="918"/>
      <c r="FQ137" s="918"/>
      <c r="FR137" s="918"/>
      <c r="FS137" s="918"/>
      <c r="FT137" s="918"/>
      <c r="FU137" s="918"/>
      <c r="FV137" s="918"/>
      <c r="FW137" s="918"/>
      <c r="FX137" s="918"/>
      <c r="FY137" s="918"/>
      <c r="FZ137" s="918"/>
      <c r="GA137" s="918"/>
      <c r="GB137" s="918"/>
      <c r="GC137" s="918"/>
      <c r="GD137" s="918"/>
      <c r="GE137" s="918"/>
      <c r="GF137" s="918"/>
      <c r="GG137" s="918"/>
      <c r="GH137" s="918"/>
      <c r="GI137" s="918"/>
      <c r="GJ137" s="918"/>
      <c r="GK137" s="918"/>
      <c r="GL137" s="918"/>
      <c r="GM137" s="918"/>
      <c r="GN137" s="918"/>
      <c r="GO137" s="918"/>
      <c r="GP137" s="918"/>
      <c r="GQ137" s="918"/>
      <c r="GR137" s="918"/>
      <c r="GS137" s="918"/>
      <c r="GT137" s="918"/>
      <c r="GU137" s="918"/>
      <c r="GV137" s="918"/>
      <c r="GW137" s="918"/>
      <c r="GX137" s="918"/>
      <c r="GY137" s="918"/>
      <c r="GZ137" s="918"/>
      <c r="HA137" s="918"/>
      <c r="HB137" s="918"/>
      <c r="HC137" s="918"/>
      <c r="HD137" s="918"/>
      <c r="HE137" s="918"/>
      <c r="HF137" s="918"/>
      <c r="HG137" s="918"/>
      <c r="HH137" s="918"/>
      <c r="HI137" s="918"/>
      <c r="HJ137" s="918"/>
      <c r="HK137" s="918"/>
      <c r="HL137" s="918"/>
      <c r="HM137" s="918"/>
      <c r="HN137" s="918"/>
      <c r="HO137" s="918"/>
      <c r="HP137" s="918"/>
      <c r="HQ137" s="918"/>
      <c r="HR137" s="918"/>
      <c r="HS137" s="918"/>
      <c r="HT137" s="918"/>
      <c r="HU137" s="918"/>
      <c r="HV137" s="918"/>
      <c r="HW137" s="918"/>
      <c r="HX137" s="918"/>
      <c r="HY137" s="918"/>
      <c r="HZ137" s="918"/>
      <c r="IA137" s="918"/>
      <c r="IB137" s="918"/>
      <c r="IC137" s="918"/>
      <c r="ID137" s="918"/>
      <c r="IE137" s="918"/>
      <c r="IF137" s="918"/>
      <c r="IG137" s="918"/>
      <c r="IH137" s="918"/>
      <c r="II137" s="918"/>
      <c r="IJ137" s="918"/>
      <c r="IK137" s="918"/>
      <c r="IL137" s="918"/>
      <c r="IM137" s="918"/>
      <c r="IN137" s="918"/>
    </row>
    <row r="138" spans="1:248">
      <c r="A138" s="615" t="s">
        <v>29</v>
      </c>
      <c r="B138" s="617">
        <v>19496.3</v>
      </c>
      <c r="C138" s="919">
        <v>33.781334368425973</v>
      </c>
      <c r="D138" s="618">
        <v>19143.5</v>
      </c>
      <c r="E138" s="919">
        <v>33.172928630593226</v>
      </c>
      <c r="F138" s="919">
        <v>352.79999999999927</v>
      </c>
      <c r="G138" s="919">
        <f t="shared" si="23"/>
        <v>0.60637310508404541</v>
      </c>
      <c r="H138" s="26">
        <v>58182</v>
      </c>
      <c r="I138" s="918"/>
      <c r="J138" s="918"/>
      <c r="K138" s="918"/>
      <c r="L138" s="918"/>
      <c r="M138" s="918"/>
      <c r="N138" s="918"/>
      <c r="O138" s="918"/>
      <c r="P138" s="918"/>
      <c r="Q138" s="918"/>
      <c r="R138" s="918"/>
      <c r="S138" s="918"/>
      <c r="T138" s="918"/>
      <c r="U138" s="918"/>
      <c r="V138" s="918"/>
      <c r="W138" s="918"/>
      <c r="X138" s="918"/>
      <c r="Y138" s="918"/>
      <c r="Z138" s="918"/>
      <c r="AA138" s="918"/>
      <c r="AB138" s="918"/>
      <c r="AC138" s="918"/>
      <c r="AD138" s="918"/>
      <c r="AE138" s="918"/>
      <c r="AF138" s="918"/>
      <c r="AG138" s="918"/>
      <c r="AH138" s="918"/>
      <c r="AI138" s="918"/>
      <c r="AJ138" s="918"/>
      <c r="AK138" s="918"/>
      <c r="AL138" s="918"/>
      <c r="AM138" s="918"/>
      <c r="AN138" s="918"/>
      <c r="AO138" s="918"/>
      <c r="AP138" s="918"/>
      <c r="AQ138" s="918"/>
      <c r="AR138" s="918"/>
      <c r="AS138" s="918"/>
      <c r="AT138" s="918"/>
      <c r="AU138" s="918"/>
      <c r="AV138" s="918"/>
      <c r="AW138" s="918"/>
      <c r="AX138" s="918"/>
      <c r="AY138" s="918"/>
      <c r="AZ138" s="918"/>
      <c r="BA138" s="918"/>
      <c r="BB138" s="918"/>
      <c r="BC138" s="918"/>
      <c r="BD138" s="918"/>
      <c r="BE138" s="918"/>
      <c r="BF138" s="918"/>
      <c r="BG138" s="918"/>
      <c r="BH138" s="918"/>
      <c r="BI138" s="918"/>
      <c r="BJ138" s="918"/>
      <c r="BK138" s="918"/>
      <c r="BL138" s="918"/>
      <c r="BM138" s="918"/>
      <c r="BN138" s="918"/>
      <c r="BO138" s="918"/>
      <c r="BP138" s="918"/>
      <c r="BQ138" s="918"/>
      <c r="BR138" s="918"/>
      <c r="BS138" s="918"/>
      <c r="BT138" s="918"/>
      <c r="BU138" s="918"/>
      <c r="BV138" s="918"/>
      <c r="BW138" s="918"/>
      <c r="BX138" s="918"/>
      <c r="BY138" s="918"/>
      <c r="BZ138" s="918"/>
      <c r="CA138" s="918"/>
      <c r="CB138" s="918"/>
      <c r="CC138" s="918"/>
      <c r="CD138" s="918"/>
      <c r="CE138" s="918"/>
      <c r="CF138" s="918"/>
      <c r="CG138" s="918"/>
      <c r="CH138" s="918"/>
      <c r="CI138" s="918"/>
      <c r="CJ138" s="918"/>
      <c r="CK138" s="918"/>
      <c r="CL138" s="918"/>
      <c r="CM138" s="918"/>
      <c r="CN138" s="918"/>
      <c r="CO138" s="918"/>
      <c r="CP138" s="918"/>
      <c r="CQ138" s="918"/>
      <c r="CR138" s="918"/>
      <c r="CS138" s="918"/>
      <c r="CT138" s="918"/>
      <c r="CU138" s="918"/>
      <c r="CV138" s="918"/>
      <c r="CW138" s="918"/>
      <c r="CX138" s="918"/>
      <c r="CY138" s="918"/>
      <c r="CZ138" s="918"/>
      <c r="DA138" s="918"/>
      <c r="DB138" s="918"/>
      <c r="DC138" s="918"/>
      <c r="DD138" s="918"/>
      <c r="DE138" s="918"/>
      <c r="DF138" s="918"/>
      <c r="DG138" s="918"/>
      <c r="DH138" s="918"/>
      <c r="DI138" s="918"/>
      <c r="DJ138" s="918"/>
      <c r="DK138" s="918"/>
      <c r="DL138" s="918"/>
      <c r="DM138" s="918"/>
      <c r="DN138" s="918"/>
      <c r="DO138" s="918"/>
      <c r="DP138" s="918"/>
      <c r="DQ138" s="918"/>
      <c r="DR138" s="918"/>
      <c r="DS138" s="918"/>
      <c r="DT138" s="918"/>
      <c r="DU138" s="918"/>
      <c r="DV138" s="918"/>
      <c r="DW138" s="918"/>
      <c r="DX138" s="918"/>
      <c r="DY138" s="918"/>
      <c r="DZ138" s="918"/>
      <c r="EA138" s="918"/>
      <c r="EB138" s="918"/>
      <c r="EC138" s="918"/>
      <c r="ED138" s="918"/>
      <c r="EE138" s="918"/>
      <c r="EF138" s="918"/>
      <c r="EG138" s="918"/>
      <c r="EH138" s="918"/>
      <c r="EI138" s="918"/>
      <c r="EJ138" s="918"/>
      <c r="EK138" s="918"/>
      <c r="EL138" s="918"/>
      <c r="EM138" s="918"/>
      <c r="EN138" s="918"/>
      <c r="EO138" s="918"/>
      <c r="EP138" s="918"/>
      <c r="EQ138" s="918"/>
      <c r="ER138" s="918"/>
      <c r="ES138" s="918"/>
      <c r="ET138" s="918"/>
      <c r="EU138" s="918"/>
      <c r="EV138" s="918"/>
      <c r="EW138" s="918"/>
      <c r="EX138" s="918"/>
      <c r="EY138" s="918"/>
      <c r="EZ138" s="918"/>
      <c r="FA138" s="918"/>
      <c r="FB138" s="918"/>
      <c r="FC138" s="918"/>
      <c r="FD138" s="918"/>
      <c r="FE138" s="918"/>
      <c r="FF138" s="918"/>
      <c r="FG138" s="918"/>
      <c r="FH138" s="918"/>
      <c r="FI138" s="918"/>
      <c r="FJ138" s="918"/>
      <c r="FK138" s="918"/>
      <c r="FL138" s="918"/>
      <c r="FM138" s="918"/>
      <c r="FN138" s="918"/>
      <c r="FO138" s="918"/>
      <c r="FP138" s="918"/>
      <c r="FQ138" s="918"/>
      <c r="FR138" s="918"/>
      <c r="FS138" s="918"/>
      <c r="FT138" s="918"/>
      <c r="FU138" s="918"/>
      <c r="FV138" s="918"/>
      <c r="FW138" s="918"/>
      <c r="FX138" s="918"/>
      <c r="FY138" s="918"/>
      <c r="FZ138" s="918"/>
      <c r="GA138" s="918"/>
      <c r="GB138" s="918"/>
      <c r="GC138" s="918"/>
      <c r="GD138" s="918"/>
      <c r="GE138" s="918"/>
      <c r="GF138" s="918"/>
      <c r="GG138" s="918"/>
      <c r="GH138" s="918"/>
      <c r="GI138" s="918"/>
      <c r="GJ138" s="918"/>
      <c r="GK138" s="918"/>
      <c r="GL138" s="918"/>
      <c r="GM138" s="918"/>
      <c r="GN138" s="918"/>
      <c r="GO138" s="918"/>
      <c r="GP138" s="918"/>
      <c r="GQ138" s="918"/>
      <c r="GR138" s="918"/>
      <c r="GS138" s="918"/>
      <c r="GT138" s="918"/>
      <c r="GU138" s="918"/>
      <c r="GV138" s="918"/>
      <c r="GW138" s="918"/>
      <c r="GX138" s="918"/>
      <c r="GY138" s="918"/>
      <c r="GZ138" s="918"/>
      <c r="HA138" s="918"/>
      <c r="HB138" s="918"/>
      <c r="HC138" s="918"/>
      <c r="HD138" s="918"/>
      <c r="HE138" s="918"/>
      <c r="HF138" s="918"/>
      <c r="HG138" s="918"/>
      <c r="HH138" s="918"/>
      <c r="HI138" s="918"/>
      <c r="HJ138" s="918"/>
      <c r="HK138" s="918"/>
      <c r="HL138" s="918"/>
      <c r="HM138" s="918"/>
      <c r="HN138" s="918"/>
      <c r="HO138" s="918"/>
      <c r="HP138" s="918"/>
      <c r="HQ138" s="918"/>
      <c r="HR138" s="918"/>
      <c r="HS138" s="918"/>
      <c r="HT138" s="918"/>
      <c r="HU138" s="918"/>
      <c r="HV138" s="918"/>
      <c r="HW138" s="918"/>
      <c r="HX138" s="918"/>
      <c r="HY138" s="918"/>
      <c r="HZ138" s="918"/>
      <c r="IA138" s="918"/>
      <c r="IB138" s="918"/>
      <c r="IC138" s="918"/>
      <c r="ID138" s="918"/>
      <c r="IE138" s="918"/>
      <c r="IF138" s="918"/>
      <c r="IG138" s="918"/>
      <c r="IH138" s="918"/>
      <c r="II138" s="918"/>
      <c r="IJ138" s="918"/>
      <c r="IK138" s="918"/>
      <c r="IL138" s="918"/>
      <c r="IM138" s="918"/>
      <c r="IN138" s="918"/>
    </row>
    <row r="139" spans="1:248">
      <c r="A139" s="610">
        <v>2014</v>
      </c>
      <c r="B139" s="612">
        <v>18400.599999999999</v>
      </c>
      <c r="C139" s="612">
        <v>31.199027430660347</v>
      </c>
      <c r="D139" s="613">
        <v>18709</v>
      </c>
      <c r="E139" s="612">
        <v>31.705658739390074</v>
      </c>
      <c r="F139" s="920">
        <f>B139-D139</f>
        <v>-308.40000000000146</v>
      </c>
      <c r="G139" s="612">
        <v>-0.50631967614519113</v>
      </c>
      <c r="H139" s="26"/>
      <c r="I139" s="918"/>
      <c r="J139" s="918"/>
      <c r="K139" s="918"/>
      <c r="L139" s="918"/>
      <c r="M139" s="918"/>
      <c r="N139" s="918"/>
      <c r="O139" s="918"/>
      <c r="P139" s="918"/>
      <c r="Q139" s="918"/>
      <c r="R139" s="918"/>
      <c r="S139" s="918"/>
      <c r="T139" s="918"/>
      <c r="U139" s="918"/>
      <c r="V139" s="918"/>
      <c r="W139" s="918"/>
      <c r="X139" s="918"/>
      <c r="Y139" s="918"/>
      <c r="Z139" s="918"/>
      <c r="AA139" s="918"/>
      <c r="AB139" s="918"/>
      <c r="AC139" s="918"/>
      <c r="AD139" s="918"/>
      <c r="AE139" s="918"/>
      <c r="AF139" s="918"/>
      <c r="AG139" s="918"/>
      <c r="AH139" s="918"/>
      <c r="AI139" s="918"/>
      <c r="AJ139" s="918"/>
      <c r="AK139" s="918"/>
      <c r="AL139" s="918"/>
      <c r="AM139" s="918"/>
      <c r="AN139" s="918"/>
      <c r="AO139" s="918"/>
      <c r="AP139" s="918"/>
      <c r="AQ139" s="918"/>
      <c r="AR139" s="918"/>
      <c r="AS139" s="918"/>
      <c r="AT139" s="918"/>
      <c r="AU139" s="918"/>
      <c r="AV139" s="918"/>
      <c r="AW139" s="918"/>
      <c r="AX139" s="918"/>
      <c r="AY139" s="918"/>
      <c r="AZ139" s="918"/>
      <c r="BA139" s="918"/>
      <c r="BB139" s="918"/>
      <c r="BC139" s="918"/>
      <c r="BD139" s="918"/>
      <c r="BE139" s="918"/>
      <c r="BF139" s="918"/>
      <c r="BG139" s="918"/>
      <c r="BH139" s="918"/>
      <c r="BI139" s="918"/>
      <c r="BJ139" s="918"/>
      <c r="BK139" s="918"/>
      <c r="BL139" s="918"/>
      <c r="BM139" s="918"/>
      <c r="BN139" s="918"/>
      <c r="BO139" s="918"/>
      <c r="BP139" s="918"/>
      <c r="BQ139" s="918"/>
      <c r="BR139" s="918"/>
      <c r="BS139" s="918"/>
      <c r="BT139" s="918"/>
      <c r="BU139" s="918"/>
      <c r="BV139" s="918"/>
      <c r="BW139" s="918"/>
      <c r="BX139" s="918"/>
      <c r="BY139" s="918"/>
      <c r="BZ139" s="918"/>
      <c r="CA139" s="918"/>
      <c r="CB139" s="918"/>
      <c r="CC139" s="918"/>
      <c r="CD139" s="918"/>
      <c r="CE139" s="918"/>
      <c r="CF139" s="918"/>
      <c r="CG139" s="918"/>
      <c r="CH139" s="918"/>
      <c r="CI139" s="918"/>
      <c r="CJ139" s="918"/>
      <c r="CK139" s="918"/>
      <c r="CL139" s="918"/>
      <c r="CM139" s="918"/>
      <c r="CN139" s="918"/>
      <c r="CO139" s="918"/>
      <c r="CP139" s="918"/>
      <c r="CQ139" s="918"/>
      <c r="CR139" s="918"/>
      <c r="CS139" s="918"/>
      <c r="CT139" s="918"/>
      <c r="CU139" s="918"/>
      <c r="CV139" s="918"/>
      <c r="CW139" s="918"/>
      <c r="CX139" s="918"/>
      <c r="CY139" s="918"/>
      <c r="CZ139" s="918"/>
      <c r="DA139" s="918"/>
      <c r="DB139" s="918"/>
      <c r="DC139" s="918"/>
      <c r="DD139" s="918"/>
      <c r="DE139" s="918"/>
      <c r="DF139" s="918"/>
      <c r="DG139" s="918"/>
      <c r="DH139" s="918"/>
      <c r="DI139" s="918"/>
      <c r="DJ139" s="918"/>
      <c r="DK139" s="918"/>
      <c r="DL139" s="918"/>
      <c r="DM139" s="918"/>
      <c r="DN139" s="918"/>
      <c r="DO139" s="918"/>
      <c r="DP139" s="918"/>
      <c r="DQ139" s="918"/>
      <c r="DR139" s="918"/>
      <c r="DS139" s="918"/>
      <c r="DT139" s="918"/>
      <c r="DU139" s="918"/>
      <c r="DV139" s="918"/>
      <c r="DW139" s="918"/>
      <c r="DX139" s="918"/>
      <c r="DY139" s="918"/>
      <c r="DZ139" s="918"/>
      <c r="EA139" s="918"/>
      <c r="EB139" s="918"/>
      <c r="EC139" s="918"/>
      <c r="ED139" s="918"/>
      <c r="EE139" s="918"/>
      <c r="EF139" s="918"/>
      <c r="EG139" s="918"/>
      <c r="EH139" s="918"/>
      <c r="EI139" s="918"/>
      <c r="EJ139" s="918"/>
      <c r="EK139" s="918"/>
      <c r="EL139" s="918"/>
      <c r="EM139" s="918"/>
      <c r="EN139" s="918"/>
      <c r="EO139" s="918"/>
      <c r="EP139" s="918"/>
      <c r="EQ139" s="918"/>
      <c r="ER139" s="918"/>
      <c r="ES139" s="918"/>
      <c r="ET139" s="918"/>
      <c r="EU139" s="918"/>
      <c r="EV139" s="918"/>
      <c r="EW139" s="918"/>
      <c r="EX139" s="918"/>
      <c r="EY139" s="918"/>
      <c r="EZ139" s="918"/>
      <c r="FA139" s="918"/>
      <c r="FB139" s="918"/>
      <c r="FC139" s="918"/>
      <c r="FD139" s="918"/>
      <c r="FE139" s="918"/>
      <c r="FF139" s="918"/>
      <c r="FG139" s="918"/>
      <c r="FH139" s="918"/>
      <c r="FI139" s="918"/>
      <c r="FJ139" s="918"/>
      <c r="FK139" s="918"/>
      <c r="FL139" s="918"/>
      <c r="FM139" s="918"/>
      <c r="FN139" s="918"/>
      <c r="FO139" s="918"/>
      <c r="FP139" s="918"/>
      <c r="FQ139" s="918"/>
      <c r="FR139" s="918"/>
      <c r="FS139" s="918"/>
      <c r="FT139" s="918"/>
      <c r="FU139" s="918"/>
      <c r="FV139" s="918"/>
      <c r="FW139" s="918"/>
      <c r="FX139" s="918"/>
      <c r="FY139" s="918"/>
      <c r="FZ139" s="918"/>
      <c r="GA139" s="918"/>
      <c r="GB139" s="918"/>
      <c r="GC139" s="918"/>
      <c r="GD139" s="918"/>
      <c r="GE139" s="918"/>
      <c r="GF139" s="918"/>
      <c r="GG139" s="918"/>
      <c r="GH139" s="918"/>
      <c r="GI139" s="918"/>
      <c r="GJ139" s="918"/>
      <c r="GK139" s="918"/>
      <c r="GL139" s="918"/>
      <c r="GM139" s="918"/>
      <c r="GN139" s="918"/>
      <c r="GO139" s="918"/>
      <c r="GP139" s="918"/>
      <c r="GQ139" s="918"/>
      <c r="GR139" s="918"/>
      <c r="GS139" s="918"/>
      <c r="GT139" s="918"/>
      <c r="GU139" s="918"/>
      <c r="GV139" s="918"/>
      <c r="GW139" s="918"/>
      <c r="GX139" s="918"/>
      <c r="GY139" s="918"/>
      <c r="GZ139" s="918"/>
      <c r="HA139" s="918"/>
      <c r="HB139" s="918"/>
      <c r="HC139" s="918"/>
      <c r="HD139" s="918"/>
      <c r="HE139" s="918"/>
      <c r="HF139" s="918"/>
      <c r="HG139" s="918"/>
      <c r="HH139" s="918"/>
      <c r="HI139" s="918"/>
      <c r="HJ139" s="918"/>
      <c r="HK139" s="918"/>
      <c r="HL139" s="918"/>
      <c r="HM139" s="918"/>
      <c r="HN139" s="918"/>
      <c r="HO139" s="918"/>
      <c r="HP139" s="918"/>
      <c r="HQ139" s="918"/>
      <c r="HR139" s="918"/>
      <c r="HS139" s="918"/>
      <c r="HT139" s="918"/>
      <c r="HU139" s="918"/>
      <c r="HV139" s="918"/>
      <c r="HW139" s="918"/>
      <c r="HX139" s="918"/>
      <c r="HY139" s="918"/>
      <c r="HZ139" s="918"/>
      <c r="IA139" s="918"/>
      <c r="IB139" s="918"/>
      <c r="IC139" s="918"/>
      <c r="ID139" s="918"/>
      <c r="IE139" s="918"/>
      <c r="IF139" s="918"/>
      <c r="IG139" s="918"/>
      <c r="IH139" s="918"/>
      <c r="II139" s="918"/>
      <c r="IJ139" s="918"/>
      <c r="IK139" s="918"/>
      <c r="IL139" s="918"/>
      <c r="IM139" s="918"/>
      <c r="IN139" s="918"/>
    </row>
    <row r="140" spans="1:248">
      <c r="A140" s="615" t="s">
        <v>18</v>
      </c>
      <c r="B140" s="617">
        <v>1751.7</v>
      </c>
      <c r="C140" s="919">
        <f t="shared" ref="C140:C146" si="24">+B140/H140*100</f>
        <v>40.185822436338611</v>
      </c>
      <c r="D140" s="618">
        <v>1726.8</v>
      </c>
      <c r="E140" s="919">
        <f t="shared" ref="E140:E146" si="25">+D140/H140*100</f>
        <v>39.614590502408809</v>
      </c>
      <c r="F140" s="919">
        <f t="shared" ref="F140:F146" si="26">+B140-D140</f>
        <v>24.900000000000091</v>
      </c>
      <c r="G140" s="919">
        <f t="shared" ref="G140:G151" si="27">F140/H140*100</f>
        <v>0.57123193392980254</v>
      </c>
      <c r="H140" s="26">
        <v>4359</v>
      </c>
      <c r="I140" s="918"/>
      <c r="J140" s="918"/>
      <c r="K140" s="918"/>
      <c r="L140" s="918"/>
      <c r="M140" s="918"/>
      <c r="N140" s="918"/>
      <c r="O140" s="918"/>
      <c r="P140" s="918"/>
      <c r="Q140" s="918"/>
      <c r="R140" s="918"/>
      <c r="S140" s="918"/>
      <c r="T140" s="918"/>
      <c r="U140" s="918"/>
      <c r="V140" s="918"/>
      <c r="W140" s="918"/>
      <c r="X140" s="918"/>
      <c r="Y140" s="918"/>
      <c r="Z140" s="918"/>
      <c r="AA140" s="918"/>
      <c r="AB140" s="918"/>
      <c r="AC140" s="918"/>
      <c r="AD140" s="918"/>
      <c r="AE140" s="918"/>
      <c r="AF140" s="918"/>
      <c r="AG140" s="918"/>
      <c r="AH140" s="918"/>
      <c r="AI140" s="918"/>
      <c r="AJ140" s="918"/>
      <c r="AK140" s="918"/>
      <c r="AL140" s="918"/>
      <c r="AM140" s="918"/>
      <c r="AN140" s="918"/>
      <c r="AO140" s="918"/>
      <c r="AP140" s="918"/>
      <c r="AQ140" s="918"/>
      <c r="AR140" s="918"/>
      <c r="AS140" s="918"/>
      <c r="AT140" s="918"/>
      <c r="AU140" s="918"/>
      <c r="AV140" s="918"/>
      <c r="AW140" s="918"/>
      <c r="AX140" s="918"/>
      <c r="AY140" s="918"/>
      <c r="AZ140" s="918"/>
      <c r="BA140" s="918"/>
      <c r="BB140" s="918"/>
      <c r="BC140" s="918"/>
      <c r="BD140" s="918"/>
      <c r="BE140" s="918"/>
      <c r="BF140" s="918"/>
      <c r="BG140" s="918"/>
      <c r="BH140" s="918"/>
      <c r="BI140" s="918"/>
      <c r="BJ140" s="918"/>
      <c r="BK140" s="918"/>
      <c r="BL140" s="918"/>
      <c r="BM140" s="918"/>
      <c r="BN140" s="918"/>
      <c r="BO140" s="918"/>
      <c r="BP140" s="918"/>
      <c r="BQ140" s="918"/>
      <c r="BR140" s="918"/>
      <c r="BS140" s="918"/>
      <c r="BT140" s="918"/>
      <c r="BU140" s="918"/>
      <c r="BV140" s="918"/>
      <c r="BW140" s="918"/>
      <c r="BX140" s="918"/>
      <c r="BY140" s="918"/>
      <c r="BZ140" s="918"/>
      <c r="CA140" s="918"/>
      <c r="CB140" s="918"/>
      <c r="CC140" s="918"/>
      <c r="CD140" s="918"/>
      <c r="CE140" s="918"/>
      <c r="CF140" s="918"/>
      <c r="CG140" s="918"/>
      <c r="CH140" s="918"/>
      <c r="CI140" s="918"/>
      <c r="CJ140" s="918"/>
      <c r="CK140" s="918"/>
      <c r="CL140" s="918"/>
      <c r="CM140" s="918"/>
      <c r="CN140" s="918"/>
      <c r="CO140" s="918"/>
      <c r="CP140" s="918"/>
      <c r="CQ140" s="918"/>
      <c r="CR140" s="918"/>
      <c r="CS140" s="918"/>
      <c r="CT140" s="918"/>
      <c r="CU140" s="918"/>
      <c r="CV140" s="918"/>
      <c r="CW140" s="918"/>
      <c r="CX140" s="918"/>
      <c r="CY140" s="918"/>
      <c r="CZ140" s="918"/>
      <c r="DA140" s="918"/>
      <c r="DB140" s="918"/>
      <c r="DC140" s="918"/>
      <c r="DD140" s="918"/>
      <c r="DE140" s="918"/>
      <c r="DF140" s="918"/>
      <c r="DG140" s="918"/>
      <c r="DH140" s="918"/>
      <c r="DI140" s="918"/>
      <c r="DJ140" s="918"/>
      <c r="DK140" s="918"/>
      <c r="DL140" s="918"/>
      <c r="DM140" s="918"/>
      <c r="DN140" s="918"/>
      <c r="DO140" s="918"/>
      <c r="DP140" s="918"/>
      <c r="DQ140" s="918"/>
      <c r="DR140" s="918"/>
      <c r="DS140" s="918"/>
      <c r="DT140" s="918"/>
      <c r="DU140" s="918"/>
      <c r="DV140" s="918"/>
      <c r="DW140" s="918"/>
      <c r="DX140" s="918"/>
      <c r="DY140" s="918"/>
      <c r="DZ140" s="918"/>
      <c r="EA140" s="918"/>
      <c r="EB140" s="918"/>
      <c r="EC140" s="918"/>
      <c r="ED140" s="918"/>
      <c r="EE140" s="918"/>
      <c r="EF140" s="918"/>
      <c r="EG140" s="918"/>
      <c r="EH140" s="918"/>
      <c r="EI140" s="918"/>
      <c r="EJ140" s="918"/>
      <c r="EK140" s="918"/>
      <c r="EL140" s="918"/>
      <c r="EM140" s="918"/>
      <c r="EN140" s="918"/>
      <c r="EO140" s="918"/>
      <c r="EP140" s="918"/>
      <c r="EQ140" s="918"/>
      <c r="ER140" s="918"/>
      <c r="ES140" s="918"/>
      <c r="ET140" s="918"/>
      <c r="EU140" s="918"/>
      <c r="EV140" s="918"/>
      <c r="EW140" s="918"/>
      <c r="EX140" s="918"/>
      <c r="EY140" s="918"/>
      <c r="EZ140" s="918"/>
      <c r="FA140" s="918"/>
      <c r="FB140" s="918"/>
      <c r="FC140" s="918"/>
      <c r="FD140" s="918"/>
      <c r="FE140" s="918"/>
      <c r="FF140" s="918"/>
      <c r="FG140" s="918"/>
      <c r="FH140" s="918"/>
      <c r="FI140" s="918"/>
      <c r="FJ140" s="918"/>
      <c r="FK140" s="918"/>
      <c r="FL140" s="918"/>
      <c r="FM140" s="918"/>
      <c r="FN140" s="918"/>
      <c r="FO140" s="918"/>
      <c r="FP140" s="918"/>
      <c r="FQ140" s="918"/>
      <c r="FR140" s="918"/>
      <c r="FS140" s="918"/>
      <c r="FT140" s="918"/>
      <c r="FU140" s="918"/>
      <c r="FV140" s="918"/>
      <c r="FW140" s="918"/>
      <c r="FX140" s="918"/>
      <c r="FY140" s="918"/>
      <c r="FZ140" s="918"/>
      <c r="GA140" s="918"/>
      <c r="GB140" s="918"/>
      <c r="GC140" s="918"/>
      <c r="GD140" s="918"/>
      <c r="GE140" s="918"/>
      <c r="GF140" s="918"/>
      <c r="GG140" s="918"/>
      <c r="GH140" s="918"/>
      <c r="GI140" s="918"/>
      <c r="GJ140" s="918"/>
      <c r="GK140" s="918"/>
      <c r="GL140" s="918"/>
      <c r="GM140" s="918"/>
      <c r="GN140" s="918"/>
      <c r="GO140" s="918"/>
      <c r="GP140" s="918"/>
      <c r="GQ140" s="918"/>
      <c r="GR140" s="918"/>
      <c r="GS140" s="918"/>
      <c r="GT140" s="918"/>
      <c r="GU140" s="918"/>
      <c r="GV140" s="918"/>
      <c r="GW140" s="918"/>
      <c r="GX140" s="918"/>
      <c r="GY140" s="918"/>
      <c r="GZ140" s="918"/>
      <c r="HA140" s="918"/>
      <c r="HB140" s="918"/>
      <c r="HC140" s="918"/>
      <c r="HD140" s="918"/>
      <c r="HE140" s="918"/>
      <c r="HF140" s="918"/>
      <c r="HG140" s="918"/>
      <c r="HH140" s="918"/>
      <c r="HI140" s="918"/>
      <c r="HJ140" s="918"/>
      <c r="HK140" s="918"/>
      <c r="HL140" s="918"/>
      <c r="HM140" s="918"/>
      <c r="HN140" s="918"/>
      <c r="HO140" s="918"/>
      <c r="HP140" s="918"/>
      <c r="HQ140" s="918"/>
      <c r="HR140" s="918"/>
      <c r="HS140" s="918"/>
      <c r="HT140" s="918"/>
      <c r="HU140" s="918"/>
      <c r="HV140" s="918"/>
      <c r="HW140" s="918"/>
      <c r="HX140" s="918"/>
      <c r="HY140" s="918"/>
      <c r="HZ140" s="918"/>
      <c r="IA140" s="918"/>
      <c r="IB140" s="918"/>
      <c r="IC140" s="918"/>
      <c r="ID140" s="918"/>
      <c r="IE140" s="918"/>
      <c r="IF140" s="918"/>
      <c r="IG140" s="918"/>
      <c r="IH140" s="918"/>
      <c r="II140" s="918"/>
      <c r="IJ140" s="918"/>
      <c r="IK140" s="918"/>
      <c r="IL140" s="918"/>
      <c r="IM140" s="918"/>
      <c r="IN140" s="918"/>
    </row>
    <row r="141" spans="1:248">
      <c r="A141" s="615" t="s">
        <v>19</v>
      </c>
      <c r="B141" s="617">
        <v>3112.1</v>
      </c>
      <c r="C141" s="919">
        <f t="shared" si="24"/>
        <v>36.775619209680471</v>
      </c>
      <c r="D141" s="618">
        <v>3062.6</v>
      </c>
      <c r="E141" s="919">
        <f t="shared" si="25"/>
        <v>36.190678767252784</v>
      </c>
      <c r="F141" s="919">
        <f t="shared" si="26"/>
        <v>49.5</v>
      </c>
      <c r="G141" s="919">
        <f t="shared" si="27"/>
        <v>0.58494044242768006</v>
      </c>
      <c r="H141" s="26">
        <v>8462.4</v>
      </c>
      <c r="I141" s="918"/>
      <c r="J141" s="918"/>
      <c r="K141" s="918"/>
      <c r="L141" s="918"/>
      <c r="M141" s="918"/>
      <c r="N141" s="918"/>
      <c r="O141" s="918"/>
      <c r="P141" s="918"/>
      <c r="Q141" s="918"/>
      <c r="R141" s="918"/>
      <c r="S141" s="918"/>
      <c r="T141" s="918"/>
      <c r="U141" s="918"/>
      <c r="V141" s="918"/>
      <c r="W141" s="918"/>
      <c r="X141" s="918"/>
      <c r="Y141" s="918"/>
      <c r="Z141" s="918"/>
      <c r="AA141" s="918"/>
      <c r="AB141" s="918"/>
      <c r="AC141" s="918"/>
      <c r="AD141" s="918"/>
      <c r="AE141" s="918"/>
      <c r="AF141" s="918"/>
      <c r="AG141" s="918"/>
      <c r="AH141" s="918"/>
      <c r="AI141" s="918"/>
      <c r="AJ141" s="918"/>
      <c r="AK141" s="918"/>
      <c r="AL141" s="918"/>
      <c r="AM141" s="918"/>
      <c r="AN141" s="918"/>
      <c r="AO141" s="918"/>
      <c r="AP141" s="918"/>
      <c r="AQ141" s="918"/>
      <c r="AR141" s="918"/>
      <c r="AS141" s="918"/>
      <c r="AT141" s="918"/>
      <c r="AU141" s="918"/>
      <c r="AV141" s="918"/>
      <c r="AW141" s="918"/>
      <c r="AX141" s="918"/>
      <c r="AY141" s="918"/>
      <c r="AZ141" s="918"/>
      <c r="BA141" s="918"/>
      <c r="BB141" s="918"/>
      <c r="BC141" s="918"/>
      <c r="BD141" s="918"/>
      <c r="BE141" s="918"/>
      <c r="BF141" s="918"/>
      <c r="BG141" s="918"/>
      <c r="BH141" s="918"/>
      <c r="BI141" s="918"/>
      <c r="BJ141" s="918"/>
      <c r="BK141" s="918"/>
      <c r="BL141" s="918"/>
      <c r="BM141" s="918"/>
      <c r="BN141" s="918"/>
      <c r="BO141" s="918"/>
      <c r="BP141" s="918"/>
      <c r="BQ141" s="918"/>
      <c r="BR141" s="918"/>
      <c r="BS141" s="918"/>
      <c r="BT141" s="918"/>
      <c r="BU141" s="918"/>
      <c r="BV141" s="918"/>
      <c r="BW141" s="918"/>
      <c r="BX141" s="918"/>
      <c r="BY141" s="918"/>
      <c r="BZ141" s="918"/>
      <c r="CA141" s="918"/>
      <c r="CB141" s="918"/>
      <c r="CC141" s="918"/>
      <c r="CD141" s="918"/>
      <c r="CE141" s="918"/>
      <c r="CF141" s="918"/>
      <c r="CG141" s="918"/>
      <c r="CH141" s="918"/>
      <c r="CI141" s="918"/>
      <c r="CJ141" s="918"/>
      <c r="CK141" s="918"/>
      <c r="CL141" s="918"/>
      <c r="CM141" s="918"/>
      <c r="CN141" s="918"/>
      <c r="CO141" s="918"/>
      <c r="CP141" s="918"/>
      <c r="CQ141" s="918"/>
      <c r="CR141" s="918"/>
      <c r="CS141" s="918"/>
      <c r="CT141" s="918"/>
      <c r="CU141" s="918"/>
      <c r="CV141" s="918"/>
      <c r="CW141" s="918"/>
      <c r="CX141" s="918"/>
      <c r="CY141" s="918"/>
      <c r="CZ141" s="918"/>
      <c r="DA141" s="918"/>
      <c r="DB141" s="918"/>
      <c r="DC141" s="918"/>
      <c r="DD141" s="918"/>
      <c r="DE141" s="918"/>
      <c r="DF141" s="918"/>
      <c r="DG141" s="918"/>
      <c r="DH141" s="918"/>
      <c r="DI141" s="918"/>
      <c r="DJ141" s="918"/>
      <c r="DK141" s="918"/>
      <c r="DL141" s="918"/>
      <c r="DM141" s="918"/>
      <c r="DN141" s="918"/>
      <c r="DO141" s="918"/>
      <c r="DP141" s="918"/>
      <c r="DQ141" s="918"/>
      <c r="DR141" s="918"/>
      <c r="DS141" s="918"/>
      <c r="DT141" s="918"/>
      <c r="DU141" s="918"/>
      <c r="DV141" s="918"/>
      <c r="DW141" s="918"/>
      <c r="DX141" s="918"/>
      <c r="DY141" s="918"/>
      <c r="DZ141" s="918"/>
      <c r="EA141" s="918"/>
      <c r="EB141" s="918"/>
      <c r="EC141" s="918"/>
      <c r="ED141" s="918"/>
      <c r="EE141" s="918"/>
      <c r="EF141" s="918"/>
      <c r="EG141" s="918"/>
      <c r="EH141" s="918"/>
      <c r="EI141" s="918"/>
      <c r="EJ141" s="918"/>
      <c r="EK141" s="918"/>
      <c r="EL141" s="918"/>
      <c r="EM141" s="918"/>
      <c r="EN141" s="918"/>
      <c r="EO141" s="918"/>
      <c r="EP141" s="918"/>
      <c r="EQ141" s="918"/>
      <c r="ER141" s="918"/>
      <c r="ES141" s="918"/>
      <c r="ET141" s="918"/>
      <c r="EU141" s="918"/>
      <c r="EV141" s="918"/>
      <c r="EW141" s="918"/>
      <c r="EX141" s="918"/>
      <c r="EY141" s="918"/>
      <c r="EZ141" s="918"/>
      <c r="FA141" s="918"/>
      <c r="FB141" s="918"/>
      <c r="FC141" s="918"/>
      <c r="FD141" s="918"/>
      <c r="FE141" s="918"/>
      <c r="FF141" s="918"/>
      <c r="FG141" s="918"/>
      <c r="FH141" s="918"/>
      <c r="FI141" s="918"/>
      <c r="FJ141" s="918"/>
      <c r="FK141" s="918"/>
      <c r="FL141" s="918"/>
      <c r="FM141" s="918"/>
      <c r="FN141" s="918"/>
      <c r="FO141" s="918"/>
      <c r="FP141" s="918"/>
      <c r="FQ141" s="918"/>
      <c r="FR141" s="918"/>
      <c r="FS141" s="918"/>
      <c r="FT141" s="918"/>
      <c r="FU141" s="918"/>
      <c r="FV141" s="918"/>
      <c r="FW141" s="918"/>
      <c r="FX141" s="918"/>
      <c r="FY141" s="918"/>
      <c r="FZ141" s="918"/>
      <c r="GA141" s="918"/>
      <c r="GB141" s="918"/>
      <c r="GC141" s="918"/>
      <c r="GD141" s="918"/>
      <c r="GE141" s="918"/>
      <c r="GF141" s="918"/>
      <c r="GG141" s="918"/>
      <c r="GH141" s="918"/>
      <c r="GI141" s="918"/>
      <c r="GJ141" s="918"/>
      <c r="GK141" s="918"/>
      <c r="GL141" s="918"/>
      <c r="GM141" s="918"/>
      <c r="GN141" s="918"/>
      <c r="GO141" s="918"/>
      <c r="GP141" s="918"/>
      <c r="GQ141" s="918"/>
      <c r="GR141" s="918"/>
      <c r="GS141" s="918"/>
      <c r="GT141" s="918"/>
      <c r="GU141" s="918"/>
      <c r="GV141" s="918"/>
      <c r="GW141" s="918"/>
      <c r="GX141" s="918"/>
      <c r="GY141" s="918"/>
      <c r="GZ141" s="918"/>
      <c r="HA141" s="918"/>
      <c r="HB141" s="918"/>
      <c r="HC141" s="918"/>
      <c r="HD141" s="918"/>
      <c r="HE141" s="918"/>
      <c r="HF141" s="918"/>
      <c r="HG141" s="918"/>
      <c r="HH141" s="918"/>
      <c r="HI141" s="918"/>
      <c r="HJ141" s="918"/>
      <c r="HK141" s="918"/>
      <c r="HL141" s="918"/>
      <c r="HM141" s="918"/>
      <c r="HN141" s="918"/>
      <c r="HO141" s="918"/>
      <c r="HP141" s="918"/>
      <c r="HQ141" s="918"/>
      <c r="HR141" s="918"/>
      <c r="HS141" s="918"/>
      <c r="HT141" s="918"/>
      <c r="HU141" s="918"/>
      <c r="HV141" s="918"/>
      <c r="HW141" s="918"/>
      <c r="HX141" s="918"/>
      <c r="HY141" s="918"/>
      <c r="HZ141" s="918"/>
      <c r="IA141" s="918"/>
      <c r="IB141" s="918"/>
      <c r="IC141" s="918"/>
      <c r="ID141" s="918"/>
      <c r="IE141" s="918"/>
      <c r="IF141" s="918"/>
      <c r="IG141" s="918"/>
      <c r="IH141" s="918"/>
      <c r="II141" s="918"/>
      <c r="IJ141" s="918"/>
      <c r="IK141" s="918"/>
      <c r="IL141" s="918"/>
      <c r="IM141" s="918"/>
      <c r="IN141" s="918"/>
    </row>
    <row r="142" spans="1:248">
      <c r="A142" s="615" t="s">
        <v>20</v>
      </c>
      <c r="B142" s="617">
        <v>4482.5</v>
      </c>
      <c r="C142" s="919">
        <f t="shared" si="24"/>
        <v>34.085638026873092</v>
      </c>
      <c r="D142" s="618">
        <v>4374.3</v>
      </c>
      <c r="E142" s="919">
        <f t="shared" si="25"/>
        <v>33.262868136296923</v>
      </c>
      <c r="F142" s="919">
        <f t="shared" si="26"/>
        <v>108.19999999999982</v>
      </c>
      <c r="G142" s="919">
        <f t="shared" si="27"/>
        <v>0.82276989057616567</v>
      </c>
      <c r="H142" s="26">
        <v>13150.7</v>
      </c>
      <c r="I142" s="918"/>
      <c r="J142" s="918"/>
      <c r="K142" s="918"/>
      <c r="L142" s="918"/>
      <c r="M142" s="918"/>
      <c r="N142" s="918"/>
      <c r="O142" s="918"/>
      <c r="P142" s="918"/>
      <c r="Q142" s="918"/>
      <c r="R142" s="918"/>
      <c r="S142" s="918"/>
      <c r="T142" s="918"/>
      <c r="U142" s="918"/>
      <c r="V142" s="918"/>
      <c r="W142" s="918"/>
      <c r="X142" s="918"/>
      <c r="Y142" s="918"/>
      <c r="Z142" s="918"/>
      <c r="AA142" s="918"/>
      <c r="AB142" s="918"/>
      <c r="AC142" s="918"/>
      <c r="AD142" s="918"/>
      <c r="AE142" s="918"/>
      <c r="AF142" s="918"/>
      <c r="AG142" s="918"/>
      <c r="AH142" s="918"/>
      <c r="AI142" s="918"/>
      <c r="AJ142" s="918"/>
      <c r="AK142" s="918"/>
      <c r="AL142" s="918"/>
      <c r="AM142" s="918"/>
      <c r="AN142" s="918"/>
      <c r="AO142" s="918"/>
      <c r="AP142" s="918"/>
      <c r="AQ142" s="918"/>
      <c r="AR142" s="918"/>
      <c r="AS142" s="918"/>
      <c r="AT142" s="918"/>
      <c r="AU142" s="918"/>
      <c r="AV142" s="918"/>
      <c r="AW142" s="918"/>
      <c r="AX142" s="918"/>
      <c r="AY142" s="918"/>
      <c r="AZ142" s="918"/>
      <c r="BA142" s="918"/>
      <c r="BB142" s="918"/>
      <c r="BC142" s="918"/>
      <c r="BD142" s="918"/>
      <c r="BE142" s="918"/>
      <c r="BF142" s="918"/>
      <c r="BG142" s="918"/>
      <c r="BH142" s="918"/>
      <c r="BI142" s="918"/>
      <c r="BJ142" s="918"/>
      <c r="BK142" s="918"/>
      <c r="BL142" s="918"/>
      <c r="BM142" s="918"/>
      <c r="BN142" s="918"/>
      <c r="BO142" s="918"/>
      <c r="BP142" s="918"/>
      <c r="BQ142" s="918"/>
      <c r="BR142" s="918"/>
      <c r="BS142" s="918"/>
      <c r="BT142" s="918"/>
      <c r="BU142" s="918"/>
      <c r="BV142" s="918"/>
      <c r="BW142" s="918"/>
      <c r="BX142" s="918"/>
      <c r="BY142" s="918"/>
      <c r="BZ142" s="918"/>
      <c r="CA142" s="918"/>
      <c r="CB142" s="918"/>
      <c r="CC142" s="918"/>
      <c r="CD142" s="918"/>
      <c r="CE142" s="918"/>
      <c r="CF142" s="918"/>
      <c r="CG142" s="918"/>
      <c r="CH142" s="918"/>
      <c r="CI142" s="918"/>
      <c r="CJ142" s="918"/>
      <c r="CK142" s="918"/>
      <c r="CL142" s="918"/>
      <c r="CM142" s="918"/>
      <c r="CN142" s="918"/>
      <c r="CO142" s="918"/>
      <c r="CP142" s="918"/>
      <c r="CQ142" s="918"/>
      <c r="CR142" s="918"/>
      <c r="CS142" s="918"/>
      <c r="CT142" s="918"/>
      <c r="CU142" s="918"/>
      <c r="CV142" s="918"/>
      <c r="CW142" s="918"/>
      <c r="CX142" s="918"/>
      <c r="CY142" s="918"/>
      <c r="CZ142" s="918"/>
      <c r="DA142" s="918"/>
      <c r="DB142" s="918"/>
      <c r="DC142" s="918"/>
      <c r="DD142" s="918"/>
      <c r="DE142" s="918"/>
      <c r="DF142" s="918"/>
      <c r="DG142" s="918"/>
      <c r="DH142" s="918"/>
      <c r="DI142" s="918"/>
      <c r="DJ142" s="918"/>
      <c r="DK142" s="918"/>
      <c r="DL142" s="918"/>
      <c r="DM142" s="918"/>
      <c r="DN142" s="918"/>
      <c r="DO142" s="918"/>
      <c r="DP142" s="918"/>
      <c r="DQ142" s="918"/>
      <c r="DR142" s="918"/>
      <c r="DS142" s="918"/>
      <c r="DT142" s="918"/>
      <c r="DU142" s="918"/>
      <c r="DV142" s="918"/>
      <c r="DW142" s="918"/>
      <c r="DX142" s="918"/>
      <c r="DY142" s="918"/>
      <c r="DZ142" s="918"/>
      <c r="EA142" s="918"/>
      <c r="EB142" s="918"/>
      <c r="EC142" s="918"/>
      <c r="ED142" s="918"/>
      <c r="EE142" s="918"/>
      <c r="EF142" s="918"/>
      <c r="EG142" s="918"/>
      <c r="EH142" s="918"/>
      <c r="EI142" s="918"/>
      <c r="EJ142" s="918"/>
      <c r="EK142" s="918"/>
      <c r="EL142" s="918"/>
      <c r="EM142" s="918"/>
      <c r="EN142" s="918"/>
      <c r="EO142" s="918"/>
      <c r="EP142" s="918"/>
      <c r="EQ142" s="918"/>
      <c r="ER142" s="918"/>
      <c r="ES142" s="918"/>
      <c r="ET142" s="918"/>
      <c r="EU142" s="918"/>
      <c r="EV142" s="918"/>
      <c r="EW142" s="918"/>
      <c r="EX142" s="918"/>
      <c r="EY142" s="918"/>
      <c r="EZ142" s="918"/>
      <c r="FA142" s="918"/>
      <c r="FB142" s="918"/>
      <c r="FC142" s="918"/>
      <c r="FD142" s="918"/>
      <c r="FE142" s="918"/>
      <c r="FF142" s="918"/>
      <c r="FG142" s="918"/>
      <c r="FH142" s="918"/>
      <c r="FI142" s="918"/>
      <c r="FJ142" s="918"/>
      <c r="FK142" s="918"/>
      <c r="FL142" s="918"/>
      <c r="FM142" s="918"/>
      <c r="FN142" s="918"/>
      <c r="FO142" s="918"/>
      <c r="FP142" s="918"/>
      <c r="FQ142" s="918"/>
      <c r="FR142" s="918"/>
      <c r="FS142" s="918"/>
      <c r="FT142" s="918"/>
      <c r="FU142" s="918"/>
      <c r="FV142" s="918"/>
      <c r="FW142" s="918"/>
      <c r="FX142" s="918"/>
      <c r="FY142" s="918"/>
      <c r="FZ142" s="918"/>
      <c r="GA142" s="918"/>
      <c r="GB142" s="918"/>
      <c r="GC142" s="918"/>
      <c r="GD142" s="918"/>
      <c r="GE142" s="918"/>
      <c r="GF142" s="918"/>
      <c r="GG142" s="918"/>
      <c r="GH142" s="918"/>
      <c r="GI142" s="918"/>
      <c r="GJ142" s="918"/>
      <c r="GK142" s="918"/>
      <c r="GL142" s="918"/>
      <c r="GM142" s="918"/>
      <c r="GN142" s="918"/>
      <c r="GO142" s="918"/>
      <c r="GP142" s="918"/>
      <c r="GQ142" s="918"/>
      <c r="GR142" s="918"/>
      <c r="GS142" s="918"/>
      <c r="GT142" s="918"/>
      <c r="GU142" s="918"/>
      <c r="GV142" s="918"/>
      <c r="GW142" s="918"/>
      <c r="GX142" s="918"/>
      <c r="GY142" s="918"/>
      <c r="GZ142" s="918"/>
      <c r="HA142" s="918"/>
      <c r="HB142" s="918"/>
      <c r="HC142" s="918"/>
      <c r="HD142" s="918"/>
      <c r="HE142" s="918"/>
      <c r="HF142" s="918"/>
      <c r="HG142" s="918"/>
      <c r="HH142" s="918"/>
      <c r="HI142" s="918"/>
      <c r="HJ142" s="918"/>
      <c r="HK142" s="918"/>
      <c r="HL142" s="918"/>
      <c r="HM142" s="918"/>
      <c r="HN142" s="918"/>
      <c r="HO142" s="918"/>
      <c r="HP142" s="918"/>
      <c r="HQ142" s="918"/>
      <c r="HR142" s="918"/>
      <c r="HS142" s="918"/>
      <c r="HT142" s="918"/>
      <c r="HU142" s="918"/>
      <c r="HV142" s="918"/>
      <c r="HW142" s="918"/>
      <c r="HX142" s="918"/>
      <c r="HY142" s="918"/>
      <c r="HZ142" s="918"/>
      <c r="IA142" s="918"/>
      <c r="IB142" s="918"/>
      <c r="IC142" s="918"/>
      <c r="ID142" s="918"/>
      <c r="IE142" s="918"/>
      <c r="IF142" s="918"/>
      <c r="IG142" s="918"/>
      <c r="IH142" s="918"/>
      <c r="II142" s="918"/>
      <c r="IJ142" s="918"/>
      <c r="IK142" s="918"/>
      <c r="IL142" s="918"/>
      <c r="IM142" s="918"/>
      <c r="IN142" s="918"/>
    </row>
    <row r="143" spans="1:248">
      <c r="A143" s="615" t="s">
        <v>21</v>
      </c>
      <c r="B143" s="617">
        <v>6471.3</v>
      </c>
      <c r="C143" s="919">
        <f t="shared" si="24"/>
        <v>35.544289614034703</v>
      </c>
      <c r="D143" s="618">
        <v>6068.7</v>
      </c>
      <c r="E143" s="919">
        <f t="shared" si="25"/>
        <v>33.332967159719438</v>
      </c>
      <c r="F143" s="919">
        <f t="shared" si="26"/>
        <v>402.60000000000036</v>
      </c>
      <c r="G143" s="919">
        <f t="shared" si="27"/>
        <v>2.2113224543152668</v>
      </c>
      <c r="H143" s="230">
        <v>18206.3</v>
      </c>
      <c r="I143" s="918"/>
      <c r="J143" s="918"/>
      <c r="K143" s="918"/>
      <c r="L143" s="918"/>
      <c r="M143" s="918"/>
      <c r="N143" s="918"/>
      <c r="O143" s="918"/>
      <c r="P143" s="918"/>
      <c r="Q143" s="918"/>
      <c r="R143" s="918"/>
      <c r="S143" s="918"/>
      <c r="T143" s="918"/>
      <c r="U143" s="918"/>
      <c r="V143" s="918"/>
      <c r="W143" s="918"/>
      <c r="X143" s="918"/>
      <c r="Y143" s="918"/>
      <c r="Z143" s="918"/>
      <c r="AA143" s="918"/>
      <c r="AB143" s="918"/>
      <c r="AC143" s="918"/>
      <c r="AD143" s="918"/>
      <c r="AE143" s="918"/>
      <c r="AF143" s="918"/>
      <c r="AG143" s="918"/>
      <c r="AH143" s="918"/>
      <c r="AI143" s="918"/>
      <c r="AJ143" s="918"/>
      <c r="AK143" s="918"/>
      <c r="AL143" s="918"/>
      <c r="AM143" s="918"/>
      <c r="AN143" s="918"/>
      <c r="AO143" s="918"/>
      <c r="AP143" s="918"/>
      <c r="AQ143" s="918"/>
      <c r="AR143" s="918"/>
      <c r="AS143" s="918"/>
      <c r="AT143" s="918"/>
      <c r="AU143" s="918"/>
      <c r="AV143" s="918"/>
      <c r="AW143" s="918"/>
      <c r="AX143" s="918"/>
      <c r="AY143" s="918"/>
      <c r="AZ143" s="918"/>
      <c r="BA143" s="918"/>
      <c r="BB143" s="918"/>
      <c r="BC143" s="918"/>
      <c r="BD143" s="918"/>
      <c r="BE143" s="918"/>
      <c r="BF143" s="918"/>
      <c r="BG143" s="918"/>
      <c r="BH143" s="918"/>
      <c r="BI143" s="918"/>
      <c r="BJ143" s="918"/>
      <c r="BK143" s="918"/>
      <c r="BL143" s="918"/>
      <c r="BM143" s="918"/>
      <c r="BN143" s="918"/>
      <c r="BO143" s="918"/>
      <c r="BP143" s="918"/>
      <c r="BQ143" s="918"/>
      <c r="BR143" s="918"/>
      <c r="BS143" s="918"/>
      <c r="BT143" s="918"/>
      <c r="BU143" s="918"/>
      <c r="BV143" s="918"/>
      <c r="BW143" s="918"/>
      <c r="BX143" s="918"/>
      <c r="BY143" s="918"/>
      <c r="BZ143" s="918"/>
      <c r="CA143" s="918"/>
      <c r="CB143" s="918"/>
      <c r="CC143" s="918"/>
      <c r="CD143" s="918"/>
      <c r="CE143" s="918"/>
      <c r="CF143" s="918"/>
      <c r="CG143" s="918"/>
      <c r="CH143" s="918"/>
      <c r="CI143" s="918"/>
      <c r="CJ143" s="918"/>
      <c r="CK143" s="918"/>
      <c r="CL143" s="918"/>
      <c r="CM143" s="918"/>
      <c r="CN143" s="918"/>
      <c r="CO143" s="918"/>
      <c r="CP143" s="918"/>
      <c r="CQ143" s="918"/>
      <c r="CR143" s="918"/>
      <c r="CS143" s="918"/>
      <c r="CT143" s="918"/>
      <c r="CU143" s="918"/>
      <c r="CV143" s="918"/>
      <c r="CW143" s="918"/>
      <c r="CX143" s="918"/>
      <c r="CY143" s="918"/>
      <c r="CZ143" s="918"/>
      <c r="DA143" s="918"/>
      <c r="DB143" s="918"/>
      <c r="DC143" s="918"/>
      <c r="DD143" s="918"/>
      <c r="DE143" s="918"/>
      <c r="DF143" s="918"/>
      <c r="DG143" s="918"/>
      <c r="DH143" s="918"/>
      <c r="DI143" s="918"/>
      <c r="DJ143" s="918"/>
      <c r="DK143" s="918"/>
      <c r="DL143" s="918"/>
      <c r="DM143" s="918"/>
      <c r="DN143" s="918"/>
      <c r="DO143" s="918"/>
      <c r="DP143" s="918"/>
      <c r="DQ143" s="918"/>
      <c r="DR143" s="918"/>
      <c r="DS143" s="918"/>
      <c r="DT143" s="918"/>
      <c r="DU143" s="918"/>
      <c r="DV143" s="918"/>
      <c r="DW143" s="918"/>
      <c r="DX143" s="918"/>
      <c r="DY143" s="918"/>
      <c r="DZ143" s="918"/>
      <c r="EA143" s="918"/>
      <c r="EB143" s="918"/>
      <c r="EC143" s="918"/>
      <c r="ED143" s="918"/>
      <c r="EE143" s="918"/>
      <c r="EF143" s="918"/>
      <c r="EG143" s="918"/>
      <c r="EH143" s="918"/>
      <c r="EI143" s="918"/>
      <c r="EJ143" s="918"/>
      <c r="EK143" s="918"/>
      <c r="EL143" s="918"/>
      <c r="EM143" s="918"/>
      <c r="EN143" s="918"/>
      <c r="EO143" s="918"/>
      <c r="EP143" s="918"/>
      <c r="EQ143" s="918"/>
      <c r="ER143" s="918"/>
      <c r="ES143" s="918"/>
      <c r="ET143" s="918"/>
      <c r="EU143" s="918"/>
      <c r="EV143" s="918"/>
      <c r="EW143" s="918"/>
      <c r="EX143" s="918"/>
      <c r="EY143" s="918"/>
      <c r="EZ143" s="918"/>
      <c r="FA143" s="918"/>
      <c r="FB143" s="918"/>
      <c r="FC143" s="918"/>
      <c r="FD143" s="918"/>
      <c r="FE143" s="918"/>
      <c r="FF143" s="918"/>
      <c r="FG143" s="918"/>
      <c r="FH143" s="918"/>
      <c r="FI143" s="918"/>
      <c r="FJ143" s="918"/>
      <c r="FK143" s="918"/>
      <c r="FL143" s="918"/>
      <c r="FM143" s="918"/>
      <c r="FN143" s="918"/>
      <c r="FO143" s="918"/>
      <c r="FP143" s="918"/>
      <c r="FQ143" s="918"/>
      <c r="FR143" s="918"/>
      <c r="FS143" s="918"/>
      <c r="FT143" s="918"/>
      <c r="FU143" s="918"/>
      <c r="FV143" s="918"/>
      <c r="FW143" s="918"/>
      <c r="FX143" s="918"/>
      <c r="FY143" s="918"/>
      <c r="FZ143" s="918"/>
      <c r="GA143" s="918"/>
      <c r="GB143" s="918"/>
      <c r="GC143" s="918"/>
      <c r="GD143" s="918"/>
      <c r="GE143" s="918"/>
      <c r="GF143" s="918"/>
      <c r="GG143" s="918"/>
      <c r="GH143" s="918"/>
      <c r="GI143" s="918"/>
      <c r="GJ143" s="918"/>
      <c r="GK143" s="918"/>
      <c r="GL143" s="918"/>
      <c r="GM143" s="918"/>
      <c r="GN143" s="918"/>
      <c r="GO143" s="918"/>
      <c r="GP143" s="918"/>
      <c r="GQ143" s="918"/>
      <c r="GR143" s="918"/>
      <c r="GS143" s="918"/>
      <c r="GT143" s="918"/>
      <c r="GU143" s="918"/>
      <c r="GV143" s="918"/>
      <c r="GW143" s="918"/>
      <c r="GX143" s="918"/>
      <c r="GY143" s="918"/>
      <c r="GZ143" s="918"/>
      <c r="HA143" s="918"/>
      <c r="HB143" s="918"/>
      <c r="HC143" s="918"/>
      <c r="HD143" s="918"/>
      <c r="HE143" s="918"/>
      <c r="HF143" s="918"/>
      <c r="HG143" s="918"/>
      <c r="HH143" s="918"/>
      <c r="HI143" s="918"/>
      <c r="HJ143" s="918"/>
      <c r="HK143" s="918"/>
      <c r="HL143" s="918"/>
      <c r="HM143" s="918"/>
      <c r="HN143" s="918"/>
      <c r="HO143" s="918"/>
      <c r="HP143" s="918"/>
      <c r="HQ143" s="918"/>
      <c r="HR143" s="918"/>
      <c r="HS143" s="918"/>
      <c r="HT143" s="918"/>
      <c r="HU143" s="918"/>
      <c r="HV143" s="918"/>
      <c r="HW143" s="918"/>
      <c r="HX143" s="918"/>
      <c r="HY143" s="918"/>
      <c r="HZ143" s="918"/>
      <c r="IA143" s="918"/>
      <c r="IB143" s="918"/>
      <c r="IC143" s="918"/>
      <c r="ID143" s="918"/>
      <c r="IE143" s="918"/>
      <c r="IF143" s="918"/>
      <c r="IG143" s="918"/>
      <c r="IH143" s="918"/>
      <c r="II143" s="918"/>
      <c r="IJ143" s="918"/>
      <c r="IK143" s="918"/>
      <c r="IL143" s="918"/>
      <c r="IM143" s="918"/>
      <c r="IN143" s="918"/>
    </row>
    <row r="144" spans="1:248">
      <c r="A144" s="615" t="s">
        <v>22</v>
      </c>
      <c r="B144" s="617">
        <v>8023</v>
      </c>
      <c r="C144" s="919">
        <f t="shared" si="24"/>
        <v>34.220808025660276</v>
      </c>
      <c r="D144" s="618">
        <v>7368.5</v>
      </c>
      <c r="E144" s="919">
        <f t="shared" si="25"/>
        <v>31.429144202552379</v>
      </c>
      <c r="F144" s="919">
        <f t="shared" si="26"/>
        <v>654.5</v>
      </c>
      <c r="G144" s="919">
        <f t="shared" si="27"/>
        <v>2.7916638231078963</v>
      </c>
      <c r="H144" s="231">
        <v>23444.799999999999</v>
      </c>
      <c r="I144" s="918"/>
      <c r="J144" s="918"/>
      <c r="K144" s="918"/>
      <c r="L144" s="918"/>
      <c r="M144" s="918"/>
      <c r="N144" s="918"/>
      <c r="O144" s="918"/>
      <c r="P144" s="918"/>
      <c r="Q144" s="918"/>
      <c r="R144" s="918"/>
      <c r="S144" s="918"/>
      <c r="T144" s="918"/>
      <c r="U144" s="918"/>
      <c r="V144" s="918"/>
      <c r="W144" s="918"/>
      <c r="X144" s="918"/>
      <c r="Y144" s="918"/>
      <c r="Z144" s="918"/>
      <c r="AA144" s="918"/>
      <c r="AB144" s="918"/>
      <c r="AC144" s="918"/>
      <c r="AD144" s="918"/>
      <c r="AE144" s="918"/>
      <c r="AF144" s="918"/>
      <c r="AG144" s="918"/>
      <c r="AH144" s="918"/>
      <c r="AI144" s="918"/>
      <c r="AJ144" s="918"/>
      <c r="AK144" s="918"/>
      <c r="AL144" s="918"/>
      <c r="AM144" s="918"/>
      <c r="AN144" s="918"/>
      <c r="AO144" s="918"/>
      <c r="AP144" s="918"/>
      <c r="AQ144" s="918"/>
      <c r="AR144" s="918"/>
      <c r="AS144" s="918"/>
      <c r="AT144" s="918"/>
      <c r="AU144" s="918"/>
      <c r="AV144" s="918"/>
      <c r="AW144" s="918"/>
      <c r="AX144" s="918"/>
      <c r="AY144" s="918"/>
      <c r="AZ144" s="918"/>
      <c r="BA144" s="918"/>
      <c r="BB144" s="918"/>
      <c r="BC144" s="918"/>
      <c r="BD144" s="918"/>
      <c r="BE144" s="918"/>
      <c r="BF144" s="918"/>
      <c r="BG144" s="918"/>
      <c r="BH144" s="918"/>
      <c r="BI144" s="918"/>
      <c r="BJ144" s="918"/>
      <c r="BK144" s="918"/>
      <c r="BL144" s="918"/>
      <c r="BM144" s="918"/>
      <c r="BN144" s="918"/>
      <c r="BO144" s="918"/>
      <c r="BP144" s="918"/>
      <c r="BQ144" s="918"/>
      <c r="BR144" s="918"/>
      <c r="BS144" s="918"/>
      <c r="BT144" s="918"/>
      <c r="BU144" s="918"/>
      <c r="BV144" s="918"/>
      <c r="BW144" s="918"/>
      <c r="BX144" s="918"/>
      <c r="BY144" s="918"/>
      <c r="BZ144" s="918"/>
      <c r="CA144" s="918"/>
      <c r="CB144" s="918"/>
      <c r="CC144" s="918"/>
      <c r="CD144" s="918"/>
      <c r="CE144" s="918"/>
      <c r="CF144" s="918"/>
      <c r="CG144" s="918"/>
      <c r="CH144" s="918"/>
      <c r="CI144" s="918"/>
      <c r="CJ144" s="918"/>
      <c r="CK144" s="918"/>
      <c r="CL144" s="918"/>
      <c r="CM144" s="918"/>
      <c r="CN144" s="918"/>
      <c r="CO144" s="918"/>
      <c r="CP144" s="918"/>
      <c r="CQ144" s="918"/>
      <c r="CR144" s="918"/>
      <c r="CS144" s="918"/>
      <c r="CT144" s="918"/>
      <c r="CU144" s="918"/>
      <c r="CV144" s="918"/>
      <c r="CW144" s="918"/>
      <c r="CX144" s="918"/>
      <c r="CY144" s="918"/>
      <c r="CZ144" s="918"/>
      <c r="DA144" s="918"/>
      <c r="DB144" s="918"/>
      <c r="DC144" s="918"/>
      <c r="DD144" s="918"/>
      <c r="DE144" s="918"/>
      <c r="DF144" s="918"/>
      <c r="DG144" s="918"/>
      <c r="DH144" s="918"/>
      <c r="DI144" s="918"/>
      <c r="DJ144" s="918"/>
      <c r="DK144" s="918"/>
      <c r="DL144" s="918"/>
      <c r="DM144" s="918"/>
      <c r="DN144" s="918"/>
      <c r="DO144" s="918"/>
      <c r="DP144" s="918"/>
      <c r="DQ144" s="918"/>
      <c r="DR144" s="918"/>
      <c r="DS144" s="918"/>
      <c r="DT144" s="918"/>
      <c r="DU144" s="918"/>
      <c r="DV144" s="918"/>
      <c r="DW144" s="918"/>
      <c r="DX144" s="918"/>
      <c r="DY144" s="918"/>
      <c r="DZ144" s="918"/>
      <c r="EA144" s="918"/>
      <c r="EB144" s="918"/>
      <c r="EC144" s="918"/>
      <c r="ED144" s="918"/>
      <c r="EE144" s="918"/>
      <c r="EF144" s="918"/>
      <c r="EG144" s="918"/>
      <c r="EH144" s="918"/>
      <c r="EI144" s="918"/>
      <c r="EJ144" s="918"/>
      <c r="EK144" s="918"/>
      <c r="EL144" s="918"/>
      <c r="EM144" s="918"/>
      <c r="EN144" s="918"/>
      <c r="EO144" s="918"/>
      <c r="EP144" s="918"/>
      <c r="EQ144" s="918"/>
      <c r="ER144" s="918"/>
      <c r="ES144" s="918"/>
      <c r="ET144" s="918"/>
      <c r="EU144" s="918"/>
      <c r="EV144" s="918"/>
      <c r="EW144" s="918"/>
      <c r="EX144" s="918"/>
      <c r="EY144" s="918"/>
      <c r="EZ144" s="918"/>
      <c r="FA144" s="918"/>
      <c r="FB144" s="918"/>
      <c r="FC144" s="918"/>
      <c r="FD144" s="918"/>
      <c r="FE144" s="918"/>
      <c r="FF144" s="918"/>
      <c r="FG144" s="918"/>
      <c r="FH144" s="918"/>
      <c r="FI144" s="918"/>
      <c r="FJ144" s="918"/>
      <c r="FK144" s="918"/>
      <c r="FL144" s="918"/>
      <c r="FM144" s="918"/>
      <c r="FN144" s="918"/>
      <c r="FO144" s="918"/>
      <c r="FP144" s="918"/>
      <c r="FQ144" s="918"/>
      <c r="FR144" s="918"/>
      <c r="FS144" s="918"/>
      <c r="FT144" s="918"/>
      <c r="FU144" s="918"/>
      <c r="FV144" s="918"/>
      <c r="FW144" s="918"/>
      <c r="FX144" s="918"/>
      <c r="FY144" s="918"/>
      <c r="FZ144" s="918"/>
      <c r="GA144" s="918"/>
      <c r="GB144" s="918"/>
      <c r="GC144" s="918"/>
      <c r="GD144" s="918"/>
      <c r="GE144" s="918"/>
      <c r="GF144" s="918"/>
      <c r="GG144" s="918"/>
      <c r="GH144" s="918"/>
      <c r="GI144" s="918"/>
      <c r="GJ144" s="918"/>
      <c r="GK144" s="918"/>
      <c r="GL144" s="918"/>
      <c r="GM144" s="918"/>
      <c r="GN144" s="918"/>
      <c r="GO144" s="918"/>
      <c r="GP144" s="918"/>
      <c r="GQ144" s="918"/>
      <c r="GR144" s="918"/>
      <c r="GS144" s="918"/>
      <c r="GT144" s="918"/>
      <c r="GU144" s="918"/>
      <c r="GV144" s="918"/>
      <c r="GW144" s="918"/>
      <c r="GX144" s="918"/>
      <c r="GY144" s="918"/>
      <c r="GZ144" s="918"/>
      <c r="HA144" s="918"/>
      <c r="HB144" s="918"/>
      <c r="HC144" s="918"/>
      <c r="HD144" s="918"/>
      <c r="HE144" s="918"/>
      <c r="HF144" s="918"/>
      <c r="HG144" s="918"/>
      <c r="HH144" s="918"/>
      <c r="HI144" s="918"/>
      <c r="HJ144" s="918"/>
      <c r="HK144" s="918"/>
      <c r="HL144" s="918"/>
      <c r="HM144" s="918"/>
      <c r="HN144" s="918"/>
      <c r="HO144" s="918"/>
      <c r="HP144" s="918"/>
      <c r="HQ144" s="918"/>
      <c r="HR144" s="918"/>
      <c r="HS144" s="918"/>
      <c r="HT144" s="918"/>
      <c r="HU144" s="918"/>
      <c r="HV144" s="918"/>
      <c r="HW144" s="918"/>
      <c r="HX144" s="918"/>
      <c r="HY144" s="918"/>
      <c r="HZ144" s="918"/>
      <c r="IA144" s="918"/>
      <c r="IB144" s="918"/>
      <c r="IC144" s="918"/>
      <c r="ID144" s="918"/>
      <c r="IE144" s="918"/>
      <c r="IF144" s="918"/>
      <c r="IG144" s="918"/>
      <c r="IH144" s="918"/>
      <c r="II144" s="918"/>
      <c r="IJ144" s="918"/>
      <c r="IK144" s="918"/>
      <c r="IL144" s="918"/>
      <c r="IM144" s="918"/>
      <c r="IN144" s="918"/>
    </row>
    <row r="145" spans="1:248">
      <c r="A145" s="615" t="s">
        <v>23</v>
      </c>
      <c r="B145" s="617">
        <v>9338.9</v>
      </c>
      <c r="C145" s="919">
        <f t="shared" si="24"/>
        <v>32.491041297011449</v>
      </c>
      <c r="D145" s="618">
        <v>8723.9</v>
      </c>
      <c r="E145" s="919">
        <f t="shared" si="25"/>
        <v>30.351389903628707</v>
      </c>
      <c r="F145" s="919">
        <f t="shared" si="26"/>
        <v>615</v>
      </c>
      <c r="G145" s="919">
        <f t="shared" si="27"/>
        <v>2.1396513933827364</v>
      </c>
      <c r="H145" s="232">
        <v>28743</v>
      </c>
      <c r="I145" s="918"/>
      <c r="J145" s="918"/>
      <c r="K145" s="918"/>
      <c r="L145" s="918"/>
      <c r="M145" s="918"/>
      <c r="N145" s="918"/>
      <c r="O145" s="918"/>
      <c r="P145" s="918"/>
      <c r="Q145" s="918"/>
      <c r="R145" s="918"/>
      <c r="S145" s="918"/>
      <c r="T145" s="918"/>
      <c r="U145" s="918"/>
      <c r="V145" s="918"/>
      <c r="W145" s="918"/>
      <c r="X145" s="918"/>
      <c r="Y145" s="918"/>
      <c r="Z145" s="918"/>
      <c r="AA145" s="918"/>
      <c r="AB145" s="918"/>
      <c r="AC145" s="918"/>
      <c r="AD145" s="918"/>
      <c r="AE145" s="918"/>
      <c r="AF145" s="918"/>
      <c r="AG145" s="918"/>
      <c r="AH145" s="918"/>
      <c r="AI145" s="918"/>
      <c r="AJ145" s="918"/>
      <c r="AK145" s="918"/>
      <c r="AL145" s="918"/>
      <c r="AM145" s="918"/>
      <c r="AN145" s="918"/>
      <c r="AO145" s="918"/>
      <c r="AP145" s="918"/>
      <c r="AQ145" s="918"/>
      <c r="AR145" s="918"/>
      <c r="AS145" s="918"/>
      <c r="AT145" s="918"/>
      <c r="AU145" s="918"/>
      <c r="AV145" s="918"/>
      <c r="AW145" s="918"/>
      <c r="AX145" s="918"/>
      <c r="AY145" s="918"/>
      <c r="AZ145" s="918"/>
      <c r="BA145" s="918"/>
      <c r="BB145" s="918"/>
      <c r="BC145" s="918"/>
      <c r="BD145" s="918"/>
      <c r="BE145" s="918"/>
      <c r="BF145" s="918"/>
      <c r="BG145" s="918"/>
      <c r="BH145" s="918"/>
      <c r="BI145" s="918"/>
      <c r="BJ145" s="918"/>
      <c r="BK145" s="918"/>
      <c r="BL145" s="918"/>
      <c r="BM145" s="918"/>
      <c r="BN145" s="918"/>
      <c r="BO145" s="918"/>
      <c r="BP145" s="918"/>
      <c r="BQ145" s="918"/>
      <c r="BR145" s="918"/>
      <c r="BS145" s="918"/>
      <c r="BT145" s="918"/>
      <c r="BU145" s="918"/>
      <c r="BV145" s="918"/>
      <c r="BW145" s="918"/>
      <c r="BX145" s="918"/>
      <c r="BY145" s="918"/>
      <c r="BZ145" s="918"/>
      <c r="CA145" s="918"/>
      <c r="CB145" s="918"/>
      <c r="CC145" s="918"/>
      <c r="CD145" s="918"/>
      <c r="CE145" s="918"/>
      <c r="CF145" s="918"/>
      <c r="CG145" s="918"/>
      <c r="CH145" s="918"/>
      <c r="CI145" s="918"/>
      <c r="CJ145" s="918"/>
      <c r="CK145" s="918"/>
      <c r="CL145" s="918"/>
      <c r="CM145" s="918"/>
      <c r="CN145" s="918"/>
      <c r="CO145" s="918"/>
      <c r="CP145" s="918"/>
      <c r="CQ145" s="918"/>
      <c r="CR145" s="918"/>
      <c r="CS145" s="918"/>
      <c r="CT145" s="918"/>
      <c r="CU145" s="918"/>
      <c r="CV145" s="918"/>
      <c r="CW145" s="918"/>
      <c r="CX145" s="918"/>
      <c r="CY145" s="918"/>
      <c r="CZ145" s="918"/>
      <c r="DA145" s="918"/>
      <c r="DB145" s="918"/>
      <c r="DC145" s="918"/>
      <c r="DD145" s="918"/>
      <c r="DE145" s="918"/>
      <c r="DF145" s="918"/>
      <c r="DG145" s="918"/>
      <c r="DH145" s="918"/>
      <c r="DI145" s="918"/>
      <c r="DJ145" s="918"/>
      <c r="DK145" s="918"/>
      <c r="DL145" s="918"/>
      <c r="DM145" s="918"/>
      <c r="DN145" s="918"/>
      <c r="DO145" s="918"/>
      <c r="DP145" s="918"/>
      <c r="DQ145" s="918"/>
      <c r="DR145" s="918"/>
      <c r="DS145" s="918"/>
      <c r="DT145" s="918"/>
      <c r="DU145" s="918"/>
      <c r="DV145" s="918"/>
      <c r="DW145" s="918"/>
      <c r="DX145" s="918"/>
      <c r="DY145" s="918"/>
      <c r="DZ145" s="918"/>
      <c r="EA145" s="918"/>
      <c r="EB145" s="918"/>
      <c r="EC145" s="918"/>
      <c r="ED145" s="918"/>
      <c r="EE145" s="918"/>
      <c r="EF145" s="918"/>
      <c r="EG145" s="918"/>
      <c r="EH145" s="918"/>
      <c r="EI145" s="918"/>
      <c r="EJ145" s="918"/>
      <c r="EK145" s="918"/>
      <c r="EL145" s="918"/>
      <c r="EM145" s="918"/>
      <c r="EN145" s="918"/>
      <c r="EO145" s="918"/>
      <c r="EP145" s="918"/>
      <c r="EQ145" s="918"/>
      <c r="ER145" s="918"/>
      <c r="ES145" s="918"/>
      <c r="ET145" s="918"/>
      <c r="EU145" s="918"/>
      <c r="EV145" s="918"/>
      <c r="EW145" s="918"/>
      <c r="EX145" s="918"/>
      <c r="EY145" s="918"/>
      <c r="EZ145" s="918"/>
      <c r="FA145" s="918"/>
      <c r="FB145" s="918"/>
      <c r="FC145" s="918"/>
      <c r="FD145" s="918"/>
      <c r="FE145" s="918"/>
      <c r="FF145" s="918"/>
      <c r="FG145" s="918"/>
      <c r="FH145" s="918"/>
      <c r="FI145" s="918"/>
      <c r="FJ145" s="918"/>
      <c r="FK145" s="918"/>
      <c r="FL145" s="918"/>
      <c r="FM145" s="918"/>
      <c r="FN145" s="918"/>
      <c r="FO145" s="918"/>
      <c r="FP145" s="918"/>
      <c r="FQ145" s="918"/>
      <c r="FR145" s="918"/>
      <c r="FS145" s="918"/>
      <c r="FT145" s="918"/>
      <c r="FU145" s="918"/>
      <c r="FV145" s="918"/>
      <c r="FW145" s="918"/>
      <c r="FX145" s="918"/>
      <c r="FY145" s="918"/>
      <c r="FZ145" s="918"/>
      <c r="GA145" s="918"/>
      <c r="GB145" s="918"/>
      <c r="GC145" s="918"/>
      <c r="GD145" s="918"/>
      <c r="GE145" s="918"/>
      <c r="GF145" s="918"/>
      <c r="GG145" s="918"/>
      <c r="GH145" s="918"/>
      <c r="GI145" s="918"/>
      <c r="GJ145" s="918"/>
      <c r="GK145" s="918"/>
      <c r="GL145" s="918"/>
      <c r="GM145" s="918"/>
      <c r="GN145" s="918"/>
      <c r="GO145" s="918"/>
      <c r="GP145" s="918"/>
      <c r="GQ145" s="918"/>
      <c r="GR145" s="918"/>
      <c r="GS145" s="918"/>
      <c r="GT145" s="918"/>
      <c r="GU145" s="918"/>
      <c r="GV145" s="918"/>
      <c r="GW145" s="918"/>
      <c r="GX145" s="918"/>
      <c r="GY145" s="918"/>
      <c r="GZ145" s="918"/>
      <c r="HA145" s="918"/>
      <c r="HB145" s="918"/>
      <c r="HC145" s="918"/>
      <c r="HD145" s="918"/>
      <c r="HE145" s="918"/>
      <c r="HF145" s="918"/>
      <c r="HG145" s="918"/>
      <c r="HH145" s="918"/>
      <c r="HI145" s="918"/>
      <c r="HJ145" s="918"/>
      <c r="HK145" s="918"/>
      <c r="HL145" s="918"/>
      <c r="HM145" s="918"/>
      <c r="HN145" s="918"/>
      <c r="HO145" s="918"/>
      <c r="HP145" s="918"/>
      <c r="HQ145" s="918"/>
      <c r="HR145" s="918"/>
      <c r="HS145" s="918"/>
      <c r="HT145" s="918"/>
      <c r="HU145" s="918"/>
      <c r="HV145" s="918"/>
      <c r="HW145" s="918"/>
      <c r="HX145" s="918"/>
      <c r="HY145" s="918"/>
      <c r="HZ145" s="918"/>
      <c r="IA145" s="918"/>
      <c r="IB145" s="918"/>
      <c r="IC145" s="918"/>
      <c r="ID145" s="918"/>
      <c r="IE145" s="918"/>
      <c r="IF145" s="918"/>
      <c r="IG145" s="918"/>
      <c r="IH145" s="918"/>
      <c r="II145" s="918"/>
      <c r="IJ145" s="918"/>
      <c r="IK145" s="918"/>
      <c r="IL145" s="918"/>
      <c r="IM145" s="918"/>
      <c r="IN145" s="918"/>
    </row>
    <row r="146" spans="1:248">
      <c r="A146" s="615" t="s">
        <v>24</v>
      </c>
      <c r="B146" s="617">
        <v>11087.2</v>
      </c>
      <c r="C146" s="919">
        <f t="shared" si="24"/>
        <v>32.614399849388732</v>
      </c>
      <c r="D146" s="618">
        <v>10313.200000000001</v>
      </c>
      <c r="E146" s="919">
        <f t="shared" si="25"/>
        <v>30.337581041806395</v>
      </c>
      <c r="F146" s="919">
        <f t="shared" si="26"/>
        <v>774</v>
      </c>
      <c r="G146" s="919">
        <f t="shared" si="27"/>
        <v>2.2768188075823361</v>
      </c>
      <c r="H146" s="232">
        <v>33994.800000000003</v>
      </c>
      <c r="I146" s="918"/>
      <c r="J146" s="918"/>
      <c r="K146" s="918"/>
      <c r="L146" s="918"/>
      <c r="M146" s="918"/>
      <c r="N146" s="918"/>
      <c r="O146" s="918"/>
      <c r="P146" s="918"/>
      <c r="Q146" s="918"/>
      <c r="R146" s="918"/>
      <c r="S146" s="918"/>
      <c r="T146" s="918"/>
      <c r="U146" s="918"/>
      <c r="V146" s="918"/>
      <c r="W146" s="918"/>
      <c r="X146" s="918"/>
      <c r="Y146" s="918"/>
      <c r="Z146" s="918"/>
      <c r="AA146" s="918"/>
      <c r="AB146" s="918"/>
      <c r="AC146" s="918"/>
      <c r="AD146" s="918"/>
      <c r="AE146" s="918"/>
      <c r="AF146" s="918"/>
      <c r="AG146" s="918"/>
      <c r="AH146" s="918"/>
      <c r="AI146" s="918"/>
      <c r="AJ146" s="918"/>
      <c r="AK146" s="918"/>
      <c r="AL146" s="918"/>
      <c r="AM146" s="918"/>
      <c r="AN146" s="918"/>
      <c r="AO146" s="918"/>
      <c r="AP146" s="918"/>
      <c r="AQ146" s="918"/>
      <c r="AR146" s="918"/>
      <c r="AS146" s="918"/>
      <c r="AT146" s="918"/>
      <c r="AU146" s="918"/>
      <c r="AV146" s="918"/>
      <c r="AW146" s="918"/>
      <c r="AX146" s="918"/>
      <c r="AY146" s="918"/>
      <c r="AZ146" s="918"/>
      <c r="BA146" s="918"/>
      <c r="BB146" s="918"/>
      <c r="BC146" s="918"/>
      <c r="BD146" s="918"/>
      <c r="BE146" s="918"/>
      <c r="BF146" s="918"/>
      <c r="BG146" s="918"/>
      <c r="BH146" s="918"/>
      <c r="BI146" s="918"/>
      <c r="BJ146" s="918"/>
      <c r="BK146" s="918"/>
      <c r="BL146" s="918"/>
      <c r="BM146" s="918"/>
      <c r="BN146" s="918"/>
      <c r="BO146" s="918"/>
      <c r="BP146" s="918"/>
      <c r="BQ146" s="918"/>
      <c r="BR146" s="918"/>
      <c r="BS146" s="918"/>
      <c r="BT146" s="918"/>
      <c r="BU146" s="918"/>
      <c r="BV146" s="918"/>
      <c r="BW146" s="918"/>
      <c r="BX146" s="918"/>
      <c r="BY146" s="918"/>
      <c r="BZ146" s="918"/>
      <c r="CA146" s="918"/>
      <c r="CB146" s="918"/>
      <c r="CC146" s="918"/>
      <c r="CD146" s="918"/>
      <c r="CE146" s="918"/>
      <c r="CF146" s="918"/>
      <c r="CG146" s="918"/>
      <c r="CH146" s="918"/>
      <c r="CI146" s="918"/>
      <c r="CJ146" s="918"/>
      <c r="CK146" s="918"/>
      <c r="CL146" s="918"/>
      <c r="CM146" s="918"/>
      <c r="CN146" s="918"/>
      <c r="CO146" s="918"/>
      <c r="CP146" s="918"/>
      <c r="CQ146" s="918"/>
      <c r="CR146" s="918"/>
      <c r="CS146" s="918"/>
      <c r="CT146" s="918"/>
      <c r="CU146" s="918"/>
      <c r="CV146" s="918"/>
      <c r="CW146" s="918"/>
      <c r="CX146" s="918"/>
      <c r="CY146" s="918"/>
      <c r="CZ146" s="918"/>
      <c r="DA146" s="918"/>
      <c r="DB146" s="918"/>
      <c r="DC146" s="918"/>
      <c r="DD146" s="918"/>
      <c r="DE146" s="918"/>
      <c r="DF146" s="918"/>
      <c r="DG146" s="918"/>
      <c r="DH146" s="918"/>
      <c r="DI146" s="918"/>
      <c r="DJ146" s="918"/>
      <c r="DK146" s="918"/>
      <c r="DL146" s="918"/>
      <c r="DM146" s="918"/>
      <c r="DN146" s="918"/>
      <c r="DO146" s="918"/>
      <c r="DP146" s="918"/>
      <c r="DQ146" s="918"/>
      <c r="DR146" s="918"/>
      <c r="DS146" s="918"/>
      <c r="DT146" s="918"/>
      <c r="DU146" s="918"/>
      <c r="DV146" s="918"/>
      <c r="DW146" s="918"/>
      <c r="DX146" s="918"/>
      <c r="DY146" s="918"/>
      <c r="DZ146" s="918"/>
      <c r="EA146" s="918"/>
      <c r="EB146" s="918"/>
      <c r="EC146" s="918"/>
      <c r="ED146" s="918"/>
      <c r="EE146" s="918"/>
      <c r="EF146" s="918"/>
      <c r="EG146" s="918"/>
      <c r="EH146" s="918"/>
      <c r="EI146" s="918"/>
      <c r="EJ146" s="918"/>
      <c r="EK146" s="918"/>
      <c r="EL146" s="918"/>
      <c r="EM146" s="918"/>
      <c r="EN146" s="918"/>
      <c r="EO146" s="918"/>
      <c r="EP146" s="918"/>
      <c r="EQ146" s="918"/>
      <c r="ER146" s="918"/>
      <c r="ES146" s="918"/>
      <c r="ET146" s="918"/>
      <c r="EU146" s="918"/>
      <c r="EV146" s="918"/>
      <c r="EW146" s="918"/>
      <c r="EX146" s="918"/>
      <c r="EY146" s="918"/>
      <c r="EZ146" s="918"/>
      <c r="FA146" s="918"/>
      <c r="FB146" s="918"/>
      <c r="FC146" s="918"/>
      <c r="FD146" s="918"/>
      <c r="FE146" s="918"/>
      <c r="FF146" s="918"/>
      <c r="FG146" s="918"/>
      <c r="FH146" s="918"/>
      <c r="FI146" s="918"/>
      <c r="FJ146" s="918"/>
      <c r="FK146" s="918"/>
      <c r="FL146" s="918"/>
      <c r="FM146" s="918"/>
      <c r="FN146" s="918"/>
      <c r="FO146" s="918"/>
      <c r="FP146" s="918"/>
      <c r="FQ146" s="918"/>
      <c r="FR146" s="918"/>
      <c r="FS146" s="918"/>
      <c r="FT146" s="918"/>
      <c r="FU146" s="918"/>
      <c r="FV146" s="918"/>
      <c r="FW146" s="918"/>
      <c r="FX146" s="918"/>
      <c r="FY146" s="918"/>
      <c r="FZ146" s="918"/>
      <c r="GA146" s="918"/>
      <c r="GB146" s="918"/>
      <c r="GC146" s="918"/>
      <c r="GD146" s="918"/>
      <c r="GE146" s="918"/>
      <c r="GF146" s="918"/>
      <c r="GG146" s="918"/>
      <c r="GH146" s="918"/>
      <c r="GI146" s="918"/>
      <c r="GJ146" s="918"/>
      <c r="GK146" s="918"/>
      <c r="GL146" s="918"/>
      <c r="GM146" s="918"/>
      <c r="GN146" s="918"/>
      <c r="GO146" s="918"/>
      <c r="GP146" s="918"/>
      <c r="GQ146" s="918"/>
      <c r="GR146" s="918"/>
      <c r="GS146" s="918"/>
      <c r="GT146" s="918"/>
      <c r="GU146" s="918"/>
      <c r="GV146" s="918"/>
      <c r="GW146" s="918"/>
      <c r="GX146" s="918"/>
      <c r="GY146" s="918"/>
      <c r="GZ146" s="918"/>
      <c r="HA146" s="918"/>
      <c r="HB146" s="918"/>
      <c r="HC146" s="918"/>
      <c r="HD146" s="918"/>
      <c r="HE146" s="918"/>
      <c r="HF146" s="918"/>
      <c r="HG146" s="918"/>
      <c r="HH146" s="918"/>
      <c r="HI146" s="918"/>
      <c r="HJ146" s="918"/>
      <c r="HK146" s="918"/>
      <c r="HL146" s="918"/>
      <c r="HM146" s="918"/>
      <c r="HN146" s="918"/>
      <c r="HO146" s="918"/>
      <c r="HP146" s="918"/>
      <c r="HQ146" s="918"/>
      <c r="HR146" s="918"/>
      <c r="HS146" s="918"/>
      <c r="HT146" s="918"/>
      <c r="HU146" s="918"/>
      <c r="HV146" s="918"/>
      <c r="HW146" s="918"/>
      <c r="HX146" s="918"/>
      <c r="HY146" s="918"/>
      <c r="HZ146" s="918"/>
      <c r="IA146" s="918"/>
      <c r="IB146" s="918"/>
      <c r="IC146" s="918"/>
      <c r="ID146" s="918"/>
      <c r="IE146" s="918"/>
      <c r="IF146" s="918"/>
      <c r="IG146" s="918"/>
      <c r="IH146" s="918"/>
      <c r="II146" s="918"/>
      <c r="IJ146" s="918"/>
      <c r="IK146" s="918"/>
      <c r="IL146" s="918"/>
      <c r="IM146" s="918"/>
      <c r="IN146" s="918"/>
    </row>
    <row r="147" spans="1:248">
      <c r="A147" s="615" t="s">
        <v>25</v>
      </c>
      <c r="B147" s="617">
        <v>12407.3</v>
      </c>
      <c r="C147" s="919">
        <v>31.674223161678356</v>
      </c>
      <c r="D147" s="618">
        <v>11468.9</v>
      </c>
      <c r="E147" s="919">
        <v>29.278610013377037</v>
      </c>
      <c r="F147" s="919">
        <v>938.39999999999964</v>
      </c>
      <c r="G147" s="919">
        <f t="shared" si="27"/>
        <v>2.3956131483013192</v>
      </c>
      <c r="H147" s="232">
        <v>39171.599999999999</v>
      </c>
      <c r="I147" s="918"/>
      <c r="J147" s="918"/>
      <c r="K147" s="918"/>
      <c r="L147" s="918"/>
      <c r="M147" s="918"/>
      <c r="N147" s="918"/>
      <c r="O147" s="918"/>
      <c r="P147" s="918"/>
      <c r="Q147" s="918"/>
      <c r="R147" s="918"/>
      <c r="S147" s="918"/>
      <c r="T147" s="918"/>
      <c r="U147" s="918"/>
      <c r="V147" s="918"/>
      <c r="W147" s="918"/>
      <c r="X147" s="918"/>
      <c r="Y147" s="918"/>
      <c r="Z147" s="918"/>
      <c r="AA147" s="918"/>
      <c r="AB147" s="918"/>
      <c r="AC147" s="918"/>
      <c r="AD147" s="918"/>
      <c r="AE147" s="918"/>
      <c r="AF147" s="918"/>
      <c r="AG147" s="918"/>
      <c r="AH147" s="918"/>
      <c r="AI147" s="918"/>
      <c r="AJ147" s="918"/>
      <c r="AK147" s="918"/>
      <c r="AL147" s="918"/>
      <c r="AM147" s="918"/>
      <c r="AN147" s="918"/>
      <c r="AO147" s="918"/>
      <c r="AP147" s="918"/>
      <c r="AQ147" s="918"/>
      <c r="AR147" s="918"/>
      <c r="AS147" s="918"/>
      <c r="AT147" s="918"/>
      <c r="AU147" s="918"/>
      <c r="AV147" s="918"/>
      <c r="AW147" s="918"/>
      <c r="AX147" s="918"/>
      <c r="AY147" s="918"/>
      <c r="AZ147" s="918"/>
      <c r="BA147" s="918"/>
      <c r="BB147" s="918"/>
      <c r="BC147" s="918"/>
      <c r="BD147" s="918"/>
      <c r="BE147" s="918"/>
      <c r="BF147" s="918"/>
      <c r="BG147" s="918"/>
      <c r="BH147" s="918"/>
      <c r="BI147" s="918"/>
      <c r="BJ147" s="918"/>
      <c r="BK147" s="918"/>
      <c r="BL147" s="918"/>
      <c r="BM147" s="918"/>
      <c r="BN147" s="918"/>
      <c r="BO147" s="918"/>
      <c r="BP147" s="918"/>
      <c r="BQ147" s="918"/>
      <c r="BR147" s="918"/>
      <c r="BS147" s="918"/>
      <c r="BT147" s="918"/>
      <c r="BU147" s="918"/>
      <c r="BV147" s="918"/>
      <c r="BW147" s="918"/>
      <c r="BX147" s="918"/>
      <c r="BY147" s="918"/>
      <c r="BZ147" s="918"/>
      <c r="CA147" s="918"/>
      <c r="CB147" s="918"/>
      <c r="CC147" s="918"/>
      <c r="CD147" s="918"/>
      <c r="CE147" s="918"/>
      <c r="CF147" s="918"/>
      <c r="CG147" s="918"/>
      <c r="CH147" s="918"/>
      <c r="CI147" s="918"/>
      <c r="CJ147" s="918"/>
      <c r="CK147" s="918"/>
      <c r="CL147" s="918"/>
      <c r="CM147" s="918"/>
      <c r="CN147" s="918"/>
      <c r="CO147" s="918"/>
      <c r="CP147" s="918"/>
      <c r="CQ147" s="918"/>
      <c r="CR147" s="918"/>
      <c r="CS147" s="918"/>
      <c r="CT147" s="918"/>
      <c r="CU147" s="918"/>
      <c r="CV147" s="918"/>
      <c r="CW147" s="918"/>
      <c r="CX147" s="918"/>
      <c r="CY147" s="918"/>
      <c r="CZ147" s="918"/>
      <c r="DA147" s="918"/>
      <c r="DB147" s="918"/>
      <c r="DC147" s="918"/>
      <c r="DD147" s="918"/>
      <c r="DE147" s="918"/>
      <c r="DF147" s="918"/>
      <c r="DG147" s="918"/>
      <c r="DH147" s="918"/>
      <c r="DI147" s="918"/>
      <c r="DJ147" s="918"/>
      <c r="DK147" s="918"/>
      <c r="DL147" s="918"/>
      <c r="DM147" s="918"/>
      <c r="DN147" s="918"/>
      <c r="DO147" s="918"/>
      <c r="DP147" s="918"/>
      <c r="DQ147" s="918"/>
      <c r="DR147" s="918"/>
      <c r="DS147" s="918"/>
      <c r="DT147" s="918"/>
      <c r="DU147" s="918"/>
      <c r="DV147" s="918"/>
      <c r="DW147" s="918"/>
      <c r="DX147" s="918"/>
      <c r="DY147" s="918"/>
      <c r="DZ147" s="918"/>
      <c r="EA147" s="918"/>
      <c r="EB147" s="918"/>
      <c r="EC147" s="918"/>
      <c r="ED147" s="918"/>
      <c r="EE147" s="918"/>
      <c r="EF147" s="918"/>
      <c r="EG147" s="918"/>
      <c r="EH147" s="918"/>
      <c r="EI147" s="918"/>
      <c r="EJ147" s="918"/>
      <c r="EK147" s="918"/>
      <c r="EL147" s="918"/>
      <c r="EM147" s="918"/>
      <c r="EN147" s="918"/>
      <c r="EO147" s="918"/>
      <c r="EP147" s="918"/>
      <c r="EQ147" s="918"/>
      <c r="ER147" s="918"/>
      <c r="ES147" s="918"/>
      <c r="ET147" s="918"/>
      <c r="EU147" s="918"/>
      <c r="EV147" s="918"/>
      <c r="EW147" s="918"/>
      <c r="EX147" s="918"/>
      <c r="EY147" s="918"/>
      <c r="EZ147" s="918"/>
      <c r="FA147" s="918"/>
      <c r="FB147" s="918"/>
      <c r="FC147" s="918"/>
      <c r="FD147" s="918"/>
      <c r="FE147" s="918"/>
      <c r="FF147" s="918"/>
      <c r="FG147" s="918"/>
      <c r="FH147" s="918"/>
      <c r="FI147" s="918"/>
      <c r="FJ147" s="918"/>
      <c r="FK147" s="918"/>
      <c r="FL147" s="918"/>
      <c r="FM147" s="918"/>
      <c r="FN147" s="918"/>
      <c r="FO147" s="918"/>
      <c r="FP147" s="918"/>
      <c r="FQ147" s="918"/>
      <c r="FR147" s="918"/>
      <c r="FS147" s="918"/>
      <c r="FT147" s="918"/>
      <c r="FU147" s="918"/>
      <c r="FV147" s="918"/>
      <c r="FW147" s="918"/>
      <c r="FX147" s="918"/>
      <c r="FY147" s="918"/>
      <c r="FZ147" s="918"/>
      <c r="GA147" s="918"/>
      <c r="GB147" s="918"/>
      <c r="GC147" s="918"/>
      <c r="GD147" s="918"/>
      <c r="GE147" s="918"/>
      <c r="GF147" s="918"/>
      <c r="GG147" s="918"/>
      <c r="GH147" s="918"/>
      <c r="GI147" s="918"/>
      <c r="GJ147" s="918"/>
      <c r="GK147" s="918"/>
      <c r="GL147" s="918"/>
      <c r="GM147" s="918"/>
      <c r="GN147" s="918"/>
      <c r="GO147" s="918"/>
      <c r="GP147" s="918"/>
      <c r="GQ147" s="918"/>
      <c r="GR147" s="918"/>
      <c r="GS147" s="918"/>
      <c r="GT147" s="918"/>
      <c r="GU147" s="918"/>
      <c r="GV147" s="918"/>
      <c r="GW147" s="918"/>
      <c r="GX147" s="918"/>
      <c r="GY147" s="918"/>
      <c r="GZ147" s="918"/>
      <c r="HA147" s="918"/>
      <c r="HB147" s="918"/>
      <c r="HC147" s="918"/>
      <c r="HD147" s="918"/>
      <c r="HE147" s="918"/>
      <c r="HF147" s="918"/>
      <c r="HG147" s="918"/>
      <c r="HH147" s="918"/>
      <c r="HI147" s="918"/>
      <c r="HJ147" s="918"/>
      <c r="HK147" s="918"/>
      <c r="HL147" s="918"/>
      <c r="HM147" s="918"/>
      <c r="HN147" s="918"/>
      <c r="HO147" s="918"/>
      <c r="HP147" s="918"/>
      <c r="HQ147" s="918"/>
      <c r="HR147" s="918"/>
      <c r="HS147" s="918"/>
      <c r="HT147" s="918"/>
      <c r="HU147" s="918"/>
      <c r="HV147" s="918"/>
      <c r="HW147" s="918"/>
      <c r="HX147" s="918"/>
      <c r="HY147" s="918"/>
      <c r="HZ147" s="918"/>
      <c r="IA147" s="918"/>
      <c r="IB147" s="918"/>
      <c r="IC147" s="918"/>
      <c r="ID147" s="918"/>
      <c r="IE147" s="918"/>
      <c r="IF147" s="918"/>
      <c r="IG147" s="918"/>
      <c r="IH147" s="918"/>
      <c r="II147" s="918"/>
      <c r="IJ147" s="918"/>
      <c r="IK147" s="918"/>
      <c r="IL147" s="918"/>
      <c r="IM147" s="918"/>
      <c r="IN147" s="918"/>
    </row>
    <row r="148" spans="1:248">
      <c r="A148" s="615" t="s">
        <v>26</v>
      </c>
      <c r="B148" s="617">
        <v>14070.6</v>
      </c>
      <c r="C148" s="919">
        <v>31.873309563397317</v>
      </c>
      <c r="D148" s="618">
        <v>12693.5</v>
      </c>
      <c r="E148" s="919">
        <v>28.753845247749481</v>
      </c>
      <c r="F148" s="919">
        <v>1377.1000000000004</v>
      </c>
      <c r="G148" s="919">
        <f t="shared" si="27"/>
        <v>3.1194643156478374</v>
      </c>
      <c r="H148" s="232">
        <v>44145.4</v>
      </c>
      <c r="I148" s="918"/>
      <c r="J148" s="918"/>
      <c r="K148" s="918"/>
      <c r="L148" s="918"/>
      <c r="M148" s="918"/>
      <c r="N148" s="918"/>
      <c r="O148" s="918"/>
      <c r="P148" s="918"/>
      <c r="Q148" s="918"/>
      <c r="R148" s="918"/>
      <c r="S148" s="918"/>
      <c r="T148" s="918"/>
      <c r="U148" s="918"/>
      <c r="V148" s="918"/>
      <c r="W148" s="918"/>
      <c r="X148" s="918"/>
      <c r="Y148" s="918"/>
      <c r="Z148" s="918"/>
      <c r="AA148" s="918"/>
      <c r="AB148" s="918"/>
      <c r="AC148" s="918"/>
      <c r="AD148" s="918"/>
      <c r="AE148" s="918"/>
      <c r="AF148" s="918"/>
      <c r="AG148" s="918"/>
      <c r="AH148" s="918"/>
      <c r="AI148" s="918"/>
      <c r="AJ148" s="918"/>
      <c r="AK148" s="918"/>
      <c r="AL148" s="918"/>
      <c r="AM148" s="918"/>
      <c r="AN148" s="918"/>
      <c r="AO148" s="918"/>
      <c r="AP148" s="918"/>
      <c r="AQ148" s="918"/>
      <c r="AR148" s="918"/>
      <c r="AS148" s="918"/>
      <c r="AT148" s="918"/>
      <c r="AU148" s="918"/>
      <c r="AV148" s="918"/>
      <c r="AW148" s="918"/>
      <c r="AX148" s="918"/>
      <c r="AY148" s="918"/>
      <c r="AZ148" s="918"/>
      <c r="BA148" s="918"/>
      <c r="BB148" s="918"/>
      <c r="BC148" s="918"/>
      <c r="BD148" s="918"/>
      <c r="BE148" s="918"/>
      <c r="BF148" s="918"/>
      <c r="BG148" s="918"/>
      <c r="BH148" s="918"/>
      <c r="BI148" s="918"/>
      <c r="BJ148" s="918"/>
      <c r="BK148" s="918"/>
      <c r="BL148" s="918"/>
      <c r="BM148" s="918"/>
      <c r="BN148" s="918"/>
      <c r="BO148" s="918"/>
      <c r="BP148" s="918"/>
      <c r="BQ148" s="918"/>
      <c r="BR148" s="918"/>
      <c r="BS148" s="918"/>
      <c r="BT148" s="918"/>
      <c r="BU148" s="918"/>
      <c r="BV148" s="918"/>
      <c r="BW148" s="918"/>
      <c r="BX148" s="918"/>
      <c r="BY148" s="918"/>
      <c r="BZ148" s="918"/>
      <c r="CA148" s="918"/>
      <c r="CB148" s="918"/>
      <c r="CC148" s="918"/>
      <c r="CD148" s="918"/>
      <c r="CE148" s="918"/>
      <c r="CF148" s="918"/>
      <c r="CG148" s="918"/>
      <c r="CH148" s="918"/>
      <c r="CI148" s="918"/>
      <c r="CJ148" s="918"/>
      <c r="CK148" s="918"/>
      <c r="CL148" s="918"/>
      <c r="CM148" s="918"/>
      <c r="CN148" s="918"/>
      <c r="CO148" s="918"/>
      <c r="CP148" s="918"/>
      <c r="CQ148" s="918"/>
      <c r="CR148" s="918"/>
      <c r="CS148" s="918"/>
      <c r="CT148" s="918"/>
      <c r="CU148" s="918"/>
      <c r="CV148" s="918"/>
      <c r="CW148" s="918"/>
      <c r="CX148" s="918"/>
      <c r="CY148" s="918"/>
      <c r="CZ148" s="918"/>
      <c r="DA148" s="918"/>
      <c r="DB148" s="918"/>
      <c r="DC148" s="918"/>
      <c r="DD148" s="918"/>
      <c r="DE148" s="918"/>
      <c r="DF148" s="918"/>
      <c r="DG148" s="918"/>
      <c r="DH148" s="918"/>
      <c r="DI148" s="918"/>
      <c r="DJ148" s="918"/>
      <c r="DK148" s="918"/>
      <c r="DL148" s="918"/>
      <c r="DM148" s="918"/>
      <c r="DN148" s="918"/>
      <c r="DO148" s="918"/>
      <c r="DP148" s="918"/>
      <c r="DQ148" s="918"/>
      <c r="DR148" s="918"/>
      <c r="DS148" s="918"/>
      <c r="DT148" s="918"/>
      <c r="DU148" s="918"/>
      <c r="DV148" s="918"/>
      <c r="DW148" s="918"/>
      <c r="DX148" s="918"/>
      <c r="DY148" s="918"/>
      <c r="DZ148" s="918"/>
      <c r="EA148" s="918"/>
      <c r="EB148" s="918"/>
      <c r="EC148" s="918"/>
      <c r="ED148" s="918"/>
      <c r="EE148" s="918"/>
      <c r="EF148" s="918"/>
      <c r="EG148" s="918"/>
      <c r="EH148" s="918"/>
      <c r="EI148" s="918"/>
      <c r="EJ148" s="918"/>
      <c r="EK148" s="918"/>
      <c r="EL148" s="918"/>
      <c r="EM148" s="918"/>
      <c r="EN148" s="918"/>
      <c r="EO148" s="918"/>
      <c r="EP148" s="918"/>
      <c r="EQ148" s="918"/>
      <c r="ER148" s="918"/>
      <c r="ES148" s="918"/>
      <c r="ET148" s="918"/>
      <c r="EU148" s="918"/>
      <c r="EV148" s="918"/>
      <c r="EW148" s="918"/>
      <c r="EX148" s="918"/>
      <c r="EY148" s="918"/>
      <c r="EZ148" s="918"/>
      <c r="FA148" s="918"/>
      <c r="FB148" s="918"/>
      <c r="FC148" s="918"/>
      <c r="FD148" s="918"/>
      <c r="FE148" s="918"/>
      <c r="FF148" s="918"/>
      <c r="FG148" s="918"/>
      <c r="FH148" s="918"/>
      <c r="FI148" s="918"/>
      <c r="FJ148" s="918"/>
      <c r="FK148" s="918"/>
      <c r="FL148" s="918"/>
      <c r="FM148" s="918"/>
      <c r="FN148" s="918"/>
      <c r="FO148" s="918"/>
      <c r="FP148" s="918"/>
      <c r="FQ148" s="918"/>
      <c r="FR148" s="918"/>
      <c r="FS148" s="918"/>
      <c r="FT148" s="918"/>
      <c r="FU148" s="918"/>
      <c r="FV148" s="918"/>
      <c r="FW148" s="918"/>
      <c r="FX148" s="918"/>
      <c r="FY148" s="918"/>
      <c r="FZ148" s="918"/>
      <c r="GA148" s="918"/>
      <c r="GB148" s="918"/>
      <c r="GC148" s="918"/>
      <c r="GD148" s="918"/>
      <c r="GE148" s="918"/>
      <c r="GF148" s="918"/>
      <c r="GG148" s="918"/>
      <c r="GH148" s="918"/>
      <c r="GI148" s="918"/>
      <c r="GJ148" s="918"/>
      <c r="GK148" s="918"/>
      <c r="GL148" s="918"/>
      <c r="GM148" s="918"/>
      <c r="GN148" s="918"/>
      <c r="GO148" s="918"/>
      <c r="GP148" s="918"/>
      <c r="GQ148" s="918"/>
      <c r="GR148" s="918"/>
      <c r="GS148" s="918"/>
      <c r="GT148" s="918"/>
      <c r="GU148" s="918"/>
      <c r="GV148" s="918"/>
      <c r="GW148" s="918"/>
      <c r="GX148" s="918"/>
      <c r="GY148" s="918"/>
      <c r="GZ148" s="918"/>
      <c r="HA148" s="918"/>
      <c r="HB148" s="918"/>
      <c r="HC148" s="918"/>
      <c r="HD148" s="918"/>
      <c r="HE148" s="918"/>
      <c r="HF148" s="918"/>
      <c r="HG148" s="918"/>
      <c r="HH148" s="918"/>
      <c r="HI148" s="918"/>
      <c r="HJ148" s="918"/>
      <c r="HK148" s="918"/>
      <c r="HL148" s="918"/>
      <c r="HM148" s="918"/>
      <c r="HN148" s="918"/>
      <c r="HO148" s="918"/>
      <c r="HP148" s="918"/>
      <c r="HQ148" s="918"/>
      <c r="HR148" s="918"/>
      <c r="HS148" s="918"/>
      <c r="HT148" s="918"/>
      <c r="HU148" s="918"/>
      <c r="HV148" s="918"/>
      <c r="HW148" s="918"/>
      <c r="HX148" s="918"/>
      <c r="HY148" s="918"/>
      <c r="HZ148" s="918"/>
      <c r="IA148" s="918"/>
      <c r="IB148" s="918"/>
      <c r="IC148" s="918"/>
      <c r="ID148" s="918"/>
      <c r="IE148" s="918"/>
      <c r="IF148" s="918"/>
      <c r="IG148" s="918"/>
      <c r="IH148" s="918"/>
      <c r="II148" s="918"/>
      <c r="IJ148" s="918"/>
      <c r="IK148" s="918"/>
      <c r="IL148" s="918"/>
      <c r="IM148" s="918"/>
      <c r="IN148" s="918"/>
    </row>
    <row r="149" spans="1:248">
      <c r="A149" s="615" t="s">
        <v>27</v>
      </c>
      <c r="B149" s="617">
        <v>15786.7</v>
      </c>
      <c r="C149" s="919">
        <v>32.253195517742952</v>
      </c>
      <c r="D149" s="618">
        <v>13860.8</v>
      </c>
      <c r="E149" s="919">
        <v>28.157935366438331</v>
      </c>
      <c r="F149" s="919">
        <v>1925.9000000000015</v>
      </c>
      <c r="G149" s="919">
        <f t="shared" si="27"/>
        <v>3.9124269683007924</v>
      </c>
      <c r="H149" s="235">
        <v>49225.2</v>
      </c>
      <c r="I149" s="918"/>
      <c r="J149" s="918"/>
      <c r="K149" s="918"/>
      <c r="L149" s="918"/>
      <c r="M149" s="918"/>
      <c r="N149" s="918"/>
      <c r="O149" s="918"/>
      <c r="P149" s="918"/>
      <c r="Q149" s="918"/>
      <c r="R149" s="918"/>
      <c r="S149" s="918"/>
      <c r="T149" s="918"/>
      <c r="U149" s="918"/>
      <c r="V149" s="918"/>
      <c r="W149" s="918"/>
      <c r="X149" s="918"/>
      <c r="Y149" s="918"/>
      <c r="Z149" s="918"/>
      <c r="AA149" s="918"/>
      <c r="AB149" s="918"/>
      <c r="AC149" s="918"/>
      <c r="AD149" s="918"/>
      <c r="AE149" s="918"/>
      <c r="AF149" s="918"/>
      <c r="AG149" s="918"/>
      <c r="AH149" s="918"/>
      <c r="AI149" s="918"/>
      <c r="AJ149" s="918"/>
      <c r="AK149" s="918"/>
      <c r="AL149" s="918"/>
      <c r="AM149" s="918"/>
      <c r="AN149" s="918"/>
      <c r="AO149" s="918"/>
      <c r="AP149" s="918"/>
      <c r="AQ149" s="918"/>
      <c r="AR149" s="918"/>
      <c r="AS149" s="918"/>
      <c r="AT149" s="918"/>
      <c r="AU149" s="918"/>
      <c r="AV149" s="918"/>
      <c r="AW149" s="918"/>
      <c r="AX149" s="918"/>
      <c r="AY149" s="918"/>
      <c r="AZ149" s="918"/>
      <c r="BA149" s="918"/>
      <c r="BB149" s="918"/>
      <c r="BC149" s="918"/>
      <c r="BD149" s="918"/>
      <c r="BE149" s="918"/>
      <c r="BF149" s="918"/>
      <c r="BG149" s="918"/>
      <c r="BH149" s="918"/>
      <c r="BI149" s="918"/>
      <c r="BJ149" s="918"/>
      <c r="BK149" s="918"/>
      <c r="BL149" s="918"/>
      <c r="BM149" s="918"/>
      <c r="BN149" s="918"/>
      <c r="BO149" s="918"/>
      <c r="BP149" s="918"/>
      <c r="BQ149" s="918"/>
      <c r="BR149" s="918"/>
      <c r="BS149" s="918"/>
      <c r="BT149" s="918"/>
      <c r="BU149" s="918"/>
      <c r="BV149" s="918"/>
      <c r="BW149" s="918"/>
      <c r="BX149" s="918"/>
      <c r="BY149" s="918"/>
      <c r="BZ149" s="918"/>
      <c r="CA149" s="918"/>
      <c r="CB149" s="918"/>
      <c r="CC149" s="918"/>
      <c r="CD149" s="918"/>
      <c r="CE149" s="918"/>
      <c r="CF149" s="918"/>
      <c r="CG149" s="918"/>
      <c r="CH149" s="918"/>
      <c r="CI149" s="918"/>
      <c r="CJ149" s="918"/>
      <c r="CK149" s="918"/>
      <c r="CL149" s="918"/>
      <c r="CM149" s="918"/>
      <c r="CN149" s="918"/>
      <c r="CO149" s="918"/>
      <c r="CP149" s="918"/>
      <c r="CQ149" s="918"/>
      <c r="CR149" s="918"/>
      <c r="CS149" s="918"/>
      <c r="CT149" s="918"/>
      <c r="CU149" s="918"/>
      <c r="CV149" s="918"/>
      <c r="CW149" s="918"/>
      <c r="CX149" s="918"/>
      <c r="CY149" s="918"/>
      <c r="CZ149" s="918"/>
      <c r="DA149" s="918"/>
      <c r="DB149" s="918"/>
      <c r="DC149" s="918"/>
      <c r="DD149" s="918"/>
      <c r="DE149" s="918"/>
      <c r="DF149" s="918"/>
      <c r="DG149" s="918"/>
      <c r="DH149" s="918"/>
      <c r="DI149" s="918"/>
      <c r="DJ149" s="918"/>
      <c r="DK149" s="918"/>
      <c r="DL149" s="918"/>
      <c r="DM149" s="918"/>
      <c r="DN149" s="918"/>
      <c r="DO149" s="918"/>
      <c r="DP149" s="918"/>
      <c r="DQ149" s="918"/>
      <c r="DR149" s="918"/>
      <c r="DS149" s="918"/>
      <c r="DT149" s="918"/>
      <c r="DU149" s="918"/>
      <c r="DV149" s="918"/>
      <c r="DW149" s="918"/>
      <c r="DX149" s="918"/>
      <c r="DY149" s="918"/>
      <c r="DZ149" s="918"/>
      <c r="EA149" s="918"/>
      <c r="EB149" s="918"/>
      <c r="EC149" s="918"/>
      <c r="ED149" s="918"/>
      <c r="EE149" s="918"/>
      <c r="EF149" s="918"/>
      <c r="EG149" s="918"/>
      <c r="EH149" s="918"/>
      <c r="EI149" s="918"/>
      <c r="EJ149" s="918"/>
      <c r="EK149" s="918"/>
      <c r="EL149" s="918"/>
      <c r="EM149" s="918"/>
      <c r="EN149" s="918"/>
      <c r="EO149" s="918"/>
      <c r="EP149" s="918"/>
      <c r="EQ149" s="918"/>
      <c r="ER149" s="918"/>
      <c r="ES149" s="918"/>
      <c r="ET149" s="918"/>
      <c r="EU149" s="918"/>
      <c r="EV149" s="918"/>
      <c r="EW149" s="918"/>
      <c r="EX149" s="918"/>
      <c r="EY149" s="918"/>
      <c r="EZ149" s="918"/>
      <c r="FA149" s="918"/>
      <c r="FB149" s="918"/>
      <c r="FC149" s="918"/>
      <c r="FD149" s="918"/>
      <c r="FE149" s="918"/>
      <c r="FF149" s="918"/>
      <c r="FG149" s="918"/>
      <c r="FH149" s="918"/>
      <c r="FI149" s="918"/>
      <c r="FJ149" s="918"/>
      <c r="FK149" s="918"/>
      <c r="FL149" s="918"/>
      <c r="FM149" s="918"/>
      <c r="FN149" s="918"/>
      <c r="FO149" s="918"/>
      <c r="FP149" s="918"/>
      <c r="FQ149" s="918"/>
      <c r="FR149" s="918"/>
      <c r="FS149" s="918"/>
      <c r="FT149" s="918"/>
      <c r="FU149" s="918"/>
      <c r="FV149" s="918"/>
      <c r="FW149" s="918"/>
      <c r="FX149" s="918"/>
      <c r="FY149" s="918"/>
      <c r="FZ149" s="918"/>
      <c r="GA149" s="918"/>
      <c r="GB149" s="918"/>
      <c r="GC149" s="918"/>
      <c r="GD149" s="918"/>
      <c r="GE149" s="918"/>
      <c r="GF149" s="918"/>
      <c r="GG149" s="918"/>
      <c r="GH149" s="918"/>
      <c r="GI149" s="918"/>
      <c r="GJ149" s="918"/>
      <c r="GK149" s="918"/>
      <c r="GL149" s="918"/>
      <c r="GM149" s="918"/>
      <c r="GN149" s="918"/>
      <c r="GO149" s="918"/>
      <c r="GP149" s="918"/>
      <c r="GQ149" s="918"/>
      <c r="GR149" s="918"/>
      <c r="GS149" s="918"/>
      <c r="GT149" s="918"/>
      <c r="GU149" s="918"/>
      <c r="GV149" s="918"/>
      <c r="GW149" s="918"/>
      <c r="GX149" s="918"/>
      <c r="GY149" s="918"/>
      <c r="GZ149" s="918"/>
      <c r="HA149" s="918"/>
      <c r="HB149" s="918"/>
      <c r="HC149" s="918"/>
      <c r="HD149" s="918"/>
      <c r="HE149" s="918"/>
      <c r="HF149" s="918"/>
      <c r="HG149" s="918"/>
      <c r="HH149" s="918"/>
      <c r="HI149" s="918"/>
      <c r="HJ149" s="918"/>
      <c r="HK149" s="918"/>
      <c r="HL149" s="918"/>
      <c r="HM149" s="918"/>
      <c r="HN149" s="918"/>
      <c r="HO149" s="918"/>
      <c r="HP149" s="918"/>
      <c r="HQ149" s="918"/>
      <c r="HR149" s="918"/>
      <c r="HS149" s="918"/>
      <c r="HT149" s="918"/>
      <c r="HU149" s="918"/>
      <c r="HV149" s="918"/>
      <c r="HW149" s="918"/>
      <c r="HX149" s="918"/>
      <c r="HY149" s="918"/>
      <c r="HZ149" s="918"/>
      <c r="IA149" s="918"/>
      <c r="IB149" s="918"/>
      <c r="IC149" s="918"/>
      <c r="ID149" s="918"/>
      <c r="IE149" s="918"/>
      <c r="IF149" s="918"/>
      <c r="IG149" s="918"/>
      <c r="IH149" s="918"/>
      <c r="II149" s="918"/>
      <c r="IJ149" s="918"/>
      <c r="IK149" s="918"/>
      <c r="IL149" s="918"/>
      <c r="IM149" s="918"/>
      <c r="IN149" s="918"/>
    </row>
    <row r="150" spans="1:248">
      <c r="A150" s="615" t="s">
        <v>28</v>
      </c>
      <c r="B150" s="617">
        <v>17168.900000000001</v>
      </c>
      <c r="C150" s="919">
        <f>15876.7/53743.6*100</f>
        <v>29.541564018785493</v>
      </c>
      <c r="D150" s="618">
        <v>15096.9</v>
      </c>
      <c r="E150" s="919">
        <f>D150/53743.6*100</f>
        <v>28.0906005552289</v>
      </c>
      <c r="F150" s="919">
        <f>+B150-D150</f>
        <v>2072.0000000000018</v>
      </c>
      <c r="G150" s="919">
        <f t="shared" si="27"/>
        <v>3.8553427756979475</v>
      </c>
      <c r="H150" s="27">
        <v>53743.6</v>
      </c>
      <c r="I150" s="918"/>
      <c r="J150" s="918"/>
      <c r="K150" s="918"/>
      <c r="L150" s="918"/>
      <c r="M150" s="918"/>
      <c r="N150" s="918"/>
      <c r="O150" s="918"/>
      <c r="P150" s="918"/>
      <c r="Q150" s="918"/>
      <c r="R150" s="918"/>
      <c r="S150" s="918"/>
      <c r="T150" s="918"/>
      <c r="U150" s="918"/>
      <c r="V150" s="918"/>
      <c r="W150" s="918"/>
      <c r="X150" s="918"/>
      <c r="Y150" s="918"/>
      <c r="Z150" s="918"/>
      <c r="AA150" s="918"/>
      <c r="AB150" s="918"/>
      <c r="AC150" s="918"/>
      <c r="AD150" s="918"/>
      <c r="AE150" s="918"/>
      <c r="AF150" s="918"/>
      <c r="AG150" s="918"/>
      <c r="AH150" s="918"/>
      <c r="AI150" s="918"/>
      <c r="AJ150" s="918"/>
      <c r="AK150" s="918"/>
      <c r="AL150" s="918"/>
      <c r="AM150" s="918"/>
      <c r="AN150" s="918"/>
      <c r="AO150" s="918"/>
      <c r="AP150" s="918"/>
      <c r="AQ150" s="918"/>
      <c r="AR150" s="918"/>
      <c r="AS150" s="918"/>
      <c r="AT150" s="918"/>
      <c r="AU150" s="918"/>
      <c r="AV150" s="918"/>
      <c r="AW150" s="918"/>
      <c r="AX150" s="918"/>
      <c r="AY150" s="918"/>
      <c r="AZ150" s="918"/>
      <c r="BA150" s="918"/>
      <c r="BB150" s="918"/>
      <c r="BC150" s="918"/>
      <c r="BD150" s="918"/>
      <c r="BE150" s="918"/>
      <c r="BF150" s="918"/>
      <c r="BG150" s="918"/>
      <c r="BH150" s="918"/>
      <c r="BI150" s="918"/>
      <c r="BJ150" s="918"/>
      <c r="BK150" s="918"/>
      <c r="BL150" s="918"/>
      <c r="BM150" s="918"/>
      <c r="BN150" s="918"/>
      <c r="BO150" s="918"/>
      <c r="BP150" s="918"/>
      <c r="BQ150" s="918"/>
      <c r="BR150" s="918"/>
      <c r="BS150" s="918"/>
      <c r="BT150" s="918"/>
      <c r="BU150" s="918"/>
      <c r="BV150" s="918"/>
      <c r="BW150" s="918"/>
      <c r="BX150" s="918"/>
      <c r="BY150" s="918"/>
      <c r="BZ150" s="918"/>
      <c r="CA150" s="918"/>
      <c r="CB150" s="918"/>
      <c r="CC150" s="918"/>
      <c r="CD150" s="918"/>
      <c r="CE150" s="918"/>
      <c r="CF150" s="918"/>
      <c r="CG150" s="918"/>
      <c r="CH150" s="918"/>
      <c r="CI150" s="918"/>
      <c r="CJ150" s="918"/>
      <c r="CK150" s="918"/>
      <c r="CL150" s="918"/>
      <c r="CM150" s="918"/>
      <c r="CN150" s="918"/>
      <c r="CO150" s="918"/>
      <c r="CP150" s="918"/>
      <c r="CQ150" s="918"/>
      <c r="CR150" s="918"/>
      <c r="CS150" s="918"/>
      <c r="CT150" s="918"/>
      <c r="CU150" s="918"/>
      <c r="CV150" s="918"/>
      <c r="CW150" s="918"/>
      <c r="CX150" s="918"/>
      <c r="CY150" s="918"/>
      <c r="CZ150" s="918"/>
      <c r="DA150" s="918"/>
      <c r="DB150" s="918"/>
      <c r="DC150" s="918"/>
      <c r="DD150" s="918"/>
      <c r="DE150" s="918"/>
      <c r="DF150" s="918"/>
      <c r="DG150" s="918"/>
      <c r="DH150" s="918"/>
      <c r="DI150" s="918"/>
      <c r="DJ150" s="918"/>
      <c r="DK150" s="918"/>
      <c r="DL150" s="918"/>
      <c r="DM150" s="918"/>
      <c r="DN150" s="918"/>
      <c r="DO150" s="918"/>
      <c r="DP150" s="918"/>
      <c r="DQ150" s="918"/>
      <c r="DR150" s="918"/>
      <c r="DS150" s="918"/>
      <c r="DT150" s="918"/>
      <c r="DU150" s="918"/>
      <c r="DV150" s="918"/>
      <c r="DW150" s="918"/>
      <c r="DX150" s="918"/>
      <c r="DY150" s="918"/>
      <c r="DZ150" s="918"/>
      <c r="EA150" s="918"/>
      <c r="EB150" s="918"/>
      <c r="EC150" s="918"/>
      <c r="ED150" s="918"/>
      <c r="EE150" s="918"/>
      <c r="EF150" s="918"/>
      <c r="EG150" s="918"/>
      <c r="EH150" s="918"/>
      <c r="EI150" s="918"/>
      <c r="EJ150" s="918"/>
      <c r="EK150" s="918"/>
      <c r="EL150" s="918"/>
      <c r="EM150" s="918"/>
      <c r="EN150" s="918"/>
      <c r="EO150" s="918"/>
      <c r="EP150" s="918"/>
      <c r="EQ150" s="918"/>
      <c r="ER150" s="918"/>
      <c r="ES150" s="918"/>
      <c r="ET150" s="918"/>
      <c r="EU150" s="918"/>
      <c r="EV150" s="918"/>
      <c r="EW150" s="918"/>
      <c r="EX150" s="918"/>
      <c r="EY150" s="918"/>
      <c r="EZ150" s="918"/>
      <c r="FA150" s="918"/>
      <c r="FB150" s="918"/>
      <c r="FC150" s="918"/>
      <c r="FD150" s="918"/>
      <c r="FE150" s="918"/>
      <c r="FF150" s="918"/>
      <c r="FG150" s="918"/>
      <c r="FH150" s="918"/>
      <c r="FI150" s="918"/>
      <c r="FJ150" s="918"/>
      <c r="FK150" s="918"/>
      <c r="FL150" s="918"/>
      <c r="FM150" s="918"/>
      <c r="FN150" s="918"/>
      <c r="FO150" s="918"/>
      <c r="FP150" s="918"/>
      <c r="FQ150" s="918"/>
      <c r="FR150" s="918"/>
      <c r="FS150" s="918"/>
      <c r="FT150" s="918"/>
      <c r="FU150" s="918"/>
      <c r="FV150" s="918"/>
      <c r="FW150" s="918"/>
      <c r="FX150" s="918"/>
      <c r="FY150" s="918"/>
      <c r="FZ150" s="918"/>
      <c r="GA150" s="918"/>
      <c r="GB150" s="918"/>
      <c r="GC150" s="918"/>
      <c r="GD150" s="918"/>
      <c r="GE150" s="918"/>
      <c r="GF150" s="918"/>
      <c r="GG150" s="918"/>
      <c r="GH150" s="918"/>
      <c r="GI150" s="918"/>
      <c r="GJ150" s="918"/>
      <c r="GK150" s="918"/>
      <c r="GL150" s="918"/>
      <c r="GM150" s="918"/>
      <c r="GN150" s="918"/>
      <c r="GO150" s="918"/>
      <c r="GP150" s="918"/>
      <c r="GQ150" s="918"/>
      <c r="GR150" s="918"/>
      <c r="GS150" s="918"/>
      <c r="GT150" s="918"/>
      <c r="GU150" s="918"/>
      <c r="GV150" s="918"/>
      <c r="GW150" s="918"/>
      <c r="GX150" s="918"/>
      <c r="GY150" s="918"/>
      <c r="GZ150" s="918"/>
      <c r="HA150" s="918"/>
      <c r="HB150" s="918"/>
      <c r="HC150" s="918"/>
      <c r="HD150" s="918"/>
      <c r="HE150" s="918"/>
      <c r="HF150" s="918"/>
      <c r="HG150" s="918"/>
      <c r="HH150" s="918"/>
      <c r="HI150" s="918"/>
      <c r="HJ150" s="918"/>
      <c r="HK150" s="918"/>
      <c r="HL150" s="918"/>
      <c r="HM150" s="918"/>
      <c r="HN150" s="918"/>
      <c r="HO150" s="918"/>
      <c r="HP150" s="918"/>
      <c r="HQ150" s="918"/>
      <c r="HR150" s="918"/>
      <c r="HS150" s="918"/>
      <c r="HT150" s="918"/>
      <c r="HU150" s="918"/>
      <c r="HV150" s="918"/>
      <c r="HW150" s="918"/>
      <c r="HX150" s="918"/>
      <c r="HY150" s="918"/>
      <c r="HZ150" s="918"/>
      <c r="IA150" s="918"/>
      <c r="IB150" s="918"/>
      <c r="IC150" s="918"/>
      <c r="ID150" s="918"/>
      <c r="IE150" s="918"/>
      <c r="IF150" s="918"/>
      <c r="IG150" s="918"/>
      <c r="IH150" s="918"/>
      <c r="II150" s="918"/>
      <c r="IJ150" s="918"/>
      <c r="IK150" s="918"/>
      <c r="IL150" s="918"/>
      <c r="IM150" s="918"/>
      <c r="IN150" s="918"/>
    </row>
    <row r="151" spans="1:248">
      <c r="A151" s="615" t="s">
        <v>29</v>
      </c>
      <c r="B151" s="617">
        <v>18400.599999999999</v>
      </c>
      <c r="C151" s="919">
        <v>31.199027430660347</v>
      </c>
      <c r="D151" s="618">
        <v>18709</v>
      </c>
      <c r="E151" s="919">
        <v>31.705658739390074</v>
      </c>
      <c r="F151" s="919">
        <v>-308.40000000000146</v>
      </c>
      <c r="G151" s="919">
        <f t="shared" si="27"/>
        <v>-0.52258697497716888</v>
      </c>
      <c r="H151" s="27">
        <v>59014.1</v>
      </c>
      <c r="I151" s="918"/>
      <c r="J151" s="918"/>
      <c r="K151" s="918"/>
      <c r="L151" s="918"/>
      <c r="M151" s="918"/>
      <c r="N151" s="918"/>
      <c r="O151" s="918"/>
      <c r="P151" s="918"/>
      <c r="Q151" s="918"/>
      <c r="R151" s="918"/>
      <c r="S151" s="918"/>
      <c r="T151" s="918"/>
      <c r="U151" s="918"/>
      <c r="V151" s="918"/>
      <c r="W151" s="918"/>
      <c r="X151" s="918"/>
      <c r="Y151" s="918"/>
      <c r="Z151" s="918"/>
      <c r="AA151" s="918"/>
      <c r="AB151" s="918"/>
      <c r="AC151" s="918"/>
      <c r="AD151" s="918"/>
      <c r="AE151" s="918"/>
      <c r="AF151" s="918"/>
      <c r="AG151" s="918"/>
      <c r="AH151" s="918"/>
      <c r="AI151" s="918"/>
      <c r="AJ151" s="918"/>
      <c r="AK151" s="918"/>
      <c r="AL151" s="918"/>
      <c r="AM151" s="918"/>
      <c r="AN151" s="918"/>
      <c r="AO151" s="918"/>
      <c r="AP151" s="918"/>
      <c r="AQ151" s="918"/>
      <c r="AR151" s="918"/>
      <c r="AS151" s="918"/>
      <c r="AT151" s="918"/>
      <c r="AU151" s="918"/>
      <c r="AV151" s="918"/>
      <c r="AW151" s="918"/>
      <c r="AX151" s="918"/>
      <c r="AY151" s="918"/>
      <c r="AZ151" s="918"/>
      <c r="BA151" s="918"/>
      <c r="BB151" s="918"/>
      <c r="BC151" s="918"/>
      <c r="BD151" s="918"/>
      <c r="BE151" s="918"/>
      <c r="BF151" s="918"/>
      <c r="BG151" s="918"/>
      <c r="BH151" s="918"/>
      <c r="BI151" s="918"/>
      <c r="BJ151" s="918"/>
      <c r="BK151" s="918"/>
      <c r="BL151" s="918"/>
      <c r="BM151" s="918"/>
      <c r="BN151" s="918"/>
      <c r="BO151" s="918"/>
      <c r="BP151" s="918"/>
      <c r="BQ151" s="918"/>
      <c r="BR151" s="918"/>
      <c r="BS151" s="918"/>
      <c r="BT151" s="918"/>
      <c r="BU151" s="918"/>
      <c r="BV151" s="918"/>
      <c r="BW151" s="918"/>
      <c r="BX151" s="918"/>
      <c r="BY151" s="918"/>
      <c r="BZ151" s="918"/>
      <c r="CA151" s="918"/>
      <c r="CB151" s="918"/>
      <c r="CC151" s="918"/>
      <c r="CD151" s="918"/>
      <c r="CE151" s="918"/>
      <c r="CF151" s="918"/>
      <c r="CG151" s="918"/>
      <c r="CH151" s="918"/>
      <c r="CI151" s="918"/>
      <c r="CJ151" s="918"/>
      <c r="CK151" s="918"/>
      <c r="CL151" s="918"/>
      <c r="CM151" s="918"/>
      <c r="CN151" s="918"/>
      <c r="CO151" s="918"/>
      <c r="CP151" s="918"/>
      <c r="CQ151" s="918"/>
      <c r="CR151" s="918"/>
      <c r="CS151" s="918"/>
      <c r="CT151" s="918"/>
      <c r="CU151" s="918"/>
      <c r="CV151" s="918"/>
      <c r="CW151" s="918"/>
      <c r="CX151" s="918"/>
      <c r="CY151" s="918"/>
      <c r="CZ151" s="918"/>
      <c r="DA151" s="918"/>
      <c r="DB151" s="918"/>
      <c r="DC151" s="918"/>
      <c r="DD151" s="918"/>
      <c r="DE151" s="918"/>
      <c r="DF151" s="918"/>
      <c r="DG151" s="918"/>
      <c r="DH151" s="918"/>
      <c r="DI151" s="918"/>
      <c r="DJ151" s="918"/>
      <c r="DK151" s="918"/>
      <c r="DL151" s="918"/>
      <c r="DM151" s="918"/>
      <c r="DN151" s="918"/>
      <c r="DO151" s="918"/>
      <c r="DP151" s="918"/>
      <c r="DQ151" s="918"/>
      <c r="DR151" s="918"/>
      <c r="DS151" s="918"/>
      <c r="DT151" s="918"/>
      <c r="DU151" s="918"/>
      <c r="DV151" s="918"/>
      <c r="DW151" s="918"/>
      <c r="DX151" s="918"/>
      <c r="DY151" s="918"/>
      <c r="DZ151" s="918"/>
      <c r="EA151" s="918"/>
      <c r="EB151" s="918"/>
      <c r="EC151" s="918"/>
      <c r="ED151" s="918"/>
      <c r="EE151" s="918"/>
      <c r="EF151" s="918"/>
      <c r="EG151" s="918"/>
      <c r="EH151" s="918"/>
      <c r="EI151" s="918"/>
      <c r="EJ151" s="918"/>
      <c r="EK151" s="918"/>
      <c r="EL151" s="918"/>
      <c r="EM151" s="918"/>
      <c r="EN151" s="918"/>
      <c r="EO151" s="918"/>
      <c r="EP151" s="918"/>
      <c r="EQ151" s="918"/>
      <c r="ER151" s="918"/>
      <c r="ES151" s="918"/>
      <c r="ET151" s="918"/>
      <c r="EU151" s="918"/>
      <c r="EV151" s="918"/>
      <c r="EW151" s="918"/>
      <c r="EX151" s="918"/>
      <c r="EY151" s="918"/>
      <c r="EZ151" s="918"/>
      <c r="FA151" s="918"/>
      <c r="FB151" s="918"/>
      <c r="FC151" s="918"/>
      <c r="FD151" s="918"/>
      <c r="FE151" s="918"/>
      <c r="FF151" s="918"/>
      <c r="FG151" s="918"/>
      <c r="FH151" s="918"/>
      <c r="FI151" s="918"/>
      <c r="FJ151" s="918"/>
      <c r="FK151" s="918"/>
      <c r="FL151" s="918"/>
      <c r="FM151" s="918"/>
      <c r="FN151" s="918"/>
      <c r="FO151" s="918"/>
      <c r="FP151" s="918"/>
      <c r="FQ151" s="918"/>
      <c r="FR151" s="918"/>
      <c r="FS151" s="918"/>
      <c r="FT151" s="918"/>
      <c r="FU151" s="918"/>
      <c r="FV151" s="918"/>
      <c r="FW151" s="918"/>
      <c r="FX151" s="918"/>
      <c r="FY151" s="918"/>
      <c r="FZ151" s="918"/>
      <c r="GA151" s="918"/>
      <c r="GB151" s="918"/>
      <c r="GC151" s="918"/>
      <c r="GD151" s="918"/>
      <c r="GE151" s="918"/>
      <c r="GF151" s="918"/>
      <c r="GG151" s="918"/>
      <c r="GH151" s="918"/>
      <c r="GI151" s="918"/>
      <c r="GJ151" s="918"/>
      <c r="GK151" s="918"/>
      <c r="GL151" s="918"/>
      <c r="GM151" s="918"/>
      <c r="GN151" s="918"/>
      <c r="GO151" s="918"/>
      <c r="GP151" s="918"/>
      <c r="GQ151" s="918"/>
      <c r="GR151" s="918"/>
      <c r="GS151" s="918"/>
      <c r="GT151" s="918"/>
      <c r="GU151" s="918"/>
      <c r="GV151" s="918"/>
      <c r="GW151" s="918"/>
      <c r="GX151" s="918"/>
      <c r="GY151" s="918"/>
      <c r="GZ151" s="918"/>
      <c r="HA151" s="918"/>
      <c r="HB151" s="918"/>
      <c r="HC151" s="918"/>
      <c r="HD151" s="918"/>
      <c r="HE151" s="918"/>
      <c r="HF151" s="918"/>
      <c r="HG151" s="918"/>
      <c r="HH151" s="918"/>
      <c r="HI151" s="918"/>
      <c r="HJ151" s="918"/>
      <c r="HK151" s="918"/>
      <c r="HL151" s="918"/>
      <c r="HM151" s="918"/>
      <c r="HN151" s="918"/>
      <c r="HO151" s="918"/>
      <c r="HP151" s="918"/>
      <c r="HQ151" s="918"/>
      <c r="HR151" s="918"/>
      <c r="HS151" s="918"/>
      <c r="HT151" s="918"/>
      <c r="HU151" s="918"/>
      <c r="HV151" s="918"/>
      <c r="HW151" s="918"/>
      <c r="HX151" s="918"/>
      <c r="HY151" s="918"/>
      <c r="HZ151" s="918"/>
      <c r="IA151" s="918"/>
      <c r="IB151" s="918"/>
      <c r="IC151" s="918"/>
      <c r="ID151" s="918"/>
      <c r="IE151" s="918"/>
      <c r="IF151" s="918"/>
      <c r="IG151" s="918"/>
      <c r="IH151" s="918"/>
      <c r="II151" s="918"/>
      <c r="IJ151" s="918"/>
      <c r="IK151" s="918"/>
      <c r="IL151" s="918"/>
      <c r="IM151" s="918"/>
      <c r="IN151" s="918"/>
    </row>
    <row r="152" spans="1:248">
      <c r="A152" s="615" t="s">
        <v>1829</v>
      </c>
      <c r="B152" s="612">
        <v>17498</v>
      </c>
      <c r="C152" s="920">
        <v>31.559406168298924</v>
      </c>
      <c r="D152" s="613">
        <v>17784.5</v>
      </c>
      <c r="E152" s="920">
        <v>32.725138495108745</v>
      </c>
      <c r="F152" s="920">
        <f>B152-D152</f>
        <v>-286.5</v>
      </c>
      <c r="G152" s="920">
        <v>-0.52684810592129461</v>
      </c>
      <c r="H152" s="27"/>
      <c r="I152" s="918"/>
      <c r="J152" s="918"/>
      <c r="K152" s="918"/>
      <c r="L152" s="918"/>
      <c r="M152" s="918"/>
      <c r="N152" s="918"/>
      <c r="O152" s="918"/>
      <c r="P152" s="918"/>
      <c r="Q152" s="918"/>
      <c r="R152" s="918"/>
      <c r="S152" s="918"/>
      <c r="T152" s="918"/>
      <c r="U152" s="918"/>
      <c r="V152" s="918"/>
      <c r="W152" s="918"/>
      <c r="X152" s="918"/>
      <c r="Y152" s="918"/>
      <c r="Z152" s="918"/>
      <c r="AA152" s="918"/>
      <c r="AB152" s="918"/>
      <c r="AC152" s="918"/>
      <c r="AD152" s="918"/>
      <c r="AE152" s="918"/>
      <c r="AF152" s="918"/>
      <c r="AG152" s="918"/>
      <c r="AH152" s="918"/>
      <c r="AI152" s="918"/>
      <c r="AJ152" s="918"/>
      <c r="AK152" s="918"/>
      <c r="AL152" s="918"/>
      <c r="AM152" s="918"/>
      <c r="AN152" s="918"/>
      <c r="AO152" s="918"/>
      <c r="AP152" s="918"/>
      <c r="AQ152" s="918"/>
      <c r="AR152" s="918"/>
      <c r="AS152" s="918"/>
      <c r="AT152" s="918"/>
      <c r="AU152" s="918"/>
      <c r="AV152" s="918"/>
      <c r="AW152" s="918"/>
      <c r="AX152" s="918"/>
      <c r="AY152" s="918"/>
      <c r="AZ152" s="918"/>
      <c r="BA152" s="918"/>
      <c r="BB152" s="918"/>
      <c r="BC152" s="918"/>
      <c r="BD152" s="918"/>
      <c r="BE152" s="918"/>
      <c r="BF152" s="918"/>
      <c r="BG152" s="918"/>
      <c r="BH152" s="918"/>
      <c r="BI152" s="918"/>
      <c r="BJ152" s="918"/>
      <c r="BK152" s="918"/>
      <c r="BL152" s="918"/>
      <c r="BM152" s="918"/>
      <c r="BN152" s="918"/>
      <c r="BO152" s="918"/>
      <c r="BP152" s="918"/>
      <c r="BQ152" s="918"/>
      <c r="BR152" s="918"/>
      <c r="BS152" s="918"/>
      <c r="BT152" s="918"/>
      <c r="BU152" s="918"/>
      <c r="BV152" s="918"/>
      <c r="BW152" s="918"/>
      <c r="BX152" s="918"/>
      <c r="BY152" s="918"/>
      <c r="BZ152" s="918"/>
      <c r="CA152" s="918"/>
      <c r="CB152" s="918"/>
      <c r="CC152" s="918"/>
      <c r="CD152" s="918"/>
      <c r="CE152" s="918"/>
      <c r="CF152" s="918"/>
      <c r="CG152" s="918"/>
      <c r="CH152" s="918"/>
      <c r="CI152" s="918"/>
      <c r="CJ152" s="918"/>
      <c r="CK152" s="918"/>
      <c r="CL152" s="918"/>
      <c r="CM152" s="918"/>
      <c r="CN152" s="918"/>
      <c r="CO152" s="918"/>
      <c r="CP152" s="918"/>
      <c r="CQ152" s="918"/>
      <c r="CR152" s="918"/>
      <c r="CS152" s="918"/>
      <c r="CT152" s="918"/>
      <c r="CU152" s="918"/>
      <c r="CV152" s="918"/>
      <c r="CW152" s="918"/>
      <c r="CX152" s="918"/>
      <c r="CY152" s="918"/>
      <c r="CZ152" s="918"/>
      <c r="DA152" s="918"/>
      <c r="DB152" s="918"/>
      <c r="DC152" s="918"/>
      <c r="DD152" s="918"/>
      <c r="DE152" s="918"/>
      <c r="DF152" s="918"/>
      <c r="DG152" s="918"/>
      <c r="DH152" s="918"/>
      <c r="DI152" s="918"/>
      <c r="DJ152" s="918"/>
      <c r="DK152" s="918"/>
      <c r="DL152" s="918"/>
      <c r="DM152" s="918"/>
      <c r="DN152" s="918"/>
      <c r="DO152" s="918"/>
      <c r="DP152" s="918"/>
      <c r="DQ152" s="918"/>
      <c r="DR152" s="918"/>
      <c r="DS152" s="918"/>
      <c r="DT152" s="918"/>
      <c r="DU152" s="918"/>
      <c r="DV152" s="918"/>
      <c r="DW152" s="918"/>
      <c r="DX152" s="918"/>
      <c r="DY152" s="918"/>
      <c r="DZ152" s="918"/>
      <c r="EA152" s="918"/>
      <c r="EB152" s="918"/>
      <c r="EC152" s="918"/>
      <c r="ED152" s="918"/>
      <c r="EE152" s="918"/>
      <c r="EF152" s="918"/>
      <c r="EG152" s="918"/>
      <c r="EH152" s="918"/>
      <c r="EI152" s="918"/>
      <c r="EJ152" s="918"/>
      <c r="EK152" s="918"/>
      <c r="EL152" s="918"/>
      <c r="EM152" s="918"/>
      <c r="EN152" s="918"/>
      <c r="EO152" s="918"/>
      <c r="EP152" s="918"/>
      <c r="EQ152" s="918"/>
      <c r="ER152" s="918"/>
      <c r="ES152" s="918"/>
      <c r="ET152" s="918"/>
      <c r="EU152" s="918"/>
      <c r="EV152" s="918"/>
      <c r="EW152" s="918"/>
      <c r="EX152" s="918"/>
      <c r="EY152" s="918"/>
      <c r="EZ152" s="918"/>
      <c r="FA152" s="918"/>
      <c r="FB152" s="918"/>
      <c r="FC152" s="918"/>
      <c r="FD152" s="918"/>
      <c r="FE152" s="918"/>
      <c r="FF152" s="918"/>
      <c r="FG152" s="918"/>
      <c r="FH152" s="918"/>
      <c r="FI152" s="918"/>
      <c r="FJ152" s="918"/>
      <c r="FK152" s="918"/>
      <c r="FL152" s="918"/>
      <c r="FM152" s="918"/>
      <c r="FN152" s="918"/>
      <c r="FO152" s="918"/>
      <c r="FP152" s="918"/>
      <c r="FQ152" s="918"/>
      <c r="FR152" s="918"/>
      <c r="FS152" s="918"/>
      <c r="FT152" s="918"/>
      <c r="FU152" s="918"/>
      <c r="FV152" s="918"/>
      <c r="FW152" s="918"/>
      <c r="FX152" s="918"/>
      <c r="FY152" s="918"/>
      <c r="FZ152" s="918"/>
      <c r="GA152" s="918"/>
      <c r="GB152" s="918"/>
      <c r="GC152" s="918"/>
      <c r="GD152" s="918"/>
      <c r="GE152" s="918"/>
      <c r="GF152" s="918"/>
      <c r="GG152" s="918"/>
      <c r="GH152" s="918"/>
      <c r="GI152" s="918"/>
      <c r="GJ152" s="918"/>
      <c r="GK152" s="918"/>
      <c r="GL152" s="918"/>
      <c r="GM152" s="918"/>
      <c r="GN152" s="918"/>
      <c r="GO152" s="918"/>
      <c r="GP152" s="918"/>
      <c r="GQ152" s="918"/>
      <c r="GR152" s="918"/>
      <c r="GS152" s="918"/>
      <c r="GT152" s="918"/>
      <c r="GU152" s="918"/>
      <c r="GV152" s="918"/>
      <c r="GW152" s="918"/>
      <c r="GX152" s="918"/>
      <c r="GY152" s="918"/>
      <c r="GZ152" s="918"/>
      <c r="HA152" s="918"/>
      <c r="HB152" s="918"/>
      <c r="HC152" s="918"/>
      <c r="HD152" s="918"/>
      <c r="HE152" s="918"/>
      <c r="HF152" s="918"/>
      <c r="HG152" s="918"/>
      <c r="HH152" s="918"/>
      <c r="HI152" s="918"/>
      <c r="HJ152" s="918"/>
      <c r="HK152" s="918"/>
      <c r="HL152" s="918"/>
      <c r="HM152" s="918"/>
      <c r="HN152" s="918"/>
      <c r="HO152" s="918"/>
      <c r="HP152" s="918"/>
      <c r="HQ152" s="918"/>
      <c r="HR152" s="918"/>
      <c r="HS152" s="918"/>
      <c r="HT152" s="918"/>
      <c r="HU152" s="918"/>
      <c r="HV152" s="918"/>
      <c r="HW152" s="918"/>
      <c r="HX152" s="918"/>
      <c r="HY152" s="918"/>
      <c r="HZ152" s="918"/>
      <c r="IA152" s="918"/>
      <c r="IB152" s="918"/>
      <c r="IC152" s="918"/>
      <c r="ID152" s="918"/>
      <c r="IE152" s="918"/>
      <c r="IF152" s="918"/>
      <c r="IG152" s="918"/>
      <c r="IH152" s="918"/>
      <c r="II152" s="918"/>
      <c r="IJ152" s="918"/>
      <c r="IK152" s="918"/>
      <c r="IL152" s="918"/>
      <c r="IM152" s="918"/>
      <c r="IN152" s="918"/>
    </row>
    <row r="153" spans="1:248">
      <c r="A153" s="615" t="s">
        <v>18</v>
      </c>
      <c r="B153" s="617">
        <v>1684.8</v>
      </c>
      <c r="C153" s="919">
        <v>46.39149709502437</v>
      </c>
      <c r="D153" s="618">
        <v>1263.2</v>
      </c>
      <c r="E153" s="919">
        <v>34.782608695652179</v>
      </c>
      <c r="F153" s="919">
        <v>421.6</v>
      </c>
      <c r="G153" s="919">
        <f t="shared" ref="G153:G219" si="28">F153/H153*100</f>
        <v>11.608888399372196</v>
      </c>
      <c r="H153" s="27">
        <v>3631.7</v>
      </c>
      <c r="I153" s="918"/>
      <c r="J153" s="918"/>
      <c r="K153" s="918"/>
      <c r="L153" s="918"/>
      <c r="M153" s="918"/>
      <c r="N153" s="918"/>
      <c r="O153" s="918"/>
      <c r="P153" s="918"/>
      <c r="Q153" s="918"/>
      <c r="R153" s="918"/>
      <c r="S153" s="918"/>
      <c r="T153" s="918"/>
      <c r="U153" s="918"/>
      <c r="V153" s="918"/>
      <c r="W153" s="918"/>
      <c r="X153" s="918"/>
      <c r="Y153" s="918"/>
      <c r="Z153" s="918"/>
      <c r="AA153" s="918"/>
      <c r="AB153" s="918"/>
      <c r="AC153" s="918"/>
      <c r="AD153" s="918"/>
      <c r="AE153" s="918"/>
      <c r="AF153" s="918"/>
      <c r="AG153" s="918"/>
      <c r="AH153" s="918"/>
      <c r="AI153" s="918"/>
      <c r="AJ153" s="918"/>
      <c r="AK153" s="918"/>
      <c r="AL153" s="918"/>
      <c r="AM153" s="918"/>
      <c r="AN153" s="918"/>
      <c r="AO153" s="918"/>
      <c r="AP153" s="918"/>
      <c r="AQ153" s="918"/>
      <c r="AR153" s="918"/>
      <c r="AS153" s="918"/>
      <c r="AT153" s="918"/>
      <c r="AU153" s="918"/>
      <c r="AV153" s="918"/>
      <c r="AW153" s="918"/>
      <c r="AX153" s="918"/>
      <c r="AY153" s="918"/>
      <c r="AZ153" s="918"/>
      <c r="BA153" s="918"/>
      <c r="BB153" s="918"/>
      <c r="BC153" s="918"/>
      <c r="BD153" s="918"/>
      <c r="BE153" s="918"/>
      <c r="BF153" s="918"/>
      <c r="BG153" s="918"/>
      <c r="BH153" s="918"/>
      <c r="BI153" s="918"/>
      <c r="BJ153" s="918"/>
      <c r="BK153" s="918"/>
      <c r="BL153" s="918"/>
      <c r="BM153" s="918"/>
      <c r="BN153" s="918"/>
      <c r="BO153" s="918"/>
      <c r="BP153" s="918"/>
      <c r="BQ153" s="918"/>
      <c r="BR153" s="918"/>
      <c r="BS153" s="918"/>
      <c r="BT153" s="918"/>
      <c r="BU153" s="918"/>
      <c r="BV153" s="918"/>
      <c r="BW153" s="918"/>
      <c r="BX153" s="918"/>
      <c r="BY153" s="918"/>
      <c r="BZ153" s="918"/>
      <c r="CA153" s="918"/>
      <c r="CB153" s="918"/>
      <c r="CC153" s="918"/>
      <c r="CD153" s="918"/>
      <c r="CE153" s="918"/>
      <c r="CF153" s="918"/>
      <c r="CG153" s="918"/>
      <c r="CH153" s="918"/>
      <c r="CI153" s="918"/>
      <c r="CJ153" s="918"/>
      <c r="CK153" s="918"/>
      <c r="CL153" s="918"/>
      <c r="CM153" s="918"/>
      <c r="CN153" s="918"/>
      <c r="CO153" s="918"/>
      <c r="CP153" s="918"/>
      <c r="CQ153" s="918"/>
      <c r="CR153" s="918"/>
      <c r="CS153" s="918"/>
      <c r="CT153" s="918"/>
      <c r="CU153" s="918"/>
      <c r="CV153" s="918"/>
      <c r="CW153" s="918"/>
      <c r="CX153" s="918"/>
      <c r="CY153" s="918"/>
      <c r="CZ153" s="918"/>
      <c r="DA153" s="918"/>
      <c r="DB153" s="918"/>
      <c r="DC153" s="918"/>
      <c r="DD153" s="918"/>
      <c r="DE153" s="918"/>
      <c r="DF153" s="918"/>
      <c r="DG153" s="918"/>
      <c r="DH153" s="918"/>
      <c r="DI153" s="918"/>
      <c r="DJ153" s="918"/>
      <c r="DK153" s="918"/>
      <c r="DL153" s="918"/>
      <c r="DM153" s="918"/>
      <c r="DN153" s="918"/>
      <c r="DO153" s="918"/>
      <c r="DP153" s="918"/>
      <c r="DQ153" s="918"/>
      <c r="DR153" s="918"/>
      <c r="DS153" s="918"/>
      <c r="DT153" s="918"/>
      <c r="DU153" s="918"/>
      <c r="DV153" s="918"/>
      <c r="DW153" s="918"/>
      <c r="DX153" s="918"/>
      <c r="DY153" s="918"/>
      <c r="DZ153" s="918"/>
      <c r="EA153" s="918"/>
      <c r="EB153" s="918"/>
      <c r="EC153" s="918"/>
      <c r="ED153" s="918"/>
      <c r="EE153" s="918"/>
      <c r="EF153" s="918"/>
      <c r="EG153" s="918"/>
      <c r="EH153" s="918"/>
      <c r="EI153" s="918"/>
      <c r="EJ153" s="918"/>
      <c r="EK153" s="918"/>
      <c r="EL153" s="918"/>
      <c r="EM153" s="918"/>
      <c r="EN153" s="918"/>
      <c r="EO153" s="918"/>
      <c r="EP153" s="918"/>
      <c r="EQ153" s="918"/>
      <c r="ER153" s="918"/>
      <c r="ES153" s="918"/>
      <c r="ET153" s="918"/>
      <c r="EU153" s="918"/>
      <c r="EV153" s="918"/>
      <c r="EW153" s="918"/>
      <c r="EX153" s="918"/>
      <c r="EY153" s="918"/>
      <c r="EZ153" s="918"/>
      <c r="FA153" s="918"/>
      <c r="FB153" s="918"/>
      <c r="FC153" s="918"/>
      <c r="FD153" s="918"/>
      <c r="FE153" s="918"/>
      <c r="FF153" s="918"/>
      <c r="FG153" s="918"/>
      <c r="FH153" s="918"/>
      <c r="FI153" s="918"/>
      <c r="FJ153" s="918"/>
      <c r="FK153" s="918"/>
      <c r="FL153" s="918"/>
      <c r="FM153" s="918"/>
      <c r="FN153" s="918"/>
      <c r="FO153" s="918"/>
      <c r="FP153" s="918"/>
      <c r="FQ153" s="918"/>
      <c r="FR153" s="918"/>
      <c r="FS153" s="918"/>
      <c r="FT153" s="918"/>
      <c r="FU153" s="918"/>
      <c r="FV153" s="918"/>
      <c r="FW153" s="918"/>
      <c r="FX153" s="918"/>
      <c r="FY153" s="918"/>
      <c r="FZ153" s="918"/>
      <c r="GA153" s="918"/>
      <c r="GB153" s="918"/>
      <c r="GC153" s="918"/>
      <c r="GD153" s="918"/>
      <c r="GE153" s="918"/>
      <c r="GF153" s="918"/>
      <c r="GG153" s="918"/>
      <c r="GH153" s="918"/>
      <c r="GI153" s="918"/>
      <c r="GJ153" s="918"/>
      <c r="GK153" s="918"/>
      <c r="GL153" s="918"/>
      <c r="GM153" s="918"/>
      <c r="GN153" s="918"/>
      <c r="GO153" s="918"/>
      <c r="GP153" s="918"/>
      <c r="GQ153" s="918"/>
      <c r="GR153" s="918"/>
      <c r="GS153" s="918"/>
      <c r="GT153" s="918"/>
      <c r="GU153" s="918"/>
      <c r="GV153" s="918"/>
      <c r="GW153" s="918"/>
      <c r="GX153" s="918"/>
      <c r="GY153" s="918"/>
      <c r="GZ153" s="918"/>
      <c r="HA153" s="918"/>
      <c r="HB153" s="918"/>
      <c r="HC153" s="918"/>
      <c r="HD153" s="918"/>
      <c r="HE153" s="918"/>
      <c r="HF153" s="918"/>
      <c r="HG153" s="918"/>
      <c r="HH153" s="918"/>
      <c r="HI153" s="918"/>
      <c r="HJ153" s="918"/>
      <c r="HK153" s="918"/>
      <c r="HL153" s="918"/>
      <c r="HM153" s="918"/>
      <c r="HN153" s="918"/>
      <c r="HO153" s="918"/>
      <c r="HP153" s="918"/>
      <c r="HQ153" s="918"/>
      <c r="HR153" s="918"/>
      <c r="HS153" s="918"/>
      <c r="HT153" s="918"/>
      <c r="HU153" s="918"/>
      <c r="HV153" s="918"/>
      <c r="HW153" s="918"/>
      <c r="HX153" s="918"/>
      <c r="HY153" s="918"/>
      <c r="HZ153" s="918"/>
      <c r="IA153" s="918"/>
      <c r="IB153" s="918"/>
      <c r="IC153" s="918"/>
      <c r="ID153" s="918"/>
      <c r="IE153" s="918"/>
      <c r="IF153" s="918"/>
      <c r="IG153" s="918"/>
      <c r="IH153" s="918"/>
      <c r="II153" s="918"/>
      <c r="IJ153" s="918"/>
      <c r="IK153" s="918"/>
      <c r="IL153" s="918"/>
      <c r="IM153" s="918"/>
      <c r="IN153" s="918"/>
    </row>
    <row r="154" spans="1:248">
      <c r="A154" s="615" t="s">
        <v>19</v>
      </c>
      <c r="B154" s="617">
        <v>2762</v>
      </c>
      <c r="C154" s="919">
        <v>38.827035537561848</v>
      </c>
      <c r="D154" s="618">
        <v>2682</v>
      </c>
      <c r="E154" s="919">
        <v>37.702429149797567</v>
      </c>
      <c r="F154" s="919">
        <v>80</v>
      </c>
      <c r="G154" s="919">
        <f t="shared" si="28"/>
        <v>1.1246063877642825</v>
      </c>
      <c r="H154" s="27">
        <v>7113.6</v>
      </c>
      <c r="I154" s="918"/>
      <c r="J154" s="918"/>
      <c r="K154" s="918"/>
      <c r="L154" s="918"/>
      <c r="M154" s="918"/>
      <c r="N154" s="918"/>
      <c r="O154" s="918"/>
      <c r="P154" s="918"/>
      <c r="Q154" s="918"/>
      <c r="R154" s="918"/>
      <c r="S154" s="918"/>
      <c r="T154" s="918"/>
      <c r="U154" s="918"/>
      <c r="V154" s="918"/>
      <c r="W154" s="918"/>
      <c r="X154" s="918"/>
      <c r="Y154" s="918"/>
      <c r="Z154" s="918"/>
      <c r="AA154" s="918"/>
      <c r="AB154" s="918"/>
      <c r="AC154" s="918"/>
      <c r="AD154" s="918"/>
      <c r="AE154" s="918"/>
      <c r="AF154" s="918"/>
      <c r="AG154" s="918"/>
      <c r="AH154" s="918"/>
      <c r="AI154" s="918"/>
      <c r="AJ154" s="918"/>
      <c r="AK154" s="918"/>
      <c r="AL154" s="918"/>
      <c r="AM154" s="918"/>
      <c r="AN154" s="918"/>
      <c r="AO154" s="918"/>
      <c r="AP154" s="918"/>
      <c r="AQ154" s="918"/>
      <c r="AR154" s="918"/>
      <c r="AS154" s="918"/>
      <c r="AT154" s="918"/>
      <c r="AU154" s="918"/>
      <c r="AV154" s="918"/>
      <c r="AW154" s="918"/>
      <c r="AX154" s="918"/>
      <c r="AY154" s="918"/>
      <c r="AZ154" s="918"/>
      <c r="BA154" s="918"/>
      <c r="BB154" s="918"/>
      <c r="BC154" s="918"/>
      <c r="BD154" s="918"/>
      <c r="BE154" s="918"/>
      <c r="BF154" s="918"/>
      <c r="BG154" s="918"/>
      <c r="BH154" s="918"/>
      <c r="BI154" s="918"/>
      <c r="BJ154" s="918"/>
      <c r="BK154" s="918"/>
      <c r="BL154" s="918"/>
      <c r="BM154" s="918"/>
      <c r="BN154" s="918"/>
      <c r="BO154" s="918"/>
      <c r="BP154" s="918"/>
      <c r="BQ154" s="918"/>
      <c r="BR154" s="918"/>
      <c r="BS154" s="918"/>
      <c r="BT154" s="918"/>
      <c r="BU154" s="918"/>
      <c r="BV154" s="918"/>
      <c r="BW154" s="918"/>
      <c r="BX154" s="918"/>
      <c r="BY154" s="918"/>
      <c r="BZ154" s="918"/>
      <c r="CA154" s="918"/>
      <c r="CB154" s="918"/>
      <c r="CC154" s="918"/>
      <c r="CD154" s="918"/>
      <c r="CE154" s="918"/>
      <c r="CF154" s="918"/>
      <c r="CG154" s="918"/>
      <c r="CH154" s="918"/>
      <c r="CI154" s="918"/>
      <c r="CJ154" s="918"/>
      <c r="CK154" s="918"/>
      <c r="CL154" s="918"/>
      <c r="CM154" s="918"/>
      <c r="CN154" s="918"/>
      <c r="CO154" s="918"/>
      <c r="CP154" s="918"/>
      <c r="CQ154" s="918"/>
      <c r="CR154" s="918"/>
      <c r="CS154" s="918"/>
      <c r="CT154" s="918"/>
      <c r="CU154" s="918"/>
      <c r="CV154" s="918"/>
      <c r="CW154" s="918"/>
      <c r="CX154" s="918"/>
      <c r="CY154" s="918"/>
      <c r="CZ154" s="918"/>
      <c r="DA154" s="918"/>
      <c r="DB154" s="918"/>
      <c r="DC154" s="918"/>
      <c r="DD154" s="918"/>
      <c r="DE154" s="918"/>
      <c r="DF154" s="918"/>
      <c r="DG154" s="918"/>
      <c r="DH154" s="918"/>
      <c r="DI154" s="918"/>
      <c r="DJ154" s="918"/>
      <c r="DK154" s="918"/>
      <c r="DL154" s="918"/>
      <c r="DM154" s="918"/>
      <c r="DN154" s="918"/>
      <c r="DO154" s="918"/>
      <c r="DP154" s="918"/>
      <c r="DQ154" s="918"/>
      <c r="DR154" s="918"/>
      <c r="DS154" s="918"/>
      <c r="DT154" s="918"/>
      <c r="DU154" s="918"/>
      <c r="DV154" s="918"/>
      <c r="DW154" s="918"/>
      <c r="DX154" s="918"/>
      <c r="DY154" s="918"/>
      <c r="DZ154" s="918"/>
      <c r="EA154" s="918"/>
      <c r="EB154" s="918"/>
      <c r="EC154" s="918"/>
      <c r="ED154" s="918"/>
      <c r="EE154" s="918"/>
      <c r="EF154" s="918"/>
      <c r="EG154" s="918"/>
      <c r="EH154" s="918"/>
      <c r="EI154" s="918"/>
      <c r="EJ154" s="918"/>
      <c r="EK154" s="918"/>
      <c r="EL154" s="918"/>
      <c r="EM154" s="918"/>
      <c r="EN154" s="918"/>
      <c r="EO154" s="918"/>
      <c r="EP154" s="918"/>
      <c r="EQ154" s="918"/>
      <c r="ER154" s="918"/>
      <c r="ES154" s="918"/>
      <c r="ET154" s="918"/>
      <c r="EU154" s="918"/>
      <c r="EV154" s="918"/>
      <c r="EW154" s="918"/>
      <c r="EX154" s="918"/>
      <c r="EY154" s="918"/>
      <c r="EZ154" s="918"/>
      <c r="FA154" s="918"/>
      <c r="FB154" s="918"/>
      <c r="FC154" s="918"/>
      <c r="FD154" s="918"/>
      <c r="FE154" s="918"/>
      <c r="FF154" s="918"/>
      <c r="FG154" s="918"/>
      <c r="FH154" s="918"/>
      <c r="FI154" s="918"/>
      <c r="FJ154" s="918"/>
      <c r="FK154" s="918"/>
      <c r="FL154" s="918"/>
      <c r="FM154" s="918"/>
      <c r="FN154" s="918"/>
      <c r="FO154" s="918"/>
      <c r="FP154" s="918"/>
      <c r="FQ154" s="918"/>
      <c r="FR154" s="918"/>
      <c r="FS154" s="918"/>
      <c r="FT154" s="918"/>
      <c r="FU154" s="918"/>
      <c r="FV154" s="918"/>
      <c r="FW154" s="918"/>
      <c r="FX154" s="918"/>
      <c r="FY154" s="918"/>
      <c r="FZ154" s="918"/>
      <c r="GA154" s="918"/>
      <c r="GB154" s="918"/>
      <c r="GC154" s="918"/>
      <c r="GD154" s="918"/>
      <c r="GE154" s="918"/>
      <c r="GF154" s="918"/>
      <c r="GG154" s="918"/>
      <c r="GH154" s="918"/>
      <c r="GI154" s="918"/>
      <c r="GJ154" s="918"/>
      <c r="GK154" s="918"/>
      <c r="GL154" s="918"/>
      <c r="GM154" s="918"/>
      <c r="GN154" s="918"/>
      <c r="GO154" s="918"/>
      <c r="GP154" s="918"/>
      <c r="GQ154" s="918"/>
      <c r="GR154" s="918"/>
      <c r="GS154" s="918"/>
      <c r="GT154" s="918"/>
      <c r="GU154" s="918"/>
      <c r="GV154" s="918"/>
      <c r="GW154" s="918"/>
      <c r="GX154" s="918"/>
      <c r="GY154" s="918"/>
      <c r="GZ154" s="918"/>
      <c r="HA154" s="918"/>
      <c r="HB154" s="918"/>
      <c r="HC154" s="918"/>
      <c r="HD154" s="918"/>
      <c r="HE154" s="918"/>
      <c r="HF154" s="918"/>
      <c r="HG154" s="918"/>
      <c r="HH154" s="918"/>
      <c r="HI154" s="918"/>
      <c r="HJ154" s="918"/>
      <c r="HK154" s="918"/>
      <c r="HL154" s="918"/>
      <c r="HM154" s="918"/>
      <c r="HN154" s="918"/>
      <c r="HO154" s="918"/>
      <c r="HP154" s="918"/>
      <c r="HQ154" s="918"/>
      <c r="HR154" s="918"/>
      <c r="HS154" s="918"/>
      <c r="HT154" s="918"/>
      <c r="HU154" s="918"/>
      <c r="HV154" s="918"/>
      <c r="HW154" s="918"/>
      <c r="HX154" s="918"/>
      <c r="HY154" s="918"/>
      <c r="HZ154" s="918"/>
      <c r="IA154" s="918"/>
      <c r="IB154" s="918"/>
      <c r="IC154" s="918"/>
      <c r="ID154" s="918"/>
      <c r="IE154" s="918"/>
      <c r="IF154" s="918"/>
      <c r="IG154" s="918"/>
      <c r="IH154" s="918"/>
      <c r="II154" s="918"/>
      <c r="IJ154" s="918"/>
      <c r="IK154" s="918"/>
      <c r="IL154" s="918"/>
      <c r="IM154" s="918"/>
      <c r="IN154" s="918"/>
    </row>
    <row r="155" spans="1:248">
      <c r="A155" s="615" t="s">
        <v>20</v>
      </c>
      <c r="B155" s="617">
        <v>3938</v>
      </c>
      <c r="C155" s="919">
        <v>34.169197396963128</v>
      </c>
      <c r="D155" s="618">
        <v>4189.8</v>
      </c>
      <c r="E155" s="919">
        <v>36.354013015184385</v>
      </c>
      <c r="F155" s="919">
        <v>-251</v>
      </c>
      <c r="G155" s="919">
        <f t="shared" si="28"/>
        <v>-2.1778741865509761</v>
      </c>
      <c r="H155" s="27">
        <v>11525</v>
      </c>
      <c r="I155" s="918"/>
      <c r="J155" s="918"/>
      <c r="K155" s="918"/>
      <c r="L155" s="918"/>
      <c r="M155" s="918"/>
      <c r="N155" s="918"/>
      <c r="O155" s="918"/>
      <c r="P155" s="918"/>
      <c r="Q155" s="918"/>
      <c r="R155" s="918"/>
      <c r="S155" s="918"/>
      <c r="T155" s="918"/>
      <c r="U155" s="918"/>
      <c r="V155" s="918"/>
      <c r="W155" s="918"/>
      <c r="X155" s="918"/>
      <c r="Y155" s="918"/>
      <c r="Z155" s="918"/>
      <c r="AA155" s="918"/>
      <c r="AB155" s="918"/>
      <c r="AC155" s="918"/>
      <c r="AD155" s="918"/>
      <c r="AE155" s="918"/>
      <c r="AF155" s="918"/>
      <c r="AG155" s="918"/>
      <c r="AH155" s="918"/>
      <c r="AI155" s="918"/>
      <c r="AJ155" s="918"/>
      <c r="AK155" s="918"/>
      <c r="AL155" s="918"/>
      <c r="AM155" s="918"/>
      <c r="AN155" s="918"/>
      <c r="AO155" s="918"/>
      <c r="AP155" s="918"/>
      <c r="AQ155" s="918"/>
      <c r="AR155" s="918"/>
      <c r="AS155" s="918"/>
      <c r="AT155" s="918"/>
      <c r="AU155" s="918"/>
      <c r="AV155" s="918"/>
      <c r="AW155" s="918"/>
      <c r="AX155" s="918"/>
      <c r="AY155" s="918"/>
      <c r="AZ155" s="918"/>
      <c r="BA155" s="918"/>
      <c r="BB155" s="918"/>
      <c r="BC155" s="918"/>
      <c r="BD155" s="918"/>
      <c r="BE155" s="918"/>
      <c r="BF155" s="918"/>
      <c r="BG155" s="918"/>
      <c r="BH155" s="918"/>
      <c r="BI155" s="918"/>
      <c r="BJ155" s="918"/>
      <c r="BK155" s="918"/>
      <c r="BL155" s="918"/>
      <c r="BM155" s="918"/>
      <c r="BN155" s="918"/>
      <c r="BO155" s="918"/>
      <c r="BP155" s="918"/>
      <c r="BQ155" s="918"/>
      <c r="BR155" s="918"/>
      <c r="BS155" s="918"/>
      <c r="BT155" s="918"/>
      <c r="BU155" s="918"/>
      <c r="BV155" s="918"/>
      <c r="BW155" s="918"/>
      <c r="BX155" s="918"/>
      <c r="BY155" s="918"/>
      <c r="BZ155" s="918"/>
      <c r="CA155" s="918"/>
      <c r="CB155" s="918"/>
      <c r="CC155" s="918"/>
      <c r="CD155" s="918"/>
      <c r="CE155" s="918"/>
      <c r="CF155" s="918"/>
      <c r="CG155" s="918"/>
      <c r="CH155" s="918"/>
      <c r="CI155" s="918"/>
      <c r="CJ155" s="918"/>
      <c r="CK155" s="918"/>
      <c r="CL155" s="918"/>
      <c r="CM155" s="918"/>
      <c r="CN155" s="918"/>
      <c r="CO155" s="918"/>
      <c r="CP155" s="918"/>
      <c r="CQ155" s="918"/>
      <c r="CR155" s="918"/>
      <c r="CS155" s="918"/>
      <c r="CT155" s="918"/>
      <c r="CU155" s="918"/>
      <c r="CV155" s="918"/>
      <c r="CW155" s="918"/>
      <c r="CX155" s="918"/>
      <c r="CY155" s="918"/>
      <c r="CZ155" s="918"/>
      <c r="DA155" s="918"/>
      <c r="DB155" s="918"/>
      <c r="DC155" s="918"/>
      <c r="DD155" s="918"/>
      <c r="DE155" s="918"/>
      <c r="DF155" s="918"/>
      <c r="DG155" s="918"/>
      <c r="DH155" s="918"/>
      <c r="DI155" s="918"/>
      <c r="DJ155" s="918"/>
      <c r="DK155" s="918"/>
      <c r="DL155" s="918"/>
      <c r="DM155" s="918"/>
      <c r="DN155" s="918"/>
      <c r="DO155" s="918"/>
      <c r="DP155" s="918"/>
      <c r="DQ155" s="918"/>
      <c r="DR155" s="918"/>
      <c r="DS155" s="918"/>
      <c r="DT155" s="918"/>
      <c r="DU155" s="918"/>
      <c r="DV155" s="918"/>
      <c r="DW155" s="918"/>
      <c r="DX155" s="918"/>
      <c r="DY155" s="918"/>
      <c r="DZ155" s="918"/>
      <c r="EA155" s="918"/>
      <c r="EB155" s="918"/>
      <c r="EC155" s="918"/>
      <c r="ED155" s="918"/>
      <c r="EE155" s="918"/>
      <c r="EF155" s="918"/>
      <c r="EG155" s="918"/>
      <c r="EH155" s="918"/>
      <c r="EI155" s="918"/>
      <c r="EJ155" s="918"/>
      <c r="EK155" s="918"/>
      <c r="EL155" s="918"/>
      <c r="EM155" s="918"/>
      <c r="EN155" s="918"/>
      <c r="EO155" s="918"/>
      <c r="EP155" s="918"/>
      <c r="EQ155" s="918"/>
      <c r="ER155" s="918"/>
      <c r="ES155" s="918"/>
      <c r="ET155" s="918"/>
      <c r="EU155" s="918"/>
      <c r="EV155" s="918"/>
      <c r="EW155" s="918"/>
      <c r="EX155" s="918"/>
      <c r="EY155" s="918"/>
      <c r="EZ155" s="918"/>
      <c r="FA155" s="918"/>
      <c r="FB155" s="918"/>
      <c r="FC155" s="918"/>
      <c r="FD155" s="918"/>
      <c r="FE155" s="918"/>
      <c r="FF155" s="918"/>
      <c r="FG155" s="918"/>
      <c r="FH155" s="918"/>
      <c r="FI155" s="918"/>
      <c r="FJ155" s="918"/>
      <c r="FK155" s="918"/>
      <c r="FL155" s="918"/>
      <c r="FM155" s="918"/>
      <c r="FN155" s="918"/>
      <c r="FO155" s="918"/>
      <c r="FP155" s="918"/>
      <c r="FQ155" s="918"/>
      <c r="FR155" s="918"/>
      <c r="FS155" s="918"/>
      <c r="FT155" s="918"/>
      <c r="FU155" s="918"/>
      <c r="FV155" s="918"/>
      <c r="FW155" s="918"/>
      <c r="FX155" s="918"/>
      <c r="FY155" s="918"/>
      <c r="FZ155" s="918"/>
      <c r="GA155" s="918"/>
      <c r="GB155" s="918"/>
      <c r="GC155" s="918"/>
      <c r="GD155" s="918"/>
      <c r="GE155" s="918"/>
      <c r="GF155" s="918"/>
      <c r="GG155" s="918"/>
      <c r="GH155" s="918"/>
      <c r="GI155" s="918"/>
      <c r="GJ155" s="918"/>
      <c r="GK155" s="918"/>
      <c r="GL155" s="918"/>
      <c r="GM155" s="918"/>
      <c r="GN155" s="918"/>
      <c r="GO155" s="918"/>
      <c r="GP155" s="918"/>
      <c r="GQ155" s="918"/>
      <c r="GR155" s="918"/>
      <c r="GS155" s="918"/>
      <c r="GT155" s="918"/>
      <c r="GU155" s="918"/>
      <c r="GV155" s="918"/>
      <c r="GW155" s="918"/>
      <c r="GX155" s="918"/>
      <c r="GY155" s="918"/>
      <c r="GZ155" s="918"/>
      <c r="HA155" s="918"/>
      <c r="HB155" s="918"/>
      <c r="HC155" s="918"/>
      <c r="HD155" s="918"/>
      <c r="HE155" s="918"/>
      <c r="HF155" s="918"/>
      <c r="HG155" s="918"/>
      <c r="HH155" s="918"/>
      <c r="HI155" s="918"/>
      <c r="HJ155" s="918"/>
      <c r="HK155" s="918"/>
      <c r="HL155" s="918"/>
      <c r="HM155" s="918"/>
      <c r="HN155" s="918"/>
      <c r="HO155" s="918"/>
      <c r="HP155" s="918"/>
      <c r="HQ155" s="918"/>
      <c r="HR155" s="918"/>
      <c r="HS155" s="918"/>
      <c r="HT155" s="918"/>
      <c r="HU155" s="918"/>
      <c r="HV155" s="918"/>
      <c r="HW155" s="918"/>
      <c r="HX155" s="918"/>
      <c r="HY155" s="918"/>
      <c r="HZ155" s="918"/>
      <c r="IA155" s="918"/>
      <c r="IB155" s="918"/>
      <c r="IC155" s="918"/>
      <c r="ID155" s="918"/>
      <c r="IE155" s="918"/>
      <c r="IF155" s="918"/>
      <c r="IG155" s="918"/>
      <c r="IH155" s="918"/>
      <c r="II155" s="918"/>
      <c r="IJ155" s="918"/>
      <c r="IK155" s="918"/>
      <c r="IL155" s="918"/>
      <c r="IM155" s="918"/>
      <c r="IN155" s="918"/>
    </row>
    <row r="156" spans="1:248">
      <c r="A156" s="615" t="s">
        <v>21</v>
      </c>
      <c r="B156" s="617">
        <v>5356.2</v>
      </c>
      <c r="C156" s="919">
        <v>32.190636456517815</v>
      </c>
      <c r="D156" s="618">
        <v>6178.7</v>
      </c>
      <c r="E156" s="919">
        <v>37.133842178015506</v>
      </c>
      <c r="F156" s="919">
        <v>-822.5</v>
      </c>
      <c r="G156" s="919">
        <f t="shared" si="28"/>
        <v>-4.9432057214976863</v>
      </c>
      <c r="H156" s="27">
        <v>16639</v>
      </c>
      <c r="I156" s="918"/>
      <c r="J156" s="918"/>
      <c r="K156" s="918"/>
      <c r="L156" s="918"/>
      <c r="M156" s="918"/>
      <c r="N156" s="918"/>
      <c r="O156" s="918"/>
      <c r="P156" s="918"/>
      <c r="Q156" s="918"/>
      <c r="R156" s="918"/>
      <c r="S156" s="918"/>
      <c r="T156" s="918"/>
      <c r="U156" s="918"/>
      <c r="V156" s="918"/>
      <c r="W156" s="918"/>
      <c r="X156" s="918"/>
      <c r="Y156" s="918"/>
      <c r="Z156" s="918"/>
      <c r="AA156" s="918"/>
      <c r="AB156" s="918"/>
      <c r="AC156" s="918"/>
      <c r="AD156" s="918"/>
      <c r="AE156" s="918"/>
      <c r="AF156" s="918"/>
      <c r="AG156" s="918"/>
      <c r="AH156" s="918"/>
      <c r="AI156" s="918"/>
      <c r="AJ156" s="918"/>
      <c r="AK156" s="918"/>
      <c r="AL156" s="918"/>
      <c r="AM156" s="918"/>
      <c r="AN156" s="918"/>
      <c r="AO156" s="918"/>
      <c r="AP156" s="918"/>
      <c r="AQ156" s="918"/>
      <c r="AR156" s="918"/>
      <c r="AS156" s="918"/>
      <c r="AT156" s="918"/>
      <c r="AU156" s="918"/>
      <c r="AV156" s="918"/>
      <c r="AW156" s="918"/>
      <c r="AX156" s="918"/>
      <c r="AY156" s="918"/>
      <c r="AZ156" s="918"/>
      <c r="BA156" s="918"/>
      <c r="BB156" s="918"/>
      <c r="BC156" s="918"/>
      <c r="BD156" s="918"/>
      <c r="BE156" s="918"/>
      <c r="BF156" s="918"/>
      <c r="BG156" s="918"/>
      <c r="BH156" s="918"/>
      <c r="BI156" s="918"/>
      <c r="BJ156" s="918"/>
      <c r="BK156" s="918"/>
      <c r="BL156" s="918"/>
      <c r="BM156" s="918"/>
      <c r="BN156" s="918"/>
      <c r="BO156" s="918"/>
      <c r="BP156" s="918"/>
      <c r="BQ156" s="918"/>
      <c r="BR156" s="918"/>
      <c r="BS156" s="918"/>
      <c r="BT156" s="918"/>
      <c r="BU156" s="918"/>
      <c r="BV156" s="918"/>
      <c r="BW156" s="918"/>
      <c r="BX156" s="918"/>
      <c r="BY156" s="918"/>
      <c r="BZ156" s="918"/>
      <c r="CA156" s="918"/>
      <c r="CB156" s="918"/>
      <c r="CC156" s="918"/>
      <c r="CD156" s="918"/>
      <c r="CE156" s="918"/>
      <c r="CF156" s="918"/>
      <c r="CG156" s="918"/>
      <c r="CH156" s="918"/>
      <c r="CI156" s="918"/>
      <c r="CJ156" s="918"/>
      <c r="CK156" s="918"/>
      <c r="CL156" s="918"/>
      <c r="CM156" s="918"/>
      <c r="CN156" s="918"/>
      <c r="CO156" s="918"/>
      <c r="CP156" s="918"/>
      <c r="CQ156" s="918"/>
      <c r="CR156" s="918"/>
      <c r="CS156" s="918"/>
      <c r="CT156" s="918"/>
      <c r="CU156" s="918"/>
      <c r="CV156" s="918"/>
      <c r="CW156" s="918"/>
      <c r="CX156" s="918"/>
      <c r="CY156" s="918"/>
      <c r="CZ156" s="918"/>
      <c r="DA156" s="918"/>
      <c r="DB156" s="918"/>
      <c r="DC156" s="918"/>
      <c r="DD156" s="918"/>
      <c r="DE156" s="918"/>
      <c r="DF156" s="918"/>
      <c r="DG156" s="918"/>
      <c r="DH156" s="918"/>
      <c r="DI156" s="918"/>
      <c r="DJ156" s="918"/>
      <c r="DK156" s="918"/>
      <c r="DL156" s="918"/>
      <c r="DM156" s="918"/>
      <c r="DN156" s="918"/>
      <c r="DO156" s="918"/>
      <c r="DP156" s="918"/>
      <c r="DQ156" s="918"/>
      <c r="DR156" s="918"/>
      <c r="DS156" s="918"/>
      <c r="DT156" s="918"/>
      <c r="DU156" s="918"/>
      <c r="DV156" s="918"/>
      <c r="DW156" s="918"/>
      <c r="DX156" s="918"/>
      <c r="DY156" s="918"/>
      <c r="DZ156" s="918"/>
      <c r="EA156" s="918"/>
      <c r="EB156" s="918"/>
      <c r="EC156" s="918"/>
      <c r="ED156" s="918"/>
      <c r="EE156" s="918"/>
      <c r="EF156" s="918"/>
      <c r="EG156" s="918"/>
      <c r="EH156" s="918"/>
      <c r="EI156" s="918"/>
      <c r="EJ156" s="918"/>
      <c r="EK156" s="918"/>
      <c r="EL156" s="918"/>
      <c r="EM156" s="918"/>
      <c r="EN156" s="918"/>
      <c r="EO156" s="918"/>
      <c r="EP156" s="918"/>
      <c r="EQ156" s="918"/>
      <c r="ER156" s="918"/>
      <c r="ES156" s="918"/>
      <c r="ET156" s="918"/>
      <c r="EU156" s="918"/>
      <c r="EV156" s="918"/>
      <c r="EW156" s="918"/>
      <c r="EX156" s="918"/>
      <c r="EY156" s="918"/>
      <c r="EZ156" s="918"/>
      <c r="FA156" s="918"/>
      <c r="FB156" s="918"/>
      <c r="FC156" s="918"/>
      <c r="FD156" s="918"/>
      <c r="FE156" s="918"/>
      <c r="FF156" s="918"/>
      <c r="FG156" s="918"/>
      <c r="FH156" s="918"/>
      <c r="FI156" s="918"/>
      <c r="FJ156" s="918"/>
      <c r="FK156" s="918"/>
      <c r="FL156" s="918"/>
      <c r="FM156" s="918"/>
      <c r="FN156" s="918"/>
      <c r="FO156" s="918"/>
      <c r="FP156" s="918"/>
      <c r="FQ156" s="918"/>
      <c r="FR156" s="918"/>
      <c r="FS156" s="918"/>
      <c r="FT156" s="918"/>
      <c r="FU156" s="918"/>
      <c r="FV156" s="918"/>
      <c r="FW156" s="918"/>
      <c r="FX156" s="918"/>
      <c r="FY156" s="918"/>
      <c r="FZ156" s="918"/>
      <c r="GA156" s="918"/>
      <c r="GB156" s="918"/>
      <c r="GC156" s="918"/>
      <c r="GD156" s="918"/>
      <c r="GE156" s="918"/>
      <c r="GF156" s="918"/>
      <c r="GG156" s="918"/>
      <c r="GH156" s="918"/>
      <c r="GI156" s="918"/>
      <c r="GJ156" s="918"/>
      <c r="GK156" s="918"/>
      <c r="GL156" s="918"/>
      <c r="GM156" s="918"/>
      <c r="GN156" s="918"/>
      <c r="GO156" s="918"/>
      <c r="GP156" s="918"/>
      <c r="GQ156" s="918"/>
      <c r="GR156" s="918"/>
      <c r="GS156" s="918"/>
      <c r="GT156" s="918"/>
      <c r="GU156" s="918"/>
      <c r="GV156" s="918"/>
      <c r="GW156" s="918"/>
      <c r="GX156" s="918"/>
      <c r="GY156" s="918"/>
      <c r="GZ156" s="918"/>
      <c r="HA156" s="918"/>
      <c r="HB156" s="918"/>
      <c r="HC156" s="918"/>
      <c r="HD156" s="918"/>
      <c r="HE156" s="918"/>
      <c r="HF156" s="918"/>
      <c r="HG156" s="918"/>
      <c r="HH156" s="918"/>
      <c r="HI156" s="918"/>
      <c r="HJ156" s="918"/>
      <c r="HK156" s="918"/>
      <c r="HL156" s="918"/>
      <c r="HM156" s="918"/>
      <c r="HN156" s="918"/>
      <c r="HO156" s="918"/>
      <c r="HP156" s="918"/>
      <c r="HQ156" s="918"/>
      <c r="HR156" s="918"/>
      <c r="HS156" s="918"/>
      <c r="HT156" s="918"/>
      <c r="HU156" s="918"/>
      <c r="HV156" s="918"/>
      <c r="HW156" s="918"/>
      <c r="HX156" s="918"/>
      <c r="HY156" s="918"/>
      <c r="HZ156" s="918"/>
      <c r="IA156" s="918"/>
      <c r="IB156" s="918"/>
      <c r="IC156" s="918"/>
      <c r="ID156" s="918"/>
      <c r="IE156" s="918"/>
      <c r="IF156" s="918"/>
      <c r="IG156" s="918"/>
      <c r="IH156" s="918"/>
      <c r="II156" s="918"/>
      <c r="IJ156" s="918"/>
      <c r="IK156" s="918"/>
      <c r="IL156" s="918"/>
      <c r="IM156" s="918"/>
      <c r="IN156" s="918"/>
    </row>
    <row r="157" spans="1:248">
      <c r="A157" s="615" t="s">
        <v>22</v>
      </c>
      <c r="B157" s="617">
        <v>6424.4</v>
      </c>
      <c r="C157" s="919">
        <v>30.09890228304512</v>
      </c>
      <c r="D157" s="618">
        <v>7330.2</v>
      </c>
      <c r="E157" s="919">
        <v>34.34265822725505</v>
      </c>
      <c r="F157" s="919">
        <v>-906.1</v>
      </c>
      <c r="G157" s="919">
        <f t="shared" si="28"/>
        <v>-4.2451614716809649</v>
      </c>
      <c r="H157" s="27">
        <v>21344.3</v>
      </c>
      <c r="I157" s="918"/>
      <c r="J157" s="918"/>
      <c r="K157" s="918"/>
      <c r="L157" s="918"/>
      <c r="M157" s="918"/>
      <c r="N157" s="918"/>
      <c r="O157" s="918"/>
      <c r="P157" s="918"/>
      <c r="Q157" s="918"/>
      <c r="R157" s="918"/>
      <c r="S157" s="918"/>
      <c r="T157" s="918"/>
      <c r="U157" s="918"/>
      <c r="V157" s="918"/>
      <c r="W157" s="918"/>
      <c r="X157" s="918"/>
      <c r="Y157" s="918"/>
      <c r="Z157" s="918"/>
      <c r="AA157" s="918"/>
      <c r="AB157" s="918"/>
      <c r="AC157" s="918"/>
      <c r="AD157" s="918"/>
      <c r="AE157" s="918"/>
      <c r="AF157" s="918"/>
      <c r="AG157" s="918"/>
      <c r="AH157" s="918"/>
      <c r="AI157" s="918"/>
      <c r="AJ157" s="918"/>
      <c r="AK157" s="918"/>
      <c r="AL157" s="918"/>
      <c r="AM157" s="918"/>
      <c r="AN157" s="918"/>
      <c r="AO157" s="918"/>
      <c r="AP157" s="918"/>
      <c r="AQ157" s="918"/>
      <c r="AR157" s="918"/>
      <c r="AS157" s="918"/>
      <c r="AT157" s="918"/>
      <c r="AU157" s="918"/>
      <c r="AV157" s="918"/>
      <c r="AW157" s="918"/>
      <c r="AX157" s="918"/>
      <c r="AY157" s="918"/>
      <c r="AZ157" s="918"/>
      <c r="BA157" s="918"/>
      <c r="BB157" s="918"/>
      <c r="BC157" s="918"/>
      <c r="BD157" s="918"/>
      <c r="BE157" s="918"/>
      <c r="BF157" s="918"/>
      <c r="BG157" s="918"/>
      <c r="BH157" s="918"/>
      <c r="BI157" s="918"/>
      <c r="BJ157" s="918"/>
      <c r="BK157" s="918"/>
      <c r="BL157" s="918"/>
      <c r="BM157" s="918"/>
      <c r="BN157" s="918"/>
      <c r="BO157" s="918"/>
      <c r="BP157" s="918"/>
      <c r="BQ157" s="918"/>
      <c r="BR157" s="918"/>
      <c r="BS157" s="918"/>
      <c r="BT157" s="918"/>
      <c r="BU157" s="918"/>
      <c r="BV157" s="918"/>
      <c r="BW157" s="918"/>
      <c r="BX157" s="918"/>
      <c r="BY157" s="918"/>
      <c r="BZ157" s="918"/>
      <c r="CA157" s="918"/>
      <c r="CB157" s="918"/>
      <c r="CC157" s="918"/>
      <c r="CD157" s="918"/>
      <c r="CE157" s="918"/>
      <c r="CF157" s="918"/>
      <c r="CG157" s="918"/>
      <c r="CH157" s="918"/>
      <c r="CI157" s="918"/>
      <c r="CJ157" s="918"/>
      <c r="CK157" s="918"/>
      <c r="CL157" s="918"/>
      <c r="CM157" s="918"/>
      <c r="CN157" s="918"/>
      <c r="CO157" s="918"/>
      <c r="CP157" s="918"/>
      <c r="CQ157" s="918"/>
      <c r="CR157" s="918"/>
      <c r="CS157" s="918"/>
      <c r="CT157" s="918"/>
      <c r="CU157" s="918"/>
      <c r="CV157" s="918"/>
      <c r="CW157" s="918"/>
      <c r="CX157" s="918"/>
      <c r="CY157" s="918"/>
      <c r="CZ157" s="918"/>
      <c r="DA157" s="918"/>
      <c r="DB157" s="918"/>
      <c r="DC157" s="918"/>
      <c r="DD157" s="918"/>
      <c r="DE157" s="918"/>
      <c r="DF157" s="918"/>
      <c r="DG157" s="918"/>
      <c r="DH157" s="918"/>
      <c r="DI157" s="918"/>
      <c r="DJ157" s="918"/>
      <c r="DK157" s="918"/>
      <c r="DL157" s="918"/>
      <c r="DM157" s="918"/>
      <c r="DN157" s="918"/>
      <c r="DO157" s="918"/>
      <c r="DP157" s="918"/>
      <c r="DQ157" s="918"/>
      <c r="DR157" s="918"/>
      <c r="DS157" s="918"/>
      <c r="DT157" s="918"/>
      <c r="DU157" s="918"/>
      <c r="DV157" s="918"/>
      <c r="DW157" s="918"/>
      <c r="DX157" s="918"/>
      <c r="DY157" s="918"/>
      <c r="DZ157" s="918"/>
      <c r="EA157" s="918"/>
      <c r="EB157" s="918"/>
      <c r="EC157" s="918"/>
      <c r="ED157" s="918"/>
      <c r="EE157" s="918"/>
      <c r="EF157" s="918"/>
      <c r="EG157" s="918"/>
      <c r="EH157" s="918"/>
      <c r="EI157" s="918"/>
      <c r="EJ157" s="918"/>
      <c r="EK157" s="918"/>
      <c r="EL157" s="918"/>
      <c r="EM157" s="918"/>
      <c r="EN157" s="918"/>
      <c r="EO157" s="918"/>
      <c r="EP157" s="918"/>
      <c r="EQ157" s="918"/>
      <c r="ER157" s="918"/>
      <c r="ES157" s="918"/>
      <c r="ET157" s="918"/>
      <c r="EU157" s="918"/>
      <c r="EV157" s="918"/>
      <c r="EW157" s="918"/>
      <c r="EX157" s="918"/>
      <c r="EY157" s="918"/>
      <c r="EZ157" s="918"/>
      <c r="FA157" s="918"/>
      <c r="FB157" s="918"/>
      <c r="FC157" s="918"/>
      <c r="FD157" s="918"/>
      <c r="FE157" s="918"/>
      <c r="FF157" s="918"/>
      <c r="FG157" s="918"/>
      <c r="FH157" s="918"/>
      <c r="FI157" s="918"/>
      <c r="FJ157" s="918"/>
      <c r="FK157" s="918"/>
      <c r="FL157" s="918"/>
      <c r="FM157" s="918"/>
      <c r="FN157" s="918"/>
      <c r="FO157" s="918"/>
      <c r="FP157" s="918"/>
      <c r="FQ157" s="918"/>
      <c r="FR157" s="918"/>
      <c r="FS157" s="918"/>
      <c r="FT157" s="918"/>
      <c r="FU157" s="918"/>
      <c r="FV157" s="918"/>
      <c r="FW157" s="918"/>
      <c r="FX157" s="918"/>
      <c r="FY157" s="918"/>
      <c r="FZ157" s="918"/>
      <c r="GA157" s="918"/>
      <c r="GB157" s="918"/>
      <c r="GC157" s="918"/>
      <c r="GD157" s="918"/>
      <c r="GE157" s="918"/>
      <c r="GF157" s="918"/>
      <c r="GG157" s="918"/>
      <c r="GH157" s="918"/>
      <c r="GI157" s="918"/>
      <c r="GJ157" s="918"/>
      <c r="GK157" s="918"/>
      <c r="GL157" s="918"/>
      <c r="GM157" s="918"/>
      <c r="GN157" s="918"/>
      <c r="GO157" s="918"/>
      <c r="GP157" s="918"/>
      <c r="GQ157" s="918"/>
      <c r="GR157" s="918"/>
      <c r="GS157" s="918"/>
      <c r="GT157" s="918"/>
      <c r="GU157" s="918"/>
      <c r="GV157" s="918"/>
      <c r="GW157" s="918"/>
      <c r="GX157" s="918"/>
      <c r="GY157" s="918"/>
      <c r="GZ157" s="918"/>
      <c r="HA157" s="918"/>
      <c r="HB157" s="918"/>
      <c r="HC157" s="918"/>
      <c r="HD157" s="918"/>
      <c r="HE157" s="918"/>
      <c r="HF157" s="918"/>
      <c r="HG157" s="918"/>
      <c r="HH157" s="918"/>
      <c r="HI157" s="918"/>
      <c r="HJ157" s="918"/>
      <c r="HK157" s="918"/>
      <c r="HL157" s="918"/>
      <c r="HM157" s="918"/>
      <c r="HN157" s="918"/>
      <c r="HO157" s="918"/>
      <c r="HP157" s="918"/>
      <c r="HQ157" s="918"/>
      <c r="HR157" s="918"/>
      <c r="HS157" s="918"/>
      <c r="HT157" s="918"/>
      <c r="HU157" s="918"/>
      <c r="HV157" s="918"/>
      <c r="HW157" s="918"/>
      <c r="HX157" s="918"/>
      <c r="HY157" s="918"/>
      <c r="HZ157" s="918"/>
      <c r="IA157" s="918"/>
      <c r="IB157" s="918"/>
      <c r="IC157" s="918"/>
      <c r="ID157" s="918"/>
      <c r="IE157" s="918"/>
      <c r="IF157" s="918"/>
      <c r="IG157" s="918"/>
      <c r="IH157" s="918"/>
      <c r="II157" s="918"/>
      <c r="IJ157" s="918"/>
      <c r="IK157" s="918"/>
      <c r="IL157" s="918"/>
      <c r="IM157" s="918"/>
      <c r="IN157" s="918"/>
    </row>
    <row r="158" spans="1:248">
      <c r="A158" s="615" t="s">
        <v>23</v>
      </c>
      <c r="B158" s="617">
        <v>7806.9</v>
      </c>
      <c r="C158" s="919">
        <v>29.723473354375194</v>
      </c>
      <c r="D158" s="618">
        <v>8577.7999999999993</v>
      </c>
      <c r="E158" s="919">
        <v>32.658546893025346</v>
      </c>
      <c r="F158" s="919">
        <v>-770.9</v>
      </c>
      <c r="G158" s="919">
        <f t="shared" si="28"/>
        <v>-2.9350735386501481</v>
      </c>
      <c r="H158" s="27">
        <v>26265.1</v>
      </c>
      <c r="I158" s="918"/>
      <c r="J158" s="918"/>
      <c r="K158" s="918"/>
      <c r="L158" s="918"/>
      <c r="M158" s="918"/>
      <c r="N158" s="918"/>
      <c r="O158" s="918"/>
      <c r="P158" s="918"/>
      <c r="Q158" s="918"/>
      <c r="R158" s="918"/>
      <c r="S158" s="918"/>
      <c r="T158" s="918"/>
      <c r="U158" s="918"/>
      <c r="V158" s="918"/>
      <c r="W158" s="918"/>
      <c r="X158" s="918"/>
      <c r="Y158" s="918"/>
      <c r="Z158" s="918"/>
      <c r="AA158" s="918"/>
      <c r="AB158" s="918"/>
      <c r="AC158" s="918"/>
      <c r="AD158" s="918"/>
      <c r="AE158" s="918"/>
      <c r="AF158" s="918"/>
      <c r="AG158" s="918"/>
      <c r="AH158" s="918"/>
      <c r="AI158" s="918"/>
      <c r="AJ158" s="918"/>
      <c r="AK158" s="918"/>
      <c r="AL158" s="918"/>
      <c r="AM158" s="918"/>
      <c r="AN158" s="918"/>
      <c r="AO158" s="918"/>
      <c r="AP158" s="918"/>
      <c r="AQ158" s="918"/>
      <c r="AR158" s="918"/>
      <c r="AS158" s="918"/>
      <c r="AT158" s="918"/>
      <c r="AU158" s="918"/>
      <c r="AV158" s="918"/>
      <c r="AW158" s="918"/>
      <c r="AX158" s="918"/>
      <c r="AY158" s="918"/>
      <c r="AZ158" s="918"/>
      <c r="BA158" s="918"/>
      <c r="BB158" s="918"/>
      <c r="BC158" s="918"/>
      <c r="BD158" s="918"/>
      <c r="BE158" s="918"/>
      <c r="BF158" s="918"/>
      <c r="BG158" s="918"/>
      <c r="BH158" s="918"/>
      <c r="BI158" s="918"/>
      <c r="BJ158" s="918"/>
      <c r="BK158" s="918"/>
      <c r="BL158" s="918"/>
      <c r="BM158" s="918"/>
      <c r="BN158" s="918"/>
      <c r="BO158" s="918"/>
      <c r="BP158" s="918"/>
      <c r="BQ158" s="918"/>
      <c r="BR158" s="918"/>
      <c r="BS158" s="918"/>
      <c r="BT158" s="918"/>
      <c r="BU158" s="918"/>
      <c r="BV158" s="918"/>
      <c r="BW158" s="918"/>
      <c r="BX158" s="918"/>
      <c r="BY158" s="918"/>
      <c r="BZ158" s="918"/>
      <c r="CA158" s="918"/>
      <c r="CB158" s="918"/>
      <c r="CC158" s="918"/>
      <c r="CD158" s="918"/>
      <c r="CE158" s="918"/>
      <c r="CF158" s="918"/>
      <c r="CG158" s="918"/>
      <c r="CH158" s="918"/>
      <c r="CI158" s="918"/>
      <c r="CJ158" s="918"/>
      <c r="CK158" s="918"/>
      <c r="CL158" s="918"/>
      <c r="CM158" s="918"/>
      <c r="CN158" s="918"/>
      <c r="CO158" s="918"/>
      <c r="CP158" s="918"/>
      <c r="CQ158" s="918"/>
      <c r="CR158" s="918"/>
      <c r="CS158" s="918"/>
      <c r="CT158" s="918"/>
      <c r="CU158" s="918"/>
      <c r="CV158" s="918"/>
      <c r="CW158" s="918"/>
      <c r="CX158" s="918"/>
      <c r="CY158" s="918"/>
      <c r="CZ158" s="918"/>
      <c r="DA158" s="918"/>
      <c r="DB158" s="918"/>
      <c r="DC158" s="918"/>
      <c r="DD158" s="918"/>
      <c r="DE158" s="918"/>
      <c r="DF158" s="918"/>
      <c r="DG158" s="918"/>
      <c r="DH158" s="918"/>
      <c r="DI158" s="918"/>
      <c r="DJ158" s="918"/>
      <c r="DK158" s="918"/>
      <c r="DL158" s="918"/>
      <c r="DM158" s="918"/>
      <c r="DN158" s="918"/>
      <c r="DO158" s="918"/>
      <c r="DP158" s="918"/>
      <c r="DQ158" s="918"/>
      <c r="DR158" s="918"/>
      <c r="DS158" s="918"/>
      <c r="DT158" s="918"/>
      <c r="DU158" s="918"/>
      <c r="DV158" s="918"/>
      <c r="DW158" s="918"/>
      <c r="DX158" s="918"/>
      <c r="DY158" s="918"/>
      <c r="DZ158" s="918"/>
      <c r="EA158" s="918"/>
      <c r="EB158" s="918"/>
      <c r="EC158" s="918"/>
      <c r="ED158" s="918"/>
      <c r="EE158" s="918"/>
      <c r="EF158" s="918"/>
      <c r="EG158" s="918"/>
      <c r="EH158" s="918"/>
      <c r="EI158" s="918"/>
      <c r="EJ158" s="918"/>
      <c r="EK158" s="918"/>
      <c r="EL158" s="918"/>
      <c r="EM158" s="918"/>
      <c r="EN158" s="918"/>
      <c r="EO158" s="918"/>
      <c r="EP158" s="918"/>
      <c r="EQ158" s="918"/>
      <c r="ER158" s="918"/>
      <c r="ES158" s="918"/>
      <c r="ET158" s="918"/>
      <c r="EU158" s="918"/>
      <c r="EV158" s="918"/>
      <c r="EW158" s="918"/>
      <c r="EX158" s="918"/>
      <c r="EY158" s="918"/>
      <c r="EZ158" s="918"/>
      <c r="FA158" s="918"/>
      <c r="FB158" s="918"/>
      <c r="FC158" s="918"/>
      <c r="FD158" s="918"/>
      <c r="FE158" s="918"/>
      <c r="FF158" s="918"/>
      <c r="FG158" s="918"/>
      <c r="FH158" s="918"/>
      <c r="FI158" s="918"/>
      <c r="FJ158" s="918"/>
      <c r="FK158" s="918"/>
      <c r="FL158" s="918"/>
      <c r="FM158" s="918"/>
      <c r="FN158" s="918"/>
      <c r="FO158" s="918"/>
      <c r="FP158" s="918"/>
      <c r="FQ158" s="918"/>
      <c r="FR158" s="918"/>
      <c r="FS158" s="918"/>
      <c r="FT158" s="918"/>
      <c r="FU158" s="918"/>
      <c r="FV158" s="918"/>
      <c r="FW158" s="918"/>
      <c r="FX158" s="918"/>
      <c r="FY158" s="918"/>
      <c r="FZ158" s="918"/>
      <c r="GA158" s="918"/>
      <c r="GB158" s="918"/>
      <c r="GC158" s="918"/>
      <c r="GD158" s="918"/>
      <c r="GE158" s="918"/>
      <c r="GF158" s="918"/>
      <c r="GG158" s="918"/>
      <c r="GH158" s="918"/>
      <c r="GI158" s="918"/>
      <c r="GJ158" s="918"/>
      <c r="GK158" s="918"/>
      <c r="GL158" s="918"/>
      <c r="GM158" s="918"/>
      <c r="GN158" s="918"/>
      <c r="GO158" s="918"/>
      <c r="GP158" s="918"/>
      <c r="GQ158" s="918"/>
      <c r="GR158" s="918"/>
      <c r="GS158" s="918"/>
      <c r="GT158" s="918"/>
      <c r="GU158" s="918"/>
      <c r="GV158" s="918"/>
      <c r="GW158" s="918"/>
      <c r="GX158" s="918"/>
      <c r="GY158" s="918"/>
      <c r="GZ158" s="918"/>
      <c r="HA158" s="918"/>
      <c r="HB158" s="918"/>
      <c r="HC158" s="918"/>
      <c r="HD158" s="918"/>
      <c r="HE158" s="918"/>
      <c r="HF158" s="918"/>
      <c r="HG158" s="918"/>
      <c r="HH158" s="918"/>
      <c r="HI158" s="918"/>
      <c r="HJ158" s="918"/>
      <c r="HK158" s="918"/>
      <c r="HL158" s="918"/>
      <c r="HM158" s="918"/>
      <c r="HN158" s="918"/>
      <c r="HO158" s="918"/>
      <c r="HP158" s="918"/>
      <c r="HQ158" s="918"/>
      <c r="HR158" s="918"/>
      <c r="HS158" s="918"/>
      <c r="HT158" s="918"/>
      <c r="HU158" s="918"/>
      <c r="HV158" s="918"/>
      <c r="HW158" s="918"/>
      <c r="HX158" s="918"/>
      <c r="HY158" s="918"/>
      <c r="HZ158" s="918"/>
      <c r="IA158" s="918"/>
      <c r="IB158" s="918"/>
      <c r="IC158" s="918"/>
      <c r="ID158" s="918"/>
      <c r="IE158" s="918"/>
      <c r="IF158" s="918"/>
      <c r="IG158" s="918"/>
      <c r="IH158" s="918"/>
      <c r="II158" s="918"/>
      <c r="IJ158" s="918"/>
      <c r="IK158" s="918"/>
      <c r="IL158" s="918"/>
      <c r="IM158" s="918"/>
      <c r="IN158" s="918"/>
    </row>
    <row r="159" spans="1:248">
      <c r="A159" s="615" t="s">
        <v>24</v>
      </c>
      <c r="B159" s="617">
        <v>9377.2000000000007</v>
      </c>
      <c r="C159" s="919">
        <v>29.251189269281763</v>
      </c>
      <c r="D159" s="618">
        <v>9972.9</v>
      </c>
      <c r="E159" s="919">
        <v>31.109412773921857</v>
      </c>
      <c r="F159" s="919">
        <v>-595.69999999999891</v>
      </c>
      <c r="G159" s="919">
        <f t="shared" si="28"/>
        <v>-1.8582235046400966</v>
      </c>
      <c r="H159" s="27">
        <v>32057.5</v>
      </c>
      <c r="I159" s="918"/>
      <c r="J159" s="918"/>
      <c r="K159" s="918"/>
      <c r="L159" s="918"/>
      <c r="M159" s="918"/>
      <c r="N159" s="918"/>
      <c r="O159" s="918"/>
      <c r="P159" s="918"/>
      <c r="Q159" s="918"/>
      <c r="R159" s="918"/>
      <c r="S159" s="918"/>
      <c r="T159" s="918"/>
      <c r="U159" s="918"/>
      <c r="V159" s="918"/>
      <c r="W159" s="918"/>
      <c r="X159" s="918"/>
      <c r="Y159" s="918"/>
      <c r="Z159" s="918"/>
      <c r="AA159" s="918"/>
      <c r="AB159" s="918"/>
      <c r="AC159" s="918"/>
      <c r="AD159" s="918"/>
      <c r="AE159" s="918"/>
      <c r="AF159" s="918"/>
      <c r="AG159" s="918"/>
      <c r="AH159" s="918"/>
      <c r="AI159" s="918"/>
      <c r="AJ159" s="918"/>
      <c r="AK159" s="918"/>
      <c r="AL159" s="918"/>
      <c r="AM159" s="918"/>
      <c r="AN159" s="918"/>
      <c r="AO159" s="918"/>
      <c r="AP159" s="918"/>
      <c r="AQ159" s="918"/>
      <c r="AR159" s="918"/>
      <c r="AS159" s="918"/>
      <c r="AT159" s="918"/>
      <c r="AU159" s="918"/>
      <c r="AV159" s="918"/>
      <c r="AW159" s="918"/>
      <c r="AX159" s="918"/>
      <c r="AY159" s="918"/>
      <c r="AZ159" s="918"/>
      <c r="BA159" s="918"/>
      <c r="BB159" s="918"/>
      <c r="BC159" s="918"/>
      <c r="BD159" s="918"/>
      <c r="BE159" s="918"/>
      <c r="BF159" s="918"/>
      <c r="BG159" s="918"/>
      <c r="BH159" s="918"/>
      <c r="BI159" s="918"/>
      <c r="BJ159" s="918"/>
      <c r="BK159" s="918"/>
      <c r="BL159" s="918"/>
      <c r="BM159" s="918"/>
      <c r="BN159" s="918"/>
      <c r="BO159" s="918"/>
      <c r="BP159" s="918"/>
      <c r="BQ159" s="918"/>
      <c r="BR159" s="918"/>
      <c r="BS159" s="918"/>
      <c r="BT159" s="918"/>
      <c r="BU159" s="918"/>
      <c r="BV159" s="918"/>
      <c r="BW159" s="918"/>
      <c r="BX159" s="918"/>
      <c r="BY159" s="918"/>
      <c r="BZ159" s="918"/>
      <c r="CA159" s="918"/>
      <c r="CB159" s="918"/>
      <c r="CC159" s="918"/>
      <c r="CD159" s="918"/>
      <c r="CE159" s="918"/>
      <c r="CF159" s="918"/>
      <c r="CG159" s="918"/>
      <c r="CH159" s="918"/>
      <c r="CI159" s="918"/>
      <c r="CJ159" s="918"/>
      <c r="CK159" s="918"/>
      <c r="CL159" s="918"/>
      <c r="CM159" s="918"/>
      <c r="CN159" s="918"/>
      <c r="CO159" s="918"/>
      <c r="CP159" s="918"/>
      <c r="CQ159" s="918"/>
      <c r="CR159" s="918"/>
      <c r="CS159" s="918"/>
      <c r="CT159" s="918"/>
      <c r="CU159" s="918"/>
      <c r="CV159" s="918"/>
      <c r="CW159" s="918"/>
      <c r="CX159" s="918"/>
      <c r="CY159" s="918"/>
      <c r="CZ159" s="918"/>
      <c r="DA159" s="918"/>
      <c r="DB159" s="918"/>
      <c r="DC159" s="918"/>
      <c r="DD159" s="918"/>
      <c r="DE159" s="918"/>
      <c r="DF159" s="918"/>
      <c r="DG159" s="918"/>
      <c r="DH159" s="918"/>
      <c r="DI159" s="918"/>
      <c r="DJ159" s="918"/>
      <c r="DK159" s="918"/>
      <c r="DL159" s="918"/>
      <c r="DM159" s="918"/>
      <c r="DN159" s="918"/>
      <c r="DO159" s="918"/>
      <c r="DP159" s="918"/>
      <c r="DQ159" s="918"/>
      <c r="DR159" s="918"/>
      <c r="DS159" s="918"/>
      <c r="DT159" s="918"/>
      <c r="DU159" s="918"/>
      <c r="DV159" s="918"/>
      <c r="DW159" s="918"/>
      <c r="DX159" s="918"/>
      <c r="DY159" s="918"/>
      <c r="DZ159" s="918"/>
      <c r="EA159" s="918"/>
      <c r="EB159" s="918"/>
      <c r="EC159" s="918"/>
      <c r="ED159" s="918"/>
      <c r="EE159" s="918"/>
      <c r="EF159" s="918"/>
      <c r="EG159" s="918"/>
      <c r="EH159" s="918"/>
      <c r="EI159" s="918"/>
      <c r="EJ159" s="918"/>
      <c r="EK159" s="918"/>
      <c r="EL159" s="918"/>
      <c r="EM159" s="918"/>
      <c r="EN159" s="918"/>
      <c r="EO159" s="918"/>
      <c r="EP159" s="918"/>
      <c r="EQ159" s="918"/>
      <c r="ER159" s="918"/>
      <c r="ES159" s="918"/>
      <c r="ET159" s="918"/>
      <c r="EU159" s="918"/>
      <c r="EV159" s="918"/>
      <c r="EW159" s="918"/>
      <c r="EX159" s="918"/>
      <c r="EY159" s="918"/>
      <c r="EZ159" s="918"/>
      <c r="FA159" s="918"/>
      <c r="FB159" s="918"/>
      <c r="FC159" s="918"/>
      <c r="FD159" s="918"/>
      <c r="FE159" s="918"/>
      <c r="FF159" s="918"/>
      <c r="FG159" s="918"/>
      <c r="FH159" s="918"/>
      <c r="FI159" s="918"/>
      <c r="FJ159" s="918"/>
      <c r="FK159" s="918"/>
      <c r="FL159" s="918"/>
      <c r="FM159" s="918"/>
      <c r="FN159" s="918"/>
      <c r="FO159" s="918"/>
      <c r="FP159" s="918"/>
      <c r="FQ159" s="918"/>
      <c r="FR159" s="918"/>
      <c r="FS159" s="918"/>
      <c r="FT159" s="918"/>
      <c r="FU159" s="918"/>
      <c r="FV159" s="918"/>
      <c r="FW159" s="918"/>
      <c r="FX159" s="918"/>
      <c r="FY159" s="918"/>
      <c r="FZ159" s="918"/>
      <c r="GA159" s="918"/>
      <c r="GB159" s="918"/>
      <c r="GC159" s="918"/>
      <c r="GD159" s="918"/>
      <c r="GE159" s="918"/>
      <c r="GF159" s="918"/>
      <c r="GG159" s="918"/>
      <c r="GH159" s="918"/>
      <c r="GI159" s="918"/>
      <c r="GJ159" s="918"/>
      <c r="GK159" s="918"/>
      <c r="GL159" s="918"/>
      <c r="GM159" s="918"/>
      <c r="GN159" s="918"/>
      <c r="GO159" s="918"/>
      <c r="GP159" s="918"/>
      <c r="GQ159" s="918"/>
      <c r="GR159" s="918"/>
      <c r="GS159" s="918"/>
      <c r="GT159" s="918"/>
      <c r="GU159" s="918"/>
      <c r="GV159" s="918"/>
      <c r="GW159" s="918"/>
      <c r="GX159" s="918"/>
      <c r="GY159" s="918"/>
      <c r="GZ159" s="918"/>
      <c r="HA159" s="918"/>
      <c r="HB159" s="918"/>
      <c r="HC159" s="918"/>
      <c r="HD159" s="918"/>
      <c r="HE159" s="918"/>
      <c r="HF159" s="918"/>
      <c r="HG159" s="918"/>
      <c r="HH159" s="918"/>
      <c r="HI159" s="918"/>
      <c r="HJ159" s="918"/>
      <c r="HK159" s="918"/>
      <c r="HL159" s="918"/>
      <c r="HM159" s="918"/>
      <c r="HN159" s="918"/>
      <c r="HO159" s="918"/>
      <c r="HP159" s="918"/>
      <c r="HQ159" s="918"/>
      <c r="HR159" s="918"/>
      <c r="HS159" s="918"/>
      <c r="HT159" s="918"/>
      <c r="HU159" s="918"/>
      <c r="HV159" s="918"/>
      <c r="HW159" s="918"/>
      <c r="HX159" s="918"/>
      <c r="HY159" s="918"/>
      <c r="HZ159" s="918"/>
      <c r="IA159" s="918"/>
      <c r="IB159" s="918"/>
      <c r="IC159" s="918"/>
      <c r="ID159" s="918"/>
      <c r="IE159" s="918"/>
      <c r="IF159" s="918"/>
      <c r="IG159" s="918"/>
      <c r="IH159" s="918"/>
      <c r="II159" s="918"/>
      <c r="IJ159" s="918"/>
      <c r="IK159" s="918"/>
      <c r="IL159" s="918"/>
      <c r="IM159" s="918"/>
      <c r="IN159" s="918"/>
    </row>
    <row r="160" spans="1:248">
      <c r="A160" s="615" t="s">
        <v>25</v>
      </c>
      <c r="B160" s="617">
        <v>10667</v>
      </c>
      <c r="C160" s="919">
        <v>29.607856199136219</v>
      </c>
      <c r="D160" s="618">
        <v>10794</v>
      </c>
      <c r="E160" s="919">
        <v>29.960363721147122</v>
      </c>
      <c r="F160" s="919">
        <v>-127</v>
      </c>
      <c r="G160" s="919">
        <f t="shared" si="28"/>
        <v>-0.3525075220109028</v>
      </c>
      <c r="H160" s="27">
        <v>36027.599999999999</v>
      </c>
      <c r="I160" s="918"/>
      <c r="J160" s="918"/>
      <c r="K160" s="918"/>
      <c r="L160" s="918"/>
      <c r="M160" s="918"/>
      <c r="N160" s="918"/>
      <c r="O160" s="918"/>
      <c r="P160" s="918"/>
      <c r="Q160" s="918"/>
      <c r="R160" s="918"/>
      <c r="S160" s="918"/>
      <c r="T160" s="918"/>
      <c r="U160" s="918"/>
      <c r="V160" s="918"/>
      <c r="W160" s="918"/>
      <c r="X160" s="918"/>
      <c r="Y160" s="918"/>
      <c r="Z160" s="918"/>
      <c r="AA160" s="918"/>
      <c r="AB160" s="918"/>
      <c r="AC160" s="918"/>
      <c r="AD160" s="918"/>
      <c r="AE160" s="918"/>
      <c r="AF160" s="918"/>
      <c r="AG160" s="918"/>
      <c r="AH160" s="918"/>
      <c r="AI160" s="918"/>
      <c r="AJ160" s="918"/>
      <c r="AK160" s="918"/>
      <c r="AL160" s="918"/>
      <c r="AM160" s="918"/>
      <c r="AN160" s="918"/>
      <c r="AO160" s="918"/>
      <c r="AP160" s="918"/>
      <c r="AQ160" s="918"/>
      <c r="AR160" s="918"/>
      <c r="AS160" s="918"/>
      <c r="AT160" s="918"/>
      <c r="AU160" s="918"/>
      <c r="AV160" s="918"/>
      <c r="AW160" s="918"/>
      <c r="AX160" s="918"/>
      <c r="AY160" s="918"/>
      <c r="AZ160" s="918"/>
      <c r="BA160" s="918"/>
      <c r="BB160" s="918"/>
      <c r="BC160" s="918"/>
      <c r="BD160" s="918"/>
      <c r="BE160" s="918"/>
      <c r="BF160" s="918"/>
      <c r="BG160" s="918"/>
      <c r="BH160" s="918"/>
      <c r="BI160" s="918"/>
      <c r="BJ160" s="918"/>
      <c r="BK160" s="918"/>
      <c r="BL160" s="918"/>
      <c r="BM160" s="918"/>
      <c r="BN160" s="918"/>
      <c r="BO160" s="918"/>
      <c r="BP160" s="918"/>
      <c r="BQ160" s="918"/>
      <c r="BR160" s="918"/>
      <c r="BS160" s="918"/>
      <c r="BT160" s="918"/>
      <c r="BU160" s="918"/>
      <c r="BV160" s="918"/>
      <c r="BW160" s="918"/>
      <c r="BX160" s="918"/>
      <c r="BY160" s="918"/>
      <c r="BZ160" s="918"/>
      <c r="CA160" s="918"/>
      <c r="CB160" s="918"/>
      <c r="CC160" s="918"/>
      <c r="CD160" s="918"/>
      <c r="CE160" s="918"/>
      <c r="CF160" s="918"/>
      <c r="CG160" s="918"/>
      <c r="CH160" s="918"/>
      <c r="CI160" s="918"/>
      <c r="CJ160" s="918"/>
      <c r="CK160" s="918"/>
      <c r="CL160" s="918"/>
      <c r="CM160" s="918"/>
      <c r="CN160" s="918"/>
      <c r="CO160" s="918"/>
      <c r="CP160" s="918"/>
      <c r="CQ160" s="918"/>
      <c r="CR160" s="918"/>
      <c r="CS160" s="918"/>
      <c r="CT160" s="918"/>
      <c r="CU160" s="918"/>
      <c r="CV160" s="918"/>
      <c r="CW160" s="918"/>
      <c r="CX160" s="918"/>
      <c r="CY160" s="918"/>
      <c r="CZ160" s="918"/>
      <c r="DA160" s="918"/>
      <c r="DB160" s="918"/>
      <c r="DC160" s="918"/>
      <c r="DD160" s="918"/>
      <c r="DE160" s="918"/>
      <c r="DF160" s="918"/>
      <c r="DG160" s="918"/>
      <c r="DH160" s="918"/>
      <c r="DI160" s="918"/>
      <c r="DJ160" s="918"/>
      <c r="DK160" s="918"/>
      <c r="DL160" s="918"/>
      <c r="DM160" s="918"/>
      <c r="DN160" s="918"/>
      <c r="DO160" s="918"/>
      <c r="DP160" s="918"/>
      <c r="DQ160" s="918"/>
      <c r="DR160" s="918"/>
      <c r="DS160" s="918"/>
      <c r="DT160" s="918"/>
      <c r="DU160" s="918"/>
      <c r="DV160" s="918"/>
      <c r="DW160" s="918"/>
      <c r="DX160" s="918"/>
      <c r="DY160" s="918"/>
      <c r="DZ160" s="918"/>
      <c r="EA160" s="918"/>
      <c r="EB160" s="918"/>
      <c r="EC160" s="918"/>
      <c r="ED160" s="918"/>
      <c r="EE160" s="918"/>
      <c r="EF160" s="918"/>
      <c r="EG160" s="918"/>
      <c r="EH160" s="918"/>
      <c r="EI160" s="918"/>
      <c r="EJ160" s="918"/>
      <c r="EK160" s="918"/>
      <c r="EL160" s="918"/>
      <c r="EM160" s="918"/>
      <c r="EN160" s="918"/>
      <c r="EO160" s="918"/>
      <c r="EP160" s="918"/>
      <c r="EQ160" s="918"/>
      <c r="ER160" s="918"/>
      <c r="ES160" s="918"/>
      <c r="ET160" s="918"/>
      <c r="EU160" s="918"/>
      <c r="EV160" s="918"/>
      <c r="EW160" s="918"/>
      <c r="EX160" s="918"/>
      <c r="EY160" s="918"/>
      <c r="EZ160" s="918"/>
      <c r="FA160" s="918"/>
      <c r="FB160" s="918"/>
      <c r="FC160" s="918"/>
      <c r="FD160" s="918"/>
      <c r="FE160" s="918"/>
      <c r="FF160" s="918"/>
      <c r="FG160" s="918"/>
      <c r="FH160" s="918"/>
      <c r="FI160" s="918"/>
      <c r="FJ160" s="918"/>
      <c r="FK160" s="918"/>
      <c r="FL160" s="918"/>
      <c r="FM160" s="918"/>
      <c r="FN160" s="918"/>
      <c r="FO160" s="918"/>
      <c r="FP160" s="918"/>
      <c r="FQ160" s="918"/>
      <c r="FR160" s="918"/>
      <c r="FS160" s="918"/>
      <c r="FT160" s="918"/>
      <c r="FU160" s="918"/>
      <c r="FV160" s="918"/>
      <c r="FW160" s="918"/>
      <c r="FX160" s="918"/>
      <c r="FY160" s="918"/>
      <c r="FZ160" s="918"/>
      <c r="GA160" s="918"/>
      <c r="GB160" s="918"/>
      <c r="GC160" s="918"/>
      <c r="GD160" s="918"/>
      <c r="GE160" s="918"/>
      <c r="GF160" s="918"/>
      <c r="GG160" s="918"/>
      <c r="GH160" s="918"/>
      <c r="GI160" s="918"/>
      <c r="GJ160" s="918"/>
      <c r="GK160" s="918"/>
      <c r="GL160" s="918"/>
      <c r="GM160" s="918"/>
      <c r="GN160" s="918"/>
      <c r="GO160" s="918"/>
      <c r="GP160" s="918"/>
      <c r="GQ160" s="918"/>
      <c r="GR160" s="918"/>
      <c r="GS160" s="918"/>
      <c r="GT160" s="918"/>
      <c r="GU160" s="918"/>
      <c r="GV160" s="918"/>
      <c r="GW160" s="918"/>
      <c r="GX160" s="918"/>
      <c r="GY160" s="918"/>
      <c r="GZ160" s="918"/>
      <c r="HA160" s="918"/>
      <c r="HB160" s="918"/>
      <c r="HC160" s="918"/>
      <c r="HD160" s="918"/>
      <c r="HE160" s="918"/>
      <c r="HF160" s="918"/>
      <c r="HG160" s="918"/>
      <c r="HH160" s="918"/>
      <c r="HI160" s="918"/>
      <c r="HJ160" s="918"/>
      <c r="HK160" s="918"/>
      <c r="HL160" s="918"/>
      <c r="HM160" s="918"/>
      <c r="HN160" s="918"/>
      <c r="HO160" s="918"/>
      <c r="HP160" s="918"/>
      <c r="HQ160" s="918"/>
      <c r="HR160" s="918"/>
      <c r="HS160" s="918"/>
      <c r="HT160" s="918"/>
      <c r="HU160" s="918"/>
      <c r="HV160" s="918"/>
      <c r="HW160" s="918"/>
      <c r="HX160" s="918"/>
      <c r="HY160" s="918"/>
      <c r="HZ160" s="918"/>
      <c r="IA160" s="918"/>
      <c r="IB160" s="918"/>
      <c r="IC160" s="918"/>
      <c r="ID160" s="918"/>
      <c r="IE160" s="918"/>
      <c r="IF160" s="918"/>
      <c r="IG160" s="918"/>
      <c r="IH160" s="918"/>
      <c r="II160" s="918"/>
      <c r="IJ160" s="918"/>
      <c r="IK160" s="918"/>
      <c r="IL160" s="918"/>
      <c r="IM160" s="918"/>
      <c r="IN160" s="918"/>
    </row>
    <row r="161" spans="1:248">
      <c r="A161" s="615" t="s">
        <v>26</v>
      </c>
      <c r="B161" s="617">
        <v>12066.3</v>
      </c>
      <c r="C161" s="919">
        <v>29.662671098174947</v>
      </c>
      <c r="D161" s="618">
        <v>12158.4</v>
      </c>
      <c r="E161" s="919">
        <v>29.889081183134042</v>
      </c>
      <c r="F161" s="919">
        <v>-92.100000000000364</v>
      </c>
      <c r="G161" s="919">
        <f t="shared" si="28"/>
        <v>-0.22641008495909465</v>
      </c>
      <c r="H161" s="27">
        <v>40678.400000000001</v>
      </c>
      <c r="I161" s="918"/>
      <c r="J161" s="918"/>
      <c r="K161" s="918"/>
      <c r="L161" s="918"/>
      <c r="M161" s="918"/>
      <c r="N161" s="918"/>
      <c r="O161" s="918"/>
      <c r="P161" s="918"/>
      <c r="Q161" s="918"/>
      <c r="R161" s="918"/>
      <c r="S161" s="918"/>
      <c r="T161" s="918"/>
      <c r="U161" s="918"/>
      <c r="V161" s="918"/>
      <c r="W161" s="918"/>
      <c r="X161" s="918"/>
      <c r="Y161" s="918"/>
      <c r="Z161" s="918"/>
      <c r="AA161" s="918"/>
      <c r="AB161" s="918"/>
      <c r="AC161" s="918"/>
      <c r="AD161" s="918"/>
      <c r="AE161" s="918"/>
      <c r="AF161" s="918"/>
      <c r="AG161" s="918"/>
      <c r="AH161" s="918"/>
      <c r="AI161" s="918"/>
      <c r="AJ161" s="918"/>
      <c r="AK161" s="918"/>
      <c r="AL161" s="918"/>
      <c r="AM161" s="918"/>
      <c r="AN161" s="918"/>
      <c r="AO161" s="918"/>
      <c r="AP161" s="918"/>
      <c r="AQ161" s="918"/>
      <c r="AR161" s="918"/>
      <c r="AS161" s="918"/>
      <c r="AT161" s="918"/>
      <c r="AU161" s="918"/>
      <c r="AV161" s="918"/>
      <c r="AW161" s="918"/>
      <c r="AX161" s="918"/>
      <c r="AY161" s="918"/>
      <c r="AZ161" s="918"/>
      <c r="BA161" s="918"/>
      <c r="BB161" s="918"/>
      <c r="BC161" s="918"/>
      <c r="BD161" s="918"/>
      <c r="BE161" s="918"/>
      <c r="BF161" s="918"/>
      <c r="BG161" s="918"/>
      <c r="BH161" s="918"/>
      <c r="BI161" s="918"/>
      <c r="BJ161" s="918"/>
      <c r="BK161" s="918"/>
      <c r="BL161" s="918"/>
      <c r="BM161" s="918"/>
      <c r="BN161" s="918"/>
      <c r="BO161" s="918"/>
      <c r="BP161" s="918"/>
      <c r="BQ161" s="918"/>
      <c r="BR161" s="918"/>
      <c r="BS161" s="918"/>
      <c r="BT161" s="918"/>
      <c r="BU161" s="918"/>
      <c r="BV161" s="918"/>
      <c r="BW161" s="918"/>
      <c r="BX161" s="918"/>
      <c r="BY161" s="918"/>
      <c r="BZ161" s="918"/>
      <c r="CA161" s="918"/>
      <c r="CB161" s="918"/>
      <c r="CC161" s="918"/>
      <c r="CD161" s="918"/>
      <c r="CE161" s="918"/>
      <c r="CF161" s="918"/>
      <c r="CG161" s="918"/>
      <c r="CH161" s="918"/>
      <c r="CI161" s="918"/>
      <c r="CJ161" s="918"/>
      <c r="CK161" s="918"/>
      <c r="CL161" s="918"/>
      <c r="CM161" s="918"/>
      <c r="CN161" s="918"/>
      <c r="CO161" s="918"/>
      <c r="CP161" s="918"/>
      <c r="CQ161" s="918"/>
      <c r="CR161" s="918"/>
      <c r="CS161" s="918"/>
      <c r="CT161" s="918"/>
      <c r="CU161" s="918"/>
      <c r="CV161" s="918"/>
      <c r="CW161" s="918"/>
      <c r="CX161" s="918"/>
      <c r="CY161" s="918"/>
      <c r="CZ161" s="918"/>
      <c r="DA161" s="918"/>
      <c r="DB161" s="918"/>
      <c r="DC161" s="918"/>
      <c r="DD161" s="918"/>
      <c r="DE161" s="918"/>
      <c r="DF161" s="918"/>
      <c r="DG161" s="918"/>
      <c r="DH161" s="918"/>
      <c r="DI161" s="918"/>
      <c r="DJ161" s="918"/>
      <c r="DK161" s="918"/>
      <c r="DL161" s="918"/>
      <c r="DM161" s="918"/>
      <c r="DN161" s="918"/>
      <c r="DO161" s="918"/>
      <c r="DP161" s="918"/>
      <c r="DQ161" s="918"/>
      <c r="DR161" s="918"/>
      <c r="DS161" s="918"/>
      <c r="DT161" s="918"/>
      <c r="DU161" s="918"/>
      <c r="DV161" s="918"/>
      <c r="DW161" s="918"/>
      <c r="DX161" s="918"/>
      <c r="DY161" s="918"/>
      <c r="DZ161" s="918"/>
      <c r="EA161" s="918"/>
      <c r="EB161" s="918"/>
      <c r="EC161" s="918"/>
      <c r="ED161" s="918"/>
      <c r="EE161" s="918"/>
      <c r="EF161" s="918"/>
      <c r="EG161" s="918"/>
      <c r="EH161" s="918"/>
      <c r="EI161" s="918"/>
      <c r="EJ161" s="918"/>
      <c r="EK161" s="918"/>
      <c r="EL161" s="918"/>
      <c r="EM161" s="918"/>
      <c r="EN161" s="918"/>
      <c r="EO161" s="918"/>
      <c r="EP161" s="918"/>
      <c r="EQ161" s="918"/>
      <c r="ER161" s="918"/>
      <c r="ES161" s="918"/>
      <c r="ET161" s="918"/>
      <c r="EU161" s="918"/>
      <c r="EV161" s="918"/>
      <c r="EW161" s="918"/>
      <c r="EX161" s="918"/>
      <c r="EY161" s="918"/>
      <c r="EZ161" s="918"/>
      <c r="FA161" s="918"/>
      <c r="FB161" s="918"/>
      <c r="FC161" s="918"/>
      <c r="FD161" s="918"/>
      <c r="FE161" s="918"/>
      <c r="FF161" s="918"/>
      <c r="FG161" s="918"/>
      <c r="FH161" s="918"/>
      <c r="FI161" s="918"/>
      <c r="FJ161" s="918"/>
      <c r="FK161" s="918"/>
      <c r="FL161" s="918"/>
      <c r="FM161" s="918"/>
      <c r="FN161" s="918"/>
      <c r="FO161" s="918"/>
      <c r="FP161" s="918"/>
      <c r="FQ161" s="918"/>
      <c r="FR161" s="918"/>
      <c r="FS161" s="918"/>
      <c r="FT161" s="918"/>
      <c r="FU161" s="918"/>
      <c r="FV161" s="918"/>
      <c r="FW161" s="918"/>
      <c r="FX161" s="918"/>
      <c r="FY161" s="918"/>
      <c r="FZ161" s="918"/>
      <c r="GA161" s="918"/>
      <c r="GB161" s="918"/>
      <c r="GC161" s="918"/>
      <c r="GD161" s="918"/>
      <c r="GE161" s="918"/>
      <c r="GF161" s="918"/>
      <c r="GG161" s="918"/>
      <c r="GH161" s="918"/>
      <c r="GI161" s="918"/>
      <c r="GJ161" s="918"/>
      <c r="GK161" s="918"/>
      <c r="GL161" s="918"/>
      <c r="GM161" s="918"/>
      <c r="GN161" s="918"/>
      <c r="GO161" s="918"/>
      <c r="GP161" s="918"/>
      <c r="GQ161" s="918"/>
      <c r="GR161" s="918"/>
      <c r="GS161" s="918"/>
      <c r="GT161" s="918"/>
      <c r="GU161" s="918"/>
      <c r="GV161" s="918"/>
      <c r="GW161" s="918"/>
      <c r="GX161" s="918"/>
      <c r="GY161" s="918"/>
      <c r="GZ161" s="918"/>
      <c r="HA161" s="918"/>
      <c r="HB161" s="918"/>
      <c r="HC161" s="918"/>
      <c r="HD161" s="918"/>
      <c r="HE161" s="918"/>
      <c r="HF161" s="918"/>
      <c r="HG161" s="918"/>
      <c r="HH161" s="918"/>
      <c r="HI161" s="918"/>
      <c r="HJ161" s="918"/>
      <c r="HK161" s="918"/>
      <c r="HL161" s="918"/>
      <c r="HM161" s="918"/>
      <c r="HN161" s="918"/>
      <c r="HO161" s="918"/>
      <c r="HP161" s="918"/>
      <c r="HQ161" s="918"/>
      <c r="HR161" s="918"/>
      <c r="HS161" s="918"/>
      <c r="HT161" s="918"/>
      <c r="HU161" s="918"/>
      <c r="HV161" s="918"/>
      <c r="HW161" s="918"/>
      <c r="HX161" s="918"/>
      <c r="HY161" s="918"/>
      <c r="HZ161" s="918"/>
      <c r="IA161" s="918"/>
      <c r="IB161" s="918"/>
      <c r="IC161" s="918"/>
      <c r="ID161" s="918"/>
      <c r="IE161" s="918"/>
      <c r="IF161" s="918"/>
      <c r="IG161" s="918"/>
      <c r="IH161" s="918"/>
      <c r="II161" s="918"/>
      <c r="IJ161" s="918"/>
      <c r="IK161" s="918"/>
      <c r="IL161" s="918"/>
      <c r="IM161" s="918"/>
      <c r="IN161" s="918"/>
    </row>
    <row r="162" spans="1:248">
      <c r="A162" s="615" t="s">
        <v>27</v>
      </c>
      <c r="B162" s="617">
        <v>13874.1</v>
      </c>
      <c r="C162" s="919">
        <v>30.203897698476972</v>
      </c>
      <c r="D162" s="618">
        <v>13925.3</v>
      </c>
      <c r="E162" s="919">
        <v>30.315360032045419</v>
      </c>
      <c r="F162" s="919">
        <v>-51.199999999998909</v>
      </c>
      <c r="G162" s="919">
        <f t="shared" si="28"/>
        <v>-0.11146233356844681</v>
      </c>
      <c r="H162" s="27">
        <v>45934.8</v>
      </c>
      <c r="I162" s="918"/>
      <c r="J162" s="918"/>
      <c r="K162" s="918"/>
      <c r="L162" s="918"/>
      <c r="M162" s="918"/>
      <c r="N162" s="918"/>
      <c r="O162" s="918"/>
      <c r="P162" s="918"/>
      <c r="Q162" s="918"/>
      <c r="R162" s="918"/>
      <c r="S162" s="918"/>
      <c r="T162" s="918"/>
      <c r="U162" s="918"/>
      <c r="V162" s="918"/>
      <c r="W162" s="918"/>
      <c r="X162" s="918"/>
      <c r="Y162" s="918"/>
      <c r="Z162" s="918"/>
      <c r="AA162" s="918"/>
      <c r="AB162" s="918"/>
      <c r="AC162" s="918"/>
      <c r="AD162" s="918"/>
      <c r="AE162" s="918"/>
      <c r="AF162" s="918"/>
      <c r="AG162" s="918"/>
      <c r="AH162" s="918"/>
      <c r="AI162" s="918"/>
      <c r="AJ162" s="918"/>
      <c r="AK162" s="918"/>
      <c r="AL162" s="918"/>
      <c r="AM162" s="918"/>
      <c r="AN162" s="918"/>
      <c r="AO162" s="918"/>
      <c r="AP162" s="918"/>
      <c r="AQ162" s="918"/>
      <c r="AR162" s="918"/>
      <c r="AS162" s="918"/>
      <c r="AT162" s="918"/>
      <c r="AU162" s="918"/>
      <c r="AV162" s="918"/>
      <c r="AW162" s="918"/>
      <c r="AX162" s="918"/>
      <c r="AY162" s="918"/>
      <c r="AZ162" s="918"/>
      <c r="BA162" s="918"/>
      <c r="BB162" s="918"/>
      <c r="BC162" s="918"/>
      <c r="BD162" s="918"/>
      <c r="BE162" s="918"/>
      <c r="BF162" s="918"/>
      <c r="BG162" s="918"/>
      <c r="BH162" s="918"/>
      <c r="BI162" s="918"/>
      <c r="BJ162" s="918"/>
      <c r="BK162" s="918"/>
      <c r="BL162" s="918"/>
      <c r="BM162" s="918"/>
      <c r="BN162" s="918"/>
      <c r="BO162" s="918"/>
      <c r="BP162" s="918"/>
      <c r="BQ162" s="918"/>
      <c r="BR162" s="918"/>
      <c r="BS162" s="918"/>
      <c r="BT162" s="918"/>
      <c r="BU162" s="918"/>
      <c r="BV162" s="918"/>
      <c r="BW162" s="918"/>
      <c r="BX162" s="918"/>
      <c r="BY162" s="918"/>
      <c r="BZ162" s="918"/>
      <c r="CA162" s="918"/>
      <c r="CB162" s="918"/>
      <c r="CC162" s="918"/>
      <c r="CD162" s="918"/>
      <c r="CE162" s="918"/>
      <c r="CF162" s="918"/>
      <c r="CG162" s="918"/>
      <c r="CH162" s="918"/>
      <c r="CI162" s="918"/>
      <c r="CJ162" s="918"/>
      <c r="CK162" s="918"/>
      <c r="CL162" s="918"/>
      <c r="CM162" s="918"/>
      <c r="CN162" s="918"/>
      <c r="CO162" s="918"/>
      <c r="CP162" s="918"/>
      <c r="CQ162" s="918"/>
      <c r="CR162" s="918"/>
      <c r="CS162" s="918"/>
      <c r="CT162" s="918"/>
      <c r="CU162" s="918"/>
      <c r="CV162" s="918"/>
      <c r="CW162" s="918"/>
      <c r="CX162" s="918"/>
      <c r="CY162" s="918"/>
      <c r="CZ162" s="918"/>
      <c r="DA162" s="918"/>
      <c r="DB162" s="918"/>
      <c r="DC162" s="918"/>
      <c r="DD162" s="918"/>
      <c r="DE162" s="918"/>
      <c r="DF162" s="918"/>
      <c r="DG162" s="918"/>
      <c r="DH162" s="918"/>
      <c r="DI162" s="918"/>
      <c r="DJ162" s="918"/>
      <c r="DK162" s="918"/>
      <c r="DL162" s="918"/>
      <c r="DM162" s="918"/>
      <c r="DN162" s="918"/>
      <c r="DO162" s="918"/>
      <c r="DP162" s="918"/>
      <c r="DQ162" s="918"/>
      <c r="DR162" s="918"/>
      <c r="DS162" s="918"/>
      <c r="DT162" s="918"/>
      <c r="DU162" s="918"/>
      <c r="DV162" s="918"/>
      <c r="DW162" s="918"/>
      <c r="DX162" s="918"/>
      <c r="DY162" s="918"/>
      <c r="DZ162" s="918"/>
      <c r="EA162" s="918"/>
      <c r="EB162" s="918"/>
      <c r="EC162" s="918"/>
      <c r="ED162" s="918"/>
      <c r="EE162" s="918"/>
      <c r="EF162" s="918"/>
      <c r="EG162" s="918"/>
      <c r="EH162" s="918"/>
      <c r="EI162" s="918"/>
      <c r="EJ162" s="918"/>
      <c r="EK162" s="918"/>
      <c r="EL162" s="918"/>
      <c r="EM162" s="918"/>
      <c r="EN162" s="918"/>
      <c r="EO162" s="918"/>
      <c r="EP162" s="918"/>
      <c r="EQ162" s="918"/>
      <c r="ER162" s="918"/>
      <c r="ES162" s="918"/>
      <c r="ET162" s="918"/>
      <c r="EU162" s="918"/>
      <c r="EV162" s="918"/>
      <c r="EW162" s="918"/>
      <c r="EX162" s="918"/>
      <c r="EY162" s="918"/>
      <c r="EZ162" s="918"/>
      <c r="FA162" s="918"/>
      <c r="FB162" s="918"/>
      <c r="FC162" s="918"/>
      <c r="FD162" s="918"/>
      <c r="FE162" s="918"/>
      <c r="FF162" s="918"/>
      <c r="FG162" s="918"/>
      <c r="FH162" s="918"/>
      <c r="FI162" s="918"/>
      <c r="FJ162" s="918"/>
      <c r="FK162" s="918"/>
      <c r="FL162" s="918"/>
      <c r="FM162" s="918"/>
      <c r="FN162" s="918"/>
      <c r="FO162" s="918"/>
      <c r="FP162" s="918"/>
      <c r="FQ162" s="918"/>
      <c r="FR162" s="918"/>
      <c r="FS162" s="918"/>
      <c r="FT162" s="918"/>
      <c r="FU162" s="918"/>
      <c r="FV162" s="918"/>
      <c r="FW162" s="918"/>
      <c r="FX162" s="918"/>
      <c r="FY162" s="918"/>
      <c r="FZ162" s="918"/>
      <c r="GA162" s="918"/>
      <c r="GB162" s="918"/>
      <c r="GC162" s="918"/>
      <c r="GD162" s="918"/>
      <c r="GE162" s="918"/>
      <c r="GF162" s="918"/>
      <c r="GG162" s="918"/>
      <c r="GH162" s="918"/>
      <c r="GI162" s="918"/>
      <c r="GJ162" s="918"/>
      <c r="GK162" s="918"/>
      <c r="GL162" s="918"/>
      <c r="GM162" s="918"/>
      <c r="GN162" s="918"/>
      <c r="GO162" s="918"/>
      <c r="GP162" s="918"/>
      <c r="GQ162" s="918"/>
      <c r="GR162" s="918"/>
      <c r="GS162" s="918"/>
      <c r="GT162" s="918"/>
      <c r="GU162" s="918"/>
      <c r="GV162" s="918"/>
      <c r="GW162" s="918"/>
      <c r="GX162" s="918"/>
      <c r="GY162" s="918"/>
      <c r="GZ162" s="918"/>
      <c r="HA162" s="918"/>
      <c r="HB162" s="918"/>
      <c r="HC162" s="918"/>
      <c r="HD162" s="918"/>
      <c r="HE162" s="918"/>
      <c r="HF162" s="918"/>
      <c r="HG162" s="918"/>
      <c r="HH162" s="918"/>
      <c r="HI162" s="918"/>
      <c r="HJ162" s="918"/>
      <c r="HK162" s="918"/>
      <c r="HL162" s="918"/>
      <c r="HM162" s="918"/>
      <c r="HN162" s="918"/>
      <c r="HO162" s="918"/>
      <c r="HP162" s="918"/>
      <c r="HQ162" s="918"/>
      <c r="HR162" s="918"/>
      <c r="HS162" s="918"/>
      <c r="HT162" s="918"/>
      <c r="HU162" s="918"/>
      <c r="HV162" s="918"/>
      <c r="HW162" s="918"/>
      <c r="HX162" s="918"/>
      <c r="HY162" s="918"/>
      <c r="HZ162" s="918"/>
      <c r="IA162" s="918"/>
      <c r="IB162" s="918"/>
      <c r="IC162" s="918"/>
      <c r="ID162" s="918"/>
      <c r="IE162" s="918"/>
      <c r="IF162" s="918"/>
      <c r="IG162" s="918"/>
      <c r="IH162" s="918"/>
      <c r="II162" s="918"/>
      <c r="IJ162" s="918"/>
      <c r="IK162" s="918"/>
      <c r="IL162" s="918"/>
      <c r="IM162" s="918"/>
      <c r="IN162" s="918"/>
    </row>
    <row r="163" spans="1:248">
      <c r="A163" s="615" t="s">
        <v>28</v>
      </c>
      <c r="B163" s="617">
        <v>15455.3</v>
      </c>
      <c r="C163" s="919">
        <v>30.875093642311342</v>
      </c>
      <c r="D163" s="618">
        <v>15469.2</v>
      </c>
      <c r="E163" s="919">
        <v>30.902861709034614</v>
      </c>
      <c r="F163" s="919">
        <v>-13.900000000001455</v>
      </c>
      <c r="G163" s="919">
        <f t="shared" si="28"/>
        <v>-2.7768066723271149E-2</v>
      </c>
      <c r="H163" s="27">
        <v>50057.5</v>
      </c>
      <c r="I163" s="918"/>
      <c r="J163" s="918"/>
      <c r="K163" s="918"/>
      <c r="L163" s="918"/>
      <c r="M163" s="918"/>
      <c r="N163" s="918"/>
      <c r="O163" s="918"/>
      <c r="P163" s="918"/>
      <c r="Q163" s="918"/>
      <c r="R163" s="918"/>
      <c r="S163" s="918"/>
      <c r="T163" s="918"/>
      <c r="U163" s="918"/>
      <c r="V163" s="918"/>
      <c r="W163" s="918"/>
      <c r="X163" s="918"/>
      <c r="Y163" s="918"/>
      <c r="Z163" s="918"/>
      <c r="AA163" s="918"/>
      <c r="AB163" s="918"/>
      <c r="AC163" s="918"/>
      <c r="AD163" s="918"/>
      <c r="AE163" s="918"/>
      <c r="AF163" s="918"/>
      <c r="AG163" s="918"/>
      <c r="AH163" s="918"/>
      <c r="AI163" s="918"/>
      <c r="AJ163" s="918"/>
      <c r="AK163" s="918"/>
      <c r="AL163" s="918"/>
      <c r="AM163" s="918"/>
      <c r="AN163" s="918"/>
      <c r="AO163" s="918"/>
      <c r="AP163" s="918"/>
      <c r="AQ163" s="918"/>
      <c r="AR163" s="918"/>
      <c r="AS163" s="918"/>
      <c r="AT163" s="918"/>
      <c r="AU163" s="918"/>
      <c r="AV163" s="918"/>
      <c r="AW163" s="918"/>
      <c r="AX163" s="918"/>
      <c r="AY163" s="918"/>
      <c r="AZ163" s="918"/>
      <c r="BA163" s="918"/>
      <c r="BB163" s="918"/>
      <c r="BC163" s="918"/>
      <c r="BD163" s="918"/>
      <c r="BE163" s="918"/>
      <c r="BF163" s="918"/>
      <c r="BG163" s="918"/>
      <c r="BH163" s="918"/>
      <c r="BI163" s="918"/>
      <c r="BJ163" s="918"/>
      <c r="BK163" s="918"/>
      <c r="BL163" s="918"/>
      <c r="BM163" s="918"/>
      <c r="BN163" s="918"/>
      <c r="BO163" s="918"/>
      <c r="BP163" s="918"/>
      <c r="BQ163" s="918"/>
      <c r="BR163" s="918"/>
      <c r="BS163" s="918"/>
      <c r="BT163" s="918"/>
      <c r="BU163" s="918"/>
      <c r="BV163" s="918"/>
      <c r="BW163" s="918"/>
      <c r="BX163" s="918"/>
      <c r="BY163" s="918"/>
      <c r="BZ163" s="918"/>
      <c r="CA163" s="918"/>
      <c r="CB163" s="918"/>
      <c r="CC163" s="918"/>
      <c r="CD163" s="918"/>
      <c r="CE163" s="918"/>
      <c r="CF163" s="918"/>
      <c r="CG163" s="918"/>
      <c r="CH163" s="918"/>
      <c r="CI163" s="918"/>
      <c r="CJ163" s="918"/>
      <c r="CK163" s="918"/>
      <c r="CL163" s="918"/>
      <c r="CM163" s="918"/>
      <c r="CN163" s="918"/>
      <c r="CO163" s="918"/>
      <c r="CP163" s="918"/>
      <c r="CQ163" s="918"/>
      <c r="CR163" s="918"/>
      <c r="CS163" s="918"/>
      <c r="CT163" s="918"/>
      <c r="CU163" s="918"/>
      <c r="CV163" s="918"/>
      <c r="CW163" s="918"/>
      <c r="CX163" s="918"/>
      <c r="CY163" s="918"/>
      <c r="CZ163" s="918"/>
      <c r="DA163" s="918"/>
      <c r="DB163" s="918"/>
      <c r="DC163" s="918"/>
      <c r="DD163" s="918"/>
      <c r="DE163" s="918"/>
      <c r="DF163" s="918"/>
      <c r="DG163" s="918"/>
      <c r="DH163" s="918"/>
      <c r="DI163" s="918"/>
      <c r="DJ163" s="918"/>
      <c r="DK163" s="918"/>
      <c r="DL163" s="918"/>
      <c r="DM163" s="918"/>
      <c r="DN163" s="918"/>
      <c r="DO163" s="918"/>
      <c r="DP163" s="918"/>
      <c r="DQ163" s="918"/>
      <c r="DR163" s="918"/>
      <c r="DS163" s="918"/>
      <c r="DT163" s="918"/>
      <c r="DU163" s="918"/>
      <c r="DV163" s="918"/>
      <c r="DW163" s="918"/>
      <c r="DX163" s="918"/>
      <c r="DY163" s="918"/>
      <c r="DZ163" s="918"/>
      <c r="EA163" s="918"/>
      <c r="EB163" s="918"/>
      <c r="EC163" s="918"/>
      <c r="ED163" s="918"/>
      <c r="EE163" s="918"/>
      <c r="EF163" s="918"/>
      <c r="EG163" s="918"/>
      <c r="EH163" s="918"/>
      <c r="EI163" s="918"/>
      <c r="EJ163" s="918"/>
      <c r="EK163" s="918"/>
      <c r="EL163" s="918"/>
      <c r="EM163" s="918"/>
      <c r="EN163" s="918"/>
      <c r="EO163" s="918"/>
      <c r="EP163" s="918"/>
      <c r="EQ163" s="918"/>
      <c r="ER163" s="918"/>
      <c r="ES163" s="918"/>
      <c r="ET163" s="918"/>
      <c r="EU163" s="918"/>
      <c r="EV163" s="918"/>
      <c r="EW163" s="918"/>
      <c r="EX163" s="918"/>
      <c r="EY163" s="918"/>
      <c r="EZ163" s="918"/>
      <c r="FA163" s="918"/>
      <c r="FB163" s="918"/>
      <c r="FC163" s="918"/>
      <c r="FD163" s="918"/>
      <c r="FE163" s="918"/>
      <c r="FF163" s="918"/>
      <c r="FG163" s="918"/>
      <c r="FH163" s="918"/>
      <c r="FI163" s="918"/>
      <c r="FJ163" s="918"/>
      <c r="FK163" s="918"/>
      <c r="FL163" s="918"/>
      <c r="FM163" s="918"/>
      <c r="FN163" s="918"/>
      <c r="FO163" s="918"/>
      <c r="FP163" s="918"/>
      <c r="FQ163" s="918"/>
      <c r="FR163" s="918"/>
      <c r="FS163" s="918"/>
      <c r="FT163" s="918"/>
      <c r="FU163" s="918"/>
      <c r="FV163" s="918"/>
      <c r="FW163" s="918"/>
      <c r="FX163" s="918"/>
      <c r="FY163" s="918"/>
      <c r="FZ163" s="918"/>
      <c r="GA163" s="918"/>
      <c r="GB163" s="918"/>
      <c r="GC163" s="918"/>
      <c r="GD163" s="918"/>
      <c r="GE163" s="918"/>
      <c r="GF163" s="918"/>
      <c r="GG163" s="918"/>
      <c r="GH163" s="918"/>
      <c r="GI163" s="918"/>
      <c r="GJ163" s="918"/>
      <c r="GK163" s="918"/>
      <c r="GL163" s="918"/>
      <c r="GM163" s="918"/>
      <c r="GN163" s="918"/>
      <c r="GO163" s="918"/>
      <c r="GP163" s="918"/>
      <c r="GQ163" s="918"/>
      <c r="GR163" s="918"/>
      <c r="GS163" s="918"/>
      <c r="GT163" s="918"/>
      <c r="GU163" s="918"/>
      <c r="GV163" s="918"/>
      <c r="GW163" s="918"/>
      <c r="GX163" s="918"/>
      <c r="GY163" s="918"/>
      <c r="GZ163" s="918"/>
      <c r="HA163" s="918"/>
      <c r="HB163" s="918"/>
      <c r="HC163" s="918"/>
      <c r="HD163" s="918"/>
      <c r="HE163" s="918"/>
      <c r="HF163" s="918"/>
      <c r="HG163" s="918"/>
      <c r="HH163" s="918"/>
      <c r="HI163" s="918"/>
      <c r="HJ163" s="918"/>
      <c r="HK163" s="918"/>
      <c r="HL163" s="918"/>
      <c r="HM163" s="918"/>
      <c r="HN163" s="918"/>
      <c r="HO163" s="918"/>
      <c r="HP163" s="918"/>
      <c r="HQ163" s="918"/>
      <c r="HR163" s="918"/>
      <c r="HS163" s="918"/>
      <c r="HT163" s="918"/>
      <c r="HU163" s="918"/>
      <c r="HV163" s="918"/>
      <c r="HW163" s="918"/>
      <c r="HX163" s="918"/>
      <c r="HY163" s="918"/>
      <c r="HZ163" s="918"/>
      <c r="IA163" s="918"/>
      <c r="IB163" s="918"/>
      <c r="IC163" s="918"/>
      <c r="ID163" s="918"/>
      <c r="IE163" s="918"/>
      <c r="IF163" s="918"/>
      <c r="IG163" s="918"/>
      <c r="IH163" s="918"/>
      <c r="II163" s="918"/>
      <c r="IJ163" s="918"/>
      <c r="IK163" s="918"/>
      <c r="IL163" s="918"/>
      <c r="IM163" s="918"/>
      <c r="IN163" s="918"/>
    </row>
    <row r="164" spans="1:248">
      <c r="A164" s="615" t="s">
        <v>29</v>
      </c>
      <c r="B164" s="617">
        <v>17498</v>
      </c>
      <c r="C164" s="617">
        <f>+B164/H164*100</f>
        <v>32.177271055535122</v>
      </c>
      <c r="D164" s="618">
        <v>17784.5</v>
      </c>
      <c r="E164" s="617">
        <v>32.725138495108702</v>
      </c>
      <c r="F164" s="919">
        <v>-286.5</v>
      </c>
      <c r="G164" s="919">
        <f t="shared" si="28"/>
        <v>-0.52684810592129461</v>
      </c>
      <c r="H164" s="27">
        <v>54380</v>
      </c>
      <c r="I164" s="918"/>
      <c r="J164" s="918"/>
      <c r="K164" s="918"/>
      <c r="L164" s="918"/>
      <c r="M164" s="918"/>
      <c r="N164" s="918"/>
      <c r="O164" s="918"/>
      <c r="P164" s="918"/>
      <c r="Q164" s="918"/>
      <c r="R164" s="918"/>
      <c r="S164" s="918"/>
      <c r="T164" s="918"/>
      <c r="U164" s="918"/>
      <c r="V164" s="918"/>
      <c r="W164" s="918"/>
      <c r="X164" s="918"/>
      <c r="Y164" s="918"/>
      <c r="Z164" s="918"/>
      <c r="AA164" s="918"/>
      <c r="AB164" s="918"/>
      <c r="AC164" s="918"/>
      <c r="AD164" s="918"/>
      <c r="AE164" s="918"/>
      <c r="AF164" s="918"/>
      <c r="AG164" s="918"/>
      <c r="AH164" s="918"/>
      <c r="AI164" s="918"/>
      <c r="AJ164" s="918"/>
      <c r="AK164" s="918"/>
      <c r="AL164" s="918"/>
      <c r="AM164" s="918"/>
      <c r="AN164" s="918"/>
      <c r="AO164" s="918"/>
      <c r="AP164" s="918"/>
      <c r="AQ164" s="918"/>
      <c r="AR164" s="918"/>
      <c r="AS164" s="918"/>
      <c r="AT164" s="918"/>
      <c r="AU164" s="918"/>
      <c r="AV164" s="918"/>
      <c r="AW164" s="918"/>
      <c r="AX164" s="918"/>
      <c r="AY164" s="918"/>
      <c r="AZ164" s="918"/>
      <c r="BA164" s="918"/>
      <c r="BB164" s="918"/>
      <c r="BC164" s="918"/>
      <c r="BD164" s="918"/>
      <c r="BE164" s="918"/>
      <c r="BF164" s="918"/>
      <c r="BG164" s="918"/>
      <c r="BH164" s="918"/>
      <c r="BI164" s="918"/>
      <c r="BJ164" s="918"/>
      <c r="BK164" s="918"/>
      <c r="BL164" s="918"/>
      <c r="BM164" s="918"/>
      <c r="BN164" s="918"/>
      <c r="BO164" s="918"/>
      <c r="BP164" s="918"/>
      <c r="BQ164" s="918"/>
      <c r="BR164" s="918"/>
      <c r="BS164" s="918"/>
      <c r="BT164" s="918"/>
      <c r="BU164" s="918"/>
      <c r="BV164" s="918"/>
      <c r="BW164" s="918"/>
      <c r="BX164" s="918"/>
      <c r="BY164" s="918"/>
      <c r="BZ164" s="918"/>
      <c r="CA164" s="918"/>
      <c r="CB164" s="918"/>
      <c r="CC164" s="918"/>
      <c r="CD164" s="918"/>
      <c r="CE164" s="918"/>
      <c r="CF164" s="918"/>
      <c r="CG164" s="918"/>
      <c r="CH164" s="918"/>
      <c r="CI164" s="918"/>
      <c r="CJ164" s="918"/>
      <c r="CK164" s="918"/>
      <c r="CL164" s="918"/>
      <c r="CM164" s="918"/>
      <c r="CN164" s="918"/>
      <c r="CO164" s="918"/>
      <c r="CP164" s="918"/>
      <c r="CQ164" s="918"/>
      <c r="CR164" s="918"/>
      <c r="CS164" s="918"/>
      <c r="CT164" s="918"/>
      <c r="CU164" s="918"/>
      <c r="CV164" s="918"/>
      <c r="CW164" s="918"/>
      <c r="CX164" s="918"/>
      <c r="CY164" s="918"/>
      <c r="CZ164" s="918"/>
      <c r="DA164" s="918"/>
      <c r="DB164" s="918"/>
      <c r="DC164" s="918"/>
      <c r="DD164" s="918"/>
      <c r="DE164" s="918"/>
      <c r="DF164" s="918"/>
      <c r="DG164" s="918"/>
      <c r="DH164" s="918"/>
      <c r="DI164" s="918"/>
      <c r="DJ164" s="918"/>
      <c r="DK164" s="918"/>
      <c r="DL164" s="918"/>
      <c r="DM164" s="918"/>
      <c r="DN164" s="918"/>
      <c r="DO164" s="918"/>
      <c r="DP164" s="918"/>
      <c r="DQ164" s="918"/>
      <c r="DR164" s="918"/>
      <c r="DS164" s="918"/>
      <c r="DT164" s="918"/>
      <c r="DU164" s="918"/>
      <c r="DV164" s="918"/>
      <c r="DW164" s="918"/>
      <c r="DX164" s="918"/>
      <c r="DY164" s="918"/>
      <c r="DZ164" s="918"/>
      <c r="EA164" s="918"/>
      <c r="EB164" s="918"/>
      <c r="EC164" s="918"/>
      <c r="ED164" s="918"/>
      <c r="EE164" s="918"/>
      <c r="EF164" s="918"/>
      <c r="EG164" s="918"/>
      <c r="EH164" s="918"/>
      <c r="EI164" s="918"/>
      <c r="EJ164" s="918"/>
      <c r="EK164" s="918"/>
      <c r="EL164" s="918"/>
      <c r="EM164" s="918"/>
      <c r="EN164" s="918"/>
      <c r="EO164" s="918"/>
      <c r="EP164" s="918"/>
      <c r="EQ164" s="918"/>
      <c r="ER164" s="918"/>
      <c r="ES164" s="918"/>
      <c r="ET164" s="918"/>
      <c r="EU164" s="918"/>
      <c r="EV164" s="918"/>
      <c r="EW164" s="918"/>
      <c r="EX164" s="918"/>
      <c r="EY164" s="918"/>
      <c r="EZ164" s="918"/>
      <c r="FA164" s="918"/>
      <c r="FB164" s="918"/>
      <c r="FC164" s="918"/>
      <c r="FD164" s="918"/>
      <c r="FE164" s="918"/>
      <c r="FF164" s="918"/>
      <c r="FG164" s="918"/>
      <c r="FH164" s="918"/>
      <c r="FI164" s="918"/>
      <c r="FJ164" s="918"/>
      <c r="FK164" s="918"/>
      <c r="FL164" s="918"/>
      <c r="FM164" s="918"/>
      <c r="FN164" s="918"/>
      <c r="FO164" s="918"/>
      <c r="FP164" s="918"/>
      <c r="FQ164" s="918"/>
      <c r="FR164" s="918"/>
      <c r="FS164" s="918"/>
      <c r="FT164" s="918"/>
      <c r="FU164" s="918"/>
      <c r="FV164" s="918"/>
      <c r="FW164" s="918"/>
      <c r="FX164" s="918"/>
      <c r="FY164" s="918"/>
      <c r="FZ164" s="918"/>
      <c r="GA164" s="918"/>
      <c r="GB164" s="918"/>
      <c r="GC164" s="918"/>
      <c r="GD164" s="918"/>
      <c r="GE164" s="918"/>
      <c r="GF164" s="918"/>
      <c r="GG164" s="918"/>
      <c r="GH164" s="918"/>
      <c r="GI164" s="918"/>
      <c r="GJ164" s="918"/>
      <c r="GK164" s="918"/>
      <c r="GL164" s="918"/>
      <c r="GM164" s="918"/>
      <c r="GN164" s="918"/>
      <c r="GO164" s="918"/>
      <c r="GP164" s="918"/>
      <c r="GQ164" s="918"/>
      <c r="GR164" s="918"/>
      <c r="GS164" s="918"/>
      <c r="GT164" s="918"/>
      <c r="GU164" s="918"/>
      <c r="GV164" s="918"/>
      <c r="GW164" s="918"/>
      <c r="GX164" s="918"/>
      <c r="GY164" s="918"/>
      <c r="GZ164" s="918"/>
      <c r="HA164" s="918"/>
      <c r="HB164" s="918"/>
      <c r="HC164" s="918"/>
      <c r="HD164" s="918"/>
      <c r="HE164" s="918"/>
      <c r="HF164" s="918"/>
      <c r="HG164" s="918"/>
      <c r="HH164" s="918"/>
      <c r="HI164" s="918"/>
      <c r="HJ164" s="918"/>
      <c r="HK164" s="918"/>
      <c r="HL164" s="918"/>
      <c r="HM164" s="918"/>
      <c r="HN164" s="918"/>
      <c r="HO164" s="918"/>
      <c r="HP164" s="918"/>
      <c r="HQ164" s="918"/>
      <c r="HR164" s="918"/>
      <c r="HS164" s="918"/>
      <c r="HT164" s="918"/>
      <c r="HU164" s="918"/>
      <c r="HV164" s="918"/>
      <c r="HW164" s="918"/>
      <c r="HX164" s="918"/>
      <c r="HY164" s="918"/>
      <c r="HZ164" s="918"/>
      <c r="IA164" s="918"/>
      <c r="IB164" s="918"/>
      <c r="IC164" s="918"/>
      <c r="ID164" s="918"/>
      <c r="IE164" s="918"/>
      <c r="IF164" s="918"/>
      <c r="IG164" s="918"/>
      <c r="IH164" s="918"/>
      <c r="II164" s="918"/>
      <c r="IJ164" s="918"/>
      <c r="IK164" s="918"/>
      <c r="IL164" s="918"/>
      <c r="IM164" s="918"/>
      <c r="IN164" s="918"/>
    </row>
    <row r="165" spans="1:248">
      <c r="A165" s="615" t="s">
        <v>1852</v>
      </c>
      <c r="B165" s="612">
        <v>17506</v>
      </c>
      <c r="C165" s="920">
        <v>28.963412615928458</v>
      </c>
      <c r="D165" s="613">
        <v>17751</v>
      </c>
      <c r="E165" s="612">
        <v>29.576729896295411</v>
      </c>
      <c r="F165" s="920">
        <f>B165-D165</f>
        <v>-245</v>
      </c>
      <c r="G165" s="920">
        <v>-0.40208242689751522</v>
      </c>
      <c r="H165" s="27"/>
      <c r="I165" s="918"/>
      <c r="J165" s="918"/>
      <c r="K165" s="918"/>
      <c r="L165" s="918"/>
      <c r="M165" s="918"/>
      <c r="N165" s="918"/>
      <c r="O165" s="918"/>
      <c r="P165" s="918"/>
      <c r="Q165" s="918"/>
      <c r="R165" s="918"/>
      <c r="S165" s="918"/>
      <c r="T165" s="918"/>
      <c r="U165" s="918"/>
      <c r="V165" s="918"/>
      <c r="W165" s="918"/>
      <c r="X165" s="918"/>
      <c r="Y165" s="918"/>
      <c r="Z165" s="918"/>
      <c r="AA165" s="918"/>
      <c r="AB165" s="918"/>
      <c r="AC165" s="918"/>
      <c r="AD165" s="918"/>
      <c r="AE165" s="918"/>
      <c r="AF165" s="918"/>
      <c r="AG165" s="918"/>
      <c r="AH165" s="918"/>
      <c r="AI165" s="918"/>
      <c r="AJ165" s="918"/>
      <c r="AK165" s="918"/>
      <c r="AL165" s="918"/>
      <c r="AM165" s="918"/>
      <c r="AN165" s="918"/>
      <c r="AO165" s="918"/>
      <c r="AP165" s="918"/>
      <c r="AQ165" s="918"/>
      <c r="AR165" s="918"/>
      <c r="AS165" s="918"/>
      <c r="AT165" s="918"/>
      <c r="AU165" s="918"/>
      <c r="AV165" s="918"/>
      <c r="AW165" s="918"/>
      <c r="AX165" s="918"/>
      <c r="AY165" s="918"/>
      <c r="AZ165" s="918"/>
      <c r="BA165" s="918"/>
      <c r="BB165" s="918"/>
      <c r="BC165" s="918"/>
      <c r="BD165" s="918"/>
      <c r="BE165" s="918"/>
      <c r="BF165" s="918"/>
      <c r="BG165" s="918"/>
      <c r="BH165" s="918"/>
      <c r="BI165" s="918"/>
      <c r="BJ165" s="918"/>
      <c r="BK165" s="918"/>
      <c r="BL165" s="918"/>
      <c r="BM165" s="918"/>
      <c r="BN165" s="918"/>
      <c r="BO165" s="918"/>
      <c r="BP165" s="918"/>
      <c r="BQ165" s="918"/>
      <c r="BR165" s="918"/>
      <c r="BS165" s="918"/>
      <c r="BT165" s="918"/>
      <c r="BU165" s="918"/>
      <c r="BV165" s="918"/>
      <c r="BW165" s="918"/>
      <c r="BX165" s="918"/>
      <c r="BY165" s="918"/>
      <c r="BZ165" s="918"/>
      <c r="CA165" s="918"/>
      <c r="CB165" s="918"/>
      <c r="CC165" s="918"/>
      <c r="CD165" s="918"/>
      <c r="CE165" s="918"/>
      <c r="CF165" s="918"/>
      <c r="CG165" s="918"/>
      <c r="CH165" s="918"/>
      <c r="CI165" s="918"/>
      <c r="CJ165" s="918"/>
      <c r="CK165" s="918"/>
      <c r="CL165" s="918"/>
      <c r="CM165" s="918"/>
      <c r="CN165" s="918"/>
      <c r="CO165" s="918"/>
      <c r="CP165" s="918"/>
      <c r="CQ165" s="918"/>
      <c r="CR165" s="918"/>
      <c r="CS165" s="918"/>
      <c r="CT165" s="918"/>
      <c r="CU165" s="918"/>
      <c r="CV165" s="918"/>
      <c r="CW165" s="918"/>
      <c r="CX165" s="918"/>
      <c r="CY165" s="918"/>
      <c r="CZ165" s="918"/>
      <c r="DA165" s="918"/>
      <c r="DB165" s="918"/>
      <c r="DC165" s="918"/>
      <c r="DD165" s="918"/>
      <c r="DE165" s="918"/>
      <c r="DF165" s="918"/>
      <c r="DG165" s="918"/>
      <c r="DH165" s="918"/>
      <c r="DI165" s="918"/>
      <c r="DJ165" s="918"/>
      <c r="DK165" s="918"/>
      <c r="DL165" s="918"/>
      <c r="DM165" s="918"/>
      <c r="DN165" s="918"/>
      <c r="DO165" s="918"/>
      <c r="DP165" s="918"/>
      <c r="DQ165" s="918"/>
      <c r="DR165" s="918"/>
      <c r="DS165" s="918"/>
      <c r="DT165" s="918"/>
      <c r="DU165" s="918"/>
      <c r="DV165" s="918"/>
      <c r="DW165" s="918"/>
      <c r="DX165" s="918"/>
      <c r="DY165" s="918"/>
      <c r="DZ165" s="918"/>
      <c r="EA165" s="918"/>
      <c r="EB165" s="918"/>
      <c r="EC165" s="918"/>
      <c r="ED165" s="918"/>
      <c r="EE165" s="918"/>
      <c r="EF165" s="918"/>
      <c r="EG165" s="918"/>
      <c r="EH165" s="918"/>
      <c r="EI165" s="918"/>
      <c r="EJ165" s="918"/>
      <c r="EK165" s="918"/>
      <c r="EL165" s="918"/>
      <c r="EM165" s="918"/>
      <c r="EN165" s="918"/>
      <c r="EO165" s="918"/>
      <c r="EP165" s="918"/>
      <c r="EQ165" s="918"/>
      <c r="ER165" s="918"/>
      <c r="ES165" s="918"/>
      <c r="ET165" s="918"/>
      <c r="EU165" s="918"/>
      <c r="EV165" s="918"/>
      <c r="EW165" s="918"/>
      <c r="EX165" s="918"/>
      <c r="EY165" s="918"/>
      <c r="EZ165" s="918"/>
      <c r="FA165" s="918"/>
      <c r="FB165" s="918"/>
      <c r="FC165" s="918"/>
      <c r="FD165" s="918"/>
      <c r="FE165" s="918"/>
      <c r="FF165" s="918"/>
      <c r="FG165" s="918"/>
      <c r="FH165" s="918"/>
      <c r="FI165" s="918"/>
      <c r="FJ165" s="918"/>
      <c r="FK165" s="918"/>
      <c r="FL165" s="918"/>
      <c r="FM165" s="918"/>
      <c r="FN165" s="918"/>
      <c r="FO165" s="918"/>
      <c r="FP165" s="918"/>
      <c r="FQ165" s="918"/>
      <c r="FR165" s="918"/>
      <c r="FS165" s="918"/>
      <c r="FT165" s="918"/>
      <c r="FU165" s="918"/>
      <c r="FV165" s="918"/>
      <c r="FW165" s="918"/>
      <c r="FX165" s="918"/>
      <c r="FY165" s="918"/>
      <c r="FZ165" s="918"/>
      <c r="GA165" s="918"/>
      <c r="GB165" s="918"/>
      <c r="GC165" s="918"/>
      <c r="GD165" s="918"/>
      <c r="GE165" s="918"/>
      <c r="GF165" s="918"/>
      <c r="GG165" s="918"/>
      <c r="GH165" s="918"/>
      <c r="GI165" s="918"/>
      <c r="GJ165" s="918"/>
      <c r="GK165" s="918"/>
      <c r="GL165" s="918"/>
      <c r="GM165" s="918"/>
      <c r="GN165" s="918"/>
      <c r="GO165" s="918"/>
      <c r="GP165" s="918"/>
      <c r="GQ165" s="918"/>
      <c r="GR165" s="918"/>
      <c r="GS165" s="918"/>
      <c r="GT165" s="918"/>
      <c r="GU165" s="918"/>
      <c r="GV165" s="918"/>
      <c r="GW165" s="918"/>
      <c r="GX165" s="918"/>
      <c r="GY165" s="918"/>
      <c r="GZ165" s="918"/>
      <c r="HA165" s="918"/>
      <c r="HB165" s="918"/>
      <c r="HC165" s="918"/>
      <c r="HD165" s="918"/>
      <c r="HE165" s="918"/>
      <c r="HF165" s="918"/>
      <c r="HG165" s="918"/>
      <c r="HH165" s="918"/>
      <c r="HI165" s="918"/>
      <c r="HJ165" s="918"/>
      <c r="HK165" s="918"/>
      <c r="HL165" s="918"/>
      <c r="HM165" s="918"/>
      <c r="HN165" s="918"/>
      <c r="HO165" s="918"/>
      <c r="HP165" s="918"/>
      <c r="HQ165" s="918"/>
      <c r="HR165" s="918"/>
      <c r="HS165" s="918"/>
      <c r="HT165" s="918"/>
      <c r="HU165" s="918"/>
      <c r="HV165" s="918"/>
      <c r="HW165" s="918"/>
      <c r="HX165" s="918"/>
      <c r="HY165" s="918"/>
      <c r="HZ165" s="918"/>
      <c r="IA165" s="918"/>
      <c r="IB165" s="918"/>
      <c r="IC165" s="918"/>
      <c r="ID165" s="918"/>
      <c r="IE165" s="918"/>
      <c r="IF165" s="918"/>
      <c r="IG165" s="918"/>
      <c r="IH165" s="918"/>
      <c r="II165" s="918"/>
      <c r="IJ165" s="918"/>
      <c r="IK165" s="918"/>
      <c r="IL165" s="918"/>
      <c r="IM165" s="918"/>
      <c r="IN165" s="918"/>
    </row>
    <row r="166" spans="1:248">
      <c r="A166" s="615" t="s">
        <v>18</v>
      </c>
      <c r="B166" s="617">
        <v>1349.6</v>
      </c>
      <c r="C166" s="919">
        <v>33.645791783007581</v>
      </c>
      <c r="D166" s="618">
        <v>516.4</v>
      </c>
      <c r="E166" s="919">
        <v>12.873952931790985</v>
      </c>
      <c r="F166" s="919">
        <v>833.19999999999993</v>
      </c>
      <c r="G166" s="919">
        <f t="shared" si="28"/>
        <v>20.771838851216593</v>
      </c>
      <c r="H166" s="27">
        <v>4011.2</v>
      </c>
      <c r="I166" s="918"/>
      <c r="J166" s="918"/>
      <c r="K166" s="918"/>
      <c r="L166" s="918"/>
      <c r="M166" s="918"/>
      <c r="N166" s="918"/>
      <c r="O166" s="918"/>
      <c r="P166" s="918"/>
      <c r="Q166" s="918"/>
      <c r="R166" s="918"/>
      <c r="S166" s="918"/>
      <c r="T166" s="918"/>
      <c r="U166" s="918"/>
      <c r="V166" s="918"/>
      <c r="W166" s="918"/>
      <c r="X166" s="918"/>
      <c r="Y166" s="918"/>
      <c r="Z166" s="918"/>
      <c r="AA166" s="918"/>
      <c r="AB166" s="918"/>
      <c r="AC166" s="918"/>
      <c r="AD166" s="918"/>
      <c r="AE166" s="918"/>
      <c r="AF166" s="918"/>
      <c r="AG166" s="918"/>
      <c r="AH166" s="918"/>
      <c r="AI166" s="918"/>
      <c r="AJ166" s="918"/>
      <c r="AK166" s="918"/>
      <c r="AL166" s="918"/>
      <c r="AM166" s="918"/>
      <c r="AN166" s="918"/>
      <c r="AO166" s="918"/>
      <c r="AP166" s="918"/>
      <c r="AQ166" s="918"/>
      <c r="AR166" s="918"/>
      <c r="AS166" s="918"/>
      <c r="AT166" s="918"/>
      <c r="AU166" s="918"/>
      <c r="AV166" s="918"/>
      <c r="AW166" s="918"/>
      <c r="AX166" s="918"/>
      <c r="AY166" s="918"/>
      <c r="AZ166" s="918"/>
      <c r="BA166" s="918"/>
      <c r="BB166" s="918"/>
      <c r="BC166" s="918"/>
      <c r="BD166" s="918"/>
      <c r="BE166" s="918"/>
      <c r="BF166" s="918"/>
      <c r="BG166" s="918"/>
      <c r="BH166" s="918"/>
      <c r="BI166" s="918"/>
      <c r="BJ166" s="918"/>
      <c r="BK166" s="918"/>
      <c r="BL166" s="918"/>
      <c r="BM166" s="918"/>
      <c r="BN166" s="918"/>
      <c r="BO166" s="918"/>
      <c r="BP166" s="918"/>
      <c r="BQ166" s="918"/>
      <c r="BR166" s="918"/>
      <c r="BS166" s="918"/>
      <c r="BT166" s="918"/>
      <c r="BU166" s="918"/>
      <c r="BV166" s="918"/>
      <c r="BW166" s="918"/>
      <c r="BX166" s="918"/>
      <c r="BY166" s="918"/>
      <c r="BZ166" s="918"/>
      <c r="CA166" s="918"/>
      <c r="CB166" s="918"/>
      <c r="CC166" s="918"/>
      <c r="CD166" s="918"/>
      <c r="CE166" s="918"/>
      <c r="CF166" s="918"/>
      <c r="CG166" s="918"/>
      <c r="CH166" s="918"/>
      <c r="CI166" s="918"/>
      <c r="CJ166" s="918"/>
      <c r="CK166" s="918"/>
      <c r="CL166" s="918"/>
      <c r="CM166" s="918"/>
      <c r="CN166" s="918"/>
      <c r="CO166" s="918"/>
      <c r="CP166" s="918"/>
      <c r="CQ166" s="918"/>
      <c r="CR166" s="918"/>
      <c r="CS166" s="918"/>
      <c r="CT166" s="918"/>
      <c r="CU166" s="918"/>
      <c r="CV166" s="918"/>
      <c r="CW166" s="918"/>
      <c r="CX166" s="918"/>
      <c r="CY166" s="918"/>
      <c r="CZ166" s="918"/>
      <c r="DA166" s="918"/>
      <c r="DB166" s="918"/>
      <c r="DC166" s="918"/>
      <c r="DD166" s="918"/>
      <c r="DE166" s="918"/>
      <c r="DF166" s="918"/>
      <c r="DG166" s="918"/>
      <c r="DH166" s="918"/>
      <c r="DI166" s="918"/>
      <c r="DJ166" s="918"/>
      <c r="DK166" s="918"/>
      <c r="DL166" s="918"/>
      <c r="DM166" s="918"/>
      <c r="DN166" s="918"/>
      <c r="DO166" s="918"/>
      <c r="DP166" s="918"/>
      <c r="DQ166" s="918"/>
      <c r="DR166" s="918"/>
      <c r="DS166" s="918"/>
      <c r="DT166" s="918"/>
      <c r="DU166" s="918"/>
      <c r="DV166" s="918"/>
      <c r="DW166" s="918"/>
      <c r="DX166" s="918"/>
      <c r="DY166" s="918"/>
      <c r="DZ166" s="918"/>
      <c r="EA166" s="918"/>
      <c r="EB166" s="918"/>
      <c r="EC166" s="918"/>
      <c r="ED166" s="918"/>
      <c r="EE166" s="918"/>
      <c r="EF166" s="918"/>
      <c r="EG166" s="918"/>
      <c r="EH166" s="918"/>
      <c r="EI166" s="918"/>
      <c r="EJ166" s="918"/>
      <c r="EK166" s="918"/>
      <c r="EL166" s="918"/>
      <c r="EM166" s="918"/>
      <c r="EN166" s="918"/>
      <c r="EO166" s="918"/>
      <c r="EP166" s="918"/>
      <c r="EQ166" s="918"/>
      <c r="ER166" s="918"/>
      <c r="ES166" s="918"/>
      <c r="ET166" s="918"/>
      <c r="EU166" s="918"/>
      <c r="EV166" s="918"/>
      <c r="EW166" s="918"/>
      <c r="EX166" s="918"/>
      <c r="EY166" s="918"/>
      <c r="EZ166" s="918"/>
      <c r="FA166" s="918"/>
      <c r="FB166" s="918"/>
      <c r="FC166" s="918"/>
      <c r="FD166" s="918"/>
      <c r="FE166" s="918"/>
      <c r="FF166" s="918"/>
      <c r="FG166" s="918"/>
      <c r="FH166" s="918"/>
      <c r="FI166" s="918"/>
      <c r="FJ166" s="918"/>
      <c r="FK166" s="918"/>
      <c r="FL166" s="918"/>
      <c r="FM166" s="918"/>
      <c r="FN166" s="918"/>
      <c r="FO166" s="918"/>
      <c r="FP166" s="918"/>
      <c r="FQ166" s="918"/>
      <c r="FR166" s="918"/>
      <c r="FS166" s="918"/>
      <c r="FT166" s="918"/>
      <c r="FU166" s="918"/>
      <c r="FV166" s="918"/>
      <c r="FW166" s="918"/>
      <c r="FX166" s="918"/>
      <c r="FY166" s="918"/>
      <c r="FZ166" s="918"/>
      <c r="GA166" s="918"/>
      <c r="GB166" s="918"/>
      <c r="GC166" s="918"/>
      <c r="GD166" s="918"/>
      <c r="GE166" s="918"/>
      <c r="GF166" s="918"/>
      <c r="GG166" s="918"/>
      <c r="GH166" s="918"/>
      <c r="GI166" s="918"/>
      <c r="GJ166" s="918"/>
      <c r="GK166" s="918"/>
      <c r="GL166" s="918"/>
      <c r="GM166" s="918"/>
      <c r="GN166" s="918"/>
      <c r="GO166" s="918"/>
      <c r="GP166" s="918"/>
      <c r="GQ166" s="918"/>
      <c r="GR166" s="918"/>
      <c r="GS166" s="918"/>
      <c r="GT166" s="918"/>
      <c r="GU166" s="918"/>
      <c r="GV166" s="918"/>
      <c r="GW166" s="918"/>
      <c r="GX166" s="918"/>
      <c r="GY166" s="918"/>
      <c r="GZ166" s="918"/>
      <c r="HA166" s="918"/>
      <c r="HB166" s="918"/>
      <c r="HC166" s="918"/>
      <c r="HD166" s="918"/>
      <c r="HE166" s="918"/>
      <c r="HF166" s="918"/>
      <c r="HG166" s="918"/>
      <c r="HH166" s="918"/>
      <c r="HI166" s="918"/>
      <c r="HJ166" s="918"/>
      <c r="HK166" s="918"/>
      <c r="HL166" s="918"/>
      <c r="HM166" s="918"/>
      <c r="HN166" s="918"/>
      <c r="HO166" s="918"/>
      <c r="HP166" s="918"/>
      <c r="HQ166" s="918"/>
      <c r="HR166" s="918"/>
      <c r="HS166" s="918"/>
      <c r="HT166" s="918"/>
      <c r="HU166" s="918"/>
      <c r="HV166" s="918"/>
      <c r="HW166" s="918"/>
      <c r="HX166" s="918"/>
      <c r="HY166" s="918"/>
      <c r="HZ166" s="918"/>
      <c r="IA166" s="918"/>
      <c r="IB166" s="918"/>
      <c r="IC166" s="918"/>
      <c r="ID166" s="918"/>
      <c r="IE166" s="918"/>
      <c r="IF166" s="918"/>
      <c r="IG166" s="918"/>
      <c r="IH166" s="918"/>
      <c r="II166" s="918"/>
      <c r="IJ166" s="918"/>
      <c r="IK166" s="918"/>
      <c r="IL166" s="918"/>
      <c r="IM166" s="918"/>
      <c r="IN166" s="918"/>
    </row>
    <row r="167" spans="1:248">
      <c r="A167" s="615" t="s">
        <v>19</v>
      </c>
      <c r="B167" s="617">
        <v>2382.5</v>
      </c>
      <c r="C167" s="919">
        <v>30.201427358119844</v>
      </c>
      <c r="D167" s="618">
        <v>1345.9</v>
      </c>
      <c r="E167" s="919">
        <f>D167/H167*100</f>
        <v>17.061112730868206</v>
      </c>
      <c r="F167" s="919">
        <f>B167-D167</f>
        <v>1036.5999999999999</v>
      </c>
      <c r="G167" s="919">
        <f t="shared" si="28"/>
        <v>13.140314627251637</v>
      </c>
      <c r="H167" s="27">
        <v>7888.7</v>
      </c>
      <c r="I167" s="918"/>
      <c r="J167" s="918"/>
      <c r="K167" s="918"/>
      <c r="L167" s="918"/>
      <c r="M167" s="918"/>
      <c r="N167" s="918"/>
      <c r="O167" s="918"/>
      <c r="P167" s="918"/>
      <c r="Q167" s="918"/>
      <c r="R167" s="918"/>
      <c r="S167" s="918"/>
      <c r="T167" s="918"/>
      <c r="U167" s="918"/>
      <c r="V167" s="918"/>
      <c r="W167" s="918"/>
      <c r="X167" s="918"/>
      <c r="Y167" s="918"/>
      <c r="Z167" s="918"/>
      <c r="AA167" s="918"/>
      <c r="AB167" s="918"/>
      <c r="AC167" s="918"/>
      <c r="AD167" s="918"/>
      <c r="AE167" s="918"/>
      <c r="AF167" s="918"/>
      <c r="AG167" s="918"/>
      <c r="AH167" s="918"/>
      <c r="AI167" s="918"/>
      <c r="AJ167" s="918"/>
      <c r="AK167" s="918"/>
      <c r="AL167" s="918"/>
      <c r="AM167" s="918"/>
      <c r="AN167" s="918"/>
      <c r="AO167" s="918"/>
      <c r="AP167" s="918"/>
      <c r="AQ167" s="918"/>
      <c r="AR167" s="918"/>
      <c r="AS167" s="918"/>
      <c r="AT167" s="918"/>
      <c r="AU167" s="918"/>
      <c r="AV167" s="918"/>
      <c r="AW167" s="918"/>
      <c r="AX167" s="918"/>
      <c r="AY167" s="918"/>
      <c r="AZ167" s="918"/>
      <c r="BA167" s="918"/>
      <c r="BB167" s="918"/>
      <c r="BC167" s="918"/>
      <c r="BD167" s="918"/>
      <c r="BE167" s="918"/>
      <c r="BF167" s="918"/>
      <c r="BG167" s="918"/>
      <c r="BH167" s="918"/>
      <c r="BI167" s="918"/>
      <c r="BJ167" s="918"/>
      <c r="BK167" s="918"/>
      <c r="BL167" s="918"/>
      <c r="BM167" s="918"/>
      <c r="BN167" s="918"/>
      <c r="BO167" s="918"/>
      <c r="BP167" s="918"/>
      <c r="BQ167" s="918"/>
      <c r="BR167" s="918"/>
      <c r="BS167" s="918"/>
      <c r="BT167" s="918"/>
      <c r="BU167" s="918"/>
      <c r="BV167" s="918"/>
      <c r="BW167" s="918"/>
      <c r="BX167" s="918"/>
      <c r="BY167" s="918"/>
      <c r="BZ167" s="918"/>
      <c r="CA167" s="918"/>
      <c r="CB167" s="918"/>
      <c r="CC167" s="918"/>
      <c r="CD167" s="918"/>
      <c r="CE167" s="918"/>
      <c r="CF167" s="918"/>
      <c r="CG167" s="918"/>
      <c r="CH167" s="918"/>
      <c r="CI167" s="918"/>
      <c r="CJ167" s="918"/>
      <c r="CK167" s="918"/>
      <c r="CL167" s="918"/>
      <c r="CM167" s="918"/>
      <c r="CN167" s="918"/>
      <c r="CO167" s="918"/>
      <c r="CP167" s="918"/>
      <c r="CQ167" s="918"/>
      <c r="CR167" s="918"/>
      <c r="CS167" s="918"/>
      <c r="CT167" s="918"/>
      <c r="CU167" s="918"/>
      <c r="CV167" s="918"/>
      <c r="CW167" s="918"/>
      <c r="CX167" s="918"/>
      <c r="CY167" s="918"/>
      <c r="CZ167" s="918"/>
      <c r="DA167" s="918"/>
      <c r="DB167" s="918"/>
      <c r="DC167" s="918"/>
      <c r="DD167" s="918"/>
      <c r="DE167" s="918"/>
      <c r="DF167" s="918"/>
      <c r="DG167" s="918"/>
      <c r="DH167" s="918"/>
      <c r="DI167" s="918"/>
      <c r="DJ167" s="918"/>
      <c r="DK167" s="918"/>
      <c r="DL167" s="918"/>
      <c r="DM167" s="918"/>
      <c r="DN167" s="918"/>
      <c r="DO167" s="918"/>
      <c r="DP167" s="918"/>
      <c r="DQ167" s="918"/>
      <c r="DR167" s="918"/>
      <c r="DS167" s="918"/>
      <c r="DT167" s="918"/>
      <c r="DU167" s="918"/>
      <c r="DV167" s="918"/>
      <c r="DW167" s="918"/>
      <c r="DX167" s="918"/>
      <c r="DY167" s="918"/>
      <c r="DZ167" s="918"/>
      <c r="EA167" s="918"/>
      <c r="EB167" s="918"/>
      <c r="EC167" s="918"/>
      <c r="ED167" s="918"/>
      <c r="EE167" s="918"/>
      <c r="EF167" s="918"/>
      <c r="EG167" s="918"/>
      <c r="EH167" s="918"/>
      <c r="EI167" s="918"/>
      <c r="EJ167" s="918"/>
      <c r="EK167" s="918"/>
      <c r="EL167" s="918"/>
      <c r="EM167" s="918"/>
      <c r="EN167" s="918"/>
      <c r="EO167" s="918"/>
      <c r="EP167" s="918"/>
      <c r="EQ167" s="918"/>
      <c r="ER167" s="918"/>
      <c r="ES167" s="918"/>
      <c r="ET167" s="918"/>
      <c r="EU167" s="918"/>
      <c r="EV167" s="918"/>
      <c r="EW167" s="918"/>
      <c r="EX167" s="918"/>
      <c r="EY167" s="918"/>
      <c r="EZ167" s="918"/>
      <c r="FA167" s="918"/>
      <c r="FB167" s="918"/>
      <c r="FC167" s="918"/>
      <c r="FD167" s="918"/>
      <c r="FE167" s="918"/>
      <c r="FF167" s="918"/>
      <c r="FG167" s="918"/>
      <c r="FH167" s="918"/>
      <c r="FI167" s="918"/>
      <c r="FJ167" s="918"/>
      <c r="FK167" s="918"/>
      <c r="FL167" s="918"/>
      <c r="FM167" s="918"/>
      <c r="FN167" s="918"/>
      <c r="FO167" s="918"/>
      <c r="FP167" s="918"/>
      <c r="FQ167" s="918"/>
      <c r="FR167" s="918"/>
      <c r="FS167" s="918"/>
      <c r="FT167" s="918"/>
      <c r="FU167" s="918"/>
      <c r="FV167" s="918"/>
      <c r="FW167" s="918"/>
      <c r="FX167" s="918"/>
      <c r="FY167" s="918"/>
      <c r="FZ167" s="918"/>
      <c r="GA167" s="918"/>
      <c r="GB167" s="918"/>
      <c r="GC167" s="918"/>
      <c r="GD167" s="918"/>
      <c r="GE167" s="918"/>
      <c r="GF167" s="918"/>
      <c r="GG167" s="918"/>
      <c r="GH167" s="918"/>
      <c r="GI167" s="918"/>
      <c r="GJ167" s="918"/>
      <c r="GK167" s="918"/>
      <c r="GL167" s="918"/>
      <c r="GM167" s="918"/>
      <c r="GN167" s="918"/>
      <c r="GO167" s="918"/>
      <c r="GP167" s="918"/>
      <c r="GQ167" s="918"/>
      <c r="GR167" s="918"/>
      <c r="GS167" s="918"/>
      <c r="GT167" s="918"/>
      <c r="GU167" s="918"/>
      <c r="GV167" s="918"/>
      <c r="GW167" s="918"/>
      <c r="GX167" s="918"/>
      <c r="GY167" s="918"/>
      <c r="GZ167" s="918"/>
      <c r="HA167" s="918"/>
      <c r="HB167" s="918"/>
      <c r="HC167" s="918"/>
      <c r="HD167" s="918"/>
      <c r="HE167" s="918"/>
      <c r="HF167" s="918"/>
      <c r="HG167" s="918"/>
      <c r="HH167" s="918"/>
      <c r="HI167" s="918"/>
      <c r="HJ167" s="918"/>
      <c r="HK167" s="918"/>
      <c r="HL167" s="918"/>
      <c r="HM167" s="918"/>
      <c r="HN167" s="918"/>
      <c r="HO167" s="918"/>
      <c r="HP167" s="918"/>
      <c r="HQ167" s="918"/>
      <c r="HR167" s="918"/>
      <c r="HS167" s="918"/>
      <c r="HT167" s="918"/>
      <c r="HU167" s="918"/>
      <c r="HV167" s="918"/>
      <c r="HW167" s="918"/>
      <c r="HX167" s="918"/>
      <c r="HY167" s="918"/>
      <c r="HZ167" s="918"/>
      <c r="IA167" s="918"/>
      <c r="IB167" s="918"/>
      <c r="IC167" s="918"/>
      <c r="ID167" s="918"/>
      <c r="IE167" s="918"/>
      <c r="IF167" s="918"/>
      <c r="IG167" s="918"/>
      <c r="IH167" s="918"/>
      <c r="II167" s="918"/>
      <c r="IJ167" s="918"/>
      <c r="IK167" s="918"/>
      <c r="IL167" s="918"/>
      <c r="IM167" s="918"/>
      <c r="IN167" s="918"/>
    </row>
    <row r="168" spans="1:248">
      <c r="A168" s="615" t="s">
        <v>20</v>
      </c>
      <c r="B168" s="617">
        <v>3678.5</v>
      </c>
      <c r="C168" s="919">
        <f>B168/H168*100</f>
        <v>29.220650265714486</v>
      </c>
      <c r="D168" s="618">
        <v>2623.4</v>
      </c>
      <c r="E168" s="919">
        <f>D168/H168*100</f>
        <v>20.839324155790511</v>
      </c>
      <c r="F168" s="919">
        <f>B168-D168</f>
        <v>1055.0999999999999</v>
      </c>
      <c r="G168" s="919">
        <f t="shared" si="28"/>
        <v>8.3813261099239789</v>
      </c>
      <c r="H168" s="27">
        <v>12588.7</v>
      </c>
      <c r="I168" s="918"/>
      <c r="J168" s="918"/>
      <c r="K168" s="918"/>
      <c r="L168" s="918"/>
      <c r="M168" s="918"/>
      <c r="N168" s="918"/>
      <c r="O168" s="918"/>
      <c r="P168" s="918"/>
      <c r="Q168" s="918"/>
      <c r="R168" s="918"/>
      <c r="S168" s="918"/>
      <c r="T168" s="918"/>
      <c r="U168" s="918"/>
      <c r="V168" s="918"/>
      <c r="W168" s="918"/>
      <c r="X168" s="918"/>
      <c r="Y168" s="918"/>
      <c r="Z168" s="918"/>
      <c r="AA168" s="918"/>
      <c r="AB168" s="918"/>
      <c r="AC168" s="918"/>
      <c r="AD168" s="918"/>
      <c r="AE168" s="918"/>
      <c r="AF168" s="918"/>
      <c r="AG168" s="918"/>
      <c r="AH168" s="918"/>
      <c r="AI168" s="918"/>
      <c r="AJ168" s="918"/>
      <c r="AK168" s="918"/>
      <c r="AL168" s="918"/>
      <c r="AM168" s="918"/>
      <c r="AN168" s="918"/>
      <c r="AO168" s="918"/>
      <c r="AP168" s="918"/>
      <c r="AQ168" s="918"/>
      <c r="AR168" s="918"/>
      <c r="AS168" s="918"/>
      <c r="AT168" s="918"/>
      <c r="AU168" s="918"/>
      <c r="AV168" s="918"/>
      <c r="AW168" s="918"/>
      <c r="AX168" s="918"/>
      <c r="AY168" s="918"/>
      <c r="AZ168" s="918"/>
      <c r="BA168" s="918"/>
      <c r="BB168" s="918"/>
      <c r="BC168" s="918"/>
      <c r="BD168" s="918"/>
      <c r="BE168" s="918"/>
      <c r="BF168" s="918"/>
      <c r="BG168" s="918"/>
      <c r="BH168" s="918"/>
      <c r="BI168" s="918"/>
      <c r="BJ168" s="918"/>
      <c r="BK168" s="918"/>
      <c r="BL168" s="918"/>
      <c r="BM168" s="918"/>
      <c r="BN168" s="918"/>
      <c r="BO168" s="918"/>
      <c r="BP168" s="918"/>
      <c r="BQ168" s="918"/>
      <c r="BR168" s="918"/>
      <c r="BS168" s="918"/>
      <c r="BT168" s="918"/>
      <c r="BU168" s="918"/>
      <c r="BV168" s="918"/>
      <c r="BW168" s="918"/>
      <c r="BX168" s="918"/>
      <c r="BY168" s="918"/>
      <c r="BZ168" s="918"/>
      <c r="CA168" s="918"/>
      <c r="CB168" s="918"/>
      <c r="CC168" s="918"/>
      <c r="CD168" s="918"/>
      <c r="CE168" s="918"/>
      <c r="CF168" s="918"/>
      <c r="CG168" s="918"/>
      <c r="CH168" s="918"/>
      <c r="CI168" s="918"/>
      <c r="CJ168" s="918"/>
      <c r="CK168" s="918"/>
      <c r="CL168" s="918"/>
      <c r="CM168" s="918"/>
      <c r="CN168" s="918"/>
      <c r="CO168" s="918"/>
      <c r="CP168" s="918"/>
      <c r="CQ168" s="918"/>
      <c r="CR168" s="918"/>
      <c r="CS168" s="918"/>
      <c r="CT168" s="918"/>
      <c r="CU168" s="918"/>
      <c r="CV168" s="918"/>
      <c r="CW168" s="918"/>
      <c r="CX168" s="918"/>
      <c r="CY168" s="918"/>
      <c r="CZ168" s="918"/>
      <c r="DA168" s="918"/>
      <c r="DB168" s="918"/>
      <c r="DC168" s="918"/>
      <c r="DD168" s="918"/>
      <c r="DE168" s="918"/>
      <c r="DF168" s="918"/>
      <c r="DG168" s="918"/>
      <c r="DH168" s="918"/>
      <c r="DI168" s="918"/>
      <c r="DJ168" s="918"/>
      <c r="DK168" s="918"/>
      <c r="DL168" s="918"/>
      <c r="DM168" s="918"/>
      <c r="DN168" s="918"/>
      <c r="DO168" s="918"/>
      <c r="DP168" s="918"/>
      <c r="DQ168" s="918"/>
      <c r="DR168" s="918"/>
      <c r="DS168" s="918"/>
      <c r="DT168" s="918"/>
      <c r="DU168" s="918"/>
      <c r="DV168" s="918"/>
      <c r="DW168" s="918"/>
      <c r="DX168" s="918"/>
      <c r="DY168" s="918"/>
      <c r="DZ168" s="918"/>
      <c r="EA168" s="918"/>
      <c r="EB168" s="918"/>
      <c r="EC168" s="918"/>
      <c r="ED168" s="918"/>
      <c r="EE168" s="918"/>
      <c r="EF168" s="918"/>
      <c r="EG168" s="918"/>
      <c r="EH168" s="918"/>
      <c r="EI168" s="918"/>
      <c r="EJ168" s="918"/>
      <c r="EK168" s="918"/>
      <c r="EL168" s="918"/>
      <c r="EM168" s="918"/>
      <c r="EN168" s="918"/>
      <c r="EO168" s="918"/>
      <c r="EP168" s="918"/>
      <c r="EQ168" s="918"/>
      <c r="ER168" s="918"/>
      <c r="ES168" s="918"/>
      <c r="ET168" s="918"/>
      <c r="EU168" s="918"/>
      <c r="EV168" s="918"/>
      <c r="EW168" s="918"/>
      <c r="EX168" s="918"/>
      <c r="EY168" s="918"/>
      <c r="EZ168" s="918"/>
      <c r="FA168" s="918"/>
      <c r="FB168" s="918"/>
      <c r="FC168" s="918"/>
      <c r="FD168" s="918"/>
      <c r="FE168" s="918"/>
      <c r="FF168" s="918"/>
      <c r="FG168" s="918"/>
      <c r="FH168" s="918"/>
      <c r="FI168" s="918"/>
      <c r="FJ168" s="918"/>
      <c r="FK168" s="918"/>
      <c r="FL168" s="918"/>
      <c r="FM168" s="918"/>
      <c r="FN168" s="918"/>
      <c r="FO168" s="918"/>
      <c r="FP168" s="918"/>
      <c r="FQ168" s="918"/>
      <c r="FR168" s="918"/>
      <c r="FS168" s="918"/>
      <c r="FT168" s="918"/>
      <c r="FU168" s="918"/>
      <c r="FV168" s="918"/>
      <c r="FW168" s="918"/>
      <c r="FX168" s="918"/>
      <c r="FY168" s="918"/>
      <c r="FZ168" s="918"/>
      <c r="GA168" s="918"/>
      <c r="GB168" s="918"/>
      <c r="GC168" s="918"/>
      <c r="GD168" s="918"/>
      <c r="GE168" s="918"/>
      <c r="GF168" s="918"/>
      <c r="GG168" s="918"/>
      <c r="GH168" s="918"/>
      <c r="GI168" s="918"/>
      <c r="GJ168" s="918"/>
      <c r="GK168" s="918"/>
      <c r="GL168" s="918"/>
      <c r="GM168" s="918"/>
      <c r="GN168" s="918"/>
      <c r="GO168" s="918"/>
      <c r="GP168" s="918"/>
      <c r="GQ168" s="918"/>
      <c r="GR168" s="918"/>
      <c r="GS168" s="918"/>
      <c r="GT168" s="918"/>
      <c r="GU168" s="918"/>
      <c r="GV168" s="918"/>
      <c r="GW168" s="918"/>
      <c r="GX168" s="918"/>
      <c r="GY168" s="918"/>
      <c r="GZ168" s="918"/>
      <c r="HA168" s="918"/>
      <c r="HB168" s="918"/>
      <c r="HC168" s="918"/>
      <c r="HD168" s="918"/>
      <c r="HE168" s="918"/>
      <c r="HF168" s="918"/>
      <c r="HG168" s="918"/>
      <c r="HH168" s="918"/>
      <c r="HI168" s="918"/>
      <c r="HJ168" s="918"/>
      <c r="HK168" s="918"/>
      <c r="HL168" s="918"/>
      <c r="HM168" s="918"/>
      <c r="HN168" s="918"/>
      <c r="HO168" s="918"/>
      <c r="HP168" s="918"/>
      <c r="HQ168" s="918"/>
      <c r="HR168" s="918"/>
      <c r="HS168" s="918"/>
      <c r="HT168" s="918"/>
      <c r="HU168" s="918"/>
      <c r="HV168" s="918"/>
      <c r="HW168" s="918"/>
      <c r="HX168" s="918"/>
      <c r="HY168" s="918"/>
      <c r="HZ168" s="918"/>
      <c r="IA168" s="918"/>
      <c r="IB168" s="918"/>
      <c r="IC168" s="918"/>
      <c r="ID168" s="918"/>
      <c r="IE168" s="918"/>
      <c r="IF168" s="918"/>
      <c r="IG168" s="918"/>
      <c r="IH168" s="918"/>
      <c r="II168" s="918"/>
      <c r="IJ168" s="918"/>
      <c r="IK168" s="918"/>
      <c r="IL168" s="918"/>
      <c r="IM168" s="918"/>
      <c r="IN168" s="918"/>
    </row>
    <row r="169" spans="1:248">
      <c r="A169" s="615" t="s">
        <v>21</v>
      </c>
      <c r="B169" s="617">
        <v>4713.6000000000004</v>
      </c>
      <c r="C169" s="919">
        <v>27.944201708570716</v>
      </c>
      <c r="D169" s="618">
        <v>3999.8</v>
      </c>
      <c r="E169" s="919">
        <v>23.712495331369048</v>
      </c>
      <c r="F169" s="919">
        <v>713.80000000000018</v>
      </c>
      <c r="G169" s="919">
        <f t="shared" si="28"/>
        <v>4.2317063772016672</v>
      </c>
      <c r="H169" s="27">
        <v>16867.900000000001</v>
      </c>
      <c r="I169" s="918"/>
      <c r="J169" s="918"/>
      <c r="K169" s="918"/>
      <c r="L169" s="918"/>
      <c r="M169" s="918"/>
      <c r="N169" s="918"/>
      <c r="O169" s="918"/>
      <c r="P169" s="918"/>
      <c r="Q169" s="918"/>
      <c r="R169" s="918"/>
      <c r="S169" s="918"/>
      <c r="T169" s="918"/>
      <c r="U169" s="918"/>
      <c r="V169" s="918"/>
      <c r="W169" s="918"/>
      <c r="X169" s="918"/>
      <c r="Y169" s="918"/>
      <c r="Z169" s="918"/>
      <c r="AA169" s="918"/>
      <c r="AB169" s="918"/>
      <c r="AC169" s="918"/>
      <c r="AD169" s="918"/>
      <c r="AE169" s="918"/>
      <c r="AF169" s="918"/>
      <c r="AG169" s="918"/>
      <c r="AH169" s="918"/>
      <c r="AI169" s="918"/>
      <c r="AJ169" s="918"/>
      <c r="AK169" s="918"/>
      <c r="AL169" s="918"/>
      <c r="AM169" s="918"/>
      <c r="AN169" s="918"/>
      <c r="AO169" s="918"/>
      <c r="AP169" s="918"/>
      <c r="AQ169" s="918"/>
      <c r="AR169" s="918"/>
      <c r="AS169" s="918"/>
      <c r="AT169" s="918"/>
      <c r="AU169" s="918"/>
      <c r="AV169" s="918"/>
      <c r="AW169" s="918"/>
      <c r="AX169" s="918"/>
      <c r="AY169" s="918"/>
      <c r="AZ169" s="918"/>
      <c r="BA169" s="918"/>
      <c r="BB169" s="918"/>
      <c r="BC169" s="918"/>
      <c r="BD169" s="918"/>
      <c r="BE169" s="918"/>
      <c r="BF169" s="918"/>
      <c r="BG169" s="918"/>
      <c r="BH169" s="918"/>
      <c r="BI169" s="918"/>
      <c r="BJ169" s="918"/>
      <c r="BK169" s="918"/>
      <c r="BL169" s="918"/>
      <c r="BM169" s="918"/>
      <c r="BN169" s="918"/>
      <c r="BO169" s="918"/>
      <c r="BP169" s="918"/>
      <c r="BQ169" s="918"/>
      <c r="BR169" s="918"/>
      <c r="BS169" s="918"/>
      <c r="BT169" s="918"/>
      <c r="BU169" s="918"/>
      <c r="BV169" s="918"/>
      <c r="BW169" s="918"/>
      <c r="BX169" s="918"/>
      <c r="BY169" s="918"/>
      <c r="BZ169" s="918"/>
      <c r="CA169" s="918"/>
      <c r="CB169" s="918"/>
      <c r="CC169" s="918"/>
      <c r="CD169" s="918"/>
      <c r="CE169" s="918"/>
      <c r="CF169" s="918"/>
      <c r="CG169" s="918"/>
      <c r="CH169" s="918"/>
      <c r="CI169" s="918"/>
      <c r="CJ169" s="918"/>
      <c r="CK169" s="918"/>
      <c r="CL169" s="918"/>
      <c r="CM169" s="918"/>
      <c r="CN169" s="918"/>
      <c r="CO169" s="918"/>
      <c r="CP169" s="918"/>
      <c r="CQ169" s="918"/>
      <c r="CR169" s="918"/>
      <c r="CS169" s="918"/>
      <c r="CT169" s="918"/>
      <c r="CU169" s="918"/>
      <c r="CV169" s="918"/>
      <c r="CW169" s="918"/>
      <c r="CX169" s="918"/>
      <c r="CY169" s="918"/>
      <c r="CZ169" s="918"/>
      <c r="DA169" s="918"/>
      <c r="DB169" s="918"/>
      <c r="DC169" s="918"/>
      <c r="DD169" s="918"/>
      <c r="DE169" s="918"/>
      <c r="DF169" s="918"/>
      <c r="DG169" s="918"/>
      <c r="DH169" s="918"/>
      <c r="DI169" s="918"/>
      <c r="DJ169" s="918"/>
      <c r="DK169" s="918"/>
      <c r="DL169" s="918"/>
      <c r="DM169" s="918"/>
      <c r="DN169" s="918"/>
      <c r="DO169" s="918"/>
      <c r="DP169" s="918"/>
      <c r="DQ169" s="918"/>
      <c r="DR169" s="918"/>
      <c r="DS169" s="918"/>
      <c r="DT169" s="918"/>
      <c r="DU169" s="918"/>
      <c r="DV169" s="918"/>
      <c r="DW169" s="918"/>
      <c r="DX169" s="918"/>
      <c r="DY169" s="918"/>
      <c r="DZ169" s="918"/>
      <c r="EA169" s="918"/>
      <c r="EB169" s="918"/>
      <c r="EC169" s="918"/>
      <c r="ED169" s="918"/>
      <c r="EE169" s="918"/>
      <c r="EF169" s="918"/>
      <c r="EG169" s="918"/>
      <c r="EH169" s="918"/>
      <c r="EI169" s="918"/>
      <c r="EJ169" s="918"/>
      <c r="EK169" s="918"/>
      <c r="EL169" s="918"/>
      <c r="EM169" s="918"/>
      <c r="EN169" s="918"/>
      <c r="EO169" s="918"/>
      <c r="EP169" s="918"/>
      <c r="EQ169" s="918"/>
      <c r="ER169" s="918"/>
      <c r="ES169" s="918"/>
      <c r="ET169" s="918"/>
      <c r="EU169" s="918"/>
      <c r="EV169" s="918"/>
      <c r="EW169" s="918"/>
      <c r="EX169" s="918"/>
      <c r="EY169" s="918"/>
      <c r="EZ169" s="918"/>
      <c r="FA169" s="918"/>
      <c r="FB169" s="918"/>
      <c r="FC169" s="918"/>
      <c r="FD169" s="918"/>
      <c r="FE169" s="918"/>
      <c r="FF169" s="918"/>
      <c r="FG169" s="918"/>
      <c r="FH169" s="918"/>
      <c r="FI169" s="918"/>
      <c r="FJ169" s="918"/>
      <c r="FK169" s="918"/>
      <c r="FL169" s="918"/>
      <c r="FM169" s="918"/>
      <c r="FN169" s="918"/>
      <c r="FO169" s="918"/>
      <c r="FP169" s="918"/>
      <c r="FQ169" s="918"/>
      <c r="FR169" s="918"/>
      <c r="FS169" s="918"/>
      <c r="FT169" s="918"/>
      <c r="FU169" s="918"/>
      <c r="FV169" s="918"/>
      <c r="FW169" s="918"/>
      <c r="FX169" s="918"/>
      <c r="FY169" s="918"/>
      <c r="FZ169" s="918"/>
      <c r="GA169" s="918"/>
      <c r="GB169" s="918"/>
      <c r="GC169" s="918"/>
      <c r="GD169" s="918"/>
      <c r="GE169" s="918"/>
      <c r="GF169" s="918"/>
      <c r="GG169" s="918"/>
      <c r="GH169" s="918"/>
      <c r="GI169" s="918"/>
      <c r="GJ169" s="918"/>
      <c r="GK169" s="918"/>
      <c r="GL169" s="918"/>
      <c r="GM169" s="918"/>
      <c r="GN169" s="918"/>
      <c r="GO169" s="918"/>
      <c r="GP169" s="918"/>
      <c r="GQ169" s="918"/>
      <c r="GR169" s="918"/>
      <c r="GS169" s="918"/>
      <c r="GT169" s="918"/>
      <c r="GU169" s="918"/>
      <c r="GV169" s="918"/>
      <c r="GW169" s="918"/>
      <c r="GX169" s="918"/>
      <c r="GY169" s="918"/>
      <c r="GZ169" s="918"/>
      <c r="HA169" s="918"/>
      <c r="HB169" s="918"/>
      <c r="HC169" s="918"/>
      <c r="HD169" s="918"/>
      <c r="HE169" s="918"/>
      <c r="HF169" s="918"/>
      <c r="HG169" s="918"/>
      <c r="HH169" s="918"/>
      <c r="HI169" s="918"/>
      <c r="HJ169" s="918"/>
      <c r="HK169" s="918"/>
      <c r="HL169" s="918"/>
      <c r="HM169" s="918"/>
      <c r="HN169" s="918"/>
      <c r="HO169" s="918"/>
      <c r="HP169" s="918"/>
      <c r="HQ169" s="918"/>
      <c r="HR169" s="918"/>
      <c r="HS169" s="918"/>
      <c r="HT169" s="918"/>
      <c r="HU169" s="918"/>
      <c r="HV169" s="918"/>
      <c r="HW169" s="918"/>
      <c r="HX169" s="918"/>
      <c r="HY169" s="918"/>
      <c r="HZ169" s="918"/>
      <c r="IA169" s="918"/>
      <c r="IB169" s="918"/>
      <c r="IC169" s="918"/>
      <c r="ID169" s="918"/>
      <c r="IE169" s="918"/>
      <c r="IF169" s="918"/>
      <c r="IG169" s="918"/>
      <c r="IH169" s="918"/>
      <c r="II169" s="918"/>
      <c r="IJ169" s="918"/>
      <c r="IK169" s="918"/>
      <c r="IL169" s="918"/>
      <c r="IM169" s="918"/>
      <c r="IN169" s="918"/>
    </row>
    <row r="170" spans="1:248">
      <c r="A170" s="615" t="s">
        <v>22</v>
      </c>
      <c r="B170" s="617">
        <v>5453.9</v>
      </c>
      <c r="C170" s="919">
        <v>25.351883529805509</v>
      </c>
      <c r="D170" s="618">
        <v>5316.1</v>
      </c>
      <c r="E170" s="919">
        <v>24.711334647279763</v>
      </c>
      <c r="F170" s="919">
        <v>137.79999999999927</v>
      </c>
      <c r="G170" s="919">
        <f t="shared" si="28"/>
        <v>0.64054888252574871</v>
      </c>
      <c r="H170" s="27">
        <v>21512.799999999999</v>
      </c>
      <c r="I170" s="918"/>
      <c r="J170" s="918"/>
      <c r="K170" s="918"/>
      <c r="L170" s="918"/>
      <c r="M170" s="918"/>
      <c r="N170" s="918"/>
      <c r="O170" s="918"/>
      <c r="P170" s="918"/>
      <c r="Q170" s="918"/>
      <c r="R170" s="918"/>
      <c r="S170" s="918"/>
      <c r="T170" s="918"/>
      <c r="U170" s="918"/>
      <c r="V170" s="918"/>
      <c r="W170" s="918"/>
      <c r="X170" s="918"/>
      <c r="Y170" s="918"/>
      <c r="Z170" s="918"/>
      <c r="AA170" s="918"/>
      <c r="AB170" s="918"/>
      <c r="AC170" s="918"/>
      <c r="AD170" s="918"/>
      <c r="AE170" s="918"/>
      <c r="AF170" s="918"/>
      <c r="AG170" s="918"/>
      <c r="AH170" s="918"/>
      <c r="AI170" s="918"/>
      <c r="AJ170" s="918"/>
      <c r="AK170" s="918"/>
      <c r="AL170" s="918"/>
      <c r="AM170" s="918"/>
      <c r="AN170" s="918"/>
      <c r="AO170" s="918"/>
      <c r="AP170" s="918"/>
      <c r="AQ170" s="918"/>
      <c r="AR170" s="918"/>
      <c r="AS170" s="918"/>
      <c r="AT170" s="918"/>
      <c r="AU170" s="918"/>
      <c r="AV170" s="918"/>
      <c r="AW170" s="918"/>
      <c r="AX170" s="918"/>
      <c r="AY170" s="918"/>
      <c r="AZ170" s="918"/>
      <c r="BA170" s="918"/>
      <c r="BB170" s="918"/>
      <c r="BC170" s="918"/>
      <c r="BD170" s="918"/>
      <c r="BE170" s="918"/>
      <c r="BF170" s="918"/>
      <c r="BG170" s="918"/>
      <c r="BH170" s="918"/>
      <c r="BI170" s="918"/>
      <c r="BJ170" s="918"/>
      <c r="BK170" s="918"/>
      <c r="BL170" s="918"/>
      <c r="BM170" s="918"/>
      <c r="BN170" s="918"/>
      <c r="BO170" s="918"/>
      <c r="BP170" s="918"/>
      <c r="BQ170" s="918"/>
      <c r="BR170" s="918"/>
      <c r="BS170" s="918"/>
      <c r="BT170" s="918"/>
      <c r="BU170" s="918"/>
      <c r="BV170" s="918"/>
      <c r="BW170" s="918"/>
      <c r="BX170" s="918"/>
      <c r="BY170" s="918"/>
      <c r="BZ170" s="918"/>
      <c r="CA170" s="918"/>
      <c r="CB170" s="918"/>
      <c r="CC170" s="918"/>
      <c r="CD170" s="918"/>
      <c r="CE170" s="918"/>
      <c r="CF170" s="918"/>
      <c r="CG170" s="918"/>
      <c r="CH170" s="918"/>
      <c r="CI170" s="918"/>
      <c r="CJ170" s="918"/>
      <c r="CK170" s="918"/>
      <c r="CL170" s="918"/>
      <c r="CM170" s="918"/>
      <c r="CN170" s="918"/>
      <c r="CO170" s="918"/>
      <c r="CP170" s="918"/>
      <c r="CQ170" s="918"/>
      <c r="CR170" s="918"/>
      <c r="CS170" s="918"/>
      <c r="CT170" s="918"/>
      <c r="CU170" s="918"/>
      <c r="CV170" s="918"/>
      <c r="CW170" s="918"/>
      <c r="CX170" s="918"/>
      <c r="CY170" s="918"/>
      <c r="CZ170" s="918"/>
      <c r="DA170" s="918"/>
      <c r="DB170" s="918"/>
      <c r="DC170" s="918"/>
      <c r="DD170" s="918"/>
      <c r="DE170" s="918"/>
      <c r="DF170" s="918"/>
      <c r="DG170" s="918"/>
      <c r="DH170" s="918"/>
      <c r="DI170" s="918"/>
      <c r="DJ170" s="918"/>
      <c r="DK170" s="918"/>
      <c r="DL170" s="918"/>
      <c r="DM170" s="918"/>
      <c r="DN170" s="918"/>
      <c r="DO170" s="918"/>
      <c r="DP170" s="918"/>
      <c r="DQ170" s="918"/>
      <c r="DR170" s="918"/>
      <c r="DS170" s="918"/>
      <c r="DT170" s="918"/>
      <c r="DU170" s="918"/>
      <c r="DV170" s="918"/>
      <c r="DW170" s="918"/>
      <c r="DX170" s="918"/>
      <c r="DY170" s="918"/>
      <c r="DZ170" s="918"/>
      <c r="EA170" s="918"/>
      <c r="EB170" s="918"/>
      <c r="EC170" s="918"/>
      <c r="ED170" s="918"/>
      <c r="EE170" s="918"/>
      <c r="EF170" s="918"/>
      <c r="EG170" s="918"/>
      <c r="EH170" s="918"/>
      <c r="EI170" s="918"/>
      <c r="EJ170" s="918"/>
      <c r="EK170" s="918"/>
      <c r="EL170" s="918"/>
      <c r="EM170" s="918"/>
      <c r="EN170" s="918"/>
      <c r="EO170" s="918"/>
      <c r="EP170" s="918"/>
      <c r="EQ170" s="918"/>
      <c r="ER170" s="918"/>
      <c r="ES170" s="918"/>
      <c r="ET170" s="918"/>
      <c r="EU170" s="918"/>
      <c r="EV170" s="918"/>
      <c r="EW170" s="918"/>
      <c r="EX170" s="918"/>
      <c r="EY170" s="918"/>
      <c r="EZ170" s="918"/>
      <c r="FA170" s="918"/>
      <c r="FB170" s="918"/>
      <c r="FC170" s="918"/>
      <c r="FD170" s="918"/>
      <c r="FE170" s="918"/>
      <c r="FF170" s="918"/>
      <c r="FG170" s="918"/>
      <c r="FH170" s="918"/>
      <c r="FI170" s="918"/>
      <c r="FJ170" s="918"/>
      <c r="FK170" s="918"/>
      <c r="FL170" s="918"/>
      <c r="FM170" s="918"/>
      <c r="FN170" s="918"/>
      <c r="FO170" s="918"/>
      <c r="FP170" s="918"/>
      <c r="FQ170" s="918"/>
      <c r="FR170" s="918"/>
      <c r="FS170" s="918"/>
      <c r="FT170" s="918"/>
      <c r="FU170" s="918"/>
      <c r="FV170" s="918"/>
      <c r="FW170" s="918"/>
      <c r="FX170" s="918"/>
      <c r="FY170" s="918"/>
      <c r="FZ170" s="918"/>
      <c r="GA170" s="918"/>
      <c r="GB170" s="918"/>
      <c r="GC170" s="918"/>
      <c r="GD170" s="918"/>
      <c r="GE170" s="918"/>
      <c r="GF170" s="918"/>
      <c r="GG170" s="918"/>
      <c r="GH170" s="918"/>
      <c r="GI170" s="918"/>
      <c r="GJ170" s="918"/>
      <c r="GK170" s="918"/>
      <c r="GL170" s="918"/>
      <c r="GM170" s="918"/>
      <c r="GN170" s="918"/>
      <c r="GO170" s="918"/>
      <c r="GP170" s="918"/>
      <c r="GQ170" s="918"/>
      <c r="GR170" s="918"/>
      <c r="GS170" s="918"/>
      <c r="GT170" s="918"/>
      <c r="GU170" s="918"/>
      <c r="GV170" s="918"/>
      <c r="GW170" s="918"/>
      <c r="GX170" s="918"/>
      <c r="GY170" s="918"/>
      <c r="GZ170" s="918"/>
      <c r="HA170" s="918"/>
      <c r="HB170" s="918"/>
      <c r="HC170" s="918"/>
      <c r="HD170" s="918"/>
      <c r="HE170" s="918"/>
      <c r="HF170" s="918"/>
      <c r="HG170" s="918"/>
      <c r="HH170" s="918"/>
      <c r="HI170" s="918"/>
      <c r="HJ170" s="918"/>
      <c r="HK170" s="918"/>
      <c r="HL170" s="918"/>
      <c r="HM170" s="918"/>
      <c r="HN170" s="918"/>
      <c r="HO170" s="918"/>
      <c r="HP170" s="918"/>
      <c r="HQ170" s="918"/>
      <c r="HR170" s="918"/>
      <c r="HS170" s="918"/>
      <c r="HT170" s="918"/>
      <c r="HU170" s="918"/>
      <c r="HV170" s="918"/>
      <c r="HW170" s="918"/>
      <c r="HX170" s="918"/>
      <c r="HY170" s="918"/>
      <c r="HZ170" s="918"/>
      <c r="IA170" s="918"/>
      <c r="IB170" s="918"/>
      <c r="IC170" s="918"/>
      <c r="ID170" s="918"/>
      <c r="IE170" s="918"/>
      <c r="IF170" s="918"/>
      <c r="IG170" s="918"/>
      <c r="IH170" s="918"/>
      <c r="II170" s="918"/>
      <c r="IJ170" s="918"/>
      <c r="IK170" s="918"/>
      <c r="IL170" s="918"/>
      <c r="IM170" s="918"/>
      <c r="IN170" s="918"/>
    </row>
    <row r="171" spans="1:248">
      <c r="A171" s="615" t="s">
        <v>23</v>
      </c>
      <c r="B171" s="617">
        <v>6133.8</v>
      </c>
      <c r="C171" s="919">
        <v>22.715842724508654</v>
      </c>
      <c r="D171" s="618">
        <v>6821.5</v>
      </c>
      <c r="E171" s="919">
        <v>25.262662810205054</v>
      </c>
      <c r="F171" s="919">
        <v>-687.69999999999982</v>
      </c>
      <c r="G171" s="919">
        <f t="shared" si="28"/>
        <v>-2.5468200856964032</v>
      </c>
      <c r="H171" s="27">
        <v>27002.3</v>
      </c>
      <c r="I171" s="918"/>
      <c r="J171" s="918"/>
      <c r="K171" s="918"/>
      <c r="L171" s="918"/>
      <c r="M171" s="918"/>
      <c r="N171" s="918"/>
      <c r="O171" s="918"/>
      <c r="P171" s="918"/>
      <c r="Q171" s="918"/>
      <c r="R171" s="918"/>
      <c r="S171" s="918"/>
      <c r="T171" s="918"/>
      <c r="U171" s="918"/>
      <c r="V171" s="918"/>
      <c r="W171" s="918"/>
      <c r="X171" s="918"/>
      <c r="Y171" s="918"/>
      <c r="Z171" s="918"/>
      <c r="AA171" s="918"/>
      <c r="AB171" s="918"/>
      <c r="AC171" s="918"/>
      <c r="AD171" s="918"/>
      <c r="AE171" s="918"/>
      <c r="AF171" s="918"/>
      <c r="AG171" s="918"/>
      <c r="AH171" s="918"/>
      <c r="AI171" s="918"/>
      <c r="AJ171" s="918"/>
      <c r="AK171" s="918"/>
      <c r="AL171" s="918"/>
      <c r="AM171" s="918"/>
      <c r="AN171" s="918"/>
      <c r="AO171" s="918"/>
      <c r="AP171" s="918"/>
      <c r="AQ171" s="918"/>
      <c r="AR171" s="918"/>
      <c r="AS171" s="918"/>
      <c r="AT171" s="918"/>
      <c r="AU171" s="918"/>
      <c r="AV171" s="918"/>
      <c r="AW171" s="918"/>
      <c r="AX171" s="918"/>
      <c r="AY171" s="918"/>
      <c r="AZ171" s="918"/>
      <c r="BA171" s="918"/>
      <c r="BB171" s="918"/>
      <c r="BC171" s="918"/>
      <c r="BD171" s="918"/>
      <c r="BE171" s="918"/>
      <c r="BF171" s="918"/>
      <c r="BG171" s="918"/>
      <c r="BH171" s="918"/>
      <c r="BI171" s="918"/>
      <c r="BJ171" s="918"/>
      <c r="BK171" s="918"/>
      <c r="BL171" s="918"/>
      <c r="BM171" s="918"/>
      <c r="BN171" s="918"/>
      <c r="BO171" s="918"/>
      <c r="BP171" s="918"/>
      <c r="BQ171" s="918"/>
      <c r="BR171" s="918"/>
      <c r="BS171" s="918"/>
      <c r="BT171" s="918"/>
      <c r="BU171" s="918"/>
      <c r="BV171" s="918"/>
      <c r="BW171" s="918"/>
      <c r="BX171" s="918"/>
      <c r="BY171" s="918"/>
      <c r="BZ171" s="918"/>
      <c r="CA171" s="918"/>
      <c r="CB171" s="918"/>
      <c r="CC171" s="918"/>
      <c r="CD171" s="918"/>
      <c r="CE171" s="918"/>
      <c r="CF171" s="918"/>
      <c r="CG171" s="918"/>
      <c r="CH171" s="918"/>
      <c r="CI171" s="918"/>
      <c r="CJ171" s="918"/>
      <c r="CK171" s="918"/>
      <c r="CL171" s="918"/>
      <c r="CM171" s="918"/>
      <c r="CN171" s="918"/>
      <c r="CO171" s="918"/>
      <c r="CP171" s="918"/>
      <c r="CQ171" s="918"/>
      <c r="CR171" s="918"/>
      <c r="CS171" s="918"/>
      <c r="CT171" s="918"/>
      <c r="CU171" s="918"/>
      <c r="CV171" s="918"/>
      <c r="CW171" s="918"/>
      <c r="CX171" s="918"/>
      <c r="CY171" s="918"/>
      <c r="CZ171" s="918"/>
      <c r="DA171" s="918"/>
      <c r="DB171" s="918"/>
      <c r="DC171" s="918"/>
      <c r="DD171" s="918"/>
      <c r="DE171" s="918"/>
      <c r="DF171" s="918"/>
      <c r="DG171" s="918"/>
      <c r="DH171" s="918"/>
      <c r="DI171" s="918"/>
      <c r="DJ171" s="918"/>
      <c r="DK171" s="918"/>
      <c r="DL171" s="918"/>
      <c r="DM171" s="918"/>
      <c r="DN171" s="918"/>
      <c r="DO171" s="918"/>
      <c r="DP171" s="918"/>
      <c r="DQ171" s="918"/>
      <c r="DR171" s="918"/>
      <c r="DS171" s="918"/>
      <c r="DT171" s="918"/>
      <c r="DU171" s="918"/>
      <c r="DV171" s="918"/>
      <c r="DW171" s="918"/>
      <c r="DX171" s="918"/>
      <c r="DY171" s="918"/>
      <c r="DZ171" s="918"/>
      <c r="EA171" s="918"/>
      <c r="EB171" s="918"/>
      <c r="EC171" s="918"/>
      <c r="ED171" s="918"/>
      <c r="EE171" s="918"/>
      <c r="EF171" s="918"/>
      <c r="EG171" s="918"/>
      <c r="EH171" s="918"/>
      <c r="EI171" s="918"/>
      <c r="EJ171" s="918"/>
      <c r="EK171" s="918"/>
      <c r="EL171" s="918"/>
      <c r="EM171" s="918"/>
      <c r="EN171" s="918"/>
      <c r="EO171" s="918"/>
      <c r="EP171" s="918"/>
      <c r="EQ171" s="918"/>
      <c r="ER171" s="918"/>
      <c r="ES171" s="918"/>
      <c r="ET171" s="918"/>
      <c r="EU171" s="918"/>
      <c r="EV171" s="918"/>
      <c r="EW171" s="918"/>
      <c r="EX171" s="918"/>
      <c r="EY171" s="918"/>
      <c r="EZ171" s="918"/>
      <c r="FA171" s="918"/>
      <c r="FB171" s="918"/>
      <c r="FC171" s="918"/>
      <c r="FD171" s="918"/>
      <c r="FE171" s="918"/>
      <c r="FF171" s="918"/>
      <c r="FG171" s="918"/>
      <c r="FH171" s="918"/>
      <c r="FI171" s="918"/>
      <c r="FJ171" s="918"/>
      <c r="FK171" s="918"/>
      <c r="FL171" s="918"/>
      <c r="FM171" s="918"/>
      <c r="FN171" s="918"/>
      <c r="FO171" s="918"/>
      <c r="FP171" s="918"/>
      <c r="FQ171" s="918"/>
      <c r="FR171" s="918"/>
      <c r="FS171" s="918"/>
      <c r="FT171" s="918"/>
      <c r="FU171" s="918"/>
      <c r="FV171" s="918"/>
      <c r="FW171" s="918"/>
      <c r="FX171" s="918"/>
      <c r="FY171" s="918"/>
      <c r="FZ171" s="918"/>
      <c r="GA171" s="918"/>
      <c r="GB171" s="918"/>
      <c r="GC171" s="918"/>
      <c r="GD171" s="918"/>
      <c r="GE171" s="918"/>
      <c r="GF171" s="918"/>
      <c r="GG171" s="918"/>
      <c r="GH171" s="918"/>
      <c r="GI171" s="918"/>
      <c r="GJ171" s="918"/>
      <c r="GK171" s="918"/>
      <c r="GL171" s="918"/>
      <c r="GM171" s="918"/>
      <c r="GN171" s="918"/>
      <c r="GO171" s="918"/>
      <c r="GP171" s="918"/>
      <c r="GQ171" s="918"/>
      <c r="GR171" s="918"/>
      <c r="GS171" s="918"/>
      <c r="GT171" s="918"/>
      <c r="GU171" s="918"/>
      <c r="GV171" s="918"/>
      <c r="GW171" s="918"/>
      <c r="GX171" s="918"/>
      <c r="GY171" s="918"/>
      <c r="GZ171" s="918"/>
      <c r="HA171" s="918"/>
      <c r="HB171" s="918"/>
      <c r="HC171" s="918"/>
      <c r="HD171" s="918"/>
      <c r="HE171" s="918"/>
      <c r="HF171" s="918"/>
      <c r="HG171" s="918"/>
      <c r="HH171" s="918"/>
      <c r="HI171" s="918"/>
      <c r="HJ171" s="918"/>
      <c r="HK171" s="918"/>
      <c r="HL171" s="918"/>
      <c r="HM171" s="918"/>
      <c r="HN171" s="918"/>
      <c r="HO171" s="918"/>
      <c r="HP171" s="918"/>
      <c r="HQ171" s="918"/>
      <c r="HR171" s="918"/>
      <c r="HS171" s="918"/>
      <c r="HT171" s="918"/>
      <c r="HU171" s="918"/>
      <c r="HV171" s="918"/>
      <c r="HW171" s="918"/>
      <c r="HX171" s="918"/>
      <c r="HY171" s="918"/>
      <c r="HZ171" s="918"/>
      <c r="IA171" s="918"/>
      <c r="IB171" s="918"/>
      <c r="IC171" s="918"/>
      <c r="ID171" s="918"/>
      <c r="IE171" s="918"/>
      <c r="IF171" s="918"/>
      <c r="IG171" s="918"/>
      <c r="IH171" s="918"/>
      <c r="II171" s="918"/>
      <c r="IJ171" s="918"/>
      <c r="IK171" s="918"/>
      <c r="IL171" s="918"/>
      <c r="IM171" s="918"/>
      <c r="IN171" s="918"/>
    </row>
    <row r="172" spans="1:248">
      <c r="A172" s="615" t="s">
        <v>24</v>
      </c>
      <c r="B172" s="617">
        <v>7007.5</v>
      </c>
      <c r="C172" s="919">
        <v>21.81485932022937</v>
      </c>
      <c r="D172" s="618">
        <v>8193.5</v>
      </c>
      <c r="E172" s="919">
        <v>25.506963944388065</v>
      </c>
      <c r="F172" s="919">
        <v>-1186</v>
      </c>
      <c r="G172" s="919">
        <f t="shared" si="28"/>
        <v>-3.6921046241586923</v>
      </c>
      <c r="H172" s="27">
        <v>32122.6</v>
      </c>
      <c r="I172" s="918"/>
      <c r="J172" s="918"/>
      <c r="K172" s="918"/>
      <c r="L172" s="918"/>
      <c r="M172" s="918"/>
      <c r="N172" s="918"/>
      <c r="O172" s="918"/>
      <c r="P172" s="918"/>
      <c r="Q172" s="918"/>
      <c r="R172" s="918"/>
      <c r="S172" s="918"/>
      <c r="T172" s="918"/>
      <c r="U172" s="918"/>
      <c r="V172" s="918"/>
      <c r="W172" s="918"/>
      <c r="X172" s="918"/>
      <c r="Y172" s="918"/>
      <c r="Z172" s="918"/>
      <c r="AA172" s="918"/>
      <c r="AB172" s="918"/>
      <c r="AC172" s="918"/>
      <c r="AD172" s="918"/>
      <c r="AE172" s="918"/>
      <c r="AF172" s="918"/>
      <c r="AG172" s="918"/>
      <c r="AH172" s="918"/>
      <c r="AI172" s="918"/>
      <c r="AJ172" s="918"/>
      <c r="AK172" s="918"/>
      <c r="AL172" s="918"/>
      <c r="AM172" s="918"/>
      <c r="AN172" s="918"/>
      <c r="AO172" s="918"/>
      <c r="AP172" s="918"/>
      <c r="AQ172" s="918"/>
      <c r="AR172" s="918"/>
      <c r="AS172" s="918"/>
      <c r="AT172" s="918"/>
      <c r="AU172" s="918"/>
      <c r="AV172" s="918"/>
      <c r="AW172" s="918"/>
      <c r="AX172" s="918"/>
      <c r="AY172" s="918"/>
      <c r="AZ172" s="918"/>
      <c r="BA172" s="918"/>
      <c r="BB172" s="918"/>
      <c r="BC172" s="918"/>
      <c r="BD172" s="918"/>
      <c r="BE172" s="918"/>
      <c r="BF172" s="918"/>
      <c r="BG172" s="918"/>
      <c r="BH172" s="918"/>
      <c r="BI172" s="918"/>
      <c r="BJ172" s="918"/>
      <c r="BK172" s="918"/>
      <c r="BL172" s="918"/>
      <c r="BM172" s="918"/>
      <c r="BN172" s="918"/>
      <c r="BO172" s="918"/>
      <c r="BP172" s="918"/>
      <c r="BQ172" s="918"/>
      <c r="BR172" s="918"/>
      <c r="BS172" s="918"/>
      <c r="BT172" s="918"/>
      <c r="BU172" s="918"/>
      <c r="BV172" s="918"/>
      <c r="BW172" s="918"/>
      <c r="BX172" s="918"/>
      <c r="BY172" s="918"/>
      <c r="BZ172" s="918"/>
      <c r="CA172" s="918"/>
      <c r="CB172" s="918"/>
      <c r="CC172" s="918"/>
      <c r="CD172" s="918"/>
      <c r="CE172" s="918"/>
      <c r="CF172" s="918"/>
      <c r="CG172" s="918"/>
      <c r="CH172" s="918"/>
      <c r="CI172" s="918"/>
      <c r="CJ172" s="918"/>
      <c r="CK172" s="918"/>
      <c r="CL172" s="918"/>
      <c r="CM172" s="918"/>
      <c r="CN172" s="918"/>
      <c r="CO172" s="918"/>
      <c r="CP172" s="918"/>
      <c r="CQ172" s="918"/>
      <c r="CR172" s="918"/>
      <c r="CS172" s="918"/>
      <c r="CT172" s="918"/>
      <c r="CU172" s="918"/>
      <c r="CV172" s="918"/>
      <c r="CW172" s="918"/>
      <c r="CX172" s="918"/>
      <c r="CY172" s="918"/>
      <c r="CZ172" s="918"/>
      <c r="DA172" s="918"/>
      <c r="DB172" s="918"/>
      <c r="DC172" s="918"/>
      <c r="DD172" s="918"/>
      <c r="DE172" s="918"/>
      <c r="DF172" s="918"/>
      <c r="DG172" s="918"/>
      <c r="DH172" s="918"/>
      <c r="DI172" s="918"/>
      <c r="DJ172" s="918"/>
      <c r="DK172" s="918"/>
      <c r="DL172" s="918"/>
      <c r="DM172" s="918"/>
      <c r="DN172" s="918"/>
      <c r="DO172" s="918"/>
      <c r="DP172" s="918"/>
      <c r="DQ172" s="918"/>
      <c r="DR172" s="918"/>
      <c r="DS172" s="918"/>
      <c r="DT172" s="918"/>
      <c r="DU172" s="918"/>
      <c r="DV172" s="918"/>
      <c r="DW172" s="918"/>
      <c r="DX172" s="918"/>
      <c r="DY172" s="918"/>
      <c r="DZ172" s="918"/>
      <c r="EA172" s="918"/>
      <c r="EB172" s="918"/>
      <c r="EC172" s="918"/>
      <c r="ED172" s="918"/>
      <c r="EE172" s="918"/>
      <c r="EF172" s="918"/>
      <c r="EG172" s="918"/>
      <c r="EH172" s="918"/>
      <c r="EI172" s="918"/>
      <c r="EJ172" s="918"/>
      <c r="EK172" s="918"/>
      <c r="EL172" s="918"/>
      <c r="EM172" s="918"/>
      <c r="EN172" s="918"/>
      <c r="EO172" s="918"/>
      <c r="EP172" s="918"/>
      <c r="EQ172" s="918"/>
      <c r="ER172" s="918"/>
      <c r="ES172" s="918"/>
      <c r="ET172" s="918"/>
      <c r="EU172" s="918"/>
      <c r="EV172" s="918"/>
      <c r="EW172" s="918"/>
      <c r="EX172" s="918"/>
      <c r="EY172" s="918"/>
      <c r="EZ172" s="918"/>
      <c r="FA172" s="918"/>
      <c r="FB172" s="918"/>
      <c r="FC172" s="918"/>
      <c r="FD172" s="918"/>
      <c r="FE172" s="918"/>
      <c r="FF172" s="918"/>
      <c r="FG172" s="918"/>
      <c r="FH172" s="918"/>
      <c r="FI172" s="918"/>
      <c r="FJ172" s="918"/>
      <c r="FK172" s="918"/>
      <c r="FL172" s="918"/>
      <c r="FM172" s="918"/>
      <c r="FN172" s="918"/>
      <c r="FO172" s="918"/>
      <c r="FP172" s="918"/>
      <c r="FQ172" s="918"/>
      <c r="FR172" s="918"/>
      <c r="FS172" s="918"/>
      <c r="FT172" s="918"/>
      <c r="FU172" s="918"/>
      <c r="FV172" s="918"/>
      <c r="FW172" s="918"/>
      <c r="FX172" s="918"/>
      <c r="FY172" s="918"/>
      <c r="FZ172" s="918"/>
      <c r="GA172" s="918"/>
      <c r="GB172" s="918"/>
      <c r="GC172" s="918"/>
      <c r="GD172" s="918"/>
      <c r="GE172" s="918"/>
      <c r="GF172" s="918"/>
      <c r="GG172" s="918"/>
      <c r="GH172" s="918"/>
      <c r="GI172" s="918"/>
      <c r="GJ172" s="918"/>
      <c r="GK172" s="918"/>
      <c r="GL172" s="918"/>
      <c r="GM172" s="918"/>
      <c r="GN172" s="918"/>
      <c r="GO172" s="918"/>
      <c r="GP172" s="918"/>
      <c r="GQ172" s="918"/>
      <c r="GR172" s="918"/>
      <c r="GS172" s="918"/>
      <c r="GT172" s="918"/>
      <c r="GU172" s="918"/>
      <c r="GV172" s="918"/>
      <c r="GW172" s="918"/>
      <c r="GX172" s="918"/>
      <c r="GY172" s="918"/>
      <c r="GZ172" s="918"/>
      <c r="HA172" s="918"/>
      <c r="HB172" s="918"/>
      <c r="HC172" s="918"/>
      <c r="HD172" s="918"/>
      <c r="HE172" s="918"/>
      <c r="HF172" s="918"/>
      <c r="HG172" s="918"/>
      <c r="HH172" s="918"/>
      <c r="HI172" s="918"/>
      <c r="HJ172" s="918"/>
      <c r="HK172" s="918"/>
      <c r="HL172" s="918"/>
      <c r="HM172" s="918"/>
      <c r="HN172" s="918"/>
      <c r="HO172" s="918"/>
      <c r="HP172" s="918"/>
      <c r="HQ172" s="918"/>
      <c r="HR172" s="918"/>
      <c r="HS172" s="918"/>
      <c r="HT172" s="918"/>
      <c r="HU172" s="918"/>
      <c r="HV172" s="918"/>
      <c r="HW172" s="918"/>
      <c r="HX172" s="918"/>
      <c r="HY172" s="918"/>
      <c r="HZ172" s="918"/>
      <c r="IA172" s="918"/>
      <c r="IB172" s="918"/>
      <c r="IC172" s="918"/>
      <c r="ID172" s="918"/>
      <c r="IE172" s="918"/>
      <c r="IF172" s="918"/>
      <c r="IG172" s="918"/>
      <c r="IH172" s="918"/>
      <c r="II172" s="918"/>
      <c r="IJ172" s="918"/>
      <c r="IK172" s="918"/>
      <c r="IL172" s="918"/>
      <c r="IM172" s="918"/>
      <c r="IN172" s="918"/>
    </row>
    <row r="173" spans="1:248">
      <c r="A173" s="615" t="s">
        <v>25</v>
      </c>
      <c r="B173" s="617">
        <v>8281.5</v>
      </c>
      <c r="C173" s="919">
        <v>21.777489100079414</v>
      </c>
      <c r="D173" s="618">
        <v>9348.5</v>
      </c>
      <c r="E173" s="919">
        <v>24.583331141954044</v>
      </c>
      <c r="F173" s="919">
        <v>-1067</v>
      </c>
      <c r="G173" s="919">
        <f t="shared" si="28"/>
        <v>-2.8058420418746284</v>
      </c>
      <c r="H173" s="27">
        <v>38027.800000000003</v>
      </c>
      <c r="I173" s="918"/>
      <c r="J173" s="918"/>
      <c r="K173" s="918"/>
      <c r="L173" s="918"/>
      <c r="M173" s="918"/>
      <c r="N173" s="918"/>
      <c r="O173" s="918"/>
      <c r="P173" s="918"/>
      <c r="Q173" s="918"/>
      <c r="R173" s="918"/>
      <c r="S173" s="918"/>
      <c r="T173" s="918"/>
      <c r="U173" s="918"/>
      <c r="V173" s="918"/>
      <c r="W173" s="918"/>
      <c r="X173" s="918"/>
      <c r="Y173" s="918"/>
      <c r="Z173" s="918"/>
      <c r="AA173" s="918"/>
      <c r="AB173" s="918"/>
      <c r="AC173" s="918"/>
      <c r="AD173" s="918"/>
      <c r="AE173" s="918"/>
      <c r="AF173" s="918"/>
      <c r="AG173" s="918"/>
      <c r="AH173" s="918"/>
      <c r="AI173" s="918"/>
      <c r="AJ173" s="918"/>
      <c r="AK173" s="918"/>
      <c r="AL173" s="918"/>
      <c r="AM173" s="918"/>
      <c r="AN173" s="918"/>
      <c r="AO173" s="918"/>
      <c r="AP173" s="918"/>
      <c r="AQ173" s="918"/>
      <c r="AR173" s="918"/>
      <c r="AS173" s="918"/>
      <c r="AT173" s="918"/>
      <c r="AU173" s="918"/>
      <c r="AV173" s="918"/>
      <c r="AW173" s="918"/>
      <c r="AX173" s="918"/>
      <c r="AY173" s="918"/>
      <c r="AZ173" s="918"/>
      <c r="BA173" s="918"/>
      <c r="BB173" s="918"/>
      <c r="BC173" s="918"/>
      <c r="BD173" s="918"/>
      <c r="BE173" s="918"/>
      <c r="BF173" s="918"/>
      <c r="BG173" s="918"/>
      <c r="BH173" s="918"/>
      <c r="BI173" s="918"/>
      <c r="BJ173" s="918"/>
      <c r="BK173" s="918"/>
      <c r="BL173" s="918"/>
      <c r="BM173" s="918"/>
      <c r="BN173" s="918"/>
      <c r="BO173" s="918"/>
      <c r="BP173" s="918"/>
      <c r="BQ173" s="918"/>
      <c r="BR173" s="918"/>
      <c r="BS173" s="918"/>
      <c r="BT173" s="918"/>
      <c r="BU173" s="918"/>
      <c r="BV173" s="918"/>
      <c r="BW173" s="918"/>
      <c r="BX173" s="918"/>
      <c r="BY173" s="918"/>
      <c r="BZ173" s="918"/>
      <c r="CA173" s="918"/>
      <c r="CB173" s="918"/>
      <c r="CC173" s="918"/>
      <c r="CD173" s="918"/>
      <c r="CE173" s="918"/>
      <c r="CF173" s="918"/>
      <c r="CG173" s="918"/>
      <c r="CH173" s="918"/>
      <c r="CI173" s="918"/>
      <c r="CJ173" s="918"/>
      <c r="CK173" s="918"/>
      <c r="CL173" s="918"/>
      <c r="CM173" s="918"/>
      <c r="CN173" s="918"/>
      <c r="CO173" s="918"/>
      <c r="CP173" s="918"/>
      <c r="CQ173" s="918"/>
      <c r="CR173" s="918"/>
      <c r="CS173" s="918"/>
      <c r="CT173" s="918"/>
      <c r="CU173" s="918"/>
      <c r="CV173" s="918"/>
      <c r="CW173" s="918"/>
      <c r="CX173" s="918"/>
      <c r="CY173" s="918"/>
      <c r="CZ173" s="918"/>
      <c r="DA173" s="918"/>
      <c r="DB173" s="918"/>
      <c r="DC173" s="918"/>
      <c r="DD173" s="918"/>
      <c r="DE173" s="918"/>
      <c r="DF173" s="918"/>
      <c r="DG173" s="918"/>
      <c r="DH173" s="918"/>
      <c r="DI173" s="918"/>
      <c r="DJ173" s="918"/>
      <c r="DK173" s="918"/>
      <c r="DL173" s="918"/>
      <c r="DM173" s="918"/>
      <c r="DN173" s="918"/>
      <c r="DO173" s="918"/>
      <c r="DP173" s="918"/>
      <c r="DQ173" s="918"/>
      <c r="DR173" s="918"/>
      <c r="DS173" s="918"/>
      <c r="DT173" s="918"/>
      <c r="DU173" s="918"/>
      <c r="DV173" s="918"/>
      <c r="DW173" s="918"/>
      <c r="DX173" s="918"/>
      <c r="DY173" s="918"/>
      <c r="DZ173" s="918"/>
      <c r="EA173" s="918"/>
      <c r="EB173" s="918"/>
      <c r="EC173" s="918"/>
      <c r="ED173" s="918"/>
      <c r="EE173" s="918"/>
      <c r="EF173" s="918"/>
      <c r="EG173" s="918"/>
      <c r="EH173" s="918"/>
      <c r="EI173" s="918"/>
      <c r="EJ173" s="918"/>
      <c r="EK173" s="918"/>
      <c r="EL173" s="918"/>
      <c r="EM173" s="918"/>
      <c r="EN173" s="918"/>
      <c r="EO173" s="918"/>
      <c r="EP173" s="918"/>
      <c r="EQ173" s="918"/>
      <c r="ER173" s="918"/>
      <c r="ES173" s="918"/>
      <c r="ET173" s="918"/>
      <c r="EU173" s="918"/>
      <c r="EV173" s="918"/>
      <c r="EW173" s="918"/>
      <c r="EX173" s="918"/>
      <c r="EY173" s="918"/>
      <c r="EZ173" s="918"/>
      <c r="FA173" s="918"/>
      <c r="FB173" s="918"/>
      <c r="FC173" s="918"/>
      <c r="FD173" s="918"/>
      <c r="FE173" s="918"/>
      <c r="FF173" s="918"/>
      <c r="FG173" s="918"/>
      <c r="FH173" s="918"/>
      <c r="FI173" s="918"/>
      <c r="FJ173" s="918"/>
      <c r="FK173" s="918"/>
      <c r="FL173" s="918"/>
      <c r="FM173" s="918"/>
      <c r="FN173" s="918"/>
      <c r="FO173" s="918"/>
      <c r="FP173" s="918"/>
      <c r="FQ173" s="918"/>
      <c r="FR173" s="918"/>
      <c r="FS173" s="918"/>
      <c r="FT173" s="918"/>
      <c r="FU173" s="918"/>
      <c r="FV173" s="918"/>
      <c r="FW173" s="918"/>
      <c r="FX173" s="918"/>
      <c r="FY173" s="918"/>
      <c r="FZ173" s="918"/>
      <c r="GA173" s="918"/>
      <c r="GB173" s="918"/>
      <c r="GC173" s="918"/>
      <c r="GD173" s="918"/>
      <c r="GE173" s="918"/>
      <c r="GF173" s="918"/>
      <c r="GG173" s="918"/>
      <c r="GH173" s="918"/>
      <c r="GI173" s="918"/>
      <c r="GJ173" s="918"/>
      <c r="GK173" s="918"/>
      <c r="GL173" s="918"/>
      <c r="GM173" s="918"/>
      <c r="GN173" s="918"/>
      <c r="GO173" s="918"/>
      <c r="GP173" s="918"/>
      <c r="GQ173" s="918"/>
      <c r="GR173" s="918"/>
      <c r="GS173" s="918"/>
      <c r="GT173" s="918"/>
      <c r="GU173" s="918"/>
      <c r="GV173" s="918"/>
      <c r="GW173" s="918"/>
      <c r="GX173" s="918"/>
      <c r="GY173" s="918"/>
      <c r="GZ173" s="918"/>
      <c r="HA173" s="918"/>
      <c r="HB173" s="918"/>
      <c r="HC173" s="918"/>
      <c r="HD173" s="918"/>
      <c r="HE173" s="918"/>
      <c r="HF173" s="918"/>
      <c r="HG173" s="918"/>
      <c r="HH173" s="918"/>
      <c r="HI173" s="918"/>
      <c r="HJ173" s="918"/>
      <c r="HK173" s="918"/>
      <c r="HL173" s="918"/>
      <c r="HM173" s="918"/>
      <c r="HN173" s="918"/>
      <c r="HO173" s="918"/>
      <c r="HP173" s="918"/>
      <c r="HQ173" s="918"/>
      <c r="HR173" s="918"/>
      <c r="HS173" s="918"/>
      <c r="HT173" s="918"/>
      <c r="HU173" s="918"/>
      <c r="HV173" s="918"/>
      <c r="HW173" s="918"/>
      <c r="HX173" s="918"/>
      <c r="HY173" s="918"/>
      <c r="HZ173" s="918"/>
      <c r="IA173" s="918"/>
      <c r="IB173" s="918"/>
      <c r="IC173" s="918"/>
      <c r="ID173" s="918"/>
      <c r="IE173" s="918"/>
      <c r="IF173" s="918"/>
      <c r="IG173" s="918"/>
      <c r="IH173" s="918"/>
      <c r="II173" s="918"/>
      <c r="IJ173" s="918"/>
      <c r="IK173" s="918"/>
      <c r="IL173" s="918"/>
      <c r="IM173" s="918"/>
      <c r="IN173" s="918"/>
    </row>
    <row r="174" spans="1:248">
      <c r="A174" s="615" t="s">
        <v>26</v>
      </c>
      <c r="B174" s="617">
        <v>10103.1</v>
      </c>
      <c r="C174" s="919">
        <v>23.259577818552685</v>
      </c>
      <c r="D174" s="618">
        <v>10622.2</v>
      </c>
      <c r="E174" s="919">
        <v>24.454661193517865</v>
      </c>
      <c r="F174" s="919">
        <v>-519.10000000000036</v>
      </c>
      <c r="G174" s="919">
        <f t="shared" si="28"/>
        <v>-1.1950833749651797</v>
      </c>
      <c r="H174" s="27">
        <v>43436.3</v>
      </c>
      <c r="I174" s="918"/>
      <c r="J174" s="918"/>
      <c r="K174" s="918"/>
      <c r="L174" s="918"/>
      <c r="M174" s="918"/>
      <c r="N174" s="918"/>
      <c r="O174" s="918"/>
      <c r="P174" s="918"/>
      <c r="Q174" s="918"/>
      <c r="R174" s="918"/>
      <c r="S174" s="918"/>
      <c r="T174" s="918"/>
      <c r="U174" s="918"/>
      <c r="V174" s="918"/>
      <c r="W174" s="918"/>
      <c r="X174" s="918"/>
      <c r="Y174" s="918"/>
      <c r="Z174" s="918"/>
      <c r="AA174" s="918"/>
      <c r="AB174" s="918"/>
      <c r="AC174" s="918"/>
      <c r="AD174" s="918"/>
      <c r="AE174" s="918"/>
      <c r="AF174" s="918"/>
      <c r="AG174" s="918"/>
      <c r="AH174" s="918"/>
      <c r="AI174" s="918"/>
      <c r="AJ174" s="918"/>
      <c r="AK174" s="918"/>
      <c r="AL174" s="918"/>
      <c r="AM174" s="918"/>
      <c r="AN174" s="918"/>
      <c r="AO174" s="918"/>
      <c r="AP174" s="918"/>
      <c r="AQ174" s="918"/>
      <c r="AR174" s="918"/>
      <c r="AS174" s="918"/>
      <c r="AT174" s="918"/>
      <c r="AU174" s="918"/>
      <c r="AV174" s="918"/>
      <c r="AW174" s="918"/>
      <c r="AX174" s="918"/>
      <c r="AY174" s="918"/>
      <c r="AZ174" s="918"/>
      <c r="BA174" s="918"/>
      <c r="BB174" s="918"/>
      <c r="BC174" s="918"/>
      <c r="BD174" s="918"/>
      <c r="BE174" s="918"/>
      <c r="BF174" s="918"/>
      <c r="BG174" s="918"/>
      <c r="BH174" s="918"/>
      <c r="BI174" s="918"/>
      <c r="BJ174" s="918"/>
      <c r="BK174" s="918"/>
      <c r="BL174" s="918"/>
      <c r="BM174" s="918"/>
      <c r="BN174" s="918"/>
      <c r="BO174" s="918"/>
      <c r="BP174" s="918"/>
      <c r="BQ174" s="918"/>
      <c r="BR174" s="918"/>
      <c r="BS174" s="918"/>
      <c r="BT174" s="918"/>
      <c r="BU174" s="918"/>
      <c r="BV174" s="918"/>
      <c r="BW174" s="918"/>
      <c r="BX174" s="918"/>
      <c r="BY174" s="918"/>
      <c r="BZ174" s="918"/>
      <c r="CA174" s="918"/>
      <c r="CB174" s="918"/>
      <c r="CC174" s="918"/>
      <c r="CD174" s="918"/>
      <c r="CE174" s="918"/>
      <c r="CF174" s="918"/>
      <c r="CG174" s="918"/>
      <c r="CH174" s="918"/>
      <c r="CI174" s="918"/>
      <c r="CJ174" s="918"/>
      <c r="CK174" s="918"/>
      <c r="CL174" s="918"/>
      <c r="CM174" s="918"/>
      <c r="CN174" s="918"/>
      <c r="CO174" s="918"/>
      <c r="CP174" s="918"/>
      <c r="CQ174" s="918"/>
      <c r="CR174" s="918"/>
      <c r="CS174" s="918"/>
      <c r="CT174" s="918"/>
      <c r="CU174" s="918"/>
      <c r="CV174" s="918"/>
      <c r="CW174" s="918"/>
      <c r="CX174" s="918"/>
      <c r="CY174" s="918"/>
      <c r="CZ174" s="918"/>
      <c r="DA174" s="918"/>
      <c r="DB174" s="918"/>
      <c r="DC174" s="918"/>
      <c r="DD174" s="918"/>
      <c r="DE174" s="918"/>
      <c r="DF174" s="918"/>
      <c r="DG174" s="918"/>
      <c r="DH174" s="918"/>
      <c r="DI174" s="918"/>
      <c r="DJ174" s="918"/>
      <c r="DK174" s="918"/>
      <c r="DL174" s="918"/>
      <c r="DM174" s="918"/>
      <c r="DN174" s="918"/>
      <c r="DO174" s="918"/>
      <c r="DP174" s="918"/>
      <c r="DQ174" s="918"/>
      <c r="DR174" s="918"/>
      <c r="DS174" s="918"/>
      <c r="DT174" s="918"/>
      <c r="DU174" s="918"/>
      <c r="DV174" s="918"/>
      <c r="DW174" s="918"/>
      <c r="DX174" s="918"/>
      <c r="DY174" s="918"/>
      <c r="DZ174" s="918"/>
      <c r="EA174" s="918"/>
      <c r="EB174" s="918"/>
      <c r="EC174" s="918"/>
      <c r="ED174" s="918"/>
      <c r="EE174" s="918"/>
      <c r="EF174" s="918"/>
      <c r="EG174" s="918"/>
      <c r="EH174" s="918"/>
      <c r="EI174" s="918"/>
      <c r="EJ174" s="918"/>
      <c r="EK174" s="918"/>
      <c r="EL174" s="918"/>
      <c r="EM174" s="918"/>
      <c r="EN174" s="918"/>
      <c r="EO174" s="918"/>
      <c r="EP174" s="918"/>
      <c r="EQ174" s="918"/>
      <c r="ER174" s="918"/>
      <c r="ES174" s="918"/>
      <c r="ET174" s="918"/>
      <c r="EU174" s="918"/>
      <c r="EV174" s="918"/>
      <c r="EW174" s="918"/>
      <c r="EX174" s="918"/>
      <c r="EY174" s="918"/>
      <c r="EZ174" s="918"/>
      <c r="FA174" s="918"/>
      <c r="FB174" s="918"/>
      <c r="FC174" s="918"/>
      <c r="FD174" s="918"/>
      <c r="FE174" s="918"/>
      <c r="FF174" s="918"/>
      <c r="FG174" s="918"/>
      <c r="FH174" s="918"/>
      <c r="FI174" s="918"/>
      <c r="FJ174" s="918"/>
      <c r="FK174" s="918"/>
      <c r="FL174" s="918"/>
      <c r="FM174" s="918"/>
      <c r="FN174" s="918"/>
      <c r="FO174" s="918"/>
      <c r="FP174" s="918"/>
      <c r="FQ174" s="918"/>
      <c r="FR174" s="918"/>
      <c r="FS174" s="918"/>
      <c r="FT174" s="918"/>
      <c r="FU174" s="918"/>
      <c r="FV174" s="918"/>
      <c r="FW174" s="918"/>
      <c r="FX174" s="918"/>
      <c r="FY174" s="918"/>
      <c r="FZ174" s="918"/>
      <c r="GA174" s="918"/>
      <c r="GB174" s="918"/>
      <c r="GC174" s="918"/>
      <c r="GD174" s="918"/>
      <c r="GE174" s="918"/>
      <c r="GF174" s="918"/>
      <c r="GG174" s="918"/>
      <c r="GH174" s="918"/>
      <c r="GI174" s="918"/>
      <c r="GJ174" s="918"/>
      <c r="GK174" s="918"/>
      <c r="GL174" s="918"/>
      <c r="GM174" s="918"/>
      <c r="GN174" s="918"/>
      <c r="GO174" s="918"/>
      <c r="GP174" s="918"/>
      <c r="GQ174" s="918"/>
      <c r="GR174" s="918"/>
      <c r="GS174" s="918"/>
      <c r="GT174" s="918"/>
      <c r="GU174" s="918"/>
      <c r="GV174" s="918"/>
      <c r="GW174" s="918"/>
      <c r="GX174" s="918"/>
      <c r="GY174" s="918"/>
      <c r="GZ174" s="918"/>
      <c r="HA174" s="918"/>
      <c r="HB174" s="918"/>
      <c r="HC174" s="918"/>
      <c r="HD174" s="918"/>
      <c r="HE174" s="918"/>
      <c r="HF174" s="918"/>
      <c r="HG174" s="918"/>
      <c r="HH174" s="918"/>
      <c r="HI174" s="918"/>
      <c r="HJ174" s="918"/>
      <c r="HK174" s="918"/>
      <c r="HL174" s="918"/>
      <c r="HM174" s="918"/>
      <c r="HN174" s="918"/>
      <c r="HO174" s="918"/>
      <c r="HP174" s="918"/>
      <c r="HQ174" s="918"/>
      <c r="HR174" s="918"/>
      <c r="HS174" s="918"/>
      <c r="HT174" s="918"/>
      <c r="HU174" s="918"/>
      <c r="HV174" s="918"/>
      <c r="HW174" s="918"/>
      <c r="HX174" s="918"/>
      <c r="HY174" s="918"/>
      <c r="HZ174" s="918"/>
      <c r="IA174" s="918"/>
      <c r="IB174" s="918"/>
      <c r="IC174" s="918"/>
      <c r="ID174" s="918"/>
      <c r="IE174" s="918"/>
      <c r="IF174" s="918"/>
      <c r="IG174" s="918"/>
      <c r="IH174" s="918"/>
      <c r="II174" s="918"/>
      <c r="IJ174" s="918"/>
      <c r="IK174" s="918"/>
      <c r="IL174" s="918"/>
      <c r="IM174" s="918"/>
      <c r="IN174" s="918"/>
    </row>
    <row r="175" spans="1:248">
      <c r="A175" s="615" t="s">
        <v>27</v>
      </c>
      <c r="B175" s="617">
        <v>12103.9</v>
      </c>
      <c r="C175" s="919">
        <v>24.589727649857586</v>
      </c>
      <c r="D175" s="618">
        <v>12468.2</v>
      </c>
      <c r="E175" s="919">
        <v>25.329822807851549</v>
      </c>
      <c r="F175" s="919">
        <v>-364.30000000000109</v>
      </c>
      <c r="G175" s="919">
        <f t="shared" si="28"/>
        <v>-0.74009515799396441</v>
      </c>
      <c r="H175" s="27">
        <v>49223.4</v>
      </c>
      <c r="I175" s="918"/>
      <c r="J175" s="918"/>
      <c r="K175" s="918"/>
      <c r="L175" s="918"/>
      <c r="M175" s="918"/>
      <c r="N175" s="918"/>
      <c r="O175" s="918"/>
      <c r="P175" s="918"/>
      <c r="Q175" s="918"/>
      <c r="R175" s="918"/>
      <c r="S175" s="918"/>
      <c r="T175" s="918"/>
      <c r="U175" s="918"/>
      <c r="V175" s="918"/>
      <c r="W175" s="918"/>
      <c r="X175" s="918"/>
      <c r="Y175" s="918"/>
      <c r="Z175" s="918"/>
      <c r="AA175" s="918"/>
      <c r="AB175" s="918"/>
      <c r="AC175" s="918"/>
      <c r="AD175" s="918"/>
      <c r="AE175" s="918"/>
      <c r="AF175" s="918"/>
      <c r="AG175" s="918"/>
      <c r="AH175" s="918"/>
      <c r="AI175" s="918"/>
      <c r="AJ175" s="918"/>
      <c r="AK175" s="918"/>
      <c r="AL175" s="918"/>
      <c r="AM175" s="918"/>
      <c r="AN175" s="918"/>
      <c r="AO175" s="918"/>
      <c r="AP175" s="918"/>
      <c r="AQ175" s="918"/>
      <c r="AR175" s="918"/>
      <c r="AS175" s="918"/>
      <c r="AT175" s="918"/>
      <c r="AU175" s="918"/>
      <c r="AV175" s="918"/>
      <c r="AW175" s="918"/>
      <c r="AX175" s="918"/>
      <c r="AY175" s="918"/>
      <c r="AZ175" s="918"/>
      <c r="BA175" s="918"/>
      <c r="BB175" s="918"/>
      <c r="BC175" s="918"/>
      <c r="BD175" s="918"/>
      <c r="BE175" s="918"/>
      <c r="BF175" s="918"/>
      <c r="BG175" s="918"/>
      <c r="BH175" s="918"/>
      <c r="BI175" s="918"/>
      <c r="BJ175" s="918"/>
      <c r="BK175" s="918"/>
      <c r="BL175" s="918"/>
      <c r="BM175" s="918"/>
      <c r="BN175" s="918"/>
      <c r="BO175" s="918"/>
      <c r="BP175" s="918"/>
      <c r="BQ175" s="918"/>
      <c r="BR175" s="918"/>
      <c r="BS175" s="918"/>
      <c r="BT175" s="918"/>
      <c r="BU175" s="918"/>
      <c r="BV175" s="918"/>
      <c r="BW175" s="918"/>
      <c r="BX175" s="918"/>
      <c r="BY175" s="918"/>
      <c r="BZ175" s="918"/>
      <c r="CA175" s="918"/>
      <c r="CB175" s="918"/>
      <c r="CC175" s="918"/>
      <c r="CD175" s="918"/>
      <c r="CE175" s="918"/>
      <c r="CF175" s="918"/>
      <c r="CG175" s="918"/>
      <c r="CH175" s="918"/>
      <c r="CI175" s="918"/>
      <c r="CJ175" s="918"/>
      <c r="CK175" s="918"/>
      <c r="CL175" s="918"/>
      <c r="CM175" s="918"/>
      <c r="CN175" s="918"/>
      <c r="CO175" s="918"/>
      <c r="CP175" s="918"/>
      <c r="CQ175" s="918"/>
      <c r="CR175" s="918"/>
      <c r="CS175" s="918"/>
      <c r="CT175" s="918"/>
      <c r="CU175" s="918"/>
      <c r="CV175" s="918"/>
      <c r="CW175" s="918"/>
      <c r="CX175" s="918"/>
      <c r="CY175" s="918"/>
      <c r="CZ175" s="918"/>
      <c r="DA175" s="918"/>
      <c r="DB175" s="918"/>
      <c r="DC175" s="918"/>
      <c r="DD175" s="918"/>
      <c r="DE175" s="918"/>
      <c r="DF175" s="918"/>
      <c r="DG175" s="918"/>
      <c r="DH175" s="918"/>
      <c r="DI175" s="918"/>
      <c r="DJ175" s="918"/>
      <c r="DK175" s="918"/>
      <c r="DL175" s="918"/>
      <c r="DM175" s="918"/>
      <c r="DN175" s="918"/>
      <c r="DO175" s="918"/>
      <c r="DP175" s="918"/>
      <c r="DQ175" s="918"/>
      <c r="DR175" s="918"/>
      <c r="DS175" s="918"/>
      <c r="DT175" s="918"/>
      <c r="DU175" s="918"/>
      <c r="DV175" s="918"/>
      <c r="DW175" s="918"/>
      <c r="DX175" s="918"/>
      <c r="DY175" s="918"/>
      <c r="DZ175" s="918"/>
      <c r="EA175" s="918"/>
      <c r="EB175" s="918"/>
      <c r="EC175" s="918"/>
      <c r="ED175" s="918"/>
      <c r="EE175" s="918"/>
      <c r="EF175" s="918"/>
      <c r="EG175" s="918"/>
      <c r="EH175" s="918"/>
      <c r="EI175" s="918"/>
      <c r="EJ175" s="918"/>
      <c r="EK175" s="918"/>
      <c r="EL175" s="918"/>
      <c r="EM175" s="918"/>
      <c r="EN175" s="918"/>
      <c r="EO175" s="918"/>
      <c r="EP175" s="918"/>
      <c r="EQ175" s="918"/>
      <c r="ER175" s="918"/>
      <c r="ES175" s="918"/>
      <c r="ET175" s="918"/>
      <c r="EU175" s="918"/>
      <c r="EV175" s="918"/>
      <c r="EW175" s="918"/>
      <c r="EX175" s="918"/>
      <c r="EY175" s="918"/>
      <c r="EZ175" s="918"/>
      <c r="FA175" s="918"/>
      <c r="FB175" s="918"/>
      <c r="FC175" s="918"/>
      <c r="FD175" s="918"/>
      <c r="FE175" s="918"/>
      <c r="FF175" s="918"/>
      <c r="FG175" s="918"/>
      <c r="FH175" s="918"/>
      <c r="FI175" s="918"/>
      <c r="FJ175" s="918"/>
      <c r="FK175" s="918"/>
      <c r="FL175" s="918"/>
      <c r="FM175" s="918"/>
      <c r="FN175" s="918"/>
      <c r="FO175" s="918"/>
      <c r="FP175" s="918"/>
      <c r="FQ175" s="918"/>
      <c r="FR175" s="918"/>
      <c r="FS175" s="918"/>
      <c r="FT175" s="918"/>
      <c r="FU175" s="918"/>
      <c r="FV175" s="918"/>
      <c r="FW175" s="918"/>
      <c r="FX175" s="918"/>
      <c r="FY175" s="918"/>
      <c r="FZ175" s="918"/>
      <c r="GA175" s="918"/>
      <c r="GB175" s="918"/>
      <c r="GC175" s="918"/>
      <c r="GD175" s="918"/>
      <c r="GE175" s="918"/>
      <c r="GF175" s="918"/>
      <c r="GG175" s="918"/>
      <c r="GH175" s="918"/>
      <c r="GI175" s="918"/>
      <c r="GJ175" s="918"/>
      <c r="GK175" s="918"/>
      <c r="GL175" s="918"/>
      <c r="GM175" s="918"/>
      <c r="GN175" s="918"/>
      <c r="GO175" s="918"/>
      <c r="GP175" s="918"/>
      <c r="GQ175" s="918"/>
      <c r="GR175" s="918"/>
      <c r="GS175" s="918"/>
      <c r="GT175" s="918"/>
      <c r="GU175" s="918"/>
      <c r="GV175" s="918"/>
      <c r="GW175" s="918"/>
      <c r="GX175" s="918"/>
      <c r="GY175" s="918"/>
      <c r="GZ175" s="918"/>
      <c r="HA175" s="918"/>
      <c r="HB175" s="918"/>
      <c r="HC175" s="918"/>
      <c r="HD175" s="918"/>
      <c r="HE175" s="918"/>
      <c r="HF175" s="918"/>
      <c r="HG175" s="918"/>
      <c r="HH175" s="918"/>
      <c r="HI175" s="918"/>
      <c r="HJ175" s="918"/>
      <c r="HK175" s="918"/>
      <c r="HL175" s="918"/>
      <c r="HM175" s="918"/>
      <c r="HN175" s="918"/>
      <c r="HO175" s="918"/>
      <c r="HP175" s="918"/>
      <c r="HQ175" s="918"/>
      <c r="HR175" s="918"/>
      <c r="HS175" s="918"/>
      <c r="HT175" s="918"/>
      <c r="HU175" s="918"/>
      <c r="HV175" s="918"/>
      <c r="HW175" s="918"/>
      <c r="HX175" s="918"/>
      <c r="HY175" s="918"/>
      <c r="HZ175" s="918"/>
      <c r="IA175" s="918"/>
      <c r="IB175" s="918"/>
      <c r="IC175" s="918"/>
      <c r="ID175" s="918"/>
      <c r="IE175" s="918"/>
      <c r="IF175" s="918"/>
      <c r="IG175" s="918"/>
      <c r="IH175" s="918"/>
      <c r="II175" s="918"/>
      <c r="IJ175" s="918"/>
      <c r="IK175" s="918"/>
      <c r="IL175" s="918"/>
      <c r="IM175" s="918"/>
      <c r="IN175" s="918"/>
    </row>
    <row r="176" spans="1:248">
      <c r="A176" s="615" t="s">
        <v>28</v>
      </c>
      <c r="B176" s="617">
        <v>12965.5</v>
      </c>
      <c r="C176" s="919">
        <v>23.819146805895677</v>
      </c>
      <c r="D176" s="618">
        <v>13927.4</v>
      </c>
      <c r="E176" s="919">
        <v>25.586270118732902</v>
      </c>
      <c r="F176" s="919">
        <v>-961.89999999999964</v>
      </c>
      <c r="G176" s="919">
        <f t="shared" si="28"/>
        <v>-1.7671233128372252</v>
      </c>
      <c r="H176" s="27">
        <v>54433.1</v>
      </c>
      <c r="I176" s="918"/>
      <c r="J176" s="918"/>
      <c r="K176" s="918"/>
      <c r="L176" s="918"/>
      <c r="M176" s="918"/>
      <c r="N176" s="918"/>
      <c r="O176" s="918"/>
      <c r="P176" s="918"/>
      <c r="Q176" s="918"/>
      <c r="R176" s="918"/>
      <c r="S176" s="918"/>
      <c r="T176" s="918"/>
      <c r="U176" s="918"/>
      <c r="V176" s="918"/>
      <c r="W176" s="918"/>
      <c r="X176" s="918"/>
      <c r="Y176" s="918"/>
      <c r="Z176" s="918"/>
      <c r="AA176" s="918"/>
      <c r="AB176" s="918"/>
      <c r="AC176" s="918"/>
      <c r="AD176" s="918"/>
      <c r="AE176" s="918"/>
      <c r="AF176" s="918"/>
      <c r="AG176" s="918"/>
      <c r="AH176" s="918"/>
      <c r="AI176" s="918"/>
      <c r="AJ176" s="918"/>
      <c r="AK176" s="918"/>
      <c r="AL176" s="918"/>
      <c r="AM176" s="918"/>
      <c r="AN176" s="918"/>
      <c r="AO176" s="918"/>
      <c r="AP176" s="918"/>
      <c r="AQ176" s="918"/>
      <c r="AR176" s="918"/>
      <c r="AS176" s="918"/>
      <c r="AT176" s="918"/>
      <c r="AU176" s="918"/>
      <c r="AV176" s="918"/>
      <c r="AW176" s="918"/>
      <c r="AX176" s="918"/>
      <c r="AY176" s="918"/>
      <c r="AZ176" s="918"/>
      <c r="BA176" s="918"/>
      <c r="BB176" s="918"/>
      <c r="BC176" s="918"/>
      <c r="BD176" s="918"/>
      <c r="BE176" s="918"/>
      <c r="BF176" s="918"/>
      <c r="BG176" s="918"/>
      <c r="BH176" s="918"/>
      <c r="BI176" s="918"/>
      <c r="BJ176" s="918"/>
      <c r="BK176" s="918"/>
      <c r="BL176" s="918"/>
      <c r="BM176" s="918"/>
      <c r="BN176" s="918"/>
      <c r="BO176" s="918"/>
      <c r="BP176" s="918"/>
      <c r="BQ176" s="918"/>
      <c r="BR176" s="918"/>
      <c r="BS176" s="918"/>
      <c r="BT176" s="918"/>
      <c r="BU176" s="918"/>
      <c r="BV176" s="918"/>
      <c r="BW176" s="918"/>
      <c r="BX176" s="918"/>
      <c r="BY176" s="918"/>
      <c r="BZ176" s="918"/>
      <c r="CA176" s="918"/>
      <c r="CB176" s="918"/>
      <c r="CC176" s="918"/>
      <c r="CD176" s="918"/>
      <c r="CE176" s="918"/>
      <c r="CF176" s="918"/>
      <c r="CG176" s="918"/>
      <c r="CH176" s="918"/>
      <c r="CI176" s="918"/>
      <c r="CJ176" s="918"/>
      <c r="CK176" s="918"/>
      <c r="CL176" s="918"/>
      <c r="CM176" s="918"/>
      <c r="CN176" s="918"/>
      <c r="CO176" s="918"/>
      <c r="CP176" s="918"/>
      <c r="CQ176" s="918"/>
      <c r="CR176" s="918"/>
      <c r="CS176" s="918"/>
      <c r="CT176" s="918"/>
      <c r="CU176" s="918"/>
      <c r="CV176" s="918"/>
      <c r="CW176" s="918"/>
      <c r="CX176" s="918"/>
      <c r="CY176" s="918"/>
      <c r="CZ176" s="918"/>
      <c r="DA176" s="918"/>
      <c r="DB176" s="918"/>
      <c r="DC176" s="918"/>
      <c r="DD176" s="918"/>
      <c r="DE176" s="918"/>
      <c r="DF176" s="918"/>
      <c r="DG176" s="918"/>
      <c r="DH176" s="918"/>
      <c r="DI176" s="918"/>
      <c r="DJ176" s="918"/>
      <c r="DK176" s="918"/>
      <c r="DL176" s="918"/>
      <c r="DM176" s="918"/>
      <c r="DN176" s="918"/>
      <c r="DO176" s="918"/>
      <c r="DP176" s="918"/>
      <c r="DQ176" s="918"/>
      <c r="DR176" s="918"/>
      <c r="DS176" s="918"/>
      <c r="DT176" s="918"/>
      <c r="DU176" s="918"/>
      <c r="DV176" s="918"/>
      <c r="DW176" s="918"/>
      <c r="DX176" s="918"/>
      <c r="DY176" s="918"/>
      <c r="DZ176" s="918"/>
      <c r="EA176" s="918"/>
      <c r="EB176" s="918"/>
      <c r="EC176" s="918"/>
      <c r="ED176" s="918"/>
      <c r="EE176" s="918"/>
      <c r="EF176" s="918"/>
      <c r="EG176" s="918"/>
      <c r="EH176" s="918"/>
      <c r="EI176" s="918"/>
      <c r="EJ176" s="918"/>
      <c r="EK176" s="918"/>
      <c r="EL176" s="918"/>
      <c r="EM176" s="918"/>
      <c r="EN176" s="918"/>
      <c r="EO176" s="918"/>
      <c r="EP176" s="918"/>
      <c r="EQ176" s="918"/>
      <c r="ER176" s="918"/>
      <c r="ES176" s="918"/>
      <c r="ET176" s="918"/>
      <c r="EU176" s="918"/>
      <c r="EV176" s="918"/>
      <c r="EW176" s="918"/>
      <c r="EX176" s="918"/>
      <c r="EY176" s="918"/>
      <c r="EZ176" s="918"/>
      <c r="FA176" s="918"/>
      <c r="FB176" s="918"/>
      <c r="FC176" s="918"/>
      <c r="FD176" s="918"/>
      <c r="FE176" s="918"/>
      <c r="FF176" s="918"/>
      <c r="FG176" s="918"/>
      <c r="FH176" s="918"/>
      <c r="FI176" s="918"/>
      <c r="FJ176" s="918"/>
      <c r="FK176" s="918"/>
      <c r="FL176" s="918"/>
      <c r="FM176" s="918"/>
      <c r="FN176" s="918"/>
      <c r="FO176" s="918"/>
      <c r="FP176" s="918"/>
      <c r="FQ176" s="918"/>
      <c r="FR176" s="918"/>
      <c r="FS176" s="918"/>
      <c r="FT176" s="918"/>
      <c r="FU176" s="918"/>
      <c r="FV176" s="918"/>
      <c r="FW176" s="918"/>
      <c r="FX176" s="918"/>
      <c r="FY176" s="918"/>
      <c r="FZ176" s="918"/>
      <c r="GA176" s="918"/>
      <c r="GB176" s="918"/>
      <c r="GC176" s="918"/>
      <c r="GD176" s="918"/>
      <c r="GE176" s="918"/>
      <c r="GF176" s="918"/>
      <c r="GG176" s="918"/>
      <c r="GH176" s="918"/>
      <c r="GI176" s="918"/>
      <c r="GJ176" s="918"/>
      <c r="GK176" s="918"/>
      <c r="GL176" s="918"/>
      <c r="GM176" s="918"/>
      <c r="GN176" s="918"/>
      <c r="GO176" s="918"/>
      <c r="GP176" s="918"/>
      <c r="GQ176" s="918"/>
      <c r="GR176" s="918"/>
      <c r="GS176" s="918"/>
      <c r="GT176" s="918"/>
      <c r="GU176" s="918"/>
      <c r="GV176" s="918"/>
      <c r="GW176" s="918"/>
      <c r="GX176" s="918"/>
      <c r="GY176" s="918"/>
      <c r="GZ176" s="918"/>
      <c r="HA176" s="918"/>
      <c r="HB176" s="918"/>
      <c r="HC176" s="918"/>
      <c r="HD176" s="918"/>
      <c r="HE176" s="918"/>
      <c r="HF176" s="918"/>
      <c r="HG176" s="918"/>
      <c r="HH176" s="918"/>
      <c r="HI176" s="918"/>
      <c r="HJ176" s="918"/>
      <c r="HK176" s="918"/>
      <c r="HL176" s="918"/>
      <c r="HM176" s="918"/>
      <c r="HN176" s="918"/>
      <c r="HO176" s="918"/>
      <c r="HP176" s="918"/>
      <c r="HQ176" s="918"/>
      <c r="HR176" s="918"/>
      <c r="HS176" s="918"/>
      <c r="HT176" s="918"/>
      <c r="HU176" s="918"/>
      <c r="HV176" s="918"/>
      <c r="HW176" s="918"/>
      <c r="HX176" s="918"/>
      <c r="HY176" s="918"/>
      <c r="HZ176" s="918"/>
      <c r="IA176" s="918"/>
      <c r="IB176" s="918"/>
      <c r="IC176" s="918"/>
      <c r="ID176" s="918"/>
      <c r="IE176" s="918"/>
      <c r="IF176" s="918"/>
      <c r="IG176" s="918"/>
      <c r="IH176" s="918"/>
      <c r="II176" s="918"/>
      <c r="IJ176" s="918"/>
      <c r="IK176" s="918"/>
      <c r="IL176" s="918"/>
      <c r="IM176" s="918"/>
      <c r="IN176" s="918"/>
    </row>
    <row r="177" spans="1:248">
      <c r="A177" s="615" t="s">
        <v>29</v>
      </c>
      <c r="B177" s="617">
        <v>17506</v>
      </c>
      <c r="C177" s="617">
        <v>28.963412615928458</v>
      </c>
      <c r="D177" s="618">
        <v>17751</v>
      </c>
      <c r="E177" s="919">
        <v>29.576729896295411</v>
      </c>
      <c r="F177" s="919">
        <v>-245</v>
      </c>
      <c r="G177" s="919">
        <f t="shared" si="28"/>
        <v>-0.40545997365337644</v>
      </c>
      <c r="H177" s="27">
        <v>60425.2</v>
      </c>
      <c r="I177" s="918"/>
      <c r="J177" s="918"/>
      <c r="K177" s="918"/>
      <c r="L177" s="918"/>
      <c r="M177" s="918"/>
      <c r="N177" s="918"/>
      <c r="O177" s="918"/>
      <c r="P177" s="918"/>
      <c r="Q177" s="918"/>
      <c r="R177" s="918"/>
      <c r="S177" s="918"/>
      <c r="T177" s="918"/>
      <c r="U177" s="918"/>
      <c r="V177" s="918"/>
      <c r="W177" s="918"/>
      <c r="X177" s="918"/>
      <c r="Y177" s="918"/>
      <c r="Z177" s="918"/>
      <c r="AA177" s="918"/>
      <c r="AB177" s="918"/>
      <c r="AC177" s="918"/>
      <c r="AD177" s="918"/>
      <c r="AE177" s="918"/>
      <c r="AF177" s="918"/>
      <c r="AG177" s="918"/>
      <c r="AH177" s="918"/>
      <c r="AI177" s="918"/>
      <c r="AJ177" s="918"/>
      <c r="AK177" s="918"/>
      <c r="AL177" s="918"/>
      <c r="AM177" s="918"/>
      <c r="AN177" s="918"/>
      <c r="AO177" s="918"/>
      <c r="AP177" s="918"/>
      <c r="AQ177" s="918"/>
      <c r="AR177" s="918"/>
      <c r="AS177" s="918"/>
      <c r="AT177" s="918"/>
      <c r="AU177" s="918"/>
      <c r="AV177" s="918"/>
      <c r="AW177" s="918"/>
      <c r="AX177" s="918"/>
      <c r="AY177" s="918"/>
      <c r="AZ177" s="918"/>
      <c r="BA177" s="918"/>
      <c r="BB177" s="918"/>
      <c r="BC177" s="918"/>
      <c r="BD177" s="918"/>
      <c r="BE177" s="918"/>
      <c r="BF177" s="918"/>
      <c r="BG177" s="918"/>
      <c r="BH177" s="918"/>
      <c r="BI177" s="918"/>
      <c r="BJ177" s="918"/>
      <c r="BK177" s="918"/>
      <c r="BL177" s="918"/>
      <c r="BM177" s="918"/>
      <c r="BN177" s="918"/>
      <c r="BO177" s="918"/>
      <c r="BP177" s="918"/>
      <c r="BQ177" s="918"/>
      <c r="BR177" s="918"/>
      <c r="BS177" s="918"/>
      <c r="BT177" s="918"/>
      <c r="BU177" s="918"/>
      <c r="BV177" s="918"/>
      <c r="BW177" s="918"/>
      <c r="BX177" s="918"/>
      <c r="BY177" s="918"/>
      <c r="BZ177" s="918"/>
      <c r="CA177" s="918"/>
      <c r="CB177" s="918"/>
      <c r="CC177" s="918"/>
      <c r="CD177" s="918"/>
      <c r="CE177" s="918"/>
      <c r="CF177" s="918"/>
      <c r="CG177" s="918"/>
      <c r="CH177" s="918"/>
      <c r="CI177" s="918"/>
      <c r="CJ177" s="918"/>
      <c r="CK177" s="918"/>
      <c r="CL177" s="918"/>
      <c r="CM177" s="918"/>
      <c r="CN177" s="918"/>
      <c r="CO177" s="918"/>
      <c r="CP177" s="918"/>
      <c r="CQ177" s="918"/>
      <c r="CR177" s="918"/>
      <c r="CS177" s="918"/>
      <c r="CT177" s="918"/>
      <c r="CU177" s="918"/>
      <c r="CV177" s="918"/>
      <c r="CW177" s="918"/>
      <c r="CX177" s="918"/>
      <c r="CY177" s="918"/>
      <c r="CZ177" s="918"/>
      <c r="DA177" s="918"/>
      <c r="DB177" s="918"/>
      <c r="DC177" s="918"/>
      <c r="DD177" s="918"/>
      <c r="DE177" s="918"/>
      <c r="DF177" s="918"/>
      <c r="DG177" s="918"/>
      <c r="DH177" s="918"/>
      <c r="DI177" s="918"/>
      <c r="DJ177" s="918"/>
      <c r="DK177" s="918"/>
      <c r="DL177" s="918"/>
      <c r="DM177" s="918"/>
      <c r="DN177" s="918"/>
      <c r="DO177" s="918"/>
      <c r="DP177" s="918"/>
      <c r="DQ177" s="918"/>
      <c r="DR177" s="918"/>
      <c r="DS177" s="918"/>
      <c r="DT177" s="918"/>
      <c r="DU177" s="918"/>
      <c r="DV177" s="918"/>
      <c r="DW177" s="918"/>
      <c r="DX177" s="918"/>
      <c r="DY177" s="918"/>
      <c r="DZ177" s="918"/>
      <c r="EA177" s="918"/>
      <c r="EB177" s="918"/>
      <c r="EC177" s="918"/>
      <c r="ED177" s="918"/>
      <c r="EE177" s="918"/>
      <c r="EF177" s="918"/>
      <c r="EG177" s="918"/>
      <c r="EH177" s="918"/>
      <c r="EI177" s="918"/>
      <c r="EJ177" s="918"/>
      <c r="EK177" s="918"/>
      <c r="EL177" s="918"/>
      <c r="EM177" s="918"/>
      <c r="EN177" s="918"/>
      <c r="EO177" s="918"/>
      <c r="EP177" s="918"/>
      <c r="EQ177" s="918"/>
      <c r="ER177" s="918"/>
      <c r="ES177" s="918"/>
      <c r="ET177" s="918"/>
      <c r="EU177" s="918"/>
      <c r="EV177" s="918"/>
      <c r="EW177" s="918"/>
      <c r="EX177" s="918"/>
      <c r="EY177" s="918"/>
      <c r="EZ177" s="918"/>
      <c r="FA177" s="918"/>
      <c r="FB177" s="918"/>
      <c r="FC177" s="918"/>
      <c r="FD177" s="918"/>
      <c r="FE177" s="918"/>
      <c r="FF177" s="918"/>
      <c r="FG177" s="918"/>
      <c r="FH177" s="918"/>
      <c r="FI177" s="918"/>
      <c r="FJ177" s="918"/>
      <c r="FK177" s="918"/>
      <c r="FL177" s="918"/>
      <c r="FM177" s="918"/>
      <c r="FN177" s="918"/>
      <c r="FO177" s="918"/>
      <c r="FP177" s="918"/>
      <c r="FQ177" s="918"/>
      <c r="FR177" s="918"/>
      <c r="FS177" s="918"/>
      <c r="FT177" s="918"/>
      <c r="FU177" s="918"/>
      <c r="FV177" s="918"/>
      <c r="FW177" s="918"/>
      <c r="FX177" s="918"/>
      <c r="FY177" s="918"/>
      <c r="FZ177" s="918"/>
      <c r="GA177" s="918"/>
      <c r="GB177" s="918"/>
      <c r="GC177" s="918"/>
      <c r="GD177" s="918"/>
      <c r="GE177" s="918"/>
      <c r="GF177" s="918"/>
      <c r="GG177" s="918"/>
      <c r="GH177" s="918"/>
      <c r="GI177" s="918"/>
      <c r="GJ177" s="918"/>
      <c r="GK177" s="918"/>
      <c r="GL177" s="918"/>
      <c r="GM177" s="918"/>
      <c r="GN177" s="918"/>
      <c r="GO177" s="918"/>
      <c r="GP177" s="918"/>
      <c r="GQ177" s="918"/>
      <c r="GR177" s="918"/>
      <c r="GS177" s="918"/>
      <c r="GT177" s="918"/>
      <c r="GU177" s="918"/>
      <c r="GV177" s="918"/>
      <c r="GW177" s="918"/>
      <c r="GX177" s="918"/>
      <c r="GY177" s="918"/>
      <c r="GZ177" s="918"/>
      <c r="HA177" s="918"/>
      <c r="HB177" s="918"/>
      <c r="HC177" s="918"/>
      <c r="HD177" s="918"/>
      <c r="HE177" s="918"/>
      <c r="HF177" s="918"/>
      <c r="HG177" s="918"/>
      <c r="HH177" s="918"/>
      <c r="HI177" s="918"/>
      <c r="HJ177" s="918"/>
      <c r="HK177" s="918"/>
      <c r="HL177" s="918"/>
      <c r="HM177" s="918"/>
      <c r="HN177" s="918"/>
      <c r="HO177" s="918"/>
      <c r="HP177" s="918"/>
      <c r="HQ177" s="918"/>
      <c r="HR177" s="918"/>
      <c r="HS177" s="918"/>
      <c r="HT177" s="918"/>
      <c r="HU177" s="918"/>
      <c r="HV177" s="918"/>
      <c r="HW177" s="918"/>
      <c r="HX177" s="918"/>
      <c r="HY177" s="918"/>
      <c r="HZ177" s="918"/>
      <c r="IA177" s="918"/>
      <c r="IB177" s="918"/>
      <c r="IC177" s="918"/>
      <c r="ID177" s="918"/>
      <c r="IE177" s="918"/>
      <c r="IF177" s="918"/>
      <c r="IG177" s="918"/>
      <c r="IH177" s="918"/>
      <c r="II177" s="918"/>
      <c r="IJ177" s="918"/>
      <c r="IK177" s="918"/>
      <c r="IL177" s="918"/>
      <c r="IM177" s="918"/>
      <c r="IN177" s="918"/>
    </row>
    <row r="178" spans="1:248">
      <c r="A178" s="615" t="s">
        <v>1915</v>
      </c>
      <c r="B178" s="612">
        <v>16516.683993999995</v>
      </c>
      <c r="C178" s="920">
        <v>23.450312325782669</v>
      </c>
      <c r="D178" s="613">
        <v>17594.477983999997</v>
      </c>
      <c r="E178" s="920">
        <v>25.077885395472453</v>
      </c>
      <c r="F178" s="920">
        <f>B178-D178</f>
        <v>-1077.7939900000019</v>
      </c>
      <c r="G178" s="920">
        <v>-1.6275730696897843</v>
      </c>
      <c r="H178" s="27"/>
      <c r="I178" s="918"/>
      <c r="J178" s="918"/>
      <c r="K178" s="918"/>
      <c r="L178" s="918"/>
      <c r="M178" s="918"/>
      <c r="N178" s="918"/>
      <c r="O178" s="918"/>
      <c r="P178" s="918"/>
      <c r="Q178" s="918"/>
      <c r="R178" s="918"/>
      <c r="S178" s="918"/>
      <c r="T178" s="918"/>
      <c r="U178" s="918"/>
      <c r="V178" s="918"/>
      <c r="W178" s="918"/>
      <c r="X178" s="918"/>
      <c r="Y178" s="918"/>
      <c r="Z178" s="918"/>
      <c r="AA178" s="918"/>
      <c r="AB178" s="918"/>
      <c r="AC178" s="918"/>
      <c r="AD178" s="918"/>
      <c r="AE178" s="918"/>
      <c r="AF178" s="918"/>
      <c r="AG178" s="918"/>
      <c r="AH178" s="918"/>
      <c r="AI178" s="918"/>
      <c r="AJ178" s="918"/>
      <c r="AK178" s="918"/>
      <c r="AL178" s="918"/>
      <c r="AM178" s="918"/>
      <c r="AN178" s="918"/>
      <c r="AO178" s="918"/>
      <c r="AP178" s="918"/>
      <c r="AQ178" s="918"/>
      <c r="AR178" s="918"/>
      <c r="AS178" s="918"/>
      <c r="AT178" s="918"/>
      <c r="AU178" s="918"/>
      <c r="AV178" s="918"/>
      <c r="AW178" s="918"/>
      <c r="AX178" s="918"/>
      <c r="AY178" s="918"/>
      <c r="AZ178" s="918"/>
      <c r="BA178" s="918"/>
      <c r="BB178" s="918"/>
      <c r="BC178" s="918"/>
      <c r="BD178" s="918"/>
      <c r="BE178" s="918"/>
      <c r="BF178" s="918"/>
      <c r="BG178" s="918"/>
      <c r="BH178" s="918"/>
      <c r="BI178" s="918"/>
      <c r="BJ178" s="918"/>
      <c r="BK178" s="918"/>
      <c r="BL178" s="918"/>
      <c r="BM178" s="918"/>
      <c r="BN178" s="918"/>
      <c r="BO178" s="918"/>
      <c r="BP178" s="918"/>
      <c r="BQ178" s="918"/>
      <c r="BR178" s="918"/>
      <c r="BS178" s="918"/>
      <c r="BT178" s="918"/>
      <c r="BU178" s="918"/>
      <c r="BV178" s="918"/>
      <c r="BW178" s="918"/>
      <c r="BX178" s="918"/>
      <c r="BY178" s="918"/>
      <c r="BZ178" s="918"/>
      <c r="CA178" s="918"/>
      <c r="CB178" s="918"/>
      <c r="CC178" s="918"/>
      <c r="CD178" s="918"/>
      <c r="CE178" s="918"/>
      <c r="CF178" s="918"/>
      <c r="CG178" s="918"/>
      <c r="CH178" s="918"/>
      <c r="CI178" s="918"/>
      <c r="CJ178" s="918"/>
      <c r="CK178" s="918"/>
      <c r="CL178" s="918"/>
      <c r="CM178" s="918"/>
      <c r="CN178" s="918"/>
      <c r="CO178" s="918"/>
      <c r="CP178" s="918"/>
      <c r="CQ178" s="918"/>
      <c r="CR178" s="918"/>
      <c r="CS178" s="918"/>
      <c r="CT178" s="918"/>
      <c r="CU178" s="918"/>
      <c r="CV178" s="918"/>
      <c r="CW178" s="918"/>
      <c r="CX178" s="918"/>
      <c r="CY178" s="918"/>
      <c r="CZ178" s="918"/>
      <c r="DA178" s="918"/>
      <c r="DB178" s="918"/>
      <c r="DC178" s="918"/>
      <c r="DD178" s="918"/>
      <c r="DE178" s="918"/>
      <c r="DF178" s="918"/>
      <c r="DG178" s="918"/>
      <c r="DH178" s="918"/>
      <c r="DI178" s="918"/>
      <c r="DJ178" s="918"/>
      <c r="DK178" s="918"/>
      <c r="DL178" s="918"/>
      <c r="DM178" s="918"/>
      <c r="DN178" s="918"/>
      <c r="DO178" s="918"/>
      <c r="DP178" s="918"/>
      <c r="DQ178" s="918"/>
      <c r="DR178" s="918"/>
      <c r="DS178" s="918"/>
      <c r="DT178" s="918"/>
      <c r="DU178" s="918"/>
      <c r="DV178" s="918"/>
      <c r="DW178" s="918"/>
      <c r="DX178" s="918"/>
      <c r="DY178" s="918"/>
      <c r="DZ178" s="918"/>
      <c r="EA178" s="918"/>
      <c r="EB178" s="918"/>
      <c r="EC178" s="918"/>
      <c r="ED178" s="918"/>
      <c r="EE178" s="918"/>
      <c r="EF178" s="918"/>
      <c r="EG178" s="918"/>
      <c r="EH178" s="918"/>
      <c r="EI178" s="918"/>
      <c r="EJ178" s="918"/>
      <c r="EK178" s="918"/>
      <c r="EL178" s="918"/>
      <c r="EM178" s="918"/>
      <c r="EN178" s="918"/>
      <c r="EO178" s="918"/>
      <c r="EP178" s="918"/>
      <c r="EQ178" s="918"/>
      <c r="ER178" s="918"/>
      <c r="ES178" s="918"/>
      <c r="ET178" s="918"/>
      <c r="EU178" s="918"/>
      <c r="EV178" s="918"/>
      <c r="EW178" s="918"/>
      <c r="EX178" s="918"/>
      <c r="EY178" s="918"/>
      <c r="EZ178" s="918"/>
      <c r="FA178" s="918"/>
      <c r="FB178" s="918"/>
      <c r="FC178" s="918"/>
      <c r="FD178" s="918"/>
      <c r="FE178" s="918"/>
      <c r="FF178" s="918"/>
      <c r="FG178" s="918"/>
      <c r="FH178" s="918"/>
      <c r="FI178" s="918"/>
      <c r="FJ178" s="918"/>
      <c r="FK178" s="918"/>
      <c r="FL178" s="918"/>
      <c r="FM178" s="918"/>
      <c r="FN178" s="918"/>
      <c r="FO178" s="918"/>
      <c r="FP178" s="918"/>
      <c r="FQ178" s="918"/>
      <c r="FR178" s="918"/>
      <c r="FS178" s="918"/>
      <c r="FT178" s="918"/>
      <c r="FU178" s="918"/>
      <c r="FV178" s="918"/>
      <c r="FW178" s="918"/>
      <c r="FX178" s="918"/>
      <c r="FY178" s="918"/>
      <c r="FZ178" s="918"/>
      <c r="GA178" s="918"/>
      <c r="GB178" s="918"/>
      <c r="GC178" s="918"/>
      <c r="GD178" s="918"/>
      <c r="GE178" s="918"/>
      <c r="GF178" s="918"/>
      <c r="GG178" s="918"/>
      <c r="GH178" s="918"/>
      <c r="GI178" s="918"/>
      <c r="GJ178" s="918"/>
      <c r="GK178" s="918"/>
      <c r="GL178" s="918"/>
      <c r="GM178" s="918"/>
      <c r="GN178" s="918"/>
      <c r="GO178" s="918"/>
      <c r="GP178" s="918"/>
      <c r="GQ178" s="918"/>
      <c r="GR178" s="918"/>
      <c r="GS178" s="918"/>
      <c r="GT178" s="918"/>
      <c r="GU178" s="918"/>
      <c r="GV178" s="918"/>
      <c r="GW178" s="918"/>
      <c r="GX178" s="918"/>
      <c r="GY178" s="918"/>
      <c r="GZ178" s="918"/>
      <c r="HA178" s="918"/>
      <c r="HB178" s="918"/>
      <c r="HC178" s="918"/>
      <c r="HD178" s="918"/>
      <c r="HE178" s="918"/>
      <c r="HF178" s="918"/>
      <c r="HG178" s="918"/>
      <c r="HH178" s="918"/>
      <c r="HI178" s="918"/>
      <c r="HJ178" s="918"/>
      <c r="HK178" s="918"/>
      <c r="HL178" s="918"/>
      <c r="HM178" s="918"/>
      <c r="HN178" s="918"/>
      <c r="HO178" s="918"/>
      <c r="HP178" s="918"/>
      <c r="HQ178" s="918"/>
      <c r="HR178" s="918"/>
      <c r="HS178" s="918"/>
      <c r="HT178" s="918"/>
      <c r="HU178" s="918"/>
      <c r="HV178" s="918"/>
      <c r="HW178" s="918"/>
      <c r="HX178" s="918"/>
      <c r="HY178" s="918"/>
      <c r="HZ178" s="918"/>
      <c r="IA178" s="918"/>
      <c r="IB178" s="918"/>
      <c r="IC178" s="918"/>
      <c r="ID178" s="918"/>
      <c r="IE178" s="918"/>
      <c r="IF178" s="918"/>
      <c r="IG178" s="918"/>
      <c r="IH178" s="918"/>
      <c r="II178" s="918"/>
      <c r="IJ178" s="918"/>
      <c r="IK178" s="918"/>
      <c r="IL178" s="918"/>
      <c r="IM178" s="918"/>
      <c r="IN178" s="918"/>
    </row>
    <row r="179" spans="1:248">
      <c r="A179" s="615" t="s">
        <v>18</v>
      </c>
      <c r="B179" s="617">
        <v>1243.5999999999999</v>
      </c>
      <c r="C179" s="919">
        <v>23.764116871452863</v>
      </c>
      <c r="D179" s="618">
        <v>924.9</v>
      </c>
      <c r="E179" s="919">
        <v>17.674036422006075</v>
      </c>
      <c r="F179" s="919">
        <v>318.69999999999993</v>
      </c>
      <c r="G179" s="919">
        <f t="shared" si="28"/>
        <v>6.0900804494467886</v>
      </c>
      <c r="H179" s="27">
        <v>5233.1000000000004</v>
      </c>
      <c r="I179" s="918"/>
      <c r="J179" s="918"/>
      <c r="K179" s="918"/>
      <c r="L179" s="918"/>
      <c r="M179" s="918"/>
      <c r="N179" s="918"/>
      <c r="O179" s="918"/>
      <c r="P179" s="918"/>
      <c r="Q179" s="918"/>
      <c r="R179" s="918"/>
      <c r="S179" s="918"/>
      <c r="T179" s="918"/>
      <c r="U179" s="918"/>
      <c r="V179" s="918"/>
      <c r="W179" s="918"/>
      <c r="X179" s="918"/>
      <c r="Y179" s="918"/>
      <c r="Z179" s="918"/>
      <c r="AA179" s="918"/>
      <c r="AB179" s="918"/>
      <c r="AC179" s="918"/>
      <c r="AD179" s="918"/>
      <c r="AE179" s="918"/>
      <c r="AF179" s="918"/>
      <c r="AG179" s="918"/>
      <c r="AH179" s="918"/>
      <c r="AI179" s="918"/>
      <c r="AJ179" s="918"/>
      <c r="AK179" s="918"/>
      <c r="AL179" s="918"/>
      <c r="AM179" s="918"/>
      <c r="AN179" s="918"/>
      <c r="AO179" s="918"/>
      <c r="AP179" s="918"/>
      <c r="AQ179" s="918"/>
      <c r="AR179" s="918"/>
      <c r="AS179" s="918"/>
      <c r="AT179" s="918"/>
      <c r="AU179" s="918"/>
      <c r="AV179" s="918"/>
      <c r="AW179" s="918"/>
      <c r="AX179" s="918"/>
      <c r="AY179" s="918"/>
      <c r="AZ179" s="918"/>
      <c r="BA179" s="918"/>
      <c r="BB179" s="918"/>
      <c r="BC179" s="918"/>
      <c r="BD179" s="918"/>
      <c r="BE179" s="918"/>
      <c r="BF179" s="918"/>
      <c r="BG179" s="918"/>
      <c r="BH179" s="918"/>
      <c r="BI179" s="918"/>
      <c r="BJ179" s="918"/>
      <c r="BK179" s="918"/>
      <c r="BL179" s="918"/>
      <c r="BM179" s="918"/>
      <c r="BN179" s="918"/>
      <c r="BO179" s="918"/>
      <c r="BP179" s="918"/>
      <c r="BQ179" s="918"/>
      <c r="BR179" s="918"/>
      <c r="BS179" s="918"/>
      <c r="BT179" s="918"/>
      <c r="BU179" s="918"/>
      <c r="BV179" s="918"/>
      <c r="BW179" s="918"/>
      <c r="BX179" s="918"/>
      <c r="BY179" s="918"/>
      <c r="BZ179" s="918"/>
      <c r="CA179" s="918"/>
      <c r="CB179" s="918"/>
      <c r="CC179" s="918"/>
      <c r="CD179" s="918"/>
      <c r="CE179" s="918"/>
      <c r="CF179" s="918"/>
      <c r="CG179" s="918"/>
      <c r="CH179" s="918"/>
      <c r="CI179" s="918"/>
      <c r="CJ179" s="918"/>
      <c r="CK179" s="918"/>
      <c r="CL179" s="918"/>
      <c r="CM179" s="918"/>
      <c r="CN179" s="918"/>
      <c r="CO179" s="918"/>
      <c r="CP179" s="918"/>
      <c r="CQ179" s="918"/>
      <c r="CR179" s="918"/>
      <c r="CS179" s="918"/>
      <c r="CT179" s="918"/>
      <c r="CU179" s="918"/>
      <c r="CV179" s="918"/>
      <c r="CW179" s="918"/>
      <c r="CX179" s="918"/>
      <c r="CY179" s="918"/>
      <c r="CZ179" s="918"/>
      <c r="DA179" s="918"/>
      <c r="DB179" s="918"/>
      <c r="DC179" s="918"/>
      <c r="DD179" s="918"/>
      <c r="DE179" s="918"/>
      <c r="DF179" s="918"/>
      <c r="DG179" s="918"/>
      <c r="DH179" s="918"/>
      <c r="DI179" s="918"/>
      <c r="DJ179" s="918"/>
      <c r="DK179" s="918"/>
      <c r="DL179" s="918"/>
      <c r="DM179" s="918"/>
      <c r="DN179" s="918"/>
      <c r="DO179" s="918"/>
      <c r="DP179" s="918"/>
      <c r="DQ179" s="918"/>
      <c r="DR179" s="918"/>
      <c r="DS179" s="918"/>
      <c r="DT179" s="918"/>
      <c r="DU179" s="918"/>
      <c r="DV179" s="918"/>
      <c r="DW179" s="918"/>
      <c r="DX179" s="918"/>
      <c r="DY179" s="918"/>
      <c r="DZ179" s="918"/>
      <c r="EA179" s="918"/>
      <c r="EB179" s="918"/>
      <c r="EC179" s="918"/>
      <c r="ED179" s="918"/>
      <c r="EE179" s="918"/>
      <c r="EF179" s="918"/>
      <c r="EG179" s="918"/>
      <c r="EH179" s="918"/>
      <c r="EI179" s="918"/>
      <c r="EJ179" s="918"/>
      <c r="EK179" s="918"/>
      <c r="EL179" s="918"/>
      <c r="EM179" s="918"/>
      <c r="EN179" s="918"/>
      <c r="EO179" s="918"/>
      <c r="EP179" s="918"/>
      <c r="EQ179" s="918"/>
      <c r="ER179" s="918"/>
      <c r="ES179" s="918"/>
      <c r="ET179" s="918"/>
      <c r="EU179" s="918"/>
      <c r="EV179" s="918"/>
      <c r="EW179" s="918"/>
      <c r="EX179" s="918"/>
      <c r="EY179" s="918"/>
      <c r="EZ179" s="918"/>
      <c r="FA179" s="918"/>
      <c r="FB179" s="918"/>
      <c r="FC179" s="918"/>
      <c r="FD179" s="918"/>
      <c r="FE179" s="918"/>
      <c r="FF179" s="918"/>
      <c r="FG179" s="918"/>
      <c r="FH179" s="918"/>
      <c r="FI179" s="918"/>
      <c r="FJ179" s="918"/>
      <c r="FK179" s="918"/>
      <c r="FL179" s="918"/>
      <c r="FM179" s="918"/>
      <c r="FN179" s="918"/>
      <c r="FO179" s="918"/>
      <c r="FP179" s="918"/>
      <c r="FQ179" s="918"/>
      <c r="FR179" s="918"/>
      <c r="FS179" s="918"/>
      <c r="FT179" s="918"/>
      <c r="FU179" s="918"/>
      <c r="FV179" s="918"/>
      <c r="FW179" s="918"/>
      <c r="FX179" s="918"/>
      <c r="FY179" s="918"/>
      <c r="FZ179" s="918"/>
      <c r="GA179" s="918"/>
      <c r="GB179" s="918"/>
      <c r="GC179" s="918"/>
      <c r="GD179" s="918"/>
      <c r="GE179" s="918"/>
      <c r="GF179" s="918"/>
      <c r="GG179" s="918"/>
      <c r="GH179" s="918"/>
      <c r="GI179" s="918"/>
      <c r="GJ179" s="918"/>
      <c r="GK179" s="918"/>
      <c r="GL179" s="918"/>
      <c r="GM179" s="918"/>
      <c r="GN179" s="918"/>
      <c r="GO179" s="918"/>
      <c r="GP179" s="918"/>
      <c r="GQ179" s="918"/>
      <c r="GR179" s="918"/>
      <c r="GS179" s="918"/>
      <c r="GT179" s="918"/>
      <c r="GU179" s="918"/>
      <c r="GV179" s="918"/>
      <c r="GW179" s="918"/>
      <c r="GX179" s="918"/>
      <c r="GY179" s="918"/>
      <c r="GZ179" s="918"/>
      <c r="HA179" s="918"/>
      <c r="HB179" s="918"/>
      <c r="HC179" s="918"/>
      <c r="HD179" s="918"/>
      <c r="HE179" s="918"/>
      <c r="HF179" s="918"/>
      <c r="HG179" s="918"/>
      <c r="HH179" s="918"/>
      <c r="HI179" s="918"/>
      <c r="HJ179" s="918"/>
      <c r="HK179" s="918"/>
      <c r="HL179" s="918"/>
      <c r="HM179" s="918"/>
      <c r="HN179" s="918"/>
      <c r="HO179" s="918"/>
      <c r="HP179" s="918"/>
      <c r="HQ179" s="918"/>
      <c r="HR179" s="918"/>
      <c r="HS179" s="918"/>
      <c r="HT179" s="918"/>
      <c r="HU179" s="918"/>
      <c r="HV179" s="918"/>
      <c r="HW179" s="918"/>
      <c r="HX179" s="918"/>
      <c r="HY179" s="918"/>
      <c r="HZ179" s="918"/>
      <c r="IA179" s="918"/>
      <c r="IB179" s="918"/>
      <c r="IC179" s="918"/>
      <c r="ID179" s="918"/>
      <c r="IE179" s="918"/>
      <c r="IF179" s="918"/>
      <c r="IG179" s="918"/>
      <c r="IH179" s="918"/>
      <c r="II179" s="918"/>
      <c r="IJ179" s="918"/>
      <c r="IK179" s="918"/>
      <c r="IL179" s="918"/>
      <c r="IM179" s="918"/>
      <c r="IN179" s="918"/>
    </row>
    <row r="180" spans="1:248">
      <c r="A180" s="615" t="s">
        <v>19</v>
      </c>
      <c r="B180" s="617">
        <v>2370.5</v>
      </c>
      <c r="C180" s="919">
        <v>23.604445064027242</v>
      </c>
      <c r="D180" s="618">
        <v>2191.6999999999998</v>
      </c>
      <c r="E180" s="919">
        <v>21.824029633760176</v>
      </c>
      <c r="F180" s="919">
        <v>178.80000000000018</v>
      </c>
      <c r="G180" s="919">
        <f t="shared" si="28"/>
        <v>1.7804154302670641</v>
      </c>
      <c r="H180" s="27">
        <v>10042.6</v>
      </c>
      <c r="I180" s="918"/>
      <c r="J180" s="918"/>
      <c r="K180" s="918"/>
      <c r="L180" s="918"/>
      <c r="M180" s="918"/>
      <c r="N180" s="918"/>
      <c r="O180" s="918"/>
      <c r="P180" s="918"/>
      <c r="Q180" s="918"/>
      <c r="R180" s="918"/>
      <c r="S180" s="918"/>
      <c r="T180" s="918"/>
      <c r="U180" s="918"/>
      <c r="V180" s="918"/>
      <c r="W180" s="918"/>
      <c r="X180" s="918"/>
      <c r="Y180" s="918"/>
      <c r="Z180" s="918"/>
      <c r="AA180" s="918"/>
      <c r="AB180" s="918"/>
      <c r="AC180" s="918"/>
      <c r="AD180" s="918"/>
      <c r="AE180" s="918"/>
      <c r="AF180" s="918"/>
      <c r="AG180" s="918"/>
      <c r="AH180" s="918"/>
      <c r="AI180" s="918"/>
      <c r="AJ180" s="918"/>
      <c r="AK180" s="918"/>
      <c r="AL180" s="918"/>
      <c r="AM180" s="918"/>
      <c r="AN180" s="918"/>
      <c r="AO180" s="918"/>
      <c r="AP180" s="918"/>
      <c r="AQ180" s="918"/>
      <c r="AR180" s="918"/>
      <c r="AS180" s="918"/>
      <c r="AT180" s="918"/>
      <c r="AU180" s="918"/>
      <c r="AV180" s="918"/>
      <c r="AW180" s="918"/>
      <c r="AX180" s="918"/>
      <c r="AY180" s="918"/>
      <c r="AZ180" s="918"/>
      <c r="BA180" s="918"/>
      <c r="BB180" s="918"/>
      <c r="BC180" s="918"/>
      <c r="BD180" s="918"/>
      <c r="BE180" s="918"/>
      <c r="BF180" s="918"/>
      <c r="BG180" s="918"/>
      <c r="BH180" s="918"/>
      <c r="BI180" s="918"/>
      <c r="BJ180" s="918"/>
      <c r="BK180" s="918"/>
      <c r="BL180" s="918"/>
      <c r="BM180" s="918"/>
      <c r="BN180" s="918"/>
      <c r="BO180" s="918"/>
      <c r="BP180" s="918"/>
      <c r="BQ180" s="918"/>
      <c r="BR180" s="918"/>
      <c r="BS180" s="918"/>
      <c r="BT180" s="918"/>
      <c r="BU180" s="918"/>
      <c r="BV180" s="918"/>
      <c r="BW180" s="918"/>
      <c r="BX180" s="918"/>
      <c r="BY180" s="918"/>
      <c r="BZ180" s="918"/>
      <c r="CA180" s="918"/>
      <c r="CB180" s="918"/>
      <c r="CC180" s="918"/>
      <c r="CD180" s="918"/>
      <c r="CE180" s="918"/>
      <c r="CF180" s="918"/>
      <c r="CG180" s="918"/>
      <c r="CH180" s="918"/>
      <c r="CI180" s="918"/>
      <c r="CJ180" s="918"/>
      <c r="CK180" s="918"/>
      <c r="CL180" s="918"/>
      <c r="CM180" s="918"/>
      <c r="CN180" s="918"/>
      <c r="CO180" s="918"/>
      <c r="CP180" s="918"/>
      <c r="CQ180" s="918"/>
      <c r="CR180" s="918"/>
      <c r="CS180" s="918"/>
      <c r="CT180" s="918"/>
      <c r="CU180" s="918"/>
      <c r="CV180" s="918"/>
      <c r="CW180" s="918"/>
      <c r="CX180" s="918"/>
      <c r="CY180" s="918"/>
      <c r="CZ180" s="918"/>
      <c r="DA180" s="918"/>
      <c r="DB180" s="918"/>
      <c r="DC180" s="918"/>
      <c r="DD180" s="918"/>
      <c r="DE180" s="918"/>
      <c r="DF180" s="918"/>
      <c r="DG180" s="918"/>
      <c r="DH180" s="918"/>
      <c r="DI180" s="918"/>
      <c r="DJ180" s="918"/>
      <c r="DK180" s="918"/>
      <c r="DL180" s="918"/>
      <c r="DM180" s="918"/>
      <c r="DN180" s="918"/>
      <c r="DO180" s="918"/>
      <c r="DP180" s="918"/>
      <c r="DQ180" s="918"/>
      <c r="DR180" s="918"/>
      <c r="DS180" s="918"/>
      <c r="DT180" s="918"/>
      <c r="DU180" s="918"/>
      <c r="DV180" s="918"/>
      <c r="DW180" s="918"/>
      <c r="DX180" s="918"/>
      <c r="DY180" s="918"/>
      <c r="DZ180" s="918"/>
      <c r="EA180" s="918"/>
      <c r="EB180" s="918"/>
      <c r="EC180" s="918"/>
      <c r="ED180" s="918"/>
      <c r="EE180" s="918"/>
      <c r="EF180" s="918"/>
      <c r="EG180" s="918"/>
      <c r="EH180" s="918"/>
      <c r="EI180" s="918"/>
      <c r="EJ180" s="918"/>
      <c r="EK180" s="918"/>
      <c r="EL180" s="918"/>
      <c r="EM180" s="918"/>
      <c r="EN180" s="918"/>
      <c r="EO180" s="918"/>
      <c r="EP180" s="918"/>
      <c r="EQ180" s="918"/>
      <c r="ER180" s="918"/>
      <c r="ES180" s="918"/>
      <c r="ET180" s="918"/>
      <c r="EU180" s="918"/>
      <c r="EV180" s="918"/>
      <c r="EW180" s="918"/>
      <c r="EX180" s="918"/>
      <c r="EY180" s="918"/>
      <c r="EZ180" s="918"/>
      <c r="FA180" s="918"/>
      <c r="FB180" s="918"/>
      <c r="FC180" s="918"/>
      <c r="FD180" s="918"/>
      <c r="FE180" s="918"/>
      <c r="FF180" s="918"/>
      <c r="FG180" s="918"/>
      <c r="FH180" s="918"/>
      <c r="FI180" s="918"/>
      <c r="FJ180" s="918"/>
      <c r="FK180" s="918"/>
      <c r="FL180" s="918"/>
      <c r="FM180" s="918"/>
      <c r="FN180" s="918"/>
      <c r="FO180" s="918"/>
      <c r="FP180" s="918"/>
      <c r="FQ180" s="918"/>
      <c r="FR180" s="918"/>
      <c r="FS180" s="918"/>
      <c r="FT180" s="918"/>
      <c r="FU180" s="918"/>
      <c r="FV180" s="918"/>
      <c r="FW180" s="918"/>
      <c r="FX180" s="918"/>
      <c r="FY180" s="918"/>
      <c r="FZ180" s="918"/>
      <c r="GA180" s="918"/>
      <c r="GB180" s="918"/>
      <c r="GC180" s="918"/>
      <c r="GD180" s="918"/>
      <c r="GE180" s="918"/>
      <c r="GF180" s="918"/>
      <c r="GG180" s="918"/>
      <c r="GH180" s="918"/>
      <c r="GI180" s="918"/>
      <c r="GJ180" s="918"/>
      <c r="GK180" s="918"/>
      <c r="GL180" s="918"/>
      <c r="GM180" s="918"/>
      <c r="GN180" s="918"/>
      <c r="GO180" s="918"/>
      <c r="GP180" s="918"/>
      <c r="GQ180" s="918"/>
      <c r="GR180" s="918"/>
      <c r="GS180" s="918"/>
      <c r="GT180" s="918"/>
      <c r="GU180" s="918"/>
      <c r="GV180" s="918"/>
      <c r="GW180" s="918"/>
      <c r="GX180" s="918"/>
      <c r="GY180" s="918"/>
      <c r="GZ180" s="918"/>
      <c r="HA180" s="918"/>
      <c r="HB180" s="918"/>
      <c r="HC180" s="918"/>
      <c r="HD180" s="918"/>
      <c r="HE180" s="918"/>
      <c r="HF180" s="918"/>
      <c r="HG180" s="918"/>
      <c r="HH180" s="918"/>
      <c r="HI180" s="918"/>
      <c r="HJ180" s="918"/>
      <c r="HK180" s="918"/>
      <c r="HL180" s="918"/>
      <c r="HM180" s="918"/>
      <c r="HN180" s="918"/>
      <c r="HO180" s="918"/>
      <c r="HP180" s="918"/>
      <c r="HQ180" s="918"/>
      <c r="HR180" s="918"/>
      <c r="HS180" s="918"/>
      <c r="HT180" s="918"/>
      <c r="HU180" s="918"/>
      <c r="HV180" s="918"/>
      <c r="HW180" s="918"/>
      <c r="HX180" s="918"/>
      <c r="HY180" s="918"/>
      <c r="HZ180" s="918"/>
      <c r="IA180" s="918"/>
      <c r="IB180" s="918"/>
      <c r="IC180" s="918"/>
      <c r="ID180" s="918"/>
      <c r="IE180" s="918"/>
      <c r="IF180" s="918"/>
      <c r="IG180" s="918"/>
      <c r="IH180" s="918"/>
      <c r="II180" s="918"/>
      <c r="IJ180" s="918"/>
      <c r="IK180" s="918"/>
      <c r="IL180" s="918"/>
      <c r="IM180" s="918"/>
      <c r="IN180" s="918"/>
    </row>
    <row r="181" spans="1:248">
      <c r="A181" s="615" t="s">
        <v>20</v>
      </c>
      <c r="B181" s="617">
        <v>3591.5</v>
      </c>
      <c r="C181" s="919">
        <v>23.582211074413809</v>
      </c>
      <c r="D181" s="618">
        <v>3912.7</v>
      </c>
      <c r="E181" s="919">
        <v>25.691248021957097</v>
      </c>
      <c r="F181" s="919">
        <v>-321.19999999999982</v>
      </c>
      <c r="G181" s="919">
        <f t="shared" si="28"/>
        <v>-2.1090369475432857</v>
      </c>
      <c r="H181" s="27">
        <v>15229.7</v>
      </c>
      <c r="I181" s="918"/>
      <c r="J181" s="918"/>
      <c r="K181" s="918"/>
      <c r="L181" s="918"/>
      <c r="M181" s="918"/>
      <c r="N181" s="918"/>
      <c r="O181" s="918"/>
      <c r="P181" s="918"/>
      <c r="Q181" s="918"/>
      <c r="R181" s="918"/>
      <c r="S181" s="918"/>
      <c r="T181" s="918"/>
      <c r="U181" s="918"/>
      <c r="V181" s="918"/>
      <c r="W181" s="918"/>
      <c r="X181" s="918"/>
      <c r="Y181" s="918"/>
      <c r="Z181" s="918"/>
      <c r="AA181" s="918"/>
      <c r="AB181" s="918"/>
      <c r="AC181" s="918"/>
      <c r="AD181" s="918"/>
      <c r="AE181" s="918"/>
      <c r="AF181" s="918"/>
      <c r="AG181" s="918"/>
      <c r="AH181" s="918"/>
      <c r="AI181" s="918"/>
      <c r="AJ181" s="918"/>
      <c r="AK181" s="918"/>
      <c r="AL181" s="918"/>
      <c r="AM181" s="918"/>
      <c r="AN181" s="918"/>
      <c r="AO181" s="918"/>
      <c r="AP181" s="918"/>
      <c r="AQ181" s="918"/>
      <c r="AR181" s="918"/>
      <c r="AS181" s="918"/>
      <c r="AT181" s="918"/>
      <c r="AU181" s="918"/>
      <c r="AV181" s="918"/>
      <c r="AW181" s="918"/>
      <c r="AX181" s="918"/>
      <c r="AY181" s="918"/>
      <c r="AZ181" s="918"/>
      <c r="BA181" s="918"/>
      <c r="BB181" s="918"/>
      <c r="BC181" s="918"/>
      <c r="BD181" s="918"/>
      <c r="BE181" s="918"/>
      <c r="BF181" s="918"/>
      <c r="BG181" s="918"/>
      <c r="BH181" s="918"/>
      <c r="BI181" s="918"/>
      <c r="BJ181" s="918"/>
      <c r="BK181" s="918"/>
      <c r="BL181" s="918"/>
      <c r="BM181" s="918"/>
      <c r="BN181" s="918"/>
      <c r="BO181" s="918"/>
      <c r="BP181" s="918"/>
      <c r="BQ181" s="918"/>
      <c r="BR181" s="918"/>
      <c r="BS181" s="918"/>
      <c r="BT181" s="918"/>
      <c r="BU181" s="918"/>
      <c r="BV181" s="918"/>
      <c r="BW181" s="918"/>
      <c r="BX181" s="918"/>
      <c r="BY181" s="918"/>
      <c r="BZ181" s="918"/>
      <c r="CA181" s="918"/>
      <c r="CB181" s="918"/>
      <c r="CC181" s="918"/>
      <c r="CD181" s="918"/>
      <c r="CE181" s="918"/>
      <c r="CF181" s="918"/>
      <c r="CG181" s="918"/>
      <c r="CH181" s="918"/>
      <c r="CI181" s="918"/>
      <c r="CJ181" s="918"/>
      <c r="CK181" s="918"/>
      <c r="CL181" s="918"/>
      <c r="CM181" s="918"/>
      <c r="CN181" s="918"/>
      <c r="CO181" s="918"/>
      <c r="CP181" s="918"/>
      <c r="CQ181" s="918"/>
      <c r="CR181" s="918"/>
      <c r="CS181" s="918"/>
      <c r="CT181" s="918"/>
      <c r="CU181" s="918"/>
      <c r="CV181" s="918"/>
      <c r="CW181" s="918"/>
      <c r="CX181" s="918"/>
      <c r="CY181" s="918"/>
      <c r="CZ181" s="918"/>
      <c r="DA181" s="918"/>
      <c r="DB181" s="918"/>
      <c r="DC181" s="918"/>
      <c r="DD181" s="918"/>
      <c r="DE181" s="918"/>
      <c r="DF181" s="918"/>
      <c r="DG181" s="918"/>
      <c r="DH181" s="918"/>
      <c r="DI181" s="918"/>
      <c r="DJ181" s="918"/>
      <c r="DK181" s="918"/>
      <c r="DL181" s="918"/>
      <c r="DM181" s="918"/>
      <c r="DN181" s="918"/>
      <c r="DO181" s="918"/>
      <c r="DP181" s="918"/>
      <c r="DQ181" s="918"/>
      <c r="DR181" s="918"/>
      <c r="DS181" s="918"/>
      <c r="DT181" s="918"/>
      <c r="DU181" s="918"/>
      <c r="DV181" s="918"/>
      <c r="DW181" s="918"/>
      <c r="DX181" s="918"/>
      <c r="DY181" s="918"/>
      <c r="DZ181" s="918"/>
      <c r="EA181" s="918"/>
      <c r="EB181" s="918"/>
      <c r="EC181" s="918"/>
      <c r="ED181" s="918"/>
      <c r="EE181" s="918"/>
      <c r="EF181" s="918"/>
      <c r="EG181" s="918"/>
      <c r="EH181" s="918"/>
      <c r="EI181" s="918"/>
      <c r="EJ181" s="918"/>
      <c r="EK181" s="918"/>
      <c r="EL181" s="918"/>
      <c r="EM181" s="918"/>
      <c r="EN181" s="918"/>
      <c r="EO181" s="918"/>
      <c r="EP181" s="918"/>
      <c r="EQ181" s="918"/>
      <c r="ER181" s="918"/>
      <c r="ES181" s="918"/>
      <c r="ET181" s="918"/>
      <c r="EU181" s="918"/>
      <c r="EV181" s="918"/>
      <c r="EW181" s="918"/>
      <c r="EX181" s="918"/>
      <c r="EY181" s="918"/>
      <c r="EZ181" s="918"/>
      <c r="FA181" s="918"/>
      <c r="FB181" s="918"/>
      <c r="FC181" s="918"/>
      <c r="FD181" s="918"/>
      <c r="FE181" s="918"/>
      <c r="FF181" s="918"/>
      <c r="FG181" s="918"/>
      <c r="FH181" s="918"/>
      <c r="FI181" s="918"/>
      <c r="FJ181" s="918"/>
      <c r="FK181" s="918"/>
      <c r="FL181" s="918"/>
      <c r="FM181" s="918"/>
      <c r="FN181" s="918"/>
      <c r="FO181" s="918"/>
      <c r="FP181" s="918"/>
      <c r="FQ181" s="918"/>
      <c r="FR181" s="918"/>
      <c r="FS181" s="918"/>
      <c r="FT181" s="918"/>
      <c r="FU181" s="918"/>
      <c r="FV181" s="918"/>
      <c r="FW181" s="918"/>
      <c r="FX181" s="918"/>
      <c r="FY181" s="918"/>
      <c r="FZ181" s="918"/>
      <c r="GA181" s="918"/>
      <c r="GB181" s="918"/>
      <c r="GC181" s="918"/>
      <c r="GD181" s="918"/>
      <c r="GE181" s="918"/>
      <c r="GF181" s="918"/>
      <c r="GG181" s="918"/>
      <c r="GH181" s="918"/>
      <c r="GI181" s="918"/>
      <c r="GJ181" s="918"/>
      <c r="GK181" s="918"/>
      <c r="GL181" s="918"/>
      <c r="GM181" s="918"/>
      <c r="GN181" s="918"/>
      <c r="GO181" s="918"/>
      <c r="GP181" s="918"/>
      <c r="GQ181" s="918"/>
      <c r="GR181" s="918"/>
      <c r="GS181" s="918"/>
      <c r="GT181" s="918"/>
      <c r="GU181" s="918"/>
      <c r="GV181" s="918"/>
      <c r="GW181" s="918"/>
      <c r="GX181" s="918"/>
      <c r="GY181" s="918"/>
      <c r="GZ181" s="918"/>
      <c r="HA181" s="918"/>
      <c r="HB181" s="918"/>
      <c r="HC181" s="918"/>
      <c r="HD181" s="918"/>
      <c r="HE181" s="918"/>
      <c r="HF181" s="918"/>
      <c r="HG181" s="918"/>
      <c r="HH181" s="918"/>
      <c r="HI181" s="918"/>
      <c r="HJ181" s="918"/>
      <c r="HK181" s="918"/>
      <c r="HL181" s="918"/>
      <c r="HM181" s="918"/>
      <c r="HN181" s="918"/>
      <c r="HO181" s="918"/>
      <c r="HP181" s="918"/>
      <c r="HQ181" s="918"/>
      <c r="HR181" s="918"/>
      <c r="HS181" s="918"/>
      <c r="HT181" s="918"/>
      <c r="HU181" s="918"/>
      <c r="HV181" s="918"/>
      <c r="HW181" s="918"/>
      <c r="HX181" s="918"/>
      <c r="HY181" s="918"/>
      <c r="HZ181" s="918"/>
      <c r="IA181" s="918"/>
      <c r="IB181" s="918"/>
      <c r="IC181" s="918"/>
      <c r="ID181" s="918"/>
      <c r="IE181" s="918"/>
      <c r="IF181" s="918"/>
      <c r="IG181" s="918"/>
      <c r="IH181" s="918"/>
      <c r="II181" s="918"/>
      <c r="IJ181" s="918"/>
      <c r="IK181" s="918"/>
      <c r="IL181" s="918"/>
      <c r="IM181" s="918"/>
      <c r="IN181" s="918"/>
    </row>
    <row r="182" spans="1:248">
      <c r="A182" s="615" t="s">
        <v>21</v>
      </c>
      <c r="B182" s="617">
        <v>5021.8999999999996</v>
      </c>
      <c r="C182" s="919">
        <v>24.935202931508755</v>
      </c>
      <c r="D182" s="618">
        <v>5390</v>
      </c>
      <c r="E182" s="919">
        <v>26.762927139296323</v>
      </c>
      <c r="F182" s="919">
        <v>-368.10000000000036</v>
      </c>
      <c r="G182" s="919">
        <f t="shared" si="28"/>
        <v>-1.806067326421771</v>
      </c>
      <c r="H182" s="27">
        <v>20381.3</v>
      </c>
      <c r="I182" s="918"/>
      <c r="J182" s="918"/>
      <c r="K182" s="918"/>
      <c r="L182" s="918"/>
      <c r="M182" s="918"/>
      <c r="N182" s="918"/>
      <c r="O182" s="918"/>
      <c r="P182" s="918"/>
      <c r="Q182" s="918"/>
      <c r="R182" s="918"/>
      <c r="S182" s="918"/>
      <c r="T182" s="918"/>
      <c r="U182" s="918"/>
      <c r="V182" s="918"/>
      <c r="W182" s="918"/>
      <c r="X182" s="918"/>
      <c r="Y182" s="918"/>
      <c r="Z182" s="918"/>
      <c r="AA182" s="918"/>
      <c r="AB182" s="918"/>
      <c r="AC182" s="918"/>
      <c r="AD182" s="918"/>
      <c r="AE182" s="918"/>
      <c r="AF182" s="918"/>
      <c r="AG182" s="918"/>
      <c r="AH182" s="918"/>
      <c r="AI182" s="918"/>
      <c r="AJ182" s="918"/>
      <c r="AK182" s="918"/>
      <c r="AL182" s="918"/>
      <c r="AM182" s="918"/>
      <c r="AN182" s="918"/>
      <c r="AO182" s="918"/>
      <c r="AP182" s="918"/>
      <c r="AQ182" s="918"/>
      <c r="AR182" s="918"/>
      <c r="AS182" s="918"/>
      <c r="AT182" s="918"/>
      <c r="AU182" s="918"/>
      <c r="AV182" s="918"/>
      <c r="AW182" s="918"/>
      <c r="AX182" s="918"/>
      <c r="AY182" s="918"/>
      <c r="AZ182" s="918"/>
      <c r="BA182" s="918"/>
      <c r="BB182" s="918"/>
      <c r="BC182" s="918"/>
      <c r="BD182" s="918"/>
      <c r="BE182" s="918"/>
      <c r="BF182" s="918"/>
      <c r="BG182" s="918"/>
      <c r="BH182" s="918"/>
      <c r="BI182" s="918"/>
      <c r="BJ182" s="918"/>
      <c r="BK182" s="918"/>
      <c r="BL182" s="918"/>
      <c r="BM182" s="918"/>
      <c r="BN182" s="918"/>
      <c r="BO182" s="918"/>
      <c r="BP182" s="918"/>
      <c r="BQ182" s="918"/>
      <c r="BR182" s="918"/>
      <c r="BS182" s="918"/>
      <c r="BT182" s="918"/>
      <c r="BU182" s="918"/>
      <c r="BV182" s="918"/>
      <c r="BW182" s="918"/>
      <c r="BX182" s="918"/>
      <c r="BY182" s="918"/>
      <c r="BZ182" s="918"/>
      <c r="CA182" s="918"/>
      <c r="CB182" s="918"/>
      <c r="CC182" s="918"/>
      <c r="CD182" s="918"/>
      <c r="CE182" s="918"/>
      <c r="CF182" s="918"/>
      <c r="CG182" s="918"/>
      <c r="CH182" s="918"/>
      <c r="CI182" s="918"/>
      <c r="CJ182" s="918"/>
      <c r="CK182" s="918"/>
      <c r="CL182" s="918"/>
      <c r="CM182" s="918"/>
      <c r="CN182" s="918"/>
      <c r="CO182" s="918"/>
      <c r="CP182" s="918"/>
      <c r="CQ182" s="918"/>
      <c r="CR182" s="918"/>
      <c r="CS182" s="918"/>
      <c r="CT182" s="918"/>
      <c r="CU182" s="918"/>
      <c r="CV182" s="918"/>
      <c r="CW182" s="918"/>
      <c r="CX182" s="918"/>
      <c r="CY182" s="918"/>
      <c r="CZ182" s="918"/>
      <c r="DA182" s="918"/>
      <c r="DB182" s="918"/>
      <c r="DC182" s="918"/>
      <c r="DD182" s="918"/>
      <c r="DE182" s="918"/>
      <c r="DF182" s="918"/>
      <c r="DG182" s="918"/>
      <c r="DH182" s="918"/>
      <c r="DI182" s="918"/>
      <c r="DJ182" s="918"/>
      <c r="DK182" s="918"/>
      <c r="DL182" s="918"/>
      <c r="DM182" s="918"/>
      <c r="DN182" s="918"/>
      <c r="DO182" s="918"/>
      <c r="DP182" s="918"/>
      <c r="DQ182" s="918"/>
      <c r="DR182" s="918"/>
      <c r="DS182" s="918"/>
      <c r="DT182" s="918"/>
      <c r="DU182" s="918"/>
      <c r="DV182" s="918"/>
      <c r="DW182" s="918"/>
      <c r="DX182" s="918"/>
      <c r="DY182" s="918"/>
      <c r="DZ182" s="918"/>
      <c r="EA182" s="918"/>
      <c r="EB182" s="918"/>
      <c r="EC182" s="918"/>
      <c r="ED182" s="918"/>
      <c r="EE182" s="918"/>
      <c r="EF182" s="918"/>
      <c r="EG182" s="918"/>
      <c r="EH182" s="918"/>
      <c r="EI182" s="918"/>
      <c r="EJ182" s="918"/>
      <c r="EK182" s="918"/>
      <c r="EL182" s="918"/>
      <c r="EM182" s="918"/>
      <c r="EN182" s="918"/>
      <c r="EO182" s="918"/>
      <c r="EP182" s="918"/>
      <c r="EQ182" s="918"/>
      <c r="ER182" s="918"/>
      <c r="ES182" s="918"/>
      <c r="ET182" s="918"/>
      <c r="EU182" s="918"/>
      <c r="EV182" s="918"/>
      <c r="EW182" s="918"/>
      <c r="EX182" s="918"/>
      <c r="EY182" s="918"/>
      <c r="EZ182" s="918"/>
      <c r="FA182" s="918"/>
      <c r="FB182" s="918"/>
      <c r="FC182" s="918"/>
      <c r="FD182" s="918"/>
      <c r="FE182" s="918"/>
      <c r="FF182" s="918"/>
      <c r="FG182" s="918"/>
      <c r="FH182" s="918"/>
      <c r="FI182" s="918"/>
      <c r="FJ182" s="918"/>
      <c r="FK182" s="918"/>
      <c r="FL182" s="918"/>
      <c r="FM182" s="918"/>
      <c r="FN182" s="918"/>
      <c r="FO182" s="918"/>
      <c r="FP182" s="918"/>
      <c r="FQ182" s="918"/>
      <c r="FR182" s="918"/>
      <c r="FS182" s="918"/>
      <c r="FT182" s="918"/>
      <c r="FU182" s="918"/>
      <c r="FV182" s="918"/>
      <c r="FW182" s="918"/>
      <c r="FX182" s="918"/>
      <c r="FY182" s="918"/>
      <c r="FZ182" s="918"/>
      <c r="GA182" s="918"/>
      <c r="GB182" s="918"/>
      <c r="GC182" s="918"/>
      <c r="GD182" s="918"/>
      <c r="GE182" s="918"/>
      <c r="GF182" s="918"/>
      <c r="GG182" s="918"/>
      <c r="GH182" s="918"/>
      <c r="GI182" s="918"/>
      <c r="GJ182" s="918"/>
      <c r="GK182" s="918"/>
      <c r="GL182" s="918"/>
      <c r="GM182" s="918"/>
      <c r="GN182" s="918"/>
      <c r="GO182" s="918"/>
      <c r="GP182" s="918"/>
      <c r="GQ182" s="918"/>
      <c r="GR182" s="918"/>
      <c r="GS182" s="918"/>
      <c r="GT182" s="918"/>
      <c r="GU182" s="918"/>
      <c r="GV182" s="918"/>
      <c r="GW182" s="918"/>
      <c r="GX182" s="918"/>
      <c r="GY182" s="918"/>
      <c r="GZ182" s="918"/>
      <c r="HA182" s="918"/>
      <c r="HB182" s="918"/>
      <c r="HC182" s="918"/>
      <c r="HD182" s="918"/>
      <c r="HE182" s="918"/>
      <c r="HF182" s="918"/>
      <c r="HG182" s="918"/>
      <c r="HH182" s="918"/>
      <c r="HI182" s="918"/>
      <c r="HJ182" s="918"/>
      <c r="HK182" s="918"/>
      <c r="HL182" s="918"/>
      <c r="HM182" s="918"/>
      <c r="HN182" s="918"/>
      <c r="HO182" s="918"/>
      <c r="HP182" s="918"/>
      <c r="HQ182" s="918"/>
      <c r="HR182" s="918"/>
      <c r="HS182" s="918"/>
      <c r="HT182" s="918"/>
      <c r="HU182" s="918"/>
      <c r="HV182" s="918"/>
      <c r="HW182" s="918"/>
      <c r="HX182" s="918"/>
      <c r="HY182" s="918"/>
      <c r="HZ182" s="918"/>
      <c r="IA182" s="918"/>
      <c r="IB182" s="918"/>
      <c r="IC182" s="918"/>
      <c r="ID182" s="918"/>
      <c r="IE182" s="918"/>
      <c r="IF182" s="918"/>
      <c r="IG182" s="918"/>
      <c r="IH182" s="918"/>
      <c r="II182" s="918"/>
      <c r="IJ182" s="918"/>
      <c r="IK182" s="918"/>
      <c r="IL182" s="918"/>
      <c r="IM182" s="918"/>
      <c r="IN182" s="918"/>
    </row>
    <row r="183" spans="1:248">
      <c r="A183" s="615" t="s">
        <v>22</v>
      </c>
      <c r="B183" s="617">
        <v>6335.7</v>
      </c>
      <c r="C183" s="919">
        <v>25.004045195688807</v>
      </c>
      <c r="D183" s="618">
        <v>6724.1</v>
      </c>
      <c r="E183" s="919">
        <v>26.536878371818602</v>
      </c>
      <c r="F183" s="919">
        <v>-388.40000000000055</v>
      </c>
      <c r="G183" s="919">
        <f t="shared" si="28"/>
        <v>-1.5328331761297955</v>
      </c>
      <c r="H183" s="27">
        <v>25338.7</v>
      </c>
      <c r="I183" s="918"/>
      <c r="J183" s="918"/>
      <c r="K183" s="918"/>
      <c r="L183" s="918"/>
      <c r="M183" s="918"/>
      <c r="N183" s="918"/>
      <c r="O183" s="918"/>
      <c r="P183" s="918"/>
      <c r="Q183" s="918"/>
      <c r="R183" s="918"/>
      <c r="S183" s="918"/>
      <c r="T183" s="918"/>
      <c r="U183" s="918"/>
      <c r="V183" s="918"/>
      <c r="W183" s="918"/>
      <c r="X183" s="918"/>
      <c r="Y183" s="918"/>
      <c r="Z183" s="918"/>
      <c r="AA183" s="918"/>
      <c r="AB183" s="918"/>
      <c r="AC183" s="918"/>
      <c r="AD183" s="918"/>
      <c r="AE183" s="918"/>
      <c r="AF183" s="918"/>
      <c r="AG183" s="918"/>
      <c r="AH183" s="918"/>
      <c r="AI183" s="918"/>
      <c r="AJ183" s="918"/>
      <c r="AK183" s="918"/>
      <c r="AL183" s="918"/>
      <c r="AM183" s="918"/>
      <c r="AN183" s="918"/>
      <c r="AO183" s="918"/>
      <c r="AP183" s="918"/>
      <c r="AQ183" s="918"/>
      <c r="AR183" s="918"/>
      <c r="AS183" s="918"/>
      <c r="AT183" s="918"/>
      <c r="AU183" s="918"/>
      <c r="AV183" s="918"/>
      <c r="AW183" s="918"/>
      <c r="AX183" s="918"/>
      <c r="AY183" s="918"/>
      <c r="AZ183" s="918"/>
      <c r="BA183" s="918"/>
      <c r="BB183" s="918"/>
      <c r="BC183" s="918"/>
      <c r="BD183" s="918"/>
      <c r="BE183" s="918"/>
      <c r="BF183" s="918"/>
      <c r="BG183" s="918"/>
      <c r="BH183" s="918"/>
      <c r="BI183" s="918"/>
      <c r="BJ183" s="918"/>
      <c r="BK183" s="918"/>
      <c r="BL183" s="918"/>
      <c r="BM183" s="918"/>
      <c r="BN183" s="918"/>
      <c r="BO183" s="918"/>
      <c r="BP183" s="918"/>
      <c r="BQ183" s="918"/>
      <c r="BR183" s="918"/>
      <c r="BS183" s="918"/>
      <c r="BT183" s="918"/>
      <c r="BU183" s="918"/>
      <c r="BV183" s="918"/>
      <c r="BW183" s="918"/>
      <c r="BX183" s="918"/>
      <c r="BY183" s="918"/>
      <c r="BZ183" s="918"/>
      <c r="CA183" s="918"/>
      <c r="CB183" s="918"/>
      <c r="CC183" s="918"/>
      <c r="CD183" s="918"/>
      <c r="CE183" s="918"/>
      <c r="CF183" s="918"/>
      <c r="CG183" s="918"/>
      <c r="CH183" s="918"/>
      <c r="CI183" s="918"/>
      <c r="CJ183" s="918"/>
      <c r="CK183" s="918"/>
      <c r="CL183" s="918"/>
      <c r="CM183" s="918"/>
      <c r="CN183" s="918"/>
      <c r="CO183" s="918"/>
      <c r="CP183" s="918"/>
      <c r="CQ183" s="918"/>
      <c r="CR183" s="918"/>
      <c r="CS183" s="918"/>
      <c r="CT183" s="918"/>
      <c r="CU183" s="918"/>
      <c r="CV183" s="918"/>
      <c r="CW183" s="918"/>
      <c r="CX183" s="918"/>
      <c r="CY183" s="918"/>
      <c r="CZ183" s="918"/>
      <c r="DA183" s="918"/>
      <c r="DB183" s="918"/>
      <c r="DC183" s="918"/>
      <c r="DD183" s="918"/>
      <c r="DE183" s="918"/>
      <c r="DF183" s="918"/>
      <c r="DG183" s="918"/>
      <c r="DH183" s="918"/>
      <c r="DI183" s="918"/>
      <c r="DJ183" s="918"/>
      <c r="DK183" s="918"/>
      <c r="DL183" s="918"/>
      <c r="DM183" s="918"/>
      <c r="DN183" s="918"/>
      <c r="DO183" s="918"/>
      <c r="DP183" s="918"/>
      <c r="DQ183" s="918"/>
      <c r="DR183" s="918"/>
      <c r="DS183" s="918"/>
      <c r="DT183" s="918"/>
      <c r="DU183" s="918"/>
      <c r="DV183" s="918"/>
      <c r="DW183" s="918"/>
      <c r="DX183" s="918"/>
      <c r="DY183" s="918"/>
      <c r="DZ183" s="918"/>
      <c r="EA183" s="918"/>
      <c r="EB183" s="918"/>
      <c r="EC183" s="918"/>
      <c r="ED183" s="918"/>
      <c r="EE183" s="918"/>
      <c r="EF183" s="918"/>
      <c r="EG183" s="918"/>
      <c r="EH183" s="918"/>
      <c r="EI183" s="918"/>
      <c r="EJ183" s="918"/>
      <c r="EK183" s="918"/>
      <c r="EL183" s="918"/>
      <c r="EM183" s="918"/>
      <c r="EN183" s="918"/>
      <c r="EO183" s="918"/>
      <c r="EP183" s="918"/>
      <c r="EQ183" s="918"/>
      <c r="ER183" s="918"/>
      <c r="ES183" s="918"/>
      <c r="ET183" s="918"/>
      <c r="EU183" s="918"/>
      <c r="EV183" s="918"/>
      <c r="EW183" s="918"/>
      <c r="EX183" s="918"/>
      <c r="EY183" s="918"/>
      <c r="EZ183" s="918"/>
      <c r="FA183" s="918"/>
      <c r="FB183" s="918"/>
      <c r="FC183" s="918"/>
      <c r="FD183" s="918"/>
      <c r="FE183" s="918"/>
      <c r="FF183" s="918"/>
      <c r="FG183" s="918"/>
      <c r="FH183" s="918"/>
      <c r="FI183" s="918"/>
      <c r="FJ183" s="918"/>
      <c r="FK183" s="918"/>
      <c r="FL183" s="918"/>
      <c r="FM183" s="918"/>
      <c r="FN183" s="918"/>
      <c r="FO183" s="918"/>
      <c r="FP183" s="918"/>
      <c r="FQ183" s="918"/>
      <c r="FR183" s="918"/>
      <c r="FS183" s="918"/>
      <c r="FT183" s="918"/>
      <c r="FU183" s="918"/>
      <c r="FV183" s="918"/>
      <c r="FW183" s="918"/>
      <c r="FX183" s="918"/>
      <c r="FY183" s="918"/>
      <c r="FZ183" s="918"/>
      <c r="GA183" s="918"/>
      <c r="GB183" s="918"/>
      <c r="GC183" s="918"/>
      <c r="GD183" s="918"/>
      <c r="GE183" s="918"/>
      <c r="GF183" s="918"/>
      <c r="GG183" s="918"/>
      <c r="GH183" s="918"/>
      <c r="GI183" s="918"/>
      <c r="GJ183" s="918"/>
      <c r="GK183" s="918"/>
      <c r="GL183" s="918"/>
      <c r="GM183" s="918"/>
      <c r="GN183" s="918"/>
      <c r="GO183" s="918"/>
      <c r="GP183" s="918"/>
      <c r="GQ183" s="918"/>
      <c r="GR183" s="918"/>
      <c r="GS183" s="918"/>
      <c r="GT183" s="918"/>
      <c r="GU183" s="918"/>
      <c r="GV183" s="918"/>
      <c r="GW183" s="918"/>
      <c r="GX183" s="918"/>
      <c r="GY183" s="918"/>
      <c r="GZ183" s="918"/>
      <c r="HA183" s="918"/>
      <c r="HB183" s="918"/>
      <c r="HC183" s="918"/>
      <c r="HD183" s="918"/>
      <c r="HE183" s="918"/>
      <c r="HF183" s="918"/>
      <c r="HG183" s="918"/>
      <c r="HH183" s="918"/>
      <c r="HI183" s="918"/>
      <c r="HJ183" s="918"/>
      <c r="HK183" s="918"/>
      <c r="HL183" s="918"/>
      <c r="HM183" s="918"/>
      <c r="HN183" s="918"/>
      <c r="HO183" s="918"/>
      <c r="HP183" s="918"/>
      <c r="HQ183" s="918"/>
      <c r="HR183" s="918"/>
      <c r="HS183" s="918"/>
      <c r="HT183" s="918"/>
      <c r="HU183" s="918"/>
      <c r="HV183" s="918"/>
      <c r="HW183" s="918"/>
      <c r="HX183" s="918"/>
      <c r="HY183" s="918"/>
      <c r="HZ183" s="918"/>
      <c r="IA183" s="918"/>
      <c r="IB183" s="918"/>
      <c r="IC183" s="918"/>
      <c r="ID183" s="918"/>
      <c r="IE183" s="918"/>
      <c r="IF183" s="918"/>
      <c r="IG183" s="918"/>
      <c r="IH183" s="918"/>
      <c r="II183" s="918"/>
      <c r="IJ183" s="918"/>
      <c r="IK183" s="918"/>
      <c r="IL183" s="918"/>
      <c r="IM183" s="918"/>
      <c r="IN183" s="918"/>
    </row>
    <row r="184" spans="1:248">
      <c r="A184" s="615" t="s">
        <v>23</v>
      </c>
      <c r="B184" s="617">
        <v>7722.8</v>
      </c>
      <c r="C184" s="919">
        <v>24.665129381104165</v>
      </c>
      <c r="D184" s="618">
        <v>8193.9</v>
      </c>
      <c r="E184" s="919">
        <v>26.169731656371965</v>
      </c>
      <c r="F184" s="919">
        <v>-471.09999999999945</v>
      </c>
      <c r="G184" s="919">
        <f t="shared" si="28"/>
        <v>-1.504602275267799</v>
      </c>
      <c r="H184" s="27">
        <v>31310.6</v>
      </c>
      <c r="I184" s="918"/>
      <c r="J184" s="918"/>
      <c r="K184" s="918"/>
      <c r="L184" s="918"/>
      <c r="M184" s="918"/>
      <c r="N184" s="918"/>
      <c r="O184" s="918"/>
      <c r="P184" s="918"/>
      <c r="Q184" s="918"/>
      <c r="R184" s="918"/>
      <c r="S184" s="918"/>
      <c r="T184" s="918"/>
      <c r="U184" s="918"/>
      <c r="V184" s="918"/>
      <c r="W184" s="918"/>
      <c r="X184" s="918"/>
      <c r="Y184" s="918"/>
      <c r="Z184" s="918"/>
      <c r="AA184" s="918"/>
      <c r="AB184" s="918"/>
      <c r="AC184" s="918"/>
      <c r="AD184" s="918"/>
      <c r="AE184" s="918"/>
      <c r="AF184" s="918"/>
      <c r="AG184" s="918"/>
      <c r="AH184" s="918"/>
      <c r="AI184" s="918"/>
      <c r="AJ184" s="918"/>
      <c r="AK184" s="918"/>
      <c r="AL184" s="918"/>
      <c r="AM184" s="918"/>
      <c r="AN184" s="918"/>
      <c r="AO184" s="918"/>
      <c r="AP184" s="918"/>
      <c r="AQ184" s="918"/>
      <c r="AR184" s="918"/>
      <c r="AS184" s="918"/>
      <c r="AT184" s="918"/>
      <c r="AU184" s="918"/>
      <c r="AV184" s="918"/>
      <c r="AW184" s="918"/>
      <c r="AX184" s="918"/>
      <c r="AY184" s="918"/>
      <c r="AZ184" s="918"/>
      <c r="BA184" s="918"/>
      <c r="BB184" s="918"/>
      <c r="BC184" s="918"/>
      <c r="BD184" s="918"/>
      <c r="BE184" s="918"/>
      <c r="BF184" s="918"/>
      <c r="BG184" s="918"/>
      <c r="BH184" s="918"/>
      <c r="BI184" s="918"/>
      <c r="BJ184" s="918"/>
      <c r="BK184" s="918"/>
      <c r="BL184" s="918"/>
      <c r="BM184" s="918"/>
      <c r="BN184" s="918"/>
      <c r="BO184" s="918"/>
      <c r="BP184" s="918"/>
      <c r="BQ184" s="918"/>
      <c r="BR184" s="918"/>
      <c r="BS184" s="918"/>
      <c r="BT184" s="918"/>
      <c r="BU184" s="918"/>
      <c r="BV184" s="918"/>
      <c r="BW184" s="918"/>
      <c r="BX184" s="918"/>
      <c r="BY184" s="918"/>
      <c r="BZ184" s="918"/>
      <c r="CA184" s="918"/>
      <c r="CB184" s="918"/>
      <c r="CC184" s="918"/>
      <c r="CD184" s="918"/>
      <c r="CE184" s="918"/>
      <c r="CF184" s="918"/>
      <c r="CG184" s="918"/>
      <c r="CH184" s="918"/>
      <c r="CI184" s="918"/>
      <c r="CJ184" s="918"/>
      <c r="CK184" s="918"/>
      <c r="CL184" s="918"/>
      <c r="CM184" s="918"/>
      <c r="CN184" s="918"/>
      <c r="CO184" s="918"/>
      <c r="CP184" s="918"/>
      <c r="CQ184" s="918"/>
      <c r="CR184" s="918"/>
      <c r="CS184" s="918"/>
      <c r="CT184" s="918"/>
      <c r="CU184" s="918"/>
      <c r="CV184" s="918"/>
      <c r="CW184" s="918"/>
      <c r="CX184" s="918"/>
      <c r="CY184" s="918"/>
      <c r="CZ184" s="918"/>
      <c r="DA184" s="918"/>
      <c r="DB184" s="918"/>
      <c r="DC184" s="918"/>
      <c r="DD184" s="918"/>
      <c r="DE184" s="918"/>
      <c r="DF184" s="918"/>
      <c r="DG184" s="918"/>
      <c r="DH184" s="918"/>
      <c r="DI184" s="918"/>
      <c r="DJ184" s="918"/>
      <c r="DK184" s="918"/>
      <c r="DL184" s="918"/>
      <c r="DM184" s="918"/>
      <c r="DN184" s="918"/>
      <c r="DO184" s="918"/>
      <c r="DP184" s="918"/>
      <c r="DQ184" s="918"/>
      <c r="DR184" s="918"/>
      <c r="DS184" s="918"/>
      <c r="DT184" s="918"/>
      <c r="DU184" s="918"/>
      <c r="DV184" s="918"/>
      <c r="DW184" s="918"/>
      <c r="DX184" s="918"/>
      <c r="DY184" s="918"/>
      <c r="DZ184" s="918"/>
      <c r="EA184" s="918"/>
      <c r="EB184" s="918"/>
      <c r="EC184" s="918"/>
      <c r="ED184" s="918"/>
      <c r="EE184" s="918"/>
      <c r="EF184" s="918"/>
      <c r="EG184" s="918"/>
      <c r="EH184" s="918"/>
      <c r="EI184" s="918"/>
      <c r="EJ184" s="918"/>
      <c r="EK184" s="918"/>
      <c r="EL184" s="918"/>
      <c r="EM184" s="918"/>
      <c r="EN184" s="918"/>
      <c r="EO184" s="918"/>
      <c r="EP184" s="918"/>
      <c r="EQ184" s="918"/>
      <c r="ER184" s="918"/>
      <c r="ES184" s="918"/>
      <c r="ET184" s="918"/>
      <c r="EU184" s="918"/>
      <c r="EV184" s="918"/>
      <c r="EW184" s="918"/>
      <c r="EX184" s="918"/>
      <c r="EY184" s="918"/>
      <c r="EZ184" s="918"/>
      <c r="FA184" s="918"/>
      <c r="FB184" s="918"/>
      <c r="FC184" s="918"/>
      <c r="FD184" s="918"/>
      <c r="FE184" s="918"/>
      <c r="FF184" s="918"/>
      <c r="FG184" s="918"/>
      <c r="FH184" s="918"/>
      <c r="FI184" s="918"/>
      <c r="FJ184" s="918"/>
      <c r="FK184" s="918"/>
      <c r="FL184" s="918"/>
      <c r="FM184" s="918"/>
      <c r="FN184" s="918"/>
      <c r="FO184" s="918"/>
      <c r="FP184" s="918"/>
      <c r="FQ184" s="918"/>
      <c r="FR184" s="918"/>
      <c r="FS184" s="918"/>
      <c r="FT184" s="918"/>
      <c r="FU184" s="918"/>
      <c r="FV184" s="918"/>
      <c r="FW184" s="918"/>
      <c r="FX184" s="918"/>
      <c r="FY184" s="918"/>
      <c r="FZ184" s="918"/>
      <c r="GA184" s="918"/>
      <c r="GB184" s="918"/>
      <c r="GC184" s="918"/>
      <c r="GD184" s="918"/>
      <c r="GE184" s="918"/>
      <c r="GF184" s="918"/>
      <c r="GG184" s="918"/>
      <c r="GH184" s="918"/>
      <c r="GI184" s="918"/>
      <c r="GJ184" s="918"/>
      <c r="GK184" s="918"/>
      <c r="GL184" s="918"/>
      <c r="GM184" s="918"/>
      <c r="GN184" s="918"/>
      <c r="GO184" s="918"/>
      <c r="GP184" s="918"/>
      <c r="GQ184" s="918"/>
      <c r="GR184" s="918"/>
      <c r="GS184" s="918"/>
      <c r="GT184" s="918"/>
      <c r="GU184" s="918"/>
      <c r="GV184" s="918"/>
      <c r="GW184" s="918"/>
      <c r="GX184" s="918"/>
      <c r="GY184" s="918"/>
      <c r="GZ184" s="918"/>
      <c r="HA184" s="918"/>
      <c r="HB184" s="918"/>
      <c r="HC184" s="918"/>
      <c r="HD184" s="918"/>
      <c r="HE184" s="918"/>
      <c r="HF184" s="918"/>
      <c r="HG184" s="918"/>
      <c r="HH184" s="918"/>
      <c r="HI184" s="918"/>
      <c r="HJ184" s="918"/>
      <c r="HK184" s="918"/>
      <c r="HL184" s="918"/>
      <c r="HM184" s="918"/>
      <c r="HN184" s="918"/>
      <c r="HO184" s="918"/>
      <c r="HP184" s="918"/>
      <c r="HQ184" s="918"/>
      <c r="HR184" s="918"/>
      <c r="HS184" s="918"/>
      <c r="HT184" s="918"/>
      <c r="HU184" s="918"/>
      <c r="HV184" s="918"/>
      <c r="HW184" s="918"/>
      <c r="HX184" s="918"/>
      <c r="HY184" s="918"/>
      <c r="HZ184" s="918"/>
      <c r="IA184" s="918"/>
      <c r="IB184" s="918"/>
      <c r="IC184" s="918"/>
      <c r="ID184" s="918"/>
      <c r="IE184" s="918"/>
      <c r="IF184" s="918"/>
      <c r="IG184" s="918"/>
      <c r="IH184" s="918"/>
      <c r="II184" s="918"/>
      <c r="IJ184" s="918"/>
      <c r="IK184" s="918"/>
      <c r="IL184" s="918"/>
      <c r="IM184" s="918"/>
      <c r="IN184" s="918"/>
    </row>
    <row r="185" spans="1:248">
      <c r="A185" s="615" t="s">
        <v>24</v>
      </c>
      <c r="B185" s="617">
        <v>9410.7000000000007</v>
      </c>
      <c r="C185" s="919">
        <v>24.99827336141999</v>
      </c>
      <c r="D185" s="618">
        <v>9765.6</v>
      </c>
      <c r="E185" s="919">
        <v>25.941018026106775</v>
      </c>
      <c r="F185" s="919">
        <v>-354.89999999999964</v>
      </c>
      <c r="G185" s="919">
        <f t="shared" si="28"/>
        <v>-0.94274466468678675</v>
      </c>
      <c r="H185" s="27">
        <v>37645.4</v>
      </c>
      <c r="I185" s="918"/>
      <c r="J185" s="918"/>
      <c r="K185" s="918"/>
      <c r="L185" s="918"/>
      <c r="M185" s="918"/>
      <c r="N185" s="918"/>
      <c r="O185" s="918"/>
      <c r="P185" s="918"/>
      <c r="Q185" s="918"/>
      <c r="R185" s="918"/>
      <c r="S185" s="918"/>
      <c r="T185" s="918"/>
      <c r="U185" s="918"/>
      <c r="V185" s="918"/>
      <c r="W185" s="918"/>
      <c r="X185" s="918"/>
      <c r="Y185" s="918"/>
      <c r="Z185" s="918"/>
      <c r="AA185" s="918"/>
      <c r="AB185" s="918"/>
      <c r="AC185" s="918"/>
      <c r="AD185" s="918"/>
      <c r="AE185" s="918"/>
      <c r="AF185" s="918"/>
      <c r="AG185" s="918"/>
      <c r="AH185" s="918"/>
      <c r="AI185" s="918"/>
      <c r="AJ185" s="918"/>
      <c r="AK185" s="918"/>
      <c r="AL185" s="918"/>
      <c r="AM185" s="918"/>
      <c r="AN185" s="918"/>
      <c r="AO185" s="918"/>
      <c r="AP185" s="918"/>
      <c r="AQ185" s="918"/>
      <c r="AR185" s="918"/>
      <c r="AS185" s="918"/>
      <c r="AT185" s="918"/>
      <c r="AU185" s="918"/>
      <c r="AV185" s="918"/>
      <c r="AW185" s="918"/>
      <c r="AX185" s="918"/>
      <c r="AY185" s="918"/>
      <c r="AZ185" s="918"/>
      <c r="BA185" s="918"/>
      <c r="BB185" s="918"/>
      <c r="BC185" s="918"/>
      <c r="BD185" s="918"/>
      <c r="BE185" s="918"/>
      <c r="BF185" s="918"/>
      <c r="BG185" s="918"/>
      <c r="BH185" s="918"/>
      <c r="BI185" s="918"/>
      <c r="BJ185" s="918"/>
      <c r="BK185" s="918"/>
      <c r="BL185" s="918"/>
      <c r="BM185" s="918"/>
      <c r="BN185" s="918"/>
      <c r="BO185" s="918"/>
      <c r="BP185" s="918"/>
      <c r="BQ185" s="918"/>
      <c r="BR185" s="918"/>
      <c r="BS185" s="918"/>
      <c r="BT185" s="918"/>
      <c r="BU185" s="918"/>
      <c r="BV185" s="918"/>
      <c r="BW185" s="918"/>
      <c r="BX185" s="918"/>
      <c r="BY185" s="918"/>
      <c r="BZ185" s="918"/>
      <c r="CA185" s="918"/>
      <c r="CB185" s="918"/>
      <c r="CC185" s="918"/>
      <c r="CD185" s="918"/>
      <c r="CE185" s="918"/>
      <c r="CF185" s="918"/>
      <c r="CG185" s="918"/>
      <c r="CH185" s="918"/>
      <c r="CI185" s="918"/>
      <c r="CJ185" s="918"/>
      <c r="CK185" s="918"/>
      <c r="CL185" s="918"/>
      <c r="CM185" s="918"/>
      <c r="CN185" s="918"/>
      <c r="CO185" s="918"/>
      <c r="CP185" s="918"/>
      <c r="CQ185" s="918"/>
      <c r="CR185" s="918"/>
      <c r="CS185" s="918"/>
      <c r="CT185" s="918"/>
      <c r="CU185" s="918"/>
      <c r="CV185" s="918"/>
      <c r="CW185" s="918"/>
      <c r="CX185" s="918"/>
      <c r="CY185" s="918"/>
      <c r="CZ185" s="918"/>
      <c r="DA185" s="918"/>
      <c r="DB185" s="918"/>
      <c r="DC185" s="918"/>
      <c r="DD185" s="918"/>
      <c r="DE185" s="918"/>
      <c r="DF185" s="918"/>
      <c r="DG185" s="918"/>
      <c r="DH185" s="918"/>
      <c r="DI185" s="918"/>
      <c r="DJ185" s="918"/>
      <c r="DK185" s="918"/>
      <c r="DL185" s="918"/>
      <c r="DM185" s="918"/>
      <c r="DN185" s="918"/>
      <c r="DO185" s="918"/>
      <c r="DP185" s="918"/>
      <c r="DQ185" s="918"/>
      <c r="DR185" s="918"/>
      <c r="DS185" s="918"/>
      <c r="DT185" s="918"/>
      <c r="DU185" s="918"/>
      <c r="DV185" s="918"/>
      <c r="DW185" s="918"/>
      <c r="DX185" s="918"/>
      <c r="DY185" s="918"/>
      <c r="DZ185" s="918"/>
      <c r="EA185" s="918"/>
      <c r="EB185" s="918"/>
      <c r="EC185" s="918"/>
      <c r="ED185" s="918"/>
      <c r="EE185" s="918"/>
      <c r="EF185" s="918"/>
      <c r="EG185" s="918"/>
      <c r="EH185" s="918"/>
      <c r="EI185" s="918"/>
      <c r="EJ185" s="918"/>
      <c r="EK185" s="918"/>
      <c r="EL185" s="918"/>
      <c r="EM185" s="918"/>
      <c r="EN185" s="918"/>
      <c r="EO185" s="918"/>
      <c r="EP185" s="918"/>
      <c r="EQ185" s="918"/>
      <c r="ER185" s="918"/>
      <c r="ES185" s="918"/>
      <c r="ET185" s="918"/>
      <c r="EU185" s="918"/>
      <c r="EV185" s="918"/>
      <c r="EW185" s="918"/>
      <c r="EX185" s="918"/>
      <c r="EY185" s="918"/>
      <c r="EZ185" s="918"/>
      <c r="FA185" s="918"/>
      <c r="FB185" s="918"/>
      <c r="FC185" s="918"/>
      <c r="FD185" s="918"/>
      <c r="FE185" s="918"/>
      <c r="FF185" s="918"/>
      <c r="FG185" s="918"/>
      <c r="FH185" s="918"/>
      <c r="FI185" s="918"/>
      <c r="FJ185" s="918"/>
      <c r="FK185" s="918"/>
      <c r="FL185" s="918"/>
      <c r="FM185" s="918"/>
      <c r="FN185" s="918"/>
      <c r="FO185" s="918"/>
      <c r="FP185" s="918"/>
      <c r="FQ185" s="918"/>
      <c r="FR185" s="918"/>
      <c r="FS185" s="918"/>
      <c r="FT185" s="918"/>
      <c r="FU185" s="918"/>
      <c r="FV185" s="918"/>
      <c r="FW185" s="918"/>
      <c r="FX185" s="918"/>
      <c r="FY185" s="918"/>
      <c r="FZ185" s="918"/>
      <c r="GA185" s="918"/>
      <c r="GB185" s="918"/>
      <c r="GC185" s="918"/>
      <c r="GD185" s="918"/>
      <c r="GE185" s="918"/>
      <c r="GF185" s="918"/>
      <c r="GG185" s="918"/>
      <c r="GH185" s="918"/>
      <c r="GI185" s="918"/>
      <c r="GJ185" s="918"/>
      <c r="GK185" s="918"/>
      <c r="GL185" s="918"/>
      <c r="GM185" s="918"/>
      <c r="GN185" s="918"/>
      <c r="GO185" s="918"/>
      <c r="GP185" s="918"/>
      <c r="GQ185" s="918"/>
      <c r="GR185" s="918"/>
      <c r="GS185" s="918"/>
      <c r="GT185" s="918"/>
      <c r="GU185" s="918"/>
      <c r="GV185" s="918"/>
      <c r="GW185" s="918"/>
      <c r="GX185" s="918"/>
      <c r="GY185" s="918"/>
      <c r="GZ185" s="918"/>
      <c r="HA185" s="918"/>
      <c r="HB185" s="918"/>
      <c r="HC185" s="918"/>
      <c r="HD185" s="918"/>
      <c r="HE185" s="918"/>
      <c r="HF185" s="918"/>
      <c r="HG185" s="918"/>
      <c r="HH185" s="918"/>
      <c r="HI185" s="918"/>
      <c r="HJ185" s="918"/>
      <c r="HK185" s="918"/>
      <c r="HL185" s="918"/>
      <c r="HM185" s="918"/>
      <c r="HN185" s="918"/>
      <c r="HO185" s="918"/>
      <c r="HP185" s="918"/>
      <c r="HQ185" s="918"/>
      <c r="HR185" s="918"/>
      <c r="HS185" s="918"/>
      <c r="HT185" s="918"/>
      <c r="HU185" s="918"/>
      <c r="HV185" s="918"/>
      <c r="HW185" s="918"/>
      <c r="HX185" s="918"/>
      <c r="HY185" s="918"/>
      <c r="HZ185" s="918"/>
      <c r="IA185" s="918"/>
      <c r="IB185" s="918"/>
      <c r="IC185" s="918"/>
      <c r="ID185" s="918"/>
      <c r="IE185" s="918"/>
      <c r="IF185" s="918"/>
      <c r="IG185" s="918"/>
      <c r="IH185" s="918"/>
      <c r="II185" s="918"/>
      <c r="IJ185" s="918"/>
      <c r="IK185" s="918"/>
      <c r="IL185" s="918"/>
      <c r="IM185" s="918"/>
      <c r="IN185" s="918"/>
    </row>
    <row r="186" spans="1:248">
      <c r="A186" s="615" t="s">
        <v>25</v>
      </c>
      <c r="B186" s="617">
        <v>10788.8</v>
      </c>
      <c r="C186" s="919">
        <v>24.680874426946552</v>
      </c>
      <c r="D186" s="618">
        <v>11327.5</v>
      </c>
      <c r="E186" s="919">
        <v>25.913225295791666</v>
      </c>
      <c r="F186" s="919">
        <v>-538.70000000000073</v>
      </c>
      <c r="G186" s="919">
        <f t="shared" si="28"/>
        <v>-1.2323508688451104</v>
      </c>
      <c r="H186" s="27">
        <v>43713.2</v>
      </c>
      <c r="I186" s="918"/>
      <c r="J186" s="918"/>
      <c r="K186" s="918"/>
      <c r="L186" s="918"/>
      <c r="M186" s="918"/>
      <c r="N186" s="918"/>
      <c r="O186" s="918"/>
      <c r="P186" s="918"/>
      <c r="Q186" s="918"/>
      <c r="R186" s="918"/>
      <c r="S186" s="918"/>
      <c r="T186" s="918"/>
      <c r="U186" s="918"/>
      <c r="V186" s="918"/>
      <c r="W186" s="918"/>
      <c r="X186" s="918"/>
      <c r="Y186" s="918"/>
      <c r="Z186" s="918"/>
      <c r="AA186" s="918"/>
      <c r="AB186" s="918"/>
      <c r="AC186" s="918"/>
      <c r="AD186" s="918"/>
      <c r="AE186" s="918"/>
      <c r="AF186" s="918"/>
      <c r="AG186" s="918"/>
      <c r="AH186" s="918"/>
      <c r="AI186" s="918"/>
      <c r="AJ186" s="918"/>
      <c r="AK186" s="918"/>
      <c r="AL186" s="918"/>
      <c r="AM186" s="918"/>
      <c r="AN186" s="918"/>
      <c r="AO186" s="918"/>
      <c r="AP186" s="918"/>
      <c r="AQ186" s="918"/>
      <c r="AR186" s="918"/>
      <c r="AS186" s="918"/>
      <c r="AT186" s="918"/>
      <c r="AU186" s="918"/>
      <c r="AV186" s="918"/>
      <c r="AW186" s="918"/>
      <c r="AX186" s="918"/>
      <c r="AY186" s="918"/>
      <c r="AZ186" s="918"/>
      <c r="BA186" s="918"/>
      <c r="BB186" s="918"/>
      <c r="BC186" s="918"/>
      <c r="BD186" s="918"/>
      <c r="BE186" s="918"/>
      <c r="BF186" s="918"/>
      <c r="BG186" s="918"/>
      <c r="BH186" s="918"/>
      <c r="BI186" s="918"/>
      <c r="BJ186" s="918"/>
      <c r="BK186" s="918"/>
      <c r="BL186" s="918"/>
      <c r="BM186" s="918"/>
      <c r="BN186" s="918"/>
      <c r="BO186" s="918"/>
      <c r="BP186" s="918"/>
      <c r="BQ186" s="918"/>
      <c r="BR186" s="918"/>
      <c r="BS186" s="918"/>
      <c r="BT186" s="918"/>
      <c r="BU186" s="918"/>
      <c r="BV186" s="918"/>
      <c r="BW186" s="918"/>
      <c r="BX186" s="918"/>
      <c r="BY186" s="918"/>
      <c r="BZ186" s="918"/>
      <c r="CA186" s="918"/>
      <c r="CB186" s="918"/>
      <c r="CC186" s="918"/>
      <c r="CD186" s="918"/>
      <c r="CE186" s="918"/>
      <c r="CF186" s="918"/>
      <c r="CG186" s="918"/>
      <c r="CH186" s="918"/>
      <c r="CI186" s="918"/>
      <c r="CJ186" s="918"/>
      <c r="CK186" s="918"/>
      <c r="CL186" s="918"/>
      <c r="CM186" s="918"/>
      <c r="CN186" s="918"/>
      <c r="CO186" s="918"/>
      <c r="CP186" s="918"/>
      <c r="CQ186" s="918"/>
      <c r="CR186" s="918"/>
      <c r="CS186" s="918"/>
      <c r="CT186" s="918"/>
      <c r="CU186" s="918"/>
      <c r="CV186" s="918"/>
      <c r="CW186" s="918"/>
      <c r="CX186" s="918"/>
      <c r="CY186" s="918"/>
      <c r="CZ186" s="918"/>
      <c r="DA186" s="918"/>
      <c r="DB186" s="918"/>
      <c r="DC186" s="918"/>
      <c r="DD186" s="918"/>
      <c r="DE186" s="918"/>
      <c r="DF186" s="918"/>
      <c r="DG186" s="918"/>
      <c r="DH186" s="918"/>
      <c r="DI186" s="918"/>
      <c r="DJ186" s="918"/>
      <c r="DK186" s="918"/>
      <c r="DL186" s="918"/>
      <c r="DM186" s="918"/>
      <c r="DN186" s="918"/>
      <c r="DO186" s="918"/>
      <c r="DP186" s="918"/>
      <c r="DQ186" s="918"/>
      <c r="DR186" s="918"/>
      <c r="DS186" s="918"/>
      <c r="DT186" s="918"/>
      <c r="DU186" s="918"/>
      <c r="DV186" s="918"/>
      <c r="DW186" s="918"/>
      <c r="DX186" s="918"/>
      <c r="DY186" s="918"/>
      <c r="DZ186" s="918"/>
      <c r="EA186" s="918"/>
      <c r="EB186" s="918"/>
      <c r="EC186" s="918"/>
      <c r="ED186" s="918"/>
      <c r="EE186" s="918"/>
      <c r="EF186" s="918"/>
      <c r="EG186" s="918"/>
      <c r="EH186" s="918"/>
      <c r="EI186" s="918"/>
      <c r="EJ186" s="918"/>
      <c r="EK186" s="918"/>
      <c r="EL186" s="918"/>
      <c r="EM186" s="918"/>
      <c r="EN186" s="918"/>
      <c r="EO186" s="918"/>
      <c r="EP186" s="918"/>
      <c r="EQ186" s="918"/>
      <c r="ER186" s="918"/>
      <c r="ES186" s="918"/>
      <c r="ET186" s="918"/>
      <c r="EU186" s="918"/>
      <c r="EV186" s="918"/>
      <c r="EW186" s="918"/>
      <c r="EX186" s="918"/>
      <c r="EY186" s="918"/>
      <c r="EZ186" s="918"/>
      <c r="FA186" s="918"/>
      <c r="FB186" s="918"/>
      <c r="FC186" s="918"/>
      <c r="FD186" s="918"/>
      <c r="FE186" s="918"/>
      <c r="FF186" s="918"/>
      <c r="FG186" s="918"/>
      <c r="FH186" s="918"/>
      <c r="FI186" s="918"/>
      <c r="FJ186" s="918"/>
      <c r="FK186" s="918"/>
      <c r="FL186" s="918"/>
      <c r="FM186" s="918"/>
      <c r="FN186" s="918"/>
      <c r="FO186" s="918"/>
      <c r="FP186" s="918"/>
      <c r="FQ186" s="918"/>
      <c r="FR186" s="918"/>
      <c r="FS186" s="918"/>
      <c r="FT186" s="918"/>
      <c r="FU186" s="918"/>
      <c r="FV186" s="918"/>
      <c r="FW186" s="918"/>
      <c r="FX186" s="918"/>
      <c r="FY186" s="918"/>
      <c r="FZ186" s="918"/>
      <c r="GA186" s="918"/>
      <c r="GB186" s="918"/>
      <c r="GC186" s="918"/>
      <c r="GD186" s="918"/>
      <c r="GE186" s="918"/>
      <c r="GF186" s="918"/>
      <c r="GG186" s="918"/>
      <c r="GH186" s="918"/>
      <c r="GI186" s="918"/>
      <c r="GJ186" s="918"/>
      <c r="GK186" s="918"/>
      <c r="GL186" s="918"/>
      <c r="GM186" s="918"/>
      <c r="GN186" s="918"/>
      <c r="GO186" s="918"/>
      <c r="GP186" s="918"/>
      <c r="GQ186" s="918"/>
      <c r="GR186" s="918"/>
      <c r="GS186" s="918"/>
      <c r="GT186" s="918"/>
      <c r="GU186" s="918"/>
      <c r="GV186" s="918"/>
      <c r="GW186" s="918"/>
      <c r="GX186" s="918"/>
      <c r="GY186" s="918"/>
      <c r="GZ186" s="918"/>
      <c r="HA186" s="918"/>
      <c r="HB186" s="918"/>
      <c r="HC186" s="918"/>
      <c r="HD186" s="918"/>
      <c r="HE186" s="918"/>
      <c r="HF186" s="918"/>
      <c r="HG186" s="918"/>
      <c r="HH186" s="918"/>
      <c r="HI186" s="918"/>
      <c r="HJ186" s="918"/>
      <c r="HK186" s="918"/>
      <c r="HL186" s="918"/>
      <c r="HM186" s="918"/>
      <c r="HN186" s="918"/>
      <c r="HO186" s="918"/>
      <c r="HP186" s="918"/>
      <c r="HQ186" s="918"/>
      <c r="HR186" s="918"/>
      <c r="HS186" s="918"/>
      <c r="HT186" s="918"/>
      <c r="HU186" s="918"/>
      <c r="HV186" s="918"/>
      <c r="HW186" s="918"/>
      <c r="HX186" s="918"/>
      <c r="HY186" s="918"/>
      <c r="HZ186" s="918"/>
      <c r="IA186" s="918"/>
      <c r="IB186" s="918"/>
      <c r="IC186" s="918"/>
      <c r="ID186" s="918"/>
      <c r="IE186" s="918"/>
      <c r="IF186" s="918"/>
      <c r="IG186" s="918"/>
      <c r="IH186" s="918"/>
      <c r="II186" s="918"/>
      <c r="IJ186" s="918"/>
      <c r="IK186" s="918"/>
      <c r="IL186" s="918"/>
      <c r="IM186" s="918"/>
      <c r="IN186" s="918"/>
    </row>
    <row r="187" spans="1:248">
      <c r="A187" s="615" t="s">
        <v>26</v>
      </c>
      <c r="B187" s="617">
        <v>12045.1</v>
      </c>
      <c r="C187" s="919">
        <v>24.057818176734116</v>
      </c>
      <c r="D187" s="618">
        <v>12783.7</v>
      </c>
      <c r="E187" s="919">
        <v>25.533032538203575</v>
      </c>
      <c r="F187" s="919">
        <v>-738.60000000000036</v>
      </c>
      <c r="G187" s="919">
        <f t="shared" si="28"/>
        <v>-1.4752143614694628</v>
      </c>
      <c r="H187" s="27">
        <v>50067.3</v>
      </c>
      <c r="I187" s="918"/>
      <c r="J187" s="918"/>
      <c r="K187" s="918"/>
      <c r="L187" s="918"/>
      <c r="M187" s="918"/>
      <c r="N187" s="918"/>
      <c r="O187" s="918"/>
      <c r="P187" s="918"/>
      <c r="Q187" s="918"/>
      <c r="R187" s="918"/>
      <c r="S187" s="918"/>
      <c r="T187" s="918"/>
      <c r="U187" s="918"/>
      <c r="V187" s="918"/>
      <c r="W187" s="918"/>
      <c r="X187" s="918"/>
      <c r="Y187" s="918"/>
      <c r="Z187" s="918"/>
      <c r="AA187" s="918"/>
      <c r="AB187" s="918"/>
      <c r="AC187" s="918"/>
      <c r="AD187" s="918"/>
      <c r="AE187" s="918"/>
      <c r="AF187" s="918"/>
      <c r="AG187" s="918"/>
      <c r="AH187" s="918"/>
      <c r="AI187" s="918"/>
      <c r="AJ187" s="918"/>
      <c r="AK187" s="918"/>
      <c r="AL187" s="918"/>
      <c r="AM187" s="918"/>
      <c r="AN187" s="918"/>
      <c r="AO187" s="918"/>
      <c r="AP187" s="918"/>
      <c r="AQ187" s="918"/>
      <c r="AR187" s="918"/>
      <c r="AS187" s="918"/>
      <c r="AT187" s="918"/>
      <c r="AU187" s="918"/>
      <c r="AV187" s="918"/>
      <c r="AW187" s="918"/>
      <c r="AX187" s="918"/>
      <c r="AY187" s="918"/>
      <c r="AZ187" s="918"/>
      <c r="BA187" s="918"/>
      <c r="BB187" s="918"/>
      <c r="BC187" s="918"/>
      <c r="BD187" s="918"/>
      <c r="BE187" s="918"/>
      <c r="BF187" s="918"/>
      <c r="BG187" s="918"/>
      <c r="BH187" s="918"/>
      <c r="BI187" s="918"/>
      <c r="BJ187" s="918"/>
      <c r="BK187" s="918"/>
      <c r="BL187" s="918"/>
      <c r="BM187" s="918"/>
      <c r="BN187" s="918"/>
      <c r="BO187" s="918"/>
      <c r="BP187" s="918"/>
      <c r="BQ187" s="918"/>
      <c r="BR187" s="918"/>
      <c r="BS187" s="918"/>
      <c r="BT187" s="918"/>
      <c r="BU187" s="918"/>
      <c r="BV187" s="918"/>
      <c r="BW187" s="918"/>
      <c r="BX187" s="918"/>
      <c r="BY187" s="918"/>
      <c r="BZ187" s="918"/>
      <c r="CA187" s="918"/>
      <c r="CB187" s="918"/>
      <c r="CC187" s="918"/>
      <c r="CD187" s="918"/>
      <c r="CE187" s="918"/>
      <c r="CF187" s="918"/>
      <c r="CG187" s="918"/>
      <c r="CH187" s="918"/>
      <c r="CI187" s="918"/>
      <c r="CJ187" s="918"/>
      <c r="CK187" s="918"/>
      <c r="CL187" s="918"/>
      <c r="CM187" s="918"/>
      <c r="CN187" s="918"/>
      <c r="CO187" s="918"/>
      <c r="CP187" s="918"/>
      <c r="CQ187" s="918"/>
      <c r="CR187" s="918"/>
      <c r="CS187" s="918"/>
      <c r="CT187" s="918"/>
      <c r="CU187" s="918"/>
      <c r="CV187" s="918"/>
      <c r="CW187" s="918"/>
      <c r="CX187" s="918"/>
      <c r="CY187" s="918"/>
      <c r="CZ187" s="918"/>
      <c r="DA187" s="918"/>
      <c r="DB187" s="918"/>
      <c r="DC187" s="918"/>
      <c r="DD187" s="918"/>
      <c r="DE187" s="918"/>
      <c r="DF187" s="918"/>
      <c r="DG187" s="918"/>
      <c r="DH187" s="918"/>
      <c r="DI187" s="918"/>
      <c r="DJ187" s="918"/>
      <c r="DK187" s="918"/>
      <c r="DL187" s="918"/>
      <c r="DM187" s="918"/>
      <c r="DN187" s="918"/>
      <c r="DO187" s="918"/>
      <c r="DP187" s="918"/>
      <c r="DQ187" s="918"/>
      <c r="DR187" s="918"/>
      <c r="DS187" s="918"/>
      <c r="DT187" s="918"/>
      <c r="DU187" s="918"/>
      <c r="DV187" s="918"/>
      <c r="DW187" s="918"/>
      <c r="DX187" s="918"/>
      <c r="DY187" s="918"/>
      <c r="DZ187" s="918"/>
      <c r="EA187" s="918"/>
      <c r="EB187" s="918"/>
      <c r="EC187" s="918"/>
      <c r="ED187" s="918"/>
      <c r="EE187" s="918"/>
      <c r="EF187" s="918"/>
      <c r="EG187" s="918"/>
      <c r="EH187" s="918"/>
      <c r="EI187" s="918"/>
      <c r="EJ187" s="918"/>
      <c r="EK187" s="918"/>
      <c r="EL187" s="918"/>
      <c r="EM187" s="918"/>
      <c r="EN187" s="918"/>
      <c r="EO187" s="918"/>
      <c r="EP187" s="918"/>
      <c r="EQ187" s="918"/>
      <c r="ER187" s="918"/>
      <c r="ES187" s="918"/>
      <c r="ET187" s="918"/>
      <c r="EU187" s="918"/>
      <c r="EV187" s="918"/>
      <c r="EW187" s="918"/>
      <c r="EX187" s="918"/>
      <c r="EY187" s="918"/>
      <c r="EZ187" s="918"/>
      <c r="FA187" s="918"/>
      <c r="FB187" s="918"/>
      <c r="FC187" s="918"/>
      <c r="FD187" s="918"/>
      <c r="FE187" s="918"/>
      <c r="FF187" s="918"/>
      <c r="FG187" s="918"/>
      <c r="FH187" s="918"/>
      <c r="FI187" s="918"/>
      <c r="FJ187" s="918"/>
      <c r="FK187" s="918"/>
      <c r="FL187" s="918"/>
      <c r="FM187" s="918"/>
      <c r="FN187" s="918"/>
      <c r="FO187" s="918"/>
      <c r="FP187" s="918"/>
      <c r="FQ187" s="918"/>
      <c r="FR187" s="918"/>
      <c r="FS187" s="918"/>
      <c r="FT187" s="918"/>
      <c r="FU187" s="918"/>
      <c r="FV187" s="918"/>
      <c r="FW187" s="918"/>
      <c r="FX187" s="918"/>
      <c r="FY187" s="918"/>
      <c r="FZ187" s="918"/>
      <c r="GA187" s="918"/>
      <c r="GB187" s="918"/>
      <c r="GC187" s="918"/>
      <c r="GD187" s="918"/>
      <c r="GE187" s="918"/>
      <c r="GF187" s="918"/>
      <c r="GG187" s="918"/>
      <c r="GH187" s="918"/>
      <c r="GI187" s="918"/>
      <c r="GJ187" s="918"/>
      <c r="GK187" s="918"/>
      <c r="GL187" s="918"/>
      <c r="GM187" s="918"/>
      <c r="GN187" s="918"/>
      <c r="GO187" s="918"/>
      <c r="GP187" s="918"/>
      <c r="GQ187" s="918"/>
      <c r="GR187" s="918"/>
      <c r="GS187" s="918"/>
      <c r="GT187" s="918"/>
      <c r="GU187" s="918"/>
      <c r="GV187" s="918"/>
      <c r="GW187" s="918"/>
      <c r="GX187" s="918"/>
      <c r="GY187" s="918"/>
      <c r="GZ187" s="918"/>
      <c r="HA187" s="918"/>
      <c r="HB187" s="918"/>
      <c r="HC187" s="918"/>
      <c r="HD187" s="918"/>
      <c r="HE187" s="918"/>
      <c r="HF187" s="918"/>
      <c r="HG187" s="918"/>
      <c r="HH187" s="918"/>
      <c r="HI187" s="918"/>
      <c r="HJ187" s="918"/>
      <c r="HK187" s="918"/>
      <c r="HL187" s="918"/>
      <c r="HM187" s="918"/>
      <c r="HN187" s="918"/>
      <c r="HO187" s="918"/>
      <c r="HP187" s="918"/>
      <c r="HQ187" s="918"/>
      <c r="HR187" s="918"/>
      <c r="HS187" s="918"/>
      <c r="HT187" s="918"/>
      <c r="HU187" s="918"/>
      <c r="HV187" s="918"/>
      <c r="HW187" s="918"/>
      <c r="HX187" s="918"/>
      <c r="HY187" s="918"/>
      <c r="HZ187" s="918"/>
      <c r="IA187" s="918"/>
      <c r="IB187" s="918"/>
      <c r="IC187" s="918"/>
      <c r="ID187" s="918"/>
      <c r="IE187" s="918"/>
      <c r="IF187" s="918"/>
      <c r="IG187" s="918"/>
      <c r="IH187" s="918"/>
      <c r="II187" s="918"/>
      <c r="IJ187" s="918"/>
      <c r="IK187" s="918"/>
      <c r="IL187" s="918"/>
      <c r="IM187" s="918"/>
      <c r="IN187" s="918"/>
    </row>
    <row r="188" spans="1:248">
      <c r="A188" s="615" t="s">
        <v>27</v>
      </c>
      <c r="B188" s="617">
        <v>13557.2</v>
      </c>
      <c r="C188" s="919">
        <v>24.002903605605379</v>
      </c>
      <c r="D188" s="618">
        <v>14150.2</v>
      </c>
      <c r="E188" s="919">
        <v>25.052804900719707</v>
      </c>
      <c r="F188" s="919">
        <v>-593</v>
      </c>
      <c r="G188" s="919">
        <f t="shared" si="28"/>
        <v>-1.0499012951143294</v>
      </c>
      <c r="H188" s="27">
        <v>56481.5</v>
      </c>
      <c r="I188" s="918"/>
      <c r="J188" s="918"/>
      <c r="K188" s="918"/>
      <c r="L188" s="918"/>
      <c r="M188" s="918"/>
      <c r="N188" s="918"/>
      <c r="O188" s="918"/>
      <c r="P188" s="918"/>
      <c r="Q188" s="918"/>
      <c r="R188" s="918"/>
      <c r="S188" s="918"/>
      <c r="T188" s="918"/>
      <c r="U188" s="918"/>
      <c r="V188" s="918"/>
      <c r="W188" s="918"/>
      <c r="X188" s="918"/>
      <c r="Y188" s="918"/>
      <c r="Z188" s="918"/>
      <c r="AA188" s="918"/>
      <c r="AB188" s="918"/>
      <c r="AC188" s="918"/>
      <c r="AD188" s="918"/>
      <c r="AE188" s="918"/>
      <c r="AF188" s="918"/>
      <c r="AG188" s="918"/>
      <c r="AH188" s="918"/>
      <c r="AI188" s="918"/>
      <c r="AJ188" s="918"/>
      <c r="AK188" s="918"/>
      <c r="AL188" s="918"/>
      <c r="AM188" s="918"/>
      <c r="AN188" s="918"/>
      <c r="AO188" s="918"/>
      <c r="AP188" s="918"/>
      <c r="AQ188" s="918"/>
      <c r="AR188" s="918"/>
      <c r="AS188" s="918"/>
      <c r="AT188" s="918"/>
      <c r="AU188" s="918"/>
      <c r="AV188" s="918"/>
      <c r="AW188" s="918"/>
      <c r="AX188" s="918"/>
      <c r="AY188" s="918"/>
      <c r="AZ188" s="918"/>
      <c r="BA188" s="918"/>
      <c r="BB188" s="918"/>
      <c r="BC188" s="918"/>
      <c r="BD188" s="918"/>
      <c r="BE188" s="918"/>
      <c r="BF188" s="918"/>
      <c r="BG188" s="918"/>
      <c r="BH188" s="918"/>
      <c r="BI188" s="918"/>
      <c r="BJ188" s="918"/>
      <c r="BK188" s="918"/>
      <c r="BL188" s="918"/>
      <c r="BM188" s="918"/>
      <c r="BN188" s="918"/>
      <c r="BO188" s="918"/>
      <c r="BP188" s="918"/>
      <c r="BQ188" s="918"/>
      <c r="BR188" s="918"/>
      <c r="BS188" s="918"/>
      <c r="BT188" s="918"/>
      <c r="BU188" s="918"/>
      <c r="BV188" s="918"/>
      <c r="BW188" s="918"/>
      <c r="BX188" s="918"/>
      <c r="BY188" s="918"/>
      <c r="BZ188" s="918"/>
      <c r="CA188" s="918"/>
      <c r="CB188" s="918"/>
      <c r="CC188" s="918"/>
      <c r="CD188" s="918"/>
      <c r="CE188" s="918"/>
      <c r="CF188" s="918"/>
      <c r="CG188" s="918"/>
      <c r="CH188" s="918"/>
      <c r="CI188" s="918"/>
      <c r="CJ188" s="918"/>
      <c r="CK188" s="918"/>
      <c r="CL188" s="918"/>
      <c r="CM188" s="918"/>
      <c r="CN188" s="918"/>
      <c r="CO188" s="918"/>
      <c r="CP188" s="918"/>
      <c r="CQ188" s="918"/>
      <c r="CR188" s="918"/>
      <c r="CS188" s="918"/>
      <c r="CT188" s="918"/>
      <c r="CU188" s="918"/>
      <c r="CV188" s="918"/>
      <c r="CW188" s="918"/>
      <c r="CX188" s="918"/>
      <c r="CY188" s="918"/>
      <c r="CZ188" s="918"/>
      <c r="DA188" s="918"/>
      <c r="DB188" s="918"/>
      <c r="DC188" s="918"/>
      <c r="DD188" s="918"/>
      <c r="DE188" s="918"/>
      <c r="DF188" s="918"/>
      <c r="DG188" s="918"/>
      <c r="DH188" s="918"/>
      <c r="DI188" s="918"/>
      <c r="DJ188" s="918"/>
      <c r="DK188" s="918"/>
      <c r="DL188" s="918"/>
      <c r="DM188" s="918"/>
      <c r="DN188" s="918"/>
      <c r="DO188" s="918"/>
      <c r="DP188" s="918"/>
      <c r="DQ188" s="918"/>
      <c r="DR188" s="918"/>
      <c r="DS188" s="918"/>
      <c r="DT188" s="918"/>
      <c r="DU188" s="918"/>
      <c r="DV188" s="918"/>
      <c r="DW188" s="918"/>
      <c r="DX188" s="918"/>
      <c r="DY188" s="918"/>
      <c r="DZ188" s="918"/>
      <c r="EA188" s="918"/>
      <c r="EB188" s="918"/>
      <c r="EC188" s="918"/>
      <c r="ED188" s="918"/>
      <c r="EE188" s="918"/>
      <c r="EF188" s="918"/>
      <c r="EG188" s="918"/>
      <c r="EH188" s="918"/>
      <c r="EI188" s="918"/>
      <c r="EJ188" s="918"/>
      <c r="EK188" s="918"/>
      <c r="EL188" s="918"/>
      <c r="EM188" s="918"/>
      <c r="EN188" s="918"/>
      <c r="EO188" s="918"/>
      <c r="EP188" s="918"/>
      <c r="EQ188" s="918"/>
      <c r="ER188" s="918"/>
      <c r="ES188" s="918"/>
      <c r="ET188" s="918"/>
      <c r="EU188" s="918"/>
      <c r="EV188" s="918"/>
      <c r="EW188" s="918"/>
      <c r="EX188" s="918"/>
      <c r="EY188" s="918"/>
      <c r="EZ188" s="918"/>
      <c r="FA188" s="918"/>
      <c r="FB188" s="918"/>
      <c r="FC188" s="918"/>
      <c r="FD188" s="918"/>
      <c r="FE188" s="918"/>
      <c r="FF188" s="918"/>
      <c r="FG188" s="918"/>
      <c r="FH188" s="918"/>
      <c r="FI188" s="918"/>
      <c r="FJ188" s="918"/>
      <c r="FK188" s="918"/>
      <c r="FL188" s="918"/>
      <c r="FM188" s="918"/>
      <c r="FN188" s="918"/>
      <c r="FO188" s="918"/>
      <c r="FP188" s="918"/>
      <c r="FQ188" s="918"/>
      <c r="FR188" s="918"/>
      <c r="FS188" s="918"/>
      <c r="FT188" s="918"/>
      <c r="FU188" s="918"/>
      <c r="FV188" s="918"/>
      <c r="FW188" s="918"/>
      <c r="FX188" s="918"/>
      <c r="FY188" s="918"/>
      <c r="FZ188" s="918"/>
      <c r="GA188" s="918"/>
      <c r="GB188" s="918"/>
      <c r="GC188" s="918"/>
      <c r="GD188" s="918"/>
      <c r="GE188" s="918"/>
      <c r="GF188" s="918"/>
      <c r="GG188" s="918"/>
      <c r="GH188" s="918"/>
      <c r="GI188" s="918"/>
      <c r="GJ188" s="918"/>
      <c r="GK188" s="918"/>
      <c r="GL188" s="918"/>
      <c r="GM188" s="918"/>
      <c r="GN188" s="918"/>
      <c r="GO188" s="918"/>
      <c r="GP188" s="918"/>
      <c r="GQ188" s="918"/>
      <c r="GR188" s="918"/>
      <c r="GS188" s="918"/>
      <c r="GT188" s="918"/>
      <c r="GU188" s="918"/>
      <c r="GV188" s="918"/>
      <c r="GW188" s="918"/>
      <c r="GX188" s="918"/>
      <c r="GY188" s="918"/>
      <c r="GZ188" s="918"/>
      <c r="HA188" s="918"/>
      <c r="HB188" s="918"/>
      <c r="HC188" s="918"/>
      <c r="HD188" s="918"/>
      <c r="HE188" s="918"/>
      <c r="HF188" s="918"/>
      <c r="HG188" s="918"/>
      <c r="HH188" s="918"/>
      <c r="HI188" s="918"/>
      <c r="HJ188" s="918"/>
      <c r="HK188" s="918"/>
      <c r="HL188" s="918"/>
      <c r="HM188" s="918"/>
      <c r="HN188" s="918"/>
      <c r="HO188" s="918"/>
      <c r="HP188" s="918"/>
      <c r="HQ188" s="918"/>
      <c r="HR188" s="918"/>
      <c r="HS188" s="918"/>
      <c r="HT188" s="918"/>
      <c r="HU188" s="918"/>
      <c r="HV188" s="918"/>
      <c r="HW188" s="918"/>
      <c r="HX188" s="918"/>
      <c r="HY188" s="918"/>
      <c r="HZ188" s="918"/>
      <c r="IA188" s="918"/>
      <c r="IB188" s="918"/>
      <c r="IC188" s="918"/>
      <c r="ID188" s="918"/>
      <c r="IE188" s="918"/>
      <c r="IF188" s="918"/>
      <c r="IG188" s="918"/>
      <c r="IH188" s="918"/>
      <c r="II188" s="918"/>
      <c r="IJ188" s="918"/>
      <c r="IK188" s="918"/>
      <c r="IL188" s="918"/>
      <c r="IM188" s="918"/>
      <c r="IN188" s="918"/>
    </row>
    <row r="189" spans="1:248">
      <c r="A189" s="615" t="s">
        <v>28</v>
      </c>
      <c r="B189" s="617">
        <v>14749.3</v>
      </c>
      <c r="C189" s="919">
        <v>23.385121283372943</v>
      </c>
      <c r="D189" s="618">
        <v>15463.1</v>
      </c>
      <c r="E189" s="919">
        <v>24.516856319752407</v>
      </c>
      <c r="F189" s="919">
        <v>-713.80000000000109</v>
      </c>
      <c r="G189" s="919">
        <f t="shared" si="28"/>
        <v>-1.1317350363794643</v>
      </c>
      <c r="H189" s="27">
        <v>63071.3</v>
      </c>
      <c r="I189" s="918"/>
      <c r="J189" s="918"/>
      <c r="K189" s="918"/>
      <c r="L189" s="918"/>
      <c r="M189" s="918"/>
      <c r="N189" s="918"/>
      <c r="O189" s="918"/>
      <c r="P189" s="918"/>
      <c r="Q189" s="918"/>
      <c r="R189" s="918"/>
      <c r="S189" s="918"/>
      <c r="T189" s="918"/>
      <c r="U189" s="918"/>
      <c r="V189" s="918"/>
      <c r="W189" s="918"/>
      <c r="X189" s="918"/>
      <c r="Y189" s="918"/>
      <c r="Z189" s="918"/>
      <c r="AA189" s="918"/>
      <c r="AB189" s="918"/>
      <c r="AC189" s="918"/>
      <c r="AD189" s="918"/>
      <c r="AE189" s="918"/>
      <c r="AF189" s="918"/>
      <c r="AG189" s="918"/>
      <c r="AH189" s="918"/>
      <c r="AI189" s="918"/>
      <c r="AJ189" s="918"/>
      <c r="AK189" s="918"/>
      <c r="AL189" s="918"/>
      <c r="AM189" s="918"/>
      <c r="AN189" s="918"/>
      <c r="AO189" s="918"/>
      <c r="AP189" s="918"/>
      <c r="AQ189" s="918"/>
      <c r="AR189" s="918"/>
      <c r="AS189" s="918"/>
      <c r="AT189" s="918"/>
      <c r="AU189" s="918"/>
      <c r="AV189" s="918"/>
      <c r="AW189" s="918"/>
      <c r="AX189" s="918"/>
      <c r="AY189" s="918"/>
      <c r="AZ189" s="918"/>
      <c r="BA189" s="918"/>
      <c r="BB189" s="918"/>
      <c r="BC189" s="918"/>
      <c r="BD189" s="918"/>
      <c r="BE189" s="918"/>
      <c r="BF189" s="918"/>
      <c r="BG189" s="918"/>
      <c r="BH189" s="918"/>
      <c r="BI189" s="918"/>
      <c r="BJ189" s="918"/>
      <c r="BK189" s="918"/>
      <c r="BL189" s="918"/>
      <c r="BM189" s="918"/>
      <c r="BN189" s="918"/>
      <c r="BO189" s="918"/>
      <c r="BP189" s="918"/>
      <c r="BQ189" s="918"/>
      <c r="BR189" s="918"/>
      <c r="BS189" s="918"/>
      <c r="BT189" s="918"/>
      <c r="BU189" s="918"/>
      <c r="BV189" s="918"/>
      <c r="BW189" s="918"/>
      <c r="BX189" s="918"/>
      <c r="BY189" s="918"/>
      <c r="BZ189" s="918"/>
      <c r="CA189" s="918"/>
      <c r="CB189" s="918"/>
      <c r="CC189" s="918"/>
      <c r="CD189" s="918"/>
      <c r="CE189" s="918"/>
      <c r="CF189" s="918"/>
      <c r="CG189" s="918"/>
      <c r="CH189" s="918"/>
      <c r="CI189" s="918"/>
      <c r="CJ189" s="918"/>
      <c r="CK189" s="918"/>
      <c r="CL189" s="918"/>
      <c r="CM189" s="918"/>
      <c r="CN189" s="918"/>
      <c r="CO189" s="918"/>
      <c r="CP189" s="918"/>
      <c r="CQ189" s="918"/>
      <c r="CR189" s="918"/>
      <c r="CS189" s="918"/>
      <c r="CT189" s="918"/>
      <c r="CU189" s="918"/>
      <c r="CV189" s="918"/>
      <c r="CW189" s="918"/>
      <c r="CX189" s="918"/>
      <c r="CY189" s="918"/>
      <c r="CZ189" s="918"/>
      <c r="DA189" s="918"/>
      <c r="DB189" s="918"/>
      <c r="DC189" s="918"/>
      <c r="DD189" s="918"/>
      <c r="DE189" s="918"/>
      <c r="DF189" s="918"/>
      <c r="DG189" s="918"/>
      <c r="DH189" s="918"/>
      <c r="DI189" s="918"/>
      <c r="DJ189" s="918"/>
      <c r="DK189" s="918"/>
      <c r="DL189" s="918"/>
      <c r="DM189" s="918"/>
      <c r="DN189" s="918"/>
      <c r="DO189" s="918"/>
      <c r="DP189" s="918"/>
      <c r="DQ189" s="918"/>
      <c r="DR189" s="918"/>
      <c r="DS189" s="918"/>
      <c r="DT189" s="918"/>
      <c r="DU189" s="918"/>
      <c r="DV189" s="918"/>
      <c r="DW189" s="918"/>
      <c r="DX189" s="918"/>
      <c r="DY189" s="918"/>
      <c r="DZ189" s="918"/>
      <c r="EA189" s="918"/>
      <c r="EB189" s="918"/>
      <c r="EC189" s="918"/>
      <c r="ED189" s="918"/>
      <c r="EE189" s="918"/>
      <c r="EF189" s="918"/>
      <c r="EG189" s="918"/>
      <c r="EH189" s="918"/>
      <c r="EI189" s="918"/>
      <c r="EJ189" s="918"/>
      <c r="EK189" s="918"/>
      <c r="EL189" s="918"/>
      <c r="EM189" s="918"/>
      <c r="EN189" s="918"/>
      <c r="EO189" s="918"/>
      <c r="EP189" s="918"/>
      <c r="EQ189" s="918"/>
      <c r="ER189" s="918"/>
      <c r="ES189" s="918"/>
      <c r="ET189" s="918"/>
      <c r="EU189" s="918"/>
      <c r="EV189" s="918"/>
      <c r="EW189" s="918"/>
      <c r="EX189" s="918"/>
      <c r="EY189" s="918"/>
      <c r="EZ189" s="918"/>
      <c r="FA189" s="918"/>
      <c r="FB189" s="918"/>
      <c r="FC189" s="918"/>
      <c r="FD189" s="918"/>
      <c r="FE189" s="918"/>
      <c r="FF189" s="918"/>
      <c r="FG189" s="918"/>
      <c r="FH189" s="918"/>
      <c r="FI189" s="918"/>
      <c r="FJ189" s="918"/>
      <c r="FK189" s="918"/>
      <c r="FL189" s="918"/>
      <c r="FM189" s="918"/>
      <c r="FN189" s="918"/>
      <c r="FO189" s="918"/>
      <c r="FP189" s="918"/>
      <c r="FQ189" s="918"/>
      <c r="FR189" s="918"/>
      <c r="FS189" s="918"/>
      <c r="FT189" s="918"/>
      <c r="FU189" s="918"/>
      <c r="FV189" s="918"/>
      <c r="FW189" s="918"/>
      <c r="FX189" s="918"/>
      <c r="FY189" s="918"/>
      <c r="FZ189" s="918"/>
      <c r="GA189" s="918"/>
      <c r="GB189" s="918"/>
      <c r="GC189" s="918"/>
      <c r="GD189" s="918"/>
      <c r="GE189" s="918"/>
      <c r="GF189" s="918"/>
      <c r="GG189" s="918"/>
      <c r="GH189" s="918"/>
      <c r="GI189" s="918"/>
      <c r="GJ189" s="918"/>
      <c r="GK189" s="918"/>
      <c r="GL189" s="918"/>
      <c r="GM189" s="918"/>
      <c r="GN189" s="918"/>
      <c r="GO189" s="918"/>
      <c r="GP189" s="918"/>
      <c r="GQ189" s="918"/>
      <c r="GR189" s="918"/>
      <c r="GS189" s="918"/>
      <c r="GT189" s="918"/>
      <c r="GU189" s="918"/>
      <c r="GV189" s="918"/>
      <c r="GW189" s="918"/>
      <c r="GX189" s="918"/>
      <c r="GY189" s="918"/>
      <c r="GZ189" s="918"/>
      <c r="HA189" s="918"/>
      <c r="HB189" s="918"/>
      <c r="HC189" s="918"/>
      <c r="HD189" s="918"/>
      <c r="HE189" s="918"/>
      <c r="HF189" s="918"/>
      <c r="HG189" s="918"/>
      <c r="HH189" s="918"/>
      <c r="HI189" s="918"/>
      <c r="HJ189" s="918"/>
      <c r="HK189" s="918"/>
      <c r="HL189" s="918"/>
      <c r="HM189" s="918"/>
      <c r="HN189" s="918"/>
      <c r="HO189" s="918"/>
      <c r="HP189" s="918"/>
      <c r="HQ189" s="918"/>
      <c r="HR189" s="918"/>
      <c r="HS189" s="918"/>
      <c r="HT189" s="918"/>
      <c r="HU189" s="918"/>
      <c r="HV189" s="918"/>
      <c r="HW189" s="918"/>
      <c r="HX189" s="918"/>
      <c r="HY189" s="918"/>
      <c r="HZ189" s="918"/>
      <c r="IA189" s="918"/>
      <c r="IB189" s="918"/>
      <c r="IC189" s="918"/>
      <c r="ID189" s="918"/>
      <c r="IE189" s="918"/>
      <c r="IF189" s="918"/>
      <c r="IG189" s="918"/>
      <c r="IH189" s="918"/>
      <c r="II189" s="918"/>
      <c r="IJ189" s="918"/>
      <c r="IK189" s="918"/>
      <c r="IL189" s="918"/>
      <c r="IM189" s="918"/>
      <c r="IN189" s="918"/>
    </row>
    <row r="190" spans="1:248">
      <c r="A190" s="615" t="s">
        <v>29</v>
      </c>
      <c r="B190" s="617">
        <v>16516.683993999995</v>
      </c>
      <c r="C190" s="919">
        <v>23.450312325782669</v>
      </c>
      <c r="D190" s="618">
        <v>17594.477983999997</v>
      </c>
      <c r="E190" s="919">
        <v>25.077885395472453</v>
      </c>
      <c r="F190" s="919">
        <v>-1077.7939900000019</v>
      </c>
      <c r="G190" s="919">
        <f t="shared" si="28"/>
        <v>-1.5367397922010546</v>
      </c>
      <c r="H190" s="27">
        <v>70135.100000000006</v>
      </c>
      <c r="I190" s="918"/>
      <c r="J190" s="918"/>
      <c r="K190" s="918"/>
      <c r="L190" s="918"/>
      <c r="M190" s="918"/>
      <c r="N190" s="918"/>
      <c r="O190" s="918"/>
      <c r="P190" s="918"/>
      <c r="Q190" s="918"/>
      <c r="R190" s="918"/>
      <c r="S190" s="918"/>
      <c r="T190" s="918"/>
      <c r="U190" s="918"/>
      <c r="V190" s="918"/>
      <c r="W190" s="918"/>
      <c r="X190" s="918"/>
      <c r="Y190" s="918"/>
      <c r="Z190" s="918"/>
      <c r="AA190" s="918"/>
      <c r="AB190" s="918"/>
      <c r="AC190" s="918"/>
      <c r="AD190" s="918"/>
      <c r="AE190" s="918"/>
      <c r="AF190" s="918"/>
      <c r="AG190" s="918"/>
      <c r="AH190" s="918"/>
      <c r="AI190" s="918"/>
      <c r="AJ190" s="918"/>
      <c r="AK190" s="918"/>
      <c r="AL190" s="918"/>
      <c r="AM190" s="918"/>
      <c r="AN190" s="918"/>
      <c r="AO190" s="918"/>
      <c r="AP190" s="918"/>
      <c r="AQ190" s="918"/>
      <c r="AR190" s="918"/>
      <c r="AS190" s="918"/>
      <c r="AT190" s="918"/>
      <c r="AU190" s="918"/>
      <c r="AV190" s="918"/>
      <c r="AW190" s="918"/>
      <c r="AX190" s="918"/>
      <c r="AY190" s="918"/>
      <c r="AZ190" s="918"/>
      <c r="BA190" s="918"/>
      <c r="BB190" s="918"/>
      <c r="BC190" s="918"/>
      <c r="BD190" s="918"/>
      <c r="BE190" s="918"/>
      <c r="BF190" s="918"/>
      <c r="BG190" s="918"/>
      <c r="BH190" s="918"/>
      <c r="BI190" s="918"/>
      <c r="BJ190" s="918"/>
      <c r="BK190" s="918"/>
      <c r="BL190" s="918"/>
      <c r="BM190" s="918"/>
      <c r="BN190" s="918"/>
      <c r="BO190" s="918"/>
      <c r="BP190" s="918"/>
      <c r="BQ190" s="918"/>
      <c r="BR190" s="918"/>
      <c r="BS190" s="918"/>
      <c r="BT190" s="918"/>
      <c r="BU190" s="918"/>
      <c r="BV190" s="918"/>
      <c r="BW190" s="918"/>
      <c r="BX190" s="918"/>
      <c r="BY190" s="918"/>
      <c r="BZ190" s="918"/>
      <c r="CA190" s="918"/>
      <c r="CB190" s="918"/>
      <c r="CC190" s="918"/>
      <c r="CD190" s="918"/>
      <c r="CE190" s="918"/>
      <c r="CF190" s="918"/>
      <c r="CG190" s="918"/>
      <c r="CH190" s="918"/>
      <c r="CI190" s="918"/>
      <c r="CJ190" s="918"/>
      <c r="CK190" s="918"/>
      <c r="CL190" s="918"/>
      <c r="CM190" s="918"/>
      <c r="CN190" s="918"/>
      <c r="CO190" s="918"/>
      <c r="CP190" s="918"/>
      <c r="CQ190" s="918"/>
      <c r="CR190" s="918"/>
      <c r="CS190" s="918"/>
      <c r="CT190" s="918"/>
      <c r="CU190" s="918"/>
      <c r="CV190" s="918"/>
      <c r="CW190" s="918"/>
      <c r="CX190" s="918"/>
      <c r="CY190" s="918"/>
      <c r="CZ190" s="918"/>
      <c r="DA190" s="918"/>
      <c r="DB190" s="918"/>
      <c r="DC190" s="918"/>
      <c r="DD190" s="918"/>
      <c r="DE190" s="918"/>
      <c r="DF190" s="918"/>
      <c r="DG190" s="918"/>
      <c r="DH190" s="918"/>
      <c r="DI190" s="918"/>
      <c r="DJ190" s="918"/>
      <c r="DK190" s="918"/>
      <c r="DL190" s="918"/>
      <c r="DM190" s="918"/>
      <c r="DN190" s="918"/>
      <c r="DO190" s="918"/>
      <c r="DP190" s="918"/>
      <c r="DQ190" s="918"/>
      <c r="DR190" s="918"/>
      <c r="DS190" s="918"/>
      <c r="DT190" s="918"/>
      <c r="DU190" s="918"/>
      <c r="DV190" s="918"/>
      <c r="DW190" s="918"/>
      <c r="DX190" s="918"/>
      <c r="DY190" s="918"/>
      <c r="DZ190" s="918"/>
      <c r="EA190" s="918"/>
      <c r="EB190" s="918"/>
      <c r="EC190" s="918"/>
      <c r="ED190" s="918"/>
      <c r="EE190" s="918"/>
      <c r="EF190" s="918"/>
      <c r="EG190" s="918"/>
      <c r="EH190" s="918"/>
      <c r="EI190" s="918"/>
      <c r="EJ190" s="918"/>
      <c r="EK190" s="918"/>
      <c r="EL190" s="918"/>
      <c r="EM190" s="918"/>
      <c r="EN190" s="918"/>
      <c r="EO190" s="918"/>
      <c r="EP190" s="918"/>
      <c r="EQ190" s="918"/>
      <c r="ER190" s="918"/>
      <c r="ES190" s="918"/>
      <c r="ET190" s="918"/>
      <c r="EU190" s="918"/>
      <c r="EV190" s="918"/>
      <c r="EW190" s="918"/>
      <c r="EX190" s="918"/>
      <c r="EY190" s="918"/>
      <c r="EZ190" s="918"/>
      <c r="FA190" s="918"/>
      <c r="FB190" s="918"/>
      <c r="FC190" s="918"/>
      <c r="FD190" s="918"/>
      <c r="FE190" s="918"/>
      <c r="FF190" s="918"/>
      <c r="FG190" s="918"/>
      <c r="FH190" s="918"/>
      <c r="FI190" s="918"/>
      <c r="FJ190" s="918"/>
      <c r="FK190" s="918"/>
      <c r="FL190" s="918"/>
      <c r="FM190" s="918"/>
      <c r="FN190" s="918"/>
      <c r="FO190" s="918"/>
      <c r="FP190" s="918"/>
      <c r="FQ190" s="918"/>
      <c r="FR190" s="918"/>
      <c r="FS190" s="918"/>
      <c r="FT190" s="918"/>
      <c r="FU190" s="918"/>
      <c r="FV190" s="918"/>
      <c r="FW190" s="918"/>
      <c r="FX190" s="918"/>
      <c r="FY190" s="918"/>
      <c r="FZ190" s="918"/>
      <c r="GA190" s="918"/>
      <c r="GB190" s="918"/>
      <c r="GC190" s="918"/>
      <c r="GD190" s="918"/>
      <c r="GE190" s="918"/>
      <c r="GF190" s="918"/>
      <c r="GG190" s="918"/>
      <c r="GH190" s="918"/>
      <c r="GI190" s="918"/>
      <c r="GJ190" s="918"/>
      <c r="GK190" s="918"/>
      <c r="GL190" s="918"/>
      <c r="GM190" s="918"/>
      <c r="GN190" s="918"/>
      <c r="GO190" s="918"/>
      <c r="GP190" s="918"/>
      <c r="GQ190" s="918"/>
      <c r="GR190" s="918"/>
      <c r="GS190" s="918"/>
      <c r="GT190" s="918"/>
      <c r="GU190" s="918"/>
      <c r="GV190" s="918"/>
      <c r="GW190" s="918"/>
      <c r="GX190" s="918"/>
      <c r="GY190" s="918"/>
      <c r="GZ190" s="918"/>
      <c r="HA190" s="918"/>
      <c r="HB190" s="918"/>
      <c r="HC190" s="918"/>
      <c r="HD190" s="918"/>
      <c r="HE190" s="918"/>
      <c r="HF190" s="918"/>
      <c r="HG190" s="918"/>
      <c r="HH190" s="918"/>
      <c r="HI190" s="918"/>
      <c r="HJ190" s="918"/>
      <c r="HK190" s="918"/>
      <c r="HL190" s="918"/>
      <c r="HM190" s="918"/>
      <c r="HN190" s="918"/>
      <c r="HO190" s="918"/>
      <c r="HP190" s="918"/>
      <c r="HQ190" s="918"/>
      <c r="HR190" s="918"/>
      <c r="HS190" s="918"/>
      <c r="HT190" s="918"/>
      <c r="HU190" s="918"/>
      <c r="HV190" s="918"/>
      <c r="HW190" s="918"/>
      <c r="HX190" s="918"/>
      <c r="HY190" s="918"/>
      <c r="HZ190" s="918"/>
      <c r="IA190" s="918"/>
      <c r="IB190" s="918"/>
      <c r="IC190" s="918"/>
      <c r="ID190" s="918"/>
      <c r="IE190" s="918"/>
      <c r="IF190" s="918"/>
      <c r="IG190" s="918"/>
      <c r="IH190" s="918"/>
      <c r="II190" s="918"/>
      <c r="IJ190" s="918"/>
      <c r="IK190" s="918"/>
      <c r="IL190" s="918"/>
      <c r="IM190" s="918"/>
      <c r="IN190" s="918"/>
    </row>
    <row r="191" spans="1:248">
      <c r="A191" s="615" t="s">
        <v>2051</v>
      </c>
      <c r="B191" s="612">
        <v>22508.86967</v>
      </c>
      <c r="C191" s="920">
        <v>28.085160776116485</v>
      </c>
      <c r="D191" s="613">
        <v>22731.643760000003</v>
      </c>
      <c r="E191" s="920">
        <v>28.470762795232417</v>
      </c>
      <c r="F191" s="920">
        <f>B191-D191</f>
        <v>-222.77409000000262</v>
      </c>
      <c r="G191" s="920">
        <v>-0.27814774259601788</v>
      </c>
      <c r="H191" s="27"/>
      <c r="I191" s="918"/>
      <c r="J191" s="918"/>
      <c r="K191" s="918"/>
      <c r="L191" s="918"/>
      <c r="M191" s="918"/>
      <c r="N191" s="918"/>
      <c r="O191" s="918"/>
      <c r="P191" s="918"/>
      <c r="Q191" s="918"/>
      <c r="R191" s="918"/>
      <c r="S191" s="918"/>
      <c r="T191" s="918"/>
      <c r="U191" s="918"/>
      <c r="V191" s="918"/>
      <c r="W191" s="918"/>
      <c r="X191" s="918"/>
      <c r="Y191" s="918"/>
      <c r="Z191" s="918"/>
      <c r="AA191" s="918"/>
      <c r="AB191" s="918"/>
      <c r="AC191" s="918"/>
      <c r="AD191" s="918"/>
      <c r="AE191" s="918"/>
      <c r="AF191" s="918"/>
      <c r="AG191" s="918"/>
      <c r="AH191" s="918"/>
      <c r="AI191" s="918"/>
      <c r="AJ191" s="918"/>
      <c r="AK191" s="918"/>
      <c r="AL191" s="918"/>
      <c r="AM191" s="918"/>
      <c r="AN191" s="918"/>
      <c r="AO191" s="918"/>
      <c r="AP191" s="918"/>
      <c r="AQ191" s="918"/>
      <c r="AR191" s="918"/>
      <c r="AS191" s="918"/>
      <c r="AT191" s="918"/>
      <c r="AU191" s="918"/>
      <c r="AV191" s="918"/>
      <c r="AW191" s="918"/>
      <c r="AX191" s="918"/>
      <c r="AY191" s="918"/>
      <c r="AZ191" s="918"/>
      <c r="BA191" s="918"/>
      <c r="BB191" s="918"/>
      <c r="BC191" s="918"/>
      <c r="BD191" s="918"/>
      <c r="BE191" s="918"/>
      <c r="BF191" s="918"/>
      <c r="BG191" s="918"/>
      <c r="BH191" s="918"/>
      <c r="BI191" s="918"/>
      <c r="BJ191" s="918"/>
      <c r="BK191" s="918"/>
      <c r="BL191" s="918"/>
      <c r="BM191" s="918"/>
      <c r="BN191" s="918"/>
      <c r="BO191" s="918"/>
      <c r="BP191" s="918"/>
      <c r="BQ191" s="918"/>
      <c r="BR191" s="918"/>
      <c r="BS191" s="918"/>
      <c r="BT191" s="918"/>
      <c r="BU191" s="918"/>
      <c r="BV191" s="918"/>
      <c r="BW191" s="918"/>
      <c r="BX191" s="918"/>
      <c r="BY191" s="918"/>
      <c r="BZ191" s="918"/>
      <c r="CA191" s="918"/>
      <c r="CB191" s="918"/>
      <c r="CC191" s="918"/>
      <c r="CD191" s="918"/>
      <c r="CE191" s="918"/>
      <c r="CF191" s="918"/>
      <c r="CG191" s="918"/>
      <c r="CH191" s="918"/>
      <c r="CI191" s="918"/>
      <c r="CJ191" s="918"/>
      <c r="CK191" s="918"/>
      <c r="CL191" s="918"/>
      <c r="CM191" s="918"/>
      <c r="CN191" s="918"/>
      <c r="CO191" s="918"/>
      <c r="CP191" s="918"/>
      <c r="CQ191" s="918"/>
      <c r="CR191" s="918"/>
      <c r="CS191" s="918"/>
      <c r="CT191" s="918"/>
      <c r="CU191" s="918"/>
      <c r="CV191" s="918"/>
      <c r="CW191" s="918"/>
      <c r="CX191" s="918"/>
      <c r="CY191" s="918"/>
      <c r="CZ191" s="918"/>
      <c r="DA191" s="918"/>
      <c r="DB191" s="918"/>
      <c r="DC191" s="918"/>
      <c r="DD191" s="918"/>
      <c r="DE191" s="918"/>
      <c r="DF191" s="918"/>
      <c r="DG191" s="918"/>
      <c r="DH191" s="918"/>
      <c r="DI191" s="918"/>
      <c r="DJ191" s="918"/>
      <c r="DK191" s="918"/>
      <c r="DL191" s="918"/>
      <c r="DM191" s="918"/>
      <c r="DN191" s="918"/>
      <c r="DO191" s="918"/>
      <c r="DP191" s="918"/>
      <c r="DQ191" s="918"/>
      <c r="DR191" s="918"/>
      <c r="DS191" s="918"/>
      <c r="DT191" s="918"/>
      <c r="DU191" s="918"/>
      <c r="DV191" s="918"/>
      <c r="DW191" s="918"/>
      <c r="DX191" s="918"/>
      <c r="DY191" s="918"/>
      <c r="DZ191" s="918"/>
      <c r="EA191" s="918"/>
      <c r="EB191" s="918"/>
      <c r="EC191" s="918"/>
      <c r="ED191" s="918"/>
      <c r="EE191" s="918"/>
      <c r="EF191" s="918"/>
      <c r="EG191" s="918"/>
      <c r="EH191" s="918"/>
      <c r="EI191" s="918"/>
      <c r="EJ191" s="918"/>
      <c r="EK191" s="918"/>
      <c r="EL191" s="918"/>
      <c r="EM191" s="918"/>
      <c r="EN191" s="918"/>
      <c r="EO191" s="918"/>
      <c r="EP191" s="918"/>
      <c r="EQ191" s="918"/>
      <c r="ER191" s="918"/>
      <c r="ES191" s="918"/>
      <c r="ET191" s="918"/>
      <c r="EU191" s="918"/>
      <c r="EV191" s="918"/>
      <c r="EW191" s="918"/>
      <c r="EX191" s="918"/>
      <c r="EY191" s="918"/>
      <c r="EZ191" s="918"/>
      <c r="FA191" s="918"/>
      <c r="FB191" s="918"/>
      <c r="FC191" s="918"/>
      <c r="FD191" s="918"/>
      <c r="FE191" s="918"/>
      <c r="FF191" s="918"/>
      <c r="FG191" s="918"/>
      <c r="FH191" s="918"/>
      <c r="FI191" s="918"/>
      <c r="FJ191" s="918"/>
      <c r="FK191" s="918"/>
      <c r="FL191" s="918"/>
      <c r="FM191" s="918"/>
      <c r="FN191" s="918"/>
      <c r="FO191" s="918"/>
      <c r="FP191" s="918"/>
      <c r="FQ191" s="918"/>
      <c r="FR191" s="918"/>
      <c r="FS191" s="918"/>
      <c r="FT191" s="918"/>
      <c r="FU191" s="918"/>
      <c r="FV191" s="918"/>
      <c r="FW191" s="918"/>
      <c r="FX191" s="918"/>
      <c r="FY191" s="918"/>
      <c r="FZ191" s="918"/>
      <c r="GA191" s="918"/>
      <c r="GB191" s="918"/>
      <c r="GC191" s="918"/>
      <c r="GD191" s="918"/>
      <c r="GE191" s="918"/>
      <c r="GF191" s="918"/>
      <c r="GG191" s="918"/>
      <c r="GH191" s="918"/>
      <c r="GI191" s="918"/>
      <c r="GJ191" s="918"/>
      <c r="GK191" s="918"/>
      <c r="GL191" s="918"/>
      <c r="GM191" s="918"/>
      <c r="GN191" s="918"/>
      <c r="GO191" s="918"/>
      <c r="GP191" s="918"/>
      <c r="GQ191" s="918"/>
      <c r="GR191" s="918"/>
      <c r="GS191" s="918"/>
      <c r="GT191" s="918"/>
      <c r="GU191" s="918"/>
      <c r="GV191" s="918"/>
      <c r="GW191" s="918"/>
      <c r="GX191" s="918"/>
      <c r="GY191" s="918"/>
      <c r="GZ191" s="918"/>
      <c r="HA191" s="918"/>
      <c r="HB191" s="918"/>
      <c r="HC191" s="918"/>
      <c r="HD191" s="918"/>
      <c r="HE191" s="918"/>
      <c r="HF191" s="918"/>
      <c r="HG191" s="918"/>
      <c r="HH191" s="918"/>
      <c r="HI191" s="918"/>
      <c r="HJ191" s="918"/>
      <c r="HK191" s="918"/>
      <c r="HL191" s="918"/>
      <c r="HM191" s="918"/>
      <c r="HN191" s="918"/>
      <c r="HO191" s="918"/>
      <c r="HP191" s="918"/>
      <c r="HQ191" s="918"/>
      <c r="HR191" s="918"/>
      <c r="HS191" s="918"/>
      <c r="HT191" s="918"/>
      <c r="HU191" s="918"/>
      <c r="HV191" s="918"/>
      <c r="HW191" s="918"/>
      <c r="HX191" s="918"/>
      <c r="HY191" s="918"/>
      <c r="HZ191" s="918"/>
      <c r="IA191" s="918"/>
      <c r="IB191" s="918"/>
      <c r="IC191" s="918"/>
      <c r="ID191" s="918"/>
      <c r="IE191" s="918"/>
      <c r="IF191" s="918"/>
      <c r="IG191" s="918"/>
      <c r="IH191" s="918"/>
      <c r="II191" s="918"/>
      <c r="IJ191" s="918"/>
      <c r="IK191" s="918"/>
      <c r="IL191" s="918"/>
      <c r="IM191" s="918"/>
      <c r="IN191" s="918"/>
    </row>
    <row r="192" spans="1:248">
      <c r="A192" s="615" t="s">
        <v>18</v>
      </c>
      <c r="B192" s="617">
        <v>1393.1</v>
      </c>
      <c r="C192" s="919">
        <v>23.028349450367795</v>
      </c>
      <c r="D192" s="618">
        <v>976.5</v>
      </c>
      <c r="E192" s="919">
        <v>16.141829903297793</v>
      </c>
      <c r="F192" s="919">
        <v>416.59999999999991</v>
      </c>
      <c r="G192" s="919">
        <f t="shared" si="28"/>
        <v>7.161890353968607</v>
      </c>
      <c r="H192" s="333">
        <v>5816.9</v>
      </c>
      <c r="I192" s="918"/>
      <c r="J192" s="918"/>
      <c r="K192" s="918"/>
      <c r="L192" s="918"/>
      <c r="M192" s="918"/>
      <c r="N192" s="918"/>
      <c r="O192" s="918"/>
      <c r="P192" s="918"/>
      <c r="Q192" s="918"/>
      <c r="R192" s="918"/>
      <c r="S192" s="918"/>
      <c r="T192" s="918"/>
      <c r="U192" s="918"/>
      <c r="V192" s="918"/>
      <c r="W192" s="918"/>
      <c r="X192" s="918"/>
      <c r="Y192" s="918"/>
      <c r="Z192" s="918"/>
      <c r="AA192" s="918"/>
      <c r="AB192" s="918"/>
      <c r="AC192" s="918"/>
      <c r="AD192" s="918"/>
      <c r="AE192" s="918"/>
      <c r="AF192" s="918"/>
      <c r="AG192" s="918"/>
      <c r="AH192" s="918"/>
      <c r="AI192" s="918"/>
      <c r="AJ192" s="918"/>
      <c r="AK192" s="918"/>
      <c r="AL192" s="918"/>
      <c r="AM192" s="918"/>
      <c r="AN192" s="918"/>
      <c r="AO192" s="918"/>
      <c r="AP192" s="918"/>
      <c r="AQ192" s="918"/>
      <c r="AR192" s="918"/>
      <c r="AS192" s="918"/>
      <c r="AT192" s="918"/>
      <c r="AU192" s="918"/>
      <c r="AV192" s="918"/>
      <c r="AW192" s="918"/>
      <c r="AX192" s="918"/>
      <c r="AY192" s="918"/>
      <c r="AZ192" s="918"/>
      <c r="BA192" s="918"/>
      <c r="BB192" s="918"/>
      <c r="BC192" s="918"/>
      <c r="BD192" s="918"/>
      <c r="BE192" s="918"/>
      <c r="BF192" s="918"/>
      <c r="BG192" s="918"/>
      <c r="BH192" s="918"/>
      <c r="BI192" s="918"/>
      <c r="BJ192" s="918"/>
      <c r="BK192" s="918"/>
      <c r="BL192" s="918"/>
      <c r="BM192" s="918"/>
      <c r="BN192" s="918"/>
      <c r="BO192" s="918"/>
      <c r="BP192" s="918"/>
      <c r="BQ192" s="918"/>
      <c r="BR192" s="918"/>
      <c r="BS192" s="918"/>
      <c r="BT192" s="918"/>
      <c r="BU192" s="918"/>
      <c r="BV192" s="918"/>
      <c r="BW192" s="918"/>
      <c r="BX192" s="918"/>
      <c r="BY192" s="918"/>
      <c r="BZ192" s="918"/>
      <c r="CA192" s="918"/>
      <c r="CB192" s="918"/>
      <c r="CC192" s="918"/>
      <c r="CD192" s="918"/>
      <c r="CE192" s="918"/>
      <c r="CF192" s="918"/>
      <c r="CG192" s="918"/>
      <c r="CH192" s="918"/>
      <c r="CI192" s="918"/>
      <c r="CJ192" s="918"/>
      <c r="CK192" s="918"/>
      <c r="CL192" s="918"/>
      <c r="CM192" s="918"/>
      <c r="CN192" s="918"/>
      <c r="CO192" s="918"/>
      <c r="CP192" s="918"/>
      <c r="CQ192" s="918"/>
      <c r="CR192" s="918"/>
      <c r="CS192" s="918"/>
      <c r="CT192" s="918"/>
      <c r="CU192" s="918"/>
      <c r="CV192" s="918"/>
      <c r="CW192" s="918"/>
      <c r="CX192" s="918"/>
      <c r="CY192" s="918"/>
      <c r="CZ192" s="918"/>
      <c r="DA192" s="918"/>
      <c r="DB192" s="918"/>
      <c r="DC192" s="918"/>
      <c r="DD192" s="918"/>
      <c r="DE192" s="918"/>
      <c r="DF192" s="918"/>
      <c r="DG192" s="918"/>
      <c r="DH192" s="918"/>
      <c r="DI192" s="918"/>
      <c r="DJ192" s="918"/>
      <c r="DK192" s="918"/>
      <c r="DL192" s="918"/>
      <c r="DM192" s="918"/>
      <c r="DN192" s="918"/>
      <c r="DO192" s="918"/>
      <c r="DP192" s="918"/>
      <c r="DQ192" s="918"/>
      <c r="DR192" s="918"/>
      <c r="DS192" s="918"/>
      <c r="DT192" s="918"/>
      <c r="DU192" s="918"/>
      <c r="DV192" s="918"/>
      <c r="DW192" s="918"/>
      <c r="DX192" s="918"/>
      <c r="DY192" s="918"/>
      <c r="DZ192" s="918"/>
      <c r="EA192" s="918"/>
      <c r="EB192" s="918"/>
      <c r="EC192" s="918"/>
      <c r="ED192" s="918"/>
      <c r="EE192" s="918"/>
      <c r="EF192" s="918"/>
      <c r="EG192" s="918"/>
      <c r="EH192" s="918"/>
      <c r="EI192" s="918"/>
      <c r="EJ192" s="918"/>
      <c r="EK192" s="918"/>
      <c r="EL192" s="918"/>
      <c r="EM192" s="918"/>
      <c r="EN192" s="918"/>
      <c r="EO192" s="918"/>
      <c r="EP192" s="918"/>
      <c r="EQ192" s="918"/>
      <c r="ER192" s="918"/>
      <c r="ES192" s="918"/>
      <c r="ET192" s="918"/>
      <c r="EU192" s="918"/>
      <c r="EV192" s="918"/>
      <c r="EW192" s="918"/>
      <c r="EX192" s="918"/>
      <c r="EY192" s="918"/>
      <c r="EZ192" s="918"/>
      <c r="FA192" s="918"/>
      <c r="FB192" s="918"/>
      <c r="FC192" s="918"/>
      <c r="FD192" s="918"/>
      <c r="FE192" s="918"/>
      <c r="FF192" s="918"/>
      <c r="FG192" s="918"/>
      <c r="FH192" s="918"/>
      <c r="FI192" s="918"/>
      <c r="FJ192" s="918"/>
      <c r="FK192" s="918"/>
      <c r="FL192" s="918"/>
      <c r="FM192" s="918"/>
      <c r="FN192" s="918"/>
      <c r="FO192" s="918"/>
      <c r="FP192" s="918"/>
      <c r="FQ192" s="918"/>
      <c r="FR192" s="918"/>
      <c r="FS192" s="918"/>
      <c r="FT192" s="918"/>
      <c r="FU192" s="918"/>
      <c r="FV192" s="918"/>
      <c r="FW192" s="918"/>
      <c r="FX192" s="918"/>
      <c r="FY192" s="918"/>
      <c r="FZ192" s="918"/>
      <c r="GA192" s="918"/>
      <c r="GB192" s="918"/>
      <c r="GC192" s="918"/>
      <c r="GD192" s="918"/>
      <c r="GE192" s="918"/>
      <c r="GF192" s="918"/>
      <c r="GG192" s="918"/>
      <c r="GH192" s="918"/>
      <c r="GI192" s="918"/>
      <c r="GJ192" s="918"/>
      <c r="GK192" s="918"/>
      <c r="GL192" s="918"/>
      <c r="GM192" s="918"/>
      <c r="GN192" s="918"/>
      <c r="GO192" s="918"/>
      <c r="GP192" s="918"/>
      <c r="GQ192" s="918"/>
      <c r="GR192" s="918"/>
      <c r="GS192" s="918"/>
      <c r="GT192" s="918"/>
      <c r="GU192" s="918"/>
      <c r="GV192" s="918"/>
      <c r="GW192" s="918"/>
      <c r="GX192" s="918"/>
      <c r="GY192" s="918"/>
      <c r="GZ192" s="918"/>
      <c r="HA192" s="918"/>
      <c r="HB192" s="918"/>
      <c r="HC192" s="918"/>
      <c r="HD192" s="918"/>
      <c r="HE192" s="918"/>
      <c r="HF192" s="918"/>
      <c r="HG192" s="918"/>
      <c r="HH192" s="918"/>
      <c r="HI192" s="918"/>
      <c r="HJ192" s="918"/>
      <c r="HK192" s="918"/>
      <c r="HL192" s="918"/>
      <c r="HM192" s="918"/>
      <c r="HN192" s="918"/>
      <c r="HO192" s="918"/>
      <c r="HP192" s="918"/>
      <c r="HQ192" s="918"/>
      <c r="HR192" s="918"/>
      <c r="HS192" s="918"/>
      <c r="HT192" s="918"/>
      <c r="HU192" s="918"/>
      <c r="HV192" s="918"/>
      <c r="HW192" s="918"/>
      <c r="HX192" s="918"/>
      <c r="HY192" s="918"/>
      <c r="HZ192" s="918"/>
      <c r="IA192" s="918"/>
      <c r="IB192" s="918"/>
      <c r="IC192" s="918"/>
      <c r="ID192" s="918"/>
      <c r="IE192" s="918"/>
      <c r="IF192" s="918"/>
      <c r="IG192" s="918"/>
      <c r="IH192" s="918"/>
      <c r="II192" s="918"/>
      <c r="IJ192" s="918"/>
      <c r="IK192" s="918"/>
      <c r="IL192" s="918"/>
      <c r="IM192" s="918"/>
      <c r="IN192" s="918"/>
    </row>
    <row r="193" spans="1:248">
      <c r="A193" s="615" t="s">
        <v>19</v>
      </c>
      <c r="B193" s="617">
        <v>2609.5</v>
      </c>
      <c r="C193" s="919">
        <v>22.609712775635749</v>
      </c>
      <c r="D193" s="618">
        <v>2469.6</v>
      </c>
      <c r="E193" s="919">
        <v>21.397565307802278</v>
      </c>
      <c r="F193" s="919">
        <v>139.90000000000009</v>
      </c>
      <c r="G193" s="919">
        <f t="shared" si="28"/>
        <v>1.2368162810640695</v>
      </c>
      <c r="H193" s="333">
        <v>11311.3</v>
      </c>
      <c r="I193" s="918"/>
      <c r="J193" s="918"/>
      <c r="K193" s="918"/>
      <c r="L193" s="918"/>
      <c r="M193" s="918"/>
      <c r="N193" s="918"/>
      <c r="O193" s="918"/>
      <c r="P193" s="918"/>
      <c r="Q193" s="918"/>
      <c r="R193" s="918"/>
      <c r="S193" s="918"/>
      <c r="T193" s="918"/>
      <c r="U193" s="918"/>
      <c r="V193" s="918"/>
      <c r="W193" s="918"/>
      <c r="X193" s="918"/>
      <c r="Y193" s="918"/>
      <c r="Z193" s="918"/>
      <c r="AA193" s="918"/>
      <c r="AB193" s="918"/>
      <c r="AC193" s="918"/>
      <c r="AD193" s="918"/>
      <c r="AE193" s="918"/>
      <c r="AF193" s="918"/>
      <c r="AG193" s="918"/>
      <c r="AH193" s="918"/>
      <c r="AI193" s="918"/>
      <c r="AJ193" s="918"/>
      <c r="AK193" s="918"/>
      <c r="AL193" s="918"/>
      <c r="AM193" s="918"/>
      <c r="AN193" s="918"/>
      <c r="AO193" s="918"/>
      <c r="AP193" s="918"/>
      <c r="AQ193" s="918"/>
      <c r="AR193" s="918"/>
      <c r="AS193" s="918"/>
      <c r="AT193" s="918"/>
      <c r="AU193" s="918"/>
      <c r="AV193" s="918"/>
      <c r="AW193" s="918"/>
      <c r="AX193" s="918"/>
      <c r="AY193" s="918"/>
      <c r="AZ193" s="918"/>
      <c r="BA193" s="918"/>
      <c r="BB193" s="918"/>
      <c r="BC193" s="918"/>
      <c r="BD193" s="918"/>
      <c r="BE193" s="918"/>
      <c r="BF193" s="918"/>
      <c r="BG193" s="918"/>
      <c r="BH193" s="918"/>
      <c r="BI193" s="918"/>
      <c r="BJ193" s="918"/>
      <c r="BK193" s="918"/>
      <c r="BL193" s="918"/>
      <c r="BM193" s="918"/>
      <c r="BN193" s="918"/>
      <c r="BO193" s="918"/>
      <c r="BP193" s="918"/>
      <c r="BQ193" s="918"/>
      <c r="BR193" s="918"/>
      <c r="BS193" s="918"/>
      <c r="BT193" s="918"/>
      <c r="BU193" s="918"/>
      <c r="BV193" s="918"/>
      <c r="BW193" s="918"/>
      <c r="BX193" s="918"/>
      <c r="BY193" s="918"/>
      <c r="BZ193" s="918"/>
      <c r="CA193" s="918"/>
      <c r="CB193" s="918"/>
      <c r="CC193" s="918"/>
      <c r="CD193" s="918"/>
      <c r="CE193" s="918"/>
      <c r="CF193" s="918"/>
      <c r="CG193" s="918"/>
      <c r="CH193" s="918"/>
      <c r="CI193" s="918"/>
      <c r="CJ193" s="918"/>
      <c r="CK193" s="918"/>
      <c r="CL193" s="918"/>
      <c r="CM193" s="918"/>
      <c r="CN193" s="918"/>
      <c r="CO193" s="918"/>
      <c r="CP193" s="918"/>
      <c r="CQ193" s="918"/>
      <c r="CR193" s="918"/>
      <c r="CS193" s="918"/>
      <c r="CT193" s="918"/>
      <c r="CU193" s="918"/>
      <c r="CV193" s="918"/>
      <c r="CW193" s="918"/>
      <c r="CX193" s="918"/>
      <c r="CY193" s="918"/>
      <c r="CZ193" s="918"/>
      <c r="DA193" s="918"/>
      <c r="DB193" s="918"/>
      <c r="DC193" s="918"/>
      <c r="DD193" s="918"/>
      <c r="DE193" s="918"/>
      <c r="DF193" s="918"/>
      <c r="DG193" s="918"/>
      <c r="DH193" s="918"/>
      <c r="DI193" s="918"/>
      <c r="DJ193" s="918"/>
      <c r="DK193" s="918"/>
      <c r="DL193" s="918"/>
      <c r="DM193" s="918"/>
      <c r="DN193" s="918"/>
      <c r="DO193" s="918"/>
      <c r="DP193" s="918"/>
      <c r="DQ193" s="918"/>
      <c r="DR193" s="918"/>
      <c r="DS193" s="918"/>
      <c r="DT193" s="918"/>
      <c r="DU193" s="918"/>
      <c r="DV193" s="918"/>
      <c r="DW193" s="918"/>
      <c r="DX193" s="918"/>
      <c r="DY193" s="918"/>
      <c r="DZ193" s="918"/>
      <c r="EA193" s="918"/>
      <c r="EB193" s="918"/>
      <c r="EC193" s="918"/>
      <c r="ED193" s="918"/>
      <c r="EE193" s="918"/>
      <c r="EF193" s="918"/>
      <c r="EG193" s="918"/>
      <c r="EH193" s="918"/>
      <c r="EI193" s="918"/>
      <c r="EJ193" s="918"/>
      <c r="EK193" s="918"/>
      <c r="EL193" s="918"/>
      <c r="EM193" s="918"/>
      <c r="EN193" s="918"/>
      <c r="EO193" s="918"/>
      <c r="EP193" s="918"/>
      <c r="EQ193" s="918"/>
      <c r="ER193" s="918"/>
      <c r="ES193" s="918"/>
      <c r="ET193" s="918"/>
      <c r="EU193" s="918"/>
      <c r="EV193" s="918"/>
      <c r="EW193" s="918"/>
      <c r="EX193" s="918"/>
      <c r="EY193" s="918"/>
      <c r="EZ193" s="918"/>
      <c r="FA193" s="918"/>
      <c r="FB193" s="918"/>
      <c r="FC193" s="918"/>
      <c r="FD193" s="918"/>
      <c r="FE193" s="918"/>
      <c r="FF193" s="918"/>
      <c r="FG193" s="918"/>
      <c r="FH193" s="918"/>
      <c r="FI193" s="918"/>
      <c r="FJ193" s="918"/>
      <c r="FK193" s="918"/>
      <c r="FL193" s="918"/>
      <c r="FM193" s="918"/>
      <c r="FN193" s="918"/>
      <c r="FO193" s="918"/>
      <c r="FP193" s="918"/>
      <c r="FQ193" s="918"/>
      <c r="FR193" s="918"/>
      <c r="FS193" s="918"/>
      <c r="FT193" s="918"/>
      <c r="FU193" s="918"/>
      <c r="FV193" s="918"/>
      <c r="FW193" s="918"/>
      <c r="FX193" s="918"/>
      <c r="FY193" s="918"/>
      <c r="FZ193" s="918"/>
      <c r="GA193" s="918"/>
      <c r="GB193" s="918"/>
      <c r="GC193" s="918"/>
      <c r="GD193" s="918"/>
      <c r="GE193" s="918"/>
      <c r="GF193" s="918"/>
      <c r="GG193" s="918"/>
      <c r="GH193" s="918"/>
      <c r="GI193" s="918"/>
      <c r="GJ193" s="918"/>
      <c r="GK193" s="918"/>
      <c r="GL193" s="918"/>
      <c r="GM193" s="918"/>
      <c r="GN193" s="918"/>
      <c r="GO193" s="918"/>
      <c r="GP193" s="918"/>
      <c r="GQ193" s="918"/>
      <c r="GR193" s="918"/>
      <c r="GS193" s="918"/>
      <c r="GT193" s="918"/>
      <c r="GU193" s="918"/>
      <c r="GV193" s="918"/>
      <c r="GW193" s="918"/>
      <c r="GX193" s="918"/>
      <c r="GY193" s="918"/>
      <c r="GZ193" s="918"/>
      <c r="HA193" s="918"/>
      <c r="HB193" s="918"/>
      <c r="HC193" s="918"/>
      <c r="HD193" s="918"/>
      <c r="HE193" s="918"/>
      <c r="HF193" s="918"/>
      <c r="HG193" s="918"/>
      <c r="HH193" s="918"/>
      <c r="HI193" s="918"/>
      <c r="HJ193" s="918"/>
      <c r="HK193" s="918"/>
      <c r="HL193" s="918"/>
      <c r="HM193" s="918"/>
      <c r="HN193" s="918"/>
      <c r="HO193" s="918"/>
      <c r="HP193" s="918"/>
      <c r="HQ193" s="918"/>
      <c r="HR193" s="918"/>
      <c r="HS193" s="918"/>
      <c r="HT193" s="918"/>
      <c r="HU193" s="918"/>
      <c r="HV193" s="918"/>
      <c r="HW193" s="918"/>
      <c r="HX193" s="918"/>
      <c r="HY193" s="918"/>
      <c r="HZ193" s="918"/>
      <c r="IA193" s="918"/>
      <c r="IB193" s="918"/>
      <c r="IC193" s="918"/>
      <c r="ID193" s="918"/>
      <c r="IE193" s="918"/>
      <c r="IF193" s="918"/>
      <c r="IG193" s="918"/>
      <c r="IH193" s="918"/>
      <c r="II193" s="918"/>
      <c r="IJ193" s="918"/>
      <c r="IK193" s="918"/>
      <c r="IL193" s="918"/>
      <c r="IM193" s="918"/>
      <c r="IN193" s="918"/>
    </row>
    <row r="194" spans="1:248">
      <c r="A194" s="615" t="s">
        <v>20</v>
      </c>
      <c r="B194" s="617">
        <v>4563</v>
      </c>
      <c r="C194" s="919">
        <v>26.552071271042944</v>
      </c>
      <c r="D194" s="618">
        <v>4408</v>
      </c>
      <c r="E194" s="919">
        <v>25.650127145026797</v>
      </c>
      <c r="F194" s="919">
        <v>155</v>
      </c>
      <c r="G194" s="919">
        <f t="shared" si="28"/>
        <v>0.87798799139005324</v>
      </c>
      <c r="H194" s="333">
        <v>17654</v>
      </c>
      <c r="I194" s="918"/>
      <c r="J194" s="918"/>
      <c r="K194" s="918"/>
      <c r="L194" s="918"/>
      <c r="M194" s="918"/>
      <c r="N194" s="918"/>
      <c r="O194" s="918"/>
      <c r="P194" s="918"/>
      <c r="Q194" s="918"/>
      <c r="R194" s="918"/>
      <c r="S194" s="918"/>
      <c r="T194" s="918"/>
      <c r="U194" s="918"/>
      <c r="V194" s="918"/>
      <c r="W194" s="918"/>
      <c r="X194" s="918"/>
      <c r="Y194" s="918"/>
      <c r="Z194" s="918"/>
      <c r="AA194" s="918"/>
      <c r="AB194" s="918"/>
      <c r="AC194" s="918"/>
      <c r="AD194" s="918"/>
      <c r="AE194" s="918"/>
      <c r="AF194" s="918"/>
      <c r="AG194" s="918"/>
      <c r="AH194" s="918"/>
      <c r="AI194" s="918"/>
      <c r="AJ194" s="918"/>
      <c r="AK194" s="918"/>
      <c r="AL194" s="918"/>
      <c r="AM194" s="918"/>
      <c r="AN194" s="918"/>
      <c r="AO194" s="918"/>
      <c r="AP194" s="918"/>
      <c r="AQ194" s="918"/>
      <c r="AR194" s="918"/>
      <c r="AS194" s="918"/>
      <c r="AT194" s="918"/>
      <c r="AU194" s="918"/>
      <c r="AV194" s="918"/>
      <c r="AW194" s="918"/>
      <c r="AX194" s="918"/>
      <c r="AY194" s="918"/>
      <c r="AZ194" s="918"/>
      <c r="BA194" s="918"/>
      <c r="BB194" s="918"/>
      <c r="BC194" s="918"/>
      <c r="BD194" s="918"/>
      <c r="BE194" s="918"/>
      <c r="BF194" s="918"/>
      <c r="BG194" s="918"/>
      <c r="BH194" s="918"/>
      <c r="BI194" s="918"/>
      <c r="BJ194" s="918"/>
      <c r="BK194" s="918"/>
      <c r="BL194" s="918"/>
      <c r="BM194" s="918"/>
      <c r="BN194" s="918"/>
      <c r="BO194" s="918"/>
      <c r="BP194" s="918"/>
      <c r="BQ194" s="918"/>
      <c r="BR194" s="918"/>
      <c r="BS194" s="918"/>
      <c r="BT194" s="918"/>
      <c r="BU194" s="918"/>
      <c r="BV194" s="918"/>
      <c r="BW194" s="918"/>
      <c r="BX194" s="918"/>
      <c r="BY194" s="918"/>
      <c r="BZ194" s="918"/>
      <c r="CA194" s="918"/>
      <c r="CB194" s="918"/>
      <c r="CC194" s="918"/>
      <c r="CD194" s="918"/>
      <c r="CE194" s="918"/>
      <c r="CF194" s="918"/>
      <c r="CG194" s="918"/>
      <c r="CH194" s="918"/>
      <c r="CI194" s="918"/>
      <c r="CJ194" s="918"/>
      <c r="CK194" s="918"/>
      <c r="CL194" s="918"/>
      <c r="CM194" s="918"/>
      <c r="CN194" s="918"/>
      <c r="CO194" s="918"/>
      <c r="CP194" s="918"/>
      <c r="CQ194" s="918"/>
      <c r="CR194" s="918"/>
      <c r="CS194" s="918"/>
      <c r="CT194" s="918"/>
      <c r="CU194" s="918"/>
      <c r="CV194" s="918"/>
      <c r="CW194" s="918"/>
      <c r="CX194" s="918"/>
      <c r="CY194" s="918"/>
      <c r="CZ194" s="918"/>
      <c r="DA194" s="918"/>
      <c r="DB194" s="918"/>
      <c r="DC194" s="918"/>
      <c r="DD194" s="918"/>
      <c r="DE194" s="918"/>
      <c r="DF194" s="918"/>
      <c r="DG194" s="918"/>
      <c r="DH194" s="918"/>
      <c r="DI194" s="918"/>
      <c r="DJ194" s="918"/>
      <c r="DK194" s="918"/>
      <c r="DL194" s="918"/>
      <c r="DM194" s="918"/>
      <c r="DN194" s="918"/>
      <c r="DO194" s="918"/>
      <c r="DP194" s="918"/>
      <c r="DQ194" s="918"/>
      <c r="DR194" s="918"/>
      <c r="DS194" s="918"/>
      <c r="DT194" s="918"/>
      <c r="DU194" s="918"/>
      <c r="DV194" s="918"/>
      <c r="DW194" s="918"/>
      <c r="DX194" s="918"/>
      <c r="DY194" s="918"/>
      <c r="DZ194" s="918"/>
      <c r="EA194" s="918"/>
      <c r="EB194" s="918"/>
      <c r="EC194" s="918"/>
      <c r="ED194" s="918"/>
      <c r="EE194" s="918"/>
      <c r="EF194" s="918"/>
      <c r="EG194" s="918"/>
      <c r="EH194" s="918"/>
      <c r="EI194" s="918"/>
      <c r="EJ194" s="918"/>
      <c r="EK194" s="918"/>
      <c r="EL194" s="918"/>
      <c r="EM194" s="918"/>
      <c r="EN194" s="918"/>
      <c r="EO194" s="918"/>
      <c r="EP194" s="918"/>
      <c r="EQ194" s="918"/>
      <c r="ER194" s="918"/>
      <c r="ES194" s="918"/>
      <c r="ET194" s="918"/>
      <c r="EU194" s="918"/>
      <c r="EV194" s="918"/>
      <c r="EW194" s="918"/>
      <c r="EX194" s="918"/>
      <c r="EY194" s="918"/>
      <c r="EZ194" s="918"/>
      <c r="FA194" s="918"/>
      <c r="FB194" s="918"/>
      <c r="FC194" s="918"/>
      <c r="FD194" s="918"/>
      <c r="FE194" s="918"/>
      <c r="FF194" s="918"/>
      <c r="FG194" s="918"/>
      <c r="FH194" s="918"/>
      <c r="FI194" s="918"/>
      <c r="FJ194" s="918"/>
      <c r="FK194" s="918"/>
      <c r="FL194" s="918"/>
      <c r="FM194" s="918"/>
      <c r="FN194" s="918"/>
      <c r="FO194" s="918"/>
      <c r="FP194" s="918"/>
      <c r="FQ194" s="918"/>
      <c r="FR194" s="918"/>
      <c r="FS194" s="918"/>
      <c r="FT194" s="918"/>
      <c r="FU194" s="918"/>
      <c r="FV194" s="918"/>
      <c r="FW194" s="918"/>
      <c r="FX194" s="918"/>
      <c r="FY194" s="918"/>
      <c r="FZ194" s="918"/>
      <c r="GA194" s="918"/>
      <c r="GB194" s="918"/>
      <c r="GC194" s="918"/>
      <c r="GD194" s="918"/>
      <c r="GE194" s="918"/>
      <c r="GF194" s="918"/>
      <c r="GG194" s="918"/>
      <c r="GH194" s="918"/>
      <c r="GI194" s="918"/>
      <c r="GJ194" s="918"/>
      <c r="GK194" s="918"/>
      <c r="GL194" s="918"/>
      <c r="GM194" s="918"/>
      <c r="GN194" s="918"/>
      <c r="GO194" s="918"/>
      <c r="GP194" s="918"/>
      <c r="GQ194" s="918"/>
      <c r="GR194" s="918"/>
      <c r="GS194" s="918"/>
      <c r="GT194" s="918"/>
      <c r="GU194" s="918"/>
      <c r="GV194" s="918"/>
      <c r="GW194" s="918"/>
      <c r="GX194" s="918"/>
      <c r="GY194" s="918"/>
      <c r="GZ194" s="918"/>
      <c r="HA194" s="918"/>
      <c r="HB194" s="918"/>
      <c r="HC194" s="918"/>
      <c r="HD194" s="918"/>
      <c r="HE194" s="918"/>
      <c r="HF194" s="918"/>
      <c r="HG194" s="918"/>
      <c r="HH194" s="918"/>
      <c r="HI194" s="918"/>
      <c r="HJ194" s="918"/>
      <c r="HK194" s="918"/>
      <c r="HL194" s="918"/>
      <c r="HM194" s="918"/>
      <c r="HN194" s="918"/>
      <c r="HO194" s="918"/>
      <c r="HP194" s="918"/>
      <c r="HQ194" s="918"/>
      <c r="HR194" s="918"/>
      <c r="HS194" s="918"/>
      <c r="HT194" s="918"/>
      <c r="HU194" s="918"/>
      <c r="HV194" s="918"/>
      <c r="HW194" s="918"/>
      <c r="HX194" s="918"/>
      <c r="HY194" s="918"/>
      <c r="HZ194" s="918"/>
      <c r="IA194" s="918"/>
      <c r="IB194" s="918"/>
      <c r="IC194" s="918"/>
      <c r="ID194" s="918"/>
      <c r="IE194" s="918"/>
      <c r="IF194" s="918"/>
      <c r="IG194" s="918"/>
      <c r="IH194" s="918"/>
      <c r="II194" s="918"/>
      <c r="IJ194" s="918"/>
      <c r="IK194" s="918"/>
      <c r="IL194" s="918"/>
      <c r="IM194" s="918"/>
      <c r="IN194" s="918"/>
    </row>
    <row r="195" spans="1:248">
      <c r="A195" s="615" t="s">
        <v>21</v>
      </c>
      <c r="B195" s="617">
        <v>6619.9</v>
      </c>
      <c r="C195" s="919">
        <v>28.821019635160432</v>
      </c>
      <c r="D195" s="618">
        <v>5966</v>
      </c>
      <c r="E195" s="919">
        <v>25.974139056989852</v>
      </c>
      <c r="F195" s="919">
        <v>653.89999999999964</v>
      </c>
      <c r="G195" s="919">
        <f t="shared" si="28"/>
        <v>2.8327593302575416</v>
      </c>
      <c r="H195" s="333">
        <v>23083.5</v>
      </c>
      <c r="I195" s="918"/>
      <c r="J195" s="918"/>
      <c r="K195" s="918"/>
      <c r="L195" s="918"/>
      <c r="M195" s="918"/>
      <c r="N195" s="918"/>
      <c r="O195" s="918"/>
      <c r="P195" s="918"/>
      <c r="Q195" s="918"/>
      <c r="R195" s="918"/>
      <c r="S195" s="918"/>
      <c r="T195" s="918"/>
      <c r="U195" s="918"/>
      <c r="V195" s="918"/>
      <c r="W195" s="918"/>
      <c r="X195" s="918"/>
      <c r="Y195" s="918"/>
      <c r="Z195" s="918"/>
      <c r="AA195" s="918"/>
      <c r="AB195" s="918"/>
      <c r="AC195" s="918"/>
      <c r="AD195" s="918"/>
      <c r="AE195" s="918"/>
      <c r="AF195" s="918"/>
      <c r="AG195" s="918"/>
      <c r="AH195" s="918"/>
      <c r="AI195" s="918"/>
      <c r="AJ195" s="918"/>
      <c r="AK195" s="918"/>
      <c r="AL195" s="918"/>
      <c r="AM195" s="918"/>
      <c r="AN195" s="918"/>
      <c r="AO195" s="918"/>
      <c r="AP195" s="918"/>
      <c r="AQ195" s="918"/>
      <c r="AR195" s="918"/>
      <c r="AS195" s="918"/>
      <c r="AT195" s="918"/>
      <c r="AU195" s="918"/>
      <c r="AV195" s="918"/>
      <c r="AW195" s="918"/>
      <c r="AX195" s="918"/>
      <c r="AY195" s="918"/>
      <c r="AZ195" s="918"/>
      <c r="BA195" s="918"/>
      <c r="BB195" s="918"/>
      <c r="BC195" s="918"/>
      <c r="BD195" s="918"/>
      <c r="BE195" s="918"/>
      <c r="BF195" s="918"/>
      <c r="BG195" s="918"/>
      <c r="BH195" s="918"/>
      <c r="BI195" s="918"/>
      <c r="BJ195" s="918"/>
      <c r="BK195" s="918"/>
      <c r="BL195" s="918"/>
      <c r="BM195" s="918"/>
      <c r="BN195" s="918"/>
      <c r="BO195" s="918"/>
      <c r="BP195" s="918"/>
      <c r="BQ195" s="918"/>
      <c r="BR195" s="918"/>
      <c r="BS195" s="918"/>
      <c r="BT195" s="918"/>
      <c r="BU195" s="918"/>
      <c r="BV195" s="918"/>
      <c r="BW195" s="918"/>
      <c r="BX195" s="918"/>
      <c r="BY195" s="918"/>
      <c r="BZ195" s="918"/>
      <c r="CA195" s="918"/>
      <c r="CB195" s="918"/>
      <c r="CC195" s="918"/>
      <c r="CD195" s="918"/>
      <c r="CE195" s="918"/>
      <c r="CF195" s="918"/>
      <c r="CG195" s="918"/>
      <c r="CH195" s="918"/>
      <c r="CI195" s="918"/>
      <c r="CJ195" s="918"/>
      <c r="CK195" s="918"/>
      <c r="CL195" s="918"/>
      <c r="CM195" s="918"/>
      <c r="CN195" s="918"/>
      <c r="CO195" s="918"/>
      <c r="CP195" s="918"/>
      <c r="CQ195" s="918"/>
      <c r="CR195" s="918"/>
      <c r="CS195" s="918"/>
      <c r="CT195" s="918"/>
      <c r="CU195" s="918"/>
      <c r="CV195" s="918"/>
      <c r="CW195" s="918"/>
      <c r="CX195" s="918"/>
      <c r="CY195" s="918"/>
      <c r="CZ195" s="918"/>
      <c r="DA195" s="918"/>
      <c r="DB195" s="918"/>
      <c r="DC195" s="918"/>
      <c r="DD195" s="918"/>
      <c r="DE195" s="918"/>
      <c r="DF195" s="918"/>
      <c r="DG195" s="918"/>
      <c r="DH195" s="918"/>
      <c r="DI195" s="918"/>
      <c r="DJ195" s="918"/>
      <c r="DK195" s="918"/>
      <c r="DL195" s="918"/>
      <c r="DM195" s="918"/>
      <c r="DN195" s="918"/>
      <c r="DO195" s="918"/>
      <c r="DP195" s="918"/>
      <c r="DQ195" s="918"/>
      <c r="DR195" s="918"/>
      <c r="DS195" s="918"/>
      <c r="DT195" s="918"/>
      <c r="DU195" s="918"/>
      <c r="DV195" s="918"/>
      <c r="DW195" s="918"/>
      <c r="DX195" s="918"/>
      <c r="DY195" s="918"/>
      <c r="DZ195" s="918"/>
      <c r="EA195" s="918"/>
      <c r="EB195" s="918"/>
      <c r="EC195" s="918"/>
      <c r="ED195" s="918"/>
      <c r="EE195" s="918"/>
      <c r="EF195" s="918"/>
      <c r="EG195" s="918"/>
      <c r="EH195" s="918"/>
      <c r="EI195" s="918"/>
      <c r="EJ195" s="918"/>
      <c r="EK195" s="918"/>
      <c r="EL195" s="918"/>
      <c r="EM195" s="918"/>
      <c r="EN195" s="918"/>
      <c r="EO195" s="918"/>
      <c r="EP195" s="918"/>
      <c r="EQ195" s="918"/>
      <c r="ER195" s="918"/>
      <c r="ES195" s="918"/>
      <c r="ET195" s="918"/>
      <c r="EU195" s="918"/>
      <c r="EV195" s="918"/>
      <c r="EW195" s="918"/>
      <c r="EX195" s="918"/>
      <c r="EY195" s="918"/>
      <c r="EZ195" s="918"/>
      <c r="FA195" s="918"/>
      <c r="FB195" s="918"/>
      <c r="FC195" s="918"/>
      <c r="FD195" s="918"/>
      <c r="FE195" s="918"/>
      <c r="FF195" s="918"/>
      <c r="FG195" s="918"/>
      <c r="FH195" s="918"/>
      <c r="FI195" s="918"/>
      <c r="FJ195" s="918"/>
      <c r="FK195" s="918"/>
      <c r="FL195" s="918"/>
      <c r="FM195" s="918"/>
      <c r="FN195" s="918"/>
      <c r="FO195" s="918"/>
      <c r="FP195" s="918"/>
      <c r="FQ195" s="918"/>
      <c r="FR195" s="918"/>
      <c r="FS195" s="918"/>
      <c r="FT195" s="918"/>
      <c r="FU195" s="918"/>
      <c r="FV195" s="918"/>
      <c r="FW195" s="918"/>
      <c r="FX195" s="918"/>
      <c r="FY195" s="918"/>
      <c r="FZ195" s="918"/>
      <c r="GA195" s="918"/>
      <c r="GB195" s="918"/>
      <c r="GC195" s="918"/>
      <c r="GD195" s="918"/>
      <c r="GE195" s="918"/>
      <c r="GF195" s="918"/>
      <c r="GG195" s="918"/>
      <c r="GH195" s="918"/>
      <c r="GI195" s="918"/>
      <c r="GJ195" s="918"/>
      <c r="GK195" s="918"/>
      <c r="GL195" s="918"/>
      <c r="GM195" s="918"/>
      <c r="GN195" s="918"/>
      <c r="GO195" s="918"/>
      <c r="GP195" s="918"/>
      <c r="GQ195" s="918"/>
      <c r="GR195" s="918"/>
      <c r="GS195" s="918"/>
      <c r="GT195" s="918"/>
      <c r="GU195" s="918"/>
      <c r="GV195" s="918"/>
      <c r="GW195" s="918"/>
      <c r="GX195" s="918"/>
      <c r="GY195" s="918"/>
      <c r="GZ195" s="918"/>
      <c r="HA195" s="918"/>
      <c r="HB195" s="918"/>
      <c r="HC195" s="918"/>
      <c r="HD195" s="918"/>
      <c r="HE195" s="918"/>
      <c r="HF195" s="918"/>
      <c r="HG195" s="918"/>
      <c r="HH195" s="918"/>
      <c r="HI195" s="918"/>
      <c r="HJ195" s="918"/>
      <c r="HK195" s="918"/>
      <c r="HL195" s="918"/>
      <c r="HM195" s="918"/>
      <c r="HN195" s="918"/>
      <c r="HO195" s="918"/>
      <c r="HP195" s="918"/>
      <c r="HQ195" s="918"/>
      <c r="HR195" s="918"/>
      <c r="HS195" s="918"/>
      <c r="HT195" s="918"/>
      <c r="HU195" s="918"/>
      <c r="HV195" s="918"/>
      <c r="HW195" s="918"/>
      <c r="HX195" s="918"/>
      <c r="HY195" s="918"/>
      <c r="HZ195" s="918"/>
      <c r="IA195" s="918"/>
      <c r="IB195" s="918"/>
      <c r="IC195" s="918"/>
      <c r="ID195" s="918"/>
      <c r="IE195" s="918"/>
      <c r="IF195" s="918"/>
      <c r="IG195" s="918"/>
      <c r="IH195" s="918"/>
      <c r="II195" s="918"/>
      <c r="IJ195" s="918"/>
      <c r="IK195" s="918"/>
      <c r="IL195" s="918"/>
      <c r="IM195" s="918"/>
      <c r="IN195" s="918"/>
    </row>
    <row r="196" spans="1:248">
      <c r="A196" s="615" t="s">
        <v>22</v>
      </c>
      <c r="B196" s="617">
        <v>8245.2000000000007</v>
      </c>
      <c r="C196" s="919">
        <v>28.146378097904012</v>
      </c>
      <c r="D196" s="618">
        <v>7594.4</v>
      </c>
      <c r="E196" s="919">
        <v>25.924762750051205</v>
      </c>
      <c r="F196" s="919">
        <v>650.80000000000109</v>
      </c>
      <c r="G196" s="919">
        <f t="shared" si="28"/>
        <v>2.1866148795984297</v>
      </c>
      <c r="H196" s="333">
        <v>29762.9</v>
      </c>
      <c r="I196" s="918"/>
      <c r="J196" s="918"/>
      <c r="K196" s="918"/>
      <c r="L196" s="918"/>
      <c r="M196" s="918"/>
      <c r="N196" s="918"/>
      <c r="O196" s="918"/>
      <c r="P196" s="918"/>
      <c r="Q196" s="918"/>
      <c r="R196" s="918"/>
      <c r="S196" s="918"/>
      <c r="T196" s="918"/>
      <c r="U196" s="918"/>
      <c r="V196" s="918"/>
      <c r="W196" s="918"/>
      <c r="X196" s="918"/>
      <c r="Y196" s="918"/>
      <c r="Z196" s="918"/>
      <c r="AA196" s="918"/>
      <c r="AB196" s="918"/>
      <c r="AC196" s="918"/>
      <c r="AD196" s="918"/>
      <c r="AE196" s="918"/>
      <c r="AF196" s="918"/>
      <c r="AG196" s="918"/>
      <c r="AH196" s="918"/>
      <c r="AI196" s="918"/>
      <c r="AJ196" s="918"/>
      <c r="AK196" s="918"/>
      <c r="AL196" s="918"/>
      <c r="AM196" s="918"/>
      <c r="AN196" s="918"/>
      <c r="AO196" s="918"/>
      <c r="AP196" s="918"/>
      <c r="AQ196" s="918"/>
      <c r="AR196" s="918"/>
      <c r="AS196" s="918"/>
      <c r="AT196" s="918"/>
      <c r="AU196" s="918"/>
      <c r="AV196" s="918"/>
      <c r="AW196" s="918"/>
      <c r="AX196" s="918"/>
      <c r="AY196" s="918"/>
      <c r="AZ196" s="918"/>
      <c r="BA196" s="918"/>
      <c r="BB196" s="918"/>
      <c r="BC196" s="918"/>
      <c r="BD196" s="918"/>
      <c r="BE196" s="918"/>
      <c r="BF196" s="918"/>
      <c r="BG196" s="918"/>
      <c r="BH196" s="918"/>
      <c r="BI196" s="918"/>
      <c r="BJ196" s="918"/>
      <c r="BK196" s="918"/>
      <c r="BL196" s="918"/>
      <c r="BM196" s="918"/>
      <c r="BN196" s="918"/>
      <c r="BO196" s="918"/>
      <c r="BP196" s="918"/>
      <c r="BQ196" s="918"/>
      <c r="BR196" s="918"/>
      <c r="BS196" s="918"/>
      <c r="BT196" s="918"/>
      <c r="BU196" s="918"/>
      <c r="BV196" s="918"/>
      <c r="BW196" s="918"/>
      <c r="BX196" s="918"/>
      <c r="BY196" s="918"/>
      <c r="BZ196" s="918"/>
      <c r="CA196" s="918"/>
      <c r="CB196" s="918"/>
      <c r="CC196" s="918"/>
      <c r="CD196" s="918"/>
      <c r="CE196" s="918"/>
      <c r="CF196" s="918"/>
      <c r="CG196" s="918"/>
      <c r="CH196" s="918"/>
      <c r="CI196" s="918"/>
      <c r="CJ196" s="918"/>
      <c r="CK196" s="918"/>
      <c r="CL196" s="918"/>
      <c r="CM196" s="918"/>
      <c r="CN196" s="918"/>
      <c r="CO196" s="918"/>
      <c r="CP196" s="918"/>
      <c r="CQ196" s="918"/>
      <c r="CR196" s="918"/>
      <c r="CS196" s="918"/>
      <c r="CT196" s="918"/>
      <c r="CU196" s="918"/>
      <c r="CV196" s="918"/>
      <c r="CW196" s="918"/>
      <c r="CX196" s="918"/>
      <c r="CY196" s="918"/>
      <c r="CZ196" s="918"/>
      <c r="DA196" s="918"/>
      <c r="DB196" s="918"/>
      <c r="DC196" s="918"/>
      <c r="DD196" s="918"/>
      <c r="DE196" s="918"/>
      <c r="DF196" s="918"/>
      <c r="DG196" s="918"/>
      <c r="DH196" s="918"/>
      <c r="DI196" s="918"/>
      <c r="DJ196" s="918"/>
      <c r="DK196" s="918"/>
      <c r="DL196" s="918"/>
      <c r="DM196" s="918"/>
      <c r="DN196" s="918"/>
      <c r="DO196" s="918"/>
      <c r="DP196" s="918"/>
      <c r="DQ196" s="918"/>
      <c r="DR196" s="918"/>
      <c r="DS196" s="918"/>
      <c r="DT196" s="918"/>
      <c r="DU196" s="918"/>
      <c r="DV196" s="918"/>
      <c r="DW196" s="918"/>
      <c r="DX196" s="918"/>
      <c r="DY196" s="918"/>
      <c r="DZ196" s="918"/>
      <c r="EA196" s="918"/>
      <c r="EB196" s="918"/>
      <c r="EC196" s="918"/>
      <c r="ED196" s="918"/>
      <c r="EE196" s="918"/>
      <c r="EF196" s="918"/>
      <c r="EG196" s="918"/>
      <c r="EH196" s="918"/>
      <c r="EI196" s="918"/>
      <c r="EJ196" s="918"/>
      <c r="EK196" s="918"/>
      <c r="EL196" s="918"/>
      <c r="EM196" s="918"/>
      <c r="EN196" s="918"/>
      <c r="EO196" s="918"/>
      <c r="EP196" s="918"/>
      <c r="EQ196" s="918"/>
      <c r="ER196" s="918"/>
      <c r="ES196" s="918"/>
      <c r="ET196" s="918"/>
      <c r="EU196" s="918"/>
      <c r="EV196" s="918"/>
      <c r="EW196" s="918"/>
      <c r="EX196" s="918"/>
      <c r="EY196" s="918"/>
      <c r="EZ196" s="918"/>
      <c r="FA196" s="918"/>
      <c r="FB196" s="918"/>
      <c r="FC196" s="918"/>
      <c r="FD196" s="918"/>
      <c r="FE196" s="918"/>
      <c r="FF196" s="918"/>
      <c r="FG196" s="918"/>
      <c r="FH196" s="918"/>
      <c r="FI196" s="918"/>
      <c r="FJ196" s="918"/>
      <c r="FK196" s="918"/>
      <c r="FL196" s="918"/>
      <c r="FM196" s="918"/>
      <c r="FN196" s="918"/>
      <c r="FO196" s="918"/>
      <c r="FP196" s="918"/>
      <c r="FQ196" s="918"/>
      <c r="FR196" s="918"/>
      <c r="FS196" s="918"/>
      <c r="FT196" s="918"/>
      <c r="FU196" s="918"/>
      <c r="FV196" s="918"/>
      <c r="FW196" s="918"/>
      <c r="FX196" s="918"/>
      <c r="FY196" s="918"/>
      <c r="FZ196" s="918"/>
      <c r="GA196" s="918"/>
      <c r="GB196" s="918"/>
      <c r="GC196" s="918"/>
      <c r="GD196" s="918"/>
      <c r="GE196" s="918"/>
      <c r="GF196" s="918"/>
      <c r="GG196" s="918"/>
      <c r="GH196" s="918"/>
      <c r="GI196" s="918"/>
      <c r="GJ196" s="918"/>
      <c r="GK196" s="918"/>
      <c r="GL196" s="918"/>
      <c r="GM196" s="918"/>
      <c r="GN196" s="918"/>
      <c r="GO196" s="918"/>
      <c r="GP196" s="918"/>
      <c r="GQ196" s="918"/>
      <c r="GR196" s="918"/>
      <c r="GS196" s="918"/>
      <c r="GT196" s="918"/>
      <c r="GU196" s="918"/>
      <c r="GV196" s="918"/>
      <c r="GW196" s="918"/>
      <c r="GX196" s="918"/>
      <c r="GY196" s="918"/>
      <c r="GZ196" s="918"/>
      <c r="HA196" s="918"/>
      <c r="HB196" s="918"/>
      <c r="HC196" s="918"/>
      <c r="HD196" s="918"/>
      <c r="HE196" s="918"/>
      <c r="HF196" s="918"/>
      <c r="HG196" s="918"/>
      <c r="HH196" s="918"/>
      <c r="HI196" s="918"/>
      <c r="HJ196" s="918"/>
      <c r="HK196" s="918"/>
      <c r="HL196" s="918"/>
      <c r="HM196" s="918"/>
      <c r="HN196" s="918"/>
      <c r="HO196" s="918"/>
      <c r="HP196" s="918"/>
      <c r="HQ196" s="918"/>
      <c r="HR196" s="918"/>
      <c r="HS196" s="918"/>
      <c r="HT196" s="918"/>
      <c r="HU196" s="918"/>
      <c r="HV196" s="918"/>
      <c r="HW196" s="918"/>
      <c r="HX196" s="918"/>
      <c r="HY196" s="918"/>
      <c r="HZ196" s="918"/>
      <c r="IA196" s="918"/>
      <c r="IB196" s="918"/>
      <c r="IC196" s="918"/>
      <c r="ID196" s="918"/>
      <c r="IE196" s="918"/>
      <c r="IF196" s="918"/>
      <c r="IG196" s="918"/>
      <c r="IH196" s="918"/>
      <c r="II196" s="918"/>
      <c r="IJ196" s="918"/>
      <c r="IK196" s="918"/>
      <c r="IL196" s="918"/>
      <c r="IM196" s="918"/>
      <c r="IN196" s="918"/>
    </row>
    <row r="197" spans="1:248">
      <c r="A197" s="615" t="s">
        <v>23</v>
      </c>
      <c r="B197" s="617">
        <v>9821.6</v>
      </c>
      <c r="C197" s="919">
        <v>26.53819445382647</v>
      </c>
      <c r="D197" s="618">
        <v>9524.2999999999993</v>
      </c>
      <c r="E197" s="919">
        <v>25.734882853769186</v>
      </c>
      <c r="F197" s="919">
        <v>297.30000000000109</v>
      </c>
      <c r="G197" s="919">
        <f t="shared" si="28"/>
        <v>0.8057456467240357</v>
      </c>
      <c r="H197" s="333">
        <v>36897.5</v>
      </c>
      <c r="I197" s="918"/>
      <c r="J197" s="918"/>
      <c r="K197" s="918"/>
      <c r="L197" s="918"/>
      <c r="M197" s="918"/>
      <c r="N197" s="918"/>
      <c r="O197" s="918"/>
      <c r="P197" s="918"/>
      <c r="Q197" s="918"/>
      <c r="R197" s="918"/>
      <c r="S197" s="918"/>
      <c r="T197" s="918"/>
      <c r="U197" s="918"/>
      <c r="V197" s="918"/>
      <c r="W197" s="918"/>
      <c r="X197" s="918"/>
      <c r="Y197" s="918"/>
      <c r="Z197" s="918"/>
      <c r="AA197" s="918"/>
      <c r="AB197" s="918"/>
      <c r="AC197" s="918"/>
      <c r="AD197" s="918"/>
      <c r="AE197" s="918"/>
      <c r="AF197" s="918"/>
      <c r="AG197" s="918"/>
      <c r="AH197" s="918"/>
      <c r="AI197" s="918"/>
      <c r="AJ197" s="918"/>
      <c r="AK197" s="918"/>
      <c r="AL197" s="918"/>
      <c r="AM197" s="918"/>
      <c r="AN197" s="918"/>
      <c r="AO197" s="918"/>
      <c r="AP197" s="918"/>
      <c r="AQ197" s="918"/>
      <c r="AR197" s="918"/>
      <c r="AS197" s="918"/>
      <c r="AT197" s="918"/>
      <c r="AU197" s="918"/>
      <c r="AV197" s="918"/>
      <c r="AW197" s="918"/>
      <c r="AX197" s="918"/>
      <c r="AY197" s="918"/>
      <c r="AZ197" s="918"/>
      <c r="BA197" s="918"/>
      <c r="BB197" s="918"/>
      <c r="BC197" s="918"/>
      <c r="BD197" s="918"/>
      <c r="BE197" s="918"/>
      <c r="BF197" s="918"/>
      <c r="BG197" s="918"/>
      <c r="BH197" s="918"/>
      <c r="BI197" s="918"/>
      <c r="BJ197" s="918"/>
      <c r="BK197" s="918"/>
      <c r="BL197" s="918"/>
      <c r="BM197" s="918"/>
      <c r="BN197" s="918"/>
      <c r="BO197" s="918"/>
      <c r="BP197" s="918"/>
      <c r="BQ197" s="918"/>
      <c r="BR197" s="918"/>
      <c r="BS197" s="918"/>
      <c r="BT197" s="918"/>
      <c r="BU197" s="918"/>
      <c r="BV197" s="918"/>
      <c r="BW197" s="918"/>
      <c r="BX197" s="918"/>
      <c r="BY197" s="918"/>
      <c r="BZ197" s="918"/>
      <c r="CA197" s="918"/>
      <c r="CB197" s="918"/>
      <c r="CC197" s="918"/>
      <c r="CD197" s="918"/>
      <c r="CE197" s="918"/>
      <c r="CF197" s="918"/>
      <c r="CG197" s="918"/>
      <c r="CH197" s="918"/>
      <c r="CI197" s="918"/>
      <c r="CJ197" s="918"/>
      <c r="CK197" s="918"/>
      <c r="CL197" s="918"/>
      <c r="CM197" s="918"/>
      <c r="CN197" s="918"/>
      <c r="CO197" s="918"/>
      <c r="CP197" s="918"/>
      <c r="CQ197" s="918"/>
      <c r="CR197" s="918"/>
      <c r="CS197" s="918"/>
      <c r="CT197" s="918"/>
      <c r="CU197" s="918"/>
      <c r="CV197" s="918"/>
      <c r="CW197" s="918"/>
      <c r="CX197" s="918"/>
      <c r="CY197" s="918"/>
      <c r="CZ197" s="918"/>
      <c r="DA197" s="918"/>
      <c r="DB197" s="918"/>
      <c r="DC197" s="918"/>
      <c r="DD197" s="918"/>
      <c r="DE197" s="918"/>
      <c r="DF197" s="918"/>
      <c r="DG197" s="918"/>
      <c r="DH197" s="918"/>
      <c r="DI197" s="918"/>
      <c r="DJ197" s="918"/>
      <c r="DK197" s="918"/>
      <c r="DL197" s="918"/>
      <c r="DM197" s="918"/>
      <c r="DN197" s="918"/>
      <c r="DO197" s="918"/>
      <c r="DP197" s="918"/>
      <c r="DQ197" s="918"/>
      <c r="DR197" s="918"/>
      <c r="DS197" s="918"/>
      <c r="DT197" s="918"/>
      <c r="DU197" s="918"/>
      <c r="DV197" s="918"/>
      <c r="DW197" s="918"/>
      <c r="DX197" s="918"/>
      <c r="DY197" s="918"/>
      <c r="DZ197" s="918"/>
      <c r="EA197" s="918"/>
      <c r="EB197" s="918"/>
      <c r="EC197" s="918"/>
      <c r="ED197" s="918"/>
      <c r="EE197" s="918"/>
      <c r="EF197" s="918"/>
      <c r="EG197" s="918"/>
      <c r="EH197" s="918"/>
      <c r="EI197" s="918"/>
      <c r="EJ197" s="918"/>
      <c r="EK197" s="918"/>
      <c r="EL197" s="918"/>
      <c r="EM197" s="918"/>
      <c r="EN197" s="918"/>
      <c r="EO197" s="918"/>
      <c r="EP197" s="918"/>
      <c r="EQ197" s="918"/>
      <c r="ER197" s="918"/>
      <c r="ES197" s="918"/>
      <c r="ET197" s="918"/>
      <c r="EU197" s="918"/>
      <c r="EV197" s="918"/>
      <c r="EW197" s="918"/>
      <c r="EX197" s="918"/>
      <c r="EY197" s="918"/>
      <c r="EZ197" s="918"/>
      <c r="FA197" s="918"/>
      <c r="FB197" s="918"/>
      <c r="FC197" s="918"/>
      <c r="FD197" s="918"/>
      <c r="FE197" s="918"/>
      <c r="FF197" s="918"/>
      <c r="FG197" s="918"/>
      <c r="FH197" s="918"/>
      <c r="FI197" s="918"/>
      <c r="FJ197" s="918"/>
      <c r="FK197" s="918"/>
      <c r="FL197" s="918"/>
      <c r="FM197" s="918"/>
      <c r="FN197" s="918"/>
      <c r="FO197" s="918"/>
      <c r="FP197" s="918"/>
      <c r="FQ197" s="918"/>
      <c r="FR197" s="918"/>
      <c r="FS197" s="918"/>
      <c r="FT197" s="918"/>
      <c r="FU197" s="918"/>
      <c r="FV197" s="918"/>
      <c r="FW197" s="918"/>
      <c r="FX197" s="918"/>
      <c r="FY197" s="918"/>
      <c r="FZ197" s="918"/>
      <c r="GA197" s="918"/>
      <c r="GB197" s="918"/>
      <c r="GC197" s="918"/>
      <c r="GD197" s="918"/>
      <c r="GE197" s="918"/>
      <c r="GF197" s="918"/>
      <c r="GG197" s="918"/>
      <c r="GH197" s="918"/>
      <c r="GI197" s="918"/>
      <c r="GJ197" s="918"/>
      <c r="GK197" s="918"/>
      <c r="GL197" s="918"/>
      <c r="GM197" s="918"/>
      <c r="GN197" s="918"/>
      <c r="GO197" s="918"/>
      <c r="GP197" s="918"/>
      <c r="GQ197" s="918"/>
      <c r="GR197" s="918"/>
      <c r="GS197" s="918"/>
      <c r="GT197" s="918"/>
      <c r="GU197" s="918"/>
      <c r="GV197" s="918"/>
      <c r="GW197" s="918"/>
      <c r="GX197" s="918"/>
      <c r="GY197" s="918"/>
      <c r="GZ197" s="918"/>
      <c r="HA197" s="918"/>
      <c r="HB197" s="918"/>
      <c r="HC197" s="918"/>
      <c r="HD197" s="918"/>
      <c r="HE197" s="918"/>
      <c r="HF197" s="918"/>
      <c r="HG197" s="918"/>
      <c r="HH197" s="918"/>
      <c r="HI197" s="918"/>
      <c r="HJ197" s="918"/>
      <c r="HK197" s="918"/>
      <c r="HL197" s="918"/>
      <c r="HM197" s="918"/>
      <c r="HN197" s="918"/>
      <c r="HO197" s="918"/>
      <c r="HP197" s="918"/>
      <c r="HQ197" s="918"/>
      <c r="HR197" s="918"/>
      <c r="HS197" s="918"/>
      <c r="HT197" s="918"/>
      <c r="HU197" s="918"/>
      <c r="HV197" s="918"/>
      <c r="HW197" s="918"/>
      <c r="HX197" s="918"/>
      <c r="HY197" s="918"/>
      <c r="HZ197" s="918"/>
      <c r="IA197" s="918"/>
      <c r="IB197" s="918"/>
      <c r="IC197" s="918"/>
      <c r="ID197" s="918"/>
      <c r="IE197" s="918"/>
      <c r="IF197" s="918"/>
      <c r="IG197" s="918"/>
      <c r="IH197" s="918"/>
      <c r="II197" s="918"/>
      <c r="IJ197" s="918"/>
      <c r="IK197" s="918"/>
      <c r="IL197" s="918"/>
      <c r="IM197" s="918"/>
      <c r="IN197" s="918"/>
    </row>
    <row r="198" spans="1:248">
      <c r="A198" s="615" t="s">
        <v>24</v>
      </c>
      <c r="B198" s="617">
        <v>12078.1</v>
      </c>
      <c r="C198" s="919">
        <f>B198/H198*100</f>
        <v>27.658989784258004</v>
      </c>
      <c r="D198" s="618">
        <v>11649.3</v>
      </c>
      <c r="E198" s="919">
        <v>26.169731656371965</v>
      </c>
      <c r="F198" s="919">
        <v>428.80000000000109</v>
      </c>
      <c r="G198" s="919">
        <f t="shared" si="28"/>
        <v>0.98195699816112314</v>
      </c>
      <c r="H198" s="333">
        <v>43667.9</v>
      </c>
      <c r="I198" s="918"/>
      <c r="J198" s="918"/>
      <c r="K198" s="918"/>
      <c r="L198" s="918"/>
      <c r="M198" s="918"/>
      <c r="N198" s="918"/>
      <c r="O198" s="918"/>
      <c r="P198" s="918"/>
      <c r="Q198" s="918"/>
      <c r="R198" s="918"/>
      <c r="S198" s="918"/>
      <c r="T198" s="918"/>
      <c r="U198" s="918"/>
      <c r="V198" s="918"/>
      <c r="W198" s="918"/>
      <c r="X198" s="918"/>
      <c r="Y198" s="918"/>
      <c r="Z198" s="918"/>
      <c r="AA198" s="918"/>
      <c r="AB198" s="918"/>
      <c r="AC198" s="918"/>
      <c r="AD198" s="918"/>
      <c r="AE198" s="918"/>
      <c r="AF198" s="918"/>
      <c r="AG198" s="918"/>
      <c r="AH198" s="918"/>
      <c r="AI198" s="918"/>
      <c r="AJ198" s="918"/>
      <c r="AK198" s="918"/>
      <c r="AL198" s="918"/>
      <c r="AM198" s="918"/>
      <c r="AN198" s="918"/>
      <c r="AO198" s="918"/>
      <c r="AP198" s="918"/>
      <c r="AQ198" s="918"/>
      <c r="AR198" s="918"/>
      <c r="AS198" s="918"/>
      <c r="AT198" s="918"/>
      <c r="AU198" s="918"/>
      <c r="AV198" s="918"/>
      <c r="AW198" s="918"/>
      <c r="AX198" s="918"/>
      <c r="AY198" s="918"/>
      <c r="AZ198" s="918"/>
      <c r="BA198" s="918"/>
      <c r="BB198" s="918"/>
      <c r="BC198" s="918"/>
      <c r="BD198" s="918"/>
      <c r="BE198" s="918"/>
      <c r="BF198" s="918"/>
      <c r="BG198" s="918"/>
      <c r="BH198" s="918"/>
      <c r="BI198" s="918"/>
      <c r="BJ198" s="918"/>
      <c r="BK198" s="918"/>
      <c r="BL198" s="918"/>
      <c r="BM198" s="918"/>
      <c r="BN198" s="918"/>
      <c r="BO198" s="918"/>
      <c r="BP198" s="918"/>
      <c r="BQ198" s="918"/>
      <c r="BR198" s="918"/>
      <c r="BS198" s="918"/>
      <c r="BT198" s="918"/>
      <c r="BU198" s="918"/>
      <c r="BV198" s="918"/>
      <c r="BW198" s="918"/>
      <c r="BX198" s="918"/>
      <c r="BY198" s="918"/>
      <c r="BZ198" s="918"/>
      <c r="CA198" s="918"/>
      <c r="CB198" s="918"/>
      <c r="CC198" s="918"/>
      <c r="CD198" s="918"/>
      <c r="CE198" s="918"/>
      <c r="CF198" s="918"/>
      <c r="CG198" s="918"/>
      <c r="CH198" s="918"/>
      <c r="CI198" s="918"/>
      <c r="CJ198" s="918"/>
      <c r="CK198" s="918"/>
      <c r="CL198" s="918"/>
      <c r="CM198" s="918"/>
      <c r="CN198" s="918"/>
      <c r="CO198" s="918"/>
      <c r="CP198" s="918"/>
      <c r="CQ198" s="918"/>
      <c r="CR198" s="918"/>
      <c r="CS198" s="918"/>
      <c r="CT198" s="918"/>
      <c r="CU198" s="918"/>
      <c r="CV198" s="918"/>
      <c r="CW198" s="918"/>
      <c r="CX198" s="918"/>
      <c r="CY198" s="918"/>
      <c r="CZ198" s="918"/>
      <c r="DA198" s="918"/>
      <c r="DB198" s="918"/>
      <c r="DC198" s="918"/>
      <c r="DD198" s="918"/>
      <c r="DE198" s="918"/>
      <c r="DF198" s="918"/>
      <c r="DG198" s="918"/>
      <c r="DH198" s="918"/>
      <c r="DI198" s="918"/>
      <c r="DJ198" s="918"/>
      <c r="DK198" s="918"/>
      <c r="DL198" s="918"/>
      <c r="DM198" s="918"/>
      <c r="DN198" s="918"/>
      <c r="DO198" s="918"/>
      <c r="DP198" s="918"/>
      <c r="DQ198" s="918"/>
      <c r="DR198" s="918"/>
      <c r="DS198" s="918"/>
      <c r="DT198" s="918"/>
      <c r="DU198" s="918"/>
      <c r="DV198" s="918"/>
      <c r="DW198" s="918"/>
      <c r="DX198" s="918"/>
      <c r="DY198" s="918"/>
      <c r="DZ198" s="918"/>
      <c r="EA198" s="918"/>
      <c r="EB198" s="918"/>
      <c r="EC198" s="918"/>
      <c r="ED198" s="918"/>
      <c r="EE198" s="918"/>
      <c r="EF198" s="918"/>
      <c r="EG198" s="918"/>
      <c r="EH198" s="918"/>
      <c r="EI198" s="918"/>
      <c r="EJ198" s="918"/>
      <c r="EK198" s="918"/>
      <c r="EL198" s="918"/>
      <c r="EM198" s="918"/>
      <c r="EN198" s="918"/>
      <c r="EO198" s="918"/>
      <c r="EP198" s="918"/>
      <c r="EQ198" s="918"/>
      <c r="ER198" s="918"/>
      <c r="ES198" s="918"/>
      <c r="ET198" s="918"/>
      <c r="EU198" s="918"/>
      <c r="EV198" s="918"/>
      <c r="EW198" s="918"/>
      <c r="EX198" s="918"/>
      <c r="EY198" s="918"/>
      <c r="EZ198" s="918"/>
      <c r="FA198" s="918"/>
      <c r="FB198" s="918"/>
      <c r="FC198" s="918"/>
      <c r="FD198" s="918"/>
      <c r="FE198" s="918"/>
      <c r="FF198" s="918"/>
      <c r="FG198" s="918"/>
      <c r="FH198" s="918"/>
      <c r="FI198" s="918"/>
      <c r="FJ198" s="918"/>
      <c r="FK198" s="918"/>
      <c r="FL198" s="918"/>
      <c r="FM198" s="918"/>
      <c r="FN198" s="918"/>
      <c r="FO198" s="918"/>
      <c r="FP198" s="918"/>
      <c r="FQ198" s="918"/>
      <c r="FR198" s="918"/>
      <c r="FS198" s="918"/>
      <c r="FT198" s="918"/>
      <c r="FU198" s="918"/>
      <c r="FV198" s="918"/>
      <c r="FW198" s="918"/>
      <c r="FX198" s="918"/>
      <c r="FY198" s="918"/>
      <c r="FZ198" s="918"/>
      <c r="GA198" s="918"/>
      <c r="GB198" s="918"/>
      <c r="GC198" s="918"/>
      <c r="GD198" s="918"/>
      <c r="GE198" s="918"/>
      <c r="GF198" s="918"/>
      <c r="GG198" s="918"/>
      <c r="GH198" s="918"/>
      <c r="GI198" s="918"/>
      <c r="GJ198" s="918"/>
      <c r="GK198" s="918"/>
      <c r="GL198" s="918"/>
      <c r="GM198" s="918"/>
      <c r="GN198" s="918"/>
      <c r="GO198" s="918"/>
      <c r="GP198" s="918"/>
      <c r="GQ198" s="918"/>
      <c r="GR198" s="918"/>
      <c r="GS198" s="918"/>
      <c r="GT198" s="918"/>
      <c r="GU198" s="918"/>
      <c r="GV198" s="918"/>
      <c r="GW198" s="918"/>
      <c r="GX198" s="918"/>
      <c r="GY198" s="918"/>
      <c r="GZ198" s="918"/>
      <c r="HA198" s="918"/>
      <c r="HB198" s="918"/>
      <c r="HC198" s="918"/>
      <c r="HD198" s="918"/>
      <c r="HE198" s="918"/>
      <c r="HF198" s="918"/>
      <c r="HG198" s="918"/>
      <c r="HH198" s="918"/>
      <c r="HI198" s="918"/>
      <c r="HJ198" s="918"/>
      <c r="HK198" s="918"/>
      <c r="HL198" s="918"/>
      <c r="HM198" s="918"/>
      <c r="HN198" s="918"/>
      <c r="HO198" s="918"/>
      <c r="HP198" s="918"/>
      <c r="HQ198" s="918"/>
      <c r="HR198" s="918"/>
      <c r="HS198" s="918"/>
      <c r="HT198" s="918"/>
      <c r="HU198" s="918"/>
      <c r="HV198" s="918"/>
      <c r="HW198" s="918"/>
      <c r="HX198" s="918"/>
      <c r="HY198" s="918"/>
      <c r="HZ198" s="918"/>
      <c r="IA198" s="918"/>
      <c r="IB198" s="918"/>
      <c r="IC198" s="918"/>
      <c r="ID198" s="918"/>
      <c r="IE198" s="918"/>
      <c r="IF198" s="918"/>
      <c r="IG198" s="918"/>
      <c r="IH198" s="918"/>
      <c r="II198" s="918"/>
      <c r="IJ198" s="918"/>
      <c r="IK198" s="918"/>
      <c r="IL198" s="918"/>
      <c r="IM198" s="918"/>
      <c r="IN198" s="918"/>
    </row>
    <row r="199" spans="1:248">
      <c r="A199" s="615" t="s">
        <v>25</v>
      </c>
      <c r="B199" s="617">
        <v>14029.7</v>
      </c>
      <c r="C199" s="919">
        <v>27.769541525556246</v>
      </c>
      <c r="D199" s="618">
        <v>13485.7</v>
      </c>
      <c r="E199" s="919">
        <v>26.692780754484691</v>
      </c>
      <c r="F199" s="919">
        <v>544</v>
      </c>
      <c r="G199" s="919">
        <f t="shared" si="28"/>
        <v>1.0805270747510218</v>
      </c>
      <c r="H199" s="333">
        <v>50345.8</v>
      </c>
      <c r="I199" s="918"/>
      <c r="J199" s="918"/>
      <c r="K199" s="918"/>
      <c r="L199" s="918"/>
      <c r="M199" s="918"/>
      <c r="N199" s="918"/>
      <c r="O199" s="918"/>
      <c r="P199" s="918"/>
      <c r="Q199" s="918"/>
      <c r="R199" s="918"/>
      <c r="S199" s="918"/>
      <c r="T199" s="918"/>
      <c r="U199" s="918"/>
      <c r="V199" s="918"/>
      <c r="W199" s="918"/>
      <c r="X199" s="918"/>
      <c r="Y199" s="918"/>
      <c r="Z199" s="918"/>
      <c r="AA199" s="918"/>
      <c r="AB199" s="918"/>
      <c r="AC199" s="918"/>
      <c r="AD199" s="918"/>
      <c r="AE199" s="918"/>
      <c r="AF199" s="918"/>
      <c r="AG199" s="918"/>
      <c r="AH199" s="918"/>
      <c r="AI199" s="918"/>
      <c r="AJ199" s="918"/>
      <c r="AK199" s="918"/>
      <c r="AL199" s="918"/>
      <c r="AM199" s="918"/>
      <c r="AN199" s="918"/>
      <c r="AO199" s="918"/>
      <c r="AP199" s="918"/>
      <c r="AQ199" s="918"/>
      <c r="AR199" s="918"/>
      <c r="AS199" s="918"/>
      <c r="AT199" s="918"/>
      <c r="AU199" s="918"/>
      <c r="AV199" s="918"/>
      <c r="AW199" s="918"/>
      <c r="AX199" s="918"/>
      <c r="AY199" s="918"/>
      <c r="AZ199" s="918"/>
      <c r="BA199" s="918"/>
      <c r="BB199" s="918"/>
      <c r="BC199" s="918"/>
      <c r="BD199" s="918"/>
      <c r="BE199" s="918"/>
      <c r="BF199" s="918"/>
      <c r="BG199" s="918"/>
      <c r="BH199" s="918"/>
      <c r="BI199" s="918"/>
      <c r="BJ199" s="918"/>
      <c r="BK199" s="918"/>
      <c r="BL199" s="918"/>
      <c r="BM199" s="918"/>
      <c r="BN199" s="918"/>
      <c r="BO199" s="918"/>
      <c r="BP199" s="918"/>
      <c r="BQ199" s="918"/>
      <c r="BR199" s="918"/>
      <c r="BS199" s="918"/>
      <c r="BT199" s="918"/>
      <c r="BU199" s="918"/>
      <c r="BV199" s="918"/>
      <c r="BW199" s="918"/>
      <c r="BX199" s="918"/>
      <c r="BY199" s="918"/>
      <c r="BZ199" s="918"/>
      <c r="CA199" s="918"/>
      <c r="CB199" s="918"/>
      <c r="CC199" s="918"/>
      <c r="CD199" s="918"/>
      <c r="CE199" s="918"/>
      <c r="CF199" s="918"/>
      <c r="CG199" s="918"/>
      <c r="CH199" s="918"/>
      <c r="CI199" s="918"/>
      <c r="CJ199" s="918"/>
      <c r="CK199" s="918"/>
      <c r="CL199" s="918"/>
      <c r="CM199" s="918"/>
      <c r="CN199" s="918"/>
      <c r="CO199" s="918"/>
      <c r="CP199" s="918"/>
      <c r="CQ199" s="918"/>
      <c r="CR199" s="918"/>
      <c r="CS199" s="918"/>
      <c r="CT199" s="918"/>
      <c r="CU199" s="918"/>
      <c r="CV199" s="918"/>
      <c r="CW199" s="918"/>
      <c r="CX199" s="918"/>
      <c r="CY199" s="918"/>
      <c r="CZ199" s="918"/>
      <c r="DA199" s="918"/>
      <c r="DB199" s="918"/>
      <c r="DC199" s="918"/>
      <c r="DD199" s="918"/>
      <c r="DE199" s="918"/>
      <c r="DF199" s="918"/>
      <c r="DG199" s="918"/>
      <c r="DH199" s="918"/>
      <c r="DI199" s="918"/>
      <c r="DJ199" s="918"/>
      <c r="DK199" s="918"/>
      <c r="DL199" s="918"/>
      <c r="DM199" s="918"/>
      <c r="DN199" s="918"/>
      <c r="DO199" s="918"/>
      <c r="DP199" s="918"/>
      <c r="DQ199" s="918"/>
      <c r="DR199" s="918"/>
      <c r="DS199" s="918"/>
      <c r="DT199" s="918"/>
      <c r="DU199" s="918"/>
      <c r="DV199" s="918"/>
      <c r="DW199" s="918"/>
      <c r="DX199" s="918"/>
      <c r="DY199" s="918"/>
      <c r="DZ199" s="918"/>
      <c r="EA199" s="918"/>
      <c r="EB199" s="918"/>
      <c r="EC199" s="918"/>
      <c r="ED199" s="918"/>
      <c r="EE199" s="918"/>
      <c r="EF199" s="918"/>
      <c r="EG199" s="918"/>
      <c r="EH199" s="918"/>
      <c r="EI199" s="918"/>
      <c r="EJ199" s="918"/>
      <c r="EK199" s="918"/>
      <c r="EL199" s="918"/>
      <c r="EM199" s="918"/>
      <c r="EN199" s="918"/>
      <c r="EO199" s="918"/>
      <c r="EP199" s="918"/>
      <c r="EQ199" s="918"/>
      <c r="ER199" s="918"/>
      <c r="ES199" s="918"/>
      <c r="ET199" s="918"/>
      <c r="EU199" s="918"/>
      <c r="EV199" s="918"/>
      <c r="EW199" s="918"/>
      <c r="EX199" s="918"/>
      <c r="EY199" s="918"/>
      <c r="EZ199" s="918"/>
      <c r="FA199" s="918"/>
      <c r="FB199" s="918"/>
      <c r="FC199" s="918"/>
      <c r="FD199" s="918"/>
      <c r="FE199" s="918"/>
      <c r="FF199" s="918"/>
      <c r="FG199" s="918"/>
      <c r="FH199" s="918"/>
      <c r="FI199" s="918"/>
      <c r="FJ199" s="918"/>
      <c r="FK199" s="918"/>
      <c r="FL199" s="918"/>
      <c r="FM199" s="918"/>
      <c r="FN199" s="918"/>
      <c r="FO199" s="918"/>
      <c r="FP199" s="918"/>
      <c r="FQ199" s="918"/>
      <c r="FR199" s="918"/>
      <c r="FS199" s="918"/>
      <c r="FT199" s="918"/>
      <c r="FU199" s="918"/>
      <c r="FV199" s="918"/>
      <c r="FW199" s="918"/>
      <c r="FX199" s="918"/>
      <c r="FY199" s="918"/>
      <c r="FZ199" s="918"/>
      <c r="GA199" s="918"/>
      <c r="GB199" s="918"/>
      <c r="GC199" s="918"/>
      <c r="GD199" s="918"/>
      <c r="GE199" s="918"/>
      <c r="GF199" s="918"/>
      <c r="GG199" s="918"/>
      <c r="GH199" s="918"/>
      <c r="GI199" s="918"/>
      <c r="GJ199" s="918"/>
      <c r="GK199" s="918"/>
      <c r="GL199" s="918"/>
      <c r="GM199" s="918"/>
      <c r="GN199" s="918"/>
      <c r="GO199" s="918"/>
      <c r="GP199" s="918"/>
      <c r="GQ199" s="918"/>
      <c r="GR199" s="918"/>
      <c r="GS199" s="918"/>
      <c r="GT199" s="918"/>
      <c r="GU199" s="918"/>
      <c r="GV199" s="918"/>
      <c r="GW199" s="918"/>
      <c r="GX199" s="918"/>
      <c r="GY199" s="918"/>
      <c r="GZ199" s="918"/>
      <c r="HA199" s="918"/>
      <c r="HB199" s="918"/>
      <c r="HC199" s="918"/>
      <c r="HD199" s="918"/>
      <c r="HE199" s="918"/>
      <c r="HF199" s="918"/>
      <c r="HG199" s="918"/>
      <c r="HH199" s="918"/>
      <c r="HI199" s="918"/>
      <c r="HJ199" s="918"/>
      <c r="HK199" s="918"/>
      <c r="HL199" s="918"/>
      <c r="HM199" s="918"/>
      <c r="HN199" s="918"/>
      <c r="HO199" s="918"/>
      <c r="HP199" s="918"/>
      <c r="HQ199" s="918"/>
      <c r="HR199" s="918"/>
      <c r="HS199" s="918"/>
      <c r="HT199" s="918"/>
      <c r="HU199" s="918"/>
      <c r="HV199" s="918"/>
      <c r="HW199" s="918"/>
      <c r="HX199" s="918"/>
      <c r="HY199" s="918"/>
      <c r="HZ199" s="918"/>
      <c r="IA199" s="918"/>
      <c r="IB199" s="918"/>
      <c r="IC199" s="918"/>
      <c r="ID199" s="918"/>
      <c r="IE199" s="918"/>
      <c r="IF199" s="918"/>
      <c r="IG199" s="918"/>
      <c r="IH199" s="918"/>
      <c r="II199" s="918"/>
      <c r="IJ199" s="918"/>
      <c r="IK199" s="918"/>
      <c r="IL199" s="918"/>
      <c r="IM199" s="918"/>
      <c r="IN199" s="918"/>
    </row>
    <row r="200" spans="1:248">
      <c r="A200" s="615" t="s">
        <v>26</v>
      </c>
      <c r="B200" s="617">
        <v>16089.7</v>
      </c>
      <c r="C200" s="919">
        <v>27.855212518978771</v>
      </c>
      <c r="D200" s="618">
        <v>15666</v>
      </c>
      <c r="E200" s="919">
        <v>27.121684016626872</v>
      </c>
      <c r="F200" s="919">
        <v>423.70000000000073</v>
      </c>
      <c r="G200" s="919">
        <f t="shared" si="28"/>
        <v>0.73347389996226298</v>
      </c>
      <c r="H200" s="333">
        <v>57766.2</v>
      </c>
      <c r="I200" s="918"/>
      <c r="J200" s="918"/>
      <c r="K200" s="918"/>
      <c r="L200" s="918"/>
      <c r="M200" s="918"/>
      <c r="N200" s="918"/>
      <c r="O200" s="918"/>
      <c r="P200" s="918"/>
      <c r="Q200" s="918"/>
      <c r="R200" s="918"/>
      <c r="S200" s="918"/>
      <c r="T200" s="918"/>
      <c r="U200" s="918"/>
      <c r="V200" s="918"/>
      <c r="W200" s="918"/>
      <c r="X200" s="918"/>
      <c r="Y200" s="918"/>
      <c r="Z200" s="918"/>
      <c r="AA200" s="918"/>
      <c r="AB200" s="918"/>
      <c r="AC200" s="918"/>
      <c r="AD200" s="918"/>
      <c r="AE200" s="918"/>
      <c r="AF200" s="918"/>
      <c r="AG200" s="918"/>
      <c r="AH200" s="918"/>
      <c r="AI200" s="918"/>
      <c r="AJ200" s="918"/>
      <c r="AK200" s="918"/>
      <c r="AL200" s="918"/>
      <c r="AM200" s="918"/>
      <c r="AN200" s="918"/>
      <c r="AO200" s="918"/>
      <c r="AP200" s="918"/>
      <c r="AQ200" s="918"/>
      <c r="AR200" s="918"/>
      <c r="AS200" s="918"/>
      <c r="AT200" s="918"/>
      <c r="AU200" s="918"/>
      <c r="AV200" s="918"/>
      <c r="AW200" s="918"/>
      <c r="AX200" s="918"/>
      <c r="AY200" s="918"/>
      <c r="AZ200" s="918"/>
      <c r="BA200" s="918"/>
      <c r="BB200" s="918"/>
      <c r="BC200" s="918"/>
      <c r="BD200" s="918"/>
      <c r="BE200" s="918"/>
      <c r="BF200" s="918"/>
      <c r="BG200" s="918"/>
      <c r="BH200" s="918"/>
      <c r="BI200" s="918"/>
      <c r="BJ200" s="918"/>
      <c r="BK200" s="918"/>
      <c r="BL200" s="918"/>
      <c r="BM200" s="918"/>
      <c r="BN200" s="918"/>
      <c r="BO200" s="918"/>
      <c r="BP200" s="918"/>
      <c r="BQ200" s="918"/>
      <c r="BR200" s="918"/>
      <c r="BS200" s="918"/>
      <c r="BT200" s="918"/>
      <c r="BU200" s="918"/>
      <c r="BV200" s="918"/>
      <c r="BW200" s="918"/>
      <c r="BX200" s="918"/>
      <c r="BY200" s="918"/>
      <c r="BZ200" s="918"/>
      <c r="CA200" s="918"/>
      <c r="CB200" s="918"/>
      <c r="CC200" s="918"/>
      <c r="CD200" s="918"/>
      <c r="CE200" s="918"/>
      <c r="CF200" s="918"/>
      <c r="CG200" s="918"/>
      <c r="CH200" s="918"/>
      <c r="CI200" s="918"/>
      <c r="CJ200" s="918"/>
      <c r="CK200" s="918"/>
      <c r="CL200" s="918"/>
      <c r="CM200" s="918"/>
      <c r="CN200" s="918"/>
      <c r="CO200" s="918"/>
      <c r="CP200" s="918"/>
      <c r="CQ200" s="918"/>
      <c r="CR200" s="918"/>
      <c r="CS200" s="918"/>
      <c r="CT200" s="918"/>
      <c r="CU200" s="918"/>
      <c r="CV200" s="918"/>
      <c r="CW200" s="918"/>
      <c r="CX200" s="918"/>
      <c r="CY200" s="918"/>
      <c r="CZ200" s="918"/>
      <c r="DA200" s="918"/>
      <c r="DB200" s="918"/>
      <c r="DC200" s="918"/>
      <c r="DD200" s="918"/>
      <c r="DE200" s="918"/>
      <c r="DF200" s="918"/>
      <c r="DG200" s="918"/>
      <c r="DH200" s="918"/>
      <c r="DI200" s="918"/>
      <c r="DJ200" s="918"/>
      <c r="DK200" s="918"/>
      <c r="DL200" s="918"/>
      <c r="DM200" s="918"/>
      <c r="DN200" s="918"/>
      <c r="DO200" s="918"/>
      <c r="DP200" s="918"/>
      <c r="DQ200" s="918"/>
      <c r="DR200" s="918"/>
      <c r="DS200" s="918"/>
      <c r="DT200" s="918"/>
      <c r="DU200" s="918"/>
      <c r="DV200" s="918"/>
      <c r="DW200" s="918"/>
      <c r="DX200" s="918"/>
      <c r="DY200" s="918"/>
      <c r="DZ200" s="918"/>
      <c r="EA200" s="918"/>
      <c r="EB200" s="918"/>
      <c r="EC200" s="918"/>
      <c r="ED200" s="918"/>
      <c r="EE200" s="918"/>
      <c r="EF200" s="918"/>
      <c r="EG200" s="918"/>
      <c r="EH200" s="918"/>
      <c r="EI200" s="918"/>
      <c r="EJ200" s="918"/>
      <c r="EK200" s="918"/>
      <c r="EL200" s="918"/>
      <c r="EM200" s="918"/>
      <c r="EN200" s="918"/>
      <c r="EO200" s="918"/>
      <c r="EP200" s="918"/>
      <c r="EQ200" s="918"/>
      <c r="ER200" s="918"/>
      <c r="ES200" s="918"/>
      <c r="ET200" s="918"/>
      <c r="EU200" s="918"/>
      <c r="EV200" s="918"/>
      <c r="EW200" s="918"/>
      <c r="EX200" s="918"/>
      <c r="EY200" s="918"/>
      <c r="EZ200" s="918"/>
      <c r="FA200" s="918"/>
      <c r="FB200" s="918"/>
      <c r="FC200" s="918"/>
      <c r="FD200" s="918"/>
      <c r="FE200" s="918"/>
      <c r="FF200" s="918"/>
      <c r="FG200" s="918"/>
      <c r="FH200" s="918"/>
      <c r="FI200" s="918"/>
      <c r="FJ200" s="918"/>
      <c r="FK200" s="918"/>
      <c r="FL200" s="918"/>
      <c r="FM200" s="918"/>
      <c r="FN200" s="918"/>
      <c r="FO200" s="918"/>
      <c r="FP200" s="918"/>
      <c r="FQ200" s="918"/>
      <c r="FR200" s="918"/>
      <c r="FS200" s="918"/>
      <c r="FT200" s="918"/>
      <c r="FU200" s="918"/>
      <c r="FV200" s="918"/>
      <c r="FW200" s="918"/>
      <c r="FX200" s="918"/>
      <c r="FY200" s="918"/>
      <c r="FZ200" s="918"/>
      <c r="GA200" s="918"/>
      <c r="GB200" s="918"/>
      <c r="GC200" s="918"/>
      <c r="GD200" s="918"/>
      <c r="GE200" s="918"/>
      <c r="GF200" s="918"/>
      <c r="GG200" s="918"/>
      <c r="GH200" s="918"/>
      <c r="GI200" s="918"/>
      <c r="GJ200" s="918"/>
      <c r="GK200" s="918"/>
      <c r="GL200" s="918"/>
      <c r="GM200" s="918"/>
      <c r="GN200" s="918"/>
      <c r="GO200" s="918"/>
      <c r="GP200" s="918"/>
      <c r="GQ200" s="918"/>
      <c r="GR200" s="918"/>
      <c r="GS200" s="918"/>
      <c r="GT200" s="918"/>
      <c r="GU200" s="918"/>
      <c r="GV200" s="918"/>
      <c r="GW200" s="918"/>
      <c r="GX200" s="918"/>
      <c r="GY200" s="918"/>
      <c r="GZ200" s="918"/>
      <c r="HA200" s="918"/>
      <c r="HB200" s="918"/>
      <c r="HC200" s="918"/>
      <c r="HD200" s="918"/>
      <c r="HE200" s="918"/>
      <c r="HF200" s="918"/>
      <c r="HG200" s="918"/>
      <c r="HH200" s="918"/>
      <c r="HI200" s="918"/>
      <c r="HJ200" s="918"/>
      <c r="HK200" s="918"/>
      <c r="HL200" s="918"/>
      <c r="HM200" s="918"/>
      <c r="HN200" s="918"/>
      <c r="HO200" s="918"/>
      <c r="HP200" s="918"/>
      <c r="HQ200" s="918"/>
      <c r="HR200" s="918"/>
      <c r="HS200" s="918"/>
      <c r="HT200" s="918"/>
      <c r="HU200" s="918"/>
      <c r="HV200" s="918"/>
      <c r="HW200" s="918"/>
      <c r="HX200" s="918"/>
      <c r="HY200" s="918"/>
      <c r="HZ200" s="918"/>
      <c r="IA200" s="918"/>
      <c r="IB200" s="918"/>
      <c r="IC200" s="918"/>
      <c r="ID200" s="918"/>
      <c r="IE200" s="918"/>
      <c r="IF200" s="918"/>
      <c r="IG200" s="918"/>
      <c r="IH200" s="918"/>
      <c r="II200" s="918"/>
      <c r="IJ200" s="918"/>
      <c r="IK200" s="918"/>
      <c r="IL200" s="918"/>
      <c r="IM200" s="918"/>
      <c r="IN200" s="918"/>
    </row>
    <row r="201" spans="1:248">
      <c r="A201" s="615" t="s">
        <v>27</v>
      </c>
      <c r="B201" s="617">
        <v>18196.900000000001</v>
      </c>
      <c r="C201" s="919">
        <v>27.895237073260471</v>
      </c>
      <c r="D201" s="618">
        <v>17769.900000000001</v>
      </c>
      <c r="E201" s="919">
        <v>27.240660401943806</v>
      </c>
      <c r="F201" s="919">
        <v>427</v>
      </c>
      <c r="G201" s="919">
        <f t="shared" si="28"/>
        <v>0.65584547236233381</v>
      </c>
      <c r="H201" s="333">
        <v>65106.8</v>
      </c>
      <c r="I201" s="918"/>
      <c r="J201" s="918"/>
      <c r="K201" s="918"/>
      <c r="L201" s="918"/>
      <c r="M201" s="918"/>
      <c r="N201" s="918"/>
      <c r="O201" s="918"/>
      <c r="P201" s="918"/>
      <c r="Q201" s="918"/>
      <c r="R201" s="918"/>
      <c r="S201" s="918"/>
      <c r="T201" s="918"/>
      <c r="U201" s="918"/>
      <c r="V201" s="918"/>
      <c r="W201" s="918"/>
      <c r="X201" s="918"/>
      <c r="Y201" s="918"/>
      <c r="Z201" s="918"/>
      <c r="AA201" s="918"/>
      <c r="AB201" s="918"/>
      <c r="AC201" s="918"/>
      <c r="AD201" s="918"/>
      <c r="AE201" s="918"/>
      <c r="AF201" s="918"/>
      <c r="AG201" s="918"/>
      <c r="AH201" s="918"/>
      <c r="AI201" s="918"/>
      <c r="AJ201" s="918"/>
      <c r="AK201" s="918"/>
      <c r="AL201" s="918"/>
      <c r="AM201" s="918"/>
      <c r="AN201" s="918"/>
      <c r="AO201" s="918"/>
      <c r="AP201" s="918"/>
      <c r="AQ201" s="918"/>
      <c r="AR201" s="918"/>
      <c r="AS201" s="918"/>
      <c r="AT201" s="918"/>
      <c r="AU201" s="918"/>
      <c r="AV201" s="918"/>
      <c r="AW201" s="918"/>
      <c r="AX201" s="918"/>
      <c r="AY201" s="918"/>
      <c r="AZ201" s="918"/>
      <c r="BA201" s="918"/>
      <c r="BB201" s="918"/>
      <c r="BC201" s="918"/>
      <c r="BD201" s="918"/>
      <c r="BE201" s="918"/>
      <c r="BF201" s="918"/>
      <c r="BG201" s="918"/>
      <c r="BH201" s="918"/>
      <c r="BI201" s="918"/>
      <c r="BJ201" s="918"/>
      <c r="BK201" s="918"/>
      <c r="BL201" s="918"/>
      <c r="BM201" s="918"/>
      <c r="BN201" s="918"/>
      <c r="BO201" s="918"/>
      <c r="BP201" s="918"/>
      <c r="BQ201" s="918"/>
      <c r="BR201" s="918"/>
      <c r="BS201" s="918"/>
      <c r="BT201" s="918"/>
      <c r="BU201" s="918"/>
      <c r="BV201" s="918"/>
      <c r="BW201" s="918"/>
      <c r="BX201" s="918"/>
      <c r="BY201" s="918"/>
      <c r="BZ201" s="918"/>
      <c r="CA201" s="918"/>
      <c r="CB201" s="918"/>
      <c r="CC201" s="918"/>
      <c r="CD201" s="918"/>
      <c r="CE201" s="918"/>
      <c r="CF201" s="918"/>
      <c r="CG201" s="918"/>
      <c r="CH201" s="918"/>
      <c r="CI201" s="918"/>
      <c r="CJ201" s="918"/>
      <c r="CK201" s="918"/>
      <c r="CL201" s="918"/>
      <c r="CM201" s="918"/>
      <c r="CN201" s="918"/>
      <c r="CO201" s="918"/>
      <c r="CP201" s="918"/>
      <c r="CQ201" s="918"/>
      <c r="CR201" s="918"/>
      <c r="CS201" s="918"/>
      <c r="CT201" s="918"/>
      <c r="CU201" s="918"/>
      <c r="CV201" s="918"/>
      <c r="CW201" s="918"/>
      <c r="CX201" s="918"/>
      <c r="CY201" s="918"/>
      <c r="CZ201" s="918"/>
      <c r="DA201" s="918"/>
      <c r="DB201" s="918"/>
      <c r="DC201" s="918"/>
      <c r="DD201" s="918"/>
      <c r="DE201" s="918"/>
      <c r="DF201" s="918"/>
      <c r="DG201" s="918"/>
      <c r="DH201" s="918"/>
      <c r="DI201" s="918"/>
      <c r="DJ201" s="918"/>
      <c r="DK201" s="918"/>
      <c r="DL201" s="918"/>
      <c r="DM201" s="918"/>
      <c r="DN201" s="918"/>
      <c r="DO201" s="918"/>
      <c r="DP201" s="918"/>
      <c r="DQ201" s="918"/>
      <c r="DR201" s="918"/>
      <c r="DS201" s="918"/>
      <c r="DT201" s="918"/>
      <c r="DU201" s="918"/>
      <c r="DV201" s="918"/>
      <c r="DW201" s="918"/>
      <c r="DX201" s="918"/>
      <c r="DY201" s="918"/>
      <c r="DZ201" s="918"/>
      <c r="EA201" s="918"/>
      <c r="EB201" s="918"/>
      <c r="EC201" s="918"/>
      <c r="ED201" s="918"/>
      <c r="EE201" s="918"/>
      <c r="EF201" s="918"/>
      <c r="EG201" s="918"/>
      <c r="EH201" s="918"/>
      <c r="EI201" s="918"/>
      <c r="EJ201" s="918"/>
      <c r="EK201" s="918"/>
      <c r="EL201" s="918"/>
      <c r="EM201" s="918"/>
      <c r="EN201" s="918"/>
      <c r="EO201" s="918"/>
      <c r="EP201" s="918"/>
      <c r="EQ201" s="918"/>
      <c r="ER201" s="918"/>
      <c r="ES201" s="918"/>
      <c r="ET201" s="918"/>
      <c r="EU201" s="918"/>
      <c r="EV201" s="918"/>
      <c r="EW201" s="918"/>
      <c r="EX201" s="918"/>
      <c r="EY201" s="918"/>
      <c r="EZ201" s="918"/>
      <c r="FA201" s="918"/>
      <c r="FB201" s="918"/>
      <c r="FC201" s="918"/>
      <c r="FD201" s="918"/>
      <c r="FE201" s="918"/>
      <c r="FF201" s="918"/>
      <c r="FG201" s="918"/>
      <c r="FH201" s="918"/>
      <c r="FI201" s="918"/>
      <c r="FJ201" s="918"/>
      <c r="FK201" s="918"/>
      <c r="FL201" s="918"/>
      <c r="FM201" s="918"/>
      <c r="FN201" s="918"/>
      <c r="FO201" s="918"/>
      <c r="FP201" s="918"/>
      <c r="FQ201" s="918"/>
      <c r="FR201" s="918"/>
      <c r="FS201" s="918"/>
      <c r="FT201" s="918"/>
      <c r="FU201" s="918"/>
      <c r="FV201" s="918"/>
      <c r="FW201" s="918"/>
      <c r="FX201" s="918"/>
      <c r="FY201" s="918"/>
      <c r="FZ201" s="918"/>
      <c r="GA201" s="918"/>
      <c r="GB201" s="918"/>
      <c r="GC201" s="918"/>
      <c r="GD201" s="918"/>
      <c r="GE201" s="918"/>
      <c r="GF201" s="918"/>
      <c r="GG201" s="918"/>
      <c r="GH201" s="918"/>
      <c r="GI201" s="918"/>
      <c r="GJ201" s="918"/>
      <c r="GK201" s="918"/>
      <c r="GL201" s="918"/>
      <c r="GM201" s="918"/>
      <c r="GN201" s="918"/>
      <c r="GO201" s="918"/>
      <c r="GP201" s="918"/>
      <c r="GQ201" s="918"/>
      <c r="GR201" s="918"/>
      <c r="GS201" s="918"/>
      <c r="GT201" s="918"/>
      <c r="GU201" s="918"/>
      <c r="GV201" s="918"/>
      <c r="GW201" s="918"/>
      <c r="GX201" s="918"/>
      <c r="GY201" s="918"/>
      <c r="GZ201" s="918"/>
      <c r="HA201" s="918"/>
      <c r="HB201" s="918"/>
      <c r="HC201" s="918"/>
      <c r="HD201" s="918"/>
      <c r="HE201" s="918"/>
      <c r="HF201" s="918"/>
      <c r="HG201" s="918"/>
      <c r="HH201" s="918"/>
      <c r="HI201" s="918"/>
      <c r="HJ201" s="918"/>
      <c r="HK201" s="918"/>
      <c r="HL201" s="918"/>
      <c r="HM201" s="918"/>
      <c r="HN201" s="918"/>
      <c r="HO201" s="918"/>
      <c r="HP201" s="918"/>
      <c r="HQ201" s="918"/>
      <c r="HR201" s="918"/>
      <c r="HS201" s="918"/>
      <c r="HT201" s="918"/>
      <c r="HU201" s="918"/>
      <c r="HV201" s="918"/>
      <c r="HW201" s="918"/>
      <c r="HX201" s="918"/>
      <c r="HY201" s="918"/>
      <c r="HZ201" s="918"/>
      <c r="IA201" s="918"/>
      <c r="IB201" s="918"/>
      <c r="IC201" s="918"/>
      <c r="ID201" s="918"/>
      <c r="IE201" s="918"/>
      <c r="IF201" s="918"/>
      <c r="IG201" s="918"/>
      <c r="IH201" s="918"/>
      <c r="II201" s="918"/>
      <c r="IJ201" s="918"/>
      <c r="IK201" s="918"/>
      <c r="IL201" s="918"/>
      <c r="IM201" s="918"/>
      <c r="IN201" s="918"/>
    </row>
    <row r="202" spans="1:248">
      <c r="A202" s="615" t="s">
        <v>28</v>
      </c>
      <c r="B202" s="617">
        <v>20144.7</v>
      </c>
      <c r="C202" s="919">
        <v>27.811840330461219</v>
      </c>
      <c r="D202" s="618">
        <v>19670.099999999999</v>
      </c>
      <c r="E202" s="919">
        <v>27.156605979945354</v>
      </c>
      <c r="F202" s="919">
        <v>474.60000000000218</v>
      </c>
      <c r="G202" s="919">
        <f t="shared" si="28"/>
        <v>0.65523435051586543</v>
      </c>
      <c r="H202" s="333">
        <v>72432.100000000006</v>
      </c>
      <c r="I202" s="918"/>
      <c r="J202" s="918"/>
      <c r="K202" s="918"/>
      <c r="L202" s="918"/>
      <c r="M202" s="918"/>
      <c r="N202" s="918"/>
      <c r="O202" s="918"/>
      <c r="P202" s="918"/>
      <c r="Q202" s="918"/>
      <c r="R202" s="918"/>
      <c r="S202" s="918"/>
      <c r="T202" s="918"/>
      <c r="U202" s="918"/>
      <c r="V202" s="918"/>
      <c r="W202" s="918"/>
      <c r="X202" s="918"/>
      <c r="Y202" s="918"/>
      <c r="Z202" s="918"/>
      <c r="AA202" s="918"/>
      <c r="AB202" s="918"/>
      <c r="AC202" s="918"/>
      <c r="AD202" s="918"/>
      <c r="AE202" s="918"/>
      <c r="AF202" s="918"/>
      <c r="AG202" s="918"/>
      <c r="AH202" s="918"/>
      <c r="AI202" s="918"/>
      <c r="AJ202" s="918"/>
      <c r="AK202" s="918"/>
      <c r="AL202" s="918"/>
      <c r="AM202" s="918"/>
      <c r="AN202" s="918"/>
      <c r="AO202" s="918"/>
      <c r="AP202" s="918"/>
      <c r="AQ202" s="918"/>
      <c r="AR202" s="918"/>
      <c r="AS202" s="918"/>
      <c r="AT202" s="918"/>
      <c r="AU202" s="918"/>
      <c r="AV202" s="918"/>
      <c r="AW202" s="918"/>
      <c r="AX202" s="918"/>
      <c r="AY202" s="918"/>
      <c r="AZ202" s="918"/>
      <c r="BA202" s="918"/>
      <c r="BB202" s="918"/>
      <c r="BC202" s="918"/>
      <c r="BD202" s="918"/>
      <c r="BE202" s="918"/>
      <c r="BF202" s="918"/>
      <c r="BG202" s="918"/>
      <c r="BH202" s="918"/>
      <c r="BI202" s="918"/>
      <c r="BJ202" s="918"/>
      <c r="BK202" s="918"/>
      <c r="BL202" s="918"/>
      <c r="BM202" s="918"/>
      <c r="BN202" s="918"/>
      <c r="BO202" s="918"/>
      <c r="BP202" s="918"/>
      <c r="BQ202" s="918"/>
      <c r="BR202" s="918"/>
      <c r="BS202" s="918"/>
      <c r="BT202" s="918"/>
      <c r="BU202" s="918"/>
      <c r="BV202" s="918"/>
      <c r="BW202" s="918"/>
      <c r="BX202" s="918"/>
      <c r="BY202" s="918"/>
      <c r="BZ202" s="918"/>
      <c r="CA202" s="918"/>
      <c r="CB202" s="918"/>
      <c r="CC202" s="918"/>
      <c r="CD202" s="918"/>
      <c r="CE202" s="918"/>
      <c r="CF202" s="918"/>
      <c r="CG202" s="918"/>
      <c r="CH202" s="918"/>
      <c r="CI202" s="918"/>
      <c r="CJ202" s="918"/>
      <c r="CK202" s="918"/>
      <c r="CL202" s="918"/>
      <c r="CM202" s="918"/>
      <c r="CN202" s="918"/>
      <c r="CO202" s="918"/>
      <c r="CP202" s="918"/>
      <c r="CQ202" s="918"/>
      <c r="CR202" s="918"/>
      <c r="CS202" s="918"/>
      <c r="CT202" s="918"/>
      <c r="CU202" s="918"/>
      <c r="CV202" s="918"/>
      <c r="CW202" s="918"/>
      <c r="CX202" s="918"/>
      <c r="CY202" s="918"/>
      <c r="CZ202" s="918"/>
      <c r="DA202" s="918"/>
      <c r="DB202" s="918"/>
      <c r="DC202" s="918"/>
      <c r="DD202" s="918"/>
      <c r="DE202" s="918"/>
      <c r="DF202" s="918"/>
      <c r="DG202" s="918"/>
      <c r="DH202" s="918"/>
      <c r="DI202" s="918"/>
      <c r="DJ202" s="918"/>
      <c r="DK202" s="918"/>
      <c r="DL202" s="918"/>
      <c r="DM202" s="918"/>
      <c r="DN202" s="918"/>
      <c r="DO202" s="918"/>
      <c r="DP202" s="918"/>
      <c r="DQ202" s="918"/>
      <c r="DR202" s="918"/>
      <c r="DS202" s="918"/>
      <c r="DT202" s="918"/>
      <c r="DU202" s="918"/>
      <c r="DV202" s="918"/>
      <c r="DW202" s="918"/>
      <c r="DX202" s="918"/>
      <c r="DY202" s="918"/>
      <c r="DZ202" s="918"/>
      <c r="EA202" s="918"/>
      <c r="EB202" s="918"/>
      <c r="EC202" s="918"/>
      <c r="ED202" s="918"/>
      <c r="EE202" s="918"/>
      <c r="EF202" s="918"/>
      <c r="EG202" s="918"/>
      <c r="EH202" s="918"/>
      <c r="EI202" s="918"/>
      <c r="EJ202" s="918"/>
      <c r="EK202" s="918"/>
      <c r="EL202" s="918"/>
      <c r="EM202" s="918"/>
      <c r="EN202" s="918"/>
      <c r="EO202" s="918"/>
      <c r="EP202" s="918"/>
      <c r="EQ202" s="918"/>
      <c r="ER202" s="918"/>
      <c r="ES202" s="918"/>
      <c r="ET202" s="918"/>
      <c r="EU202" s="918"/>
      <c r="EV202" s="918"/>
      <c r="EW202" s="918"/>
      <c r="EX202" s="918"/>
      <c r="EY202" s="918"/>
      <c r="EZ202" s="918"/>
      <c r="FA202" s="918"/>
      <c r="FB202" s="918"/>
      <c r="FC202" s="918"/>
      <c r="FD202" s="918"/>
      <c r="FE202" s="918"/>
      <c r="FF202" s="918"/>
      <c r="FG202" s="918"/>
      <c r="FH202" s="918"/>
      <c r="FI202" s="918"/>
      <c r="FJ202" s="918"/>
      <c r="FK202" s="918"/>
      <c r="FL202" s="918"/>
      <c r="FM202" s="918"/>
      <c r="FN202" s="918"/>
      <c r="FO202" s="918"/>
      <c r="FP202" s="918"/>
      <c r="FQ202" s="918"/>
      <c r="FR202" s="918"/>
      <c r="FS202" s="918"/>
      <c r="FT202" s="918"/>
      <c r="FU202" s="918"/>
      <c r="FV202" s="918"/>
      <c r="FW202" s="918"/>
      <c r="FX202" s="918"/>
      <c r="FY202" s="918"/>
      <c r="FZ202" s="918"/>
      <c r="GA202" s="918"/>
      <c r="GB202" s="918"/>
      <c r="GC202" s="918"/>
      <c r="GD202" s="918"/>
      <c r="GE202" s="918"/>
      <c r="GF202" s="918"/>
      <c r="GG202" s="918"/>
      <c r="GH202" s="918"/>
      <c r="GI202" s="918"/>
      <c r="GJ202" s="918"/>
      <c r="GK202" s="918"/>
      <c r="GL202" s="918"/>
      <c r="GM202" s="918"/>
      <c r="GN202" s="918"/>
      <c r="GO202" s="918"/>
      <c r="GP202" s="918"/>
      <c r="GQ202" s="918"/>
      <c r="GR202" s="918"/>
      <c r="GS202" s="918"/>
      <c r="GT202" s="918"/>
      <c r="GU202" s="918"/>
      <c r="GV202" s="918"/>
      <c r="GW202" s="918"/>
      <c r="GX202" s="918"/>
      <c r="GY202" s="918"/>
      <c r="GZ202" s="918"/>
      <c r="HA202" s="918"/>
      <c r="HB202" s="918"/>
      <c r="HC202" s="918"/>
      <c r="HD202" s="918"/>
      <c r="HE202" s="918"/>
      <c r="HF202" s="918"/>
      <c r="HG202" s="918"/>
      <c r="HH202" s="918"/>
      <c r="HI202" s="918"/>
      <c r="HJ202" s="918"/>
      <c r="HK202" s="918"/>
      <c r="HL202" s="918"/>
      <c r="HM202" s="918"/>
      <c r="HN202" s="918"/>
      <c r="HO202" s="918"/>
      <c r="HP202" s="918"/>
      <c r="HQ202" s="918"/>
      <c r="HR202" s="918"/>
      <c r="HS202" s="918"/>
      <c r="HT202" s="918"/>
      <c r="HU202" s="918"/>
      <c r="HV202" s="918"/>
      <c r="HW202" s="918"/>
      <c r="HX202" s="918"/>
      <c r="HY202" s="918"/>
      <c r="HZ202" s="918"/>
      <c r="IA202" s="918"/>
      <c r="IB202" s="918"/>
      <c r="IC202" s="918"/>
      <c r="ID202" s="918"/>
      <c r="IE202" s="918"/>
      <c r="IF202" s="918"/>
      <c r="IG202" s="918"/>
      <c r="IH202" s="918"/>
      <c r="II202" s="918"/>
      <c r="IJ202" s="918"/>
      <c r="IK202" s="918"/>
      <c r="IL202" s="918"/>
      <c r="IM202" s="918"/>
      <c r="IN202" s="918"/>
    </row>
    <row r="203" spans="1:248">
      <c r="A203" s="615" t="s">
        <v>29</v>
      </c>
      <c r="B203" s="617">
        <v>22508.86967</v>
      </c>
      <c r="C203" s="919">
        <v>28.085160776116485</v>
      </c>
      <c r="D203" s="618">
        <v>22731.643760000003</v>
      </c>
      <c r="E203" s="919">
        <v>28.470762795232417</v>
      </c>
      <c r="F203" s="919">
        <v>-222.77409000000262</v>
      </c>
      <c r="G203" s="919">
        <f t="shared" si="28"/>
        <v>-0.27814774259601788</v>
      </c>
      <c r="H203" s="333">
        <v>80092</v>
      </c>
      <c r="I203" s="918"/>
      <c r="J203" s="918"/>
      <c r="K203" s="918"/>
      <c r="L203" s="918"/>
      <c r="M203" s="918"/>
      <c r="N203" s="918"/>
      <c r="O203" s="918"/>
      <c r="P203" s="918"/>
      <c r="Q203" s="918"/>
      <c r="R203" s="918"/>
      <c r="S203" s="918"/>
      <c r="T203" s="918"/>
      <c r="U203" s="918"/>
      <c r="V203" s="918"/>
      <c r="W203" s="918"/>
      <c r="X203" s="918"/>
      <c r="Y203" s="918"/>
      <c r="Z203" s="918"/>
      <c r="AA203" s="918"/>
      <c r="AB203" s="918"/>
      <c r="AC203" s="918"/>
      <c r="AD203" s="918"/>
      <c r="AE203" s="918"/>
      <c r="AF203" s="918"/>
      <c r="AG203" s="918"/>
      <c r="AH203" s="918"/>
      <c r="AI203" s="918"/>
      <c r="AJ203" s="918"/>
      <c r="AK203" s="918"/>
      <c r="AL203" s="918"/>
      <c r="AM203" s="918"/>
      <c r="AN203" s="918"/>
      <c r="AO203" s="918"/>
      <c r="AP203" s="918"/>
      <c r="AQ203" s="918"/>
      <c r="AR203" s="918"/>
      <c r="AS203" s="918"/>
      <c r="AT203" s="918"/>
      <c r="AU203" s="918"/>
      <c r="AV203" s="918"/>
      <c r="AW203" s="918"/>
      <c r="AX203" s="918"/>
      <c r="AY203" s="918"/>
      <c r="AZ203" s="918"/>
      <c r="BA203" s="918"/>
      <c r="BB203" s="918"/>
      <c r="BC203" s="918"/>
      <c r="BD203" s="918"/>
      <c r="BE203" s="918"/>
      <c r="BF203" s="918"/>
      <c r="BG203" s="918"/>
      <c r="BH203" s="918"/>
      <c r="BI203" s="918"/>
      <c r="BJ203" s="918"/>
      <c r="BK203" s="918"/>
      <c r="BL203" s="918"/>
      <c r="BM203" s="918"/>
      <c r="BN203" s="918"/>
      <c r="BO203" s="918"/>
      <c r="BP203" s="918"/>
      <c r="BQ203" s="918"/>
      <c r="BR203" s="918"/>
      <c r="BS203" s="918"/>
      <c r="BT203" s="918"/>
      <c r="BU203" s="918"/>
      <c r="BV203" s="918"/>
      <c r="BW203" s="918"/>
      <c r="BX203" s="918"/>
      <c r="BY203" s="918"/>
      <c r="BZ203" s="918"/>
      <c r="CA203" s="918"/>
      <c r="CB203" s="918"/>
      <c r="CC203" s="918"/>
      <c r="CD203" s="918"/>
      <c r="CE203" s="918"/>
      <c r="CF203" s="918"/>
      <c r="CG203" s="918"/>
      <c r="CH203" s="918"/>
      <c r="CI203" s="918"/>
      <c r="CJ203" s="918"/>
      <c r="CK203" s="918"/>
      <c r="CL203" s="918"/>
      <c r="CM203" s="918"/>
      <c r="CN203" s="918"/>
      <c r="CO203" s="918"/>
      <c r="CP203" s="918"/>
      <c r="CQ203" s="918"/>
      <c r="CR203" s="918"/>
      <c r="CS203" s="918"/>
      <c r="CT203" s="918"/>
      <c r="CU203" s="918"/>
      <c r="CV203" s="918"/>
      <c r="CW203" s="918"/>
      <c r="CX203" s="918"/>
      <c r="CY203" s="918"/>
      <c r="CZ203" s="918"/>
      <c r="DA203" s="918"/>
      <c r="DB203" s="918"/>
      <c r="DC203" s="918"/>
      <c r="DD203" s="918"/>
      <c r="DE203" s="918"/>
      <c r="DF203" s="918"/>
      <c r="DG203" s="918"/>
      <c r="DH203" s="918"/>
      <c r="DI203" s="918"/>
      <c r="DJ203" s="918"/>
      <c r="DK203" s="918"/>
      <c r="DL203" s="918"/>
      <c r="DM203" s="918"/>
      <c r="DN203" s="918"/>
      <c r="DO203" s="918"/>
      <c r="DP203" s="918"/>
      <c r="DQ203" s="918"/>
      <c r="DR203" s="918"/>
      <c r="DS203" s="918"/>
      <c r="DT203" s="918"/>
      <c r="DU203" s="918"/>
      <c r="DV203" s="918"/>
      <c r="DW203" s="918"/>
      <c r="DX203" s="918"/>
      <c r="DY203" s="918"/>
      <c r="DZ203" s="918"/>
      <c r="EA203" s="918"/>
      <c r="EB203" s="918"/>
      <c r="EC203" s="918"/>
      <c r="ED203" s="918"/>
      <c r="EE203" s="918"/>
      <c r="EF203" s="918"/>
      <c r="EG203" s="918"/>
      <c r="EH203" s="918"/>
      <c r="EI203" s="918"/>
      <c r="EJ203" s="918"/>
      <c r="EK203" s="918"/>
      <c r="EL203" s="918"/>
      <c r="EM203" s="918"/>
      <c r="EN203" s="918"/>
      <c r="EO203" s="918"/>
      <c r="EP203" s="918"/>
      <c r="EQ203" s="918"/>
      <c r="ER203" s="918"/>
      <c r="ES203" s="918"/>
      <c r="ET203" s="918"/>
      <c r="EU203" s="918"/>
      <c r="EV203" s="918"/>
      <c r="EW203" s="918"/>
      <c r="EX203" s="918"/>
      <c r="EY203" s="918"/>
      <c r="EZ203" s="918"/>
      <c r="FA203" s="918"/>
      <c r="FB203" s="918"/>
      <c r="FC203" s="918"/>
      <c r="FD203" s="918"/>
      <c r="FE203" s="918"/>
      <c r="FF203" s="918"/>
      <c r="FG203" s="918"/>
      <c r="FH203" s="918"/>
      <c r="FI203" s="918"/>
      <c r="FJ203" s="918"/>
      <c r="FK203" s="918"/>
      <c r="FL203" s="918"/>
      <c r="FM203" s="918"/>
      <c r="FN203" s="918"/>
      <c r="FO203" s="918"/>
      <c r="FP203" s="918"/>
      <c r="FQ203" s="918"/>
      <c r="FR203" s="918"/>
      <c r="FS203" s="918"/>
      <c r="FT203" s="918"/>
      <c r="FU203" s="918"/>
      <c r="FV203" s="918"/>
      <c r="FW203" s="918"/>
      <c r="FX203" s="918"/>
      <c r="FY203" s="918"/>
      <c r="FZ203" s="918"/>
      <c r="GA203" s="918"/>
      <c r="GB203" s="918"/>
      <c r="GC203" s="918"/>
      <c r="GD203" s="918"/>
      <c r="GE203" s="918"/>
      <c r="GF203" s="918"/>
      <c r="GG203" s="918"/>
      <c r="GH203" s="918"/>
      <c r="GI203" s="918"/>
      <c r="GJ203" s="918"/>
      <c r="GK203" s="918"/>
      <c r="GL203" s="918"/>
      <c r="GM203" s="918"/>
      <c r="GN203" s="918"/>
      <c r="GO203" s="918"/>
      <c r="GP203" s="918"/>
      <c r="GQ203" s="918"/>
      <c r="GR203" s="918"/>
      <c r="GS203" s="918"/>
      <c r="GT203" s="918"/>
      <c r="GU203" s="918"/>
      <c r="GV203" s="918"/>
      <c r="GW203" s="918"/>
      <c r="GX203" s="918"/>
      <c r="GY203" s="918"/>
      <c r="GZ203" s="918"/>
      <c r="HA203" s="918"/>
      <c r="HB203" s="918"/>
      <c r="HC203" s="918"/>
      <c r="HD203" s="918"/>
      <c r="HE203" s="918"/>
      <c r="HF203" s="918"/>
      <c r="HG203" s="918"/>
      <c r="HH203" s="918"/>
      <c r="HI203" s="918"/>
      <c r="HJ203" s="918"/>
      <c r="HK203" s="918"/>
      <c r="HL203" s="918"/>
      <c r="HM203" s="918"/>
      <c r="HN203" s="918"/>
      <c r="HO203" s="918"/>
      <c r="HP203" s="918"/>
      <c r="HQ203" s="918"/>
      <c r="HR203" s="918"/>
      <c r="HS203" s="918"/>
      <c r="HT203" s="918"/>
      <c r="HU203" s="918"/>
      <c r="HV203" s="918"/>
      <c r="HW203" s="918"/>
      <c r="HX203" s="918"/>
      <c r="HY203" s="918"/>
      <c r="HZ203" s="918"/>
      <c r="IA203" s="918"/>
      <c r="IB203" s="918"/>
      <c r="IC203" s="918"/>
      <c r="ID203" s="918"/>
      <c r="IE203" s="918"/>
      <c r="IF203" s="918"/>
      <c r="IG203" s="918"/>
      <c r="IH203" s="918"/>
      <c r="II203" s="918"/>
      <c r="IJ203" s="918"/>
      <c r="IK203" s="918"/>
      <c r="IL203" s="918"/>
      <c r="IM203" s="918"/>
      <c r="IN203" s="918"/>
    </row>
    <row r="204" spans="1:248">
      <c r="A204" s="615" t="s">
        <v>2144</v>
      </c>
      <c r="B204" s="612">
        <v>24218.1</v>
      </c>
      <c r="C204" s="920">
        <v>29.626963430908042</v>
      </c>
      <c r="D204" s="613">
        <v>24425.9</v>
      </c>
      <c r="E204" s="920">
        <v>29.878184645143911</v>
      </c>
      <c r="F204" s="920">
        <f>B204-D204</f>
        <v>-207.80000000000291</v>
      </c>
      <c r="G204" s="920">
        <v>-0.25122121423586968</v>
      </c>
      <c r="H204" s="333"/>
      <c r="I204" s="918"/>
      <c r="J204" s="918"/>
      <c r="K204" s="918"/>
      <c r="L204" s="918"/>
      <c r="M204" s="918"/>
      <c r="N204" s="918"/>
      <c r="O204" s="918"/>
      <c r="P204" s="918"/>
      <c r="Q204" s="918"/>
      <c r="R204" s="918"/>
      <c r="S204" s="918"/>
      <c r="T204" s="918"/>
      <c r="U204" s="918"/>
      <c r="V204" s="918"/>
      <c r="W204" s="918"/>
      <c r="X204" s="918"/>
      <c r="Y204" s="918"/>
      <c r="Z204" s="918"/>
      <c r="AA204" s="918"/>
      <c r="AB204" s="918"/>
      <c r="AC204" s="918"/>
      <c r="AD204" s="918"/>
      <c r="AE204" s="918"/>
      <c r="AF204" s="918"/>
      <c r="AG204" s="918"/>
      <c r="AH204" s="918"/>
      <c r="AI204" s="918"/>
      <c r="AJ204" s="918"/>
      <c r="AK204" s="918"/>
      <c r="AL204" s="918"/>
      <c r="AM204" s="918"/>
      <c r="AN204" s="918"/>
      <c r="AO204" s="918"/>
      <c r="AP204" s="918"/>
      <c r="AQ204" s="918"/>
      <c r="AR204" s="918"/>
      <c r="AS204" s="918"/>
      <c r="AT204" s="918"/>
      <c r="AU204" s="918"/>
      <c r="AV204" s="918"/>
      <c r="AW204" s="918"/>
      <c r="AX204" s="918"/>
      <c r="AY204" s="918"/>
      <c r="AZ204" s="918"/>
      <c r="BA204" s="918"/>
      <c r="BB204" s="918"/>
      <c r="BC204" s="918"/>
      <c r="BD204" s="918"/>
      <c r="BE204" s="918"/>
      <c r="BF204" s="918"/>
      <c r="BG204" s="918"/>
      <c r="BH204" s="918"/>
      <c r="BI204" s="918"/>
      <c r="BJ204" s="918"/>
      <c r="BK204" s="918"/>
      <c r="BL204" s="918"/>
      <c r="BM204" s="918"/>
      <c r="BN204" s="918"/>
      <c r="BO204" s="918"/>
      <c r="BP204" s="918"/>
      <c r="BQ204" s="918"/>
      <c r="BR204" s="918"/>
      <c r="BS204" s="918"/>
      <c r="BT204" s="918"/>
      <c r="BU204" s="918"/>
      <c r="BV204" s="918"/>
      <c r="BW204" s="918"/>
      <c r="BX204" s="918"/>
      <c r="BY204" s="918"/>
      <c r="BZ204" s="918"/>
      <c r="CA204" s="918"/>
      <c r="CB204" s="918"/>
      <c r="CC204" s="918"/>
      <c r="CD204" s="918"/>
      <c r="CE204" s="918"/>
      <c r="CF204" s="918"/>
      <c r="CG204" s="918"/>
      <c r="CH204" s="918"/>
      <c r="CI204" s="918"/>
      <c r="CJ204" s="918"/>
      <c r="CK204" s="918"/>
      <c r="CL204" s="918"/>
      <c r="CM204" s="918"/>
      <c r="CN204" s="918"/>
      <c r="CO204" s="918"/>
      <c r="CP204" s="918"/>
      <c r="CQ204" s="918"/>
      <c r="CR204" s="918"/>
      <c r="CS204" s="918"/>
      <c r="CT204" s="918"/>
      <c r="CU204" s="918"/>
      <c r="CV204" s="918"/>
      <c r="CW204" s="918"/>
      <c r="CX204" s="918"/>
      <c r="CY204" s="918"/>
      <c r="CZ204" s="918"/>
      <c r="DA204" s="918"/>
      <c r="DB204" s="918"/>
      <c r="DC204" s="918"/>
      <c r="DD204" s="918"/>
      <c r="DE204" s="918"/>
      <c r="DF204" s="918"/>
      <c r="DG204" s="918"/>
      <c r="DH204" s="918"/>
      <c r="DI204" s="918"/>
      <c r="DJ204" s="918"/>
      <c r="DK204" s="918"/>
      <c r="DL204" s="918"/>
      <c r="DM204" s="918"/>
      <c r="DN204" s="918"/>
      <c r="DO204" s="918"/>
      <c r="DP204" s="918"/>
      <c r="DQ204" s="918"/>
      <c r="DR204" s="918"/>
      <c r="DS204" s="918"/>
      <c r="DT204" s="918"/>
      <c r="DU204" s="918"/>
      <c r="DV204" s="918"/>
      <c r="DW204" s="918"/>
      <c r="DX204" s="918"/>
      <c r="DY204" s="918"/>
      <c r="DZ204" s="918"/>
      <c r="EA204" s="918"/>
      <c r="EB204" s="918"/>
      <c r="EC204" s="918"/>
      <c r="ED204" s="918"/>
      <c r="EE204" s="918"/>
      <c r="EF204" s="918"/>
      <c r="EG204" s="918"/>
      <c r="EH204" s="918"/>
      <c r="EI204" s="918"/>
      <c r="EJ204" s="918"/>
      <c r="EK204" s="918"/>
      <c r="EL204" s="918"/>
      <c r="EM204" s="918"/>
      <c r="EN204" s="918"/>
      <c r="EO204" s="918"/>
      <c r="EP204" s="918"/>
      <c r="EQ204" s="918"/>
      <c r="ER204" s="918"/>
      <c r="ES204" s="918"/>
      <c r="ET204" s="918"/>
      <c r="EU204" s="918"/>
      <c r="EV204" s="918"/>
      <c r="EW204" s="918"/>
      <c r="EX204" s="918"/>
      <c r="EY204" s="918"/>
      <c r="EZ204" s="918"/>
      <c r="FA204" s="918"/>
      <c r="FB204" s="918"/>
      <c r="FC204" s="918"/>
      <c r="FD204" s="918"/>
      <c r="FE204" s="918"/>
      <c r="FF204" s="918"/>
      <c r="FG204" s="918"/>
      <c r="FH204" s="918"/>
      <c r="FI204" s="918"/>
      <c r="FJ204" s="918"/>
      <c r="FK204" s="918"/>
      <c r="FL204" s="918"/>
      <c r="FM204" s="918"/>
      <c r="FN204" s="918"/>
      <c r="FO204" s="918"/>
      <c r="FP204" s="918"/>
      <c r="FQ204" s="918"/>
      <c r="FR204" s="918"/>
      <c r="FS204" s="918"/>
      <c r="FT204" s="918"/>
      <c r="FU204" s="918"/>
      <c r="FV204" s="918"/>
      <c r="FW204" s="918"/>
      <c r="FX204" s="918"/>
      <c r="FY204" s="918"/>
      <c r="FZ204" s="918"/>
      <c r="GA204" s="918"/>
      <c r="GB204" s="918"/>
      <c r="GC204" s="918"/>
      <c r="GD204" s="918"/>
      <c r="GE204" s="918"/>
      <c r="GF204" s="918"/>
      <c r="GG204" s="918"/>
      <c r="GH204" s="918"/>
      <c r="GI204" s="918"/>
      <c r="GJ204" s="918"/>
      <c r="GK204" s="918"/>
      <c r="GL204" s="918"/>
      <c r="GM204" s="918"/>
      <c r="GN204" s="918"/>
      <c r="GO204" s="918"/>
      <c r="GP204" s="918"/>
      <c r="GQ204" s="918"/>
      <c r="GR204" s="918"/>
      <c r="GS204" s="918"/>
      <c r="GT204" s="918"/>
      <c r="GU204" s="918"/>
      <c r="GV204" s="918"/>
      <c r="GW204" s="918"/>
      <c r="GX204" s="918"/>
      <c r="GY204" s="918"/>
      <c r="GZ204" s="918"/>
      <c r="HA204" s="918"/>
      <c r="HB204" s="918"/>
      <c r="HC204" s="918"/>
      <c r="HD204" s="918"/>
      <c r="HE204" s="918"/>
      <c r="HF204" s="918"/>
      <c r="HG204" s="918"/>
      <c r="HH204" s="918"/>
      <c r="HI204" s="918"/>
      <c r="HJ204" s="918"/>
      <c r="HK204" s="918"/>
      <c r="HL204" s="918"/>
      <c r="HM204" s="918"/>
      <c r="HN204" s="918"/>
      <c r="HO204" s="918"/>
      <c r="HP204" s="918"/>
      <c r="HQ204" s="918"/>
      <c r="HR204" s="918"/>
      <c r="HS204" s="918"/>
      <c r="HT204" s="918"/>
      <c r="HU204" s="918"/>
      <c r="HV204" s="918"/>
      <c r="HW204" s="918"/>
      <c r="HX204" s="918"/>
      <c r="HY204" s="918"/>
      <c r="HZ204" s="918"/>
      <c r="IA204" s="918"/>
      <c r="IB204" s="918"/>
      <c r="IC204" s="918"/>
      <c r="ID204" s="918"/>
      <c r="IE204" s="918"/>
      <c r="IF204" s="918"/>
      <c r="IG204" s="918"/>
      <c r="IH204" s="918"/>
      <c r="II204" s="918"/>
      <c r="IJ204" s="918"/>
      <c r="IK204" s="918"/>
      <c r="IL204" s="918"/>
      <c r="IM204" s="918"/>
      <c r="IN204" s="918"/>
    </row>
    <row r="205" spans="1:248">
      <c r="A205" s="615" t="s">
        <v>18</v>
      </c>
      <c r="B205" s="617">
        <v>2097.1</v>
      </c>
      <c r="C205" s="919">
        <v>35.367231638418076</v>
      </c>
      <c r="D205" s="618">
        <v>1269.0999999999999</v>
      </c>
      <c r="E205" s="919">
        <v>21.403153722910869</v>
      </c>
      <c r="F205" s="919">
        <v>828</v>
      </c>
      <c r="G205" s="919">
        <f t="shared" si="28"/>
        <v>13.964077915507209</v>
      </c>
      <c r="H205" s="333">
        <v>5929.5</v>
      </c>
      <c r="I205" s="918"/>
      <c r="J205" s="918"/>
      <c r="K205" s="918"/>
      <c r="L205" s="918"/>
      <c r="M205" s="918"/>
      <c r="N205" s="918"/>
      <c r="O205" s="918"/>
      <c r="P205" s="918"/>
      <c r="Q205" s="918"/>
      <c r="R205" s="918"/>
      <c r="S205" s="918"/>
      <c r="T205" s="918"/>
      <c r="U205" s="918"/>
      <c r="V205" s="918"/>
      <c r="W205" s="918"/>
      <c r="X205" s="918"/>
      <c r="Y205" s="918"/>
      <c r="Z205" s="918"/>
      <c r="AA205" s="918"/>
      <c r="AB205" s="918"/>
      <c r="AC205" s="918"/>
      <c r="AD205" s="918"/>
      <c r="AE205" s="918"/>
      <c r="AF205" s="918"/>
      <c r="AG205" s="918"/>
      <c r="AH205" s="918"/>
      <c r="AI205" s="918"/>
      <c r="AJ205" s="918"/>
      <c r="AK205" s="918"/>
      <c r="AL205" s="918"/>
      <c r="AM205" s="918"/>
      <c r="AN205" s="918"/>
      <c r="AO205" s="918"/>
      <c r="AP205" s="918"/>
      <c r="AQ205" s="918"/>
      <c r="AR205" s="918"/>
      <c r="AS205" s="918"/>
      <c r="AT205" s="918"/>
      <c r="AU205" s="918"/>
      <c r="AV205" s="918"/>
      <c r="AW205" s="918"/>
      <c r="AX205" s="918"/>
      <c r="AY205" s="918"/>
      <c r="AZ205" s="918"/>
      <c r="BA205" s="918"/>
      <c r="BB205" s="918"/>
      <c r="BC205" s="918"/>
      <c r="BD205" s="918"/>
      <c r="BE205" s="918"/>
      <c r="BF205" s="918"/>
      <c r="BG205" s="918"/>
      <c r="BH205" s="918"/>
      <c r="BI205" s="918"/>
      <c r="BJ205" s="918"/>
      <c r="BK205" s="918"/>
      <c r="BL205" s="918"/>
      <c r="BM205" s="918"/>
      <c r="BN205" s="918"/>
      <c r="BO205" s="918"/>
      <c r="BP205" s="918"/>
      <c r="BQ205" s="918"/>
      <c r="BR205" s="918"/>
      <c r="BS205" s="918"/>
      <c r="BT205" s="918"/>
      <c r="BU205" s="918"/>
      <c r="BV205" s="918"/>
      <c r="BW205" s="918"/>
      <c r="BX205" s="918"/>
      <c r="BY205" s="918"/>
      <c r="BZ205" s="918"/>
      <c r="CA205" s="918"/>
      <c r="CB205" s="918"/>
      <c r="CC205" s="918"/>
      <c r="CD205" s="918"/>
      <c r="CE205" s="918"/>
      <c r="CF205" s="918"/>
      <c r="CG205" s="918"/>
      <c r="CH205" s="918"/>
      <c r="CI205" s="918"/>
      <c r="CJ205" s="918"/>
      <c r="CK205" s="918"/>
      <c r="CL205" s="918"/>
      <c r="CM205" s="918"/>
      <c r="CN205" s="918"/>
      <c r="CO205" s="918"/>
      <c r="CP205" s="918"/>
      <c r="CQ205" s="918"/>
      <c r="CR205" s="918"/>
      <c r="CS205" s="918"/>
      <c r="CT205" s="918"/>
      <c r="CU205" s="918"/>
      <c r="CV205" s="918"/>
      <c r="CW205" s="918"/>
      <c r="CX205" s="918"/>
      <c r="CY205" s="918"/>
      <c r="CZ205" s="918"/>
      <c r="DA205" s="918"/>
      <c r="DB205" s="918"/>
      <c r="DC205" s="918"/>
      <c r="DD205" s="918"/>
      <c r="DE205" s="918"/>
      <c r="DF205" s="918"/>
      <c r="DG205" s="918"/>
      <c r="DH205" s="918"/>
      <c r="DI205" s="918"/>
      <c r="DJ205" s="918"/>
      <c r="DK205" s="918"/>
      <c r="DL205" s="918"/>
      <c r="DM205" s="918"/>
      <c r="DN205" s="918"/>
      <c r="DO205" s="918"/>
      <c r="DP205" s="918"/>
      <c r="DQ205" s="918"/>
      <c r="DR205" s="918"/>
      <c r="DS205" s="918"/>
      <c r="DT205" s="918"/>
      <c r="DU205" s="918"/>
      <c r="DV205" s="918"/>
      <c r="DW205" s="918"/>
      <c r="DX205" s="918"/>
      <c r="DY205" s="918"/>
      <c r="DZ205" s="918"/>
      <c r="EA205" s="918"/>
      <c r="EB205" s="918"/>
      <c r="EC205" s="918"/>
      <c r="ED205" s="918"/>
      <c r="EE205" s="918"/>
      <c r="EF205" s="918"/>
      <c r="EG205" s="918"/>
      <c r="EH205" s="918"/>
      <c r="EI205" s="918"/>
      <c r="EJ205" s="918"/>
      <c r="EK205" s="918"/>
      <c r="EL205" s="918"/>
      <c r="EM205" s="918"/>
      <c r="EN205" s="918"/>
      <c r="EO205" s="918"/>
      <c r="EP205" s="918"/>
      <c r="EQ205" s="918"/>
      <c r="ER205" s="918"/>
      <c r="ES205" s="918"/>
      <c r="ET205" s="918"/>
      <c r="EU205" s="918"/>
      <c r="EV205" s="918"/>
      <c r="EW205" s="918"/>
      <c r="EX205" s="918"/>
      <c r="EY205" s="918"/>
      <c r="EZ205" s="918"/>
      <c r="FA205" s="918"/>
      <c r="FB205" s="918"/>
      <c r="FC205" s="918"/>
      <c r="FD205" s="918"/>
      <c r="FE205" s="918"/>
      <c r="FF205" s="918"/>
      <c r="FG205" s="918"/>
      <c r="FH205" s="918"/>
      <c r="FI205" s="918"/>
      <c r="FJ205" s="918"/>
      <c r="FK205" s="918"/>
      <c r="FL205" s="918"/>
      <c r="FM205" s="918"/>
      <c r="FN205" s="918"/>
      <c r="FO205" s="918"/>
      <c r="FP205" s="918"/>
      <c r="FQ205" s="918"/>
      <c r="FR205" s="918"/>
      <c r="FS205" s="918"/>
      <c r="FT205" s="918"/>
      <c r="FU205" s="918"/>
      <c r="FV205" s="918"/>
      <c r="FW205" s="918"/>
      <c r="FX205" s="918"/>
      <c r="FY205" s="918"/>
      <c r="FZ205" s="918"/>
      <c r="GA205" s="918"/>
      <c r="GB205" s="918"/>
      <c r="GC205" s="918"/>
      <c r="GD205" s="918"/>
      <c r="GE205" s="918"/>
      <c r="GF205" s="918"/>
      <c r="GG205" s="918"/>
      <c r="GH205" s="918"/>
      <c r="GI205" s="918"/>
      <c r="GJ205" s="918"/>
      <c r="GK205" s="918"/>
      <c r="GL205" s="918"/>
      <c r="GM205" s="918"/>
      <c r="GN205" s="918"/>
      <c r="GO205" s="918"/>
      <c r="GP205" s="918"/>
      <c r="GQ205" s="918"/>
      <c r="GR205" s="918"/>
      <c r="GS205" s="918"/>
      <c r="GT205" s="918"/>
      <c r="GU205" s="918"/>
      <c r="GV205" s="918"/>
      <c r="GW205" s="918"/>
      <c r="GX205" s="918"/>
      <c r="GY205" s="918"/>
      <c r="GZ205" s="918"/>
      <c r="HA205" s="918"/>
      <c r="HB205" s="918"/>
      <c r="HC205" s="918"/>
      <c r="HD205" s="918"/>
      <c r="HE205" s="918"/>
      <c r="HF205" s="918"/>
      <c r="HG205" s="918"/>
      <c r="HH205" s="918"/>
      <c r="HI205" s="918"/>
      <c r="HJ205" s="918"/>
      <c r="HK205" s="918"/>
      <c r="HL205" s="918"/>
      <c r="HM205" s="918"/>
      <c r="HN205" s="918"/>
      <c r="HO205" s="918"/>
      <c r="HP205" s="918"/>
      <c r="HQ205" s="918"/>
      <c r="HR205" s="918"/>
      <c r="HS205" s="918"/>
      <c r="HT205" s="918"/>
      <c r="HU205" s="918"/>
      <c r="HV205" s="918"/>
      <c r="HW205" s="918"/>
      <c r="HX205" s="918"/>
      <c r="HY205" s="918"/>
      <c r="HZ205" s="918"/>
      <c r="IA205" s="918"/>
      <c r="IB205" s="918"/>
      <c r="IC205" s="918"/>
      <c r="ID205" s="918"/>
      <c r="IE205" s="918"/>
      <c r="IF205" s="918"/>
      <c r="IG205" s="918"/>
      <c r="IH205" s="918"/>
      <c r="II205" s="918"/>
      <c r="IJ205" s="918"/>
      <c r="IK205" s="918"/>
      <c r="IL205" s="918"/>
      <c r="IM205" s="918"/>
      <c r="IN205" s="918"/>
    </row>
    <row r="206" spans="1:248">
      <c r="A206" s="615" t="s">
        <v>19</v>
      </c>
      <c r="B206" s="617">
        <v>3532.9</v>
      </c>
      <c r="C206" s="919">
        <v>30.762331838565022</v>
      </c>
      <c r="D206" s="618">
        <v>2954.8</v>
      </c>
      <c r="E206" s="919">
        <v>25.728590709216771</v>
      </c>
      <c r="F206" s="919">
        <v>578.09999999999991</v>
      </c>
      <c r="G206" s="919">
        <f t="shared" si="28"/>
        <v>5.0337411293482512</v>
      </c>
      <c r="H206" s="333">
        <v>11484.5</v>
      </c>
      <c r="I206" s="918"/>
      <c r="J206" s="918"/>
      <c r="K206" s="918"/>
      <c r="L206" s="918"/>
      <c r="M206" s="918"/>
      <c r="N206" s="918"/>
      <c r="O206" s="918"/>
      <c r="P206" s="918"/>
      <c r="Q206" s="918"/>
      <c r="R206" s="918"/>
      <c r="S206" s="918"/>
      <c r="T206" s="918"/>
      <c r="U206" s="918"/>
      <c r="V206" s="918"/>
      <c r="W206" s="918"/>
      <c r="X206" s="918"/>
      <c r="Y206" s="918"/>
      <c r="Z206" s="918"/>
      <c r="AA206" s="918"/>
      <c r="AB206" s="918"/>
      <c r="AC206" s="918"/>
      <c r="AD206" s="918"/>
      <c r="AE206" s="918"/>
      <c r="AF206" s="918"/>
      <c r="AG206" s="918"/>
      <c r="AH206" s="918"/>
      <c r="AI206" s="918"/>
      <c r="AJ206" s="918"/>
      <c r="AK206" s="918"/>
      <c r="AL206" s="918"/>
      <c r="AM206" s="918"/>
      <c r="AN206" s="918"/>
      <c r="AO206" s="918"/>
      <c r="AP206" s="918"/>
      <c r="AQ206" s="918"/>
      <c r="AR206" s="918"/>
      <c r="AS206" s="918"/>
      <c r="AT206" s="918"/>
      <c r="AU206" s="918"/>
      <c r="AV206" s="918"/>
      <c r="AW206" s="918"/>
      <c r="AX206" s="918"/>
      <c r="AY206" s="918"/>
      <c r="AZ206" s="918"/>
      <c r="BA206" s="918"/>
      <c r="BB206" s="918"/>
      <c r="BC206" s="918"/>
      <c r="BD206" s="918"/>
      <c r="BE206" s="918"/>
      <c r="BF206" s="918"/>
      <c r="BG206" s="918"/>
      <c r="BH206" s="918"/>
      <c r="BI206" s="918"/>
      <c r="BJ206" s="918"/>
      <c r="BK206" s="918"/>
      <c r="BL206" s="918"/>
      <c r="BM206" s="918"/>
      <c r="BN206" s="918"/>
      <c r="BO206" s="918"/>
      <c r="BP206" s="918"/>
      <c r="BQ206" s="918"/>
      <c r="BR206" s="918"/>
      <c r="BS206" s="918"/>
      <c r="BT206" s="918"/>
      <c r="BU206" s="918"/>
      <c r="BV206" s="918"/>
      <c r="BW206" s="918"/>
      <c r="BX206" s="918"/>
      <c r="BY206" s="918"/>
      <c r="BZ206" s="918"/>
      <c r="CA206" s="918"/>
      <c r="CB206" s="918"/>
      <c r="CC206" s="918"/>
      <c r="CD206" s="918"/>
      <c r="CE206" s="918"/>
      <c r="CF206" s="918"/>
      <c r="CG206" s="918"/>
      <c r="CH206" s="918"/>
      <c r="CI206" s="918"/>
      <c r="CJ206" s="918"/>
      <c r="CK206" s="918"/>
      <c r="CL206" s="918"/>
      <c r="CM206" s="918"/>
      <c r="CN206" s="918"/>
      <c r="CO206" s="918"/>
      <c r="CP206" s="918"/>
      <c r="CQ206" s="918"/>
      <c r="CR206" s="918"/>
      <c r="CS206" s="918"/>
      <c r="CT206" s="918"/>
      <c r="CU206" s="918"/>
      <c r="CV206" s="918"/>
      <c r="CW206" s="918"/>
      <c r="CX206" s="918"/>
      <c r="CY206" s="918"/>
      <c r="CZ206" s="918"/>
      <c r="DA206" s="918"/>
      <c r="DB206" s="918"/>
      <c r="DC206" s="918"/>
      <c r="DD206" s="918"/>
      <c r="DE206" s="918"/>
      <c r="DF206" s="918"/>
      <c r="DG206" s="918"/>
      <c r="DH206" s="918"/>
      <c r="DI206" s="918"/>
      <c r="DJ206" s="918"/>
      <c r="DK206" s="918"/>
      <c r="DL206" s="918"/>
      <c r="DM206" s="918"/>
      <c r="DN206" s="918"/>
      <c r="DO206" s="918"/>
      <c r="DP206" s="918"/>
      <c r="DQ206" s="918"/>
      <c r="DR206" s="918"/>
      <c r="DS206" s="918"/>
      <c r="DT206" s="918"/>
      <c r="DU206" s="918"/>
      <c r="DV206" s="918"/>
      <c r="DW206" s="918"/>
      <c r="DX206" s="918"/>
      <c r="DY206" s="918"/>
      <c r="DZ206" s="918"/>
      <c r="EA206" s="918"/>
      <c r="EB206" s="918"/>
      <c r="EC206" s="918"/>
      <c r="ED206" s="918"/>
      <c r="EE206" s="918"/>
      <c r="EF206" s="918"/>
      <c r="EG206" s="918"/>
      <c r="EH206" s="918"/>
      <c r="EI206" s="918"/>
      <c r="EJ206" s="918"/>
      <c r="EK206" s="918"/>
      <c r="EL206" s="918"/>
      <c r="EM206" s="918"/>
      <c r="EN206" s="918"/>
      <c r="EO206" s="918"/>
      <c r="EP206" s="918"/>
      <c r="EQ206" s="918"/>
      <c r="ER206" s="918"/>
      <c r="ES206" s="918"/>
      <c r="ET206" s="918"/>
      <c r="EU206" s="918"/>
      <c r="EV206" s="918"/>
      <c r="EW206" s="918"/>
      <c r="EX206" s="918"/>
      <c r="EY206" s="918"/>
      <c r="EZ206" s="918"/>
      <c r="FA206" s="918"/>
      <c r="FB206" s="918"/>
      <c r="FC206" s="918"/>
      <c r="FD206" s="918"/>
      <c r="FE206" s="918"/>
      <c r="FF206" s="918"/>
      <c r="FG206" s="918"/>
      <c r="FH206" s="918"/>
      <c r="FI206" s="918"/>
      <c r="FJ206" s="918"/>
      <c r="FK206" s="918"/>
      <c r="FL206" s="918"/>
      <c r="FM206" s="918"/>
      <c r="FN206" s="918"/>
      <c r="FO206" s="918"/>
      <c r="FP206" s="918"/>
      <c r="FQ206" s="918"/>
      <c r="FR206" s="918"/>
      <c r="FS206" s="918"/>
      <c r="FT206" s="918"/>
      <c r="FU206" s="918"/>
      <c r="FV206" s="918"/>
      <c r="FW206" s="918"/>
      <c r="FX206" s="918"/>
      <c r="FY206" s="918"/>
      <c r="FZ206" s="918"/>
      <c r="GA206" s="918"/>
      <c r="GB206" s="918"/>
      <c r="GC206" s="918"/>
      <c r="GD206" s="918"/>
      <c r="GE206" s="918"/>
      <c r="GF206" s="918"/>
      <c r="GG206" s="918"/>
      <c r="GH206" s="918"/>
      <c r="GI206" s="918"/>
      <c r="GJ206" s="918"/>
      <c r="GK206" s="918"/>
      <c r="GL206" s="918"/>
      <c r="GM206" s="918"/>
      <c r="GN206" s="918"/>
      <c r="GO206" s="918"/>
      <c r="GP206" s="918"/>
      <c r="GQ206" s="918"/>
      <c r="GR206" s="918"/>
      <c r="GS206" s="918"/>
      <c r="GT206" s="918"/>
      <c r="GU206" s="918"/>
      <c r="GV206" s="918"/>
      <c r="GW206" s="918"/>
      <c r="GX206" s="918"/>
      <c r="GY206" s="918"/>
      <c r="GZ206" s="918"/>
      <c r="HA206" s="918"/>
      <c r="HB206" s="918"/>
      <c r="HC206" s="918"/>
      <c r="HD206" s="918"/>
      <c r="HE206" s="918"/>
      <c r="HF206" s="918"/>
      <c r="HG206" s="918"/>
      <c r="HH206" s="918"/>
      <c r="HI206" s="918"/>
      <c r="HJ206" s="918"/>
      <c r="HK206" s="918"/>
      <c r="HL206" s="918"/>
      <c r="HM206" s="918"/>
      <c r="HN206" s="918"/>
      <c r="HO206" s="918"/>
      <c r="HP206" s="918"/>
      <c r="HQ206" s="918"/>
      <c r="HR206" s="918"/>
      <c r="HS206" s="918"/>
      <c r="HT206" s="918"/>
      <c r="HU206" s="918"/>
      <c r="HV206" s="918"/>
      <c r="HW206" s="918"/>
      <c r="HX206" s="918"/>
      <c r="HY206" s="918"/>
      <c r="HZ206" s="918"/>
      <c r="IA206" s="918"/>
      <c r="IB206" s="918"/>
      <c r="IC206" s="918"/>
      <c r="ID206" s="918"/>
      <c r="IE206" s="918"/>
      <c r="IF206" s="918"/>
      <c r="IG206" s="918"/>
      <c r="IH206" s="918"/>
      <c r="II206" s="918"/>
      <c r="IJ206" s="918"/>
      <c r="IK206" s="918"/>
      <c r="IL206" s="918"/>
      <c r="IM206" s="918"/>
      <c r="IN206" s="918"/>
    </row>
    <row r="207" spans="1:248">
      <c r="A207" s="615" t="s">
        <v>20</v>
      </c>
      <c r="B207" s="617">
        <v>5439.7</v>
      </c>
      <c r="C207" s="919">
        <v>30.03417680284015</v>
      </c>
      <c r="D207" s="618">
        <v>5035.8999999999996</v>
      </c>
      <c r="E207" s="919">
        <v>27.804678743574591</v>
      </c>
      <c r="F207" s="919">
        <v>403.80000000000018</v>
      </c>
      <c r="G207" s="919">
        <f t="shared" si="28"/>
        <v>2.2294980592655587</v>
      </c>
      <c r="H207" s="333">
        <v>18111.7</v>
      </c>
      <c r="I207" s="918"/>
      <c r="J207" s="918"/>
      <c r="K207" s="918"/>
      <c r="L207" s="918"/>
      <c r="M207" s="918"/>
      <c r="N207" s="918"/>
      <c r="O207" s="918"/>
      <c r="P207" s="918"/>
      <c r="Q207" s="918"/>
      <c r="R207" s="918"/>
      <c r="S207" s="918"/>
      <c r="T207" s="918"/>
      <c r="U207" s="918"/>
      <c r="V207" s="918"/>
      <c r="W207" s="918"/>
      <c r="X207" s="918"/>
      <c r="Y207" s="918"/>
      <c r="Z207" s="918"/>
      <c r="AA207" s="918"/>
      <c r="AB207" s="918"/>
      <c r="AC207" s="918"/>
      <c r="AD207" s="918"/>
      <c r="AE207" s="918"/>
      <c r="AF207" s="918"/>
      <c r="AG207" s="918"/>
      <c r="AH207" s="918"/>
      <c r="AI207" s="918"/>
      <c r="AJ207" s="918"/>
      <c r="AK207" s="918"/>
      <c r="AL207" s="918"/>
      <c r="AM207" s="918"/>
      <c r="AN207" s="918"/>
      <c r="AO207" s="918"/>
      <c r="AP207" s="918"/>
      <c r="AQ207" s="918"/>
      <c r="AR207" s="918"/>
      <c r="AS207" s="918"/>
      <c r="AT207" s="918"/>
      <c r="AU207" s="918"/>
      <c r="AV207" s="918"/>
      <c r="AW207" s="918"/>
      <c r="AX207" s="918"/>
      <c r="AY207" s="918"/>
      <c r="AZ207" s="918"/>
      <c r="BA207" s="918"/>
      <c r="BB207" s="918"/>
      <c r="BC207" s="918"/>
      <c r="BD207" s="918"/>
      <c r="BE207" s="918"/>
      <c r="BF207" s="918"/>
      <c r="BG207" s="918"/>
      <c r="BH207" s="918"/>
      <c r="BI207" s="918"/>
      <c r="BJ207" s="918"/>
      <c r="BK207" s="918"/>
      <c r="BL207" s="918"/>
      <c r="BM207" s="918"/>
      <c r="BN207" s="918"/>
      <c r="BO207" s="918"/>
      <c r="BP207" s="918"/>
      <c r="BQ207" s="918"/>
      <c r="BR207" s="918"/>
      <c r="BS207" s="918"/>
      <c r="BT207" s="918"/>
      <c r="BU207" s="918"/>
      <c r="BV207" s="918"/>
      <c r="BW207" s="918"/>
      <c r="BX207" s="918"/>
      <c r="BY207" s="918"/>
      <c r="BZ207" s="918"/>
      <c r="CA207" s="918"/>
      <c r="CB207" s="918"/>
      <c r="CC207" s="918"/>
      <c r="CD207" s="918"/>
      <c r="CE207" s="918"/>
      <c r="CF207" s="918"/>
      <c r="CG207" s="918"/>
      <c r="CH207" s="918"/>
      <c r="CI207" s="918"/>
      <c r="CJ207" s="918"/>
      <c r="CK207" s="918"/>
      <c r="CL207" s="918"/>
      <c r="CM207" s="918"/>
      <c r="CN207" s="918"/>
      <c r="CO207" s="918"/>
      <c r="CP207" s="918"/>
      <c r="CQ207" s="918"/>
      <c r="CR207" s="918"/>
      <c r="CS207" s="918"/>
      <c r="CT207" s="918"/>
      <c r="CU207" s="918"/>
      <c r="CV207" s="918"/>
      <c r="CW207" s="918"/>
      <c r="CX207" s="918"/>
      <c r="CY207" s="918"/>
      <c r="CZ207" s="918"/>
      <c r="DA207" s="918"/>
      <c r="DB207" s="918"/>
      <c r="DC207" s="918"/>
      <c r="DD207" s="918"/>
      <c r="DE207" s="918"/>
      <c r="DF207" s="918"/>
      <c r="DG207" s="918"/>
      <c r="DH207" s="918"/>
      <c r="DI207" s="918"/>
      <c r="DJ207" s="918"/>
      <c r="DK207" s="918"/>
      <c r="DL207" s="918"/>
      <c r="DM207" s="918"/>
      <c r="DN207" s="918"/>
      <c r="DO207" s="918"/>
      <c r="DP207" s="918"/>
      <c r="DQ207" s="918"/>
      <c r="DR207" s="918"/>
      <c r="DS207" s="918"/>
      <c r="DT207" s="918"/>
      <c r="DU207" s="918"/>
      <c r="DV207" s="918"/>
      <c r="DW207" s="918"/>
      <c r="DX207" s="918"/>
      <c r="DY207" s="918"/>
      <c r="DZ207" s="918"/>
      <c r="EA207" s="918"/>
      <c r="EB207" s="918"/>
      <c r="EC207" s="918"/>
      <c r="ED207" s="918"/>
      <c r="EE207" s="918"/>
      <c r="EF207" s="918"/>
      <c r="EG207" s="918"/>
      <c r="EH207" s="918"/>
      <c r="EI207" s="918"/>
      <c r="EJ207" s="918"/>
      <c r="EK207" s="918"/>
      <c r="EL207" s="918"/>
      <c r="EM207" s="918"/>
      <c r="EN207" s="918"/>
      <c r="EO207" s="918"/>
      <c r="EP207" s="918"/>
      <c r="EQ207" s="918"/>
      <c r="ER207" s="918"/>
      <c r="ES207" s="918"/>
      <c r="ET207" s="918"/>
      <c r="EU207" s="918"/>
      <c r="EV207" s="918"/>
      <c r="EW207" s="918"/>
      <c r="EX207" s="918"/>
      <c r="EY207" s="918"/>
      <c r="EZ207" s="918"/>
      <c r="FA207" s="918"/>
      <c r="FB207" s="918"/>
      <c r="FC207" s="918"/>
      <c r="FD207" s="918"/>
      <c r="FE207" s="918"/>
      <c r="FF207" s="918"/>
      <c r="FG207" s="918"/>
      <c r="FH207" s="918"/>
      <c r="FI207" s="918"/>
      <c r="FJ207" s="918"/>
      <c r="FK207" s="918"/>
      <c r="FL207" s="918"/>
      <c r="FM207" s="918"/>
      <c r="FN207" s="918"/>
      <c r="FO207" s="918"/>
      <c r="FP207" s="918"/>
      <c r="FQ207" s="918"/>
      <c r="FR207" s="918"/>
      <c r="FS207" s="918"/>
      <c r="FT207" s="918"/>
      <c r="FU207" s="918"/>
      <c r="FV207" s="918"/>
      <c r="FW207" s="918"/>
      <c r="FX207" s="918"/>
      <c r="FY207" s="918"/>
      <c r="FZ207" s="918"/>
      <c r="GA207" s="918"/>
      <c r="GB207" s="918"/>
      <c r="GC207" s="918"/>
      <c r="GD207" s="918"/>
      <c r="GE207" s="918"/>
      <c r="GF207" s="918"/>
      <c r="GG207" s="918"/>
      <c r="GH207" s="918"/>
      <c r="GI207" s="918"/>
      <c r="GJ207" s="918"/>
      <c r="GK207" s="918"/>
      <c r="GL207" s="918"/>
      <c r="GM207" s="918"/>
      <c r="GN207" s="918"/>
      <c r="GO207" s="918"/>
      <c r="GP207" s="918"/>
      <c r="GQ207" s="918"/>
      <c r="GR207" s="918"/>
      <c r="GS207" s="918"/>
      <c r="GT207" s="918"/>
      <c r="GU207" s="918"/>
      <c r="GV207" s="918"/>
      <c r="GW207" s="918"/>
      <c r="GX207" s="918"/>
      <c r="GY207" s="918"/>
      <c r="GZ207" s="918"/>
      <c r="HA207" s="918"/>
      <c r="HB207" s="918"/>
      <c r="HC207" s="918"/>
      <c r="HD207" s="918"/>
      <c r="HE207" s="918"/>
      <c r="HF207" s="918"/>
      <c r="HG207" s="918"/>
      <c r="HH207" s="918"/>
      <c r="HI207" s="918"/>
      <c r="HJ207" s="918"/>
      <c r="HK207" s="918"/>
      <c r="HL207" s="918"/>
      <c r="HM207" s="918"/>
      <c r="HN207" s="918"/>
      <c r="HO207" s="918"/>
      <c r="HP207" s="918"/>
      <c r="HQ207" s="918"/>
      <c r="HR207" s="918"/>
      <c r="HS207" s="918"/>
      <c r="HT207" s="918"/>
      <c r="HU207" s="918"/>
      <c r="HV207" s="918"/>
      <c r="HW207" s="918"/>
      <c r="HX207" s="918"/>
      <c r="HY207" s="918"/>
      <c r="HZ207" s="918"/>
      <c r="IA207" s="918"/>
      <c r="IB207" s="918"/>
      <c r="IC207" s="918"/>
      <c r="ID207" s="918"/>
      <c r="IE207" s="918"/>
      <c r="IF207" s="918"/>
      <c r="IG207" s="918"/>
      <c r="IH207" s="918"/>
      <c r="II207" s="918"/>
      <c r="IJ207" s="918"/>
      <c r="IK207" s="918"/>
      <c r="IL207" s="918"/>
      <c r="IM207" s="918"/>
      <c r="IN207" s="918"/>
    </row>
    <row r="208" spans="1:248">
      <c r="A208" s="615" t="s">
        <v>21</v>
      </c>
      <c r="B208" s="617">
        <v>7503.4</v>
      </c>
      <c r="C208" s="919">
        <v>31.509150310329474</v>
      </c>
      <c r="D208" s="618">
        <v>7220.5</v>
      </c>
      <c r="E208" s="919">
        <v>30.321163714547271</v>
      </c>
      <c r="F208" s="919">
        <v>282.89999999999964</v>
      </c>
      <c r="G208" s="919">
        <f t="shared" si="28"/>
        <v>1.1879865957822051</v>
      </c>
      <c r="H208" s="333">
        <v>23813.4</v>
      </c>
      <c r="I208" s="918"/>
      <c r="J208" s="918"/>
      <c r="K208" s="918"/>
      <c r="L208" s="918"/>
      <c r="M208" s="918"/>
      <c r="N208" s="918"/>
      <c r="O208" s="918"/>
      <c r="P208" s="918"/>
      <c r="Q208" s="918"/>
      <c r="R208" s="918"/>
      <c r="S208" s="918"/>
      <c r="T208" s="918"/>
      <c r="U208" s="918"/>
      <c r="V208" s="918"/>
      <c r="W208" s="918"/>
      <c r="X208" s="918"/>
      <c r="Y208" s="918"/>
      <c r="Z208" s="918"/>
      <c r="AA208" s="918"/>
      <c r="AB208" s="918"/>
      <c r="AC208" s="918"/>
      <c r="AD208" s="918"/>
      <c r="AE208" s="918"/>
      <c r="AF208" s="918"/>
      <c r="AG208" s="918"/>
      <c r="AH208" s="918"/>
      <c r="AI208" s="918"/>
      <c r="AJ208" s="918"/>
      <c r="AK208" s="918"/>
      <c r="AL208" s="918"/>
      <c r="AM208" s="918"/>
      <c r="AN208" s="918"/>
      <c r="AO208" s="918"/>
      <c r="AP208" s="918"/>
      <c r="AQ208" s="918"/>
      <c r="AR208" s="918"/>
      <c r="AS208" s="918"/>
      <c r="AT208" s="918"/>
      <c r="AU208" s="918"/>
      <c r="AV208" s="918"/>
      <c r="AW208" s="918"/>
      <c r="AX208" s="918"/>
      <c r="AY208" s="918"/>
      <c r="AZ208" s="918"/>
      <c r="BA208" s="918"/>
      <c r="BB208" s="918"/>
      <c r="BC208" s="918"/>
      <c r="BD208" s="918"/>
      <c r="BE208" s="918"/>
      <c r="BF208" s="918"/>
      <c r="BG208" s="918"/>
      <c r="BH208" s="918"/>
      <c r="BI208" s="918"/>
      <c r="BJ208" s="918"/>
      <c r="BK208" s="918"/>
      <c r="BL208" s="918"/>
      <c r="BM208" s="918"/>
      <c r="BN208" s="918"/>
      <c r="BO208" s="918"/>
      <c r="BP208" s="918"/>
      <c r="BQ208" s="918"/>
      <c r="BR208" s="918"/>
      <c r="BS208" s="918"/>
      <c r="BT208" s="918"/>
      <c r="BU208" s="918"/>
      <c r="BV208" s="918"/>
      <c r="BW208" s="918"/>
      <c r="BX208" s="918"/>
      <c r="BY208" s="918"/>
      <c r="BZ208" s="918"/>
      <c r="CA208" s="918"/>
      <c r="CB208" s="918"/>
      <c r="CC208" s="918"/>
      <c r="CD208" s="918"/>
      <c r="CE208" s="918"/>
      <c r="CF208" s="918"/>
      <c r="CG208" s="918"/>
      <c r="CH208" s="918"/>
      <c r="CI208" s="918"/>
      <c r="CJ208" s="918"/>
      <c r="CK208" s="918"/>
      <c r="CL208" s="918"/>
      <c r="CM208" s="918"/>
      <c r="CN208" s="918"/>
      <c r="CO208" s="918"/>
      <c r="CP208" s="918"/>
      <c r="CQ208" s="918"/>
      <c r="CR208" s="918"/>
      <c r="CS208" s="918"/>
      <c r="CT208" s="918"/>
      <c r="CU208" s="918"/>
      <c r="CV208" s="918"/>
      <c r="CW208" s="918"/>
      <c r="CX208" s="918"/>
      <c r="CY208" s="918"/>
      <c r="CZ208" s="918"/>
      <c r="DA208" s="918"/>
      <c r="DB208" s="918"/>
      <c r="DC208" s="918"/>
      <c r="DD208" s="918"/>
      <c r="DE208" s="918"/>
      <c r="DF208" s="918"/>
      <c r="DG208" s="918"/>
      <c r="DH208" s="918"/>
      <c r="DI208" s="918"/>
      <c r="DJ208" s="918"/>
      <c r="DK208" s="918"/>
      <c r="DL208" s="918"/>
      <c r="DM208" s="918"/>
      <c r="DN208" s="918"/>
      <c r="DO208" s="918"/>
      <c r="DP208" s="918"/>
      <c r="DQ208" s="918"/>
      <c r="DR208" s="918"/>
      <c r="DS208" s="918"/>
      <c r="DT208" s="918"/>
      <c r="DU208" s="918"/>
      <c r="DV208" s="918"/>
      <c r="DW208" s="918"/>
      <c r="DX208" s="918"/>
      <c r="DY208" s="918"/>
      <c r="DZ208" s="918"/>
      <c r="EA208" s="918"/>
      <c r="EB208" s="918"/>
      <c r="EC208" s="918"/>
      <c r="ED208" s="918"/>
      <c r="EE208" s="918"/>
      <c r="EF208" s="918"/>
      <c r="EG208" s="918"/>
      <c r="EH208" s="918"/>
      <c r="EI208" s="918"/>
      <c r="EJ208" s="918"/>
      <c r="EK208" s="918"/>
      <c r="EL208" s="918"/>
      <c r="EM208" s="918"/>
      <c r="EN208" s="918"/>
      <c r="EO208" s="918"/>
      <c r="EP208" s="918"/>
      <c r="EQ208" s="918"/>
      <c r="ER208" s="918"/>
      <c r="ES208" s="918"/>
      <c r="ET208" s="918"/>
      <c r="EU208" s="918"/>
      <c r="EV208" s="918"/>
      <c r="EW208" s="918"/>
      <c r="EX208" s="918"/>
      <c r="EY208" s="918"/>
      <c r="EZ208" s="918"/>
      <c r="FA208" s="918"/>
      <c r="FB208" s="918"/>
      <c r="FC208" s="918"/>
      <c r="FD208" s="918"/>
      <c r="FE208" s="918"/>
      <c r="FF208" s="918"/>
      <c r="FG208" s="918"/>
      <c r="FH208" s="918"/>
      <c r="FI208" s="918"/>
      <c r="FJ208" s="918"/>
      <c r="FK208" s="918"/>
      <c r="FL208" s="918"/>
      <c r="FM208" s="918"/>
      <c r="FN208" s="918"/>
      <c r="FO208" s="918"/>
      <c r="FP208" s="918"/>
      <c r="FQ208" s="918"/>
      <c r="FR208" s="918"/>
      <c r="FS208" s="918"/>
      <c r="FT208" s="918"/>
      <c r="FU208" s="918"/>
      <c r="FV208" s="918"/>
      <c r="FW208" s="918"/>
      <c r="FX208" s="918"/>
      <c r="FY208" s="918"/>
      <c r="FZ208" s="918"/>
      <c r="GA208" s="918"/>
      <c r="GB208" s="918"/>
      <c r="GC208" s="918"/>
      <c r="GD208" s="918"/>
      <c r="GE208" s="918"/>
      <c r="GF208" s="918"/>
      <c r="GG208" s="918"/>
      <c r="GH208" s="918"/>
      <c r="GI208" s="918"/>
      <c r="GJ208" s="918"/>
      <c r="GK208" s="918"/>
      <c r="GL208" s="918"/>
      <c r="GM208" s="918"/>
      <c r="GN208" s="918"/>
      <c r="GO208" s="918"/>
      <c r="GP208" s="918"/>
      <c r="GQ208" s="918"/>
      <c r="GR208" s="918"/>
      <c r="GS208" s="918"/>
      <c r="GT208" s="918"/>
      <c r="GU208" s="918"/>
      <c r="GV208" s="918"/>
      <c r="GW208" s="918"/>
      <c r="GX208" s="918"/>
      <c r="GY208" s="918"/>
      <c r="GZ208" s="918"/>
      <c r="HA208" s="918"/>
      <c r="HB208" s="918"/>
      <c r="HC208" s="918"/>
      <c r="HD208" s="918"/>
      <c r="HE208" s="918"/>
      <c r="HF208" s="918"/>
      <c r="HG208" s="918"/>
      <c r="HH208" s="918"/>
      <c r="HI208" s="918"/>
      <c r="HJ208" s="918"/>
      <c r="HK208" s="918"/>
      <c r="HL208" s="918"/>
      <c r="HM208" s="918"/>
      <c r="HN208" s="918"/>
      <c r="HO208" s="918"/>
      <c r="HP208" s="918"/>
      <c r="HQ208" s="918"/>
      <c r="HR208" s="918"/>
      <c r="HS208" s="918"/>
      <c r="HT208" s="918"/>
      <c r="HU208" s="918"/>
      <c r="HV208" s="918"/>
      <c r="HW208" s="918"/>
      <c r="HX208" s="918"/>
      <c r="HY208" s="918"/>
      <c r="HZ208" s="918"/>
      <c r="IA208" s="918"/>
      <c r="IB208" s="918"/>
      <c r="IC208" s="918"/>
      <c r="ID208" s="918"/>
      <c r="IE208" s="918"/>
      <c r="IF208" s="918"/>
      <c r="IG208" s="918"/>
      <c r="IH208" s="918"/>
      <c r="II208" s="918"/>
      <c r="IJ208" s="918"/>
      <c r="IK208" s="918"/>
      <c r="IL208" s="918"/>
      <c r="IM208" s="918"/>
      <c r="IN208" s="918"/>
    </row>
    <row r="209" spans="1:248" ht="16.5" customHeight="1">
      <c r="A209" s="615" t="s">
        <v>22</v>
      </c>
      <c r="B209" s="617">
        <v>8999.2999999999993</v>
      </c>
      <c r="C209" s="919">
        <v>29.401117982795739</v>
      </c>
      <c r="D209" s="618">
        <v>9426.1</v>
      </c>
      <c r="E209" s="919">
        <v>30.795492784731138</v>
      </c>
      <c r="F209" s="919">
        <v>-426.80000000000109</v>
      </c>
      <c r="G209" s="919">
        <f t="shared" si="28"/>
        <v>-1.394374801935401</v>
      </c>
      <c r="H209" s="333">
        <v>30608.7</v>
      </c>
      <c r="I209" s="918"/>
      <c r="J209" s="918"/>
      <c r="K209" s="918"/>
      <c r="L209" s="918"/>
      <c r="M209" s="918"/>
      <c r="N209" s="918"/>
      <c r="O209" s="918"/>
      <c r="P209" s="918"/>
      <c r="Q209" s="918"/>
      <c r="R209" s="918"/>
      <c r="S209" s="918"/>
      <c r="T209" s="918"/>
      <c r="U209" s="918"/>
      <c r="V209" s="918"/>
      <c r="W209" s="918"/>
      <c r="X209" s="918"/>
      <c r="Y209" s="918"/>
      <c r="Z209" s="918"/>
      <c r="AA209" s="918"/>
      <c r="AB209" s="918"/>
      <c r="AC209" s="918"/>
      <c r="AD209" s="918"/>
      <c r="AE209" s="918"/>
      <c r="AF209" s="918"/>
      <c r="AG209" s="918"/>
      <c r="AH209" s="918"/>
      <c r="AI209" s="918"/>
      <c r="AJ209" s="918"/>
      <c r="AK209" s="918"/>
      <c r="AL209" s="918"/>
      <c r="AM209" s="918"/>
      <c r="AN209" s="918"/>
      <c r="AO209" s="918"/>
      <c r="AP209" s="918"/>
      <c r="AQ209" s="918"/>
      <c r="AR209" s="918"/>
      <c r="AS209" s="918"/>
      <c r="AT209" s="918"/>
      <c r="AU209" s="918"/>
      <c r="AV209" s="918"/>
      <c r="AW209" s="918"/>
      <c r="AX209" s="918"/>
      <c r="AY209" s="918"/>
      <c r="AZ209" s="918"/>
      <c r="BA209" s="918"/>
      <c r="BB209" s="918"/>
      <c r="BC209" s="918"/>
      <c r="BD209" s="918"/>
      <c r="BE209" s="918"/>
      <c r="BF209" s="918"/>
      <c r="BG209" s="918"/>
      <c r="BH209" s="918"/>
      <c r="BI209" s="918"/>
      <c r="BJ209" s="918"/>
      <c r="BK209" s="918"/>
      <c r="BL209" s="918"/>
      <c r="BM209" s="918"/>
      <c r="BN209" s="918"/>
      <c r="BO209" s="918"/>
      <c r="BP209" s="918"/>
      <c r="BQ209" s="918"/>
      <c r="BR209" s="918"/>
      <c r="BS209" s="918"/>
      <c r="BT209" s="918"/>
      <c r="BU209" s="918"/>
      <c r="BV209" s="918"/>
      <c r="BW209" s="918"/>
      <c r="BX209" s="918"/>
      <c r="BY209" s="918"/>
      <c r="BZ209" s="918"/>
      <c r="CA209" s="918"/>
      <c r="CB209" s="918"/>
      <c r="CC209" s="918"/>
      <c r="CD209" s="918"/>
      <c r="CE209" s="918"/>
      <c r="CF209" s="918"/>
      <c r="CG209" s="918"/>
      <c r="CH209" s="918"/>
      <c r="CI209" s="918"/>
      <c r="CJ209" s="918"/>
      <c r="CK209" s="918"/>
      <c r="CL209" s="918"/>
      <c r="CM209" s="918"/>
      <c r="CN209" s="918"/>
      <c r="CO209" s="918"/>
      <c r="CP209" s="918"/>
      <c r="CQ209" s="918"/>
      <c r="CR209" s="918"/>
      <c r="CS209" s="918"/>
      <c r="CT209" s="918"/>
      <c r="CU209" s="918"/>
      <c r="CV209" s="918"/>
      <c r="CW209" s="918"/>
      <c r="CX209" s="918"/>
      <c r="CY209" s="918"/>
      <c r="CZ209" s="918"/>
      <c r="DA209" s="918"/>
      <c r="DB209" s="918"/>
      <c r="DC209" s="918"/>
      <c r="DD209" s="918"/>
      <c r="DE209" s="918"/>
      <c r="DF209" s="918"/>
      <c r="DG209" s="918"/>
      <c r="DH209" s="918"/>
      <c r="DI209" s="918"/>
      <c r="DJ209" s="918"/>
      <c r="DK209" s="918"/>
      <c r="DL209" s="918"/>
      <c r="DM209" s="918"/>
      <c r="DN209" s="918"/>
      <c r="DO209" s="918"/>
      <c r="DP209" s="918"/>
      <c r="DQ209" s="918"/>
      <c r="DR209" s="918"/>
      <c r="DS209" s="918"/>
      <c r="DT209" s="918"/>
      <c r="DU209" s="918"/>
      <c r="DV209" s="918"/>
      <c r="DW209" s="918"/>
      <c r="DX209" s="918"/>
      <c r="DY209" s="918"/>
      <c r="DZ209" s="918"/>
      <c r="EA209" s="918"/>
      <c r="EB209" s="918"/>
      <c r="EC209" s="918"/>
      <c r="ED209" s="918"/>
      <c r="EE209" s="918"/>
      <c r="EF209" s="918"/>
      <c r="EG209" s="918"/>
      <c r="EH209" s="918"/>
      <c r="EI209" s="918"/>
      <c r="EJ209" s="918"/>
      <c r="EK209" s="918"/>
      <c r="EL209" s="918"/>
      <c r="EM209" s="918"/>
      <c r="EN209" s="918"/>
      <c r="EO209" s="918"/>
      <c r="EP209" s="918"/>
      <c r="EQ209" s="918"/>
      <c r="ER209" s="918"/>
      <c r="ES209" s="918"/>
      <c r="ET209" s="918"/>
      <c r="EU209" s="918"/>
      <c r="EV209" s="918"/>
      <c r="EW209" s="918"/>
      <c r="EX209" s="918"/>
      <c r="EY209" s="918"/>
      <c r="EZ209" s="918"/>
      <c r="FA209" s="918"/>
      <c r="FB209" s="918"/>
      <c r="FC209" s="918"/>
      <c r="FD209" s="918"/>
      <c r="FE209" s="918"/>
      <c r="FF209" s="918"/>
      <c r="FG209" s="918"/>
      <c r="FH209" s="918"/>
      <c r="FI209" s="918"/>
      <c r="FJ209" s="918"/>
      <c r="FK209" s="918"/>
      <c r="FL209" s="918"/>
      <c r="FM209" s="918"/>
      <c r="FN209" s="918"/>
      <c r="FO209" s="918"/>
      <c r="FP209" s="918"/>
      <c r="FQ209" s="918"/>
      <c r="FR209" s="918"/>
      <c r="FS209" s="918"/>
      <c r="FT209" s="918"/>
      <c r="FU209" s="918"/>
      <c r="FV209" s="918"/>
      <c r="FW209" s="918"/>
      <c r="FX209" s="918"/>
      <c r="FY209" s="918"/>
      <c r="FZ209" s="918"/>
      <c r="GA209" s="918"/>
      <c r="GB209" s="918"/>
      <c r="GC209" s="918"/>
      <c r="GD209" s="918"/>
      <c r="GE209" s="918"/>
      <c r="GF209" s="918"/>
      <c r="GG209" s="918"/>
      <c r="GH209" s="918"/>
      <c r="GI209" s="918"/>
      <c r="GJ209" s="918"/>
      <c r="GK209" s="918"/>
      <c r="GL209" s="918"/>
      <c r="GM209" s="918"/>
      <c r="GN209" s="918"/>
      <c r="GO209" s="918"/>
      <c r="GP209" s="918"/>
      <c r="GQ209" s="918"/>
      <c r="GR209" s="918"/>
      <c r="GS209" s="918"/>
      <c r="GT209" s="918"/>
      <c r="GU209" s="918"/>
      <c r="GV209" s="918"/>
      <c r="GW209" s="918"/>
      <c r="GX209" s="918"/>
      <c r="GY209" s="918"/>
      <c r="GZ209" s="918"/>
      <c r="HA209" s="918"/>
      <c r="HB209" s="918"/>
      <c r="HC209" s="918"/>
      <c r="HD209" s="918"/>
      <c r="HE209" s="918"/>
      <c r="HF209" s="918"/>
      <c r="HG209" s="918"/>
      <c r="HH209" s="918"/>
      <c r="HI209" s="918"/>
      <c r="HJ209" s="918"/>
      <c r="HK209" s="918"/>
      <c r="HL209" s="918"/>
      <c r="HM209" s="918"/>
      <c r="HN209" s="918"/>
      <c r="HO209" s="918"/>
      <c r="HP209" s="918"/>
      <c r="HQ209" s="918"/>
      <c r="HR209" s="918"/>
      <c r="HS209" s="918"/>
      <c r="HT209" s="918"/>
      <c r="HU209" s="918"/>
      <c r="HV209" s="918"/>
      <c r="HW209" s="918"/>
      <c r="HX209" s="918"/>
      <c r="HY209" s="918"/>
      <c r="HZ209" s="918"/>
      <c r="IA209" s="918"/>
      <c r="IB209" s="918"/>
      <c r="IC209" s="918"/>
      <c r="ID209" s="918"/>
      <c r="IE209" s="918"/>
      <c r="IF209" s="918"/>
      <c r="IG209" s="918"/>
      <c r="IH209" s="918"/>
      <c r="II209" s="918"/>
      <c r="IJ209" s="918"/>
      <c r="IK209" s="918"/>
      <c r="IL209" s="918"/>
      <c r="IM209" s="918"/>
      <c r="IN209" s="918"/>
    </row>
    <row r="210" spans="1:248" ht="16.5" customHeight="1">
      <c r="A210" s="615" t="s">
        <v>23</v>
      </c>
      <c r="B210" s="617">
        <v>10405.5</v>
      </c>
      <c r="C210" s="919">
        <v>27.509438152342884</v>
      </c>
      <c r="D210" s="618">
        <v>10951</v>
      </c>
      <c r="E210" s="919">
        <v>28.951598405295943</v>
      </c>
      <c r="F210" s="919">
        <v>-545.5</v>
      </c>
      <c r="G210" s="919">
        <f t="shared" si="28"/>
        <v>-1.4421602529530577</v>
      </c>
      <c r="H210" s="333">
        <v>37825.199999999997</v>
      </c>
      <c r="I210" s="918"/>
      <c r="J210" s="918"/>
      <c r="K210" s="918"/>
      <c r="L210" s="918"/>
      <c r="M210" s="918"/>
      <c r="N210" s="918"/>
      <c r="O210" s="918"/>
      <c r="P210" s="918"/>
      <c r="Q210" s="918"/>
      <c r="R210" s="918"/>
      <c r="S210" s="918"/>
      <c r="T210" s="918"/>
      <c r="U210" s="918"/>
      <c r="V210" s="918"/>
      <c r="W210" s="918"/>
      <c r="X210" s="918"/>
      <c r="Y210" s="918"/>
      <c r="Z210" s="918"/>
      <c r="AA210" s="918"/>
      <c r="AB210" s="918"/>
      <c r="AC210" s="918"/>
      <c r="AD210" s="918"/>
      <c r="AE210" s="918"/>
      <c r="AF210" s="918"/>
      <c r="AG210" s="918"/>
      <c r="AH210" s="918"/>
      <c r="AI210" s="918"/>
      <c r="AJ210" s="918"/>
      <c r="AK210" s="918"/>
      <c r="AL210" s="918"/>
      <c r="AM210" s="918"/>
      <c r="AN210" s="918"/>
      <c r="AO210" s="918"/>
      <c r="AP210" s="918"/>
      <c r="AQ210" s="918"/>
      <c r="AR210" s="918"/>
      <c r="AS210" s="918"/>
      <c r="AT210" s="918"/>
      <c r="AU210" s="918"/>
      <c r="AV210" s="918"/>
      <c r="AW210" s="918"/>
      <c r="AX210" s="918"/>
      <c r="AY210" s="918"/>
      <c r="AZ210" s="918"/>
      <c r="BA210" s="918"/>
      <c r="BB210" s="918"/>
      <c r="BC210" s="918"/>
      <c r="BD210" s="918"/>
      <c r="BE210" s="918"/>
      <c r="BF210" s="918"/>
      <c r="BG210" s="918"/>
      <c r="BH210" s="918"/>
      <c r="BI210" s="918"/>
      <c r="BJ210" s="918"/>
      <c r="BK210" s="918"/>
      <c r="BL210" s="918"/>
      <c r="BM210" s="918"/>
      <c r="BN210" s="918"/>
      <c r="BO210" s="918"/>
      <c r="BP210" s="918"/>
      <c r="BQ210" s="918"/>
      <c r="BR210" s="918"/>
      <c r="BS210" s="918"/>
      <c r="BT210" s="918"/>
      <c r="BU210" s="918"/>
      <c r="BV210" s="918"/>
      <c r="BW210" s="918"/>
      <c r="BX210" s="918"/>
      <c r="BY210" s="918"/>
      <c r="BZ210" s="918"/>
      <c r="CA210" s="918"/>
      <c r="CB210" s="918"/>
      <c r="CC210" s="918"/>
      <c r="CD210" s="918"/>
      <c r="CE210" s="918"/>
      <c r="CF210" s="918"/>
      <c r="CG210" s="918"/>
      <c r="CH210" s="918"/>
      <c r="CI210" s="918"/>
      <c r="CJ210" s="918"/>
      <c r="CK210" s="918"/>
      <c r="CL210" s="918"/>
      <c r="CM210" s="918"/>
      <c r="CN210" s="918"/>
      <c r="CO210" s="918"/>
      <c r="CP210" s="918"/>
      <c r="CQ210" s="918"/>
      <c r="CR210" s="918"/>
      <c r="CS210" s="918"/>
      <c r="CT210" s="918"/>
      <c r="CU210" s="918"/>
      <c r="CV210" s="918"/>
      <c r="CW210" s="918"/>
      <c r="CX210" s="918"/>
      <c r="CY210" s="918"/>
      <c r="CZ210" s="918"/>
      <c r="DA210" s="918"/>
      <c r="DB210" s="918"/>
      <c r="DC210" s="918"/>
      <c r="DD210" s="918"/>
      <c r="DE210" s="918"/>
      <c r="DF210" s="918"/>
      <c r="DG210" s="918"/>
      <c r="DH210" s="918"/>
      <c r="DI210" s="918"/>
      <c r="DJ210" s="918"/>
      <c r="DK210" s="918"/>
      <c r="DL210" s="918"/>
      <c r="DM210" s="918"/>
      <c r="DN210" s="918"/>
      <c r="DO210" s="918"/>
      <c r="DP210" s="918"/>
      <c r="DQ210" s="918"/>
      <c r="DR210" s="918"/>
      <c r="DS210" s="918"/>
      <c r="DT210" s="918"/>
      <c r="DU210" s="918"/>
      <c r="DV210" s="918"/>
      <c r="DW210" s="918"/>
      <c r="DX210" s="918"/>
      <c r="DY210" s="918"/>
      <c r="DZ210" s="918"/>
      <c r="EA210" s="918"/>
      <c r="EB210" s="918"/>
      <c r="EC210" s="918"/>
      <c r="ED210" s="918"/>
      <c r="EE210" s="918"/>
      <c r="EF210" s="918"/>
      <c r="EG210" s="918"/>
      <c r="EH210" s="918"/>
      <c r="EI210" s="918"/>
      <c r="EJ210" s="918"/>
      <c r="EK210" s="918"/>
      <c r="EL210" s="918"/>
      <c r="EM210" s="918"/>
      <c r="EN210" s="918"/>
      <c r="EO210" s="918"/>
      <c r="EP210" s="918"/>
      <c r="EQ210" s="918"/>
      <c r="ER210" s="918"/>
      <c r="ES210" s="918"/>
      <c r="ET210" s="918"/>
      <c r="EU210" s="918"/>
      <c r="EV210" s="918"/>
      <c r="EW210" s="918"/>
      <c r="EX210" s="918"/>
      <c r="EY210" s="918"/>
      <c r="EZ210" s="918"/>
      <c r="FA210" s="918"/>
      <c r="FB210" s="918"/>
      <c r="FC210" s="918"/>
      <c r="FD210" s="918"/>
      <c r="FE210" s="918"/>
      <c r="FF210" s="918"/>
      <c r="FG210" s="918"/>
      <c r="FH210" s="918"/>
      <c r="FI210" s="918"/>
      <c r="FJ210" s="918"/>
      <c r="FK210" s="918"/>
      <c r="FL210" s="918"/>
      <c r="FM210" s="918"/>
      <c r="FN210" s="918"/>
      <c r="FO210" s="918"/>
      <c r="FP210" s="918"/>
      <c r="FQ210" s="918"/>
      <c r="FR210" s="918"/>
      <c r="FS210" s="918"/>
      <c r="FT210" s="918"/>
      <c r="FU210" s="918"/>
      <c r="FV210" s="918"/>
      <c r="FW210" s="918"/>
      <c r="FX210" s="918"/>
      <c r="FY210" s="918"/>
      <c r="FZ210" s="918"/>
      <c r="GA210" s="918"/>
      <c r="GB210" s="918"/>
      <c r="GC210" s="918"/>
      <c r="GD210" s="918"/>
      <c r="GE210" s="918"/>
      <c r="GF210" s="918"/>
      <c r="GG210" s="918"/>
      <c r="GH210" s="918"/>
      <c r="GI210" s="918"/>
      <c r="GJ210" s="918"/>
      <c r="GK210" s="918"/>
      <c r="GL210" s="918"/>
      <c r="GM210" s="918"/>
      <c r="GN210" s="918"/>
      <c r="GO210" s="918"/>
      <c r="GP210" s="918"/>
      <c r="GQ210" s="918"/>
      <c r="GR210" s="918"/>
      <c r="GS210" s="918"/>
      <c r="GT210" s="918"/>
      <c r="GU210" s="918"/>
      <c r="GV210" s="918"/>
      <c r="GW210" s="918"/>
      <c r="GX210" s="918"/>
      <c r="GY210" s="918"/>
      <c r="GZ210" s="918"/>
      <c r="HA210" s="918"/>
      <c r="HB210" s="918"/>
      <c r="HC210" s="918"/>
      <c r="HD210" s="918"/>
      <c r="HE210" s="918"/>
      <c r="HF210" s="918"/>
      <c r="HG210" s="918"/>
      <c r="HH210" s="918"/>
      <c r="HI210" s="918"/>
      <c r="HJ210" s="918"/>
      <c r="HK210" s="918"/>
      <c r="HL210" s="918"/>
      <c r="HM210" s="918"/>
      <c r="HN210" s="918"/>
      <c r="HO210" s="918"/>
      <c r="HP210" s="918"/>
      <c r="HQ210" s="918"/>
      <c r="HR210" s="918"/>
      <c r="HS210" s="918"/>
      <c r="HT210" s="918"/>
      <c r="HU210" s="918"/>
      <c r="HV210" s="918"/>
      <c r="HW210" s="918"/>
      <c r="HX210" s="918"/>
      <c r="HY210" s="918"/>
      <c r="HZ210" s="918"/>
      <c r="IA210" s="918"/>
      <c r="IB210" s="918"/>
      <c r="IC210" s="918"/>
      <c r="ID210" s="918"/>
      <c r="IE210" s="918"/>
      <c r="IF210" s="918"/>
      <c r="IG210" s="918"/>
      <c r="IH210" s="918"/>
      <c r="II210" s="918"/>
      <c r="IJ210" s="918"/>
      <c r="IK210" s="918"/>
      <c r="IL210" s="918"/>
      <c r="IM210" s="918"/>
      <c r="IN210" s="918"/>
    </row>
    <row r="211" spans="1:248" ht="16.5" customHeight="1">
      <c r="A211" s="615" t="s">
        <v>24</v>
      </c>
      <c r="B211" s="617">
        <v>12435.5</v>
      </c>
      <c r="C211" s="919">
        <v>27.961846599405032</v>
      </c>
      <c r="D211" s="618">
        <v>13102.7</v>
      </c>
      <c r="E211" s="919">
        <v>29.462079324355621</v>
      </c>
      <c r="F211" s="919">
        <v>-667.20000000000073</v>
      </c>
      <c r="G211" s="919">
        <f t="shared" si="28"/>
        <v>-1.5002327249505898</v>
      </c>
      <c r="H211" s="333">
        <v>44473.1</v>
      </c>
      <c r="I211" s="918"/>
      <c r="J211" s="918"/>
      <c r="K211" s="918"/>
      <c r="L211" s="918"/>
      <c r="M211" s="918"/>
      <c r="N211" s="918"/>
      <c r="O211" s="918"/>
      <c r="P211" s="918"/>
      <c r="Q211" s="918"/>
      <c r="R211" s="918"/>
      <c r="S211" s="918"/>
      <c r="T211" s="918"/>
      <c r="U211" s="918"/>
      <c r="V211" s="918"/>
      <c r="W211" s="918"/>
      <c r="X211" s="918"/>
      <c r="Y211" s="918"/>
      <c r="Z211" s="918"/>
      <c r="AA211" s="918"/>
      <c r="AB211" s="918"/>
      <c r="AC211" s="918"/>
      <c r="AD211" s="918"/>
      <c r="AE211" s="918"/>
      <c r="AF211" s="918"/>
      <c r="AG211" s="918"/>
      <c r="AH211" s="918"/>
      <c r="AI211" s="918"/>
      <c r="AJ211" s="918"/>
      <c r="AK211" s="918"/>
      <c r="AL211" s="918"/>
      <c r="AM211" s="918"/>
      <c r="AN211" s="918"/>
      <c r="AO211" s="918"/>
      <c r="AP211" s="918"/>
      <c r="AQ211" s="918"/>
      <c r="AR211" s="918"/>
      <c r="AS211" s="918"/>
      <c r="AT211" s="918"/>
      <c r="AU211" s="918"/>
      <c r="AV211" s="918"/>
      <c r="AW211" s="918"/>
      <c r="AX211" s="918"/>
      <c r="AY211" s="918"/>
      <c r="AZ211" s="918"/>
      <c r="BA211" s="918"/>
      <c r="BB211" s="918"/>
      <c r="BC211" s="918"/>
      <c r="BD211" s="918"/>
      <c r="BE211" s="918"/>
      <c r="BF211" s="918"/>
      <c r="BG211" s="918"/>
      <c r="BH211" s="918"/>
      <c r="BI211" s="918"/>
      <c r="BJ211" s="918"/>
      <c r="BK211" s="918"/>
      <c r="BL211" s="918"/>
      <c r="BM211" s="918"/>
      <c r="BN211" s="918"/>
      <c r="BO211" s="918"/>
      <c r="BP211" s="918"/>
      <c r="BQ211" s="918"/>
      <c r="BR211" s="918"/>
      <c r="BS211" s="918"/>
      <c r="BT211" s="918"/>
      <c r="BU211" s="918"/>
      <c r="BV211" s="918"/>
      <c r="BW211" s="918"/>
      <c r="BX211" s="918"/>
      <c r="BY211" s="918"/>
      <c r="BZ211" s="918"/>
      <c r="CA211" s="918"/>
      <c r="CB211" s="918"/>
      <c r="CC211" s="918"/>
      <c r="CD211" s="918"/>
      <c r="CE211" s="918"/>
      <c r="CF211" s="918"/>
      <c r="CG211" s="918"/>
      <c r="CH211" s="918"/>
      <c r="CI211" s="918"/>
      <c r="CJ211" s="918"/>
      <c r="CK211" s="918"/>
      <c r="CL211" s="918"/>
      <c r="CM211" s="918"/>
      <c r="CN211" s="918"/>
      <c r="CO211" s="918"/>
      <c r="CP211" s="918"/>
      <c r="CQ211" s="918"/>
      <c r="CR211" s="918"/>
      <c r="CS211" s="918"/>
      <c r="CT211" s="918"/>
      <c r="CU211" s="918"/>
      <c r="CV211" s="918"/>
      <c r="CW211" s="918"/>
      <c r="CX211" s="918"/>
      <c r="CY211" s="918"/>
      <c r="CZ211" s="918"/>
      <c r="DA211" s="918"/>
      <c r="DB211" s="918"/>
      <c r="DC211" s="918"/>
      <c r="DD211" s="918"/>
      <c r="DE211" s="918"/>
      <c r="DF211" s="918"/>
      <c r="DG211" s="918"/>
      <c r="DH211" s="918"/>
      <c r="DI211" s="918"/>
      <c r="DJ211" s="918"/>
      <c r="DK211" s="918"/>
      <c r="DL211" s="918"/>
      <c r="DM211" s="918"/>
      <c r="DN211" s="918"/>
      <c r="DO211" s="918"/>
      <c r="DP211" s="918"/>
      <c r="DQ211" s="918"/>
      <c r="DR211" s="918"/>
      <c r="DS211" s="918"/>
      <c r="DT211" s="918"/>
      <c r="DU211" s="918"/>
      <c r="DV211" s="918"/>
      <c r="DW211" s="918"/>
      <c r="DX211" s="918"/>
      <c r="DY211" s="918"/>
      <c r="DZ211" s="918"/>
      <c r="EA211" s="918"/>
      <c r="EB211" s="918"/>
      <c r="EC211" s="918"/>
      <c r="ED211" s="918"/>
      <c r="EE211" s="918"/>
      <c r="EF211" s="918"/>
      <c r="EG211" s="918"/>
      <c r="EH211" s="918"/>
      <c r="EI211" s="918"/>
      <c r="EJ211" s="918"/>
      <c r="EK211" s="918"/>
      <c r="EL211" s="918"/>
      <c r="EM211" s="918"/>
      <c r="EN211" s="918"/>
      <c r="EO211" s="918"/>
      <c r="EP211" s="918"/>
      <c r="EQ211" s="918"/>
      <c r="ER211" s="918"/>
      <c r="ES211" s="918"/>
      <c r="ET211" s="918"/>
      <c r="EU211" s="918"/>
      <c r="EV211" s="918"/>
      <c r="EW211" s="918"/>
      <c r="EX211" s="918"/>
      <c r="EY211" s="918"/>
      <c r="EZ211" s="918"/>
      <c r="FA211" s="918"/>
      <c r="FB211" s="918"/>
      <c r="FC211" s="918"/>
      <c r="FD211" s="918"/>
      <c r="FE211" s="918"/>
      <c r="FF211" s="918"/>
      <c r="FG211" s="918"/>
      <c r="FH211" s="918"/>
      <c r="FI211" s="918"/>
      <c r="FJ211" s="918"/>
      <c r="FK211" s="918"/>
      <c r="FL211" s="918"/>
      <c r="FM211" s="918"/>
      <c r="FN211" s="918"/>
      <c r="FO211" s="918"/>
      <c r="FP211" s="918"/>
      <c r="FQ211" s="918"/>
      <c r="FR211" s="918"/>
      <c r="FS211" s="918"/>
      <c r="FT211" s="918"/>
      <c r="FU211" s="918"/>
      <c r="FV211" s="918"/>
      <c r="FW211" s="918"/>
      <c r="FX211" s="918"/>
      <c r="FY211" s="918"/>
      <c r="FZ211" s="918"/>
      <c r="GA211" s="918"/>
      <c r="GB211" s="918"/>
      <c r="GC211" s="918"/>
      <c r="GD211" s="918"/>
      <c r="GE211" s="918"/>
      <c r="GF211" s="918"/>
      <c r="GG211" s="918"/>
      <c r="GH211" s="918"/>
      <c r="GI211" s="918"/>
      <c r="GJ211" s="918"/>
      <c r="GK211" s="918"/>
      <c r="GL211" s="918"/>
      <c r="GM211" s="918"/>
      <c r="GN211" s="918"/>
      <c r="GO211" s="918"/>
      <c r="GP211" s="918"/>
      <c r="GQ211" s="918"/>
      <c r="GR211" s="918"/>
      <c r="GS211" s="918"/>
      <c r="GT211" s="918"/>
      <c r="GU211" s="918"/>
      <c r="GV211" s="918"/>
      <c r="GW211" s="918"/>
      <c r="GX211" s="918"/>
      <c r="GY211" s="918"/>
      <c r="GZ211" s="918"/>
      <c r="HA211" s="918"/>
      <c r="HB211" s="918"/>
      <c r="HC211" s="918"/>
      <c r="HD211" s="918"/>
      <c r="HE211" s="918"/>
      <c r="HF211" s="918"/>
      <c r="HG211" s="918"/>
      <c r="HH211" s="918"/>
      <c r="HI211" s="918"/>
      <c r="HJ211" s="918"/>
      <c r="HK211" s="918"/>
      <c r="HL211" s="918"/>
      <c r="HM211" s="918"/>
      <c r="HN211" s="918"/>
      <c r="HO211" s="918"/>
      <c r="HP211" s="918"/>
      <c r="HQ211" s="918"/>
      <c r="HR211" s="918"/>
      <c r="HS211" s="918"/>
      <c r="HT211" s="918"/>
      <c r="HU211" s="918"/>
      <c r="HV211" s="918"/>
      <c r="HW211" s="918"/>
      <c r="HX211" s="918"/>
      <c r="HY211" s="918"/>
      <c r="HZ211" s="918"/>
      <c r="IA211" s="918"/>
      <c r="IB211" s="918"/>
      <c r="IC211" s="918"/>
      <c r="ID211" s="918"/>
      <c r="IE211" s="918"/>
      <c r="IF211" s="918"/>
      <c r="IG211" s="918"/>
      <c r="IH211" s="918"/>
      <c r="II211" s="918"/>
      <c r="IJ211" s="918"/>
      <c r="IK211" s="918"/>
      <c r="IL211" s="918"/>
      <c r="IM211" s="918"/>
      <c r="IN211" s="918"/>
    </row>
    <row r="212" spans="1:248">
      <c r="A212" s="615" t="s">
        <v>25</v>
      </c>
      <c r="B212" s="617">
        <v>14810.3</v>
      </c>
      <c r="C212" s="617">
        <f>+B212/H212*100</f>
        <v>29.110754250064375</v>
      </c>
      <c r="D212" s="618">
        <v>14712.1</v>
      </c>
      <c r="E212" s="919">
        <f>D212/H212*100</f>
        <v>28.917734792838235</v>
      </c>
      <c r="F212" s="919">
        <f>+B212-D212</f>
        <v>98.199999999998909</v>
      </c>
      <c r="G212" s="919">
        <f t="shared" si="28"/>
        <v>0.19301945722613922</v>
      </c>
      <c r="H212" s="333">
        <v>50875.7</v>
      </c>
      <c r="I212" s="918"/>
      <c r="J212" s="918"/>
      <c r="K212" s="918"/>
      <c r="L212" s="918"/>
      <c r="M212" s="918"/>
      <c r="N212" s="918"/>
      <c r="O212" s="918"/>
      <c r="P212" s="918"/>
      <c r="Q212" s="918"/>
      <c r="R212" s="918"/>
      <c r="S212" s="918"/>
      <c r="T212" s="918"/>
      <c r="U212" s="918"/>
      <c r="V212" s="918"/>
      <c r="W212" s="918"/>
      <c r="X212" s="918"/>
      <c r="Y212" s="918"/>
      <c r="Z212" s="918"/>
      <c r="AA212" s="918"/>
      <c r="AB212" s="918"/>
      <c r="AC212" s="918"/>
      <c r="AD212" s="918"/>
      <c r="AE212" s="918"/>
      <c r="AF212" s="918"/>
      <c r="AG212" s="918"/>
      <c r="AH212" s="918"/>
      <c r="AI212" s="918"/>
      <c r="AJ212" s="918"/>
      <c r="AK212" s="918"/>
      <c r="AL212" s="918"/>
      <c r="AM212" s="918"/>
      <c r="AN212" s="918"/>
      <c r="AO212" s="918"/>
      <c r="AP212" s="918"/>
      <c r="AQ212" s="918"/>
      <c r="AR212" s="918"/>
      <c r="AS212" s="918"/>
      <c r="AT212" s="918"/>
      <c r="AU212" s="918"/>
      <c r="AV212" s="918"/>
      <c r="AW212" s="918"/>
      <c r="AX212" s="918"/>
      <c r="AY212" s="918"/>
      <c r="AZ212" s="918"/>
      <c r="BA212" s="918"/>
      <c r="BB212" s="918"/>
      <c r="BC212" s="918"/>
      <c r="BD212" s="918"/>
      <c r="BE212" s="918"/>
      <c r="BF212" s="918"/>
      <c r="BG212" s="918"/>
      <c r="BH212" s="918"/>
      <c r="BI212" s="918"/>
      <c r="BJ212" s="918"/>
      <c r="BK212" s="918"/>
      <c r="BL212" s="918"/>
      <c r="BM212" s="918"/>
      <c r="BN212" s="918"/>
      <c r="BO212" s="918"/>
      <c r="BP212" s="918"/>
      <c r="BQ212" s="918"/>
      <c r="BR212" s="918"/>
      <c r="BS212" s="918"/>
      <c r="BT212" s="918"/>
      <c r="BU212" s="918"/>
      <c r="BV212" s="918"/>
      <c r="BW212" s="918"/>
      <c r="BX212" s="918"/>
      <c r="BY212" s="918"/>
      <c r="BZ212" s="918"/>
      <c r="CA212" s="918"/>
      <c r="CB212" s="918"/>
      <c r="CC212" s="918"/>
      <c r="CD212" s="918"/>
      <c r="CE212" s="918"/>
      <c r="CF212" s="918"/>
      <c r="CG212" s="918"/>
      <c r="CH212" s="918"/>
      <c r="CI212" s="918"/>
      <c r="CJ212" s="918"/>
      <c r="CK212" s="918"/>
      <c r="CL212" s="918"/>
      <c r="CM212" s="918"/>
      <c r="CN212" s="918"/>
      <c r="CO212" s="918"/>
      <c r="CP212" s="918"/>
      <c r="CQ212" s="918"/>
      <c r="CR212" s="918"/>
      <c r="CS212" s="918"/>
      <c r="CT212" s="918"/>
      <c r="CU212" s="918"/>
      <c r="CV212" s="918"/>
      <c r="CW212" s="918"/>
      <c r="CX212" s="918"/>
      <c r="CY212" s="918"/>
      <c r="CZ212" s="918"/>
      <c r="DA212" s="918"/>
      <c r="DB212" s="918"/>
      <c r="DC212" s="918"/>
      <c r="DD212" s="918"/>
      <c r="DE212" s="918"/>
      <c r="DF212" s="918"/>
      <c r="DG212" s="918"/>
      <c r="DH212" s="918"/>
      <c r="DI212" s="918"/>
      <c r="DJ212" s="918"/>
      <c r="DK212" s="918"/>
      <c r="DL212" s="918"/>
      <c r="DM212" s="918"/>
      <c r="DN212" s="918"/>
      <c r="DO212" s="918"/>
      <c r="DP212" s="918"/>
      <c r="DQ212" s="918"/>
      <c r="DR212" s="918"/>
      <c r="DS212" s="918"/>
      <c r="DT212" s="918"/>
      <c r="DU212" s="918"/>
      <c r="DV212" s="918"/>
      <c r="DW212" s="918"/>
      <c r="DX212" s="918"/>
      <c r="DY212" s="918"/>
      <c r="DZ212" s="918"/>
      <c r="EA212" s="918"/>
      <c r="EB212" s="918"/>
      <c r="EC212" s="918"/>
      <c r="ED212" s="918"/>
      <c r="EE212" s="918"/>
      <c r="EF212" s="918"/>
      <c r="EG212" s="918"/>
      <c r="EH212" s="918"/>
      <c r="EI212" s="918"/>
      <c r="EJ212" s="918"/>
      <c r="EK212" s="918"/>
      <c r="EL212" s="918"/>
      <c r="EM212" s="918"/>
      <c r="EN212" s="918"/>
      <c r="EO212" s="918"/>
      <c r="EP212" s="918"/>
      <c r="EQ212" s="918"/>
      <c r="ER212" s="918"/>
      <c r="ES212" s="918"/>
      <c r="ET212" s="918"/>
      <c r="EU212" s="918"/>
      <c r="EV212" s="918"/>
      <c r="EW212" s="918"/>
      <c r="EX212" s="918"/>
      <c r="EY212" s="918"/>
      <c r="EZ212" s="918"/>
      <c r="FA212" s="918"/>
      <c r="FB212" s="918"/>
      <c r="FC212" s="918"/>
      <c r="FD212" s="918"/>
      <c r="FE212" s="918"/>
      <c r="FF212" s="918"/>
      <c r="FG212" s="918"/>
      <c r="FH212" s="918"/>
      <c r="FI212" s="918"/>
      <c r="FJ212" s="918"/>
      <c r="FK212" s="918"/>
      <c r="FL212" s="918"/>
      <c r="FM212" s="918"/>
      <c r="FN212" s="918"/>
      <c r="FO212" s="918"/>
      <c r="FP212" s="918"/>
      <c r="FQ212" s="918"/>
      <c r="FR212" s="918"/>
      <c r="FS212" s="918"/>
      <c r="FT212" s="918"/>
      <c r="FU212" s="918"/>
      <c r="FV212" s="918"/>
      <c r="FW212" s="918"/>
      <c r="FX212" s="918"/>
      <c r="FY212" s="918"/>
      <c r="FZ212" s="918"/>
      <c r="GA212" s="918"/>
      <c r="GB212" s="918"/>
      <c r="GC212" s="918"/>
      <c r="GD212" s="918"/>
      <c r="GE212" s="918"/>
      <c r="GF212" s="918"/>
      <c r="GG212" s="918"/>
      <c r="GH212" s="918"/>
      <c r="GI212" s="918"/>
      <c r="GJ212" s="918"/>
      <c r="GK212" s="918"/>
      <c r="GL212" s="918"/>
      <c r="GM212" s="918"/>
      <c r="GN212" s="918"/>
      <c r="GO212" s="918"/>
      <c r="GP212" s="918"/>
      <c r="GQ212" s="918"/>
      <c r="GR212" s="918"/>
      <c r="GS212" s="918"/>
      <c r="GT212" s="918"/>
      <c r="GU212" s="918"/>
      <c r="GV212" s="918"/>
      <c r="GW212" s="918"/>
      <c r="GX212" s="918"/>
      <c r="GY212" s="918"/>
      <c r="GZ212" s="918"/>
      <c r="HA212" s="918"/>
      <c r="HB212" s="918"/>
      <c r="HC212" s="918"/>
      <c r="HD212" s="918"/>
      <c r="HE212" s="918"/>
      <c r="HF212" s="918"/>
      <c r="HG212" s="918"/>
      <c r="HH212" s="918"/>
      <c r="HI212" s="918"/>
      <c r="HJ212" s="918"/>
      <c r="HK212" s="918"/>
      <c r="HL212" s="918"/>
      <c r="HM212" s="918"/>
      <c r="HN212" s="918"/>
      <c r="HO212" s="918"/>
      <c r="HP212" s="918"/>
      <c r="HQ212" s="918"/>
      <c r="HR212" s="918"/>
      <c r="HS212" s="918"/>
      <c r="HT212" s="918"/>
      <c r="HU212" s="918"/>
      <c r="HV212" s="918"/>
      <c r="HW212" s="918"/>
      <c r="HX212" s="918"/>
      <c r="HY212" s="918"/>
      <c r="HZ212" s="918"/>
      <c r="IA212" s="918"/>
      <c r="IB212" s="918"/>
      <c r="IC212" s="918"/>
      <c r="ID212" s="918"/>
      <c r="IE212" s="918"/>
      <c r="IF212" s="918"/>
      <c r="IG212" s="918"/>
      <c r="IH212" s="918"/>
      <c r="II212" s="918"/>
      <c r="IJ212" s="918"/>
      <c r="IK212" s="918"/>
      <c r="IL212" s="918"/>
      <c r="IM212" s="918"/>
      <c r="IN212" s="918"/>
    </row>
    <row r="213" spans="1:248">
      <c r="A213" s="615" t="s">
        <v>26</v>
      </c>
      <c r="B213" s="617">
        <v>16871.2</v>
      </c>
      <c r="C213" s="617">
        <f>+B213/H213*100</f>
        <v>28.857317811583844</v>
      </c>
      <c r="D213" s="618">
        <v>16690.599999999999</v>
      </c>
      <c r="E213" s="919">
        <f>D213/H213*100</f>
        <v>28.548410822349403</v>
      </c>
      <c r="F213" s="919">
        <f>+B213-D213</f>
        <v>180.60000000000218</v>
      </c>
      <c r="G213" s="919">
        <f t="shared" si="28"/>
        <v>0.30890698923444121</v>
      </c>
      <c r="H213" s="333">
        <v>58464.2</v>
      </c>
      <c r="I213" s="918"/>
      <c r="J213" s="918"/>
      <c r="K213" s="918"/>
      <c r="L213" s="918"/>
      <c r="M213" s="918"/>
      <c r="N213" s="918"/>
      <c r="O213" s="918"/>
      <c r="P213" s="918"/>
      <c r="Q213" s="918"/>
      <c r="R213" s="918"/>
      <c r="S213" s="918"/>
      <c r="T213" s="918"/>
      <c r="U213" s="918"/>
      <c r="V213" s="918"/>
      <c r="W213" s="918"/>
      <c r="X213" s="918"/>
      <c r="Y213" s="918"/>
      <c r="Z213" s="918"/>
      <c r="AA213" s="918"/>
      <c r="AB213" s="918"/>
      <c r="AC213" s="918"/>
      <c r="AD213" s="918"/>
      <c r="AE213" s="918"/>
      <c r="AF213" s="918"/>
      <c r="AG213" s="918"/>
      <c r="AH213" s="918"/>
      <c r="AI213" s="918"/>
      <c r="AJ213" s="918"/>
      <c r="AK213" s="918"/>
      <c r="AL213" s="918"/>
      <c r="AM213" s="918"/>
      <c r="AN213" s="918"/>
      <c r="AO213" s="918"/>
      <c r="AP213" s="918"/>
      <c r="AQ213" s="918"/>
      <c r="AR213" s="918"/>
      <c r="AS213" s="918"/>
      <c r="AT213" s="918"/>
      <c r="AU213" s="918"/>
      <c r="AV213" s="918"/>
      <c r="AW213" s="918"/>
      <c r="AX213" s="918"/>
      <c r="AY213" s="918"/>
      <c r="AZ213" s="918"/>
      <c r="BA213" s="918"/>
      <c r="BB213" s="918"/>
      <c r="BC213" s="918"/>
      <c r="BD213" s="918"/>
      <c r="BE213" s="918"/>
      <c r="BF213" s="918"/>
      <c r="BG213" s="918"/>
      <c r="BH213" s="918"/>
      <c r="BI213" s="918"/>
      <c r="BJ213" s="918"/>
      <c r="BK213" s="918"/>
      <c r="BL213" s="918"/>
      <c r="BM213" s="918"/>
      <c r="BN213" s="918"/>
      <c r="BO213" s="918"/>
      <c r="BP213" s="918"/>
      <c r="BQ213" s="918"/>
      <c r="BR213" s="918"/>
      <c r="BS213" s="918"/>
      <c r="BT213" s="918"/>
      <c r="BU213" s="918"/>
      <c r="BV213" s="918"/>
      <c r="BW213" s="918"/>
      <c r="BX213" s="918"/>
      <c r="BY213" s="918"/>
      <c r="BZ213" s="918"/>
      <c r="CA213" s="918"/>
      <c r="CB213" s="918"/>
      <c r="CC213" s="918"/>
      <c r="CD213" s="918"/>
      <c r="CE213" s="918"/>
      <c r="CF213" s="918"/>
      <c r="CG213" s="918"/>
      <c r="CH213" s="918"/>
      <c r="CI213" s="918"/>
      <c r="CJ213" s="918"/>
      <c r="CK213" s="918"/>
      <c r="CL213" s="918"/>
      <c r="CM213" s="918"/>
      <c r="CN213" s="918"/>
      <c r="CO213" s="918"/>
      <c r="CP213" s="918"/>
      <c r="CQ213" s="918"/>
      <c r="CR213" s="918"/>
      <c r="CS213" s="918"/>
      <c r="CT213" s="918"/>
      <c r="CU213" s="918"/>
      <c r="CV213" s="918"/>
      <c r="CW213" s="918"/>
      <c r="CX213" s="918"/>
      <c r="CY213" s="918"/>
      <c r="CZ213" s="918"/>
      <c r="DA213" s="918"/>
      <c r="DB213" s="918"/>
      <c r="DC213" s="918"/>
      <c r="DD213" s="918"/>
      <c r="DE213" s="918"/>
      <c r="DF213" s="918"/>
      <c r="DG213" s="918"/>
      <c r="DH213" s="918"/>
      <c r="DI213" s="918"/>
      <c r="DJ213" s="918"/>
      <c r="DK213" s="918"/>
      <c r="DL213" s="918"/>
      <c r="DM213" s="918"/>
      <c r="DN213" s="918"/>
      <c r="DO213" s="918"/>
      <c r="DP213" s="918"/>
      <c r="DQ213" s="918"/>
      <c r="DR213" s="918"/>
      <c r="DS213" s="918"/>
      <c r="DT213" s="918"/>
      <c r="DU213" s="918"/>
      <c r="DV213" s="918"/>
      <c r="DW213" s="918"/>
      <c r="DX213" s="918"/>
      <c r="DY213" s="918"/>
      <c r="DZ213" s="918"/>
      <c r="EA213" s="918"/>
      <c r="EB213" s="918"/>
      <c r="EC213" s="918"/>
      <c r="ED213" s="918"/>
      <c r="EE213" s="918"/>
      <c r="EF213" s="918"/>
      <c r="EG213" s="918"/>
      <c r="EH213" s="918"/>
      <c r="EI213" s="918"/>
      <c r="EJ213" s="918"/>
      <c r="EK213" s="918"/>
      <c r="EL213" s="918"/>
      <c r="EM213" s="918"/>
      <c r="EN213" s="918"/>
      <c r="EO213" s="918"/>
      <c r="EP213" s="918"/>
      <c r="EQ213" s="918"/>
      <c r="ER213" s="918"/>
      <c r="ES213" s="918"/>
      <c r="ET213" s="918"/>
      <c r="EU213" s="918"/>
      <c r="EV213" s="918"/>
      <c r="EW213" s="918"/>
      <c r="EX213" s="918"/>
      <c r="EY213" s="918"/>
      <c r="EZ213" s="918"/>
      <c r="FA213" s="918"/>
      <c r="FB213" s="918"/>
      <c r="FC213" s="918"/>
      <c r="FD213" s="918"/>
      <c r="FE213" s="918"/>
      <c r="FF213" s="918"/>
      <c r="FG213" s="918"/>
      <c r="FH213" s="918"/>
      <c r="FI213" s="918"/>
      <c r="FJ213" s="918"/>
      <c r="FK213" s="918"/>
      <c r="FL213" s="918"/>
      <c r="FM213" s="918"/>
      <c r="FN213" s="918"/>
      <c r="FO213" s="918"/>
      <c r="FP213" s="918"/>
      <c r="FQ213" s="918"/>
      <c r="FR213" s="918"/>
      <c r="FS213" s="918"/>
      <c r="FT213" s="918"/>
      <c r="FU213" s="918"/>
      <c r="FV213" s="918"/>
      <c r="FW213" s="918"/>
      <c r="FX213" s="918"/>
      <c r="FY213" s="918"/>
      <c r="FZ213" s="918"/>
      <c r="GA213" s="918"/>
      <c r="GB213" s="918"/>
      <c r="GC213" s="918"/>
      <c r="GD213" s="918"/>
      <c r="GE213" s="918"/>
      <c r="GF213" s="918"/>
      <c r="GG213" s="918"/>
      <c r="GH213" s="918"/>
      <c r="GI213" s="918"/>
      <c r="GJ213" s="918"/>
      <c r="GK213" s="918"/>
      <c r="GL213" s="918"/>
      <c r="GM213" s="918"/>
      <c r="GN213" s="918"/>
      <c r="GO213" s="918"/>
      <c r="GP213" s="918"/>
      <c r="GQ213" s="918"/>
      <c r="GR213" s="918"/>
      <c r="GS213" s="918"/>
      <c r="GT213" s="918"/>
      <c r="GU213" s="918"/>
      <c r="GV213" s="918"/>
      <c r="GW213" s="918"/>
      <c r="GX213" s="918"/>
      <c r="GY213" s="918"/>
      <c r="GZ213" s="918"/>
      <c r="HA213" s="918"/>
      <c r="HB213" s="918"/>
      <c r="HC213" s="918"/>
      <c r="HD213" s="918"/>
      <c r="HE213" s="918"/>
      <c r="HF213" s="918"/>
      <c r="HG213" s="918"/>
      <c r="HH213" s="918"/>
      <c r="HI213" s="918"/>
      <c r="HJ213" s="918"/>
      <c r="HK213" s="918"/>
      <c r="HL213" s="918"/>
      <c r="HM213" s="918"/>
      <c r="HN213" s="918"/>
      <c r="HO213" s="918"/>
      <c r="HP213" s="918"/>
      <c r="HQ213" s="918"/>
      <c r="HR213" s="918"/>
      <c r="HS213" s="918"/>
      <c r="HT213" s="918"/>
      <c r="HU213" s="918"/>
      <c r="HV213" s="918"/>
      <c r="HW213" s="918"/>
      <c r="HX213" s="918"/>
      <c r="HY213" s="918"/>
      <c r="HZ213" s="918"/>
      <c r="IA213" s="918"/>
      <c r="IB213" s="918"/>
      <c r="IC213" s="918"/>
      <c r="ID213" s="918"/>
      <c r="IE213" s="918"/>
      <c r="IF213" s="918"/>
      <c r="IG213" s="918"/>
      <c r="IH213" s="918"/>
      <c r="II213" s="918"/>
      <c r="IJ213" s="918"/>
      <c r="IK213" s="918"/>
      <c r="IL213" s="918"/>
      <c r="IM213" s="918"/>
      <c r="IN213" s="918"/>
    </row>
    <row r="214" spans="1:248">
      <c r="A214" s="615" t="s">
        <v>27</v>
      </c>
      <c r="B214" s="617">
        <v>19273.900000000001</v>
      </c>
      <c r="C214" s="617">
        <f>+B214/H214*100</f>
        <v>29.46399225866811</v>
      </c>
      <c r="D214" s="618">
        <v>18433.599999999999</v>
      </c>
      <c r="E214" s="919">
        <f>D214/H214*100</f>
        <v>28.17942646269745</v>
      </c>
      <c r="F214" s="919">
        <f>+B214-D214</f>
        <v>840.30000000000291</v>
      </c>
      <c r="G214" s="919">
        <f t="shared" si="28"/>
        <v>1.2845657959706596</v>
      </c>
      <c r="H214" s="333">
        <v>65415.1</v>
      </c>
      <c r="I214" s="918"/>
      <c r="J214" s="918"/>
      <c r="K214" s="918"/>
      <c r="L214" s="918"/>
      <c r="M214" s="918"/>
      <c r="N214" s="918"/>
      <c r="O214" s="918"/>
      <c r="P214" s="918"/>
      <c r="Q214" s="918"/>
      <c r="R214" s="918"/>
      <c r="S214" s="918"/>
      <c r="T214" s="918"/>
      <c r="U214" s="918"/>
      <c r="V214" s="918"/>
      <c r="W214" s="918"/>
      <c r="X214" s="918"/>
      <c r="Y214" s="918"/>
      <c r="Z214" s="918"/>
      <c r="AA214" s="918"/>
      <c r="AB214" s="918"/>
      <c r="AC214" s="918"/>
      <c r="AD214" s="918"/>
      <c r="AE214" s="918"/>
      <c r="AF214" s="918"/>
      <c r="AG214" s="918"/>
      <c r="AH214" s="918"/>
      <c r="AI214" s="918"/>
      <c r="AJ214" s="918"/>
      <c r="AK214" s="918"/>
      <c r="AL214" s="918"/>
      <c r="AM214" s="918"/>
      <c r="AN214" s="918"/>
      <c r="AO214" s="918"/>
      <c r="AP214" s="918"/>
      <c r="AQ214" s="918"/>
      <c r="AR214" s="918"/>
      <c r="AS214" s="918"/>
      <c r="AT214" s="918"/>
      <c r="AU214" s="918"/>
      <c r="AV214" s="918"/>
      <c r="AW214" s="918"/>
      <c r="AX214" s="918"/>
      <c r="AY214" s="918"/>
      <c r="AZ214" s="918"/>
      <c r="BA214" s="918"/>
      <c r="BB214" s="918"/>
      <c r="BC214" s="918"/>
      <c r="BD214" s="918"/>
      <c r="BE214" s="918"/>
      <c r="BF214" s="918"/>
      <c r="BG214" s="918"/>
      <c r="BH214" s="918"/>
      <c r="BI214" s="918"/>
      <c r="BJ214" s="918"/>
      <c r="BK214" s="918"/>
      <c r="BL214" s="918"/>
      <c r="BM214" s="918"/>
      <c r="BN214" s="918"/>
      <c r="BO214" s="918"/>
      <c r="BP214" s="918"/>
      <c r="BQ214" s="918"/>
      <c r="BR214" s="918"/>
      <c r="BS214" s="918"/>
      <c r="BT214" s="918"/>
      <c r="BU214" s="918"/>
      <c r="BV214" s="918"/>
      <c r="BW214" s="918"/>
      <c r="BX214" s="918"/>
      <c r="BY214" s="918"/>
      <c r="BZ214" s="918"/>
      <c r="CA214" s="918"/>
      <c r="CB214" s="918"/>
      <c r="CC214" s="918"/>
      <c r="CD214" s="918"/>
      <c r="CE214" s="918"/>
      <c r="CF214" s="918"/>
      <c r="CG214" s="918"/>
      <c r="CH214" s="918"/>
      <c r="CI214" s="918"/>
      <c r="CJ214" s="918"/>
      <c r="CK214" s="918"/>
      <c r="CL214" s="918"/>
      <c r="CM214" s="918"/>
      <c r="CN214" s="918"/>
      <c r="CO214" s="918"/>
      <c r="CP214" s="918"/>
      <c r="CQ214" s="918"/>
      <c r="CR214" s="918"/>
      <c r="CS214" s="918"/>
      <c r="CT214" s="918"/>
      <c r="CU214" s="918"/>
      <c r="CV214" s="918"/>
      <c r="CW214" s="918"/>
      <c r="CX214" s="918"/>
      <c r="CY214" s="918"/>
      <c r="CZ214" s="918"/>
      <c r="DA214" s="918"/>
      <c r="DB214" s="918"/>
      <c r="DC214" s="918"/>
      <c r="DD214" s="918"/>
      <c r="DE214" s="918"/>
      <c r="DF214" s="918"/>
      <c r="DG214" s="918"/>
      <c r="DH214" s="918"/>
      <c r="DI214" s="918"/>
      <c r="DJ214" s="918"/>
      <c r="DK214" s="918"/>
      <c r="DL214" s="918"/>
      <c r="DM214" s="918"/>
      <c r="DN214" s="918"/>
      <c r="DO214" s="918"/>
      <c r="DP214" s="918"/>
      <c r="DQ214" s="918"/>
      <c r="DR214" s="918"/>
      <c r="DS214" s="918"/>
      <c r="DT214" s="918"/>
      <c r="DU214" s="918"/>
      <c r="DV214" s="918"/>
      <c r="DW214" s="918"/>
      <c r="DX214" s="918"/>
      <c r="DY214" s="918"/>
      <c r="DZ214" s="918"/>
      <c r="EA214" s="918"/>
      <c r="EB214" s="918"/>
      <c r="EC214" s="918"/>
      <c r="ED214" s="918"/>
      <c r="EE214" s="918"/>
      <c r="EF214" s="918"/>
      <c r="EG214" s="918"/>
      <c r="EH214" s="918"/>
      <c r="EI214" s="918"/>
      <c r="EJ214" s="918"/>
      <c r="EK214" s="918"/>
      <c r="EL214" s="918"/>
      <c r="EM214" s="918"/>
      <c r="EN214" s="918"/>
      <c r="EO214" s="918"/>
      <c r="EP214" s="918"/>
      <c r="EQ214" s="918"/>
      <c r="ER214" s="918"/>
      <c r="ES214" s="918"/>
      <c r="ET214" s="918"/>
      <c r="EU214" s="918"/>
      <c r="EV214" s="918"/>
      <c r="EW214" s="918"/>
      <c r="EX214" s="918"/>
      <c r="EY214" s="918"/>
      <c r="EZ214" s="918"/>
      <c r="FA214" s="918"/>
      <c r="FB214" s="918"/>
      <c r="FC214" s="918"/>
      <c r="FD214" s="918"/>
      <c r="FE214" s="918"/>
      <c r="FF214" s="918"/>
      <c r="FG214" s="918"/>
      <c r="FH214" s="918"/>
      <c r="FI214" s="918"/>
      <c r="FJ214" s="918"/>
      <c r="FK214" s="918"/>
      <c r="FL214" s="918"/>
      <c r="FM214" s="918"/>
      <c r="FN214" s="918"/>
      <c r="FO214" s="918"/>
      <c r="FP214" s="918"/>
      <c r="FQ214" s="918"/>
      <c r="FR214" s="918"/>
      <c r="FS214" s="918"/>
      <c r="FT214" s="918"/>
      <c r="FU214" s="918"/>
      <c r="FV214" s="918"/>
      <c r="FW214" s="918"/>
      <c r="FX214" s="918"/>
      <c r="FY214" s="918"/>
      <c r="FZ214" s="918"/>
      <c r="GA214" s="918"/>
      <c r="GB214" s="918"/>
      <c r="GC214" s="918"/>
      <c r="GD214" s="918"/>
      <c r="GE214" s="918"/>
      <c r="GF214" s="918"/>
      <c r="GG214" s="918"/>
      <c r="GH214" s="918"/>
      <c r="GI214" s="918"/>
      <c r="GJ214" s="918"/>
      <c r="GK214" s="918"/>
      <c r="GL214" s="918"/>
      <c r="GM214" s="918"/>
      <c r="GN214" s="918"/>
      <c r="GO214" s="918"/>
      <c r="GP214" s="918"/>
      <c r="GQ214" s="918"/>
      <c r="GR214" s="918"/>
      <c r="GS214" s="918"/>
      <c r="GT214" s="918"/>
      <c r="GU214" s="918"/>
      <c r="GV214" s="918"/>
      <c r="GW214" s="918"/>
      <c r="GX214" s="918"/>
      <c r="GY214" s="918"/>
      <c r="GZ214" s="918"/>
      <c r="HA214" s="918"/>
      <c r="HB214" s="918"/>
      <c r="HC214" s="918"/>
      <c r="HD214" s="918"/>
      <c r="HE214" s="918"/>
      <c r="HF214" s="918"/>
      <c r="HG214" s="918"/>
      <c r="HH214" s="918"/>
      <c r="HI214" s="918"/>
      <c r="HJ214" s="918"/>
      <c r="HK214" s="918"/>
      <c r="HL214" s="918"/>
      <c r="HM214" s="918"/>
      <c r="HN214" s="918"/>
      <c r="HO214" s="918"/>
      <c r="HP214" s="918"/>
      <c r="HQ214" s="918"/>
      <c r="HR214" s="918"/>
      <c r="HS214" s="918"/>
      <c r="HT214" s="918"/>
      <c r="HU214" s="918"/>
      <c r="HV214" s="918"/>
      <c r="HW214" s="918"/>
      <c r="HX214" s="918"/>
      <c r="HY214" s="918"/>
      <c r="HZ214" s="918"/>
      <c r="IA214" s="918"/>
      <c r="IB214" s="918"/>
      <c r="IC214" s="918"/>
      <c r="ID214" s="918"/>
      <c r="IE214" s="918"/>
      <c r="IF214" s="918"/>
      <c r="IG214" s="918"/>
      <c r="IH214" s="918"/>
      <c r="II214" s="918"/>
      <c r="IJ214" s="918"/>
      <c r="IK214" s="918"/>
      <c r="IL214" s="918"/>
      <c r="IM214" s="918"/>
      <c r="IN214" s="918"/>
    </row>
    <row r="215" spans="1:248">
      <c r="A215" s="615" t="s">
        <v>28</v>
      </c>
      <c r="B215" s="617">
        <v>21132.2</v>
      </c>
      <c r="C215" s="617">
        <f>+B215/H215*100</f>
        <v>29.006948314532714</v>
      </c>
      <c r="D215" s="618">
        <v>20175.3</v>
      </c>
      <c r="E215" s="919">
        <f>D215/H215*100</f>
        <v>27.693467046980054</v>
      </c>
      <c r="F215" s="919">
        <f>+B215-D215</f>
        <v>956.90000000000146</v>
      </c>
      <c r="G215" s="919">
        <f t="shared" si="28"/>
        <v>1.3134812675526635</v>
      </c>
      <c r="H215" s="333">
        <v>72852.2</v>
      </c>
      <c r="I215" s="918"/>
      <c r="J215" s="918"/>
      <c r="K215" s="918"/>
      <c r="L215" s="918"/>
      <c r="M215" s="918"/>
      <c r="N215" s="918"/>
      <c r="O215" s="918"/>
      <c r="P215" s="918"/>
      <c r="Q215" s="918"/>
      <c r="R215" s="918"/>
      <c r="S215" s="918"/>
      <c r="T215" s="918"/>
      <c r="U215" s="918"/>
      <c r="V215" s="918"/>
      <c r="W215" s="918"/>
      <c r="X215" s="918"/>
      <c r="Y215" s="918"/>
      <c r="Z215" s="918"/>
      <c r="AA215" s="918"/>
      <c r="AB215" s="918"/>
      <c r="AC215" s="918"/>
      <c r="AD215" s="918"/>
      <c r="AE215" s="918"/>
      <c r="AF215" s="918"/>
      <c r="AG215" s="918"/>
      <c r="AH215" s="918"/>
      <c r="AI215" s="918"/>
      <c r="AJ215" s="918"/>
      <c r="AK215" s="918"/>
      <c r="AL215" s="918"/>
      <c r="AM215" s="918"/>
      <c r="AN215" s="918"/>
      <c r="AO215" s="918"/>
      <c r="AP215" s="918"/>
      <c r="AQ215" s="918"/>
      <c r="AR215" s="918"/>
      <c r="AS215" s="918"/>
      <c r="AT215" s="918"/>
      <c r="AU215" s="918"/>
      <c r="AV215" s="918"/>
      <c r="AW215" s="918"/>
      <c r="AX215" s="918"/>
      <c r="AY215" s="918"/>
      <c r="AZ215" s="918"/>
      <c r="BA215" s="918"/>
      <c r="BB215" s="918"/>
      <c r="BC215" s="918"/>
      <c r="BD215" s="918"/>
      <c r="BE215" s="918"/>
      <c r="BF215" s="918"/>
      <c r="BG215" s="918"/>
      <c r="BH215" s="918"/>
      <c r="BI215" s="918"/>
      <c r="BJ215" s="918"/>
      <c r="BK215" s="918"/>
      <c r="BL215" s="918"/>
      <c r="BM215" s="918"/>
      <c r="BN215" s="918"/>
      <c r="BO215" s="918"/>
      <c r="BP215" s="918"/>
      <c r="BQ215" s="918"/>
      <c r="BR215" s="918"/>
      <c r="BS215" s="918"/>
      <c r="BT215" s="918"/>
      <c r="BU215" s="918"/>
      <c r="BV215" s="918"/>
      <c r="BW215" s="918"/>
      <c r="BX215" s="918"/>
      <c r="BY215" s="918"/>
      <c r="BZ215" s="918"/>
      <c r="CA215" s="918"/>
      <c r="CB215" s="918"/>
      <c r="CC215" s="918"/>
      <c r="CD215" s="918"/>
      <c r="CE215" s="918"/>
      <c r="CF215" s="918"/>
      <c r="CG215" s="918"/>
      <c r="CH215" s="918"/>
      <c r="CI215" s="918"/>
      <c r="CJ215" s="918"/>
      <c r="CK215" s="918"/>
      <c r="CL215" s="918"/>
      <c r="CM215" s="918"/>
      <c r="CN215" s="918"/>
      <c r="CO215" s="918"/>
      <c r="CP215" s="918"/>
      <c r="CQ215" s="918"/>
      <c r="CR215" s="918"/>
      <c r="CS215" s="918"/>
      <c r="CT215" s="918"/>
      <c r="CU215" s="918"/>
      <c r="CV215" s="918"/>
      <c r="CW215" s="918"/>
      <c r="CX215" s="918"/>
      <c r="CY215" s="918"/>
      <c r="CZ215" s="918"/>
      <c r="DA215" s="918"/>
      <c r="DB215" s="918"/>
      <c r="DC215" s="918"/>
      <c r="DD215" s="918"/>
      <c r="DE215" s="918"/>
      <c r="DF215" s="918"/>
      <c r="DG215" s="918"/>
      <c r="DH215" s="918"/>
      <c r="DI215" s="918"/>
      <c r="DJ215" s="918"/>
      <c r="DK215" s="918"/>
      <c r="DL215" s="918"/>
      <c r="DM215" s="918"/>
      <c r="DN215" s="918"/>
      <c r="DO215" s="918"/>
      <c r="DP215" s="918"/>
      <c r="DQ215" s="918"/>
      <c r="DR215" s="918"/>
      <c r="DS215" s="918"/>
      <c r="DT215" s="918"/>
      <c r="DU215" s="918"/>
      <c r="DV215" s="918"/>
      <c r="DW215" s="918"/>
      <c r="DX215" s="918"/>
      <c r="DY215" s="918"/>
      <c r="DZ215" s="918"/>
      <c r="EA215" s="918"/>
      <c r="EB215" s="918"/>
      <c r="EC215" s="918"/>
      <c r="ED215" s="918"/>
      <c r="EE215" s="918"/>
      <c r="EF215" s="918"/>
      <c r="EG215" s="918"/>
      <c r="EH215" s="918"/>
      <c r="EI215" s="918"/>
      <c r="EJ215" s="918"/>
      <c r="EK215" s="918"/>
      <c r="EL215" s="918"/>
      <c r="EM215" s="918"/>
      <c r="EN215" s="918"/>
      <c r="EO215" s="918"/>
      <c r="EP215" s="918"/>
      <c r="EQ215" s="918"/>
      <c r="ER215" s="918"/>
      <c r="ES215" s="918"/>
      <c r="ET215" s="918"/>
      <c r="EU215" s="918"/>
      <c r="EV215" s="918"/>
      <c r="EW215" s="918"/>
      <c r="EX215" s="918"/>
      <c r="EY215" s="918"/>
      <c r="EZ215" s="918"/>
      <c r="FA215" s="918"/>
      <c r="FB215" s="918"/>
      <c r="FC215" s="918"/>
      <c r="FD215" s="918"/>
      <c r="FE215" s="918"/>
      <c r="FF215" s="918"/>
      <c r="FG215" s="918"/>
      <c r="FH215" s="918"/>
      <c r="FI215" s="918"/>
      <c r="FJ215" s="918"/>
      <c r="FK215" s="918"/>
      <c r="FL215" s="918"/>
      <c r="FM215" s="918"/>
      <c r="FN215" s="918"/>
      <c r="FO215" s="918"/>
      <c r="FP215" s="918"/>
      <c r="FQ215" s="918"/>
      <c r="FR215" s="918"/>
      <c r="FS215" s="918"/>
      <c r="FT215" s="918"/>
      <c r="FU215" s="918"/>
      <c r="FV215" s="918"/>
      <c r="FW215" s="918"/>
      <c r="FX215" s="918"/>
      <c r="FY215" s="918"/>
      <c r="FZ215" s="918"/>
      <c r="GA215" s="918"/>
      <c r="GB215" s="918"/>
      <c r="GC215" s="918"/>
      <c r="GD215" s="918"/>
      <c r="GE215" s="918"/>
      <c r="GF215" s="918"/>
      <c r="GG215" s="918"/>
      <c r="GH215" s="918"/>
      <c r="GI215" s="918"/>
      <c r="GJ215" s="918"/>
      <c r="GK215" s="918"/>
      <c r="GL215" s="918"/>
      <c r="GM215" s="918"/>
      <c r="GN215" s="918"/>
      <c r="GO215" s="918"/>
      <c r="GP215" s="918"/>
      <c r="GQ215" s="918"/>
      <c r="GR215" s="918"/>
      <c r="GS215" s="918"/>
      <c r="GT215" s="918"/>
      <c r="GU215" s="918"/>
      <c r="GV215" s="918"/>
      <c r="GW215" s="918"/>
      <c r="GX215" s="918"/>
      <c r="GY215" s="918"/>
      <c r="GZ215" s="918"/>
      <c r="HA215" s="918"/>
      <c r="HB215" s="918"/>
      <c r="HC215" s="918"/>
      <c r="HD215" s="918"/>
      <c r="HE215" s="918"/>
      <c r="HF215" s="918"/>
      <c r="HG215" s="918"/>
      <c r="HH215" s="918"/>
      <c r="HI215" s="918"/>
      <c r="HJ215" s="918"/>
      <c r="HK215" s="918"/>
      <c r="HL215" s="918"/>
      <c r="HM215" s="918"/>
      <c r="HN215" s="918"/>
      <c r="HO215" s="918"/>
      <c r="HP215" s="918"/>
      <c r="HQ215" s="918"/>
      <c r="HR215" s="918"/>
      <c r="HS215" s="918"/>
      <c r="HT215" s="918"/>
      <c r="HU215" s="918"/>
      <c r="HV215" s="918"/>
      <c r="HW215" s="918"/>
      <c r="HX215" s="918"/>
      <c r="HY215" s="918"/>
      <c r="HZ215" s="918"/>
      <c r="IA215" s="918"/>
      <c r="IB215" s="918"/>
      <c r="IC215" s="918"/>
      <c r="ID215" s="918"/>
      <c r="IE215" s="918"/>
      <c r="IF215" s="918"/>
      <c r="IG215" s="918"/>
      <c r="IH215" s="918"/>
      <c r="II215" s="918"/>
      <c r="IJ215" s="918"/>
      <c r="IK215" s="918"/>
      <c r="IL215" s="918"/>
      <c r="IM215" s="918"/>
      <c r="IN215" s="918"/>
    </row>
    <row r="216" spans="1:248">
      <c r="A216" s="615" t="s">
        <v>29</v>
      </c>
      <c r="B216" s="617">
        <v>24218.1</v>
      </c>
      <c r="C216" s="617">
        <v>29.626963430908042</v>
      </c>
      <c r="D216" s="618">
        <v>24425.9</v>
      </c>
      <c r="E216" s="919">
        <v>29.878184645143911</v>
      </c>
      <c r="F216" s="919">
        <v>-207.80000000000291</v>
      </c>
      <c r="G216" s="919">
        <f t="shared" si="28"/>
        <v>-0.25373582657071136</v>
      </c>
      <c r="H216" s="333">
        <v>81896.2</v>
      </c>
      <c r="I216" s="918"/>
      <c r="J216" s="918"/>
      <c r="K216" s="918"/>
      <c r="L216" s="918"/>
      <c r="M216" s="918"/>
      <c r="N216" s="918"/>
      <c r="O216" s="918"/>
      <c r="P216" s="918"/>
      <c r="Q216" s="918"/>
      <c r="R216" s="918"/>
      <c r="S216" s="918"/>
      <c r="T216" s="918"/>
      <c r="U216" s="918"/>
      <c r="V216" s="918"/>
      <c r="W216" s="918"/>
      <c r="X216" s="918"/>
      <c r="Y216" s="918"/>
      <c r="Z216" s="918"/>
      <c r="AA216" s="918"/>
      <c r="AB216" s="918"/>
      <c r="AC216" s="918"/>
      <c r="AD216" s="918"/>
      <c r="AE216" s="918"/>
      <c r="AF216" s="918"/>
      <c r="AG216" s="918"/>
      <c r="AH216" s="918"/>
      <c r="AI216" s="918"/>
      <c r="AJ216" s="918"/>
      <c r="AK216" s="918"/>
      <c r="AL216" s="918"/>
      <c r="AM216" s="918"/>
      <c r="AN216" s="918"/>
      <c r="AO216" s="918"/>
      <c r="AP216" s="918"/>
      <c r="AQ216" s="918"/>
      <c r="AR216" s="918"/>
      <c r="AS216" s="918"/>
      <c r="AT216" s="918"/>
      <c r="AU216" s="918"/>
      <c r="AV216" s="918"/>
      <c r="AW216" s="918"/>
      <c r="AX216" s="918"/>
      <c r="AY216" s="918"/>
      <c r="AZ216" s="918"/>
      <c r="BA216" s="918"/>
      <c r="BB216" s="918"/>
      <c r="BC216" s="918"/>
      <c r="BD216" s="918"/>
      <c r="BE216" s="918"/>
      <c r="BF216" s="918"/>
      <c r="BG216" s="918"/>
      <c r="BH216" s="918"/>
      <c r="BI216" s="918"/>
      <c r="BJ216" s="918"/>
      <c r="BK216" s="918"/>
      <c r="BL216" s="918"/>
      <c r="BM216" s="918"/>
      <c r="BN216" s="918"/>
      <c r="BO216" s="918"/>
      <c r="BP216" s="918"/>
      <c r="BQ216" s="918"/>
      <c r="BR216" s="918"/>
      <c r="BS216" s="918"/>
      <c r="BT216" s="918"/>
      <c r="BU216" s="918"/>
      <c r="BV216" s="918"/>
      <c r="BW216" s="918"/>
      <c r="BX216" s="918"/>
      <c r="BY216" s="918"/>
      <c r="BZ216" s="918"/>
      <c r="CA216" s="918"/>
      <c r="CB216" s="918"/>
      <c r="CC216" s="918"/>
      <c r="CD216" s="918"/>
      <c r="CE216" s="918"/>
      <c r="CF216" s="918"/>
      <c r="CG216" s="918"/>
      <c r="CH216" s="918"/>
      <c r="CI216" s="918"/>
      <c r="CJ216" s="918"/>
      <c r="CK216" s="918"/>
      <c r="CL216" s="918"/>
      <c r="CM216" s="918"/>
      <c r="CN216" s="918"/>
      <c r="CO216" s="918"/>
      <c r="CP216" s="918"/>
      <c r="CQ216" s="918"/>
      <c r="CR216" s="918"/>
      <c r="CS216" s="918"/>
      <c r="CT216" s="918"/>
      <c r="CU216" s="918"/>
      <c r="CV216" s="918"/>
      <c r="CW216" s="918"/>
      <c r="CX216" s="918"/>
      <c r="CY216" s="918"/>
      <c r="CZ216" s="918"/>
      <c r="DA216" s="918"/>
      <c r="DB216" s="918"/>
      <c r="DC216" s="918"/>
      <c r="DD216" s="918"/>
      <c r="DE216" s="918"/>
      <c r="DF216" s="918"/>
      <c r="DG216" s="918"/>
      <c r="DH216" s="918"/>
      <c r="DI216" s="918"/>
      <c r="DJ216" s="918"/>
      <c r="DK216" s="918"/>
      <c r="DL216" s="918"/>
      <c r="DM216" s="918"/>
      <c r="DN216" s="918"/>
      <c r="DO216" s="918"/>
      <c r="DP216" s="918"/>
      <c r="DQ216" s="918"/>
      <c r="DR216" s="918"/>
      <c r="DS216" s="918"/>
      <c r="DT216" s="918"/>
      <c r="DU216" s="918"/>
      <c r="DV216" s="918"/>
      <c r="DW216" s="918"/>
      <c r="DX216" s="918"/>
      <c r="DY216" s="918"/>
      <c r="DZ216" s="918"/>
      <c r="EA216" s="918"/>
      <c r="EB216" s="918"/>
      <c r="EC216" s="918"/>
      <c r="ED216" s="918"/>
      <c r="EE216" s="918"/>
      <c r="EF216" s="918"/>
      <c r="EG216" s="918"/>
      <c r="EH216" s="918"/>
      <c r="EI216" s="918"/>
      <c r="EJ216" s="918"/>
      <c r="EK216" s="918"/>
      <c r="EL216" s="918"/>
      <c r="EM216" s="918"/>
      <c r="EN216" s="918"/>
      <c r="EO216" s="918"/>
      <c r="EP216" s="918"/>
      <c r="EQ216" s="918"/>
      <c r="ER216" s="918"/>
      <c r="ES216" s="918"/>
      <c r="ET216" s="918"/>
      <c r="EU216" s="918"/>
      <c r="EV216" s="918"/>
      <c r="EW216" s="918"/>
      <c r="EX216" s="918"/>
      <c r="EY216" s="918"/>
      <c r="EZ216" s="918"/>
      <c r="FA216" s="918"/>
      <c r="FB216" s="918"/>
      <c r="FC216" s="918"/>
      <c r="FD216" s="918"/>
      <c r="FE216" s="918"/>
      <c r="FF216" s="918"/>
      <c r="FG216" s="918"/>
      <c r="FH216" s="918"/>
      <c r="FI216" s="918"/>
      <c r="FJ216" s="918"/>
      <c r="FK216" s="918"/>
      <c r="FL216" s="918"/>
      <c r="FM216" s="918"/>
      <c r="FN216" s="918"/>
      <c r="FO216" s="918"/>
      <c r="FP216" s="918"/>
      <c r="FQ216" s="918"/>
      <c r="FR216" s="918"/>
      <c r="FS216" s="918"/>
      <c r="FT216" s="918"/>
      <c r="FU216" s="918"/>
      <c r="FV216" s="918"/>
      <c r="FW216" s="918"/>
      <c r="FX216" s="918"/>
      <c r="FY216" s="918"/>
      <c r="FZ216" s="918"/>
      <c r="GA216" s="918"/>
      <c r="GB216" s="918"/>
      <c r="GC216" s="918"/>
      <c r="GD216" s="918"/>
      <c r="GE216" s="918"/>
      <c r="GF216" s="918"/>
      <c r="GG216" s="918"/>
      <c r="GH216" s="918"/>
      <c r="GI216" s="918"/>
      <c r="GJ216" s="918"/>
      <c r="GK216" s="918"/>
      <c r="GL216" s="918"/>
      <c r="GM216" s="918"/>
      <c r="GN216" s="918"/>
      <c r="GO216" s="918"/>
      <c r="GP216" s="918"/>
      <c r="GQ216" s="918"/>
      <c r="GR216" s="918"/>
      <c r="GS216" s="918"/>
      <c r="GT216" s="918"/>
      <c r="GU216" s="918"/>
      <c r="GV216" s="918"/>
      <c r="GW216" s="918"/>
      <c r="GX216" s="918"/>
      <c r="GY216" s="918"/>
      <c r="GZ216" s="918"/>
      <c r="HA216" s="918"/>
      <c r="HB216" s="918"/>
      <c r="HC216" s="918"/>
      <c r="HD216" s="918"/>
      <c r="HE216" s="918"/>
      <c r="HF216" s="918"/>
      <c r="HG216" s="918"/>
      <c r="HH216" s="918"/>
      <c r="HI216" s="918"/>
      <c r="HJ216" s="918"/>
      <c r="HK216" s="918"/>
      <c r="HL216" s="918"/>
      <c r="HM216" s="918"/>
      <c r="HN216" s="918"/>
      <c r="HO216" s="918"/>
      <c r="HP216" s="918"/>
      <c r="HQ216" s="918"/>
      <c r="HR216" s="918"/>
      <c r="HS216" s="918"/>
      <c r="HT216" s="918"/>
      <c r="HU216" s="918"/>
      <c r="HV216" s="918"/>
      <c r="HW216" s="918"/>
      <c r="HX216" s="918"/>
      <c r="HY216" s="918"/>
      <c r="HZ216" s="918"/>
      <c r="IA216" s="918"/>
      <c r="IB216" s="918"/>
      <c r="IC216" s="918"/>
      <c r="ID216" s="918"/>
      <c r="IE216" s="918"/>
      <c r="IF216" s="918"/>
      <c r="IG216" s="918"/>
      <c r="IH216" s="918"/>
      <c r="II216" s="918"/>
      <c r="IJ216" s="918"/>
      <c r="IK216" s="918"/>
      <c r="IL216" s="918"/>
      <c r="IM216" s="918"/>
      <c r="IN216" s="918"/>
    </row>
    <row r="217" spans="1:248">
      <c r="A217" s="615" t="s">
        <v>2375</v>
      </c>
      <c r="B217" s="612">
        <v>24681.7</v>
      </c>
      <c r="C217" s="612">
        <v>34.063717517899491</v>
      </c>
      <c r="D217" s="613">
        <v>26416.3</v>
      </c>
      <c r="E217" s="920">
        <v>36.471486438352002</v>
      </c>
      <c r="F217" s="920">
        <f>B217-D217</f>
        <v>-1734.5999999999985</v>
      </c>
      <c r="G217" s="920">
        <v>-2.4077689204525061</v>
      </c>
      <c r="H217" s="333"/>
      <c r="I217" s="918"/>
      <c r="J217" s="918"/>
      <c r="K217" s="918"/>
      <c r="L217" s="918"/>
      <c r="M217" s="918"/>
      <c r="N217" s="918"/>
      <c r="O217" s="918"/>
      <c r="P217" s="918"/>
      <c r="Q217" s="918"/>
      <c r="R217" s="918"/>
      <c r="S217" s="918"/>
      <c r="T217" s="918"/>
      <c r="U217" s="918"/>
      <c r="V217" s="918"/>
      <c r="W217" s="918"/>
      <c r="X217" s="918"/>
      <c r="Y217" s="918"/>
      <c r="Z217" s="918"/>
      <c r="AA217" s="918"/>
      <c r="AB217" s="918"/>
      <c r="AC217" s="918"/>
      <c r="AD217" s="918"/>
      <c r="AE217" s="918"/>
      <c r="AF217" s="918"/>
      <c r="AG217" s="918"/>
      <c r="AH217" s="918"/>
      <c r="AI217" s="918"/>
      <c r="AJ217" s="918"/>
      <c r="AK217" s="918"/>
      <c r="AL217" s="918"/>
      <c r="AM217" s="918"/>
      <c r="AN217" s="918"/>
      <c r="AO217" s="918"/>
      <c r="AP217" s="918"/>
      <c r="AQ217" s="918"/>
      <c r="AR217" s="918"/>
      <c r="AS217" s="918"/>
      <c r="AT217" s="918"/>
      <c r="AU217" s="918"/>
      <c r="AV217" s="918"/>
      <c r="AW217" s="918"/>
      <c r="AX217" s="918"/>
      <c r="AY217" s="918"/>
      <c r="AZ217" s="918"/>
      <c r="BA217" s="918"/>
      <c r="BB217" s="918"/>
      <c r="BC217" s="918"/>
      <c r="BD217" s="918"/>
      <c r="BE217" s="918"/>
      <c r="BF217" s="918"/>
      <c r="BG217" s="918"/>
      <c r="BH217" s="918"/>
      <c r="BI217" s="918"/>
      <c r="BJ217" s="918"/>
      <c r="BK217" s="918"/>
      <c r="BL217" s="918"/>
      <c r="BM217" s="918"/>
      <c r="BN217" s="918"/>
      <c r="BO217" s="918"/>
      <c r="BP217" s="918"/>
      <c r="BQ217" s="918"/>
      <c r="BR217" s="918"/>
      <c r="BS217" s="918"/>
      <c r="BT217" s="918"/>
      <c r="BU217" s="918"/>
      <c r="BV217" s="918"/>
      <c r="BW217" s="918"/>
      <c r="BX217" s="918"/>
      <c r="BY217" s="918"/>
      <c r="BZ217" s="918"/>
      <c r="CA217" s="918"/>
      <c r="CB217" s="918"/>
      <c r="CC217" s="918"/>
      <c r="CD217" s="918"/>
      <c r="CE217" s="918"/>
      <c r="CF217" s="918"/>
      <c r="CG217" s="918"/>
      <c r="CH217" s="918"/>
      <c r="CI217" s="918"/>
      <c r="CJ217" s="918"/>
      <c r="CK217" s="918"/>
      <c r="CL217" s="918"/>
      <c r="CM217" s="918"/>
      <c r="CN217" s="918"/>
      <c r="CO217" s="918"/>
      <c r="CP217" s="918"/>
      <c r="CQ217" s="918"/>
      <c r="CR217" s="918"/>
      <c r="CS217" s="918"/>
      <c r="CT217" s="918"/>
      <c r="CU217" s="918"/>
      <c r="CV217" s="918"/>
      <c r="CW217" s="918"/>
      <c r="CX217" s="918"/>
      <c r="CY217" s="918"/>
      <c r="CZ217" s="918"/>
      <c r="DA217" s="918"/>
      <c r="DB217" s="918"/>
      <c r="DC217" s="918"/>
      <c r="DD217" s="918"/>
      <c r="DE217" s="918"/>
      <c r="DF217" s="918"/>
      <c r="DG217" s="918"/>
      <c r="DH217" s="918"/>
      <c r="DI217" s="918"/>
      <c r="DJ217" s="918"/>
      <c r="DK217" s="918"/>
      <c r="DL217" s="918"/>
      <c r="DM217" s="918"/>
      <c r="DN217" s="918"/>
      <c r="DO217" s="918"/>
      <c r="DP217" s="918"/>
      <c r="DQ217" s="918"/>
      <c r="DR217" s="918"/>
      <c r="DS217" s="918"/>
      <c r="DT217" s="918"/>
      <c r="DU217" s="918"/>
      <c r="DV217" s="918"/>
      <c r="DW217" s="918"/>
      <c r="DX217" s="918"/>
      <c r="DY217" s="918"/>
      <c r="DZ217" s="918"/>
      <c r="EA217" s="918"/>
      <c r="EB217" s="918"/>
      <c r="EC217" s="918"/>
      <c r="ED217" s="918"/>
      <c r="EE217" s="918"/>
      <c r="EF217" s="918"/>
      <c r="EG217" s="918"/>
      <c r="EH217" s="918"/>
      <c r="EI217" s="918"/>
      <c r="EJ217" s="918"/>
      <c r="EK217" s="918"/>
      <c r="EL217" s="918"/>
      <c r="EM217" s="918"/>
      <c r="EN217" s="918"/>
      <c r="EO217" s="918"/>
      <c r="EP217" s="918"/>
      <c r="EQ217" s="918"/>
      <c r="ER217" s="918"/>
      <c r="ES217" s="918"/>
      <c r="ET217" s="918"/>
      <c r="EU217" s="918"/>
      <c r="EV217" s="918"/>
      <c r="EW217" s="918"/>
      <c r="EX217" s="918"/>
      <c r="EY217" s="918"/>
      <c r="EZ217" s="918"/>
      <c r="FA217" s="918"/>
      <c r="FB217" s="918"/>
      <c r="FC217" s="918"/>
      <c r="FD217" s="918"/>
      <c r="FE217" s="918"/>
      <c r="FF217" s="918"/>
      <c r="FG217" s="918"/>
      <c r="FH217" s="918"/>
      <c r="FI217" s="918"/>
      <c r="FJ217" s="918"/>
      <c r="FK217" s="918"/>
      <c r="FL217" s="918"/>
      <c r="FM217" s="918"/>
      <c r="FN217" s="918"/>
      <c r="FO217" s="918"/>
      <c r="FP217" s="918"/>
      <c r="FQ217" s="918"/>
      <c r="FR217" s="918"/>
      <c r="FS217" s="918"/>
      <c r="FT217" s="918"/>
      <c r="FU217" s="918"/>
      <c r="FV217" s="918"/>
      <c r="FW217" s="918"/>
      <c r="FX217" s="918"/>
      <c r="FY217" s="918"/>
      <c r="FZ217" s="918"/>
      <c r="GA217" s="918"/>
      <c r="GB217" s="918"/>
      <c r="GC217" s="918"/>
      <c r="GD217" s="918"/>
      <c r="GE217" s="918"/>
      <c r="GF217" s="918"/>
      <c r="GG217" s="918"/>
      <c r="GH217" s="918"/>
      <c r="GI217" s="918"/>
      <c r="GJ217" s="918"/>
      <c r="GK217" s="918"/>
      <c r="GL217" s="918"/>
      <c r="GM217" s="918"/>
      <c r="GN217" s="918"/>
      <c r="GO217" s="918"/>
      <c r="GP217" s="918"/>
      <c r="GQ217" s="918"/>
      <c r="GR217" s="918"/>
      <c r="GS217" s="918"/>
      <c r="GT217" s="918"/>
      <c r="GU217" s="918"/>
      <c r="GV217" s="918"/>
      <c r="GW217" s="918"/>
      <c r="GX217" s="918"/>
      <c r="GY217" s="918"/>
      <c r="GZ217" s="918"/>
      <c r="HA217" s="918"/>
      <c r="HB217" s="918"/>
      <c r="HC217" s="918"/>
      <c r="HD217" s="918"/>
      <c r="HE217" s="918"/>
      <c r="HF217" s="918"/>
      <c r="HG217" s="918"/>
      <c r="HH217" s="918"/>
      <c r="HI217" s="918"/>
      <c r="HJ217" s="918"/>
      <c r="HK217" s="918"/>
      <c r="HL217" s="918"/>
      <c r="HM217" s="918"/>
      <c r="HN217" s="918"/>
      <c r="HO217" s="918"/>
      <c r="HP217" s="918"/>
      <c r="HQ217" s="918"/>
      <c r="HR217" s="918"/>
      <c r="HS217" s="918"/>
      <c r="HT217" s="918"/>
      <c r="HU217" s="918"/>
      <c r="HV217" s="918"/>
      <c r="HW217" s="918"/>
      <c r="HX217" s="918"/>
      <c r="HY217" s="918"/>
      <c r="HZ217" s="918"/>
      <c r="IA217" s="918"/>
      <c r="IB217" s="918"/>
      <c r="IC217" s="918"/>
      <c r="ID217" s="918"/>
      <c r="IE217" s="918"/>
      <c r="IF217" s="918"/>
      <c r="IG217" s="918"/>
      <c r="IH217" s="918"/>
      <c r="II217" s="918"/>
      <c r="IJ217" s="918"/>
      <c r="IK217" s="918"/>
      <c r="IL217" s="918"/>
      <c r="IM217" s="918"/>
      <c r="IN217" s="918"/>
    </row>
    <row r="218" spans="1:248">
      <c r="A218" s="615" t="s">
        <v>18</v>
      </c>
      <c r="B218" s="617">
        <v>1821</v>
      </c>
      <c r="C218" s="617">
        <f t="shared" ref="C218:C229" si="29">+B218/H218*100</f>
        <v>27.396229821420516</v>
      </c>
      <c r="D218" s="618">
        <v>1402.9</v>
      </c>
      <c r="E218" s="919">
        <f t="shared" ref="E218:E229" si="30">D218/H218*100</f>
        <v>21.10607952579398</v>
      </c>
      <c r="F218" s="919">
        <f t="shared" ref="F218:F224" si="31">+B218-D218</f>
        <v>418.09999999999991</v>
      </c>
      <c r="G218" s="919">
        <f t="shared" si="28"/>
        <v>6.2901502956265318</v>
      </c>
      <c r="H218" s="333">
        <v>6646.9</v>
      </c>
      <c r="I218" s="918"/>
      <c r="J218" s="918"/>
      <c r="K218" s="918"/>
      <c r="L218" s="918"/>
      <c r="M218" s="918"/>
      <c r="N218" s="918"/>
      <c r="O218" s="918"/>
      <c r="P218" s="918"/>
      <c r="Q218" s="918"/>
      <c r="R218" s="918"/>
      <c r="S218" s="918"/>
      <c r="T218" s="918"/>
      <c r="U218" s="918"/>
      <c r="V218" s="918"/>
      <c r="W218" s="918"/>
      <c r="X218" s="918"/>
      <c r="Y218" s="918"/>
      <c r="Z218" s="918"/>
      <c r="AA218" s="918"/>
      <c r="AB218" s="918"/>
      <c r="AC218" s="918"/>
      <c r="AD218" s="918"/>
      <c r="AE218" s="918"/>
      <c r="AF218" s="918"/>
      <c r="AG218" s="918"/>
      <c r="AH218" s="918"/>
      <c r="AI218" s="918"/>
      <c r="AJ218" s="918"/>
      <c r="AK218" s="918"/>
      <c r="AL218" s="918"/>
      <c r="AM218" s="918"/>
      <c r="AN218" s="918"/>
      <c r="AO218" s="918"/>
      <c r="AP218" s="918"/>
      <c r="AQ218" s="918"/>
      <c r="AR218" s="918"/>
      <c r="AS218" s="918"/>
      <c r="AT218" s="918"/>
      <c r="AU218" s="918"/>
      <c r="AV218" s="918"/>
      <c r="AW218" s="918"/>
      <c r="AX218" s="918"/>
      <c r="AY218" s="918"/>
      <c r="AZ218" s="918"/>
      <c r="BA218" s="918"/>
      <c r="BB218" s="918"/>
      <c r="BC218" s="918"/>
      <c r="BD218" s="918"/>
      <c r="BE218" s="918"/>
      <c r="BF218" s="918"/>
      <c r="BG218" s="918"/>
      <c r="BH218" s="918"/>
      <c r="BI218" s="918"/>
      <c r="BJ218" s="918"/>
      <c r="BK218" s="918"/>
      <c r="BL218" s="918"/>
      <c r="BM218" s="918"/>
      <c r="BN218" s="918"/>
      <c r="BO218" s="918"/>
      <c r="BP218" s="918"/>
      <c r="BQ218" s="918"/>
      <c r="BR218" s="918"/>
      <c r="BS218" s="918"/>
      <c r="BT218" s="918"/>
      <c r="BU218" s="918"/>
      <c r="BV218" s="918"/>
      <c r="BW218" s="918"/>
      <c r="BX218" s="918"/>
      <c r="BY218" s="918"/>
      <c r="BZ218" s="918"/>
      <c r="CA218" s="918"/>
      <c r="CB218" s="918"/>
      <c r="CC218" s="918"/>
      <c r="CD218" s="918"/>
      <c r="CE218" s="918"/>
      <c r="CF218" s="918"/>
      <c r="CG218" s="918"/>
      <c r="CH218" s="918"/>
      <c r="CI218" s="918"/>
      <c r="CJ218" s="918"/>
      <c r="CK218" s="918"/>
      <c r="CL218" s="918"/>
      <c r="CM218" s="918"/>
      <c r="CN218" s="918"/>
      <c r="CO218" s="918"/>
      <c r="CP218" s="918"/>
      <c r="CQ218" s="918"/>
      <c r="CR218" s="918"/>
      <c r="CS218" s="918"/>
      <c r="CT218" s="918"/>
      <c r="CU218" s="918"/>
      <c r="CV218" s="918"/>
      <c r="CW218" s="918"/>
      <c r="CX218" s="918"/>
      <c r="CY218" s="918"/>
      <c r="CZ218" s="918"/>
      <c r="DA218" s="918"/>
      <c r="DB218" s="918"/>
      <c r="DC218" s="918"/>
      <c r="DD218" s="918"/>
      <c r="DE218" s="918"/>
      <c r="DF218" s="918"/>
      <c r="DG218" s="918"/>
      <c r="DH218" s="918"/>
      <c r="DI218" s="918"/>
      <c r="DJ218" s="918"/>
      <c r="DK218" s="918"/>
      <c r="DL218" s="918"/>
      <c r="DM218" s="918"/>
      <c r="DN218" s="918"/>
      <c r="DO218" s="918"/>
      <c r="DP218" s="918"/>
      <c r="DQ218" s="918"/>
      <c r="DR218" s="918"/>
      <c r="DS218" s="918"/>
      <c r="DT218" s="918"/>
      <c r="DU218" s="918"/>
      <c r="DV218" s="918"/>
      <c r="DW218" s="918"/>
      <c r="DX218" s="918"/>
      <c r="DY218" s="918"/>
      <c r="DZ218" s="918"/>
      <c r="EA218" s="918"/>
      <c r="EB218" s="918"/>
      <c r="EC218" s="918"/>
      <c r="ED218" s="918"/>
      <c r="EE218" s="918"/>
      <c r="EF218" s="918"/>
      <c r="EG218" s="918"/>
      <c r="EH218" s="918"/>
      <c r="EI218" s="918"/>
      <c r="EJ218" s="918"/>
      <c r="EK218" s="918"/>
      <c r="EL218" s="918"/>
      <c r="EM218" s="918"/>
      <c r="EN218" s="918"/>
      <c r="EO218" s="918"/>
      <c r="EP218" s="918"/>
      <c r="EQ218" s="918"/>
      <c r="ER218" s="918"/>
      <c r="ES218" s="918"/>
      <c r="ET218" s="918"/>
      <c r="EU218" s="918"/>
      <c r="EV218" s="918"/>
      <c r="EW218" s="918"/>
      <c r="EX218" s="918"/>
      <c r="EY218" s="918"/>
      <c r="EZ218" s="918"/>
      <c r="FA218" s="918"/>
      <c r="FB218" s="918"/>
      <c r="FC218" s="918"/>
      <c r="FD218" s="918"/>
      <c r="FE218" s="918"/>
      <c r="FF218" s="918"/>
      <c r="FG218" s="918"/>
      <c r="FH218" s="918"/>
      <c r="FI218" s="918"/>
      <c r="FJ218" s="918"/>
      <c r="FK218" s="918"/>
      <c r="FL218" s="918"/>
      <c r="FM218" s="918"/>
      <c r="FN218" s="918"/>
      <c r="FO218" s="918"/>
      <c r="FP218" s="918"/>
      <c r="FQ218" s="918"/>
      <c r="FR218" s="918"/>
      <c r="FS218" s="918"/>
      <c r="FT218" s="918"/>
      <c r="FU218" s="918"/>
      <c r="FV218" s="918"/>
      <c r="FW218" s="918"/>
      <c r="FX218" s="918"/>
      <c r="FY218" s="918"/>
      <c r="FZ218" s="918"/>
      <c r="GA218" s="918"/>
      <c r="GB218" s="918"/>
      <c r="GC218" s="918"/>
      <c r="GD218" s="918"/>
      <c r="GE218" s="918"/>
      <c r="GF218" s="918"/>
      <c r="GG218" s="918"/>
      <c r="GH218" s="918"/>
      <c r="GI218" s="918"/>
      <c r="GJ218" s="918"/>
      <c r="GK218" s="918"/>
      <c r="GL218" s="918"/>
      <c r="GM218" s="918"/>
      <c r="GN218" s="918"/>
      <c r="GO218" s="918"/>
      <c r="GP218" s="918"/>
      <c r="GQ218" s="918"/>
      <c r="GR218" s="918"/>
      <c r="GS218" s="918"/>
      <c r="GT218" s="918"/>
      <c r="GU218" s="918"/>
      <c r="GV218" s="918"/>
      <c r="GW218" s="918"/>
      <c r="GX218" s="918"/>
      <c r="GY218" s="918"/>
      <c r="GZ218" s="918"/>
      <c r="HA218" s="918"/>
      <c r="HB218" s="918"/>
      <c r="HC218" s="918"/>
      <c r="HD218" s="918"/>
      <c r="HE218" s="918"/>
      <c r="HF218" s="918"/>
      <c r="HG218" s="918"/>
      <c r="HH218" s="918"/>
      <c r="HI218" s="918"/>
      <c r="HJ218" s="918"/>
      <c r="HK218" s="918"/>
      <c r="HL218" s="918"/>
      <c r="HM218" s="918"/>
      <c r="HN218" s="918"/>
      <c r="HO218" s="918"/>
      <c r="HP218" s="918"/>
      <c r="HQ218" s="918"/>
      <c r="HR218" s="918"/>
      <c r="HS218" s="918"/>
      <c r="HT218" s="918"/>
      <c r="HU218" s="918"/>
      <c r="HV218" s="918"/>
      <c r="HW218" s="918"/>
      <c r="HX218" s="918"/>
      <c r="HY218" s="918"/>
      <c r="HZ218" s="918"/>
      <c r="IA218" s="918"/>
      <c r="IB218" s="918"/>
      <c r="IC218" s="918"/>
      <c r="ID218" s="918"/>
      <c r="IE218" s="918"/>
      <c r="IF218" s="918"/>
      <c r="IG218" s="918"/>
      <c r="IH218" s="918"/>
      <c r="II218" s="918"/>
      <c r="IJ218" s="918"/>
      <c r="IK218" s="918"/>
      <c r="IL218" s="918"/>
      <c r="IM218" s="918"/>
      <c r="IN218" s="918"/>
    </row>
    <row r="219" spans="1:248">
      <c r="A219" s="615" t="s">
        <v>19</v>
      </c>
      <c r="B219" s="617">
        <v>3613.2</v>
      </c>
      <c r="C219" s="617">
        <f t="shared" si="29"/>
        <v>28.896353166986561</v>
      </c>
      <c r="D219" s="618">
        <v>3330.2</v>
      </c>
      <c r="E219" s="919">
        <f t="shared" si="30"/>
        <v>26.633077415227124</v>
      </c>
      <c r="F219" s="919">
        <f t="shared" si="31"/>
        <v>283</v>
      </c>
      <c r="G219" s="919">
        <f t="shared" si="28"/>
        <v>2.2632757517594371</v>
      </c>
      <c r="H219" s="333">
        <v>12504</v>
      </c>
      <c r="I219" s="918"/>
      <c r="J219" s="918"/>
      <c r="K219" s="918"/>
      <c r="L219" s="918"/>
      <c r="M219" s="918"/>
      <c r="N219" s="918"/>
      <c r="O219" s="918"/>
      <c r="P219" s="918"/>
      <c r="Q219" s="918"/>
      <c r="R219" s="918"/>
      <c r="S219" s="918"/>
      <c r="T219" s="918"/>
      <c r="U219" s="918"/>
      <c r="V219" s="918"/>
      <c r="W219" s="918"/>
      <c r="X219" s="918"/>
      <c r="Y219" s="918"/>
      <c r="Z219" s="918"/>
      <c r="AA219" s="918"/>
      <c r="AB219" s="918"/>
      <c r="AC219" s="918"/>
      <c r="AD219" s="918"/>
      <c r="AE219" s="918"/>
      <c r="AF219" s="918"/>
      <c r="AG219" s="918"/>
      <c r="AH219" s="918"/>
      <c r="AI219" s="918"/>
      <c r="AJ219" s="918"/>
      <c r="AK219" s="918"/>
      <c r="AL219" s="918"/>
      <c r="AM219" s="918"/>
      <c r="AN219" s="918"/>
      <c r="AO219" s="918"/>
      <c r="AP219" s="918"/>
      <c r="AQ219" s="918"/>
      <c r="AR219" s="918"/>
      <c r="AS219" s="918"/>
      <c r="AT219" s="918"/>
      <c r="AU219" s="918"/>
      <c r="AV219" s="918"/>
      <c r="AW219" s="918"/>
      <c r="AX219" s="918"/>
      <c r="AY219" s="918"/>
      <c r="AZ219" s="918"/>
      <c r="BA219" s="918"/>
      <c r="BB219" s="918"/>
      <c r="BC219" s="918"/>
      <c r="BD219" s="918"/>
      <c r="BE219" s="918"/>
      <c r="BF219" s="918"/>
      <c r="BG219" s="918"/>
      <c r="BH219" s="918"/>
      <c r="BI219" s="918"/>
      <c r="BJ219" s="918"/>
      <c r="BK219" s="918"/>
      <c r="BL219" s="918"/>
      <c r="BM219" s="918"/>
      <c r="BN219" s="918"/>
      <c r="BO219" s="918"/>
      <c r="BP219" s="918"/>
      <c r="BQ219" s="918"/>
      <c r="BR219" s="918"/>
      <c r="BS219" s="918"/>
      <c r="BT219" s="918"/>
      <c r="BU219" s="918"/>
      <c r="BV219" s="918"/>
      <c r="BW219" s="918"/>
      <c r="BX219" s="918"/>
      <c r="BY219" s="918"/>
      <c r="BZ219" s="918"/>
      <c r="CA219" s="918"/>
      <c r="CB219" s="918"/>
      <c r="CC219" s="918"/>
      <c r="CD219" s="918"/>
      <c r="CE219" s="918"/>
      <c r="CF219" s="918"/>
      <c r="CG219" s="918"/>
      <c r="CH219" s="918"/>
      <c r="CI219" s="918"/>
      <c r="CJ219" s="918"/>
      <c r="CK219" s="918"/>
      <c r="CL219" s="918"/>
      <c r="CM219" s="918"/>
      <c r="CN219" s="918"/>
      <c r="CO219" s="918"/>
      <c r="CP219" s="918"/>
      <c r="CQ219" s="918"/>
      <c r="CR219" s="918"/>
      <c r="CS219" s="918"/>
      <c r="CT219" s="918"/>
      <c r="CU219" s="918"/>
      <c r="CV219" s="918"/>
      <c r="CW219" s="918"/>
      <c r="CX219" s="918"/>
      <c r="CY219" s="918"/>
      <c r="CZ219" s="918"/>
      <c r="DA219" s="918"/>
      <c r="DB219" s="918"/>
      <c r="DC219" s="918"/>
      <c r="DD219" s="918"/>
      <c r="DE219" s="918"/>
      <c r="DF219" s="918"/>
      <c r="DG219" s="918"/>
      <c r="DH219" s="918"/>
      <c r="DI219" s="918"/>
      <c r="DJ219" s="918"/>
      <c r="DK219" s="918"/>
      <c r="DL219" s="918"/>
      <c r="DM219" s="918"/>
      <c r="DN219" s="918"/>
      <c r="DO219" s="918"/>
      <c r="DP219" s="918"/>
      <c r="DQ219" s="918"/>
      <c r="DR219" s="918"/>
      <c r="DS219" s="918"/>
      <c r="DT219" s="918"/>
      <c r="DU219" s="918"/>
      <c r="DV219" s="918"/>
      <c r="DW219" s="918"/>
      <c r="DX219" s="918"/>
      <c r="DY219" s="918"/>
      <c r="DZ219" s="918"/>
      <c r="EA219" s="918"/>
      <c r="EB219" s="918"/>
      <c r="EC219" s="918"/>
      <c r="ED219" s="918"/>
      <c r="EE219" s="918"/>
      <c r="EF219" s="918"/>
      <c r="EG219" s="918"/>
      <c r="EH219" s="918"/>
      <c r="EI219" s="918"/>
      <c r="EJ219" s="918"/>
      <c r="EK219" s="918"/>
      <c r="EL219" s="918"/>
      <c r="EM219" s="918"/>
      <c r="EN219" s="918"/>
      <c r="EO219" s="918"/>
      <c r="EP219" s="918"/>
      <c r="EQ219" s="918"/>
      <c r="ER219" s="918"/>
      <c r="ES219" s="918"/>
      <c r="ET219" s="918"/>
      <c r="EU219" s="918"/>
      <c r="EV219" s="918"/>
      <c r="EW219" s="918"/>
      <c r="EX219" s="918"/>
      <c r="EY219" s="918"/>
      <c r="EZ219" s="918"/>
      <c r="FA219" s="918"/>
      <c r="FB219" s="918"/>
      <c r="FC219" s="918"/>
      <c r="FD219" s="918"/>
      <c r="FE219" s="918"/>
      <c r="FF219" s="918"/>
      <c r="FG219" s="918"/>
      <c r="FH219" s="918"/>
      <c r="FI219" s="918"/>
      <c r="FJ219" s="918"/>
      <c r="FK219" s="918"/>
      <c r="FL219" s="918"/>
      <c r="FM219" s="918"/>
      <c r="FN219" s="918"/>
      <c r="FO219" s="918"/>
      <c r="FP219" s="918"/>
      <c r="FQ219" s="918"/>
      <c r="FR219" s="918"/>
      <c r="FS219" s="918"/>
      <c r="FT219" s="918"/>
      <c r="FU219" s="918"/>
      <c r="FV219" s="918"/>
      <c r="FW219" s="918"/>
      <c r="FX219" s="918"/>
      <c r="FY219" s="918"/>
      <c r="FZ219" s="918"/>
      <c r="GA219" s="918"/>
      <c r="GB219" s="918"/>
      <c r="GC219" s="918"/>
      <c r="GD219" s="918"/>
      <c r="GE219" s="918"/>
      <c r="GF219" s="918"/>
      <c r="GG219" s="918"/>
      <c r="GH219" s="918"/>
      <c r="GI219" s="918"/>
      <c r="GJ219" s="918"/>
      <c r="GK219" s="918"/>
      <c r="GL219" s="918"/>
      <c r="GM219" s="918"/>
      <c r="GN219" s="918"/>
      <c r="GO219" s="918"/>
      <c r="GP219" s="918"/>
      <c r="GQ219" s="918"/>
      <c r="GR219" s="918"/>
      <c r="GS219" s="918"/>
      <c r="GT219" s="918"/>
      <c r="GU219" s="918"/>
      <c r="GV219" s="918"/>
      <c r="GW219" s="918"/>
      <c r="GX219" s="918"/>
      <c r="GY219" s="918"/>
      <c r="GZ219" s="918"/>
      <c r="HA219" s="918"/>
      <c r="HB219" s="918"/>
      <c r="HC219" s="918"/>
      <c r="HD219" s="918"/>
      <c r="HE219" s="918"/>
      <c r="HF219" s="918"/>
      <c r="HG219" s="918"/>
      <c r="HH219" s="918"/>
      <c r="HI219" s="918"/>
      <c r="HJ219" s="918"/>
      <c r="HK219" s="918"/>
      <c r="HL219" s="918"/>
      <c r="HM219" s="918"/>
      <c r="HN219" s="918"/>
      <c r="HO219" s="918"/>
      <c r="HP219" s="918"/>
      <c r="HQ219" s="918"/>
      <c r="HR219" s="918"/>
      <c r="HS219" s="918"/>
      <c r="HT219" s="918"/>
      <c r="HU219" s="918"/>
      <c r="HV219" s="918"/>
      <c r="HW219" s="918"/>
      <c r="HX219" s="918"/>
      <c r="HY219" s="918"/>
      <c r="HZ219" s="918"/>
      <c r="IA219" s="918"/>
      <c r="IB219" s="918"/>
      <c r="IC219" s="918"/>
      <c r="ID219" s="918"/>
      <c r="IE219" s="918"/>
      <c r="IF219" s="918"/>
      <c r="IG219" s="918"/>
      <c r="IH219" s="918"/>
      <c r="II219" s="918"/>
      <c r="IJ219" s="918"/>
      <c r="IK219" s="918"/>
      <c r="IL219" s="918"/>
      <c r="IM219" s="918"/>
      <c r="IN219" s="918"/>
    </row>
    <row r="220" spans="1:248">
      <c r="A220" s="615" t="s">
        <v>20</v>
      </c>
      <c r="B220" s="617">
        <v>7810.9</v>
      </c>
      <c r="C220" s="617">
        <f t="shared" si="29"/>
        <v>43.567918518973009</v>
      </c>
      <c r="D220" s="618">
        <v>5254.8</v>
      </c>
      <c r="E220" s="919">
        <f t="shared" si="30"/>
        <v>29.310412146295484</v>
      </c>
      <c r="F220" s="919">
        <f t="shared" si="31"/>
        <v>2556.0999999999995</v>
      </c>
      <c r="G220" s="919">
        <f t="shared" ref="G220:G229" si="32">F220/H220*100</f>
        <v>14.257506372677527</v>
      </c>
      <c r="H220" s="333">
        <v>17928.099999999999</v>
      </c>
      <c r="I220" s="918"/>
      <c r="J220" s="918"/>
      <c r="K220" s="918"/>
      <c r="L220" s="918"/>
      <c r="M220" s="918"/>
      <c r="N220" s="918"/>
      <c r="O220" s="918"/>
      <c r="P220" s="918"/>
      <c r="Q220" s="918"/>
      <c r="R220" s="918"/>
      <c r="S220" s="918"/>
      <c r="T220" s="918"/>
      <c r="U220" s="918"/>
      <c r="V220" s="918"/>
      <c r="W220" s="918"/>
      <c r="X220" s="918"/>
      <c r="Y220" s="918"/>
      <c r="Z220" s="918"/>
      <c r="AA220" s="918"/>
      <c r="AB220" s="918"/>
      <c r="AC220" s="918"/>
      <c r="AD220" s="918"/>
      <c r="AE220" s="918"/>
      <c r="AF220" s="918"/>
      <c r="AG220" s="918"/>
      <c r="AH220" s="918"/>
      <c r="AI220" s="918"/>
      <c r="AJ220" s="918"/>
      <c r="AK220" s="918"/>
      <c r="AL220" s="918"/>
      <c r="AM220" s="918"/>
      <c r="AN220" s="918"/>
      <c r="AO220" s="918"/>
      <c r="AP220" s="918"/>
      <c r="AQ220" s="918"/>
      <c r="AR220" s="918"/>
      <c r="AS220" s="918"/>
      <c r="AT220" s="918"/>
      <c r="AU220" s="918"/>
      <c r="AV220" s="918"/>
      <c r="AW220" s="918"/>
      <c r="AX220" s="918"/>
      <c r="AY220" s="918"/>
      <c r="AZ220" s="918"/>
      <c r="BA220" s="918"/>
      <c r="BB220" s="918"/>
      <c r="BC220" s="918"/>
      <c r="BD220" s="918"/>
      <c r="BE220" s="918"/>
      <c r="BF220" s="918"/>
      <c r="BG220" s="918"/>
      <c r="BH220" s="918"/>
      <c r="BI220" s="918"/>
      <c r="BJ220" s="918"/>
      <c r="BK220" s="918"/>
      <c r="BL220" s="918"/>
      <c r="BM220" s="918"/>
      <c r="BN220" s="918"/>
      <c r="BO220" s="918"/>
      <c r="BP220" s="918"/>
      <c r="BQ220" s="918"/>
      <c r="BR220" s="918"/>
      <c r="BS220" s="918"/>
      <c r="BT220" s="918"/>
      <c r="BU220" s="918"/>
      <c r="BV220" s="918"/>
      <c r="BW220" s="918"/>
      <c r="BX220" s="918"/>
      <c r="BY220" s="918"/>
      <c r="BZ220" s="918"/>
      <c r="CA220" s="918"/>
      <c r="CB220" s="918"/>
      <c r="CC220" s="918"/>
      <c r="CD220" s="918"/>
      <c r="CE220" s="918"/>
      <c r="CF220" s="918"/>
      <c r="CG220" s="918"/>
      <c r="CH220" s="918"/>
      <c r="CI220" s="918"/>
      <c r="CJ220" s="918"/>
      <c r="CK220" s="918"/>
      <c r="CL220" s="918"/>
      <c r="CM220" s="918"/>
      <c r="CN220" s="918"/>
      <c r="CO220" s="918"/>
      <c r="CP220" s="918"/>
      <c r="CQ220" s="918"/>
      <c r="CR220" s="918"/>
      <c r="CS220" s="918"/>
      <c r="CT220" s="918"/>
      <c r="CU220" s="918"/>
      <c r="CV220" s="918"/>
      <c r="CW220" s="918"/>
      <c r="CX220" s="918"/>
      <c r="CY220" s="918"/>
      <c r="CZ220" s="918"/>
      <c r="DA220" s="918"/>
      <c r="DB220" s="918"/>
      <c r="DC220" s="918"/>
      <c r="DD220" s="918"/>
      <c r="DE220" s="918"/>
      <c r="DF220" s="918"/>
      <c r="DG220" s="918"/>
      <c r="DH220" s="918"/>
      <c r="DI220" s="918"/>
      <c r="DJ220" s="918"/>
      <c r="DK220" s="918"/>
      <c r="DL220" s="918"/>
      <c r="DM220" s="918"/>
      <c r="DN220" s="918"/>
      <c r="DO220" s="918"/>
      <c r="DP220" s="918"/>
      <c r="DQ220" s="918"/>
      <c r="DR220" s="918"/>
      <c r="DS220" s="918"/>
      <c r="DT220" s="918"/>
      <c r="DU220" s="918"/>
      <c r="DV220" s="918"/>
      <c r="DW220" s="918"/>
      <c r="DX220" s="918"/>
      <c r="DY220" s="918"/>
      <c r="DZ220" s="918"/>
      <c r="EA220" s="918"/>
      <c r="EB220" s="918"/>
      <c r="EC220" s="918"/>
      <c r="ED220" s="918"/>
      <c r="EE220" s="918"/>
      <c r="EF220" s="918"/>
      <c r="EG220" s="918"/>
      <c r="EH220" s="918"/>
      <c r="EI220" s="918"/>
      <c r="EJ220" s="918"/>
      <c r="EK220" s="918"/>
      <c r="EL220" s="918"/>
      <c r="EM220" s="918"/>
      <c r="EN220" s="918"/>
      <c r="EO220" s="918"/>
      <c r="EP220" s="918"/>
      <c r="EQ220" s="918"/>
      <c r="ER220" s="918"/>
      <c r="ES220" s="918"/>
      <c r="ET220" s="918"/>
      <c r="EU220" s="918"/>
      <c r="EV220" s="918"/>
      <c r="EW220" s="918"/>
      <c r="EX220" s="918"/>
      <c r="EY220" s="918"/>
      <c r="EZ220" s="918"/>
      <c r="FA220" s="918"/>
      <c r="FB220" s="918"/>
      <c r="FC220" s="918"/>
      <c r="FD220" s="918"/>
      <c r="FE220" s="918"/>
      <c r="FF220" s="918"/>
      <c r="FG220" s="918"/>
      <c r="FH220" s="918"/>
      <c r="FI220" s="918"/>
      <c r="FJ220" s="918"/>
      <c r="FK220" s="918"/>
      <c r="FL220" s="918"/>
      <c r="FM220" s="918"/>
      <c r="FN220" s="918"/>
      <c r="FO220" s="918"/>
      <c r="FP220" s="918"/>
      <c r="FQ220" s="918"/>
      <c r="FR220" s="918"/>
      <c r="FS220" s="918"/>
      <c r="FT220" s="918"/>
      <c r="FU220" s="918"/>
      <c r="FV220" s="918"/>
      <c r="FW220" s="918"/>
      <c r="FX220" s="918"/>
      <c r="FY220" s="918"/>
      <c r="FZ220" s="918"/>
      <c r="GA220" s="918"/>
      <c r="GB220" s="918"/>
      <c r="GC220" s="918"/>
      <c r="GD220" s="918"/>
      <c r="GE220" s="918"/>
      <c r="GF220" s="918"/>
      <c r="GG220" s="918"/>
      <c r="GH220" s="918"/>
      <c r="GI220" s="918"/>
      <c r="GJ220" s="918"/>
      <c r="GK220" s="918"/>
      <c r="GL220" s="918"/>
      <c r="GM220" s="918"/>
      <c r="GN220" s="918"/>
      <c r="GO220" s="918"/>
      <c r="GP220" s="918"/>
      <c r="GQ220" s="918"/>
      <c r="GR220" s="918"/>
      <c r="GS220" s="918"/>
      <c r="GT220" s="918"/>
      <c r="GU220" s="918"/>
      <c r="GV220" s="918"/>
      <c r="GW220" s="918"/>
      <c r="GX220" s="918"/>
      <c r="GY220" s="918"/>
      <c r="GZ220" s="918"/>
      <c r="HA220" s="918"/>
      <c r="HB220" s="918"/>
      <c r="HC220" s="918"/>
      <c r="HD220" s="918"/>
      <c r="HE220" s="918"/>
      <c r="HF220" s="918"/>
      <c r="HG220" s="918"/>
      <c r="HH220" s="918"/>
      <c r="HI220" s="918"/>
      <c r="HJ220" s="918"/>
      <c r="HK220" s="918"/>
      <c r="HL220" s="918"/>
      <c r="HM220" s="918"/>
      <c r="HN220" s="918"/>
      <c r="HO220" s="918"/>
      <c r="HP220" s="918"/>
      <c r="HQ220" s="918"/>
      <c r="HR220" s="918"/>
      <c r="HS220" s="918"/>
      <c r="HT220" s="918"/>
      <c r="HU220" s="918"/>
      <c r="HV220" s="918"/>
      <c r="HW220" s="918"/>
      <c r="HX220" s="918"/>
      <c r="HY220" s="918"/>
      <c r="HZ220" s="918"/>
      <c r="IA220" s="918"/>
      <c r="IB220" s="918"/>
      <c r="IC220" s="918"/>
      <c r="ID220" s="918"/>
      <c r="IE220" s="918"/>
      <c r="IF220" s="918"/>
      <c r="IG220" s="918"/>
      <c r="IH220" s="918"/>
      <c r="II220" s="918"/>
      <c r="IJ220" s="918"/>
      <c r="IK220" s="918"/>
      <c r="IL220" s="918"/>
      <c r="IM220" s="918"/>
      <c r="IN220" s="918"/>
    </row>
    <row r="221" spans="1:248">
      <c r="A221" s="615" t="s">
        <v>21</v>
      </c>
      <c r="B221" s="617">
        <v>9574.2000000000007</v>
      </c>
      <c r="C221" s="617">
        <f t="shared" si="29"/>
        <v>42.2254564699656</v>
      </c>
      <c r="D221" s="618">
        <v>7267.7</v>
      </c>
      <c r="E221" s="919">
        <f t="shared" si="30"/>
        <v>32.053012260739173</v>
      </c>
      <c r="F221" s="919">
        <f t="shared" si="31"/>
        <v>2306.5000000000009</v>
      </c>
      <c r="G221" s="919">
        <f t="shared" si="32"/>
        <v>10.17244420922643</v>
      </c>
      <c r="H221" s="400">
        <v>22674</v>
      </c>
      <c r="I221" s="918"/>
      <c r="J221" s="918"/>
      <c r="K221" s="918"/>
      <c r="L221" s="918"/>
      <c r="M221" s="918"/>
      <c r="N221" s="918"/>
      <c r="O221" s="918"/>
      <c r="P221" s="918"/>
      <c r="Q221" s="918"/>
      <c r="R221" s="918"/>
      <c r="S221" s="918"/>
      <c r="T221" s="918"/>
      <c r="U221" s="918"/>
      <c r="V221" s="918"/>
      <c r="W221" s="918"/>
      <c r="X221" s="918"/>
      <c r="Y221" s="918"/>
      <c r="Z221" s="918"/>
      <c r="AA221" s="918"/>
      <c r="AB221" s="918"/>
      <c r="AC221" s="918"/>
      <c r="AD221" s="918"/>
      <c r="AE221" s="918"/>
      <c r="AF221" s="918"/>
      <c r="AG221" s="918"/>
      <c r="AH221" s="918"/>
      <c r="AI221" s="918"/>
      <c r="AJ221" s="918"/>
      <c r="AK221" s="918"/>
      <c r="AL221" s="918"/>
      <c r="AM221" s="918"/>
      <c r="AN221" s="918"/>
      <c r="AO221" s="918"/>
      <c r="AP221" s="918"/>
      <c r="AQ221" s="918"/>
      <c r="AR221" s="918"/>
      <c r="AS221" s="918"/>
      <c r="AT221" s="918"/>
      <c r="AU221" s="918"/>
      <c r="AV221" s="918"/>
      <c r="AW221" s="918"/>
      <c r="AX221" s="918"/>
      <c r="AY221" s="918"/>
      <c r="AZ221" s="918"/>
      <c r="BA221" s="918"/>
      <c r="BB221" s="918"/>
      <c r="BC221" s="918"/>
      <c r="BD221" s="918"/>
      <c r="BE221" s="918"/>
      <c r="BF221" s="918"/>
      <c r="BG221" s="918"/>
      <c r="BH221" s="918"/>
      <c r="BI221" s="918"/>
      <c r="BJ221" s="918"/>
      <c r="BK221" s="918"/>
      <c r="BL221" s="918"/>
      <c r="BM221" s="918"/>
      <c r="BN221" s="918"/>
      <c r="BO221" s="918"/>
      <c r="BP221" s="918"/>
      <c r="BQ221" s="918"/>
      <c r="BR221" s="918"/>
      <c r="BS221" s="918"/>
      <c r="BT221" s="918"/>
      <c r="BU221" s="918"/>
      <c r="BV221" s="918"/>
      <c r="BW221" s="918"/>
      <c r="BX221" s="918"/>
      <c r="BY221" s="918"/>
      <c r="BZ221" s="918"/>
      <c r="CA221" s="918"/>
      <c r="CB221" s="918"/>
      <c r="CC221" s="918"/>
      <c r="CD221" s="918"/>
      <c r="CE221" s="918"/>
      <c r="CF221" s="918"/>
      <c r="CG221" s="918"/>
      <c r="CH221" s="918"/>
      <c r="CI221" s="918"/>
      <c r="CJ221" s="918"/>
      <c r="CK221" s="918"/>
      <c r="CL221" s="918"/>
      <c r="CM221" s="918"/>
      <c r="CN221" s="918"/>
      <c r="CO221" s="918"/>
      <c r="CP221" s="918"/>
      <c r="CQ221" s="918"/>
      <c r="CR221" s="918"/>
      <c r="CS221" s="918"/>
      <c r="CT221" s="918"/>
      <c r="CU221" s="918"/>
      <c r="CV221" s="918"/>
      <c r="CW221" s="918"/>
      <c r="CX221" s="918"/>
      <c r="CY221" s="918"/>
      <c r="CZ221" s="918"/>
      <c r="DA221" s="918"/>
      <c r="DB221" s="918"/>
      <c r="DC221" s="918"/>
      <c r="DD221" s="918"/>
      <c r="DE221" s="918"/>
      <c r="DF221" s="918"/>
      <c r="DG221" s="918"/>
      <c r="DH221" s="918"/>
      <c r="DI221" s="918"/>
      <c r="DJ221" s="918"/>
      <c r="DK221" s="918"/>
      <c r="DL221" s="918"/>
      <c r="DM221" s="918"/>
      <c r="DN221" s="918"/>
      <c r="DO221" s="918"/>
      <c r="DP221" s="918"/>
      <c r="DQ221" s="918"/>
      <c r="DR221" s="918"/>
      <c r="DS221" s="918"/>
      <c r="DT221" s="918"/>
      <c r="DU221" s="918"/>
      <c r="DV221" s="918"/>
      <c r="DW221" s="918"/>
      <c r="DX221" s="918"/>
      <c r="DY221" s="918"/>
      <c r="DZ221" s="918"/>
      <c r="EA221" s="918"/>
      <c r="EB221" s="918"/>
      <c r="EC221" s="918"/>
      <c r="ED221" s="918"/>
      <c r="EE221" s="918"/>
      <c r="EF221" s="918"/>
      <c r="EG221" s="918"/>
      <c r="EH221" s="918"/>
      <c r="EI221" s="918"/>
      <c r="EJ221" s="918"/>
      <c r="EK221" s="918"/>
      <c r="EL221" s="918"/>
      <c r="EM221" s="918"/>
      <c r="EN221" s="918"/>
      <c r="EO221" s="918"/>
      <c r="EP221" s="918"/>
      <c r="EQ221" s="918"/>
      <c r="ER221" s="918"/>
      <c r="ES221" s="918"/>
      <c r="ET221" s="918"/>
      <c r="EU221" s="918"/>
      <c r="EV221" s="918"/>
      <c r="EW221" s="918"/>
      <c r="EX221" s="918"/>
      <c r="EY221" s="918"/>
      <c r="EZ221" s="918"/>
      <c r="FA221" s="918"/>
      <c r="FB221" s="918"/>
      <c r="FC221" s="918"/>
      <c r="FD221" s="918"/>
      <c r="FE221" s="918"/>
      <c r="FF221" s="918"/>
      <c r="FG221" s="918"/>
      <c r="FH221" s="918"/>
      <c r="FI221" s="918"/>
      <c r="FJ221" s="918"/>
      <c r="FK221" s="918"/>
      <c r="FL221" s="918"/>
      <c r="FM221" s="918"/>
      <c r="FN221" s="918"/>
      <c r="FO221" s="918"/>
      <c r="FP221" s="918"/>
      <c r="FQ221" s="918"/>
      <c r="FR221" s="918"/>
      <c r="FS221" s="918"/>
      <c r="FT221" s="918"/>
      <c r="FU221" s="918"/>
      <c r="FV221" s="918"/>
      <c r="FW221" s="918"/>
      <c r="FX221" s="918"/>
      <c r="FY221" s="918"/>
      <c r="FZ221" s="918"/>
      <c r="GA221" s="918"/>
      <c r="GB221" s="918"/>
      <c r="GC221" s="918"/>
      <c r="GD221" s="918"/>
      <c r="GE221" s="918"/>
      <c r="GF221" s="918"/>
      <c r="GG221" s="918"/>
      <c r="GH221" s="918"/>
      <c r="GI221" s="918"/>
      <c r="GJ221" s="918"/>
      <c r="GK221" s="918"/>
      <c r="GL221" s="918"/>
      <c r="GM221" s="918"/>
      <c r="GN221" s="918"/>
      <c r="GO221" s="918"/>
      <c r="GP221" s="918"/>
      <c r="GQ221" s="918"/>
      <c r="GR221" s="918"/>
      <c r="GS221" s="918"/>
      <c r="GT221" s="918"/>
      <c r="GU221" s="918"/>
      <c r="GV221" s="918"/>
      <c r="GW221" s="918"/>
      <c r="GX221" s="918"/>
      <c r="GY221" s="918"/>
      <c r="GZ221" s="918"/>
      <c r="HA221" s="918"/>
      <c r="HB221" s="918"/>
      <c r="HC221" s="918"/>
      <c r="HD221" s="918"/>
      <c r="HE221" s="918"/>
      <c r="HF221" s="918"/>
      <c r="HG221" s="918"/>
      <c r="HH221" s="918"/>
      <c r="HI221" s="918"/>
      <c r="HJ221" s="918"/>
      <c r="HK221" s="918"/>
      <c r="HL221" s="918"/>
      <c r="HM221" s="918"/>
      <c r="HN221" s="918"/>
      <c r="HO221" s="918"/>
      <c r="HP221" s="918"/>
      <c r="HQ221" s="918"/>
      <c r="HR221" s="918"/>
      <c r="HS221" s="918"/>
      <c r="HT221" s="918"/>
      <c r="HU221" s="918"/>
      <c r="HV221" s="918"/>
      <c r="HW221" s="918"/>
      <c r="HX221" s="918"/>
      <c r="HY221" s="918"/>
      <c r="HZ221" s="918"/>
      <c r="IA221" s="918"/>
      <c r="IB221" s="918"/>
      <c r="IC221" s="918"/>
      <c r="ID221" s="918"/>
      <c r="IE221" s="918"/>
      <c r="IF221" s="918"/>
      <c r="IG221" s="918"/>
      <c r="IH221" s="918"/>
      <c r="II221" s="918"/>
      <c r="IJ221" s="918"/>
      <c r="IK221" s="918"/>
      <c r="IL221" s="918"/>
      <c r="IM221" s="918"/>
      <c r="IN221" s="918"/>
    </row>
    <row r="222" spans="1:248">
      <c r="A222" s="615" t="s">
        <v>22</v>
      </c>
      <c r="B222" s="617">
        <v>10527.5</v>
      </c>
      <c r="C222" s="617">
        <f t="shared" si="29"/>
        <v>38.087089281708792</v>
      </c>
      <c r="D222" s="618">
        <v>9392.2000000000007</v>
      </c>
      <c r="E222" s="919">
        <f t="shared" si="30"/>
        <v>33.979725476292124</v>
      </c>
      <c r="F222" s="919">
        <f t="shared" si="31"/>
        <v>1135.2999999999993</v>
      </c>
      <c r="G222" s="919">
        <f t="shared" si="32"/>
        <v>4.107363805416667</v>
      </c>
      <c r="H222" s="400">
        <v>27640.6</v>
      </c>
      <c r="I222" s="918"/>
      <c r="J222" s="918"/>
      <c r="K222" s="918"/>
      <c r="L222" s="918"/>
      <c r="M222" s="918"/>
      <c r="N222" s="918"/>
      <c r="O222" s="918"/>
      <c r="P222" s="918"/>
      <c r="Q222" s="918"/>
      <c r="R222" s="918"/>
      <c r="S222" s="918"/>
      <c r="T222" s="918"/>
      <c r="U222" s="918"/>
      <c r="V222" s="918"/>
      <c r="W222" s="918"/>
      <c r="X222" s="918"/>
      <c r="Y222" s="918"/>
      <c r="Z222" s="918"/>
      <c r="AA222" s="918"/>
      <c r="AB222" s="918"/>
      <c r="AC222" s="918"/>
      <c r="AD222" s="918"/>
      <c r="AE222" s="918"/>
      <c r="AF222" s="918"/>
      <c r="AG222" s="918"/>
      <c r="AH222" s="918"/>
      <c r="AI222" s="918"/>
      <c r="AJ222" s="918"/>
      <c r="AK222" s="918"/>
      <c r="AL222" s="918"/>
      <c r="AM222" s="918"/>
      <c r="AN222" s="918"/>
      <c r="AO222" s="918"/>
      <c r="AP222" s="918"/>
      <c r="AQ222" s="918"/>
      <c r="AR222" s="918"/>
      <c r="AS222" s="918"/>
      <c r="AT222" s="918"/>
      <c r="AU222" s="918"/>
      <c r="AV222" s="918"/>
      <c r="AW222" s="918"/>
      <c r="AX222" s="918"/>
      <c r="AY222" s="918"/>
      <c r="AZ222" s="918"/>
      <c r="BA222" s="918"/>
      <c r="BB222" s="918"/>
      <c r="BC222" s="918"/>
      <c r="BD222" s="918"/>
      <c r="BE222" s="918"/>
      <c r="BF222" s="918"/>
      <c r="BG222" s="918"/>
      <c r="BH222" s="918"/>
      <c r="BI222" s="918"/>
      <c r="BJ222" s="918"/>
      <c r="BK222" s="918"/>
      <c r="BL222" s="918"/>
      <c r="BM222" s="918"/>
      <c r="BN222" s="918"/>
      <c r="BO222" s="918"/>
      <c r="BP222" s="918"/>
      <c r="BQ222" s="918"/>
      <c r="BR222" s="918"/>
      <c r="BS222" s="918"/>
      <c r="BT222" s="918"/>
      <c r="BU222" s="918"/>
      <c r="BV222" s="918"/>
      <c r="BW222" s="918"/>
      <c r="BX222" s="918"/>
      <c r="BY222" s="918"/>
      <c r="BZ222" s="918"/>
      <c r="CA222" s="918"/>
      <c r="CB222" s="918"/>
      <c r="CC222" s="918"/>
      <c r="CD222" s="918"/>
      <c r="CE222" s="918"/>
      <c r="CF222" s="918"/>
      <c r="CG222" s="918"/>
      <c r="CH222" s="918"/>
      <c r="CI222" s="918"/>
      <c r="CJ222" s="918"/>
      <c r="CK222" s="918"/>
      <c r="CL222" s="918"/>
      <c r="CM222" s="918"/>
      <c r="CN222" s="918"/>
      <c r="CO222" s="918"/>
      <c r="CP222" s="918"/>
      <c r="CQ222" s="918"/>
      <c r="CR222" s="918"/>
      <c r="CS222" s="918"/>
      <c r="CT222" s="918"/>
      <c r="CU222" s="918"/>
      <c r="CV222" s="918"/>
      <c r="CW222" s="918"/>
      <c r="CX222" s="918"/>
      <c r="CY222" s="918"/>
      <c r="CZ222" s="918"/>
      <c r="DA222" s="918"/>
      <c r="DB222" s="918"/>
      <c r="DC222" s="918"/>
      <c r="DD222" s="918"/>
      <c r="DE222" s="918"/>
      <c r="DF222" s="918"/>
      <c r="DG222" s="918"/>
      <c r="DH222" s="918"/>
      <c r="DI222" s="918"/>
      <c r="DJ222" s="918"/>
      <c r="DK222" s="918"/>
      <c r="DL222" s="918"/>
      <c r="DM222" s="918"/>
      <c r="DN222" s="918"/>
      <c r="DO222" s="918"/>
      <c r="DP222" s="918"/>
      <c r="DQ222" s="918"/>
      <c r="DR222" s="918"/>
      <c r="DS222" s="918"/>
      <c r="DT222" s="918"/>
      <c r="DU222" s="918"/>
      <c r="DV222" s="918"/>
      <c r="DW222" s="918"/>
      <c r="DX222" s="918"/>
      <c r="DY222" s="918"/>
      <c r="DZ222" s="918"/>
      <c r="EA222" s="918"/>
      <c r="EB222" s="918"/>
      <c r="EC222" s="918"/>
      <c r="ED222" s="918"/>
      <c r="EE222" s="918"/>
      <c r="EF222" s="918"/>
      <c r="EG222" s="918"/>
      <c r="EH222" s="918"/>
      <c r="EI222" s="918"/>
      <c r="EJ222" s="918"/>
      <c r="EK222" s="918"/>
      <c r="EL222" s="918"/>
      <c r="EM222" s="918"/>
      <c r="EN222" s="918"/>
      <c r="EO222" s="918"/>
      <c r="EP222" s="918"/>
      <c r="EQ222" s="918"/>
      <c r="ER222" s="918"/>
      <c r="ES222" s="918"/>
      <c r="ET222" s="918"/>
      <c r="EU222" s="918"/>
      <c r="EV222" s="918"/>
      <c r="EW222" s="918"/>
      <c r="EX222" s="918"/>
      <c r="EY222" s="918"/>
      <c r="EZ222" s="918"/>
      <c r="FA222" s="918"/>
      <c r="FB222" s="918"/>
      <c r="FC222" s="918"/>
      <c r="FD222" s="918"/>
      <c r="FE222" s="918"/>
      <c r="FF222" s="918"/>
      <c r="FG222" s="918"/>
      <c r="FH222" s="918"/>
      <c r="FI222" s="918"/>
      <c r="FJ222" s="918"/>
      <c r="FK222" s="918"/>
      <c r="FL222" s="918"/>
      <c r="FM222" s="918"/>
      <c r="FN222" s="918"/>
      <c r="FO222" s="918"/>
      <c r="FP222" s="918"/>
      <c r="FQ222" s="918"/>
      <c r="FR222" s="918"/>
      <c r="FS222" s="918"/>
      <c r="FT222" s="918"/>
      <c r="FU222" s="918"/>
      <c r="FV222" s="918"/>
      <c r="FW222" s="918"/>
      <c r="FX222" s="918"/>
      <c r="FY222" s="918"/>
      <c r="FZ222" s="918"/>
      <c r="GA222" s="918"/>
      <c r="GB222" s="918"/>
      <c r="GC222" s="918"/>
      <c r="GD222" s="918"/>
      <c r="GE222" s="918"/>
      <c r="GF222" s="918"/>
      <c r="GG222" s="918"/>
      <c r="GH222" s="918"/>
      <c r="GI222" s="918"/>
      <c r="GJ222" s="918"/>
      <c r="GK222" s="918"/>
      <c r="GL222" s="918"/>
      <c r="GM222" s="918"/>
      <c r="GN222" s="918"/>
      <c r="GO222" s="918"/>
      <c r="GP222" s="918"/>
      <c r="GQ222" s="918"/>
      <c r="GR222" s="918"/>
      <c r="GS222" s="918"/>
      <c r="GT222" s="918"/>
      <c r="GU222" s="918"/>
      <c r="GV222" s="918"/>
      <c r="GW222" s="918"/>
      <c r="GX222" s="918"/>
      <c r="GY222" s="918"/>
      <c r="GZ222" s="918"/>
      <c r="HA222" s="918"/>
      <c r="HB222" s="918"/>
      <c r="HC222" s="918"/>
      <c r="HD222" s="918"/>
      <c r="HE222" s="918"/>
      <c r="HF222" s="918"/>
      <c r="HG222" s="918"/>
      <c r="HH222" s="918"/>
      <c r="HI222" s="918"/>
      <c r="HJ222" s="918"/>
      <c r="HK222" s="918"/>
      <c r="HL222" s="918"/>
      <c r="HM222" s="918"/>
      <c r="HN222" s="918"/>
      <c r="HO222" s="918"/>
      <c r="HP222" s="918"/>
      <c r="HQ222" s="918"/>
      <c r="HR222" s="918"/>
      <c r="HS222" s="918"/>
      <c r="HT222" s="918"/>
      <c r="HU222" s="918"/>
      <c r="HV222" s="918"/>
      <c r="HW222" s="918"/>
      <c r="HX222" s="918"/>
      <c r="HY222" s="918"/>
      <c r="HZ222" s="918"/>
      <c r="IA222" s="918"/>
      <c r="IB222" s="918"/>
      <c r="IC222" s="918"/>
      <c r="ID222" s="918"/>
      <c r="IE222" s="918"/>
      <c r="IF222" s="918"/>
      <c r="IG222" s="918"/>
      <c r="IH222" s="918"/>
      <c r="II222" s="918"/>
      <c r="IJ222" s="918"/>
      <c r="IK222" s="918"/>
      <c r="IL222" s="918"/>
      <c r="IM222" s="918"/>
      <c r="IN222" s="918"/>
    </row>
    <row r="223" spans="1:248">
      <c r="A223" s="615" t="s">
        <v>23</v>
      </c>
      <c r="B223" s="617">
        <v>12022.7</v>
      </c>
      <c r="C223" s="617">
        <f t="shared" si="29"/>
        <v>34.971363082373685</v>
      </c>
      <c r="D223" s="618">
        <v>11730.8</v>
      </c>
      <c r="E223" s="919">
        <f t="shared" si="30"/>
        <v>34.122290837058991</v>
      </c>
      <c r="F223" s="919">
        <f t="shared" si="31"/>
        <v>291.90000000000146</v>
      </c>
      <c r="G223" s="919">
        <f t="shared" si="32"/>
        <v>0.8490722453146905</v>
      </c>
      <c r="H223" s="400">
        <v>34378.699999999997</v>
      </c>
      <c r="I223" s="918"/>
      <c r="J223" s="918"/>
      <c r="K223" s="918"/>
      <c r="L223" s="918"/>
      <c r="M223" s="918"/>
      <c r="N223" s="918"/>
      <c r="O223" s="918"/>
      <c r="P223" s="918"/>
      <c r="Q223" s="918"/>
      <c r="R223" s="918"/>
      <c r="S223" s="918"/>
      <c r="T223" s="918"/>
      <c r="U223" s="918"/>
      <c r="V223" s="918"/>
      <c r="W223" s="918"/>
      <c r="X223" s="918"/>
      <c r="Y223" s="918"/>
      <c r="Z223" s="918"/>
      <c r="AA223" s="918"/>
      <c r="AB223" s="918"/>
      <c r="AC223" s="918"/>
      <c r="AD223" s="918"/>
      <c r="AE223" s="918"/>
      <c r="AF223" s="918"/>
      <c r="AG223" s="918"/>
      <c r="AH223" s="918"/>
      <c r="AI223" s="918"/>
      <c r="AJ223" s="918"/>
      <c r="AK223" s="918"/>
      <c r="AL223" s="918"/>
      <c r="AM223" s="918"/>
      <c r="AN223" s="918"/>
      <c r="AO223" s="918"/>
      <c r="AP223" s="918"/>
      <c r="AQ223" s="918"/>
      <c r="AR223" s="918"/>
      <c r="AS223" s="918"/>
      <c r="AT223" s="918"/>
      <c r="AU223" s="918"/>
      <c r="AV223" s="918"/>
      <c r="AW223" s="918"/>
      <c r="AX223" s="918"/>
      <c r="AY223" s="918"/>
      <c r="AZ223" s="918"/>
      <c r="BA223" s="918"/>
      <c r="BB223" s="918"/>
      <c r="BC223" s="918"/>
      <c r="BD223" s="918"/>
      <c r="BE223" s="918"/>
      <c r="BF223" s="918"/>
      <c r="BG223" s="918"/>
      <c r="BH223" s="918"/>
      <c r="BI223" s="918"/>
      <c r="BJ223" s="918"/>
      <c r="BK223" s="918"/>
      <c r="BL223" s="918"/>
      <c r="BM223" s="918"/>
      <c r="BN223" s="918"/>
      <c r="BO223" s="918"/>
      <c r="BP223" s="918"/>
      <c r="BQ223" s="918"/>
      <c r="BR223" s="918"/>
      <c r="BS223" s="918"/>
      <c r="BT223" s="918"/>
      <c r="BU223" s="918"/>
      <c r="BV223" s="918"/>
      <c r="BW223" s="918"/>
      <c r="BX223" s="918"/>
      <c r="BY223" s="918"/>
      <c r="BZ223" s="918"/>
      <c r="CA223" s="918"/>
      <c r="CB223" s="918"/>
      <c r="CC223" s="918"/>
      <c r="CD223" s="918"/>
      <c r="CE223" s="918"/>
      <c r="CF223" s="918"/>
      <c r="CG223" s="918"/>
      <c r="CH223" s="918"/>
      <c r="CI223" s="918"/>
      <c r="CJ223" s="918"/>
      <c r="CK223" s="918"/>
      <c r="CL223" s="918"/>
      <c r="CM223" s="918"/>
      <c r="CN223" s="918"/>
      <c r="CO223" s="918"/>
      <c r="CP223" s="918"/>
      <c r="CQ223" s="918"/>
      <c r="CR223" s="918"/>
      <c r="CS223" s="918"/>
      <c r="CT223" s="918"/>
      <c r="CU223" s="918"/>
      <c r="CV223" s="918"/>
      <c r="CW223" s="918"/>
      <c r="CX223" s="918"/>
      <c r="CY223" s="918"/>
      <c r="CZ223" s="918"/>
      <c r="DA223" s="918"/>
      <c r="DB223" s="918"/>
      <c r="DC223" s="918"/>
      <c r="DD223" s="918"/>
      <c r="DE223" s="918"/>
      <c r="DF223" s="918"/>
      <c r="DG223" s="918"/>
      <c r="DH223" s="918"/>
      <c r="DI223" s="918"/>
      <c r="DJ223" s="918"/>
      <c r="DK223" s="918"/>
      <c r="DL223" s="918"/>
      <c r="DM223" s="918"/>
      <c r="DN223" s="918"/>
      <c r="DO223" s="918"/>
      <c r="DP223" s="918"/>
      <c r="DQ223" s="918"/>
      <c r="DR223" s="918"/>
      <c r="DS223" s="918"/>
      <c r="DT223" s="918"/>
      <c r="DU223" s="918"/>
      <c r="DV223" s="918"/>
      <c r="DW223" s="918"/>
      <c r="DX223" s="918"/>
      <c r="DY223" s="918"/>
      <c r="DZ223" s="918"/>
      <c r="EA223" s="918"/>
      <c r="EB223" s="918"/>
      <c r="EC223" s="918"/>
      <c r="ED223" s="918"/>
      <c r="EE223" s="918"/>
      <c r="EF223" s="918"/>
      <c r="EG223" s="918"/>
      <c r="EH223" s="918"/>
      <c r="EI223" s="918"/>
      <c r="EJ223" s="918"/>
      <c r="EK223" s="918"/>
      <c r="EL223" s="918"/>
      <c r="EM223" s="918"/>
      <c r="EN223" s="918"/>
      <c r="EO223" s="918"/>
      <c r="EP223" s="918"/>
      <c r="EQ223" s="918"/>
      <c r="ER223" s="918"/>
      <c r="ES223" s="918"/>
      <c r="ET223" s="918"/>
      <c r="EU223" s="918"/>
      <c r="EV223" s="918"/>
      <c r="EW223" s="918"/>
      <c r="EX223" s="918"/>
      <c r="EY223" s="918"/>
      <c r="EZ223" s="918"/>
      <c r="FA223" s="918"/>
      <c r="FB223" s="918"/>
      <c r="FC223" s="918"/>
      <c r="FD223" s="918"/>
      <c r="FE223" s="918"/>
      <c r="FF223" s="918"/>
      <c r="FG223" s="918"/>
      <c r="FH223" s="918"/>
      <c r="FI223" s="918"/>
      <c r="FJ223" s="918"/>
      <c r="FK223" s="918"/>
      <c r="FL223" s="918"/>
      <c r="FM223" s="918"/>
      <c r="FN223" s="918"/>
      <c r="FO223" s="918"/>
      <c r="FP223" s="918"/>
      <c r="FQ223" s="918"/>
      <c r="FR223" s="918"/>
      <c r="FS223" s="918"/>
      <c r="FT223" s="918"/>
      <c r="FU223" s="918"/>
      <c r="FV223" s="918"/>
      <c r="FW223" s="918"/>
      <c r="FX223" s="918"/>
      <c r="FY223" s="918"/>
      <c r="FZ223" s="918"/>
      <c r="GA223" s="918"/>
      <c r="GB223" s="918"/>
      <c r="GC223" s="918"/>
      <c r="GD223" s="918"/>
      <c r="GE223" s="918"/>
      <c r="GF223" s="918"/>
      <c r="GG223" s="918"/>
      <c r="GH223" s="918"/>
      <c r="GI223" s="918"/>
      <c r="GJ223" s="918"/>
      <c r="GK223" s="918"/>
      <c r="GL223" s="918"/>
      <c r="GM223" s="918"/>
      <c r="GN223" s="918"/>
      <c r="GO223" s="918"/>
      <c r="GP223" s="918"/>
      <c r="GQ223" s="918"/>
      <c r="GR223" s="918"/>
      <c r="GS223" s="918"/>
      <c r="GT223" s="918"/>
      <c r="GU223" s="918"/>
      <c r="GV223" s="918"/>
      <c r="GW223" s="918"/>
      <c r="GX223" s="918"/>
      <c r="GY223" s="918"/>
      <c r="GZ223" s="918"/>
      <c r="HA223" s="918"/>
      <c r="HB223" s="918"/>
      <c r="HC223" s="918"/>
      <c r="HD223" s="918"/>
      <c r="HE223" s="918"/>
      <c r="HF223" s="918"/>
      <c r="HG223" s="918"/>
      <c r="HH223" s="918"/>
      <c r="HI223" s="918"/>
      <c r="HJ223" s="918"/>
      <c r="HK223" s="918"/>
      <c r="HL223" s="918"/>
      <c r="HM223" s="918"/>
      <c r="HN223" s="918"/>
      <c r="HO223" s="918"/>
      <c r="HP223" s="918"/>
      <c r="HQ223" s="918"/>
      <c r="HR223" s="918"/>
      <c r="HS223" s="918"/>
      <c r="HT223" s="918"/>
      <c r="HU223" s="918"/>
      <c r="HV223" s="918"/>
      <c r="HW223" s="918"/>
      <c r="HX223" s="918"/>
      <c r="HY223" s="918"/>
      <c r="HZ223" s="918"/>
      <c r="IA223" s="918"/>
      <c r="IB223" s="918"/>
      <c r="IC223" s="918"/>
      <c r="ID223" s="918"/>
      <c r="IE223" s="918"/>
      <c r="IF223" s="918"/>
      <c r="IG223" s="918"/>
      <c r="IH223" s="918"/>
      <c r="II223" s="918"/>
      <c r="IJ223" s="918"/>
      <c r="IK223" s="918"/>
      <c r="IL223" s="918"/>
      <c r="IM223" s="918"/>
      <c r="IN223" s="918"/>
    </row>
    <row r="224" spans="1:248">
      <c r="A224" s="615" t="s">
        <v>24</v>
      </c>
      <c r="B224" s="617">
        <v>13960.2</v>
      </c>
      <c r="C224" s="617">
        <f t="shared" si="29"/>
        <v>34.619047146697355</v>
      </c>
      <c r="D224" s="617">
        <v>14142.6</v>
      </c>
      <c r="E224" s="617">
        <f t="shared" si="30"/>
        <v>35.071369763820151</v>
      </c>
      <c r="F224" s="617">
        <f t="shared" si="31"/>
        <v>-182.39999999999964</v>
      </c>
      <c r="G224" s="919">
        <f t="shared" si="32"/>
        <v>-0.45232261712279087</v>
      </c>
      <c r="H224" s="400">
        <v>40325.199999999997</v>
      </c>
      <c r="I224" s="918"/>
      <c r="J224" s="918"/>
      <c r="K224" s="918"/>
      <c r="L224" s="918"/>
      <c r="M224" s="918"/>
      <c r="N224" s="918"/>
      <c r="O224" s="918"/>
      <c r="P224" s="918"/>
      <c r="Q224" s="918"/>
      <c r="R224" s="918"/>
      <c r="S224" s="918"/>
      <c r="T224" s="918"/>
      <c r="U224" s="918"/>
      <c r="V224" s="918"/>
      <c r="W224" s="918"/>
      <c r="X224" s="918"/>
      <c r="Y224" s="918"/>
      <c r="Z224" s="918"/>
      <c r="AA224" s="918"/>
      <c r="AB224" s="918"/>
      <c r="AC224" s="918"/>
      <c r="AD224" s="918"/>
      <c r="AE224" s="918"/>
      <c r="AF224" s="918"/>
      <c r="AG224" s="918"/>
      <c r="AH224" s="918"/>
      <c r="AI224" s="918"/>
      <c r="AJ224" s="918"/>
      <c r="AK224" s="918"/>
      <c r="AL224" s="918"/>
      <c r="AM224" s="918"/>
      <c r="AN224" s="918"/>
      <c r="AO224" s="918"/>
      <c r="AP224" s="918"/>
      <c r="AQ224" s="918"/>
      <c r="AR224" s="918"/>
      <c r="AS224" s="918"/>
      <c r="AT224" s="918"/>
      <c r="AU224" s="918"/>
      <c r="AV224" s="918"/>
      <c r="AW224" s="918"/>
      <c r="AX224" s="918"/>
      <c r="AY224" s="918"/>
      <c r="AZ224" s="918"/>
      <c r="BA224" s="918"/>
      <c r="BB224" s="918"/>
      <c r="BC224" s="918"/>
      <c r="BD224" s="918"/>
      <c r="BE224" s="918"/>
      <c r="BF224" s="918"/>
      <c r="BG224" s="918"/>
      <c r="BH224" s="918"/>
      <c r="BI224" s="918"/>
      <c r="BJ224" s="918"/>
      <c r="BK224" s="918"/>
      <c r="BL224" s="918"/>
      <c r="BM224" s="918"/>
      <c r="BN224" s="918"/>
      <c r="BO224" s="918"/>
      <c r="BP224" s="918"/>
      <c r="BQ224" s="918"/>
      <c r="BR224" s="918"/>
      <c r="BS224" s="918"/>
      <c r="BT224" s="918"/>
      <c r="BU224" s="918"/>
      <c r="BV224" s="918"/>
      <c r="BW224" s="918"/>
      <c r="BX224" s="918"/>
      <c r="BY224" s="918"/>
      <c r="BZ224" s="918"/>
      <c r="CA224" s="918"/>
      <c r="CB224" s="918"/>
      <c r="CC224" s="918"/>
      <c r="CD224" s="918"/>
      <c r="CE224" s="918"/>
      <c r="CF224" s="918"/>
      <c r="CG224" s="918"/>
      <c r="CH224" s="918"/>
      <c r="CI224" s="918"/>
      <c r="CJ224" s="918"/>
      <c r="CK224" s="918"/>
      <c r="CL224" s="918"/>
      <c r="CM224" s="918"/>
      <c r="CN224" s="918"/>
      <c r="CO224" s="918"/>
      <c r="CP224" s="918"/>
      <c r="CQ224" s="918"/>
      <c r="CR224" s="918"/>
      <c r="CS224" s="918"/>
      <c r="CT224" s="918"/>
      <c r="CU224" s="918"/>
      <c r="CV224" s="918"/>
      <c r="CW224" s="918"/>
      <c r="CX224" s="918"/>
      <c r="CY224" s="918"/>
      <c r="CZ224" s="918"/>
      <c r="DA224" s="918"/>
      <c r="DB224" s="918"/>
      <c r="DC224" s="918"/>
      <c r="DD224" s="918"/>
      <c r="DE224" s="918"/>
      <c r="DF224" s="918"/>
      <c r="DG224" s="918"/>
      <c r="DH224" s="918"/>
      <c r="DI224" s="918"/>
      <c r="DJ224" s="918"/>
      <c r="DK224" s="918"/>
      <c r="DL224" s="918"/>
      <c r="DM224" s="918"/>
      <c r="DN224" s="918"/>
      <c r="DO224" s="918"/>
      <c r="DP224" s="918"/>
      <c r="DQ224" s="918"/>
      <c r="DR224" s="918"/>
      <c r="DS224" s="918"/>
      <c r="DT224" s="918"/>
      <c r="DU224" s="918"/>
      <c r="DV224" s="918"/>
      <c r="DW224" s="918"/>
      <c r="DX224" s="918"/>
      <c r="DY224" s="918"/>
      <c r="DZ224" s="918"/>
      <c r="EA224" s="918"/>
      <c r="EB224" s="918"/>
      <c r="EC224" s="918"/>
      <c r="ED224" s="918"/>
      <c r="EE224" s="918"/>
      <c r="EF224" s="918"/>
      <c r="EG224" s="918"/>
      <c r="EH224" s="918"/>
      <c r="EI224" s="918"/>
      <c r="EJ224" s="918"/>
      <c r="EK224" s="918"/>
      <c r="EL224" s="918"/>
      <c r="EM224" s="918"/>
      <c r="EN224" s="918"/>
      <c r="EO224" s="918"/>
      <c r="EP224" s="918"/>
      <c r="EQ224" s="918"/>
      <c r="ER224" s="918"/>
      <c r="ES224" s="918"/>
      <c r="ET224" s="918"/>
      <c r="EU224" s="918"/>
      <c r="EV224" s="918"/>
      <c r="EW224" s="918"/>
      <c r="EX224" s="918"/>
      <c r="EY224" s="918"/>
      <c r="EZ224" s="918"/>
      <c r="FA224" s="918"/>
      <c r="FB224" s="918"/>
      <c r="FC224" s="918"/>
      <c r="FD224" s="918"/>
      <c r="FE224" s="918"/>
      <c r="FF224" s="918"/>
      <c r="FG224" s="918"/>
      <c r="FH224" s="918"/>
      <c r="FI224" s="918"/>
      <c r="FJ224" s="918"/>
      <c r="FK224" s="918"/>
      <c r="FL224" s="918"/>
      <c r="FM224" s="918"/>
      <c r="FN224" s="918"/>
      <c r="FO224" s="918"/>
      <c r="FP224" s="918"/>
      <c r="FQ224" s="918"/>
      <c r="FR224" s="918"/>
      <c r="FS224" s="918"/>
      <c r="FT224" s="918"/>
      <c r="FU224" s="918"/>
      <c r="FV224" s="918"/>
      <c r="FW224" s="918"/>
      <c r="FX224" s="918"/>
      <c r="FY224" s="918"/>
      <c r="FZ224" s="918"/>
      <c r="GA224" s="918"/>
      <c r="GB224" s="918"/>
      <c r="GC224" s="918"/>
      <c r="GD224" s="918"/>
      <c r="GE224" s="918"/>
      <c r="GF224" s="918"/>
      <c r="GG224" s="918"/>
      <c r="GH224" s="918"/>
      <c r="GI224" s="918"/>
      <c r="GJ224" s="918"/>
      <c r="GK224" s="918"/>
      <c r="GL224" s="918"/>
      <c r="GM224" s="918"/>
      <c r="GN224" s="918"/>
      <c r="GO224" s="918"/>
      <c r="GP224" s="918"/>
      <c r="GQ224" s="918"/>
      <c r="GR224" s="918"/>
      <c r="GS224" s="918"/>
      <c r="GT224" s="918"/>
      <c r="GU224" s="918"/>
      <c r="GV224" s="918"/>
      <c r="GW224" s="918"/>
      <c r="GX224" s="918"/>
      <c r="GY224" s="918"/>
      <c r="GZ224" s="918"/>
      <c r="HA224" s="918"/>
      <c r="HB224" s="918"/>
      <c r="HC224" s="918"/>
      <c r="HD224" s="918"/>
      <c r="HE224" s="918"/>
      <c r="HF224" s="918"/>
      <c r="HG224" s="918"/>
      <c r="HH224" s="918"/>
      <c r="HI224" s="918"/>
      <c r="HJ224" s="918"/>
      <c r="HK224" s="918"/>
      <c r="HL224" s="918"/>
      <c r="HM224" s="918"/>
      <c r="HN224" s="918"/>
      <c r="HO224" s="918"/>
      <c r="HP224" s="918"/>
      <c r="HQ224" s="918"/>
      <c r="HR224" s="918"/>
      <c r="HS224" s="918"/>
      <c r="HT224" s="918"/>
      <c r="HU224" s="918"/>
      <c r="HV224" s="918"/>
      <c r="HW224" s="918"/>
      <c r="HX224" s="918"/>
      <c r="HY224" s="918"/>
      <c r="HZ224" s="918"/>
      <c r="IA224" s="918"/>
      <c r="IB224" s="918"/>
      <c r="IC224" s="918"/>
      <c r="ID224" s="918"/>
      <c r="IE224" s="918"/>
      <c r="IF224" s="918"/>
      <c r="IG224" s="918"/>
      <c r="IH224" s="918"/>
      <c r="II224" s="918"/>
      <c r="IJ224" s="918"/>
      <c r="IK224" s="918"/>
      <c r="IL224" s="918"/>
      <c r="IM224" s="918"/>
      <c r="IN224" s="918"/>
    </row>
    <row r="225" spans="1:248">
      <c r="A225" s="615" t="s">
        <v>25</v>
      </c>
      <c r="B225" s="617">
        <v>15954.7</v>
      </c>
      <c r="C225" s="617">
        <f t="shared" si="29"/>
        <v>34.598986841078045</v>
      </c>
      <c r="D225" s="618">
        <v>16356.2</v>
      </c>
      <c r="E225" s="919">
        <f t="shared" si="30"/>
        <v>35.469670289635076</v>
      </c>
      <c r="F225" s="919">
        <f>B225-D225</f>
        <v>-401.5</v>
      </c>
      <c r="G225" s="919">
        <f t="shared" si="32"/>
        <v>-0.87068344855702928</v>
      </c>
      <c r="H225" s="400">
        <v>46113.2</v>
      </c>
      <c r="I225" s="918"/>
      <c r="J225" s="918"/>
      <c r="K225" s="918"/>
      <c r="L225" s="918"/>
      <c r="M225" s="918"/>
      <c r="N225" s="918"/>
      <c r="O225" s="918"/>
      <c r="P225" s="918"/>
      <c r="Q225" s="918"/>
      <c r="R225" s="918"/>
      <c r="S225" s="918"/>
      <c r="T225" s="918"/>
      <c r="U225" s="918"/>
      <c r="V225" s="918"/>
      <c r="W225" s="918"/>
      <c r="X225" s="918"/>
      <c r="Y225" s="918"/>
      <c r="Z225" s="918"/>
      <c r="AA225" s="918"/>
      <c r="AB225" s="918"/>
      <c r="AC225" s="918"/>
      <c r="AD225" s="918"/>
      <c r="AE225" s="918"/>
      <c r="AF225" s="918"/>
      <c r="AG225" s="918"/>
      <c r="AH225" s="918"/>
      <c r="AI225" s="918"/>
      <c r="AJ225" s="918"/>
      <c r="AK225" s="918"/>
      <c r="AL225" s="918"/>
      <c r="AM225" s="918"/>
      <c r="AN225" s="918"/>
      <c r="AO225" s="918"/>
      <c r="AP225" s="918"/>
      <c r="AQ225" s="918"/>
      <c r="AR225" s="918"/>
      <c r="AS225" s="918"/>
      <c r="AT225" s="918"/>
      <c r="AU225" s="918"/>
      <c r="AV225" s="918"/>
      <c r="AW225" s="918"/>
      <c r="AX225" s="918"/>
      <c r="AY225" s="918"/>
      <c r="AZ225" s="918"/>
      <c r="BA225" s="918"/>
      <c r="BB225" s="918"/>
      <c r="BC225" s="918"/>
      <c r="BD225" s="918"/>
      <c r="BE225" s="918"/>
      <c r="BF225" s="918"/>
      <c r="BG225" s="918"/>
      <c r="BH225" s="918"/>
      <c r="BI225" s="918"/>
      <c r="BJ225" s="918"/>
      <c r="BK225" s="918"/>
      <c r="BL225" s="918"/>
      <c r="BM225" s="918"/>
      <c r="BN225" s="918"/>
      <c r="BO225" s="918"/>
      <c r="BP225" s="918"/>
      <c r="BQ225" s="918"/>
      <c r="BR225" s="918"/>
      <c r="BS225" s="918"/>
      <c r="BT225" s="918"/>
      <c r="BU225" s="918"/>
      <c r="BV225" s="918"/>
      <c r="BW225" s="918"/>
      <c r="BX225" s="918"/>
      <c r="BY225" s="918"/>
      <c r="BZ225" s="918"/>
      <c r="CA225" s="918"/>
      <c r="CB225" s="918"/>
      <c r="CC225" s="918"/>
      <c r="CD225" s="918"/>
      <c r="CE225" s="918"/>
      <c r="CF225" s="918"/>
      <c r="CG225" s="918"/>
      <c r="CH225" s="918"/>
      <c r="CI225" s="918"/>
      <c r="CJ225" s="918"/>
      <c r="CK225" s="918"/>
      <c r="CL225" s="918"/>
      <c r="CM225" s="918"/>
      <c r="CN225" s="918"/>
      <c r="CO225" s="918"/>
      <c r="CP225" s="918"/>
      <c r="CQ225" s="918"/>
      <c r="CR225" s="918"/>
      <c r="CS225" s="918"/>
      <c r="CT225" s="918"/>
      <c r="CU225" s="918"/>
      <c r="CV225" s="918"/>
      <c r="CW225" s="918"/>
      <c r="CX225" s="918"/>
      <c r="CY225" s="918"/>
      <c r="CZ225" s="918"/>
      <c r="DA225" s="918"/>
      <c r="DB225" s="918"/>
      <c r="DC225" s="918"/>
      <c r="DD225" s="918"/>
      <c r="DE225" s="918"/>
      <c r="DF225" s="918"/>
      <c r="DG225" s="918"/>
      <c r="DH225" s="918"/>
      <c r="DI225" s="918"/>
      <c r="DJ225" s="918"/>
      <c r="DK225" s="918"/>
      <c r="DL225" s="918"/>
      <c r="DM225" s="918"/>
      <c r="DN225" s="918"/>
      <c r="DO225" s="918"/>
      <c r="DP225" s="918"/>
      <c r="DQ225" s="918"/>
      <c r="DR225" s="918"/>
      <c r="DS225" s="918"/>
      <c r="DT225" s="918"/>
      <c r="DU225" s="918"/>
      <c r="DV225" s="918"/>
      <c r="DW225" s="918"/>
      <c r="DX225" s="918"/>
      <c r="DY225" s="918"/>
      <c r="DZ225" s="918"/>
      <c r="EA225" s="918"/>
      <c r="EB225" s="918"/>
      <c r="EC225" s="918"/>
      <c r="ED225" s="918"/>
      <c r="EE225" s="918"/>
      <c r="EF225" s="918"/>
      <c r="EG225" s="918"/>
      <c r="EH225" s="918"/>
      <c r="EI225" s="918"/>
      <c r="EJ225" s="918"/>
      <c r="EK225" s="918"/>
      <c r="EL225" s="918"/>
      <c r="EM225" s="918"/>
      <c r="EN225" s="918"/>
      <c r="EO225" s="918"/>
      <c r="EP225" s="918"/>
      <c r="EQ225" s="918"/>
      <c r="ER225" s="918"/>
      <c r="ES225" s="918"/>
      <c r="ET225" s="918"/>
      <c r="EU225" s="918"/>
      <c r="EV225" s="918"/>
      <c r="EW225" s="918"/>
      <c r="EX225" s="918"/>
      <c r="EY225" s="918"/>
      <c r="EZ225" s="918"/>
      <c r="FA225" s="918"/>
      <c r="FB225" s="918"/>
      <c r="FC225" s="918"/>
      <c r="FD225" s="918"/>
      <c r="FE225" s="918"/>
      <c r="FF225" s="918"/>
      <c r="FG225" s="918"/>
      <c r="FH225" s="918"/>
      <c r="FI225" s="918"/>
      <c r="FJ225" s="918"/>
      <c r="FK225" s="918"/>
      <c r="FL225" s="918"/>
      <c r="FM225" s="918"/>
      <c r="FN225" s="918"/>
      <c r="FO225" s="918"/>
      <c r="FP225" s="918"/>
      <c r="FQ225" s="918"/>
      <c r="FR225" s="918"/>
      <c r="FS225" s="918"/>
      <c r="FT225" s="918"/>
      <c r="FU225" s="918"/>
      <c r="FV225" s="918"/>
      <c r="FW225" s="918"/>
      <c r="FX225" s="918"/>
      <c r="FY225" s="918"/>
      <c r="FZ225" s="918"/>
      <c r="GA225" s="918"/>
      <c r="GB225" s="918"/>
      <c r="GC225" s="918"/>
      <c r="GD225" s="918"/>
      <c r="GE225" s="918"/>
      <c r="GF225" s="918"/>
      <c r="GG225" s="918"/>
      <c r="GH225" s="918"/>
      <c r="GI225" s="918"/>
      <c r="GJ225" s="918"/>
      <c r="GK225" s="918"/>
      <c r="GL225" s="918"/>
      <c r="GM225" s="918"/>
      <c r="GN225" s="918"/>
      <c r="GO225" s="918"/>
      <c r="GP225" s="918"/>
      <c r="GQ225" s="918"/>
      <c r="GR225" s="918"/>
      <c r="GS225" s="918"/>
      <c r="GT225" s="918"/>
      <c r="GU225" s="918"/>
      <c r="GV225" s="918"/>
      <c r="GW225" s="918"/>
      <c r="GX225" s="918"/>
      <c r="GY225" s="918"/>
      <c r="GZ225" s="918"/>
      <c r="HA225" s="918"/>
      <c r="HB225" s="918"/>
      <c r="HC225" s="918"/>
      <c r="HD225" s="918"/>
      <c r="HE225" s="918"/>
      <c r="HF225" s="918"/>
      <c r="HG225" s="918"/>
      <c r="HH225" s="918"/>
      <c r="HI225" s="918"/>
      <c r="HJ225" s="918"/>
      <c r="HK225" s="918"/>
      <c r="HL225" s="918"/>
      <c r="HM225" s="918"/>
      <c r="HN225" s="918"/>
      <c r="HO225" s="918"/>
      <c r="HP225" s="918"/>
      <c r="HQ225" s="918"/>
      <c r="HR225" s="918"/>
      <c r="HS225" s="918"/>
      <c r="HT225" s="918"/>
      <c r="HU225" s="918"/>
      <c r="HV225" s="918"/>
      <c r="HW225" s="918"/>
      <c r="HX225" s="918"/>
      <c r="HY225" s="918"/>
      <c r="HZ225" s="918"/>
      <c r="IA225" s="918"/>
      <c r="IB225" s="918"/>
      <c r="IC225" s="918"/>
      <c r="ID225" s="918"/>
      <c r="IE225" s="918"/>
      <c r="IF225" s="918"/>
      <c r="IG225" s="918"/>
      <c r="IH225" s="918"/>
      <c r="II225" s="918"/>
      <c r="IJ225" s="918"/>
      <c r="IK225" s="918"/>
      <c r="IL225" s="918"/>
      <c r="IM225" s="918"/>
      <c r="IN225" s="918"/>
    </row>
    <row r="226" spans="1:248">
      <c r="A226" s="615" t="s">
        <v>26</v>
      </c>
      <c r="B226" s="617">
        <v>17964.5</v>
      </c>
      <c r="C226" s="617">
        <f t="shared" si="29"/>
        <v>34.319878191130648</v>
      </c>
      <c r="D226" s="617">
        <v>18642.099999999999</v>
      </c>
      <c r="E226" s="919">
        <f t="shared" si="30"/>
        <v>35.614383992144319</v>
      </c>
      <c r="F226" s="919">
        <f>B226-D226</f>
        <v>-677.59999999999854</v>
      </c>
      <c r="G226" s="919">
        <f t="shared" si="32"/>
        <v>-1.2945058010136701</v>
      </c>
      <c r="H226" s="400">
        <v>52344.3</v>
      </c>
      <c r="I226" s="918"/>
      <c r="J226" s="918"/>
      <c r="K226" s="918"/>
      <c r="L226" s="918"/>
      <c r="M226" s="918"/>
      <c r="N226" s="918"/>
      <c r="O226" s="918"/>
      <c r="P226" s="918"/>
      <c r="Q226" s="918"/>
      <c r="R226" s="918"/>
      <c r="S226" s="918"/>
      <c r="T226" s="918"/>
      <c r="U226" s="918"/>
      <c r="V226" s="918"/>
      <c r="W226" s="918"/>
      <c r="X226" s="918"/>
      <c r="Y226" s="918"/>
      <c r="Z226" s="918"/>
      <c r="AA226" s="918"/>
      <c r="AB226" s="918"/>
      <c r="AC226" s="918"/>
      <c r="AD226" s="918"/>
      <c r="AE226" s="918"/>
      <c r="AF226" s="918"/>
      <c r="AG226" s="918"/>
      <c r="AH226" s="918"/>
      <c r="AI226" s="918"/>
      <c r="AJ226" s="918"/>
      <c r="AK226" s="918"/>
      <c r="AL226" s="918"/>
      <c r="AM226" s="918"/>
      <c r="AN226" s="918"/>
      <c r="AO226" s="918"/>
      <c r="AP226" s="918"/>
      <c r="AQ226" s="918"/>
      <c r="AR226" s="918"/>
      <c r="AS226" s="918"/>
      <c r="AT226" s="918"/>
      <c r="AU226" s="918"/>
      <c r="AV226" s="918"/>
      <c r="AW226" s="918"/>
      <c r="AX226" s="918"/>
      <c r="AY226" s="918"/>
      <c r="AZ226" s="918"/>
      <c r="BA226" s="918"/>
      <c r="BB226" s="918"/>
      <c r="BC226" s="918"/>
      <c r="BD226" s="918"/>
      <c r="BE226" s="918"/>
      <c r="BF226" s="918"/>
      <c r="BG226" s="918"/>
      <c r="BH226" s="918"/>
      <c r="BI226" s="918"/>
      <c r="BJ226" s="918"/>
      <c r="BK226" s="918"/>
      <c r="BL226" s="918"/>
      <c r="BM226" s="918"/>
      <c r="BN226" s="918"/>
      <c r="BO226" s="918"/>
      <c r="BP226" s="918"/>
      <c r="BQ226" s="918"/>
      <c r="BR226" s="918"/>
      <c r="BS226" s="918"/>
      <c r="BT226" s="918"/>
      <c r="BU226" s="918"/>
      <c r="BV226" s="918"/>
      <c r="BW226" s="918"/>
      <c r="BX226" s="918"/>
      <c r="BY226" s="918"/>
      <c r="BZ226" s="918"/>
      <c r="CA226" s="918"/>
      <c r="CB226" s="918"/>
      <c r="CC226" s="918"/>
      <c r="CD226" s="918"/>
      <c r="CE226" s="918"/>
      <c r="CF226" s="918"/>
      <c r="CG226" s="918"/>
      <c r="CH226" s="918"/>
      <c r="CI226" s="918"/>
      <c r="CJ226" s="918"/>
      <c r="CK226" s="918"/>
      <c r="CL226" s="918"/>
      <c r="CM226" s="918"/>
      <c r="CN226" s="918"/>
      <c r="CO226" s="918"/>
      <c r="CP226" s="918"/>
      <c r="CQ226" s="918"/>
      <c r="CR226" s="918"/>
      <c r="CS226" s="918"/>
      <c r="CT226" s="918"/>
      <c r="CU226" s="918"/>
      <c r="CV226" s="918"/>
      <c r="CW226" s="918"/>
      <c r="CX226" s="918"/>
      <c r="CY226" s="918"/>
      <c r="CZ226" s="918"/>
      <c r="DA226" s="918"/>
      <c r="DB226" s="918"/>
      <c r="DC226" s="918"/>
      <c r="DD226" s="918"/>
      <c r="DE226" s="918"/>
      <c r="DF226" s="918"/>
      <c r="DG226" s="918"/>
      <c r="DH226" s="918"/>
      <c r="DI226" s="918"/>
      <c r="DJ226" s="918"/>
      <c r="DK226" s="918"/>
      <c r="DL226" s="918"/>
      <c r="DM226" s="918"/>
      <c r="DN226" s="918"/>
      <c r="DO226" s="918"/>
      <c r="DP226" s="918"/>
      <c r="DQ226" s="918"/>
      <c r="DR226" s="918"/>
      <c r="DS226" s="918"/>
      <c r="DT226" s="918"/>
      <c r="DU226" s="918"/>
      <c r="DV226" s="918"/>
      <c r="DW226" s="918"/>
      <c r="DX226" s="918"/>
      <c r="DY226" s="918"/>
      <c r="DZ226" s="918"/>
      <c r="EA226" s="918"/>
      <c r="EB226" s="918"/>
      <c r="EC226" s="918"/>
      <c r="ED226" s="918"/>
      <c r="EE226" s="918"/>
      <c r="EF226" s="918"/>
      <c r="EG226" s="918"/>
      <c r="EH226" s="918"/>
      <c r="EI226" s="918"/>
      <c r="EJ226" s="918"/>
      <c r="EK226" s="918"/>
      <c r="EL226" s="918"/>
      <c r="EM226" s="918"/>
      <c r="EN226" s="918"/>
      <c r="EO226" s="918"/>
      <c r="EP226" s="918"/>
      <c r="EQ226" s="918"/>
      <c r="ER226" s="918"/>
      <c r="ES226" s="918"/>
      <c r="ET226" s="918"/>
      <c r="EU226" s="918"/>
      <c r="EV226" s="918"/>
      <c r="EW226" s="918"/>
      <c r="EX226" s="918"/>
      <c r="EY226" s="918"/>
      <c r="EZ226" s="918"/>
      <c r="FA226" s="918"/>
      <c r="FB226" s="918"/>
      <c r="FC226" s="918"/>
      <c r="FD226" s="918"/>
      <c r="FE226" s="918"/>
      <c r="FF226" s="918"/>
      <c r="FG226" s="918"/>
      <c r="FH226" s="918"/>
      <c r="FI226" s="918"/>
      <c r="FJ226" s="918"/>
      <c r="FK226" s="918"/>
      <c r="FL226" s="918"/>
      <c r="FM226" s="918"/>
      <c r="FN226" s="918"/>
      <c r="FO226" s="918"/>
      <c r="FP226" s="918"/>
      <c r="FQ226" s="918"/>
      <c r="FR226" s="918"/>
      <c r="FS226" s="918"/>
      <c r="FT226" s="918"/>
      <c r="FU226" s="918"/>
      <c r="FV226" s="918"/>
      <c r="FW226" s="918"/>
      <c r="FX226" s="918"/>
      <c r="FY226" s="918"/>
      <c r="FZ226" s="918"/>
      <c r="GA226" s="918"/>
      <c r="GB226" s="918"/>
      <c r="GC226" s="918"/>
      <c r="GD226" s="918"/>
      <c r="GE226" s="918"/>
      <c r="GF226" s="918"/>
      <c r="GG226" s="918"/>
      <c r="GH226" s="918"/>
      <c r="GI226" s="918"/>
      <c r="GJ226" s="918"/>
      <c r="GK226" s="918"/>
      <c r="GL226" s="918"/>
      <c r="GM226" s="918"/>
      <c r="GN226" s="918"/>
      <c r="GO226" s="918"/>
      <c r="GP226" s="918"/>
      <c r="GQ226" s="918"/>
      <c r="GR226" s="918"/>
      <c r="GS226" s="918"/>
      <c r="GT226" s="918"/>
      <c r="GU226" s="918"/>
      <c r="GV226" s="918"/>
      <c r="GW226" s="918"/>
      <c r="GX226" s="918"/>
      <c r="GY226" s="918"/>
      <c r="GZ226" s="918"/>
      <c r="HA226" s="918"/>
      <c r="HB226" s="918"/>
      <c r="HC226" s="918"/>
      <c r="HD226" s="918"/>
      <c r="HE226" s="918"/>
      <c r="HF226" s="918"/>
      <c r="HG226" s="918"/>
      <c r="HH226" s="918"/>
      <c r="HI226" s="918"/>
      <c r="HJ226" s="918"/>
      <c r="HK226" s="918"/>
      <c r="HL226" s="918"/>
      <c r="HM226" s="918"/>
      <c r="HN226" s="918"/>
      <c r="HO226" s="918"/>
      <c r="HP226" s="918"/>
      <c r="HQ226" s="918"/>
      <c r="HR226" s="918"/>
      <c r="HS226" s="918"/>
      <c r="HT226" s="918"/>
      <c r="HU226" s="918"/>
      <c r="HV226" s="918"/>
      <c r="HW226" s="918"/>
      <c r="HX226" s="918"/>
      <c r="HY226" s="918"/>
      <c r="HZ226" s="918"/>
      <c r="IA226" s="918"/>
      <c r="IB226" s="918"/>
      <c r="IC226" s="918"/>
      <c r="ID226" s="918"/>
      <c r="IE226" s="918"/>
      <c r="IF226" s="918"/>
      <c r="IG226" s="918"/>
      <c r="IH226" s="918"/>
      <c r="II226" s="918"/>
      <c r="IJ226" s="918"/>
      <c r="IK226" s="918"/>
      <c r="IL226" s="918"/>
      <c r="IM226" s="918"/>
      <c r="IN226" s="918"/>
    </row>
    <row r="227" spans="1:248">
      <c r="A227" s="615" t="s">
        <v>27</v>
      </c>
      <c r="B227" s="617">
        <v>20207.099999999999</v>
      </c>
      <c r="C227" s="617">
        <f t="shared" si="29"/>
        <v>34.568997372310726</v>
      </c>
      <c r="D227" s="617">
        <v>20722.099999999999</v>
      </c>
      <c r="E227" s="919">
        <f t="shared" si="30"/>
        <v>35.450026003175125</v>
      </c>
      <c r="F227" s="919">
        <f>B227-D227</f>
        <v>-515</v>
      </c>
      <c r="G227" s="919">
        <f t="shared" si="32"/>
        <v>-0.88102863086440031</v>
      </c>
      <c r="H227" s="400">
        <v>58454.400000000001</v>
      </c>
      <c r="I227" s="918"/>
      <c r="J227" s="918"/>
      <c r="K227" s="918"/>
      <c r="L227" s="918"/>
      <c r="M227" s="918"/>
      <c r="N227" s="918"/>
      <c r="O227" s="918"/>
      <c r="P227" s="918"/>
      <c r="Q227" s="918"/>
      <c r="R227" s="918"/>
      <c r="S227" s="918"/>
      <c r="T227" s="918"/>
      <c r="U227" s="918"/>
      <c r="V227" s="918"/>
      <c r="W227" s="918"/>
      <c r="X227" s="918"/>
      <c r="Y227" s="918"/>
      <c r="Z227" s="918"/>
      <c r="AA227" s="918"/>
      <c r="AB227" s="918"/>
      <c r="AC227" s="918"/>
      <c r="AD227" s="918"/>
      <c r="AE227" s="918"/>
      <c r="AF227" s="918"/>
      <c r="AG227" s="918"/>
      <c r="AH227" s="918"/>
      <c r="AI227" s="918"/>
      <c r="AJ227" s="918"/>
      <c r="AK227" s="918"/>
      <c r="AL227" s="918"/>
      <c r="AM227" s="918"/>
      <c r="AN227" s="918"/>
      <c r="AO227" s="918"/>
      <c r="AP227" s="918"/>
      <c r="AQ227" s="918"/>
      <c r="AR227" s="918"/>
      <c r="AS227" s="918"/>
      <c r="AT227" s="918"/>
      <c r="AU227" s="918"/>
      <c r="AV227" s="918"/>
      <c r="AW227" s="918"/>
      <c r="AX227" s="918"/>
      <c r="AY227" s="918"/>
      <c r="AZ227" s="918"/>
      <c r="BA227" s="918"/>
      <c r="BB227" s="918"/>
      <c r="BC227" s="918"/>
      <c r="BD227" s="918"/>
      <c r="BE227" s="918"/>
      <c r="BF227" s="918"/>
      <c r="BG227" s="918"/>
      <c r="BH227" s="918"/>
      <c r="BI227" s="918"/>
      <c r="BJ227" s="918"/>
      <c r="BK227" s="918"/>
      <c r="BL227" s="918"/>
      <c r="BM227" s="918"/>
      <c r="BN227" s="918"/>
      <c r="BO227" s="918"/>
      <c r="BP227" s="918"/>
      <c r="BQ227" s="918"/>
      <c r="BR227" s="918"/>
      <c r="BS227" s="918"/>
      <c r="BT227" s="918"/>
      <c r="BU227" s="918"/>
      <c r="BV227" s="918"/>
      <c r="BW227" s="918"/>
      <c r="BX227" s="918"/>
      <c r="BY227" s="918"/>
      <c r="BZ227" s="918"/>
      <c r="CA227" s="918"/>
      <c r="CB227" s="918"/>
      <c r="CC227" s="918"/>
      <c r="CD227" s="918"/>
      <c r="CE227" s="918"/>
      <c r="CF227" s="918"/>
      <c r="CG227" s="918"/>
      <c r="CH227" s="918"/>
      <c r="CI227" s="918"/>
      <c r="CJ227" s="918"/>
      <c r="CK227" s="918"/>
      <c r="CL227" s="918"/>
      <c r="CM227" s="918"/>
      <c r="CN227" s="918"/>
      <c r="CO227" s="918"/>
      <c r="CP227" s="918"/>
      <c r="CQ227" s="918"/>
      <c r="CR227" s="918"/>
      <c r="CS227" s="918"/>
      <c r="CT227" s="918"/>
      <c r="CU227" s="918"/>
      <c r="CV227" s="918"/>
      <c r="CW227" s="918"/>
      <c r="CX227" s="918"/>
      <c r="CY227" s="918"/>
      <c r="CZ227" s="918"/>
      <c r="DA227" s="918"/>
      <c r="DB227" s="918"/>
      <c r="DC227" s="918"/>
      <c r="DD227" s="918"/>
      <c r="DE227" s="918"/>
      <c r="DF227" s="918"/>
      <c r="DG227" s="918"/>
      <c r="DH227" s="918"/>
      <c r="DI227" s="918"/>
      <c r="DJ227" s="918"/>
      <c r="DK227" s="918"/>
      <c r="DL227" s="918"/>
      <c r="DM227" s="918"/>
      <c r="DN227" s="918"/>
      <c r="DO227" s="918"/>
      <c r="DP227" s="918"/>
      <c r="DQ227" s="918"/>
      <c r="DR227" s="918"/>
      <c r="DS227" s="918"/>
      <c r="DT227" s="918"/>
      <c r="DU227" s="918"/>
      <c r="DV227" s="918"/>
      <c r="DW227" s="918"/>
      <c r="DX227" s="918"/>
      <c r="DY227" s="918"/>
      <c r="DZ227" s="918"/>
      <c r="EA227" s="918"/>
      <c r="EB227" s="918"/>
      <c r="EC227" s="918"/>
      <c r="ED227" s="918"/>
      <c r="EE227" s="918"/>
      <c r="EF227" s="918"/>
      <c r="EG227" s="918"/>
      <c r="EH227" s="918"/>
      <c r="EI227" s="918"/>
      <c r="EJ227" s="918"/>
      <c r="EK227" s="918"/>
      <c r="EL227" s="918"/>
      <c r="EM227" s="918"/>
      <c r="EN227" s="918"/>
      <c r="EO227" s="918"/>
      <c r="EP227" s="918"/>
      <c r="EQ227" s="918"/>
      <c r="ER227" s="918"/>
      <c r="ES227" s="918"/>
      <c r="ET227" s="918"/>
      <c r="EU227" s="918"/>
      <c r="EV227" s="918"/>
      <c r="EW227" s="918"/>
      <c r="EX227" s="918"/>
      <c r="EY227" s="918"/>
      <c r="EZ227" s="918"/>
      <c r="FA227" s="918"/>
      <c r="FB227" s="918"/>
      <c r="FC227" s="918"/>
      <c r="FD227" s="918"/>
      <c r="FE227" s="918"/>
      <c r="FF227" s="918"/>
      <c r="FG227" s="918"/>
      <c r="FH227" s="918"/>
      <c r="FI227" s="918"/>
      <c r="FJ227" s="918"/>
      <c r="FK227" s="918"/>
      <c r="FL227" s="918"/>
      <c r="FM227" s="918"/>
      <c r="FN227" s="918"/>
      <c r="FO227" s="918"/>
      <c r="FP227" s="918"/>
      <c r="FQ227" s="918"/>
      <c r="FR227" s="918"/>
      <c r="FS227" s="918"/>
      <c r="FT227" s="918"/>
      <c r="FU227" s="918"/>
      <c r="FV227" s="918"/>
      <c r="FW227" s="918"/>
      <c r="FX227" s="918"/>
      <c r="FY227" s="918"/>
      <c r="FZ227" s="918"/>
      <c r="GA227" s="918"/>
      <c r="GB227" s="918"/>
      <c r="GC227" s="918"/>
      <c r="GD227" s="918"/>
      <c r="GE227" s="918"/>
      <c r="GF227" s="918"/>
      <c r="GG227" s="918"/>
      <c r="GH227" s="918"/>
      <c r="GI227" s="918"/>
      <c r="GJ227" s="918"/>
      <c r="GK227" s="918"/>
      <c r="GL227" s="918"/>
      <c r="GM227" s="918"/>
      <c r="GN227" s="918"/>
      <c r="GO227" s="918"/>
      <c r="GP227" s="918"/>
      <c r="GQ227" s="918"/>
      <c r="GR227" s="918"/>
      <c r="GS227" s="918"/>
      <c r="GT227" s="918"/>
      <c r="GU227" s="918"/>
      <c r="GV227" s="918"/>
      <c r="GW227" s="918"/>
      <c r="GX227" s="918"/>
      <c r="GY227" s="918"/>
      <c r="GZ227" s="918"/>
      <c r="HA227" s="918"/>
      <c r="HB227" s="918"/>
      <c r="HC227" s="918"/>
      <c r="HD227" s="918"/>
      <c r="HE227" s="918"/>
      <c r="HF227" s="918"/>
      <c r="HG227" s="918"/>
      <c r="HH227" s="918"/>
      <c r="HI227" s="918"/>
      <c r="HJ227" s="918"/>
      <c r="HK227" s="918"/>
      <c r="HL227" s="918"/>
      <c r="HM227" s="918"/>
      <c r="HN227" s="918"/>
      <c r="HO227" s="918"/>
      <c r="HP227" s="918"/>
      <c r="HQ227" s="918"/>
      <c r="HR227" s="918"/>
      <c r="HS227" s="918"/>
      <c r="HT227" s="918"/>
      <c r="HU227" s="918"/>
      <c r="HV227" s="918"/>
      <c r="HW227" s="918"/>
      <c r="HX227" s="918"/>
      <c r="HY227" s="918"/>
      <c r="HZ227" s="918"/>
      <c r="IA227" s="918"/>
      <c r="IB227" s="918"/>
      <c r="IC227" s="918"/>
      <c r="ID227" s="918"/>
      <c r="IE227" s="918"/>
      <c r="IF227" s="918"/>
      <c r="IG227" s="918"/>
      <c r="IH227" s="918"/>
      <c r="II227" s="918"/>
      <c r="IJ227" s="918"/>
      <c r="IK227" s="918"/>
      <c r="IL227" s="918"/>
      <c r="IM227" s="918"/>
      <c r="IN227" s="918"/>
    </row>
    <row r="228" spans="1:248">
      <c r="A228" s="828" t="s">
        <v>28</v>
      </c>
      <c r="B228" s="617">
        <v>22241.1</v>
      </c>
      <c r="C228" s="617">
        <f t="shared" si="29"/>
        <v>34.513735756417077</v>
      </c>
      <c r="D228" s="617">
        <v>22162.7</v>
      </c>
      <c r="E228" s="919">
        <f t="shared" si="30"/>
        <v>34.392074647780227</v>
      </c>
      <c r="F228" s="919">
        <f>B228-D228</f>
        <v>78.399999999997817</v>
      </c>
      <c r="G228" s="919">
        <f t="shared" si="32"/>
        <v>0.12166110863684905</v>
      </c>
      <c r="H228" s="400">
        <v>64441.3</v>
      </c>
      <c r="I228" s="918"/>
      <c r="J228" s="918"/>
      <c r="K228" s="918"/>
      <c r="L228" s="918"/>
      <c r="M228" s="918"/>
      <c r="N228" s="918"/>
      <c r="O228" s="918"/>
      <c r="P228" s="918"/>
      <c r="Q228" s="918"/>
      <c r="R228" s="918"/>
      <c r="S228" s="918"/>
      <c r="T228" s="918"/>
      <c r="U228" s="918"/>
      <c r="V228" s="918"/>
      <c r="W228" s="918"/>
      <c r="X228" s="918"/>
      <c r="Y228" s="918"/>
      <c r="Z228" s="918"/>
      <c r="AA228" s="918"/>
      <c r="AB228" s="918"/>
      <c r="AC228" s="918"/>
      <c r="AD228" s="918"/>
      <c r="AE228" s="918"/>
      <c r="AF228" s="918"/>
      <c r="AG228" s="918"/>
      <c r="AH228" s="918"/>
      <c r="AI228" s="918"/>
      <c r="AJ228" s="918"/>
      <c r="AK228" s="918"/>
      <c r="AL228" s="918"/>
      <c r="AM228" s="918"/>
      <c r="AN228" s="918"/>
      <c r="AO228" s="918"/>
      <c r="AP228" s="918"/>
      <c r="AQ228" s="918"/>
      <c r="AR228" s="918"/>
      <c r="AS228" s="918"/>
      <c r="AT228" s="918"/>
      <c r="AU228" s="918"/>
      <c r="AV228" s="918"/>
      <c r="AW228" s="918"/>
      <c r="AX228" s="918"/>
      <c r="AY228" s="918"/>
      <c r="AZ228" s="918"/>
      <c r="BA228" s="918"/>
      <c r="BB228" s="918"/>
      <c r="BC228" s="918"/>
      <c r="BD228" s="918"/>
      <c r="BE228" s="918"/>
      <c r="BF228" s="918"/>
      <c r="BG228" s="918"/>
      <c r="BH228" s="918"/>
      <c r="BI228" s="918"/>
      <c r="BJ228" s="918"/>
      <c r="BK228" s="918"/>
      <c r="BL228" s="918"/>
      <c r="BM228" s="918"/>
      <c r="BN228" s="918"/>
      <c r="BO228" s="918"/>
      <c r="BP228" s="918"/>
      <c r="BQ228" s="918"/>
      <c r="BR228" s="918"/>
      <c r="BS228" s="918"/>
      <c r="BT228" s="918"/>
      <c r="BU228" s="918"/>
      <c r="BV228" s="918"/>
      <c r="BW228" s="918"/>
      <c r="BX228" s="918"/>
      <c r="BY228" s="918"/>
      <c r="BZ228" s="918"/>
      <c r="CA228" s="918"/>
      <c r="CB228" s="918"/>
      <c r="CC228" s="918"/>
      <c r="CD228" s="918"/>
      <c r="CE228" s="918"/>
      <c r="CF228" s="918"/>
      <c r="CG228" s="918"/>
      <c r="CH228" s="918"/>
      <c r="CI228" s="918"/>
      <c r="CJ228" s="918"/>
      <c r="CK228" s="918"/>
      <c r="CL228" s="918"/>
      <c r="CM228" s="918"/>
      <c r="CN228" s="918"/>
      <c r="CO228" s="918"/>
      <c r="CP228" s="918"/>
      <c r="CQ228" s="918"/>
      <c r="CR228" s="918"/>
      <c r="CS228" s="918"/>
      <c r="CT228" s="918"/>
      <c r="CU228" s="918"/>
      <c r="CV228" s="918"/>
      <c r="CW228" s="918"/>
      <c r="CX228" s="918"/>
      <c r="CY228" s="918"/>
      <c r="CZ228" s="918"/>
      <c r="DA228" s="918"/>
      <c r="DB228" s="918"/>
      <c r="DC228" s="918"/>
      <c r="DD228" s="918"/>
      <c r="DE228" s="918"/>
      <c r="DF228" s="918"/>
      <c r="DG228" s="918"/>
      <c r="DH228" s="918"/>
      <c r="DI228" s="918"/>
      <c r="DJ228" s="918"/>
      <c r="DK228" s="918"/>
      <c r="DL228" s="918"/>
      <c r="DM228" s="918"/>
      <c r="DN228" s="918"/>
      <c r="DO228" s="918"/>
      <c r="DP228" s="918"/>
      <c r="DQ228" s="918"/>
      <c r="DR228" s="918"/>
      <c r="DS228" s="918"/>
      <c r="DT228" s="918"/>
      <c r="DU228" s="918"/>
      <c r="DV228" s="918"/>
      <c r="DW228" s="918"/>
      <c r="DX228" s="918"/>
      <c r="DY228" s="918"/>
      <c r="DZ228" s="918"/>
      <c r="EA228" s="918"/>
      <c r="EB228" s="918"/>
      <c r="EC228" s="918"/>
      <c r="ED228" s="918"/>
      <c r="EE228" s="918"/>
      <c r="EF228" s="918"/>
      <c r="EG228" s="918"/>
      <c r="EH228" s="918"/>
      <c r="EI228" s="918"/>
      <c r="EJ228" s="918"/>
      <c r="EK228" s="918"/>
      <c r="EL228" s="918"/>
      <c r="EM228" s="918"/>
      <c r="EN228" s="918"/>
      <c r="EO228" s="918"/>
      <c r="EP228" s="918"/>
      <c r="EQ228" s="918"/>
      <c r="ER228" s="918"/>
      <c r="ES228" s="918"/>
      <c r="ET228" s="918"/>
      <c r="EU228" s="918"/>
      <c r="EV228" s="918"/>
      <c r="EW228" s="918"/>
      <c r="EX228" s="918"/>
      <c r="EY228" s="918"/>
      <c r="EZ228" s="918"/>
      <c r="FA228" s="918"/>
      <c r="FB228" s="918"/>
      <c r="FC228" s="918"/>
      <c r="FD228" s="918"/>
      <c r="FE228" s="918"/>
      <c r="FF228" s="918"/>
      <c r="FG228" s="918"/>
      <c r="FH228" s="918"/>
      <c r="FI228" s="918"/>
      <c r="FJ228" s="918"/>
      <c r="FK228" s="918"/>
      <c r="FL228" s="918"/>
      <c r="FM228" s="918"/>
      <c r="FN228" s="918"/>
      <c r="FO228" s="918"/>
      <c r="FP228" s="918"/>
      <c r="FQ228" s="918"/>
      <c r="FR228" s="918"/>
      <c r="FS228" s="918"/>
      <c r="FT228" s="918"/>
      <c r="FU228" s="918"/>
      <c r="FV228" s="918"/>
      <c r="FW228" s="918"/>
      <c r="FX228" s="918"/>
      <c r="FY228" s="918"/>
      <c r="FZ228" s="918"/>
      <c r="GA228" s="918"/>
      <c r="GB228" s="918"/>
      <c r="GC228" s="918"/>
      <c r="GD228" s="918"/>
      <c r="GE228" s="918"/>
      <c r="GF228" s="918"/>
      <c r="GG228" s="918"/>
      <c r="GH228" s="918"/>
      <c r="GI228" s="918"/>
      <c r="GJ228" s="918"/>
      <c r="GK228" s="918"/>
      <c r="GL228" s="918"/>
      <c r="GM228" s="918"/>
      <c r="GN228" s="918"/>
      <c r="GO228" s="918"/>
      <c r="GP228" s="918"/>
      <c r="GQ228" s="918"/>
      <c r="GR228" s="918"/>
      <c r="GS228" s="918"/>
      <c r="GT228" s="918"/>
      <c r="GU228" s="918"/>
      <c r="GV228" s="918"/>
      <c r="GW228" s="918"/>
      <c r="GX228" s="918"/>
      <c r="GY228" s="918"/>
      <c r="GZ228" s="918"/>
      <c r="HA228" s="918"/>
      <c r="HB228" s="918"/>
      <c r="HC228" s="918"/>
      <c r="HD228" s="918"/>
      <c r="HE228" s="918"/>
      <c r="HF228" s="918"/>
      <c r="HG228" s="918"/>
      <c r="HH228" s="918"/>
      <c r="HI228" s="918"/>
      <c r="HJ228" s="918"/>
      <c r="HK228" s="918"/>
      <c r="HL228" s="918"/>
      <c r="HM228" s="918"/>
      <c r="HN228" s="918"/>
      <c r="HO228" s="918"/>
      <c r="HP228" s="918"/>
      <c r="HQ228" s="918"/>
      <c r="HR228" s="918"/>
      <c r="HS228" s="918"/>
      <c r="HT228" s="918"/>
      <c r="HU228" s="918"/>
      <c r="HV228" s="918"/>
      <c r="HW228" s="918"/>
      <c r="HX228" s="918"/>
      <c r="HY228" s="918"/>
      <c r="HZ228" s="918"/>
      <c r="IA228" s="918"/>
      <c r="IB228" s="918"/>
      <c r="IC228" s="918"/>
      <c r="ID228" s="918"/>
      <c r="IE228" s="918"/>
      <c r="IF228" s="918"/>
      <c r="IG228" s="918"/>
      <c r="IH228" s="918"/>
      <c r="II228" s="918"/>
      <c r="IJ228" s="918"/>
      <c r="IK228" s="918"/>
      <c r="IL228" s="918"/>
      <c r="IM228" s="918"/>
      <c r="IN228" s="918"/>
    </row>
    <row r="229" spans="1:248">
      <c r="A229" s="619" t="s">
        <v>29</v>
      </c>
      <c r="B229" s="617">
        <v>24681.7</v>
      </c>
      <c r="C229" s="617">
        <f t="shared" si="29"/>
        <v>34.007090293077383</v>
      </c>
      <c r="D229" s="620">
        <v>26416.3</v>
      </c>
      <c r="E229" s="919">
        <f t="shared" si="30"/>
        <v>36.397067434942493</v>
      </c>
      <c r="F229" s="919">
        <f>B229-D229</f>
        <v>-1734.5999999999985</v>
      </c>
      <c r="G229" s="919">
        <f t="shared" si="32"/>
        <v>-2.3899771418651059</v>
      </c>
      <c r="H229" s="400">
        <v>72578.100000000006</v>
      </c>
      <c r="I229" s="918"/>
      <c r="J229" s="918"/>
      <c r="K229" s="918"/>
      <c r="L229" s="918"/>
      <c r="M229" s="918"/>
      <c r="N229" s="918"/>
      <c r="O229" s="918"/>
      <c r="P229" s="918"/>
      <c r="Q229" s="918"/>
      <c r="R229" s="918"/>
      <c r="S229" s="918"/>
      <c r="T229" s="918"/>
      <c r="U229" s="918"/>
      <c r="V229" s="918"/>
      <c r="W229" s="918"/>
      <c r="X229" s="918"/>
      <c r="Y229" s="918"/>
      <c r="Z229" s="918"/>
      <c r="AA229" s="918"/>
      <c r="AB229" s="918"/>
      <c r="AC229" s="918"/>
      <c r="AD229" s="918"/>
      <c r="AE229" s="918"/>
      <c r="AF229" s="918"/>
      <c r="AG229" s="918"/>
      <c r="AH229" s="918"/>
      <c r="AI229" s="918"/>
      <c r="AJ229" s="918"/>
      <c r="AK229" s="918"/>
      <c r="AL229" s="918"/>
      <c r="AM229" s="918"/>
      <c r="AN229" s="918"/>
      <c r="AO229" s="918"/>
      <c r="AP229" s="918"/>
      <c r="AQ229" s="918"/>
      <c r="AR229" s="918"/>
      <c r="AS229" s="918"/>
      <c r="AT229" s="918"/>
      <c r="AU229" s="918"/>
      <c r="AV229" s="918"/>
      <c r="AW229" s="918"/>
      <c r="AX229" s="918"/>
      <c r="AY229" s="918"/>
      <c r="AZ229" s="918"/>
      <c r="BA229" s="918"/>
      <c r="BB229" s="918"/>
      <c r="BC229" s="918"/>
      <c r="BD229" s="918"/>
      <c r="BE229" s="918"/>
      <c r="BF229" s="918"/>
      <c r="BG229" s="918"/>
      <c r="BH229" s="918"/>
      <c r="BI229" s="918"/>
      <c r="BJ229" s="918"/>
      <c r="BK229" s="918"/>
      <c r="BL229" s="918"/>
      <c r="BM229" s="918"/>
      <c r="BN229" s="918"/>
      <c r="BO229" s="918"/>
      <c r="BP229" s="918"/>
      <c r="BQ229" s="918"/>
      <c r="BR229" s="918"/>
      <c r="BS229" s="918"/>
      <c r="BT229" s="918"/>
      <c r="BU229" s="918"/>
      <c r="BV229" s="918"/>
      <c r="BW229" s="918"/>
      <c r="BX229" s="918"/>
      <c r="BY229" s="918"/>
      <c r="BZ229" s="918"/>
      <c r="CA229" s="918"/>
      <c r="CB229" s="918"/>
      <c r="CC229" s="918"/>
      <c r="CD229" s="918"/>
      <c r="CE229" s="918"/>
      <c r="CF229" s="918"/>
      <c r="CG229" s="918"/>
      <c r="CH229" s="918"/>
      <c r="CI229" s="918"/>
      <c r="CJ229" s="918"/>
      <c r="CK229" s="918"/>
      <c r="CL229" s="918"/>
      <c r="CM229" s="918"/>
      <c r="CN229" s="918"/>
      <c r="CO229" s="918"/>
      <c r="CP229" s="918"/>
      <c r="CQ229" s="918"/>
      <c r="CR229" s="918"/>
      <c r="CS229" s="918"/>
      <c r="CT229" s="918"/>
      <c r="CU229" s="918"/>
      <c r="CV229" s="918"/>
      <c r="CW229" s="918"/>
      <c r="CX229" s="918"/>
      <c r="CY229" s="918"/>
      <c r="CZ229" s="918"/>
      <c r="DA229" s="918"/>
      <c r="DB229" s="918"/>
      <c r="DC229" s="918"/>
      <c r="DD229" s="918"/>
      <c r="DE229" s="918"/>
      <c r="DF229" s="918"/>
      <c r="DG229" s="918"/>
      <c r="DH229" s="918"/>
      <c r="DI229" s="918"/>
      <c r="DJ229" s="918"/>
      <c r="DK229" s="918"/>
      <c r="DL229" s="918"/>
      <c r="DM229" s="918"/>
      <c r="DN229" s="918"/>
      <c r="DO229" s="918"/>
      <c r="DP229" s="918"/>
      <c r="DQ229" s="918"/>
      <c r="DR229" s="918"/>
      <c r="DS229" s="918"/>
      <c r="DT229" s="918"/>
      <c r="DU229" s="918"/>
      <c r="DV229" s="918"/>
      <c r="DW229" s="918"/>
      <c r="DX229" s="918"/>
      <c r="DY229" s="918"/>
      <c r="DZ229" s="918"/>
      <c r="EA229" s="918"/>
      <c r="EB229" s="918"/>
      <c r="EC229" s="918"/>
      <c r="ED229" s="918"/>
      <c r="EE229" s="918"/>
      <c r="EF229" s="918"/>
      <c r="EG229" s="918"/>
      <c r="EH229" s="918"/>
      <c r="EI229" s="918"/>
      <c r="EJ229" s="918"/>
      <c r="EK229" s="918"/>
      <c r="EL229" s="918"/>
      <c r="EM229" s="918"/>
      <c r="EN229" s="918"/>
      <c r="EO229" s="918"/>
      <c r="EP229" s="918"/>
      <c r="EQ229" s="918"/>
      <c r="ER229" s="918"/>
      <c r="ES229" s="918"/>
      <c r="ET229" s="918"/>
      <c r="EU229" s="918"/>
      <c r="EV229" s="918"/>
      <c r="EW229" s="918"/>
      <c r="EX229" s="918"/>
      <c r="EY229" s="918"/>
      <c r="EZ229" s="918"/>
      <c r="FA229" s="918"/>
      <c r="FB229" s="918"/>
      <c r="FC229" s="918"/>
      <c r="FD229" s="918"/>
      <c r="FE229" s="918"/>
      <c r="FF229" s="918"/>
      <c r="FG229" s="918"/>
      <c r="FH229" s="918"/>
      <c r="FI229" s="918"/>
      <c r="FJ229" s="918"/>
      <c r="FK229" s="918"/>
      <c r="FL229" s="918"/>
      <c r="FM229" s="918"/>
      <c r="FN229" s="918"/>
      <c r="FO229" s="918"/>
      <c r="FP229" s="918"/>
      <c r="FQ229" s="918"/>
      <c r="FR229" s="918"/>
      <c r="FS229" s="918"/>
      <c r="FT229" s="918"/>
      <c r="FU229" s="918"/>
      <c r="FV229" s="918"/>
      <c r="FW229" s="918"/>
      <c r="FX229" s="918"/>
      <c r="FY229" s="918"/>
      <c r="FZ229" s="918"/>
      <c r="GA229" s="918"/>
      <c r="GB229" s="918"/>
      <c r="GC229" s="918"/>
      <c r="GD229" s="918"/>
      <c r="GE229" s="918"/>
      <c r="GF229" s="918"/>
      <c r="GG229" s="918"/>
      <c r="GH229" s="918"/>
      <c r="GI229" s="918"/>
      <c r="GJ229" s="918"/>
      <c r="GK229" s="918"/>
      <c r="GL229" s="918"/>
      <c r="GM229" s="918"/>
      <c r="GN229" s="918"/>
      <c r="GO229" s="918"/>
      <c r="GP229" s="918"/>
      <c r="GQ229" s="918"/>
      <c r="GR229" s="918"/>
      <c r="GS229" s="918"/>
      <c r="GT229" s="918"/>
      <c r="GU229" s="918"/>
      <c r="GV229" s="918"/>
      <c r="GW229" s="918"/>
      <c r="GX229" s="918"/>
      <c r="GY229" s="918"/>
      <c r="GZ229" s="918"/>
      <c r="HA229" s="918"/>
      <c r="HB229" s="918"/>
      <c r="HC229" s="918"/>
      <c r="HD229" s="918"/>
      <c r="HE229" s="918"/>
      <c r="HF229" s="918"/>
      <c r="HG229" s="918"/>
      <c r="HH229" s="918"/>
      <c r="HI229" s="918"/>
      <c r="HJ229" s="918"/>
      <c r="HK229" s="918"/>
      <c r="HL229" s="918"/>
      <c r="HM229" s="918"/>
      <c r="HN229" s="918"/>
      <c r="HO229" s="918"/>
      <c r="HP229" s="918"/>
      <c r="HQ229" s="918"/>
      <c r="HR229" s="918"/>
      <c r="HS229" s="918"/>
      <c r="HT229" s="918"/>
      <c r="HU229" s="918"/>
      <c r="HV229" s="918"/>
      <c r="HW229" s="918"/>
      <c r="HX229" s="918"/>
      <c r="HY229" s="918"/>
      <c r="HZ229" s="918"/>
      <c r="IA229" s="918"/>
      <c r="IB229" s="918"/>
      <c r="IC229" s="918"/>
      <c r="ID229" s="918"/>
      <c r="IE229" s="918"/>
      <c r="IF229" s="918"/>
      <c r="IG229" s="918"/>
      <c r="IH229" s="918"/>
      <c r="II229" s="918"/>
      <c r="IJ229" s="918"/>
      <c r="IK229" s="918"/>
      <c r="IL229" s="918"/>
      <c r="IM229" s="918"/>
      <c r="IN229" s="918"/>
    </row>
    <row r="230" spans="1:248">
      <c r="A230" s="828" t="s">
        <v>2537</v>
      </c>
      <c r="B230" s="612">
        <v>26396.3</v>
      </c>
      <c r="C230" s="612">
        <v>28.451167754531937</v>
      </c>
      <c r="D230" s="612">
        <v>27422.400000000001</v>
      </c>
      <c r="E230" s="920">
        <v>29.52129979527815</v>
      </c>
      <c r="F230" s="920">
        <v>-1026.1000000000022</v>
      </c>
      <c r="G230" s="920">
        <v>-1.1009278651376802</v>
      </c>
      <c r="H230" s="400"/>
      <c r="I230" s="918"/>
      <c r="J230" s="918"/>
      <c r="K230" s="918"/>
      <c r="L230" s="918"/>
      <c r="M230" s="918"/>
      <c r="N230" s="918"/>
      <c r="O230" s="918"/>
      <c r="P230" s="918"/>
      <c r="Q230" s="918"/>
      <c r="R230" s="918"/>
      <c r="S230" s="918"/>
      <c r="T230" s="918"/>
      <c r="U230" s="918"/>
      <c r="V230" s="918"/>
      <c r="W230" s="918"/>
      <c r="X230" s="918"/>
      <c r="Y230" s="918"/>
      <c r="Z230" s="918"/>
      <c r="AA230" s="918"/>
      <c r="AB230" s="918"/>
      <c r="AC230" s="918"/>
      <c r="AD230" s="918"/>
      <c r="AE230" s="918"/>
      <c r="AF230" s="918"/>
      <c r="AG230" s="918"/>
      <c r="AH230" s="918"/>
      <c r="AI230" s="918"/>
      <c r="AJ230" s="918"/>
      <c r="AK230" s="918"/>
      <c r="AL230" s="918"/>
      <c r="AM230" s="918"/>
      <c r="AN230" s="918"/>
      <c r="AO230" s="918"/>
      <c r="AP230" s="918"/>
      <c r="AQ230" s="918"/>
      <c r="AR230" s="918"/>
      <c r="AS230" s="918"/>
      <c r="AT230" s="918"/>
      <c r="AU230" s="918"/>
      <c r="AV230" s="918"/>
      <c r="AW230" s="918"/>
      <c r="AX230" s="918"/>
      <c r="AY230" s="918"/>
      <c r="AZ230" s="918"/>
      <c r="BA230" s="918"/>
      <c r="BB230" s="918"/>
      <c r="BC230" s="918"/>
      <c r="BD230" s="918"/>
      <c r="BE230" s="918"/>
      <c r="BF230" s="918"/>
      <c r="BG230" s="918"/>
      <c r="BH230" s="918"/>
      <c r="BI230" s="918"/>
      <c r="BJ230" s="918"/>
      <c r="BK230" s="918"/>
      <c r="BL230" s="918"/>
      <c r="BM230" s="918"/>
      <c r="BN230" s="918"/>
      <c r="BO230" s="918"/>
      <c r="BP230" s="918"/>
      <c r="BQ230" s="918"/>
      <c r="BR230" s="918"/>
      <c r="BS230" s="918"/>
      <c r="BT230" s="918"/>
      <c r="BU230" s="918"/>
      <c r="BV230" s="918"/>
      <c r="BW230" s="918"/>
      <c r="BX230" s="918"/>
      <c r="BY230" s="918"/>
      <c r="BZ230" s="918"/>
      <c r="CA230" s="918"/>
      <c r="CB230" s="918"/>
      <c r="CC230" s="918"/>
      <c r="CD230" s="918"/>
      <c r="CE230" s="918"/>
      <c r="CF230" s="918"/>
      <c r="CG230" s="918"/>
      <c r="CH230" s="918"/>
      <c r="CI230" s="918"/>
      <c r="CJ230" s="918"/>
      <c r="CK230" s="918"/>
      <c r="CL230" s="918"/>
      <c r="CM230" s="918"/>
      <c r="CN230" s="918"/>
      <c r="CO230" s="918"/>
      <c r="CP230" s="918"/>
      <c r="CQ230" s="918"/>
      <c r="CR230" s="918"/>
      <c r="CS230" s="918"/>
      <c r="CT230" s="918"/>
      <c r="CU230" s="918"/>
      <c r="CV230" s="918"/>
      <c r="CW230" s="918"/>
      <c r="CX230" s="918"/>
      <c r="CY230" s="918"/>
      <c r="CZ230" s="918"/>
      <c r="DA230" s="918"/>
      <c r="DB230" s="918"/>
      <c r="DC230" s="918"/>
      <c r="DD230" s="918"/>
      <c r="DE230" s="918"/>
      <c r="DF230" s="918"/>
      <c r="DG230" s="918"/>
      <c r="DH230" s="918"/>
      <c r="DI230" s="918"/>
      <c r="DJ230" s="918"/>
      <c r="DK230" s="918"/>
      <c r="DL230" s="918"/>
      <c r="DM230" s="918"/>
      <c r="DN230" s="918"/>
      <c r="DO230" s="918"/>
      <c r="DP230" s="918"/>
      <c r="DQ230" s="918"/>
      <c r="DR230" s="918"/>
      <c r="DS230" s="918"/>
      <c r="DT230" s="918"/>
      <c r="DU230" s="918"/>
      <c r="DV230" s="918"/>
      <c r="DW230" s="918"/>
      <c r="DX230" s="918"/>
      <c r="DY230" s="918"/>
      <c r="DZ230" s="918"/>
      <c r="EA230" s="918"/>
      <c r="EB230" s="918"/>
      <c r="EC230" s="918"/>
      <c r="ED230" s="918"/>
      <c r="EE230" s="918"/>
      <c r="EF230" s="918"/>
      <c r="EG230" s="918"/>
      <c r="EH230" s="918"/>
      <c r="EI230" s="918"/>
      <c r="EJ230" s="918"/>
      <c r="EK230" s="918"/>
      <c r="EL230" s="918"/>
      <c r="EM230" s="918"/>
      <c r="EN230" s="918"/>
      <c r="EO230" s="918"/>
      <c r="EP230" s="918"/>
      <c r="EQ230" s="918"/>
      <c r="ER230" s="918"/>
      <c r="ES230" s="918"/>
      <c r="ET230" s="918"/>
      <c r="EU230" s="918"/>
      <c r="EV230" s="918"/>
      <c r="EW230" s="918"/>
      <c r="EX230" s="918"/>
      <c r="EY230" s="918"/>
      <c r="EZ230" s="918"/>
      <c r="FA230" s="918"/>
      <c r="FB230" s="918"/>
      <c r="FC230" s="918"/>
      <c r="FD230" s="918"/>
      <c r="FE230" s="918"/>
      <c r="FF230" s="918"/>
      <c r="FG230" s="918"/>
      <c r="FH230" s="918"/>
      <c r="FI230" s="918"/>
      <c r="FJ230" s="918"/>
      <c r="FK230" s="918"/>
      <c r="FL230" s="918"/>
      <c r="FM230" s="918"/>
      <c r="FN230" s="918"/>
      <c r="FO230" s="918"/>
      <c r="FP230" s="918"/>
      <c r="FQ230" s="918"/>
      <c r="FR230" s="918"/>
      <c r="FS230" s="918"/>
      <c r="FT230" s="918"/>
      <c r="FU230" s="918"/>
      <c r="FV230" s="918"/>
      <c r="FW230" s="918"/>
      <c r="FX230" s="918"/>
      <c r="FY230" s="918"/>
      <c r="FZ230" s="918"/>
      <c r="GA230" s="918"/>
      <c r="GB230" s="918"/>
      <c r="GC230" s="918"/>
      <c r="GD230" s="918"/>
      <c r="GE230" s="918"/>
      <c r="GF230" s="918"/>
      <c r="GG230" s="918"/>
      <c r="GH230" s="918"/>
      <c r="GI230" s="918"/>
      <c r="GJ230" s="918"/>
      <c r="GK230" s="918"/>
      <c r="GL230" s="918"/>
      <c r="GM230" s="918"/>
      <c r="GN230" s="918"/>
      <c r="GO230" s="918"/>
      <c r="GP230" s="918"/>
      <c r="GQ230" s="918"/>
      <c r="GR230" s="918"/>
      <c r="GS230" s="918"/>
      <c r="GT230" s="918"/>
      <c r="GU230" s="918"/>
      <c r="GV230" s="918"/>
      <c r="GW230" s="918"/>
      <c r="GX230" s="918"/>
      <c r="GY230" s="918"/>
      <c r="GZ230" s="918"/>
      <c r="HA230" s="918"/>
      <c r="HB230" s="918"/>
      <c r="HC230" s="918"/>
      <c r="HD230" s="918"/>
      <c r="HE230" s="918"/>
      <c r="HF230" s="918"/>
      <c r="HG230" s="918"/>
      <c r="HH230" s="918"/>
      <c r="HI230" s="918"/>
      <c r="HJ230" s="918"/>
      <c r="HK230" s="918"/>
      <c r="HL230" s="918"/>
      <c r="HM230" s="918"/>
      <c r="HN230" s="918"/>
      <c r="HO230" s="918"/>
      <c r="HP230" s="918"/>
      <c r="HQ230" s="918"/>
      <c r="HR230" s="918"/>
      <c r="HS230" s="918"/>
      <c r="HT230" s="918"/>
      <c r="HU230" s="918"/>
      <c r="HV230" s="918"/>
      <c r="HW230" s="918"/>
      <c r="HX230" s="918"/>
      <c r="HY230" s="918"/>
      <c r="HZ230" s="918"/>
      <c r="IA230" s="918"/>
      <c r="IB230" s="918"/>
      <c r="IC230" s="918"/>
      <c r="ID230" s="918"/>
      <c r="IE230" s="918"/>
      <c r="IF230" s="918"/>
      <c r="IG230" s="918"/>
      <c r="IH230" s="918"/>
      <c r="II230" s="918"/>
      <c r="IJ230" s="918"/>
      <c r="IK230" s="918"/>
      <c r="IL230" s="918"/>
      <c r="IM230" s="918"/>
      <c r="IN230" s="918"/>
    </row>
    <row r="231" spans="1:248">
      <c r="A231" s="619" t="s">
        <v>18</v>
      </c>
      <c r="B231" s="617">
        <v>2320.6</v>
      </c>
      <c r="C231" s="617">
        <f t="shared" ref="C231:C240" si="33">+B231/H231*100</f>
        <v>37.089246899373478</v>
      </c>
      <c r="D231" s="620">
        <v>1231.9000000000001</v>
      </c>
      <c r="E231" s="919">
        <f t="shared" ref="E231:E240" si="34">D231/H231*100</f>
        <v>19.688978391510037</v>
      </c>
      <c r="F231" s="919">
        <v>1088.7</v>
      </c>
      <c r="G231" s="919">
        <f t="shared" ref="G231:G255" si="35">F231/H231*100</f>
        <v>17.400268507863444</v>
      </c>
      <c r="H231" s="400">
        <v>6256.8</v>
      </c>
      <c r="I231" s="918"/>
      <c r="J231" s="918"/>
      <c r="K231" s="918"/>
      <c r="L231" s="918"/>
      <c r="M231" s="918"/>
      <c r="N231" s="918"/>
      <c r="O231" s="918"/>
      <c r="P231" s="918"/>
      <c r="Q231" s="918"/>
      <c r="R231" s="918"/>
      <c r="S231" s="918"/>
      <c r="T231" s="918"/>
      <c r="U231" s="918"/>
      <c r="V231" s="918"/>
      <c r="W231" s="918"/>
      <c r="X231" s="918"/>
      <c r="Y231" s="918"/>
      <c r="Z231" s="918"/>
      <c r="AA231" s="918"/>
      <c r="AB231" s="918"/>
      <c r="AC231" s="918"/>
      <c r="AD231" s="918"/>
      <c r="AE231" s="918"/>
      <c r="AF231" s="918"/>
      <c r="AG231" s="918"/>
      <c r="AH231" s="918"/>
      <c r="AI231" s="918"/>
      <c r="AJ231" s="918"/>
      <c r="AK231" s="918"/>
      <c r="AL231" s="918"/>
      <c r="AM231" s="918"/>
      <c r="AN231" s="918"/>
      <c r="AO231" s="918"/>
      <c r="AP231" s="918"/>
      <c r="AQ231" s="918"/>
      <c r="AR231" s="918"/>
      <c r="AS231" s="918"/>
      <c r="AT231" s="918"/>
      <c r="AU231" s="918"/>
      <c r="AV231" s="918"/>
      <c r="AW231" s="918"/>
      <c r="AX231" s="918"/>
      <c r="AY231" s="918"/>
      <c r="AZ231" s="918"/>
      <c r="BA231" s="918"/>
      <c r="BB231" s="918"/>
      <c r="BC231" s="918"/>
      <c r="BD231" s="918"/>
      <c r="BE231" s="918"/>
      <c r="BF231" s="918"/>
      <c r="BG231" s="918"/>
      <c r="BH231" s="918"/>
      <c r="BI231" s="918"/>
      <c r="BJ231" s="918"/>
      <c r="BK231" s="918"/>
      <c r="BL231" s="918"/>
      <c r="BM231" s="918"/>
      <c r="BN231" s="918"/>
      <c r="BO231" s="918"/>
      <c r="BP231" s="918"/>
      <c r="BQ231" s="918"/>
      <c r="BR231" s="918"/>
      <c r="BS231" s="918"/>
      <c r="BT231" s="918"/>
      <c r="BU231" s="918"/>
      <c r="BV231" s="918"/>
      <c r="BW231" s="918"/>
      <c r="BX231" s="918"/>
      <c r="BY231" s="918"/>
      <c r="BZ231" s="918"/>
      <c r="CA231" s="918"/>
      <c r="CB231" s="918"/>
      <c r="CC231" s="918"/>
      <c r="CD231" s="918"/>
      <c r="CE231" s="918"/>
      <c r="CF231" s="918"/>
      <c r="CG231" s="918"/>
      <c r="CH231" s="918"/>
      <c r="CI231" s="918"/>
      <c r="CJ231" s="918"/>
      <c r="CK231" s="918"/>
      <c r="CL231" s="918"/>
      <c r="CM231" s="918"/>
      <c r="CN231" s="918"/>
      <c r="CO231" s="918"/>
      <c r="CP231" s="918"/>
      <c r="CQ231" s="918"/>
      <c r="CR231" s="918"/>
      <c r="CS231" s="918"/>
      <c r="CT231" s="918"/>
      <c r="CU231" s="918"/>
      <c r="CV231" s="918"/>
      <c r="CW231" s="918"/>
      <c r="CX231" s="918"/>
      <c r="CY231" s="918"/>
      <c r="CZ231" s="918"/>
      <c r="DA231" s="918"/>
      <c r="DB231" s="918"/>
      <c r="DC231" s="918"/>
      <c r="DD231" s="918"/>
      <c r="DE231" s="918"/>
      <c r="DF231" s="918"/>
      <c r="DG231" s="918"/>
      <c r="DH231" s="918"/>
      <c r="DI231" s="918"/>
      <c r="DJ231" s="918"/>
      <c r="DK231" s="918"/>
      <c r="DL231" s="918"/>
      <c r="DM231" s="918"/>
      <c r="DN231" s="918"/>
      <c r="DO231" s="918"/>
      <c r="DP231" s="918"/>
      <c r="DQ231" s="918"/>
      <c r="DR231" s="918"/>
      <c r="DS231" s="918"/>
      <c r="DT231" s="918"/>
      <c r="DU231" s="918"/>
      <c r="DV231" s="918"/>
      <c r="DW231" s="918"/>
      <c r="DX231" s="918"/>
      <c r="DY231" s="918"/>
      <c r="DZ231" s="918"/>
      <c r="EA231" s="918"/>
      <c r="EB231" s="918"/>
      <c r="EC231" s="918"/>
      <c r="ED231" s="918"/>
      <c r="EE231" s="918"/>
      <c r="EF231" s="918"/>
      <c r="EG231" s="918"/>
      <c r="EH231" s="918"/>
      <c r="EI231" s="918"/>
      <c r="EJ231" s="918"/>
      <c r="EK231" s="918"/>
      <c r="EL231" s="918"/>
      <c r="EM231" s="918"/>
      <c r="EN231" s="918"/>
      <c r="EO231" s="918"/>
      <c r="EP231" s="918"/>
      <c r="EQ231" s="918"/>
      <c r="ER231" s="918"/>
      <c r="ES231" s="918"/>
      <c r="ET231" s="918"/>
      <c r="EU231" s="918"/>
      <c r="EV231" s="918"/>
      <c r="EW231" s="918"/>
      <c r="EX231" s="918"/>
      <c r="EY231" s="918"/>
      <c r="EZ231" s="918"/>
      <c r="FA231" s="918"/>
      <c r="FB231" s="918"/>
      <c r="FC231" s="918"/>
      <c r="FD231" s="918"/>
      <c r="FE231" s="918"/>
      <c r="FF231" s="918"/>
      <c r="FG231" s="918"/>
      <c r="FH231" s="918"/>
      <c r="FI231" s="918"/>
      <c r="FJ231" s="918"/>
      <c r="FK231" s="918"/>
      <c r="FL231" s="918"/>
      <c r="FM231" s="918"/>
      <c r="FN231" s="918"/>
      <c r="FO231" s="918"/>
      <c r="FP231" s="918"/>
      <c r="FQ231" s="918"/>
      <c r="FR231" s="918"/>
      <c r="FS231" s="918"/>
      <c r="FT231" s="918"/>
      <c r="FU231" s="918"/>
      <c r="FV231" s="918"/>
      <c r="FW231" s="918"/>
      <c r="FX231" s="918"/>
      <c r="FY231" s="918"/>
      <c r="FZ231" s="918"/>
      <c r="GA231" s="918"/>
      <c r="GB231" s="918"/>
      <c r="GC231" s="918"/>
      <c r="GD231" s="918"/>
      <c r="GE231" s="918"/>
      <c r="GF231" s="918"/>
      <c r="GG231" s="918"/>
      <c r="GH231" s="918"/>
      <c r="GI231" s="918"/>
      <c r="GJ231" s="918"/>
      <c r="GK231" s="918"/>
      <c r="GL231" s="918"/>
      <c r="GM231" s="918"/>
      <c r="GN231" s="918"/>
      <c r="GO231" s="918"/>
      <c r="GP231" s="918"/>
      <c r="GQ231" s="918"/>
      <c r="GR231" s="918"/>
      <c r="GS231" s="918"/>
      <c r="GT231" s="918"/>
      <c r="GU231" s="918"/>
      <c r="GV231" s="918"/>
      <c r="GW231" s="918"/>
      <c r="GX231" s="918"/>
      <c r="GY231" s="918"/>
      <c r="GZ231" s="918"/>
      <c r="HA231" s="918"/>
      <c r="HB231" s="918"/>
      <c r="HC231" s="918"/>
      <c r="HD231" s="918"/>
      <c r="HE231" s="918"/>
      <c r="HF231" s="918"/>
      <c r="HG231" s="918"/>
      <c r="HH231" s="918"/>
      <c r="HI231" s="918"/>
      <c r="HJ231" s="918"/>
      <c r="HK231" s="918"/>
      <c r="HL231" s="918"/>
      <c r="HM231" s="918"/>
      <c r="HN231" s="918"/>
      <c r="HO231" s="918"/>
      <c r="HP231" s="918"/>
      <c r="HQ231" s="918"/>
      <c r="HR231" s="918"/>
      <c r="HS231" s="918"/>
      <c r="HT231" s="918"/>
      <c r="HU231" s="918"/>
      <c r="HV231" s="918"/>
      <c r="HW231" s="918"/>
      <c r="HX231" s="918"/>
      <c r="HY231" s="918"/>
      <c r="HZ231" s="918"/>
      <c r="IA231" s="918"/>
      <c r="IB231" s="918"/>
      <c r="IC231" s="918"/>
      <c r="ID231" s="918"/>
      <c r="IE231" s="918"/>
      <c r="IF231" s="918"/>
      <c r="IG231" s="918"/>
      <c r="IH231" s="918"/>
      <c r="II231" s="918"/>
      <c r="IJ231" s="918"/>
      <c r="IK231" s="918"/>
      <c r="IL231" s="918"/>
      <c r="IM231" s="918"/>
      <c r="IN231" s="918"/>
    </row>
    <row r="232" spans="1:248">
      <c r="A232" s="619" t="s">
        <v>19</v>
      </c>
      <c r="B232" s="617">
        <v>4029.4</v>
      </c>
      <c r="C232" s="617">
        <f t="shared" si="33"/>
        <v>32.44361780075203</v>
      </c>
      <c r="D232" s="620">
        <v>3469.8</v>
      </c>
      <c r="E232" s="919">
        <f t="shared" si="34"/>
        <v>27.937872895480563</v>
      </c>
      <c r="F232" s="919">
        <v>559.59999999999991</v>
      </c>
      <c r="G232" s="919">
        <f t="shared" si="35"/>
        <v>4.5057449052714631</v>
      </c>
      <c r="H232" s="400">
        <v>12419.7</v>
      </c>
      <c r="I232" s="918"/>
      <c r="J232" s="918"/>
      <c r="K232" s="918"/>
      <c r="L232" s="918"/>
      <c r="M232" s="918"/>
      <c r="N232" s="918"/>
      <c r="O232" s="918"/>
      <c r="P232" s="918"/>
      <c r="Q232" s="918"/>
      <c r="R232" s="918"/>
      <c r="S232" s="918"/>
      <c r="T232" s="918"/>
      <c r="U232" s="918"/>
      <c r="V232" s="918"/>
      <c r="W232" s="918"/>
      <c r="X232" s="918"/>
      <c r="Y232" s="918"/>
      <c r="Z232" s="918"/>
      <c r="AA232" s="918"/>
      <c r="AB232" s="918"/>
      <c r="AC232" s="918"/>
      <c r="AD232" s="918"/>
      <c r="AE232" s="918"/>
      <c r="AF232" s="918"/>
      <c r="AG232" s="918"/>
      <c r="AH232" s="918"/>
      <c r="AI232" s="918"/>
      <c r="AJ232" s="918"/>
      <c r="AK232" s="918"/>
      <c r="AL232" s="918"/>
      <c r="AM232" s="918"/>
      <c r="AN232" s="918"/>
      <c r="AO232" s="918"/>
      <c r="AP232" s="918"/>
      <c r="AQ232" s="918"/>
      <c r="AR232" s="918"/>
      <c r="AS232" s="918"/>
      <c r="AT232" s="918"/>
      <c r="AU232" s="918"/>
      <c r="AV232" s="918"/>
      <c r="AW232" s="918"/>
      <c r="AX232" s="918"/>
      <c r="AY232" s="918"/>
      <c r="AZ232" s="918"/>
      <c r="BA232" s="918"/>
      <c r="BB232" s="918"/>
      <c r="BC232" s="918"/>
      <c r="BD232" s="918"/>
      <c r="BE232" s="918"/>
      <c r="BF232" s="918"/>
      <c r="BG232" s="918"/>
      <c r="BH232" s="918"/>
      <c r="BI232" s="918"/>
      <c r="BJ232" s="918"/>
      <c r="BK232" s="918"/>
      <c r="BL232" s="918"/>
      <c r="BM232" s="918"/>
      <c r="BN232" s="918"/>
      <c r="BO232" s="918"/>
      <c r="BP232" s="918"/>
      <c r="BQ232" s="918"/>
      <c r="BR232" s="918"/>
      <c r="BS232" s="918"/>
      <c r="BT232" s="918"/>
      <c r="BU232" s="918"/>
      <c r="BV232" s="918"/>
      <c r="BW232" s="918"/>
      <c r="BX232" s="918"/>
      <c r="BY232" s="918"/>
      <c r="BZ232" s="918"/>
      <c r="CA232" s="918"/>
      <c r="CB232" s="918"/>
      <c r="CC232" s="918"/>
      <c r="CD232" s="918"/>
      <c r="CE232" s="918"/>
      <c r="CF232" s="918"/>
      <c r="CG232" s="918"/>
      <c r="CH232" s="918"/>
      <c r="CI232" s="918"/>
      <c r="CJ232" s="918"/>
      <c r="CK232" s="918"/>
      <c r="CL232" s="918"/>
      <c r="CM232" s="918"/>
      <c r="CN232" s="918"/>
      <c r="CO232" s="918"/>
      <c r="CP232" s="918"/>
      <c r="CQ232" s="918"/>
      <c r="CR232" s="918"/>
      <c r="CS232" s="918"/>
      <c r="CT232" s="918"/>
      <c r="CU232" s="918"/>
      <c r="CV232" s="918"/>
      <c r="CW232" s="918"/>
      <c r="CX232" s="918"/>
      <c r="CY232" s="918"/>
      <c r="CZ232" s="918"/>
      <c r="DA232" s="918"/>
      <c r="DB232" s="918"/>
      <c r="DC232" s="918"/>
      <c r="DD232" s="918"/>
      <c r="DE232" s="918"/>
      <c r="DF232" s="918"/>
      <c r="DG232" s="918"/>
      <c r="DH232" s="918"/>
      <c r="DI232" s="918"/>
      <c r="DJ232" s="918"/>
      <c r="DK232" s="918"/>
      <c r="DL232" s="918"/>
      <c r="DM232" s="918"/>
      <c r="DN232" s="918"/>
      <c r="DO232" s="918"/>
      <c r="DP232" s="918"/>
      <c r="DQ232" s="918"/>
      <c r="DR232" s="918"/>
      <c r="DS232" s="918"/>
      <c r="DT232" s="918"/>
      <c r="DU232" s="918"/>
      <c r="DV232" s="918"/>
      <c r="DW232" s="918"/>
      <c r="DX232" s="918"/>
      <c r="DY232" s="918"/>
      <c r="DZ232" s="918"/>
      <c r="EA232" s="918"/>
      <c r="EB232" s="918"/>
      <c r="EC232" s="918"/>
      <c r="ED232" s="918"/>
      <c r="EE232" s="918"/>
      <c r="EF232" s="918"/>
      <c r="EG232" s="918"/>
      <c r="EH232" s="918"/>
      <c r="EI232" s="918"/>
      <c r="EJ232" s="918"/>
      <c r="EK232" s="918"/>
      <c r="EL232" s="918"/>
      <c r="EM232" s="918"/>
      <c r="EN232" s="918"/>
      <c r="EO232" s="918"/>
      <c r="EP232" s="918"/>
      <c r="EQ232" s="918"/>
      <c r="ER232" s="918"/>
      <c r="ES232" s="918"/>
      <c r="ET232" s="918"/>
      <c r="EU232" s="918"/>
      <c r="EV232" s="918"/>
      <c r="EW232" s="918"/>
      <c r="EX232" s="918"/>
      <c r="EY232" s="918"/>
      <c r="EZ232" s="918"/>
      <c r="FA232" s="918"/>
      <c r="FB232" s="918"/>
      <c r="FC232" s="918"/>
      <c r="FD232" s="918"/>
      <c r="FE232" s="918"/>
      <c r="FF232" s="918"/>
      <c r="FG232" s="918"/>
      <c r="FH232" s="918"/>
      <c r="FI232" s="918"/>
      <c r="FJ232" s="918"/>
      <c r="FK232" s="918"/>
      <c r="FL232" s="918"/>
      <c r="FM232" s="918"/>
      <c r="FN232" s="918"/>
      <c r="FO232" s="918"/>
      <c r="FP232" s="918"/>
      <c r="FQ232" s="918"/>
      <c r="FR232" s="918"/>
      <c r="FS232" s="918"/>
      <c r="FT232" s="918"/>
      <c r="FU232" s="918"/>
      <c r="FV232" s="918"/>
      <c r="FW232" s="918"/>
      <c r="FX232" s="918"/>
      <c r="FY232" s="918"/>
      <c r="FZ232" s="918"/>
      <c r="GA232" s="918"/>
      <c r="GB232" s="918"/>
      <c r="GC232" s="918"/>
      <c r="GD232" s="918"/>
      <c r="GE232" s="918"/>
      <c r="GF232" s="918"/>
      <c r="GG232" s="918"/>
      <c r="GH232" s="918"/>
      <c r="GI232" s="918"/>
      <c r="GJ232" s="918"/>
      <c r="GK232" s="918"/>
      <c r="GL232" s="918"/>
      <c r="GM232" s="918"/>
      <c r="GN232" s="918"/>
      <c r="GO232" s="918"/>
      <c r="GP232" s="918"/>
      <c r="GQ232" s="918"/>
      <c r="GR232" s="918"/>
      <c r="GS232" s="918"/>
      <c r="GT232" s="918"/>
      <c r="GU232" s="918"/>
      <c r="GV232" s="918"/>
      <c r="GW232" s="918"/>
      <c r="GX232" s="918"/>
      <c r="GY232" s="918"/>
      <c r="GZ232" s="918"/>
      <c r="HA232" s="918"/>
      <c r="HB232" s="918"/>
      <c r="HC232" s="918"/>
      <c r="HD232" s="918"/>
      <c r="HE232" s="918"/>
      <c r="HF232" s="918"/>
      <c r="HG232" s="918"/>
      <c r="HH232" s="918"/>
      <c r="HI232" s="918"/>
      <c r="HJ232" s="918"/>
      <c r="HK232" s="918"/>
      <c r="HL232" s="918"/>
      <c r="HM232" s="918"/>
      <c r="HN232" s="918"/>
      <c r="HO232" s="918"/>
      <c r="HP232" s="918"/>
      <c r="HQ232" s="918"/>
      <c r="HR232" s="918"/>
      <c r="HS232" s="918"/>
      <c r="HT232" s="918"/>
      <c r="HU232" s="918"/>
      <c r="HV232" s="918"/>
      <c r="HW232" s="918"/>
      <c r="HX232" s="918"/>
      <c r="HY232" s="918"/>
      <c r="HZ232" s="918"/>
      <c r="IA232" s="918"/>
      <c r="IB232" s="918"/>
      <c r="IC232" s="918"/>
      <c r="ID232" s="918"/>
      <c r="IE232" s="918"/>
      <c r="IF232" s="918"/>
      <c r="IG232" s="918"/>
      <c r="IH232" s="918"/>
      <c r="II232" s="918"/>
      <c r="IJ232" s="918"/>
      <c r="IK232" s="918"/>
      <c r="IL232" s="918"/>
      <c r="IM232" s="918"/>
      <c r="IN232" s="918"/>
    </row>
    <row r="233" spans="1:248">
      <c r="A233" s="619" t="s">
        <v>20</v>
      </c>
      <c r="B233" s="617">
        <v>5736.4</v>
      </c>
      <c r="C233" s="617">
        <f t="shared" si="33"/>
        <v>29.90527528555565</v>
      </c>
      <c r="D233" s="620">
        <v>5523.7</v>
      </c>
      <c r="E233" s="919">
        <f t="shared" si="34"/>
        <v>28.796417456039286</v>
      </c>
      <c r="F233" s="919">
        <v>212.69999999999982</v>
      </c>
      <c r="G233" s="919">
        <f t="shared" si="35"/>
        <v>1.1088578295163658</v>
      </c>
      <c r="H233" s="400">
        <v>19181.900000000001</v>
      </c>
      <c r="I233" s="918"/>
      <c r="J233" s="918"/>
      <c r="K233" s="918"/>
      <c r="L233" s="918"/>
      <c r="M233" s="918"/>
      <c r="N233" s="918"/>
      <c r="O233" s="918"/>
      <c r="P233" s="918"/>
      <c r="Q233" s="918"/>
      <c r="R233" s="918"/>
      <c r="S233" s="918"/>
      <c r="T233" s="918"/>
      <c r="U233" s="918"/>
      <c r="V233" s="918"/>
      <c r="W233" s="918"/>
      <c r="X233" s="918"/>
      <c r="Y233" s="918"/>
      <c r="Z233" s="918"/>
      <c r="AA233" s="918"/>
      <c r="AB233" s="918"/>
      <c r="AC233" s="918"/>
      <c r="AD233" s="918"/>
      <c r="AE233" s="918"/>
      <c r="AF233" s="918"/>
      <c r="AG233" s="918"/>
      <c r="AH233" s="918"/>
      <c r="AI233" s="918"/>
      <c r="AJ233" s="918"/>
      <c r="AK233" s="918"/>
      <c r="AL233" s="918"/>
      <c r="AM233" s="918"/>
      <c r="AN233" s="918"/>
      <c r="AO233" s="918"/>
      <c r="AP233" s="918"/>
      <c r="AQ233" s="918"/>
      <c r="AR233" s="918"/>
      <c r="AS233" s="918"/>
      <c r="AT233" s="918"/>
      <c r="AU233" s="918"/>
      <c r="AV233" s="918"/>
      <c r="AW233" s="918"/>
      <c r="AX233" s="918"/>
      <c r="AY233" s="918"/>
      <c r="AZ233" s="918"/>
      <c r="BA233" s="918"/>
      <c r="BB233" s="918"/>
      <c r="BC233" s="918"/>
      <c r="BD233" s="918"/>
      <c r="BE233" s="918"/>
      <c r="BF233" s="918"/>
      <c r="BG233" s="918"/>
      <c r="BH233" s="918"/>
      <c r="BI233" s="918"/>
      <c r="BJ233" s="918"/>
      <c r="BK233" s="918"/>
      <c r="BL233" s="918"/>
      <c r="BM233" s="918"/>
      <c r="BN233" s="918"/>
      <c r="BO233" s="918"/>
      <c r="BP233" s="918"/>
      <c r="BQ233" s="918"/>
      <c r="BR233" s="918"/>
      <c r="BS233" s="918"/>
      <c r="BT233" s="918"/>
      <c r="BU233" s="918"/>
      <c r="BV233" s="918"/>
      <c r="BW233" s="918"/>
      <c r="BX233" s="918"/>
      <c r="BY233" s="918"/>
      <c r="BZ233" s="918"/>
      <c r="CA233" s="918"/>
      <c r="CB233" s="918"/>
      <c r="CC233" s="918"/>
      <c r="CD233" s="918"/>
      <c r="CE233" s="918"/>
      <c r="CF233" s="918"/>
      <c r="CG233" s="918"/>
      <c r="CH233" s="918"/>
      <c r="CI233" s="918"/>
      <c r="CJ233" s="918"/>
      <c r="CK233" s="918"/>
      <c r="CL233" s="918"/>
      <c r="CM233" s="918"/>
      <c r="CN233" s="918"/>
      <c r="CO233" s="918"/>
      <c r="CP233" s="918"/>
      <c r="CQ233" s="918"/>
      <c r="CR233" s="918"/>
      <c r="CS233" s="918"/>
      <c r="CT233" s="918"/>
      <c r="CU233" s="918"/>
      <c r="CV233" s="918"/>
      <c r="CW233" s="918"/>
      <c r="CX233" s="918"/>
      <c r="CY233" s="918"/>
      <c r="CZ233" s="918"/>
      <c r="DA233" s="918"/>
      <c r="DB233" s="918"/>
      <c r="DC233" s="918"/>
      <c r="DD233" s="918"/>
      <c r="DE233" s="918"/>
      <c r="DF233" s="918"/>
      <c r="DG233" s="918"/>
      <c r="DH233" s="918"/>
      <c r="DI233" s="918"/>
      <c r="DJ233" s="918"/>
      <c r="DK233" s="918"/>
      <c r="DL233" s="918"/>
      <c r="DM233" s="918"/>
      <c r="DN233" s="918"/>
      <c r="DO233" s="918"/>
      <c r="DP233" s="918"/>
      <c r="DQ233" s="918"/>
      <c r="DR233" s="918"/>
      <c r="DS233" s="918"/>
      <c r="DT233" s="918"/>
      <c r="DU233" s="918"/>
      <c r="DV233" s="918"/>
      <c r="DW233" s="918"/>
      <c r="DX233" s="918"/>
      <c r="DY233" s="918"/>
      <c r="DZ233" s="918"/>
      <c r="EA233" s="918"/>
      <c r="EB233" s="918"/>
      <c r="EC233" s="918"/>
      <c r="ED233" s="918"/>
      <c r="EE233" s="918"/>
      <c r="EF233" s="918"/>
      <c r="EG233" s="918"/>
      <c r="EH233" s="918"/>
      <c r="EI233" s="918"/>
      <c r="EJ233" s="918"/>
      <c r="EK233" s="918"/>
      <c r="EL233" s="918"/>
      <c r="EM233" s="918"/>
      <c r="EN233" s="918"/>
      <c r="EO233" s="918"/>
      <c r="EP233" s="918"/>
      <c r="EQ233" s="918"/>
      <c r="ER233" s="918"/>
      <c r="ES233" s="918"/>
      <c r="ET233" s="918"/>
      <c r="EU233" s="918"/>
      <c r="EV233" s="918"/>
      <c r="EW233" s="918"/>
      <c r="EX233" s="918"/>
      <c r="EY233" s="918"/>
      <c r="EZ233" s="918"/>
      <c r="FA233" s="918"/>
      <c r="FB233" s="918"/>
      <c r="FC233" s="918"/>
      <c r="FD233" s="918"/>
      <c r="FE233" s="918"/>
      <c r="FF233" s="918"/>
      <c r="FG233" s="918"/>
      <c r="FH233" s="918"/>
      <c r="FI233" s="918"/>
      <c r="FJ233" s="918"/>
      <c r="FK233" s="918"/>
      <c r="FL233" s="918"/>
      <c r="FM233" s="918"/>
      <c r="FN233" s="918"/>
      <c r="FO233" s="918"/>
      <c r="FP233" s="918"/>
      <c r="FQ233" s="918"/>
      <c r="FR233" s="918"/>
      <c r="FS233" s="918"/>
      <c r="FT233" s="918"/>
      <c r="FU233" s="918"/>
      <c r="FV233" s="918"/>
      <c r="FW233" s="918"/>
      <c r="FX233" s="918"/>
      <c r="FY233" s="918"/>
      <c r="FZ233" s="918"/>
      <c r="GA233" s="918"/>
      <c r="GB233" s="918"/>
      <c r="GC233" s="918"/>
      <c r="GD233" s="918"/>
      <c r="GE233" s="918"/>
      <c r="GF233" s="918"/>
      <c r="GG233" s="918"/>
      <c r="GH233" s="918"/>
      <c r="GI233" s="918"/>
      <c r="GJ233" s="918"/>
      <c r="GK233" s="918"/>
      <c r="GL233" s="918"/>
      <c r="GM233" s="918"/>
      <c r="GN233" s="918"/>
      <c r="GO233" s="918"/>
      <c r="GP233" s="918"/>
      <c r="GQ233" s="918"/>
      <c r="GR233" s="918"/>
      <c r="GS233" s="918"/>
      <c r="GT233" s="918"/>
      <c r="GU233" s="918"/>
      <c r="GV233" s="918"/>
      <c r="GW233" s="918"/>
      <c r="GX233" s="918"/>
      <c r="GY233" s="918"/>
      <c r="GZ233" s="918"/>
      <c r="HA233" s="918"/>
      <c r="HB233" s="918"/>
      <c r="HC233" s="918"/>
      <c r="HD233" s="918"/>
      <c r="HE233" s="918"/>
      <c r="HF233" s="918"/>
      <c r="HG233" s="918"/>
      <c r="HH233" s="918"/>
      <c r="HI233" s="918"/>
      <c r="HJ233" s="918"/>
      <c r="HK233" s="918"/>
      <c r="HL233" s="918"/>
      <c r="HM233" s="918"/>
      <c r="HN233" s="918"/>
      <c r="HO233" s="918"/>
      <c r="HP233" s="918"/>
      <c r="HQ233" s="918"/>
      <c r="HR233" s="918"/>
      <c r="HS233" s="918"/>
      <c r="HT233" s="918"/>
      <c r="HU233" s="918"/>
      <c r="HV233" s="918"/>
      <c r="HW233" s="918"/>
      <c r="HX233" s="918"/>
      <c r="HY233" s="918"/>
      <c r="HZ233" s="918"/>
      <c r="IA233" s="918"/>
      <c r="IB233" s="918"/>
      <c r="IC233" s="918"/>
      <c r="ID233" s="918"/>
      <c r="IE233" s="918"/>
      <c r="IF233" s="918"/>
      <c r="IG233" s="918"/>
      <c r="IH233" s="918"/>
      <c r="II233" s="918"/>
      <c r="IJ233" s="918"/>
      <c r="IK233" s="918"/>
      <c r="IL233" s="918"/>
      <c r="IM233" s="918"/>
      <c r="IN233" s="918"/>
    </row>
    <row r="234" spans="1:248">
      <c r="A234" s="619" t="s">
        <v>21</v>
      </c>
      <c r="B234" s="617">
        <v>8234.2999999999993</v>
      </c>
      <c r="C234" s="617">
        <f t="shared" si="33"/>
        <v>32.78011767609614</v>
      </c>
      <c r="D234" s="620">
        <v>7527.7</v>
      </c>
      <c r="E234" s="919">
        <f t="shared" si="34"/>
        <v>29.967197191060439</v>
      </c>
      <c r="F234" s="919">
        <v>706.6</v>
      </c>
      <c r="G234" s="919">
        <f t="shared" si="35"/>
        <v>2.812920485035709</v>
      </c>
      <c r="H234" s="400">
        <v>25119.8</v>
      </c>
      <c r="I234" s="918"/>
      <c r="J234" s="918"/>
      <c r="K234" s="918"/>
      <c r="L234" s="918"/>
      <c r="M234" s="918"/>
      <c r="N234" s="918"/>
      <c r="O234" s="918"/>
      <c r="P234" s="918"/>
      <c r="Q234" s="918"/>
      <c r="R234" s="918"/>
      <c r="S234" s="918"/>
      <c r="T234" s="918"/>
      <c r="U234" s="918"/>
      <c r="V234" s="918"/>
      <c r="W234" s="918"/>
      <c r="X234" s="918"/>
      <c r="Y234" s="918"/>
      <c r="Z234" s="918"/>
      <c r="AA234" s="918"/>
      <c r="AB234" s="918"/>
      <c r="AC234" s="918"/>
      <c r="AD234" s="918"/>
      <c r="AE234" s="918"/>
      <c r="AF234" s="918"/>
      <c r="AG234" s="918"/>
      <c r="AH234" s="918"/>
      <c r="AI234" s="918"/>
      <c r="AJ234" s="918"/>
      <c r="AK234" s="918"/>
      <c r="AL234" s="918"/>
      <c r="AM234" s="918"/>
      <c r="AN234" s="918"/>
      <c r="AO234" s="918"/>
      <c r="AP234" s="918"/>
      <c r="AQ234" s="918"/>
      <c r="AR234" s="918"/>
      <c r="AS234" s="918"/>
      <c r="AT234" s="918"/>
      <c r="AU234" s="918"/>
      <c r="AV234" s="918"/>
      <c r="AW234" s="918"/>
      <c r="AX234" s="918"/>
      <c r="AY234" s="918"/>
      <c r="AZ234" s="918"/>
      <c r="BA234" s="918"/>
      <c r="BB234" s="918"/>
      <c r="BC234" s="918"/>
      <c r="BD234" s="918"/>
      <c r="BE234" s="918"/>
      <c r="BF234" s="918"/>
      <c r="BG234" s="918"/>
      <c r="BH234" s="918"/>
      <c r="BI234" s="918"/>
      <c r="BJ234" s="918"/>
      <c r="BK234" s="918"/>
      <c r="BL234" s="918"/>
      <c r="BM234" s="918"/>
      <c r="BN234" s="918"/>
      <c r="BO234" s="918"/>
      <c r="BP234" s="918"/>
      <c r="BQ234" s="918"/>
      <c r="BR234" s="918"/>
      <c r="BS234" s="918"/>
      <c r="BT234" s="918"/>
      <c r="BU234" s="918"/>
      <c r="BV234" s="918"/>
      <c r="BW234" s="918"/>
      <c r="BX234" s="918"/>
      <c r="BY234" s="918"/>
      <c r="BZ234" s="918"/>
      <c r="CA234" s="918"/>
      <c r="CB234" s="918"/>
      <c r="CC234" s="918"/>
      <c r="CD234" s="918"/>
      <c r="CE234" s="918"/>
      <c r="CF234" s="918"/>
      <c r="CG234" s="918"/>
      <c r="CH234" s="918"/>
      <c r="CI234" s="918"/>
      <c r="CJ234" s="918"/>
      <c r="CK234" s="918"/>
      <c r="CL234" s="918"/>
      <c r="CM234" s="918"/>
      <c r="CN234" s="918"/>
      <c r="CO234" s="918"/>
      <c r="CP234" s="918"/>
      <c r="CQ234" s="918"/>
      <c r="CR234" s="918"/>
      <c r="CS234" s="918"/>
      <c r="CT234" s="918"/>
      <c r="CU234" s="918"/>
      <c r="CV234" s="918"/>
      <c r="CW234" s="918"/>
      <c r="CX234" s="918"/>
      <c r="CY234" s="918"/>
      <c r="CZ234" s="918"/>
      <c r="DA234" s="918"/>
      <c r="DB234" s="918"/>
      <c r="DC234" s="918"/>
      <c r="DD234" s="918"/>
      <c r="DE234" s="918"/>
      <c r="DF234" s="918"/>
      <c r="DG234" s="918"/>
      <c r="DH234" s="918"/>
      <c r="DI234" s="918"/>
      <c r="DJ234" s="918"/>
      <c r="DK234" s="918"/>
      <c r="DL234" s="918"/>
      <c r="DM234" s="918"/>
      <c r="DN234" s="918"/>
      <c r="DO234" s="918"/>
      <c r="DP234" s="918"/>
      <c r="DQ234" s="918"/>
      <c r="DR234" s="918"/>
      <c r="DS234" s="918"/>
      <c r="DT234" s="918"/>
      <c r="DU234" s="918"/>
      <c r="DV234" s="918"/>
      <c r="DW234" s="918"/>
      <c r="DX234" s="918"/>
      <c r="DY234" s="918"/>
      <c r="DZ234" s="918"/>
      <c r="EA234" s="918"/>
      <c r="EB234" s="918"/>
      <c r="EC234" s="918"/>
      <c r="ED234" s="918"/>
      <c r="EE234" s="918"/>
      <c r="EF234" s="918"/>
      <c r="EG234" s="918"/>
      <c r="EH234" s="918"/>
      <c r="EI234" s="918"/>
      <c r="EJ234" s="918"/>
      <c r="EK234" s="918"/>
      <c r="EL234" s="918"/>
      <c r="EM234" s="918"/>
      <c r="EN234" s="918"/>
      <c r="EO234" s="918"/>
      <c r="EP234" s="918"/>
      <c r="EQ234" s="918"/>
      <c r="ER234" s="918"/>
      <c r="ES234" s="918"/>
      <c r="ET234" s="918"/>
      <c r="EU234" s="918"/>
      <c r="EV234" s="918"/>
      <c r="EW234" s="918"/>
      <c r="EX234" s="918"/>
      <c r="EY234" s="918"/>
      <c r="EZ234" s="918"/>
      <c r="FA234" s="918"/>
      <c r="FB234" s="918"/>
      <c r="FC234" s="918"/>
      <c r="FD234" s="918"/>
      <c r="FE234" s="918"/>
      <c r="FF234" s="918"/>
      <c r="FG234" s="918"/>
      <c r="FH234" s="918"/>
      <c r="FI234" s="918"/>
      <c r="FJ234" s="918"/>
      <c r="FK234" s="918"/>
      <c r="FL234" s="918"/>
      <c r="FM234" s="918"/>
      <c r="FN234" s="918"/>
      <c r="FO234" s="918"/>
      <c r="FP234" s="918"/>
      <c r="FQ234" s="918"/>
      <c r="FR234" s="918"/>
      <c r="FS234" s="918"/>
      <c r="FT234" s="918"/>
      <c r="FU234" s="918"/>
      <c r="FV234" s="918"/>
      <c r="FW234" s="918"/>
      <c r="FX234" s="918"/>
      <c r="FY234" s="918"/>
      <c r="FZ234" s="918"/>
      <c r="GA234" s="918"/>
      <c r="GB234" s="918"/>
      <c r="GC234" s="918"/>
      <c r="GD234" s="918"/>
      <c r="GE234" s="918"/>
      <c r="GF234" s="918"/>
      <c r="GG234" s="918"/>
      <c r="GH234" s="918"/>
      <c r="GI234" s="918"/>
      <c r="GJ234" s="918"/>
      <c r="GK234" s="918"/>
      <c r="GL234" s="918"/>
      <c r="GM234" s="918"/>
      <c r="GN234" s="918"/>
      <c r="GO234" s="918"/>
      <c r="GP234" s="918"/>
      <c r="GQ234" s="918"/>
      <c r="GR234" s="918"/>
      <c r="GS234" s="918"/>
      <c r="GT234" s="918"/>
      <c r="GU234" s="918"/>
      <c r="GV234" s="918"/>
      <c r="GW234" s="918"/>
      <c r="GX234" s="918"/>
      <c r="GY234" s="918"/>
      <c r="GZ234" s="918"/>
      <c r="HA234" s="918"/>
      <c r="HB234" s="918"/>
      <c r="HC234" s="918"/>
      <c r="HD234" s="918"/>
      <c r="HE234" s="918"/>
      <c r="HF234" s="918"/>
      <c r="HG234" s="918"/>
      <c r="HH234" s="918"/>
      <c r="HI234" s="918"/>
      <c r="HJ234" s="918"/>
      <c r="HK234" s="918"/>
      <c r="HL234" s="918"/>
      <c r="HM234" s="918"/>
      <c r="HN234" s="918"/>
      <c r="HO234" s="918"/>
      <c r="HP234" s="918"/>
      <c r="HQ234" s="918"/>
      <c r="HR234" s="918"/>
      <c r="HS234" s="918"/>
      <c r="HT234" s="918"/>
      <c r="HU234" s="918"/>
      <c r="HV234" s="918"/>
      <c r="HW234" s="918"/>
      <c r="HX234" s="918"/>
      <c r="HY234" s="918"/>
      <c r="HZ234" s="918"/>
      <c r="IA234" s="918"/>
      <c r="IB234" s="918"/>
      <c r="IC234" s="918"/>
      <c r="ID234" s="918"/>
      <c r="IE234" s="918"/>
      <c r="IF234" s="918"/>
      <c r="IG234" s="918"/>
      <c r="IH234" s="918"/>
      <c r="II234" s="918"/>
      <c r="IJ234" s="918"/>
      <c r="IK234" s="918"/>
      <c r="IL234" s="918"/>
      <c r="IM234" s="918"/>
      <c r="IN234" s="918"/>
    </row>
    <row r="235" spans="1:248">
      <c r="A235" s="619" t="s">
        <v>22</v>
      </c>
      <c r="B235" s="617">
        <v>9735.2000000000007</v>
      </c>
      <c r="C235" s="617">
        <f t="shared" si="33"/>
        <v>30.302992573040079</v>
      </c>
      <c r="D235" s="620">
        <v>9366.2999999999993</v>
      </c>
      <c r="E235" s="919">
        <f t="shared" si="34"/>
        <v>29.154708617888204</v>
      </c>
      <c r="F235" s="919">
        <f t="shared" ref="F235:F240" si="36">B235-D235</f>
        <v>368.90000000000146</v>
      </c>
      <c r="G235" s="919">
        <f t="shared" si="35"/>
        <v>1.1482839551518744</v>
      </c>
      <c r="H235" s="400">
        <v>32126.2</v>
      </c>
      <c r="I235" s="918"/>
      <c r="J235" s="918"/>
      <c r="K235" s="918"/>
      <c r="L235" s="918"/>
      <c r="M235" s="918"/>
      <c r="N235" s="918"/>
      <c r="O235" s="918"/>
      <c r="P235" s="918"/>
      <c r="Q235" s="918"/>
      <c r="R235" s="918"/>
      <c r="S235" s="918"/>
      <c r="T235" s="918"/>
      <c r="U235" s="918"/>
      <c r="V235" s="918"/>
      <c r="W235" s="918"/>
      <c r="X235" s="918"/>
      <c r="Y235" s="918"/>
      <c r="Z235" s="918"/>
      <c r="AA235" s="918"/>
      <c r="AB235" s="918"/>
      <c r="AC235" s="918"/>
      <c r="AD235" s="918"/>
      <c r="AE235" s="918"/>
      <c r="AF235" s="918"/>
      <c r="AG235" s="918"/>
      <c r="AH235" s="918"/>
      <c r="AI235" s="918"/>
      <c r="AJ235" s="918"/>
      <c r="AK235" s="918"/>
      <c r="AL235" s="918"/>
      <c r="AM235" s="918"/>
      <c r="AN235" s="918"/>
      <c r="AO235" s="918"/>
      <c r="AP235" s="918"/>
      <c r="AQ235" s="918"/>
      <c r="AR235" s="918"/>
      <c r="AS235" s="918"/>
      <c r="AT235" s="918"/>
      <c r="AU235" s="918"/>
      <c r="AV235" s="918"/>
      <c r="AW235" s="918"/>
      <c r="AX235" s="918"/>
      <c r="AY235" s="918"/>
      <c r="AZ235" s="918"/>
      <c r="BA235" s="918"/>
      <c r="BB235" s="918"/>
      <c r="BC235" s="918"/>
      <c r="BD235" s="918"/>
      <c r="BE235" s="918"/>
      <c r="BF235" s="918"/>
      <c r="BG235" s="918"/>
      <c r="BH235" s="918"/>
      <c r="BI235" s="918"/>
      <c r="BJ235" s="918"/>
      <c r="BK235" s="918"/>
      <c r="BL235" s="918"/>
      <c r="BM235" s="918"/>
      <c r="BN235" s="918"/>
      <c r="BO235" s="918"/>
      <c r="BP235" s="918"/>
      <c r="BQ235" s="918"/>
      <c r="BR235" s="918"/>
      <c r="BS235" s="918"/>
      <c r="BT235" s="918"/>
      <c r="BU235" s="918"/>
      <c r="BV235" s="918"/>
      <c r="BW235" s="918"/>
      <c r="BX235" s="918"/>
      <c r="BY235" s="918"/>
      <c r="BZ235" s="918"/>
      <c r="CA235" s="918"/>
      <c r="CB235" s="918"/>
      <c r="CC235" s="918"/>
      <c r="CD235" s="918"/>
      <c r="CE235" s="918"/>
      <c r="CF235" s="918"/>
      <c r="CG235" s="918"/>
      <c r="CH235" s="918"/>
      <c r="CI235" s="918"/>
      <c r="CJ235" s="918"/>
      <c r="CK235" s="918"/>
      <c r="CL235" s="918"/>
      <c r="CM235" s="918"/>
      <c r="CN235" s="918"/>
      <c r="CO235" s="918"/>
      <c r="CP235" s="918"/>
      <c r="CQ235" s="918"/>
      <c r="CR235" s="918"/>
      <c r="CS235" s="918"/>
      <c r="CT235" s="918"/>
      <c r="CU235" s="918"/>
      <c r="CV235" s="918"/>
      <c r="CW235" s="918"/>
      <c r="CX235" s="918"/>
      <c r="CY235" s="918"/>
      <c r="CZ235" s="918"/>
      <c r="DA235" s="918"/>
      <c r="DB235" s="918"/>
      <c r="DC235" s="918"/>
      <c r="DD235" s="918"/>
      <c r="DE235" s="918"/>
      <c r="DF235" s="918"/>
      <c r="DG235" s="918"/>
      <c r="DH235" s="918"/>
      <c r="DI235" s="918"/>
      <c r="DJ235" s="918"/>
      <c r="DK235" s="918"/>
      <c r="DL235" s="918"/>
      <c r="DM235" s="918"/>
      <c r="DN235" s="918"/>
      <c r="DO235" s="918"/>
      <c r="DP235" s="918"/>
      <c r="DQ235" s="918"/>
      <c r="DR235" s="918"/>
      <c r="DS235" s="918"/>
      <c r="DT235" s="918"/>
      <c r="DU235" s="918"/>
      <c r="DV235" s="918"/>
      <c r="DW235" s="918"/>
      <c r="DX235" s="918"/>
      <c r="DY235" s="918"/>
      <c r="DZ235" s="918"/>
      <c r="EA235" s="918"/>
      <c r="EB235" s="918"/>
      <c r="EC235" s="918"/>
      <c r="ED235" s="918"/>
      <c r="EE235" s="918"/>
      <c r="EF235" s="918"/>
      <c r="EG235" s="918"/>
      <c r="EH235" s="918"/>
      <c r="EI235" s="918"/>
      <c r="EJ235" s="918"/>
      <c r="EK235" s="918"/>
      <c r="EL235" s="918"/>
      <c r="EM235" s="918"/>
      <c r="EN235" s="918"/>
      <c r="EO235" s="918"/>
      <c r="EP235" s="918"/>
      <c r="EQ235" s="918"/>
      <c r="ER235" s="918"/>
      <c r="ES235" s="918"/>
      <c r="ET235" s="918"/>
      <c r="EU235" s="918"/>
      <c r="EV235" s="918"/>
      <c r="EW235" s="918"/>
      <c r="EX235" s="918"/>
      <c r="EY235" s="918"/>
      <c r="EZ235" s="918"/>
      <c r="FA235" s="918"/>
      <c r="FB235" s="918"/>
      <c r="FC235" s="918"/>
      <c r="FD235" s="918"/>
      <c r="FE235" s="918"/>
      <c r="FF235" s="918"/>
      <c r="FG235" s="918"/>
      <c r="FH235" s="918"/>
      <c r="FI235" s="918"/>
      <c r="FJ235" s="918"/>
      <c r="FK235" s="918"/>
      <c r="FL235" s="918"/>
      <c r="FM235" s="918"/>
      <c r="FN235" s="918"/>
      <c r="FO235" s="918"/>
      <c r="FP235" s="918"/>
      <c r="FQ235" s="918"/>
      <c r="FR235" s="918"/>
      <c r="FS235" s="918"/>
      <c r="FT235" s="918"/>
      <c r="FU235" s="918"/>
      <c r="FV235" s="918"/>
      <c r="FW235" s="918"/>
      <c r="FX235" s="918"/>
      <c r="FY235" s="918"/>
      <c r="FZ235" s="918"/>
      <c r="GA235" s="918"/>
      <c r="GB235" s="918"/>
      <c r="GC235" s="918"/>
      <c r="GD235" s="918"/>
      <c r="GE235" s="918"/>
      <c r="GF235" s="918"/>
      <c r="GG235" s="918"/>
      <c r="GH235" s="918"/>
      <c r="GI235" s="918"/>
      <c r="GJ235" s="918"/>
      <c r="GK235" s="918"/>
      <c r="GL235" s="918"/>
      <c r="GM235" s="918"/>
      <c r="GN235" s="918"/>
      <c r="GO235" s="918"/>
      <c r="GP235" s="918"/>
      <c r="GQ235" s="918"/>
      <c r="GR235" s="918"/>
      <c r="GS235" s="918"/>
      <c r="GT235" s="918"/>
      <c r="GU235" s="918"/>
      <c r="GV235" s="918"/>
      <c r="GW235" s="918"/>
      <c r="GX235" s="918"/>
      <c r="GY235" s="918"/>
      <c r="GZ235" s="918"/>
      <c r="HA235" s="918"/>
      <c r="HB235" s="918"/>
      <c r="HC235" s="918"/>
      <c r="HD235" s="918"/>
      <c r="HE235" s="918"/>
      <c r="HF235" s="918"/>
      <c r="HG235" s="918"/>
      <c r="HH235" s="918"/>
      <c r="HI235" s="918"/>
      <c r="HJ235" s="918"/>
      <c r="HK235" s="918"/>
      <c r="HL235" s="918"/>
      <c r="HM235" s="918"/>
      <c r="HN235" s="918"/>
      <c r="HO235" s="918"/>
      <c r="HP235" s="918"/>
      <c r="HQ235" s="918"/>
      <c r="HR235" s="918"/>
      <c r="HS235" s="918"/>
      <c r="HT235" s="918"/>
      <c r="HU235" s="918"/>
      <c r="HV235" s="918"/>
      <c r="HW235" s="918"/>
      <c r="HX235" s="918"/>
      <c r="HY235" s="918"/>
      <c r="HZ235" s="918"/>
      <c r="IA235" s="918"/>
      <c r="IB235" s="918"/>
      <c r="IC235" s="918"/>
      <c r="ID235" s="918"/>
      <c r="IE235" s="918"/>
      <c r="IF235" s="918"/>
      <c r="IG235" s="918"/>
      <c r="IH235" s="918"/>
      <c r="II235" s="918"/>
      <c r="IJ235" s="918"/>
      <c r="IK235" s="918"/>
      <c r="IL235" s="918"/>
      <c r="IM235" s="918"/>
      <c r="IN235" s="918"/>
    </row>
    <row r="236" spans="1:248">
      <c r="A236" s="619" t="s">
        <v>23</v>
      </c>
      <c r="B236" s="617">
        <v>11755</v>
      </c>
      <c r="C236" s="617">
        <f t="shared" si="33"/>
        <v>28.836930896851857</v>
      </c>
      <c r="D236" s="620">
        <v>11590.5</v>
      </c>
      <c r="E236" s="919">
        <f t="shared" si="34"/>
        <v>28.433385585704929</v>
      </c>
      <c r="F236" s="919">
        <f t="shared" si="36"/>
        <v>164.5</v>
      </c>
      <c r="G236" s="919">
        <f t="shared" si="35"/>
        <v>0.40354531114692738</v>
      </c>
      <c r="H236" s="400">
        <v>40763.699999999997</v>
      </c>
      <c r="I236" s="918"/>
      <c r="J236" s="918"/>
      <c r="K236" s="918"/>
      <c r="L236" s="918"/>
      <c r="M236" s="918"/>
      <c r="N236" s="918"/>
      <c r="O236" s="918"/>
      <c r="P236" s="918"/>
      <c r="Q236" s="918"/>
      <c r="R236" s="918"/>
      <c r="S236" s="918"/>
      <c r="T236" s="918"/>
      <c r="U236" s="918"/>
      <c r="V236" s="918"/>
      <c r="W236" s="918"/>
      <c r="X236" s="918"/>
      <c r="Y236" s="918"/>
      <c r="Z236" s="918"/>
      <c r="AA236" s="918"/>
      <c r="AB236" s="918"/>
      <c r="AC236" s="918"/>
      <c r="AD236" s="918"/>
      <c r="AE236" s="918"/>
      <c r="AF236" s="918"/>
      <c r="AG236" s="918"/>
      <c r="AH236" s="918"/>
      <c r="AI236" s="918"/>
      <c r="AJ236" s="918"/>
      <c r="AK236" s="918"/>
      <c r="AL236" s="918"/>
      <c r="AM236" s="918"/>
      <c r="AN236" s="918"/>
      <c r="AO236" s="918"/>
      <c r="AP236" s="918"/>
      <c r="AQ236" s="918"/>
      <c r="AR236" s="918"/>
      <c r="AS236" s="918"/>
      <c r="AT236" s="918"/>
      <c r="AU236" s="918"/>
      <c r="AV236" s="918"/>
      <c r="AW236" s="918"/>
      <c r="AX236" s="918"/>
      <c r="AY236" s="918"/>
      <c r="AZ236" s="918"/>
      <c r="BA236" s="918"/>
      <c r="BB236" s="918"/>
      <c r="BC236" s="918"/>
      <c r="BD236" s="918"/>
      <c r="BE236" s="918"/>
      <c r="BF236" s="918"/>
      <c r="BG236" s="918"/>
      <c r="BH236" s="918"/>
      <c r="BI236" s="918"/>
      <c r="BJ236" s="918"/>
      <c r="BK236" s="918"/>
      <c r="BL236" s="918"/>
      <c r="BM236" s="918"/>
      <c r="BN236" s="918"/>
      <c r="BO236" s="918"/>
      <c r="BP236" s="918"/>
      <c r="BQ236" s="918"/>
      <c r="BR236" s="918"/>
      <c r="BS236" s="918"/>
      <c r="BT236" s="918"/>
      <c r="BU236" s="918"/>
      <c r="BV236" s="918"/>
      <c r="BW236" s="918"/>
      <c r="BX236" s="918"/>
      <c r="BY236" s="918"/>
      <c r="BZ236" s="918"/>
      <c r="CA236" s="918"/>
      <c r="CB236" s="918"/>
      <c r="CC236" s="918"/>
      <c r="CD236" s="918"/>
      <c r="CE236" s="918"/>
      <c r="CF236" s="918"/>
      <c r="CG236" s="918"/>
      <c r="CH236" s="918"/>
      <c r="CI236" s="918"/>
      <c r="CJ236" s="918"/>
      <c r="CK236" s="918"/>
      <c r="CL236" s="918"/>
      <c r="CM236" s="918"/>
      <c r="CN236" s="918"/>
      <c r="CO236" s="918"/>
      <c r="CP236" s="918"/>
      <c r="CQ236" s="918"/>
      <c r="CR236" s="918"/>
      <c r="CS236" s="918"/>
      <c r="CT236" s="918"/>
      <c r="CU236" s="918"/>
      <c r="CV236" s="918"/>
      <c r="CW236" s="918"/>
      <c r="CX236" s="918"/>
      <c r="CY236" s="918"/>
      <c r="CZ236" s="918"/>
      <c r="DA236" s="918"/>
      <c r="DB236" s="918"/>
      <c r="DC236" s="918"/>
      <c r="DD236" s="918"/>
      <c r="DE236" s="918"/>
      <c r="DF236" s="918"/>
      <c r="DG236" s="918"/>
      <c r="DH236" s="918"/>
      <c r="DI236" s="918"/>
      <c r="DJ236" s="918"/>
      <c r="DK236" s="918"/>
      <c r="DL236" s="918"/>
      <c r="DM236" s="918"/>
      <c r="DN236" s="918"/>
      <c r="DO236" s="918"/>
      <c r="DP236" s="918"/>
      <c r="DQ236" s="918"/>
      <c r="DR236" s="918"/>
      <c r="DS236" s="918"/>
      <c r="DT236" s="918"/>
      <c r="DU236" s="918"/>
      <c r="DV236" s="918"/>
      <c r="DW236" s="918"/>
      <c r="DX236" s="918"/>
      <c r="DY236" s="918"/>
      <c r="DZ236" s="918"/>
      <c r="EA236" s="918"/>
      <c r="EB236" s="918"/>
      <c r="EC236" s="918"/>
      <c r="ED236" s="918"/>
      <c r="EE236" s="918"/>
      <c r="EF236" s="918"/>
      <c r="EG236" s="918"/>
      <c r="EH236" s="918"/>
      <c r="EI236" s="918"/>
      <c r="EJ236" s="918"/>
      <c r="EK236" s="918"/>
      <c r="EL236" s="918"/>
      <c r="EM236" s="918"/>
      <c r="EN236" s="918"/>
      <c r="EO236" s="918"/>
      <c r="EP236" s="918"/>
      <c r="EQ236" s="918"/>
      <c r="ER236" s="918"/>
      <c r="ES236" s="918"/>
      <c r="ET236" s="918"/>
      <c r="EU236" s="918"/>
      <c r="EV236" s="918"/>
      <c r="EW236" s="918"/>
      <c r="EX236" s="918"/>
      <c r="EY236" s="918"/>
      <c r="EZ236" s="918"/>
      <c r="FA236" s="918"/>
      <c r="FB236" s="918"/>
      <c r="FC236" s="918"/>
      <c r="FD236" s="918"/>
      <c r="FE236" s="918"/>
      <c r="FF236" s="918"/>
      <c r="FG236" s="918"/>
      <c r="FH236" s="918"/>
      <c r="FI236" s="918"/>
      <c r="FJ236" s="918"/>
      <c r="FK236" s="918"/>
      <c r="FL236" s="918"/>
      <c r="FM236" s="918"/>
      <c r="FN236" s="918"/>
      <c r="FO236" s="918"/>
      <c r="FP236" s="918"/>
      <c r="FQ236" s="918"/>
      <c r="FR236" s="918"/>
      <c r="FS236" s="918"/>
      <c r="FT236" s="918"/>
      <c r="FU236" s="918"/>
      <c r="FV236" s="918"/>
      <c r="FW236" s="918"/>
      <c r="FX236" s="918"/>
      <c r="FY236" s="918"/>
      <c r="FZ236" s="918"/>
      <c r="GA236" s="918"/>
      <c r="GB236" s="918"/>
      <c r="GC236" s="918"/>
      <c r="GD236" s="918"/>
      <c r="GE236" s="918"/>
      <c r="GF236" s="918"/>
      <c r="GG236" s="918"/>
      <c r="GH236" s="918"/>
      <c r="GI236" s="918"/>
      <c r="GJ236" s="918"/>
      <c r="GK236" s="918"/>
      <c r="GL236" s="918"/>
      <c r="GM236" s="918"/>
      <c r="GN236" s="918"/>
      <c r="GO236" s="918"/>
      <c r="GP236" s="918"/>
      <c r="GQ236" s="918"/>
      <c r="GR236" s="918"/>
      <c r="GS236" s="918"/>
      <c r="GT236" s="918"/>
      <c r="GU236" s="918"/>
      <c r="GV236" s="918"/>
      <c r="GW236" s="918"/>
      <c r="GX236" s="918"/>
      <c r="GY236" s="918"/>
      <c r="GZ236" s="918"/>
      <c r="HA236" s="918"/>
      <c r="HB236" s="918"/>
      <c r="HC236" s="918"/>
      <c r="HD236" s="918"/>
      <c r="HE236" s="918"/>
      <c r="HF236" s="918"/>
      <c r="HG236" s="918"/>
      <c r="HH236" s="918"/>
      <c r="HI236" s="918"/>
      <c r="HJ236" s="918"/>
      <c r="HK236" s="918"/>
      <c r="HL236" s="918"/>
      <c r="HM236" s="918"/>
      <c r="HN236" s="918"/>
      <c r="HO236" s="918"/>
      <c r="HP236" s="918"/>
      <c r="HQ236" s="918"/>
      <c r="HR236" s="918"/>
      <c r="HS236" s="918"/>
      <c r="HT236" s="918"/>
      <c r="HU236" s="918"/>
      <c r="HV236" s="918"/>
      <c r="HW236" s="918"/>
      <c r="HX236" s="918"/>
      <c r="HY236" s="918"/>
      <c r="HZ236" s="918"/>
      <c r="IA236" s="918"/>
      <c r="IB236" s="918"/>
      <c r="IC236" s="918"/>
      <c r="ID236" s="918"/>
      <c r="IE236" s="918"/>
      <c r="IF236" s="918"/>
      <c r="IG236" s="918"/>
      <c r="IH236" s="918"/>
      <c r="II236" s="918"/>
      <c r="IJ236" s="918"/>
      <c r="IK236" s="918"/>
      <c r="IL236" s="918"/>
      <c r="IM236" s="918"/>
      <c r="IN236" s="918"/>
    </row>
    <row r="237" spans="1:248">
      <c r="A237" s="619" t="s">
        <v>24</v>
      </c>
      <c r="B237" s="617">
        <v>14049.3</v>
      </c>
      <c r="C237" s="617">
        <f t="shared" si="33"/>
        <v>29.206277271810695</v>
      </c>
      <c r="D237" s="620">
        <v>13681.6</v>
      </c>
      <c r="E237" s="919">
        <f t="shared" si="34"/>
        <v>28.441887006612799</v>
      </c>
      <c r="F237" s="919">
        <f t="shared" si="36"/>
        <v>367.69999999999891</v>
      </c>
      <c r="G237" s="919">
        <f t="shared" si="35"/>
        <v>0.76439026519789322</v>
      </c>
      <c r="H237" s="400">
        <v>48103.7</v>
      </c>
      <c r="I237" s="918"/>
      <c r="J237" s="918"/>
      <c r="K237" s="918"/>
      <c r="L237" s="918"/>
      <c r="M237" s="918"/>
      <c r="N237" s="918"/>
      <c r="O237" s="918"/>
      <c r="P237" s="918"/>
      <c r="Q237" s="918"/>
      <c r="R237" s="918"/>
      <c r="S237" s="918"/>
      <c r="T237" s="918"/>
      <c r="U237" s="918"/>
      <c r="V237" s="918"/>
      <c r="W237" s="918"/>
      <c r="X237" s="918"/>
      <c r="Y237" s="918"/>
      <c r="Z237" s="918"/>
      <c r="AA237" s="918"/>
      <c r="AB237" s="918"/>
      <c r="AC237" s="918"/>
      <c r="AD237" s="918"/>
      <c r="AE237" s="918"/>
      <c r="AF237" s="918"/>
      <c r="AG237" s="918"/>
      <c r="AH237" s="918"/>
      <c r="AI237" s="918"/>
      <c r="AJ237" s="918"/>
      <c r="AK237" s="918"/>
      <c r="AL237" s="918"/>
      <c r="AM237" s="918"/>
      <c r="AN237" s="918"/>
      <c r="AO237" s="918"/>
      <c r="AP237" s="918"/>
      <c r="AQ237" s="918"/>
      <c r="AR237" s="918"/>
      <c r="AS237" s="918"/>
      <c r="AT237" s="918"/>
      <c r="AU237" s="918"/>
      <c r="AV237" s="918"/>
      <c r="AW237" s="918"/>
      <c r="AX237" s="918"/>
      <c r="AY237" s="918"/>
      <c r="AZ237" s="918"/>
      <c r="BA237" s="918"/>
      <c r="BB237" s="918"/>
      <c r="BC237" s="918"/>
      <c r="BD237" s="918"/>
      <c r="BE237" s="918"/>
      <c r="BF237" s="918"/>
      <c r="BG237" s="918"/>
      <c r="BH237" s="918"/>
      <c r="BI237" s="918"/>
      <c r="BJ237" s="918"/>
      <c r="BK237" s="918"/>
      <c r="BL237" s="918"/>
      <c r="BM237" s="918"/>
      <c r="BN237" s="918"/>
      <c r="BO237" s="918"/>
      <c r="BP237" s="918"/>
      <c r="BQ237" s="918"/>
      <c r="BR237" s="918"/>
      <c r="BS237" s="918"/>
      <c r="BT237" s="918"/>
      <c r="BU237" s="918"/>
      <c r="BV237" s="918"/>
      <c r="BW237" s="918"/>
      <c r="BX237" s="918"/>
      <c r="BY237" s="918"/>
      <c r="BZ237" s="918"/>
      <c r="CA237" s="918"/>
      <c r="CB237" s="918"/>
      <c r="CC237" s="918"/>
      <c r="CD237" s="918"/>
      <c r="CE237" s="918"/>
      <c r="CF237" s="918"/>
      <c r="CG237" s="918"/>
      <c r="CH237" s="918"/>
      <c r="CI237" s="918"/>
      <c r="CJ237" s="918"/>
      <c r="CK237" s="918"/>
      <c r="CL237" s="918"/>
      <c r="CM237" s="918"/>
      <c r="CN237" s="918"/>
      <c r="CO237" s="918"/>
      <c r="CP237" s="918"/>
      <c r="CQ237" s="918"/>
      <c r="CR237" s="918"/>
      <c r="CS237" s="918"/>
      <c r="CT237" s="918"/>
      <c r="CU237" s="918"/>
      <c r="CV237" s="918"/>
      <c r="CW237" s="918"/>
      <c r="CX237" s="918"/>
      <c r="CY237" s="918"/>
      <c r="CZ237" s="918"/>
      <c r="DA237" s="918"/>
      <c r="DB237" s="918"/>
      <c r="DC237" s="918"/>
      <c r="DD237" s="918"/>
      <c r="DE237" s="918"/>
      <c r="DF237" s="918"/>
      <c r="DG237" s="918"/>
      <c r="DH237" s="918"/>
      <c r="DI237" s="918"/>
      <c r="DJ237" s="918"/>
      <c r="DK237" s="918"/>
      <c r="DL237" s="918"/>
      <c r="DM237" s="918"/>
      <c r="DN237" s="918"/>
      <c r="DO237" s="918"/>
      <c r="DP237" s="918"/>
      <c r="DQ237" s="918"/>
      <c r="DR237" s="918"/>
      <c r="DS237" s="918"/>
      <c r="DT237" s="918"/>
      <c r="DU237" s="918"/>
      <c r="DV237" s="918"/>
      <c r="DW237" s="918"/>
      <c r="DX237" s="918"/>
      <c r="DY237" s="918"/>
      <c r="DZ237" s="918"/>
      <c r="EA237" s="918"/>
      <c r="EB237" s="918"/>
      <c r="EC237" s="918"/>
      <c r="ED237" s="918"/>
      <c r="EE237" s="918"/>
      <c r="EF237" s="918"/>
      <c r="EG237" s="918"/>
      <c r="EH237" s="918"/>
      <c r="EI237" s="918"/>
      <c r="EJ237" s="918"/>
      <c r="EK237" s="918"/>
      <c r="EL237" s="918"/>
      <c r="EM237" s="918"/>
      <c r="EN237" s="918"/>
      <c r="EO237" s="918"/>
      <c r="EP237" s="918"/>
      <c r="EQ237" s="918"/>
      <c r="ER237" s="918"/>
      <c r="ES237" s="918"/>
      <c r="ET237" s="918"/>
      <c r="EU237" s="918"/>
      <c r="EV237" s="918"/>
      <c r="EW237" s="918"/>
      <c r="EX237" s="918"/>
      <c r="EY237" s="918"/>
      <c r="EZ237" s="918"/>
      <c r="FA237" s="918"/>
      <c r="FB237" s="918"/>
      <c r="FC237" s="918"/>
      <c r="FD237" s="918"/>
      <c r="FE237" s="918"/>
      <c r="FF237" s="918"/>
      <c r="FG237" s="918"/>
      <c r="FH237" s="918"/>
      <c r="FI237" s="918"/>
      <c r="FJ237" s="918"/>
      <c r="FK237" s="918"/>
      <c r="FL237" s="918"/>
      <c r="FM237" s="918"/>
      <c r="FN237" s="918"/>
      <c r="FO237" s="918"/>
      <c r="FP237" s="918"/>
      <c r="FQ237" s="918"/>
      <c r="FR237" s="918"/>
      <c r="FS237" s="918"/>
      <c r="FT237" s="918"/>
      <c r="FU237" s="918"/>
      <c r="FV237" s="918"/>
      <c r="FW237" s="918"/>
      <c r="FX237" s="918"/>
      <c r="FY237" s="918"/>
      <c r="FZ237" s="918"/>
      <c r="GA237" s="918"/>
      <c r="GB237" s="918"/>
      <c r="GC237" s="918"/>
      <c r="GD237" s="918"/>
      <c r="GE237" s="918"/>
      <c r="GF237" s="918"/>
      <c r="GG237" s="918"/>
      <c r="GH237" s="918"/>
      <c r="GI237" s="918"/>
      <c r="GJ237" s="918"/>
      <c r="GK237" s="918"/>
      <c r="GL237" s="918"/>
      <c r="GM237" s="918"/>
      <c r="GN237" s="918"/>
      <c r="GO237" s="918"/>
      <c r="GP237" s="918"/>
      <c r="GQ237" s="918"/>
      <c r="GR237" s="918"/>
      <c r="GS237" s="918"/>
      <c r="GT237" s="918"/>
      <c r="GU237" s="918"/>
      <c r="GV237" s="918"/>
      <c r="GW237" s="918"/>
      <c r="GX237" s="918"/>
      <c r="GY237" s="918"/>
      <c r="GZ237" s="918"/>
      <c r="HA237" s="918"/>
      <c r="HB237" s="918"/>
      <c r="HC237" s="918"/>
      <c r="HD237" s="918"/>
      <c r="HE237" s="918"/>
      <c r="HF237" s="918"/>
      <c r="HG237" s="918"/>
      <c r="HH237" s="918"/>
      <c r="HI237" s="918"/>
      <c r="HJ237" s="918"/>
      <c r="HK237" s="918"/>
      <c r="HL237" s="918"/>
      <c r="HM237" s="918"/>
      <c r="HN237" s="918"/>
      <c r="HO237" s="918"/>
      <c r="HP237" s="918"/>
      <c r="HQ237" s="918"/>
      <c r="HR237" s="918"/>
      <c r="HS237" s="918"/>
      <c r="HT237" s="918"/>
      <c r="HU237" s="918"/>
      <c r="HV237" s="918"/>
      <c r="HW237" s="918"/>
      <c r="HX237" s="918"/>
      <c r="HY237" s="918"/>
      <c r="HZ237" s="918"/>
      <c r="IA237" s="918"/>
      <c r="IB237" s="918"/>
      <c r="IC237" s="918"/>
      <c r="ID237" s="918"/>
      <c r="IE237" s="918"/>
      <c r="IF237" s="918"/>
      <c r="IG237" s="918"/>
      <c r="IH237" s="918"/>
      <c r="II237" s="918"/>
      <c r="IJ237" s="918"/>
      <c r="IK237" s="918"/>
      <c r="IL237" s="918"/>
      <c r="IM237" s="918"/>
      <c r="IN237" s="918"/>
    </row>
    <row r="238" spans="1:248">
      <c r="A238" s="619" t="s">
        <v>25</v>
      </c>
      <c r="B238" s="617">
        <v>15937.5</v>
      </c>
      <c r="C238" s="617">
        <f t="shared" si="33"/>
        <v>28.676585691485823</v>
      </c>
      <c r="D238" s="620">
        <v>15626.8</v>
      </c>
      <c r="E238" s="919">
        <f t="shared" si="34"/>
        <v>28.117538464860274</v>
      </c>
      <c r="F238" s="919">
        <f t="shared" si="36"/>
        <v>310.70000000000073</v>
      </c>
      <c r="G238" s="919">
        <f t="shared" si="35"/>
        <v>0.55904722662554773</v>
      </c>
      <c r="H238" s="400">
        <v>55576.7</v>
      </c>
      <c r="I238" s="918"/>
      <c r="J238" s="918"/>
      <c r="K238" s="918"/>
      <c r="L238" s="918"/>
      <c r="M238" s="918"/>
      <c r="N238" s="918"/>
      <c r="O238" s="918"/>
      <c r="P238" s="918"/>
      <c r="Q238" s="918"/>
      <c r="R238" s="918"/>
      <c r="S238" s="918"/>
      <c r="T238" s="918"/>
      <c r="U238" s="918"/>
      <c r="V238" s="918"/>
      <c r="W238" s="918"/>
      <c r="X238" s="918"/>
      <c r="Y238" s="918"/>
      <c r="Z238" s="918"/>
      <c r="AA238" s="918"/>
      <c r="AB238" s="918"/>
      <c r="AC238" s="918"/>
      <c r="AD238" s="918"/>
      <c r="AE238" s="918"/>
      <c r="AF238" s="918"/>
      <c r="AG238" s="918"/>
      <c r="AH238" s="918"/>
      <c r="AI238" s="918"/>
      <c r="AJ238" s="918"/>
      <c r="AK238" s="918"/>
      <c r="AL238" s="918"/>
      <c r="AM238" s="918"/>
      <c r="AN238" s="918"/>
      <c r="AO238" s="918"/>
      <c r="AP238" s="918"/>
      <c r="AQ238" s="918"/>
      <c r="AR238" s="918"/>
      <c r="AS238" s="918"/>
      <c r="AT238" s="918"/>
      <c r="AU238" s="918"/>
      <c r="AV238" s="918"/>
      <c r="AW238" s="918"/>
      <c r="AX238" s="918"/>
      <c r="AY238" s="918"/>
      <c r="AZ238" s="918"/>
      <c r="BA238" s="918"/>
      <c r="BB238" s="918"/>
      <c r="BC238" s="918"/>
      <c r="BD238" s="918"/>
      <c r="BE238" s="918"/>
      <c r="BF238" s="918"/>
      <c r="BG238" s="918"/>
      <c r="BH238" s="918"/>
      <c r="BI238" s="918"/>
      <c r="BJ238" s="918"/>
      <c r="BK238" s="918"/>
      <c r="BL238" s="918"/>
      <c r="BM238" s="918"/>
      <c r="BN238" s="918"/>
      <c r="BO238" s="918"/>
      <c r="BP238" s="918"/>
      <c r="BQ238" s="918"/>
      <c r="BR238" s="918"/>
      <c r="BS238" s="918"/>
      <c r="BT238" s="918"/>
      <c r="BU238" s="918"/>
      <c r="BV238" s="918"/>
      <c r="BW238" s="918"/>
      <c r="BX238" s="918"/>
      <c r="BY238" s="918"/>
      <c r="BZ238" s="918"/>
      <c r="CA238" s="918"/>
      <c r="CB238" s="918"/>
      <c r="CC238" s="918"/>
      <c r="CD238" s="918"/>
      <c r="CE238" s="918"/>
      <c r="CF238" s="918"/>
      <c r="CG238" s="918"/>
      <c r="CH238" s="918"/>
      <c r="CI238" s="918"/>
      <c r="CJ238" s="918"/>
      <c r="CK238" s="918"/>
      <c r="CL238" s="918"/>
      <c r="CM238" s="918"/>
      <c r="CN238" s="918"/>
      <c r="CO238" s="918"/>
      <c r="CP238" s="918"/>
      <c r="CQ238" s="918"/>
      <c r="CR238" s="918"/>
      <c r="CS238" s="918"/>
      <c r="CT238" s="918"/>
      <c r="CU238" s="918"/>
      <c r="CV238" s="918"/>
      <c r="CW238" s="918"/>
      <c r="CX238" s="918"/>
      <c r="CY238" s="918"/>
      <c r="CZ238" s="918"/>
      <c r="DA238" s="918"/>
      <c r="DB238" s="918"/>
      <c r="DC238" s="918"/>
      <c r="DD238" s="918"/>
      <c r="DE238" s="918"/>
      <c r="DF238" s="918"/>
      <c r="DG238" s="918"/>
      <c r="DH238" s="918"/>
      <c r="DI238" s="918"/>
      <c r="DJ238" s="918"/>
      <c r="DK238" s="918"/>
      <c r="DL238" s="918"/>
      <c r="DM238" s="918"/>
      <c r="DN238" s="918"/>
      <c r="DO238" s="918"/>
      <c r="DP238" s="918"/>
      <c r="DQ238" s="918"/>
      <c r="DR238" s="918"/>
      <c r="DS238" s="918"/>
      <c r="DT238" s="918"/>
      <c r="DU238" s="918"/>
      <c r="DV238" s="918"/>
      <c r="DW238" s="918"/>
      <c r="DX238" s="918"/>
      <c r="DY238" s="918"/>
      <c r="DZ238" s="918"/>
      <c r="EA238" s="918"/>
      <c r="EB238" s="918"/>
      <c r="EC238" s="918"/>
      <c r="ED238" s="918"/>
      <c r="EE238" s="918"/>
      <c r="EF238" s="918"/>
      <c r="EG238" s="918"/>
      <c r="EH238" s="918"/>
      <c r="EI238" s="918"/>
      <c r="EJ238" s="918"/>
      <c r="EK238" s="918"/>
      <c r="EL238" s="918"/>
      <c r="EM238" s="918"/>
      <c r="EN238" s="918"/>
      <c r="EO238" s="918"/>
      <c r="EP238" s="918"/>
      <c r="EQ238" s="918"/>
      <c r="ER238" s="918"/>
      <c r="ES238" s="918"/>
      <c r="ET238" s="918"/>
      <c r="EU238" s="918"/>
      <c r="EV238" s="918"/>
      <c r="EW238" s="918"/>
      <c r="EX238" s="918"/>
      <c r="EY238" s="918"/>
      <c r="EZ238" s="918"/>
      <c r="FA238" s="918"/>
      <c r="FB238" s="918"/>
      <c r="FC238" s="918"/>
      <c r="FD238" s="918"/>
      <c r="FE238" s="918"/>
      <c r="FF238" s="918"/>
      <c r="FG238" s="918"/>
      <c r="FH238" s="918"/>
      <c r="FI238" s="918"/>
      <c r="FJ238" s="918"/>
      <c r="FK238" s="918"/>
      <c r="FL238" s="918"/>
      <c r="FM238" s="918"/>
      <c r="FN238" s="918"/>
      <c r="FO238" s="918"/>
      <c r="FP238" s="918"/>
      <c r="FQ238" s="918"/>
      <c r="FR238" s="918"/>
      <c r="FS238" s="918"/>
      <c r="FT238" s="918"/>
      <c r="FU238" s="918"/>
      <c r="FV238" s="918"/>
      <c r="FW238" s="918"/>
      <c r="FX238" s="918"/>
      <c r="FY238" s="918"/>
      <c r="FZ238" s="918"/>
      <c r="GA238" s="918"/>
      <c r="GB238" s="918"/>
      <c r="GC238" s="918"/>
      <c r="GD238" s="918"/>
      <c r="GE238" s="918"/>
      <c r="GF238" s="918"/>
      <c r="GG238" s="918"/>
      <c r="GH238" s="918"/>
      <c r="GI238" s="918"/>
      <c r="GJ238" s="918"/>
      <c r="GK238" s="918"/>
      <c r="GL238" s="918"/>
      <c r="GM238" s="918"/>
      <c r="GN238" s="918"/>
      <c r="GO238" s="918"/>
      <c r="GP238" s="918"/>
      <c r="GQ238" s="918"/>
      <c r="GR238" s="918"/>
      <c r="GS238" s="918"/>
      <c r="GT238" s="918"/>
      <c r="GU238" s="918"/>
      <c r="GV238" s="918"/>
      <c r="GW238" s="918"/>
      <c r="GX238" s="918"/>
      <c r="GY238" s="918"/>
      <c r="GZ238" s="918"/>
      <c r="HA238" s="918"/>
      <c r="HB238" s="918"/>
      <c r="HC238" s="918"/>
      <c r="HD238" s="918"/>
      <c r="HE238" s="918"/>
      <c r="HF238" s="918"/>
      <c r="HG238" s="918"/>
      <c r="HH238" s="918"/>
      <c r="HI238" s="918"/>
      <c r="HJ238" s="918"/>
      <c r="HK238" s="918"/>
      <c r="HL238" s="918"/>
      <c r="HM238" s="918"/>
      <c r="HN238" s="918"/>
      <c r="HO238" s="918"/>
      <c r="HP238" s="918"/>
      <c r="HQ238" s="918"/>
      <c r="HR238" s="918"/>
      <c r="HS238" s="918"/>
      <c r="HT238" s="918"/>
      <c r="HU238" s="918"/>
      <c r="HV238" s="918"/>
      <c r="HW238" s="918"/>
      <c r="HX238" s="918"/>
      <c r="HY238" s="918"/>
      <c r="HZ238" s="918"/>
      <c r="IA238" s="918"/>
      <c r="IB238" s="918"/>
      <c r="IC238" s="918"/>
      <c r="ID238" s="918"/>
      <c r="IE238" s="918"/>
      <c r="IF238" s="918"/>
      <c r="IG238" s="918"/>
      <c r="IH238" s="918"/>
      <c r="II238" s="918"/>
      <c r="IJ238" s="918"/>
      <c r="IK238" s="918"/>
      <c r="IL238" s="918"/>
      <c r="IM238" s="918"/>
      <c r="IN238" s="918"/>
    </row>
    <row r="239" spans="1:248">
      <c r="A239" s="619" t="s">
        <v>26</v>
      </c>
      <c r="B239" s="617">
        <v>17871.599999999999</v>
      </c>
      <c r="C239" s="617">
        <f t="shared" si="33"/>
        <v>27.972890481929596</v>
      </c>
      <c r="D239" s="620">
        <v>17711.900000000001</v>
      </c>
      <c r="E239" s="919">
        <f t="shared" si="34"/>
        <v>27.722925699259655</v>
      </c>
      <c r="F239" s="919">
        <f t="shared" si="36"/>
        <v>159.69999999999709</v>
      </c>
      <c r="G239" s="919">
        <f t="shared" si="35"/>
        <v>0.24996478266993863</v>
      </c>
      <c r="H239" s="400">
        <v>63889</v>
      </c>
      <c r="I239" s="918"/>
      <c r="J239" s="918"/>
      <c r="K239" s="918"/>
      <c r="L239" s="918"/>
      <c r="M239" s="918"/>
      <c r="N239" s="918"/>
      <c r="O239" s="918"/>
      <c r="P239" s="918"/>
      <c r="Q239" s="918"/>
      <c r="R239" s="918"/>
      <c r="S239" s="918"/>
      <c r="T239" s="918"/>
      <c r="U239" s="918"/>
      <c r="V239" s="918"/>
      <c r="W239" s="918"/>
      <c r="X239" s="918"/>
      <c r="Y239" s="918"/>
      <c r="Z239" s="918"/>
      <c r="AA239" s="918"/>
      <c r="AB239" s="918"/>
      <c r="AC239" s="918"/>
      <c r="AD239" s="918"/>
      <c r="AE239" s="918"/>
      <c r="AF239" s="918"/>
      <c r="AG239" s="918"/>
      <c r="AH239" s="918"/>
      <c r="AI239" s="918"/>
      <c r="AJ239" s="918"/>
      <c r="AK239" s="918"/>
      <c r="AL239" s="918"/>
      <c r="AM239" s="918"/>
      <c r="AN239" s="918"/>
      <c r="AO239" s="918"/>
      <c r="AP239" s="918"/>
      <c r="AQ239" s="918"/>
      <c r="AR239" s="918"/>
      <c r="AS239" s="918"/>
      <c r="AT239" s="918"/>
      <c r="AU239" s="918"/>
      <c r="AV239" s="918"/>
      <c r="AW239" s="918"/>
      <c r="AX239" s="918"/>
      <c r="AY239" s="918"/>
      <c r="AZ239" s="918"/>
      <c r="BA239" s="918"/>
      <c r="BB239" s="918"/>
      <c r="BC239" s="918"/>
      <c r="BD239" s="918"/>
      <c r="BE239" s="918"/>
      <c r="BF239" s="918"/>
      <c r="BG239" s="918"/>
      <c r="BH239" s="918"/>
      <c r="BI239" s="918"/>
      <c r="BJ239" s="918"/>
      <c r="BK239" s="918"/>
      <c r="BL239" s="918"/>
      <c r="BM239" s="918"/>
      <c r="BN239" s="918"/>
      <c r="BO239" s="918"/>
      <c r="BP239" s="918"/>
      <c r="BQ239" s="918"/>
      <c r="BR239" s="918"/>
      <c r="BS239" s="918"/>
      <c r="BT239" s="918"/>
      <c r="BU239" s="918"/>
      <c r="BV239" s="918"/>
      <c r="BW239" s="918"/>
      <c r="BX239" s="918"/>
      <c r="BY239" s="918"/>
      <c r="BZ239" s="918"/>
      <c r="CA239" s="918"/>
      <c r="CB239" s="918"/>
      <c r="CC239" s="918"/>
      <c r="CD239" s="918"/>
      <c r="CE239" s="918"/>
      <c r="CF239" s="918"/>
      <c r="CG239" s="918"/>
      <c r="CH239" s="918"/>
      <c r="CI239" s="918"/>
      <c r="CJ239" s="918"/>
      <c r="CK239" s="918"/>
      <c r="CL239" s="918"/>
      <c r="CM239" s="918"/>
      <c r="CN239" s="918"/>
      <c r="CO239" s="918"/>
      <c r="CP239" s="918"/>
      <c r="CQ239" s="918"/>
      <c r="CR239" s="918"/>
      <c r="CS239" s="918"/>
      <c r="CT239" s="918"/>
      <c r="CU239" s="918"/>
      <c r="CV239" s="918"/>
      <c r="CW239" s="918"/>
      <c r="CX239" s="918"/>
      <c r="CY239" s="918"/>
      <c r="CZ239" s="918"/>
      <c r="DA239" s="918"/>
      <c r="DB239" s="918"/>
      <c r="DC239" s="918"/>
      <c r="DD239" s="918"/>
      <c r="DE239" s="918"/>
      <c r="DF239" s="918"/>
      <c r="DG239" s="918"/>
      <c r="DH239" s="918"/>
      <c r="DI239" s="918"/>
      <c r="DJ239" s="918"/>
      <c r="DK239" s="918"/>
      <c r="DL239" s="918"/>
      <c r="DM239" s="918"/>
      <c r="DN239" s="918"/>
      <c r="DO239" s="918"/>
      <c r="DP239" s="918"/>
      <c r="DQ239" s="918"/>
      <c r="DR239" s="918"/>
      <c r="DS239" s="918"/>
      <c r="DT239" s="918"/>
      <c r="DU239" s="918"/>
      <c r="DV239" s="918"/>
      <c r="DW239" s="918"/>
      <c r="DX239" s="918"/>
      <c r="DY239" s="918"/>
      <c r="DZ239" s="918"/>
      <c r="EA239" s="918"/>
      <c r="EB239" s="918"/>
      <c r="EC239" s="918"/>
      <c r="ED239" s="918"/>
      <c r="EE239" s="918"/>
      <c r="EF239" s="918"/>
      <c r="EG239" s="918"/>
      <c r="EH239" s="918"/>
      <c r="EI239" s="918"/>
      <c r="EJ239" s="918"/>
      <c r="EK239" s="918"/>
      <c r="EL239" s="918"/>
      <c r="EM239" s="918"/>
      <c r="EN239" s="918"/>
      <c r="EO239" s="918"/>
      <c r="EP239" s="918"/>
      <c r="EQ239" s="918"/>
      <c r="ER239" s="918"/>
      <c r="ES239" s="918"/>
      <c r="ET239" s="918"/>
      <c r="EU239" s="918"/>
      <c r="EV239" s="918"/>
      <c r="EW239" s="918"/>
      <c r="EX239" s="918"/>
      <c r="EY239" s="918"/>
      <c r="EZ239" s="918"/>
      <c r="FA239" s="918"/>
      <c r="FB239" s="918"/>
      <c r="FC239" s="918"/>
      <c r="FD239" s="918"/>
      <c r="FE239" s="918"/>
      <c r="FF239" s="918"/>
      <c r="FG239" s="918"/>
      <c r="FH239" s="918"/>
      <c r="FI239" s="918"/>
      <c r="FJ239" s="918"/>
      <c r="FK239" s="918"/>
      <c r="FL239" s="918"/>
      <c r="FM239" s="918"/>
      <c r="FN239" s="918"/>
      <c r="FO239" s="918"/>
      <c r="FP239" s="918"/>
      <c r="FQ239" s="918"/>
      <c r="FR239" s="918"/>
      <c r="FS239" s="918"/>
      <c r="FT239" s="918"/>
      <c r="FU239" s="918"/>
      <c r="FV239" s="918"/>
      <c r="FW239" s="918"/>
      <c r="FX239" s="918"/>
      <c r="FY239" s="918"/>
      <c r="FZ239" s="918"/>
      <c r="GA239" s="918"/>
      <c r="GB239" s="918"/>
      <c r="GC239" s="918"/>
      <c r="GD239" s="918"/>
      <c r="GE239" s="918"/>
      <c r="GF239" s="918"/>
      <c r="GG239" s="918"/>
      <c r="GH239" s="918"/>
      <c r="GI239" s="918"/>
      <c r="GJ239" s="918"/>
      <c r="GK239" s="918"/>
      <c r="GL239" s="918"/>
      <c r="GM239" s="918"/>
      <c r="GN239" s="918"/>
      <c r="GO239" s="918"/>
      <c r="GP239" s="918"/>
      <c r="GQ239" s="918"/>
      <c r="GR239" s="918"/>
      <c r="GS239" s="918"/>
      <c r="GT239" s="918"/>
      <c r="GU239" s="918"/>
      <c r="GV239" s="918"/>
      <c r="GW239" s="918"/>
      <c r="GX239" s="918"/>
      <c r="GY239" s="918"/>
      <c r="GZ239" s="918"/>
      <c r="HA239" s="918"/>
      <c r="HB239" s="918"/>
      <c r="HC239" s="918"/>
      <c r="HD239" s="918"/>
      <c r="HE239" s="918"/>
      <c r="HF239" s="918"/>
      <c r="HG239" s="918"/>
      <c r="HH239" s="918"/>
      <c r="HI239" s="918"/>
      <c r="HJ239" s="918"/>
      <c r="HK239" s="918"/>
      <c r="HL239" s="918"/>
      <c r="HM239" s="918"/>
      <c r="HN239" s="918"/>
      <c r="HO239" s="918"/>
      <c r="HP239" s="918"/>
      <c r="HQ239" s="918"/>
      <c r="HR239" s="918"/>
      <c r="HS239" s="918"/>
      <c r="HT239" s="918"/>
      <c r="HU239" s="918"/>
      <c r="HV239" s="918"/>
      <c r="HW239" s="918"/>
      <c r="HX239" s="918"/>
      <c r="HY239" s="918"/>
      <c r="HZ239" s="918"/>
      <c r="IA239" s="918"/>
      <c r="IB239" s="918"/>
      <c r="IC239" s="918"/>
      <c r="ID239" s="918"/>
      <c r="IE239" s="918"/>
      <c r="IF239" s="918"/>
      <c r="IG239" s="918"/>
      <c r="IH239" s="918"/>
      <c r="II239" s="918"/>
      <c r="IJ239" s="918"/>
      <c r="IK239" s="918"/>
      <c r="IL239" s="918"/>
      <c r="IM239" s="918"/>
      <c r="IN239" s="918"/>
    </row>
    <row r="240" spans="1:248">
      <c r="A240" s="619" t="s">
        <v>27</v>
      </c>
      <c r="B240" s="617">
        <v>20234.2</v>
      </c>
      <c r="C240" s="617">
        <f t="shared" si="33"/>
        <v>27.944779429840434</v>
      </c>
      <c r="D240" s="620">
        <v>20184.7</v>
      </c>
      <c r="E240" s="919">
        <f t="shared" si="34"/>
        <v>27.876416629147688</v>
      </c>
      <c r="F240" s="919">
        <f t="shared" si="36"/>
        <v>49.5</v>
      </c>
      <c r="G240" s="919">
        <f t="shared" si="35"/>
        <v>6.8362800692743045E-2</v>
      </c>
      <c r="H240" s="400">
        <v>72407.8</v>
      </c>
      <c r="I240" s="918"/>
      <c r="J240" s="918"/>
      <c r="K240" s="918"/>
      <c r="L240" s="918"/>
      <c r="M240" s="918"/>
      <c r="N240" s="918"/>
      <c r="O240" s="918"/>
      <c r="P240" s="918"/>
      <c r="Q240" s="918"/>
      <c r="R240" s="918"/>
      <c r="S240" s="918"/>
      <c r="T240" s="918"/>
      <c r="U240" s="918"/>
      <c r="V240" s="918"/>
      <c r="W240" s="918"/>
      <c r="X240" s="918"/>
      <c r="Y240" s="918"/>
      <c r="Z240" s="918"/>
      <c r="AA240" s="918"/>
      <c r="AB240" s="918"/>
      <c r="AC240" s="918"/>
      <c r="AD240" s="918"/>
      <c r="AE240" s="918"/>
      <c r="AF240" s="918"/>
      <c r="AG240" s="918"/>
      <c r="AH240" s="918"/>
      <c r="AI240" s="918"/>
      <c r="AJ240" s="918"/>
      <c r="AK240" s="918"/>
      <c r="AL240" s="918"/>
      <c r="AM240" s="918"/>
      <c r="AN240" s="918"/>
      <c r="AO240" s="918"/>
      <c r="AP240" s="918"/>
      <c r="AQ240" s="918"/>
      <c r="AR240" s="918"/>
      <c r="AS240" s="918"/>
      <c r="AT240" s="918"/>
      <c r="AU240" s="918"/>
      <c r="AV240" s="918"/>
      <c r="AW240" s="918"/>
      <c r="AX240" s="918"/>
      <c r="AY240" s="918"/>
      <c r="AZ240" s="918"/>
      <c r="BA240" s="918"/>
      <c r="BB240" s="918"/>
      <c r="BC240" s="918"/>
      <c r="BD240" s="918"/>
      <c r="BE240" s="918"/>
      <c r="BF240" s="918"/>
      <c r="BG240" s="918"/>
      <c r="BH240" s="918"/>
      <c r="BI240" s="918"/>
      <c r="BJ240" s="918"/>
      <c r="BK240" s="918"/>
      <c r="BL240" s="918"/>
      <c r="BM240" s="918"/>
      <c r="BN240" s="918"/>
      <c r="BO240" s="918"/>
      <c r="BP240" s="918"/>
      <c r="BQ240" s="918"/>
      <c r="BR240" s="918"/>
      <c r="BS240" s="918"/>
      <c r="BT240" s="918"/>
      <c r="BU240" s="918"/>
      <c r="BV240" s="918"/>
      <c r="BW240" s="918"/>
      <c r="BX240" s="918"/>
      <c r="BY240" s="918"/>
      <c r="BZ240" s="918"/>
      <c r="CA240" s="918"/>
      <c r="CB240" s="918"/>
      <c r="CC240" s="918"/>
      <c r="CD240" s="918"/>
      <c r="CE240" s="918"/>
      <c r="CF240" s="918"/>
      <c r="CG240" s="918"/>
      <c r="CH240" s="918"/>
      <c r="CI240" s="918"/>
      <c r="CJ240" s="918"/>
      <c r="CK240" s="918"/>
      <c r="CL240" s="918"/>
      <c r="CM240" s="918"/>
      <c r="CN240" s="918"/>
      <c r="CO240" s="918"/>
      <c r="CP240" s="918"/>
      <c r="CQ240" s="918"/>
      <c r="CR240" s="918"/>
      <c r="CS240" s="918"/>
      <c r="CT240" s="918"/>
      <c r="CU240" s="918"/>
      <c r="CV240" s="918"/>
      <c r="CW240" s="918"/>
      <c r="CX240" s="918"/>
      <c r="CY240" s="918"/>
      <c r="CZ240" s="918"/>
      <c r="DA240" s="918"/>
      <c r="DB240" s="918"/>
      <c r="DC240" s="918"/>
      <c r="DD240" s="918"/>
      <c r="DE240" s="918"/>
      <c r="DF240" s="918"/>
      <c r="DG240" s="918"/>
      <c r="DH240" s="918"/>
      <c r="DI240" s="918"/>
      <c r="DJ240" s="918"/>
      <c r="DK240" s="918"/>
      <c r="DL240" s="918"/>
      <c r="DM240" s="918"/>
      <c r="DN240" s="918"/>
      <c r="DO240" s="918"/>
      <c r="DP240" s="918"/>
      <c r="DQ240" s="918"/>
      <c r="DR240" s="918"/>
      <c r="DS240" s="918"/>
      <c r="DT240" s="918"/>
      <c r="DU240" s="918"/>
      <c r="DV240" s="918"/>
      <c r="DW240" s="918"/>
      <c r="DX240" s="918"/>
      <c r="DY240" s="918"/>
      <c r="DZ240" s="918"/>
      <c r="EA240" s="918"/>
      <c r="EB240" s="918"/>
      <c r="EC240" s="918"/>
      <c r="ED240" s="918"/>
      <c r="EE240" s="918"/>
      <c r="EF240" s="918"/>
      <c r="EG240" s="918"/>
      <c r="EH240" s="918"/>
      <c r="EI240" s="918"/>
      <c r="EJ240" s="918"/>
      <c r="EK240" s="918"/>
      <c r="EL240" s="918"/>
      <c r="EM240" s="918"/>
      <c r="EN240" s="918"/>
      <c r="EO240" s="918"/>
      <c r="EP240" s="918"/>
      <c r="EQ240" s="918"/>
      <c r="ER240" s="918"/>
      <c r="ES240" s="918"/>
      <c r="ET240" s="918"/>
      <c r="EU240" s="918"/>
      <c r="EV240" s="918"/>
      <c r="EW240" s="918"/>
      <c r="EX240" s="918"/>
      <c r="EY240" s="918"/>
      <c r="EZ240" s="918"/>
      <c r="FA240" s="918"/>
      <c r="FB240" s="918"/>
      <c r="FC240" s="918"/>
      <c r="FD240" s="918"/>
      <c r="FE240" s="918"/>
      <c r="FF240" s="918"/>
      <c r="FG240" s="918"/>
      <c r="FH240" s="918"/>
      <c r="FI240" s="918"/>
      <c r="FJ240" s="918"/>
      <c r="FK240" s="918"/>
      <c r="FL240" s="918"/>
      <c r="FM240" s="918"/>
      <c r="FN240" s="918"/>
      <c r="FO240" s="918"/>
      <c r="FP240" s="918"/>
      <c r="FQ240" s="918"/>
      <c r="FR240" s="918"/>
      <c r="FS240" s="918"/>
      <c r="FT240" s="918"/>
      <c r="FU240" s="918"/>
      <c r="FV240" s="918"/>
      <c r="FW240" s="918"/>
      <c r="FX240" s="918"/>
      <c r="FY240" s="918"/>
      <c r="FZ240" s="918"/>
      <c r="GA240" s="918"/>
      <c r="GB240" s="918"/>
      <c r="GC240" s="918"/>
      <c r="GD240" s="918"/>
      <c r="GE240" s="918"/>
      <c r="GF240" s="918"/>
      <c r="GG240" s="918"/>
      <c r="GH240" s="918"/>
      <c r="GI240" s="918"/>
      <c r="GJ240" s="918"/>
      <c r="GK240" s="918"/>
      <c r="GL240" s="918"/>
      <c r="GM240" s="918"/>
      <c r="GN240" s="918"/>
      <c r="GO240" s="918"/>
      <c r="GP240" s="918"/>
      <c r="GQ240" s="918"/>
      <c r="GR240" s="918"/>
      <c r="GS240" s="918"/>
      <c r="GT240" s="918"/>
      <c r="GU240" s="918"/>
      <c r="GV240" s="918"/>
      <c r="GW240" s="918"/>
      <c r="GX240" s="918"/>
      <c r="GY240" s="918"/>
      <c r="GZ240" s="918"/>
      <c r="HA240" s="918"/>
      <c r="HB240" s="918"/>
      <c r="HC240" s="918"/>
      <c r="HD240" s="918"/>
      <c r="HE240" s="918"/>
      <c r="HF240" s="918"/>
      <c r="HG240" s="918"/>
      <c r="HH240" s="918"/>
      <c r="HI240" s="918"/>
      <c r="HJ240" s="918"/>
      <c r="HK240" s="918"/>
      <c r="HL240" s="918"/>
      <c r="HM240" s="918"/>
      <c r="HN240" s="918"/>
      <c r="HO240" s="918"/>
      <c r="HP240" s="918"/>
      <c r="HQ240" s="918"/>
      <c r="HR240" s="918"/>
      <c r="HS240" s="918"/>
      <c r="HT240" s="918"/>
      <c r="HU240" s="918"/>
      <c r="HV240" s="918"/>
      <c r="HW240" s="918"/>
      <c r="HX240" s="918"/>
      <c r="HY240" s="918"/>
      <c r="HZ240" s="918"/>
      <c r="IA240" s="918"/>
      <c r="IB240" s="918"/>
      <c r="IC240" s="918"/>
      <c r="ID240" s="918"/>
      <c r="IE240" s="918"/>
      <c r="IF240" s="918"/>
      <c r="IG240" s="918"/>
      <c r="IH240" s="918"/>
      <c r="II240" s="918"/>
      <c r="IJ240" s="918"/>
      <c r="IK240" s="918"/>
      <c r="IL240" s="918"/>
      <c r="IM240" s="918"/>
      <c r="IN240" s="918"/>
    </row>
    <row r="241" spans="1:248">
      <c r="A241" s="619" t="s">
        <v>28</v>
      </c>
      <c r="B241" s="617">
        <v>22725.3</v>
      </c>
      <c r="C241" s="617">
        <v>28.164341254359375</v>
      </c>
      <c r="D241" s="620">
        <v>22309.5</v>
      </c>
      <c r="E241" s="919">
        <v>27.649024268728269</v>
      </c>
      <c r="F241" s="919">
        <v>415.79999999999927</v>
      </c>
      <c r="G241" s="919">
        <f t="shared" si="35"/>
        <v>0.51269594467125357</v>
      </c>
      <c r="H241" s="400">
        <v>81100.7</v>
      </c>
      <c r="I241" s="918"/>
      <c r="J241" s="918"/>
      <c r="K241" s="918"/>
      <c r="L241" s="918"/>
      <c r="M241" s="918"/>
      <c r="N241" s="918"/>
      <c r="O241" s="918"/>
      <c r="P241" s="918"/>
      <c r="Q241" s="918"/>
      <c r="R241" s="918"/>
      <c r="S241" s="918"/>
      <c r="T241" s="918"/>
      <c r="U241" s="918"/>
      <c r="V241" s="918"/>
      <c r="W241" s="918"/>
      <c r="X241" s="918"/>
      <c r="Y241" s="918"/>
      <c r="Z241" s="918"/>
      <c r="AA241" s="918"/>
      <c r="AB241" s="918"/>
      <c r="AC241" s="918"/>
      <c r="AD241" s="918"/>
      <c r="AE241" s="918"/>
      <c r="AF241" s="918"/>
      <c r="AG241" s="918"/>
      <c r="AH241" s="918"/>
      <c r="AI241" s="918"/>
      <c r="AJ241" s="918"/>
      <c r="AK241" s="918"/>
      <c r="AL241" s="918"/>
      <c r="AM241" s="918"/>
      <c r="AN241" s="918"/>
      <c r="AO241" s="918"/>
      <c r="AP241" s="918"/>
      <c r="AQ241" s="918"/>
      <c r="AR241" s="918"/>
      <c r="AS241" s="918"/>
      <c r="AT241" s="918"/>
      <c r="AU241" s="918"/>
      <c r="AV241" s="918"/>
      <c r="AW241" s="918"/>
      <c r="AX241" s="918"/>
      <c r="AY241" s="918"/>
      <c r="AZ241" s="918"/>
      <c r="BA241" s="918"/>
      <c r="BB241" s="918"/>
      <c r="BC241" s="918"/>
      <c r="BD241" s="918"/>
      <c r="BE241" s="918"/>
      <c r="BF241" s="918"/>
      <c r="BG241" s="918"/>
      <c r="BH241" s="918"/>
      <c r="BI241" s="918"/>
      <c r="BJ241" s="918"/>
      <c r="BK241" s="918"/>
      <c r="BL241" s="918"/>
      <c r="BM241" s="918"/>
      <c r="BN241" s="918"/>
      <c r="BO241" s="918"/>
      <c r="BP241" s="918"/>
      <c r="BQ241" s="918"/>
      <c r="BR241" s="918"/>
      <c r="BS241" s="918"/>
      <c r="BT241" s="918"/>
      <c r="BU241" s="918"/>
      <c r="BV241" s="918"/>
      <c r="BW241" s="918"/>
      <c r="BX241" s="918"/>
      <c r="BY241" s="918"/>
      <c r="BZ241" s="918"/>
      <c r="CA241" s="918"/>
      <c r="CB241" s="918"/>
      <c r="CC241" s="918"/>
      <c r="CD241" s="918"/>
      <c r="CE241" s="918"/>
      <c r="CF241" s="918"/>
      <c r="CG241" s="918"/>
      <c r="CH241" s="918"/>
      <c r="CI241" s="918"/>
      <c r="CJ241" s="918"/>
      <c r="CK241" s="918"/>
      <c r="CL241" s="918"/>
      <c r="CM241" s="918"/>
      <c r="CN241" s="918"/>
      <c r="CO241" s="918"/>
      <c r="CP241" s="918"/>
      <c r="CQ241" s="918"/>
      <c r="CR241" s="918"/>
      <c r="CS241" s="918"/>
      <c r="CT241" s="918"/>
      <c r="CU241" s="918"/>
      <c r="CV241" s="918"/>
      <c r="CW241" s="918"/>
      <c r="CX241" s="918"/>
      <c r="CY241" s="918"/>
      <c r="CZ241" s="918"/>
      <c r="DA241" s="918"/>
      <c r="DB241" s="918"/>
      <c r="DC241" s="918"/>
      <c r="DD241" s="918"/>
      <c r="DE241" s="918"/>
      <c r="DF241" s="918"/>
      <c r="DG241" s="918"/>
      <c r="DH241" s="918"/>
      <c r="DI241" s="918"/>
      <c r="DJ241" s="918"/>
      <c r="DK241" s="918"/>
      <c r="DL241" s="918"/>
      <c r="DM241" s="918"/>
      <c r="DN241" s="918"/>
      <c r="DO241" s="918"/>
      <c r="DP241" s="918"/>
      <c r="DQ241" s="918"/>
      <c r="DR241" s="918"/>
      <c r="DS241" s="918"/>
      <c r="DT241" s="918"/>
      <c r="DU241" s="918"/>
      <c r="DV241" s="918"/>
      <c r="DW241" s="918"/>
      <c r="DX241" s="918"/>
      <c r="DY241" s="918"/>
      <c r="DZ241" s="918"/>
      <c r="EA241" s="918"/>
      <c r="EB241" s="918"/>
      <c r="EC241" s="918"/>
      <c r="ED241" s="918"/>
      <c r="EE241" s="918"/>
      <c r="EF241" s="918"/>
      <c r="EG241" s="918"/>
      <c r="EH241" s="918"/>
      <c r="EI241" s="918"/>
      <c r="EJ241" s="918"/>
      <c r="EK241" s="918"/>
      <c r="EL241" s="918"/>
      <c r="EM241" s="918"/>
      <c r="EN241" s="918"/>
      <c r="EO241" s="918"/>
      <c r="EP241" s="918"/>
      <c r="EQ241" s="918"/>
      <c r="ER241" s="918"/>
      <c r="ES241" s="918"/>
      <c r="ET241" s="918"/>
      <c r="EU241" s="918"/>
      <c r="EV241" s="918"/>
      <c r="EW241" s="918"/>
      <c r="EX241" s="918"/>
      <c r="EY241" s="918"/>
      <c r="EZ241" s="918"/>
      <c r="FA241" s="918"/>
      <c r="FB241" s="918"/>
      <c r="FC241" s="918"/>
      <c r="FD241" s="918"/>
      <c r="FE241" s="918"/>
      <c r="FF241" s="918"/>
      <c r="FG241" s="918"/>
      <c r="FH241" s="918"/>
      <c r="FI241" s="918"/>
      <c r="FJ241" s="918"/>
      <c r="FK241" s="918"/>
      <c r="FL241" s="918"/>
      <c r="FM241" s="918"/>
      <c r="FN241" s="918"/>
      <c r="FO241" s="918"/>
      <c r="FP241" s="918"/>
      <c r="FQ241" s="918"/>
      <c r="FR241" s="918"/>
      <c r="FS241" s="918"/>
      <c r="FT241" s="918"/>
      <c r="FU241" s="918"/>
      <c r="FV241" s="918"/>
      <c r="FW241" s="918"/>
      <c r="FX241" s="918"/>
      <c r="FY241" s="918"/>
      <c r="FZ241" s="918"/>
      <c r="GA241" s="918"/>
      <c r="GB241" s="918"/>
      <c r="GC241" s="918"/>
      <c r="GD241" s="918"/>
      <c r="GE241" s="918"/>
      <c r="GF241" s="918"/>
      <c r="GG241" s="918"/>
      <c r="GH241" s="918"/>
      <c r="GI241" s="918"/>
      <c r="GJ241" s="918"/>
      <c r="GK241" s="918"/>
      <c r="GL241" s="918"/>
      <c r="GM241" s="918"/>
      <c r="GN241" s="918"/>
      <c r="GO241" s="918"/>
      <c r="GP241" s="918"/>
      <c r="GQ241" s="918"/>
      <c r="GR241" s="918"/>
      <c r="GS241" s="918"/>
      <c r="GT241" s="918"/>
      <c r="GU241" s="918"/>
      <c r="GV241" s="918"/>
      <c r="GW241" s="918"/>
      <c r="GX241" s="918"/>
      <c r="GY241" s="918"/>
      <c r="GZ241" s="918"/>
      <c r="HA241" s="918"/>
      <c r="HB241" s="918"/>
      <c r="HC241" s="918"/>
      <c r="HD241" s="918"/>
      <c r="HE241" s="918"/>
      <c r="HF241" s="918"/>
      <c r="HG241" s="918"/>
      <c r="HH241" s="918"/>
      <c r="HI241" s="918"/>
      <c r="HJ241" s="918"/>
      <c r="HK241" s="918"/>
      <c r="HL241" s="918"/>
      <c r="HM241" s="918"/>
      <c r="HN241" s="918"/>
      <c r="HO241" s="918"/>
      <c r="HP241" s="918"/>
      <c r="HQ241" s="918"/>
      <c r="HR241" s="918"/>
      <c r="HS241" s="918"/>
      <c r="HT241" s="918"/>
      <c r="HU241" s="918"/>
      <c r="HV241" s="918"/>
      <c r="HW241" s="918"/>
      <c r="HX241" s="918"/>
      <c r="HY241" s="918"/>
      <c r="HZ241" s="918"/>
      <c r="IA241" s="918"/>
      <c r="IB241" s="918"/>
      <c r="IC241" s="918"/>
      <c r="ID241" s="918"/>
      <c r="IE241" s="918"/>
      <c r="IF241" s="918"/>
      <c r="IG241" s="918"/>
      <c r="IH241" s="918"/>
      <c r="II241" s="918"/>
      <c r="IJ241" s="918"/>
      <c r="IK241" s="918"/>
      <c r="IL241" s="918"/>
      <c r="IM241" s="918"/>
      <c r="IN241" s="918"/>
    </row>
    <row r="242" spans="1:248">
      <c r="A242" s="619" t="s">
        <v>29</v>
      </c>
      <c r="B242" s="617">
        <v>26396.3</v>
      </c>
      <c r="C242" s="617">
        <v>28.451167754531937</v>
      </c>
      <c r="D242" s="620">
        <v>27422.400000000001</v>
      </c>
      <c r="E242" s="919">
        <v>29.52129979527815</v>
      </c>
      <c r="F242" s="919">
        <f>B242-D242</f>
        <v>-1026.1000000000022</v>
      </c>
      <c r="G242" s="919">
        <f t="shared" ref="G242" si="37">F242/H242*100</f>
        <v>-1.1009278651376802</v>
      </c>
      <c r="H242" s="400">
        <v>93203.199999999997</v>
      </c>
      <c r="I242" s="918"/>
      <c r="J242" s="918"/>
      <c r="K242" s="918"/>
      <c r="L242" s="918"/>
      <c r="M242" s="918"/>
      <c r="N242" s="918"/>
      <c r="O242" s="918"/>
      <c r="P242" s="918"/>
      <c r="Q242" s="918"/>
      <c r="R242" s="918"/>
      <c r="S242" s="918"/>
      <c r="T242" s="918"/>
      <c r="U242" s="918"/>
      <c r="V242" s="918"/>
      <c r="W242" s="918"/>
      <c r="X242" s="918"/>
      <c r="Y242" s="918"/>
      <c r="Z242" s="918"/>
      <c r="AA242" s="918"/>
      <c r="AB242" s="918"/>
      <c r="AC242" s="918"/>
      <c r="AD242" s="918"/>
      <c r="AE242" s="918"/>
      <c r="AF242" s="918"/>
      <c r="AG242" s="918"/>
      <c r="AH242" s="918"/>
      <c r="AI242" s="918"/>
      <c r="AJ242" s="918"/>
      <c r="AK242" s="918"/>
      <c r="AL242" s="918"/>
      <c r="AM242" s="918"/>
      <c r="AN242" s="918"/>
      <c r="AO242" s="918"/>
      <c r="AP242" s="918"/>
      <c r="AQ242" s="918"/>
      <c r="AR242" s="918"/>
      <c r="AS242" s="918"/>
      <c r="AT242" s="918"/>
      <c r="AU242" s="918"/>
      <c r="AV242" s="918"/>
      <c r="AW242" s="918"/>
      <c r="AX242" s="918"/>
      <c r="AY242" s="918"/>
      <c r="AZ242" s="918"/>
      <c r="BA242" s="918"/>
      <c r="BB242" s="918"/>
      <c r="BC242" s="918"/>
      <c r="BD242" s="918"/>
      <c r="BE242" s="918"/>
      <c r="BF242" s="918"/>
      <c r="BG242" s="918"/>
      <c r="BH242" s="918"/>
      <c r="BI242" s="918"/>
      <c r="BJ242" s="918"/>
      <c r="BK242" s="918"/>
      <c r="BL242" s="918"/>
      <c r="BM242" s="918"/>
      <c r="BN242" s="918"/>
      <c r="BO242" s="918"/>
      <c r="BP242" s="918"/>
      <c r="BQ242" s="918"/>
      <c r="BR242" s="918"/>
      <c r="BS242" s="918"/>
      <c r="BT242" s="918"/>
      <c r="BU242" s="918"/>
      <c r="BV242" s="918"/>
      <c r="BW242" s="918"/>
      <c r="BX242" s="918"/>
      <c r="BY242" s="918"/>
      <c r="BZ242" s="918"/>
      <c r="CA242" s="918"/>
      <c r="CB242" s="918"/>
      <c r="CC242" s="918"/>
      <c r="CD242" s="918"/>
      <c r="CE242" s="918"/>
      <c r="CF242" s="918"/>
      <c r="CG242" s="918"/>
      <c r="CH242" s="918"/>
      <c r="CI242" s="918"/>
      <c r="CJ242" s="918"/>
      <c r="CK242" s="918"/>
      <c r="CL242" s="918"/>
      <c r="CM242" s="918"/>
      <c r="CN242" s="918"/>
      <c r="CO242" s="918"/>
      <c r="CP242" s="918"/>
      <c r="CQ242" s="918"/>
      <c r="CR242" s="918"/>
      <c r="CS242" s="918"/>
      <c r="CT242" s="918"/>
      <c r="CU242" s="918"/>
      <c r="CV242" s="918"/>
      <c r="CW242" s="918"/>
      <c r="CX242" s="918"/>
      <c r="CY242" s="918"/>
      <c r="CZ242" s="918"/>
      <c r="DA242" s="918"/>
      <c r="DB242" s="918"/>
      <c r="DC242" s="918"/>
      <c r="DD242" s="918"/>
      <c r="DE242" s="918"/>
      <c r="DF242" s="918"/>
      <c r="DG242" s="918"/>
      <c r="DH242" s="918"/>
      <c r="DI242" s="918"/>
      <c r="DJ242" s="918"/>
      <c r="DK242" s="918"/>
      <c r="DL242" s="918"/>
      <c r="DM242" s="918"/>
      <c r="DN242" s="918"/>
      <c r="DO242" s="918"/>
      <c r="DP242" s="918"/>
      <c r="DQ242" s="918"/>
      <c r="DR242" s="918"/>
      <c r="DS242" s="918"/>
      <c r="DT242" s="918"/>
      <c r="DU242" s="918"/>
      <c r="DV242" s="918"/>
      <c r="DW242" s="918"/>
      <c r="DX242" s="918"/>
      <c r="DY242" s="918"/>
      <c r="DZ242" s="918"/>
      <c r="EA242" s="918"/>
      <c r="EB242" s="918"/>
      <c r="EC242" s="918"/>
      <c r="ED242" s="918"/>
      <c r="EE242" s="918"/>
      <c r="EF242" s="918"/>
      <c r="EG242" s="918"/>
      <c r="EH242" s="918"/>
      <c r="EI242" s="918"/>
      <c r="EJ242" s="918"/>
      <c r="EK242" s="918"/>
      <c r="EL242" s="918"/>
      <c r="EM242" s="918"/>
      <c r="EN242" s="918"/>
      <c r="EO242" s="918"/>
      <c r="EP242" s="918"/>
      <c r="EQ242" s="918"/>
      <c r="ER242" s="918"/>
      <c r="ES242" s="918"/>
      <c r="ET242" s="918"/>
      <c r="EU242" s="918"/>
      <c r="EV242" s="918"/>
      <c r="EW242" s="918"/>
      <c r="EX242" s="918"/>
      <c r="EY242" s="918"/>
      <c r="EZ242" s="918"/>
      <c r="FA242" s="918"/>
      <c r="FB242" s="918"/>
      <c r="FC242" s="918"/>
      <c r="FD242" s="918"/>
      <c r="FE242" s="918"/>
      <c r="FF242" s="918"/>
      <c r="FG242" s="918"/>
      <c r="FH242" s="918"/>
      <c r="FI242" s="918"/>
      <c r="FJ242" s="918"/>
      <c r="FK242" s="918"/>
      <c r="FL242" s="918"/>
      <c r="FM242" s="918"/>
      <c r="FN242" s="918"/>
      <c r="FO242" s="918"/>
      <c r="FP242" s="918"/>
      <c r="FQ242" s="918"/>
      <c r="FR242" s="918"/>
      <c r="FS242" s="918"/>
      <c r="FT242" s="918"/>
      <c r="FU242" s="918"/>
      <c r="FV242" s="918"/>
      <c r="FW242" s="918"/>
      <c r="FX242" s="918"/>
      <c r="FY242" s="918"/>
      <c r="FZ242" s="918"/>
      <c r="GA242" s="918"/>
      <c r="GB242" s="918"/>
      <c r="GC242" s="918"/>
      <c r="GD242" s="918"/>
      <c r="GE242" s="918"/>
      <c r="GF242" s="918"/>
      <c r="GG242" s="918"/>
      <c r="GH242" s="918"/>
      <c r="GI242" s="918"/>
      <c r="GJ242" s="918"/>
      <c r="GK242" s="918"/>
      <c r="GL242" s="918"/>
      <c r="GM242" s="918"/>
      <c r="GN242" s="918"/>
      <c r="GO242" s="918"/>
      <c r="GP242" s="918"/>
      <c r="GQ242" s="918"/>
      <c r="GR242" s="918"/>
      <c r="GS242" s="918"/>
      <c r="GT242" s="918"/>
      <c r="GU242" s="918"/>
      <c r="GV242" s="918"/>
      <c r="GW242" s="918"/>
      <c r="GX242" s="918"/>
      <c r="GY242" s="918"/>
      <c r="GZ242" s="918"/>
      <c r="HA242" s="918"/>
      <c r="HB242" s="918"/>
      <c r="HC242" s="918"/>
      <c r="HD242" s="918"/>
      <c r="HE242" s="918"/>
      <c r="HF242" s="918"/>
      <c r="HG242" s="918"/>
      <c r="HH242" s="918"/>
      <c r="HI242" s="918"/>
      <c r="HJ242" s="918"/>
      <c r="HK242" s="918"/>
      <c r="HL242" s="918"/>
      <c r="HM242" s="918"/>
      <c r="HN242" s="918"/>
      <c r="HO242" s="918"/>
      <c r="HP242" s="918"/>
      <c r="HQ242" s="918"/>
      <c r="HR242" s="918"/>
      <c r="HS242" s="918"/>
      <c r="HT242" s="918"/>
      <c r="HU242" s="918"/>
      <c r="HV242" s="918"/>
      <c r="HW242" s="918"/>
      <c r="HX242" s="918"/>
      <c r="HY242" s="918"/>
      <c r="HZ242" s="918"/>
      <c r="IA242" s="918"/>
      <c r="IB242" s="918"/>
      <c r="IC242" s="918"/>
      <c r="ID242" s="918"/>
      <c r="IE242" s="918"/>
      <c r="IF242" s="918"/>
      <c r="IG242" s="918"/>
      <c r="IH242" s="918"/>
      <c r="II242" s="918"/>
      <c r="IJ242" s="918"/>
      <c r="IK242" s="918"/>
      <c r="IL242" s="918"/>
      <c r="IM242" s="918"/>
      <c r="IN242" s="918"/>
    </row>
    <row r="243" spans="1:248">
      <c r="A243" s="619" t="s">
        <v>2827</v>
      </c>
      <c r="B243" s="612">
        <v>30679.599999999999</v>
      </c>
      <c r="C243" s="612">
        <v>22.910754129622244</v>
      </c>
      <c r="D243" s="616">
        <v>32064.6</v>
      </c>
      <c r="E243" s="920">
        <v>23.958982498143115</v>
      </c>
      <c r="F243" s="920">
        <v>-1385</v>
      </c>
      <c r="G243" s="920">
        <v>-1.0349274952961238</v>
      </c>
      <c r="H243" s="400"/>
      <c r="I243" s="918"/>
      <c r="J243" s="918"/>
      <c r="K243" s="918"/>
      <c r="L243" s="918"/>
      <c r="M243" s="918"/>
      <c r="N243" s="918"/>
      <c r="O243" s="918"/>
      <c r="P243" s="918"/>
      <c r="Q243" s="918"/>
      <c r="R243" s="918"/>
      <c r="S243" s="918"/>
      <c r="T243" s="918"/>
      <c r="U243" s="918"/>
      <c r="V243" s="918"/>
      <c r="W243" s="918"/>
      <c r="X243" s="918"/>
      <c r="Y243" s="918"/>
      <c r="Z243" s="918"/>
      <c r="AA243" s="918"/>
      <c r="AB243" s="918"/>
      <c r="AC243" s="918"/>
      <c r="AD243" s="918"/>
      <c r="AE243" s="918"/>
      <c r="AF243" s="918"/>
      <c r="AG243" s="918"/>
      <c r="AH243" s="918"/>
      <c r="AI243" s="918"/>
      <c r="AJ243" s="918"/>
      <c r="AK243" s="918"/>
      <c r="AL243" s="918"/>
      <c r="AM243" s="918"/>
      <c r="AN243" s="918"/>
      <c r="AO243" s="918"/>
      <c r="AP243" s="918"/>
      <c r="AQ243" s="918"/>
      <c r="AR243" s="918"/>
      <c r="AS243" s="918"/>
      <c r="AT243" s="918"/>
      <c r="AU243" s="918"/>
      <c r="AV243" s="918"/>
      <c r="AW243" s="918"/>
      <c r="AX243" s="918"/>
      <c r="AY243" s="918"/>
      <c r="AZ243" s="918"/>
      <c r="BA243" s="918"/>
      <c r="BB243" s="918"/>
      <c r="BC243" s="918"/>
      <c r="BD243" s="918"/>
      <c r="BE243" s="918"/>
      <c r="BF243" s="918"/>
      <c r="BG243" s="918"/>
      <c r="BH243" s="918"/>
      <c r="BI243" s="918"/>
      <c r="BJ243" s="918"/>
      <c r="BK243" s="918"/>
      <c r="BL243" s="918"/>
      <c r="BM243" s="918"/>
      <c r="BN243" s="918"/>
      <c r="BO243" s="918"/>
      <c r="BP243" s="918"/>
      <c r="BQ243" s="918"/>
      <c r="BR243" s="918"/>
      <c r="BS243" s="918"/>
      <c r="BT243" s="918"/>
      <c r="BU243" s="918"/>
      <c r="BV243" s="918"/>
      <c r="BW243" s="918"/>
      <c r="BX243" s="918"/>
      <c r="BY243" s="918"/>
      <c r="BZ243" s="918"/>
      <c r="CA243" s="918"/>
      <c r="CB243" s="918"/>
      <c r="CC243" s="918"/>
      <c r="CD243" s="918"/>
      <c r="CE243" s="918"/>
      <c r="CF243" s="918"/>
      <c r="CG243" s="918"/>
      <c r="CH243" s="918"/>
      <c r="CI243" s="918"/>
      <c r="CJ243" s="918"/>
      <c r="CK243" s="918"/>
      <c r="CL243" s="918"/>
      <c r="CM243" s="918"/>
      <c r="CN243" s="918"/>
      <c r="CO243" s="918"/>
      <c r="CP243" s="918"/>
      <c r="CQ243" s="918"/>
      <c r="CR243" s="918"/>
      <c r="CS243" s="918"/>
      <c r="CT243" s="918"/>
      <c r="CU243" s="918"/>
      <c r="CV243" s="918"/>
      <c r="CW243" s="918"/>
      <c r="CX243" s="918"/>
      <c r="CY243" s="918"/>
      <c r="CZ243" s="918"/>
      <c r="DA243" s="918"/>
      <c r="DB243" s="918"/>
      <c r="DC243" s="918"/>
      <c r="DD243" s="918"/>
      <c r="DE243" s="918"/>
      <c r="DF243" s="918"/>
      <c r="DG243" s="918"/>
      <c r="DH243" s="918"/>
      <c r="DI243" s="918"/>
      <c r="DJ243" s="918"/>
      <c r="DK243" s="918"/>
      <c r="DL243" s="918"/>
      <c r="DM243" s="918"/>
      <c r="DN243" s="918"/>
      <c r="DO243" s="918"/>
      <c r="DP243" s="918"/>
      <c r="DQ243" s="918"/>
      <c r="DR243" s="918"/>
      <c r="DS243" s="918"/>
      <c r="DT243" s="918"/>
      <c r="DU243" s="918"/>
      <c r="DV243" s="918"/>
      <c r="DW243" s="918"/>
      <c r="DX243" s="918"/>
      <c r="DY243" s="918"/>
      <c r="DZ243" s="918"/>
      <c r="EA243" s="918"/>
      <c r="EB243" s="918"/>
      <c r="EC243" s="918"/>
      <c r="ED243" s="918"/>
      <c r="EE243" s="918"/>
      <c r="EF243" s="918"/>
      <c r="EG243" s="918"/>
      <c r="EH243" s="918"/>
      <c r="EI243" s="918"/>
      <c r="EJ243" s="918"/>
      <c r="EK243" s="918"/>
      <c r="EL243" s="918"/>
      <c r="EM243" s="918"/>
      <c r="EN243" s="918"/>
      <c r="EO243" s="918"/>
      <c r="EP243" s="918"/>
      <c r="EQ243" s="918"/>
      <c r="ER243" s="918"/>
      <c r="ES243" s="918"/>
      <c r="ET243" s="918"/>
      <c r="EU243" s="918"/>
      <c r="EV243" s="918"/>
      <c r="EW243" s="918"/>
      <c r="EX243" s="918"/>
      <c r="EY243" s="918"/>
      <c r="EZ243" s="918"/>
      <c r="FA243" s="918"/>
      <c r="FB243" s="918"/>
      <c r="FC243" s="918"/>
      <c r="FD243" s="918"/>
      <c r="FE243" s="918"/>
      <c r="FF243" s="918"/>
      <c r="FG243" s="918"/>
      <c r="FH243" s="918"/>
      <c r="FI243" s="918"/>
      <c r="FJ243" s="918"/>
      <c r="FK243" s="918"/>
      <c r="FL243" s="918"/>
      <c r="FM243" s="918"/>
      <c r="FN243" s="918"/>
      <c r="FO243" s="918"/>
      <c r="FP243" s="918"/>
      <c r="FQ243" s="918"/>
      <c r="FR243" s="918"/>
      <c r="FS243" s="918"/>
      <c r="FT243" s="918"/>
      <c r="FU243" s="918"/>
      <c r="FV243" s="918"/>
      <c r="FW243" s="918"/>
      <c r="FX243" s="918"/>
      <c r="FY243" s="918"/>
      <c r="FZ243" s="918"/>
      <c r="GA243" s="918"/>
      <c r="GB243" s="918"/>
      <c r="GC243" s="918"/>
      <c r="GD243" s="918"/>
      <c r="GE243" s="918"/>
      <c r="GF243" s="918"/>
      <c r="GG243" s="918"/>
      <c r="GH243" s="918"/>
      <c r="GI243" s="918"/>
      <c r="GJ243" s="918"/>
      <c r="GK243" s="918"/>
      <c r="GL243" s="918"/>
      <c r="GM243" s="918"/>
      <c r="GN243" s="918"/>
      <c r="GO243" s="918"/>
      <c r="GP243" s="918"/>
      <c r="GQ243" s="918"/>
      <c r="GR243" s="918"/>
      <c r="GS243" s="918"/>
      <c r="GT243" s="918"/>
      <c r="GU243" s="918"/>
      <c r="GV243" s="918"/>
      <c r="GW243" s="918"/>
      <c r="GX243" s="918"/>
      <c r="GY243" s="918"/>
      <c r="GZ243" s="918"/>
      <c r="HA243" s="918"/>
      <c r="HB243" s="918"/>
      <c r="HC243" s="918"/>
      <c r="HD243" s="918"/>
      <c r="HE243" s="918"/>
      <c r="HF243" s="918"/>
      <c r="HG243" s="918"/>
      <c r="HH243" s="918"/>
      <c r="HI243" s="918"/>
      <c r="HJ243" s="918"/>
      <c r="HK243" s="918"/>
      <c r="HL243" s="918"/>
      <c r="HM243" s="918"/>
      <c r="HN243" s="918"/>
      <c r="HO243" s="918"/>
      <c r="HP243" s="918"/>
      <c r="HQ243" s="918"/>
      <c r="HR243" s="918"/>
      <c r="HS243" s="918"/>
      <c r="HT243" s="918"/>
      <c r="HU243" s="918"/>
      <c r="HV243" s="918"/>
      <c r="HW243" s="918"/>
      <c r="HX243" s="918"/>
      <c r="HY243" s="918"/>
      <c r="HZ243" s="918"/>
      <c r="IA243" s="918"/>
      <c r="IB243" s="918"/>
      <c r="IC243" s="918"/>
      <c r="ID243" s="918"/>
      <c r="IE243" s="918"/>
      <c r="IF243" s="918"/>
      <c r="IG243" s="918"/>
      <c r="IH243" s="918"/>
      <c r="II243" s="918"/>
      <c r="IJ243" s="918"/>
      <c r="IK243" s="918"/>
      <c r="IL243" s="918"/>
      <c r="IM243" s="918"/>
      <c r="IN243" s="918"/>
    </row>
    <row r="244" spans="1:248">
      <c r="A244" s="619" t="s">
        <v>18</v>
      </c>
      <c r="B244" s="617">
        <v>2746.9</v>
      </c>
      <c r="C244" s="617">
        <v>29.671837193225027</v>
      </c>
      <c r="D244" s="620">
        <v>983.4</v>
      </c>
      <c r="E244" s="919">
        <v>10.622623574144487</v>
      </c>
      <c r="F244" s="919">
        <v>1763.5</v>
      </c>
      <c r="G244" s="919">
        <f t="shared" si="35"/>
        <v>19.049213619080536</v>
      </c>
      <c r="H244" s="400">
        <v>9257.6</v>
      </c>
      <c r="I244" s="918"/>
      <c r="J244" s="918"/>
      <c r="K244" s="918"/>
      <c r="L244" s="918"/>
      <c r="M244" s="918"/>
      <c r="N244" s="918"/>
      <c r="O244" s="918"/>
      <c r="P244" s="918"/>
      <c r="Q244" s="918"/>
      <c r="R244" s="918"/>
      <c r="S244" s="918"/>
      <c r="T244" s="918"/>
      <c r="U244" s="918"/>
      <c r="V244" s="918"/>
      <c r="W244" s="918"/>
      <c r="X244" s="918"/>
      <c r="Y244" s="918"/>
      <c r="Z244" s="918"/>
      <c r="AA244" s="918"/>
      <c r="AB244" s="918"/>
      <c r="AC244" s="918"/>
      <c r="AD244" s="918"/>
      <c r="AE244" s="918"/>
      <c r="AF244" s="918"/>
      <c r="AG244" s="918"/>
      <c r="AH244" s="918"/>
      <c r="AI244" s="918"/>
      <c r="AJ244" s="918"/>
      <c r="AK244" s="918"/>
      <c r="AL244" s="918"/>
      <c r="AM244" s="918"/>
      <c r="AN244" s="918"/>
      <c r="AO244" s="918"/>
      <c r="AP244" s="918"/>
      <c r="AQ244" s="918"/>
      <c r="AR244" s="918"/>
      <c r="AS244" s="918"/>
      <c r="AT244" s="918"/>
      <c r="AU244" s="918"/>
      <c r="AV244" s="918"/>
      <c r="AW244" s="918"/>
      <c r="AX244" s="918"/>
      <c r="AY244" s="918"/>
      <c r="AZ244" s="918"/>
      <c r="BA244" s="918"/>
      <c r="BB244" s="918"/>
      <c r="BC244" s="918"/>
      <c r="BD244" s="918"/>
      <c r="BE244" s="918"/>
      <c r="BF244" s="918"/>
      <c r="BG244" s="918"/>
      <c r="BH244" s="918"/>
      <c r="BI244" s="918"/>
      <c r="BJ244" s="918"/>
      <c r="BK244" s="918"/>
      <c r="BL244" s="918"/>
      <c r="BM244" s="918"/>
      <c r="BN244" s="918"/>
      <c r="BO244" s="918"/>
      <c r="BP244" s="918"/>
      <c r="BQ244" s="918"/>
      <c r="BR244" s="918"/>
      <c r="BS244" s="918"/>
      <c r="BT244" s="918"/>
      <c r="BU244" s="918"/>
      <c r="BV244" s="918"/>
      <c r="BW244" s="918"/>
      <c r="BX244" s="918"/>
      <c r="BY244" s="918"/>
      <c r="BZ244" s="918"/>
      <c r="CA244" s="918"/>
      <c r="CB244" s="918"/>
      <c r="CC244" s="918"/>
      <c r="CD244" s="918"/>
      <c r="CE244" s="918"/>
      <c r="CF244" s="918"/>
      <c r="CG244" s="918"/>
      <c r="CH244" s="918"/>
      <c r="CI244" s="918"/>
      <c r="CJ244" s="918"/>
      <c r="CK244" s="918"/>
      <c r="CL244" s="918"/>
      <c r="CM244" s="918"/>
      <c r="CN244" s="918"/>
      <c r="CO244" s="918"/>
      <c r="CP244" s="918"/>
      <c r="CQ244" s="918"/>
      <c r="CR244" s="918"/>
      <c r="CS244" s="918"/>
      <c r="CT244" s="918"/>
      <c r="CU244" s="918"/>
      <c r="CV244" s="918"/>
      <c r="CW244" s="918"/>
      <c r="CX244" s="918"/>
      <c r="CY244" s="918"/>
      <c r="CZ244" s="918"/>
      <c r="DA244" s="918"/>
      <c r="DB244" s="918"/>
      <c r="DC244" s="918"/>
      <c r="DD244" s="918"/>
      <c r="DE244" s="918"/>
      <c r="DF244" s="918"/>
      <c r="DG244" s="918"/>
      <c r="DH244" s="918"/>
      <c r="DI244" s="918"/>
      <c r="DJ244" s="918"/>
      <c r="DK244" s="918"/>
      <c r="DL244" s="918"/>
      <c r="DM244" s="918"/>
      <c r="DN244" s="918"/>
      <c r="DO244" s="918"/>
      <c r="DP244" s="918"/>
      <c r="DQ244" s="918"/>
      <c r="DR244" s="918"/>
      <c r="DS244" s="918"/>
      <c r="DT244" s="918"/>
      <c r="DU244" s="918"/>
      <c r="DV244" s="918"/>
      <c r="DW244" s="918"/>
      <c r="DX244" s="918"/>
      <c r="DY244" s="918"/>
      <c r="DZ244" s="918"/>
      <c r="EA244" s="918"/>
      <c r="EB244" s="918"/>
      <c r="EC244" s="918"/>
      <c r="ED244" s="918"/>
      <c r="EE244" s="918"/>
      <c r="EF244" s="918"/>
      <c r="EG244" s="918"/>
      <c r="EH244" s="918"/>
      <c r="EI244" s="918"/>
      <c r="EJ244" s="918"/>
      <c r="EK244" s="918"/>
      <c r="EL244" s="918"/>
      <c r="EM244" s="918"/>
      <c r="EN244" s="918"/>
      <c r="EO244" s="918"/>
      <c r="EP244" s="918"/>
      <c r="EQ244" s="918"/>
      <c r="ER244" s="918"/>
      <c r="ES244" s="918"/>
      <c r="ET244" s="918"/>
      <c r="EU244" s="918"/>
      <c r="EV244" s="918"/>
      <c r="EW244" s="918"/>
      <c r="EX244" s="918"/>
      <c r="EY244" s="918"/>
      <c r="EZ244" s="918"/>
      <c r="FA244" s="918"/>
      <c r="FB244" s="918"/>
      <c r="FC244" s="918"/>
      <c r="FD244" s="918"/>
      <c r="FE244" s="918"/>
      <c r="FF244" s="918"/>
      <c r="FG244" s="918"/>
      <c r="FH244" s="918"/>
      <c r="FI244" s="918"/>
      <c r="FJ244" s="918"/>
      <c r="FK244" s="918"/>
      <c r="FL244" s="918"/>
      <c r="FM244" s="918"/>
      <c r="FN244" s="918"/>
      <c r="FO244" s="918"/>
      <c r="FP244" s="918"/>
      <c r="FQ244" s="918"/>
      <c r="FR244" s="918"/>
      <c r="FS244" s="918"/>
      <c r="FT244" s="918"/>
      <c r="FU244" s="918"/>
      <c r="FV244" s="918"/>
      <c r="FW244" s="918"/>
      <c r="FX244" s="918"/>
      <c r="FY244" s="918"/>
      <c r="FZ244" s="918"/>
      <c r="GA244" s="918"/>
      <c r="GB244" s="918"/>
      <c r="GC244" s="918"/>
      <c r="GD244" s="918"/>
      <c r="GE244" s="918"/>
      <c r="GF244" s="918"/>
      <c r="GG244" s="918"/>
      <c r="GH244" s="918"/>
      <c r="GI244" s="918"/>
      <c r="GJ244" s="918"/>
      <c r="GK244" s="918"/>
      <c r="GL244" s="918"/>
      <c r="GM244" s="918"/>
      <c r="GN244" s="918"/>
      <c r="GO244" s="918"/>
      <c r="GP244" s="918"/>
      <c r="GQ244" s="918"/>
      <c r="GR244" s="918"/>
      <c r="GS244" s="918"/>
      <c r="GT244" s="918"/>
      <c r="GU244" s="918"/>
      <c r="GV244" s="918"/>
      <c r="GW244" s="918"/>
      <c r="GX244" s="918"/>
      <c r="GY244" s="918"/>
      <c r="GZ244" s="918"/>
      <c r="HA244" s="918"/>
      <c r="HB244" s="918"/>
      <c r="HC244" s="918"/>
      <c r="HD244" s="918"/>
      <c r="HE244" s="918"/>
      <c r="HF244" s="918"/>
      <c r="HG244" s="918"/>
      <c r="HH244" s="918"/>
      <c r="HI244" s="918"/>
      <c r="HJ244" s="918"/>
      <c r="HK244" s="918"/>
      <c r="HL244" s="918"/>
      <c r="HM244" s="918"/>
      <c r="HN244" s="918"/>
      <c r="HO244" s="918"/>
      <c r="HP244" s="918"/>
      <c r="HQ244" s="918"/>
      <c r="HR244" s="918"/>
      <c r="HS244" s="918"/>
      <c r="HT244" s="918"/>
      <c r="HU244" s="918"/>
      <c r="HV244" s="918"/>
      <c r="HW244" s="918"/>
      <c r="HX244" s="918"/>
      <c r="HY244" s="918"/>
      <c r="HZ244" s="918"/>
      <c r="IA244" s="918"/>
      <c r="IB244" s="918"/>
      <c r="IC244" s="918"/>
      <c r="ID244" s="918"/>
      <c r="IE244" s="918"/>
      <c r="IF244" s="918"/>
      <c r="IG244" s="918"/>
      <c r="IH244" s="918"/>
      <c r="II244" s="918"/>
      <c r="IJ244" s="918"/>
      <c r="IK244" s="918"/>
      <c r="IL244" s="918"/>
      <c r="IM244" s="918"/>
      <c r="IN244" s="918"/>
    </row>
    <row r="245" spans="1:248">
      <c r="A245" s="619" t="s">
        <v>19</v>
      </c>
      <c r="B245" s="617">
        <v>4626.1000000000004</v>
      </c>
      <c r="C245" s="617">
        <v>24.125432850765574</v>
      </c>
      <c r="D245" s="620">
        <v>2685.1</v>
      </c>
      <c r="E245" s="919">
        <v>14.002983019733822</v>
      </c>
      <c r="F245" s="919">
        <v>1941.0000000000005</v>
      </c>
      <c r="G245" s="919">
        <f t="shared" si="35"/>
        <v>10.355976695050902</v>
      </c>
      <c r="H245" s="400">
        <v>18742.8</v>
      </c>
      <c r="I245" s="918"/>
      <c r="J245" s="918"/>
      <c r="K245" s="918"/>
      <c r="L245" s="918"/>
      <c r="M245" s="918"/>
      <c r="N245" s="918"/>
      <c r="O245" s="918"/>
      <c r="P245" s="918"/>
      <c r="Q245" s="918"/>
      <c r="R245" s="918"/>
      <c r="S245" s="918"/>
      <c r="T245" s="918"/>
      <c r="U245" s="918"/>
      <c r="V245" s="918"/>
      <c r="W245" s="918"/>
      <c r="X245" s="918"/>
      <c r="Y245" s="918"/>
      <c r="Z245" s="918"/>
      <c r="AA245" s="918"/>
      <c r="AB245" s="918"/>
      <c r="AC245" s="918"/>
      <c r="AD245" s="918"/>
      <c r="AE245" s="918"/>
      <c r="AF245" s="918"/>
      <c r="AG245" s="918"/>
      <c r="AH245" s="918"/>
      <c r="AI245" s="918"/>
      <c r="AJ245" s="918"/>
      <c r="AK245" s="918"/>
      <c r="AL245" s="918"/>
      <c r="AM245" s="918"/>
      <c r="AN245" s="918"/>
      <c r="AO245" s="918"/>
      <c r="AP245" s="918"/>
      <c r="AQ245" s="918"/>
      <c r="AR245" s="918"/>
      <c r="AS245" s="918"/>
      <c r="AT245" s="918"/>
      <c r="AU245" s="918"/>
      <c r="AV245" s="918"/>
      <c r="AW245" s="918"/>
      <c r="AX245" s="918"/>
      <c r="AY245" s="918"/>
      <c r="AZ245" s="918"/>
      <c r="BA245" s="918"/>
      <c r="BB245" s="918"/>
      <c r="BC245" s="918"/>
      <c r="BD245" s="918"/>
      <c r="BE245" s="918"/>
      <c r="BF245" s="918"/>
      <c r="BG245" s="918"/>
      <c r="BH245" s="918"/>
      <c r="BI245" s="918"/>
      <c r="BJ245" s="918"/>
      <c r="BK245" s="918"/>
      <c r="BL245" s="918"/>
      <c r="BM245" s="918"/>
      <c r="BN245" s="918"/>
      <c r="BO245" s="918"/>
      <c r="BP245" s="918"/>
      <c r="BQ245" s="918"/>
      <c r="BR245" s="918"/>
      <c r="BS245" s="918"/>
      <c r="BT245" s="918"/>
      <c r="BU245" s="918"/>
      <c r="BV245" s="918"/>
      <c r="BW245" s="918"/>
      <c r="BX245" s="918"/>
      <c r="BY245" s="918"/>
      <c r="BZ245" s="918"/>
      <c r="CA245" s="918"/>
      <c r="CB245" s="918"/>
      <c r="CC245" s="918"/>
      <c r="CD245" s="918"/>
      <c r="CE245" s="918"/>
      <c r="CF245" s="918"/>
      <c r="CG245" s="918"/>
      <c r="CH245" s="918"/>
      <c r="CI245" s="918"/>
      <c r="CJ245" s="918"/>
      <c r="CK245" s="918"/>
      <c r="CL245" s="918"/>
      <c r="CM245" s="918"/>
      <c r="CN245" s="918"/>
      <c r="CO245" s="918"/>
      <c r="CP245" s="918"/>
      <c r="CQ245" s="918"/>
      <c r="CR245" s="918"/>
      <c r="CS245" s="918"/>
      <c r="CT245" s="918"/>
      <c r="CU245" s="918"/>
      <c r="CV245" s="918"/>
      <c r="CW245" s="918"/>
      <c r="CX245" s="918"/>
      <c r="CY245" s="918"/>
      <c r="CZ245" s="918"/>
      <c r="DA245" s="918"/>
      <c r="DB245" s="918"/>
      <c r="DC245" s="918"/>
      <c r="DD245" s="918"/>
      <c r="DE245" s="918"/>
      <c r="DF245" s="918"/>
      <c r="DG245" s="918"/>
      <c r="DH245" s="918"/>
      <c r="DI245" s="918"/>
      <c r="DJ245" s="918"/>
      <c r="DK245" s="918"/>
      <c r="DL245" s="918"/>
      <c r="DM245" s="918"/>
      <c r="DN245" s="918"/>
      <c r="DO245" s="918"/>
      <c r="DP245" s="918"/>
      <c r="DQ245" s="918"/>
      <c r="DR245" s="918"/>
      <c r="DS245" s="918"/>
      <c r="DT245" s="918"/>
      <c r="DU245" s="918"/>
      <c r="DV245" s="918"/>
      <c r="DW245" s="918"/>
      <c r="DX245" s="918"/>
      <c r="DY245" s="918"/>
      <c r="DZ245" s="918"/>
      <c r="EA245" s="918"/>
      <c r="EB245" s="918"/>
      <c r="EC245" s="918"/>
      <c r="ED245" s="918"/>
      <c r="EE245" s="918"/>
      <c r="EF245" s="918"/>
      <c r="EG245" s="918"/>
      <c r="EH245" s="918"/>
      <c r="EI245" s="918"/>
      <c r="EJ245" s="918"/>
      <c r="EK245" s="918"/>
      <c r="EL245" s="918"/>
      <c r="EM245" s="918"/>
      <c r="EN245" s="918"/>
      <c r="EO245" s="918"/>
      <c r="EP245" s="918"/>
      <c r="EQ245" s="918"/>
      <c r="ER245" s="918"/>
      <c r="ES245" s="918"/>
      <c r="ET245" s="918"/>
      <c r="EU245" s="918"/>
      <c r="EV245" s="918"/>
      <c r="EW245" s="918"/>
      <c r="EX245" s="918"/>
      <c r="EY245" s="918"/>
      <c r="EZ245" s="918"/>
      <c r="FA245" s="918"/>
      <c r="FB245" s="918"/>
      <c r="FC245" s="918"/>
      <c r="FD245" s="918"/>
      <c r="FE245" s="918"/>
      <c r="FF245" s="918"/>
      <c r="FG245" s="918"/>
      <c r="FH245" s="918"/>
      <c r="FI245" s="918"/>
      <c r="FJ245" s="918"/>
      <c r="FK245" s="918"/>
      <c r="FL245" s="918"/>
      <c r="FM245" s="918"/>
      <c r="FN245" s="918"/>
      <c r="FO245" s="918"/>
      <c r="FP245" s="918"/>
      <c r="FQ245" s="918"/>
      <c r="FR245" s="918"/>
      <c r="FS245" s="918"/>
      <c r="FT245" s="918"/>
      <c r="FU245" s="918"/>
      <c r="FV245" s="918"/>
      <c r="FW245" s="918"/>
      <c r="FX245" s="918"/>
      <c r="FY245" s="918"/>
      <c r="FZ245" s="918"/>
      <c r="GA245" s="918"/>
      <c r="GB245" s="918"/>
      <c r="GC245" s="918"/>
      <c r="GD245" s="918"/>
      <c r="GE245" s="918"/>
      <c r="GF245" s="918"/>
      <c r="GG245" s="918"/>
      <c r="GH245" s="918"/>
      <c r="GI245" s="918"/>
      <c r="GJ245" s="918"/>
      <c r="GK245" s="918"/>
      <c r="GL245" s="918"/>
      <c r="GM245" s="918"/>
      <c r="GN245" s="918"/>
      <c r="GO245" s="918"/>
      <c r="GP245" s="918"/>
      <c r="GQ245" s="918"/>
      <c r="GR245" s="918"/>
      <c r="GS245" s="918"/>
      <c r="GT245" s="918"/>
      <c r="GU245" s="918"/>
      <c r="GV245" s="918"/>
      <c r="GW245" s="918"/>
      <c r="GX245" s="918"/>
      <c r="GY245" s="918"/>
      <c r="GZ245" s="918"/>
      <c r="HA245" s="918"/>
      <c r="HB245" s="918"/>
      <c r="HC245" s="918"/>
      <c r="HD245" s="918"/>
      <c r="HE245" s="918"/>
      <c r="HF245" s="918"/>
      <c r="HG245" s="918"/>
      <c r="HH245" s="918"/>
      <c r="HI245" s="918"/>
      <c r="HJ245" s="918"/>
      <c r="HK245" s="918"/>
      <c r="HL245" s="918"/>
      <c r="HM245" s="918"/>
      <c r="HN245" s="918"/>
      <c r="HO245" s="918"/>
      <c r="HP245" s="918"/>
      <c r="HQ245" s="918"/>
      <c r="HR245" s="918"/>
      <c r="HS245" s="918"/>
      <c r="HT245" s="918"/>
      <c r="HU245" s="918"/>
      <c r="HV245" s="918"/>
      <c r="HW245" s="918"/>
      <c r="HX245" s="918"/>
      <c r="HY245" s="918"/>
      <c r="HZ245" s="918"/>
      <c r="IA245" s="918"/>
      <c r="IB245" s="918"/>
      <c r="IC245" s="918"/>
      <c r="ID245" s="918"/>
      <c r="IE245" s="918"/>
      <c r="IF245" s="918"/>
      <c r="IG245" s="918"/>
      <c r="IH245" s="918"/>
      <c r="II245" s="918"/>
      <c r="IJ245" s="918"/>
      <c r="IK245" s="918"/>
      <c r="IL245" s="918"/>
      <c r="IM245" s="918"/>
      <c r="IN245" s="918"/>
    </row>
    <row r="246" spans="1:248">
      <c r="A246" s="619" t="s">
        <v>20</v>
      </c>
      <c r="B246" s="617">
        <v>7009.6</v>
      </c>
      <c r="C246" s="617">
        <v>23.336551586376803</v>
      </c>
      <c r="D246" s="620">
        <v>5629.5</v>
      </c>
      <c r="E246" s="919">
        <v>18.741885008489529</v>
      </c>
      <c r="F246" s="919">
        <v>1380.1000000000004</v>
      </c>
      <c r="G246" s="919">
        <f t="shared" si="35"/>
        <v>4.5946665778872733</v>
      </c>
      <c r="H246" s="400">
        <v>30037</v>
      </c>
      <c r="I246" s="918"/>
      <c r="J246" s="918"/>
      <c r="K246" s="918"/>
      <c r="L246" s="918"/>
      <c r="M246" s="918"/>
      <c r="N246" s="918"/>
      <c r="O246" s="918"/>
      <c r="P246" s="918"/>
      <c r="Q246" s="918"/>
      <c r="R246" s="918"/>
      <c r="S246" s="918"/>
      <c r="T246" s="918"/>
      <c r="U246" s="918"/>
      <c r="V246" s="918"/>
      <c r="W246" s="918"/>
      <c r="X246" s="918"/>
      <c r="Y246" s="918"/>
      <c r="Z246" s="918"/>
      <c r="AA246" s="918"/>
      <c r="AB246" s="918"/>
      <c r="AC246" s="918"/>
      <c r="AD246" s="918"/>
      <c r="AE246" s="918"/>
      <c r="AF246" s="918"/>
      <c r="AG246" s="918"/>
      <c r="AH246" s="918"/>
      <c r="AI246" s="918"/>
      <c r="AJ246" s="918"/>
      <c r="AK246" s="918"/>
      <c r="AL246" s="918"/>
      <c r="AM246" s="918"/>
      <c r="AN246" s="918"/>
      <c r="AO246" s="918"/>
      <c r="AP246" s="918"/>
      <c r="AQ246" s="918"/>
      <c r="AR246" s="918"/>
      <c r="AS246" s="918"/>
      <c r="AT246" s="918"/>
      <c r="AU246" s="918"/>
      <c r="AV246" s="918"/>
      <c r="AW246" s="918"/>
      <c r="AX246" s="918"/>
      <c r="AY246" s="918"/>
      <c r="AZ246" s="918"/>
      <c r="BA246" s="918"/>
      <c r="BB246" s="918"/>
      <c r="BC246" s="918"/>
      <c r="BD246" s="918"/>
      <c r="BE246" s="918"/>
      <c r="BF246" s="918"/>
      <c r="BG246" s="918"/>
      <c r="BH246" s="918"/>
      <c r="BI246" s="918"/>
      <c r="BJ246" s="918"/>
      <c r="BK246" s="918"/>
      <c r="BL246" s="918"/>
      <c r="BM246" s="918"/>
      <c r="BN246" s="918"/>
      <c r="BO246" s="918"/>
      <c r="BP246" s="918"/>
      <c r="BQ246" s="918"/>
      <c r="BR246" s="918"/>
      <c r="BS246" s="918"/>
      <c r="BT246" s="918"/>
      <c r="BU246" s="918"/>
      <c r="BV246" s="918"/>
      <c r="BW246" s="918"/>
      <c r="BX246" s="918"/>
      <c r="BY246" s="918"/>
      <c r="BZ246" s="918"/>
      <c r="CA246" s="918"/>
      <c r="CB246" s="918"/>
      <c r="CC246" s="918"/>
      <c r="CD246" s="918"/>
      <c r="CE246" s="918"/>
      <c r="CF246" s="918"/>
      <c r="CG246" s="918"/>
      <c r="CH246" s="918"/>
      <c r="CI246" s="918"/>
      <c r="CJ246" s="918"/>
      <c r="CK246" s="918"/>
      <c r="CL246" s="918"/>
      <c r="CM246" s="918"/>
      <c r="CN246" s="918"/>
      <c r="CO246" s="918"/>
      <c r="CP246" s="918"/>
      <c r="CQ246" s="918"/>
      <c r="CR246" s="918"/>
      <c r="CS246" s="918"/>
      <c r="CT246" s="918"/>
      <c r="CU246" s="918"/>
      <c r="CV246" s="918"/>
      <c r="CW246" s="918"/>
      <c r="CX246" s="918"/>
      <c r="CY246" s="918"/>
      <c r="CZ246" s="918"/>
      <c r="DA246" s="918"/>
      <c r="DB246" s="918"/>
      <c r="DC246" s="918"/>
      <c r="DD246" s="918"/>
      <c r="DE246" s="918"/>
      <c r="DF246" s="918"/>
      <c r="DG246" s="918"/>
      <c r="DH246" s="918"/>
      <c r="DI246" s="918"/>
      <c r="DJ246" s="918"/>
      <c r="DK246" s="918"/>
      <c r="DL246" s="918"/>
      <c r="DM246" s="918"/>
      <c r="DN246" s="918"/>
      <c r="DO246" s="918"/>
      <c r="DP246" s="918"/>
      <c r="DQ246" s="918"/>
      <c r="DR246" s="918"/>
      <c r="DS246" s="918"/>
      <c r="DT246" s="918"/>
      <c r="DU246" s="918"/>
      <c r="DV246" s="918"/>
      <c r="DW246" s="918"/>
      <c r="DX246" s="918"/>
      <c r="DY246" s="918"/>
      <c r="DZ246" s="918"/>
      <c r="EA246" s="918"/>
      <c r="EB246" s="918"/>
      <c r="EC246" s="918"/>
      <c r="ED246" s="918"/>
      <c r="EE246" s="918"/>
      <c r="EF246" s="918"/>
      <c r="EG246" s="918"/>
      <c r="EH246" s="918"/>
      <c r="EI246" s="918"/>
      <c r="EJ246" s="918"/>
      <c r="EK246" s="918"/>
      <c r="EL246" s="918"/>
      <c r="EM246" s="918"/>
      <c r="EN246" s="918"/>
      <c r="EO246" s="918"/>
      <c r="EP246" s="918"/>
      <c r="EQ246" s="918"/>
      <c r="ER246" s="918"/>
      <c r="ES246" s="918"/>
      <c r="ET246" s="918"/>
      <c r="EU246" s="918"/>
      <c r="EV246" s="918"/>
      <c r="EW246" s="918"/>
      <c r="EX246" s="918"/>
      <c r="EY246" s="918"/>
      <c r="EZ246" s="918"/>
      <c r="FA246" s="918"/>
      <c r="FB246" s="918"/>
      <c r="FC246" s="918"/>
      <c r="FD246" s="918"/>
      <c r="FE246" s="918"/>
      <c r="FF246" s="918"/>
      <c r="FG246" s="918"/>
      <c r="FH246" s="918"/>
      <c r="FI246" s="918"/>
      <c r="FJ246" s="918"/>
      <c r="FK246" s="918"/>
      <c r="FL246" s="918"/>
      <c r="FM246" s="918"/>
      <c r="FN246" s="918"/>
      <c r="FO246" s="918"/>
      <c r="FP246" s="918"/>
      <c r="FQ246" s="918"/>
      <c r="FR246" s="918"/>
      <c r="FS246" s="918"/>
      <c r="FT246" s="918"/>
      <c r="FU246" s="918"/>
      <c r="FV246" s="918"/>
      <c r="FW246" s="918"/>
      <c r="FX246" s="918"/>
      <c r="FY246" s="918"/>
      <c r="FZ246" s="918"/>
      <c r="GA246" s="918"/>
      <c r="GB246" s="918"/>
      <c r="GC246" s="918"/>
      <c r="GD246" s="918"/>
      <c r="GE246" s="918"/>
      <c r="GF246" s="918"/>
      <c r="GG246" s="918"/>
      <c r="GH246" s="918"/>
      <c r="GI246" s="918"/>
      <c r="GJ246" s="918"/>
      <c r="GK246" s="918"/>
      <c r="GL246" s="918"/>
      <c r="GM246" s="918"/>
      <c r="GN246" s="918"/>
      <c r="GO246" s="918"/>
      <c r="GP246" s="918"/>
      <c r="GQ246" s="918"/>
      <c r="GR246" s="918"/>
      <c r="GS246" s="918"/>
      <c r="GT246" s="918"/>
      <c r="GU246" s="918"/>
      <c r="GV246" s="918"/>
      <c r="GW246" s="918"/>
      <c r="GX246" s="918"/>
      <c r="GY246" s="918"/>
      <c r="GZ246" s="918"/>
      <c r="HA246" s="918"/>
      <c r="HB246" s="918"/>
      <c r="HC246" s="918"/>
      <c r="HD246" s="918"/>
      <c r="HE246" s="918"/>
      <c r="HF246" s="918"/>
      <c r="HG246" s="918"/>
      <c r="HH246" s="918"/>
      <c r="HI246" s="918"/>
      <c r="HJ246" s="918"/>
      <c r="HK246" s="918"/>
      <c r="HL246" s="918"/>
      <c r="HM246" s="918"/>
      <c r="HN246" s="918"/>
      <c r="HO246" s="918"/>
      <c r="HP246" s="918"/>
      <c r="HQ246" s="918"/>
      <c r="HR246" s="918"/>
      <c r="HS246" s="918"/>
      <c r="HT246" s="918"/>
      <c r="HU246" s="918"/>
      <c r="HV246" s="918"/>
      <c r="HW246" s="918"/>
      <c r="HX246" s="918"/>
      <c r="HY246" s="918"/>
      <c r="HZ246" s="918"/>
      <c r="IA246" s="918"/>
      <c r="IB246" s="918"/>
      <c r="IC246" s="918"/>
      <c r="ID246" s="918"/>
      <c r="IE246" s="918"/>
      <c r="IF246" s="918"/>
      <c r="IG246" s="918"/>
      <c r="IH246" s="918"/>
      <c r="II246" s="918"/>
      <c r="IJ246" s="918"/>
      <c r="IK246" s="918"/>
      <c r="IL246" s="918"/>
      <c r="IM246" s="918"/>
      <c r="IN246" s="918"/>
    </row>
    <row r="247" spans="1:248">
      <c r="A247" s="619" t="s">
        <v>21</v>
      </c>
      <c r="B247" s="617">
        <v>10687.6</v>
      </c>
      <c r="C247" s="617">
        <v>27.019729590340489</v>
      </c>
      <c r="D247" s="620">
        <v>8168.7</v>
      </c>
      <c r="E247" s="919">
        <v>20.651602333977166</v>
      </c>
      <c r="F247" s="919">
        <v>2518.9000000000005</v>
      </c>
      <c r="G247" s="919">
        <f t="shared" si="35"/>
        <v>6.3681272563633247</v>
      </c>
      <c r="H247" s="400">
        <v>39554.800000000003</v>
      </c>
      <c r="I247" s="918"/>
      <c r="J247" s="918"/>
      <c r="K247" s="918"/>
      <c r="L247" s="918"/>
      <c r="M247" s="918"/>
      <c r="N247" s="918"/>
      <c r="O247" s="918"/>
      <c r="P247" s="918"/>
      <c r="Q247" s="918"/>
      <c r="R247" s="918"/>
      <c r="S247" s="918"/>
      <c r="T247" s="918"/>
      <c r="U247" s="918"/>
      <c r="V247" s="918"/>
      <c r="W247" s="918"/>
      <c r="X247" s="918"/>
      <c r="Y247" s="918"/>
      <c r="Z247" s="918"/>
      <c r="AA247" s="918"/>
      <c r="AB247" s="918"/>
      <c r="AC247" s="918"/>
      <c r="AD247" s="918"/>
      <c r="AE247" s="918"/>
      <c r="AF247" s="918"/>
      <c r="AG247" s="918"/>
      <c r="AH247" s="918"/>
      <c r="AI247" s="918"/>
      <c r="AJ247" s="918"/>
      <c r="AK247" s="918"/>
      <c r="AL247" s="918"/>
      <c r="AM247" s="918"/>
      <c r="AN247" s="918"/>
      <c r="AO247" s="918"/>
      <c r="AP247" s="918"/>
      <c r="AQ247" s="918"/>
      <c r="AR247" s="918"/>
      <c r="AS247" s="918"/>
      <c r="AT247" s="918"/>
      <c r="AU247" s="918"/>
      <c r="AV247" s="918"/>
      <c r="AW247" s="918"/>
      <c r="AX247" s="918"/>
      <c r="AY247" s="918"/>
      <c r="AZ247" s="918"/>
      <c r="BA247" s="918"/>
      <c r="BB247" s="918"/>
      <c r="BC247" s="918"/>
      <c r="BD247" s="918"/>
      <c r="BE247" s="918"/>
      <c r="BF247" s="918"/>
      <c r="BG247" s="918"/>
      <c r="BH247" s="918"/>
      <c r="BI247" s="918"/>
      <c r="BJ247" s="918"/>
      <c r="BK247" s="918"/>
      <c r="BL247" s="918"/>
      <c r="BM247" s="918"/>
      <c r="BN247" s="918"/>
      <c r="BO247" s="918"/>
      <c r="BP247" s="918"/>
      <c r="BQ247" s="918"/>
      <c r="BR247" s="918"/>
      <c r="BS247" s="918"/>
      <c r="BT247" s="918"/>
      <c r="BU247" s="918"/>
      <c r="BV247" s="918"/>
      <c r="BW247" s="918"/>
      <c r="BX247" s="918"/>
      <c r="BY247" s="918"/>
      <c r="BZ247" s="918"/>
      <c r="CA247" s="918"/>
      <c r="CB247" s="918"/>
      <c r="CC247" s="918"/>
      <c r="CD247" s="918"/>
      <c r="CE247" s="918"/>
      <c r="CF247" s="918"/>
      <c r="CG247" s="918"/>
      <c r="CH247" s="918"/>
      <c r="CI247" s="918"/>
      <c r="CJ247" s="918"/>
      <c r="CK247" s="918"/>
      <c r="CL247" s="918"/>
      <c r="CM247" s="918"/>
      <c r="CN247" s="918"/>
      <c r="CO247" s="918"/>
      <c r="CP247" s="918"/>
      <c r="CQ247" s="918"/>
      <c r="CR247" s="918"/>
      <c r="CS247" s="918"/>
      <c r="CT247" s="918"/>
      <c r="CU247" s="918"/>
      <c r="CV247" s="918"/>
      <c r="CW247" s="918"/>
      <c r="CX247" s="918"/>
      <c r="CY247" s="918"/>
      <c r="CZ247" s="918"/>
      <c r="DA247" s="918"/>
      <c r="DB247" s="918"/>
      <c r="DC247" s="918"/>
      <c r="DD247" s="918"/>
      <c r="DE247" s="918"/>
      <c r="DF247" s="918"/>
      <c r="DG247" s="918"/>
      <c r="DH247" s="918"/>
      <c r="DI247" s="918"/>
      <c r="DJ247" s="918"/>
      <c r="DK247" s="918"/>
      <c r="DL247" s="918"/>
      <c r="DM247" s="918"/>
      <c r="DN247" s="918"/>
      <c r="DO247" s="918"/>
      <c r="DP247" s="918"/>
      <c r="DQ247" s="918"/>
      <c r="DR247" s="918"/>
      <c r="DS247" s="918"/>
      <c r="DT247" s="918"/>
      <c r="DU247" s="918"/>
      <c r="DV247" s="918"/>
      <c r="DW247" s="918"/>
      <c r="DX247" s="918"/>
      <c r="DY247" s="918"/>
      <c r="DZ247" s="918"/>
      <c r="EA247" s="918"/>
      <c r="EB247" s="918"/>
      <c r="EC247" s="918"/>
      <c r="ED247" s="918"/>
      <c r="EE247" s="918"/>
      <c r="EF247" s="918"/>
      <c r="EG247" s="918"/>
      <c r="EH247" s="918"/>
      <c r="EI247" s="918"/>
      <c r="EJ247" s="918"/>
      <c r="EK247" s="918"/>
      <c r="EL247" s="918"/>
      <c r="EM247" s="918"/>
      <c r="EN247" s="918"/>
      <c r="EO247" s="918"/>
      <c r="EP247" s="918"/>
      <c r="EQ247" s="918"/>
      <c r="ER247" s="918"/>
      <c r="ES247" s="918"/>
      <c r="ET247" s="918"/>
      <c r="EU247" s="918"/>
      <c r="EV247" s="918"/>
      <c r="EW247" s="918"/>
      <c r="EX247" s="918"/>
      <c r="EY247" s="918"/>
      <c r="EZ247" s="918"/>
      <c r="FA247" s="918"/>
      <c r="FB247" s="918"/>
      <c r="FC247" s="918"/>
      <c r="FD247" s="918"/>
      <c r="FE247" s="918"/>
      <c r="FF247" s="918"/>
      <c r="FG247" s="918"/>
      <c r="FH247" s="918"/>
      <c r="FI247" s="918"/>
      <c r="FJ247" s="918"/>
      <c r="FK247" s="918"/>
      <c r="FL247" s="918"/>
      <c r="FM247" s="918"/>
      <c r="FN247" s="918"/>
      <c r="FO247" s="918"/>
      <c r="FP247" s="918"/>
      <c r="FQ247" s="918"/>
      <c r="FR247" s="918"/>
      <c r="FS247" s="918"/>
      <c r="FT247" s="918"/>
      <c r="FU247" s="918"/>
      <c r="FV247" s="918"/>
      <c r="FW247" s="918"/>
      <c r="FX247" s="918"/>
      <c r="FY247" s="918"/>
      <c r="FZ247" s="918"/>
      <c r="GA247" s="918"/>
      <c r="GB247" s="918"/>
      <c r="GC247" s="918"/>
      <c r="GD247" s="918"/>
      <c r="GE247" s="918"/>
      <c r="GF247" s="918"/>
      <c r="GG247" s="918"/>
      <c r="GH247" s="918"/>
      <c r="GI247" s="918"/>
      <c r="GJ247" s="918"/>
      <c r="GK247" s="918"/>
      <c r="GL247" s="918"/>
      <c r="GM247" s="918"/>
      <c r="GN247" s="918"/>
      <c r="GO247" s="918"/>
      <c r="GP247" s="918"/>
      <c r="GQ247" s="918"/>
      <c r="GR247" s="918"/>
      <c r="GS247" s="918"/>
      <c r="GT247" s="918"/>
      <c r="GU247" s="918"/>
      <c r="GV247" s="918"/>
      <c r="GW247" s="918"/>
      <c r="GX247" s="918"/>
      <c r="GY247" s="918"/>
      <c r="GZ247" s="918"/>
      <c r="HA247" s="918"/>
      <c r="HB247" s="918"/>
      <c r="HC247" s="918"/>
      <c r="HD247" s="918"/>
      <c r="HE247" s="918"/>
      <c r="HF247" s="918"/>
      <c r="HG247" s="918"/>
      <c r="HH247" s="918"/>
      <c r="HI247" s="918"/>
      <c r="HJ247" s="918"/>
      <c r="HK247" s="918"/>
      <c r="HL247" s="918"/>
      <c r="HM247" s="918"/>
      <c r="HN247" s="918"/>
      <c r="HO247" s="918"/>
      <c r="HP247" s="918"/>
      <c r="HQ247" s="918"/>
      <c r="HR247" s="918"/>
      <c r="HS247" s="918"/>
      <c r="HT247" s="918"/>
      <c r="HU247" s="918"/>
      <c r="HV247" s="918"/>
      <c r="HW247" s="918"/>
      <c r="HX247" s="918"/>
      <c r="HY247" s="918"/>
      <c r="HZ247" s="918"/>
      <c r="IA247" s="918"/>
      <c r="IB247" s="918"/>
      <c r="IC247" s="918"/>
      <c r="ID247" s="918"/>
      <c r="IE247" s="918"/>
      <c r="IF247" s="918"/>
      <c r="IG247" s="918"/>
      <c r="IH247" s="918"/>
      <c r="II247" s="918"/>
      <c r="IJ247" s="918"/>
      <c r="IK247" s="918"/>
      <c r="IL247" s="918"/>
      <c r="IM247" s="918"/>
      <c r="IN247" s="918"/>
    </row>
    <row r="248" spans="1:248">
      <c r="A248" s="619" t="s">
        <v>22</v>
      </c>
      <c r="B248" s="617">
        <v>12442.4</v>
      </c>
      <c r="C248" s="617">
        <v>24.460411854327418</v>
      </c>
      <c r="D248" s="620">
        <v>10450</v>
      </c>
      <c r="E248" s="919">
        <v>20.543569076522335</v>
      </c>
      <c r="F248" s="919">
        <v>1992.3999999999996</v>
      </c>
      <c r="G248" s="919">
        <f t="shared" si="35"/>
        <v>3.9168427778050812</v>
      </c>
      <c r="H248" s="400">
        <v>50867.5</v>
      </c>
      <c r="I248" s="918"/>
      <c r="J248" s="918"/>
      <c r="K248" s="918"/>
      <c r="L248" s="918"/>
      <c r="M248" s="918"/>
      <c r="N248" s="918"/>
      <c r="O248" s="918"/>
      <c r="P248" s="918"/>
      <c r="Q248" s="918"/>
      <c r="R248" s="918"/>
      <c r="S248" s="918"/>
      <c r="T248" s="918"/>
      <c r="U248" s="918"/>
      <c r="V248" s="918"/>
      <c r="W248" s="918"/>
      <c r="X248" s="918"/>
      <c r="Y248" s="918"/>
      <c r="Z248" s="918"/>
      <c r="AA248" s="918"/>
      <c r="AB248" s="918"/>
      <c r="AC248" s="918"/>
      <c r="AD248" s="918"/>
      <c r="AE248" s="918"/>
      <c r="AF248" s="918"/>
      <c r="AG248" s="918"/>
      <c r="AH248" s="918"/>
      <c r="AI248" s="918"/>
      <c r="AJ248" s="918"/>
      <c r="AK248" s="918"/>
      <c r="AL248" s="918"/>
      <c r="AM248" s="918"/>
      <c r="AN248" s="918"/>
      <c r="AO248" s="918"/>
      <c r="AP248" s="918"/>
      <c r="AQ248" s="918"/>
      <c r="AR248" s="918"/>
      <c r="AS248" s="918"/>
      <c r="AT248" s="918"/>
      <c r="AU248" s="918"/>
      <c r="AV248" s="918"/>
      <c r="AW248" s="918"/>
      <c r="AX248" s="918"/>
      <c r="AY248" s="918"/>
      <c r="AZ248" s="918"/>
      <c r="BA248" s="918"/>
      <c r="BB248" s="918"/>
      <c r="BC248" s="918"/>
      <c r="BD248" s="918"/>
      <c r="BE248" s="918"/>
      <c r="BF248" s="918"/>
      <c r="BG248" s="918"/>
      <c r="BH248" s="918"/>
      <c r="BI248" s="918"/>
      <c r="BJ248" s="918"/>
      <c r="BK248" s="918"/>
      <c r="BL248" s="918"/>
      <c r="BM248" s="918"/>
      <c r="BN248" s="918"/>
      <c r="BO248" s="918"/>
      <c r="BP248" s="918"/>
      <c r="BQ248" s="918"/>
      <c r="BR248" s="918"/>
      <c r="BS248" s="918"/>
      <c r="BT248" s="918"/>
      <c r="BU248" s="918"/>
      <c r="BV248" s="918"/>
      <c r="BW248" s="918"/>
      <c r="BX248" s="918"/>
      <c r="BY248" s="918"/>
      <c r="BZ248" s="918"/>
      <c r="CA248" s="918"/>
      <c r="CB248" s="918"/>
      <c r="CC248" s="918"/>
      <c r="CD248" s="918"/>
      <c r="CE248" s="918"/>
      <c r="CF248" s="918"/>
      <c r="CG248" s="918"/>
      <c r="CH248" s="918"/>
      <c r="CI248" s="918"/>
      <c r="CJ248" s="918"/>
      <c r="CK248" s="918"/>
      <c r="CL248" s="918"/>
      <c r="CM248" s="918"/>
      <c r="CN248" s="918"/>
      <c r="CO248" s="918"/>
      <c r="CP248" s="918"/>
      <c r="CQ248" s="918"/>
      <c r="CR248" s="918"/>
      <c r="CS248" s="918"/>
      <c r="CT248" s="918"/>
      <c r="CU248" s="918"/>
      <c r="CV248" s="918"/>
      <c r="CW248" s="918"/>
      <c r="CX248" s="918"/>
      <c r="CY248" s="918"/>
      <c r="CZ248" s="918"/>
      <c r="DA248" s="918"/>
      <c r="DB248" s="918"/>
      <c r="DC248" s="918"/>
      <c r="DD248" s="918"/>
      <c r="DE248" s="918"/>
      <c r="DF248" s="918"/>
      <c r="DG248" s="918"/>
      <c r="DH248" s="918"/>
      <c r="DI248" s="918"/>
      <c r="DJ248" s="918"/>
      <c r="DK248" s="918"/>
      <c r="DL248" s="918"/>
      <c r="DM248" s="918"/>
      <c r="DN248" s="918"/>
      <c r="DO248" s="918"/>
      <c r="DP248" s="918"/>
      <c r="DQ248" s="918"/>
      <c r="DR248" s="918"/>
      <c r="DS248" s="918"/>
      <c r="DT248" s="918"/>
      <c r="DU248" s="918"/>
      <c r="DV248" s="918"/>
      <c r="DW248" s="918"/>
      <c r="DX248" s="918"/>
      <c r="DY248" s="918"/>
      <c r="DZ248" s="918"/>
      <c r="EA248" s="918"/>
      <c r="EB248" s="918"/>
      <c r="EC248" s="918"/>
      <c r="ED248" s="918"/>
      <c r="EE248" s="918"/>
      <c r="EF248" s="918"/>
      <c r="EG248" s="918"/>
      <c r="EH248" s="918"/>
      <c r="EI248" s="918"/>
      <c r="EJ248" s="918"/>
      <c r="EK248" s="918"/>
      <c r="EL248" s="918"/>
      <c r="EM248" s="918"/>
      <c r="EN248" s="918"/>
      <c r="EO248" s="918"/>
      <c r="EP248" s="918"/>
      <c r="EQ248" s="918"/>
      <c r="ER248" s="918"/>
      <c r="ES248" s="918"/>
      <c r="ET248" s="918"/>
      <c r="EU248" s="918"/>
      <c r="EV248" s="918"/>
      <c r="EW248" s="918"/>
      <c r="EX248" s="918"/>
      <c r="EY248" s="918"/>
      <c r="EZ248" s="918"/>
      <c r="FA248" s="918"/>
      <c r="FB248" s="918"/>
      <c r="FC248" s="918"/>
      <c r="FD248" s="918"/>
      <c r="FE248" s="918"/>
      <c r="FF248" s="918"/>
      <c r="FG248" s="918"/>
      <c r="FH248" s="918"/>
      <c r="FI248" s="918"/>
      <c r="FJ248" s="918"/>
      <c r="FK248" s="918"/>
      <c r="FL248" s="918"/>
      <c r="FM248" s="918"/>
      <c r="FN248" s="918"/>
      <c r="FO248" s="918"/>
      <c r="FP248" s="918"/>
      <c r="FQ248" s="918"/>
      <c r="FR248" s="918"/>
      <c r="FS248" s="918"/>
      <c r="FT248" s="918"/>
      <c r="FU248" s="918"/>
      <c r="FV248" s="918"/>
      <c r="FW248" s="918"/>
      <c r="FX248" s="918"/>
      <c r="FY248" s="918"/>
      <c r="FZ248" s="918"/>
      <c r="GA248" s="918"/>
      <c r="GB248" s="918"/>
      <c r="GC248" s="918"/>
      <c r="GD248" s="918"/>
      <c r="GE248" s="918"/>
      <c r="GF248" s="918"/>
      <c r="GG248" s="918"/>
      <c r="GH248" s="918"/>
      <c r="GI248" s="918"/>
      <c r="GJ248" s="918"/>
      <c r="GK248" s="918"/>
      <c r="GL248" s="918"/>
      <c r="GM248" s="918"/>
      <c r="GN248" s="918"/>
      <c r="GO248" s="918"/>
      <c r="GP248" s="918"/>
      <c r="GQ248" s="918"/>
      <c r="GR248" s="918"/>
      <c r="GS248" s="918"/>
      <c r="GT248" s="918"/>
      <c r="GU248" s="918"/>
      <c r="GV248" s="918"/>
      <c r="GW248" s="918"/>
      <c r="GX248" s="918"/>
      <c r="GY248" s="918"/>
      <c r="GZ248" s="918"/>
      <c r="HA248" s="918"/>
      <c r="HB248" s="918"/>
      <c r="HC248" s="918"/>
      <c r="HD248" s="918"/>
      <c r="HE248" s="918"/>
      <c r="HF248" s="918"/>
      <c r="HG248" s="918"/>
      <c r="HH248" s="918"/>
      <c r="HI248" s="918"/>
      <c r="HJ248" s="918"/>
      <c r="HK248" s="918"/>
      <c r="HL248" s="918"/>
      <c r="HM248" s="918"/>
      <c r="HN248" s="918"/>
      <c r="HO248" s="918"/>
      <c r="HP248" s="918"/>
      <c r="HQ248" s="918"/>
      <c r="HR248" s="918"/>
      <c r="HS248" s="918"/>
      <c r="HT248" s="918"/>
      <c r="HU248" s="918"/>
      <c r="HV248" s="918"/>
      <c r="HW248" s="918"/>
      <c r="HX248" s="918"/>
      <c r="HY248" s="918"/>
      <c r="HZ248" s="918"/>
      <c r="IA248" s="918"/>
      <c r="IB248" s="918"/>
      <c r="IC248" s="918"/>
      <c r="ID248" s="918"/>
      <c r="IE248" s="918"/>
      <c r="IF248" s="918"/>
      <c r="IG248" s="918"/>
      <c r="IH248" s="918"/>
      <c r="II248" s="918"/>
      <c r="IJ248" s="918"/>
      <c r="IK248" s="918"/>
      <c r="IL248" s="918"/>
      <c r="IM248" s="918"/>
      <c r="IN248" s="918"/>
    </row>
    <row r="249" spans="1:248">
      <c r="A249" s="619" t="s">
        <v>23</v>
      </c>
      <c r="B249" s="617">
        <v>14205.5</v>
      </c>
      <c r="C249" s="617">
        <v>22.418739860236979</v>
      </c>
      <c r="D249" s="620">
        <v>12936.6</v>
      </c>
      <c r="E249" s="919">
        <v>20.416195844985513</v>
      </c>
      <c r="F249" s="919">
        <v>1268.8999999999996</v>
      </c>
      <c r="G249" s="919">
        <f t="shared" si="35"/>
        <v>2.0025440152514657</v>
      </c>
      <c r="H249" s="400">
        <v>63364.4</v>
      </c>
      <c r="I249" s="918"/>
      <c r="J249" s="918"/>
      <c r="K249" s="918"/>
      <c r="L249" s="918"/>
      <c r="M249" s="918"/>
      <c r="N249" s="918"/>
      <c r="O249" s="918"/>
      <c r="P249" s="918"/>
      <c r="Q249" s="918"/>
      <c r="R249" s="918"/>
      <c r="S249" s="918"/>
      <c r="T249" s="918"/>
      <c r="U249" s="918"/>
      <c r="V249" s="918"/>
      <c r="W249" s="918"/>
      <c r="X249" s="918"/>
      <c r="Y249" s="918"/>
      <c r="Z249" s="918"/>
      <c r="AA249" s="918"/>
      <c r="AB249" s="918"/>
      <c r="AC249" s="918"/>
      <c r="AD249" s="918"/>
      <c r="AE249" s="918"/>
      <c r="AF249" s="918"/>
      <c r="AG249" s="918"/>
      <c r="AH249" s="918"/>
      <c r="AI249" s="918"/>
      <c r="AJ249" s="918"/>
      <c r="AK249" s="918"/>
      <c r="AL249" s="918"/>
      <c r="AM249" s="918"/>
      <c r="AN249" s="918"/>
      <c r="AO249" s="918"/>
      <c r="AP249" s="918"/>
      <c r="AQ249" s="918"/>
      <c r="AR249" s="918"/>
      <c r="AS249" s="918"/>
      <c r="AT249" s="918"/>
      <c r="AU249" s="918"/>
      <c r="AV249" s="918"/>
      <c r="AW249" s="918"/>
      <c r="AX249" s="918"/>
      <c r="AY249" s="918"/>
      <c r="AZ249" s="918"/>
      <c r="BA249" s="918"/>
      <c r="BB249" s="918"/>
      <c r="BC249" s="918"/>
      <c r="BD249" s="918"/>
      <c r="BE249" s="918"/>
      <c r="BF249" s="918"/>
      <c r="BG249" s="918"/>
      <c r="BH249" s="918"/>
      <c r="BI249" s="918"/>
      <c r="BJ249" s="918"/>
      <c r="BK249" s="918"/>
      <c r="BL249" s="918"/>
      <c r="BM249" s="918"/>
      <c r="BN249" s="918"/>
      <c r="BO249" s="918"/>
      <c r="BP249" s="918"/>
      <c r="BQ249" s="918"/>
      <c r="BR249" s="918"/>
      <c r="BS249" s="918"/>
      <c r="BT249" s="918"/>
      <c r="BU249" s="918"/>
      <c r="BV249" s="918"/>
      <c r="BW249" s="918"/>
      <c r="BX249" s="918"/>
      <c r="BY249" s="918"/>
      <c r="BZ249" s="918"/>
      <c r="CA249" s="918"/>
      <c r="CB249" s="918"/>
      <c r="CC249" s="918"/>
      <c r="CD249" s="918"/>
      <c r="CE249" s="918"/>
      <c r="CF249" s="918"/>
      <c r="CG249" s="918"/>
      <c r="CH249" s="918"/>
      <c r="CI249" s="918"/>
      <c r="CJ249" s="918"/>
      <c r="CK249" s="918"/>
      <c r="CL249" s="918"/>
      <c r="CM249" s="918"/>
      <c r="CN249" s="918"/>
      <c r="CO249" s="918"/>
      <c r="CP249" s="918"/>
      <c r="CQ249" s="918"/>
      <c r="CR249" s="918"/>
      <c r="CS249" s="918"/>
      <c r="CT249" s="918"/>
      <c r="CU249" s="918"/>
      <c r="CV249" s="918"/>
      <c r="CW249" s="918"/>
      <c r="CX249" s="918"/>
      <c r="CY249" s="918"/>
      <c r="CZ249" s="918"/>
      <c r="DA249" s="918"/>
      <c r="DB249" s="918"/>
      <c r="DC249" s="918"/>
      <c r="DD249" s="918"/>
      <c r="DE249" s="918"/>
      <c r="DF249" s="918"/>
      <c r="DG249" s="918"/>
      <c r="DH249" s="918"/>
      <c r="DI249" s="918"/>
      <c r="DJ249" s="918"/>
      <c r="DK249" s="918"/>
      <c r="DL249" s="918"/>
      <c r="DM249" s="918"/>
      <c r="DN249" s="918"/>
      <c r="DO249" s="918"/>
      <c r="DP249" s="918"/>
      <c r="DQ249" s="918"/>
      <c r="DR249" s="918"/>
      <c r="DS249" s="918"/>
      <c r="DT249" s="918"/>
      <c r="DU249" s="918"/>
      <c r="DV249" s="918"/>
      <c r="DW249" s="918"/>
      <c r="DX249" s="918"/>
      <c r="DY249" s="918"/>
      <c r="DZ249" s="918"/>
      <c r="EA249" s="918"/>
      <c r="EB249" s="918"/>
      <c r="EC249" s="918"/>
      <c r="ED249" s="918"/>
      <c r="EE249" s="918"/>
      <c r="EF249" s="918"/>
      <c r="EG249" s="918"/>
      <c r="EH249" s="918"/>
      <c r="EI249" s="918"/>
      <c r="EJ249" s="918"/>
      <c r="EK249" s="918"/>
      <c r="EL249" s="918"/>
      <c r="EM249" s="918"/>
      <c r="EN249" s="918"/>
      <c r="EO249" s="918"/>
      <c r="EP249" s="918"/>
      <c r="EQ249" s="918"/>
      <c r="ER249" s="918"/>
      <c r="ES249" s="918"/>
      <c r="ET249" s="918"/>
      <c r="EU249" s="918"/>
      <c r="EV249" s="918"/>
      <c r="EW249" s="918"/>
      <c r="EX249" s="918"/>
      <c r="EY249" s="918"/>
      <c r="EZ249" s="918"/>
      <c r="FA249" s="918"/>
      <c r="FB249" s="918"/>
      <c r="FC249" s="918"/>
      <c r="FD249" s="918"/>
      <c r="FE249" s="918"/>
      <c r="FF249" s="918"/>
      <c r="FG249" s="918"/>
      <c r="FH249" s="918"/>
      <c r="FI249" s="918"/>
      <c r="FJ249" s="918"/>
      <c r="FK249" s="918"/>
      <c r="FL249" s="918"/>
      <c r="FM249" s="918"/>
      <c r="FN249" s="918"/>
      <c r="FO249" s="918"/>
      <c r="FP249" s="918"/>
      <c r="FQ249" s="918"/>
      <c r="FR249" s="918"/>
      <c r="FS249" s="918"/>
      <c r="FT249" s="918"/>
      <c r="FU249" s="918"/>
      <c r="FV249" s="918"/>
      <c r="FW249" s="918"/>
      <c r="FX249" s="918"/>
      <c r="FY249" s="918"/>
      <c r="FZ249" s="918"/>
      <c r="GA249" s="918"/>
      <c r="GB249" s="918"/>
      <c r="GC249" s="918"/>
      <c r="GD249" s="918"/>
      <c r="GE249" s="918"/>
      <c r="GF249" s="918"/>
      <c r="GG249" s="918"/>
      <c r="GH249" s="918"/>
      <c r="GI249" s="918"/>
      <c r="GJ249" s="918"/>
      <c r="GK249" s="918"/>
      <c r="GL249" s="918"/>
      <c r="GM249" s="918"/>
      <c r="GN249" s="918"/>
      <c r="GO249" s="918"/>
      <c r="GP249" s="918"/>
      <c r="GQ249" s="918"/>
      <c r="GR249" s="918"/>
      <c r="GS249" s="918"/>
      <c r="GT249" s="918"/>
      <c r="GU249" s="918"/>
      <c r="GV249" s="918"/>
      <c r="GW249" s="918"/>
      <c r="GX249" s="918"/>
      <c r="GY249" s="918"/>
      <c r="GZ249" s="918"/>
      <c r="HA249" s="918"/>
      <c r="HB249" s="918"/>
      <c r="HC249" s="918"/>
      <c r="HD249" s="918"/>
      <c r="HE249" s="918"/>
      <c r="HF249" s="918"/>
      <c r="HG249" s="918"/>
      <c r="HH249" s="918"/>
      <c r="HI249" s="918"/>
      <c r="HJ249" s="918"/>
      <c r="HK249" s="918"/>
      <c r="HL249" s="918"/>
      <c r="HM249" s="918"/>
      <c r="HN249" s="918"/>
      <c r="HO249" s="918"/>
      <c r="HP249" s="918"/>
      <c r="HQ249" s="918"/>
      <c r="HR249" s="918"/>
      <c r="HS249" s="918"/>
      <c r="HT249" s="918"/>
      <c r="HU249" s="918"/>
      <c r="HV249" s="918"/>
      <c r="HW249" s="918"/>
      <c r="HX249" s="918"/>
      <c r="HY249" s="918"/>
      <c r="HZ249" s="918"/>
      <c r="IA249" s="918"/>
      <c r="IB249" s="918"/>
      <c r="IC249" s="918"/>
      <c r="ID249" s="918"/>
      <c r="IE249" s="918"/>
      <c r="IF249" s="918"/>
      <c r="IG249" s="918"/>
      <c r="IH249" s="918"/>
      <c r="II249" s="918"/>
      <c r="IJ249" s="918"/>
      <c r="IK249" s="918"/>
      <c r="IL249" s="918"/>
      <c r="IM249" s="918"/>
      <c r="IN249" s="918"/>
    </row>
    <row r="250" spans="1:248">
      <c r="A250" s="619" t="s">
        <v>24</v>
      </c>
      <c r="B250" s="617">
        <v>17899.400000000001</v>
      </c>
      <c r="C250" s="617">
        <v>24.137754331456193</v>
      </c>
      <c r="D250" s="620">
        <v>15334.8</v>
      </c>
      <c r="E250" s="919">
        <v>20.679331995598421</v>
      </c>
      <c r="F250" s="919">
        <v>2564.6000000000022</v>
      </c>
      <c r="G250" s="919">
        <f t="shared" si="35"/>
        <v>3.4584223358577715</v>
      </c>
      <c r="H250" s="400">
        <v>74155.199999999997</v>
      </c>
      <c r="I250" s="918"/>
      <c r="J250" s="918"/>
      <c r="K250" s="918"/>
      <c r="L250" s="918"/>
      <c r="M250" s="918"/>
      <c r="N250" s="918"/>
      <c r="O250" s="918"/>
      <c r="P250" s="918"/>
      <c r="Q250" s="918"/>
      <c r="R250" s="918"/>
      <c r="S250" s="918"/>
      <c r="T250" s="918"/>
      <c r="U250" s="918"/>
      <c r="V250" s="918"/>
      <c r="W250" s="918"/>
      <c r="X250" s="918"/>
      <c r="Y250" s="918"/>
      <c r="Z250" s="918"/>
      <c r="AA250" s="918"/>
      <c r="AB250" s="918"/>
      <c r="AC250" s="918"/>
      <c r="AD250" s="918"/>
      <c r="AE250" s="918"/>
      <c r="AF250" s="918"/>
      <c r="AG250" s="918"/>
      <c r="AH250" s="918"/>
      <c r="AI250" s="918"/>
      <c r="AJ250" s="918"/>
      <c r="AK250" s="918"/>
      <c r="AL250" s="918"/>
      <c r="AM250" s="918"/>
      <c r="AN250" s="918"/>
      <c r="AO250" s="918"/>
      <c r="AP250" s="918"/>
      <c r="AQ250" s="918"/>
      <c r="AR250" s="918"/>
      <c r="AS250" s="918"/>
      <c r="AT250" s="918"/>
      <c r="AU250" s="918"/>
      <c r="AV250" s="918"/>
      <c r="AW250" s="918"/>
      <c r="AX250" s="918"/>
      <c r="AY250" s="918"/>
      <c r="AZ250" s="918"/>
      <c r="BA250" s="918"/>
      <c r="BB250" s="918"/>
      <c r="BC250" s="918"/>
      <c r="BD250" s="918"/>
      <c r="BE250" s="918"/>
      <c r="BF250" s="918"/>
      <c r="BG250" s="918"/>
      <c r="BH250" s="918"/>
      <c r="BI250" s="918"/>
      <c r="BJ250" s="918"/>
      <c r="BK250" s="918"/>
      <c r="BL250" s="918"/>
      <c r="BM250" s="918"/>
      <c r="BN250" s="918"/>
      <c r="BO250" s="918"/>
      <c r="BP250" s="918"/>
      <c r="BQ250" s="918"/>
      <c r="BR250" s="918"/>
      <c r="BS250" s="918"/>
      <c r="BT250" s="918"/>
      <c r="BU250" s="918"/>
      <c r="BV250" s="918"/>
      <c r="BW250" s="918"/>
      <c r="BX250" s="918"/>
      <c r="BY250" s="918"/>
      <c r="BZ250" s="918"/>
      <c r="CA250" s="918"/>
      <c r="CB250" s="918"/>
      <c r="CC250" s="918"/>
      <c r="CD250" s="918"/>
      <c r="CE250" s="918"/>
      <c r="CF250" s="918"/>
      <c r="CG250" s="918"/>
      <c r="CH250" s="918"/>
      <c r="CI250" s="918"/>
      <c r="CJ250" s="918"/>
      <c r="CK250" s="918"/>
      <c r="CL250" s="918"/>
      <c r="CM250" s="918"/>
      <c r="CN250" s="918"/>
      <c r="CO250" s="918"/>
      <c r="CP250" s="918"/>
      <c r="CQ250" s="918"/>
      <c r="CR250" s="918"/>
      <c r="CS250" s="918"/>
      <c r="CT250" s="918"/>
      <c r="CU250" s="918"/>
      <c r="CV250" s="918"/>
      <c r="CW250" s="918"/>
      <c r="CX250" s="918"/>
      <c r="CY250" s="918"/>
      <c r="CZ250" s="918"/>
      <c r="DA250" s="918"/>
      <c r="DB250" s="918"/>
      <c r="DC250" s="918"/>
      <c r="DD250" s="918"/>
      <c r="DE250" s="918"/>
      <c r="DF250" s="918"/>
      <c r="DG250" s="918"/>
      <c r="DH250" s="918"/>
      <c r="DI250" s="918"/>
      <c r="DJ250" s="918"/>
      <c r="DK250" s="918"/>
      <c r="DL250" s="918"/>
      <c r="DM250" s="918"/>
      <c r="DN250" s="918"/>
      <c r="DO250" s="918"/>
      <c r="DP250" s="918"/>
      <c r="DQ250" s="918"/>
      <c r="DR250" s="918"/>
      <c r="DS250" s="918"/>
      <c r="DT250" s="918"/>
      <c r="DU250" s="918"/>
      <c r="DV250" s="918"/>
      <c r="DW250" s="918"/>
      <c r="DX250" s="918"/>
      <c r="DY250" s="918"/>
      <c r="DZ250" s="918"/>
      <c r="EA250" s="918"/>
      <c r="EB250" s="918"/>
      <c r="EC250" s="918"/>
      <c r="ED250" s="918"/>
      <c r="EE250" s="918"/>
      <c r="EF250" s="918"/>
      <c r="EG250" s="918"/>
      <c r="EH250" s="918"/>
      <c r="EI250" s="918"/>
      <c r="EJ250" s="918"/>
      <c r="EK250" s="918"/>
      <c r="EL250" s="918"/>
      <c r="EM250" s="918"/>
      <c r="EN250" s="918"/>
      <c r="EO250" s="918"/>
      <c r="EP250" s="918"/>
      <c r="EQ250" s="918"/>
      <c r="ER250" s="918"/>
      <c r="ES250" s="918"/>
      <c r="ET250" s="918"/>
      <c r="EU250" s="918"/>
      <c r="EV250" s="918"/>
      <c r="EW250" s="918"/>
      <c r="EX250" s="918"/>
      <c r="EY250" s="918"/>
      <c r="EZ250" s="918"/>
      <c r="FA250" s="918"/>
      <c r="FB250" s="918"/>
      <c r="FC250" s="918"/>
      <c r="FD250" s="918"/>
      <c r="FE250" s="918"/>
      <c r="FF250" s="918"/>
      <c r="FG250" s="918"/>
      <c r="FH250" s="918"/>
      <c r="FI250" s="918"/>
      <c r="FJ250" s="918"/>
      <c r="FK250" s="918"/>
      <c r="FL250" s="918"/>
      <c r="FM250" s="918"/>
      <c r="FN250" s="918"/>
      <c r="FO250" s="918"/>
      <c r="FP250" s="918"/>
      <c r="FQ250" s="918"/>
      <c r="FR250" s="918"/>
      <c r="FS250" s="918"/>
      <c r="FT250" s="918"/>
      <c r="FU250" s="918"/>
      <c r="FV250" s="918"/>
      <c r="FW250" s="918"/>
      <c r="FX250" s="918"/>
      <c r="FY250" s="918"/>
      <c r="FZ250" s="918"/>
      <c r="GA250" s="918"/>
      <c r="GB250" s="918"/>
      <c r="GC250" s="918"/>
      <c r="GD250" s="918"/>
      <c r="GE250" s="918"/>
      <c r="GF250" s="918"/>
      <c r="GG250" s="918"/>
      <c r="GH250" s="918"/>
      <c r="GI250" s="918"/>
      <c r="GJ250" s="918"/>
      <c r="GK250" s="918"/>
      <c r="GL250" s="918"/>
      <c r="GM250" s="918"/>
      <c r="GN250" s="918"/>
      <c r="GO250" s="918"/>
      <c r="GP250" s="918"/>
      <c r="GQ250" s="918"/>
      <c r="GR250" s="918"/>
      <c r="GS250" s="918"/>
      <c r="GT250" s="918"/>
      <c r="GU250" s="918"/>
      <c r="GV250" s="918"/>
      <c r="GW250" s="918"/>
      <c r="GX250" s="918"/>
      <c r="GY250" s="918"/>
      <c r="GZ250" s="918"/>
      <c r="HA250" s="918"/>
      <c r="HB250" s="918"/>
      <c r="HC250" s="918"/>
      <c r="HD250" s="918"/>
      <c r="HE250" s="918"/>
      <c r="HF250" s="918"/>
      <c r="HG250" s="918"/>
      <c r="HH250" s="918"/>
      <c r="HI250" s="918"/>
      <c r="HJ250" s="918"/>
      <c r="HK250" s="918"/>
      <c r="HL250" s="918"/>
      <c r="HM250" s="918"/>
      <c r="HN250" s="918"/>
      <c r="HO250" s="918"/>
      <c r="HP250" s="918"/>
      <c r="HQ250" s="918"/>
      <c r="HR250" s="918"/>
      <c r="HS250" s="918"/>
      <c r="HT250" s="918"/>
      <c r="HU250" s="918"/>
      <c r="HV250" s="918"/>
      <c r="HW250" s="918"/>
      <c r="HX250" s="918"/>
      <c r="HY250" s="918"/>
      <c r="HZ250" s="918"/>
      <c r="IA250" s="918"/>
      <c r="IB250" s="918"/>
      <c r="IC250" s="918"/>
      <c r="ID250" s="918"/>
      <c r="IE250" s="918"/>
      <c r="IF250" s="918"/>
      <c r="IG250" s="918"/>
      <c r="IH250" s="918"/>
      <c r="II250" s="918"/>
      <c r="IJ250" s="918"/>
      <c r="IK250" s="918"/>
      <c r="IL250" s="918"/>
      <c r="IM250" s="918"/>
      <c r="IN250" s="918"/>
    </row>
    <row r="251" spans="1:248">
      <c r="A251" s="619" t="s">
        <v>25</v>
      </c>
      <c r="B251" s="617">
        <v>20184.8</v>
      </c>
      <c r="C251" s="617">
        <v>23.780283787541059</v>
      </c>
      <c r="D251" s="620">
        <v>18151.900000000001</v>
      </c>
      <c r="E251" s="919">
        <v>21.385266798931205</v>
      </c>
      <c r="F251" s="919">
        <v>2032.8999999999978</v>
      </c>
      <c r="G251" s="919">
        <f t="shared" si="35"/>
        <v>2.3950169886098536</v>
      </c>
      <c r="H251" s="400">
        <v>84880.4</v>
      </c>
      <c r="I251" s="918"/>
      <c r="J251" s="918"/>
      <c r="K251" s="918"/>
      <c r="L251" s="918"/>
      <c r="M251" s="918"/>
      <c r="N251" s="918"/>
      <c r="O251" s="918"/>
      <c r="P251" s="918"/>
      <c r="Q251" s="918"/>
      <c r="R251" s="918"/>
      <c r="S251" s="918"/>
      <c r="T251" s="918"/>
      <c r="U251" s="918"/>
      <c r="V251" s="918"/>
      <c r="W251" s="918"/>
      <c r="X251" s="918"/>
      <c r="Y251" s="918"/>
      <c r="Z251" s="918"/>
      <c r="AA251" s="918"/>
      <c r="AB251" s="918"/>
      <c r="AC251" s="918"/>
      <c r="AD251" s="918"/>
      <c r="AE251" s="918"/>
      <c r="AF251" s="918"/>
      <c r="AG251" s="918"/>
      <c r="AH251" s="918"/>
      <c r="AI251" s="918"/>
      <c r="AJ251" s="918"/>
      <c r="AK251" s="918"/>
      <c r="AL251" s="918"/>
      <c r="AM251" s="918"/>
      <c r="AN251" s="918"/>
      <c r="AO251" s="918"/>
      <c r="AP251" s="918"/>
      <c r="AQ251" s="918"/>
      <c r="AR251" s="918"/>
      <c r="AS251" s="918"/>
      <c r="AT251" s="918"/>
      <c r="AU251" s="918"/>
      <c r="AV251" s="918"/>
      <c r="AW251" s="918"/>
      <c r="AX251" s="918"/>
      <c r="AY251" s="918"/>
      <c r="AZ251" s="918"/>
      <c r="BA251" s="918"/>
      <c r="BB251" s="918"/>
      <c r="BC251" s="918"/>
      <c r="BD251" s="918"/>
      <c r="BE251" s="918"/>
      <c r="BF251" s="918"/>
      <c r="BG251" s="918"/>
      <c r="BH251" s="918"/>
      <c r="BI251" s="918"/>
      <c r="BJ251" s="918"/>
      <c r="BK251" s="918"/>
      <c r="BL251" s="918"/>
      <c r="BM251" s="918"/>
      <c r="BN251" s="918"/>
      <c r="BO251" s="918"/>
      <c r="BP251" s="918"/>
      <c r="BQ251" s="918"/>
      <c r="BR251" s="918"/>
      <c r="BS251" s="918"/>
      <c r="BT251" s="918"/>
      <c r="BU251" s="918"/>
      <c r="BV251" s="918"/>
      <c r="BW251" s="918"/>
      <c r="BX251" s="918"/>
      <c r="BY251" s="918"/>
      <c r="BZ251" s="918"/>
      <c r="CA251" s="918"/>
      <c r="CB251" s="918"/>
      <c r="CC251" s="918"/>
      <c r="CD251" s="918"/>
      <c r="CE251" s="918"/>
      <c r="CF251" s="918"/>
      <c r="CG251" s="918"/>
      <c r="CH251" s="918"/>
      <c r="CI251" s="918"/>
      <c r="CJ251" s="918"/>
      <c r="CK251" s="918"/>
      <c r="CL251" s="918"/>
      <c r="CM251" s="918"/>
      <c r="CN251" s="918"/>
      <c r="CO251" s="918"/>
      <c r="CP251" s="918"/>
      <c r="CQ251" s="918"/>
      <c r="CR251" s="918"/>
      <c r="CS251" s="918"/>
      <c r="CT251" s="918"/>
      <c r="CU251" s="918"/>
      <c r="CV251" s="918"/>
      <c r="CW251" s="918"/>
      <c r="CX251" s="918"/>
      <c r="CY251" s="918"/>
      <c r="CZ251" s="918"/>
      <c r="DA251" s="918"/>
      <c r="DB251" s="918"/>
      <c r="DC251" s="918"/>
      <c r="DD251" s="918"/>
      <c r="DE251" s="918"/>
      <c r="DF251" s="918"/>
      <c r="DG251" s="918"/>
      <c r="DH251" s="918"/>
      <c r="DI251" s="918"/>
      <c r="DJ251" s="918"/>
      <c r="DK251" s="918"/>
      <c r="DL251" s="918"/>
      <c r="DM251" s="918"/>
      <c r="DN251" s="918"/>
      <c r="DO251" s="918"/>
      <c r="DP251" s="918"/>
      <c r="DQ251" s="918"/>
      <c r="DR251" s="918"/>
      <c r="DS251" s="918"/>
      <c r="DT251" s="918"/>
      <c r="DU251" s="918"/>
      <c r="DV251" s="918"/>
      <c r="DW251" s="918"/>
      <c r="DX251" s="918"/>
      <c r="DY251" s="918"/>
      <c r="DZ251" s="918"/>
      <c r="EA251" s="918"/>
      <c r="EB251" s="918"/>
      <c r="EC251" s="918"/>
      <c r="ED251" s="918"/>
      <c r="EE251" s="918"/>
      <c r="EF251" s="918"/>
      <c r="EG251" s="918"/>
      <c r="EH251" s="918"/>
      <c r="EI251" s="918"/>
      <c r="EJ251" s="918"/>
      <c r="EK251" s="918"/>
      <c r="EL251" s="918"/>
      <c r="EM251" s="918"/>
      <c r="EN251" s="918"/>
      <c r="EO251" s="918"/>
      <c r="EP251" s="918"/>
      <c r="EQ251" s="918"/>
      <c r="ER251" s="918"/>
      <c r="ES251" s="918"/>
      <c r="ET251" s="918"/>
      <c r="EU251" s="918"/>
      <c r="EV251" s="918"/>
      <c r="EW251" s="918"/>
      <c r="EX251" s="918"/>
      <c r="EY251" s="918"/>
      <c r="EZ251" s="918"/>
      <c r="FA251" s="918"/>
      <c r="FB251" s="918"/>
      <c r="FC251" s="918"/>
      <c r="FD251" s="918"/>
      <c r="FE251" s="918"/>
      <c r="FF251" s="918"/>
      <c r="FG251" s="918"/>
      <c r="FH251" s="918"/>
      <c r="FI251" s="918"/>
      <c r="FJ251" s="918"/>
      <c r="FK251" s="918"/>
      <c r="FL251" s="918"/>
      <c r="FM251" s="918"/>
      <c r="FN251" s="918"/>
      <c r="FO251" s="918"/>
      <c r="FP251" s="918"/>
      <c r="FQ251" s="918"/>
      <c r="FR251" s="918"/>
      <c r="FS251" s="918"/>
      <c r="FT251" s="918"/>
      <c r="FU251" s="918"/>
      <c r="FV251" s="918"/>
      <c r="FW251" s="918"/>
      <c r="FX251" s="918"/>
      <c r="FY251" s="918"/>
      <c r="FZ251" s="918"/>
      <c r="GA251" s="918"/>
      <c r="GB251" s="918"/>
      <c r="GC251" s="918"/>
      <c r="GD251" s="918"/>
      <c r="GE251" s="918"/>
      <c r="GF251" s="918"/>
      <c r="GG251" s="918"/>
      <c r="GH251" s="918"/>
      <c r="GI251" s="918"/>
      <c r="GJ251" s="918"/>
      <c r="GK251" s="918"/>
      <c r="GL251" s="918"/>
      <c r="GM251" s="918"/>
      <c r="GN251" s="918"/>
      <c r="GO251" s="918"/>
      <c r="GP251" s="918"/>
      <c r="GQ251" s="918"/>
      <c r="GR251" s="918"/>
      <c r="GS251" s="918"/>
      <c r="GT251" s="918"/>
      <c r="GU251" s="918"/>
      <c r="GV251" s="918"/>
      <c r="GW251" s="918"/>
      <c r="GX251" s="918"/>
      <c r="GY251" s="918"/>
      <c r="GZ251" s="918"/>
      <c r="HA251" s="918"/>
      <c r="HB251" s="918"/>
      <c r="HC251" s="918"/>
      <c r="HD251" s="918"/>
      <c r="HE251" s="918"/>
      <c r="HF251" s="918"/>
      <c r="HG251" s="918"/>
      <c r="HH251" s="918"/>
      <c r="HI251" s="918"/>
      <c r="HJ251" s="918"/>
      <c r="HK251" s="918"/>
      <c r="HL251" s="918"/>
      <c r="HM251" s="918"/>
      <c r="HN251" s="918"/>
      <c r="HO251" s="918"/>
      <c r="HP251" s="918"/>
      <c r="HQ251" s="918"/>
      <c r="HR251" s="918"/>
      <c r="HS251" s="918"/>
      <c r="HT251" s="918"/>
      <c r="HU251" s="918"/>
      <c r="HV251" s="918"/>
      <c r="HW251" s="918"/>
      <c r="HX251" s="918"/>
      <c r="HY251" s="918"/>
      <c r="HZ251" s="918"/>
      <c r="IA251" s="918"/>
      <c r="IB251" s="918"/>
      <c r="IC251" s="918"/>
      <c r="ID251" s="918"/>
      <c r="IE251" s="918"/>
      <c r="IF251" s="918"/>
      <c r="IG251" s="918"/>
      <c r="IH251" s="918"/>
      <c r="II251" s="918"/>
      <c r="IJ251" s="918"/>
      <c r="IK251" s="918"/>
      <c r="IL251" s="918"/>
      <c r="IM251" s="918"/>
      <c r="IN251" s="918"/>
    </row>
    <row r="252" spans="1:248">
      <c r="A252" s="619" t="s">
        <v>26</v>
      </c>
      <c r="B252" s="617">
        <v>22401.5</v>
      </c>
      <c r="C252" s="617">
        <v>22.84054087673255</v>
      </c>
      <c r="D252" s="620">
        <v>20470.7</v>
      </c>
      <c r="E252" s="919">
        <v>20.87189965517171</v>
      </c>
      <c r="F252" s="919">
        <v>1930.7999999999993</v>
      </c>
      <c r="G252" s="919">
        <f t="shared" si="35"/>
        <v>1.9686412215608418</v>
      </c>
      <c r="H252" s="400">
        <v>98077.8</v>
      </c>
      <c r="I252" s="918"/>
      <c r="J252" s="918"/>
      <c r="K252" s="918"/>
      <c r="L252" s="918"/>
      <c r="M252" s="918"/>
      <c r="N252" s="918"/>
      <c r="O252" s="918"/>
      <c r="P252" s="918"/>
      <c r="Q252" s="918"/>
      <c r="R252" s="918"/>
      <c r="S252" s="918"/>
      <c r="T252" s="918"/>
      <c r="U252" s="918"/>
      <c r="V252" s="918"/>
      <c r="W252" s="918"/>
      <c r="X252" s="918"/>
      <c r="Y252" s="918"/>
      <c r="Z252" s="918"/>
      <c r="AA252" s="918"/>
      <c r="AB252" s="918"/>
      <c r="AC252" s="918"/>
      <c r="AD252" s="918"/>
      <c r="AE252" s="918"/>
      <c r="AF252" s="918"/>
      <c r="AG252" s="918"/>
      <c r="AH252" s="918"/>
      <c r="AI252" s="918"/>
      <c r="AJ252" s="918"/>
      <c r="AK252" s="918"/>
      <c r="AL252" s="918"/>
      <c r="AM252" s="918"/>
      <c r="AN252" s="918"/>
      <c r="AO252" s="918"/>
      <c r="AP252" s="918"/>
      <c r="AQ252" s="918"/>
      <c r="AR252" s="918"/>
      <c r="AS252" s="918"/>
      <c r="AT252" s="918"/>
      <c r="AU252" s="918"/>
      <c r="AV252" s="918"/>
      <c r="AW252" s="918"/>
      <c r="AX252" s="918"/>
      <c r="AY252" s="918"/>
      <c r="AZ252" s="918"/>
      <c r="BA252" s="918"/>
      <c r="BB252" s="918"/>
      <c r="BC252" s="918"/>
      <c r="BD252" s="918"/>
      <c r="BE252" s="918"/>
      <c r="BF252" s="918"/>
      <c r="BG252" s="918"/>
      <c r="BH252" s="918"/>
      <c r="BI252" s="918"/>
      <c r="BJ252" s="918"/>
      <c r="BK252" s="918"/>
      <c r="BL252" s="918"/>
      <c r="BM252" s="918"/>
      <c r="BN252" s="918"/>
      <c r="BO252" s="918"/>
      <c r="BP252" s="918"/>
      <c r="BQ252" s="918"/>
      <c r="BR252" s="918"/>
      <c r="BS252" s="918"/>
      <c r="BT252" s="918"/>
      <c r="BU252" s="918"/>
      <c r="BV252" s="918"/>
      <c r="BW252" s="918"/>
      <c r="BX252" s="918"/>
      <c r="BY252" s="918"/>
      <c r="BZ252" s="918"/>
      <c r="CA252" s="918"/>
      <c r="CB252" s="918"/>
      <c r="CC252" s="918"/>
      <c r="CD252" s="918"/>
      <c r="CE252" s="918"/>
      <c r="CF252" s="918"/>
      <c r="CG252" s="918"/>
      <c r="CH252" s="918"/>
      <c r="CI252" s="918"/>
      <c r="CJ252" s="918"/>
      <c r="CK252" s="918"/>
      <c r="CL252" s="918"/>
      <c r="CM252" s="918"/>
      <c r="CN252" s="918"/>
      <c r="CO252" s="918"/>
      <c r="CP252" s="918"/>
      <c r="CQ252" s="918"/>
      <c r="CR252" s="918"/>
      <c r="CS252" s="918"/>
      <c r="CT252" s="918"/>
      <c r="CU252" s="918"/>
      <c r="CV252" s="918"/>
      <c r="CW252" s="918"/>
      <c r="CX252" s="918"/>
      <c r="CY252" s="918"/>
      <c r="CZ252" s="918"/>
      <c r="DA252" s="918"/>
      <c r="DB252" s="918"/>
      <c r="DC252" s="918"/>
      <c r="DD252" s="918"/>
      <c r="DE252" s="918"/>
      <c r="DF252" s="918"/>
      <c r="DG252" s="918"/>
      <c r="DH252" s="918"/>
      <c r="DI252" s="918"/>
      <c r="DJ252" s="918"/>
      <c r="DK252" s="918"/>
      <c r="DL252" s="918"/>
      <c r="DM252" s="918"/>
      <c r="DN252" s="918"/>
      <c r="DO252" s="918"/>
      <c r="DP252" s="918"/>
      <c r="DQ252" s="918"/>
      <c r="DR252" s="918"/>
      <c r="DS252" s="918"/>
      <c r="DT252" s="918"/>
      <c r="DU252" s="918"/>
      <c r="DV252" s="918"/>
      <c r="DW252" s="918"/>
      <c r="DX252" s="918"/>
      <c r="DY252" s="918"/>
      <c r="DZ252" s="918"/>
      <c r="EA252" s="918"/>
      <c r="EB252" s="918"/>
      <c r="EC252" s="918"/>
      <c r="ED252" s="918"/>
      <c r="EE252" s="918"/>
      <c r="EF252" s="918"/>
      <c r="EG252" s="918"/>
      <c r="EH252" s="918"/>
      <c r="EI252" s="918"/>
      <c r="EJ252" s="918"/>
      <c r="EK252" s="918"/>
      <c r="EL252" s="918"/>
      <c r="EM252" s="918"/>
      <c r="EN252" s="918"/>
      <c r="EO252" s="918"/>
      <c r="EP252" s="918"/>
      <c r="EQ252" s="918"/>
      <c r="ER252" s="918"/>
      <c r="ES252" s="918"/>
      <c r="ET252" s="918"/>
      <c r="EU252" s="918"/>
      <c r="EV252" s="918"/>
      <c r="EW252" s="918"/>
      <c r="EX252" s="918"/>
      <c r="EY252" s="918"/>
      <c r="EZ252" s="918"/>
      <c r="FA252" s="918"/>
      <c r="FB252" s="918"/>
      <c r="FC252" s="918"/>
      <c r="FD252" s="918"/>
      <c r="FE252" s="918"/>
      <c r="FF252" s="918"/>
      <c r="FG252" s="918"/>
      <c r="FH252" s="918"/>
      <c r="FI252" s="918"/>
      <c r="FJ252" s="918"/>
      <c r="FK252" s="918"/>
      <c r="FL252" s="918"/>
      <c r="FM252" s="918"/>
      <c r="FN252" s="918"/>
      <c r="FO252" s="918"/>
      <c r="FP252" s="918"/>
      <c r="FQ252" s="918"/>
      <c r="FR252" s="918"/>
      <c r="FS252" s="918"/>
      <c r="FT252" s="918"/>
      <c r="FU252" s="918"/>
      <c r="FV252" s="918"/>
      <c r="FW252" s="918"/>
      <c r="FX252" s="918"/>
      <c r="FY252" s="918"/>
      <c r="FZ252" s="918"/>
      <c r="GA252" s="918"/>
      <c r="GB252" s="918"/>
      <c r="GC252" s="918"/>
      <c r="GD252" s="918"/>
      <c r="GE252" s="918"/>
      <c r="GF252" s="918"/>
      <c r="GG252" s="918"/>
      <c r="GH252" s="918"/>
      <c r="GI252" s="918"/>
      <c r="GJ252" s="918"/>
      <c r="GK252" s="918"/>
      <c r="GL252" s="918"/>
      <c r="GM252" s="918"/>
      <c r="GN252" s="918"/>
      <c r="GO252" s="918"/>
      <c r="GP252" s="918"/>
      <c r="GQ252" s="918"/>
      <c r="GR252" s="918"/>
      <c r="GS252" s="918"/>
      <c r="GT252" s="918"/>
      <c r="GU252" s="918"/>
      <c r="GV252" s="918"/>
      <c r="GW252" s="918"/>
      <c r="GX252" s="918"/>
      <c r="GY252" s="918"/>
      <c r="GZ252" s="918"/>
      <c r="HA252" s="918"/>
      <c r="HB252" s="918"/>
      <c r="HC252" s="918"/>
      <c r="HD252" s="918"/>
      <c r="HE252" s="918"/>
      <c r="HF252" s="918"/>
      <c r="HG252" s="918"/>
      <c r="HH252" s="918"/>
      <c r="HI252" s="918"/>
      <c r="HJ252" s="918"/>
      <c r="HK252" s="918"/>
      <c r="HL252" s="918"/>
      <c r="HM252" s="918"/>
      <c r="HN252" s="918"/>
      <c r="HO252" s="918"/>
      <c r="HP252" s="918"/>
      <c r="HQ252" s="918"/>
      <c r="HR252" s="918"/>
      <c r="HS252" s="918"/>
      <c r="HT252" s="918"/>
      <c r="HU252" s="918"/>
      <c r="HV252" s="918"/>
      <c r="HW252" s="918"/>
      <c r="HX252" s="918"/>
      <c r="HY252" s="918"/>
      <c r="HZ252" s="918"/>
      <c r="IA252" s="918"/>
      <c r="IB252" s="918"/>
      <c r="IC252" s="918"/>
      <c r="ID252" s="918"/>
      <c r="IE252" s="918"/>
      <c r="IF252" s="918"/>
      <c r="IG252" s="918"/>
      <c r="IH252" s="918"/>
      <c r="II252" s="918"/>
      <c r="IJ252" s="918"/>
      <c r="IK252" s="918"/>
      <c r="IL252" s="918"/>
      <c r="IM252" s="918"/>
      <c r="IN252" s="918"/>
    </row>
    <row r="253" spans="1:248">
      <c r="A253" s="619" t="s">
        <v>27</v>
      </c>
      <c r="B253" s="617">
        <v>27029.5</v>
      </c>
      <c r="C253" s="617">
        <v>24.344716027099423</v>
      </c>
      <c r="D253" s="620">
        <v>23206.1</v>
      </c>
      <c r="E253" s="919">
        <v>20.901086390664712</v>
      </c>
      <c r="F253" s="919">
        <v>3823.4000000000015</v>
      </c>
      <c r="G253" s="919">
        <f t="shared" si="35"/>
        <v>3.4436296364347094</v>
      </c>
      <c r="H253" s="400">
        <v>111028.2</v>
      </c>
      <c r="I253" s="918"/>
      <c r="J253" s="918"/>
      <c r="K253" s="918"/>
      <c r="L253" s="918"/>
      <c r="M253" s="918"/>
      <c r="N253" s="918"/>
      <c r="O253" s="918"/>
      <c r="P253" s="918"/>
      <c r="Q253" s="918"/>
      <c r="R253" s="918"/>
      <c r="S253" s="918"/>
      <c r="T253" s="918"/>
      <c r="U253" s="918"/>
      <c r="V253" s="918"/>
      <c r="W253" s="918"/>
      <c r="X253" s="918"/>
      <c r="Y253" s="918"/>
      <c r="Z253" s="918"/>
      <c r="AA253" s="918"/>
      <c r="AB253" s="918"/>
      <c r="AC253" s="918"/>
      <c r="AD253" s="918"/>
      <c r="AE253" s="918"/>
      <c r="AF253" s="918"/>
      <c r="AG253" s="918"/>
      <c r="AH253" s="918"/>
      <c r="AI253" s="918"/>
      <c r="AJ253" s="918"/>
      <c r="AK253" s="918"/>
      <c r="AL253" s="918"/>
      <c r="AM253" s="918"/>
      <c r="AN253" s="918"/>
      <c r="AO253" s="918"/>
      <c r="AP253" s="918"/>
      <c r="AQ253" s="918"/>
      <c r="AR253" s="918"/>
      <c r="AS253" s="918"/>
      <c r="AT253" s="918"/>
      <c r="AU253" s="918"/>
      <c r="AV253" s="918"/>
      <c r="AW253" s="918"/>
      <c r="AX253" s="918"/>
      <c r="AY253" s="918"/>
      <c r="AZ253" s="918"/>
      <c r="BA253" s="918"/>
      <c r="BB253" s="918"/>
      <c r="BC253" s="918"/>
      <c r="BD253" s="918"/>
      <c r="BE253" s="918"/>
      <c r="BF253" s="918"/>
      <c r="BG253" s="918"/>
      <c r="BH253" s="918"/>
      <c r="BI253" s="918"/>
      <c r="BJ253" s="918"/>
      <c r="BK253" s="918"/>
      <c r="BL253" s="918"/>
      <c r="BM253" s="918"/>
      <c r="BN253" s="918"/>
      <c r="BO253" s="918"/>
      <c r="BP253" s="918"/>
      <c r="BQ253" s="918"/>
      <c r="BR253" s="918"/>
      <c r="BS253" s="918"/>
      <c r="BT253" s="918"/>
      <c r="BU253" s="918"/>
      <c r="BV253" s="918"/>
      <c r="BW253" s="918"/>
      <c r="BX253" s="918"/>
      <c r="BY253" s="918"/>
      <c r="BZ253" s="918"/>
      <c r="CA253" s="918"/>
      <c r="CB253" s="918"/>
      <c r="CC253" s="918"/>
      <c r="CD253" s="918"/>
      <c r="CE253" s="918"/>
      <c r="CF253" s="918"/>
      <c r="CG253" s="918"/>
      <c r="CH253" s="918"/>
      <c r="CI253" s="918"/>
      <c r="CJ253" s="918"/>
      <c r="CK253" s="918"/>
      <c r="CL253" s="918"/>
      <c r="CM253" s="918"/>
      <c r="CN253" s="918"/>
      <c r="CO253" s="918"/>
      <c r="CP253" s="918"/>
      <c r="CQ253" s="918"/>
      <c r="CR253" s="918"/>
      <c r="CS253" s="918"/>
      <c r="CT253" s="918"/>
      <c r="CU253" s="918"/>
      <c r="CV253" s="918"/>
      <c r="CW253" s="918"/>
      <c r="CX253" s="918"/>
      <c r="CY253" s="918"/>
      <c r="CZ253" s="918"/>
      <c r="DA253" s="918"/>
      <c r="DB253" s="918"/>
      <c r="DC253" s="918"/>
      <c r="DD253" s="918"/>
      <c r="DE253" s="918"/>
      <c r="DF253" s="918"/>
      <c r="DG253" s="918"/>
      <c r="DH253" s="918"/>
      <c r="DI253" s="918"/>
      <c r="DJ253" s="918"/>
      <c r="DK253" s="918"/>
      <c r="DL253" s="918"/>
      <c r="DM253" s="918"/>
      <c r="DN253" s="918"/>
      <c r="DO253" s="918"/>
      <c r="DP253" s="918"/>
      <c r="DQ253" s="918"/>
      <c r="DR253" s="918"/>
      <c r="DS253" s="918"/>
      <c r="DT253" s="918"/>
      <c r="DU253" s="918"/>
      <c r="DV253" s="918"/>
      <c r="DW253" s="918"/>
      <c r="DX253" s="918"/>
      <c r="DY253" s="918"/>
      <c r="DZ253" s="918"/>
      <c r="EA253" s="918"/>
      <c r="EB253" s="918"/>
      <c r="EC253" s="918"/>
      <c r="ED253" s="918"/>
      <c r="EE253" s="918"/>
      <c r="EF253" s="918"/>
      <c r="EG253" s="918"/>
      <c r="EH253" s="918"/>
      <c r="EI253" s="918"/>
      <c r="EJ253" s="918"/>
      <c r="EK253" s="918"/>
      <c r="EL253" s="918"/>
      <c r="EM253" s="918"/>
      <c r="EN253" s="918"/>
      <c r="EO253" s="918"/>
      <c r="EP253" s="918"/>
      <c r="EQ253" s="918"/>
      <c r="ER253" s="918"/>
      <c r="ES253" s="918"/>
      <c r="ET253" s="918"/>
      <c r="EU253" s="918"/>
      <c r="EV253" s="918"/>
      <c r="EW253" s="918"/>
      <c r="EX253" s="918"/>
      <c r="EY253" s="918"/>
      <c r="EZ253" s="918"/>
      <c r="FA253" s="918"/>
      <c r="FB253" s="918"/>
      <c r="FC253" s="918"/>
      <c r="FD253" s="918"/>
      <c r="FE253" s="918"/>
      <c r="FF253" s="918"/>
      <c r="FG253" s="918"/>
      <c r="FH253" s="918"/>
      <c r="FI253" s="918"/>
      <c r="FJ253" s="918"/>
      <c r="FK253" s="918"/>
      <c r="FL253" s="918"/>
      <c r="FM253" s="918"/>
      <c r="FN253" s="918"/>
      <c r="FO253" s="918"/>
      <c r="FP253" s="918"/>
      <c r="FQ253" s="918"/>
      <c r="FR253" s="918"/>
      <c r="FS253" s="918"/>
      <c r="FT253" s="918"/>
      <c r="FU253" s="918"/>
      <c r="FV253" s="918"/>
      <c r="FW253" s="918"/>
      <c r="FX253" s="918"/>
      <c r="FY253" s="918"/>
      <c r="FZ253" s="918"/>
      <c r="GA253" s="918"/>
      <c r="GB253" s="918"/>
      <c r="GC253" s="918"/>
      <c r="GD253" s="918"/>
      <c r="GE253" s="918"/>
      <c r="GF253" s="918"/>
      <c r="GG253" s="918"/>
      <c r="GH253" s="918"/>
      <c r="GI253" s="918"/>
      <c r="GJ253" s="918"/>
      <c r="GK253" s="918"/>
      <c r="GL253" s="918"/>
      <c r="GM253" s="918"/>
      <c r="GN253" s="918"/>
      <c r="GO253" s="918"/>
      <c r="GP253" s="918"/>
      <c r="GQ253" s="918"/>
      <c r="GR253" s="918"/>
      <c r="GS253" s="918"/>
      <c r="GT253" s="918"/>
      <c r="GU253" s="918"/>
      <c r="GV253" s="918"/>
      <c r="GW253" s="918"/>
      <c r="GX253" s="918"/>
      <c r="GY253" s="918"/>
      <c r="GZ253" s="918"/>
      <c r="HA253" s="918"/>
      <c r="HB253" s="918"/>
      <c r="HC253" s="918"/>
      <c r="HD253" s="918"/>
      <c r="HE253" s="918"/>
      <c r="HF253" s="918"/>
      <c r="HG253" s="918"/>
      <c r="HH253" s="918"/>
      <c r="HI253" s="918"/>
      <c r="HJ253" s="918"/>
      <c r="HK253" s="918"/>
      <c r="HL253" s="918"/>
      <c r="HM253" s="918"/>
      <c r="HN253" s="918"/>
      <c r="HO253" s="918"/>
      <c r="HP253" s="918"/>
      <c r="HQ253" s="918"/>
      <c r="HR253" s="918"/>
      <c r="HS253" s="918"/>
      <c r="HT253" s="918"/>
      <c r="HU253" s="918"/>
      <c r="HV253" s="918"/>
      <c r="HW253" s="918"/>
      <c r="HX253" s="918"/>
      <c r="HY253" s="918"/>
      <c r="HZ253" s="918"/>
      <c r="IA253" s="918"/>
      <c r="IB253" s="918"/>
      <c r="IC253" s="918"/>
      <c r="ID253" s="918"/>
      <c r="IE253" s="918"/>
      <c r="IF253" s="918"/>
      <c r="IG253" s="918"/>
      <c r="IH253" s="918"/>
      <c r="II253" s="918"/>
      <c r="IJ253" s="918"/>
      <c r="IK253" s="918"/>
      <c r="IL253" s="918"/>
      <c r="IM253" s="918"/>
      <c r="IN253" s="918"/>
    </row>
    <row r="254" spans="1:248">
      <c r="A254" s="619" t="s">
        <v>28</v>
      </c>
      <c r="B254" s="617">
        <v>28978.1</v>
      </c>
      <c r="C254" s="617">
        <v>23.860932201854652</v>
      </c>
      <c r="D254" s="620">
        <v>25975.5</v>
      </c>
      <c r="E254" s="919">
        <v>21.388553576986606</v>
      </c>
      <c r="F254" s="919">
        <v>3002.5999999999985</v>
      </c>
      <c r="G254" s="919">
        <f t="shared" si="35"/>
        <v>2.472378624868047</v>
      </c>
      <c r="H254" s="400">
        <v>121445.8</v>
      </c>
      <c r="I254" s="918"/>
      <c r="J254" s="918"/>
      <c r="K254" s="918"/>
      <c r="L254" s="918"/>
      <c r="M254" s="918"/>
      <c r="N254" s="918"/>
      <c r="O254" s="918"/>
      <c r="P254" s="918"/>
      <c r="Q254" s="918"/>
      <c r="R254" s="918"/>
      <c r="S254" s="918"/>
      <c r="T254" s="918"/>
      <c r="U254" s="918"/>
      <c r="V254" s="918"/>
      <c r="W254" s="918"/>
      <c r="X254" s="918"/>
      <c r="Y254" s="918"/>
      <c r="Z254" s="918"/>
      <c r="AA254" s="918"/>
      <c r="AB254" s="918"/>
      <c r="AC254" s="918"/>
      <c r="AD254" s="918"/>
      <c r="AE254" s="918"/>
      <c r="AF254" s="918"/>
      <c r="AG254" s="918"/>
      <c r="AH254" s="918"/>
      <c r="AI254" s="918"/>
      <c r="AJ254" s="918"/>
      <c r="AK254" s="918"/>
      <c r="AL254" s="918"/>
      <c r="AM254" s="918"/>
      <c r="AN254" s="918"/>
      <c r="AO254" s="918"/>
      <c r="AP254" s="918"/>
      <c r="AQ254" s="918"/>
      <c r="AR254" s="918"/>
      <c r="AS254" s="918"/>
      <c r="AT254" s="918"/>
      <c r="AU254" s="918"/>
      <c r="AV254" s="918"/>
      <c r="AW254" s="918"/>
      <c r="AX254" s="918"/>
      <c r="AY254" s="918"/>
      <c r="AZ254" s="918"/>
      <c r="BA254" s="918"/>
      <c r="BB254" s="918"/>
      <c r="BC254" s="918"/>
      <c r="BD254" s="918"/>
      <c r="BE254" s="918"/>
      <c r="BF254" s="918"/>
      <c r="BG254" s="918"/>
      <c r="BH254" s="918"/>
      <c r="BI254" s="918"/>
      <c r="BJ254" s="918"/>
      <c r="BK254" s="918"/>
      <c r="BL254" s="918"/>
      <c r="BM254" s="918"/>
      <c r="BN254" s="918"/>
      <c r="BO254" s="918"/>
      <c r="BP254" s="918"/>
      <c r="BQ254" s="918"/>
      <c r="BR254" s="918"/>
      <c r="BS254" s="918"/>
      <c r="BT254" s="918"/>
      <c r="BU254" s="918"/>
      <c r="BV254" s="918"/>
      <c r="BW254" s="918"/>
      <c r="BX254" s="918"/>
      <c r="BY254" s="918"/>
      <c r="BZ254" s="918"/>
      <c r="CA254" s="918"/>
      <c r="CB254" s="918"/>
      <c r="CC254" s="918"/>
      <c r="CD254" s="918"/>
      <c r="CE254" s="918"/>
      <c r="CF254" s="918"/>
      <c r="CG254" s="918"/>
      <c r="CH254" s="918"/>
      <c r="CI254" s="918"/>
      <c r="CJ254" s="918"/>
      <c r="CK254" s="918"/>
      <c r="CL254" s="918"/>
      <c r="CM254" s="918"/>
      <c r="CN254" s="918"/>
      <c r="CO254" s="918"/>
      <c r="CP254" s="918"/>
      <c r="CQ254" s="918"/>
      <c r="CR254" s="918"/>
      <c r="CS254" s="918"/>
      <c r="CT254" s="918"/>
      <c r="CU254" s="918"/>
      <c r="CV254" s="918"/>
      <c r="CW254" s="918"/>
      <c r="CX254" s="918"/>
      <c r="CY254" s="918"/>
      <c r="CZ254" s="918"/>
      <c r="DA254" s="918"/>
      <c r="DB254" s="918"/>
      <c r="DC254" s="918"/>
      <c r="DD254" s="918"/>
      <c r="DE254" s="918"/>
      <c r="DF254" s="918"/>
      <c r="DG254" s="918"/>
      <c r="DH254" s="918"/>
      <c r="DI254" s="918"/>
      <c r="DJ254" s="918"/>
      <c r="DK254" s="918"/>
      <c r="DL254" s="918"/>
      <c r="DM254" s="918"/>
      <c r="DN254" s="918"/>
      <c r="DO254" s="918"/>
      <c r="DP254" s="918"/>
      <c r="DQ254" s="918"/>
      <c r="DR254" s="918"/>
      <c r="DS254" s="918"/>
      <c r="DT254" s="918"/>
      <c r="DU254" s="918"/>
      <c r="DV254" s="918"/>
      <c r="DW254" s="918"/>
      <c r="DX254" s="918"/>
      <c r="DY254" s="918"/>
      <c r="DZ254" s="918"/>
      <c r="EA254" s="918"/>
      <c r="EB254" s="918"/>
      <c r="EC254" s="918"/>
      <c r="ED254" s="918"/>
      <c r="EE254" s="918"/>
      <c r="EF254" s="918"/>
      <c r="EG254" s="918"/>
      <c r="EH254" s="918"/>
      <c r="EI254" s="918"/>
      <c r="EJ254" s="918"/>
      <c r="EK254" s="918"/>
      <c r="EL254" s="918"/>
      <c r="EM254" s="918"/>
      <c r="EN254" s="918"/>
      <c r="EO254" s="918"/>
      <c r="EP254" s="918"/>
      <c r="EQ254" s="918"/>
      <c r="ER254" s="918"/>
      <c r="ES254" s="918"/>
      <c r="ET254" s="918"/>
      <c r="EU254" s="918"/>
      <c r="EV254" s="918"/>
      <c r="EW254" s="918"/>
      <c r="EX254" s="918"/>
      <c r="EY254" s="918"/>
      <c r="EZ254" s="918"/>
      <c r="FA254" s="918"/>
      <c r="FB254" s="918"/>
      <c r="FC254" s="918"/>
      <c r="FD254" s="918"/>
      <c r="FE254" s="918"/>
      <c r="FF254" s="918"/>
      <c r="FG254" s="918"/>
      <c r="FH254" s="918"/>
      <c r="FI254" s="918"/>
      <c r="FJ254" s="918"/>
      <c r="FK254" s="918"/>
      <c r="FL254" s="918"/>
      <c r="FM254" s="918"/>
      <c r="FN254" s="918"/>
      <c r="FO254" s="918"/>
      <c r="FP254" s="918"/>
      <c r="FQ254" s="918"/>
      <c r="FR254" s="918"/>
      <c r="FS254" s="918"/>
      <c r="FT254" s="918"/>
      <c r="FU254" s="918"/>
      <c r="FV254" s="918"/>
      <c r="FW254" s="918"/>
      <c r="FX254" s="918"/>
      <c r="FY254" s="918"/>
      <c r="FZ254" s="918"/>
      <c r="GA254" s="918"/>
      <c r="GB254" s="918"/>
      <c r="GC254" s="918"/>
      <c r="GD254" s="918"/>
      <c r="GE254" s="918"/>
      <c r="GF254" s="918"/>
      <c r="GG254" s="918"/>
      <c r="GH254" s="918"/>
      <c r="GI254" s="918"/>
      <c r="GJ254" s="918"/>
      <c r="GK254" s="918"/>
      <c r="GL254" s="918"/>
      <c r="GM254" s="918"/>
      <c r="GN254" s="918"/>
      <c r="GO254" s="918"/>
      <c r="GP254" s="918"/>
      <c r="GQ254" s="918"/>
      <c r="GR254" s="918"/>
      <c r="GS254" s="918"/>
      <c r="GT254" s="918"/>
      <c r="GU254" s="918"/>
      <c r="GV254" s="918"/>
      <c r="GW254" s="918"/>
      <c r="GX254" s="918"/>
      <c r="GY254" s="918"/>
      <c r="GZ254" s="918"/>
      <c r="HA254" s="918"/>
      <c r="HB254" s="918"/>
      <c r="HC254" s="918"/>
      <c r="HD254" s="918"/>
      <c r="HE254" s="918"/>
      <c r="HF254" s="918"/>
      <c r="HG254" s="918"/>
      <c r="HH254" s="918"/>
      <c r="HI254" s="918"/>
      <c r="HJ254" s="918"/>
      <c r="HK254" s="918"/>
      <c r="HL254" s="918"/>
      <c r="HM254" s="918"/>
      <c r="HN254" s="918"/>
      <c r="HO254" s="918"/>
      <c r="HP254" s="918"/>
      <c r="HQ254" s="918"/>
      <c r="HR254" s="918"/>
      <c r="HS254" s="918"/>
      <c r="HT254" s="918"/>
      <c r="HU254" s="918"/>
      <c r="HV254" s="918"/>
      <c r="HW254" s="918"/>
      <c r="HX254" s="918"/>
      <c r="HY254" s="918"/>
      <c r="HZ254" s="918"/>
      <c r="IA254" s="918"/>
      <c r="IB254" s="918"/>
      <c r="IC254" s="918"/>
      <c r="ID254" s="918"/>
      <c r="IE254" s="918"/>
      <c r="IF254" s="918"/>
      <c r="IG254" s="918"/>
      <c r="IH254" s="918"/>
      <c r="II254" s="918"/>
      <c r="IJ254" s="918"/>
      <c r="IK254" s="918"/>
      <c r="IL254" s="918"/>
      <c r="IM254" s="918"/>
      <c r="IN254" s="918"/>
    </row>
    <row r="255" spans="1:248">
      <c r="A255" s="619" t="s">
        <v>29</v>
      </c>
      <c r="B255" s="617">
        <v>30679.599999999999</v>
      </c>
      <c r="C255" s="617">
        <v>22.910754129622244</v>
      </c>
      <c r="D255" s="620">
        <v>32064.6</v>
      </c>
      <c r="E255" s="919">
        <v>23.958982498143115</v>
      </c>
      <c r="F255" s="919">
        <f>B255-D255</f>
        <v>-1385</v>
      </c>
      <c r="G255" s="919">
        <f t="shared" si="35"/>
        <v>-1.0349274952961238</v>
      </c>
      <c r="H255" s="400">
        <v>133825.79999999999</v>
      </c>
      <c r="I255" s="918"/>
      <c r="J255" s="918"/>
      <c r="K255" s="918"/>
      <c r="L255" s="918"/>
      <c r="M255" s="918"/>
      <c r="N255" s="918"/>
      <c r="O255" s="918"/>
      <c r="P255" s="918"/>
      <c r="Q255" s="918"/>
      <c r="R255" s="918"/>
      <c r="S255" s="918"/>
      <c r="T255" s="918"/>
      <c r="U255" s="918"/>
      <c r="V255" s="918"/>
      <c r="W255" s="918"/>
      <c r="X255" s="918"/>
      <c r="Y255" s="918"/>
      <c r="Z255" s="918"/>
      <c r="AA255" s="918"/>
      <c r="AB255" s="918"/>
      <c r="AC255" s="918"/>
      <c r="AD255" s="918"/>
      <c r="AE255" s="918"/>
      <c r="AF255" s="918"/>
      <c r="AG255" s="918"/>
      <c r="AH255" s="918"/>
      <c r="AI255" s="918"/>
      <c r="AJ255" s="918"/>
      <c r="AK255" s="918"/>
      <c r="AL255" s="918"/>
      <c r="AM255" s="918"/>
      <c r="AN255" s="918"/>
      <c r="AO255" s="918"/>
      <c r="AP255" s="918"/>
      <c r="AQ255" s="918"/>
      <c r="AR255" s="918"/>
      <c r="AS255" s="918"/>
      <c r="AT255" s="918"/>
      <c r="AU255" s="918"/>
      <c r="AV255" s="918"/>
      <c r="AW255" s="918"/>
      <c r="AX255" s="918"/>
      <c r="AY255" s="918"/>
      <c r="AZ255" s="918"/>
      <c r="BA255" s="918"/>
      <c r="BB255" s="918"/>
      <c r="BC255" s="918"/>
      <c r="BD255" s="918"/>
      <c r="BE255" s="918"/>
      <c r="BF255" s="918"/>
      <c r="BG255" s="918"/>
      <c r="BH255" s="918"/>
      <c r="BI255" s="918"/>
      <c r="BJ255" s="918"/>
      <c r="BK255" s="918"/>
      <c r="BL255" s="918"/>
      <c r="BM255" s="918"/>
      <c r="BN255" s="918"/>
      <c r="BO255" s="918"/>
      <c r="BP255" s="918"/>
      <c r="BQ255" s="918"/>
      <c r="BR255" s="918"/>
      <c r="BS255" s="918"/>
      <c r="BT255" s="918"/>
      <c r="BU255" s="918"/>
      <c r="BV255" s="918"/>
      <c r="BW255" s="918"/>
      <c r="BX255" s="918"/>
      <c r="BY255" s="918"/>
      <c r="BZ255" s="918"/>
      <c r="CA255" s="918"/>
      <c r="CB255" s="918"/>
      <c r="CC255" s="918"/>
      <c r="CD255" s="918"/>
      <c r="CE255" s="918"/>
      <c r="CF255" s="918"/>
      <c r="CG255" s="918"/>
      <c r="CH255" s="918"/>
      <c r="CI255" s="918"/>
      <c r="CJ255" s="918"/>
      <c r="CK255" s="918"/>
      <c r="CL255" s="918"/>
      <c r="CM255" s="918"/>
      <c r="CN255" s="918"/>
      <c r="CO255" s="918"/>
      <c r="CP255" s="918"/>
      <c r="CQ255" s="918"/>
      <c r="CR255" s="918"/>
      <c r="CS255" s="918"/>
      <c r="CT255" s="918"/>
      <c r="CU255" s="918"/>
      <c r="CV255" s="918"/>
      <c r="CW255" s="918"/>
      <c r="CX255" s="918"/>
      <c r="CY255" s="918"/>
      <c r="CZ255" s="918"/>
      <c r="DA255" s="918"/>
      <c r="DB255" s="918"/>
      <c r="DC255" s="918"/>
      <c r="DD255" s="918"/>
      <c r="DE255" s="918"/>
      <c r="DF255" s="918"/>
      <c r="DG255" s="918"/>
      <c r="DH255" s="918"/>
      <c r="DI255" s="918"/>
      <c r="DJ255" s="918"/>
      <c r="DK255" s="918"/>
      <c r="DL255" s="918"/>
      <c r="DM255" s="918"/>
      <c r="DN255" s="918"/>
      <c r="DO255" s="918"/>
      <c r="DP255" s="918"/>
      <c r="DQ255" s="918"/>
      <c r="DR255" s="918"/>
      <c r="DS255" s="918"/>
      <c r="DT255" s="918"/>
      <c r="DU255" s="918"/>
      <c r="DV255" s="918"/>
      <c r="DW255" s="918"/>
      <c r="DX255" s="918"/>
      <c r="DY255" s="918"/>
      <c r="DZ255" s="918"/>
      <c r="EA255" s="918"/>
      <c r="EB255" s="918"/>
      <c r="EC255" s="918"/>
      <c r="ED255" s="918"/>
      <c r="EE255" s="918"/>
      <c r="EF255" s="918"/>
      <c r="EG255" s="918"/>
      <c r="EH255" s="918"/>
      <c r="EI255" s="918"/>
      <c r="EJ255" s="918"/>
      <c r="EK255" s="918"/>
      <c r="EL255" s="918"/>
      <c r="EM255" s="918"/>
      <c r="EN255" s="918"/>
      <c r="EO255" s="918"/>
      <c r="EP255" s="918"/>
      <c r="EQ255" s="918"/>
      <c r="ER255" s="918"/>
      <c r="ES255" s="918"/>
      <c r="ET255" s="918"/>
      <c r="EU255" s="918"/>
      <c r="EV255" s="918"/>
      <c r="EW255" s="918"/>
      <c r="EX255" s="918"/>
      <c r="EY255" s="918"/>
      <c r="EZ255" s="918"/>
      <c r="FA255" s="918"/>
      <c r="FB255" s="918"/>
      <c r="FC255" s="918"/>
      <c r="FD255" s="918"/>
      <c r="FE255" s="918"/>
      <c r="FF255" s="918"/>
      <c r="FG255" s="918"/>
      <c r="FH255" s="918"/>
      <c r="FI255" s="918"/>
      <c r="FJ255" s="918"/>
      <c r="FK255" s="918"/>
      <c r="FL255" s="918"/>
      <c r="FM255" s="918"/>
      <c r="FN255" s="918"/>
      <c r="FO255" s="918"/>
      <c r="FP255" s="918"/>
      <c r="FQ255" s="918"/>
      <c r="FR255" s="918"/>
      <c r="FS255" s="918"/>
      <c r="FT255" s="918"/>
      <c r="FU255" s="918"/>
      <c r="FV255" s="918"/>
      <c r="FW255" s="918"/>
      <c r="FX255" s="918"/>
      <c r="FY255" s="918"/>
      <c r="FZ255" s="918"/>
      <c r="GA255" s="918"/>
      <c r="GB255" s="918"/>
      <c r="GC255" s="918"/>
      <c r="GD255" s="918"/>
      <c r="GE255" s="918"/>
      <c r="GF255" s="918"/>
      <c r="GG255" s="918"/>
      <c r="GH255" s="918"/>
      <c r="GI255" s="918"/>
      <c r="GJ255" s="918"/>
      <c r="GK255" s="918"/>
      <c r="GL255" s="918"/>
      <c r="GM255" s="918"/>
      <c r="GN255" s="918"/>
      <c r="GO255" s="918"/>
      <c r="GP255" s="918"/>
      <c r="GQ255" s="918"/>
      <c r="GR255" s="918"/>
      <c r="GS255" s="918"/>
      <c r="GT255" s="918"/>
      <c r="GU255" s="918"/>
      <c r="GV255" s="918"/>
      <c r="GW255" s="918"/>
      <c r="GX255" s="918"/>
      <c r="GY255" s="918"/>
      <c r="GZ255" s="918"/>
      <c r="HA255" s="918"/>
      <c r="HB255" s="918"/>
      <c r="HC255" s="918"/>
      <c r="HD255" s="918"/>
      <c r="HE255" s="918"/>
      <c r="HF255" s="918"/>
      <c r="HG255" s="918"/>
      <c r="HH255" s="918"/>
      <c r="HI255" s="918"/>
      <c r="HJ255" s="918"/>
      <c r="HK255" s="918"/>
      <c r="HL255" s="918"/>
      <c r="HM255" s="918"/>
      <c r="HN255" s="918"/>
      <c r="HO255" s="918"/>
      <c r="HP255" s="918"/>
      <c r="HQ255" s="918"/>
      <c r="HR255" s="918"/>
      <c r="HS255" s="918"/>
      <c r="HT255" s="918"/>
      <c r="HU255" s="918"/>
      <c r="HV255" s="918"/>
      <c r="HW255" s="918"/>
      <c r="HX255" s="918"/>
      <c r="HY255" s="918"/>
      <c r="HZ255" s="918"/>
      <c r="IA255" s="918"/>
      <c r="IB255" s="918"/>
      <c r="IC255" s="918"/>
      <c r="ID255" s="918"/>
      <c r="IE255" s="918"/>
      <c r="IF255" s="918"/>
      <c r="IG255" s="918"/>
      <c r="IH255" s="918"/>
      <c r="II255" s="918"/>
      <c r="IJ255" s="918"/>
      <c r="IK255" s="918"/>
      <c r="IL255" s="918"/>
      <c r="IM255" s="918"/>
      <c r="IN255" s="918"/>
    </row>
    <row r="256" spans="1:248">
      <c r="A256" s="619" t="s">
        <v>3518</v>
      </c>
      <c r="B256" s="612">
        <v>35236.39</v>
      </c>
      <c r="C256" s="612">
        <v>28.921308396779011</v>
      </c>
      <c r="D256" s="616">
        <v>36457.96</v>
      </c>
      <c r="E256" s="920">
        <v>29.639731556719006</v>
      </c>
      <c r="F256" s="920">
        <v>-1221.5699999999997</v>
      </c>
      <c r="G256" s="920">
        <v>-0.99310193446634476</v>
      </c>
      <c r="H256" s="400"/>
      <c r="I256" s="918"/>
      <c r="J256" s="918"/>
      <c r="K256" s="918"/>
      <c r="L256" s="918"/>
      <c r="M256" s="918"/>
      <c r="N256" s="918"/>
      <c r="O256" s="918"/>
      <c r="P256" s="918"/>
      <c r="Q256" s="918"/>
      <c r="R256" s="918"/>
      <c r="S256" s="918"/>
      <c r="T256" s="918"/>
      <c r="U256" s="918"/>
      <c r="V256" s="918"/>
      <c r="W256" s="918"/>
      <c r="X256" s="918"/>
      <c r="Y256" s="918"/>
      <c r="Z256" s="918"/>
      <c r="AA256" s="918"/>
      <c r="AB256" s="918"/>
      <c r="AC256" s="918"/>
      <c r="AD256" s="918"/>
      <c r="AE256" s="918"/>
      <c r="AF256" s="918"/>
      <c r="AG256" s="918"/>
      <c r="AH256" s="918"/>
      <c r="AI256" s="918"/>
      <c r="AJ256" s="918"/>
      <c r="AK256" s="918"/>
      <c r="AL256" s="918"/>
      <c r="AM256" s="918"/>
      <c r="AN256" s="918"/>
      <c r="AO256" s="918"/>
      <c r="AP256" s="918"/>
      <c r="AQ256" s="918"/>
      <c r="AR256" s="918"/>
      <c r="AS256" s="918"/>
      <c r="AT256" s="918"/>
      <c r="AU256" s="918"/>
      <c r="AV256" s="918"/>
      <c r="AW256" s="918"/>
      <c r="AX256" s="918"/>
      <c r="AY256" s="918"/>
      <c r="AZ256" s="918"/>
      <c r="BA256" s="918"/>
      <c r="BB256" s="918"/>
      <c r="BC256" s="918"/>
      <c r="BD256" s="918"/>
      <c r="BE256" s="918"/>
      <c r="BF256" s="918"/>
      <c r="BG256" s="918"/>
      <c r="BH256" s="918"/>
      <c r="BI256" s="918"/>
      <c r="BJ256" s="918"/>
      <c r="BK256" s="918"/>
      <c r="BL256" s="918"/>
      <c r="BM256" s="918"/>
      <c r="BN256" s="918"/>
      <c r="BO256" s="918"/>
      <c r="BP256" s="918"/>
      <c r="BQ256" s="918"/>
      <c r="BR256" s="918"/>
      <c r="BS256" s="918"/>
      <c r="BT256" s="918"/>
      <c r="BU256" s="918"/>
      <c r="BV256" s="918"/>
      <c r="BW256" s="918"/>
      <c r="BX256" s="918"/>
      <c r="BY256" s="918"/>
      <c r="BZ256" s="918"/>
      <c r="CA256" s="918"/>
      <c r="CB256" s="918"/>
      <c r="CC256" s="918"/>
      <c r="CD256" s="918"/>
      <c r="CE256" s="918"/>
      <c r="CF256" s="918"/>
      <c r="CG256" s="918"/>
      <c r="CH256" s="918"/>
      <c r="CI256" s="918"/>
      <c r="CJ256" s="918"/>
      <c r="CK256" s="918"/>
      <c r="CL256" s="918"/>
      <c r="CM256" s="918"/>
      <c r="CN256" s="918"/>
      <c r="CO256" s="918"/>
      <c r="CP256" s="918"/>
      <c r="CQ256" s="918"/>
      <c r="CR256" s="918"/>
      <c r="CS256" s="918"/>
      <c r="CT256" s="918"/>
      <c r="CU256" s="918"/>
      <c r="CV256" s="918"/>
      <c r="CW256" s="918"/>
      <c r="CX256" s="918"/>
      <c r="CY256" s="918"/>
      <c r="CZ256" s="918"/>
      <c r="DA256" s="918"/>
      <c r="DB256" s="918"/>
      <c r="DC256" s="918"/>
      <c r="DD256" s="918"/>
      <c r="DE256" s="918"/>
      <c r="DF256" s="918"/>
      <c r="DG256" s="918"/>
      <c r="DH256" s="918"/>
      <c r="DI256" s="918"/>
      <c r="DJ256" s="918"/>
      <c r="DK256" s="918"/>
      <c r="DL256" s="918"/>
      <c r="DM256" s="918"/>
      <c r="DN256" s="918"/>
      <c r="DO256" s="918"/>
      <c r="DP256" s="918"/>
      <c r="DQ256" s="918"/>
      <c r="DR256" s="918"/>
      <c r="DS256" s="918"/>
      <c r="DT256" s="918"/>
      <c r="DU256" s="918"/>
      <c r="DV256" s="918"/>
      <c r="DW256" s="918"/>
      <c r="DX256" s="918"/>
      <c r="DY256" s="918"/>
      <c r="DZ256" s="918"/>
      <c r="EA256" s="918"/>
      <c r="EB256" s="918"/>
      <c r="EC256" s="918"/>
      <c r="ED256" s="918"/>
      <c r="EE256" s="918"/>
      <c r="EF256" s="918"/>
      <c r="EG256" s="918"/>
      <c r="EH256" s="918"/>
      <c r="EI256" s="918"/>
      <c r="EJ256" s="918"/>
      <c r="EK256" s="918"/>
      <c r="EL256" s="918"/>
      <c r="EM256" s="918"/>
      <c r="EN256" s="918"/>
      <c r="EO256" s="918"/>
      <c r="EP256" s="918"/>
      <c r="EQ256" s="918"/>
      <c r="ER256" s="918"/>
      <c r="ES256" s="918"/>
      <c r="ET256" s="918"/>
      <c r="EU256" s="918"/>
      <c r="EV256" s="918"/>
      <c r="EW256" s="918"/>
      <c r="EX256" s="918"/>
      <c r="EY256" s="918"/>
      <c r="EZ256" s="918"/>
      <c r="FA256" s="918"/>
      <c r="FB256" s="918"/>
      <c r="FC256" s="918"/>
      <c r="FD256" s="918"/>
      <c r="FE256" s="918"/>
      <c r="FF256" s="918"/>
      <c r="FG256" s="918"/>
      <c r="FH256" s="918"/>
      <c r="FI256" s="918"/>
      <c r="FJ256" s="918"/>
      <c r="FK256" s="918"/>
      <c r="FL256" s="918"/>
      <c r="FM256" s="918"/>
      <c r="FN256" s="918"/>
      <c r="FO256" s="918"/>
      <c r="FP256" s="918"/>
      <c r="FQ256" s="918"/>
      <c r="FR256" s="918"/>
      <c r="FS256" s="918"/>
      <c r="FT256" s="918"/>
      <c r="FU256" s="918"/>
      <c r="FV256" s="918"/>
      <c r="FW256" s="918"/>
      <c r="FX256" s="918"/>
      <c r="FY256" s="918"/>
      <c r="FZ256" s="918"/>
      <c r="GA256" s="918"/>
      <c r="GB256" s="918"/>
      <c r="GC256" s="918"/>
      <c r="GD256" s="918"/>
      <c r="GE256" s="918"/>
      <c r="GF256" s="918"/>
      <c r="GG256" s="918"/>
      <c r="GH256" s="918"/>
      <c r="GI256" s="918"/>
      <c r="GJ256" s="918"/>
      <c r="GK256" s="918"/>
      <c r="GL256" s="918"/>
      <c r="GM256" s="918"/>
      <c r="GN256" s="918"/>
      <c r="GO256" s="918"/>
      <c r="GP256" s="918"/>
      <c r="GQ256" s="918"/>
      <c r="GR256" s="918"/>
      <c r="GS256" s="918"/>
      <c r="GT256" s="918"/>
      <c r="GU256" s="918"/>
      <c r="GV256" s="918"/>
      <c r="GW256" s="918"/>
      <c r="GX256" s="918"/>
      <c r="GY256" s="918"/>
      <c r="GZ256" s="918"/>
      <c r="HA256" s="918"/>
      <c r="HB256" s="918"/>
      <c r="HC256" s="918"/>
      <c r="HD256" s="918"/>
      <c r="HE256" s="918"/>
      <c r="HF256" s="918"/>
      <c r="HG256" s="918"/>
      <c r="HH256" s="918"/>
      <c r="HI256" s="918"/>
      <c r="HJ256" s="918"/>
      <c r="HK256" s="918"/>
      <c r="HL256" s="918"/>
      <c r="HM256" s="918"/>
      <c r="HN256" s="918"/>
      <c r="HO256" s="918"/>
      <c r="HP256" s="918"/>
      <c r="HQ256" s="918"/>
      <c r="HR256" s="918"/>
      <c r="HS256" s="918"/>
      <c r="HT256" s="918"/>
      <c r="HU256" s="918"/>
      <c r="HV256" s="918"/>
      <c r="HW256" s="918"/>
      <c r="HX256" s="918"/>
      <c r="HY256" s="918"/>
      <c r="HZ256" s="918"/>
      <c r="IA256" s="918"/>
      <c r="IB256" s="918"/>
      <c r="IC256" s="918"/>
      <c r="ID256" s="918"/>
      <c r="IE256" s="918"/>
      <c r="IF256" s="918"/>
      <c r="IG256" s="918"/>
      <c r="IH256" s="918"/>
      <c r="II256" s="918"/>
      <c r="IJ256" s="918"/>
      <c r="IK256" s="918"/>
      <c r="IL256" s="918"/>
      <c r="IM256" s="918"/>
      <c r="IN256" s="918"/>
    </row>
    <row r="257" spans="1:248">
      <c r="A257" s="619" t="s">
        <v>18</v>
      </c>
      <c r="B257" s="617">
        <v>4006.5</v>
      </c>
      <c r="C257" s="617">
        <v>41.34589585354275</v>
      </c>
      <c r="D257" s="620">
        <v>1457.9</v>
      </c>
      <c r="E257" s="919">
        <v>15.045097108418815</v>
      </c>
      <c r="F257" s="919">
        <v>2548.6</v>
      </c>
      <c r="G257" s="919">
        <v>26.300798745123938</v>
      </c>
      <c r="H257" s="400">
        <v>9690.2000000000007</v>
      </c>
      <c r="I257" s="918"/>
      <c r="J257" s="918"/>
      <c r="K257" s="918"/>
      <c r="L257" s="918"/>
      <c r="M257" s="918"/>
      <c r="N257" s="918"/>
      <c r="O257" s="918"/>
      <c r="P257" s="918"/>
      <c r="Q257" s="918"/>
      <c r="R257" s="918"/>
      <c r="S257" s="918"/>
      <c r="T257" s="918"/>
      <c r="U257" s="918"/>
      <c r="V257" s="918"/>
      <c r="W257" s="918"/>
      <c r="X257" s="918"/>
      <c r="Y257" s="918"/>
      <c r="Z257" s="918"/>
      <c r="AA257" s="918"/>
      <c r="AB257" s="918"/>
      <c r="AC257" s="918"/>
      <c r="AD257" s="918"/>
      <c r="AE257" s="918"/>
      <c r="AF257" s="918"/>
      <c r="AG257" s="918"/>
      <c r="AH257" s="918"/>
      <c r="AI257" s="918"/>
      <c r="AJ257" s="918"/>
      <c r="AK257" s="918"/>
      <c r="AL257" s="918"/>
      <c r="AM257" s="918"/>
      <c r="AN257" s="918"/>
      <c r="AO257" s="918"/>
      <c r="AP257" s="918"/>
      <c r="AQ257" s="918"/>
      <c r="AR257" s="918"/>
      <c r="AS257" s="918"/>
      <c r="AT257" s="918"/>
      <c r="AU257" s="918"/>
      <c r="AV257" s="918"/>
      <c r="AW257" s="918"/>
      <c r="AX257" s="918"/>
      <c r="AY257" s="918"/>
      <c r="AZ257" s="918"/>
      <c r="BA257" s="918"/>
      <c r="BB257" s="918"/>
      <c r="BC257" s="918"/>
      <c r="BD257" s="918"/>
      <c r="BE257" s="918"/>
      <c r="BF257" s="918"/>
      <c r="BG257" s="918"/>
      <c r="BH257" s="918"/>
      <c r="BI257" s="918"/>
      <c r="BJ257" s="918"/>
      <c r="BK257" s="918"/>
      <c r="BL257" s="918"/>
      <c r="BM257" s="918"/>
      <c r="BN257" s="918"/>
      <c r="BO257" s="918"/>
      <c r="BP257" s="918"/>
      <c r="BQ257" s="918"/>
      <c r="BR257" s="918"/>
      <c r="BS257" s="918"/>
      <c r="BT257" s="918"/>
      <c r="BU257" s="918"/>
      <c r="BV257" s="918"/>
      <c r="BW257" s="918"/>
      <c r="BX257" s="918"/>
      <c r="BY257" s="918"/>
      <c r="BZ257" s="918"/>
      <c r="CA257" s="918"/>
      <c r="CB257" s="918"/>
      <c r="CC257" s="918"/>
      <c r="CD257" s="918"/>
      <c r="CE257" s="918"/>
      <c r="CF257" s="918"/>
      <c r="CG257" s="918"/>
      <c r="CH257" s="918"/>
      <c r="CI257" s="918"/>
      <c r="CJ257" s="918"/>
      <c r="CK257" s="918"/>
      <c r="CL257" s="918"/>
      <c r="CM257" s="918"/>
      <c r="CN257" s="918"/>
      <c r="CO257" s="918"/>
      <c r="CP257" s="918"/>
      <c r="CQ257" s="918"/>
      <c r="CR257" s="918"/>
      <c r="CS257" s="918"/>
      <c r="CT257" s="918"/>
      <c r="CU257" s="918"/>
      <c r="CV257" s="918"/>
      <c r="CW257" s="918"/>
      <c r="CX257" s="918"/>
      <c r="CY257" s="918"/>
      <c r="CZ257" s="918"/>
      <c r="DA257" s="918"/>
      <c r="DB257" s="918"/>
      <c r="DC257" s="918"/>
      <c r="DD257" s="918"/>
      <c r="DE257" s="918"/>
      <c r="DF257" s="918"/>
      <c r="DG257" s="918"/>
      <c r="DH257" s="918"/>
      <c r="DI257" s="918"/>
      <c r="DJ257" s="918"/>
      <c r="DK257" s="918"/>
      <c r="DL257" s="918"/>
      <c r="DM257" s="918"/>
      <c r="DN257" s="918"/>
      <c r="DO257" s="918"/>
      <c r="DP257" s="918"/>
      <c r="DQ257" s="918"/>
      <c r="DR257" s="918"/>
      <c r="DS257" s="918"/>
      <c r="DT257" s="918"/>
      <c r="DU257" s="918"/>
      <c r="DV257" s="918"/>
      <c r="DW257" s="918"/>
      <c r="DX257" s="918"/>
      <c r="DY257" s="918"/>
      <c r="DZ257" s="918"/>
      <c r="EA257" s="918"/>
      <c r="EB257" s="918"/>
      <c r="EC257" s="918"/>
      <c r="ED257" s="918"/>
      <c r="EE257" s="918"/>
      <c r="EF257" s="918"/>
      <c r="EG257" s="918"/>
      <c r="EH257" s="918"/>
      <c r="EI257" s="918"/>
      <c r="EJ257" s="918"/>
      <c r="EK257" s="918"/>
      <c r="EL257" s="918"/>
      <c r="EM257" s="918"/>
      <c r="EN257" s="918"/>
      <c r="EO257" s="918"/>
      <c r="EP257" s="918"/>
      <c r="EQ257" s="918"/>
      <c r="ER257" s="918"/>
      <c r="ES257" s="918"/>
      <c r="ET257" s="918"/>
      <c r="EU257" s="918"/>
      <c r="EV257" s="918"/>
      <c r="EW257" s="918"/>
      <c r="EX257" s="918"/>
      <c r="EY257" s="918"/>
      <c r="EZ257" s="918"/>
      <c r="FA257" s="918"/>
      <c r="FB257" s="918"/>
      <c r="FC257" s="918"/>
      <c r="FD257" s="918"/>
      <c r="FE257" s="918"/>
      <c r="FF257" s="918"/>
      <c r="FG257" s="918"/>
      <c r="FH257" s="918"/>
      <c r="FI257" s="918"/>
      <c r="FJ257" s="918"/>
      <c r="FK257" s="918"/>
      <c r="FL257" s="918"/>
      <c r="FM257" s="918"/>
      <c r="FN257" s="918"/>
      <c r="FO257" s="918"/>
      <c r="FP257" s="918"/>
      <c r="FQ257" s="918"/>
      <c r="FR257" s="918"/>
      <c r="FS257" s="918"/>
      <c r="FT257" s="918"/>
      <c r="FU257" s="918"/>
      <c r="FV257" s="918"/>
      <c r="FW257" s="918"/>
      <c r="FX257" s="918"/>
      <c r="FY257" s="918"/>
      <c r="FZ257" s="918"/>
      <c r="GA257" s="918"/>
      <c r="GB257" s="918"/>
      <c r="GC257" s="918"/>
      <c r="GD257" s="918"/>
      <c r="GE257" s="918"/>
      <c r="GF257" s="918"/>
      <c r="GG257" s="918"/>
      <c r="GH257" s="918"/>
      <c r="GI257" s="918"/>
      <c r="GJ257" s="918"/>
      <c r="GK257" s="918"/>
      <c r="GL257" s="918"/>
      <c r="GM257" s="918"/>
      <c r="GN257" s="918"/>
      <c r="GO257" s="918"/>
      <c r="GP257" s="918"/>
      <c r="GQ257" s="918"/>
      <c r="GR257" s="918"/>
      <c r="GS257" s="918"/>
      <c r="GT257" s="918"/>
      <c r="GU257" s="918"/>
      <c r="GV257" s="918"/>
      <c r="GW257" s="918"/>
      <c r="GX257" s="918"/>
      <c r="GY257" s="918"/>
      <c r="GZ257" s="918"/>
      <c r="HA257" s="918"/>
      <c r="HB257" s="918"/>
      <c r="HC257" s="918"/>
      <c r="HD257" s="918"/>
      <c r="HE257" s="918"/>
      <c r="HF257" s="918"/>
      <c r="HG257" s="918"/>
      <c r="HH257" s="918"/>
      <c r="HI257" s="918"/>
      <c r="HJ257" s="918"/>
      <c r="HK257" s="918"/>
      <c r="HL257" s="918"/>
      <c r="HM257" s="918"/>
      <c r="HN257" s="918"/>
      <c r="HO257" s="918"/>
      <c r="HP257" s="918"/>
      <c r="HQ257" s="918"/>
      <c r="HR257" s="918"/>
      <c r="HS257" s="918"/>
      <c r="HT257" s="918"/>
      <c r="HU257" s="918"/>
      <c r="HV257" s="918"/>
      <c r="HW257" s="918"/>
      <c r="HX257" s="918"/>
      <c r="HY257" s="918"/>
      <c r="HZ257" s="918"/>
      <c r="IA257" s="918"/>
      <c r="IB257" s="918"/>
      <c r="IC257" s="918"/>
      <c r="ID257" s="918"/>
      <c r="IE257" s="918"/>
      <c r="IF257" s="918"/>
      <c r="IG257" s="918"/>
      <c r="IH257" s="918"/>
      <c r="II257" s="918"/>
      <c r="IJ257" s="918"/>
      <c r="IK257" s="918"/>
      <c r="IL257" s="918"/>
      <c r="IM257" s="918"/>
      <c r="IN257" s="918"/>
    </row>
    <row r="258" spans="1:248">
      <c r="A258" s="619" t="s">
        <v>19</v>
      </c>
      <c r="B258" s="617">
        <v>5877.6</v>
      </c>
      <c r="C258" s="617">
        <v>29.666119873817038</v>
      </c>
      <c r="D258" s="620">
        <v>3660.4</v>
      </c>
      <c r="E258" s="919">
        <v>18.475205047318614</v>
      </c>
      <c r="F258" s="919">
        <v>2217.2000000000003</v>
      </c>
      <c r="G258" s="919">
        <v>11.190914826498425</v>
      </c>
      <c r="H258" s="400">
        <v>19812.5</v>
      </c>
      <c r="I258" s="918"/>
      <c r="J258" s="918"/>
      <c r="K258" s="918"/>
      <c r="L258" s="918"/>
      <c r="M258" s="918"/>
      <c r="N258" s="918"/>
      <c r="O258" s="918"/>
      <c r="P258" s="918"/>
      <c r="Q258" s="918"/>
      <c r="R258" s="918"/>
      <c r="S258" s="918"/>
      <c r="T258" s="918"/>
      <c r="U258" s="918"/>
      <c r="V258" s="918"/>
      <c r="W258" s="918"/>
      <c r="X258" s="918"/>
      <c r="Y258" s="918"/>
      <c r="Z258" s="918"/>
      <c r="AA258" s="918"/>
      <c r="AB258" s="918"/>
      <c r="AC258" s="918"/>
      <c r="AD258" s="918"/>
      <c r="AE258" s="918"/>
      <c r="AF258" s="918"/>
      <c r="AG258" s="918"/>
      <c r="AH258" s="918"/>
      <c r="AI258" s="918"/>
      <c r="AJ258" s="918"/>
      <c r="AK258" s="918"/>
      <c r="AL258" s="918"/>
      <c r="AM258" s="918"/>
      <c r="AN258" s="918"/>
      <c r="AO258" s="918"/>
      <c r="AP258" s="918"/>
      <c r="AQ258" s="918"/>
      <c r="AR258" s="918"/>
      <c r="AS258" s="918"/>
      <c r="AT258" s="918"/>
      <c r="AU258" s="918"/>
      <c r="AV258" s="918"/>
      <c r="AW258" s="918"/>
      <c r="AX258" s="918"/>
      <c r="AY258" s="918"/>
      <c r="AZ258" s="918"/>
      <c r="BA258" s="918"/>
      <c r="BB258" s="918"/>
      <c r="BC258" s="918"/>
      <c r="BD258" s="918"/>
      <c r="BE258" s="918"/>
      <c r="BF258" s="918"/>
      <c r="BG258" s="918"/>
      <c r="BH258" s="918"/>
      <c r="BI258" s="918"/>
      <c r="BJ258" s="918"/>
      <c r="BK258" s="918"/>
      <c r="BL258" s="918"/>
      <c r="BM258" s="918"/>
      <c r="BN258" s="918"/>
      <c r="BO258" s="918"/>
      <c r="BP258" s="918"/>
      <c r="BQ258" s="918"/>
      <c r="BR258" s="918"/>
      <c r="BS258" s="918"/>
      <c r="BT258" s="918"/>
      <c r="BU258" s="918"/>
      <c r="BV258" s="918"/>
      <c r="BW258" s="918"/>
      <c r="BX258" s="918"/>
      <c r="BY258" s="918"/>
      <c r="BZ258" s="918"/>
      <c r="CA258" s="918"/>
      <c r="CB258" s="918"/>
      <c r="CC258" s="918"/>
      <c r="CD258" s="918"/>
      <c r="CE258" s="918"/>
      <c r="CF258" s="918"/>
      <c r="CG258" s="918"/>
      <c r="CH258" s="918"/>
      <c r="CI258" s="918"/>
      <c r="CJ258" s="918"/>
      <c r="CK258" s="918"/>
      <c r="CL258" s="918"/>
      <c r="CM258" s="918"/>
      <c r="CN258" s="918"/>
      <c r="CO258" s="918"/>
      <c r="CP258" s="918"/>
      <c r="CQ258" s="918"/>
      <c r="CR258" s="918"/>
      <c r="CS258" s="918"/>
      <c r="CT258" s="918"/>
      <c r="CU258" s="918"/>
      <c r="CV258" s="918"/>
      <c r="CW258" s="918"/>
      <c r="CX258" s="918"/>
      <c r="CY258" s="918"/>
      <c r="CZ258" s="918"/>
      <c r="DA258" s="918"/>
      <c r="DB258" s="918"/>
      <c r="DC258" s="918"/>
      <c r="DD258" s="918"/>
      <c r="DE258" s="918"/>
      <c r="DF258" s="918"/>
      <c r="DG258" s="918"/>
      <c r="DH258" s="918"/>
      <c r="DI258" s="918"/>
      <c r="DJ258" s="918"/>
      <c r="DK258" s="918"/>
      <c r="DL258" s="918"/>
      <c r="DM258" s="918"/>
      <c r="DN258" s="918"/>
      <c r="DO258" s="918"/>
      <c r="DP258" s="918"/>
      <c r="DQ258" s="918"/>
      <c r="DR258" s="918"/>
      <c r="DS258" s="918"/>
      <c r="DT258" s="918"/>
      <c r="DU258" s="918"/>
      <c r="DV258" s="918"/>
      <c r="DW258" s="918"/>
      <c r="DX258" s="918"/>
      <c r="DY258" s="918"/>
      <c r="DZ258" s="918"/>
      <c r="EA258" s="918"/>
      <c r="EB258" s="918"/>
      <c r="EC258" s="918"/>
      <c r="ED258" s="918"/>
      <c r="EE258" s="918"/>
      <c r="EF258" s="918"/>
      <c r="EG258" s="918"/>
      <c r="EH258" s="918"/>
      <c r="EI258" s="918"/>
      <c r="EJ258" s="918"/>
      <c r="EK258" s="918"/>
      <c r="EL258" s="918"/>
      <c r="EM258" s="918"/>
      <c r="EN258" s="918"/>
      <c r="EO258" s="918"/>
      <c r="EP258" s="918"/>
      <c r="EQ258" s="918"/>
      <c r="ER258" s="918"/>
      <c r="ES258" s="918"/>
      <c r="ET258" s="918"/>
      <c r="EU258" s="918"/>
      <c r="EV258" s="918"/>
      <c r="EW258" s="918"/>
      <c r="EX258" s="918"/>
      <c r="EY258" s="918"/>
      <c r="EZ258" s="918"/>
      <c r="FA258" s="918"/>
      <c r="FB258" s="918"/>
      <c r="FC258" s="918"/>
      <c r="FD258" s="918"/>
      <c r="FE258" s="918"/>
      <c r="FF258" s="918"/>
      <c r="FG258" s="918"/>
      <c r="FH258" s="918"/>
      <c r="FI258" s="918"/>
      <c r="FJ258" s="918"/>
      <c r="FK258" s="918"/>
      <c r="FL258" s="918"/>
      <c r="FM258" s="918"/>
      <c r="FN258" s="918"/>
      <c r="FO258" s="918"/>
      <c r="FP258" s="918"/>
      <c r="FQ258" s="918"/>
      <c r="FR258" s="918"/>
      <c r="FS258" s="918"/>
      <c r="FT258" s="918"/>
      <c r="FU258" s="918"/>
      <c r="FV258" s="918"/>
      <c r="FW258" s="918"/>
      <c r="FX258" s="918"/>
      <c r="FY258" s="918"/>
      <c r="FZ258" s="918"/>
      <c r="GA258" s="918"/>
      <c r="GB258" s="918"/>
      <c r="GC258" s="918"/>
      <c r="GD258" s="918"/>
      <c r="GE258" s="918"/>
      <c r="GF258" s="918"/>
      <c r="GG258" s="918"/>
      <c r="GH258" s="918"/>
      <c r="GI258" s="918"/>
      <c r="GJ258" s="918"/>
      <c r="GK258" s="918"/>
      <c r="GL258" s="918"/>
      <c r="GM258" s="918"/>
      <c r="GN258" s="918"/>
      <c r="GO258" s="918"/>
      <c r="GP258" s="918"/>
      <c r="GQ258" s="918"/>
      <c r="GR258" s="918"/>
      <c r="GS258" s="918"/>
      <c r="GT258" s="918"/>
      <c r="GU258" s="918"/>
      <c r="GV258" s="918"/>
      <c r="GW258" s="918"/>
      <c r="GX258" s="918"/>
      <c r="GY258" s="918"/>
      <c r="GZ258" s="918"/>
      <c r="HA258" s="918"/>
      <c r="HB258" s="918"/>
      <c r="HC258" s="918"/>
      <c r="HD258" s="918"/>
      <c r="HE258" s="918"/>
      <c r="HF258" s="918"/>
      <c r="HG258" s="918"/>
      <c r="HH258" s="918"/>
      <c r="HI258" s="918"/>
      <c r="HJ258" s="918"/>
      <c r="HK258" s="918"/>
      <c r="HL258" s="918"/>
      <c r="HM258" s="918"/>
      <c r="HN258" s="918"/>
      <c r="HO258" s="918"/>
      <c r="HP258" s="918"/>
      <c r="HQ258" s="918"/>
      <c r="HR258" s="918"/>
      <c r="HS258" s="918"/>
      <c r="HT258" s="918"/>
      <c r="HU258" s="918"/>
      <c r="HV258" s="918"/>
      <c r="HW258" s="918"/>
      <c r="HX258" s="918"/>
      <c r="HY258" s="918"/>
      <c r="HZ258" s="918"/>
      <c r="IA258" s="918"/>
      <c r="IB258" s="918"/>
      <c r="IC258" s="918"/>
      <c r="ID258" s="918"/>
      <c r="IE258" s="918"/>
      <c r="IF258" s="918"/>
      <c r="IG258" s="918"/>
      <c r="IH258" s="918"/>
      <c r="II258" s="918"/>
      <c r="IJ258" s="918"/>
      <c r="IK258" s="918"/>
      <c r="IL258" s="918"/>
      <c r="IM258" s="918"/>
      <c r="IN258" s="918"/>
    </row>
    <row r="259" spans="1:248">
      <c r="A259" s="619" t="s">
        <v>20</v>
      </c>
      <c r="B259" s="617">
        <v>8290</v>
      </c>
      <c r="C259" s="617">
        <v>27.350167928051572</v>
      </c>
      <c r="D259" s="620">
        <v>6567</v>
      </c>
      <c r="E259" s="919">
        <v>21.665687911159793</v>
      </c>
      <c r="F259" s="919">
        <v>1723</v>
      </c>
      <c r="G259" s="919">
        <v>5.6844800168917802</v>
      </c>
      <c r="H259" s="400">
        <v>30310.6</v>
      </c>
      <c r="I259" s="918"/>
      <c r="J259" s="918"/>
      <c r="K259" s="918"/>
      <c r="L259" s="918"/>
      <c r="M259" s="918"/>
      <c r="N259" s="918"/>
      <c r="O259" s="918"/>
      <c r="P259" s="918"/>
      <c r="Q259" s="918"/>
      <c r="R259" s="918"/>
      <c r="S259" s="918"/>
      <c r="T259" s="918"/>
      <c r="U259" s="918"/>
      <c r="V259" s="918"/>
      <c r="W259" s="918"/>
      <c r="X259" s="918"/>
      <c r="Y259" s="918"/>
      <c r="Z259" s="918"/>
      <c r="AA259" s="918"/>
      <c r="AB259" s="918"/>
      <c r="AC259" s="918"/>
      <c r="AD259" s="918"/>
      <c r="AE259" s="918"/>
      <c r="AF259" s="918"/>
      <c r="AG259" s="918"/>
      <c r="AH259" s="918"/>
      <c r="AI259" s="918"/>
      <c r="AJ259" s="918"/>
      <c r="AK259" s="918"/>
      <c r="AL259" s="918"/>
      <c r="AM259" s="918"/>
      <c r="AN259" s="918"/>
      <c r="AO259" s="918"/>
      <c r="AP259" s="918"/>
      <c r="AQ259" s="918"/>
      <c r="AR259" s="918"/>
      <c r="AS259" s="918"/>
      <c r="AT259" s="918"/>
      <c r="AU259" s="918"/>
      <c r="AV259" s="918"/>
      <c r="AW259" s="918"/>
      <c r="AX259" s="918"/>
      <c r="AY259" s="918"/>
      <c r="AZ259" s="918"/>
      <c r="BA259" s="918"/>
      <c r="BB259" s="918"/>
      <c r="BC259" s="918"/>
      <c r="BD259" s="918"/>
      <c r="BE259" s="918"/>
      <c r="BF259" s="918"/>
      <c r="BG259" s="918"/>
      <c r="BH259" s="918"/>
      <c r="BI259" s="918"/>
      <c r="BJ259" s="918"/>
      <c r="BK259" s="918"/>
      <c r="BL259" s="918"/>
      <c r="BM259" s="918"/>
      <c r="BN259" s="918"/>
      <c r="BO259" s="918"/>
      <c r="BP259" s="918"/>
      <c r="BQ259" s="918"/>
      <c r="BR259" s="918"/>
      <c r="BS259" s="918"/>
      <c r="BT259" s="918"/>
      <c r="BU259" s="918"/>
      <c r="BV259" s="918"/>
      <c r="BW259" s="918"/>
      <c r="BX259" s="918"/>
      <c r="BY259" s="918"/>
      <c r="BZ259" s="918"/>
      <c r="CA259" s="918"/>
      <c r="CB259" s="918"/>
      <c r="CC259" s="918"/>
      <c r="CD259" s="918"/>
      <c r="CE259" s="918"/>
      <c r="CF259" s="918"/>
      <c r="CG259" s="918"/>
      <c r="CH259" s="918"/>
      <c r="CI259" s="918"/>
      <c r="CJ259" s="918"/>
      <c r="CK259" s="918"/>
      <c r="CL259" s="918"/>
      <c r="CM259" s="918"/>
      <c r="CN259" s="918"/>
      <c r="CO259" s="918"/>
      <c r="CP259" s="918"/>
      <c r="CQ259" s="918"/>
      <c r="CR259" s="918"/>
      <c r="CS259" s="918"/>
      <c r="CT259" s="918"/>
      <c r="CU259" s="918"/>
      <c r="CV259" s="918"/>
      <c r="CW259" s="918"/>
      <c r="CX259" s="918"/>
      <c r="CY259" s="918"/>
      <c r="CZ259" s="918"/>
      <c r="DA259" s="918"/>
      <c r="DB259" s="918"/>
      <c r="DC259" s="918"/>
      <c r="DD259" s="918"/>
      <c r="DE259" s="918"/>
      <c r="DF259" s="918"/>
      <c r="DG259" s="918"/>
      <c r="DH259" s="918"/>
      <c r="DI259" s="918"/>
      <c r="DJ259" s="918"/>
      <c r="DK259" s="918"/>
      <c r="DL259" s="918"/>
      <c r="DM259" s="918"/>
      <c r="DN259" s="918"/>
      <c r="DO259" s="918"/>
      <c r="DP259" s="918"/>
      <c r="DQ259" s="918"/>
      <c r="DR259" s="918"/>
      <c r="DS259" s="918"/>
      <c r="DT259" s="918"/>
      <c r="DU259" s="918"/>
      <c r="DV259" s="918"/>
      <c r="DW259" s="918"/>
      <c r="DX259" s="918"/>
      <c r="DY259" s="918"/>
      <c r="DZ259" s="918"/>
      <c r="EA259" s="918"/>
      <c r="EB259" s="918"/>
      <c r="EC259" s="918"/>
      <c r="ED259" s="918"/>
      <c r="EE259" s="918"/>
      <c r="EF259" s="918"/>
      <c r="EG259" s="918"/>
      <c r="EH259" s="918"/>
      <c r="EI259" s="918"/>
      <c r="EJ259" s="918"/>
      <c r="EK259" s="918"/>
      <c r="EL259" s="918"/>
      <c r="EM259" s="918"/>
      <c r="EN259" s="918"/>
      <c r="EO259" s="918"/>
      <c r="EP259" s="918"/>
      <c r="EQ259" s="918"/>
      <c r="ER259" s="918"/>
      <c r="ES259" s="918"/>
      <c r="ET259" s="918"/>
      <c r="EU259" s="918"/>
      <c r="EV259" s="918"/>
      <c r="EW259" s="918"/>
      <c r="EX259" s="918"/>
      <c r="EY259" s="918"/>
      <c r="EZ259" s="918"/>
      <c r="FA259" s="918"/>
      <c r="FB259" s="918"/>
      <c r="FC259" s="918"/>
      <c r="FD259" s="918"/>
      <c r="FE259" s="918"/>
      <c r="FF259" s="918"/>
      <c r="FG259" s="918"/>
      <c r="FH259" s="918"/>
      <c r="FI259" s="918"/>
      <c r="FJ259" s="918"/>
      <c r="FK259" s="918"/>
      <c r="FL259" s="918"/>
      <c r="FM259" s="918"/>
      <c r="FN259" s="918"/>
      <c r="FO259" s="918"/>
      <c r="FP259" s="918"/>
      <c r="FQ259" s="918"/>
      <c r="FR259" s="918"/>
      <c r="FS259" s="918"/>
      <c r="FT259" s="918"/>
      <c r="FU259" s="918"/>
      <c r="FV259" s="918"/>
      <c r="FW259" s="918"/>
      <c r="FX259" s="918"/>
      <c r="FY259" s="918"/>
      <c r="FZ259" s="918"/>
      <c r="GA259" s="918"/>
      <c r="GB259" s="918"/>
      <c r="GC259" s="918"/>
      <c r="GD259" s="918"/>
      <c r="GE259" s="918"/>
      <c r="GF259" s="918"/>
      <c r="GG259" s="918"/>
      <c r="GH259" s="918"/>
      <c r="GI259" s="918"/>
      <c r="GJ259" s="918"/>
      <c r="GK259" s="918"/>
      <c r="GL259" s="918"/>
      <c r="GM259" s="918"/>
      <c r="GN259" s="918"/>
      <c r="GO259" s="918"/>
      <c r="GP259" s="918"/>
      <c r="GQ259" s="918"/>
      <c r="GR259" s="918"/>
      <c r="GS259" s="918"/>
      <c r="GT259" s="918"/>
      <c r="GU259" s="918"/>
      <c r="GV259" s="918"/>
      <c r="GW259" s="918"/>
      <c r="GX259" s="918"/>
      <c r="GY259" s="918"/>
      <c r="GZ259" s="918"/>
      <c r="HA259" s="918"/>
      <c r="HB259" s="918"/>
      <c r="HC259" s="918"/>
      <c r="HD259" s="918"/>
      <c r="HE259" s="918"/>
      <c r="HF259" s="918"/>
      <c r="HG259" s="918"/>
      <c r="HH259" s="918"/>
      <c r="HI259" s="918"/>
      <c r="HJ259" s="918"/>
      <c r="HK259" s="918"/>
      <c r="HL259" s="918"/>
      <c r="HM259" s="918"/>
      <c r="HN259" s="918"/>
      <c r="HO259" s="918"/>
      <c r="HP259" s="918"/>
      <c r="HQ259" s="918"/>
      <c r="HR259" s="918"/>
      <c r="HS259" s="918"/>
      <c r="HT259" s="918"/>
      <c r="HU259" s="918"/>
      <c r="HV259" s="918"/>
      <c r="HW259" s="918"/>
      <c r="HX259" s="918"/>
      <c r="HY259" s="918"/>
      <c r="HZ259" s="918"/>
      <c r="IA259" s="918"/>
      <c r="IB259" s="918"/>
      <c r="IC259" s="918"/>
      <c r="ID259" s="918"/>
      <c r="IE259" s="918"/>
      <c r="IF259" s="918"/>
      <c r="IG259" s="918"/>
      <c r="IH259" s="918"/>
      <c r="II259" s="918"/>
      <c r="IJ259" s="918"/>
      <c r="IK259" s="918"/>
      <c r="IL259" s="918"/>
      <c r="IM259" s="918"/>
      <c r="IN259" s="918"/>
    </row>
    <row r="260" spans="1:248">
      <c r="A260" s="619" t="s">
        <v>21</v>
      </c>
      <c r="B260" s="617">
        <v>12165</v>
      </c>
      <c r="C260" s="617">
        <v>30.422767684093383</v>
      </c>
      <c r="D260" s="620">
        <v>8929.7999999999993</v>
      </c>
      <c r="E260" s="919">
        <v>22.332037062508594</v>
      </c>
      <c r="F260" s="919">
        <v>3235.2000000000007</v>
      </c>
      <c r="G260" s="919">
        <v>8.0907306215847861</v>
      </c>
      <c r="H260" s="400">
        <v>39986.5</v>
      </c>
      <c r="I260" s="918"/>
      <c r="J260" s="918"/>
      <c r="K260" s="918"/>
      <c r="L260" s="918"/>
      <c r="M260" s="918"/>
      <c r="N260" s="918"/>
      <c r="O260" s="918"/>
      <c r="P260" s="918"/>
      <c r="Q260" s="918"/>
      <c r="R260" s="918"/>
      <c r="S260" s="918"/>
      <c r="T260" s="918"/>
      <c r="U260" s="918"/>
      <c r="V260" s="918"/>
      <c r="W260" s="918"/>
      <c r="X260" s="918"/>
      <c r="Y260" s="918"/>
      <c r="Z260" s="918"/>
      <c r="AA260" s="918"/>
      <c r="AB260" s="918"/>
      <c r="AC260" s="918"/>
      <c r="AD260" s="918"/>
      <c r="AE260" s="918"/>
      <c r="AF260" s="918"/>
      <c r="AG260" s="918"/>
      <c r="AH260" s="918"/>
      <c r="AI260" s="918"/>
      <c r="AJ260" s="918"/>
      <c r="AK260" s="918"/>
      <c r="AL260" s="918"/>
      <c r="AM260" s="918"/>
      <c r="AN260" s="918"/>
      <c r="AO260" s="918"/>
      <c r="AP260" s="918"/>
      <c r="AQ260" s="918"/>
      <c r="AR260" s="918"/>
      <c r="AS260" s="918"/>
      <c r="AT260" s="918"/>
      <c r="AU260" s="918"/>
      <c r="AV260" s="918"/>
      <c r="AW260" s="918"/>
      <c r="AX260" s="918"/>
      <c r="AY260" s="918"/>
      <c r="AZ260" s="918"/>
      <c r="BA260" s="918"/>
      <c r="BB260" s="918"/>
      <c r="BC260" s="918"/>
      <c r="BD260" s="918"/>
      <c r="BE260" s="918"/>
      <c r="BF260" s="918"/>
      <c r="BG260" s="918"/>
      <c r="BH260" s="918"/>
      <c r="BI260" s="918"/>
      <c r="BJ260" s="918"/>
      <c r="BK260" s="918"/>
      <c r="BL260" s="918"/>
      <c r="BM260" s="918"/>
      <c r="BN260" s="918"/>
      <c r="BO260" s="918"/>
      <c r="BP260" s="918"/>
      <c r="BQ260" s="918"/>
      <c r="BR260" s="918"/>
      <c r="BS260" s="918"/>
      <c r="BT260" s="918"/>
      <c r="BU260" s="918"/>
      <c r="BV260" s="918"/>
      <c r="BW260" s="918"/>
      <c r="BX260" s="918"/>
      <c r="BY260" s="918"/>
      <c r="BZ260" s="918"/>
      <c r="CA260" s="918"/>
      <c r="CB260" s="918"/>
      <c r="CC260" s="918"/>
      <c r="CD260" s="918"/>
      <c r="CE260" s="918"/>
      <c r="CF260" s="918"/>
      <c r="CG260" s="918"/>
      <c r="CH260" s="918"/>
      <c r="CI260" s="918"/>
      <c r="CJ260" s="918"/>
      <c r="CK260" s="918"/>
      <c r="CL260" s="918"/>
      <c r="CM260" s="918"/>
      <c r="CN260" s="918"/>
      <c r="CO260" s="918"/>
      <c r="CP260" s="918"/>
      <c r="CQ260" s="918"/>
      <c r="CR260" s="918"/>
      <c r="CS260" s="918"/>
      <c r="CT260" s="918"/>
      <c r="CU260" s="918"/>
      <c r="CV260" s="918"/>
      <c r="CW260" s="918"/>
      <c r="CX260" s="918"/>
      <c r="CY260" s="918"/>
      <c r="CZ260" s="918"/>
      <c r="DA260" s="918"/>
      <c r="DB260" s="918"/>
      <c r="DC260" s="918"/>
      <c r="DD260" s="918"/>
      <c r="DE260" s="918"/>
      <c r="DF260" s="918"/>
      <c r="DG260" s="918"/>
      <c r="DH260" s="918"/>
      <c r="DI260" s="918"/>
      <c r="DJ260" s="918"/>
      <c r="DK260" s="918"/>
      <c r="DL260" s="918"/>
      <c r="DM260" s="918"/>
      <c r="DN260" s="918"/>
      <c r="DO260" s="918"/>
      <c r="DP260" s="918"/>
      <c r="DQ260" s="918"/>
      <c r="DR260" s="918"/>
      <c r="DS260" s="918"/>
      <c r="DT260" s="918"/>
      <c r="DU260" s="918"/>
      <c r="DV260" s="918"/>
      <c r="DW260" s="918"/>
      <c r="DX260" s="918"/>
      <c r="DY260" s="918"/>
      <c r="DZ260" s="918"/>
      <c r="EA260" s="918"/>
      <c r="EB260" s="918"/>
      <c r="EC260" s="918"/>
      <c r="ED260" s="918"/>
      <c r="EE260" s="918"/>
      <c r="EF260" s="918"/>
      <c r="EG260" s="918"/>
      <c r="EH260" s="918"/>
      <c r="EI260" s="918"/>
      <c r="EJ260" s="918"/>
      <c r="EK260" s="918"/>
      <c r="EL260" s="918"/>
      <c r="EM260" s="918"/>
      <c r="EN260" s="918"/>
      <c r="EO260" s="918"/>
      <c r="EP260" s="918"/>
      <c r="EQ260" s="918"/>
      <c r="ER260" s="918"/>
      <c r="ES260" s="918"/>
      <c r="ET260" s="918"/>
      <c r="EU260" s="918"/>
      <c r="EV260" s="918"/>
      <c r="EW260" s="918"/>
      <c r="EX260" s="918"/>
      <c r="EY260" s="918"/>
      <c r="EZ260" s="918"/>
      <c r="FA260" s="918"/>
      <c r="FB260" s="918"/>
      <c r="FC260" s="918"/>
      <c r="FD260" s="918"/>
      <c r="FE260" s="918"/>
      <c r="FF260" s="918"/>
      <c r="FG260" s="918"/>
      <c r="FH260" s="918"/>
      <c r="FI260" s="918"/>
      <c r="FJ260" s="918"/>
      <c r="FK260" s="918"/>
      <c r="FL260" s="918"/>
      <c r="FM260" s="918"/>
      <c r="FN260" s="918"/>
      <c r="FO260" s="918"/>
      <c r="FP260" s="918"/>
      <c r="FQ260" s="918"/>
      <c r="FR260" s="918"/>
      <c r="FS260" s="918"/>
      <c r="FT260" s="918"/>
      <c r="FU260" s="918"/>
      <c r="FV260" s="918"/>
      <c r="FW260" s="918"/>
      <c r="FX260" s="918"/>
      <c r="FY260" s="918"/>
      <c r="FZ260" s="918"/>
      <c r="GA260" s="918"/>
      <c r="GB260" s="918"/>
      <c r="GC260" s="918"/>
      <c r="GD260" s="918"/>
      <c r="GE260" s="918"/>
      <c r="GF260" s="918"/>
      <c r="GG260" s="918"/>
      <c r="GH260" s="918"/>
      <c r="GI260" s="918"/>
      <c r="GJ260" s="918"/>
      <c r="GK260" s="918"/>
      <c r="GL260" s="918"/>
      <c r="GM260" s="918"/>
      <c r="GN260" s="918"/>
      <c r="GO260" s="918"/>
      <c r="GP260" s="918"/>
      <c r="GQ260" s="918"/>
      <c r="GR260" s="918"/>
      <c r="GS260" s="918"/>
      <c r="GT260" s="918"/>
      <c r="GU260" s="918"/>
      <c r="GV260" s="918"/>
      <c r="GW260" s="918"/>
      <c r="GX260" s="918"/>
      <c r="GY260" s="918"/>
      <c r="GZ260" s="918"/>
      <c r="HA260" s="918"/>
      <c r="HB260" s="918"/>
      <c r="HC260" s="918"/>
      <c r="HD260" s="918"/>
      <c r="HE260" s="918"/>
      <c r="HF260" s="918"/>
      <c r="HG260" s="918"/>
      <c r="HH260" s="918"/>
      <c r="HI260" s="918"/>
      <c r="HJ260" s="918"/>
      <c r="HK260" s="918"/>
      <c r="HL260" s="918"/>
      <c r="HM260" s="918"/>
      <c r="HN260" s="918"/>
      <c r="HO260" s="918"/>
      <c r="HP260" s="918"/>
      <c r="HQ260" s="918"/>
      <c r="HR260" s="918"/>
      <c r="HS260" s="918"/>
      <c r="HT260" s="918"/>
      <c r="HU260" s="918"/>
      <c r="HV260" s="918"/>
      <c r="HW260" s="918"/>
      <c r="HX260" s="918"/>
      <c r="HY260" s="918"/>
      <c r="HZ260" s="918"/>
      <c r="IA260" s="918"/>
      <c r="IB260" s="918"/>
      <c r="IC260" s="918"/>
      <c r="ID260" s="918"/>
      <c r="IE260" s="918"/>
      <c r="IF260" s="918"/>
      <c r="IG260" s="918"/>
      <c r="IH260" s="918"/>
      <c r="II260" s="918"/>
      <c r="IJ260" s="918"/>
      <c r="IK260" s="918"/>
      <c r="IL260" s="918"/>
      <c r="IM260" s="918"/>
      <c r="IN260" s="918"/>
    </row>
    <row r="261" spans="1:248">
      <c r="A261" s="619" t="s">
        <v>22</v>
      </c>
      <c r="B261" s="617">
        <v>13961</v>
      </c>
      <c r="C261" s="617">
        <v>28.158077320253</v>
      </c>
      <c r="D261" s="620">
        <v>11142.4</v>
      </c>
      <c r="E261" s="919">
        <v>22.473215438234153</v>
      </c>
      <c r="F261" s="919">
        <v>2818.6000000000004</v>
      </c>
      <c r="G261" s="919">
        <v>5.6848618820188461</v>
      </c>
      <c r="H261" s="400">
        <v>49580.800000000003</v>
      </c>
      <c r="I261" s="918"/>
      <c r="J261" s="918"/>
      <c r="K261" s="918"/>
      <c r="L261" s="918"/>
      <c r="M261" s="918"/>
      <c r="N261" s="918"/>
      <c r="O261" s="918"/>
      <c r="P261" s="918"/>
      <c r="Q261" s="918"/>
      <c r="R261" s="918"/>
      <c r="S261" s="918"/>
      <c r="T261" s="918"/>
      <c r="U261" s="918"/>
      <c r="V261" s="918"/>
      <c r="W261" s="918"/>
      <c r="X261" s="918"/>
      <c r="Y261" s="918"/>
      <c r="Z261" s="918"/>
      <c r="AA261" s="918"/>
      <c r="AB261" s="918"/>
      <c r="AC261" s="918"/>
      <c r="AD261" s="918"/>
      <c r="AE261" s="918"/>
      <c r="AF261" s="918"/>
      <c r="AG261" s="918"/>
      <c r="AH261" s="918"/>
      <c r="AI261" s="918"/>
      <c r="AJ261" s="918"/>
      <c r="AK261" s="918"/>
      <c r="AL261" s="918"/>
      <c r="AM261" s="918"/>
      <c r="AN261" s="918"/>
      <c r="AO261" s="918"/>
      <c r="AP261" s="918"/>
      <c r="AQ261" s="918"/>
      <c r="AR261" s="918"/>
      <c r="AS261" s="918"/>
      <c r="AT261" s="918"/>
      <c r="AU261" s="918"/>
      <c r="AV261" s="918"/>
      <c r="AW261" s="918"/>
      <c r="AX261" s="918"/>
      <c r="AY261" s="918"/>
      <c r="AZ261" s="918"/>
      <c r="BA261" s="918"/>
      <c r="BB261" s="918"/>
      <c r="BC261" s="918"/>
      <c r="BD261" s="918"/>
      <c r="BE261" s="918"/>
      <c r="BF261" s="918"/>
      <c r="BG261" s="918"/>
      <c r="BH261" s="918"/>
      <c r="BI261" s="918"/>
      <c r="BJ261" s="918"/>
      <c r="BK261" s="918"/>
      <c r="BL261" s="918"/>
      <c r="BM261" s="918"/>
      <c r="BN261" s="918"/>
      <c r="BO261" s="918"/>
      <c r="BP261" s="918"/>
      <c r="BQ261" s="918"/>
      <c r="BR261" s="918"/>
      <c r="BS261" s="918"/>
      <c r="BT261" s="918"/>
      <c r="BU261" s="918"/>
      <c r="BV261" s="918"/>
      <c r="BW261" s="918"/>
      <c r="BX261" s="918"/>
      <c r="BY261" s="918"/>
      <c r="BZ261" s="918"/>
      <c r="CA261" s="918"/>
      <c r="CB261" s="918"/>
      <c r="CC261" s="918"/>
      <c r="CD261" s="918"/>
      <c r="CE261" s="918"/>
      <c r="CF261" s="918"/>
      <c r="CG261" s="918"/>
      <c r="CH261" s="918"/>
      <c r="CI261" s="918"/>
      <c r="CJ261" s="918"/>
      <c r="CK261" s="918"/>
      <c r="CL261" s="918"/>
      <c r="CM261" s="918"/>
      <c r="CN261" s="918"/>
      <c r="CO261" s="918"/>
      <c r="CP261" s="918"/>
      <c r="CQ261" s="918"/>
      <c r="CR261" s="918"/>
      <c r="CS261" s="918"/>
      <c r="CT261" s="918"/>
      <c r="CU261" s="918"/>
      <c r="CV261" s="918"/>
      <c r="CW261" s="918"/>
      <c r="CX261" s="918"/>
      <c r="CY261" s="918"/>
      <c r="CZ261" s="918"/>
      <c r="DA261" s="918"/>
      <c r="DB261" s="918"/>
      <c r="DC261" s="918"/>
      <c r="DD261" s="918"/>
      <c r="DE261" s="918"/>
      <c r="DF261" s="918"/>
      <c r="DG261" s="918"/>
      <c r="DH261" s="918"/>
      <c r="DI261" s="918"/>
      <c r="DJ261" s="918"/>
      <c r="DK261" s="918"/>
      <c r="DL261" s="918"/>
      <c r="DM261" s="918"/>
      <c r="DN261" s="918"/>
      <c r="DO261" s="918"/>
      <c r="DP261" s="918"/>
      <c r="DQ261" s="918"/>
      <c r="DR261" s="918"/>
      <c r="DS261" s="918"/>
      <c r="DT261" s="918"/>
      <c r="DU261" s="918"/>
      <c r="DV261" s="918"/>
      <c r="DW261" s="918"/>
      <c r="DX261" s="918"/>
      <c r="DY261" s="918"/>
      <c r="DZ261" s="918"/>
      <c r="EA261" s="918"/>
      <c r="EB261" s="918"/>
      <c r="EC261" s="918"/>
      <c r="ED261" s="918"/>
      <c r="EE261" s="918"/>
      <c r="EF261" s="918"/>
      <c r="EG261" s="918"/>
      <c r="EH261" s="918"/>
      <c r="EI261" s="918"/>
      <c r="EJ261" s="918"/>
      <c r="EK261" s="918"/>
      <c r="EL261" s="918"/>
      <c r="EM261" s="918"/>
      <c r="EN261" s="918"/>
      <c r="EO261" s="918"/>
      <c r="EP261" s="918"/>
      <c r="EQ261" s="918"/>
      <c r="ER261" s="918"/>
      <c r="ES261" s="918"/>
      <c r="ET261" s="918"/>
      <c r="EU261" s="918"/>
      <c r="EV261" s="918"/>
      <c r="EW261" s="918"/>
      <c r="EX261" s="918"/>
      <c r="EY261" s="918"/>
      <c r="EZ261" s="918"/>
      <c r="FA261" s="918"/>
      <c r="FB261" s="918"/>
      <c r="FC261" s="918"/>
      <c r="FD261" s="918"/>
      <c r="FE261" s="918"/>
      <c r="FF261" s="918"/>
      <c r="FG261" s="918"/>
      <c r="FH261" s="918"/>
      <c r="FI261" s="918"/>
      <c r="FJ261" s="918"/>
      <c r="FK261" s="918"/>
      <c r="FL261" s="918"/>
      <c r="FM261" s="918"/>
      <c r="FN261" s="918"/>
      <c r="FO261" s="918"/>
      <c r="FP261" s="918"/>
      <c r="FQ261" s="918"/>
      <c r="FR261" s="918"/>
      <c r="FS261" s="918"/>
      <c r="FT261" s="918"/>
      <c r="FU261" s="918"/>
      <c r="FV261" s="918"/>
      <c r="FW261" s="918"/>
      <c r="FX261" s="918"/>
      <c r="FY261" s="918"/>
      <c r="FZ261" s="918"/>
      <c r="GA261" s="918"/>
      <c r="GB261" s="918"/>
      <c r="GC261" s="918"/>
      <c r="GD261" s="918"/>
      <c r="GE261" s="918"/>
      <c r="GF261" s="918"/>
      <c r="GG261" s="918"/>
      <c r="GH261" s="918"/>
      <c r="GI261" s="918"/>
      <c r="GJ261" s="918"/>
      <c r="GK261" s="918"/>
      <c r="GL261" s="918"/>
      <c r="GM261" s="918"/>
      <c r="GN261" s="918"/>
      <c r="GO261" s="918"/>
      <c r="GP261" s="918"/>
      <c r="GQ261" s="918"/>
      <c r="GR261" s="918"/>
      <c r="GS261" s="918"/>
      <c r="GT261" s="918"/>
      <c r="GU261" s="918"/>
      <c r="GV261" s="918"/>
      <c r="GW261" s="918"/>
      <c r="GX261" s="918"/>
      <c r="GY261" s="918"/>
      <c r="GZ261" s="918"/>
      <c r="HA261" s="918"/>
      <c r="HB261" s="918"/>
      <c r="HC261" s="918"/>
      <c r="HD261" s="918"/>
      <c r="HE261" s="918"/>
      <c r="HF261" s="918"/>
      <c r="HG261" s="918"/>
      <c r="HH261" s="918"/>
      <c r="HI261" s="918"/>
      <c r="HJ261" s="918"/>
      <c r="HK261" s="918"/>
      <c r="HL261" s="918"/>
      <c r="HM261" s="918"/>
      <c r="HN261" s="918"/>
      <c r="HO261" s="918"/>
      <c r="HP261" s="918"/>
      <c r="HQ261" s="918"/>
      <c r="HR261" s="918"/>
      <c r="HS261" s="918"/>
      <c r="HT261" s="918"/>
      <c r="HU261" s="918"/>
      <c r="HV261" s="918"/>
      <c r="HW261" s="918"/>
      <c r="HX261" s="918"/>
      <c r="HY261" s="918"/>
      <c r="HZ261" s="918"/>
      <c r="IA261" s="918"/>
      <c r="IB261" s="918"/>
      <c r="IC261" s="918"/>
      <c r="ID261" s="918"/>
      <c r="IE261" s="918"/>
      <c r="IF261" s="918"/>
      <c r="IG261" s="918"/>
      <c r="IH261" s="918"/>
      <c r="II261" s="918"/>
      <c r="IJ261" s="918"/>
      <c r="IK261" s="918"/>
      <c r="IL261" s="918"/>
      <c r="IM261" s="918"/>
      <c r="IN261" s="918"/>
    </row>
    <row r="262" spans="1:248">
      <c r="A262" s="619" t="s">
        <v>23</v>
      </c>
      <c r="B262" s="617">
        <v>15480</v>
      </c>
      <c r="C262" s="617">
        <v>25.670747784903014</v>
      </c>
      <c r="D262" s="620">
        <v>14063.3</v>
      </c>
      <c r="E262" s="919">
        <v>23.321410033813084</v>
      </c>
      <c r="F262" s="919">
        <v>1416.7000000000007</v>
      </c>
      <c r="G262" s="919">
        <v>2.34933775108993</v>
      </c>
      <c r="H262" s="400">
        <v>60302.1</v>
      </c>
      <c r="I262" s="918"/>
      <c r="J262" s="918"/>
      <c r="K262" s="918"/>
      <c r="L262" s="918"/>
      <c r="M262" s="918"/>
      <c r="N262" s="918"/>
      <c r="O262" s="918"/>
      <c r="P262" s="918"/>
      <c r="Q262" s="918"/>
      <c r="R262" s="918"/>
      <c r="S262" s="918"/>
      <c r="T262" s="918"/>
      <c r="U262" s="918"/>
      <c r="V262" s="918"/>
      <c r="W262" s="918"/>
      <c r="X262" s="918"/>
      <c r="Y262" s="918"/>
      <c r="Z262" s="918"/>
      <c r="AA262" s="918"/>
      <c r="AB262" s="918"/>
      <c r="AC262" s="918"/>
      <c r="AD262" s="918"/>
      <c r="AE262" s="918"/>
      <c r="AF262" s="918"/>
      <c r="AG262" s="918"/>
      <c r="AH262" s="918"/>
      <c r="AI262" s="918"/>
      <c r="AJ262" s="918"/>
      <c r="AK262" s="918"/>
      <c r="AL262" s="918"/>
      <c r="AM262" s="918"/>
      <c r="AN262" s="918"/>
      <c r="AO262" s="918"/>
      <c r="AP262" s="918"/>
      <c r="AQ262" s="918"/>
      <c r="AR262" s="918"/>
      <c r="AS262" s="918"/>
      <c r="AT262" s="918"/>
      <c r="AU262" s="918"/>
      <c r="AV262" s="918"/>
      <c r="AW262" s="918"/>
      <c r="AX262" s="918"/>
      <c r="AY262" s="918"/>
      <c r="AZ262" s="918"/>
      <c r="BA262" s="918"/>
      <c r="BB262" s="918"/>
      <c r="BC262" s="918"/>
      <c r="BD262" s="918"/>
      <c r="BE262" s="918"/>
      <c r="BF262" s="918"/>
      <c r="BG262" s="918"/>
      <c r="BH262" s="918"/>
      <c r="BI262" s="918"/>
      <c r="BJ262" s="918"/>
      <c r="BK262" s="918"/>
      <c r="BL262" s="918"/>
      <c r="BM262" s="918"/>
      <c r="BN262" s="918"/>
      <c r="BO262" s="918"/>
      <c r="BP262" s="918"/>
      <c r="BQ262" s="918"/>
      <c r="BR262" s="918"/>
      <c r="BS262" s="918"/>
      <c r="BT262" s="918"/>
      <c r="BU262" s="918"/>
      <c r="BV262" s="918"/>
      <c r="BW262" s="918"/>
      <c r="BX262" s="918"/>
      <c r="BY262" s="918"/>
      <c r="BZ262" s="918"/>
      <c r="CA262" s="918"/>
      <c r="CB262" s="918"/>
      <c r="CC262" s="918"/>
      <c r="CD262" s="918"/>
      <c r="CE262" s="918"/>
      <c r="CF262" s="918"/>
      <c r="CG262" s="918"/>
      <c r="CH262" s="918"/>
      <c r="CI262" s="918"/>
      <c r="CJ262" s="918"/>
      <c r="CK262" s="918"/>
      <c r="CL262" s="918"/>
      <c r="CM262" s="918"/>
      <c r="CN262" s="918"/>
      <c r="CO262" s="918"/>
      <c r="CP262" s="918"/>
      <c r="CQ262" s="918"/>
      <c r="CR262" s="918"/>
      <c r="CS262" s="918"/>
      <c r="CT262" s="918"/>
      <c r="CU262" s="918"/>
      <c r="CV262" s="918"/>
      <c r="CW262" s="918"/>
      <c r="CX262" s="918"/>
      <c r="CY262" s="918"/>
      <c r="CZ262" s="918"/>
      <c r="DA262" s="918"/>
      <c r="DB262" s="918"/>
      <c r="DC262" s="918"/>
      <c r="DD262" s="918"/>
      <c r="DE262" s="918"/>
      <c r="DF262" s="918"/>
      <c r="DG262" s="918"/>
      <c r="DH262" s="918"/>
      <c r="DI262" s="918"/>
      <c r="DJ262" s="918"/>
      <c r="DK262" s="918"/>
      <c r="DL262" s="918"/>
      <c r="DM262" s="918"/>
      <c r="DN262" s="918"/>
      <c r="DO262" s="918"/>
      <c r="DP262" s="918"/>
      <c r="DQ262" s="918"/>
      <c r="DR262" s="918"/>
      <c r="DS262" s="918"/>
      <c r="DT262" s="918"/>
      <c r="DU262" s="918"/>
      <c r="DV262" s="918"/>
      <c r="DW262" s="918"/>
      <c r="DX262" s="918"/>
      <c r="DY262" s="918"/>
      <c r="DZ262" s="918"/>
      <c r="EA262" s="918"/>
      <c r="EB262" s="918"/>
      <c r="EC262" s="918"/>
      <c r="ED262" s="918"/>
      <c r="EE262" s="918"/>
      <c r="EF262" s="918"/>
      <c r="EG262" s="918"/>
      <c r="EH262" s="918"/>
      <c r="EI262" s="918"/>
      <c r="EJ262" s="918"/>
      <c r="EK262" s="918"/>
      <c r="EL262" s="918"/>
      <c r="EM262" s="918"/>
      <c r="EN262" s="918"/>
      <c r="EO262" s="918"/>
      <c r="EP262" s="918"/>
      <c r="EQ262" s="918"/>
      <c r="ER262" s="918"/>
      <c r="ES262" s="918"/>
      <c r="ET262" s="918"/>
      <c r="EU262" s="918"/>
      <c r="EV262" s="918"/>
      <c r="EW262" s="918"/>
      <c r="EX262" s="918"/>
      <c r="EY262" s="918"/>
      <c r="EZ262" s="918"/>
      <c r="FA262" s="918"/>
      <c r="FB262" s="918"/>
      <c r="FC262" s="918"/>
      <c r="FD262" s="918"/>
      <c r="FE262" s="918"/>
      <c r="FF262" s="918"/>
      <c r="FG262" s="918"/>
      <c r="FH262" s="918"/>
      <c r="FI262" s="918"/>
      <c r="FJ262" s="918"/>
      <c r="FK262" s="918"/>
      <c r="FL262" s="918"/>
      <c r="FM262" s="918"/>
      <c r="FN262" s="918"/>
      <c r="FO262" s="918"/>
      <c r="FP262" s="918"/>
      <c r="FQ262" s="918"/>
      <c r="FR262" s="918"/>
      <c r="FS262" s="918"/>
      <c r="FT262" s="918"/>
      <c r="FU262" s="918"/>
      <c r="FV262" s="918"/>
      <c r="FW262" s="918"/>
      <c r="FX262" s="918"/>
      <c r="FY262" s="918"/>
      <c r="FZ262" s="918"/>
      <c r="GA262" s="918"/>
      <c r="GB262" s="918"/>
      <c r="GC262" s="918"/>
      <c r="GD262" s="918"/>
      <c r="GE262" s="918"/>
      <c r="GF262" s="918"/>
      <c r="GG262" s="918"/>
      <c r="GH262" s="918"/>
      <c r="GI262" s="918"/>
      <c r="GJ262" s="918"/>
      <c r="GK262" s="918"/>
      <c r="GL262" s="918"/>
      <c r="GM262" s="918"/>
      <c r="GN262" s="918"/>
      <c r="GO262" s="918"/>
      <c r="GP262" s="918"/>
      <c r="GQ262" s="918"/>
      <c r="GR262" s="918"/>
      <c r="GS262" s="918"/>
      <c r="GT262" s="918"/>
      <c r="GU262" s="918"/>
      <c r="GV262" s="918"/>
      <c r="GW262" s="918"/>
      <c r="GX262" s="918"/>
      <c r="GY262" s="918"/>
      <c r="GZ262" s="918"/>
      <c r="HA262" s="918"/>
      <c r="HB262" s="918"/>
      <c r="HC262" s="918"/>
      <c r="HD262" s="918"/>
      <c r="HE262" s="918"/>
      <c r="HF262" s="918"/>
      <c r="HG262" s="918"/>
      <c r="HH262" s="918"/>
      <c r="HI262" s="918"/>
      <c r="HJ262" s="918"/>
      <c r="HK262" s="918"/>
      <c r="HL262" s="918"/>
      <c r="HM262" s="918"/>
      <c r="HN262" s="918"/>
      <c r="HO262" s="918"/>
      <c r="HP262" s="918"/>
      <c r="HQ262" s="918"/>
      <c r="HR262" s="918"/>
      <c r="HS262" s="918"/>
      <c r="HT262" s="918"/>
      <c r="HU262" s="918"/>
      <c r="HV262" s="918"/>
      <c r="HW262" s="918"/>
      <c r="HX262" s="918"/>
      <c r="HY262" s="918"/>
      <c r="HZ262" s="918"/>
      <c r="IA262" s="918"/>
      <c r="IB262" s="918"/>
      <c r="IC262" s="918"/>
      <c r="ID262" s="918"/>
      <c r="IE262" s="918"/>
      <c r="IF262" s="918"/>
      <c r="IG262" s="918"/>
      <c r="IH262" s="918"/>
      <c r="II262" s="918"/>
      <c r="IJ262" s="918"/>
      <c r="IK262" s="918"/>
      <c r="IL262" s="918"/>
      <c r="IM262" s="918"/>
      <c r="IN262" s="918"/>
    </row>
    <row r="263" spans="1:248">
      <c r="A263" s="619" t="s">
        <v>24</v>
      </c>
      <c r="B263" s="617">
        <v>18766.599999999999</v>
      </c>
      <c r="C263" s="617">
        <v>26.667632957332582</v>
      </c>
      <c r="D263" s="620">
        <v>17620.5</v>
      </c>
      <c r="E263" s="919">
        <v>25.039006880557952</v>
      </c>
      <c r="F263" s="919">
        <v>1146.0999999999985</v>
      </c>
      <c r="G263" s="919">
        <v>1.6286260767746334</v>
      </c>
      <c r="H263" s="400">
        <v>70372.2</v>
      </c>
      <c r="I263" s="918"/>
      <c r="J263" s="918"/>
      <c r="K263" s="918"/>
      <c r="L263" s="918"/>
      <c r="M263" s="918"/>
      <c r="N263" s="918"/>
      <c r="O263" s="918"/>
      <c r="P263" s="918"/>
      <c r="Q263" s="918"/>
      <c r="R263" s="918"/>
      <c r="S263" s="918"/>
      <c r="T263" s="918"/>
      <c r="U263" s="918"/>
      <c r="V263" s="918"/>
      <c r="W263" s="918"/>
      <c r="X263" s="918"/>
      <c r="Y263" s="918"/>
      <c r="Z263" s="918"/>
      <c r="AA263" s="918"/>
      <c r="AB263" s="918"/>
      <c r="AC263" s="918"/>
      <c r="AD263" s="918"/>
      <c r="AE263" s="918"/>
      <c r="AF263" s="918"/>
      <c r="AG263" s="918"/>
      <c r="AH263" s="918"/>
      <c r="AI263" s="918"/>
      <c r="AJ263" s="918"/>
      <c r="AK263" s="918"/>
      <c r="AL263" s="918"/>
      <c r="AM263" s="918"/>
      <c r="AN263" s="918"/>
      <c r="AO263" s="918"/>
      <c r="AP263" s="918"/>
      <c r="AQ263" s="918"/>
      <c r="AR263" s="918"/>
      <c r="AS263" s="918"/>
      <c r="AT263" s="918"/>
      <c r="AU263" s="918"/>
      <c r="AV263" s="918"/>
      <c r="AW263" s="918"/>
      <c r="AX263" s="918"/>
      <c r="AY263" s="918"/>
      <c r="AZ263" s="918"/>
      <c r="BA263" s="918"/>
      <c r="BB263" s="918"/>
      <c r="BC263" s="918"/>
      <c r="BD263" s="918"/>
      <c r="BE263" s="918"/>
      <c r="BF263" s="918"/>
      <c r="BG263" s="918"/>
      <c r="BH263" s="918"/>
      <c r="BI263" s="918"/>
      <c r="BJ263" s="918"/>
      <c r="BK263" s="918"/>
      <c r="BL263" s="918"/>
      <c r="BM263" s="918"/>
      <c r="BN263" s="918"/>
      <c r="BO263" s="918"/>
      <c r="BP263" s="918"/>
      <c r="BQ263" s="918"/>
      <c r="BR263" s="918"/>
      <c r="BS263" s="918"/>
      <c r="BT263" s="918"/>
      <c r="BU263" s="918"/>
      <c r="BV263" s="918"/>
      <c r="BW263" s="918"/>
      <c r="BX263" s="918"/>
      <c r="BY263" s="918"/>
      <c r="BZ263" s="918"/>
      <c r="CA263" s="918"/>
      <c r="CB263" s="918"/>
      <c r="CC263" s="918"/>
      <c r="CD263" s="918"/>
      <c r="CE263" s="918"/>
      <c r="CF263" s="918"/>
      <c r="CG263" s="918"/>
      <c r="CH263" s="918"/>
      <c r="CI263" s="918"/>
      <c r="CJ263" s="918"/>
      <c r="CK263" s="918"/>
      <c r="CL263" s="918"/>
      <c r="CM263" s="918"/>
      <c r="CN263" s="918"/>
      <c r="CO263" s="918"/>
      <c r="CP263" s="918"/>
      <c r="CQ263" s="918"/>
      <c r="CR263" s="918"/>
      <c r="CS263" s="918"/>
      <c r="CT263" s="918"/>
      <c r="CU263" s="918"/>
      <c r="CV263" s="918"/>
      <c r="CW263" s="918"/>
      <c r="CX263" s="918"/>
      <c r="CY263" s="918"/>
      <c r="CZ263" s="918"/>
      <c r="DA263" s="918"/>
      <c r="DB263" s="918"/>
      <c r="DC263" s="918"/>
      <c r="DD263" s="918"/>
      <c r="DE263" s="918"/>
      <c r="DF263" s="918"/>
      <c r="DG263" s="918"/>
      <c r="DH263" s="918"/>
      <c r="DI263" s="918"/>
      <c r="DJ263" s="918"/>
      <c r="DK263" s="918"/>
      <c r="DL263" s="918"/>
      <c r="DM263" s="918"/>
      <c r="DN263" s="918"/>
      <c r="DO263" s="918"/>
      <c r="DP263" s="918"/>
      <c r="DQ263" s="918"/>
      <c r="DR263" s="918"/>
      <c r="DS263" s="918"/>
      <c r="DT263" s="918"/>
      <c r="DU263" s="918"/>
      <c r="DV263" s="918"/>
      <c r="DW263" s="918"/>
      <c r="DX263" s="918"/>
      <c r="DY263" s="918"/>
      <c r="DZ263" s="918"/>
      <c r="EA263" s="918"/>
      <c r="EB263" s="918"/>
      <c r="EC263" s="918"/>
      <c r="ED263" s="918"/>
      <c r="EE263" s="918"/>
      <c r="EF263" s="918"/>
      <c r="EG263" s="918"/>
      <c r="EH263" s="918"/>
      <c r="EI263" s="918"/>
      <c r="EJ263" s="918"/>
      <c r="EK263" s="918"/>
      <c r="EL263" s="918"/>
      <c r="EM263" s="918"/>
      <c r="EN263" s="918"/>
      <c r="EO263" s="918"/>
      <c r="EP263" s="918"/>
      <c r="EQ263" s="918"/>
      <c r="ER263" s="918"/>
      <c r="ES263" s="918"/>
      <c r="ET263" s="918"/>
      <c r="EU263" s="918"/>
      <c r="EV263" s="918"/>
      <c r="EW263" s="918"/>
      <c r="EX263" s="918"/>
      <c r="EY263" s="918"/>
      <c r="EZ263" s="918"/>
      <c r="FA263" s="918"/>
      <c r="FB263" s="918"/>
      <c r="FC263" s="918"/>
      <c r="FD263" s="918"/>
      <c r="FE263" s="918"/>
      <c r="FF263" s="918"/>
      <c r="FG263" s="918"/>
      <c r="FH263" s="918"/>
      <c r="FI263" s="918"/>
      <c r="FJ263" s="918"/>
      <c r="FK263" s="918"/>
      <c r="FL263" s="918"/>
      <c r="FM263" s="918"/>
      <c r="FN263" s="918"/>
      <c r="FO263" s="918"/>
      <c r="FP263" s="918"/>
      <c r="FQ263" s="918"/>
      <c r="FR263" s="918"/>
      <c r="FS263" s="918"/>
      <c r="FT263" s="918"/>
      <c r="FU263" s="918"/>
      <c r="FV263" s="918"/>
      <c r="FW263" s="918"/>
      <c r="FX263" s="918"/>
      <c r="FY263" s="918"/>
      <c r="FZ263" s="918"/>
      <c r="GA263" s="918"/>
      <c r="GB263" s="918"/>
      <c r="GC263" s="918"/>
      <c r="GD263" s="918"/>
      <c r="GE263" s="918"/>
      <c r="GF263" s="918"/>
      <c r="GG263" s="918"/>
      <c r="GH263" s="918"/>
      <c r="GI263" s="918"/>
      <c r="GJ263" s="918"/>
      <c r="GK263" s="918"/>
      <c r="GL263" s="918"/>
      <c r="GM263" s="918"/>
      <c r="GN263" s="918"/>
      <c r="GO263" s="918"/>
      <c r="GP263" s="918"/>
      <c r="GQ263" s="918"/>
      <c r="GR263" s="918"/>
      <c r="GS263" s="918"/>
      <c r="GT263" s="918"/>
      <c r="GU263" s="918"/>
      <c r="GV263" s="918"/>
      <c r="GW263" s="918"/>
      <c r="GX263" s="918"/>
      <c r="GY263" s="918"/>
      <c r="GZ263" s="918"/>
      <c r="HA263" s="918"/>
      <c r="HB263" s="918"/>
      <c r="HC263" s="918"/>
      <c r="HD263" s="918"/>
      <c r="HE263" s="918"/>
      <c r="HF263" s="918"/>
      <c r="HG263" s="918"/>
      <c r="HH263" s="918"/>
      <c r="HI263" s="918"/>
      <c r="HJ263" s="918"/>
      <c r="HK263" s="918"/>
      <c r="HL263" s="918"/>
      <c r="HM263" s="918"/>
      <c r="HN263" s="918"/>
      <c r="HO263" s="918"/>
      <c r="HP263" s="918"/>
      <c r="HQ263" s="918"/>
      <c r="HR263" s="918"/>
      <c r="HS263" s="918"/>
      <c r="HT263" s="918"/>
      <c r="HU263" s="918"/>
      <c r="HV263" s="918"/>
      <c r="HW263" s="918"/>
      <c r="HX263" s="918"/>
      <c r="HY263" s="918"/>
      <c r="HZ263" s="918"/>
      <c r="IA263" s="918"/>
      <c r="IB263" s="918"/>
      <c r="IC263" s="918"/>
      <c r="ID263" s="918"/>
      <c r="IE263" s="918"/>
      <c r="IF263" s="918"/>
      <c r="IG263" s="918"/>
      <c r="IH263" s="918"/>
      <c r="II263" s="918"/>
      <c r="IJ263" s="918"/>
      <c r="IK263" s="918"/>
      <c r="IL263" s="918"/>
      <c r="IM263" s="918"/>
      <c r="IN263" s="918"/>
    </row>
    <row r="264" spans="1:248">
      <c r="A264" s="619" t="s">
        <v>25</v>
      </c>
      <c r="B264" s="617">
        <v>20431.2</v>
      </c>
      <c r="C264" s="617">
        <v>25.508262543634924</v>
      </c>
      <c r="D264" s="620">
        <v>20649.7</v>
      </c>
      <c r="E264" s="919">
        <v>25.781058824116943</v>
      </c>
      <c r="F264" s="919">
        <v>-218.5</v>
      </c>
      <c r="G264" s="919">
        <v>-0.2727962804820192</v>
      </c>
      <c r="H264" s="400">
        <v>80096.399999999994</v>
      </c>
      <c r="I264" s="918"/>
      <c r="J264" s="918"/>
      <c r="K264" s="918"/>
      <c r="L264" s="918"/>
      <c r="M264" s="918"/>
      <c r="N264" s="918"/>
      <c r="O264" s="918"/>
      <c r="P264" s="918"/>
      <c r="Q264" s="918"/>
      <c r="R264" s="918"/>
      <c r="S264" s="918"/>
      <c r="T264" s="918"/>
      <c r="U264" s="918"/>
      <c r="V264" s="918"/>
      <c r="W264" s="918"/>
      <c r="X264" s="918"/>
      <c r="Y264" s="918"/>
      <c r="Z264" s="918"/>
      <c r="AA264" s="918"/>
      <c r="AB264" s="918"/>
      <c r="AC264" s="918"/>
      <c r="AD264" s="918"/>
      <c r="AE264" s="918"/>
      <c r="AF264" s="918"/>
      <c r="AG264" s="918"/>
      <c r="AH264" s="918"/>
      <c r="AI264" s="918"/>
      <c r="AJ264" s="918"/>
      <c r="AK264" s="918"/>
      <c r="AL264" s="918"/>
      <c r="AM264" s="918"/>
      <c r="AN264" s="918"/>
      <c r="AO264" s="918"/>
      <c r="AP264" s="918"/>
      <c r="AQ264" s="918"/>
      <c r="AR264" s="918"/>
      <c r="AS264" s="918"/>
      <c r="AT264" s="918"/>
      <c r="AU264" s="918"/>
      <c r="AV264" s="918"/>
      <c r="AW264" s="918"/>
      <c r="AX264" s="918"/>
      <c r="AY264" s="918"/>
      <c r="AZ264" s="918"/>
      <c r="BA264" s="918"/>
      <c r="BB264" s="918"/>
      <c r="BC264" s="918"/>
      <c r="BD264" s="918"/>
      <c r="BE264" s="918"/>
      <c r="BF264" s="918"/>
      <c r="BG264" s="918"/>
      <c r="BH264" s="918"/>
      <c r="BI264" s="918"/>
      <c r="BJ264" s="918"/>
      <c r="BK264" s="918"/>
      <c r="BL264" s="918"/>
      <c r="BM264" s="918"/>
      <c r="BN264" s="918"/>
      <c r="BO264" s="918"/>
      <c r="BP264" s="918"/>
      <c r="BQ264" s="918"/>
      <c r="BR264" s="918"/>
      <c r="BS264" s="918"/>
      <c r="BT264" s="918"/>
      <c r="BU264" s="918"/>
      <c r="BV264" s="918"/>
      <c r="BW264" s="918"/>
      <c r="BX264" s="918"/>
      <c r="BY264" s="918"/>
      <c r="BZ264" s="918"/>
      <c r="CA264" s="918"/>
      <c r="CB264" s="918"/>
      <c r="CC264" s="918"/>
      <c r="CD264" s="918"/>
      <c r="CE264" s="918"/>
      <c r="CF264" s="918"/>
      <c r="CG264" s="918"/>
      <c r="CH264" s="918"/>
      <c r="CI264" s="918"/>
      <c r="CJ264" s="918"/>
      <c r="CK264" s="918"/>
      <c r="CL264" s="918"/>
      <c r="CM264" s="918"/>
      <c r="CN264" s="918"/>
      <c r="CO264" s="918"/>
      <c r="CP264" s="918"/>
      <c r="CQ264" s="918"/>
      <c r="CR264" s="918"/>
      <c r="CS264" s="918"/>
      <c r="CT264" s="918"/>
      <c r="CU264" s="918"/>
      <c r="CV264" s="918"/>
      <c r="CW264" s="918"/>
      <c r="CX264" s="918"/>
      <c r="CY264" s="918"/>
      <c r="CZ264" s="918"/>
      <c r="DA264" s="918"/>
      <c r="DB264" s="918"/>
      <c r="DC264" s="918"/>
      <c r="DD264" s="918"/>
      <c r="DE264" s="918"/>
      <c r="DF264" s="918"/>
      <c r="DG264" s="918"/>
      <c r="DH264" s="918"/>
      <c r="DI264" s="918"/>
      <c r="DJ264" s="918"/>
      <c r="DK264" s="918"/>
      <c r="DL264" s="918"/>
      <c r="DM264" s="918"/>
      <c r="DN264" s="918"/>
      <c r="DO264" s="918"/>
      <c r="DP264" s="918"/>
      <c r="DQ264" s="918"/>
      <c r="DR264" s="918"/>
      <c r="DS264" s="918"/>
      <c r="DT264" s="918"/>
      <c r="DU264" s="918"/>
      <c r="DV264" s="918"/>
      <c r="DW264" s="918"/>
      <c r="DX264" s="918"/>
      <c r="DY264" s="918"/>
      <c r="DZ264" s="918"/>
      <c r="EA264" s="918"/>
      <c r="EB264" s="918"/>
      <c r="EC264" s="918"/>
      <c r="ED264" s="918"/>
      <c r="EE264" s="918"/>
      <c r="EF264" s="918"/>
      <c r="EG264" s="918"/>
      <c r="EH264" s="918"/>
      <c r="EI264" s="918"/>
      <c r="EJ264" s="918"/>
      <c r="EK264" s="918"/>
      <c r="EL264" s="918"/>
      <c r="EM264" s="918"/>
      <c r="EN264" s="918"/>
      <c r="EO264" s="918"/>
      <c r="EP264" s="918"/>
      <c r="EQ264" s="918"/>
      <c r="ER264" s="918"/>
      <c r="ES264" s="918"/>
      <c r="ET264" s="918"/>
      <c r="EU264" s="918"/>
      <c r="EV264" s="918"/>
      <c r="EW264" s="918"/>
      <c r="EX264" s="918"/>
      <c r="EY264" s="918"/>
      <c r="EZ264" s="918"/>
      <c r="FA264" s="918"/>
      <c r="FB264" s="918"/>
      <c r="FC264" s="918"/>
      <c r="FD264" s="918"/>
      <c r="FE264" s="918"/>
      <c r="FF264" s="918"/>
      <c r="FG264" s="918"/>
      <c r="FH264" s="918"/>
      <c r="FI264" s="918"/>
      <c r="FJ264" s="918"/>
      <c r="FK264" s="918"/>
      <c r="FL264" s="918"/>
      <c r="FM264" s="918"/>
      <c r="FN264" s="918"/>
      <c r="FO264" s="918"/>
      <c r="FP264" s="918"/>
      <c r="FQ264" s="918"/>
      <c r="FR264" s="918"/>
      <c r="FS264" s="918"/>
      <c r="FT264" s="918"/>
      <c r="FU264" s="918"/>
      <c r="FV264" s="918"/>
      <c r="FW264" s="918"/>
      <c r="FX264" s="918"/>
      <c r="FY264" s="918"/>
      <c r="FZ264" s="918"/>
      <c r="GA264" s="918"/>
      <c r="GB264" s="918"/>
      <c r="GC264" s="918"/>
      <c r="GD264" s="918"/>
      <c r="GE264" s="918"/>
      <c r="GF264" s="918"/>
      <c r="GG264" s="918"/>
      <c r="GH264" s="918"/>
      <c r="GI264" s="918"/>
      <c r="GJ264" s="918"/>
      <c r="GK264" s="918"/>
      <c r="GL264" s="918"/>
      <c r="GM264" s="918"/>
      <c r="GN264" s="918"/>
      <c r="GO264" s="918"/>
      <c r="GP264" s="918"/>
      <c r="GQ264" s="918"/>
      <c r="GR264" s="918"/>
      <c r="GS264" s="918"/>
      <c r="GT264" s="918"/>
      <c r="GU264" s="918"/>
      <c r="GV264" s="918"/>
      <c r="GW264" s="918"/>
      <c r="GX264" s="918"/>
      <c r="GY264" s="918"/>
      <c r="GZ264" s="918"/>
      <c r="HA264" s="918"/>
      <c r="HB264" s="918"/>
      <c r="HC264" s="918"/>
      <c r="HD264" s="918"/>
      <c r="HE264" s="918"/>
      <c r="HF264" s="918"/>
      <c r="HG264" s="918"/>
      <c r="HH264" s="918"/>
      <c r="HI264" s="918"/>
      <c r="HJ264" s="918"/>
      <c r="HK264" s="918"/>
      <c r="HL264" s="918"/>
      <c r="HM264" s="918"/>
      <c r="HN264" s="918"/>
      <c r="HO264" s="918"/>
      <c r="HP264" s="918"/>
      <c r="HQ264" s="918"/>
      <c r="HR264" s="918"/>
      <c r="HS264" s="918"/>
      <c r="HT264" s="918"/>
      <c r="HU264" s="918"/>
      <c r="HV264" s="918"/>
      <c r="HW264" s="918"/>
      <c r="HX264" s="918"/>
      <c r="HY264" s="918"/>
      <c r="HZ264" s="918"/>
      <c r="IA264" s="918"/>
      <c r="IB264" s="918"/>
      <c r="IC264" s="918"/>
      <c r="ID264" s="918"/>
      <c r="IE264" s="918"/>
      <c r="IF264" s="918"/>
      <c r="IG264" s="918"/>
      <c r="IH264" s="918"/>
      <c r="II264" s="918"/>
      <c r="IJ264" s="918"/>
      <c r="IK264" s="918"/>
      <c r="IL264" s="918"/>
      <c r="IM264" s="918"/>
      <c r="IN264" s="918"/>
    </row>
    <row r="265" spans="1:248">
      <c r="A265" s="619" t="s">
        <v>26</v>
      </c>
      <c r="B265" s="617">
        <v>22077</v>
      </c>
      <c r="C265" s="617">
        <v>24.31052993805919</v>
      </c>
      <c r="D265" s="620">
        <v>23214.5</v>
      </c>
      <c r="E265" s="919">
        <v>25.563110805230561</v>
      </c>
      <c r="F265" s="919">
        <v>-1137.5</v>
      </c>
      <c r="G265" s="919">
        <v>-1.2525808671713696</v>
      </c>
      <c r="H265" s="400">
        <v>90812.5</v>
      </c>
      <c r="I265" s="918"/>
      <c r="J265" s="918"/>
      <c r="K265" s="918"/>
      <c r="L265" s="918"/>
      <c r="M265" s="918"/>
      <c r="N265" s="918"/>
      <c r="O265" s="918"/>
      <c r="P265" s="918"/>
      <c r="Q265" s="918"/>
      <c r="R265" s="918"/>
      <c r="S265" s="918"/>
      <c r="T265" s="918"/>
      <c r="U265" s="918"/>
      <c r="V265" s="918"/>
      <c r="W265" s="918"/>
      <c r="X265" s="918"/>
      <c r="Y265" s="918"/>
      <c r="Z265" s="918"/>
      <c r="AA265" s="918"/>
      <c r="AB265" s="918"/>
      <c r="AC265" s="918"/>
      <c r="AD265" s="918"/>
      <c r="AE265" s="918"/>
      <c r="AF265" s="918"/>
      <c r="AG265" s="918"/>
      <c r="AH265" s="918"/>
      <c r="AI265" s="918"/>
      <c r="AJ265" s="918"/>
      <c r="AK265" s="918"/>
      <c r="AL265" s="918"/>
      <c r="AM265" s="918"/>
      <c r="AN265" s="918"/>
      <c r="AO265" s="918"/>
      <c r="AP265" s="918"/>
      <c r="AQ265" s="918"/>
      <c r="AR265" s="918"/>
      <c r="AS265" s="918"/>
      <c r="AT265" s="918"/>
      <c r="AU265" s="918"/>
      <c r="AV265" s="918"/>
      <c r="AW265" s="918"/>
      <c r="AX265" s="918"/>
      <c r="AY265" s="918"/>
      <c r="AZ265" s="918"/>
      <c r="BA265" s="918"/>
      <c r="BB265" s="918"/>
      <c r="BC265" s="918"/>
      <c r="BD265" s="918"/>
      <c r="BE265" s="918"/>
      <c r="BF265" s="918"/>
      <c r="BG265" s="918"/>
      <c r="BH265" s="918"/>
      <c r="BI265" s="918"/>
      <c r="BJ265" s="918"/>
      <c r="BK265" s="918"/>
      <c r="BL265" s="918"/>
      <c r="BM265" s="918"/>
      <c r="BN265" s="918"/>
      <c r="BO265" s="918"/>
      <c r="BP265" s="918"/>
      <c r="BQ265" s="918"/>
      <c r="BR265" s="918"/>
      <c r="BS265" s="918"/>
      <c r="BT265" s="918"/>
      <c r="BU265" s="918"/>
      <c r="BV265" s="918"/>
      <c r="BW265" s="918"/>
      <c r="BX265" s="918"/>
      <c r="BY265" s="918"/>
      <c r="BZ265" s="918"/>
      <c r="CA265" s="918"/>
      <c r="CB265" s="918"/>
      <c r="CC265" s="918"/>
      <c r="CD265" s="918"/>
      <c r="CE265" s="918"/>
      <c r="CF265" s="918"/>
      <c r="CG265" s="918"/>
      <c r="CH265" s="918"/>
      <c r="CI265" s="918"/>
      <c r="CJ265" s="918"/>
      <c r="CK265" s="918"/>
      <c r="CL265" s="918"/>
      <c r="CM265" s="918"/>
      <c r="CN265" s="918"/>
      <c r="CO265" s="918"/>
      <c r="CP265" s="918"/>
      <c r="CQ265" s="918"/>
      <c r="CR265" s="918"/>
      <c r="CS265" s="918"/>
      <c r="CT265" s="918"/>
      <c r="CU265" s="918"/>
      <c r="CV265" s="918"/>
      <c r="CW265" s="918"/>
      <c r="CX265" s="918"/>
      <c r="CY265" s="918"/>
      <c r="CZ265" s="918"/>
      <c r="DA265" s="918"/>
      <c r="DB265" s="918"/>
      <c r="DC265" s="918"/>
      <c r="DD265" s="918"/>
      <c r="DE265" s="918"/>
      <c r="DF265" s="918"/>
      <c r="DG265" s="918"/>
      <c r="DH265" s="918"/>
      <c r="DI265" s="918"/>
      <c r="DJ265" s="918"/>
      <c r="DK265" s="918"/>
      <c r="DL265" s="918"/>
      <c r="DM265" s="918"/>
      <c r="DN265" s="918"/>
      <c r="DO265" s="918"/>
      <c r="DP265" s="918"/>
      <c r="DQ265" s="918"/>
      <c r="DR265" s="918"/>
      <c r="DS265" s="918"/>
      <c r="DT265" s="918"/>
      <c r="DU265" s="918"/>
      <c r="DV265" s="918"/>
      <c r="DW265" s="918"/>
      <c r="DX265" s="918"/>
      <c r="DY265" s="918"/>
      <c r="DZ265" s="918"/>
      <c r="EA265" s="918"/>
      <c r="EB265" s="918"/>
      <c r="EC265" s="918"/>
      <c r="ED265" s="918"/>
      <c r="EE265" s="918"/>
      <c r="EF265" s="918"/>
      <c r="EG265" s="918"/>
      <c r="EH265" s="918"/>
      <c r="EI265" s="918"/>
      <c r="EJ265" s="918"/>
      <c r="EK265" s="918"/>
      <c r="EL265" s="918"/>
      <c r="EM265" s="918"/>
      <c r="EN265" s="918"/>
      <c r="EO265" s="918"/>
      <c r="EP265" s="918"/>
      <c r="EQ265" s="918"/>
      <c r="ER265" s="918"/>
      <c r="ES265" s="918"/>
      <c r="ET265" s="918"/>
      <c r="EU265" s="918"/>
      <c r="EV265" s="918"/>
      <c r="EW265" s="918"/>
      <c r="EX265" s="918"/>
      <c r="EY265" s="918"/>
      <c r="EZ265" s="918"/>
      <c r="FA265" s="918"/>
      <c r="FB265" s="918"/>
      <c r="FC265" s="918"/>
      <c r="FD265" s="918"/>
      <c r="FE265" s="918"/>
      <c r="FF265" s="918"/>
      <c r="FG265" s="918"/>
      <c r="FH265" s="918"/>
      <c r="FI265" s="918"/>
      <c r="FJ265" s="918"/>
      <c r="FK265" s="918"/>
      <c r="FL265" s="918"/>
      <c r="FM265" s="918"/>
      <c r="FN265" s="918"/>
      <c r="FO265" s="918"/>
      <c r="FP265" s="918"/>
      <c r="FQ265" s="918"/>
      <c r="FR265" s="918"/>
      <c r="FS265" s="918"/>
      <c r="FT265" s="918"/>
      <c r="FU265" s="918"/>
      <c r="FV265" s="918"/>
      <c r="FW265" s="918"/>
      <c r="FX265" s="918"/>
      <c r="FY265" s="918"/>
      <c r="FZ265" s="918"/>
      <c r="GA265" s="918"/>
      <c r="GB265" s="918"/>
      <c r="GC265" s="918"/>
      <c r="GD265" s="918"/>
      <c r="GE265" s="918"/>
      <c r="GF265" s="918"/>
      <c r="GG265" s="918"/>
      <c r="GH265" s="918"/>
      <c r="GI265" s="918"/>
      <c r="GJ265" s="918"/>
      <c r="GK265" s="918"/>
      <c r="GL265" s="918"/>
      <c r="GM265" s="918"/>
      <c r="GN265" s="918"/>
      <c r="GO265" s="918"/>
      <c r="GP265" s="918"/>
      <c r="GQ265" s="918"/>
      <c r="GR265" s="918"/>
      <c r="GS265" s="918"/>
      <c r="GT265" s="918"/>
      <c r="GU265" s="918"/>
      <c r="GV265" s="918"/>
      <c r="GW265" s="918"/>
      <c r="GX265" s="918"/>
      <c r="GY265" s="918"/>
      <c r="GZ265" s="918"/>
      <c r="HA265" s="918"/>
      <c r="HB265" s="918"/>
      <c r="HC265" s="918"/>
      <c r="HD265" s="918"/>
      <c r="HE265" s="918"/>
      <c r="HF265" s="918"/>
      <c r="HG265" s="918"/>
      <c r="HH265" s="918"/>
      <c r="HI265" s="918"/>
      <c r="HJ265" s="918"/>
      <c r="HK265" s="918"/>
      <c r="HL265" s="918"/>
      <c r="HM265" s="918"/>
      <c r="HN265" s="918"/>
      <c r="HO265" s="918"/>
      <c r="HP265" s="918"/>
      <c r="HQ265" s="918"/>
      <c r="HR265" s="918"/>
      <c r="HS265" s="918"/>
      <c r="HT265" s="918"/>
      <c r="HU265" s="918"/>
      <c r="HV265" s="918"/>
      <c r="HW265" s="918"/>
      <c r="HX265" s="918"/>
      <c r="HY265" s="918"/>
      <c r="HZ265" s="918"/>
      <c r="IA265" s="918"/>
      <c r="IB265" s="918"/>
      <c r="IC265" s="918"/>
      <c r="ID265" s="918"/>
      <c r="IE265" s="918"/>
      <c r="IF265" s="918"/>
      <c r="IG265" s="918"/>
      <c r="IH265" s="918"/>
      <c r="II265" s="918"/>
      <c r="IJ265" s="918"/>
      <c r="IK265" s="918"/>
      <c r="IL265" s="918"/>
      <c r="IM265" s="918"/>
      <c r="IN265" s="918"/>
    </row>
    <row r="266" spans="1:248">
      <c r="A266" s="619" t="s">
        <v>27</v>
      </c>
      <c r="B266" s="617">
        <v>26412.799999999999</v>
      </c>
      <c r="C266" s="617">
        <f>+B266/H266*100</f>
        <v>26.181590375394887</v>
      </c>
      <c r="D266" s="620">
        <v>26630.6</v>
      </c>
      <c r="E266" s="919">
        <f t="shared" ref="E266" si="38">D266/H266*100</f>
        <v>26.397483820382199</v>
      </c>
      <c r="F266" s="919">
        <f>B266-D266</f>
        <v>-217.79999999999927</v>
      </c>
      <c r="G266" s="919">
        <f t="shared" ref="G266" si="39">F266/H266*100</f>
        <v>-0.21589344498731625</v>
      </c>
      <c r="H266" s="400">
        <v>100883.1</v>
      </c>
      <c r="I266" s="918"/>
      <c r="J266" s="918"/>
      <c r="K266" s="918"/>
      <c r="L266" s="918"/>
      <c r="M266" s="918"/>
      <c r="N266" s="918"/>
      <c r="O266" s="918"/>
      <c r="P266" s="918"/>
      <c r="Q266" s="918"/>
      <c r="R266" s="918"/>
      <c r="S266" s="918"/>
      <c r="T266" s="918"/>
      <c r="U266" s="918"/>
      <c r="V266" s="918"/>
      <c r="W266" s="918"/>
      <c r="X266" s="918"/>
      <c r="Y266" s="918"/>
      <c r="Z266" s="918"/>
      <c r="AA266" s="918"/>
      <c r="AB266" s="918"/>
      <c r="AC266" s="918"/>
      <c r="AD266" s="918"/>
      <c r="AE266" s="918"/>
      <c r="AF266" s="918"/>
      <c r="AG266" s="918"/>
      <c r="AH266" s="918"/>
      <c r="AI266" s="918"/>
      <c r="AJ266" s="918"/>
      <c r="AK266" s="918"/>
      <c r="AL266" s="918"/>
      <c r="AM266" s="918"/>
      <c r="AN266" s="918"/>
      <c r="AO266" s="918"/>
      <c r="AP266" s="918"/>
      <c r="AQ266" s="918"/>
      <c r="AR266" s="918"/>
      <c r="AS266" s="918"/>
      <c r="AT266" s="918"/>
      <c r="AU266" s="918"/>
      <c r="AV266" s="918"/>
      <c r="AW266" s="918"/>
      <c r="AX266" s="918"/>
      <c r="AY266" s="918"/>
      <c r="AZ266" s="918"/>
      <c r="BA266" s="918"/>
      <c r="BB266" s="918"/>
      <c r="BC266" s="918"/>
      <c r="BD266" s="918"/>
      <c r="BE266" s="918"/>
      <c r="BF266" s="918"/>
      <c r="BG266" s="918"/>
      <c r="BH266" s="918"/>
      <c r="BI266" s="918"/>
      <c r="BJ266" s="918"/>
      <c r="BK266" s="918"/>
      <c r="BL266" s="918"/>
      <c r="BM266" s="918"/>
      <c r="BN266" s="918"/>
      <c r="BO266" s="918"/>
      <c r="BP266" s="918"/>
      <c r="BQ266" s="918"/>
      <c r="BR266" s="918"/>
      <c r="BS266" s="918"/>
      <c r="BT266" s="918"/>
      <c r="BU266" s="918"/>
      <c r="BV266" s="918"/>
      <c r="BW266" s="918"/>
      <c r="BX266" s="918"/>
      <c r="BY266" s="918"/>
      <c r="BZ266" s="918"/>
      <c r="CA266" s="918"/>
      <c r="CB266" s="918"/>
      <c r="CC266" s="918"/>
      <c r="CD266" s="918"/>
      <c r="CE266" s="918"/>
      <c r="CF266" s="918"/>
      <c r="CG266" s="918"/>
      <c r="CH266" s="918"/>
      <c r="CI266" s="918"/>
      <c r="CJ266" s="918"/>
      <c r="CK266" s="918"/>
      <c r="CL266" s="918"/>
      <c r="CM266" s="918"/>
      <c r="CN266" s="918"/>
      <c r="CO266" s="918"/>
      <c r="CP266" s="918"/>
      <c r="CQ266" s="918"/>
      <c r="CR266" s="918"/>
      <c r="CS266" s="918"/>
      <c r="CT266" s="918"/>
      <c r="CU266" s="918"/>
      <c r="CV266" s="918"/>
      <c r="CW266" s="918"/>
      <c r="CX266" s="918"/>
      <c r="CY266" s="918"/>
      <c r="CZ266" s="918"/>
      <c r="DA266" s="918"/>
      <c r="DB266" s="918"/>
      <c r="DC266" s="918"/>
      <c r="DD266" s="918"/>
      <c r="DE266" s="918"/>
      <c r="DF266" s="918"/>
      <c r="DG266" s="918"/>
      <c r="DH266" s="918"/>
      <c r="DI266" s="918"/>
      <c r="DJ266" s="918"/>
      <c r="DK266" s="918"/>
      <c r="DL266" s="918"/>
      <c r="DM266" s="918"/>
      <c r="DN266" s="918"/>
      <c r="DO266" s="918"/>
      <c r="DP266" s="918"/>
      <c r="DQ266" s="918"/>
      <c r="DR266" s="918"/>
      <c r="DS266" s="918"/>
      <c r="DT266" s="918"/>
      <c r="DU266" s="918"/>
      <c r="DV266" s="918"/>
      <c r="DW266" s="918"/>
      <c r="DX266" s="918"/>
      <c r="DY266" s="918"/>
      <c r="DZ266" s="918"/>
      <c r="EA266" s="918"/>
      <c r="EB266" s="918"/>
      <c r="EC266" s="918"/>
      <c r="ED266" s="918"/>
      <c r="EE266" s="918"/>
      <c r="EF266" s="918"/>
      <c r="EG266" s="918"/>
      <c r="EH266" s="918"/>
      <c r="EI266" s="918"/>
      <c r="EJ266" s="918"/>
      <c r="EK266" s="918"/>
      <c r="EL266" s="918"/>
      <c r="EM266" s="918"/>
      <c r="EN266" s="918"/>
      <c r="EO266" s="918"/>
      <c r="EP266" s="918"/>
      <c r="EQ266" s="918"/>
      <c r="ER266" s="918"/>
      <c r="ES266" s="918"/>
      <c r="ET266" s="918"/>
      <c r="EU266" s="918"/>
      <c r="EV266" s="918"/>
      <c r="EW266" s="918"/>
      <c r="EX266" s="918"/>
      <c r="EY266" s="918"/>
      <c r="EZ266" s="918"/>
      <c r="FA266" s="918"/>
      <c r="FB266" s="918"/>
      <c r="FC266" s="918"/>
      <c r="FD266" s="918"/>
      <c r="FE266" s="918"/>
      <c r="FF266" s="918"/>
      <c r="FG266" s="918"/>
      <c r="FH266" s="918"/>
      <c r="FI266" s="918"/>
      <c r="FJ266" s="918"/>
      <c r="FK266" s="918"/>
      <c r="FL266" s="918"/>
      <c r="FM266" s="918"/>
      <c r="FN266" s="918"/>
      <c r="FO266" s="918"/>
      <c r="FP266" s="918"/>
      <c r="FQ266" s="918"/>
      <c r="FR266" s="918"/>
      <c r="FS266" s="918"/>
      <c r="FT266" s="918"/>
      <c r="FU266" s="918"/>
      <c r="FV266" s="918"/>
      <c r="FW266" s="918"/>
      <c r="FX266" s="918"/>
      <c r="FY266" s="918"/>
      <c r="FZ266" s="918"/>
      <c r="GA266" s="918"/>
      <c r="GB266" s="918"/>
      <c r="GC266" s="918"/>
      <c r="GD266" s="918"/>
      <c r="GE266" s="918"/>
      <c r="GF266" s="918"/>
      <c r="GG266" s="918"/>
      <c r="GH266" s="918"/>
      <c r="GI266" s="918"/>
      <c r="GJ266" s="918"/>
      <c r="GK266" s="918"/>
      <c r="GL266" s="918"/>
      <c r="GM266" s="918"/>
      <c r="GN266" s="918"/>
      <c r="GO266" s="918"/>
      <c r="GP266" s="918"/>
      <c r="GQ266" s="918"/>
      <c r="GR266" s="918"/>
      <c r="GS266" s="918"/>
      <c r="GT266" s="918"/>
      <c r="GU266" s="918"/>
      <c r="GV266" s="918"/>
      <c r="GW266" s="918"/>
      <c r="GX266" s="918"/>
      <c r="GY266" s="918"/>
      <c r="GZ266" s="918"/>
      <c r="HA266" s="918"/>
      <c r="HB266" s="918"/>
      <c r="HC266" s="918"/>
      <c r="HD266" s="918"/>
      <c r="HE266" s="918"/>
      <c r="HF266" s="918"/>
      <c r="HG266" s="918"/>
      <c r="HH266" s="918"/>
      <c r="HI266" s="918"/>
      <c r="HJ266" s="918"/>
      <c r="HK266" s="918"/>
      <c r="HL266" s="918"/>
      <c r="HM266" s="918"/>
      <c r="HN266" s="918"/>
      <c r="HO266" s="918"/>
      <c r="HP266" s="918"/>
      <c r="HQ266" s="918"/>
      <c r="HR266" s="918"/>
      <c r="HS266" s="918"/>
      <c r="HT266" s="918"/>
      <c r="HU266" s="918"/>
      <c r="HV266" s="918"/>
      <c r="HW266" s="918"/>
      <c r="HX266" s="918"/>
      <c r="HY266" s="918"/>
      <c r="HZ266" s="918"/>
      <c r="IA266" s="918"/>
      <c r="IB266" s="918"/>
      <c r="IC266" s="918"/>
      <c r="ID266" s="918"/>
      <c r="IE266" s="918"/>
      <c r="IF266" s="918"/>
      <c r="IG266" s="918"/>
      <c r="IH266" s="918"/>
      <c r="II266" s="918"/>
      <c r="IJ266" s="918"/>
      <c r="IK266" s="918"/>
      <c r="IL266" s="918"/>
      <c r="IM266" s="918"/>
      <c r="IN266" s="918"/>
    </row>
    <row r="267" spans="1:248">
      <c r="A267" s="619" t="s">
        <v>28</v>
      </c>
      <c r="B267" s="617">
        <v>29642</v>
      </c>
      <c r="C267" s="617">
        <v>26.895242657840107</v>
      </c>
      <c r="D267" s="620">
        <v>29155.200000000001</v>
      </c>
      <c r="E267" s="919">
        <v>26.453551674578634</v>
      </c>
      <c r="F267" s="919">
        <v>486.79999999999927</v>
      </c>
      <c r="G267" s="919">
        <v>0.44169098326147171</v>
      </c>
      <c r="H267" s="400">
        <v>110212.8</v>
      </c>
      <c r="I267" s="918"/>
      <c r="J267" s="918"/>
      <c r="K267" s="918"/>
      <c r="L267" s="918"/>
      <c r="M267" s="918"/>
      <c r="N267" s="918"/>
      <c r="O267" s="918"/>
      <c r="P267" s="918"/>
      <c r="Q267" s="918"/>
      <c r="R267" s="918"/>
      <c r="S267" s="918"/>
      <c r="T267" s="918"/>
      <c r="U267" s="918"/>
      <c r="V267" s="918"/>
      <c r="W267" s="918"/>
      <c r="X267" s="918"/>
      <c r="Y267" s="918"/>
      <c r="Z267" s="918"/>
      <c r="AA267" s="918"/>
      <c r="AB267" s="918"/>
      <c r="AC267" s="918"/>
      <c r="AD267" s="918"/>
      <c r="AE267" s="918"/>
      <c r="AF267" s="918"/>
      <c r="AG267" s="918"/>
      <c r="AH267" s="918"/>
      <c r="AI267" s="918"/>
      <c r="AJ267" s="918"/>
      <c r="AK267" s="918"/>
      <c r="AL267" s="918"/>
      <c r="AM267" s="918"/>
      <c r="AN267" s="918"/>
      <c r="AO267" s="918"/>
      <c r="AP267" s="918"/>
      <c r="AQ267" s="918"/>
      <c r="AR267" s="918"/>
      <c r="AS267" s="918"/>
      <c r="AT267" s="918"/>
      <c r="AU267" s="918"/>
      <c r="AV267" s="918"/>
      <c r="AW267" s="918"/>
      <c r="AX267" s="918"/>
      <c r="AY267" s="918"/>
      <c r="AZ267" s="918"/>
      <c r="BA267" s="918"/>
      <c r="BB267" s="918"/>
      <c r="BC267" s="918"/>
      <c r="BD267" s="918"/>
      <c r="BE267" s="918"/>
      <c r="BF267" s="918"/>
      <c r="BG267" s="918"/>
      <c r="BH267" s="918"/>
      <c r="BI267" s="918"/>
      <c r="BJ267" s="918"/>
      <c r="BK267" s="918"/>
      <c r="BL267" s="918"/>
      <c r="BM267" s="918"/>
      <c r="BN267" s="918"/>
      <c r="BO267" s="918"/>
      <c r="BP267" s="918"/>
      <c r="BQ267" s="918"/>
      <c r="BR267" s="918"/>
      <c r="BS267" s="918"/>
      <c r="BT267" s="918"/>
      <c r="BU267" s="918"/>
      <c r="BV267" s="918"/>
      <c r="BW267" s="918"/>
      <c r="BX267" s="918"/>
      <c r="BY267" s="918"/>
      <c r="BZ267" s="918"/>
      <c r="CA267" s="918"/>
      <c r="CB267" s="918"/>
      <c r="CC267" s="918"/>
      <c r="CD267" s="918"/>
      <c r="CE267" s="918"/>
      <c r="CF267" s="918"/>
      <c r="CG267" s="918"/>
      <c r="CH267" s="918"/>
      <c r="CI267" s="918"/>
      <c r="CJ267" s="918"/>
      <c r="CK267" s="918"/>
      <c r="CL267" s="918"/>
      <c r="CM267" s="918"/>
      <c r="CN267" s="918"/>
      <c r="CO267" s="918"/>
      <c r="CP267" s="918"/>
      <c r="CQ267" s="918"/>
      <c r="CR267" s="918"/>
      <c r="CS267" s="918"/>
      <c r="CT267" s="918"/>
      <c r="CU267" s="918"/>
      <c r="CV267" s="918"/>
      <c r="CW267" s="918"/>
      <c r="CX267" s="918"/>
      <c r="CY267" s="918"/>
      <c r="CZ267" s="918"/>
      <c r="DA267" s="918"/>
      <c r="DB267" s="918"/>
      <c r="DC267" s="918"/>
      <c r="DD267" s="918"/>
      <c r="DE267" s="918"/>
      <c r="DF267" s="918"/>
      <c r="DG267" s="918"/>
      <c r="DH267" s="918"/>
      <c r="DI267" s="918"/>
      <c r="DJ267" s="918"/>
      <c r="DK267" s="918"/>
      <c r="DL267" s="918"/>
      <c r="DM267" s="918"/>
      <c r="DN267" s="918"/>
      <c r="DO267" s="918"/>
      <c r="DP267" s="918"/>
      <c r="DQ267" s="918"/>
      <c r="DR267" s="918"/>
      <c r="DS267" s="918"/>
      <c r="DT267" s="918"/>
      <c r="DU267" s="918"/>
      <c r="DV267" s="918"/>
      <c r="DW267" s="918"/>
      <c r="DX267" s="918"/>
      <c r="DY267" s="918"/>
      <c r="DZ267" s="918"/>
      <c r="EA267" s="918"/>
      <c r="EB267" s="918"/>
      <c r="EC267" s="918"/>
      <c r="ED267" s="918"/>
      <c r="EE267" s="918"/>
      <c r="EF267" s="918"/>
      <c r="EG267" s="918"/>
      <c r="EH267" s="918"/>
      <c r="EI267" s="918"/>
      <c r="EJ267" s="918"/>
      <c r="EK267" s="918"/>
      <c r="EL267" s="918"/>
      <c r="EM267" s="918"/>
      <c r="EN267" s="918"/>
      <c r="EO267" s="918"/>
      <c r="EP267" s="918"/>
      <c r="EQ267" s="918"/>
      <c r="ER267" s="918"/>
      <c r="ES267" s="918"/>
      <c r="ET267" s="918"/>
      <c r="EU267" s="918"/>
      <c r="EV267" s="918"/>
      <c r="EW267" s="918"/>
      <c r="EX267" s="918"/>
      <c r="EY267" s="918"/>
      <c r="EZ267" s="918"/>
      <c r="FA267" s="918"/>
      <c r="FB267" s="918"/>
      <c r="FC267" s="918"/>
      <c r="FD267" s="918"/>
      <c r="FE267" s="918"/>
      <c r="FF267" s="918"/>
      <c r="FG267" s="918"/>
      <c r="FH267" s="918"/>
      <c r="FI267" s="918"/>
      <c r="FJ267" s="918"/>
      <c r="FK267" s="918"/>
      <c r="FL267" s="918"/>
      <c r="FM267" s="918"/>
      <c r="FN267" s="918"/>
      <c r="FO267" s="918"/>
      <c r="FP267" s="918"/>
      <c r="FQ267" s="918"/>
      <c r="FR267" s="918"/>
      <c r="FS267" s="918"/>
      <c r="FT267" s="918"/>
      <c r="FU267" s="918"/>
      <c r="FV267" s="918"/>
      <c r="FW267" s="918"/>
      <c r="FX267" s="918"/>
      <c r="FY267" s="918"/>
      <c r="FZ267" s="918"/>
      <c r="GA267" s="918"/>
      <c r="GB267" s="918"/>
      <c r="GC267" s="918"/>
      <c r="GD267" s="918"/>
      <c r="GE267" s="918"/>
      <c r="GF267" s="918"/>
      <c r="GG267" s="918"/>
      <c r="GH267" s="918"/>
      <c r="GI267" s="918"/>
      <c r="GJ267" s="918"/>
      <c r="GK267" s="918"/>
      <c r="GL267" s="918"/>
      <c r="GM267" s="918"/>
      <c r="GN267" s="918"/>
      <c r="GO267" s="918"/>
      <c r="GP267" s="918"/>
      <c r="GQ267" s="918"/>
      <c r="GR267" s="918"/>
      <c r="GS267" s="918"/>
      <c r="GT267" s="918"/>
      <c r="GU267" s="918"/>
      <c r="GV267" s="918"/>
      <c r="GW267" s="918"/>
      <c r="GX267" s="918"/>
      <c r="GY267" s="918"/>
      <c r="GZ267" s="918"/>
      <c r="HA267" s="918"/>
      <c r="HB267" s="918"/>
      <c r="HC267" s="918"/>
      <c r="HD267" s="918"/>
      <c r="HE267" s="918"/>
      <c r="HF267" s="918"/>
      <c r="HG267" s="918"/>
      <c r="HH267" s="918"/>
      <c r="HI267" s="918"/>
      <c r="HJ267" s="918"/>
      <c r="HK267" s="918"/>
      <c r="HL267" s="918"/>
      <c r="HM267" s="918"/>
      <c r="HN267" s="918"/>
      <c r="HO267" s="918"/>
      <c r="HP267" s="918"/>
      <c r="HQ267" s="918"/>
      <c r="HR267" s="918"/>
      <c r="HS267" s="918"/>
      <c r="HT267" s="918"/>
      <c r="HU267" s="918"/>
      <c r="HV267" s="918"/>
      <c r="HW267" s="918"/>
      <c r="HX267" s="918"/>
      <c r="HY267" s="918"/>
      <c r="HZ267" s="918"/>
      <c r="IA267" s="918"/>
      <c r="IB267" s="918"/>
      <c r="IC267" s="918"/>
      <c r="ID267" s="918"/>
      <c r="IE267" s="918"/>
      <c r="IF267" s="918"/>
      <c r="IG267" s="918"/>
      <c r="IH267" s="918"/>
      <c r="II267" s="918"/>
      <c r="IJ267" s="918"/>
      <c r="IK267" s="918"/>
      <c r="IL267" s="918"/>
      <c r="IM267" s="918"/>
      <c r="IN267" s="918"/>
    </row>
    <row r="268" spans="1:248">
      <c r="A268" s="619" t="s">
        <v>29</v>
      </c>
      <c r="B268" s="617">
        <v>35236.39</v>
      </c>
      <c r="C268" s="617">
        <v>28.921308396779011</v>
      </c>
      <c r="D268" s="620">
        <v>36457.96</v>
      </c>
      <c r="E268" s="919">
        <v>29.639731556719006</v>
      </c>
      <c r="F268" s="919">
        <f>B268-D268</f>
        <v>-1221.5699999999997</v>
      </c>
      <c r="G268" s="919">
        <f t="shared" ref="G268" si="40">F268/H268*100</f>
        <v>-0.99310193446634476</v>
      </c>
      <c r="H268" s="400">
        <v>123005.5</v>
      </c>
      <c r="I268" s="918"/>
      <c r="J268" s="918"/>
      <c r="K268" s="918"/>
      <c r="L268" s="918"/>
      <c r="M268" s="918"/>
      <c r="N268" s="918"/>
      <c r="O268" s="918"/>
      <c r="P268" s="918"/>
      <c r="Q268" s="918"/>
      <c r="R268" s="918"/>
      <c r="S268" s="918"/>
      <c r="T268" s="918"/>
      <c r="U268" s="918"/>
      <c r="V268" s="918"/>
      <c r="W268" s="918"/>
      <c r="X268" s="918"/>
      <c r="Y268" s="918"/>
      <c r="Z268" s="918"/>
      <c r="AA268" s="918"/>
      <c r="AB268" s="918"/>
      <c r="AC268" s="918"/>
      <c r="AD268" s="918"/>
      <c r="AE268" s="918"/>
      <c r="AF268" s="918"/>
      <c r="AG268" s="918"/>
      <c r="AH268" s="918"/>
      <c r="AI268" s="918"/>
      <c r="AJ268" s="918"/>
      <c r="AK268" s="918"/>
      <c r="AL268" s="918"/>
      <c r="AM268" s="918"/>
      <c r="AN268" s="918"/>
      <c r="AO268" s="918"/>
      <c r="AP268" s="918"/>
      <c r="AQ268" s="918"/>
      <c r="AR268" s="918"/>
      <c r="AS268" s="918"/>
      <c r="AT268" s="918"/>
      <c r="AU268" s="918"/>
      <c r="AV268" s="918"/>
      <c r="AW268" s="918"/>
      <c r="AX268" s="918"/>
      <c r="AY268" s="918"/>
      <c r="AZ268" s="918"/>
      <c r="BA268" s="918"/>
      <c r="BB268" s="918"/>
      <c r="BC268" s="918"/>
      <c r="BD268" s="918"/>
      <c r="BE268" s="918"/>
      <c r="BF268" s="918"/>
      <c r="BG268" s="918"/>
      <c r="BH268" s="918"/>
      <c r="BI268" s="918"/>
      <c r="BJ268" s="918"/>
      <c r="BK268" s="918"/>
      <c r="BL268" s="918"/>
      <c r="BM268" s="918"/>
      <c r="BN268" s="918"/>
      <c r="BO268" s="918"/>
      <c r="BP268" s="918"/>
      <c r="BQ268" s="918"/>
      <c r="BR268" s="918"/>
      <c r="BS268" s="918"/>
      <c r="BT268" s="918"/>
      <c r="BU268" s="918"/>
      <c r="BV268" s="918"/>
      <c r="BW268" s="918"/>
      <c r="BX268" s="918"/>
      <c r="BY268" s="918"/>
      <c r="BZ268" s="918"/>
      <c r="CA268" s="918"/>
      <c r="CB268" s="918"/>
      <c r="CC268" s="918"/>
      <c r="CD268" s="918"/>
      <c r="CE268" s="918"/>
      <c r="CF268" s="918"/>
      <c r="CG268" s="918"/>
      <c r="CH268" s="918"/>
      <c r="CI268" s="918"/>
      <c r="CJ268" s="918"/>
      <c r="CK268" s="918"/>
      <c r="CL268" s="918"/>
      <c r="CM268" s="918"/>
      <c r="CN268" s="918"/>
      <c r="CO268" s="918"/>
      <c r="CP268" s="918"/>
      <c r="CQ268" s="918"/>
      <c r="CR268" s="918"/>
      <c r="CS268" s="918"/>
      <c r="CT268" s="918"/>
      <c r="CU268" s="918"/>
      <c r="CV268" s="918"/>
      <c r="CW268" s="918"/>
      <c r="CX268" s="918"/>
      <c r="CY268" s="918"/>
      <c r="CZ268" s="918"/>
      <c r="DA268" s="918"/>
      <c r="DB268" s="918"/>
      <c r="DC268" s="918"/>
      <c r="DD268" s="918"/>
      <c r="DE268" s="918"/>
      <c r="DF268" s="918"/>
      <c r="DG268" s="918"/>
      <c r="DH268" s="918"/>
      <c r="DI268" s="918"/>
      <c r="DJ268" s="918"/>
      <c r="DK268" s="918"/>
      <c r="DL268" s="918"/>
      <c r="DM268" s="918"/>
      <c r="DN268" s="918"/>
      <c r="DO268" s="918"/>
      <c r="DP268" s="918"/>
      <c r="DQ268" s="918"/>
      <c r="DR268" s="918"/>
      <c r="DS268" s="918"/>
      <c r="DT268" s="918"/>
      <c r="DU268" s="918"/>
      <c r="DV268" s="918"/>
      <c r="DW268" s="918"/>
      <c r="DX268" s="918"/>
      <c r="DY268" s="918"/>
      <c r="DZ268" s="918"/>
      <c r="EA268" s="918"/>
      <c r="EB268" s="918"/>
      <c r="EC268" s="918"/>
      <c r="ED268" s="918"/>
      <c r="EE268" s="918"/>
      <c r="EF268" s="918"/>
      <c r="EG268" s="918"/>
      <c r="EH268" s="918"/>
      <c r="EI268" s="918"/>
      <c r="EJ268" s="918"/>
      <c r="EK268" s="918"/>
      <c r="EL268" s="918"/>
      <c r="EM268" s="918"/>
      <c r="EN268" s="918"/>
      <c r="EO268" s="918"/>
      <c r="EP268" s="918"/>
      <c r="EQ268" s="918"/>
      <c r="ER268" s="918"/>
      <c r="ES268" s="918"/>
      <c r="ET268" s="918"/>
      <c r="EU268" s="918"/>
      <c r="EV268" s="918"/>
      <c r="EW268" s="918"/>
      <c r="EX268" s="918"/>
      <c r="EY268" s="918"/>
      <c r="EZ268" s="918"/>
      <c r="FA268" s="918"/>
      <c r="FB268" s="918"/>
      <c r="FC268" s="918"/>
      <c r="FD268" s="918"/>
      <c r="FE268" s="918"/>
      <c r="FF268" s="918"/>
      <c r="FG268" s="918"/>
      <c r="FH268" s="918"/>
      <c r="FI268" s="918"/>
      <c r="FJ268" s="918"/>
      <c r="FK268" s="918"/>
      <c r="FL268" s="918"/>
      <c r="FM268" s="918"/>
      <c r="FN268" s="918"/>
      <c r="FO268" s="918"/>
      <c r="FP268" s="918"/>
      <c r="FQ268" s="918"/>
      <c r="FR268" s="918"/>
      <c r="FS268" s="918"/>
      <c r="FT268" s="918"/>
      <c r="FU268" s="918"/>
      <c r="FV268" s="918"/>
      <c r="FW268" s="918"/>
      <c r="FX268" s="918"/>
      <c r="FY268" s="918"/>
      <c r="FZ268" s="918"/>
      <c r="GA268" s="918"/>
      <c r="GB268" s="918"/>
      <c r="GC268" s="918"/>
      <c r="GD268" s="918"/>
      <c r="GE268" s="918"/>
      <c r="GF268" s="918"/>
      <c r="GG268" s="918"/>
      <c r="GH268" s="918"/>
      <c r="GI268" s="918"/>
      <c r="GJ268" s="918"/>
      <c r="GK268" s="918"/>
      <c r="GL268" s="918"/>
      <c r="GM268" s="918"/>
      <c r="GN268" s="918"/>
      <c r="GO268" s="918"/>
      <c r="GP268" s="918"/>
      <c r="GQ268" s="918"/>
      <c r="GR268" s="918"/>
      <c r="GS268" s="918"/>
      <c r="GT268" s="918"/>
      <c r="GU268" s="918"/>
      <c r="GV268" s="918"/>
      <c r="GW268" s="918"/>
      <c r="GX268" s="918"/>
      <c r="GY268" s="918"/>
      <c r="GZ268" s="918"/>
      <c r="HA268" s="918"/>
      <c r="HB268" s="918"/>
      <c r="HC268" s="918"/>
      <c r="HD268" s="918"/>
      <c r="HE268" s="918"/>
      <c r="HF268" s="918"/>
      <c r="HG268" s="918"/>
      <c r="HH268" s="918"/>
      <c r="HI268" s="918"/>
      <c r="HJ268" s="918"/>
      <c r="HK268" s="918"/>
      <c r="HL268" s="918"/>
      <c r="HM268" s="918"/>
      <c r="HN268" s="918"/>
      <c r="HO268" s="918"/>
      <c r="HP268" s="918"/>
      <c r="HQ268" s="918"/>
      <c r="HR268" s="918"/>
      <c r="HS268" s="918"/>
      <c r="HT268" s="918"/>
      <c r="HU268" s="918"/>
      <c r="HV268" s="918"/>
      <c r="HW268" s="918"/>
      <c r="HX268" s="918"/>
      <c r="HY268" s="918"/>
      <c r="HZ268" s="918"/>
      <c r="IA268" s="918"/>
      <c r="IB268" s="918"/>
      <c r="IC268" s="918"/>
      <c r="ID268" s="918"/>
      <c r="IE268" s="918"/>
      <c r="IF268" s="918"/>
      <c r="IG268" s="918"/>
      <c r="IH268" s="918"/>
      <c r="II268" s="918"/>
      <c r="IJ268" s="918"/>
      <c r="IK268" s="918"/>
      <c r="IL268" s="918"/>
      <c r="IM268" s="918"/>
      <c r="IN268" s="918"/>
    </row>
    <row r="269" spans="1:248">
      <c r="A269" s="619" t="s">
        <v>3989</v>
      </c>
      <c r="B269" s="612">
        <v>37161.800000000003</v>
      </c>
      <c r="C269" s="612">
        <v>29.414819094960308</v>
      </c>
      <c r="D269" s="616">
        <v>37712.720000000001</v>
      </c>
      <c r="E269" s="920">
        <v>29.850890871241205</v>
      </c>
      <c r="F269" s="920">
        <v>-550.91999999999825</v>
      </c>
      <c r="G269" s="920">
        <v>-0.4360717762808981</v>
      </c>
      <c r="H269" s="400"/>
      <c r="I269" s="918"/>
      <c r="J269" s="918"/>
      <c r="K269" s="918"/>
      <c r="L269" s="918"/>
      <c r="M269" s="918"/>
      <c r="N269" s="918"/>
      <c r="O269" s="918"/>
      <c r="P269" s="918"/>
      <c r="Q269" s="918"/>
      <c r="R269" s="918"/>
      <c r="S269" s="918"/>
      <c r="T269" s="918"/>
      <c r="U269" s="918"/>
      <c r="V269" s="918"/>
      <c r="W269" s="918"/>
      <c r="X269" s="918"/>
      <c r="Y269" s="918"/>
      <c r="Z269" s="918"/>
      <c r="AA269" s="918"/>
      <c r="AB269" s="918"/>
      <c r="AC269" s="918"/>
      <c r="AD269" s="918"/>
      <c r="AE269" s="918"/>
      <c r="AF269" s="918"/>
      <c r="AG269" s="918"/>
      <c r="AH269" s="918"/>
      <c r="AI269" s="918"/>
      <c r="AJ269" s="918"/>
      <c r="AK269" s="918"/>
      <c r="AL269" s="918"/>
      <c r="AM269" s="918"/>
      <c r="AN269" s="918"/>
      <c r="AO269" s="918"/>
      <c r="AP269" s="918"/>
      <c r="AQ269" s="918"/>
      <c r="AR269" s="918"/>
      <c r="AS269" s="918"/>
      <c r="AT269" s="918"/>
      <c r="AU269" s="918"/>
      <c r="AV269" s="918"/>
      <c r="AW269" s="918"/>
      <c r="AX269" s="918"/>
      <c r="AY269" s="918"/>
      <c r="AZ269" s="918"/>
      <c r="BA269" s="918"/>
      <c r="BB269" s="918"/>
      <c r="BC269" s="918"/>
      <c r="BD269" s="918"/>
      <c r="BE269" s="918"/>
      <c r="BF269" s="918"/>
      <c r="BG269" s="918"/>
      <c r="BH269" s="918"/>
      <c r="BI269" s="918"/>
      <c r="BJ269" s="918"/>
      <c r="BK269" s="918"/>
      <c r="BL269" s="918"/>
      <c r="BM269" s="918"/>
      <c r="BN269" s="918"/>
      <c r="BO269" s="918"/>
      <c r="BP269" s="918"/>
      <c r="BQ269" s="918"/>
      <c r="BR269" s="918"/>
      <c r="BS269" s="918"/>
      <c r="BT269" s="918"/>
      <c r="BU269" s="918"/>
      <c r="BV269" s="918"/>
      <c r="BW269" s="918"/>
      <c r="BX269" s="918"/>
      <c r="BY269" s="918"/>
      <c r="BZ269" s="918"/>
      <c r="CA269" s="918"/>
      <c r="CB269" s="918"/>
      <c r="CC269" s="918"/>
      <c r="CD269" s="918"/>
      <c r="CE269" s="918"/>
      <c r="CF269" s="918"/>
      <c r="CG269" s="918"/>
      <c r="CH269" s="918"/>
      <c r="CI269" s="918"/>
      <c r="CJ269" s="918"/>
      <c r="CK269" s="918"/>
      <c r="CL269" s="918"/>
      <c r="CM269" s="918"/>
      <c r="CN269" s="918"/>
      <c r="CO269" s="918"/>
      <c r="CP269" s="918"/>
      <c r="CQ269" s="918"/>
      <c r="CR269" s="918"/>
      <c r="CS269" s="918"/>
      <c r="CT269" s="918"/>
      <c r="CU269" s="918"/>
      <c r="CV269" s="918"/>
      <c r="CW269" s="918"/>
      <c r="CX269" s="918"/>
      <c r="CY269" s="918"/>
      <c r="CZ269" s="918"/>
      <c r="DA269" s="918"/>
      <c r="DB269" s="918"/>
      <c r="DC269" s="918"/>
      <c r="DD269" s="918"/>
      <c r="DE269" s="918"/>
      <c r="DF269" s="918"/>
      <c r="DG269" s="918"/>
      <c r="DH269" s="918"/>
      <c r="DI269" s="918"/>
      <c r="DJ269" s="918"/>
      <c r="DK269" s="918"/>
      <c r="DL269" s="918"/>
      <c r="DM269" s="918"/>
      <c r="DN269" s="918"/>
      <c r="DO269" s="918"/>
      <c r="DP269" s="918"/>
      <c r="DQ269" s="918"/>
      <c r="DR269" s="918"/>
      <c r="DS269" s="918"/>
      <c r="DT269" s="918"/>
      <c r="DU269" s="918"/>
      <c r="DV269" s="918"/>
      <c r="DW269" s="918"/>
      <c r="DX269" s="918"/>
      <c r="DY269" s="918"/>
      <c r="DZ269" s="918"/>
      <c r="EA269" s="918"/>
      <c r="EB269" s="918"/>
      <c r="EC269" s="918"/>
      <c r="ED269" s="918"/>
      <c r="EE269" s="918"/>
      <c r="EF269" s="918"/>
      <c r="EG269" s="918"/>
      <c r="EH269" s="918"/>
      <c r="EI269" s="918"/>
      <c r="EJ269" s="918"/>
      <c r="EK269" s="918"/>
      <c r="EL269" s="918"/>
      <c r="EM269" s="918"/>
      <c r="EN269" s="918"/>
      <c r="EO269" s="918"/>
      <c r="EP269" s="918"/>
      <c r="EQ269" s="918"/>
      <c r="ER269" s="918"/>
      <c r="ES269" s="918"/>
      <c r="ET269" s="918"/>
      <c r="EU269" s="918"/>
      <c r="EV269" s="918"/>
      <c r="EW269" s="918"/>
      <c r="EX269" s="918"/>
      <c r="EY269" s="918"/>
      <c r="EZ269" s="918"/>
      <c r="FA269" s="918"/>
      <c r="FB269" s="918"/>
      <c r="FC269" s="918"/>
      <c r="FD269" s="918"/>
      <c r="FE269" s="918"/>
      <c r="FF269" s="918"/>
      <c r="FG269" s="918"/>
      <c r="FH269" s="918"/>
      <c r="FI269" s="918"/>
      <c r="FJ269" s="918"/>
      <c r="FK269" s="918"/>
      <c r="FL269" s="918"/>
      <c r="FM269" s="918"/>
      <c r="FN269" s="918"/>
      <c r="FO269" s="918"/>
      <c r="FP269" s="918"/>
      <c r="FQ269" s="918"/>
      <c r="FR269" s="918"/>
      <c r="FS269" s="918"/>
      <c r="FT269" s="918"/>
      <c r="FU269" s="918"/>
      <c r="FV269" s="918"/>
      <c r="FW269" s="918"/>
      <c r="FX269" s="918"/>
      <c r="FY269" s="918"/>
      <c r="FZ269" s="918"/>
      <c r="GA269" s="918"/>
      <c r="GB269" s="918"/>
      <c r="GC269" s="918"/>
      <c r="GD269" s="918"/>
      <c r="GE269" s="918"/>
      <c r="GF269" s="918"/>
      <c r="GG269" s="918"/>
      <c r="GH269" s="918"/>
      <c r="GI269" s="918"/>
      <c r="GJ269" s="918"/>
      <c r="GK269" s="918"/>
      <c r="GL269" s="918"/>
      <c r="GM269" s="918"/>
      <c r="GN269" s="918"/>
      <c r="GO269" s="918"/>
      <c r="GP269" s="918"/>
      <c r="GQ269" s="918"/>
      <c r="GR269" s="918"/>
      <c r="GS269" s="918"/>
      <c r="GT269" s="918"/>
      <c r="GU269" s="918"/>
      <c r="GV269" s="918"/>
      <c r="GW269" s="918"/>
      <c r="GX269" s="918"/>
      <c r="GY269" s="918"/>
      <c r="GZ269" s="918"/>
      <c r="HA269" s="918"/>
      <c r="HB269" s="918"/>
      <c r="HC269" s="918"/>
      <c r="HD269" s="918"/>
      <c r="HE269" s="918"/>
      <c r="HF269" s="918"/>
      <c r="HG269" s="918"/>
      <c r="HH269" s="918"/>
      <c r="HI269" s="918"/>
      <c r="HJ269" s="918"/>
      <c r="HK269" s="918"/>
      <c r="HL269" s="918"/>
      <c r="HM269" s="918"/>
      <c r="HN269" s="918"/>
      <c r="HO269" s="918"/>
      <c r="HP269" s="918"/>
      <c r="HQ269" s="918"/>
      <c r="HR269" s="918"/>
      <c r="HS269" s="918"/>
      <c r="HT269" s="918"/>
      <c r="HU269" s="918"/>
      <c r="HV269" s="918"/>
      <c r="HW269" s="918"/>
      <c r="HX269" s="918"/>
      <c r="HY269" s="918"/>
      <c r="HZ269" s="918"/>
      <c r="IA269" s="918"/>
      <c r="IB269" s="918"/>
      <c r="IC269" s="918"/>
      <c r="ID269" s="918"/>
      <c r="IE269" s="918"/>
      <c r="IF269" s="918"/>
      <c r="IG269" s="918"/>
      <c r="IH269" s="918"/>
      <c r="II269" s="918"/>
      <c r="IJ269" s="918"/>
      <c r="IK269" s="918"/>
      <c r="IL269" s="918"/>
      <c r="IM269" s="918"/>
      <c r="IN269" s="918"/>
    </row>
    <row r="270" spans="1:248">
      <c r="A270" s="619" t="s">
        <v>18</v>
      </c>
      <c r="B270" s="617">
        <v>3465.9</v>
      </c>
      <c r="C270" s="617">
        <v>37.957507392399521</v>
      </c>
      <c r="D270" s="620">
        <v>1723.7</v>
      </c>
      <c r="E270" s="919">
        <v>18.877450443543971</v>
      </c>
      <c r="F270" s="919">
        <v>1742.2</v>
      </c>
      <c r="G270" s="919">
        <v>19.080056948855546</v>
      </c>
      <c r="H270" s="400">
        <v>9131</v>
      </c>
      <c r="I270" s="918"/>
      <c r="J270" s="918"/>
      <c r="K270" s="918"/>
      <c r="L270" s="918"/>
      <c r="M270" s="918"/>
      <c r="N270" s="918"/>
      <c r="O270" s="918"/>
      <c r="P270" s="918"/>
      <c r="Q270" s="918"/>
      <c r="R270" s="918"/>
      <c r="S270" s="918"/>
      <c r="T270" s="918"/>
      <c r="U270" s="918"/>
      <c r="V270" s="918"/>
      <c r="W270" s="918"/>
      <c r="X270" s="918"/>
      <c r="Y270" s="918"/>
      <c r="Z270" s="918"/>
      <c r="AA270" s="918"/>
      <c r="AB270" s="918"/>
      <c r="AC270" s="918"/>
      <c r="AD270" s="918"/>
      <c r="AE270" s="918"/>
      <c r="AF270" s="918"/>
      <c r="AG270" s="918"/>
      <c r="AH270" s="918"/>
      <c r="AI270" s="918"/>
      <c r="AJ270" s="918"/>
      <c r="AK270" s="918"/>
      <c r="AL270" s="918"/>
      <c r="AM270" s="918"/>
      <c r="AN270" s="918"/>
      <c r="AO270" s="918"/>
      <c r="AP270" s="918"/>
      <c r="AQ270" s="918"/>
      <c r="AR270" s="918"/>
      <c r="AS270" s="918"/>
      <c r="AT270" s="918"/>
      <c r="AU270" s="918"/>
      <c r="AV270" s="918"/>
      <c r="AW270" s="918"/>
      <c r="AX270" s="918"/>
      <c r="AY270" s="918"/>
      <c r="AZ270" s="918"/>
      <c r="BA270" s="918"/>
      <c r="BB270" s="918"/>
      <c r="BC270" s="918"/>
      <c r="BD270" s="918"/>
      <c r="BE270" s="918"/>
      <c r="BF270" s="918"/>
      <c r="BG270" s="918"/>
      <c r="BH270" s="918"/>
      <c r="BI270" s="918"/>
      <c r="BJ270" s="918"/>
      <c r="BK270" s="918"/>
      <c r="BL270" s="918"/>
      <c r="BM270" s="918"/>
      <c r="BN270" s="918"/>
      <c r="BO270" s="918"/>
      <c r="BP270" s="918"/>
      <c r="BQ270" s="918"/>
      <c r="BR270" s="918"/>
      <c r="BS270" s="918"/>
      <c r="BT270" s="918"/>
      <c r="BU270" s="918"/>
      <c r="BV270" s="918"/>
      <c r="BW270" s="918"/>
      <c r="BX270" s="918"/>
      <c r="BY270" s="918"/>
      <c r="BZ270" s="918"/>
      <c r="CA270" s="918"/>
      <c r="CB270" s="918"/>
      <c r="CC270" s="918"/>
      <c r="CD270" s="918"/>
      <c r="CE270" s="918"/>
      <c r="CF270" s="918"/>
      <c r="CG270" s="918"/>
      <c r="CH270" s="918"/>
      <c r="CI270" s="918"/>
      <c r="CJ270" s="918"/>
      <c r="CK270" s="918"/>
      <c r="CL270" s="918"/>
      <c r="CM270" s="918"/>
      <c r="CN270" s="918"/>
      <c r="CO270" s="918"/>
      <c r="CP270" s="918"/>
      <c r="CQ270" s="918"/>
      <c r="CR270" s="918"/>
      <c r="CS270" s="918"/>
      <c r="CT270" s="918"/>
      <c r="CU270" s="918"/>
      <c r="CV270" s="918"/>
      <c r="CW270" s="918"/>
      <c r="CX270" s="918"/>
      <c r="CY270" s="918"/>
      <c r="CZ270" s="918"/>
      <c r="DA270" s="918"/>
      <c r="DB270" s="918"/>
      <c r="DC270" s="918"/>
      <c r="DD270" s="918"/>
      <c r="DE270" s="918"/>
      <c r="DF270" s="918"/>
      <c r="DG270" s="918"/>
      <c r="DH270" s="918"/>
      <c r="DI270" s="918"/>
      <c r="DJ270" s="918"/>
      <c r="DK270" s="918"/>
      <c r="DL270" s="918"/>
      <c r="DM270" s="918"/>
      <c r="DN270" s="918"/>
      <c r="DO270" s="918"/>
      <c r="DP270" s="918"/>
      <c r="DQ270" s="918"/>
      <c r="DR270" s="918"/>
      <c r="DS270" s="918"/>
      <c r="DT270" s="918"/>
      <c r="DU270" s="918"/>
      <c r="DV270" s="918"/>
      <c r="DW270" s="918"/>
      <c r="DX270" s="918"/>
      <c r="DY270" s="918"/>
      <c r="DZ270" s="918"/>
      <c r="EA270" s="918"/>
      <c r="EB270" s="918"/>
      <c r="EC270" s="918"/>
      <c r="ED270" s="918"/>
      <c r="EE270" s="918"/>
      <c r="EF270" s="918"/>
      <c r="EG270" s="918"/>
      <c r="EH270" s="918"/>
      <c r="EI270" s="918"/>
      <c r="EJ270" s="918"/>
      <c r="EK270" s="918"/>
      <c r="EL270" s="918"/>
      <c r="EM270" s="918"/>
      <c r="EN270" s="918"/>
      <c r="EO270" s="918"/>
      <c r="EP270" s="918"/>
      <c r="EQ270" s="918"/>
      <c r="ER270" s="918"/>
      <c r="ES270" s="918"/>
      <c r="ET270" s="918"/>
      <c r="EU270" s="918"/>
      <c r="EV270" s="918"/>
      <c r="EW270" s="918"/>
      <c r="EX270" s="918"/>
      <c r="EY270" s="918"/>
      <c r="EZ270" s="918"/>
      <c r="FA270" s="918"/>
      <c r="FB270" s="918"/>
      <c r="FC270" s="918"/>
      <c r="FD270" s="918"/>
      <c r="FE270" s="918"/>
      <c r="FF270" s="918"/>
      <c r="FG270" s="918"/>
      <c r="FH270" s="918"/>
      <c r="FI270" s="918"/>
      <c r="FJ270" s="918"/>
      <c r="FK270" s="918"/>
      <c r="FL270" s="918"/>
      <c r="FM270" s="918"/>
      <c r="FN270" s="918"/>
      <c r="FO270" s="918"/>
      <c r="FP270" s="918"/>
      <c r="FQ270" s="918"/>
      <c r="FR270" s="918"/>
      <c r="FS270" s="918"/>
      <c r="FT270" s="918"/>
      <c r="FU270" s="918"/>
      <c r="FV270" s="918"/>
      <c r="FW270" s="918"/>
      <c r="FX270" s="918"/>
      <c r="FY270" s="918"/>
      <c r="FZ270" s="918"/>
      <c r="GA270" s="918"/>
      <c r="GB270" s="918"/>
      <c r="GC270" s="918"/>
      <c r="GD270" s="918"/>
      <c r="GE270" s="918"/>
      <c r="GF270" s="918"/>
      <c r="GG270" s="918"/>
      <c r="GH270" s="918"/>
      <c r="GI270" s="918"/>
      <c r="GJ270" s="918"/>
      <c r="GK270" s="918"/>
      <c r="GL270" s="918"/>
      <c r="GM270" s="918"/>
      <c r="GN270" s="918"/>
      <c r="GO270" s="918"/>
      <c r="GP270" s="918"/>
      <c r="GQ270" s="918"/>
      <c r="GR270" s="918"/>
      <c r="GS270" s="918"/>
      <c r="GT270" s="918"/>
      <c r="GU270" s="918"/>
      <c r="GV270" s="918"/>
      <c r="GW270" s="918"/>
      <c r="GX270" s="918"/>
      <c r="GY270" s="918"/>
      <c r="GZ270" s="918"/>
      <c r="HA270" s="918"/>
      <c r="HB270" s="918"/>
      <c r="HC270" s="918"/>
      <c r="HD270" s="918"/>
      <c r="HE270" s="918"/>
      <c r="HF270" s="918"/>
      <c r="HG270" s="918"/>
      <c r="HH270" s="918"/>
      <c r="HI270" s="918"/>
      <c r="HJ270" s="918"/>
      <c r="HK270" s="918"/>
      <c r="HL270" s="918"/>
      <c r="HM270" s="918"/>
      <c r="HN270" s="918"/>
      <c r="HO270" s="918"/>
      <c r="HP270" s="918"/>
      <c r="HQ270" s="918"/>
      <c r="HR270" s="918"/>
      <c r="HS270" s="918"/>
      <c r="HT270" s="918"/>
      <c r="HU270" s="918"/>
      <c r="HV270" s="918"/>
      <c r="HW270" s="918"/>
      <c r="HX270" s="918"/>
      <c r="HY270" s="918"/>
      <c r="HZ270" s="918"/>
      <c r="IA270" s="918"/>
      <c r="IB270" s="918"/>
      <c r="IC270" s="918"/>
      <c r="ID270" s="918"/>
      <c r="IE270" s="918"/>
      <c r="IF270" s="918"/>
      <c r="IG270" s="918"/>
      <c r="IH270" s="918"/>
      <c r="II270" s="918"/>
      <c r="IJ270" s="918"/>
      <c r="IK270" s="918"/>
      <c r="IL270" s="918"/>
      <c r="IM270" s="918"/>
      <c r="IN270" s="918"/>
    </row>
    <row r="271" spans="1:248">
      <c r="A271" s="619" t="s">
        <v>19</v>
      </c>
      <c r="B271" s="617">
        <v>6555</v>
      </c>
      <c r="C271" s="617">
        <v>35.285758118954178</v>
      </c>
      <c r="D271" s="620">
        <v>5253</v>
      </c>
      <c r="E271" s="919">
        <v>28.27705376031523</v>
      </c>
      <c r="F271" s="919">
        <v>1302</v>
      </c>
      <c r="G271" s="919">
        <v>7.0087043586389548</v>
      </c>
      <c r="H271" s="400">
        <v>18576.900000000001</v>
      </c>
      <c r="I271" s="918"/>
      <c r="J271" s="918"/>
      <c r="K271" s="918"/>
      <c r="L271" s="918"/>
      <c r="M271" s="918"/>
      <c r="N271" s="918"/>
      <c r="O271" s="918"/>
      <c r="P271" s="918"/>
      <c r="Q271" s="918"/>
      <c r="R271" s="918"/>
      <c r="S271" s="918"/>
      <c r="T271" s="918"/>
      <c r="U271" s="918"/>
      <c r="V271" s="918"/>
      <c r="W271" s="918"/>
      <c r="X271" s="918"/>
      <c r="Y271" s="918"/>
      <c r="Z271" s="918"/>
      <c r="AA271" s="918"/>
      <c r="AB271" s="918"/>
      <c r="AC271" s="918"/>
      <c r="AD271" s="918"/>
      <c r="AE271" s="918"/>
      <c r="AF271" s="918"/>
      <c r="AG271" s="918"/>
      <c r="AH271" s="918"/>
      <c r="AI271" s="918"/>
      <c r="AJ271" s="918"/>
      <c r="AK271" s="918"/>
      <c r="AL271" s="918"/>
      <c r="AM271" s="918"/>
      <c r="AN271" s="918"/>
      <c r="AO271" s="918"/>
      <c r="AP271" s="918"/>
      <c r="AQ271" s="918"/>
      <c r="AR271" s="918"/>
      <c r="AS271" s="918"/>
      <c r="AT271" s="918"/>
      <c r="AU271" s="918"/>
      <c r="AV271" s="918"/>
      <c r="AW271" s="918"/>
      <c r="AX271" s="918"/>
      <c r="AY271" s="918"/>
      <c r="AZ271" s="918"/>
      <c r="BA271" s="918"/>
      <c r="BB271" s="918"/>
      <c r="BC271" s="918"/>
      <c r="BD271" s="918"/>
      <c r="BE271" s="918"/>
      <c r="BF271" s="918"/>
      <c r="BG271" s="918"/>
      <c r="BH271" s="918"/>
      <c r="BI271" s="918"/>
      <c r="BJ271" s="918"/>
      <c r="BK271" s="918"/>
      <c r="BL271" s="918"/>
      <c r="BM271" s="918"/>
      <c r="BN271" s="918"/>
      <c r="BO271" s="918"/>
      <c r="BP271" s="918"/>
      <c r="BQ271" s="918"/>
      <c r="BR271" s="918"/>
      <c r="BS271" s="918"/>
      <c r="BT271" s="918"/>
      <c r="BU271" s="918"/>
      <c r="BV271" s="918"/>
      <c r="BW271" s="918"/>
      <c r="BX271" s="918"/>
      <c r="BY271" s="918"/>
      <c r="BZ271" s="918"/>
      <c r="CA271" s="918"/>
      <c r="CB271" s="918"/>
      <c r="CC271" s="918"/>
      <c r="CD271" s="918"/>
      <c r="CE271" s="918"/>
      <c r="CF271" s="918"/>
      <c r="CG271" s="918"/>
      <c r="CH271" s="918"/>
      <c r="CI271" s="918"/>
      <c r="CJ271" s="918"/>
      <c r="CK271" s="918"/>
      <c r="CL271" s="918"/>
      <c r="CM271" s="918"/>
      <c r="CN271" s="918"/>
      <c r="CO271" s="918"/>
      <c r="CP271" s="918"/>
      <c r="CQ271" s="918"/>
      <c r="CR271" s="918"/>
      <c r="CS271" s="918"/>
      <c r="CT271" s="918"/>
      <c r="CU271" s="918"/>
      <c r="CV271" s="918"/>
      <c r="CW271" s="918"/>
      <c r="CX271" s="918"/>
      <c r="CY271" s="918"/>
      <c r="CZ271" s="918"/>
      <c r="DA271" s="918"/>
      <c r="DB271" s="918"/>
      <c r="DC271" s="918"/>
      <c r="DD271" s="918"/>
      <c r="DE271" s="918"/>
      <c r="DF271" s="918"/>
      <c r="DG271" s="918"/>
      <c r="DH271" s="918"/>
      <c r="DI271" s="918"/>
      <c r="DJ271" s="918"/>
      <c r="DK271" s="918"/>
      <c r="DL271" s="918"/>
      <c r="DM271" s="918"/>
      <c r="DN271" s="918"/>
      <c r="DO271" s="918"/>
      <c r="DP271" s="918"/>
      <c r="DQ271" s="918"/>
      <c r="DR271" s="918"/>
      <c r="DS271" s="918"/>
      <c r="DT271" s="918"/>
      <c r="DU271" s="918"/>
      <c r="DV271" s="918"/>
      <c r="DW271" s="918"/>
      <c r="DX271" s="918"/>
      <c r="DY271" s="918"/>
      <c r="DZ271" s="918"/>
      <c r="EA271" s="918"/>
      <c r="EB271" s="918"/>
      <c r="EC271" s="918"/>
      <c r="ED271" s="918"/>
      <c r="EE271" s="918"/>
      <c r="EF271" s="918"/>
      <c r="EG271" s="918"/>
      <c r="EH271" s="918"/>
      <c r="EI271" s="918"/>
      <c r="EJ271" s="918"/>
      <c r="EK271" s="918"/>
      <c r="EL271" s="918"/>
      <c r="EM271" s="918"/>
      <c r="EN271" s="918"/>
      <c r="EO271" s="918"/>
      <c r="EP271" s="918"/>
      <c r="EQ271" s="918"/>
      <c r="ER271" s="918"/>
      <c r="ES271" s="918"/>
      <c r="ET271" s="918"/>
      <c r="EU271" s="918"/>
      <c r="EV271" s="918"/>
      <c r="EW271" s="918"/>
      <c r="EX271" s="918"/>
      <c r="EY271" s="918"/>
      <c r="EZ271" s="918"/>
      <c r="FA271" s="918"/>
      <c r="FB271" s="918"/>
      <c r="FC271" s="918"/>
      <c r="FD271" s="918"/>
      <c r="FE271" s="918"/>
      <c r="FF271" s="918"/>
      <c r="FG271" s="918"/>
      <c r="FH271" s="918"/>
      <c r="FI271" s="918"/>
      <c r="FJ271" s="918"/>
      <c r="FK271" s="918"/>
      <c r="FL271" s="918"/>
      <c r="FM271" s="918"/>
      <c r="FN271" s="918"/>
      <c r="FO271" s="918"/>
      <c r="FP271" s="918"/>
      <c r="FQ271" s="918"/>
      <c r="FR271" s="918"/>
      <c r="FS271" s="918"/>
      <c r="FT271" s="918"/>
      <c r="FU271" s="918"/>
      <c r="FV271" s="918"/>
      <c r="FW271" s="918"/>
      <c r="FX271" s="918"/>
      <c r="FY271" s="918"/>
      <c r="FZ271" s="918"/>
      <c r="GA271" s="918"/>
      <c r="GB271" s="918"/>
      <c r="GC271" s="918"/>
      <c r="GD271" s="918"/>
      <c r="GE271" s="918"/>
      <c r="GF271" s="918"/>
      <c r="GG271" s="918"/>
      <c r="GH271" s="918"/>
      <c r="GI271" s="918"/>
      <c r="GJ271" s="918"/>
      <c r="GK271" s="918"/>
      <c r="GL271" s="918"/>
      <c r="GM271" s="918"/>
      <c r="GN271" s="918"/>
      <c r="GO271" s="918"/>
      <c r="GP271" s="918"/>
      <c r="GQ271" s="918"/>
      <c r="GR271" s="918"/>
      <c r="GS271" s="918"/>
      <c r="GT271" s="918"/>
      <c r="GU271" s="918"/>
      <c r="GV271" s="918"/>
      <c r="GW271" s="918"/>
      <c r="GX271" s="918"/>
      <c r="GY271" s="918"/>
      <c r="GZ271" s="918"/>
      <c r="HA271" s="918"/>
      <c r="HB271" s="918"/>
      <c r="HC271" s="918"/>
      <c r="HD271" s="918"/>
      <c r="HE271" s="918"/>
      <c r="HF271" s="918"/>
      <c r="HG271" s="918"/>
      <c r="HH271" s="918"/>
      <c r="HI271" s="918"/>
      <c r="HJ271" s="918"/>
      <c r="HK271" s="918"/>
      <c r="HL271" s="918"/>
      <c r="HM271" s="918"/>
      <c r="HN271" s="918"/>
      <c r="HO271" s="918"/>
      <c r="HP271" s="918"/>
      <c r="HQ271" s="918"/>
      <c r="HR271" s="918"/>
      <c r="HS271" s="918"/>
      <c r="HT271" s="918"/>
      <c r="HU271" s="918"/>
      <c r="HV271" s="918"/>
      <c r="HW271" s="918"/>
      <c r="HX271" s="918"/>
      <c r="HY271" s="918"/>
      <c r="HZ271" s="918"/>
      <c r="IA271" s="918"/>
      <c r="IB271" s="918"/>
      <c r="IC271" s="918"/>
      <c r="ID271" s="918"/>
      <c r="IE271" s="918"/>
      <c r="IF271" s="918"/>
      <c r="IG271" s="918"/>
      <c r="IH271" s="918"/>
      <c r="II271" s="918"/>
      <c r="IJ271" s="918"/>
      <c r="IK271" s="918"/>
      <c r="IL271" s="918"/>
      <c r="IM271" s="918"/>
      <c r="IN271" s="918"/>
    </row>
    <row r="272" spans="1:248">
      <c r="A272" s="619" t="s">
        <v>20</v>
      </c>
      <c r="B272" s="617">
        <v>9234.2999999999993</v>
      </c>
      <c r="C272" s="617">
        <v>31.736479612878387</v>
      </c>
      <c r="D272" s="620">
        <v>8412.6</v>
      </c>
      <c r="E272" s="919">
        <v>28.912457727310219</v>
      </c>
      <c r="F272" s="919">
        <v>821.69999999999891</v>
      </c>
      <c r="G272" s="919">
        <v>2.8240218855681687</v>
      </c>
      <c r="H272" s="400">
        <v>29096.799999999999</v>
      </c>
      <c r="I272" s="918"/>
      <c r="J272" s="918"/>
      <c r="K272" s="918"/>
      <c r="L272" s="918"/>
      <c r="M272" s="918"/>
      <c r="N272" s="918"/>
      <c r="O272" s="918"/>
      <c r="P272" s="918"/>
      <c r="Q272" s="918"/>
      <c r="R272" s="918"/>
      <c r="S272" s="918"/>
      <c r="T272" s="918"/>
      <c r="U272" s="918"/>
      <c r="V272" s="918"/>
      <c r="W272" s="918"/>
      <c r="X272" s="918"/>
      <c r="Y272" s="918"/>
      <c r="Z272" s="918"/>
      <c r="AA272" s="918"/>
      <c r="AB272" s="918"/>
      <c r="AC272" s="918"/>
      <c r="AD272" s="918"/>
      <c r="AE272" s="918"/>
      <c r="AF272" s="918"/>
      <c r="AG272" s="918"/>
      <c r="AH272" s="918"/>
      <c r="AI272" s="918"/>
      <c r="AJ272" s="918"/>
      <c r="AK272" s="918"/>
      <c r="AL272" s="918"/>
      <c r="AM272" s="918"/>
      <c r="AN272" s="918"/>
      <c r="AO272" s="918"/>
      <c r="AP272" s="918"/>
      <c r="AQ272" s="918"/>
      <c r="AR272" s="918"/>
      <c r="AS272" s="918"/>
      <c r="AT272" s="918"/>
      <c r="AU272" s="918"/>
      <c r="AV272" s="918"/>
      <c r="AW272" s="918"/>
      <c r="AX272" s="918"/>
      <c r="AY272" s="918"/>
      <c r="AZ272" s="918"/>
      <c r="BA272" s="918"/>
      <c r="BB272" s="918"/>
      <c r="BC272" s="918"/>
      <c r="BD272" s="918"/>
      <c r="BE272" s="918"/>
      <c r="BF272" s="918"/>
      <c r="BG272" s="918"/>
      <c r="BH272" s="918"/>
      <c r="BI272" s="918"/>
      <c r="BJ272" s="918"/>
      <c r="BK272" s="918"/>
      <c r="BL272" s="918"/>
      <c r="BM272" s="918"/>
      <c r="BN272" s="918"/>
      <c r="BO272" s="918"/>
      <c r="BP272" s="918"/>
      <c r="BQ272" s="918"/>
      <c r="BR272" s="918"/>
      <c r="BS272" s="918"/>
      <c r="BT272" s="918"/>
      <c r="BU272" s="918"/>
      <c r="BV272" s="918"/>
      <c r="BW272" s="918"/>
      <c r="BX272" s="918"/>
      <c r="BY272" s="918"/>
      <c r="BZ272" s="918"/>
      <c r="CA272" s="918"/>
      <c r="CB272" s="918"/>
      <c r="CC272" s="918"/>
      <c r="CD272" s="918"/>
      <c r="CE272" s="918"/>
      <c r="CF272" s="918"/>
      <c r="CG272" s="918"/>
      <c r="CH272" s="918"/>
      <c r="CI272" s="918"/>
      <c r="CJ272" s="918"/>
      <c r="CK272" s="918"/>
      <c r="CL272" s="918"/>
      <c r="CM272" s="918"/>
      <c r="CN272" s="918"/>
      <c r="CO272" s="918"/>
      <c r="CP272" s="918"/>
      <c r="CQ272" s="918"/>
      <c r="CR272" s="918"/>
      <c r="CS272" s="918"/>
      <c r="CT272" s="918"/>
      <c r="CU272" s="918"/>
      <c r="CV272" s="918"/>
      <c r="CW272" s="918"/>
      <c r="CX272" s="918"/>
      <c r="CY272" s="918"/>
      <c r="CZ272" s="918"/>
      <c r="DA272" s="918"/>
      <c r="DB272" s="918"/>
      <c r="DC272" s="918"/>
      <c r="DD272" s="918"/>
      <c r="DE272" s="918"/>
      <c r="DF272" s="918"/>
      <c r="DG272" s="918"/>
      <c r="DH272" s="918"/>
      <c r="DI272" s="918"/>
      <c r="DJ272" s="918"/>
      <c r="DK272" s="918"/>
      <c r="DL272" s="918"/>
      <c r="DM272" s="918"/>
      <c r="DN272" s="918"/>
      <c r="DO272" s="918"/>
      <c r="DP272" s="918"/>
      <c r="DQ272" s="918"/>
      <c r="DR272" s="918"/>
      <c r="DS272" s="918"/>
      <c r="DT272" s="918"/>
      <c r="DU272" s="918"/>
      <c r="DV272" s="918"/>
      <c r="DW272" s="918"/>
      <c r="DX272" s="918"/>
      <c r="DY272" s="918"/>
      <c r="DZ272" s="918"/>
      <c r="EA272" s="918"/>
      <c r="EB272" s="918"/>
      <c r="EC272" s="918"/>
      <c r="ED272" s="918"/>
      <c r="EE272" s="918"/>
      <c r="EF272" s="918"/>
      <c r="EG272" s="918"/>
      <c r="EH272" s="918"/>
      <c r="EI272" s="918"/>
      <c r="EJ272" s="918"/>
      <c r="EK272" s="918"/>
      <c r="EL272" s="918"/>
      <c r="EM272" s="918"/>
      <c r="EN272" s="918"/>
      <c r="EO272" s="918"/>
      <c r="EP272" s="918"/>
      <c r="EQ272" s="918"/>
      <c r="ER272" s="918"/>
      <c r="ES272" s="918"/>
      <c r="ET272" s="918"/>
      <c r="EU272" s="918"/>
      <c r="EV272" s="918"/>
      <c r="EW272" s="918"/>
      <c r="EX272" s="918"/>
      <c r="EY272" s="918"/>
      <c r="EZ272" s="918"/>
      <c r="FA272" s="918"/>
      <c r="FB272" s="918"/>
      <c r="FC272" s="918"/>
      <c r="FD272" s="918"/>
      <c r="FE272" s="918"/>
      <c r="FF272" s="918"/>
      <c r="FG272" s="918"/>
      <c r="FH272" s="918"/>
      <c r="FI272" s="918"/>
      <c r="FJ272" s="918"/>
      <c r="FK272" s="918"/>
      <c r="FL272" s="918"/>
      <c r="FM272" s="918"/>
      <c r="FN272" s="918"/>
      <c r="FO272" s="918"/>
      <c r="FP272" s="918"/>
      <c r="FQ272" s="918"/>
      <c r="FR272" s="918"/>
      <c r="FS272" s="918"/>
      <c r="FT272" s="918"/>
      <c r="FU272" s="918"/>
      <c r="FV272" s="918"/>
      <c r="FW272" s="918"/>
      <c r="FX272" s="918"/>
      <c r="FY272" s="918"/>
      <c r="FZ272" s="918"/>
      <c r="GA272" s="918"/>
      <c r="GB272" s="918"/>
      <c r="GC272" s="918"/>
      <c r="GD272" s="918"/>
      <c r="GE272" s="918"/>
      <c r="GF272" s="918"/>
      <c r="GG272" s="918"/>
      <c r="GH272" s="918"/>
      <c r="GI272" s="918"/>
      <c r="GJ272" s="918"/>
      <c r="GK272" s="918"/>
      <c r="GL272" s="918"/>
      <c r="GM272" s="918"/>
      <c r="GN272" s="918"/>
      <c r="GO272" s="918"/>
      <c r="GP272" s="918"/>
      <c r="GQ272" s="918"/>
      <c r="GR272" s="918"/>
      <c r="GS272" s="918"/>
      <c r="GT272" s="918"/>
      <c r="GU272" s="918"/>
      <c r="GV272" s="918"/>
      <c r="GW272" s="918"/>
      <c r="GX272" s="918"/>
      <c r="GY272" s="918"/>
      <c r="GZ272" s="918"/>
      <c r="HA272" s="918"/>
      <c r="HB272" s="918"/>
      <c r="HC272" s="918"/>
      <c r="HD272" s="918"/>
      <c r="HE272" s="918"/>
      <c r="HF272" s="918"/>
      <c r="HG272" s="918"/>
      <c r="HH272" s="918"/>
      <c r="HI272" s="918"/>
      <c r="HJ272" s="918"/>
      <c r="HK272" s="918"/>
      <c r="HL272" s="918"/>
      <c r="HM272" s="918"/>
      <c r="HN272" s="918"/>
      <c r="HO272" s="918"/>
      <c r="HP272" s="918"/>
      <c r="HQ272" s="918"/>
      <c r="HR272" s="918"/>
      <c r="HS272" s="918"/>
      <c r="HT272" s="918"/>
      <c r="HU272" s="918"/>
      <c r="HV272" s="918"/>
      <c r="HW272" s="918"/>
      <c r="HX272" s="918"/>
      <c r="HY272" s="918"/>
      <c r="HZ272" s="918"/>
      <c r="IA272" s="918"/>
      <c r="IB272" s="918"/>
      <c r="IC272" s="918"/>
      <c r="ID272" s="918"/>
      <c r="IE272" s="918"/>
      <c r="IF272" s="918"/>
      <c r="IG272" s="918"/>
      <c r="IH272" s="918"/>
      <c r="II272" s="918"/>
      <c r="IJ272" s="918"/>
      <c r="IK272" s="918"/>
      <c r="IL272" s="918"/>
      <c r="IM272" s="918"/>
      <c r="IN272" s="918"/>
    </row>
    <row r="273" spans="1:248">
      <c r="A273" s="619" t="s">
        <v>21</v>
      </c>
      <c r="B273" s="617">
        <v>13259.4</v>
      </c>
      <c r="C273" s="617">
        <v>34.726925585159456</v>
      </c>
      <c r="D273" s="620">
        <v>10749.5</v>
      </c>
      <c r="E273" s="919">
        <v>28.153392052255128</v>
      </c>
      <c r="F273" s="919">
        <v>2509.8999999999996</v>
      </c>
      <c r="G273" s="919">
        <v>6.5735335329043325</v>
      </c>
      <c r="H273" s="400">
        <v>38181.9</v>
      </c>
      <c r="I273" s="918"/>
      <c r="J273" s="918"/>
      <c r="K273" s="918"/>
      <c r="L273" s="918"/>
      <c r="M273" s="918"/>
      <c r="N273" s="918"/>
      <c r="O273" s="918"/>
      <c r="P273" s="918"/>
      <c r="Q273" s="918"/>
      <c r="R273" s="918"/>
      <c r="S273" s="918"/>
      <c r="T273" s="918"/>
      <c r="U273" s="918"/>
      <c r="V273" s="918"/>
      <c r="W273" s="918"/>
      <c r="X273" s="918"/>
      <c r="Y273" s="918"/>
      <c r="Z273" s="918"/>
      <c r="AA273" s="918"/>
      <c r="AB273" s="918"/>
      <c r="AC273" s="918"/>
      <c r="AD273" s="918"/>
      <c r="AE273" s="918"/>
      <c r="AF273" s="918"/>
      <c r="AG273" s="918"/>
      <c r="AH273" s="918"/>
      <c r="AI273" s="918"/>
      <c r="AJ273" s="918"/>
      <c r="AK273" s="918"/>
      <c r="AL273" s="918"/>
      <c r="AM273" s="918"/>
      <c r="AN273" s="918"/>
      <c r="AO273" s="918"/>
      <c r="AP273" s="918"/>
      <c r="AQ273" s="918"/>
      <c r="AR273" s="918"/>
      <c r="AS273" s="918"/>
      <c r="AT273" s="918"/>
      <c r="AU273" s="918"/>
      <c r="AV273" s="918"/>
      <c r="AW273" s="918"/>
      <c r="AX273" s="918"/>
      <c r="AY273" s="918"/>
      <c r="AZ273" s="918"/>
      <c r="BA273" s="918"/>
      <c r="BB273" s="918"/>
      <c r="BC273" s="918"/>
      <c r="BD273" s="918"/>
      <c r="BE273" s="918"/>
      <c r="BF273" s="918"/>
      <c r="BG273" s="918"/>
      <c r="BH273" s="918"/>
      <c r="BI273" s="918"/>
      <c r="BJ273" s="918"/>
      <c r="BK273" s="918"/>
      <c r="BL273" s="918"/>
      <c r="BM273" s="918"/>
      <c r="BN273" s="918"/>
      <c r="BO273" s="918"/>
      <c r="BP273" s="918"/>
      <c r="BQ273" s="918"/>
      <c r="BR273" s="918"/>
      <c r="BS273" s="918"/>
      <c r="BT273" s="918"/>
      <c r="BU273" s="918"/>
      <c r="BV273" s="918"/>
      <c r="BW273" s="918"/>
      <c r="BX273" s="918"/>
      <c r="BY273" s="918"/>
      <c r="BZ273" s="918"/>
      <c r="CA273" s="918"/>
      <c r="CB273" s="918"/>
      <c r="CC273" s="918"/>
      <c r="CD273" s="918"/>
      <c r="CE273" s="918"/>
      <c r="CF273" s="918"/>
      <c r="CG273" s="918"/>
      <c r="CH273" s="918"/>
      <c r="CI273" s="918"/>
      <c r="CJ273" s="918"/>
      <c r="CK273" s="918"/>
      <c r="CL273" s="918"/>
      <c r="CM273" s="918"/>
      <c r="CN273" s="918"/>
      <c r="CO273" s="918"/>
      <c r="CP273" s="918"/>
      <c r="CQ273" s="918"/>
      <c r="CR273" s="918"/>
      <c r="CS273" s="918"/>
      <c r="CT273" s="918"/>
      <c r="CU273" s="918"/>
      <c r="CV273" s="918"/>
      <c r="CW273" s="918"/>
      <c r="CX273" s="918"/>
      <c r="CY273" s="918"/>
      <c r="CZ273" s="918"/>
      <c r="DA273" s="918"/>
      <c r="DB273" s="918"/>
      <c r="DC273" s="918"/>
      <c r="DD273" s="918"/>
      <c r="DE273" s="918"/>
      <c r="DF273" s="918"/>
      <c r="DG273" s="918"/>
      <c r="DH273" s="918"/>
      <c r="DI273" s="918"/>
      <c r="DJ273" s="918"/>
      <c r="DK273" s="918"/>
      <c r="DL273" s="918"/>
      <c r="DM273" s="918"/>
      <c r="DN273" s="918"/>
      <c r="DO273" s="918"/>
      <c r="DP273" s="918"/>
      <c r="DQ273" s="918"/>
      <c r="DR273" s="918"/>
      <c r="DS273" s="918"/>
      <c r="DT273" s="918"/>
      <c r="DU273" s="918"/>
      <c r="DV273" s="918"/>
      <c r="DW273" s="918"/>
      <c r="DX273" s="918"/>
      <c r="DY273" s="918"/>
      <c r="DZ273" s="918"/>
      <c r="EA273" s="918"/>
      <c r="EB273" s="918"/>
      <c r="EC273" s="918"/>
      <c r="ED273" s="918"/>
      <c r="EE273" s="918"/>
      <c r="EF273" s="918"/>
      <c r="EG273" s="918"/>
      <c r="EH273" s="918"/>
      <c r="EI273" s="918"/>
      <c r="EJ273" s="918"/>
      <c r="EK273" s="918"/>
      <c r="EL273" s="918"/>
      <c r="EM273" s="918"/>
      <c r="EN273" s="918"/>
      <c r="EO273" s="918"/>
      <c r="EP273" s="918"/>
      <c r="EQ273" s="918"/>
      <c r="ER273" s="918"/>
      <c r="ES273" s="918"/>
      <c r="ET273" s="918"/>
      <c r="EU273" s="918"/>
      <c r="EV273" s="918"/>
      <c r="EW273" s="918"/>
      <c r="EX273" s="918"/>
      <c r="EY273" s="918"/>
      <c r="EZ273" s="918"/>
      <c r="FA273" s="918"/>
      <c r="FB273" s="918"/>
      <c r="FC273" s="918"/>
      <c r="FD273" s="918"/>
      <c r="FE273" s="918"/>
      <c r="FF273" s="918"/>
      <c r="FG273" s="918"/>
      <c r="FH273" s="918"/>
      <c r="FI273" s="918"/>
      <c r="FJ273" s="918"/>
      <c r="FK273" s="918"/>
      <c r="FL273" s="918"/>
      <c r="FM273" s="918"/>
      <c r="FN273" s="918"/>
      <c r="FO273" s="918"/>
      <c r="FP273" s="918"/>
      <c r="FQ273" s="918"/>
      <c r="FR273" s="918"/>
      <c r="FS273" s="918"/>
      <c r="FT273" s="918"/>
      <c r="FU273" s="918"/>
      <c r="FV273" s="918"/>
      <c r="FW273" s="918"/>
      <c r="FX273" s="918"/>
      <c r="FY273" s="918"/>
      <c r="FZ273" s="918"/>
      <c r="GA273" s="918"/>
      <c r="GB273" s="918"/>
      <c r="GC273" s="918"/>
      <c r="GD273" s="918"/>
      <c r="GE273" s="918"/>
      <c r="GF273" s="918"/>
      <c r="GG273" s="918"/>
      <c r="GH273" s="918"/>
      <c r="GI273" s="918"/>
      <c r="GJ273" s="918"/>
      <c r="GK273" s="918"/>
      <c r="GL273" s="918"/>
      <c r="GM273" s="918"/>
      <c r="GN273" s="918"/>
      <c r="GO273" s="918"/>
      <c r="GP273" s="918"/>
      <c r="GQ273" s="918"/>
      <c r="GR273" s="918"/>
      <c r="GS273" s="918"/>
      <c r="GT273" s="918"/>
      <c r="GU273" s="918"/>
      <c r="GV273" s="918"/>
      <c r="GW273" s="918"/>
      <c r="GX273" s="918"/>
      <c r="GY273" s="918"/>
      <c r="GZ273" s="918"/>
      <c r="HA273" s="918"/>
      <c r="HB273" s="918"/>
      <c r="HC273" s="918"/>
      <c r="HD273" s="918"/>
      <c r="HE273" s="918"/>
      <c r="HF273" s="918"/>
      <c r="HG273" s="918"/>
      <c r="HH273" s="918"/>
      <c r="HI273" s="918"/>
      <c r="HJ273" s="918"/>
      <c r="HK273" s="918"/>
      <c r="HL273" s="918"/>
      <c r="HM273" s="918"/>
      <c r="HN273" s="918"/>
      <c r="HO273" s="918"/>
      <c r="HP273" s="918"/>
      <c r="HQ273" s="918"/>
      <c r="HR273" s="918"/>
      <c r="HS273" s="918"/>
      <c r="HT273" s="918"/>
      <c r="HU273" s="918"/>
      <c r="HV273" s="918"/>
      <c r="HW273" s="918"/>
      <c r="HX273" s="918"/>
      <c r="HY273" s="918"/>
      <c r="HZ273" s="918"/>
      <c r="IA273" s="918"/>
      <c r="IB273" s="918"/>
      <c r="IC273" s="918"/>
      <c r="ID273" s="918"/>
      <c r="IE273" s="918"/>
      <c r="IF273" s="918"/>
      <c r="IG273" s="918"/>
      <c r="IH273" s="918"/>
      <c r="II273" s="918"/>
      <c r="IJ273" s="918"/>
      <c r="IK273" s="918"/>
      <c r="IL273" s="918"/>
      <c r="IM273" s="918"/>
      <c r="IN273" s="918"/>
    </row>
    <row r="274" spans="1:248">
      <c r="A274" s="619" t="s">
        <v>22</v>
      </c>
      <c r="B274" s="617">
        <v>16005.9</v>
      </c>
      <c r="C274" s="617">
        <v>33.327572564860702</v>
      </c>
      <c r="D274" s="620">
        <v>13472.9</v>
      </c>
      <c r="E274" s="919">
        <v>28.053346104193562</v>
      </c>
      <c r="F274" s="919">
        <v>2533</v>
      </c>
      <c r="G274" s="919">
        <v>5.2742264606671387</v>
      </c>
      <c r="H274" s="400">
        <v>48026</v>
      </c>
      <c r="I274" s="918"/>
      <c r="J274" s="918"/>
      <c r="K274" s="918"/>
      <c r="L274" s="918"/>
      <c r="M274" s="918"/>
      <c r="N274" s="918"/>
      <c r="O274" s="918"/>
      <c r="P274" s="918"/>
      <c r="Q274" s="918"/>
      <c r="R274" s="918"/>
      <c r="S274" s="918"/>
      <c r="T274" s="918"/>
      <c r="U274" s="918"/>
      <c r="V274" s="918"/>
      <c r="W274" s="918"/>
      <c r="X274" s="918"/>
      <c r="Y274" s="918"/>
      <c r="Z274" s="918"/>
      <c r="AA274" s="918"/>
      <c r="AB274" s="918"/>
      <c r="AC274" s="918"/>
      <c r="AD274" s="918"/>
      <c r="AE274" s="918"/>
      <c r="AF274" s="918"/>
      <c r="AG274" s="918"/>
      <c r="AH274" s="918"/>
      <c r="AI274" s="918"/>
      <c r="AJ274" s="918"/>
      <c r="AK274" s="918"/>
      <c r="AL274" s="918"/>
      <c r="AM274" s="918"/>
      <c r="AN274" s="918"/>
      <c r="AO274" s="918"/>
      <c r="AP274" s="918"/>
      <c r="AQ274" s="918"/>
      <c r="AR274" s="918"/>
      <c r="AS274" s="918"/>
      <c r="AT274" s="918"/>
      <c r="AU274" s="918"/>
      <c r="AV274" s="918"/>
      <c r="AW274" s="918"/>
      <c r="AX274" s="918"/>
      <c r="AY274" s="918"/>
      <c r="AZ274" s="918"/>
      <c r="BA274" s="918"/>
      <c r="BB274" s="918"/>
      <c r="BC274" s="918"/>
      <c r="BD274" s="918"/>
      <c r="BE274" s="918"/>
      <c r="BF274" s="918"/>
      <c r="BG274" s="918"/>
      <c r="BH274" s="918"/>
      <c r="BI274" s="918"/>
      <c r="BJ274" s="918"/>
      <c r="BK274" s="918"/>
      <c r="BL274" s="918"/>
      <c r="BM274" s="918"/>
      <c r="BN274" s="918"/>
      <c r="BO274" s="918"/>
      <c r="BP274" s="918"/>
      <c r="BQ274" s="918"/>
      <c r="BR274" s="918"/>
      <c r="BS274" s="918"/>
      <c r="BT274" s="918"/>
      <c r="BU274" s="918"/>
      <c r="BV274" s="918"/>
      <c r="BW274" s="918"/>
      <c r="BX274" s="918"/>
      <c r="BY274" s="918"/>
      <c r="BZ274" s="918"/>
      <c r="CA274" s="918"/>
      <c r="CB274" s="918"/>
      <c r="CC274" s="918"/>
      <c r="CD274" s="918"/>
      <c r="CE274" s="918"/>
      <c r="CF274" s="918"/>
      <c r="CG274" s="918"/>
      <c r="CH274" s="918"/>
      <c r="CI274" s="918"/>
      <c r="CJ274" s="918"/>
      <c r="CK274" s="918"/>
      <c r="CL274" s="918"/>
      <c r="CM274" s="918"/>
      <c r="CN274" s="918"/>
      <c r="CO274" s="918"/>
      <c r="CP274" s="918"/>
      <c r="CQ274" s="918"/>
      <c r="CR274" s="918"/>
      <c r="CS274" s="918"/>
      <c r="CT274" s="918"/>
      <c r="CU274" s="918"/>
      <c r="CV274" s="918"/>
      <c r="CW274" s="918"/>
      <c r="CX274" s="918"/>
      <c r="CY274" s="918"/>
      <c r="CZ274" s="918"/>
      <c r="DA274" s="918"/>
      <c r="DB274" s="918"/>
      <c r="DC274" s="918"/>
      <c r="DD274" s="918"/>
      <c r="DE274" s="918"/>
      <c r="DF274" s="918"/>
      <c r="DG274" s="918"/>
      <c r="DH274" s="918"/>
      <c r="DI274" s="918"/>
      <c r="DJ274" s="918"/>
      <c r="DK274" s="918"/>
      <c r="DL274" s="918"/>
      <c r="DM274" s="918"/>
      <c r="DN274" s="918"/>
      <c r="DO274" s="918"/>
      <c r="DP274" s="918"/>
      <c r="DQ274" s="918"/>
      <c r="DR274" s="918"/>
      <c r="DS274" s="918"/>
      <c r="DT274" s="918"/>
      <c r="DU274" s="918"/>
      <c r="DV274" s="918"/>
      <c r="DW274" s="918"/>
      <c r="DX274" s="918"/>
      <c r="DY274" s="918"/>
      <c r="DZ274" s="918"/>
      <c r="EA274" s="918"/>
      <c r="EB274" s="918"/>
      <c r="EC274" s="918"/>
      <c r="ED274" s="918"/>
      <c r="EE274" s="918"/>
      <c r="EF274" s="918"/>
      <c r="EG274" s="918"/>
      <c r="EH274" s="918"/>
      <c r="EI274" s="918"/>
      <c r="EJ274" s="918"/>
      <c r="EK274" s="918"/>
      <c r="EL274" s="918"/>
      <c r="EM274" s="918"/>
      <c r="EN274" s="918"/>
      <c r="EO274" s="918"/>
      <c r="EP274" s="918"/>
      <c r="EQ274" s="918"/>
      <c r="ER274" s="918"/>
      <c r="ES274" s="918"/>
      <c r="ET274" s="918"/>
      <c r="EU274" s="918"/>
      <c r="EV274" s="918"/>
      <c r="EW274" s="918"/>
      <c r="EX274" s="918"/>
      <c r="EY274" s="918"/>
      <c r="EZ274" s="918"/>
      <c r="FA274" s="918"/>
      <c r="FB274" s="918"/>
      <c r="FC274" s="918"/>
      <c r="FD274" s="918"/>
      <c r="FE274" s="918"/>
      <c r="FF274" s="918"/>
      <c r="FG274" s="918"/>
      <c r="FH274" s="918"/>
      <c r="FI274" s="918"/>
      <c r="FJ274" s="918"/>
      <c r="FK274" s="918"/>
      <c r="FL274" s="918"/>
      <c r="FM274" s="918"/>
      <c r="FN274" s="918"/>
      <c r="FO274" s="918"/>
      <c r="FP274" s="918"/>
      <c r="FQ274" s="918"/>
      <c r="FR274" s="918"/>
      <c r="FS274" s="918"/>
      <c r="FT274" s="918"/>
      <c r="FU274" s="918"/>
      <c r="FV274" s="918"/>
      <c r="FW274" s="918"/>
      <c r="FX274" s="918"/>
      <c r="FY274" s="918"/>
      <c r="FZ274" s="918"/>
      <c r="GA274" s="918"/>
      <c r="GB274" s="918"/>
      <c r="GC274" s="918"/>
      <c r="GD274" s="918"/>
      <c r="GE274" s="918"/>
      <c r="GF274" s="918"/>
      <c r="GG274" s="918"/>
      <c r="GH274" s="918"/>
      <c r="GI274" s="918"/>
      <c r="GJ274" s="918"/>
      <c r="GK274" s="918"/>
      <c r="GL274" s="918"/>
      <c r="GM274" s="918"/>
      <c r="GN274" s="918"/>
      <c r="GO274" s="918"/>
      <c r="GP274" s="918"/>
      <c r="GQ274" s="918"/>
      <c r="GR274" s="918"/>
      <c r="GS274" s="918"/>
      <c r="GT274" s="918"/>
      <c r="GU274" s="918"/>
      <c r="GV274" s="918"/>
      <c r="GW274" s="918"/>
      <c r="GX274" s="918"/>
      <c r="GY274" s="918"/>
      <c r="GZ274" s="918"/>
      <c r="HA274" s="918"/>
      <c r="HB274" s="918"/>
      <c r="HC274" s="918"/>
      <c r="HD274" s="918"/>
      <c r="HE274" s="918"/>
      <c r="HF274" s="918"/>
      <c r="HG274" s="918"/>
      <c r="HH274" s="918"/>
      <c r="HI274" s="918"/>
      <c r="HJ274" s="918"/>
      <c r="HK274" s="918"/>
      <c r="HL274" s="918"/>
      <c r="HM274" s="918"/>
      <c r="HN274" s="918"/>
      <c r="HO274" s="918"/>
      <c r="HP274" s="918"/>
      <c r="HQ274" s="918"/>
      <c r="HR274" s="918"/>
      <c r="HS274" s="918"/>
      <c r="HT274" s="918"/>
      <c r="HU274" s="918"/>
      <c r="HV274" s="918"/>
      <c r="HW274" s="918"/>
      <c r="HX274" s="918"/>
      <c r="HY274" s="918"/>
      <c r="HZ274" s="918"/>
      <c r="IA274" s="918"/>
      <c r="IB274" s="918"/>
      <c r="IC274" s="918"/>
      <c r="ID274" s="918"/>
      <c r="IE274" s="918"/>
      <c r="IF274" s="918"/>
      <c r="IG274" s="918"/>
      <c r="IH274" s="918"/>
      <c r="II274" s="918"/>
      <c r="IJ274" s="918"/>
      <c r="IK274" s="918"/>
      <c r="IL274" s="918"/>
      <c r="IM274" s="918"/>
      <c r="IN274" s="918"/>
    </row>
    <row r="275" spans="1:248">
      <c r="A275" s="619" t="s">
        <v>23</v>
      </c>
      <c r="B275" s="617">
        <v>18842.900000000001</v>
      </c>
      <c r="C275" s="617">
        <v>31.657885363673632</v>
      </c>
      <c r="D275" s="620">
        <v>16052.1</v>
      </c>
      <c r="E275" s="919">
        <v>26.969072788489324</v>
      </c>
      <c r="F275" s="919">
        <v>2790.8000000000011</v>
      </c>
      <c r="G275" s="919">
        <v>4.6888125751843086</v>
      </c>
      <c r="H275" s="400">
        <v>59520.4</v>
      </c>
      <c r="I275" s="918"/>
      <c r="J275" s="918"/>
      <c r="K275" s="918"/>
      <c r="L275" s="918"/>
      <c r="M275" s="918"/>
      <c r="N275" s="918"/>
      <c r="O275" s="918"/>
      <c r="P275" s="918"/>
      <c r="Q275" s="918"/>
      <c r="R275" s="918"/>
      <c r="S275" s="918"/>
      <c r="T275" s="918"/>
      <c r="U275" s="918"/>
      <c r="V275" s="918"/>
      <c r="W275" s="918"/>
      <c r="X275" s="918"/>
      <c r="Y275" s="918"/>
      <c r="Z275" s="918"/>
      <c r="AA275" s="918"/>
      <c r="AB275" s="918"/>
      <c r="AC275" s="918"/>
      <c r="AD275" s="918"/>
      <c r="AE275" s="918"/>
      <c r="AF275" s="918"/>
      <c r="AG275" s="918"/>
      <c r="AH275" s="918"/>
      <c r="AI275" s="918"/>
      <c r="AJ275" s="918"/>
      <c r="AK275" s="918"/>
      <c r="AL275" s="918"/>
      <c r="AM275" s="918"/>
      <c r="AN275" s="918"/>
      <c r="AO275" s="918"/>
      <c r="AP275" s="918"/>
      <c r="AQ275" s="918"/>
      <c r="AR275" s="918"/>
      <c r="AS275" s="918"/>
      <c r="AT275" s="918"/>
      <c r="AU275" s="918"/>
      <c r="AV275" s="918"/>
      <c r="AW275" s="918"/>
      <c r="AX275" s="918"/>
      <c r="AY275" s="918"/>
      <c r="AZ275" s="918"/>
      <c r="BA275" s="918"/>
      <c r="BB275" s="918"/>
      <c r="BC275" s="918"/>
      <c r="BD275" s="918"/>
      <c r="BE275" s="918"/>
      <c r="BF275" s="918"/>
      <c r="BG275" s="918"/>
      <c r="BH275" s="918"/>
      <c r="BI275" s="918"/>
      <c r="BJ275" s="918"/>
      <c r="BK275" s="918"/>
      <c r="BL275" s="918"/>
      <c r="BM275" s="918"/>
      <c r="BN275" s="918"/>
      <c r="BO275" s="918"/>
      <c r="BP275" s="918"/>
      <c r="BQ275" s="918"/>
      <c r="BR275" s="918"/>
      <c r="BS275" s="918"/>
      <c r="BT275" s="918"/>
      <c r="BU275" s="918"/>
      <c r="BV275" s="918"/>
      <c r="BW275" s="918"/>
      <c r="BX275" s="918"/>
      <c r="BY275" s="918"/>
      <c r="BZ275" s="918"/>
      <c r="CA275" s="918"/>
      <c r="CB275" s="918"/>
      <c r="CC275" s="918"/>
      <c r="CD275" s="918"/>
      <c r="CE275" s="918"/>
      <c r="CF275" s="918"/>
      <c r="CG275" s="918"/>
      <c r="CH275" s="918"/>
      <c r="CI275" s="918"/>
      <c r="CJ275" s="918"/>
      <c r="CK275" s="918"/>
      <c r="CL275" s="918"/>
      <c r="CM275" s="918"/>
      <c r="CN275" s="918"/>
      <c r="CO275" s="918"/>
      <c r="CP275" s="918"/>
      <c r="CQ275" s="918"/>
      <c r="CR275" s="918"/>
      <c r="CS275" s="918"/>
      <c r="CT275" s="918"/>
      <c r="CU275" s="918"/>
      <c r="CV275" s="918"/>
      <c r="CW275" s="918"/>
      <c r="CX275" s="918"/>
      <c r="CY275" s="918"/>
      <c r="CZ275" s="918"/>
      <c r="DA275" s="918"/>
      <c r="DB275" s="918"/>
      <c r="DC275" s="918"/>
      <c r="DD275" s="918"/>
      <c r="DE275" s="918"/>
      <c r="DF275" s="918"/>
      <c r="DG275" s="918"/>
      <c r="DH275" s="918"/>
      <c r="DI275" s="918"/>
      <c r="DJ275" s="918"/>
      <c r="DK275" s="918"/>
      <c r="DL275" s="918"/>
      <c r="DM275" s="918"/>
      <c r="DN275" s="918"/>
      <c r="DO275" s="918"/>
      <c r="DP275" s="918"/>
      <c r="DQ275" s="918"/>
      <c r="DR275" s="918"/>
      <c r="DS275" s="918"/>
      <c r="DT275" s="918"/>
      <c r="DU275" s="918"/>
      <c r="DV275" s="918"/>
      <c r="DW275" s="918"/>
      <c r="DX275" s="918"/>
      <c r="DY275" s="918"/>
      <c r="DZ275" s="918"/>
      <c r="EA275" s="918"/>
      <c r="EB275" s="918"/>
      <c r="EC275" s="918"/>
      <c r="ED275" s="918"/>
      <c r="EE275" s="918"/>
      <c r="EF275" s="918"/>
      <c r="EG275" s="918"/>
      <c r="EH275" s="918"/>
      <c r="EI275" s="918"/>
      <c r="EJ275" s="918"/>
      <c r="EK275" s="918"/>
      <c r="EL275" s="918"/>
      <c r="EM275" s="918"/>
      <c r="EN275" s="918"/>
      <c r="EO275" s="918"/>
      <c r="EP275" s="918"/>
      <c r="EQ275" s="918"/>
      <c r="ER275" s="918"/>
      <c r="ES275" s="918"/>
      <c r="ET275" s="918"/>
      <c r="EU275" s="918"/>
      <c r="EV275" s="918"/>
      <c r="EW275" s="918"/>
      <c r="EX275" s="918"/>
      <c r="EY275" s="918"/>
      <c r="EZ275" s="918"/>
      <c r="FA275" s="918"/>
      <c r="FB275" s="918"/>
      <c r="FC275" s="918"/>
      <c r="FD275" s="918"/>
      <c r="FE275" s="918"/>
      <c r="FF275" s="918"/>
      <c r="FG275" s="918"/>
      <c r="FH275" s="918"/>
      <c r="FI275" s="918"/>
      <c r="FJ275" s="918"/>
      <c r="FK275" s="918"/>
      <c r="FL275" s="918"/>
      <c r="FM275" s="918"/>
      <c r="FN275" s="918"/>
      <c r="FO275" s="918"/>
      <c r="FP275" s="918"/>
      <c r="FQ275" s="918"/>
      <c r="FR275" s="918"/>
      <c r="FS275" s="918"/>
      <c r="FT275" s="918"/>
      <c r="FU275" s="918"/>
      <c r="FV275" s="918"/>
      <c r="FW275" s="918"/>
      <c r="FX275" s="918"/>
      <c r="FY275" s="918"/>
      <c r="FZ275" s="918"/>
      <c r="GA275" s="918"/>
      <c r="GB275" s="918"/>
      <c r="GC275" s="918"/>
      <c r="GD275" s="918"/>
      <c r="GE275" s="918"/>
      <c r="GF275" s="918"/>
      <c r="GG275" s="918"/>
      <c r="GH275" s="918"/>
      <c r="GI275" s="918"/>
      <c r="GJ275" s="918"/>
      <c r="GK275" s="918"/>
      <c r="GL275" s="918"/>
      <c r="GM275" s="918"/>
      <c r="GN275" s="918"/>
      <c r="GO275" s="918"/>
      <c r="GP275" s="918"/>
      <c r="GQ275" s="918"/>
      <c r="GR275" s="918"/>
      <c r="GS275" s="918"/>
      <c r="GT275" s="918"/>
      <c r="GU275" s="918"/>
      <c r="GV275" s="918"/>
      <c r="GW275" s="918"/>
      <c r="GX275" s="918"/>
      <c r="GY275" s="918"/>
      <c r="GZ275" s="918"/>
      <c r="HA275" s="918"/>
      <c r="HB275" s="918"/>
      <c r="HC275" s="918"/>
      <c r="HD275" s="918"/>
      <c r="HE275" s="918"/>
      <c r="HF275" s="918"/>
      <c r="HG275" s="918"/>
      <c r="HH275" s="918"/>
      <c r="HI275" s="918"/>
      <c r="HJ275" s="918"/>
      <c r="HK275" s="918"/>
      <c r="HL275" s="918"/>
      <c r="HM275" s="918"/>
      <c r="HN275" s="918"/>
      <c r="HO275" s="918"/>
      <c r="HP275" s="918"/>
      <c r="HQ275" s="918"/>
      <c r="HR275" s="918"/>
      <c r="HS275" s="918"/>
      <c r="HT275" s="918"/>
      <c r="HU275" s="918"/>
      <c r="HV275" s="918"/>
      <c r="HW275" s="918"/>
      <c r="HX275" s="918"/>
      <c r="HY275" s="918"/>
      <c r="HZ275" s="918"/>
      <c r="IA275" s="918"/>
      <c r="IB275" s="918"/>
      <c r="IC275" s="918"/>
      <c r="ID275" s="918"/>
      <c r="IE275" s="918"/>
      <c r="IF275" s="918"/>
      <c r="IG275" s="918"/>
      <c r="IH275" s="918"/>
      <c r="II275" s="918"/>
      <c r="IJ275" s="918"/>
      <c r="IK275" s="918"/>
      <c r="IL275" s="918"/>
      <c r="IM275" s="918"/>
      <c r="IN275" s="918"/>
    </row>
    <row r="276" spans="1:248">
      <c r="A276" s="619" t="s">
        <v>24</v>
      </c>
      <c r="B276" s="617">
        <v>22584.9</v>
      </c>
      <c r="C276" s="617">
        <f t="shared" ref="C276:C287" si="41">B276/H276*100</f>
        <v>32.015337945112272</v>
      </c>
      <c r="D276" s="620">
        <v>19458.400000000001</v>
      </c>
      <c r="E276" s="919">
        <f t="shared" ref="E276:E287" si="42">D276/H276*100</f>
        <v>27.583352234066684</v>
      </c>
      <c r="F276" s="919">
        <v>3126.5</v>
      </c>
      <c r="G276" s="919">
        <f t="shared" ref="G276:G287" si="43">F276/H276*100</f>
        <v>4.4319857110455887</v>
      </c>
      <c r="H276" s="400">
        <v>70544</v>
      </c>
      <c r="I276" s="918"/>
      <c r="J276" s="918"/>
      <c r="K276" s="918"/>
      <c r="L276" s="918"/>
      <c r="M276" s="918"/>
      <c r="N276" s="918"/>
      <c r="O276" s="918"/>
      <c r="P276" s="918"/>
      <c r="Q276" s="918"/>
      <c r="R276" s="918"/>
      <c r="S276" s="918"/>
      <c r="T276" s="918"/>
      <c r="U276" s="918"/>
      <c r="V276" s="918"/>
      <c r="W276" s="918"/>
      <c r="X276" s="918"/>
      <c r="Y276" s="918"/>
      <c r="Z276" s="918"/>
      <c r="AA276" s="918"/>
      <c r="AB276" s="918"/>
      <c r="AC276" s="918"/>
      <c r="AD276" s="918"/>
      <c r="AE276" s="918"/>
      <c r="AF276" s="918"/>
      <c r="AG276" s="918"/>
      <c r="AH276" s="918"/>
      <c r="AI276" s="918"/>
      <c r="AJ276" s="918"/>
      <c r="AK276" s="918"/>
      <c r="AL276" s="918"/>
      <c r="AM276" s="918"/>
      <c r="AN276" s="918"/>
      <c r="AO276" s="918"/>
      <c r="AP276" s="918"/>
      <c r="AQ276" s="918"/>
      <c r="AR276" s="918"/>
      <c r="AS276" s="918"/>
      <c r="AT276" s="918"/>
      <c r="AU276" s="918"/>
      <c r="AV276" s="918"/>
      <c r="AW276" s="918"/>
      <c r="AX276" s="918"/>
      <c r="AY276" s="918"/>
      <c r="AZ276" s="918"/>
      <c r="BA276" s="918"/>
      <c r="BB276" s="918"/>
      <c r="BC276" s="918"/>
      <c r="BD276" s="918"/>
      <c r="BE276" s="918"/>
      <c r="BF276" s="918"/>
      <c r="BG276" s="918"/>
      <c r="BH276" s="918"/>
      <c r="BI276" s="918"/>
      <c r="BJ276" s="918"/>
      <c r="BK276" s="918"/>
      <c r="BL276" s="918"/>
      <c r="BM276" s="918"/>
      <c r="BN276" s="918"/>
      <c r="BO276" s="918"/>
      <c r="BP276" s="918"/>
      <c r="BQ276" s="918"/>
      <c r="BR276" s="918"/>
      <c r="BS276" s="918"/>
      <c r="BT276" s="918"/>
      <c r="BU276" s="918"/>
      <c r="BV276" s="918"/>
      <c r="BW276" s="918"/>
      <c r="BX276" s="918"/>
      <c r="BY276" s="918"/>
      <c r="BZ276" s="918"/>
      <c r="CA276" s="918"/>
      <c r="CB276" s="918"/>
      <c r="CC276" s="918"/>
      <c r="CD276" s="918"/>
      <c r="CE276" s="918"/>
      <c r="CF276" s="918"/>
      <c r="CG276" s="918"/>
      <c r="CH276" s="918"/>
      <c r="CI276" s="918"/>
      <c r="CJ276" s="918"/>
      <c r="CK276" s="918"/>
      <c r="CL276" s="918"/>
      <c r="CM276" s="918"/>
      <c r="CN276" s="918"/>
      <c r="CO276" s="918"/>
      <c r="CP276" s="918"/>
      <c r="CQ276" s="918"/>
      <c r="CR276" s="918"/>
      <c r="CS276" s="918"/>
      <c r="CT276" s="918"/>
      <c r="CU276" s="918"/>
      <c r="CV276" s="918"/>
      <c r="CW276" s="918"/>
      <c r="CX276" s="918"/>
      <c r="CY276" s="918"/>
      <c r="CZ276" s="918"/>
      <c r="DA276" s="918"/>
      <c r="DB276" s="918"/>
      <c r="DC276" s="918"/>
      <c r="DD276" s="918"/>
      <c r="DE276" s="918"/>
      <c r="DF276" s="918"/>
      <c r="DG276" s="918"/>
      <c r="DH276" s="918"/>
      <c r="DI276" s="918"/>
      <c r="DJ276" s="918"/>
      <c r="DK276" s="918"/>
      <c r="DL276" s="918"/>
      <c r="DM276" s="918"/>
      <c r="DN276" s="918"/>
      <c r="DO276" s="918"/>
      <c r="DP276" s="918"/>
      <c r="DQ276" s="918"/>
      <c r="DR276" s="918"/>
      <c r="DS276" s="918"/>
      <c r="DT276" s="918"/>
      <c r="DU276" s="918"/>
      <c r="DV276" s="918"/>
      <c r="DW276" s="918"/>
      <c r="DX276" s="918"/>
      <c r="DY276" s="918"/>
      <c r="DZ276" s="918"/>
      <c r="EA276" s="918"/>
      <c r="EB276" s="918"/>
      <c r="EC276" s="918"/>
      <c r="ED276" s="918"/>
      <c r="EE276" s="918"/>
      <c r="EF276" s="918"/>
      <c r="EG276" s="918"/>
      <c r="EH276" s="918"/>
      <c r="EI276" s="918"/>
      <c r="EJ276" s="918"/>
      <c r="EK276" s="918"/>
      <c r="EL276" s="918"/>
      <c r="EM276" s="918"/>
      <c r="EN276" s="918"/>
      <c r="EO276" s="918"/>
      <c r="EP276" s="918"/>
      <c r="EQ276" s="918"/>
      <c r="ER276" s="918"/>
      <c r="ES276" s="918"/>
      <c r="ET276" s="918"/>
      <c r="EU276" s="918"/>
      <c r="EV276" s="918"/>
      <c r="EW276" s="918"/>
      <c r="EX276" s="918"/>
      <c r="EY276" s="918"/>
      <c r="EZ276" s="918"/>
      <c r="FA276" s="918"/>
      <c r="FB276" s="918"/>
      <c r="FC276" s="918"/>
      <c r="FD276" s="918"/>
      <c r="FE276" s="918"/>
      <c r="FF276" s="918"/>
      <c r="FG276" s="918"/>
      <c r="FH276" s="918"/>
      <c r="FI276" s="918"/>
      <c r="FJ276" s="918"/>
      <c r="FK276" s="918"/>
      <c r="FL276" s="918"/>
      <c r="FM276" s="918"/>
      <c r="FN276" s="918"/>
      <c r="FO276" s="918"/>
      <c r="FP276" s="918"/>
      <c r="FQ276" s="918"/>
      <c r="FR276" s="918"/>
      <c r="FS276" s="918"/>
      <c r="FT276" s="918"/>
      <c r="FU276" s="918"/>
      <c r="FV276" s="918"/>
      <c r="FW276" s="918"/>
      <c r="FX276" s="918"/>
      <c r="FY276" s="918"/>
      <c r="FZ276" s="918"/>
      <c r="GA276" s="918"/>
      <c r="GB276" s="918"/>
      <c r="GC276" s="918"/>
      <c r="GD276" s="918"/>
      <c r="GE276" s="918"/>
      <c r="GF276" s="918"/>
      <c r="GG276" s="918"/>
      <c r="GH276" s="918"/>
      <c r="GI276" s="918"/>
      <c r="GJ276" s="918"/>
      <c r="GK276" s="918"/>
      <c r="GL276" s="918"/>
      <c r="GM276" s="918"/>
      <c r="GN276" s="918"/>
      <c r="GO276" s="918"/>
      <c r="GP276" s="918"/>
      <c r="GQ276" s="918"/>
      <c r="GR276" s="918"/>
      <c r="GS276" s="918"/>
      <c r="GT276" s="918"/>
      <c r="GU276" s="918"/>
      <c r="GV276" s="918"/>
      <c r="GW276" s="918"/>
      <c r="GX276" s="918"/>
      <c r="GY276" s="918"/>
      <c r="GZ276" s="918"/>
      <c r="HA276" s="918"/>
      <c r="HB276" s="918"/>
      <c r="HC276" s="918"/>
      <c r="HD276" s="918"/>
      <c r="HE276" s="918"/>
      <c r="HF276" s="918"/>
      <c r="HG276" s="918"/>
      <c r="HH276" s="918"/>
      <c r="HI276" s="918"/>
      <c r="HJ276" s="918"/>
      <c r="HK276" s="918"/>
      <c r="HL276" s="918"/>
      <c r="HM276" s="918"/>
      <c r="HN276" s="918"/>
      <c r="HO276" s="918"/>
      <c r="HP276" s="918"/>
      <c r="HQ276" s="918"/>
      <c r="HR276" s="918"/>
      <c r="HS276" s="918"/>
      <c r="HT276" s="918"/>
      <c r="HU276" s="918"/>
      <c r="HV276" s="918"/>
      <c r="HW276" s="918"/>
      <c r="HX276" s="918"/>
      <c r="HY276" s="918"/>
      <c r="HZ276" s="918"/>
      <c r="IA276" s="918"/>
      <c r="IB276" s="918"/>
      <c r="IC276" s="918"/>
      <c r="ID276" s="918"/>
      <c r="IE276" s="918"/>
      <c r="IF276" s="918"/>
      <c r="IG276" s="918"/>
      <c r="IH276" s="918"/>
      <c r="II276" s="918"/>
      <c r="IJ276" s="918"/>
      <c r="IK276" s="918"/>
      <c r="IL276" s="918"/>
      <c r="IM276" s="918"/>
      <c r="IN276" s="918"/>
    </row>
    <row r="277" spans="1:248">
      <c r="A277" s="619" t="s">
        <v>25</v>
      </c>
      <c r="B277" s="617">
        <v>25223.4</v>
      </c>
      <c r="C277" s="617">
        <f t="shared" si="41"/>
        <v>31.155269928594631</v>
      </c>
      <c r="D277" s="620">
        <v>22362.400000000001</v>
      </c>
      <c r="E277" s="919">
        <f t="shared" si="42"/>
        <v>27.621439149805521</v>
      </c>
      <c r="F277" s="919">
        <v>2861</v>
      </c>
      <c r="G277" s="919">
        <f t="shared" si="43"/>
        <v>3.5338307787891097</v>
      </c>
      <c r="H277" s="400">
        <v>80960.3</v>
      </c>
      <c r="I277" s="918"/>
      <c r="J277" s="918"/>
      <c r="K277" s="918"/>
      <c r="L277" s="918"/>
      <c r="M277" s="918"/>
      <c r="N277" s="918"/>
      <c r="O277" s="918"/>
      <c r="P277" s="918"/>
      <c r="Q277" s="918"/>
      <c r="R277" s="918"/>
      <c r="S277" s="918"/>
      <c r="T277" s="918"/>
      <c r="U277" s="918"/>
      <c r="V277" s="918"/>
      <c r="W277" s="918"/>
      <c r="X277" s="918"/>
      <c r="Y277" s="918"/>
      <c r="Z277" s="918"/>
      <c r="AA277" s="918"/>
      <c r="AB277" s="918"/>
      <c r="AC277" s="918"/>
      <c r="AD277" s="918"/>
      <c r="AE277" s="918"/>
      <c r="AF277" s="918"/>
      <c r="AG277" s="918"/>
      <c r="AH277" s="918"/>
      <c r="AI277" s="918"/>
      <c r="AJ277" s="918"/>
      <c r="AK277" s="918"/>
      <c r="AL277" s="918"/>
      <c r="AM277" s="918"/>
      <c r="AN277" s="918"/>
      <c r="AO277" s="918"/>
      <c r="AP277" s="918"/>
      <c r="AQ277" s="918"/>
      <c r="AR277" s="918"/>
      <c r="AS277" s="918"/>
      <c r="AT277" s="918"/>
      <c r="AU277" s="918"/>
      <c r="AV277" s="918"/>
      <c r="AW277" s="918"/>
      <c r="AX277" s="918"/>
      <c r="AY277" s="918"/>
      <c r="AZ277" s="918"/>
      <c r="BA277" s="918"/>
      <c r="BB277" s="918"/>
      <c r="BC277" s="918"/>
      <c r="BD277" s="918"/>
      <c r="BE277" s="918"/>
      <c r="BF277" s="918"/>
      <c r="BG277" s="918"/>
      <c r="BH277" s="918"/>
      <c r="BI277" s="918"/>
      <c r="BJ277" s="918"/>
      <c r="BK277" s="918"/>
      <c r="BL277" s="918"/>
      <c r="BM277" s="918"/>
      <c r="BN277" s="918"/>
      <c r="BO277" s="918"/>
      <c r="BP277" s="918"/>
      <c r="BQ277" s="918"/>
      <c r="BR277" s="918"/>
      <c r="BS277" s="918"/>
      <c r="BT277" s="918"/>
      <c r="BU277" s="918"/>
      <c r="BV277" s="918"/>
      <c r="BW277" s="918"/>
      <c r="BX277" s="918"/>
      <c r="BY277" s="918"/>
      <c r="BZ277" s="918"/>
      <c r="CA277" s="918"/>
      <c r="CB277" s="918"/>
      <c r="CC277" s="918"/>
      <c r="CD277" s="918"/>
      <c r="CE277" s="918"/>
      <c r="CF277" s="918"/>
      <c r="CG277" s="918"/>
      <c r="CH277" s="918"/>
      <c r="CI277" s="918"/>
      <c r="CJ277" s="918"/>
      <c r="CK277" s="918"/>
      <c r="CL277" s="918"/>
      <c r="CM277" s="918"/>
      <c r="CN277" s="918"/>
      <c r="CO277" s="918"/>
      <c r="CP277" s="918"/>
      <c r="CQ277" s="918"/>
      <c r="CR277" s="918"/>
      <c r="CS277" s="918"/>
      <c r="CT277" s="918"/>
      <c r="CU277" s="918"/>
      <c r="CV277" s="918"/>
      <c r="CW277" s="918"/>
      <c r="CX277" s="918"/>
      <c r="CY277" s="918"/>
      <c r="CZ277" s="918"/>
      <c r="DA277" s="918"/>
      <c r="DB277" s="918"/>
      <c r="DC277" s="918"/>
      <c r="DD277" s="918"/>
      <c r="DE277" s="918"/>
      <c r="DF277" s="918"/>
      <c r="DG277" s="918"/>
      <c r="DH277" s="918"/>
      <c r="DI277" s="918"/>
      <c r="DJ277" s="918"/>
      <c r="DK277" s="918"/>
      <c r="DL277" s="918"/>
      <c r="DM277" s="918"/>
      <c r="DN277" s="918"/>
      <c r="DO277" s="918"/>
      <c r="DP277" s="918"/>
      <c r="DQ277" s="918"/>
      <c r="DR277" s="918"/>
      <c r="DS277" s="918"/>
      <c r="DT277" s="918"/>
      <c r="DU277" s="918"/>
      <c r="DV277" s="918"/>
      <c r="DW277" s="918"/>
      <c r="DX277" s="918"/>
      <c r="DY277" s="918"/>
      <c r="DZ277" s="918"/>
      <c r="EA277" s="918"/>
      <c r="EB277" s="918"/>
      <c r="EC277" s="918"/>
      <c r="ED277" s="918"/>
      <c r="EE277" s="918"/>
      <c r="EF277" s="918"/>
      <c r="EG277" s="918"/>
      <c r="EH277" s="918"/>
      <c r="EI277" s="918"/>
      <c r="EJ277" s="918"/>
      <c r="EK277" s="918"/>
      <c r="EL277" s="918"/>
      <c r="EM277" s="918"/>
      <c r="EN277" s="918"/>
      <c r="EO277" s="918"/>
      <c r="EP277" s="918"/>
      <c r="EQ277" s="918"/>
      <c r="ER277" s="918"/>
      <c r="ES277" s="918"/>
      <c r="ET277" s="918"/>
      <c r="EU277" s="918"/>
      <c r="EV277" s="918"/>
      <c r="EW277" s="918"/>
      <c r="EX277" s="918"/>
      <c r="EY277" s="918"/>
      <c r="EZ277" s="918"/>
      <c r="FA277" s="918"/>
      <c r="FB277" s="918"/>
      <c r="FC277" s="918"/>
      <c r="FD277" s="918"/>
      <c r="FE277" s="918"/>
      <c r="FF277" s="918"/>
      <c r="FG277" s="918"/>
      <c r="FH277" s="918"/>
      <c r="FI277" s="918"/>
      <c r="FJ277" s="918"/>
      <c r="FK277" s="918"/>
      <c r="FL277" s="918"/>
      <c r="FM277" s="918"/>
      <c r="FN277" s="918"/>
      <c r="FO277" s="918"/>
      <c r="FP277" s="918"/>
      <c r="FQ277" s="918"/>
      <c r="FR277" s="918"/>
      <c r="FS277" s="918"/>
      <c r="FT277" s="918"/>
      <c r="FU277" s="918"/>
      <c r="FV277" s="918"/>
      <c r="FW277" s="918"/>
      <c r="FX277" s="918"/>
      <c r="FY277" s="918"/>
      <c r="FZ277" s="918"/>
      <c r="GA277" s="918"/>
      <c r="GB277" s="918"/>
      <c r="GC277" s="918"/>
      <c r="GD277" s="918"/>
      <c r="GE277" s="918"/>
      <c r="GF277" s="918"/>
      <c r="GG277" s="918"/>
      <c r="GH277" s="918"/>
      <c r="GI277" s="918"/>
      <c r="GJ277" s="918"/>
      <c r="GK277" s="918"/>
      <c r="GL277" s="918"/>
      <c r="GM277" s="918"/>
      <c r="GN277" s="918"/>
      <c r="GO277" s="918"/>
      <c r="GP277" s="918"/>
      <c r="GQ277" s="918"/>
      <c r="GR277" s="918"/>
      <c r="GS277" s="918"/>
      <c r="GT277" s="918"/>
      <c r="GU277" s="918"/>
      <c r="GV277" s="918"/>
      <c r="GW277" s="918"/>
      <c r="GX277" s="918"/>
      <c r="GY277" s="918"/>
      <c r="GZ277" s="918"/>
      <c r="HA277" s="918"/>
      <c r="HB277" s="918"/>
      <c r="HC277" s="918"/>
      <c r="HD277" s="918"/>
      <c r="HE277" s="918"/>
      <c r="HF277" s="918"/>
      <c r="HG277" s="918"/>
      <c r="HH277" s="918"/>
      <c r="HI277" s="918"/>
      <c r="HJ277" s="918"/>
      <c r="HK277" s="918"/>
      <c r="HL277" s="918"/>
      <c r="HM277" s="918"/>
      <c r="HN277" s="918"/>
      <c r="HO277" s="918"/>
      <c r="HP277" s="918"/>
      <c r="HQ277" s="918"/>
      <c r="HR277" s="918"/>
      <c r="HS277" s="918"/>
      <c r="HT277" s="918"/>
      <c r="HU277" s="918"/>
      <c r="HV277" s="918"/>
      <c r="HW277" s="918"/>
      <c r="HX277" s="918"/>
      <c r="HY277" s="918"/>
      <c r="HZ277" s="918"/>
      <c r="IA277" s="918"/>
      <c r="IB277" s="918"/>
      <c r="IC277" s="918"/>
      <c r="ID277" s="918"/>
      <c r="IE277" s="918"/>
      <c r="IF277" s="918"/>
      <c r="IG277" s="918"/>
      <c r="IH277" s="918"/>
      <c r="II277" s="918"/>
      <c r="IJ277" s="918"/>
      <c r="IK277" s="918"/>
      <c r="IL277" s="918"/>
      <c r="IM277" s="918"/>
      <c r="IN277" s="918"/>
    </row>
    <row r="278" spans="1:248">
      <c r="A278" s="619" t="s">
        <v>26</v>
      </c>
      <c r="B278" s="617">
        <v>27737</v>
      </c>
      <c r="C278" s="617">
        <f t="shared" si="41"/>
        <v>29.879510284984839</v>
      </c>
      <c r="D278" s="620">
        <v>25174.3</v>
      </c>
      <c r="E278" s="919">
        <f t="shared" si="42"/>
        <v>27.118857690712545</v>
      </c>
      <c r="F278" s="919">
        <v>2562.7000000000007</v>
      </c>
      <c r="G278" s="919">
        <f t="shared" si="43"/>
        <v>2.7606525942722957</v>
      </c>
      <c r="H278" s="400">
        <v>92829.5</v>
      </c>
      <c r="I278" s="918"/>
      <c r="J278" s="918"/>
      <c r="K278" s="918"/>
      <c r="L278" s="918"/>
      <c r="M278" s="918"/>
      <c r="N278" s="918"/>
      <c r="O278" s="918"/>
      <c r="P278" s="918"/>
      <c r="Q278" s="918"/>
      <c r="R278" s="918"/>
      <c r="S278" s="918"/>
      <c r="T278" s="918"/>
      <c r="U278" s="918"/>
      <c r="V278" s="918"/>
      <c r="W278" s="918"/>
      <c r="X278" s="918"/>
      <c r="Y278" s="918"/>
      <c r="Z278" s="918"/>
      <c r="AA278" s="918"/>
      <c r="AB278" s="918"/>
      <c r="AC278" s="918"/>
      <c r="AD278" s="918"/>
      <c r="AE278" s="918"/>
      <c r="AF278" s="918"/>
      <c r="AG278" s="918"/>
      <c r="AH278" s="918"/>
      <c r="AI278" s="918"/>
      <c r="AJ278" s="918"/>
      <c r="AK278" s="918"/>
      <c r="AL278" s="918"/>
      <c r="AM278" s="918"/>
      <c r="AN278" s="918"/>
      <c r="AO278" s="918"/>
      <c r="AP278" s="918"/>
      <c r="AQ278" s="918"/>
      <c r="AR278" s="918"/>
      <c r="AS278" s="918"/>
      <c r="AT278" s="918"/>
      <c r="AU278" s="918"/>
      <c r="AV278" s="918"/>
      <c r="AW278" s="918"/>
      <c r="AX278" s="918"/>
      <c r="AY278" s="918"/>
      <c r="AZ278" s="918"/>
      <c r="BA278" s="918"/>
      <c r="BB278" s="918"/>
      <c r="BC278" s="918"/>
      <c r="BD278" s="918"/>
      <c r="BE278" s="918"/>
      <c r="BF278" s="918"/>
      <c r="BG278" s="918"/>
      <c r="BH278" s="918"/>
      <c r="BI278" s="918"/>
      <c r="BJ278" s="918"/>
      <c r="BK278" s="918"/>
      <c r="BL278" s="918"/>
      <c r="BM278" s="918"/>
      <c r="BN278" s="918"/>
      <c r="BO278" s="918"/>
      <c r="BP278" s="918"/>
      <c r="BQ278" s="918"/>
      <c r="BR278" s="918"/>
      <c r="BS278" s="918"/>
      <c r="BT278" s="918"/>
      <c r="BU278" s="918"/>
      <c r="BV278" s="918"/>
      <c r="BW278" s="918"/>
      <c r="BX278" s="918"/>
      <c r="BY278" s="918"/>
      <c r="BZ278" s="918"/>
      <c r="CA278" s="918"/>
      <c r="CB278" s="918"/>
      <c r="CC278" s="918"/>
      <c r="CD278" s="918"/>
      <c r="CE278" s="918"/>
      <c r="CF278" s="918"/>
      <c r="CG278" s="918"/>
      <c r="CH278" s="918"/>
      <c r="CI278" s="918"/>
      <c r="CJ278" s="918"/>
      <c r="CK278" s="918"/>
      <c r="CL278" s="918"/>
      <c r="CM278" s="918"/>
      <c r="CN278" s="918"/>
      <c r="CO278" s="918"/>
      <c r="CP278" s="918"/>
      <c r="CQ278" s="918"/>
      <c r="CR278" s="918"/>
      <c r="CS278" s="918"/>
      <c r="CT278" s="918"/>
      <c r="CU278" s="918"/>
      <c r="CV278" s="918"/>
      <c r="CW278" s="918"/>
      <c r="CX278" s="918"/>
      <c r="CY278" s="918"/>
      <c r="CZ278" s="918"/>
      <c r="DA278" s="918"/>
      <c r="DB278" s="918"/>
      <c r="DC278" s="918"/>
      <c r="DD278" s="918"/>
      <c r="DE278" s="918"/>
      <c r="DF278" s="918"/>
      <c r="DG278" s="918"/>
      <c r="DH278" s="918"/>
      <c r="DI278" s="918"/>
      <c r="DJ278" s="918"/>
      <c r="DK278" s="918"/>
      <c r="DL278" s="918"/>
      <c r="DM278" s="918"/>
      <c r="DN278" s="918"/>
      <c r="DO278" s="918"/>
      <c r="DP278" s="918"/>
      <c r="DQ278" s="918"/>
      <c r="DR278" s="918"/>
      <c r="DS278" s="918"/>
      <c r="DT278" s="918"/>
      <c r="DU278" s="918"/>
      <c r="DV278" s="918"/>
      <c r="DW278" s="918"/>
      <c r="DX278" s="918"/>
      <c r="DY278" s="918"/>
      <c r="DZ278" s="918"/>
      <c r="EA278" s="918"/>
      <c r="EB278" s="918"/>
      <c r="EC278" s="918"/>
      <c r="ED278" s="918"/>
      <c r="EE278" s="918"/>
      <c r="EF278" s="918"/>
      <c r="EG278" s="918"/>
      <c r="EH278" s="918"/>
      <c r="EI278" s="918"/>
      <c r="EJ278" s="918"/>
      <c r="EK278" s="918"/>
      <c r="EL278" s="918"/>
      <c r="EM278" s="918"/>
      <c r="EN278" s="918"/>
      <c r="EO278" s="918"/>
      <c r="EP278" s="918"/>
      <c r="EQ278" s="918"/>
      <c r="ER278" s="918"/>
      <c r="ES278" s="918"/>
      <c r="ET278" s="918"/>
      <c r="EU278" s="918"/>
      <c r="EV278" s="918"/>
      <c r="EW278" s="918"/>
      <c r="EX278" s="918"/>
      <c r="EY278" s="918"/>
      <c r="EZ278" s="918"/>
      <c r="FA278" s="918"/>
      <c r="FB278" s="918"/>
      <c r="FC278" s="918"/>
      <c r="FD278" s="918"/>
      <c r="FE278" s="918"/>
      <c r="FF278" s="918"/>
      <c r="FG278" s="918"/>
      <c r="FH278" s="918"/>
      <c r="FI278" s="918"/>
      <c r="FJ278" s="918"/>
      <c r="FK278" s="918"/>
      <c r="FL278" s="918"/>
      <c r="FM278" s="918"/>
      <c r="FN278" s="918"/>
      <c r="FO278" s="918"/>
      <c r="FP278" s="918"/>
      <c r="FQ278" s="918"/>
      <c r="FR278" s="918"/>
      <c r="FS278" s="918"/>
      <c r="FT278" s="918"/>
      <c r="FU278" s="918"/>
      <c r="FV278" s="918"/>
      <c r="FW278" s="918"/>
      <c r="FX278" s="918"/>
      <c r="FY278" s="918"/>
      <c r="FZ278" s="918"/>
      <c r="GA278" s="918"/>
      <c r="GB278" s="918"/>
      <c r="GC278" s="918"/>
      <c r="GD278" s="918"/>
      <c r="GE278" s="918"/>
      <c r="GF278" s="918"/>
      <c r="GG278" s="918"/>
      <c r="GH278" s="918"/>
      <c r="GI278" s="918"/>
      <c r="GJ278" s="918"/>
      <c r="GK278" s="918"/>
      <c r="GL278" s="918"/>
      <c r="GM278" s="918"/>
      <c r="GN278" s="918"/>
      <c r="GO278" s="918"/>
      <c r="GP278" s="918"/>
      <c r="GQ278" s="918"/>
      <c r="GR278" s="918"/>
      <c r="GS278" s="918"/>
      <c r="GT278" s="918"/>
      <c r="GU278" s="918"/>
      <c r="GV278" s="918"/>
      <c r="GW278" s="918"/>
      <c r="GX278" s="918"/>
      <c r="GY278" s="918"/>
      <c r="GZ278" s="918"/>
      <c r="HA278" s="918"/>
      <c r="HB278" s="918"/>
      <c r="HC278" s="918"/>
      <c r="HD278" s="918"/>
      <c r="HE278" s="918"/>
      <c r="HF278" s="918"/>
      <c r="HG278" s="918"/>
      <c r="HH278" s="918"/>
      <c r="HI278" s="918"/>
      <c r="HJ278" s="918"/>
      <c r="HK278" s="918"/>
      <c r="HL278" s="918"/>
      <c r="HM278" s="918"/>
      <c r="HN278" s="918"/>
      <c r="HO278" s="918"/>
      <c r="HP278" s="918"/>
      <c r="HQ278" s="918"/>
      <c r="HR278" s="918"/>
      <c r="HS278" s="918"/>
      <c r="HT278" s="918"/>
      <c r="HU278" s="918"/>
      <c r="HV278" s="918"/>
      <c r="HW278" s="918"/>
      <c r="HX278" s="918"/>
      <c r="HY278" s="918"/>
      <c r="HZ278" s="918"/>
      <c r="IA278" s="918"/>
      <c r="IB278" s="918"/>
      <c r="IC278" s="918"/>
      <c r="ID278" s="918"/>
      <c r="IE278" s="918"/>
      <c r="IF278" s="918"/>
      <c r="IG278" s="918"/>
      <c r="IH278" s="918"/>
      <c r="II278" s="918"/>
      <c r="IJ278" s="918"/>
      <c r="IK278" s="918"/>
      <c r="IL278" s="918"/>
      <c r="IM278" s="918"/>
      <c r="IN278" s="918"/>
    </row>
    <row r="279" spans="1:248">
      <c r="A279" s="619" t="s">
        <v>27</v>
      </c>
      <c r="B279" s="617">
        <v>31542.5</v>
      </c>
      <c r="C279" s="617">
        <f t="shared" si="41"/>
        <v>30.477082161788204</v>
      </c>
      <c r="D279" s="620">
        <v>28108.2</v>
      </c>
      <c r="E279" s="919">
        <f t="shared" si="42"/>
        <v>27.158783254972668</v>
      </c>
      <c r="F279" s="919">
        <v>3434.2999999999993</v>
      </c>
      <c r="G279" s="919">
        <f t="shared" si="43"/>
        <v>3.3182989068155413</v>
      </c>
      <c r="H279" s="400">
        <v>103495.8</v>
      </c>
      <c r="I279" s="918"/>
      <c r="J279" s="918"/>
      <c r="K279" s="918"/>
      <c r="L279" s="918"/>
      <c r="M279" s="918"/>
      <c r="N279" s="918"/>
      <c r="O279" s="918"/>
      <c r="P279" s="918"/>
      <c r="Q279" s="918"/>
      <c r="R279" s="918"/>
      <c r="S279" s="918"/>
      <c r="T279" s="918"/>
      <c r="U279" s="918"/>
      <c r="V279" s="918"/>
      <c r="W279" s="918"/>
      <c r="X279" s="918"/>
      <c r="Y279" s="918"/>
      <c r="Z279" s="918"/>
      <c r="AA279" s="918"/>
      <c r="AB279" s="918"/>
      <c r="AC279" s="918"/>
      <c r="AD279" s="918"/>
      <c r="AE279" s="918"/>
      <c r="AF279" s="918"/>
      <c r="AG279" s="918"/>
      <c r="AH279" s="918"/>
      <c r="AI279" s="918"/>
      <c r="AJ279" s="918"/>
      <c r="AK279" s="918"/>
      <c r="AL279" s="918"/>
      <c r="AM279" s="918"/>
      <c r="AN279" s="918"/>
      <c r="AO279" s="918"/>
      <c r="AP279" s="918"/>
      <c r="AQ279" s="918"/>
      <c r="AR279" s="918"/>
      <c r="AS279" s="918"/>
      <c r="AT279" s="918"/>
      <c r="AU279" s="918"/>
      <c r="AV279" s="918"/>
      <c r="AW279" s="918"/>
      <c r="AX279" s="918"/>
      <c r="AY279" s="918"/>
      <c r="AZ279" s="918"/>
      <c r="BA279" s="918"/>
      <c r="BB279" s="918"/>
      <c r="BC279" s="918"/>
      <c r="BD279" s="918"/>
      <c r="BE279" s="918"/>
      <c r="BF279" s="918"/>
      <c r="BG279" s="918"/>
      <c r="BH279" s="918"/>
      <c r="BI279" s="918"/>
      <c r="BJ279" s="918"/>
      <c r="BK279" s="918"/>
      <c r="BL279" s="918"/>
      <c r="BM279" s="918"/>
      <c r="BN279" s="918"/>
      <c r="BO279" s="918"/>
      <c r="BP279" s="918"/>
      <c r="BQ279" s="918"/>
      <c r="BR279" s="918"/>
      <c r="BS279" s="918"/>
      <c r="BT279" s="918"/>
      <c r="BU279" s="918"/>
      <c r="BV279" s="918"/>
      <c r="BW279" s="918"/>
      <c r="BX279" s="918"/>
      <c r="BY279" s="918"/>
      <c r="BZ279" s="918"/>
      <c r="CA279" s="918"/>
      <c r="CB279" s="918"/>
      <c r="CC279" s="918"/>
      <c r="CD279" s="918"/>
      <c r="CE279" s="918"/>
      <c r="CF279" s="918"/>
      <c r="CG279" s="918"/>
      <c r="CH279" s="918"/>
      <c r="CI279" s="918"/>
      <c r="CJ279" s="918"/>
      <c r="CK279" s="918"/>
      <c r="CL279" s="918"/>
      <c r="CM279" s="918"/>
      <c r="CN279" s="918"/>
      <c r="CO279" s="918"/>
      <c r="CP279" s="918"/>
      <c r="CQ279" s="918"/>
      <c r="CR279" s="918"/>
      <c r="CS279" s="918"/>
      <c r="CT279" s="918"/>
      <c r="CU279" s="918"/>
      <c r="CV279" s="918"/>
      <c r="CW279" s="918"/>
      <c r="CX279" s="918"/>
      <c r="CY279" s="918"/>
      <c r="CZ279" s="918"/>
      <c r="DA279" s="918"/>
      <c r="DB279" s="918"/>
      <c r="DC279" s="918"/>
      <c r="DD279" s="918"/>
      <c r="DE279" s="918"/>
      <c r="DF279" s="918"/>
      <c r="DG279" s="918"/>
      <c r="DH279" s="918"/>
      <c r="DI279" s="918"/>
      <c r="DJ279" s="918"/>
      <c r="DK279" s="918"/>
      <c r="DL279" s="918"/>
      <c r="DM279" s="918"/>
      <c r="DN279" s="918"/>
      <c r="DO279" s="918"/>
      <c r="DP279" s="918"/>
      <c r="DQ279" s="918"/>
      <c r="DR279" s="918"/>
      <c r="DS279" s="918"/>
      <c r="DT279" s="918"/>
      <c r="DU279" s="918"/>
      <c r="DV279" s="918"/>
      <c r="DW279" s="918"/>
      <c r="DX279" s="918"/>
      <c r="DY279" s="918"/>
      <c r="DZ279" s="918"/>
      <c r="EA279" s="918"/>
      <c r="EB279" s="918"/>
      <c r="EC279" s="918"/>
      <c r="ED279" s="918"/>
      <c r="EE279" s="918"/>
      <c r="EF279" s="918"/>
      <c r="EG279" s="918"/>
      <c r="EH279" s="918"/>
      <c r="EI279" s="918"/>
      <c r="EJ279" s="918"/>
      <c r="EK279" s="918"/>
      <c r="EL279" s="918"/>
      <c r="EM279" s="918"/>
      <c r="EN279" s="918"/>
      <c r="EO279" s="918"/>
      <c r="EP279" s="918"/>
      <c r="EQ279" s="918"/>
      <c r="ER279" s="918"/>
      <c r="ES279" s="918"/>
      <c r="ET279" s="918"/>
      <c r="EU279" s="918"/>
      <c r="EV279" s="918"/>
      <c r="EW279" s="918"/>
      <c r="EX279" s="918"/>
      <c r="EY279" s="918"/>
      <c r="EZ279" s="918"/>
      <c r="FA279" s="918"/>
      <c r="FB279" s="918"/>
      <c r="FC279" s="918"/>
      <c r="FD279" s="918"/>
      <c r="FE279" s="918"/>
      <c r="FF279" s="918"/>
      <c r="FG279" s="918"/>
      <c r="FH279" s="918"/>
      <c r="FI279" s="918"/>
      <c r="FJ279" s="918"/>
      <c r="FK279" s="918"/>
      <c r="FL279" s="918"/>
      <c r="FM279" s="918"/>
      <c r="FN279" s="918"/>
      <c r="FO279" s="918"/>
      <c r="FP279" s="918"/>
      <c r="FQ279" s="918"/>
      <c r="FR279" s="918"/>
      <c r="FS279" s="918"/>
      <c r="FT279" s="918"/>
      <c r="FU279" s="918"/>
      <c r="FV279" s="918"/>
      <c r="FW279" s="918"/>
      <c r="FX279" s="918"/>
      <c r="FY279" s="918"/>
      <c r="FZ279" s="918"/>
      <c r="GA279" s="918"/>
      <c r="GB279" s="918"/>
      <c r="GC279" s="918"/>
      <c r="GD279" s="918"/>
      <c r="GE279" s="918"/>
      <c r="GF279" s="918"/>
      <c r="GG279" s="918"/>
      <c r="GH279" s="918"/>
      <c r="GI279" s="918"/>
      <c r="GJ279" s="918"/>
      <c r="GK279" s="918"/>
      <c r="GL279" s="918"/>
      <c r="GM279" s="918"/>
      <c r="GN279" s="918"/>
      <c r="GO279" s="918"/>
      <c r="GP279" s="918"/>
      <c r="GQ279" s="918"/>
      <c r="GR279" s="918"/>
      <c r="GS279" s="918"/>
      <c r="GT279" s="918"/>
      <c r="GU279" s="918"/>
      <c r="GV279" s="918"/>
      <c r="GW279" s="918"/>
      <c r="GX279" s="918"/>
      <c r="GY279" s="918"/>
      <c r="GZ279" s="918"/>
      <c r="HA279" s="918"/>
      <c r="HB279" s="918"/>
      <c r="HC279" s="918"/>
      <c r="HD279" s="918"/>
      <c r="HE279" s="918"/>
      <c r="HF279" s="918"/>
      <c r="HG279" s="918"/>
      <c r="HH279" s="918"/>
      <c r="HI279" s="918"/>
      <c r="HJ279" s="918"/>
      <c r="HK279" s="918"/>
      <c r="HL279" s="918"/>
      <c r="HM279" s="918"/>
      <c r="HN279" s="918"/>
      <c r="HO279" s="918"/>
      <c r="HP279" s="918"/>
      <c r="HQ279" s="918"/>
      <c r="HR279" s="918"/>
      <c r="HS279" s="918"/>
      <c r="HT279" s="918"/>
      <c r="HU279" s="918"/>
      <c r="HV279" s="918"/>
      <c r="HW279" s="918"/>
      <c r="HX279" s="918"/>
      <c r="HY279" s="918"/>
      <c r="HZ279" s="918"/>
      <c r="IA279" s="918"/>
      <c r="IB279" s="918"/>
      <c r="IC279" s="918"/>
      <c r="ID279" s="918"/>
      <c r="IE279" s="918"/>
      <c r="IF279" s="918"/>
      <c r="IG279" s="918"/>
      <c r="IH279" s="918"/>
      <c r="II279" s="918"/>
      <c r="IJ279" s="918"/>
      <c r="IK279" s="918"/>
      <c r="IL279" s="918"/>
      <c r="IM279" s="918"/>
      <c r="IN279" s="918"/>
    </row>
    <row r="280" spans="1:248">
      <c r="A280" s="619" t="s">
        <v>28</v>
      </c>
      <c r="B280" s="617">
        <v>34056.199999999997</v>
      </c>
      <c r="C280" s="617">
        <f t="shared" si="41"/>
        <v>30.063098945643809</v>
      </c>
      <c r="D280" s="620">
        <v>31038.1</v>
      </c>
      <c r="E280" s="919">
        <f t="shared" si="42"/>
        <v>27.398872199035328</v>
      </c>
      <c r="F280" s="919">
        <v>3018.0999999999985</v>
      </c>
      <c r="G280" s="919">
        <f t="shared" si="43"/>
        <v>2.6642267466084748</v>
      </c>
      <c r="H280" s="400">
        <v>113282.4</v>
      </c>
      <c r="I280" s="918"/>
      <c r="J280" s="918"/>
      <c r="K280" s="918"/>
      <c r="L280" s="918"/>
      <c r="M280" s="918"/>
      <c r="N280" s="918"/>
      <c r="O280" s="918"/>
      <c r="P280" s="918"/>
      <c r="Q280" s="918"/>
      <c r="R280" s="918"/>
      <c r="S280" s="918"/>
      <c r="T280" s="918"/>
      <c r="U280" s="918"/>
      <c r="V280" s="918"/>
      <c r="W280" s="918"/>
      <c r="X280" s="918"/>
      <c r="Y280" s="918"/>
      <c r="Z280" s="918"/>
      <c r="AA280" s="918"/>
      <c r="AB280" s="918"/>
      <c r="AC280" s="918"/>
      <c r="AD280" s="918"/>
      <c r="AE280" s="918"/>
      <c r="AF280" s="918"/>
      <c r="AG280" s="918"/>
      <c r="AH280" s="918"/>
      <c r="AI280" s="918"/>
      <c r="AJ280" s="918"/>
      <c r="AK280" s="918"/>
      <c r="AL280" s="918"/>
      <c r="AM280" s="918"/>
      <c r="AN280" s="918"/>
      <c r="AO280" s="918"/>
      <c r="AP280" s="918"/>
      <c r="AQ280" s="918"/>
      <c r="AR280" s="918"/>
      <c r="AS280" s="918"/>
      <c r="AT280" s="918"/>
      <c r="AU280" s="918"/>
      <c r="AV280" s="918"/>
      <c r="AW280" s="918"/>
      <c r="AX280" s="918"/>
      <c r="AY280" s="918"/>
      <c r="AZ280" s="918"/>
      <c r="BA280" s="918"/>
      <c r="BB280" s="918"/>
      <c r="BC280" s="918"/>
      <c r="BD280" s="918"/>
      <c r="BE280" s="918"/>
      <c r="BF280" s="918"/>
      <c r="BG280" s="918"/>
      <c r="BH280" s="918"/>
      <c r="BI280" s="918"/>
      <c r="BJ280" s="918"/>
      <c r="BK280" s="918"/>
      <c r="BL280" s="918"/>
      <c r="BM280" s="918"/>
      <c r="BN280" s="918"/>
      <c r="BO280" s="918"/>
      <c r="BP280" s="918"/>
      <c r="BQ280" s="918"/>
      <c r="BR280" s="918"/>
      <c r="BS280" s="918"/>
      <c r="BT280" s="918"/>
      <c r="BU280" s="918"/>
      <c r="BV280" s="918"/>
      <c r="BW280" s="918"/>
      <c r="BX280" s="918"/>
      <c r="BY280" s="918"/>
      <c r="BZ280" s="918"/>
      <c r="CA280" s="918"/>
      <c r="CB280" s="918"/>
      <c r="CC280" s="918"/>
      <c r="CD280" s="918"/>
      <c r="CE280" s="918"/>
      <c r="CF280" s="918"/>
      <c r="CG280" s="918"/>
      <c r="CH280" s="918"/>
      <c r="CI280" s="918"/>
      <c r="CJ280" s="918"/>
      <c r="CK280" s="918"/>
      <c r="CL280" s="918"/>
      <c r="CM280" s="918"/>
      <c r="CN280" s="918"/>
      <c r="CO280" s="918"/>
      <c r="CP280" s="918"/>
      <c r="CQ280" s="918"/>
      <c r="CR280" s="918"/>
      <c r="CS280" s="918"/>
      <c r="CT280" s="918"/>
      <c r="CU280" s="918"/>
      <c r="CV280" s="918"/>
      <c r="CW280" s="918"/>
      <c r="CX280" s="918"/>
      <c r="CY280" s="918"/>
      <c r="CZ280" s="918"/>
      <c r="DA280" s="918"/>
      <c r="DB280" s="918"/>
      <c r="DC280" s="918"/>
      <c r="DD280" s="918"/>
      <c r="DE280" s="918"/>
      <c r="DF280" s="918"/>
      <c r="DG280" s="918"/>
      <c r="DH280" s="918"/>
      <c r="DI280" s="918"/>
      <c r="DJ280" s="918"/>
      <c r="DK280" s="918"/>
      <c r="DL280" s="918"/>
      <c r="DM280" s="918"/>
      <c r="DN280" s="918"/>
      <c r="DO280" s="918"/>
      <c r="DP280" s="918"/>
      <c r="DQ280" s="918"/>
      <c r="DR280" s="918"/>
      <c r="DS280" s="918"/>
      <c r="DT280" s="918"/>
      <c r="DU280" s="918"/>
      <c r="DV280" s="918"/>
      <c r="DW280" s="918"/>
      <c r="DX280" s="918"/>
      <c r="DY280" s="918"/>
      <c r="DZ280" s="918"/>
      <c r="EA280" s="918"/>
      <c r="EB280" s="918"/>
      <c r="EC280" s="918"/>
      <c r="ED280" s="918"/>
      <c r="EE280" s="918"/>
      <c r="EF280" s="918"/>
      <c r="EG280" s="918"/>
      <c r="EH280" s="918"/>
      <c r="EI280" s="918"/>
      <c r="EJ280" s="918"/>
      <c r="EK280" s="918"/>
      <c r="EL280" s="918"/>
      <c r="EM280" s="918"/>
      <c r="EN280" s="918"/>
      <c r="EO280" s="918"/>
      <c r="EP280" s="918"/>
      <c r="EQ280" s="918"/>
      <c r="ER280" s="918"/>
      <c r="ES280" s="918"/>
      <c r="ET280" s="918"/>
      <c r="EU280" s="918"/>
      <c r="EV280" s="918"/>
      <c r="EW280" s="918"/>
      <c r="EX280" s="918"/>
      <c r="EY280" s="918"/>
      <c r="EZ280" s="918"/>
      <c r="FA280" s="918"/>
      <c r="FB280" s="918"/>
      <c r="FC280" s="918"/>
      <c r="FD280" s="918"/>
      <c r="FE280" s="918"/>
      <c r="FF280" s="918"/>
      <c r="FG280" s="918"/>
      <c r="FH280" s="918"/>
      <c r="FI280" s="918"/>
      <c r="FJ280" s="918"/>
      <c r="FK280" s="918"/>
      <c r="FL280" s="918"/>
      <c r="FM280" s="918"/>
      <c r="FN280" s="918"/>
      <c r="FO280" s="918"/>
      <c r="FP280" s="918"/>
      <c r="FQ280" s="918"/>
      <c r="FR280" s="918"/>
      <c r="FS280" s="918"/>
      <c r="FT280" s="918"/>
      <c r="FU280" s="918"/>
      <c r="FV280" s="918"/>
      <c r="FW280" s="918"/>
      <c r="FX280" s="918"/>
      <c r="FY280" s="918"/>
      <c r="FZ280" s="918"/>
      <c r="GA280" s="918"/>
      <c r="GB280" s="918"/>
      <c r="GC280" s="918"/>
      <c r="GD280" s="918"/>
      <c r="GE280" s="918"/>
      <c r="GF280" s="918"/>
      <c r="GG280" s="918"/>
      <c r="GH280" s="918"/>
      <c r="GI280" s="918"/>
      <c r="GJ280" s="918"/>
      <c r="GK280" s="918"/>
      <c r="GL280" s="918"/>
      <c r="GM280" s="918"/>
      <c r="GN280" s="918"/>
      <c r="GO280" s="918"/>
      <c r="GP280" s="918"/>
      <c r="GQ280" s="918"/>
      <c r="GR280" s="918"/>
      <c r="GS280" s="918"/>
      <c r="GT280" s="918"/>
      <c r="GU280" s="918"/>
      <c r="GV280" s="918"/>
      <c r="GW280" s="918"/>
      <c r="GX280" s="918"/>
      <c r="GY280" s="918"/>
      <c r="GZ280" s="918"/>
      <c r="HA280" s="918"/>
      <c r="HB280" s="918"/>
      <c r="HC280" s="918"/>
      <c r="HD280" s="918"/>
      <c r="HE280" s="918"/>
      <c r="HF280" s="918"/>
      <c r="HG280" s="918"/>
      <c r="HH280" s="918"/>
      <c r="HI280" s="918"/>
      <c r="HJ280" s="918"/>
      <c r="HK280" s="918"/>
      <c r="HL280" s="918"/>
      <c r="HM280" s="918"/>
      <c r="HN280" s="918"/>
      <c r="HO280" s="918"/>
      <c r="HP280" s="918"/>
      <c r="HQ280" s="918"/>
      <c r="HR280" s="918"/>
      <c r="HS280" s="918"/>
      <c r="HT280" s="918"/>
      <c r="HU280" s="918"/>
      <c r="HV280" s="918"/>
      <c r="HW280" s="918"/>
      <c r="HX280" s="918"/>
      <c r="HY280" s="918"/>
      <c r="HZ280" s="918"/>
      <c r="IA280" s="918"/>
      <c r="IB280" s="918"/>
      <c r="IC280" s="918"/>
      <c r="ID280" s="918"/>
      <c r="IE280" s="918"/>
      <c r="IF280" s="918"/>
      <c r="IG280" s="918"/>
      <c r="IH280" s="918"/>
      <c r="II280" s="918"/>
      <c r="IJ280" s="918"/>
      <c r="IK280" s="918"/>
      <c r="IL280" s="918"/>
      <c r="IM280" s="918"/>
      <c r="IN280" s="918"/>
    </row>
    <row r="281" spans="1:248">
      <c r="A281" s="619" t="s">
        <v>29</v>
      </c>
      <c r="B281" s="617">
        <v>37161.800000000003</v>
      </c>
      <c r="C281" s="617">
        <f t="shared" si="41"/>
        <v>29.414819094960308</v>
      </c>
      <c r="D281" s="620">
        <v>37712.720000000001</v>
      </c>
      <c r="E281" s="919">
        <f t="shared" si="42"/>
        <v>29.850890871241205</v>
      </c>
      <c r="F281" s="919">
        <f>B281-D281</f>
        <v>-550.91999999999825</v>
      </c>
      <c r="G281" s="919">
        <f t="shared" si="43"/>
        <v>-0.4360717762808981</v>
      </c>
      <c r="H281" s="400">
        <v>126337</v>
      </c>
      <c r="I281" s="918"/>
      <c r="J281" s="918"/>
      <c r="K281" s="918"/>
      <c r="L281" s="918"/>
      <c r="M281" s="918"/>
      <c r="N281" s="918"/>
      <c r="O281" s="918"/>
      <c r="P281" s="918"/>
      <c r="Q281" s="918"/>
      <c r="R281" s="918"/>
      <c r="S281" s="918"/>
      <c r="T281" s="918"/>
      <c r="U281" s="918"/>
      <c r="V281" s="918"/>
      <c r="W281" s="918"/>
      <c r="X281" s="918"/>
      <c r="Y281" s="918"/>
      <c r="Z281" s="918"/>
      <c r="AA281" s="918"/>
      <c r="AB281" s="918"/>
      <c r="AC281" s="918"/>
      <c r="AD281" s="918"/>
      <c r="AE281" s="918"/>
      <c r="AF281" s="918"/>
      <c r="AG281" s="918"/>
      <c r="AH281" s="918"/>
      <c r="AI281" s="918"/>
      <c r="AJ281" s="918"/>
      <c r="AK281" s="918"/>
      <c r="AL281" s="918"/>
      <c r="AM281" s="918"/>
      <c r="AN281" s="918"/>
      <c r="AO281" s="918"/>
      <c r="AP281" s="918"/>
      <c r="AQ281" s="918"/>
      <c r="AR281" s="918"/>
      <c r="AS281" s="918"/>
      <c r="AT281" s="918"/>
      <c r="AU281" s="918"/>
      <c r="AV281" s="918"/>
      <c r="AW281" s="918"/>
      <c r="AX281" s="918"/>
      <c r="AY281" s="918"/>
      <c r="AZ281" s="918"/>
      <c r="BA281" s="918"/>
      <c r="BB281" s="918"/>
      <c r="BC281" s="918"/>
      <c r="BD281" s="918"/>
      <c r="BE281" s="918"/>
      <c r="BF281" s="918"/>
      <c r="BG281" s="918"/>
      <c r="BH281" s="918"/>
      <c r="BI281" s="918"/>
      <c r="BJ281" s="918"/>
      <c r="BK281" s="918"/>
      <c r="BL281" s="918"/>
      <c r="BM281" s="918"/>
      <c r="BN281" s="918"/>
      <c r="BO281" s="918"/>
      <c r="BP281" s="918"/>
      <c r="BQ281" s="918"/>
      <c r="BR281" s="918"/>
      <c r="BS281" s="918"/>
      <c r="BT281" s="918"/>
      <c r="BU281" s="918"/>
      <c r="BV281" s="918"/>
      <c r="BW281" s="918"/>
      <c r="BX281" s="918"/>
      <c r="BY281" s="918"/>
      <c r="BZ281" s="918"/>
      <c r="CA281" s="918"/>
      <c r="CB281" s="918"/>
      <c r="CC281" s="918"/>
      <c r="CD281" s="918"/>
      <c r="CE281" s="918"/>
      <c r="CF281" s="918"/>
      <c r="CG281" s="918"/>
      <c r="CH281" s="918"/>
      <c r="CI281" s="918"/>
      <c r="CJ281" s="918"/>
      <c r="CK281" s="918"/>
      <c r="CL281" s="918"/>
      <c r="CM281" s="918"/>
      <c r="CN281" s="918"/>
      <c r="CO281" s="918"/>
      <c r="CP281" s="918"/>
      <c r="CQ281" s="918"/>
      <c r="CR281" s="918"/>
      <c r="CS281" s="918"/>
      <c r="CT281" s="918"/>
      <c r="CU281" s="918"/>
      <c r="CV281" s="918"/>
      <c r="CW281" s="918"/>
      <c r="CX281" s="918"/>
      <c r="CY281" s="918"/>
      <c r="CZ281" s="918"/>
      <c r="DA281" s="918"/>
      <c r="DB281" s="918"/>
      <c r="DC281" s="918"/>
      <c r="DD281" s="918"/>
      <c r="DE281" s="918"/>
      <c r="DF281" s="918"/>
      <c r="DG281" s="918"/>
      <c r="DH281" s="918"/>
      <c r="DI281" s="918"/>
      <c r="DJ281" s="918"/>
      <c r="DK281" s="918"/>
      <c r="DL281" s="918"/>
      <c r="DM281" s="918"/>
      <c r="DN281" s="918"/>
      <c r="DO281" s="918"/>
      <c r="DP281" s="918"/>
      <c r="DQ281" s="918"/>
      <c r="DR281" s="918"/>
      <c r="DS281" s="918"/>
      <c r="DT281" s="918"/>
      <c r="DU281" s="918"/>
      <c r="DV281" s="918"/>
      <c r="DW281" s="918"/>
      <c r="DX281" s="918"/>
      <c r="DY281" s="918"/>
      <c r="DZ281" s="918"/>
      <c r="EA281" s="918"/>
      <c r="EB281" s="918"/>
      <c r="EC281" s="918"/>
      <c r="ED281" s="918"/>
      <c r="EE281" s="918"/>
      <c r="EF281" s="918"/>
      <c r="EG281" s="918"/>
      <c r="EH281" s="918"/>
      <c r="EI281" s="918"/>
      <c r="EJ281" s="918"/>
      <c r="EK281" s="918"/>
      <c r="EL281" s="918"/>
      <c r="EM281" s="918"/>
      <c r="EN281" s="918"/>
      <c r="EO281" s="918"/>
      <c r="EP281" s="918"/>
      <c r="EQ281" s="918"/>
      <c r="ER281" s="918"/>
      <c r="ES281" s="918"/>
      <c r="ET281" s="918"/>
      <c r="EU281" s="918"/>
      <c r="EV281" s="918"/>
      <c r="EW281" s="918"/>
      <c r="EX281" s="918"/>
      <c r="EY281" s="918"/>
      <c r="EZ281" s="918"/>
      <c r="FA281" s="918"/>
      <c r="FB281" s="918"/>
      <c r="FC281" s="918"/>
      <c r="FD281" s="918"/>
      <c r="FE281" s="918"/>
      <c r="FF281" s="918"/>
      <c r="FG281" s="918"/>
      <c r="FH281" s="918"/>
      <c r="FI281" s="918"/>
      <c r="FJ281" s="918"/>
      <c r="FK281" s="918"/>
      <c r="FL281" s="918"/>
      <c r="FM281" s="918"/>
      <c r="FN281" s="918"/>
      <c r="FO281" s="918"/>
      <c r="FP281" s="918"/>
      <c r="FQ281" s="918"/>
      <c r="FR281" s="918"/>
      <c r="FS281" s="918"/>
      <c r="FT281" s="918"/>
      <c r="FU281" s="918"/>
      <c r="FV281" s="918"/>
      <c r="FW281" s="918"/>
      <c r="FX281" s="918"/>
      <c r="FY281" s="918"/>
      <c r="FZ281" s="918"/>
      <c r="GA281" s="918"/>
      <c r="GB281" s="918"/>
      <c r="GC281" s="918"/>
      <c r="GD281" s="918"/>
      <c r="GE281" s="918"/>
      <c r="GF281" s="918"/>
      <c r="GG281" s="918"/>
      <c r="GH281" s="918"/>
      <c r="GI281" s="918"/>
      <c r="GJ281" s="918"/>
      <c r="GK281" s="918"/>
      <c r="GL281" s="918"/>
      <c r="GM281" s="918"/>
      <c r="GN281" s="918"/>
      <c r="GO281" s="918"/>
      <c r="GP281" s="918"/>
      <c r="GQ281" s="918"/>
      <c r="GR281" s="918"/>
      <c r="GS281" s="918"/>
      <c r="GT281" s="918"/>
      <c r="GU281" s="918"/>
      <c r="GV281" s="918"/>
      <c r="GW281" s="918"/>
      <c r="GX281" s="918"/>
      <c r="GY281" s="918"/>
      <c r="GZ281" s="918"/>
      <c r="HA281" s="918"/>
      <c r="HB281" s="918"/>
      <c r="HC281" s="918"/>
      <c r="HD281" s="918"/>
      <c r="HE281" s="918"/>
      <c r="HF281" s="918"/>
      <c r="HG281" s="918"/>
      <c r="HH281" s="918"/>
      <c r="HI281" s="918"/>
      <c r="HJ281" s="918"/>
      <c r="HK281" s="918"/>
      <c r="HL281" s="918"/>
      <c r="HM281" s="918"/>
      <c r="HN281" s="918"/>
      <c r="HO281" s="918"/>
      <c r="HP281" s="918"/>
      <c r="HQ281" s="918"/>
      <c r="HR281" s="918"/>
      <c r="HS281" s="918"/>
      <c r="HT281" s="918"/>
      <c r="HU281" s="918"/>
      <c r="HV281" s="918"/>
      <c r="HW281" s="918"/>
      <c r="HX281" s="918"/>
      <c r="HY281" s="918"/>
      <c r="HZ281" s="918"/>
      <c r="IA281" s="918"/>
      <c r="IB281" s="918"/>
      <c r="IC281" s="918"/>
      <c r="ID281" s="918"/>
      <c r="IE281" s="918"/>
      <c r="IF281" s="918"/>
      <c r="IG281" s="918"/>
      <c r="IH281" s="918"/>
      <c r="II281" s="918"/>
      <c r="IJ281" s="918"/>
      <c r="IK281" s="918"/>
      <c r="IL281" s="918"/>
      <c r="IM281" s="918"/>
      <c r="IN281" s="918"/>
    </row>
    <row r="282" spans="1:248">
      <c r="A282" s="619" t="s">
        <v>4222</v>
      </c>
      <c r="B282" s="617"/>
      <c r="C282" s="617"/>
      <c r="D282" s="620"/>
      <c r="E282" s="919"/>
      <c r="F282" s="919"/>
      <c r="G282" s="919"/>
      <c r="H282" s="918"/>
      <c r="I282" s="918"/>
      <c r="J282" s="918"/>
      <c r="K282" s="918"/>
      <c r="L282" s="918"/>
      <c r="M282" s="918"/>
      <c r="N282" s="918"/>
      <c r="O282" s="918"/>
      <c r="P282" s="918"/>
      <c r="Q282" s="918"/>
      <c r="R282" s="918"/>
      <c r="S282" s="918"/>
      <c r="T282" s="918"/>
      <c r="U282" s="918"/>
      <c r="V282" s="918"/>
      <c r="W282" s="918"/>
      <c r="X282" s="918"/>
      <c r="Y282" s="918"/>
      <c r="Z282" s="918"/>
      <c r="AA282" s="918"/>
      <c r="AB282" s="918"/>
      <c r="AC282" s="918"/>
      <c r="AD282" s="918"/>
      <c r="AE282" s="918"/>
      <c r="AF282" s="918"/>
      <c r="AG282" s="918"/>
      <c r="AH282" s="918"/>
      <c r="AI282" s="918"/>
      <c r="AJ282" s="918"/>
      <c r="AK282" s="918"/>
      <c r="AL282" s="918"/>
      <c r="AM282" s="918"/>
      <c r="AN282" s="918"/>
      <c r="AO282" s="918"/>
      <c r="AP282" s="918"/>
      <c r="AQ282" s="918"/>
      <c r="AR282" s="918"/>
      <c r="AS282" s="918"/>
      <c r="AT282" s="918"/>
      <c r="AU282" s="918"/>
      <c r="AV282" s="918"/>
      <c r="AW282" s="918"/>
      <c r="AX282" s="918"/>
      <c r="AY282" s="918"/>
      <c r="AZ282" s="918"/>
      <c r="BA282" s="918"/>
      <c r="BB282" s="918"/>
      <c r="BC282" s="918"/>
      <c r="BD282" s="918"/>
      <c r="BE282" s="918"/>
      <c r="BF282" s="918"/>
      <c r="BG282" s="918"/>
      <c r="BH282" s="918"/>
      <c r="BI282" s="918"/>
      <c r="BJ282" s="918"/>
      <c r="BK282" s="918"/>
      <c r="BL282" s="918"/>
      <c r="BM282" s="918"/>
      <c r="BN282" s="918"/>
      <c r="BO282" s="918"/>
      <c r="BP282" s="918"/>
      <c r="BQ282" s="918"/>
      <c r="BR282" s="918"/>
      <c r="BS282" s="918"/>
      <c r="BT282" s="918"/>
      <c r="BU282" s="918"/>
      <c r="BV282" s="918"/>
      <c r="BW282" s="918"/>
      <c r="BX282" s="918"/>
      <c r="BY282" s="918"/>
      <c r="BZ282" s="918"/>
      <c r="CA282" s="918"/>
      <c r="CB282" s="918"/>
      <c r="CC282" s="918"/>
      <c r="CD282" s="918"/>
      <c r="CE282" s="918"/>
      <c r="CF282" s="918"/>
      <c r="CG282" s="918"/>
      <c r="CH282" s="918"/>
      <c r="CI282" s="918"/>
      <c r="CJ282" s="918"/>
      <c r="CK282" s="918"/>
      <c r="CL282" s="918"/>
      <c r="CM282" s="918"/>
      <c r="CN282" s="918"/>
      <c r="CO282" s="918"/>
      <c r="CP282" s="918"/>
      <c r="CQ282" s="918"/>
      <c r="CR282" s="918"/>
      <c r="CS282" s="918"/>
      <c r="CT282" s="918"/>
      <c r="CU282" s="918"/>
      <c r="CV282" s="918"/>
      <c r="CW282" s="918"/>
      <c r="CX282" s="918"/>
      <c r="CY282" s="918"/>
      <c r="CZ282" s="918"/>
      <c r="DA282" s="918"/>
      <c r="DB282" s="918"/>
      <c r="DC282" s="918"/>
      <c r="DD282" s="918"/>
      <c r="DE282" s="918"/>
      <c r="DF282" s="918"/>
      <c r="DG282" s="918"/>
      <c r="DH282" s="918"/>
      <c r="DI282" s="918"/>
      <c r="DJ282" s="918"/>
      <c r="DK282" s="918"/>
      <c r="DL282" s="918"/>
      <c r="DM282" s="918"/>
      <c r="DN282" s="918"/>
      <c r="DO282" s="918"/>
      <c r="DP282" s="918"/>
      <c r="DQ282" s="918"/>
      <c r="DR282" s="918"/>
      <c r="DS282" s="918"/>
      <c r="DT282" s="918"/>
      <c r="DU282" s="918"/>
      <c r="DV282" s="918"/>
      <c r="DW282" s="918"/>
      <c r="DX282" s="918"/>
      <c r="DY282" s="918"/>
      <c r="DZ282" s="918"/>
      <c r="EA282" s="918"/>
      <c r="EB282" s="918"/>
      <c r="EC282" s="918"/>
      <c r="ED282" s="918"/>
      <c r="EE282" s="918"/>
      <c r="EF282" s="918"/>
      <c r="EG282" s="918"/>
      <c r="EH282" s="918"/>
      <c r="EI282" s="918"/>
      <c r="EJ282" s="918"/>
      <c r="EK282" s="918"/>
      <c r="EL282" s="918"/>
      <c r="EM282" s="918"/>
      <c r="EN282" s="918"/>
      <c r="EO282" s="918"/>
      <c r="EP282" s="918"/>
      <c r="EQ282" s="918"/>
      <c r="ER282" s="918"/>
      <c r="ES282" s="918"/>
      <c r="ET282" s="918"/>
      <c r="EU282" s="918"/>
      <c r="EV282" s="918"/>
      <c r="EW282" s="918"/>
      <c r="EX282" s="918"/>
      <c r="EY282" s="918"/>
      <c r="EZ282" s="918"/>
      <c r="FA282" s="918"/>
      <c r="FB282" s="918"/>
      <c r="FC282" s="918"/>
      <c r="FD282" s="918"/>
      <c r="FE282" s="918"/>
      <c r="FF282" s="918"/>
      <c r="FG282" s="918"/>
      <c r="FH282" s="918"/>
      <c r="FI282" s="918"/>
      <c r="FJ282" s="918"/>
      <c r="FK282" s="918"/>
      <c r="FL282" s="918"/>
      <c r="FM282" s="918"/>
      <c r="FN282" s="918"/>
      <c r="FO282" s="918"/>
      <c r="FP282" s="918"/>
      <c r="FQ282" s="918"/>
      <c r="FR282" s="918"/>
      <c r="FS282" s="918"/>
      <c r="FT282" s="918"/>
      <c r="FU282" s="918"/>
      <c r="FV282" s="918"/>
      <c r="FW282" s="918"/>
      <c r="FX282" s="918"/>
      <c r="FY282" s="918"/>
      <c r="FZ282" s="918"/>
      <c r="GA282" s="918"/>
      <c r="GB282" s="918"/>
      <c r="GC282" s="918"/>
      <c r="GD282" s="918"/>
      <c r="GE282" s="918"/>
      <c r="GF282" s="918"/>
      <c r="GG282" s="918"/>
      <c r="GH282" s="918"/>
      <c r="GI282" s="918"/>
      <c r="GJ282" s="918"/>
      <c r="GK282" s="918"/>
      <c r="GL282" s="918"/>
      <c r="GM282" s="918"/>
      <c r="GN282" s="918"/>
      <c r="GO282" s="918"/>
      <c r="GP282" s="918"/>
      <c r="GQ282" s="918"/>
      <c r="GR282" s="918"/>
      <c r="GS282" s="918"/>
      <c r="GT282" s="918"/>
      <c r="GU282" s="918"/>
      <c r="GV282" s="918"/>
      <c r="GW282" s="918"/>
      <c r="GX282" s="918"/>
      <c r="GY282" s="918"/>
      <c r="GZ282" s="918"/>
      <c r="HA282" s="918"/>
      <c r="HB282" s="918"/>
      <c r="HC282" s="918"/>
      <c r="HD282" s="918"/>
      <c r="HE282" s="918"/>
      <c r="HF282" s="918"/>
      <c r="HG282" s="918"/>
      <c r="HH282" s="918"/>
      <c r="HI282" s="918"/>
      <c r="HJ282" s="918"/>
      <c r="HK282" s="918"/>
      <c r="HL282" s="918"/>
      <c r="HM282" s="918"/>
      <c r="HN282" s="918"/>
      <c r="HO282" s="918"/>
      <c r="HP282" s="918"/>
      <c r="HQ282" s="918"/>
      <c r="HR282" s="918"/>
      <c r="HS282" s="918"/>
      <c r="HT282" s="918"/>
      <c r="HU282" s="918"/>
      <c r="HV282" s="918"/>
      <c r="HW282" s="918"/>
      <c r="HX282" s="918"/>
      <c r="HY282" s="918"/>
      <c r="HZ282" s="918"/>
      <c r="IA282" s="918"/>
      <c r="IB282" s="918"/>
      <c r="IC282" s="918"/>
      <c r="ID282" s="918"/>
      <c r="IE282" s="918"/>
      <c r="IF282" s="918"/>
      <c r="IG282" s="918"/>
      <c r="IH282" s="918"/>
      <c r="II282" s="918"/>
      <c r="IJ282" s="918"/>
      <c r="IK282" s="918"/>
      <c r="IL282" s="918"/>
      <c r="IM282" s="918"/>
      <c r="IN282" s="918"/>
    </row>
    <row r="283" spans="1:248">
      <c r="A283" s="619" t="s">
        <v>18</v>
      </c>
      <c r="B283" s="617">
        <v>4051.4</v>
      </c>
      <c r="C283" s="617">
        <v>42.961973234926084</v>
      </c>
      <c r="D283" s="620">
        <v>2339.6</v>
      </c>
      <c r="E283" s="919">
        <v>24.809654090051108</v>
      </c>
      <c r="F283" s="919">
        <v>1711.8000000000002</v>
      </c>
      <c r="G283" s="919">
        <v>18.152319144874976</v>
      </c>
      <c r="H283" s="918">
        <v>9430.2000000000007</v>
      </c>
      <c r="I283" s="918"/>
      <c r="J283" s="918"/>
      <c r="K283" s="918"/>
      <c r="L283" s="918"/>
      <c r="M283" s="918"/>
      <c r="N283" s="918"/>
      <c r="O283" s="918"/>
      <c r="P283" s="918"/>
      <c r="Q283" s="918"/>
      <c r="R283" s="918"/>
      <c r="S283" s="918"/>
      <c r="T283" s="918"/>
      <c r="U283" s="918"/>
      <c r="V283" s="918"/>
      <c r="W283" s="918"/>
      <c r="X283" s="918"/>
      <c r="Y283" s="918"/>
      <c r="Z283" s="918"/>
      <c r="AA283" s="918"/>
      <c r="AB283" s="918"/>
      <c r="AC283" s="918"/>
      <c r="AD283" s="918"/>
      <c r="AE283" s="918"/>
      <c r="AF283" s="918"/>
      <c r="AG283" s="918"/>
      <c r="AH283" s="918"/>
      <c r="AI283" s="918"/>
      <c r="AJ283" s="918"/>
      <c r="AK283" s="918"/>
      <c r="AL283" s="918"/>
      <c r="AM283" s="918"/>
      <c r="AN283" s="918"/>
      <c r="AO283" s="918"/>
      <c r="AP283" s="918"/>
      <c r="AQ283" s="918"/>
      <c r="AR283" s="918"/>
      <c r="AS283" s="918"/>
      <c r="AT283" s="918"/>
      <c r="AU283" s="918"/>
      <c r="AV283" s="918"/>
      <c r="AW283" s="918"/>
      <c r="AX283" s="918"/>
      <c r="AY283" s="918"/>
      <c r="AZ283" s="918"/>
      <c r="BA283" s="918"/>
      <c r="BB283" s="918"/>
      <c r="BC283" s="918"/>
      <c r="BD283" s="918"/>
      <c r="BE283" s="918"/>
      <c r="BF283" s="918"/>
      <c r="BG283" s="918"/>
      <c r="BH283" s="918"/>
      <c r="BI283" s="918"/>
      <c r="BJ283" s="918"/>
      <c r="BK283" s="918"/>
      <c r="BL283" s="918"/>
      <c r="BM283" s="918"/>
      <c r="BN283" s="918"/>
      <c r="BO283" s="918"/>
      <c r="BP283" s="918"/>
      <c r="BQ283" s="918"/>
      <c r="BR283" s="918"/>
      <c r="BS283" s="918"/>
      <c r="BT283" s="918"/>
      <c r="BU283" s="918"/>
      <c r="BV283" s="918"/>
      <c r="BW283" s="918"/>
      <c r="BX283" s="918"/>
      <c r="BY283" s="918"/>
      <c r="BZ283" s="918"/>
      <c r="CA283" s="918"/>
      <c r="CB283" s="918"/>
      <c r="CC283" s="918"/>
      <c r="CD283" s="918"/>
      <c r="CE283" s="918"/>
      <c r="CF283" s="918"/>
      <c r="CG283" s="918"/>
      <c r="CH283" s="918"/>
      <c r="CI283" s="918"/>
      <c r="CJ283" s="918"/>
      <c r="CK283" s="918"/>
      <c r="CL283" s="918"/>
      <c r="CM283" s="918"/>
      <c r="CN283" s="918"/>
      <c r="CO283" s="918"/>
      <c r="CP283" s="918"/>
      <c r="CQ283" s="918"/>
      <c r="CR283" s="918"/>
      <c r="CS283" s="918"/>
      <c r="CT283" s="918"/>
      <c r="CU283" s="918"/>
      <c r="CV283" s="918"/>
      <c r="CW283" s="918"/>
      <c r="CX283" s="918"/>
      <c r="CY283" s="918"/>
      <c r="CZ283" s="918"/>
      <c r="DA283" s="918"/>
      <c r="DB283" s="918"/>
      <c r="DC283" s="918"/>
      <c r="DD283" s="918"/>
      <c r="DE283" s="918"/>
      <c r="DF283" s="918"/>
      <c r="DG283" s="918"/>
      <c r="DH283" s="918"/>
      <c r="DI283" s="918"/>
      <c r="DJ283" s="918"/>
      <c r="DK283" s="918"/>
      <c r="DL283" s="918"/>
      <c r="DM283" s="918"/>
      <c r="DN283" s="918"/>
      <c r="DO283" s="918"/>
      <c r="DP283" s="918"/>
      <c r="DQ283" s="918"/>
      <c r="DR283" s="918"/>
      <c r="DS283" s="918"/>
      <c r="DT283" s="918"/>
      <c r="DU283" s="918"/>
      <c r="DV283" s="918"/>
      <c r="DW283" s="918"/>
      <c r="DX283" s="918"/>
      <c r="DY283" s="918"/>
      <c r="DZ283" s="918"/>
      <c r="EA283" s="918"/>
      <c r="EB283" s="918"/>
      <c r="EC283" s="918"/>
      <c r="ED283" s="918"/>
      <c r="EE283" s="918"/>
      <c r="EF283" s="918"/>
      <c r="EG283" s="918"/>
      <c r="EH283" s="918"/>
      <c r="EI283" s="918"/>
      <c r="EJ283" s="918"/>
      <c r="EK283" s="918"/>
      <c r="EL283" s="918"/>
      <c r="EM283" s="918"/>
      <c r="EN283" s="918"/>
      <c r="EO283" s="918"/>
      <c r="EP283" s="918"/>
      <c r="EQ283" s="918"/>
      <c r="ER283" s="918"/>
      <c r="ES283" s="918"/>
      <c r="ET283" s="918"/>
      <c r="EU283" s="918"/>
      <c r="EV283" s="918"/>
      <c r="EW283" s="918"/>
      <c r="EX283" s="918"/>
      <c r="EY283" s="918"/>
      <c r="EZ283" s="918"/>
      <c r="FA283" s="918"/>
      <c r="FB283" s="918"/>
      <c r="FC283" s="918"/>
      <c r="FD283" s="918"/>
      <c r="FE283" s="918"/>
      <c r="FF283" s="918"/>
      <c r="FG283" s="918"/>
      <c r="FH283" s="918"/>
      <c r="FI283" s="918"/>
      <c r="FJ283" s="918"/>
      <c r="FK283" s="918"/>
      <c r="FL283" s="918"/>
      <c r="FM283" s="918"/>
      <c r="FN283" s="918"/>
      <c r="FO283" s="918"/>
      <c r="FP283" s="918"/>
      <c r="FQ283" s="918"/>
      <c r="FR283" s="918"/>
      <c r="FS283" s="918"/>
      <c r="FT283" s="918"/>
      <c r="FU283" s="918"/>
      <c r="FV283" s="918"/>
      <c r="FW283" s="918"/>
      <c r="FX283" s="918"/>
      <c r="FY283" s="918"/>
      <c r="FZ283" s="918"/>
      <c r="GA283" s="918"/>
      <c r="GB283" s="918"/>
      <c r="GC283" s="918"/>
      <c r="GD283" s="918"/>
      <c r="GE283" s="918"/>
      <c r="GF283" s="918"/>
      <c r="GG283" s="918"/>
      <c r="GH283" s="918"/>
      <c r="GI283" s="918"/>
      <c r="GJ283" s="918"/>
      <c r="GK283" s="918"/>
      <c r="GL283" s="918"/>
      <c r="GM283" s="918"/>
      <c r="GN283" s="918"/>
      <c r="GO283" s="918"/>
      <c r="GP283" s="918"/>
      <c r="GQ283" s="918"/>
      <c r="GR283" s="918"/>
      <c r="GS283" s="918"/>
      <c r="GT283" s="918"/>
      <c r="GU283" s="918"/>
      <c r="GV283" s="918"/>
      <c r="GW283" s="918"/>
      <c r="GX283" s="918"/>
      <c r="GY283" s="918"/>
      <c r="GZ283" s="918"/>
      <c r="HA283" s="918"/>
      <c r="HB283" s="918"/>
      <c r="HC283" s="918"/>
      <c r="HD283" s="918"/>
      <c r="HE283" s="918"/>
      <c r="HF283" s="918"/>
      <c r="HG283" s="918"/>
      <c r="HH283" s="918"/>
      <c r="HI283" s="918"/>
      <c r="HJ283" s="918"/>
      <c r="HK283" s="918"/>
      <c r="HL283" s="918"/>
      <c r="HM283" s="918"/>
      <c r="HN283" s="918"/>
      <c r="HO283" s="918"/>
      <c r="HP283" s="918"/>
      <c r="HQ283" s="918"/>
      <c r="HR283" s="918"/>
      <c r="HS283" s="918"/>
      <c r="HT283" s="918"/>
      <c r="HU283" s="918"/>
      <c r="HV283" s="918"/>
      <c r="HW283" s="918"/>
      <c r="HX283" s="918"/>
      <c r="HY283" s="918"/>
      <c r="HZ283" s="918"/>
      <c r="IA283" s="918"/>
      <c r="IB283" s="918"/>
      <c r="IC283" s="918"/>
      <c r="ID283" s="918"/>
      <c r="IE283" s="918"/>
      <c r="IF283" s="918"/>
      <c r="IG283" s="918"/>
      <c r="IH283" s="918"/>
      <c r="II283" s="918"/>
      <c r="IJ283" s="918"/>
      <c r="IK283" s="918"/>
      <c r="IL283" s="918"/>
      <c r="IM283" s="918"/>
      <c r="IN283" s="918"/>
    </row>
    <row r="284" spans="1:248">
      <c r="A284" s="619" t="s">
        <v>19</v>
      </c>
      <c r="B284" s="617">
        <v>6737.6</v>
      </c>
      <c r="C284" s="617">
        <v>35.326810750726189</v>
      </c>
      <c r="D284" s="620">
        <v>5366</v>
      </c>
      <c r="E284" s="919">
        <v>28.13519153532366</v>
      </c>
      <c r="F284" s="919">
        <v>1371.6000000000004</v>
      </c>
      <c r="G284" s="919">
        <v>7.1916192154025245</v>
      </c>
      <c r="H284" s="918">
        <v>19072.2</v>
      </c>
      <c r="I284" s="918"/>
      <c r="J284" s="918"/>
      <c r="K284" s="918"/>
      <c r="L284" s="918"/>
      <c r="M284" s="918"/>
      <c r="N284" s="918"/>
      <c r="O284" s="918"/>
      <c r="P284" s="918"/>
      <c r="Q284" s="918"/>
      <c r="R284" s="918"/>
      <c r="S284" s="918"/>
      <c r="T284" s="918"/>
      <c r="U284" s="918"/>
      <c r="V284" s="918"/>
      <c r="W284" s="918"/>
      <c r="X284" s="918"/>
      <c r="Y284" s="918"/>
      <c r="Z284" s="918"/>
      <c r="AA284" s="918"/>
      <c r="AB284" s="918"/>
      <c r="AC284" s="918"/>
      <c r="AD284" s="918"/>
      <c r="AE284" s="918"/>
      <c r="AF284" s="918"/>
      <c r="AG284" s="918"/>
      <c r="AH284" s="918"/>
      <c r="AI284" s="918"/>
      <c r="AJ284" s="918"/>
      <c r="AK284" s="918"/>
      <c r="AL284" s="918"/>
      <c r="AM284" s="918"/>
      <c r="AN284" s="918"/>
      <c r="AO284" s="918"/>
      <c r="AP284" s="918"/>
      <c r="AQ284" s="918"/>
      <c r="AR284" s="918"/>
      <c r="AS284" s="918"/>
      <c r="AT284" s="918"/>
      <c r="AU284" s="918"/>
      <c r="AV284" s="918"/>
      <c r="AW284" s="918"/>
      <c r="AX284" s="918"/>
      <c r="AY284" s="918"/>
      <c r="AZ284" s="918"/>
      <c r="BA284" s="918"/>
      <c r="BB284" s="918"/>
      <c r="BC284" s="918"/>
      <c r="BD284" s="918"/>
      <c r="BE284" s="918"/>
      <c r="BF284" s="918"/>
      <c r="BG284" s="918"/>
      <c r="BH284" s="918"/>
      <c r="BI284" s="918"/>
      <c r="BJ284" s="918"/>
      <c r="BK284" s="918"/>
      <c r="BL284" s="918"/>
      <c r="BM284" s="918"/>
      <c r="BN284" s="918"/>
      <c r="BO284" s="918"/>
      <c r="BP284" s="918"/>
      <c r="BQ284" s="918"/>
      <c r="BR284" s="918"/>
      <c r="BS284" s="918"/>
      <c r="BT284" s="918"/>
      <c r="BU284" s="918"/>
      <c r="BV284" s="918"/>
      <c r="BW284" s="918"/>
      <c r="BX284" s="918"/>
      <c r="BY284" s="918"/>
      <c r="BZ284" s="918"/>
      <c r="CA284" s="918"/>
      <c r="CB284" s="918"/>
      <c r="CC284" s="918"/>
      <c r="CD284" s="918"/>
      <c r="CE284" s="918"/>
      <c r="CF284" s="918"/>
      <c r="CG284" s="918"/>
      <c r="CH284" s="918"/>
      <c r="CI284" s="918"/>
      <c r="CJ284" s="918"/>
      <c r="CK284" s="918"/>
      <c r="CL284" s="918"/>
      <c r="CM284" s="918"/>
      <c r="CN284" s="918"/>
      <c r="CO284" s="918"/>
      <c r="CP284" s="918"/>
      <c r="CQ284" s="918"/>
      <c r="CR284" s="918"/>
      <c r="CS284" s="918"/>
      <c r="CT284" s="918"/>
      <c r="CU284" s="918"/>
      <c r="CV284" s="918"/>
      <c r="CW284" s="918"/>
      <c r="CX284" s="918"/>
      <c r="CY284" s="918"/>
      <c r="CZ284" s="918"/>
      <c r="DA284" s="918"/>
      <c r="DB284" s="918"/>
      <c r="DC284" s="918"/>
      <c r="DD284" s="918"/>
      <c r="DE284" s="918"/>
      <c r="DF284" s="918"/>
      <c r="DG284" s="918"/>
      <c r="DH284" s="918"/>
      <c r="DI284" s="918"/>
      <c r="DJ284" s="918"/>
      <c r="DK284" s="918"/>
      <c r="DL284" s="918"/>
      <c r="DM284" s="918"/>
      <c r="DN284" s="918"/>
      <c r="DO284" s="918"/>
      <c r="DP284" s="918"/>
      <c r="DQ284" s="918"/>
      <c r="DR284" s="918"/>
      <c r="DS284" s="918"/>
      <c r="DT284" s="918"/>
      <c r="DU284" s="918"/>
      <c r="DV284" s="918"/>
      <c r="DW284" s="918"/>
      <c r="DX284" s="918"/>
      <c r="DY284" s="918"/>
      <c r="DZ284" s="918"/>
      <c r="EA284" s="918"/>
      <c r="EB284" s="918"/>
      <c r="EC284" s="918"/>
      <c r="ED284" s="918"/>
      <c r="EE284" s="918"/>
      <c r="EF284" s="918"/>
      <c r="EG284" s="918"/>
      <c r="EH284" s="918"/>
      <c r="EI284" s="918"/>
      <c r="EJ284" s="918"/>
      <c r="EK284" s="918"/>
      <c r="EL284" s="918"/>
      <c r="EM284" s="918"/>
      <c r="EN284" s="918"/>
      <c r="EO284" s="918"/>
      <c r="EP284" s="918"/>
      <c r="EQ284" s="918"/>
      <c r="ER284" s="918"/>
      <c r="ES284" s="918"/>
      <c r="ET284" s="918"/>
      <c r="EU284" s="918"/>
      <c r="EV284" s="918"/>
      <c r="EW284" s="918"/>
      <c r="EX284" s="918"/>
      <c r="EY284" s="918"/>
      <c r="EZ284" s="918"/>
      <c r="FA284" s="918"/>
      <c r="FB284" s="918"/>
      <c r="FC284" s="918"/>
      <c r="FD284" s="918"/>
      <c r="FE284" s="918"/>
      <c r="FF284" s="918"/>
      <c r="FG284" s="918"/>
      <c r="FH284" s="918"/>
      <c r="FI284" s="918"/>
      <c r="FJ284" s="918"/>
      <c r="FK284" s="918"/>
      <c r="FL284" s="918"/>
      <c r="FM284" s="918"/>
      <c r="FN284" s="918"/>
      <c r="FO284" s="918"/>
      <c r="FP284" s="918"/>
      <c r="FQ284" s="918"/>
      <c r="FR284" s="918"/>
      <c r="FS284" s="918"/>
      <c r="FT284" s="918"/>
      <c r="FU284" s="918"/>
      <c r="FV284" s="918"/>
      <c r="FW284" s="918"/>
      <c r="FX284" s="918"/>
      <c r="FY284" s="918"/>
      <c r="FZ284" s="918"/>
      <c r="GA284" s="918"/>
      <c r="GB284" s="918"/>
      <c r="GC284" s="918"/>
      <c r="GD284" s="918"/>
      <c r="GE284" s="918"/>
      <c r="GF284" s="918"/>
      <c r="GG284" s="918"/>
      <c r="GH284" s="918"/>
      <c r="GI284" s="918"/>
      <c r="GJ284" s="918"/>
      <c r="GK284" s="918"/>
      <c r="GL284" s="918"/>
      <c r="GM284" s="918"/>
      <c r="GN284" s="918"/>
      <c r="GO284" s="918"/>
      <c r="GP284" s="918"/>
      <c r="GQ284" s="918"/>
      <c r="GR284" s="918"/>
      <c r="GS284" s="918"/>
      <c r="GT284" s="918"/>
      <c r="GU284" s="918"/>
      <c r="GV284" s="918"/>
      <c r="GW284" s="918"/>
      <c r="GX284" s="918"/>
      <c r="GY284" s="918"/>
      <c r="GZ284" s="918"/>
      <c r="HA284" s="918"/>
      <c r="HB284" s="918"/>
      <c r="HC284" s="918"/>
      <c r="HD284" s="918"/>
      <c r="HE284" s="918"/>
      <c r="HF284" s="918"/>
      <c r="HG284" s="918"/>
      <c r="HH284" s="918"/>
      <c r="HI284" s="918"/>
      <c r="HJ284" s="918"/>
      <c r="HK284" s="918"/>
      <c r="HL284" s="918"/>
      <c r="HM284" s="918"/>
      <c r="HN284" s="918"/>
      <c r="HO284" s="918"/>
      <c r="HP284" s="918"/>
      <c r="HQ284" s="918"/>
      <c r="HR284" s="918"/>
      <c r="HS284" s="918"/>
      <c r="HT284" s="918"/>
      <c r="HU284" s="918"/>
      <c r="HV284" s="918"/>
      <c r="HW284" s="918"/>
      <c r="HX284" s="918"/>
      <c r="HY284" s="918"/>
      <c r="HZ284" s="918"/>
      <c r="IA284" s="918"/>
      <c r="IB284" s="918"/>
      <c r="IC284" s="918"/>
      <c r="ID284" s="918"/>
      <c r="IE284" s="918"/>
      <c r="IF284" s="918"/>
      <c r="IG284" s="918"/>
      <c r="IH284" s="918"/>
      <c r="II284" s="918"/>
      <c r="IJ284" s="918"/>
      <c r="IK284" s="918"/>
      <c r="IL284" s="918"/>
      <c r="IM284" s="918"/>
      <c r="IN284" s="918"/>
    </row>
    <row r="285" spans="1:248">
      <c r="A285" s="619" t="s">
        <v>20</v>
      </c>
      <c r="B285" s="617">
        <v>9733.4</v>
      </c>
      <c r="C285" s="617">
        <v>32.560909112197209</v>
      </c>
      <c r="D285" s="620">
        <v>8115</v>
      </c>
      <c r="E285" s="919">
        <v>27.146914484710415</v>
      </c>
      <c r="F285" s="919">
        <v>1618.3999999999996</v>
      </c>
      <c r="G285" s="919">
        <v>5.4139946274867929</v>
      </c>
      <c r="H285" s="918">
        <v>29892.9</v>
      </c>
      <c r="I285" s="918"/>
      <c r="J285" s="918"/>
      <c r="K285" s="918"/>
      <c r="L285" s="918"/>
      <c r="M285" s="918"/>
      <c r="N285" s="918"/>
      <c r="O285" s="918"/>
      <c r="P285" s="918"/>
      <c r="Q285" s="918"/>
      <c r="R285" s="918"/>
      <c r="S285" s="918"/>
      <c r="T285" s="918"/>
      <c r="U285" s="918"/>
      <c r="V285" s="918"/>
      <c r="W285" s="918"/>
      <c r="X285" s="918"/>
      <c r="Y285" s="918"/>
      <c r="Z285" s="918"/>
      <c r="AA285" s="918"/>
      <c r="AB285" s="918"/>
      <c r="AC285" s="918"/>
      <c r="AD285" s="918"/>
      <c r="AE285" s="918"/>
      <c r="AF285" s="918"/>
      <c r="AG285" s="918"/>
      <c r="AH285" s="918"/>
      <c r="AI285" s="918"/>
      <c r="AJ285" s="918"/>
      <c r="AK285" s="918"/>
      <c r="AL285" s="918"/>
      <c r="AM285" s="918"/>
      <c r="AN285" s="918"/>
      <c r="AO285" s="918"/>
      <c r="AP285" s="918"/>
      <c r="AQ285" s="918"/>
      <c r="AR285" s="918"/>
      <c r="AS285" s="918"/>
      <c r="AT285" s="918"/>
      <c r="AU285" s="918"/>
      <c r="AV285" s="918"/>
      <c r="AW285" s="918"/>
      <c r="AX285" s="918"/>
      <c r="AY285" s="918"/>
      <c r="AZ285" s="918"/>
      <c r="BA285" s="918"/>
      <c r="BB285" s="918"/>
      <c r="BC285" s="918"/>
      <c r="BD285" s="918"/>
      <c r="BE285" s="918"/>
      <c r="BF285" s="918"/>
      <c r="BG285" s="918"/>
      <c r="BH285" s="918"/>
      <c r="BI285" s="918"/>
      <c r="BJ285" s="918"/>
      <c r="BK285" s="918"/>
      <c r="BL285" s="918"/>
      <c r="BM285" s="918"/>
      <c r="BN285" s="918"/>
      <c r="BO285" s="918"/>
      <c r="BP285" s="918"/>
      <c r="BQ285" s="918"/>
      <c r="BR285" s="918"/>
      <c r="BS285" s="918"/>
      <c r="BT285" s="918"/>
      <c r="BU285" s="918"/>
      <c r="BV285" s="918"/>
      <c r="BW285" s="918"/>
      <c r="BX285" s="918"/>
      <c r="BY285" s="918"/>
      <c r="BZ285" s="918"/>
      <c r="CA285" s="918"/>
      <c r="CB285" s="918"/>
      <c r="CC285" s="918"/>
      <c r="CD285" s="918"/>
      <c r="CE285" s="918"/>
      <c r="CF285" s="918"/>
      <c r="CG285" s="918"/>
      <c r="CH285" s="918"/>
      <c r="CI285" s="918"/>
      <c r="CJ285" s="918"/>
      <c r="CK285" s="918"/>
      <c r="CL285" s="918"/>
      <c r="CM285" s="918"/>
      <c r="CN285" s="918"/>
      <c r="CO285" s="918"/>
      <c r="CP285" s="918"/>
      <c r="CQ285" s="918"/>
      <c r="CR285" s="918"/>
      <c r="CS285" s="918"/>
      <c r="CT285" s="918"/>
      <c r="CU285" s="918"/>
      <c r="CV285" s="918"/>
      <c r="CW285" s="918"/>
      <c r="CX285" s="918"/>
      <c r="CY285" s="918"/>
      <c r="CZ285" s="918"/>
      <c r="DA285" s="918"/>
      <c r="DB285" s="918"/>
      <c r="DC285" s="918"/>
      <c r="DD285" s="918"/>
      <c r="DE285" s="918"/>
      <c r="DF285" s="918"/>
      <c r="DG285" s="918"/>
      <c r="DH285" s="918"/>
      <c r="DI285" s="918"/>
      <c r="DJ285" s="918"/>
      <c r="DK285" s="918"/>
      <c r="DL285" s="918"/>
      <c r="DM285" s="918"/>
      <c r="DN285" s="918"/>
      <c r="DO285" s="918"/>
      <c r="DP285" s="918"/>
      <c r="DQ285" s="918"/>
      <c r="DR285" s="918"/>
      <c r="DS285" s="918"/>
      <c r="DT285" s="918"/>
      <c r="DU285" s="918"/>
      <c r="DV285" s="918"/>
      <c r="DW285" s="918"/>
      <c r="DX285" s="918"/>
      <c r="DY285" s="918"/>
      <c r="DZ285" s="918"/>
      <c r="EA285" s="918"/>
      <c r="EB285" s="918"/>
      <c r="EC285" s="918"/>
      <c r="ED285" s="918"/>
      <c r="EE285" s="918"/>
      <c r="EF285" s="918"/>
      <c r="EG285" s="918"/>
      <c r="EH285" s="918"/>
      <c r="EI285" s="918"/>
      <c r="EJ285" s="918"/>
      <c r="EK285" s="918"/>
      <c r="EL285" s="918"/>
      <c r="EM285" s="918"/>
      <c r="EN285" s="918"/>
      <c r="EO285" s="918"/>
      <c r="EP285" s="918"/>
      <c r="EQ285" s="918"/>
      <c r="ER285" s="918"/>
      <c r="ES285" s="918"/>
      <c r="ET285" s="918"/>
      <c r="EU285" s="918"/>
      <c r="EV285" s="918"/>
      <c r="EW285" s="918"/>
      <c r="EX285" s="918"/>
      <c r="EY285" s="918"/>
      <c r="EZ285" s="918"/>
      <c r="FA285" s="918"/>
      <c r="FB285" s="918"/>
      <c r="FC285" s="918"/>
      <c r="FD285" s="918"/>
      <c r="FE285" s="918"/>
      <c r="FF285" s="918"/>
      <c r="FG285" s="918"/>
      <c r="FH285" s="918"/>
      <c r="FI285" s="918"/>
      <c r="FJ285" s="918"/>
      <c r="FK285" s="918"/>
      <c r="FL285" s="918"/>
      <c r="FM285" s="918"/>
      <c r="FN285" s="918"/>
      <c r="FO285" s="918"/>
      <c r="FP285" s="918"/>
      <c r="FQ285" s="918"/>
      <c r="FR285" s="918"/>
      <c r="FS285" s="918"/>
      <c r="FT285" s="918"/>
      <c r="FU285" s="918"/>
      <c r="FV285" s="918"/>
      <c r="FW285" s="918"/>
      <c r="FX285" s="918"/>
      <c r="FY285" s="918"/>
      <c r="FZ285" s="918"/>
      <c r="GA285" s="918"/>
      <c r="GB285" s="918"/>
      <c r="GC285" s="918"/>
      <c r="GD285" s="918"/>
      <c r="GE285" s="918"/>
      <c r="GF285" s="918"/>
      <c r="GG285" s="918"/>
      <c r="GH285" s="918"/>
      <c r="GI285" s="918"/>
      <c r="GJ285" s="918"/>
      <c r="GK285" s="918"/>
      <c r="GL285" s="918"/>
      <c r="GM285" s="918"/>
      <c r="GN285" s="918"/>
      <c r="GO285" s="918"/>
      <c r="GP285" s="918"/>
      <c r="GQ285" s="918"/>
      <c r="GR285" s="918"/>
      <c r="GS285" s="918"/>
      <c r="GT285" s="918"/>
      <c r="GU285" s="918"/>
      <c r="GV285" s="918"/>
      <c r="GW285" s="918"/>
      <c r="GX285" s="918"/>
      <c r="GY285" s="918"/>
      <c r="GZ285" s="918"/>
      <c r="HA285" s="918"/>
      <c r="HB285" s="918"/>
      <c r="HC285" s="918"/>
      <c r="HD285" s="918"/>
      <c r="HE285" s="918"/>
      <c r="HF285" s="918"/>
      <c r="HG285" s="918"/>
      <c r="HH285" s="918"/>
      <c r="HI285" s="918"/>
      <c r="HJ285" s="918"/>
      <c r="HK285" s="918"/>
      <c r="HL285" s="918"/>
      <c r="HM285" s="918"/>
      <c r="HN285" s="918"/>
      <c r="HO285" s="918"/>
      <c r="HP285" s="918"/>
      <c r="HQ285" s="918"/>
      <c r="HR285" s="918"/>
      <c r="HS285" s="918"/>
      <c r="HT285" s="918"/>
      <c r="HU285" s="918"/>
      <c r="HV285" s="918"/>
      <c r="HW285" s="918"/>
      <c r="HX285" s="918"/>
      <c r="HY285" s="918"/>
      <c r="HZ285" s="918"/>
      <c r="IA285" s="918"/>
      <c r="IB285" s="918"/>
      <c r="IC285" s="918"/>
      <c r="ID285" s="918"/>
      <c r="IE285" s="918"/>
      <c r="IF285" s="918"/>
      <c r="IG285" s="918"/>
      <c r="IH285" s="918"/>
      <c r="II285" s="918"/>
      <c r="IJ285" s="918"/>
      <c r="IK285" s="918"/>
      <c r="IL285" s="918"/>
      <c r="IM285" s="918"/>
      <c r="IN285" s="918"/>
    </row>
    <row r="286" spans="1:248">
      <c r="A286" s="619" t="s">
        <v>21</v>
      </c>
      <c r="B286" s="617">
        <v>13964.9</v>
      </c>
      <c r="C286" s="617">
        <v>35.528853248121138</v>
      </c>
      <c r="D286" s="620">
        <v>10961.9</v>
      </c>
      <c r="E286" s="919">
        <v>27.888759419729404</v>
      </c>
      <c r="F286" s="919">
        <v>3003</v>
      </c>
      <c r="G286" s="919">
        <v>7.6400938283917377</v>
      </c>
      <c r="H286" s="918">
        <v>39305.800000000003</v>
      </c>
      <c r="I286" s="918"/>
      <c r="J286" s="918"/>
      <c r="K286" s="918"/>
      <c r="L286" s="918"/>
      <c r="M286" s="918"/>
      <c r="N286" s="918"/>
      <c r="O286" s="918"/>
      <c r="P286" s="918"/>
      <c r="Q286" s="918"/>
      <c r="R286" s="918"/>
      <c r="S286" s="918"/>
      <c r="T286" s="918"/>
      <c r="U286" s="918"/>
      <c r="V286" s="918"/>
      <c r="W286" s="918"/>
      <c r="X286" s="918"/>
      <c r="Y286" s="918"/>
      <c r="Z286" s="918"/>
      <c r="AA286" s="918"/>
      <c r="AB286" s="918"/>
      <c r="AC286" s="918"/>
      <c r="AD286" s="918"/>
      <c r="AE286" s="918"/>
      <c r="AF286" s="918"/>
      <c r="AG286" s="918"/>
      <c r="AH286" s="918"/>
      <c r="AI286" s="918"/>
      <c r="AJ286" s="918"/>
      <c r="AK286" s="918"/>
      <c r="AL286" s="918"/>
      <c r="AM286" s="918"/>
      <c r="AN286" s="918"/>
      <c r="AO286" s="918"/>
      <c r="AP286" s="918"/>
      <c r="AQ286" s="918"/>
      <c r="AR286" s="918"/>
      <c r="AS286" s="918"/>
      <c r="AT286" s="918"/>
      <c r="AU286" s="918"/>
      <c r="AV286" s="918"/>
      <c r="AW286" s="918"/>
      <c r="AX286" s="918"/>
      <c r="AY286" s="918"/>
      <c r="AZ286" s="918"/>
      <c r="BA286" s="918"/>
      <c r="BB286" s="918"/>
      <c r="BC286" s="918"/>
      <c r="BD286" s="918"/>
      <c r="BE286" s="918"/>
      <c r="BF286" s="918"/>
      <c r="BG286" s="918"/>
      <c r="BH286" s="918"/>
      <c r="BI286" s="918"/>
      <c r="BJ286" s="918"/>
      <c r="BK286" s="918"/>
      <c r="BL286" s="918"/>
      <c r="BM286" s="918"/>
      <c r="BN286" s="918"/>
      <c r="BO286" s="918"/>
      <c r="BP286" s="918"/>
      <c r="BQ286" s="918"/>
      <c r="BR286" s="918"/>
      <c r="BS286" s="918"/>
      <c r="BT286" s="918"/>
      <c r="BU286" s="918"/>
      <c r="BV286" s="918"/>
      <c r="BW286" s="918"/>
      <c r="BX286" s="918"/>
      <c r="BY286" s="918"/>
      <c r="BZ286" s="918"/>
      <c r="CA286" s="918"/>
      <c r="CB286" s="918"/>
      <c r="CC286" s="918"/>
      <c r="CD286" s="918"/>
      <c r="CE286" s="918"/>
      <c r="CF286" s="918"/>
      <c r="CG286" s="918"/>
      <c r="CH286" s="918"/>
      <c r="CI286" s="918"/>
      <c r="CJ286" s="918"/>
      <c r="CK286" s="918"/>
      <c r="CL286" s="918"/>
      <c r="CM286" s="918"/>
      <c r="CN286" s="918"/>
      <c r="CO286" s="918"/>
      <c r="CP286" s="918"/>
      <c r="CQ286" s="918"/>
      <c r="CR286" s="918"/>
      <c r="CS286" s="918"/>
      <c r="CT286" s="918"/>
      <c r="CU286" s="918"/>
      <c r="CV286" s="918"/>
      <c r="CW286" s="918"/>
      <c r="CX286" s="918"/>
      <c r="CY286" s="918"/>
      <c r="CZ286" s="918"/>
      <c r="DA286" s="918"/>
      <c r="DB286" s="918"/>
      <c r="DC286" s="918"/>
      <c r="DD286" s="918"/>
      <c r="DE286" s="918"/>
      <c r="DF286" s="918"/>
      <c r="DG286" s="918"/>
      <c r="DH286" s="918"/>
      <c r="DI286" s="918"/>
      <c r="DJ286" s="918"/>
      <c r="DK286" s="918"/>
      <c r="DL286" s="918"/>
      <c r="DM286" s="918"/>
      <c r="DN286" s="918"/>
      <c r="DO286" s="918"/>
      <c r="DP286" s="918"/>
      <c r="DQ286" s="918"/>
      <c r="DR286" s="918"/>
      <c r="DS286" s="918"/>
      <c r="DT286" s="918"/>
      <c r="DU286" s="918"/>
      <c r="DV286" s="918"/>
      <c r="DW286" s="918"/>
      <c r="DX286" s="918"/>
      <c r="DY286" s="918"/>
      <c r="DZ286" s="918"/>
      <c r="EA286" s="918"/>
      <c r="EB286" s="918"/>
      <c r="EC286" s="918"/>
      <c r="ED286" s="918"/>
      <c r="EE286" s="918"/>
      <c r="EF286" s="918"/>
      <c r="EG286" s="918"/>
      <c r="EH286" s="918"/>
      <c r="EI286" s="918"/>
      <c r="EJ286" s="918"/>
      <c r="EK286" s="918"/>
      <c r="EL286" s="918"/>
      <c r="EM286" s="918"/>
      <c r="EN286" s="918"/>
      <c r="EO286" s="918"/>
      <c r="EP286" s="918"/>
      <c r="EQ286" s="918"/>
      <c r="ER286" s="918"/>
      <c r="ES286" s="918"/>
      <c r="ET286" s="918"/>
      <c r="EU286" s="918"/>
      <c r="EV286" s="918"/>
      <c r="EW286" s="918"/>
      <c r="EX286" s="918"/>
      <c r="EY286" s="918"/>
      <c r="EZ286" s="918"/>
      <c r="FA286" s="918"/>
      <c r="FB286" s="918"/>
      <c r="FC286" s="918"/>
      <c r="FD286" s="918"/>
      <c r="FE286" s="918"/>
      <c r="FF286" s="918"/>
      <c r="FG286" s="918"/>
      <c r="FH286" s="918"/>
      <c r="FI286" s="918"/>
      <c r="FJ286" s="918"/>
      <c r="FK286" s="918"/>
      <c r="FL286" s="918"/>
      <c r="FM286" s="918"/>
      <c r="FN286" s="918"/>
      <c r="FO286" s="918"/>
      <c r="FP286" s="918"/>
      <c r="FQ286" s="918"/>
      <c r="FR286" s="918"/>
      <c r="FS286" s="918"/>
      <c r="FT286" s="918"/>
      <c r="FU286" s="918"/>
      <c r="FV286" s="918"/>
      <c r="FW286" s="918"/>
      <c r="FX286" s="918"/>
      <c r="FY286" s="918"/>
      <c r="FZ286" s="918"/>
      <c r="GA286" s="918"/>
      <c r="GB286" s="918"/>
      <c r="GC286" s="918"/>
      <c r="GD286" s="918"/>
      <c r="GE286" s="918"/>
      <c r="GF286" s="918"/>
      <c r="GG286" s="918"/>
      <c r="GH286" s="918"/>
      <c r="GI286" s="918"/>
      <c r="GJ286" s="918"/>
      <c r="GK286" s="918"/>
      <c r="GL286" s="918"/>
      <c r="GM286" s="918"/>
      <c r="GN286" s="918"/>
      <c r="GO286" s="918"/>
      <c r="GP286" s="918"/>
      <c r="GQ286" s="918"/>
      <c r="GR286" s="918"/>
      <c r="GS286" s="918"/>
      <c r="GT286" s="918"/>
      <c r="GU286" s="918"/>
      <c r="GV286" s="918"/>
      <c r="GW286" s="918"/>
      <c r="GX286" s="918"/>
      <c r="GY286" s="918"/>
      <c r="GZ286" s="918"/>
      <c r="HA286" s="918"/>
      <c r="HB286" s="918"/>
      <c r="HC286" s="918"/>
      <c r="HD286" s="918"/>
      <c r="HE286" s="918"/>
      <c r="HF286" s="918"/>
      <c r="HG286" s="918"/>
      <c r="HH286" s="918"/>
      <c r="HI286" s="918"/>
      <c r="HJ286" s="918"/>
      <c r="HK286" s="918"/>
      <c r="HL286" s="918"/>
      <c r="HM286" s="918"/>
      <c r="HN286" s="918"/>
      <c r="HO286" s="918"/>
      <c r="HP286" s="918"/>
      <c r="HQ286" s="918"/>
      <c r="HR286" s="918"/>
      <c r="HS286" s="918"/>
      <c r="HT286" s="918"/>
      <c r="HU286" s="918"/>
      <c r="HV286" s="918"/>
      <c r="HW286" s="918"/>
      <c r="HX286" s="918"/>
      <c r="HY286" s="918"/>
      <c r="HZ286" s="918"/>
      <c r="IA286" s="918"/>
      <c r="IB286" s="918"/>
      <c r="IC286" s="918"/>
      <c r="ID286" s="918"/>
      <c r="IE286" s="918"/>
      <c r="IF286" s="918"/>
      <c r="IG286" s="918"/>
      <c r="IH286" s="918"/>
      <c r="II286" s="918"/>
      <c r="IJ286" s="918"/>
      <c r="IK286" s="918"/>
      <c r="IL286" s="918"/>
      <c r="IM286" s="918"/>
      <c r="IN286" s="918"/>
    </row>
    <row r="287" spans="1:248">
      <c r="A287" s="619" t="s">
        <v>22</v>
      </c>
      <c r="B287" s="829">
        <v>17138</v>
      </c>
      <c r="C287" s="617">
        <f t="shared" si="41"/>
        <v>34.207926226808652</v>
      </c>
      <c r="D287" s="620">
        <v>13691.8</v>
      </c>
      <c r="E287" s="919">
        <f t="shared" si="42"/>
        <v>27.329214862423772</v>
      </c>
      <c r="F287" s="919">
        <f>B287-D287</f>
        <v>3446.2000000000007</v>
      </c>
      <c r="G287" s="919">
        <f t="shared" si="43"/>
        <v>6.8787113643848752</v>
      </c>
      <c r="H287" s="918">
        <v>50099.5</v>
      </c>
      <c r="J287" s="918"/>
      <c r="K287" s="918"/>
      <c r="L287" s="918"/>
      <c r="M287" s="918"/>
      <c r="N287" s="918"/>
      <c r="O287" s="918"/>
      <c r="P287" s="918"/>
      <c r="Q287" s="918"/>
      <c r="R287" s="918"/>
      <c r="S287" s="918"/>
      <c r="T287" s="918"/>
      <c r="U287" s="918"/>
      <c r="V287" s="918"/>
      <c r="W287" s="918"/>
      <c r="X287" s="918"/>
      <c r="Y287" s="918"/>
      <c r="Z287" s="918"/>
      <c r="AA287" s="918"/>
      <c r="AB287" s="918"/>
      <c r="AC287" s="918"/>
      <c r="AD287" s="918"/>
      <c r="AE287" s="918"/>
      <c r="AF287" s="918"/>
      <c r="AG287" s="918"/>
      <c r="AH287" s="918"/>
      <c r="AI287" s="918"/>
      <c r="AJ287" s="918"/>
      <c r="AK287" s="918"/>
      <c r="AL287" s="918"/>
      <c r="AM287" s="918"/>
      <c r="AN287" s="918"/>
      <c r="AO287" s="918"/>
      <c r="AP287" s="918"/>
      <c r="AQ287" s="918"/>
      <c r="AR287" s="918"/>
      <c r="AS287" s="918"/>
      <c r="AT287" s="918"/>
      <c r="AU287" s="918"/>
      <c r="AV287" s="918"/>
      <c r="AW287" s="918"/>
      <c r="AX287" s="918"/>
      <c r="AY287" s="918"/>
      <c r="AZ287" s="918"/>
      <c r="BA287" s="918"/>
      <c r="BB287" s="918"/>
      <c r="BC287" s="918"/>
      <c r="BD287" s="918"/>
      <c r="BE287" s="918"/>
      <c r="BF287" s="918"/>
      <c r="BG287" s="918"/>
      <c r="BH287" s="918"/>
      <c r="BI287" s="918"/>
      <c r="BJ287" s="918"/>
      <c r="BK287" s="918"/>
      <c r="BL287" s="918"/>
      <c r="BM287" s="918"/>
      <c r="BN287" s="918"/>
      <c r="BO287" s="918"/>
      <c r="BP287" s="918"/>
      <c r="BQ287" s="918"/>
      <c r="BR287" s="918"/>
      <c r="BS287" s="918"/>
      <c r="BT287" s="918"/>
      <c r="BU287" s="918"/>
      <c r="BV287" s="918"/>
      <c r="BW287" s="918"/>
      <c r="BX287" s="918"/>
      <c r="BY287" s="918"/>
      <c r="BZ287" s="918"/>
      <c r="CA287" s="918"/>
      <c r="CB287" s="918"/>
      <c r="CC287" s="918"/>
      <c r="CD287" s="918"/>
      <c r="CE287" s="918"/>
      <c r="CF287" s="918"/>
      <c r="CG287" s="918"/>
      <c r="CH287" s="918"/>
      <c r="CI287" s="918"/>
      <c r="CJ287" s="918"/>
      <c r="CK287" s="918"/>
      <c r="CL287" s="918"/>
      <c r="CM287" s="918"/>
      <c r="CN287" s="918"/>
      <c r="CO287" s="918"/>
      <c r="CP287" s="918"/>
      <c r="CQ287" s="918"/>
      <c r="CR287" s="918"/>
      <c r="CS287" s="918"/>
      <c r="CT287" s="918"/>
      <c r="CU287" s="918"/>
      <c r="CV287" s="918"/>
      <c r="CW287" s="918"/>
      <c r="CX287" s="918"/>
      <c r="CY287" s="918"/>
      <c r="CZ287" s="918"/>
      <c r="DA287" s="918"/>
      <c r="DB287" s="918"/>
      <c r="DC287" s="918"/>
      <c r="DD287" s="918"/>
      <c r="DE287" s="918"/>
      <c r="DF287" s="918"/>
      <c r="DG287" s="918"/>
      <c r="DH287" s="918"/>
      <c r="DI287" s="918"/>
      <c r="DJ287" s="918"/>
      <c r="DK287" s="918"/>
      <c r="DL287" s="918"/>
      <c r="DM287" s="918"/>
      <c r="DN287" s="918"/>
      <c r="DO287" s="918"/>
      <c r="DP287" s="918"/>
      <c r="DQ287" s="918"/>
      <c r="DR287" s="918"/>
      <c r="DS287" s="918"/>
      <c r="DT287" s="918"/>
      <c r="DU287" s="918"/>
      <c r="DV287" s="918"/>
      <c r="DW287" s="918"/>
      <c r="DX287" s="918"/>
      <c r="DY287" s="918"/>
      <c r="DZ287" s="918"/>
      <c r="EA287" s="918"/>
      <c r="EB287" s="918"/>
      <c r="EC287" s="918"/>
      <c r="ED287" s="918"/>
      <c r="EE287" s="918"/>
      <c r="EF287" s="918"/>
      <c r="EG287" s="918"/>
      <c r="EH287" s="918"/>
      <c r="EI287" s="918"/>
      <c r="EJ287" s="918"/>
      <c r="EK287" s="918"/>
      <c r="EL287" s="918"/>
      <c r="EM287" s="918"/>
      <c r="EN287" s="918"/>
      <c r="EO287" s="918"/>
      <c r="EP287" s="918"/>
      <c r="EQ287" s="918"/>
      <c r="ER287" s="918"/>
      <c r="ES287" s="918"/>
      <c r="ET287" s="918"/>
      <c r="EU287" s="918"/>
      <c r="EV287" s="918"/>
      <c r="EW287" s="918"/>
      <c r="EX287" s="918"/>
      <c r="EY287" s="918"/>
      <c r="EZ287" s="918"/>
      <c r="FA287" s="918"/>
      <c r="FB287" s="918"/>
      <c r="FC287" s="918"/>
      <c r="FD287" s="918"/>
      <c r="FE287" s="918"/>
      <c r="FF287" s="918"/>
      <c r="FG287" s="918"/>
      <c r="FH287" s="918"/>
      <c r="FI287" s="918"/>
      <c r="FJ287" s="918"/>
      <c r="FK287" s="918"/>
      <c r="FL287" s="918"/>
      <c r="FM287" s="918"/>
      <c r="FN287" s="918"/>
      <c r="FO287" s="918"/>
      <c r="FP287" s="918"/>
      <c r="FQ287" s="918"/>
      <c r="FR287" s="918"/>
      <c r="FS287" s="918"/>
      <c r="FT287" s="918"/>
      <c r="FU287" s="918"/>
      <c r="FV287" s="918"/>
      <c r="FW287" s="918"/>
      <c r="FX287" s="918"/>
      <c r="FY287" s="918"/>
      <c r="FZ287" s="918"/>
      <c r="GA287" s="918"/>
      <c r="GB287" s="918"/>
      <c r="GC287" s="918"/>
      <c r="GD287" s="918"/>
      <c r="GE287" s="918"/>
      <c r="GF287" s="918"/>
      <c r="GG287" s="918"/>
      <c r="GH287" s="918"/>
      <c r="GI287" s="918"/>
      <c r="GJ287" s="918"/>
      <c r="GK287" s="918"/>
      <c r="GL287" s="918"/>
      <c r="GM287" s="918"/>
      <c r="GN287" s="918"/>
      <c r="GO287" s="918"/>
      <c r="GP287" s="918"/>
      <c r="GQ287" s="918"/>
      <c r="GR287" s="918"/>
      <c r="GS287" s="918"/>
      <c r="GT287" s="918"/>
      <c r="GU287" s="918"/>
      <c r="GV287" s="918"/>
      <c r="GW287" s="918"/>
      <c r="GX287" s="918"/>
      <c r="GY287" s="918"/>
      <c r="GZ287" s="918"/>
      <c r="HA287" s="918"/>
      <c r="HB287" s="918"/>
      <c r="HC287" s="918"/>
      <c r="HD287" s="918"/>
      <c r="HE287" s="918"/>
      <c r="HF287" s="918"/>
      <c r="HG287" s="918"/>
      <c r="HH287" s="918"/>
      <c r="HI287" s="918"/>
      <c r="HJ287" s="918"/>
      <c r="HK287" s="918"/>
      <c r="HL287" s="918"/>
      <c r="HM287" s="918"/>
      <c r="HN287" s="918"/>
      <c r="HO287" s="918"/>
      <c r="HP287" s="918"/>
      <c r="HQ287" s="918"/>
      <c r="HR287" s="918"/>
      <c r="HS287" s="918"/>
      <c r="HT287" s="918"/>
      <c r="HU287" s="918"/>
      <c r="HV287" s="918"/>
      <c r="HW287" s="918"/>
      <c r="HX287" s="918"/>
      <c r="HY287" s="918"/>
      <c r="HZ287" s="918"/>
      <c r="IA287" s="918"/>
      <c r="IB287" s="918"/>
      <c r="IC287" s="918"/>
      <c r="ID287" s="918"/>
      <c r="IE287" s="918"/>
      <c r="IF287" s="918"/>
      <c r="IG287" s="918"/>
      <c r="IH287" s="918"/>
      <c r="II287" s="918"/>
      <c r="IJ287" s="918"/>
      <c r="IK287" s="918"/>
      <c r="IL287" s="918"/>
      <c r="IM287" s="918"/>
      <c r="IN287" s="918"/>
    </row>
    <row r="288" spans="1:248" s="915" customFormat="1" ht="30" customHeight="1">
      <c r="A288" s="2252" t="s">
        <v>2807</v>
      </c>
      <c r="B288" s="2253"/>
      <c r="C288" s="2253"/>
      <c r="D288" s="2253"/>
      <c r="E288" s="2253"/>
      <c r="F288" s="2253"/>
      <c r="G288" s="2254"/>
      <c r="H288" s="917"/>
      <c r="I288" s="916"/>
    </row>
    <row r="289" spans="1:8">
      <c r="A289" s="2255"/>
      <c r="B289" s="2255"/>
      <c r="C289" s="2255"/>
      <c r="D289" s="2255"/>
      <c r="E289" s="2255"/>
      <c r="F289" s="2255"/>
      <c r="G289" s="2255"/>
      <c r="H289" s="27"/>
    </row>
    <row r="290" spans="1:8">
      <c r="B290" s="914"/>
      <c r="D290" s="914"/>
    </row>
  </sheetData>
  <mergeCells count="9">
    <mergeCell ref="A288:G288"/>
    <mergeCell ref="A289:G289"/>
    <mergeCell ref="A1:G1"/>
    <mergeCell ref="A2:G2"/>
    <mergeCell ref="A3:G3"/>
    <mergeCell ref="A6:A8"/>
    <mergeCell ref="B6:G6"/>
    <mergeCell ref="B9:G9"/>
    <mergeCell ref="A9:A11"/>
  </mergeCells>
  <phoneticPr fontId="352" type="noConversion"/>
  <pageMargins left="0.7" right="0.7" top="0.75" bottom="0.75" header="0.3" footer="0.3"/>
  <pageSetup paperSize="9" scale="40" orientation="portrait" r:id="rId1"/>
  <rowBreaks count="1" manualBreakCount="1">
    <brk id="175" max="7"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9EF79-FAA0-4FBB-81E2-D2EE39C53607}">
  <sheetPr codeName="Sheet5">
    <tabColor rgb="FF92D050"/>
  </sheetPr>
  <dimension ref="A1:DG154"/>
  <sheetViews>
    <sheetView showGridLines="0" view="pageBreakPreview" zoomScale="70" zoomScaleSheetLayoutView="70" workbookViewId="0">
      <selection activeCell="DI54" sqref="DI54"/>
    </sheetView>
  </sheetViews>
  <sheetFormatPr defaultColWidth="9.140625" defaultRowHeight="12.75"/>
  <cols>
    <col min="1" max="1" width="46.85546875" style="1966" customWidth="1"/>
    <col min="2" max="7" width="9.140625" style="1966" hidden="1" customWidth="1"/>
    <col min="8" max="51" width="11" style="1966" hidden="1" customWidth="1"/>
    <col min="52" max="52" width="8.85546875" style="1966" hidden="1" customWidth="1"/>
    <col min="53" max="53" width="8.140625" style="1966" hidden="1" customWidth="1"/>
    <col min="54" max="56" width="8.7109375" style="1966" hidden="1" customWidth="1"/>
    <col min="57" max="57" width="9.140625" style="1966" hidden="1" customWidth="1"/>
    <col min="58" max="58" width="8.85546875" style="1966" hidden="1" customWidth="1"/>
    <col min="59" max="70" width="9.42578125" style="1966" hidden="1" customWidth="1"/>
    <col min="71" max="71" width="9.28515625" style="1966" hidden="1" customWidth="1"/>
    <col min="72" max="72" width="13.42578125" style="1966" hidden="1" customWidth="1"/>
    <col min="73" max="87" width="10.85546875" style="1966" hidden="1" customWidth="1"/>
    <col min="88" max="88" width="10.85546875" style="1966" customWidth="1"/>
    <col min="89" max="91" width="10.85546875" style="1966" hidden="1" customWidth="1"/>
    <col min="92" max="109" width="10.85546875" style="1966" customWidth="1"/>
    <col min="110" max="110" width="46.85546875" style="1966" customWidth="1"/>
    <col min="111" max="111" width="9.140625" style="1966" customWidth="1"/>
    <col min="112" max="172" width="9.140625" style="1966"/>
    <col min="173" max="173" width="9.140625" style="1966" customWidth="1"/>
    <col min="174" max="16384" width="9.140625" style="1966"/>
  </cols>
  <sheetData>
    <row r="1" spans="1:110" ht="9.75" customHeight="1">
      <c r="DF1" s="2071"/>
    </row>
    <row r="2" spans="1:110" s="2072" customFormat="1" ht="25.5" customHeight="1">
      <c r="A2" s="2272" t="s">
        <v>2721</v>
      </c>
      <c r="B2" s="2272"/>
      <c r="C2" s="2272"/>
      <c r="D2" s="2272"/>
      <c r="E2" s="2272"/>
      <c r="F2" s="2272"/>
      <c r="G2" s="2272"/>
      <c r="H2" s="2272"/>
      <c r="I2" s="2272"/>
      <c r="J2" s="2272"/>
      <c r="K2" s="2272"/>
      <c r="L2" s="2272"/>
      <c r="M2" s="2272"/>
      <c r="N2" s="2272"/>
      <c r="O2" s="2272"/>
      <c r="P2" s="2272"/>
      <c r="Q2" s="2272"/>
      <c r="R2" s="2272"/>
      <c r="S2" s="2272"/>
      <c r="T2" s="2272"/>
      <c r="U2" s="2272"/>
      <c r="V2" s="2272"/>
      <c r="W2" s="2272"/>
      <c r="X2" s="2272"/>
      <c r="Y2" s="2272"/>
      <c r="Z2" s="2272"/>
      <c r="AA2" s="2272"/>
      <c r="AB2" s="2272"/>
      <c r="AC2" s="2272"/>
      <c r="AD2" s="2272"/>
      <c r="AE2" s="2272"/>
      <c r="AF2" s="2272"/>
      <c r="AG2" s="2272"/>
      <c r="AH2" s="2272"/>
      <c r="AI2" s="2272"/>
      <c r="AJ2" s="2272"/>
      <c r="AK2" s="2272"/>
      <c r="AL2" s="2272"/>
      <c r="AM2" s="2272"/>
      <c r="AN2" s="2272"/>
      <c r="AO2" s="2272"/>
      <c r="AP2" s="2272"/>
      <c r="AQ2" s="2272"/>
      <c r="AR2" s="2272"/>
      <c r="AS2" s="2272"/>
      <c r="AT2" s="2272"/>
      <c r="AU2" s="2272"/>
      <c r="AV2" s="2272"/>
      <c r="AW2" s="2272"/>
      <c r="AX2" s="2272"/>
      <c r="AY2" s="2272"/>
      <c r="AZ2" s="2272"/>
      <c r="BA2" s="2272"/>
      <c r="BB2" s="2272"/>
      <c r="BC2" s="2272"/>
      <c r="BD2" s="2272"/>
      <c r="BE2" s="2272"/>
      <c r="BF2" s="2272"/>
      <c r="BG2" s="2272"/>
      <c r="BH2" s="2272"/>
      <c r="BI2" s="2272"/>
      <c r="BJ2" s="2272"/>
      <c r="BK2" s="2272"/>
      <c r="BL2" s="2272"/>
      <c r="BM2" s="2272"/>
      <c r="BN2" s="2272"/>
      <c r="BO2" s="2272"/>
      <c r="BP2" s="2272"/>
      <c r="BQ2" s="2272"/>
      <c r="BR2" s="2272"/>
      <c r="BS2" s="2272"/>
      <c r="BT2" s="2272"/>
      <c r="BU2" s="2272"/>
      <c r="BV2" s="2272"/>
      <c r="BW2" s="2272"/>
      <c r="BX2" s="2272"/>
      <c r="BY2" s="2272"/>
      <c r="BZ2" s="2272"/>
      <c r="CA2" s="2272"/>
      <c r="CB2" s="2272"/>
      <c r="CC2" s="2272"/>
      <c r="CD2" s="2272"/>
      <c r="CE2" s="2272"/>
      <c r="CF2" s="2272"/>
      <c r="CG2" s="2272"/>
      <c r="CH2" s="2272"/>
      <c r="CI2" s="2272"/>
      <c r="CJ2" s="2272"/>
      <c r="CK2" s="2272"/>
      <c r="CL2" s="2272"/>
      <c r="CM2" s="2272"/>
      <c r="CN2" s="2272"/>
      <c r="CO2" s="2272"/>
      <c r="CP2" s="2272"/>
      <c r="CQ2" s="2272"/>
      <c r="CR2" s="2272"/>
      <c r="CS2" s="2272"/>
      <c r="CT2" s="2272"/>
      <c r="CU2" s="2272"/>
      <c r="CV2" s="2272"/>
      <c r="CW2" s="2272"/>
      <c r="CX2" s="2272"/>
      <c r="CY2" s="2272"/>
      <c r="CZ2" s="2272"/>
      <c r="DA2" s="2272"/>
      <c r="DB2" s="2272"/>
      <c r="DC2" s="2272"/>
      <c r="DD2" s="2272"/>
      <c r="DE2" s="2272"/>
      <c r="DF2" s="2272"/>
    </row>
    <row r="3" spans="1:110" s="2072" customFormat="1" ht="25.5" customHeight="1">
      <c r="A3" s="2273" t="s">
        <v>2722</v>
      </c>
      <c r="B3" s="2273"/>
      <c r="C3" s="2273"/>
      <c r="D3" s="2273"/>
      <c r="E3" s="2273"/>
      <c r="F3" s="2273"/>
      <c r="G3" s="2273"/>
      <c r="H3" s="2273"/>
      <c r="I3" s="2273"/>
      <c r="J3" s="2273"/>
      <c r="K3" s="2273"/>
      <c r="L3" s="2273"/>
      <c r="M3" s="2273"/>
      <c r="N3" s="2273"/>
      <c r="O3" s="2273"/>
      <c r="P3" s="2273"/>
      <c r="Q3" s="2273"/>
      <c r="R3" s="2273"/>
      <c r="S3" s="2273"/>
      <c r="T3" s="2273"/>
      <c r="U3" s="2273"/>
      <c r="V3" s="2273"/>
      <c r="W3" s="2273"/>
      <c r="X3" s="2273"/>
      <c r="Y3" s="2273"/>
      <c r="Z3" s="2273"/>
      <c r="AA3" s="2273"/>
      <c r="AB3" s="2273"/>
      <c r="AC3" s="2273"/>
      <c r="AD3" s="2273"/>
      <c r="AE3" s="2273"/>
      <c r="AF3" s="2273"/>
      <c r="AG3" s="2273"/>
      <c r="AH3" s="2273"/>
      <c r="AI3" s="2273"/>
      <c r="AJ3" s="2273"/>
      <c r="AK3" s="2273"/>
      <c r="AL3" s="2273"/>
      <c r="AM3" s="2273"/>
      <c r="AN3" s="2273"/>
      <c r="AO3" s="2273"/>
      <c r="AP3" s="2273"/>
      <c r="AQ3" s="2273"/>
      <c r="AR3" s="2273"/>
      <c r="AS3" s="2273"/>
      <c r="AT3" s="2273"/>
      <c r="AU3" s="2273"/>
      <c r="AV3" s="2273"/>
      <c r="AW3" s="2273"/>
      <c r="AX3" s="2273"/>
      <c r="AY3" s="2273"/>
      <c r="AZ3" s="2273"/>
      <c r="BA3" s="2273"/>
      <c r="BB3" s="2273"/>
      <c r="BC3" s="2273"/>
      <c r="BD3" s="2273"/>
      <c r="BE3" s="2273"/>
      <c r="BF3" s="2273"/>
      <c r="BG3" s="2273"/>
      <c r="BH3" s="2273"/>
      <c r="BI3" s="2273"/>
      <c r="BJ3" s="2273"/>
      <c r="BK3" s="2273"/>
      <c r="BL3" s="2273"/>
      <c r="BM3" s="2273"/>
      <c r="BN3" s="2273"/>
      <c r="BO3" s="2273"/>
      <c r="BP3" s="2273"/>
      <c r="BQ3" s="2273"/>
      <c r="BR3" s="2273"/>
      <c r="BS3" s="2273"/>
      <c r="BT3" s="2273"/>
      <c r="BU3" s="2273"/>
      <c r="BV3" s="2273"/>
      <c r="BW3" s="2273"/>
      <c r="BX3" s="2273"/>
      <c r="BY3" s="2273"/>
      <c r="BZ3" s="2273"/>
      <c r="CA3" s="2273"/>
      <c r="CB3" s="2273"/>
      <c r="CC3" s="2273"/>
      <c r="CD3" s="2273"/>
      <c r="CE3" s="2273"/>
      <c r="CF3" s="2273"/>
      <c r="CG3" s="2273"/>
      <c r="CH3" s="2273"/>
      <c r="CI3" s="2273"/>
      <c r="CJ3" s="2273"/>
      <c r="CK3" s="2273"/>
      <c r="CL3" s="2273"/>
      <c r="CM3" s="2273"/>
      <c r="CN3" s="2273"/>
      <c r="CO3" s="2273"/>
      <c r="CP3" s="2273"/>
      <c r="CQ3" s="2273"/>
      <c r="CR3" s="2273"/>
      <c r="CS3" s="2273"/>
      <c r="CT3" s="2273"/>
      <c r="CU3" s="2273"/>
      <c r="CV3" s="2273"/>
      <c r="CW3" s="2273"/>
      <c r="CX3" s="2273"/>
      <c r="CY3" s="2273"/>
      <c r="CZ3" s="2273"/>
      <c r="DA3" s="2273"/>
      <c r="DB3" s="2273"/>
      <c r="DC3" s="2273"/>
      <c r="DD3" s="2273"/>
      <c r="DE3" s="2273"/>
      <c r="DF3" s="2273"/>
    </row>
    <row r="4" spans="1:110" s="2072" customFormat="1" ht="16.5" customHeight="1">
      <c r="A4" s="1967"/>
      <c r="B4" s="1967"/>
      <c r="C4" s="1967"/>
      <c r="D4" s="1967"/>
      <c r="E4" s="1967"/>
      <c r="F4" s="1967"/>
      <c r="G4" s="1967"/>
      <c r="H4" s="1967"/>
      <c r="I4" s="1967"/>
      <c r="J4" s="1967"/>
      <c r="K4" s="1967"/>
      <c r="L4" s="1967"/>
      <c r="M4" s="1967"/>
      <c r="N4" s="1967"/>
      <c r="O4" s="1967"/>
      <c r="P4" s="1967"/>
      <c r="Q4" s="1967"/>
      <c r="R4" s="1967"/>
      <c r="S4" s="1967"/>
      <c r="T4" s="1967"/>
      <c r="U4" s="1967"/>
      <c r="V4" s="1967"/>
      <c r="W4" s="1967"/>
      <c r="X4" s="1967"/>
      <c r="Y4" s="1967"/>
      <c r="Z4" s="1967"/>
      <c r="AA4" s="1967"/>
      <c r="AB4" s="1967"/>
      <c r="AC4" s="1967"/>
      <c r="AD4" s="1967"/>
      <c r="AE4" s="1967"/>
      <c r="AF4" s="1967"/>
      <c r="AG4" s="1967"/>
      <c r="AH4" s="1967"/>
      <c r="AI4" s="1967"/>
      <c r="AJ4" s="1967"/>
      <c r="AK4" s="1967"/>
      <c r="AL4" s="1967"/>
      <c r="AM4" s="1967"/>
      <c r="AN4" s="1967"/>
      <c r="AO4" s="1967"/>
      <c r="AP4" s="1967"/>
      <c r="AQ4" s="1967"/>
      <c r="AR4" s="1967"/>
      <c r="AS4" s="1967"/>
      <c r="AT4" s="1967"/>
      <c r="AU4" s="1967"/>
      <c r="AV4" s="1967"/>
      <c r="AW4" s="1967"/>
      <c r="AX4" s="1967"/>
      <c r="AY4" s="1967"/>
      <c r="AZ4" s="1967"/>
      <c r="BA4" s="1967"/>
      <c r="BB4" s="1967"/>
      <c r="BC4" s="1967"/>
      <c r="BD4" s="1967"/>
      <c r="BE4" s="1967"/>
      <c r="BF4" s="1967"/>
      <c r="BG4" s="1967"/>
      <c r="BH4" s="1967"/>
      <c r="BI4" s="1967"/>
      <c r="BJ4" s="1967"/>
      <c r="BK4" s="1967"/>
      <c r="BL4" s="1967"/>
      <c r="BM4" s="1967"/>
      <c r="BN4" s="1967"/>
      <c r="BO4" s="1967"/>
      <c r="BP4" s="1967"/>
      <c r="BQ4" s="1967"/>
      <c r="BR4" s="1967"/>
      <c r="BS4" s="1967"/>
      <c r="BT4" s="1967"/>
      <c r="BU4" s="1967"/>
      <c r="BV4" s="1967"/>
      <c r="BW4" s="1967"/>
      <c r="BX4" s="1967"/>
      <c r="BY4" s="1967"/>
      <c r="BZ4" s="1967"/>
      <c r="CA4" s="1967"/>
      <c r="CB4" s="1967"/>
      <c r="CC4" s="1967"/>
      <c r="CD4" s="1967"/>
      <c r="CE4" s="1967"/>
      <c r="CF4" s="1967"/>
      <c r="CG4" s="1967"/>
      <c r="CH4" s="1967"/>
      <c r="CI4" s="1967"/>
      <c r="CJ4" s="1967"/>
      <c r="CK4" s="1967"/>
      <c r="CL4" s="1967"/>
      <c r="CM4" s="1967"/>
      <c r="CN4" s="1967"/>
      <c r="CO4" s="1967"/>
      <c r="CP4" s="1967"/>
      <c r="CQ4" s="1967"/>
      <c r="CR4" s="1967"/>
      <c r="CS4" s="1967"/>
      <c r="CT4" s="1967"/>
      <c r="CU4" s="1967"/>
      <c r="CV4" s="1967"/>
      <c r="CW4" s="1967"/>
      <c r="CX4" s="1967"/>
      <c r="CY4" s="1967"/>
      <c r="CZ4" s="1967"/>
      <c r="DA4" s="1967"/>
      <c r="DB4" s="1967"/>
      <c r="DC4" s="1967"/>
      <c r="DD4" s="1967"/>
      <c r="DE4" s="1967"/>
      <c r="DF4" s="1967"/>
    </row>
    <row r="5" spans="1:110" ht="16.5" customHeight="1">
      <c r="A5" s="2274"/>
      <c r="B5" s="2274"/>
      <c r="C5" s="2274"/>
      <c r="D5" s="2274"/>
      <c r="E5" s="2274"/>
      <c r="F5" s="2274"/>
      <c r="G5" s="2274"/>
      <c r="H5" s="2274"/>
      <c r="I5" s="2274"/>
      <c r="J5" s="2274"/>
      <c r="K5" s="2274"/>
      <c r="L5" s="2274"/>
      <c r="M5" s="2274"/>
      <c r="N5" s="2274"/>
      <c r="O5" s="2274"/>
      <c r="P5" s="2274"/>
      <c r="Q5" s="2274"/>
      <c r="R5" s="2274"/>
      <c r="S5" s="2274"/>
      <c r="T5" s="2274"/>
      <c r="U5" s="2274"/>
      <c r="V5" s="2274"/>
      <c r="W5" s="2274"/>
      <c r="X5" s="2274"/>
      <c r="Y5" s="2274"/>
      <c r="Z5" s="2274"/>
      <c r="AA5" s="2274"/>
      <c r="AB5" s="2274"/>
      <c r="AC5" s="2274"/>
      <c r="AD5" s="2274"/>
      <c r="AE5" s="2274"/>
      <c r="AF5" s="2274"/>
      <c r="AG5" s="2274"/>
      <c r="AH5" s="2274"/>
      <c r="AI5" s="2274"/>
      <c r="AJ5" s="2274"/>
      <c r="AK5" s="2274"/>
      <c r="AL5" s="2274"/>
      <c r="AM5" s="2274"/>
      <c r="AN5" s="2274"/>
      <c r="AO5" s="2274"/>
      <c r="AP5" s="2274"/>
      <c r="AQ5" s="2274"/>
      <c r="AR5" s="2274"/>
      <c r="AS5" s="2274"/>
      <c r="AT5" s="2274"/>
      <c r="AU5" s="2274"/>
      <c r="AV5" s="2274"/>
      <c r="AW5" s="2274"/>
      <c r="AX5" s="2274"/>
      <c r="AY5" s="2274"/>
      <c r="AZ5" s="2274"/>
      <c r="BA5" s="2274"/>
      <c r="BB5" s="2274"/>
      <c r="BC5" s="2274"/>
      <c r="BD5" s="2274"/>
      <c r="BE5" s="2274"/>
      <c r="BF5" s="2274"/>
      <c r="BG5" s="2274"/>
      <c r="BH5" s="2274"/>
      <c r="BI5" s="2274"/>
      <c r="BJ5" s="2274"/>
      <c r="BK5" s="2274"/>
      <c r="BL5" s="2274"/>
      <c r="BM5" s="2274"/>
      <c r="BN5" s="2274"/>
      <c r="BO5" s="2274"/>
      <c r="BP5" s="2274"/>
      <c r="BQ5" s="2274"/>
      <c r="BR5" s="2274"/>
      <c r="BS5" s="2274"/>
      <c r="BT5" s="2274"/>
      <c r="BU5" s="2274"/>
      <c r="BV5" s="2274"/>
      <c r="BW5" s="2274"/>
      <c r="BX5" s="2274"/>
      <c r="BY5" s="2274"/>
      <c r="BZ5" s="2274"/>
      <c r="CA5" s="2274"/>
      <c r="CB5" s="2274"/>
      <c r="CC5" s="2274"/>
      <c r="CD5" s="2274"/>
      <c r="CE5" s="2274"/>
      <c r="CF5" s="2274"/>
      <c r="CG5" s="1968"/>
      <c r="CH5" s="1968"/>
      <c r="CI5" s="1968"/>
      <c r="CJ5" s="1968"/>
      <c r="CK5" s="1968"/>
      <c r="CL5" s="1968"/>
      <c r="CM5" s="1968"/>
      <c r="CN5" s="1968"/>
      <c r="CO5" s="1968"/>
      <c r="CP5" s="1968"/>
      <c r="CQ5" s="1968"/>
      <c r="CR5" s="1968"/>
      <c r="CS5" s="1968"/>
      <c r="CT5" s="1968"/>
      <c r="CU5" s="1968"/>
      <c r="CV5" s="1968"/>
      <c r="CW5" s="1968"/>
      <c r="CX5" s="1968"/>
      <c r="CY5" s="1968"/>
      <c r="CZ5" s="1968"/>
      <c r="DA5" s="1968"/>
      <c r="DB5" s="1968"/>
      <c r="DC5" s="1968"/>
      <c r="DD5" s="1968"/>
      <c r="DE5" s="1968"/>
      <c r="DF5" s="2073" t="s">
        <v>63</v>
      </c>
    </row>
    <row r="6" spans="1:110" s="2075" customFormat="1" ht="25.5">
      <c r="A6" s="553"/>
      <c r="B6" s="2070">
        <v>1995</v>
      </c>
      <c r="C6" s="2068">
        <v>1996</v>
      </c>
      <c r="D6" s="2068">
        <v>1997</v>
      </c>
      <c r="E6" s="2068">
        <v>1998</v>
      </c>
      <c r="F6" s="2068">
        <v>1999</v>
      </c>
      <c r="G6" s="2068">
        <v>2000</v>
      </c>
      <c r="H6" s="554" t="s">
        <v>1561</v>
      </c>
      <c r="I6" s="554" t="s">
        <v>1562</v>
      </c>
      <c r="J6" s="554" t="s">
        <v>1563</v>
      </c>
      <c r="K6" s="554" t="s">
        <v>1564</v>
      </c>
      <c r="L6" s="554" t="s">
        <v>1565</v>
      </c>
      <c r="M6" s="554" t="s">
        <v>1566</v>
      </c>
      <c r="N6" s="554" t="s">
        <v>1567</v>
      </c>
      <c r="O6" s="554" t="s">
        <v>1568</v>
      </c>
      <c r="P6" s="554" t="s">
        <v>1569</v>
      </c>
      <c r="Q6" s="554" t="s">
        <v>1570</v>
      </c>
      <c r="R6" s="554" t="s">
        <v>1571</v>
      </c>
      <c r="S6" s="554" t="s">
        <v>1572</v>
      </c>
      <c r="T6" s="554" t="s">
        <v>1573</v>
      </c>
      <c r="U6" s="554" t="s">
        <v>64</v>
      </c>
      <c r="V6" s="554" t="s">
        <v>65</v>
      </c>
      <c r="W6" s="554" t="s">
        <v>1574</v>
      </c>
      <c r="X6" s="554" t="s">
        <v>1575</v>
      </c>
      <c r="Y6" s="554" t="s">
        <v>66</v>
      </c>
      <c r="Z6" s="554" t="s">
        <v>67</v>
      </c>
      <c r="AA6" s="554" t="s">
        <v>68</v>
      </c>
      <c r="AB6" s="554" t="s">
        <v>1576</v>
      </c>
      <c r="AC6" s="554" t="s">
        <v>69</v>
      </c>
      <c r="AD6" s="554" t="s">
        <v>70</v>
      </c>
      <c r="AE6" s="554" t="s">
        <v>1577</v>
      </c>
      <c r="AF6" s="555" t="s">
        <v>1578</v>
      </c>
      <c r="AG6" s="554" t="s">
        <v>1579</v>
      </c>
      <c r="AH6" s="554" t="s">
        <v>1580</v>
      </c>
      <c r="AI6" s="554" t="s">
        <v>1581</v>
      </c>
      <c r="AJ6" s="555" t="s">
        <v>1582</v>
      </c>
      <c r="AK6" s="554" t="s">
        <v>1583</v>
      </c>
      <c r="AL6" s="554" t="s">
        <v>1584</v>
      </c>
      <c r="AM6" s="554" t="s">
        <v>1585</v>
      </c>
      <c r="AN6" s="555" t="s">
        <v>1586</v>
      </c>
      <c r="AO6" s="554" t="s">
        <v>1587</v>
      </c>
      <c r="AP6" s="554" t="s">
        <v>1588</v>
      </c>
      <c r="AQ6" s="554" t="s">
        <v>1589</v>
      </c>
      <c r="AR6" s="555" t="s">
        <v>1590</v>
      </c>
      <c r="AS6" s="554" t="s">
        <v>1591</v>
      </c>
      <c r="AT6" s="554" t="s">
        <v>1592</v>
      </c>
      <c r="AU6" s="554" t="s">
        <v>1593</v>
      </c>
      <c r="AV6" s="555" t="s">
        <v>1594</v>
      </c>
      <c r="AW6" s="554" t="s">
        <v>1595</v>
      </c>
      <c r="AX6" s="554" t="s">
        <v>1596</v>
      </c>
      <c r="AY6" s="554" t="s">
        <v>1597</v>
      </c>
      <c r="AZ6" s="555" t="s">
        <v>1489</v>
      </c>
      <c r="BA6" s="554" t="s">
        <v>1526</v>
      </c>
      <c r="BB6" s="555" t="s">
        <v>1598</v>
      </c>
      <c r="BC6" s="555" t="s">
        <v>1599</v>
      </c>
      <c r="BD6" s="2074">
        <v>2012</v>
      </c>
      <c r="BE6" s="555" t="s">
        <v>1463</v>
      </c>
      <c r="BF6" s="554" t="s">
        <v>1525</v>
      </c>
      <c r="BG6" s="554" t="s">
        <v>1600</v>
      </c>
      <c r="BH6" s="555" t="s">
        <v>1644</v>
      </c>
      <c r="BI6" s="2074">
        <v>2013</v>
      </c>
      <c r="BJ6" s="555" t="s">
        <v>1667</v>
      </c>
      <c r="BK6" s="555" t="s">
        <v>1705</v>
      </c>
      <c r="BL6" s="555" t="s">
        <v>1750</v>
      </c>
      <c r="BM6" s="555" t="s">
        <v>1832</v>
      </c>
      <c r="BN6" s="555">
        <v>2014</v>
      </c>
      <c r="BO6" s="555" t="s">
        <v>1844</v>
      </c>
      <c r="BP6" s="555" t="s">
        <v>1845</v>
      </c>
      <c r="BQ6" s="555" t="s">
        <v>1849</v>
      </c>
      <c r="BR6" s="2074" t="s">
        <v>1850</v>
      </c>
      <c r="BS6" s="556" t="s">
        <v>1858</v>
      </c>
      <c r="BT6" s="2074" t="s">
        <v>1859</v>
      </c>
      <c r="BU6" s="555" t="s">
        <v>1866</v>
      </c>
      <c r="BV6" s="555" t="s">
        <v>1870</v>
      </c>
      <c r="BW6" s="555" t="s">
        <v>1927</v>
      </c>
      <c r="BX6" s="555" t="s">
        <v>1928</v>
      </c>
      <c r="BY6" s="555" t="s">
        <v>1953</v>
      </c>
      <c r="BZ6" s="555" t="s">
        <v>1997</v>
      </c>
      <c r="CA6" s="555" t="s">
        <v>2042</v>
      </c>
      <c r="CB6" s="555" t="s">
        <v>2062</v>
      </c>
      <c r="CC6" s="555" t="s">
        <v>2083</v>
      </c>
      <c r="CD6" s="555" t="s">
        <v>2106</v>
      </c>
      <c r="CE6" s="555" t="s">
        <v>2136</v>
      </c>
      <c r="CF6" s="555" t="s">
        <v>2155</v>
      </c>
      <c r="CG6" s="555" t="s">
        <v>2178</v>
      </c>
      <c r="CH6" s="555" t="s">
        <v>2210</v>
      </c>
      <c r="CI6" s="555" t="s">
        <v>2226</v>
      </c>
      <c r="CJ6" s="555" t="s">
        <v>2384</v>
      </c>
      <c r="CK6" s="555" t="s">
        <v>2419</v>
      </c>
      <c r="CL6" s="555" t="s">
        <v>2453</v>
      </c>
      <c r="CM6" s="555" t="s">
        <v>2509</v>
      </c>
      <c r="CN6" s="555" t="s">
        <v>2560</v>
      </c>
      <c r="CO6" s="555" t="s">
        <v>2584</v>
      </c>
      <c r="CP6" s="555" t="s">
        <v>2614</v>
      </c>
      <c r="CQ6" s="555" t="s">
        <v>2806</v>
      </c>
      <c r="CR6" s="555" t="s">
        <v>2843</v>
      </c>
      <c r="CS6" s="555" t="s">
        <v>2877</v>
      </c>
      <c r="CT6" s="555" t="s">
        <v>2890</v>
      </c>
      <c r="CU6" s="555" t="s">
        <v>3423</v>
      </c>
      <c r="CV6" s="555" t="s">
        <v>3543</v>
      </c>
      <c r="CW6" s="555" t="s">
        <v>3732</v>
      </c>
      <c r="CX6" s="555" t="s">
        <v>3856</v>
      </c>
      <c r="CY6" s="555" t="s">
        <v>3939</v>
      </c>
      <c r="CZ6" s="555" t="s">
        <v>4024</v>
      </c>
      <c r="DA6" s="555" t="s">
        <v>4070</v>
      </c>
      <c r="DB6" s="555" t="s">
        <v>4129</v>
      </c>
      <c r="DC6" s="555" t="s">
        <v>4157</v>
      </c>
      <c r="DD6" s="555" t="s">
        <v>4233</v>
      </c>
      <c r="DE6" s="555" t="s">
        <v>4316</v>
      </c>
      <c r="DF6" s="2069"/>
    </row>
    <row r="7" spans="1:110" s="2081" customFormat="1" ht="33" customHeight="1">
      <c r="A7" s="2076" t="s">
        <v>71</v>
      </c>
      <c r="B7" s="2077">
        <v>-400</v>
      </c>
      <c r="C7" s="2077">
        <v>-931</v>
      </c>
      <c r="D7" s="2077">
        <v>-915</v>
      </c>
      <c r="E7" s="2077">
        <v>-1364</v>
      </c>
      <c r="F7" s="2077">
        <v>-600</v>
      </c>
      <c r="G7" s="2077">
        <v>-168</v>
      </c>
      <c r="H7" s="2077">
        <v>-1.1329999999999814</v>
      </c>
      <c r="I7" s="2077">
        <v>44.692000000000007</v>
      </c>
      <c r="J7" s="2077">
        <v>-25.413999999999987</v>
      </c>
      <c r="K7" s="2077">
        <v>-70</v>
      </c>
      <c r="L7" s="2077">
        <v>-174.12700000000001</v>
      </c>
      <c r="M7" s="2077">
        <v>-185</v>
      </c>
      <c r="N7" s="2077">
        <v>-161</v>
      </c>
      <c r="O7" s="2077">
        <v>-248.70700000000002</v>
      </c>
      <c r="P7" s="2077">
        <v>-275.61200000000002</v>
      </c>
      <c r="Q7" s="2077">
        <v>-454.43099999999998</v>
      </c>
      <c r="R7" s="2077">
        <v>-560</v>
      </c>
      <c r="S7" s="2077">
        <v>-731</v>
      </c>
      <c r="T7" s="2077">
        <v>-738.29</v>
      </c>
      <c r="U7" s="2077">
        <v>-543.18200000000013</v>
      </c>
      <c r="V7" s="2077">
        <v>-678.36000000000013</v>
      </c>
      <c r="W7" s="2077">
        <v>-629</v>
      </c>
      <c r="X7" s="2077">
        <v>-542</v>
      </c>
      <c r="Y7" s="2077">
        <v>-136.4919999999999</v>
      </c>
      <c r="Z7" s="2077">
        <v>262</v>
      </c>
      <c r="AA7" s="2077">
        <v>583</v>
      </c>
      <c r="AB7" s="2077">
        <v>525.5630000000001</v>
      </c>
      <c r="AC7" s="2077">
        <v>597.33999999999992</v>
      </c>
      <c r="AD7" s="2077">
        <v>906.49199999999996</v>
      </c>
      <c r="AE7" s="2077">
        <v>1745.4219999999998</v>
      </c>
      <c r="AF7" s="2077">
        <v>1978.3820000000003</v>
      </c>
      <c r="AG7" s="2077">
        <v>2007.3820000000007</v>
      </c>
      <c r="AH7" s="2077">
        <v>1891</v>
      </c>
      <c r="AI7" s="2077">
        <v>3123</v>
      </c>
      <c r="AJ7" s="2077">
        <v>3686</v>
      </c>
      <c r="AK7" s="2077">
        <v>6030.7419999999993</v>
      </c>
      <c r="AL7" s="2077">
        <v>5079.1380000000008</v>
      </c>
      <c r="AM7" s="2077">
        <v>1658</v>
      </c>
      <c r="AN7" s="2077">
        <v>1794.3510000000001</v>
      </c>
      <c r="AO7" s="2077">
        <v>2689.5110000000004</v>
      </c>
      <c r="AP7" s="2077">
        <v>2712.451</v>
      </c>
      <c r="AQ7" s="2077">
        <v>3220.3869999999997</v>
      </c>
      <c r="AR7" s="2077">
        <v>3902.2039999999997</v>
      </c>
      <c r="AS7" s="2077">
        <v>4048.4090000000001</v>
      </c>
      <c r="AT7" s="2077">
        <v>4018.7980000000002</v>
      </c>
      <c r="AU7" s="2077">
        <v>3052</v>
      </c>
      <c r="AV7" s="2077">
        <v>4823.1350000000002</v>
      </c>
      <c r="AW7" s="2077">
        <v>5400.1100000000006</v>
      </c>
      <c r="AX7" s="2077">
        <v>4209</v>
      </c>
      <c r="AY7" s="2077">
        <v>2724</v>
      </c>
      <c r="AZ7" s="2077">
        <f t="shared" ref="AZ7:CB7" si="0">AZ9+AZ21+AZ31+AZ39</f>
        <v>4642</v>
      </c>
      <c r="BA7" s="2077">
        <f t="shared" si="0"/>
        <v>3498</v>
      </c>
      <c r="BB7" s="2077">
        <f t="shared" si="0"/>
        <v>3289</v>
      </c>
      <c r="BC7" s="2077">
        <f t="shared" si="0"/>
        <v>3453</v>
      </c>
      <c r="BD7" s="2078">
        <f t="shared" si="0"/>
        <v>14882</v>
      </c>
      <c r="BE7" s="2077">
        <v>4049</v>
      </c>
      <c r="BF7" s="2077">
        <v>2399</v>
      </c>
      <c r="BG7" s="2077">
        <v>2809</v>
      </c>
      <c r="BH7" s="2077">
        <v>3061</v>
      </c>
      <c r="BI7" s="2078">
        <f t="shared" si="0"/>
        <v>12318</v>
      </c>
      <c r="BJ7" s="2077">
        <f t="shared" si="0"/>
        <v>3333</v>
      </c>
      <c r="BK7" s="2077">
        <f t="shared" si="0"/>
        <v>3166</v>
      </c>
      <c r="BL7" s="2077">
        <f t="shared" si="0"/>
        <v>2793</v>
      </c>
      <c r="BM7" s="2077">
        <f t="shared" si="0"/>
        <v>1139</v>
      </c>
      <c r="BN7" s="2078">
        <f t="shared" si="0"/>
        <v>10431</v>
      </c>
      <c r="BO7" s="2077">
        <f t="shared" si="0"/>
        <v>108</v>
      </c>
      <c r="BP7" s="2077">
        <f t="shared" si="0"/>
        <v>-45</v>
      </c>
      <c r="BQ7" s="2077">
        <f t="shared" si="0"/>
        <v>177</v>
      </c>
      <c r="BR7" s="291">
        <f t="shared" si="0"/>
        <v>240</v>
      </c>
      <c r="BS7" s="2079">
        <f t="shared" si="0"/>
        <v>-463</v>
      </c>
      <c r="BT7" s="292">
        <f t="shared" si="0"/>
        <v>-223</v>
      </c>
      <c r="BU7" s="2079">
        <f t="shared" si="0"/>
        <v>-392</v>
      </c>
      <c r="BV7" s="2079">
        <f t="shared" si="0"/>
        <v>-409</v>
      </c>
      <c r="BW7" s="2079">
        <f t="shared" si="0"/>
        <v>-312</v>
      </c>
      <c r="BX7" s="2077">
        <f t="shared" si="0"/>
        <v>-251</v>
      </c>
      <c r="BY7" s="2077">
        <f t="shared" si="0"/>
        <v>381</v>
      </c>
      <c r="BZ7" s="2077">
        <f t="shared" si="0"/>
        <v>405</v>
      </c>
      <c r="CA7" s="2077">
        <f t="shared" si="0"/>
        <v>277</v>
      </c>
      <c r="CB7" s="2077">
        <f t="shared" si="0"/>
        <v>622</v>
      </c>
      <c r="CC7" s="2077">
        <v>1556</v>
      </c>
      <c r="CD7" s="2077">
        <v>1967</v>
      </c>
      <c r="CE7" s="2077">
        <v>1565</v>
      </c>
      <c r="CF7" s="2077">
        <f>CF9+CF21+CF31+CF39</f>
        <v>963</v>
      </c>
      <c r="CG7" s="2077">
        <v>1603</v>
      </c>
      <c r="CH7" s="2077">
        <v>1459</v>
      </c>
      <c r="CI7" s="2077">
        <v>941</v>
      </c>
      <c r="CJ7" s="2077">
        <v>362</v>
      </c>
      <c r="CK7" s="2077">
        <v>646</v>
      </c>
      <c r="CL7" s="2077">
        <f>CL9+CL21+CL31+CL39</f>
        <v>-48</v>
      </c>
      <c r="CM7" s="2077">
        <v>-806</v>
      </c>
      <c r="CN7" s="2077">
        <v>-20</v>
      </c>
      <c r="CO7" s="2077">
        <v>628</v>
      </c>
      <c r="CP7" s="2077">
        <v>1250.7179999999994</v>
      </c>
      <c r="CQ7" s="2077">
        <v>2060.6770000000001</v>
      </c>
      <c r="CR7" s="2077">
        <v>4352.1850000000004</v>
      </c>
      <c r="CS7" s="2077">
        <v>3952.7579999999998</v>
      </c>
      <c r="CT7" s="2077">
        <v>6378.1180000000013</v>
      </c>
      <c r="CU7" s="2077">
        <v>7379.7510000000002</v>
      </c>
      <c r="CV7" s="2077">
        <v>5767.4539999999988</v>
      </c>
      <c r="CW7" s="2077">
        <v>3376.2000000000012</v>
      </c>
      <c r="CX7" s="2077">
        <v>1778.4260000000015</v>
      </c>
      <c r="CY7" s="2077">
        <v>1519.2969999999966</v>
      </c>
      <c r="CZ7" s="2077">
        <v>1655.4450000000004</v>
      </c>
      <c r="DA7" s="2077">
        <v>1729.7519999999995</v>
      </c>
      <c r="DB7" s="1970">
        <v>895.53400000000045</v>
      </c>
      <c r="DC7" s="1970">
        <v>1327.5900000000017</v>
      </c>
      <c r="DD7" s="1969">
        <v>718.23199999999508</v>
      </c>
      <c r="DE7" s="1969">
        <v>1142.876</v>
      </c>
      <c r="DF7" s="2080" t="s">
        <v>72</v>
      </c>
    </row>
    <row r="8" spans="1:110" s="2081" customFormat="1" ht="12.75" customHeight="1">
      <c r="A8" s="2082"/>
      <c r="B8" s="2083"/>
      <c r="H8" s="1970"/>
      <c r="I8" s="1970"/>
      <c r="J8" s="1970"/>
      <c r="K8" s="1970"/>
      <c r="L8" s="1970"/>
      <c r="M8" s="1970"/>
      <c r="N8" s="1970"/>
      <c r="O8" s="1970"/>
      <c r="P8" s="1970"/>
      <c r="Q8" s="1970"/>
      <c r="R8" s="1970"/>
      <c r="S8" s="1970"/>
      <c r="T8" s="1970"/>
      <c r="U8" s="1970"/>
      <c r="V8" s="1970"/>
      <c r="W8" s="1970"/>
      <c r="X8" s="1970"/>
      <c r="Y8" s="1970"/>
      <c r="Z8" s="1970"/>
      <c r="AA8" s="1970"/>
      <c r="AB8" s="1970"/>
      <c r="AC8" s="1970"/>
      <c r="AD8" s="1970"/>
      <c r="AE8" s="1970"/>
      <c r="AF8" s="1970"/>
      <c r="AG8" s="1970"/>
      <c r="AH8" s="1970"/>
      <c r="AI8" s="1970"/>
      <c r="AJ8" s="1970"/>
      <c r="AK8" s="1970"/>
      <c r="AL8" s="1970"/>
      <c r="AM8" s="1970"/>
      <c r="AN8" s="1970"/>
      <c r="AO8" s="1970"/>
      <c r="AP8" s="1970"/>
      <c r="AQ8" s="1970"/>
      <c r="AR8" s="1970"/>
      <c r="AS8" s="1970"/>
      <c r="AT8" s="1970"/>
      <c r="AU8" s="1970"/>
      <c r="AV8" s="1970"/>
      <c r="AW8" s="1970"/>
      <c r="AX8" s="1970"/>
      <c r="AY8" s="1970"/>
      <c r="AZ8" s="1970"/>
      <c r="BA8" s="1970"/>
      <c r="BB8" s="1970"/>
      <c r="BC8" s="2084"/>
      <c r="BD8" s="293"/>
      <c r="BE8" s="1970"/>
      <c r="BF8" s="1970"/>
      <c r="BG8" s="1970"/>
      <c r="BH8" s="2084"/>
      <c r="BI8" s="293"/>
      <c r="BJ8" s="1970"/>
      <c r="BK8" s="1970"/>
      <c r="BL8" s="1970"/>
      <c r="BM8" s="1970"/>
      <c r="BN8" s="291"/>
      <c r="BO8" s="1970"/>
      <c r="BP8" s="1970"/>
      <c r="BQ8" s="2084"/>
      <c r="BR8" s="293"/>
      <c r="BS8" s="294"/>
      <c r="BT8" s="293"/>
      <c r="BU8" s="294"/>
      <c r="BV8" s="294"/>
      <c r="BW8" s="1970"/>
      <c r="BX8" s="1970"/>
      <c r="BY8" s="1970"/>
      <c r="BZ8" s="1970"/>
      <c r="CA8" s="1970"/>
      <c r="CB8" s="1970"/>
      <c r="CC8" s="1970"/>
      <c r="CD8" s="1970"/>
      <c r="CE8" s="1970"/>
      <c r="CF8" s="1970"/>
      <c r="CG8" s="1970"/>
      <c r="CH8" s="1970"/>
      <c r="CI8" s="1970"/>
      <c r="CJ8" s="1970"/>
      <c r="CK8" s="1970"/>
      <c r="CL8" s="1970"/>
      <c r="CM8" s="1970"/>
      <c r="CN8" s="1970"/>
      <c r="CO8" s="1970"/>
      <c r="CP8" s="1970"/>
      <c r="CQ8" s="1970"/>
      <c r="CR8" s="1970"/>
      <c r="CS8" s="1970"/>
      <c r="CT8" s="1970"/>
      <c r="CU8" s="1970"/>
      <c r="CV8" s="1970"/>
      <c r="CW8" s="1970"/>
      <c r="CX8" s="1970"/>
      <c r="CY8" s="1970"/>
      <c r="CZ8" s="1970"/>
      <c r="DA8" s="1970"/>
      <c r="DB8" s="1970"/>
      <c r="DC8" s="1970"/>
      <c r="DD8" s="1970"/>
      <c r="DE8" s="1970"/>
      <c r="DF8" s="2085"/>
    </row>
    <row r="9" spans="1:110" s="2081" customFormat="1" ht="11.25" customHeight="1">
      <c r="A9" s="2082" t="s">
        <v>73</v>
      </c>
      <c r="B9" s="1970">
        <v>-373</v>
      </c>
      <c r="C9" s="1970">
        <v>-694</v>
      </c>
      <c r="D9" s="1970">
        <v>-567</v>
      </c>
      <c r="E9" s="1970">
        <v>-1046</v>
      </c>
      <c r="F9" s="1970">
        <v>-408</v>
      </c>
      <c r="G9" s="1970">
        <v>319</v>
      </c>
      <c r="H9" s="1970">
        <v>210</v>
      </c>
      <c r="I9" s="1970">
        <v>197.69200000000001</v>
      </c>
      <c r="J9" s="1970">
        <v>126.09000000000003</v>
      </c>
      <c r="K9" s="1970">
        <v>80</v>
      </c>
      <c r="L9" s="1970">
        <v>61.87299999999999</v>
      </c>
      <c r="M9" s="1970">
        <v>84</v>
      </c>
      <c r="N9" s="1970">
        <v>164</v>
      </c>
      <c r="O9" s="1970">
        <v>172</v>
      </c>
      <c r="P9" s="1970">
        <v>188.42399999999998</v>
      </c>
      <c r="Q9" s="1970">
        <v>3</v>
      </c>
      <c r="R9" s="1970">
        <v>-144</v>
      </c>
      <c r="S9" s="1970">
        <v>-145</v>
      </c>
      <c r="T9" s="1970">
        <v>19.710000000000036</v>
      </c>
      <c r="U9" s="1970">
        <v>105.50099999999986</v>
      </c>
      <c r="V9" s="1970">
        <v>-93.379000000000019</v>
      </c>
      <c r="W9" s="1970">
        <v>129</v>
      </c>
      <c r="X9" s="1970">
        <v>7</v>
      </c>
      <c r="Y9" s="1970">
        <v>687.76600000000008</v>
      </c>
      <c r="Z9" s="1970">
        <v>990</v>
      </c>
      <c r="AA9" s="1970">
        <v>1615</v>
      </c>
      <c r="AB9" s="1970">
        <v>1536.5630000000001</v>
      </c>
      <c r="AC9" s="1970">
        <v>1715.2069999999999</v>
      </c>
      <c r="AD9" s="1970">
        <v>2194.087</v>
      </c>
      <c r="AE9" s="1970">
        <v>2366.7759999999998</v>
      </c>
      <c r="AF9" s="1970">
        <v>2849.2850000000003</v>
      </c>
      <c r="AG9" s="1970">
        <v>3788.0810000000006</v>
      </c>
      <c r="AH9" s="1970">
        <v>3499</v>
      </c>
      <c r="AI9" s="1970">
        <v>5069</v>
      </c>
      <c r="AJ9" s="1970">
        <v>5819</v>
      </c>
      <c r="AK9" s="1970">
        <v>8202.973</v>
      </c>
      <c r="AL9" s="1970">
        <v>6725.7270000000008</v>
      </c>
      <c r="AM9" s="1970">
        <v>2265</v>
      </c>
      <c r="AN9" s="1970">
        <v>2109.634</v>
      </c>
      <c r="AO9" s="1970">
        <v>3808.2470000000003</v>
      </c>
      <c r="AP9" s="1970">
        <v>4256.0709999999999</v>
      </c>
      <c r="AQ9" s="1970">
        <v>4652.7609999999995</v>
      </c>
      <c r="AR9" s="1970">
        <v>5040.5879999999997</v>
      </c>
      <c r="AS9" s="1970">
        <v>5185</v>
      </c>
      <c r="AT9" s="1970">
        <v>5184.3040000000001</v>
      </c>
      <c r="AU9" s="1970">
        <v>4302</v>
      </c>
      <c r="AV9" s="1970">
        <v>6551.1350000000002</v>
      </c>
      <c r="AW9" s="1970">
        <v>7129.6110000000008</v>
      </c>
      <c r="AX9" s="1970">
        <v>5932</v>
      </c>
      <c r="AY9" s="1970">
        <v>4726</v>
      </c>
      <c r="AZ9" s="1970">
        <f>AZ11+AZ16</f>
        <v>6823</v>
      </c>
      <c r="BA9" s="1970">
        <f t="shared" ref="BA9:CB9" si="1">BA11+BA16</f>
        <v>5558</v>
      </c>
      <c r="BB9" s="1970">
        <f t="shared" si="1"/>
        <v>5095</v>
      </c>
      <c r="BC9" s="1970">
        <f t="shared" si="1"/>
        <v>4705</v>
      </c>
      <c r="BD9" s="291">
        <f>BD11+BD16</f>
        <v>22181</v>
      </c>
      <c r="BE9" s="1970">
        <v>5893</v>
      </c>
      <c r="BF9" s="1970">
        <v>4591</v>
      </c>
      <c r="BG9" s="1970">
        <v>4925</v>
      </c>
      <c r="BH9" s="1970">
        <v>5213</v>
      </c>
      <c r="BI9" s="291">
        <f>BI11+BI16</f>
        <v>20622</v>
      </c>
      <c r="BJ9" s="1970">
        <f t="shared" si="1"/>
        <v>5544</v>
      </c>
      <c r="BK9" s="1970">
        <f t="shared" si="1"/>
        <v>5584</v>
      </c>
      <c r="BL9" s="1970">
        <f>BL11+BL16</f>
        <v>5080</v>
      </c>
      <c r="BM9" s="1970">
        <f t="shared" si="1"/>
        <v>2720</v>
      </c>
      <c r="BN9" s="291">
        <f>BN11+BN16</f>
        <v>18928</v>
      </c>
      <c r="BO9" s="1970">
        <f t="shared" si="1"/>
        <v>1758</v>
      </c>
      <c r="BP9" s="1970">
        <f t="shared" si="1"/>
        <v>2000</v>
      </c>
      <c r="BQ9" s="1970">
        <f t="shared" si="1"/>
        <v>1544</v>
      </c>
      <c r="BR9" s="1970">
        <f>BR11+BR16</f>
        <v>5302</v>
      </c>
      <c r="BS9" s="1970">
        <f t="shared" si="1"/>
        <v>510</v>
      </c>
      <c r="BT9" s="291">
        <f t="shared" si="1"/>
        <v>5812</v>
      </c>
      <c r="BU9" s="1970">
        <f t="shared" si="1"/>
        <v>622</v>
      </c>
      <c r="BV9" s="1969">
        <f t="shared" si="1"/>
        <v>1312</v>
      </c>
      <c r="BW9" s="1969">
        <f t="shared" si="1"/>
        <v>981</v>
      </c>
      <c r="BX9" s="1970">
        <f t="shared" si="1"/>
        <v>1291</v>
      </c>
      <c r="BY9" s="1970">
        <f t="shared" si="1"/>
        <v>1890</v>
      </c>
      <c r="BZ9" s="1970">
        <f t="shared" si="1"/>
        <v>1589</v>
      </c>
      <c r="CA9" s="1970">
        <f t="shared" si="1"/>
        <v>923</v>
      </c>
      <c r="CB9" s="1970">
        <f t="shared" si="1"/>
        <v>1713</v>
      </c>
      <c r="CC9" s="1970">
        <v>2414</v>
      </c>
      <c r="CD9" s="1970">
        <v>2605</v>
      </c>
      <c r="CE9" s="1970">
        <v>2316</v>
      </c>
      <c r="CF9" s="1970">
        <f>CF11+CF16</f>
        <v>2506</v>
      </c>
      <c r="CG9" s="1970">
        <v>2486</v>
      </c>
      <c r="CH9" s="1970">
        <v>2402</v>
      </c>
      <c r="CI9" s="1970">
        <v>2009</v>
      </c>
      <c r="CJ9" s="1970">
        <v>1636</v>
      </c>
      <c r="CK9" s="1970">
        <v>1873</v>
      </c>
      <c r="CL9" s="1970">
        <f>CL11+CL16</f>
        <v>414</v>
      </c>
      <c r="CM9" s="1970">
        <v>56</v>
      </c>
      <c r="CN9" s="1970">
        <v>168</v>
      </c>
      <c r="CO9" s="1970">
        <v>1549</v>
      </c>
      <c r="CP9" s="1970">
        <v>1970.0589999999993</v>
      </c>
      <c r="CQ9" s="1970">
        <v>2887.3269999999998</v>
      </c>
      <c r="CR9" s="1970">
        <v>4867.2270000000008</v>
      </c>
      <c r="CS9" s="1970">
        <v>5447.0630000000001</v>
      </c>
      <c r="CT9" s="1970">
        <v>7575.3100000000022</v>
      </c>
      <c r="CU9" s="1970">
        <v>8669.9889999999996</v>
      </c>
      <c r="CV9" s="1970">
        <v>7005.1179999999995</v>
      </c>
      <c r="CW9" s="1970">
        <v>4720.6570000000011</v>
      </c>
      <c r="CX9" s="1970">
        <v>2768.2780000000016</v>
      </c>
      <c r="CY9" s="1970">
        <v>2487.5269999999964</v>
      </c>
      <c r="CZ9" s="1970">
        <v>2829.1010000000006</v>
      </c>
      <c r="DA9" s="1970">
        <v>2669.4389999999994</v>
      </c>
      <c r="DB9" s="1970">
        <v>1953.9130000000005</v>
      </c>
      <c r="DC9" s="1970">
        <v>2380.6070000000018</v>
      </c>
      <c r="DD9" s="1969">
        <v>1820.9849999999951</v>
      </c>
      <c r="DE9" s="1969">
        <v>2445.46</v>
      </c>
      <c r="DF9" s="2085" t="s">
        <v>74</v>
      </c>
    </row>
    <row r="10" spans="1:110" s="2081" customFormat="1" ht="12.75" customHeight="1">
      <c r="A10" s="2082"/>
      <c r="B10" s="2083"/>
      <c r="H10" s="1970"/>
      <c r="I10" s="1970"/>
      <c r="J10" s="1970"/>
      <c r="K10" s="1970"/>
      <c r="L10" s="1970"/>
      <c r="M10" s="1970"/>
      <c r="N10" s="1970"/>
      <c r="O10" s="1970"/>
      <c r="P10" s="1970"/>
      <c r="Q10" s="1970"/>
      <c r="R10" s="1970"/>
      <c r="S10" s="1970"/>
      <c r="T10" s="1970"/>
      <c r="U10" s="1970"/>
      <c r="V10" s="1970"/>
      <c r="W10" s="1970"/>
      <c r="X10" s="1970"/>
      <c r="Y10" s="1970"/>
      <c r="Z10" s="1970"/>
      <c r="AA10" s="1970"/>
      <c r="AB10" s="1970"/>
      <c r="AC10" s="1970"/>
      <c r="AD10" s="1970"/>
      <c r="AE10" s="1970"/>
      <c r="AF10" s="1970"/>
      <c r="AG10" s="1970"/>
      <c r="AH10" s="1970"/>
      <c r="AI10" s="1970"/>
      <c r="AJ10" s="1970"/>
      <c r="AK10" s="1970"/>
      <c r="AL10" s="1970"/>
      <c r="AM10" s="1970"/>
      <c r="AN10" s="1970"/>
      <c r="AO10" s="1970"/>
      <c r="AP10" s="1970"/>
      <c r="AQ10" s="1970"/>
      <c r="AR10" s="1970"/>
      <c r="AS10" s="1970"/>
      <c r="AT10" s="1970"/>
      <c r="AU10" s="1970"/>
      <c r="AV10" s="1970"/>
      <c r="AW10" s="1970"/>
      <c r="AX10" s="1970"/>
      <c r="AY10" s="1970"/>
      <c r="AZ10" s="1970"/>
      <c r="BA10" s="1970"/>
      <c r="BB10" s="1970"/>
      <c r="BC10" s="2084"/>
      <c r="BD10" s="293"/>
      <c r="BE10" s="1970"/>
      <c r="BF10" s="1970"/>
      <c r="BG10" s="1970"/>
      <c r="BH10" s="2084"/>
      <c r="BI10" s="293"/>
      <c r="BJ10" s="1970"/>
      <c r="BK10" s="1970"/>
      <c r="BL10" s="1970"/>
      <c r="BM10" s="1970"/>
      <c r="BN10" s="291"/>
      <c r="BO10" s="1970"/>
      <c r="BP10" s="1970"/>
      <c r="BQ10" s="2084"/>
      <c r="BR10" s="293"/>
      <c r="BS10" s="294"/>
      <c r="BT10" s="293"/>
      <c r="BU10" s="294"/>
      <c r="BV10" s="294"/>
      <c r="BW10" s="1970"/>
      <c r="BX10" s="1970"/>
      <c r="BY10" s="1970"/>
      <c r="BZ10" s="1970"/>
      <c r="CA10" s="1970"/>
      <c r="CB10" s="1970"/>
      <c r="CC10" s="1970"/>
      <c r="CD10" s="1970"/>
      <c r="CE10" s="1970"/>
      <c r="CF10" s="1970"/>
      <c r="CG10" s="1970"/>
      <c r="CH10" s="1970"/>
      <c r="CI10" s="1970"/>
      <c r="CJ10" s="1970"/>
      <c r="CK10" s="1970"/>
      <c r="CL10" s="1970"/>
      <c r="CM10" s="1970"/>
      <c r="CN10" s="1970"/>
      <c r="CO10" s="1970"/>
      <c r="CP10" s="1970"/>
      <c r="CQ10" s="1970"/>
      <c r="CR10" s="1970"/>
      <c r="CS10" s="1970"/>
      <c r="CT10" s="1970"/>
      <c r="CU10" s="1970"/>
      <c r="CV10" s="1970"/>
      <c r="CW10" s="1970"/>
      <c r="CX10" s="1970"/>
      <c r="CY10" s="1970"/>
      <c r="CZ10" s="1970"/>
      <c r="DA10" s="1970"/>
      <c r="DB10" s="1970"/>
      <c r="DC10" s="1970"/>
      <c r="DD10" s="1970"/>
      <c r="DE10" s="1970"/>
      <c r="DF10" s="2085"/>
    </row>
    <row r="11" spans="1:110" s="2081" customFormat="1">
      <c r="A11" s="2086" t="s">
        <v>75</v>
      </c>
      <c r="B11" s="1970">
        <v>612</v>
      </c>
      <c r="C11" s="1970">
        <v>644</v>
      </c>
      <c r="D11" s="1970">
        <v>808</v>
      </c>
      <c r="E11" s="1970">
        <v>678</v>
      </c>
      <c r="F11" s="1970">
        <v>1025</v>
      </c>
      <c r="G11" s="1970">
        <v>1858</v>
      </c>
      <c r="H11" s="1970">
        <v>527</v>
      </c>
      <c r="I11" s="1970">
        <v>531</v>
      </c>
      <c r="J11" s="1970">
        <v>540.40300000000002</v>
      </c>
      <c r="K11" s="1970">
        <v>481</v>
      </c>
      <c r="L11" s="1970">
        <v>450.40899999999999</v>
      </c>
      <c r="M11" s="1970">
        <v>489</v>
      </c>
      <c r="N11" s="1970">
        <v>631</v>
      </c>
      <c r="O11" s="1970">
        <v>735</v>
      </c>
      <c r="P11" s="1970">
        <v>675</v>
      </c>
      <c r="Q11" s="1970">
        <v>681</v>
      </c>
      <c r="R11" s="1970">
        <v>537</v>
      </c>
      <c r="S11" s="1970">
        <v>732</v>
      </c>
      <c r="T11" s="1970">
        <v>731.71</v>
      </c>
      <c r="U11" s="1970">
        <v>946.31399999999996</v>
      </c>
      <c r="V11" s="1970">
        <v>910.45299999999997</v>
      </c>
      <c r="W11" s="1970">
        <v>1154</v>
      </c>
      <c r="X11" s="1970">
        <v>1124</v>
      </c>
      <c r="Y11" s="1970">
        <v>1696.9760000000001</v>
      </c>
      <c r="Z11" s="1970">
        <v>2205</v>
      </c>
      <c r="AA11" s="1970">
        <v>2623</v>
      </c>
      <c r="AB11" s="1970">
        <v>2462.7060000000001</v>
      </c>
      <c r="AC11" s="1970">
        <v>2946.2069999999999</v>
      </c>
      <c r="AD11" s="1970">
        <v>3639.944</v>
      </c>
      <c r="AE11" s="1970">
        <v>3954.7759999999998</v>
      </c>
      <c r="AF11" s="1970">
        <v>4033.2850000000003</v>
      </c>
      <c r="AG11" s="1970">
        <v>5204.5610000000006</v>
      </c>
      <c r="AH11" s="1970">
        <v>5053</v>
      </c>
      <c r="AI11" s="1970">
        <v>6951</v>
      </c>
      <c r="AJ11" s="1970">
        <v>7233</v>
      </c>
      <c r="AK11" s="1970">
        <v>9992.2469999999994</v>
      </c>
      <c r="AL11" s="1970">
        <v>9001.3450000000012</v>
      </c>
      <c r="AM11" s="1970">
        <v>4336</v>
      </c>
      <c r="AN11" s="1970">
        <v>3568.634</v>
      </c>
      <c r="AO11" s="1970">
        <v>5249.9110000000001</v>
      </c>
      <c r="AP11" s="1970">
        <v>5937</v>
      </c>
      <c r="AQ11" s="1970">
        <v>6300.7609999999995</v>
      </c>
      <c r="AR11" s="1970">
        <v>6255.4250000000002</v>
      </c>
      <c r="AS11" s="1970">
        <v>6910</v>
      </c>
      <c r="AT11" s="1970">
        <v>6842.3040000000001</v>
      </c>
      <c r="AU11" s="1970">
        <v>6367</v>
      </c>
      <c r="AV11" s="1970">
        <v>8514.1350000000002</v>
      </c>
      <c r="AW11" s="1970">
        <v>9681.4380000000001</v>
      </c>
      <c r="AX11" s="1970">
        <v>8555</v>
      </c>
      <c r="AY11" s="1970">
        <v>7643</v>
      </c>
      <c r="AZ11" s="1970">
        <f>AZ13+AZ14</f>
        <v>8963</v>
      </c>
      <c r="BA11" s="1970">
        <f t="shared" ref="BA11:BX11" si="2">BA13+BA14</f>
        <v>8038</v>
      </c>
      <c r="BB11" s="1970">
        <f t="shared" si="2"/>
        <v>7561</v>
      </c>
      <c r="BC11" s="1970">
        <f t="shared" si="2"/>
        <v>7812</v>
      </c>
      <c r="BD11" s="291">
        <f>BD13+BD14</f>
        <v>32374</v>
      </c>
      <c r="BE11" s="1970">
        <v>8294</v>
      </c>
      <c r="BF11" s="1970">
        <v>7566</v>
      </c>
      <c r="BG11" s="1970">
        <v>7951</v>
      </c>
      <c r="BH11" s="1970">
        <v>7966</v>
      </c>
      <c r="BI11" s="291">
        <f>BI13+BI14</f>
        <v>31777</v>
      </c>
      <c r="BJ11" s="1970">
        <f t="shared" si="2"/>
        <v>7504</v>
      </c>
      <c r="BK11" s="1970">
        <f t="shared" si="2"/>
        <v>8090</v>
      </c>
      <c r="BL11" s="1970">
        <f t="shared" si="2"/>
        <v>7338</v>
      </c>
      <c r="BM11" s="1970">
        <f t="shared" si="2"/>
        <v>5328</v>
      </c>
      <c r="BN11" s="291">
        <f>BN13+BN14</f>
        <v>28260</v>
      </c>
      <c r="BO11" s="1970">
        <f t="shared" si="2"/>
        <v>4250</v>
      </c>
      <c r="BP11" s="1970">
        <f t="shared" si="2"/>
        <v>4427</v>
      </c>
      <c r="BQ11" s="1970">
        <f t="shared" si="2"/>
        <v>3646</v>
      </c>
      <c r="BR11" s="291">
        <f t="shared" si="2"/>
        <v>12323</v>
      </c>
      <c r="BS11" s="1969">
        <f t="shared" si="2"/>
        <v>3263</v>
      </c>
      <c r="BT11" s="293">
        <f>BT13+BT14</f>
        <v>15586</v>
      </c>
      <c r="BU11" s="1969">
        <f t="shared" si="2"/>
        <v>2552</v>
      </c>
      <c r="BV11" s="1969">
        <f t="shared" si="2"/>
        <v>3709</v>
      </c>
      <c r="BW11" s="1969">
        <f t="shared" si="2"/>
        <v>3274</v>
      </c>
      <c r="BX11" s="1970">
        <f t="shared" si="2"/>
        <v>3675</v>
      </c>
      <c r="BY11" s="1970">
        <f>BY13+BY14</f>
        <v>3556</v>
      </c>
      <c r="BZ11" s="1970">
        <f>BZ13+BZ14</f>
        <v>3555</v>
      </c>
      <c r="CA11" s="1970">
        <f>CA13+CA14</f>
        <v>3681</v>
      </c>
      <c r="CB11" s="1970">
        <f>CB13+CB14</f>
        <v>4360</v>
      </c>
      <c r="CC11" s="1970">
        <v>4580</v>
      </c>
      <c r="CD11" s="1970">
        <v>5338</v>
      </c>
      <c r="CE11" s="1970">
        <v>5311</v>
      </c>
      <c r="CF11" s="1970">
        <f>CF13+CF14</f>
        <v>5565</v>
      </c>
      <c r="CG11" s="1970">
        <v>4747</v>
      </c>
      <c r="CH11" s="1970">
        <v>5187</v>
      </c>
      <c r="CI11" s="1970">
        <v>5086</v>
      </c>
      <c r="CJ11" s="1970">
        <v>4848</v>
      </c>
      <c r="CK11" s="1970">
        <v>4463</v>
      </c>
      <c r="CL11" s="1970">
        <f>CL13+CL14</f>
        <v>2614</v>
      </c>
      <c r="CM11" s="1970">
        <v>2686</v>
      </c>
      <c r="CN11" s="1970">
        <v>2825</v>
      </c>
      <c r="CO11" s="1970">
        <v>3841</v>
      </c>
      <c r="CP11" s="1970">
        <v>4512.1579999999994</v>
      </c>
      <c r="CQ11" s="1970">
        <v>5540.0969999999998</v>
      </c>
      <c r="CR11" s="1970">
        <v>7799.0259999999998</v>
      </c>
      <c r="CS11" s="1970">
        <v>8124.2920000000004</v>
      </c>
      <c r="CT11" s="1970">
        <v>10777.524000000001</v>
      </c>
      <c r="CU11" s="1970">
        <v>12325.09</v>
      </c>
      <c r="CV11" s="1970">
        <v>10979.79</v>
      </c>
      <c r="CW11" s="1970">
        <v>8483.7800000000007</v>
      </c>
      <c r="CX11" s="1970">
        <v>6673.5320000000011</v>
      </c>
      <c r="CY11" s="1970">
        <v>6669.1059999999979</v>
      </c>
      <c r="CZ11" s="1970">
        <v>7375.6959999999999</v>
      </c>
      <c r="DA11" s="1970">
        <v>6184.4939999999997</v>
      </c>
      <c r="DB11" s="1970">
        <v>6168.009</v>
      </c>
      <c r="DC11" s="1970">
        <v>6912.5600000000013</v>
      </c>
      <c r="DD11" s="1969">
        <v>6726.9649999999965</v>
      </c>
      <c r="DE11" s="1969">
        <v>6212.87</v>
      </c>
      <c r="DF11" s="2085" t="s">
        <v>76</v>
      </c>
    </row>
    <row r="12" spans="1:110" s="2081" customFormat="1" ht="12.75" customHeight="1">
      <c r="A12" s="2086"/>
      <c r="B12" s="2083"/>
      <c r="H12" s="1970"/>
      <c r="I12" s="1970"/>
      <c r="J12" s="1970"/>
      <c r="K12" s="1970"/>
      <c r="L12" s="1970"/>
      <c r="M12" s="1970"/>
      <c r="N12" s="1970"/>
      <c r="O12" s="1970"/>
      <c r="P12" s="1970"/>
      <c r="Q12" s="1970"/>
      <c r="R12" s="1970"/>
      <c r="S12" s="1970"/>
      <c r="T12" s="1970"/>
      <c r="U12" s="1970"/>
      <c r="V12" s="1970"/>
      <c r="W12" s="1970"/>
      <c r="X12" s="1970"/>
      <c r="Y12" s="1970"/>
      <c r="Z12" s="1970"/>
      <c r="AA12" s="1970"/>
      <c r="AB12" s="1970"/>
      <c r="AC12" s="1970"/>
      <c r="AD12" s="1970"/>
      <c r="AE12" s="1970"/>
      <c r="AF12" s="1970"/>
      <c r="AG12" s="1970"/>
      <c r="AH12" s="1970"/>
      <c r="AI12" s="1970"/>
      <c r="AJ12" s="1970"/>
      <c r="AK12" s="1970"/>
      <c r="AL12" s="1970"/>
      <c r="AM12" s="1970"/>
      <c r="AN12" s="1970"/>
      <c r="AO12" s="1970"/>
      <c r="AP12" s="1970"/>
      <c r="AQ12" s="1970"/>
      <c r="AR12" s="1970"/>
      <c r="AS12" s="1970"/>
      <c r="AT12" s="1970"/>
      <c r="AU12" s="1970"/>
      <c r="AV12" s="1970"/>
      <c r="AW12" s="1970"/>
      <c r="AX12" s="1970"/>
      <c r="AY12" s="1970"/>
      <c r="AZ12" s="1970"/>
      <c r="BA12" s="1970"/>
      <c r="BB12" s="1970"/>
      <c r="BC12" s="2084"/>
      <c r="BD12" s="293"/>
      <c r="BE12" s="1970"/>
      <c r="BF12" s="1970"/>
      <c r="BG12" s="1970"/>
      <c r="BH12" s="2084"/>
      <c r="BI12" s="293"/>
      <c r="BJ12" s="1970"/>
      <c r="BK12" s="1970"/>
      <c r="BL12" s="1970"/>
      <c r="BM12" s="1970"/>
      <c r="BN12" s="291"/>
      <c r="BO12" s="1970"/>
      <c r="BP12" s="1970"/>
      <c r="BQ12" s="2084"/>
      <c r="BR12" s="293"/>
      <c r="BS12" s="294"/>
      <c r="BT12" s="293"/>
      <c r="BU12" s="294"/>
      <c r="BV12" s="294"/>
      <c r="BW12" s="1970"/>
      <c r="BX12" s="1970"/>
      <c r="BY12" s="1970"/>
      <c r="BZ12" s="1970"/>
      <c r="CA12" s="1970"/>
      <c r="CB12" s="1970"/>
      <c r="CC12" s="1970"/>
      <c r="CD12" s="1970"/>
      <c r="CE12" s="1970"/>
      <c r="CF12" s="1970"/>
      <c r="CG12" s="1970"/>
      <c r="CH12" s="1970"/>
      <c r="CI12" s="1970"/>
      <c r="CJ12" s="1970"/>
      <c r="CK12" s="1970"/>
      <c r="CL12" s="1970"/>
      <c r="CM12" s="1970"/>
      <c r="CN12" s="1970"/>
      <c r="CO12" s="1970"/>
      <c r="CP12" s="1970"/>
      <c r="CQ12" s="1970"/>
      <c r="CR12" s="1970"/>
      <c r="CS12" s="1970"/>
      <c r="CT12" s="1970"/>
      <c r="CU12" s="1970"/>
      <c r="CV12" s="1970"/>
      <c r="CW12" s="1970"/>
      <c r="CX12" s="1970"/>
      <c r="CY12" s="1970"/>
      <c r="CZ12" s="1970"/>
      <c r="DA12" s="1970"/>
      <c r="DB12" s="1970"/>
      <c r="DC12" s="1970"/>
      <c r="DD12" s="1970"/>
      <c r="DE12" s="1970"/>
      <c r="DF12" s="2085"/>
    </row>
    <row r="13" spans="1:110" s="2081" customFormat="1">
      <c r="A13" s="2087" t="s">
        <v>77</v>
      </c>
      <c r="B13" s="2083">
        <v>305</v>
      </c>
      <c r="C13" s="2081">
        <v>416</v>
      </c>
      <c r="D13" s="2081">
        <v>453</v>
      </c>
      <c r="E13" s="2081">
        <v>436</v>
      </c>
      <c r="F13" s="2081">
        <v>801</v>
      </c>
      <c r="G13" s="2081">
        <v>1579</v>
      </c>
      <c r="H13" s="1970">
        <v>304</v>
      </c>
      <c r="I13" s="1970">
        <v>306</v>
      </c>
      <c r="J13" s="1970">
        <v>237.886</v>
      </c>
      <c r="K13" s="1970">
        <v>262</v>
      </c>
      <c r="L13" s="1970">
        <v>219</v>
      </c>
      <c r="M13" s="1970">
        <v>230</v>
      </c>
      <c r="N13" s="1970">
        <v>342</v>
      </c>
      <c r="O13" s="1970">
        <v>385</v>
      </c>
      <c r="P13" s="1970">
        <v>326</v>
      </c>
      <c r="Q13" s="1970">
        <v>400</v>
      </c>
      <c r="R13" s="1970">
        <v>265</v>
      </c>
      <c r="S13" s="1970">
        <v>346</v>
      </c>
      <c r="T13" s="1970">
        <v>375</v>
      </c>
      <c r="U13" s="1970">
        <v>388.78300000000002</v>
      </c>
      <c r="V13" s="1970">
        <v>455.03100000000001</v>
      </c>
      <c r="W13" s="1970">
        <v>560</v>
      </c>
      <c r="X13" s="1970">
        <v>1000</v>
      </c>
      <c r="Y13" s="1970">
        <v>1496.269</v>
      </c>
      <c r="Z13" s="1970">
        <v>2032</v>
      </c>
      <c r="AA13" s="1970">
        <v>2355</v>
      </c>
      <c r="AB13" s="1970">
        <v>2278.2750000000001</v>
      </c>
      <c r="AC13" s="1970">
        <v>2651.5749999999998</v>
      </c>
      <c r="AD13" s="1970">
        <v>3412.06</v>
      </c>
      <c r="AE13" s="1970">
        <v>3733.43</v>
      </c>
      <c r="AF13" s="1970">
        <v>3790.8090000000002</v>
      </c>
      <c r="AG13" s="1970">
        <v>4887.2380000000003</v>
      </c>
      <c r="AH13" s="1970">
        <v>4832</v>
      </c>
      <c r="AI13" s="1970">
        <v>6680</v>
      </c>
      <c r="AJ13" s="1970">
        <v>6978</v>
      </c>
      <c r="AK13" s="1970">
        <v>9581</v>
      </c>
      <c r="AL13" s="1970">
        <v>8573.5650000000005</v>
      </c>
      <c r="AM13" s="1970">
        <v>4011</v>
      </c>
      <c r="AN13" s="1970">
        <v>3416.7730000000001</v>
      </c>
      <c r="AO13" s="1970">
        <v>5021.62</v>
      </c>
      <c r="AP13" s="1970">
        <v>5580</v>
      </c>
      <c r="AQ13" s="1970">
        <v>5951.4589999999998</v>
      </c>
      <c r="AR13" s="1970">
        <v>5913.6390000000001</v>
      </c>
      <c r="AS13" s="1970">
        <v>6576</v>
      </c>
      <c r="AT13" s="1970">
        <v>6616.3040000000001</v>
      </c>
      <c r="AU13" s="1970">
        <v>6002</v>
      </c>
      <c r="AV13" s="1970">
        <v>8199.5540000000001</v>
      </c>
      <c r="AW13" s="1970">
        <v>9266.0319999999992</v>
      </c>
      <c r="AX13" s="1970">
        <v>8248</v>
      </c>
      <c r="AY13" s="1970">
        <v>7158</v>
      </c>
      <c r="AZ13" s="1970">
        <v>8619</v>
      </c>
      <c r="BA13" s="1970">
        <v>7586</v>
      </c>
      <c r="BB13" s="1970">
        <v>7238</v>
      </c>
      <c r="BC13" s="2084">
        <v>7258</v>
      </c>
      <c r="BD13" s="293">
        <f>SUM(AZ13:BC13)</f>
        <v>30701</v>
      </c>
      <c r="BE13" s="1970">
        <v>7842</v>
      </c>
      <c r="BF13" s="1970">
        <v>7115</v>
      </c>
      <c r="BG13" s="1970">
        <v>7588</v>
      </c>
      <c r="BH13" s="2084">
        <v>7458</v>
      </c>
      <c r="BI13" s="293">
        <f t="shared" ref="BI13:BI59" si="3">SUM(BE13:BH13)</f>
        <v>30003</v>
      </c>
      <c r="BJ13" s="1970">
        <v>7139</v>
      </c>
      <c r="BK13" s="1970">
        <v>7661</v>
      </c>
      <c r="BL13" s="1970">
        <v>6952</v>
      </c>
      <c r="BM13" s="1970">
        <v>4875</v>
      </c>
      <c r="BN13" s="291">
        <f t="shared" ref="BN13:BN59" si="4">SUM(BJ13:BM13)</f>
        <v>26627</v>
      </c>
      <c r="BO13" s="1970">
        <v>3797</v>
      </c>
      <c r="BP13" s="1970">
        <v>4053</v>
      </c>
      <c r="BQ13" s="2084">
        <v>3357</v>
      </c>
      <c r="BR13" s="293">
        <f t="shared" ref="BR13:BR60" si="5">SUM(BO13:BQ13)</f>
        <v>11207</v>
      </c>
      <c r="BS13" s="1969">
        <v>2881</v>
      </c>
      <c r="BT13" s="293">
        <f>BR13+BS13</f>
        <v>14088</v>
      </c>
      <c r="BU13" s="1969">
        <v>2323</v>
      </c>
      <c r="BV13" s="1969">
        <v>3393</v>
      </c>
      <c r="BW13" s="1970">
        <v>3035</v>
      </c>
      <c r="BX13" s="1970">
        <v>3299</v>
      </c>
      <c r="BY13" s="1970">
        <v>3302</v>
      </c>
      <c r="BZ13" s="1970">
        <v>3096</v>
      </c>
      <c r="CA13" s="1970">
        <v>3364</v>
      </c>
      <c r="CB13" s="1970">
        <v>3917</v>
      </c>
      <c r="CC13" s="1970">
        <v>4242</v>
      </c>
      <c r="CD13" s="1970">
        <v>4862</v>
      </c>
      <c r="CE13" s="1970">
        <v>4974</v>
      </c>
      <c r="CF13" s="1970">
        <v>5098</v>
      </c>
      <c r="CG13" s="1970">
        <v>4351</v>
      </c>
      <c r="CH13" s="1970">
        <v>4638</v>
      </c>
      <c r="CI13" s="1970">
        <v>4690</v>
      </c>
      <c r="CJ13" s="1970">
        <v>4338</v>
      </c>
      <c r="CK13" s="1970">
        <v>4052</v>
      </c>
      <c r="CL13" s="1970">
        <f>6189-CK13</f>
        <v>2137</v>
      </c>
      <c r="CM13" s="1970">
        <v>2358</v>
      </c>
      <c r="CN13" s="1970">
        <v>2270</v>
      </c>
      <c r="CO13" s="1970">
        <v>3384</v>
      </c>
      <c r="CP13" s="1970">
        <v>3905.7799999999997</v>
      </c>
      <c r="CQ13" s="1970">
        <v>4924.4759999999997</v>
      </c>
      <c r="CR13" s="1970">
        <v>6930.6669999999995</v>
      </c>
      <c r="CS13" s="1970">
        <v>7416.64</v>
      </c>
      <c r="CT13" s="1970">
        <v>10074.204000000002</v>
      </c>
      <c r="CU13" s="1970">
        <v>11696.456</v>
      </c>
      <c r="CV13" s="1970">
        <v>10079.565000000001</v>
      </c>
      <c r="CW13" s="1970">
        <v>7584.2550000000001</v>
      </c>
      <c r="CX13" s="1970">
        <v>5833.6240000000007</v>
      </c>
      <c r="CY13" s="1970">
        <v>6017.0959999999977</v>
      </c>
      <c r="CZ13" s="1970">
        <v>6500.0010000000002</v>
      </c>
      <c r="DA13" s="1970">
        <v>5520.8779999999997</v>
      </c>
      <c r="DB13" s="1970">
        <v>5262.9659999999994</v>
      </c>
      <c r="DC13" s="1970">
        <v>6096.1630000000014</v>
      </c>
      <c r="DD13" s="1970">
        <v>5870.9859999999962</v>
      </c>
      <c r="DE13" s="1970">
        <v>5470.7389999999996</v>
      </c>
      <c r="DF13" s="2085" t="s">
        <v>78</v>
      </c>
    </row>
    <row r="14" spans="1:110" s="2081" customFormat="1" ht="12.75" customHeight="1">
      <c r="A14" s="2087" t="s">
        <v>79</v>
      </c>
      <c r="B14" s="2083">
        <v>307</v>
      </c>
      <c r="C14" s="2081">
        <v>228</v>
      </c>
      <c r="D14" s="2081">
        <v>355</v>
      </c>
      <c r="E14" s="2081">
        <v>242</v>
      </c>
      <c r="F14" s="2081">
        <v>224</v>
      </c>
      <c r="G14" s="2081">
        <v>279</v>
      </c>
      <c r="H14" s="1970">
        <v>223</v>
      </c>
      <c r="I14" s="1970">
        <v>225</v>
      </c>
      <c r="J14" s="1970">
        <v>302.517</v>
      </c>
      <c r="K14" s="1970">
        <v>219</v>
      </c>
      <c r="L14" s="1970">
        <v>231.40899999999999</v>
      </c>
      <c r="M14" s="1970">
        <v>259</v>
      </c>
      <c r="N14" s="1970">
        <v>289</v>
      </c>
      <c r="O14" s="1970">
        <v>350</v>
      </c>
      <c r="P14" s="1970">
        <v>349</v>
      </c>
      <c r="Q14" s="1970">
        <v>281</v>
      </c>
      <c r="R14" s="1970">
        <v>272</v>
      </c>
      <c r="S14" s="1970">
        <v>386</v>
      </c>
      <c r="T14" s="1970">
        <v>356.71</v>
      </c>
      <c r="U14" s="1970">
        <v>557.53099999999995</v>
      </c>
      <c r="V14" s="1970">
        <v>455.42200000000003</v>
      </c>
      <c r="W14" s="1970">
        <v>594</v>
      </c>
      <c r="X14" s="1970">
        <v>124</v>
      </c>
      <c r="Y14" s="1970">
        <v>200.70699999999999</v>
      </c>
      <c r="Z14" s="1970">
        <v>173</v>
      </c>
      <c r="AA14" s="1970">
        <v>268</v>
      </c>
      <c r="AB14" s="1970">
        <v>184.43100000000001</v>
      </c>
      <c r="AC14" s="1970">
        <v>294.63200000000001</v>
      </c>
      <c r="AD14" s="1970">
        <v>227.88399999999999</v>
      </c>
      <c r="AE14" s="1970">
        <v>221.346</v>
      </c>
      <c r="AF14" s="1970">
        <v>242.476</v>
      </c>
      <c r="AG14" s="1970">
        <v>317.32299999999998</v>
      </c>
      <c r="AH14" s="1970">
        <v>221</v>
      </c>
      <c r="AI14" s="1970">
        <v>271</v>
      </c>
      <c r="AJ14" s="1970">
        <v>255</v>
      </c>
      <c r="AK14" s="1970">
        <v>411.24700000000001</v>
      </c>
      <c r="AL14" s="1970">
        <v>427.78</v>
      </c>
      <c r="AM14" s="1970">
        <v>325</v>
      </c>
      <c r="AN14" s="1970">
        <v>151.86099999999999</v>
      </c>
      <c r="AO14" s="1970">
        <v>228.291</v>
      </c>
      <c r="AP14" s="1970">
        <v>357</v>
      </c>
      <c r="AQ14" s="1970">
        <v>349.30200000000002</v>
      </c>
      <c r="AR14" s="1970">
        <v>341.786</v>
      </c>
      <c r="AS14" s="1970">
        <v>334</v>
      </c>
      <c r="AT14" s="1970">
        <v>226</v>
      </c>
      <c r="AU14" s="1970">
        <v>365</v>
      </c>
      <c r="AV14" s="1970">
        <v>314.58100000000002</v>
      </c>
      <c r="AW14" s="1970">
        <v>415.40600000000001</v>
      </c>
      <c r="AX14" s="1970">
        <v>307</v>
      </c>
      <c r="AY14" s="1970">
        <v>485</v>
      </c>
      <c r="AZ14" s="1970">
        <v>344</v>
      </c>
      <c r="BA14" s="1970">
        <v>452</v>
      </c>
      <c r="BB14" s="1970">
        <v>323</v>
      </c>
      <c r="BC14" s="2084">
        <v>554</v>
      </c>
      <c r="BD14" s="293">
        <f>SUM(AZ14:BC14)</f>
        <v>1673</v>
      </c>
      <c r="BE14" s="1970">
        <v>452</v>
      </c>
      <c r="BF14" s="1970">
        <v>451</v>
      </c>
      <c r="BG14" s="1970">
        <v>363</v>
      </c>
      <c r="BH14" s="2084">
        <v>508</v>
      </c>
      <c r="BI14" s="293">
        <f t="shared" si="3"/>
        <v>1774</v>
      </c>
      <c r="BJ14" s="1970">
        <v>365</v>
      </c>
      <c r="BK14" s="1970">
        <v>429</v>
      </c>
      <c r="BL14" s="1970">
        <v>386</v>
      </c>
      <c r="BM14" s="1970">
        <v>453</v>
      </c>
      <c r="BN14" s="291">
        <f t="shared" si="4"/>
        <v>1633</v>
      </c>
      <c r="BO14" s="1970">
        <v>453</v>
      </c>
      <c r="BP14" s="1970">
        <v>374</v>
      </c>
      <c r="BQ14" s="2084">
        <v>289</v>
      </c>
      <c r="BR14" s="293">
        <f t="shared" si="5"/>
        <v>1116</v>
      </c>
      <c r="BS14" s="1969">
        <v>382</v>
      </c>
      <c r="BT14" s="293">
        <f>BR14+BS14</f>
        <v>1498</v>
      </c>
      <c r="BU14" s="1969">
        <v>229</v>
      </c>
      <c r="BV14" s="1969">
        <v>316</v>
      </c>
      <c r="BW14" s="1970">
        <v>239</v>
      </c>
      <c r="BX14" s="1970">
        <v>376</v>
      </c>
      <c r="BY14" s="1970">
        <v>254</v>
      </c>
      <c r="BZ14" s="1970">
        <v>459</v>
      </c>
      <c r="CA14" s="1970">
        <v>317</v>
      </c>
      <c r="CB14" s="1970">
        <v>443</v>
      </c>
      <c r="CC14" s="1970">
        <v>338</v>
      </c>
      <c r="CD14" s="1970">
        <v>476</v>
      </c>
      <c r="CE14" s="1970">
        <v>337</v>
      </c>
      <c r="CF14" s="1970">
        <v>467</v>
      </c>
      <c r="CG14" s="1970">
        <v>396</v>
      </c>
      <c r="CH14" s="1970">
        <v>549</v>
      </c>
      <c r="CI14" s="1970">
        <v>396</v>
      </c>
      <c r="CJ14" s="1970">
        <v>510</v>
      </c>
      <c r="CK14" s="1970">
        <v>411</v>
      </c>
      <c r="CL14" s="1970">
        <f>888-CK14</f>
        <v>477</v>
      </c>
      <c r="CM14" s="1970">
        <v>328</v>
      </c>
      <c r="CN14" s="1970">
        <v>555</v>
      </c>
      <c r="CO14" s="1970">
        <v>457</v>
      </c>
      <c r="CP14" s="1970">
        <v>606.37800000000004</v>
      </c>
      <c r="CQ14" s="1970">
        <v>615.62099999999998</v>
      </c>
      <c r="CR14" s="1970">
        <v>868.35900000000004</v>
      </c>
      <c r="CS14" s="1970">
        <v>707.65200000000004</v>
      </c>
      <c r="CT14" s="1970">
        <v>703.31999999999994</v>
      </c>
      <c r="CU14" s="1970">
        <v>628.63400000000001</v>
      </c>
      <c r="CV14" s="1970">
        <v>900.22500000000014</v>
      </c>
      <c r="CW14" s="1970">
        <v>899.52499999999998</v>
      </c>
      <c r="CX14" s="1970">
        <v>839.90800000000002</v>
      </c>
      <c r="CY14" s="1970">
        <v>652.01000000000022</v>
      </c>
      <c r="CZ14" s="1970">
        <v>875.69499999999971</v>
      </c>
      <c r="DA14" s="1970">
        <v>663.61599999999999</v>
      </c>
      <c r="DB14" s="1970">
        <v>905.04300000000012</v>
      </c>
      <c r="DC14" s="1970">
        <v>816.39699999999993</v>
      </c>
      <c r="DD14" s="1970">
        <v>855.97899999999981</v>
      </c>
      <c r="DE14" s="1970">
        <v>742.13099999999997</v>
      </c>
      <c r="DF14" s="2085" t="s">
        <v>80</v>
      </c>
    </row>
    <row r="15" spans="1:110" s="2081" customFormat="1" ht="12.75" customHeight="1">
      <c r="A15" s="2087"/>
      <c r="B15" s="2083"/>
      <c r="H15" s="1970"/>
      <c r="I15" s="1970"/>
      <c r="J15" s="1970"/>
      <c r="K15" s="1970"/>
      <c r="L15" s="1970"/>
      <c r="M15" s="1970"/>
      <c r="N15" s="1970"/>
      <c r="O15" s="1970"/>
      <c r="P15" s="1970"/>
      <c r="Q15" s="1970"/>
      <c r="R15" s="1970"/>
      <c r="S15" s="1970"/>
      <c r="T15" s="1970"/>
      <c r="U15" s="1970"/>
      <c r="V15" s="1970"/>
      <c r="W15" s="1970"/>
      <c r="X15" s="1970"/>
      <c r="Y15" s="1970"/>
      <c r="Z15" s="1970"/>
      <c r="AA15" s="1970"/>
      <c r="AB15" s="1970"/>
      <c r="AC15" s="1970"/>
      <c r="AD15" s="1970"/>
      <c r="AE15" s="1970"/>
      <c r="AF15" s="1970"/>
      <c r="AG15" s="1970"/>
      <c r="AH15" s="1970"/>
      <c r="AI15" s="1970"/>
      <c r="AJ15" s="1970"/>
      <c r="AK15" s="1970"/>
      <c r="AL15" s="1970"/>
      <c r="AM15" s="1970"/>
      <c r="AN15" s="1970"/>
      <c r="AO15" s="1970"/>
      <c r="AP15" s="1970"/>
      <c r="AQ15" s="1970"/>
      <c r="AR15" s="1970"/>
      <c r="AS15" s="1970"/>
      <c r="AT15" s="1970"/>
      <c r="AU15" s="1970"/>
      <c r="AV15" s="1970"/>
      <c r="AW15" s="1970"/>
      <c r="AX15" s="1970"/>
      <c r="AY15" s="1970"/>
      <c r="AZ15" s="1970"/>
      <c r="BA15" s="1970"/>
      <c r="BB15" s="1970"/>
      <c r="BC15" s="2084"/>
      <c r="BD15" s="293"/>
      <c r="BE15" s="1970"/>
      <c r="BF15" s="1970"/>
      <c r="BG15" s="1970"/>
      <c r="BH15" s="2084"/>
      <c r="BI15" s="293"/>
      <c r="BJ15" s="1970"/>
      <c r="BK15" s="1970"/>
      <c r="BL15" s="1970"/>
      <c r="BM15" s="1970"/>
      <c r="BN15" s="291"/>
      <c r="BO15" s="1970"/>
      <c r="BP15" s="1970"/>
      <c r="BQ15" s="2084"/>
      <c r="BR15" s="293"/>
      <c r="BS15" s="1969"/>
      <c r="BT15" s="293"/>
      <c r="BU15" s="1969"/>
      <c r="BV15" s="1969"/>
      <c r="BW15" s="1970"/>
      <c r="BX15" s="1970"/>
      <c r="BY15" s="1970"/>
      <c r="BZ15" s="1970"/>
      <c r="CA15" s="1970"/>
      <c r="CB15" s="1970"/>
      <c r="CC15" s="1970"/>
      <c r="CD15" s="1970"/>
      <c r="CE15" s="1970"/>
      <c r="CF15" s="1970"/>
      <c r="CG15" s="1970"/>
      <c r="CH15" s="1970"/>
      <c r="CI15" s="1970"/>
      <c r="CJ15" s="1970"/>
      <c r="CK15" s="1970"/>
      <c r="CL15" s="1970"/>
      <c r="CM15" s="1970"/>
      <c r="CN15" s="1970"/>
      <c r="CO15" s="1970"/>
      <c r="CP15" s="1970"/>
      <c r="CQ15" s="1970"/>
      <c r="CR15" s="1970"/>
      <c r="CS15" s="1970"/>
      <c r="CT15" s="1970"/>
      <c r="CU15" s="1970"/>
      <c r="CV15" s="1970"/>
      <c r="CW15" s="1970"/>
      <c r="CX15" s="1970"/>
      <c r="CY15" s="1970"/>
      <c r="CZ15" s="1970"/>
      <c r="DA15" s="1970"/>
      <c r="DB15" s="1970"/>
      <c r="DC15" s="1970"/>
      <c r="DD15" s="1970"/>
      <c r="DE15" s="1970"/>
      <c r="DF15" s="2085"/>
    </row>
    <row r="16" spans="1:110" s="2081" customFormat="1">
      <c r="A16" s="2086" t="s">
        <v>81</v>
      </c>
      <c r="B16" s="1970">
        <v>-985</v>
      </c>
      <c r="C16" s="1970">
        <v>-1338</v>
      </c>
      <c r="D16" s="1970">
        <v>-1375</v>
      </c>
      <c r="E16" s="1970">
        <v>-1724</v>
      </c>
      <c r="F16" s="1970">
        <v>-1433</v>
      </c>
      <c r="G16" s="1970">
        <v>-1539</v>
      </c>
      <c r="H16" s="1970">
        <v>-317</v>
      </c>
      <c r="I16" s="1970">
        <v>-333.30799999999999</v>
      </c>
      <c r="J16" s="1970">
        <v>-414.31299999999999</v>
      </c>
      <c r="K16" s="1970">
        <v>-401</v>
      </c>
      <c r="L16" s="1970">
        <v>-388.536</v>
      </c>
      <c r="M16" s="1970">
        <v>-405</v>
      </c>
      <c r="N16" s="1970">
        <v>-467</v>
      </c>
      <c r="O16" s="1970">
        <v>-563</v>
      </c>
      <c r="P16" s="1970">
        <v>-486.57600000000002</v>
      </c>
      <c r="Q16" s="1970">
        <v>-678</v>
      </c>
      <c r="R16" s="1970">
        <v>-681</v>
      </c>
      <c r="S16" s="1970">
        <v>-877</v>
      </c>
      <c r="T16" s="1970">
        <v>-712</v>
      </c>
      <c r="U16" s="1970">
        <v>-840.8130000000001</v>
      </c>
      <c r="V16" s="1970">
        <v>-1003.832</v>
      </c>
      <c r="W16" s="1970">
        <v>-1025</v>
      </c>
      <c r="X16" s="1970">
        <v>-1117</v>
      </c>
      <c r="Y16" s="1970">
        <v>-1009.21</v>
      </c>
      <c r="Z16" s="1970">
        <v>-1215</v>
      </c>
      <c r="AA16" s="1970">
        <v>-1008</v>
      </c>
      <c r="AB16" s="1970">
        <v>-926.14300000000003</v>
      </c>
      <c r="AC16" s="1970">
        <v>-1231</v>
      </c>
      <c r="AD16" s="1970">
        <v>-1445.857</v>
      </c>
      <c r="AE16" s="1970">
        <v>-1588</v>
      </c>
      <c r="AF16" s="1970">
        <v>-1184</v>
      </c>
      <c r="AG16" s="1970">
        <v>-1416.48</v>
      </c>
      <c r="AH16" s="1970">
        <v>-1554</v>
      </c>
      <c r="AI16" s="1970">
        <v>-1882</v>
      </c>
      <c r="AJ16" s="1970">
        <v>-1414</v>
      </c>
      <c r="AK16" s="1970">
        <v>-1789.2740000000001</v>
      </c>
      <c r="AL16" s="1970">
        <v>-2275.6179999999999</v>
      </c>
      <c r="AM16" s="1970">
        <v>-2071</v>
      </c>
      <c r="AN16" s="1970">
        <v>-1459</v>
      </c>
      <c r="AO16" s="1970">
        <v>-1441.664</v>
      </c>
      <c r="AP16" s="1970">
        <v>-1680.9290000000001</v>
      </c>
      <c r="AQ16" s="1970">
        <v>-1648</v>
      </c>
      <c r="AR16" s="1970">
        <v>-1214.837</v>
      </c>
      <c r="AS16" s="1970">
        <v>-1725</v>
      </c>
      <c r="AT16" s="1970">
        <v>-1658</v>
      </c>
      <c r="AU16" s="1970">
        <v>-2065</v>
      </c>
      <c r="AV16" s="1970">
        <v>-1963</v>
      </c>
      <c r="AW16" s="1970">
        <v>-2551.8269999999998</v>
      </c>
      <c r="AX16" s="1970">
        <v>-2623</v>
      </c>
      <c r="AY16" s="1970">
        <v>-2917</v>
      </c>
      <c r="AZ16" s="1970">
        <f>AZ18+AZ19</f>
        <v>-2140</v>
      </c>
      <c r="BA16" s="1970">
        <f t="shared" ref="BA16:BQ16" si="6">BA18+BA19</f>
        <v>-2480</v>
      </c>
      <c r="BB16" s="1970">
        <f t="shared" si="6"/>
        <v>-2466</v>
      </c>
      <c r="BC16" s="1970">
        <f t="shared" si="6"/>
        <v>-3107</v>
      </c>
      <c r="BD16" s="291">
        <f t="shared" si="6"/>
        <v>-10193</v>
      </c>
      <c r="BE16" s="1970">
        <v>-2401</v>
      </c>
      <c r="BF16" s="1970">
        <v>-2975</v>
      </c>
      <c r="BG16" s="1970">
        <v>-3026</v>
      </c>
      <c r="BH16" s="1970">
        <v>-2753</v>
      </c>
      <c r="BI16" s="291">
        <f t="shared" si="6"/>
        <v>-11155</v>
      </c>
      <c r="BJ16" s="1970">
        <f t="shared" si="6"/>
        <v>-1960</v>
      </c>
      <c r="BK16" s="1970">
        <f t="shared" si="6"/>
        <v>-2506</v>
      </c>
      <c r="BL16" s="1970">
        <f t="shared" si="6"/>
        <v>-2258</v>
      </c>
      <c r="BM16" s="1970">
        <f t="shared" si="6"/>
        <v>-2608</v>
      </c>
      <c r="BN16" s="291">
        <f>BN18+BN19</f>
        <v>-9332</v>
      </c>
      <c r="BO16" s="1970">
        <f t="shared" si="6"/>
        <v>-2492</v>
      </c>
      <c r="BP16" s="1970">
        <f t="shared" si="6"/>
        <v>-2427</v>
      </c>
      <c r="BQ16" s="1970">
        <f t="shared" si="6"/>
        <v>-2102</v>
      </c>
      <c r="BR16" s="291">
        <f>BR18+BR19</f>
        <v>-7021</v>
      </c>
      <c r="BS16" s="1969">
        <f t="shared" ref="BS16:BY16" si="7">BS18+BS19</f>
        <v>-2753</v>
      </c>
      <c r="BT16" s="293">
        <f>BT18+BT19</f>
        <v>-9774</v>
      </c>
      <c r="BU16" s="1969">
        <f t="shared" si="7"/>
        <v>-1930</v>
      </c>
      <c r="BV16" s="1969">
        <f t="shared" si="7"/>
        <v>-2397</v>
      </c>
      <c r="BW16" s="1969">
        <f t="shared" si="7"/>
        <v>-2293</v>
      </c>
      <c r="BX16" s="1970">
        <f t="shared" si="7"/>
        <v>-2384</v>
      </c>
      <c r="BY16" s="1970">
        <f t="shared" si="7"/>
        <v>-1666</v>
      </c>
      <c r="BZ16" s="1970">
        <f>BZ18+BZ19</f>
        <v>-1966</v>
      </c>
      <c r="CA16" s="1970">
        <f>CA18+CA19</f>
        <v>-2758</v>
      </c>
      <c r="CB16" s="1970">
        <f>CB18+CB19</f>
        <v>-2647</v>
      </c>
      <c r="CC16" s="1970">
        <v>-2166</v>
      </c>
      <c r="CD16" s="1970">
        <v>-2733</v>
      </c>
      <c r="CE16" s="1970">
        <v>-2995</v>
      </c>
      <c r="CF16" s="1970">
        <f>CF18+CF19</f>
        <v>-3059</v>
      </c>
      <c r="CG16" s="1970">
        <v>-2261</v>
      </c>
      <c r="CH16" s="1970">
        <v>-2785</v>
      </c>
      <c r="CI16" s="1970">
        <v>-3077</v>
      </c>
      <c r="CJ16" s="1970">
        <v>-3212</v>
      </c>
      <c r="CK16" s="1970">
        <v>-2590</v>
      </c>
      <c r="CL16" s="1970">
        <f>CL18+CL19</f>
        <v>-2200</v>
      </c>
      <c r="CM16" s="1970">
        <v>-2630</v>
      </c>
      <c r="CN16" s="1970">
        <v>-2657</v>
      </c>
      <c r="CO16" s="1970">
        <v>-2292</v>
      </c>
      <c r="CP16" s="1970">
        <v>-2542.0990000000002</v>
      </c>
      <c r="CQ16" s="1970">
        <v>-2652.77</v>
      </c>
      <c r="CR16" s="1970">
        <v>-2931.7989999999995</v>
      </c>
      <c r="CS16" s="1970">
        <v>-2677.2290000000003</v>
      </c>
      <c r="CT16" s="1970">
        <v>-3202.213999999999</v>
      </c>
      <c r="CU16" s="1970">
        <v>-3655.1010000000001</v>
      </c>
      <c r="CV16" s="1970">
        <v>-3974.6720000000014</v>
      </c>
      <c r="CW16" s="1970">
        <v>-3763.123</v>
      </c>
      <c r="CX16" s="1970">
        <v>-3905.2539999999995</v>
      </c>
      <c r="CY16" s="1970">
        <v>-4181.5790000000015</v>
      </c>
      <c r="CZ16" s="1970">
        <v>-4546.5949999999993</v>
      </c>
      <c r="DA16" s="1970">
        <v>-3515.0550000000003</v>
      </c>
      <c r="DB16" s="1970">
        <v>-4214.0959999999995</v>
      </c>
      <c r="DC16" s="1970">
        <v>-4531.9529999999995</v>
      </c>
      <c r="DD16" s="1969">
        <v>-4905.9800000000014</v>
      </c>
      <c r="DE16" s="1969">
        <v>-3767.41</v>
      </c>
      <c r="DF16" s="2085" t="s">
        <v>82</v>
      </c>
    </row>
    <row r="17" spans="1:111" ht="12.75" customHeight="1">
      <c r="A17" s="1973"/>
      <c r="B17" s="2088"/>
      <c r="H17" s="1970"/>
      <c r="I17" s="1970"/>
      <c r="J17" s="1970"/>
      <c r="K17" s="1970"/>
      <c r="L17" s="1970"/>
      <c r="M17" s="1970"/>
      <c r="N17" s="1970"/>
      <c r="O17" s="1970"/>
      <c r="P17" s="1970"/>
      <c r="Q17" s="1970"/>
      <c r="R17" s="1970"/>
      <c r="S17" s="1970"/>
      <c r="T17" s="1970"/>
      <c r="U17" s="1970"/>
      <c r="V17" s="1970"/>
      <c r="W17" s="1970"/>
      <c r="X17" s="1970"/>
      <c r="Y17" s="1970"/>
      <c r="Z17" s="1970"/>
      <c r="AA17" s="1970"/>
      <c r="AB17" s="1970"/>
      <c r="AC17" s="1970"/>
      <c r="AD17" s="1970"/>
      <c r="AE17" s="1970"/>
      <c r="AF17" s="1970"/>
      <c r="AG17" s="1970"/>
      <c r="AH17" s="1970"/>
      <c r="AI17" s="1970"/>
      <c r="AJ17" s="1970"/>
      <c r="AK17" s="1970"/>
      <c r="AL17" s="1970"/>
      <c r="AM17" s="1970"/>
      <c r="AN17" s="1970"/>
      <c r="AO17" s="1970"/>
      <c r="AP17" s="1970"/>
      <c r="AQ17" s="1970"/>
      <c r="AR17" s="1970"/>
      <c r="AS17" s="1970"/>
      <c r="AT17" s="1970"/>
      <c r="AU17" s="1970"/>
      <c r="AV17" s="1970"/>
      <c r="AW17" s="1970"/>
      <c r="AX17" s="1970"/>
      <c r="AY17" s="1970"/>
      <c r="AZ17" s="1970"/>
      <c r="BA17" s="1970"/>
      <c r="BB17" s="1970"/>
      <c r="BC17" s="2084"/>
      <c r="BD17" s="293"/>
      <c r="BE17" s="1970"/>
      <c r="BF17" s="1970"/>
      <c r="BG17" s="1970"/>
      <c r="BH17" s="2084"/>
      <c r="BI17" s="293"/>
      <c r="BJ17" s="1970"/>
      <c r="BK17" s="1970"/>
      <c r="BL17" s="1970"/>
      <c r="BM17" s="1970"/>
      <c r="BN17" s="291"/>
      <c r="BO17" s="1970"/>
      <c r="BP17" s="1970"/>
      <c r="BQ17" s="2084"/>
      <c r="BR17" s="293"/>
      <c r="BS17" s="1969"/>
      <c r="BT17" s="293"/>
      <c r="BU17" s="1969"/>
      <c r="BV17" s="1969"/>
      <c r="BW17" s="1970"/>
      <c r="BX17" s="1970"/>
      <c r="BY17" s="1970"/>
      <c r="BZ17" s="1970"/>
      <c r="CA17" s="1970"/>
      <c r="CB17" s="1970"/>
      <c r="CC17" s="1970"/>
      <c r="CD17" s="1970"/>
      <c r="CE17" s="1970"/>
      <c r="CF17" s="1970"/>
      <c r="CG17" s="1970"/>
      <c r="CH17" s="1970"/>
      <c r="CI17" s="1970"/>
      <c r="CJ17" s="1970"/>
      <c r="CK17" s="1970"/>
      <c r="CL17" s="1970"/>
      <c r="CM17" s="1970"/>
      <c r="CN17" s="1970"/>
      <c r="CO17" s="1970"/>
      <c r="CP17" s="1970"/>
      <c r="CQ17" s="1970"/>
      <c r="CR17" s="1970"/>
      <c r="CS17" s="1970"/>
      <c r="CT17" s="1970"/>
      <c r="CU17" s="1970"/>
      <c r="CV17" s="1970"/>
      <c r="CW17" s="1970"/>
      <c r="CX17" s="1970"/>
      <c r="CY17" s="1970"/>
      <c r="CZ17" s="1970"/>
      <c r="DA17" s="1970"/>
      <c r="DB17" s="1970"/>
      <c r="DC17" s="1970"/>
      <c r="DD17" s="1970"/>
      <c r="DE17" s="1970"/>
      <c r="DF17" s="2089"/>
      <c r="DG17" s="2081"/>
    </row>
    <row r="18" spans="1:111" s="2081" customFormat="1">
      <c r="A18" s="2087" t="s">
        <v>77</v>
      </c>
      <c r="B18" s="2083">
        <v>-64</v>
      </c>
      <c r="C18" s="2081">
        <v>-213</v>
      </c>
      <c r="D18" s="2081">
        <v>-256</v>
      </c>
      <c r="E18" s="2081">
        <v>-356</v>
      </c>
      <c r="F18" s="2081">
        <v>-195</v>
      </c>
      <c r="G18" s="2081">
        <v>-147</v>
      </c>
      <c r="H18" s="1970">
        <v>-21</v>
      </c>
      <c r="I18" s="1970">
        <v>-39.56</v>
      </c>
      <c r="J18" s="1970">
        <v>-39.575000000000003</v>
      </c>
      <c r="K18" s="1970">
        <v>-39</v>
      </c>
      <c r="L18" s="1970">
        <v>-26</v>
      </c>
      <c r="M18" s="1970">
        <v>-55</v>
      </c>
      <c r="N18" s="1970">
        <v>-109</v>
      </c>
      <c r="O18" s="1970">
        <v>-146</v>
      </c>
      <c r="P18" s="1970">
        <v>-127.34</v>
      </c>
      <c r="Q18" s="1970">
        <v>-306</v>
      </c>
      <c r="R18" s="1970">
        <v>-283</v>
      </c>
      <c r="S18" s="1970">
        <v>-393</v>
      </c>
      <c r="T18" s="1970">
        <v>-265</v>
      </c>
      <c r="U18" s="1970">
        <v>-350.27300000000002</v>
      </c>
      <c r="V18" s="1970">
        <v>-541.85199999999998</v>
      </c>
      <c r="W18" s="1970">
        <v>-466</v>
      </c>
      <c r="X18" s="1970">
        <v>-768</v>
      </c>
      <c r="Y18" s="1970">
        <v>-441.55</v>
      </c>
      <c r="Z18" s="1970">
        <v>-448</v>
      </c>
      <c r="AA18" s="1970">
        <v>-269</v>
      </c>
      <c r="AB18" s="1970">
        <v>-360.589</v>
      </c>
      <c r="AC18" s="1970">
        <v>-467</v>
      </c>
      <c r="AD18" s="1970">
        <v>-470.17700000000002</v>
      </c>
      <c r="AE18" s="1970">
        <v>-454</v>
      </c>
      <c r="AF18" s="1970">
        <v>-306</v>
      </c>
      <c r="AG18" s="1970">
        <v>-283.33499999999998</v>
      </c>
      <c r="AH18" s="1970">
        <v>-367</v>
      </c>
      <c r="AI18" s="1970">
        <v>-336</v>
      </c>
      <c r="AJ18" s="1970">
        <v>-196</v>
      </c>
      <c r="AK18" s="1970">
        <v>-255.28700000000001</v>
      </c>
      <c r="AL18" s="1970">
        <v>-306.57100000000003</v>
      </c>
      <c r="AM18" s="1970">
        <v>-307</v>
      </c>
      <c r="AN18" s="1970">
        <v>-202</v>
      </c>
      <c r="AO18" s="1970">
        <v>-166.60599999999999</v>
      </c>
      <c r="AP18" s="1970">
        <v>-172.44300000000001</v>
      </c>
      <c r="AQ18" s="1970">
        <v>-159</v>
      </c>
      <c r="AR18" s="1970">
        <v>-127.55500000000001</v>
      </c>
      <c r="AS18" s="1970">
        <v>-244</v>
      </c>
      <c r="AT18" s="1970">
        <v>-223</v>
      </c>
      <c r="AU18" s="1970">
        <v>-243</v>
      </c>
      <c r="AV18" s="1970">
        <v>-199</v>
      </c>
      <c r="AW18" s="1970">
        <v>-262.178</v>
      </c>
      <c r="AX18" s="1970">
        <v>-277</v>
      </c>
      <c r="AY18" s="1970">
        <v>-397</v>
      </c>
      <c r="AZ18" s="1970">
        <v>-191</v>
      </c>
      <c r="BA18" s="1970">
        <v>-317</v>
      </c>
      <c r="BB18" s="1970">
        <v>-261</v>
      </c>
      <c r="BC18" s="2084">
        <v>-275</v>
      </c>
      <c r="BD18" s="293">
        <f>SUM(AZ18:BC18)</f>
        <v>-1044</v>
      </c>
      <c r="BE18" s="1970">
        <v>-282</v>
      </c>
      <c r="BF18" s="1970">
        <v>-237</v>
      </c>
      <c r="BG18" s="1970">
        <v>-292</v>
      </c>
      <c r="BH18" s="2084">
        <v>-356</v>
      </c>
      <c r="BI18" s="293">
        <f t="shared" si="3"/>
        <v>-1167</v>
      </c>
      <c r="BJ18" s="1970">
        <v>-272</v>
      </c>
      <c r="BK18" s="1970">
        <v>-409</v>
      </c>
      <c r="BL18" s="1970">
        <v>-326</v>
      </c>
      <c r="BM18" s="1970">
        <v>-431</v>
      </c>
      <c r="BN18" s="291">
        <f t="shared" si="4"/>
        <v>-1438</v>
      </c>
      <c r="BO18" s="1970">
        <v>-344</v>
      </c>
      <c r="BP18" s="1970">
        <v>-590</v>
      </c>
      <c r="BQ18" s="2084">
        <v>-571</v>
      </c>
      <c r="BR18" s="293">
        <f t="shared" si="5"/>
        <v>-1505</v>
      </c>
      <c r="BS18" s="1969">
        <v>-899</v>
      </c>
      <c r="BT18" s="293">
        <f>BR18+BS18</f>
        <v>-2404</v>
      </c>
      <c r="BU18" s="1969">
        <v>-771</v>
      </c>
      <c r="BV18" s="1969">
        <v>-476</v>
      </c>
      <c r="BW18" s="1970">
        <v>-573</v>
      </c>
      <c r="BX18" s="1970">
        <v>-509</v>
      </c>
      <c r="BY18" s="1970">
        <v>-274</v>
      </c>
      <c r="BZ18" s="1970">
        <v>-260</v>
      </c>
      <c r="CA18" s="1970">
        <v>-442</v>
      </c>
      <c r="CB18" s="1970">
        <v>-366</v>
      </c>
      <c r="CC18" s="1970">
        <v>-339</v>
      </c>
      <c r="CD18" s="1970">
        <v>-343</v>
      </c>
      <c r="CE18" s="1970">
        <v>-484</v>
      </c>
      <c r="CF18" s="1970">
        <v>-580</v>
      </c>
      <c r="CG18" s="1970">
        <v>-360</v>
      </c>
      <c r="CH18" s="1970">
        <v>-472</v>
      </c>
      <c r="CI18" s="1970">
        <v>-492</v>
      </c>
      <c r="CJ18" s="1970">
        <v>-557</v>
      </c>
      <c r="CK18" s="1970">
        <v>-453</v>
      </c>
      <c r="CL18" s="1970">
        <f>-819-CK18</f>
        <v>-366</v>
      </c>
      <c r="CM18" s="1970">
        <v>-548</v>
      </c>
      <c r="CN18" s="1970">
        <v>-509</v>
      </c>
      <c r="CO18" s="1970">
        <v>-404</v>
      </c>
      <c r="CP18" s="1970">
        <v>-432.16899999999998</v>
      </c>
      <c r="CQ18" s="1970">
        <v>-404.13900000000001</v>
      </c>
      <c r="CR18" s="1970">
        <v>-384.41000000000008</v>
      </c>
      <c r="CS18" s="1970">
        <v>-331.54500000000002</v>
      </c>
      <c r="CT18" s="1970">
        <v>-722.01599999999985</v>
      </c>
      <c r="CU18" s="1970">
        <v>-594.04300000000012</v>
      </c>
      <c r="CV18" s="1970">
        <v>-891.42100000000005</v>
      </c>
      <c r="CW18" s="1970">
        <v>-848.75400000000002</v>
      </c>
      <c r="CX18" s="1970">
        <v>-1117.3119999999999</v>
      </c>
      <c r="CY18" s="1970">
        <v>-869.58200000000011</v>
      </c>
      <c r="CZ18" s="1970">
        <v>-12.85799999999972</v>
      </c>
      <c r="DA18" s="1970">
        <v>-505.76</v>
      </c>
      <c r="DB18" s="1970">
        <v>-632.57399999999996</v>
      </c>
      <c r="DC18" s="1970">
        <v>-645.42499999999995</v>
      </c>
      <c r="DD18" s="1970">
        <v>-685.07200000000012</v>
      </c>
      <c r="DE18" s="1970">
        <v>-510.36200000000002</v>
      </c>
      <c r="DF18" s="2085" t="s">
        <v>78</v>
      </c>
    </row>
    <row r="19" spans="1:111" s="2081" customFormat="1">
      <c r="A19" s="2087" t="s">
        <v>79</v>
      </c>
      <c r="B19" s="2083">
        <v>-921</v>
      </c>
      <c r="C19" s="2081">
        <v>-1125</v>
      </c>
      <c r="D19" s="2081">
        <v>-1119</v>
      </c>
      <c r="E19" s="2081">
        <v>-1368</v>
      </c>
      <c r="F19" s="2081">
        <v>-1238</v>
      </c>
      <c r="G19" s="2081">
        <v>-1392</v>
      </c>
      <c r="H19" s="1970">
        <v>-296</v>
      </c>
      <c r="I19" s="1970">
        <v>-293.74799999999999</v>
      </c>
      <c r="J19" s="1970">
        <v>-374.738</v>
      </c>
      <c r="K19" s="1970">
        <v>-362</v>
      </c>
      <c r="L19" s="1970">
        <v>-362.536</v>
      </c>
      <c r="M19" s="1970">
        <v>-350</v>
      </c>
      <c r="N19" s="1970">
        <v>-358</v>
      </c>
      <c r="O19" s="1970">
        <v>-417</v>
      </c>
      <c r="P19" s="1970">
        <v>-359.23599999999999</v>
      </c>
      <c r="Q19" s="1970">
        <v>-372</v>
      </c>
      <c r="R19" s="1970">
        <v>-398</v>
      </c>
      <c r="S19" s="1970">
        <v>-484</v>
      </c>
      <c r="T19" s="1970">
        <v>-447</v>
      </c>
      <c r="U19" s="1970">
        <v>-490.54</v>
      </c>
      <c r="V19" s="1970">
        <v>-461.98</v>
      </c>
      <c r="W19" s="1970">
        <v>-559</v>
      </c>
      <c r="X19" s="1970">
        <v>-349</v>
      </c>
      <c r="Y19" s="1970">
        <v>-567.66</v>
      </c>
      <c r="Z19" s="1970">
        <v>-767</v>
      </c>
      <c r="AA19" s="1970">
        <v>-739</v>
      </c>
      <c r="AB19" s="1970">
        <v>-565.55399999999997</v>
      </c>
      <c r="AC19" s="1970">
        <v>-764</v>
      </c>
      <c r="AD19" s="1970">
        <v>-975.68</v>
      </c>
      <c r="AE19" s="1970">
        <v>-1134</v>
      </c>
      <c r="AF19" s="1970">
        <v>-878</v>
      </c>
      <c r="AG19" s="1970">
        <v>-1133.145</v>
      </c>
      <c r="AH19" s="1970">
        <v>-1187</v>
      </c>
      <c r="AI19" s="1970">
        <v>-1546</v>
      </c>
      <c r="AJ19" s="1970">
        <v>-1218</v>
      </c>
      <c r="AK19" s="1970">
        <v>-1533.9870000000001</v>
      </c>
      <c r="AL19" s="1970">
        <v>-1969.047</v>
      </c>
      <c r="AM19" s="1970">
        <v>-1764</v>
      </c>
      <c r="AN19" s="1970">
        <v>-1257</v>
      </c>
      <c r="AO19" s="1970">
        <v>-1275.058</v>
      </c>
      <c r="AP19" s="1970">
        <v>-1508.4860000000001</v>
      </c>
      <c r="AQ19" s="1970">
        <v>-1489</v>
      </c>
      <c r="AR19" s="1970">
        <v>-1087.2819999999999</v>
      </c>
      <c r="AS19" s="1970">
        <v>-1481</v>
      </c>
      <c r="AT19" s="1970">
        <v>-1435</v>
      </c>
      <c r="AU19" s="1970">
        <v>-1822</v>
      </c>
      <c r="AV19" s="1970">
        <v>-1764</v>
      </c>
      <c r="AW19" s="1970">
        <v>-2289.6489999999999</v>
      </c>
      <c r="AX19" s="1970">
        <v>-2346</v>
      </c>
      <c r="AY19" s="1970">
        <v>-2520</v>
      </c>
      <c r="AZ19" s="1970">
        <v>-1949</v>
      </c>
      <c r="BA19" s="1970">
        <v>-2163</v>
      </c>
      <c r="BB19" s="1970">
        <v>-2205</v>
      </c>
      <c r="BC19" s="2084">
        <v>-2832</v>
      </c>
      <c r="BD19" s="293">
        <f>SUM(AZ19:BC19)</f>
        <v>-9149</v>
      </c>
      <c r="BE19" s="1970">
        <v>-2119</v>
      </c>
      <c r="BF19" s="1970">
        <v>-2738</v>
      </c>
      <c r="BG19" s="1970">
        <v>-2734</v>
      </c>
      <c r="BH19" s="2084">
        <v>-2397</v>
      </c>
      <c r="BI19" s="293">
        <f t="shared" si="3"/>
        <v>-9988</v>
      </c>
      <c r="BJ19" s="1970">
        <v>-1688</v>
      </c>
      <c r="BK19" s="1970">
        <v>-2097</v>
      </c>
      <c r="BL19" s="1970">
        <v>-1932</v>
      </c>
      <c r="BM19" s="1970">
        <v>-2177</v>
      </c>
      <c r="BN19" s="291">
        <f t="shared" si="4"/>
        <v>-7894</v>
      </c>
      <c r="BO19" s="1970">
        <v>-2148</v>
      </c>
      <c r="BP19" s="1970">
        <v>-1837</v>
      </c>
      <c r="BQ19" s="2084">
        <v>-1531</v>
      </c>
      <c r="BR19" s="293">
        <f t="shared" si="5"/>
        <v>-5516</v>
      </c>
      <c r="BS19" s="1969">
        <v>-1854</v>
      </c>
      <c r="BT19" s="293">
        <f>BR19+BS19</f>
        <v>-7370</v>
      </c>
      <c r="BU19" s="1969">
        <v>-1159</v>
      </c>
      <c r="BV19" s="1969">
        <v>-1921</v>
      </c>
      <c r="BW19" s="1970">
        <v>-1720</v>
      </c>
      <c r="BX19" s="1970">
        <v>-1875</v>
      </c>
      <c r="BY19" s="1970">
        <v>-1392</v>
      </c>
      <c r="BZ19" s="1970">
        <v>-1706</v>
      </c>
      <c r="CA19" s="1970">
        <v>-2316</v>
      </c>
      <c r="CB19" s="1970">
        <v>-2281</v>
      </c>
      <c r="CC19" s="1970">
        <v>-1827</v>
      </c>
      <c r="CD19" s="1970">
        <v>-2390</v>
      </c>
      <c r="CE19" s="1970">
        <v>-2511</v>
      </c>
      <c r="CF19" s="1970">
        <v>-2479</v>
      </c>
      <c r="CG19" s="1970">
        <v>-1901</v>
      </c>
      <c r="CH19" s="1970">
        <v>-2313</v>
      </c>
      <c r="CI19" s="1970">
        <v>-2585</v>
      </c>
      <c r="CJ19" s="1970">
        <v>-2655</v>
      </c>
      <c r="CK19" s="1970">
        <v>-2137</v>
      </c>
      <c r="CL19" s="1970">
        <f>-3971-CK19</f>
        <v>-1834</v>
      </c>
      <c r="CM19" s="1970">
        <v>-2082</v>
      </c>
      <c r="CN19" s="1970">
        <v>-2148</v>
      </c>
      <c r="CO19" s="1970">
        <v>-1888</v>
      </c>
      <c r="CP19" s="1970">
        <v>-2109.9300000000003</v>
      </c>
      <c r="CQ19" s="1970">
        <v>-2248.6309999999999</v>
      </c>
      <c r="CR19" s="1970">
        <v>-2547.3890000000006</v>
      </c>
      <c r="CS19" s="1970">
        <v>-2345.6840000000002</v>
      </c>
      <c r="CT19" s="1970">
        <v>-2480.1979999999994</v>
      </c>
      <c r="CU19" s="1970">
        <v>-3061.058</v>
      </c>
      <c r="CV19" s="1970">
        <v>-3083.2510000000011</v>
      </c>
      <c r="CW19" s="1970">
        <v>-2914.3690000000001</v>
      </c>
      <c r="CX19" s="1970">
        <v>-2787.9419999999996</v>
      </c>
      <c r="CY19" s="1970">
        <v>-3311.9970000000012</v>
      </c>
      <c r="CZ19" s="1970">
        <v>-4533.7369999999992</v>
      </c>
      <c r="DA19" s="1970">
        <v>-3009.2950000000001</v>
      </c>
      <c r="DB19" s="1970">
        <v>-3581.5219999999999</v>
      </c>
      <c r="DC19" s="1970">
        <v>-3886.5279999999993</v>
      </c>
      <c r="DD19" s="1970">
        <v>-4220.9080000000013</v>
      </c>
      <c r="DE19" s="1970">
        <v>-3257.0479999999998</v>
      </c>
      <c r="DF19" s="2085" t="s">
        <v>80</v>
      </c>
    </row>
    <row r="20" spans="1:111" s="2081" customFormat="1">
      <c r="A20" s="2087"/>
      <c r="B20" s="2083"/>
      <c r="H20" s="1970"/>
      <c r="I20" s="1970"/>
      <c r="J20" s="1970"/>
      <c r="K20" s="1970"/>
      <c r="L20" s="1970"/>
      <c r="M20" s="1970"/>
      <c r="N20" s="1970"/>
      <c r="O20" s="1970"/>
      <c r="P20" s="1970"/>
      <c r="Q20" s="1970"/>
      <c r="R20" s="1970"/>
      <c r="S20" s="1970"/>
      <c r="T20" s="1970"/>
      <c r="U20" s="1970"/>
      <c r="V20" s="1970"/>
      <c r="W20" s="1970"/>
      <c r="X20" s="1970"/>
      <c r="Y20" s="1970"/>
      <c r="Z20" s="1970"/>
      <c r="AA20" s="1970"/>
      <c r="AB20" s="1970"/>
      <c r="AC20" s="1970"/>
      <c r="AD20" s="1970"/>
      <c r="AE20" s="1970"/>
      <c r="AF20" s="1970"/>
      <c r="AG20" s="1970"/>
      <c r="AH20" s="1970"/>
      <c r="AI20" s="1970"/>
      <c r="AJ20" s="1970"/>
      <c r="AK20" s="1970"/>
      <c r="AL20" s="1970"/>
      <c r="AM20" s="1970"/>
      <c r="AN20" s="1970"/>
      <c r="AO20" s="1970"/>
      <c r="AP20" s="1970"/>
      <c r="AQ20" s="1970"/>
      <c r="AR20" s="1970"/>
      <c r="AS20" s="1970"/>
      <c r="AT20" s="1970"/>
      <c r="AU20" s="1970"/>
      <c r="AV20" s="1970"/>
      <c r="AW20" s="1970"/>
      <c r="AX20" s="1970"/>
      <c r="AY20" s="1970"/>
      <c r="AZ20" s="1970"/>
      <c r="BA20" s="1970"/>
      <c r="BB20" s="1970"/>
      <c r="BC20" s="2084"/>
      <c r="BD20" s="293"/>
      <c r="BE20" s="1970"/>
      <c r="BF20" s="1970"/>
      <c r="BG20" s="1970"/>
      <c r="BH20" s="2084"/>
      <c r="BI20" s="293"/>
      <c r="BJ20" s="1970"/>
      <c r="BK20" s="1970"/>
      <c r="BL20" s="1970"/>
      <c r="BM20" s="1970"/>
      <c r="BN20" s="291"/>
      <c r="BO20" s="1970"/>
      <c r="BP20" s="1970"/>
      <c r="BQ20" s="2084"/>
      <c r="BR20" s="293"/>
      <c r="BS20" s="1969"/>
      <c r="BT20" s="293"/>
      <c r="BU20" s="1969"/>
      <c r="BV20" s="1969"/>
      <c r="BW20" s="1970"/>
      <c r="BX20" s="1970"/>
      <c r="BY20" s="1970"/>
      <c r="BZ20" s="1970"/>
      <c r="CA20" s="1970"/>
      <c r="CB20" s="1970"/>
      <c r="CC20" s="1970"/>
      <c r="CD20" s="1970"/>
      <c r="CE20" s="1970"/>
      <c r="CF20" s="1970"/>
      <c r="CG20" s="1970"/>
      <c r="CH20" s="1970"/>
      <c r="CI20" s="1970"/>
      <c r="CJ20" s="1970"/>
      <c r="CK20" s="1970"/>
      <c r="CL20" s="1970"/>
      <c r="CM20" s="1970"/>
      <c r="CN20" s="1970"/>
      <c r="CO20" s="1970"/>
      <c r="CP20" s="1970"/>
      <c r="CQ20" s="1970"/>
      <c r="CR20" s="1970"/>
      <c r="CS20" s="1970"/>
      <c r="CT20" s="1970"/>
      <c r="CU20" s="1970"/>
      <c r="CV20" s="1970"/>
      <c r="CW20" s="1970"/>
      <c r="CX20" s="1970"/>
      <c r="CY20" s="1970"/>
      <c r="CZ20" s="1970"/>
      <c r="DA20" s="1970"/>
      <c r="DB20" s="1970"/>
      <c r="DC20" s="1970"/>
      <c r="DD20" s="1970"/>
      <c r="DE20" s="1970"/>
      <c r="DF20" s="2085"/>
    </row>
    <row r="21" spans="1:111" s="2081" customFormat="1">
      <c r="A21" s="2087" t="s">
        <v>83</v>
      </c>
      <c r="B21" s="1970">
        <v>-132</v>
      </c>
      <c r="C21" s="1970">
        <v>-291</v>
      </c>
      <c r="D21" s="1970">
        <v>-384</v>
      </c>
      <c r="E21" s="1970">
        <v>-369</v>
      </c>
      <c r="F21" s="1970">
        <v>-228</v>
      </c>
      <c r="G21" s="1970">
        <v>-225</v>
      </c>
      <c r="H21" s="1970">
        <v>-114</v>
      </c>
      <c r="I21" s="1970">
        <v>-72</v>
      </c>
      <c r="J21" s="1970">
        <v>-98</v>
      </c>
      <c r="K21" s="1970">
        <v>-91</v>
      </c>
      <c r="L21" s="1970">
        <v>-184</v>
      </c>
      <c r="M21" s="1970">
        <v>-203</v>
      </c>
      <c r="N21" s="1970">
        <v>-240</v>
      </c>
      <c r="O21" s="1970">
        <v>-309</v>
      </c>
      <c r="P21" s="1970">
        <v>-379</v>
      </c>
      <c r="Q21" s="1970">
        <v>-378.12</v>
      </c>
      <c r="R21" s="1970">
        <v>-341</v>
      </c>
      <c r="S21" s="1970">
        <v>-517</v>
      </c>
      <c r="T21" s="1970">
        <v>-651</v>
      </c>
      <c r="U21" s="1970">
        <v>-531.78599999999994</v>
      </c>
      <c r="V21" s="1970">
        <v>-481</v>
      </c>
      <c r="W21" s="1970">
        <v>-574</v>
      </c>
      <c r="X21" s="1970">
        <v>-410</v>
      </c>
      <c r="Y21" s="1970">
        <v>-595.82899999999995</v>
      </c>
      <c r="Z21" s="1970">
        <v>-433</v>
      </c>
      <c r="AA21" s="1970">
        <v>-532</v>
      </c>
      <c r="AB21" s="1970">
        <v>-519</v>
      </c>
      <c r="AC21" s="1970">
        <v>-458.2</v>
      </c>
      <c r="AD21" s="1970">
        <v>-505.01900000000001</v>
      </c>
      <c r="AE21" s="1970">
        <v>-441.35399999999998</v>
      </c>
      <c r="AF21" s="1970">
        <v>-532.6</v>
      </c>
      <c r="AG21" s="1970">
        <v>-513</v>
      </c>
      <c r="AH21" s="1970">
        <v>-534</v>
      </c>
      <c r="AI21" s="1970">
        <v>-551</v>
      </c>
      <c r="AJ21" s="1970">
        <v>-508</v>
      </c>
      <c r="AK21" s="1970">
        <v>-591</v>
      </c>
      <c r="AL21" s="1970">
        <v>-686</v>
      </c>
      <c r="AM21" s="1970">
        <v>-558</v>
      </c>
      <c r="AN21" s="1970">
        <v>-268</v>
      </c>
      <c r="AO21" s="1970">
        <v>-332</v>
      </c>
      <c r="AP21" s="1970">
        <v>-318</v>
      </c>
      <c r="AQ21" s="1970">
        <v>-695</v>
      </c>
      <c r="AR21" s="1970">
        <v>-417</v>
      </c>
      <c r="AS21" s="1970">
        <v>-359.10899999999998</v>
      </c>
      <c r="AT21" s="1970">
        <v>-376</v>
      </c>
      <c r="AU21" s="1970">
        <v>-581</v>
      </c>
      <c r="AV21" s="1970">
        <v>-523</v>
      </c>
      <c r="AW21" s="1970">
        <v>-668</v>
      </c>
      <c r="AX21" s="1970">
        <v>-818</v>
      </c>
      <c r="AY21" s="1970">
        <v>-987</v>
      </c>
      <c r="AZ21" s="1970">
        <f>AZ23+AZ24</f>
        <v>-934</v>
      </c>
      <c r="BA21" s="1970">
        <f t="shared" ref="BA21:BQ21" si="8">BA23+BA24</f>
        <v>-835</v>
      </c>
      <c r="BB21" s="1970">
        <f t="shared" si="8"/>
        <v>-608</v>
      </c>
      <c r="BC21" s="1970">
        <f t="shared" si="8"/>
        <v>-546</v>
      </c>
      <c r="BD21" s="291">
        <f t="shared" si="8"/>
        <v>-2923</v>
      </c>
      <c r="BE21" s="1970">
        <v>-648</v>
      </c>
      <c r="BF21" s="1970">
        <v>-1397</v>
      </c>
      <c r="BG21" s="1970">
        <v>-1106</v>
      </c>
      <c r="BH21" s="1970">
        <v>-1038</v>
      </c>
      <c r="BI21" s="291">
        <f t="shared" si="8"/>
        <v>-4189</v>
      </c>
      <c r="BJ21" s="1970">
        <f t="shared" si="8"/>
        <v>-1443</v>
      </c>
      <c r="BK21" s="1970">
        <f t="shared" si="8"/>
        <v>-1656</v>
      </c>
      <c r="BL21" s="1970">
        <f t="shared" si="8"/>
        <v>-1608</v>
      </c>
      <c r="BM21" s="1970">
        <f t="shared" si="8"/>
        <v>-1383</v>
      </c>
      <c r="BN21" s="291">
        <f t="shared" si="8"/>
        <v>-6090</v>
      </c>
      <c r="BO21" s="1970">
        <f t="shared" si="8"/>
        <v>-1133</v>
      </c>
      <c r="BP21" s="1970">
        <f t="shared" si="8"/>
        <v>-1270</v>
      </c>
      <c r="BQ21" s="1970">
        <f t="shared" si="8"/>
        <v>-1030</v>
      </c>
      <c r="BR21" s="291">
        <f>BR23+BR24</f>
        <v>-3433</v>
      </c>
      <c r="BS21" s="1969">
        <f t="shared" ref="BS21:BX21" si="9">BS23+BS24</f>
        <v>-795</v>
      </c>
      <c r="BT21" s="293">
        <f>BT23+BT24</f>
        <v>-4228</v>
      </c>
      <c r="BU21" s="1969">
        <f t="shared" si="9"/>
        <v>-699</v>
      </c>
      <c r="BV21" s="1969">
        <f t="shared" si="9"/>
        <v>-1057</v>
      </c>
      <c r="BW21" s="1969">
        <f t="shared" si="9"/>
        <v>-515</v>
      </c>
      <c r="BX21" s="1970">
        <f t="shared" si="9"/>
        <v>-884</v>
      </c>
      <c r="BY21" s="1970">
        <f>BY23+BY24</f>
        <v>-1037</v>
      </c>
      <c r="BZ21" s="1970">
        <f>BZ23+BZ24</f>
        <v>-982</v>
      </c>
      <c r="CA21" s="1970">
        <f>CA23+CA24</f>
        <v>-564</v>
      </c>
      <c r="CB21" s="1970">
        <f>CB23+CB24</f>
        <v>-796</v>
      </c>
      <c r="CC21" s="1970">
        <v>-497</v>
      </c>
      <c r="CD21" s="1970">
        <v>-457</v>
      </c>
      <c r="CE21" s="1970">
        <v>-355</v>
      </c>
      <c r="CF21" s="1970">
        <f>CF23+CF24</f>
        <v>-753</v>
      </c>
      <c r="CG21" s="1970">
        <v>-500</v>
      </c>
      <c r="CH21" s="1970">
        <v>-744</v>
      </c>
      <c r="CI21" s="1970">
        <v>-597</v>
      </c>
      <c r="CJ21" s="1970">
        <v>-775</v>
      </c>
      <c r="CK21" s="1970">
        <v>-826</v>
      </c>
      <c r="CL21" s="1970">
        <f>CL23+CL24</f>
        <v>-503</v>
      </c>
      <c r="CM21" s="1970">
        <v>-723</v>
      </c>
      <c r="CN21" s="1970">
        <v>-789</v>
      </c>
      <c r="CO21" s="1970">
        <v>-818</v>
      </c>
      <c r="CP21" s="1970">
        <v>-482.27300000000002</v>
      </c>
      <c r="CQ21" s="1970">
        <v>-464.65699999999993</v>
      </c>
      <c r="CR21" s="1970">
        <v>-357.96800000000019</v>
      </c>
      <c r="CS21" s="1970">
        <v>-627.54999999999995</v>
      </c>
      <c r="CT21" s="1970">
        <v>-704.18500000000006</v>
      </c>
      <c r="CU21" s="1970">
        <v>-615.80200000000002</v>
      </c>
      <c r="CV21" s="1970">
        <v>-750.28600000000006</v>
      </c>
      <c r="CW21" s="1970">
        <v>-686.82500000000005</v>
      </c>
      <c r="CX21" s="1970">
        <v>-426.96899999999994</v>
      </c>
      <c r="CY21" s="1970">
        <v>-633.92699999999991</v>
      </c>
      <c r="CZ21" s="1970">
        <v>-586.92700000000002</v>
      </c>
      <c r="DA21" s="1970">
        <v>-552.17600000000004</v>
      </c>
      <c r="DB21" s="1970">
        <v>-559.59599999999989</v>
      </c>
      <c r="DC21" s="1970">
        <v>-451.74200000000008</v>
      </c>
      <c r="DD21" s="1969">
        <v>-487.33099999999985</v>
      </c>
      <c r="DE21" s="1969">
        <v>-752.87400000000002</v>
      </c>
      <c r="DF21" s="2085" t="s">
        <v>84</v>
      </c>
    </row>
    <row r="22" spans="1:111" s="2081" customFormat="1">
      <c r="A22" s="2087"/>
      <c r="B22" s="2083"/>
      <c r="H22" s="1970"/>
      <c r="I22" s="1970"/>
      <c r="J22" s="1970"/>
      <c r="K22" s="1970"/>
      <c r="L22" s="1970"/>
      <c r="M22" s="1970"/>
      <c r="N22" s="1970"/>
      <c r="O22" s="1970"/>
      <c r="P22" s="1970"/>
      <c r="Q22" s="1970"/>
      <c r="R22" s="1970"/>
      <c r="S22" s="1970"/>
      <c r="T22" s="1970"/>
      <c r="U22" s="1970"/>
      <c r="V22" s="1970"/>
      <c r="W22" s="1970"/>
      <c r="X22" s="1970"/>
      <c r="Y22" s="1970"/>
      <c r="Z22" s="1970"/>
      <c r="AA22" s="1970"/>
      <c r="AB22" s="1970"/>
      <c r="AC22" s="1970"/>
      <c r="AD22" s="1970"/>
      <c r="AE22" s="1970"/>
      <c r="AF22" s="1970"/>
      <c r="AG22" s="1970"/>
      <c r="AH22" s="1970"/>
      <c r="AI22" s="1970"/>
      <c r="AJ22" s="1970"/>
      <c r="AK22" s="1970"/>
      <c r="AL22" s="1970"/>
      <c r="AM22" s="1970"/>
      <c r="AN22" s="1970"/>
      <c r="AO22" s="1970"/>
      <c r="AP22" s="1970"/>
      <c r="AQ22" s="1970"/>
      <c r="AR22" s="1970"/>
      <c r="AS22" s="1970"/>
      <c r="AT22" s="1970"/>
      <c r="AU22" s="1970"/>
      <c r="AV22" s="1970"/>
      <c r="AW22" s="1970"/>
      <c r="AX22" s="1970"/>
      <c r="AY22" s="1970"/>
      <c r="AZ22" s="1970"/>
      <c r="BA22" s="1970"/>
      <c r="BB22" s="1970"/>
      <c r="BC22" s="2084"/>
      <c r="BD22" s="293"/>
      <c r="BE22" s="1970"/>
      <c r="BF22" s="1970"/>
      <c r="BG22" s="1970"/>
      <c r="BH22" s="2084"/>
      <c r="BI22" s="293"/>
      <c r="BJ22" s="1970"/>
      <c r="BK22" s="1970"/>
      <c r="BL22" s="1970"/>
      <c r="BM22" s="1970"/>
      <c r="BN22" s="291"/>
      <c r="BO22" s="1970"/>
      <c r="BP22" s="1970"/>
      <c r="BQ22" s="2084"/>
      <c r="BR22" s="293"/>
      <c r="BS22" s="1969"/>
      <c r="BT22" s="293"/>
      <c r="BU22" s="1969"/>
      <c r="BV22" s="1969"/>
      <c r="BW22" s="1970"/>
      <c r="BX22" s="1970"/>
      <c r="BY22" s="1970"/>
      <c r="BZ22" s="1970"/>
      <c r="CA22" s="1970"/>
      <c r="CB22" s="1970"/>
      <c r="CC22" s="1970"/>
      <c r="CD22" s="1970"/>
      <c r="CE22" s="1970"/>
      <c r="CF22" s="1970"/>
      <c r="CG22" s="1970"/>
      <c r="CH22" s="1970"/>
      <c r="CI22" s="1970"/>
      <c r="CJ22" s="1970"/>
      <c r="CK22" s="1970"/>
      <c r="CL22" s="1970"/>
      <c r="CM22" s="1970"/>
      <c r="CN22" s="1970"/>
      <c r="CO22" s="1970"/>
      <c r="CP22" s="1970"/>
      <c r="CQ22" s="1970"/>
      <c r="CR22" s="1970"/>
      <c r="CS22" s="1970"/>
      <c r="CT22" s="1970"/>
      <c r="CU22" s="1970"/>
      <c r="CV22" s="1970"/>
      <c r="CW22" s="1970"/>
      <c r="CX22" s="1970"/>
      <c r="CY22" s="1970"/>
      <c r="CZ22" s="1970"/>
      <c r="DA22" s="1970"/>
      <c r="DB22" s="1970"/>
      <c r="DC22" s="1970"/>
      <c r="DD22" s="1970"/>
      <c r="DE22" s="1970"/>
      <c r="DF22" s="2085"/>
    </row>
    <row r="23" spans="1:111" s="2081" customFormat="1">
      <c r="A23" s="2087" t="s">
        <v>77</v>
      </c>
      <c r="B23" s="2083"/>
      <c r="C23" s="2081">
        <v>-166</v>
      </c>
      <c r="D23" s="2081">
        <v>-310</v>
      </c>
      <c r="E23" s="2081">
        <v>-286</v>
      </c>
      <c r="F23" s="2081">
        <v>-189</v>
      </c>
      <c r="G23" s="2081">
        <v>-150</v>
      </c>
      <c r="H23" s="1970">
        <v>-81</v>
      </c>
      <c r="I23" s="1970">
        <v>-51</v>
      </c>
      <c r="J23" s="1970">
        <v>-102</v>
      </c>
      <c r="K23" s="1970">
        <v>-93</v>
      </c>
      <c r="L23" s="1970">
        <v>-167</v>
      </c>
      <c r="M23" s="1970">
        <v>-206</v>
      </c>
      <c r="N23" s="1970">
        <v>-229</v>
      </c>
      <c r="O23" s="1970">
        <v>-243</v>
      </c>
      <c r="P23" s="1970">
        <v>-377</v>
      </c>
      <c r="Q23" s="1970">
        <v>-346</v>
      </c>
      <c r="R23" s="1970">
        <v>-314</v>
      </c>
      <c r="S23" s="1970">
        <v>-474</v>
      </c>
      <c r="T23" s="1970">
        <v>-577</v>
      </c>
      <c r="U23" s="1970">
        <v>-476.4</v>
      </c>
      <c r="V23" s="1970">
        <v>-405</v>
      </c>
      <c r="W23" s="1970">
        <v>-450</v>
      </c>
      <c r="X23" s="1970">
        <v>-322</v>
      </c>
      <c r="Y23" s="1970">
        <v>-502.9</v>
      </c>
      <c r="Z23" s="1970">
        <v>-352</v>
      </c>
      <c r="AA23" s="1970">
        <v>-481</v>
      </c>
      <c r="AB23" s="1970">
        <v>-412</v>
      </c>
      <c r="AC23" s="1970">
        <v>-388.2</v>
      </c>
      <c r="AD23" s="1970">
        <v>-444.6</v>
      </c>
      <c r="AE23" s="1970">
        <v>-357.7</v>
      </c>
      <c r="AF23" s="1970">
        <v>-415.6</v>
      </c>
      <c r="AG23" s="1970">
        <v>-516</v>
      </c>
      <c r="AH23" s="1970">
        <v>-469</v>
      </c>
      <c r="AI23" s="1970">
        <v>-482</v>
      </c>
      <c r="AJ23" s="1970">
        <v>-537</v>
      </c>
      <c r="AK23" s="1970">
        <v>-516</v>
      </c>
      <c r="AL23" s="1970">
        <v>-509</v>
      </c>
      <c r="AM23" s="1970">
        <v>-408</v>
      </c>
      <c r="AN23" s="1970">
        <v>-269</v>
      </c>
      <c r="AO23" s="1970">
        <v>-321</v>
      </c>
      <c r="AP23" s="1970">
        <v>-269</v>
      </c>
      <c r="AQ23" s="1970">
        <v>-346</v>
      </c>
      <c r="AR23" s="1970">
        <v>-344</v>
      </c>
      <c r="AS23" s="1970">
        <v>-257.89999999999998</v>
      </c>
      <c r="AT23" s="1970">
        <v>-247</v>
      </c>
      <c r="AU23" s="1970">
        <v>-391</v>
      </c>
      <c r="AV23" s="1970">
        <v>-365</v>
      </c>
      <c r="AW23" s="1970">
        <v>-380</v>
      </c>
      <c r="AX23" s="1970">
        <v>-388</v>
      </c>
      <c r="AY23" s="1970">
        <v>-462</v>
      </c>
      <c r="AZ23" s="1970">
        <v>-558</v>
      </c>
      <c r="BA23" s="1970">
        <v>-423</v>
      </c>
      <c r="BB23" s="1970">
        <v>-539</v>
      </c>
      <c r="BC23" s="2084">
        <v>-578</v>
      </c>
      <c r="BD23" s="293">
        <f>SUM(AZ23:BC23)</f>
        <v>-2098</v>
      </c>
      <c r="BE23" s="1970">
        <v>-567</v>
      </c>
      <c r="BF23" s="1970">
        <v>-722</v>
      </c>
      <c r="BG23" s="1970">
        <v>-746</v>
      </c>
      <c r="BH23" s="2084">
        <v>-531</v>
      </c>
      <c r="BI23" s="293">
        <f t="shared" si="3"/>
        <v>-2566</v>
      </c>
      <c r="BJ23" s="1970">
        <v>-1030</v>
      </c>
      <c r="BK23" s="1970">
        <v>-976</v>
      </c>
      <c r="BL23" s="1970">
        <v>-918</v>
      </c>
      <c r="BM23" s="1970">
        <v>-1135</v>
      </c>
      <c r="BN23" s="291">
        <f t="shared" si="4"/>
        <v>-4059</v>
      </c>
      <c r="BO23" s="1970">
        <v>-933</v>
      </c>
      <c r="BP23" s="1970">
        <v>-808</v>
      </c>
      <c r="BQ23" s="2084">
        <v>-747</v>
      </c>
      <c r="BR23" s="293">
        <f t="shared" si="5"/>
        <v>-2488</v>
      </c>
      <c r="BS23" s="1969">
        <v>-575</v>
      </c>
      <c r="BT23" s="293">
        <f>BR23+BS23</f>
        <v>-3063</v>
      </c>
      <c r="BU23" s="1969">
        <v>-645</v>
      </c>
      <c r="BV23" s="1969">
        <v>-727</v>
      </c>
      <c r="BW23" s="1970">
        <v>-586</v>
      </c>
      <c r="BX23" s="1970">
        <v>-783</v>
      </c>
      <c r="BY23" s="1970">
        <v>-917</v>
      </c>
      <c r="BZ23" s="1970">
        <v>-928</v>
      </c>
      <c r="CA23" s="1970">
        <v>-614</v>
      </c>
      <c r="CB23" s="1970">
        <v>-643</v>
      </c>
      <c r="CC23" s="1970">
        <v>-482</v>
      </c>
      <c r="CD23" s="1970">
        <v>-494</v>
      </c>
      <c r="CE23" s="1970">
        <v>-282</v>
      </c>
      <c r="CF23" s="1970">
        <v>-454</v>
      </c>
      <c r="CG23" s="1970">
        <v>-378</v>
      </c>
      <c r="CH23" s="1970">
        <v>-515</v>
      </c>
      <c r="CI23" s="1970">
        <v>-435</v>
      </c>
      <c r="CJ23" s="1970">
        <v>-511</v>
      </c>
      <c r="CK23" s="1970">
        <v>-634</v>
      </c>
      <c r="CL23" s="1970">
        <f>-1223-CK23</f>
        <v>-589</v>
      </c>
      <c r="CM23" s="1970">
        <v>-618</v>
      </c>
      <c r="CN23" s="1970">
        <v>-576</v>
      </c>
      <c r="CO23" s="1970">
        <v>-680</v>
      </c>
      <c r="CP23" s="1970">
        <v>-296.71500000000003</v>
      </c>
      <c r="CQ23" s="1970">
        <v>-325.34599999999989</v>
      </c>
      <c r="CR23" s="1970">
        <v>-343.18000000000006</v>
      </c>
      <c r="CS23" s="1970">
        <v>-477.32</v>
      </c>
      <c r="CT23" s="1970">
        <v>-490.85100000000006</v>
      </c>
      <c r="CU23" s="1970">
        <v>-457.30400000000003</v>
      </c>
      <c r="CV23" s="1970">
        <v>-557.18100000000004</v>
      </c>
      <c r="CW23" s="1970">
        <v>-508.637</v>
      </c>
      <c r="CX23" s="1970">
        <v>-470.47999999999996</v>
      </c>
      <c r="CY23" s="1970">
        <v>-524.54099999999994</v>
      </c>
      <c r="CZ23" s="1970">
        <v>-558.41300000000001</v>
      </c>
      <c r="DA23" s="1970">
        <v>-475.52300000000002</v>
      </c>
      <c r="DB23" s="1970">
        <v>-445.32499999999993</v>
      </c>
      <c r="DC23" s="1970">
        <v>-446.45700000000011</v>
      </c>
      <c r="DD23" s="1970">
        <v>-475.75099999999986</v>
      </c>
      <c r="DE23" s="1970">
        <v>-375.291</v>
      </c>
      <c r="DF23" s="2085" t="s">
        <v>78</v>
      </c>
    </row>
    <row r="24" spans="1:111" s="2081" customFormat="1">
      <c r="A24" s="2087" t="s">
        <v>79</v>
      </c>
      <c r="B24" s="2083">
        <v>-132</v>
      </c>
      <c r="C24" s="2081">
        <v>-125</v>
      </c>
      <c r="D24" s="2081">
        <v>-74</v>
      </c>
      <c r="E24" s="2081">
        <v>-83</v>
      </c>
      <c r="F24" s="2081">
        <v>-39</v>
      </c>
      <c r="G24" s="2081">
        <v>-75</v>
      </c>
      <c r="H24" s="1970">
        <v>-33</v>
      </c>
      <c r="I24" s="1970">
        <v>-21</v>
      </c>
      <c r="J24" s="1970">
        <v>4</v>
      </c>
      <c r="K24" s="1970">
        <v>2</v>
      </c>
      <c r="L24" s="1970">
        <v>-17</v>
      </c>
      <c r="M24" s="1970">
        <v>3</v>
      </c>
      <c r="N24" s="1970">
        <v>-11</v>
      </c>
      <c r="O24" s="1970">
        <v>-66</v>
      </c>
      <c r="P24" s="1970">
        <v>-2</v>
      </c>
      <c r="Q24" s="1970">
        <v>-32.119999999999997</v>
      </c>
      <c r="R24" s="1970">
        <v>-27</v>
      </c>
      <c r="S24" s="1970">
        <v>-43</v>
      </c>
      <c r="T24" s="1970">
        <v>-74</v>
      </c>
      <c r="U24" s="1970">
        <v>-55.386000000000003</v>
      </c>
      <c r="V24" s="1970">
        <v>-76</v>
      </c>
      <c r="W24" s="1970">
        <v>-124</v>
      </c>
      <c r="X24" s="1970">
        <v>-88</v>
      </c>
      <c r="Y24" s="1970">
        <v>-92.929000000000002</v>
      </c>
      <c r="Z24" s="1970">
        <v>-81</v>
      </c>
      <c r="AA24" s="1970">
        <v>-51</v>
      </c>
      <c r="AB24" s="1970">
        <v>-107</v>
      </c>
      <c r="AC24" s="1970">
        <v>-70</v>
      </c>
      <c r="AD24" s="1970">
        <v>-60.418999999999997</v>
      </c>
      <c r="AE24" s="1970">
        <v>-83.653999999999996</v>
      </c>
      <c r="AF24" s="1970">
        <v>-117</v>
      </c>
      <c r="AG24" s="1970">
        <v>3</v>
      </c>
      <c r="AH24" s="1970">
        <v>-65</v>
      </c>
      <c r="AI24" s="1970">
        <v>-69</v>
      </c>
      <c r="AJ24" s="1970">
        <v>29</v>
      </c>
      <c r="AK24" s="1970">
        <v>-75</v>
      </c>
      <c r="AL24" s="1970">
        <v>-177</v>
      </c>
      <c r="AM24" s="1970">
        <v>-150</v>
      </c>
      <c r="AN24" s="1970">
        <v>1</v>
      </c>
      <c r="AO24" s="1970">
        <v>-11</v>
      </c>
      <c r="AP24" s="1970">
        <v>-49</v>
      </c>
      <c r="AQ24" s="1970">
        <v>-349</v>
      </c>
      <c r="AR24" s="1970">
        <v>-73</v>
      </c>
      <c r="AS24" s="1970">
        <v>-101.209</v>
      </c>
      <c r="AT24" s="1970">
        <v>-129</v>
      </c>
      <c r="AU24" s="1970">
        <v>-190</v>
      </c>
      <c r="AV24" s="1970">
        <v>-158</v>
      </c>
      <c r="AW24" s="1970">
        <v>-288</v>
      </c>
      <c r="AX24" s="1970">
        <v>-430</v>
      </c>
      <c r="AY24" s="1970">
        <v>-525</v>
      </c>
      <c r="AZ24" s="1970">
        <v>-376</v>
      </c>
      <c r="BA24" s="1970">
        <v>-412</v>
      </c>
      <c r="BB24" s="1970">
        <v>-69</v>
      </c>
      <c r="BC24" s="2084">
        <v>32</v>
      </c>
      <c r="BD24" s="293">
        <f>SUM(AZ24:BC24)</f>
        <v>-825</v>
      </c>
      <c r="BE24" s="1970">
        <v>-81</v>
      </c>
      <c r="BF24" s="1970">
        <v>-675</v>
      </c>
      <c r="BG24" s="1970">
        <v>-360</v>
      </c>
      <c r="BH24" s="2084">
        <v>-507</v>
      </c>
      <c r="BI24" s="293">
        <f t="shared" si="3"/>
        <v>-1623</v>
      </c>
      <c r="BJ24" s="1970">
        <v>-413</v>
      </c>
      <c r="BK24" s="1970">
        <v>-680</v>
      </c>
      <c r="BL24" s="1970">
        <v>-690</v>
      </c>
      <c r="BM24" s="1970">
        <v>-248</v>
      </c>
      <c r="BN24" s="291">
        <f t="shared" si="4"/>
        <v>-2031</v>
      </c>
      <c r="BO24" s="1970">
        <v>-200</v>
      </c>
      <c r="BP24" s="1970">
        <v>-462</v>
      </c>
      <c r="BQ24" s="2084">
        <v>-283</v>
      </c>
      <c r="BR24" s="293">
        <f t="shared" si="5"/>
        <v>-945</v>
      </c>
      <c r="BS24" s="1969">
        <v>-220</v>
      </c>
      <c r="BT24" s="293">
        <f>BR24+BS24</f>
        <v>-1165</v>
      </c>
      <c r="BU24" s="1969">
        <v>-54</v>
      </c>
      <c r="BV24" s="1969">
        <v>-330</v>
      </c>
      <c r="BW24" s="1970">
        <v>71</v>
      </c>
      <c r="BX24" s="1970">
        <v>-101</v>
      </c>
      <c r="BY24" s="1970">
        <v>-120</v>
      </c>
      <c r="BZ24" s="1970">
        <v>-54</v>
      </c>
      <c r="CA24" s="1970">
        <v>50</v>
      </c>
      <c r="CB24" s="1970">
        <v>-153</v>
      </c>
      <c r="CC24" s="1970">
        <v>-15</v>
      </c>
      <c r="CD24" s="1970">
        <v>37</v>
      </c>
      <c r="CE24" s="1970">
        <v>-73</v>
      </c>
      <c r="CF24" s="1970">
        <v>-299</v>
      </c>
      <c r="CG24" s="1970">
        <v>-122</v>
      </c>
      <c r="CH24" s="1970">
        <v>-229</v>
      </c>
      <c r="CI24" s="1970">
        <v>-162</v>
      </c>
      <c r="CJ24" s="1970">
        <v>-264</v>
      </c>
      <c r="CK24" s="1970">
        <v>-192</v>
      </c>
      <c r="CL24" s="1970">
        <f>-106-CK24</f>
        <v>86</v>
      </c>
      <c r="CM24" s="1970">
        <v>-105</v>
      </c>
      <c r="CN24" s="1970">
        <v>-213</v>
      </c>
      <c r="CO24" s="1970">
        <v>-138</v>
      </c>
      <c r="CP24" s="1970">
        <v>-185.55799999999996</v>
      </c>
      <c r="CQ24" s="1970">
        <v>-139.31100000000004</v>
      </c>
      <c r="CR24" s="1970">
        <v>-14.787999999999982</v>
      </c>
      <c r="CS24" s="1970">
        <v>-150.22999999999999</v>
      </c>
      <c r="CT24" s="1970">
        <v>-213.33400000000003</v>
      </c>
      <c r="CU24" s="1970">
        <v>-158.49799999999999</v>
      </c>
      <c r="CV24" s="1970">
        <v>-193.10500000000002</v>
      </c>
      <c r="CW24" s="1970">
        <v>-178.18799999999999</v>
      </c>
      <c r="CX24" s="1970">
        <v>43.510999999999996</v>
      </c>
      <c r="CY24" s="1970">
        <v>-109.386</v>
      </c>
      <c r="CZ24" s="1970">
        <v>-28.514000000000038</v>
      </c>
      <c r="DA24" s="1970">
        <v>-76.653000000000006</v>
      </c>
      <c r="DB24" s="1970">
        <v>-114.271</v>
      </c>
      <c r="DC24" s="1970">
        <v>-5.2849999999999966</v>
      </c>
      <c r="DD24" s="1970">
        <v>-11.57999999999997</v>
      </c>
      <c r="DE24" s="1970">
        <v>-377.58300000000003</v>
      </c>
      <c r="DF24" s="2085" t="s">
        <v>80</v>
      </c>
    </row>
    <row r="25" spans="1:111" s="2081" customFormat="1">
      <c r="A25" s="2087"/>
      <c r="B25" s="2083"/>
      <c r="H25" s="1970"/>
      <c r="I25" s="1970"/>
      <c r="J25" s="1970"/>
      <c r="K25" s="1970"/>
      <c r="L25" s="1970"/>
      <c r="M25" s="1970"/>
      <c r="N25" s="1970"/>
      <c r="O25" s="1970"/>
      <c r="P25" s="1970"/>
      <c r="Q25" s="1970"/>
      <c r="R25" s="1970"/>
      <c r="S25" s="1970"/>
      <c r="T25" s="1970"/>
      <c r="U25" s="1970"/>
      <c r="V25" s="1970"/>
      <c r="W25" s="1970"/>
      <c r="X25" s="1970"/>
      <c r="Y25" s="1970"/>
      <c r="Z25" s="1970"/>
      <c r="AA25" s="1970"/>
      <c r="AB25" s="1970"/>
      <c r="AC25" s="1970"/>
      <c r="AD25" s="1970"/>
      <c r="AE25" s="1970"/>
      <c r="AF25" s="1970"/>
      <c r="AG25" s="1970"/>
      <c r="AH25" s="1970"/>
      <c r="AI25" s="1970"/>
      <c r="AJ25" s="1970"/>
      <c r="AK25" s="1970"/>
      <c r="AL25" s="1970"/>
      <c r="AM25" s="1970"/>
      <c r="AN25" s="1970"/>
      <c r="AO25" s="1970"/>
      <c r="AP25" s="1970"/>
      <c r="AQ25" s="1970"/>
      <c r="AR25" s="1970"/>
      <c r="AS25" s="1970"/>
      <c r="AT25" s="1970"/>
      <c r="AU25" s="1970"/>
      <c r="AV25" s="1970"/>
      <c r="AW25" s="1970"/>
      <c r="AX25" s="1970"/>
      <c r="AY25" s="1970"/>
      <c r="AZ25" s="1970"/>
      <c r="BA25" s="1970"/>
      <c r="BB25" s="1970"/>
      <c r="BC25" s="2084"/>
      <c r="BD25" s="293"/>
      <c r="BE25" s="1970"/>
      <c r="BF25" s="1970"/>
      <c r="BG25" s="1970"/>
      <c r="BH25" s="2084"/>
      <c r="BI25" s="293"/>
      <c r="BJ25" s="1970"/>
      <c r="BK25" s="1970"/>
      <c r="BL25" s="1970"/>
      <c r="BM25" s="1970"/>
      <c r="BN25" s="291"/>
      <c r="BO25" s="1970"/>
      <c r="BP25" s="1970"/>
      <c r="BQ25" s="2084"/>
      <c r="BR25" s="293"/>
      <c r="BS25" s="1969"/>
      <c r="BT25" s="293"/>
      <c r="BU25" s="1969"/>
      <c r="BV25" s="1969"/>
      <c r="BW25" s="1970"/>
      <c r="BX25" s="1970"/>
      <c r="BY25" s="1970"/>
      <c r="BZ25" s="1970"/>
      <c r="CA25" s="1970"/>
      <c r="CB25" s="1970"/>
      <c r="CC25" s="1970"/>
      <c r="CD25" s="1970"/>
      <c r="CE25" s="1970"/>
      <c r="CF25" s="1970"/>
      <c r="CG25" s="1970"/>
      <c r="CH25" s="1970"/>
      <c r="CI25" s="1970"/>
      <c r="CJ25" s="1970"/>
      <c r="CK25" s="1970"/>
      <c r="CL25" s="1970"/>
      <c r="CM25" s="1970"/>
      <c r="CN25" s="1970"/>
      <c r="CO25" s="1970"/>
      <c r="CP25" s="1970"/>
      <c r="CQ25" s="1970"/>
      <c r="CR25" s="1970"/>
      <c r="CS25" s="1970"/>
      <c r="CT25" s="1970"/>
      <c r="CU25" s="1970"/>
      <c r="CV25" s="1970"/>
      <c r="CW25" s="1970"/>
      <c r="CX25" s="1970"/>
      <c r="CY25" s="1970"/>
      <c r="CZ25" s="1970"/>
      <c r="DA25" s="1970"/>
      <c r="DB25" s="1970"/>
      <c r="DC25" s="1970"/>
      <c r="DD25" s="1970"/>
      <c r="DE25" s="1970"/>
      <c r="DF25" s="2085"/>
    </row>
    <row r="26" spans="1:111" s="2081" customFormat="1" ht="13.5">
      <c r="A26" s="2090" t="s">
        <v>85</v>
      </c>
      <c r="B26" s="2083"/>
      <c r="H26" s="1970"/>
      <c r="I26" s="1970"/>
      <c r="J26" s="1970"/>
      <c r="K26" s="1970"/>
      <c r="L26" s="1970"/>
      <c r="M26" s="1970"/>
      <c r="N26" s="1970"/>
      <c r="O26" s="1970"/>
      <c r="P26" s="1970"/>
      <c r="Q26" s="1970"/>
      <c r="R26" s="1970"/>
      <c r="S26" s="1970"/>
      <c r="T26" s="1970"/>
      <c r="U26" s="1970"/>
      <c r="V26" s="1970"/>
      <c r="W26" s="1970"/>
      <c r="X26" s="1970"/>
      <c r="Y26" s="1970"/>
      <c r="Z26" s="1970"/>
      <c r="AA26" s="1970"/>
      <c r="AB26" s="1970"/>
      <c r="AC26" s="1970"/>
      <c r="AD26" s="1970"/>
      <c r="AE26" s="1970"/>
      <c r="AF26" s="1970"/>
      <c r="AG26" s="1970"/>
      <c r="AH26" s="1970"/>
      <c r="AI26" s="1970"/>
      <c r="AJ26" s="1970"/>
      <c r="AK26" s="1970"/>
      <c r="AL26" s="1970"/>
      <c r="AM26" s="1970"/>
      <c r="AN26" s="1970"/>
      <c r="AO26" s="1970"/>
      <c r="AP26" s="1970"/>
      <c r="AQ26" s="1970"/>
      <c r="AR26" s="1970"/>
      <c r="AS26" s="1970"/>
      <c r="AT26" s="1970"/>
      <c r="AU26" s="1970"/>
      <c r="AV26" s="1970"/>
      <c r="AW26" s="1970"/>
      <c r="AX26" s="1970"/>
      <c r="AY26" s="1970"/>
      <c r="AZ26" s="1970"/>
      <c r="BA26" s="1970"/>
      <c r="BB26" s="1970"/>
      <c r="BC26" s="2084"/>
      <c r="BD26" s="293"/>
      <c r="BE26" s="1970"/>
      <c r="BF26" s="1970"/>
      <c r="BG26" s="1970"/>
      <c r="BH26" s="2084"/>
      <c r="BI26" s="293"/>
      <c r="BJ26" s="1970"/>
      <c r="BK26" s="1970"/>
      <c r="BL26" s="1970"/>
      <c r="BM26" s="1970"/>
      <c r="BN26" s="291"/>
      <c r="BO26" s="1970"/>
      <c r="BP26" s="1970"/>
      <c r="BQ26" s="2084"/>
      <c r="BR26" s="293"/>
      <c r="BS26" s="1969"/>
      <c r="BT26" s="293"/>
      <c r="BU26" s="1969"/>
      <c r="BV26" s="1969"/>
      <c r="BW26" s="1970"/>
      <c r="BX26" s="1970"/>
      <c r="BY26" s="1970"/>
      <c r="BZ26" s="1970"/>
      <c r="CA26" s="1970"/>
      <c r="CB26" s="1970"/>
      <c r="CC26" s="1970"/>
      <c r="CD26" s="1970"/>
      <c r="CE26" s="1970"/>
      <c r="CF26" s="1970"/>
      <c r="CG26" s="1970"/>
      <c r="CH26" s="1970"/>
      <c r="CI26" s="1970"/>
      <c r="CJ26" s="1970"/>
      <c r="CK26" s="1970"/>
      <c r="CL26" s="1970"/>
      <c r="CM26" s="1970"/>
      <c r="CN26" s="1970"/>
      <c r="CO26" s="1970"/>
      <c r="CP26" s="1970"/>
      <c r="CQ26" s="1970"/>
      <c r="CR26" s="1970"/>
      <c r="CS26" s="1970"/>
      <c r="CT26" s="1970"/>
      <c r="CU26" s="1970"/>
      <c r="CV26" s="1970"/>
      <c r="CW26" s="1970"/>
      <c r="CX26" s="1970"/>
      <c r="CY26" s="1970"/>
      <c r="CZ26" s="1970"/>
      <c r="DA26" s="1970"/>
      <c r="DB26" s="1970"/>
      <c r="DC26" s="1970"/>
      <c r="DD26" s="1970"/>
      <c r="DE26" s="1970"/>
      <c r="DF26" s="2091" t="s">
        <v>86</v>
      </c>
    </row>
    <row r="27" spans="1:111">
      <c r="A27" s="1973"/>
      <c r="B27" s="2088"/>
      <c r="H27" s="1970"/>
      <c r="I27" s="1970"/>
      <c r="J27" s="1970"/>
      <c r="K27" s="1970"/>
      <c r="L27" s="1970"/>
      <c r="M27" s="1970"/>
      <c r="N27" s="1970"/>
      <c r="O27" s="1970"/>
      <c r="P27" s="1970"/>
      <c r="Q27" s="1970"/>
      <c r="R27" s="1970"/>
      <c r="S27" s="1970"/>
      <c r="T27" s="1970"/>
      <c r="U27" s="1970"/>
      <c r="V27" s="1970"/>
      <c r="W27" s="1970"/>
      <c r="X27" s="1970"/>
      <c r="Y27" s="1970"/>
      <c r="Z27" s="1970"/>
      <c r="AA27" s="1970"/>
      <c r="AB27" s="1970"/>
      <c r="AC27" s="1970"/>
      <c r="AD27" s="1970"/>
      <c r="AE27" s="1970"/>
      <c r="AF27" s="1970"/>
      <c r="AG27" s="1970"/>
      <c r="AH27" s="1970"/>
      <c r="AI27" s="1970"/>
      <c r="AJ27" s="1970"/>
      <c r="AK27" s="1970"/>
      <c r="AL27" s="1970"/>
      <c r="AM27" s="1970"/>
      <c r="AN27" s="1970"/>
      <c r="AO27" s="1970"/>
      <c r="AP27" s="1970"/>
      <c r="AQ27" s="1970"/>
      <c r="AR27" s="1970"/>
      <c r="AS27" s="1970"/>
      <c r="AT27" s="1970"/>
      <c r="AU27" s="1970"/>
      <c r="AV27" s="1970"/>
      <c r="AW27" s="1970"/>
      <c r="AX27" s="1970"/>
      <c r="AY27" s="1970"/>
      <c r="AZ27" s="1970"/>
      <c r="BA27" s="1970"/>
      <c r="BB27" s="1970"/>
      <c r="BC27" s="2084"/>
      <c r="BD27" s="293"/>
      <c r="BE27" s="1970"/>
      <c r="BF27" s="1970"/>
      <c r="BG27" s="1970"/>
      <c r="BH27" s="2084"/>
      <c r="BI27" s="293"/>
      <c r="BJ27" s="1970"/>
      <c r="BK27" s="1970"/>
      <c r="BL27" s="1970"/>
      <c r="BM27" s="1970"/>
      <c r="BN27" s="291"/>
      <c r="BO27" s="1970"/>
      <c r="BP27" s="1970"/>
      <c r="BQ27" s="2084"/>
      <c r="BR27" s="293"/>
      <c r="BS27" s="1969"/>
      <c r="BT27" s="293"/>
      <c r="BU27" s="1969"/>
      <c r="BV27" s="1969"/>
      <c r="BW27" s="1970"/>
      <c r="BX27" s="1970"/>
      <c r="BY27" s="1970"/>
      <c r="BZ27" s="1970"/>
      <c r="CA27" s="1970"/>
      <c r="CB27" s="1970"/>
      <c r="CC27" s="1970"/>
      <c r="CD27" s="1970"/>
      <c r="CE27" s="1970"/>
      <c r="CF27" s="1970"/>
      <c r="CG27" s="1970"/>
      <c r="CH27" s="1970"/>
      <c r="CI27" s="1970"/>
      <c r="CJ27" s="1970"/>
      <c r="CK27" s="1970"/>
      <c r="CL27" s="1970"/>
      <c r="CM27" s="1970"/>
      <c r="CN27" s="1970"/>
      <c r="CO27" s="1970"/>
      <c r="CP27" s="1970"/>
      <c r="CQ27" s="1970"/>
      <c r="CR27" s="1970"/>
      <c r="CS27" s="1970"/>
      <c r="CT27" s="1970"/>
      <c r="CU27" s="1970"/>
      <c r="CV27" s="1970"/>
      <c r="CW27" s="1970"/>
      <c r="CX27" s="1970"/>
      <c r="CY27" s="1970"/>
      <c r="CZ27" s="1970"/>
      <c r="DA27" s="1970"/>
      <c r="DB27" s="1970"/>
      <c r="DC27" s="1970"/>
      <c r="DD27" s="1970"/>
      <c r="DE27" s="1970"/>
      <c r="DF27" s="2089"/>
      <c r="DG27" s="2081"/>
    </row>
    <row r="28" spans="1:111" s="2081" customFormat="1">
      <c r="A28" s="2092" t="s">
        <v>87</v>
      </c>
      <c r="B28" s="2083">
        <v>-16</v>
      </c>
      <c r="C28" s="2081">
        <v>-62</v>
      </c>
      <c r="D28" s="2081">
        <v>-12</v>
      </c>
      <c r="E28" s="2081">
        <v>-65</v>
      </c>
      <c r="F28" s="2081">
        <v>46</v>
      </c>
      <c r="G28" s="2081">
        <v>-25</v>
      </c>
      <c r="H28" s="1970">
        <v>-16</v>
      </c>
      <c r="I28" s="1970">
        <v>-4</v>
      </c>
      <c r="J28" s="1970">
        <v>16</v>
      </c>
      <c r="K28" s="1970">
        <v>9</v>
      </c>
      <c r="L28" s="1970">
        <v>2</v>
      </c>
      <c r="M28" s="1970">
        <v>19</v>
      </c>
      <c r="N28" s="1970">
        <v>17</v>
      </c>
      <c r="O28" s="1970">
        <v>1</v>
      </c>
      <c r="P28" s="1970">
        <v>1</v>
      </c>
      <c r="Q28" s="1970">
        <v>3</v>
      </c>
      <c r="R28" s="1970">
        <v>0.49199999999999999</v>
      </c>
      <c r="S28" s="1970">
        <v>5</v>
      </c>
      <c r="T28" s="1970">
        <v>-22</v>
      </c>
      <c r="U28" s="1970">
        <v>-10</v>
      </c>
      <c r="V28" s="1970">
        <v>-23</v>
      </c>
      <c r="W28" s="1970">
        <v>-28</v>
      </c>
      <c r="X28" s="1970">
        <v>-52</v>
      </c>
      <c r="Y28" s="1970">
        <v>-26</v>
      </c>
      <c r="Z28" s="1970">
        <v>-43</v>
      </c>
      <c r="AA28" s="1970">
        <v>-18</v>
      </c>
      <c r="AB28" s="1970">
        <v>-22</v>
      </c>
      <c r="AC28" s="1970">
        <v>-27</v>
      </c>
      <c r="AD28" s="1970">
        <v>-18</v>
      </c>
      <c r="AE28" s="1970">
        <v>-35</v>
      </c>
      <c r="AF28" s="1970">
        <v>-7</v>
      </c>
      <c r="AG28" s="1970">
        <v>32</v>
      </c>
      <c r="AH28" s="1970">
        <v>4</v>
      </c>
      <c r="AI28" s="1970">
        <v>28</v>
      </c>
      <c r="AJ28" s="1970">
        <v>58</v>
      </c>
      <c r="AK28" s="1970">
        <v>2</v>
      </c>
      <c r="AL28" s="1970">
        <v>20</v>
      </c>
      <c r="AM28" s="1970">
        <v>32</v>
      </c>
      <c r="AN28" s="1970">
        <v>44</v>
      </c>
      <c r="AO28" s="1970">
        <v>26</v>
      </c>
      <c r="AP28" s="1970">
        <v>-46</v>
      </c>
      <c r="AQ28" s="1970">
        <v>-164</v>
      </c>
      <c r="AR28" s="1970">
        <v>-45</v>
      </c>
      <c r="AS28" s="1970">
        <v>-37</v>
      </c>
      <c r="AT28" s="1970">
        <v>-39</v>
      </c>
      <c r="AU28" s="1970">
        <v>-35</v>
      </c>
      <c r="AV28" s="1970">
        <v>15</v>
      </c>
      <c r="AW28" s="1970">
        <v>-52</v>
      </c>
      <c r="AX28" s="1970">
        <v>-41</v>
      </c>
      <c r="AY28" s="1970">
        <v>-113</v>
      </c>
      <c r="AZ28" s="1970">
        <v>-89</v>
      </c>
      <c r="BA28" s="1970">
        <v>-124</v>
      </c>
      <c r="BB28" s="1970">
        <v>-28</v>
      </c>
      <c r="BC28" s="2084">
        <v>13</v>
      </c>
      <c r="BD28" s="293">
        <f>SUM(AZ28:BC28)</f>
        <v>-228</v>
      </c>
      <c r="BE28" s="1970">
        <v>-16</v>
      </c>
      <c r="BF28" s="1970">
        <v>-109</v>
      </c>
      <c r="BG28" s="1970">
        <v>1</v>
      </c>
      <c r="BH28" s="2084">
        <v>-43</v>
      </c>
      <c r="BI28" s="293">
        <f t="shared" si="3"/>
        <v>-167</v>
      </c>
      <c r="BJ28" s="1970">
        <v>40</v>
      </c>
      <c r="BK28" s="1970">
        <v>-13</v>
      </c>
      <c r="BL28" s="1970">
        <v>21</v>
      </c>
      <c r="BM28" s="1970">
        <v>82</v>
      </c>
      <c r="BN28" s="291">
        <f t="shared" si="4"/>
        <v>130</v>
      </c>
      <c r="BO28" s="1970">
        <v>-19</v>
      </c>
      <c r="BP28" s="1970">
        <v>285</v>
      </c>
      <c r="BQ28" s="2084">
        <v>144</v>
      </c>
      <c r="BR28" s="293">
        <f t="shared" si="5"/>
        <v>410</v>
      </c>
      <c r="BS28" s="1969">
        <v>98</v>
      </c>
      <c r="BT28" s="293">
        <f>BR28+BS28</f>
        <v>508</v>
      </c>
      <c r="BU28" s="1969">
        <v>65</v>
      </c>
      <c r="BV28" s="1969">
        <v>67</v>
      </c>
      <c r="BW28" s="1970">
        <v>51</v>
      </c>
      <c r="BX28" s="1970">
        <v>-7</v>
      </c>
      <c r="BY28" s="1970">
        <v>17</v>
      </c>
      <c r="BZ28" s="1970">
        <v>-42</v>
      </c>
      <c r="CA28" s="1970">
        <v>-21</v>
      </c>
      <c r="CB28" s="1970">
        <v>-31</v>
      </c>
      <c r="CC28" s="1970">
        <v>-31</v>
      </c>
      <c r="CD28" s="1970">
        <v>-26</v>
      </c>
      <c r="CE28" s="1970">
        <v>-133</v>
      </c>
      <c r="CF28" s="1970">
        <v>-107</v>
      </c>
      <c r="CG28" s="1970">
        <v>19</v>
      </c>
      <c r="CH28" s="1970">
        <v>-133</v>
      </c>
      <c r="CI28" s="1970">
        <v>-93</v>
      </c>
      <c r="CJ28" s="1970">
        <v>-143</v>
      </c>
      <c r="CK28" s="1970">
        <v>-92</v>
      </c>
      <c r="CL28" s="1970">
        <f>57-CK28</f>
        <v>149</v>
      </c>
      <c r="CM28" s="1970">
        <v>160</v>
      </c>
      <c r="CN28" s="1970">
        <v>126</v>
      </c>
      <c r="CO28" s="1970">
        <v>209</v>
      </c>
      <c r="CP28" s="1970">
        <v>180.42100000000002</v>
      </c>
      <c r="CQ28" s="1970">
        <v>174.77499999999998</v>
      </c>
      <c r="CR28" s="1970">
        <v>266.90499999999997</v>
      </c>
      <c r="CS28" s="1970">
        <v>230.64</v>
      </c>
      <c r="CT28" s="1970">
        <v>214.98900000000003</v>
      </c>
      <c r="CU28" s="1970">
        <v>766.09399999999994</v>
      </c>
      <c r="CV28" s="1970">
        <v>1020.793</v>
      </c>
      <c r="CW28" s="1970">
        <v>263.95800000000003</v>
      </c>
      <c r="CX28" s="1970">
        <v>308.85999999999996</v>
      </c>
      <c r="CY28" s="1970">
        <v>244.08600000000001</v>
      </c>
      <c r="CZ28" s="1970">
        <v>343.35599999999999</v>
      </c>
      <c r="DA28" s="1970">
        <v>278.72699999999998</v>
      </c>
      <c r="DB28" s="1970">
        <v>281.02700000000004</v>
      </c>
      <c r="DC28" s="1970">
        <v>302.29899999999998</v>
      </c>
      <c r="DD28" s="1970">
        <v>430.00300000000004</v>
      </c>
      <c r="DE28" s="1970">
        <v>328.27499999999998</v>
      </c>
      <c r="DF28" s="2085" t="s">
        <v>88</v>
      </c>
    </row>
    <row r="29" spans="1:111" s="2081" customFormat="1">
      <c r="A29" s="2087" t="s">
        <v>89</v>
      </c>
      <c r="B29" s="2083">
        <v>-17</v>
      </c>
      <c r="C29" s="2081">
        <v>-57</v>
      </c>
      <c r="D29" s="2081">
        <v>-172</v>
      </c>
      <c r="E29" s="2081">
        <v>-124</v>
      </c>
      <c r="F29" s="2081">
        <v>-173</v>
      </c>
      <c r="G29" s="2081">
        <v>-86</v>
      </c>
      <c r="H29" s="1970">
        <v>-42</v>
      </c>
      <c r="I29" s="1970">
        <v>-42</v>
      </c>
      <c r="J29" s="1970">
        <v>-54</v>
      </c>
      <c r="K29" s="1970">
        <v>-43</v>
      </c>
      <c r="L29" s="1970">
        <v>-83</v>
      </c>
      <c r="M29" s="1970">
        <v>-119</v>
      </c>
      <c r="N29" s="1970">
        <v>-183</v>
      </c>
      <c r="O29" s="1970">
        <v>-174.25399999999999</v>
      </c>
      <c r="P29" s="1970">
        <v>-227</v>
      </c>
      <c r="Q29" s="1970">
        <v>-235</v>
      </c>
      <c r="R29" s="1970">
        <v>-221</v>
      </c>
      <c r="S29" s="1970">
        <v>-337</v>
      </c>
      <c r="T29" s="1970">
        <v>-428</v>
      </c>
      <c r="U29" s="1970">
        <v>-320</v>
      </c>
      <c r="V29" s="1970">
        <v>-283</v>
      </c>
      <c r="W29" s="1970">
        <v>-333</v>
      </c>
      <c r="X29" s="1970">
        <v>-272</v>
      </c>
      <c r="Y29" s="1970">
        <v>-483</v>
      </c>
      <c r="Z29" s="1970">
        <v>-317</v>
      </c>
      <c r="AA29" s="1970">
        <v>-417</v>
      </c>
      <c r="AB29" s="1970">
        <v>-331</v>
      </c>
      <c r="AC29" s="1970">
        <v>-291</v>
      </c>
      <c r="AD29" s="1970">
        <v>-351</v>
      </c>
      <c r="AE29" s="1970">
        <v>-281</v>
      </c>
      <c r="AF29" s="1970">
        <v>-302</v>
      </c>
      <c r="AG29" s="1970">
        <v>-386</v>
      </c>
      <c r="AH29" s="1970">
        <v>-383</v>
      </c>
      <c r="AI29" s="1970">
        <v>-354</v>
      </c>
      <c r="AJ29" s="1970">
        <v>-378</v>
      </c>
      <c r="AK29" s="1970">
        <v>-343</v>
      </c>
      <c r="AL29" s="1970">
        <v>-324</v>
      </c>
      <c r="AM29" s="1970">
        <v>-287</v>
      </c>
      <c r="AN29" s="1970">
        <v>-170</v>
      </c>
      <c r="AO29" s="1970">
        <v>-171</v>
      </c>
      <c r="AP29" s="1970">
        <v>-38</v>
      </c>
      <c r="AQ29" s="1970">
        <v>-222</v>
      </c>
      <c r="AR29" s="1970">
        <v>-27</v>
      </c>
      <c r="AS29" s="1970">
        <v>-65</v>
      </c>
      <c r="AT29" s="1970">
        <v>-21</v>
      </c>
      <c r="AU29" s="1970">
        <v>-59</v>
      </c>
      <c r="AV29" s="1970">
        <v>-71</v>
      </c>
      <c r="AW29" s="1970">
        <v>-24</v>
      </c>
      <c r="AX29" s="1970">
        <v>-153</v>
      </c>
      <c r="AY29" s="1970">
        <v>-151</v>
      </c>
      <c r="AZ29" s="1970">
        <v>-114</v>
      </c>
      <c r="BA29" s="1970">
        <v>-63</v>
      </c>
      <c r="BB29" s="1970">
        <v>5</v>
      </c>
      <c r="BC29" s="2084">
        <v>-69</v>
      </c>
      <c r="BD29" s="293">
        <f>SUM(AZ29:BC29)</f>
        <v>-241</v>
      </c>
      <c r="BE29" s="1970">
        <v>-346</v>
      </c>
      <c r="BF29" s="1970">
        <v>-402</v>
      </c>
      <c r="BG29" s="1970">
        <v>-429</v>
      </c>
      <c r="BH29" s="2084">
        <v>-327</v>
      </c>
      <c r="BI29" s="293">
        <f t="shared" si="3"/>
        <v>-1504</v>
      </c>
      <c r="BJ29" s="1970">
        <v>-757</v>
      </c>
      <c r="BK29" s="1970">
        <v>-1085</v>
      </c>
      <c r="BL29" s="1970">
        <v>-926</v>
      </c>
      <c r="BM29" s="1970">
        <v>-1094</v>
      </c>
      <c r="BN29" s="291">
        <f t="shared" si="4"/>
        <v>-3862</v>
      </c>
      <c r="BO29" s="1970">
        <v>-918</v>
      </c>
      <c r="BP29" s="1970">
        <v>-1017</v>
      </c>
      <c r="BQ29" s="2084">
        <v>-883</v>
      </c>
      <c r="BR29" s="293">
        <f t="shared" si="5"/>
        <v>-2818</v>
      </c>
      <c r="BS29" s="1969">
        <v>-679</v>
      </c>
      <c r="BT29" s="293">
        <f>BR29+BS29</f>
        <v>-3497</v>
      </c>
      <c r="BU29" s="1969">
        <v>-723</v>
      </c>
      <c r="BV29" s="1969">
        <v>-798</v>
      </c>
      <c r="BW29" s="1970">
        <v>-647</v>
      </c>
      <c r="BX29" s="1970">
        <v>-777</v>
      </c>
      <c r="BY29" s="1970">
        <v>-739</v>
      </c>
      <c r="BZ29" s="1970">
        <v>-716</v>
      </c>
      <c r="CA29" s="1970">
        <v>-522</v>
      </c>
      <c r="CB29" s="1970">
        <v>-440</v>
      </c>
      <c r="CC29" s="1970">
        <v>-396</v>
      </c>
      <c r="CD29" s="1970">
        <v>-333</v>
      </c>
      <c r="CE29" s="1970">
        <v>-303</v>
      </c>
      <c r="CF29" s="1970">
        <v>-245</v>
      </c>
      <c r="CG29" s="1970">
        <v>-214</v>
      </c>
      <c r="CH29" s="1970">
        <v>-276</v>
      </c>
      <c r="CI29" s="1970">
        <v>-247</v>
      </c>
      <c r="CJ29" s="1970">
        <v>-265</v>
      </c>
      <c r="CK29" s="1970">
        <v>-263</v>
      </c>
      <c r="CL29" s="1970">
        <f>-543-CK29</f>
        <v>-280</v>
      </c>
      <c r="CM29" s="1970">
        <v>-303</v>
      </c>
      <c r="CN29" s="1970">
        <v>-267</v>
      </c>
      <c r="CO29" s="1970">
        <v>-630</v>
      </c>
      <c r="CP29" s="1970">
        <v>-360.05499999999995</v>
      </c>
      <c r="CQ29" s="1970">
        <v>-331.64100000000002</v>
      </c>
      <c r="CR29" s="1970">
        <v>-332.85700000000014</v>
      </c>
      <c r="CS29" s="1970">
        <v>-268.75799999999998</v>
      </c>
      <c r="CT29" s="1970">
        <v>-256.09499999999997</v>
      </c>
      <c r="CU29" s="1970">
        <v>-297.495</v>
      </c>
      <c r="CV29" s="1970">
        <v>-312.61500000000001</v>
      </c>
      <c r="CW29" s="1970">
        <v>-328.887</v>
      </c>
      <c r="CX29" s="1970">
        <v>-352.33499999999998</v>
      </c>
      <c r="CY29" s="1970">
        <v>-362.79600000000005</v>
      </c>
      <c r="CZ29" s="1970">
        <v>-387.07500000000005</v>
      </c>
      <c r="DA29" s="1970">
        <v>-329.74400000000003</v>
      </c>
      <c r="DB29" s="1970">
        <v>-358.06399999999996</v>
      </c>
      <c r="DC29" s="1970">
        <v>-271.93000000000006</v>
      </c>
      <c r="DD29" s="1970">
        <v>-316.57999999999993</v>
      </c>
      <c r="DE29" s="1970">
        <v>-305.58199999999999</v>
      </c>
      <c r="DF29" s="2085" t="s">
        <v>90</v>
      </c>
    </row>
    <row r="30" spans="1:111" s="2081" customFormat="1">
      <c r="A30" s="2087"/>
      <c r="B30" s="2083"/>
      <c r="H30" s="1970"/>
      <c r="I30" s="1970"/>
      <c r="J30" s="1970"/>
      <c r="K30" s="1970"/>
      <c r="L30" s="1970"/>
      <c r="M30" s="1970"/>
      <c r="N30" s="1970"/>
      <c r="O30" s="1970"/>
      <c r="P30" s="1970"/>
      <c r="Q30" s="1970"/>
      <c r="R30" s="1970"/>
      <c r="S30" s="1970"/>
      <c r="T30" s="1970"/>
      <c r="U30" s="1970"/>
      <c r="V30" s="1970"/>
      <c r="W30" s="1970"/>
      <c r="X30" s="1970"/>
      <c r="Y30" s="1970"/>
      <c r="Z30" s="1970"/>
      <c r="AA30" s="1970"/>
      <c r="AB30" s="1970"/>
      <c r="AC30" s="1970"/>
      <c r="AD30" s="1970"/>
      <c r="AE30" s="1970"/>
      <c r="AF30" s="1970"/>
      <c r="AG30" s="1970"/>
      <c r="AH30" s="1970"/>
      <c r="AI30" s="1970"/>
      <c r="AJ30" s="1970"/>
      <c r="AK30" s="1970"/>
      <c r="AL30" s="1970"/>
      <c r="AM30" s="1970"/>
      <c r="AN30" s="1970"/>
      <c r="AO30" s="1970"/>
      <c r="AP30" s="1970"/>
      <c r="AQ30" s="1970"/>
      <c r="AR30" s="1970"/>
      <c r="AS30" s="1970"/>
      <c r="AT30" s="1970"/>
      <c r="AU30" s="1970"/>
      <c r="AV30" s="1970"/>
      <c r="AW30" s="1970"/>
      <c r="AX30" s="1970"/>
      <c r="AY30" s="1970"/>
      <c r="AZ30" s="1970"/>
      <c r="BA30" s="1970"/>
      <c r="BB30" s="1970"/>
      <c r="BC30" s="2084"/>
      <c r="BD30" s="293"/>
      <c r="BE30" s="1970"/>
      <c r="BF30" s="1970"/>
      <c r="BG30" s="1970"/>
      <c r="BH30" s="2084"/>
      <c r="BI30" s="293"/>
      <c r="BJ30" s="1970"/>
      <c r="BK30" s="1970"/>
      <c r="BL30" s="1970"/>
      <c r="BM30" s="1970"/>
      <c r="BN30" s="291"/>
      <c r="BO30" s="1970"/>
      <c r="BP30" s="1970"/>
      <c r="BQ30" s="2084"/>
      <c r="BR30" s="293"/>
      <c r="BS30" s="1969"/>
      <c r="BT30" s="293"/>
      <c r="BU30" s="1969"/>
      <c r="BV30" s="1969"/>
      <c r="BW30" s="1970"/>
      <c r="BX30" s="1970"/>
      <c r="BY30" s="1970"/>
      <c r="BZ30" s="1970"/>
      <c r="CA30" s="1970"/>
      <c r="CB30" s="1970"/>
      <c r="CC30" s="1970"/>
      <c r="CD30" s="1970"/>
      <c r="CE30" s="1970"/>
      <c r="CF30" s="1970"/>
      <c r="CG30" s="1970"/>
      <c r="CH30" s="1970"/>
      <c r="CI30" s="1970"/>
      <c r="CJ30" s="1970"/>
      <c r="CK30" s="1970"/>
      <c r="CL30" s="1970"/>
      <c r="CM30" s="1970"/>
      <c r="CN30" s="1970"/>
      <c r="CO30" s="1970"/>
      <c r="CP30" s="1970"/>
      <c r="CQ30" s="1970"/>
      <c r="CR30" s="1970"/>
      <c r="CS30" s="1970"/>
      <c r="CT30" s="1970"/>
      <c r="CU30" s="1970"/>
      <c r="CV30" s="1970"/>
      <c r="CW30" s="1970"/>
      <c r="CX30" s="1970"/>
      <c r="CY30" s="1970"/>
      <c r="CZ30" s="1970"/>
      <c r="DA30" s="1970"/>
      <c r="DB30" s="1970"/>
      <c r="DC30" s="1970"/>
      <c r="DD30" s="1970"/>
      <c r="DE30" s="1970"/>
      <c r="DF30" s="2085"/>
    </row>
    <row r="31" spans="1:111" s="2081" customFormat="1">
      <c r="A31" s="2087" t="s">
        <v>1490</v>
      </c>
      <c r="B31" s="1970">
        <v>-6</v>
      </c>
      <c r="C31" s="1970">
        <v>-12</v>
      </c>
      <c r="D31" s="1970">
        <v>-9</v>
      </c>
      <c r="E31" s="1970">
        <v>-13</v>
      </c>
      <c r="F31" s="1970">
        <v>-45</v>
      </c>
      <c r="G31" s="1970">
        <v>-335</v>
      </c>
      <c r="H31" s="1970">
        <v>-101.133</v>
      </c>
      <c r="I31" s="1970">
        <v>-107</v>
      </c>
      <c r="J31" s="1970">
        <v>-77.504000000000005</v>
      </c>
      <c r="K31" s="1970">
        <v>-81</v>
      </c>
      <c r="L31" s="1970">
        <v>-71</v>
      </c>
      <c r="M31" s="1970">
        <v>-96</v>
      </c>
      <c r="N31" s="1970">
        <v>-96</v>
      </c>
      <c r="O31" s="1970">
        <v>-121.252</v>
      </c>
      <c r="P31" s="1970">
        <v>-97.823999999999998</v>
      </c>
      <c r="Q31" s="1970">
        <v>-128.31099999999998</v>
      </c>
      <c r="R31" s="1970">
        <v>-105</v>
      </c>
      <c r="S31" s="1970">
        <v>-111</v>
      </c>
      <c r="T31" s="1970">
        <v>-144</v>
      </c>
      <c r="U31" s="1970">
        <v>-176.89699999999999</v>
      </c>
      <c r="V31" s="1970">
        <v>-160.42000000000002</v>
      </c>
      <c r="W31" s="1970">
        <v>-219</v>
      </c>
      <c r="X31" s="1970">
        <v>-233</v>
      </c>
      <c r="Y31" s="1970">
        <v>-329.47899999999998</v>
      </c>
      <c r="Z31" s="1970">
        <v>-447</v>
      </c>
      <c r="AA31" s="1970">
        <v>-636</v>
      </c>
      <c r="AB31" s="1970">
        <v>-592</v>
      </c>
      <c r="AC31" s="1970">
        <v>-773.66700000000003</v>
      </c>
      <c r="AD31" s="1970">
        <v>-945.46199999999999</v>
      </c>
      <c r="AE31" s="1970">
        <v>-369</v>
      </c>
      <c r="AF31" s="1970">
        <v>-546.74699999999996</v>
      </c>
      <c r="AG31" s="1970">
        <v>-1468.2239999999999</v>
      </c>
      <c r="AH31" s="1970">
        <v>-1388</v>
      </c>
      <c r="AI31" s="1970">
        <v>-1677</v>
      </c>
      <c r="AJ31" s="1970">
        <v>-1857</v>
      </c>
      <c r="AK31" s="1970">
        <v>-1846.5909999999999</v>
      </c>
      <c r="AL31" s="1970">
        <v>-1216</v>
      </c>
      <c r="AM31" s="1970">
        <v>-346</v>
      </c>
      <c r="AN31" s="1970">
        <v>-214.28299999999999</v>
      </c>
      <c r="AO31" s="1970">
        <v>-947.08</v>
      </c>
      <c r="AP31" s="1970">
        <v>-1376.62</v>
      </c>
      <c r="AQ31" s="1970">
        <v>-981</v>
      </c>
      <c r="AR31" s="1970">
        <v>-795.38400000000001</v>
      </c>
      <c r="AS31" s="1970">
        <v>-922.48199999999997</v>
      </c>
      <c r="AT31" s="1970">
        <v>-968</v>
      </c>
      <c r="AU31" s="1970">
        <v>-781</v>
      </c>
      <c r="AV31" s="1970">
        <v>-1347</v>
      </c>
      <c r="AW31" s="1970">
        <v>-1257.519</v>
      </c>
      <c r="AX31" s="1970">
        <v>-1099</v>
      </c>
      <c r="AY31" s="1970">
        <v>-1157</v>
      </c>
      <c r="AZ31" s="1970">
        <f>AZ33+AZ34</f>
        <v>-1285</v>
      </c>
      <c r="BA31" s="1970">
        <f t="shared" ref="BA31:BX31" si="10">BA33+BA34</f>
        <v>-1067</v>
      </c>
      <c r="BB31" s="1970">
        <f t="shared" si="10"/>
        <v>-1139</v>
      </c>
      <c r="BC31" s="1970">
        <f t="shared" si="10"/>
        <v>-835</v>
      </c>
      <c r="BD31" s="291">
        <f>BD33+BD34</f>
        <v>-4326</v>
      </c>
      <c r="BE31" s="1970">
        <v>-1160</v>
      </c>
      <c r="BF31" s="1970">
        <v>-837</v>
      </c>
      <c r="BG31" s="1970">
        <v>-1055</v>
      </c>
      <c r="BH31" s="1970">
        <v>-1069</v>
      </c>
      <c r="BI31" s="291">
        <f>BI33+BI34</f>
        <v>-4121</v>
      </c>
      <c r="BJ31" s="1970">
        <f t="shared" si="10"/>
        <v>-754</v>
      </c>
      <c r="BK31" s="1970">
        <f t="shared" si="10"/>
        <v>-827</v>
      </c>
      <c r="BL31" s="1970">
        <f t="shared" si="10"/>
        <v>-824</v>
      </c>
      <c r="BM31" s="1970">
        <f t="shared" si="10"/>
        <v>-176</v>
      </c>
      <c r="BN31" s="291">
        <f>BN33+BN34</f>
        <v>-2581</v>
      </c>
      <c r="BO31" s="1970">
        <f t="shared" si="10"/>
        <v>-485</v>
      </c>
      <c r="BP31" s="1970">
        <f t="shared" si="10"/>
        <v>-829</v>
      </c>
      <c r="BQ31" s="1970">
        <f t="shared" si="10"/>
        <v>-482</v>
      </c>
      <c r="BR31" s="291">
        <f t="shared" si="10"/>
        <v>-1796</v>
      </c>
      <c r="BS31" s="1969">
        <f t="shared" si="10"/>
        <v>-232</v>
      </c>
      <c r="BT31" s="293">
        <f>BT33+BT34</f>
        <v>-2028</v>
      </c>
      <c r="BU31" s="1969">
        <f t="shared" si="10"/>
        <v>-358</v>
      </c>
      <c r="BV31" s="1969">
        <f t="shared" si="10"/>
        <v>-645</v>
      </c>
      <c r="BW31" s="1969">
        <f t="shared" si="10"/>
        <v>-795</v>
      </c>
      <c r="BX31" s="1970">
        <f t="shared" si="10"/>
        <v>-674</v>
      </c>
      <c r="BY31" s="1970">
        <f>BY33+BY34</f>
        <v>-587</v>
      </c>
      <c r="BZ31" s="1970">
        <f>BZ33+BZ34</f>
        <v>-380</v>
      </c>
      <c r="CA31" s="1970">
        <f>CA33+CA34</f>
        <v>-294</v>
      </c>
      <c r="CB31" s="1970">
        <f>CB33+CB34</f>
        <v>-499</v>
      </c>
      <c r="CC31" s="1970">
        <v>-528</v>
      </c>
      <c r="CD31" s="1970">
        <v>-378</v>
      </c>
      <c r="CE31" s="1970">
        <v>-583</v>
      </c>
      <c r="CF31" s="1970">
        <f>CF33+CF34</f>
        <v>-970</v>
      </c>
      <c r="CG31" s="1970">
        <v>-516</v>
      </c>
      <c r="CH31" s="1970">
        <v>-334</v>
      </c>
      <c r="CI31" s="1970">
        <v>-597</v>
      </c>
      <c r="CJ31" s="1970">
        <v>-614</v>
      </c>
      <c r="CK31" s="1970">
        <v>-457</v>
      </c>
      <c r="CL31" s="1970">
        <f>CL33+CL34</f>
        <v>-49</v>
      </c>
      <c r="CM31" s="1970">
        <v>-294</v>
      </c>
      <c r="CN31" s="1970">
        <v>344</v>
      </c>
      <c r="CO31" s="1970">
        <v>-200</v>
      </c>
      <c r="CP31" s="1970">
        <v>-358.36099999999999</v>
      </c>
      <c r="CQ31" s="1970">
        <v>-506.80399999999997</v>
      </c>
      <c r="CR31" s="1970">
        <v>-253.45100000000002</v>
      </c>
      <c r="CS31" s="1970">
        <v>-961.76</v>
      </c>
      <c r="CT31" s="1970">
        <v>-1691.6910000000003</v>
      </c>
      <c r="CU31" s="1970">
        <v>-1651.4219999999998</v>
      </c>
      <c r="CV31" s="1970">
        <v>-1182.105</v>
      </c>
      <c r="CW31" s="1970">
        <v>-955.87999999999988</v>
      </c>
      <c r="CX31" s="1970">
        <v>-861.69600000000014</v>
      </c>
      <c r="CY31" s="1970">
        <v>-572.63</v>
      </c>
      <c r="CZ31" s="1970">
        <v>-808.91099999999983</v>
      </c>
      <c r="DA31" s="1970">
        <v>-566.42900000000009</v>
      </c>
      <c r="DB31" s="1970">
        <v>-663.31700000000001</v>
      </c>
      <c r="DC31" s="1970">
        <v>-748.77599999999995</v>
      </c>
      <c r="DD31" s="1970">
        <v>-756.21300000000019</v>
      </c>
      <c r="DE31" s="1970">
        <v>-656.24099999999999</v>
      </c>
      <c r="DF31" s="2085" t="s">
        <v>1491</v>
      </c>
    </row>
    <row r="32" spans="1:111" s="2081" customFormat="1">
      <c r="A32" s="2087"/>
      <c r="B32" s="2083"/>
      <c r="H32" s="1970"/>
      <c r="I32" s="1970"/>
      <c r="J32" s="1970"/>
      <c r="K32" s="1970"/>
      <c r="L32" s="1970"/>
      <c r="M32" s="1970"/>
      <c r="N32" s="1970"/>
      <c r="O32" s="1970"/>
      <c r="P32" s="1970"/>
      <c r="Q32" s="1970"/>
      <c r="R32" s="1970"/>
      <c r="S32" s="1970"/>
      <c r="T32" s="1970"/>
      <c r="U32" s="1970"/>
      <c r="V32" s="1970"/>
      <c r="W32" s="1970"/>
      <c r="X32" s="1970"/>
      <c r="Y32" s="1970"/>
      <c r="Z32" s="1970"/>
      <c r="AA32" s="1970"/>
      <c r="AB32" s="1970"/>
      <c r="AC32" s="1970"/>
      <c r="AD32" s="1970"/>
      <c r="AE32" s="1970"/>
      <c r="AF32" s="1970"/>
      <c r="AG32" s="1970"/>
      <c r="AH32" s="1970"/>
      <c r="AI32" s="1970"/>
      <c r="AJ32" s="1970"/>
      <c r="AK32" s="1970"/>
      <c r="AL32" s="1970"/>
      <c r="AM32" s="1970"/>
      <c r="AN32" s="1970"/>
      <c r="AO32" s="1970"/>
      <c r="AP32" s="1970"/>
      <c r="AQ32" s="1970"/>
      <c r="AR32" s="1970"/>
      <c r="AS32" s="1970"/>
      <c r="AT32" s="1970"/>
      <c r="AU32" s="1970"/>
      <c r="AV32" s="1970"/>
      <c r="AW32" s="1970"/>
      <c r="AX32" s="1970"/>
      <c r="AY32" s="1970"/>
      <c r="AZ32" s="1970"/>
      <c r="BA32" s="1970"/>
      <c r="BB32" s="1970"/>
      <c r="BC32" s="2084"/>
      <c r="BD32" s="293"/>
      <c r="BE32" s="1970"/>
      <c r="BF32" s="1970"/>
      <c r="BG32" s="1970"/>
      <c r="BH32" s="2084"/>
      <c r="BI32" s="293"/>
      <c r="BJ32" s="1970"/>
      <c r="BK32" s="1970"/>
      <c r="BL32" s="1970"/>
      <c r="BM32" s="1970"/>
      <c r="BN32" s="291"/>
      <c r="BO32" s="1970"/>
      <c r="BP32" s="1970"/>
      <c r="BQ32" s="2084"/>
      <c r="BR32" s="293"/>
      <c r="BS32" s="1969"/>
      <c r="BT32" s="293"/>
      <c r="BU32" s="1969"/>
      <c r="BV32" s="1969"/>
      <c r="BW32" s="1969"/>
      <c r="BX32" s="1970"/>
      <c r="BY32" s="1970"/>
      <c r="BZ32" s="1970"/>
      <c r="CA32" s="1970"/>
      <c r="CB32" s="1970"/>
      <c r="CC32" s="1970"/>
      <c r="CD32" s="1970"/>
      <c r="CE32" s="1970"/>
      <c r="CF32" s="1970"/>
      <c r="CG32" s="1970"/>
      <c r="CH32" s="1970"/>
      <c r="CI32" s="1970"/>
      <c r="CJ32" s="1970"/>
      <c r="CK32" s="1970"/>
      <c r="CL32" s="1970"/>
      <c r="CM32" s="1970"/>
      <c r="CN32" s="1970"/>
      <c r="CO32" s="1970"/>
      <c r="CP32" s="1970"/>
      <c r="CQ32" s="1970"/>
      <c r="CR32" s="1970"/>
      <c r="CS32" s="1970"/>
      <c r="CT32" s="1970"/>
      <c r="CU32" s="1970"/>
      <c r="CV32" s="1970"/>
      <c r="CW32" s="1970"/>
      <c r="CX32" s="1970"/>
      <c r="CY32" s="1970"/>
      <c r="CZ32" s="1970"/>
      <c r="DA32" s="1970"/>
      <c r="DB32" s="1970"/>
      <c r="DC32" s="1970"/>
      <c r="DD32" s="1970"/>
      <c r="DE32" s="1970"/>
      <c r="DF32" s="2085"/>
    </row>
    <row r="33" spans="1:110" s="2081" customFormat="1">
      <c r="A33" s="2087" t="s">
        <v>77</v>
      </c>
      <c r="B33" s="2083"/>
      <c r="C33" s="2081">
        <v>-14</v>
      </c>
      <c r="D33" s="2081">
        <v>-19</v>
      </c>
      <c r="E33" s="2081">
        <v>-27</v>
      </c>
      <c r="F33" s="2081">
        <v>-51</v>
      </c>
      <c r="G33" s="2081">
        <v>-361</v>
      </c>
      <c r="H33" s="1970">
        <v>-102.133</v>
      </c>
      <c r="I33" s="1970">
        <v>-106</v>
      </c>
      <c r="J33" s="1970">
        <v>-79</v>
      </c>
      <c r="K33" s="1970">
        <v>-84</v>
      </c>
      <c r="L33" s="1970">
        <v>-70</v>
      </c>
      <c r="M33" s="1970">
        <v>-91</v>
      </c>
      <c r="N33" s="1970">
        <v>-95</v>
      </c>
      <c r="O33" s="1970">
        <v>-125.69799999999999</v>
      </c>
      <c r="P33" s="1970">
        <v>-103.824</v>
      </c>
      <c r="Q33" s="1970">
        <v>-136.55099999999999</v>
      </c>
      <c r="R33" s="1970">
        <v>-87</v>
      </c>
      <c r="S33" s="1970">
        <v>-110</v>
      </c>
      <c r="T33" s="1970">
        <v>-135</v>
      </c>
      <c r="U33" s="1970">
        <v>-140.45099999999999</v>
      </c>
      <c r="V33" s="1970">
        <v>-151.28</v>
      </c>
      <c r="W33" s="1970">
        <v>-192</v>
      </c>
      <c r="X33" s="1970">
        <v>-247</v>
      </c>
      <c r="Y33" s="1970">
        <v>-356.41199999999998</v>
      </c>
      <c r="Z33" s="1970">
        <v>-406</v>
      </c>
      <c r="AA33" s="1970">
        <v>-638</v>
      </c>
      <c r="AB33" s="1970">
        <v>-597</v>
      </c>
      <c r="AC33" s="1970">
        <v>-724.24599999999998</v>
      </c>
      <c r="AD33" s="1970">
        <v>-940.024</v>
      </c>
      <c r="AE33" s="1970">
        <v>-391</v>
      </c>
      <c r="AF33" s="1970">
        <v>-589.76599999999996</v>
      </c>
      <c r="AG33" s="1970">
        <v>-1471.2239999999999</v>
      </c>
      <c r="AH33" s="1970">
        <v>-1389</v>
      </c>
      <c r="AI33" s="1970">
        <v>-1660</v>
      </c>
      <c r="AJ33" s="1970">
        <v>-1912</v>
      </c>
      <c r="AK33" s="1970">
        <v>-1797.5909999999999</v>
      </c>
      <c r="AL33" s="1970">
        <v>-1086</v>
      </c>
      <c r="AM33" s="1970">
        <v>-473</v>
      </c>
      <c r="AN33" s="1970">
        <v>-162.76</v>
      </c>
      <c r="AO33" s="1970">
        <v>-992.29100000000005</v>
      </c>
      <c r="AP33" s="1970">
        <v>-1308.174</v>
      </c>
      <c r="AQ33" s="1970">
        <v>-844</v>
      </c>
      <c r="AR33" s="1970">
        <v>-702.73</v>
      </c>
      <c r="AS33" s="1970">
        <v>-761.68100000000004</v>
      </c>
      <c r="AT33" s="1970">
        <v>-835</v>
      </c>
      <c r="AU33" s="1970">
        <v>-867</v>
      </c>
      <c r="AV33" s="1970">
        <v>-1330</v>
      </c>
      <c r="AW33" s="1970">
        <v>-1231</v>
      </c>
      <c r="AX33" s="1970">
        <v>-1054</v>
      </c>
      <c r="AY33" s="1970">
        <v>-1008</v>
      </c>
      <c r="AZ33" s="1970">
        <v>-1269</v>
      </c>
      <c r="BA33" s="1970">
        <v>-967</v>
      </c>
      <c r="BB33" s="1970">
        <v>-1052</v>
      </c>
      <c r="BC33" s="2084">
        <v>-840</v>
      </c>
      <c r="BD33" s="293">
        <f>SUM(AZ33:BC33)</f>
        <v>-4128</v>
      </c>
      <c r="BE33" s="1970">
        <v>-1154</v>
      </c>
      <c r="BF33" s="1970">
        <v>-858</v>
      </c>
      <c r="BG33" s="1970">
        <v>-1046</v>
      </c>
      <c r="BH33" s="2084">
        <v>-1069</v>
      </c>
      <c r="BI33" s="293">
        <f t="shared" si="3"/>
        <v>-4127</v>
      </c>
      <c r="BJ33" s="1970">
        <v>-856</v>
      </c>
      <c r="BK33" s="1970">
        <v>-963</v>
      </c>
      <c r="BL33" s="1970">
        <v>-913</v>
      </c>
      <c r="BM33" s="1970">
        <v>-353</v>
      </c>
      <c r="BN33" s="291">
        <f t="shared" si="4"/>
        <v>-3085</v>
      </c>
      <c r="BO33" s="1970">
        <v>-373</v>
      </c>
      <c r="BP33" s="1970">
        <v>-902</v>
      </c>
      <c r="BQ33" s="2084">
        <v>-496</v>
      </c>
      <c r="BR33" s="293">
        <f t="shared" si="5"/>
        <v>-1771</v>
      </c>
      <c r="BS33" s="1969">
        <v>-300</v>
      </c>
      <c r="BT33" s="293">
        <f>BR33+BS33</f>
        <v>-2071</v>
      </c>
      <c r="BU33" s="1969">
        <v>-385</v>
      </c>
      <c r="BV33" s="1969">
        <v>-686</v>
      </c>
      <c r="BW33" s="1969">
        <v>-870</v>
      </c>
      <c r="BX33" s="1970">
        <v>-645</v>
      </c>
      <c r="BY33" s="1970">
        <v>-595</v>
      </c>
      <c r="BZ33" s="1970">
        <v>-445</v>
      </c>
      <c r="CA33" s="1970">
        <v>-286</v>
      </c>
      <c r="CB33" s="1970">
        <v>-521</v>
      </c>
      <c r="CC33" s="1970">
        <v>-582</v>
      </c>
      <c r="CD33" s="1970">
        <v>-585</v>
      </c>
      <c r="CE33" s="1970">
        <v>-629</v>
      </c>
      <c r="CF33" s="1970">
        <v>-1053</v>
      </c>
      <c r="CG33" s="1970">
        <v>-645</v>
      </c>
      <c r="CH33" s="1970">
        <v>-471</v>
      </c>
      <c r="CI33" s="1970">
        <v>-730</v>
      </c>
      <c r="CJ33" s="1970">
        <v>-959</v>
      </c>
      <c r="CK33" s="1970">
        <v>-567</v>
      </c>
      <c r="CL33" s="1970">
        <f>-888-CK33</f>
        <v>-321</v>
      </c>
      <c r="CM33" s="1970">
        <v>-471</v>
      </c>
      <c r="CN33" s="1970">
        <v>-79</v>
      </c>
      <c r="CO33" s="1970">
        <v>-377</v>
      </c>
      <c r="CP33" s="1970">
        <v>-511.72299999999996</v>
      </c>
      <c r="CQ33" s="1970">
        <v>-591.26699999999994</v>
      </c>
      <c r="CR33" s="1970">
        <v>-377.3330000000002</v>
      </c>
      <c r="CS33" s="1970">
        <v>-1125.405</v>
      </c>
      <c r="CT33" s="1970">
        <v>-1790.0290000000002</v>
      </c>
      <c r="CU33" s="1970">
        <v>-1751.1019999999999</v>
      </c>
      <c r="CV33" s="1970">
        <v>-1411.3150000000001</v>
      </c>
      <c r="CW33" s="1970">
        <v>-1163.6469999999999</v>
      </c>
      <c r="CX33" s="1970">
        <v>-1091.5970000000002</v>
      </c>
      <c r="CY33" s="1970">
        <v>-779.01099999999997</v>
      </c>
      <c r="CZ33" s="1970">
        <v>-898.66899999999987</v>
      </c>
      <c r="DA33" s="1970">
        <v>-906.49400000000003</v>
      </c>
      <c r="DB33" s="1970">
        <v>-869.99899999999991</v>
      </c>
      <c r="DC33" s="1970">
        <v>-837.09100000000001</v>
      </c>
      <c r="DD33" s="1970">
        <v>-768.51300000000026</v>
      </c>
      <c r="DE33" s="1970">
        <v>-703.91700000000003</v>
      </c>
      <c r="DF33" s="2085" t="s">
        <v>78</v>
      </c>
    </row>
    <row r="34" spans="1:110" s="2081" customFormat="1">
      <c r="A34" s="2087" t="s">
        <v>79</v>
      </c>
      <c r="B34" s="2083">
        <v>-6</v>
      </c>
      <c r="C34" s="2081">
        <v>2</v>
      </c>
      <c r="D34" s="2081">
        <v>10</v>
      </c>
      <c r="E34" s="2081">
        <v>14</v>
      </c>
      <c r="F34" s="2081">
        <v>6</v>
      </c>
      <c r="G34" s="2081">
        <v>26</v>
      </c>
      <c r="H34" s="1970">
        <v>1</v>
      </c>
      <c r="I34" s="1970">
        <v>-1</v>
      </c>
      <c r="J34" s="1970">
        <v>1.496</v>
      </c>
      <c r="K34" s="1970">
        <v>3</v>
      </c>
      <c r="L34" s="1970">
        <v>-1</v>
      </c>
      <c r="M34" s="1970">
        <v>-5</v>
      </c>
      <c r="N34" s="1970">
        <v>-1</v>
      </c>
      <c r="O34" s="1970">
        <v>4.4459999999999997</v>
      </c>
      <c r="P34" s="1970">
        <v>6</v>
      </c>
      <c r="Q34" s="1970">
        <v>8.24</v>
      </c>
      <c r="R34" s="1970">
        <v>-18</v>
      </c>
      <c r="S34" s="1970">
        <v>-1</v>
      </c>
      <c r="T34" s="1970">
        <v>-9</v>
      </c>
      <c r="U34" s="1970">
        <v>-36.445999999999998</v>
      </c>
      <c r="V34" s="1970">
        <v>-9.14</v>
      </c>
      <c r="W34" s="1970">
        <v>-27</v>
      </c>
      <c r="X34" s="1970">
        <v>14</v>
      </c>
      <c r="Y34" s="1970">
        <v>26.933</v>
      </c>
      <c r="Z34" s="1970">
        <v>-41</v>
      </c>
      <c r="AA34" s="1970">
        <v>2</v>
      </c>
      <c r="AB34" s="1970">
        <v>5</v>
      </c>
      <c r="AC34" s="1970">
        <v>-49.420999999999999</v>
      </c>
      <c r="AD34" s="1970">
        <v>-5.4379999999999997</v>
      </c>
      <c r="AE34" s="1970">
        <v>22</v>
      </c>
      <c r="AF34" s="1970">
        <v>43.018999999999998</v>
      </c>
      <c r="AG34" s="1970">
        <v>3</v>
      </c>
      <c r="AH34" s="1970">
        <v>1</v>
      </c>
      <c r="AI34" s="1970">
        <v>-17</v>
      </c>
      <c r="AJ34" s="1970">
        <v>55</v>
      </c>
      <c r="AK34" s="1970">
        <v>-49</v>
      </c>
      <c r="AL34" s="1970">
        <v>-130</v>
      </c>
      <c r="AM34" s="1970">
        <v>127</v>
      </c>
      <c r="AN34" s="1970">
        <v>-51.523000000000003</v>
      </c>
      <c r="AO34" s="1970">
        <v>45.210999999999999</v>
      </c>
      <c r="AP34" s="1970">
        <v>-68.445999999999998</v>
      </c>
      <c r="AQ34" s="1970">
        <v>-137</v>
      </c>
      <c r="AR34" s="1970">
        <v>-92.653999999999996</v>
      </c>
      <c r="AS34" s="1970">
        <v>-160.80099999999999</v>
      </c>
      <c r="AT34" s="1970">
        <v>-133</v>
      </c>
      <c r="AU34" s="1970">
        <v>86</v>
      </c>
      <c r="AV34" s="1970">
        <v>-17</v>
      </c>
      <c r="AW34" s="1970">
        <v>-26.518999999999998</v>
      </c>
      <c r="AX34" s="1970">
        <v>-45</v>
      </c>
      <c r="AY34" s="1970">
        <v>-149</v>
      </c>
      <c r="AZ34" s="1970">
        <v>-16</v>
      </c>
      <c r="BA34" s="1970">
        <v>-100</v>
      </c>
      <c r="BB34" s="1970">
        <v>-87</v>
      </c>
      <c r="BC34" s="2084">
        <v>5</v>
      </c>
      <c r="BD34" s="293">
        <f>SUM(AZ34:BC34)</f>
        <v>-198</v>
      </c>
      <c r="BE34" s="1970">
        <v>-6</v>
      </c>
      <c r="BF34" s="1970">
        <v>21</v>
      </c>
      <c r="BG34" s="1970">
        <v>-9</v>
      </c>
      <c r="BH34" s="2084">
        <v>0</v>
      </c>
      <c r="BI34" s="293">
        <f t="shared" si="3"/>
        <v>6</v>
      </c>
      <c r="BJ34" s="1970">
        <v>102</v>
      </c>
      <c r="BK34" s="1970">
        <v>136</v>
      </c>
      <c r="BL34" s="1970">
        <v>89</v>
      </c>
      <c r="BM34" s="1970">
        <v>177</v>
      </c>
      <c r="BN34" s="291">
        <f t="shared" si="4"/>
        <v>504</v>
      </c>
      <c r="BO34" s="1970">
        <v>-112</v>
      </c>
      <c r="BP34" s="1970">
        <v>73</v>
      </c>
      <c r="BQ34" s="2084">
        <v>14</v>
      </c>
      <c r="BR34" s="293">
        <f t="shared" si="5"/>
        <v>-25</v>
      </c>
      <c r="BS34" s="1969">
        <v>68</v>
      </c>
      <c r="BT34" s="293">
        <f>BR34+BS34</f>
        <v>43</v>
      </c>
      <c r="BU34" s="1969">
        <v>27</v>
      </c>
      <c r="BV34" s="1969">
        <v>41</v>
      </c>
      <c r="BW34" s="1969">
        <v>75</v>
      </c>
      <c r="BX34" s="1970">
        <v>-29</v>
      </c>
      <c r="BY34" s="1970">
        <v>8</v>
      </c>
      <c r="BZ34" s="1970">
        <v>65</v>
      </c>
      <c r="CA34" s="1970">
        <v>-8</v>
      </c>
      <c r="CB34" s="1970">
        <v>22</v>
      </c>
      <c r="CC34" s="1970">
        <v>54</v>
      </c>
      <c r="CD34" s="1970">
        <v>207</v>
      </c>
      <c r="CE34" s="1970">
        <v>46</v>
      </c>
      <c r="CF34" s="1970">
        <v>83</v>
      </c>
      <c r="CG34" s="1970">
        <v>129</v>
      </c>
      <c r="CH34" s="1970">
        <v>137</v>
      </c>
      <c r="CI34" s="1970">
        <v>133</v>
      </c>
      <c r="CJ34" s="1970">
        <v>345</v>
      </c>
      <c r="CK34" s="1970">
        <v>110</v>
      </c>
      <c r="CL34" s="1970">
        <f>382-CK34</f>
        <v>272</v>
      </c>
      <c r="CM34" s="1970">
        <v>177</v>
      </c>
      <c r="CN34" s="1970">
        <v>423</v>
      </c>
      <c r="CO34" s="1970">
        <v>177</v>
      </c>
      <c r="CP34" s="1970">
        <v>153.36199999999999</v>
      </c>
      <c r="CQ34" s="1970">
        <v>84.462999999999965</v>
      </c>
      <c r="CR34" s="1970">
        <v>123.88200000000003</v>
      </c>
      <c r="CS34" s="1970">
        <v>163.64500000000001</v>
      </c>
      <c r="CT34" s="1970">
        <v>98.337999999999994</v>
      </c>
      <c r="CU34" s="1970">
        <v>99.68</v>
      </c>
      <c r="CV34" s="1970">
        <v>229.21000000000004</v>
      </c>
      <c r="CW34" s="1970">
        <v>207.767</v>
      </c>
      <c r="CX34" s="1970">
        <v>229.90100000000001</v>
      </c>
      <c r="CY34" s="1970">
        <v>206.38099999999997</v>
      </c>
      <c r="CZ34" s="1970">
        <v>89.758000000000038</v>
      </c>
      <c r="DA34" s="1970">
        <v>340.065</v>
      </c>
      <c r="DB34" s="1970">
        <v>206.68199999999996</v>
      </c>
      <c r="DC34" s="1970">
        <v>88.315000000000055</v>
      </c>
      <c r="DD34" s="1970">
        <v>12.300000000000011</v>
      </c>
      <c r="DE34" s="1970">
        <v>47.676000000000002</v>
      </c>
      <c r="DF34" s="2085" t="s">
        <v>80</v>
      </c>
    </row>
    <row r="35" spans="1:110" s="2081" customFormat="1">
      <c r="A35" s="2087"/>
      <c r="B35" s="2083"/>
      <c r="H35" s="1970"/>
      <c r="I35" s="1970"/>
      <c r="J35" s="1970"/>
      <c r="K35" s="1970"/>
      <c r="L35" s="1970"/>
      <c r="M35" s="1970"/>
      <c r="N35" s="1970"/>
      <c r="O35" s="1970"/>
      <c r="P35" s="1970"/>
      <c r="Q35" s="1970"/>
      <c r="R35" s="1970"/>
      <c r="S35" s="1970"/>
      <c r="T35" s="1970"/>
      <c r="U35" s="1970"/>
      <c r="V35" s="1970"/>
      <c r="W35" s="1970"/>
      <c r="X35" s="1970"/>
      <c r="Y35" s="1970"/>
      <c r="Z35" s="1970"/>
      <c r="AA35" s="1970"/>
      <c r="AB35" s="1970"/>
      <c r="AC35" s="1970"/>
      <c r="AD35" s="1970"/>
      <c r="AE35" s="1970"/>
      <c r="AF35" s="1970"/>
      <c r="AG35" s="1970"/>
      <c r="AH35" s="1970"/>
      <c r="AI35" s="1970"/>
      <c r="AJ35" s="1970"/>
      <c r="AK35" s="1970"/>
      <c r="AL35" s="1970"/>
      <c r="AM35" s="1970"/>
      <c r="AN35" s="1970"/>
      <c r="AO35" s="1970"/>
      <c r="AP35" s="1970"/>
      <c r="AQ35" s="1970"/>
      <c r="AR35" s="1970"/>
      <c r="AS35" s="1970"/>
      <c r="AT35" s="1970"/>
      <c r="AU35" s="1970"/>
      <c r="AV35" s="1970"/>
      <c r="AW35" s="1970"/>
      <c r="AX35" s="1970"/>
      <c r="AY35" s="1970"/>
      <c r="AZ35" s="1970"/>
      <c r="BA35" s="1970"/>
      <c r="BB35" s="1970"/>
      <c r="BC35" s="2084"/>
      <c r="BD35" s="293"/>
      <c r="BE35" s="1970"/>
      <c r="BF35" s="1970"/>
      <c r="BG35" s="1970"/>
      <c r="BH35" s="2084"/>
      <c r="BI35" s="293"/>
      <c r="BJ35" s="1970"/>
      <c r="BK35" s="1970"/>
      <c r="BL35" s="1970"/>
      <c r="BM35" s="1970"/>
      <c r="BN35" s="291"/>
      <c r="BO35" s="1970"/>
      <c r="BP35" s="1970"/>
      <c r="BQ35" s="2084"/>
      <c r="BR35" s="293"/>
      <c r="BS35" s="1969"/>
      <c r="BT35" s="293"/>
      <c r="BU35" s="1969"/>
      <c r="BV35" s="1969"/>
      <c r="BW35" s="1969"/>
      <c r="BX35" s="1970"/>
      <c r="BY35" s="1970"/>
      <c r="BZ35" s="1970"/>
      <c r="CA35" s="1970"/>
      <c r="CB35" s="1970"/>
      <c r="CC35" s="1970"/>
      <c r="CD35" s="1970"/>
      <c r="CE35" s="1970"/>
      <c r="CF35" s="1970"/>
      <c r="CG35" s="1970"/>
      <c r="CH35" s="1970"/>
      <c r="CI35" s="1970"/>
      <c r="CJ35" s="1970"/>
      <c r="CK35" s="1970"/>
      <c r="CL35" s="1970"/>
      <c r="CM35" s="1970"/>
      <c r="CN35" s="1970"/>
      <c r="CO35" s="1970"/>
      <c r="CP35" s="1970"/>
      <c r="CQ35" s="1970"/>
      <c r="CR35" s="1970"/>
      <c r="CS35" s="1970"/>
      <c r="CT35" s="1970"/>
      <c r="CU35" s="1970"/>
      <c r="CV35" s="1970"/>
      <c r="CW35" s="1970"/>
      <c r="CX35" s="1970"/>
      <c r="CY35" s="1970"/>
      <c r="CZ35" s="1970"/>
      <c r="DA35" s="1970"/>
      <c r="DB35" s="1970"/>
      <c r="DC35" s="1970"/>
      <c r="DD35" s="1970"/>
      <c r="DE35" s="1970"/>
      <c r="DF35" s="2085"/>
    </row>
    <row r="36" spans="1:110" s="2081" customFormat="1">
      <c r="A36" s="2087" t="s">
        <v>1152</v>
      </c>
      <c r="B36" s="2083">
        <v>10</v>
      </c>
      <c r="C36" s="2081">
        <v>15</v>
      </c>
      <c r="D36" s="2081">
        <v>23</v>
      </c>
      <c r="E36" s="2081">
        <v>38</v>
      </c>
      <c r="F36" s="2081">
        <v>34</v>
      </c>
      <c r="G36" s="2081">
        <v>56</v>
      </c>
      <c r="H36" s="1970">
        <v>12</v>
      </c>
      <c r="I36" s="1970">
        <v>10</v>
      </c>
      <c r="J36" s="1970">
        <v>8</v>
      </c>
      <c r="K36" s="1970">
        <v>12</v>
      </c>
      <c r="L36" s="1970">
        <v>6</v>
      </c>
      <c r="M36" s="1970">
        <v>8</v>
      </c>
      <c r="N36" s="1970">
        <v>8</v>
      </c>
      <c r="O36" s="1970">
        <v>16</v>
      </c>
      <c r="P36" s="1970">
        <v>13</v>
      </c>
      <c r="Q36" s="1970">
        <v>24</v>
      </c>
      <c r="R36" s="1970">
        <v>3</v>
      </c>
      <c r="S36" s="1970">
        <v>13</v>
      </c>
      <c r="T36" s="1970">
        <v>14</v>
      </c>
      <c r="U36" s="1970">
        <v>5</v>
      </c>
      <c r="V36" s="1970">
        <v>30</v>
      </c>
      <c r="W36" s="1970">
        <v>17</v>
      </c>
      <c r="X36" s="1970">
        <v>42</v>
      </c>
      <c r="Y36" s="1970">
        <v>67</v>
      </c>
      <c r="Z36" s="1970">
        <v>51</v>
      </c>
      <c r="AA36" s="1970">
        <v>82</v>
      </c>
      <c r="AB36" s="1970">
        <v>56</v>
      </c>
      <c r="AC36" s="1970">
        <v>67</v>
      </c>
      <c r="AD36" s="1970">
        <v>75</v>
      </c>
      <c r="AE36" s="1970">
        <v>82</v>
      </c>
      <c r="AF36" s="1970">
        <v>72</v>
      </c>
      <c r="AG36" s="1970">
        <v>71</v>
      </c>
      <c r="AH36" s="1970">
        <v>91</v>
      </c>
      <c r="AI36" s="1970">
        <v>93</v>
      </c>
      <c r="AJ36" s="1970">
        <v>1001</v>
      </c>
      <c r="AK36" s="1970">
        <v>71</v>
      </c>
      <c r="AL36" s="1970">
        <v>137</v>
      </c>
      <c r="AM36" s="1970">
        <v>286</v>
      </c>
      <c r="AN36" s="1970">
        <v>134</v>
      </c>
      <c r="AO36" s="1970">
        <v>179</v>
      </c>
      <c r="AP36" s="1970">
        <v>162</v>
      </c>
      <c r="AQ36" s="1970">
        <v>76</v>
      </c>
      <c r="AR36" s="1970">
        <v>103</v>
      </c>
      <c r="AS36" s="1970">
        <v>27</v>
      </c>
      <c r="AT36" s="1970">
        <v>171</v>
      </c>
      <c r="AU36" s="1970">
        <v>375</v>
      </c>
      <c r="AV36" s="1970">
        <v>176</v>
      </c>
      <c r="AW36" s="1970">
        <v>213</v>
      </c>
      <c r="AX36" s="1970">
        <v>273</v>
      </c>
      <c r="AY36" s="1970">
        <v>356</v>
      </c>
      <c r="AZ36" s="1970">
        <v>219</v>
      </c>
      <c r="BA36" s="1970">
        <v>345</v>
      </c>
      <c r="BB36" s="1970">
        <v>235</v>
      </c>
      <c r="BC36" s="2084">
        <v>293</v>
      </c>
      <c r="BD36" s="293">
        <f>SUM(AZ36:BC36)</f>
        <v>1092</v>
      </c>
      <c r="BE36" s="1970">
        <v>182</v>
      </c>
      <c r="BF36" s="1970">
        <v>252</v>
      </c>
      <c r="BG36" s="1970">
        <v>286</v>
      </c>
      <c r="BH36" s="2084">
        <v>308</v>
      </c>
      <c r="BI36" s="293">
        <f t="shared" si="3"/>
        <v>1028</v>
      </c>
      <c r="BJ36" s="1970">
        <v>294</v>
      </c>
      <c r="BK36" s="1970">
        <v>509</v>
      </c>
      <c r="BL36" s="1970">
        <v>382</v>
      </c>
      <c r="BM36" s="1970">
        <v>489</v>
      </c>
      <c r="BN36" s="291">
        <f t="shared" si="4"/>
        <v>1674</v>
      </c>
      <c r="BO36" s="1970">
        <v>247</v>
      </c>
      <c r="BP36" s="1970">
        <v>405</v>
      </c>
      <c r="BQ36" s="2084">
        <v>289</v>
      </c>
      <c r="BR36" s="293">
        <f t="shared" si="5"/>
        <v>941</v>
      </c>
      <c r="BS36" s="1969">
        <v>317</v>
      </c>
      <c r="BT36" s="293">
        <f>BR36+BS36</f>
        <v>1258</v>
      </c>
      <c r="BU36" s="1969">
        <v>209</v>
      </c>
      <c r="BV36" s="1969">
        <v>239</v>
      </c>
      <c r="BW36" s="1969">
        <v>297</v>
      </c>
      <c r="BX36" s="1970">
        <v>176</v>
      </c>
      <c r="BY36" s="1970">
        <v>170</v>
      </c>
      <c r="BZ36" s="1970">
        <v>197</v>
      </c>
      <c r="CA36" s="1970">
        <v>485</v>
      </c>
      <c r="CB36" s="1970">
        <v>433</v>
      </c>
      <c r="CC36" s="1970">
        <v>461</v>
      </c>
      <c r="CD36" s="1970">
        <v>407</v>
      </c>
      <c r="CE36" s="1970">
        <v>401</v>
      </c>
      <c r="CF36" s="1970">
        <v>362</v>
      </c>
      <c r="CG36" s="1970">
        <v>330</v>
      </c>
      <c r="CH36" s="1970">
        <v>385</v>
      </c>
      <c r="CI36" s="1970">
        <v>269</v>
      </c>
      <c r="CJ36" s="1970">
        <v>606</v>
      </c>
      <c r="CK36" s="1970">
        <v>302</v>
      </c>
      <c r="CL36" s="1970">
        <f>722-CK36</f>
        <v>420</v>
      </c>
      <c r="CM36" s="1970">
        <v>442</v>
      </c>
      <c r="CN36" s="1970">
        <v>692</v>
      </c>
      <c r="CO36" s="1970">
        <v>483</v>
      </c>
      <c r="CP36" s="1970">
        <v>395.96299999999997</v>
      </c>
      <c r="CQ36" s="1970">
        <v>435.6579999999999</v>
      </c>
      <c r="CR36" s="1970">
        <v>501.23900000000003</v>
      </c>
      <c r="CS36" s="1970">
        <v>400.40899999999999</v>
      </c>
      <c r="CT36" s="1970">
        <v>277.75700000000006</v>
      </c>
      <c r="CU36" s="1970">
        <v>397.50199999999984</v>
      </c>
      <c r="CV36" s="1970">
        <v>466.31599999999997</v>
      </c>
      <c r="CW36" s="1970">
        <v>406.09899999999999</v>
      </c>
      <c r="CX36" s="1970">
        <v>430.96700000000004</v>
      </c>
      <c r="CY36" s="1970">
        <v>611.18900000000008</v>
      </c>
      <c r="CZ36" s="1970">
        <v>520.85499999999979</v>
      </c>
      <c r="DA36" s="1970">
        <v>560.149</v>
      </c>
      <c r="DB36" s="1970">
        <v>665.24999999999989</v>
      </c>
      <c r="DC36" s="1970">
        <v>700.15700000000004</v>
      </c>
      <c r="DD36" s="1970">
        <v>668.1819999999999</v>
      </c>
      <c r="DE36" s="1970">
        <v>614.78700000000003</v>
      </c>
      <c r="DF36" s="2085" t="s">
        <v>1154</v>
      </c>
    </row>
    <row r="37" spans="1:110" s="2081" customFormat="1">
      <c r="A37" s="2087" t="s">
        <v>1311</v>
      </c>
      <c r="B37" s="2083">
        <v>-16</v>
      </c>
      <c r="C37" s="2081">
        <v>-27</v>
      </c>
      <c r="D37" s="2081">
        <v>-32</v>
      </c>
      <c r="E37" s="2081">
        <v>-51</v>
      </c>
      <c r="F37" s="2081">
        <v>-79</v>
      </c>
      <c r="G37" s="2081">
        <v>-391</v>
      </c>
      <c r="H37" s="1970">
        <v>-113</v>
      </c>
      <c r="I37" s="1970">
        <v>-117</v>
      </c>
      <c r="J37" s="1970">
        <v>-86</v>
      </c>
      <c r="K37" s="1970">
        <v>-93</v>
      </c>
      <c r="L37" s="1970">
        <v>-77</v>
      </c>
      <c r="M37" s="1970">
        <v>-104</v>
      </c>
      <c r="N37" s="1970">
        <v>-104</v>
      </c>
      <c r="O37" s="1970">
        <v>-137</v>
      </c>
      <c r="P37" s="1970">
        <v>-111</v>
      </c>
      <c r="Q37" s="1970">
        <v>-152</v>
      </c>
      <c r="R37" s="1970">
        <v>-108</v>
      </c>
      <c r="S37" s="1970">
        <v>-124</v>
      </c>
      <c r="T37" s="1970">
        <v>-158</v>
      </c>
      <c r="U37" s="1970">
        <v>-182</v>
      </c>
      <c r="V37" s="1970">
        <v>-190</v>
      </c>
      <c r="W37" s="1970">
        <v>-236</v>
      </c>
      <c r="X37" s="1970">
        <v>-276</v>
      </c>
      <c r="Y37" s="1970">
        <v>-841</v>
      </c>
      <c r="Z37" s="1970">
        <v>-498</v>
      </c>
      <c r="AA37" s="1970">
        <v>-451</v>
      </c>
      <c r="AB37" s="1970">
        <v>-648</v>
      </c>
      <c r="AC37" s="1970">
        <v>-841</v>
      </c>
      <c r="AD37" s="1970">
        <v>-1021</v>
      </c>
      <c r="AE37" s="1970">
        <v>-451</v>
      </c>
      <c r="AF37" s="1970">
        <v>-618</v>
      </c>
      <c r="AG37" s="1970">
        <v>-1539</v>
      </c>
      <c r="AH37" s="1970">
        <v>-1479</v>
      </c>
      <c r="AI37" s="1970">
        <v>-1770</v>
      </c>
      <c r="AJ37" s="1970">
        <v>-1958</v>
      </c>
      <c r="AK37" s="1970">
        <v>-1918</v>
      </c>
      <c r="AL37" s="1970">
        <v>-1353</v>
      </c>
      <c r="AM37" s="1970">
        <v>-633</v>
      </c>
      <c r="AN37" s="1970">
        <v>-349</v>
      </c>
      <c r="AO37" s="1970">
        <v>-1127</v>
      </c>
      <c r="AP37" s="1970">
        <v>-1538</v>
      </c>
      <c r="AQ37" s="1970">
        <v>-1057</v>
      </c>
      <c r="AR37" s="1970">
        <v>-898</v>
      </c>
      <c r="AS37" s="1970">
        <v>-950</v>
      </c>
      <c r="AT37" s="1970">
        <v>-1139</v>
      </c>
      <c r="AU37" s="1970">
        <v>-1156</v>
      </c>
      <c r="AV37" s="1970">
        <v>-1523</v>
      </c>
      <c r="AW37" s="1970">
        <v>-1470</v>
      </c>
      <c r="AX37" s="1970">
        <v>-1372</v>
      </c>
      <c r="AY37" s="1970">
        <v>-1513</v>
      </c>
      <c r="AZ37" s="1970">
        <v>-1504</v>
      </c>
      <c r="BA37" s="1970">
        <v>-1412</v>
      </c>
      <c r="BB37" s="1970">
        <v>-1374</v>
      </c>
      <c r="BC37" s="2084">
        <v>-1128</v>
      </c>
      <c r="BD37" s="293">
        <f>SUM(AZ37:BC37)</f>
        <v>-5418</v>
      </c>
      <c r="BE37" s="1970">
        <v>-1342</v>
      </c>
      <c r="BF37" s="1970">
        <v>-1089</v>
      </c>
      <c r="BG37" s="1970">
        <v>-1341</v>
      </c>
      <c r="BH37" s="2084">
        <v>-1377</v>
      </c>
      <c r="BI37" s="293">
        <f t="shared" si="3"/>
        <v>-5149</v>
      </c>
      <c r="BJ37" s="1970">
        <v>-1047</v>
      </c>
      <c r="BK37" s="1970">
        <v>-1336</v>
      </c>
      <c r="BL37" s="1970">
        <v>-1206</v>
      </c>
      <c r="BM37" s="1970">
        <v>-665</v>
      </c>
      <c r="BN37" s="291">
        <f t="shared" si="4"/>
        <v>-4254</v>
      </c>
      <c r="BO37" s="1970">
        <v>-732</v>
      </c>
      <c r="BP37" s="1970">
        <v>-1234</v>
      </c>
      <c r="BQ37" s="2084">
        <v>-771</v>
      </c>
      <c r="BR37" s="293">
        <f t="shared" si="5"/>
        <v>-2737</v>
      </c>
      <c r="BS37" s="1969">
        <v>-549</v>
      </c>
      <c r="BT37" s="293">
        <f>BR37+BS37</f>
        <v>-3286</v>
      </c>
      <c r="BU37" s="1969">
        <v>-567</v>
      </c>
      <c r="BV37" s="1969">
        <v>-884</v>
      </c>
      <c r="BW37" s="1969">
        <v>-1092</v>
      </c>
      <c r="BX37" s="1970">
        <v>-850</v>
      </c>
      <c r="BY37" s="1970">
        <v>-757</v>
      </c>
      <c r="BZ37" s="1970">
        <v>-577</v>
      </c>
      <c r="CA37" s="1970">
        <v>-779</v>
      </c>
      <c r="CB37" s="1970">
        <v>-932</v>
      </c>
      <c r="CC37" s="1970">
        <v>-989</v>
      </c>
      <c r="CD37" s="1970">
        <v>-785</v>
      </c>
      <c r="CE37" s="1970">
        <v>-984</v>
      </c>
      <c r="CF37" s="1970">
        <v>-1332</v>
      </c>
      <c r="CG37" s="1970">
        <v>-846</v>
      </c>
      <c r="CH37" s="1970">
        <v>-720</v>
      </c>
      <c r="CI37" s="1970">
        <v>-866</v>
      </c>
      <c r="CJ37" s="1970">
        <v>-1219</v>
      </c>
      <c r="CK37" s="1970">
        <v>-759</v>
      </c>
      <c r="CL37" s="1970">
        <f>-1228-CK37</f>
        <v>-469</v>
      </c>
      <c r="CM37" s="1970">
        <v>-736</v>
      </c>
      <c r="CN37" s="1970">
        <v>-348</v>
      </c>
      <c r="CO37" s="1970">
        <v>-683</v>
      </c>
      <c r="CP37" s="1970">
        <v>-755</v>
      </c>
      <c r="CQ37" s="1970">
        <v>-942.46199999999976</v>
      </c>
      <c r="CR37" s="1970">
        <v>-754.01400000000035</v>
      </c>
      <c r="CS37" s="1970">
        <v>-1362.1690000000001</v>
      </c>
      <c r="CT37" s="1970">
        <v>-1969.4480000000001</v>
      </c>
      <c r="CU37" s="1970">
        <v>-2048.924</v>
      </c>
      <c r="CV37" s="1970">
        <v>-1648.421</v>
      </c>
      <c r="CW37" s="1970">
        <v>-1361.979</v>
      </c>
      <c r="CX37" s="1970">
        <v>-1292.6629999999998</v>
      </c>
      <c r="CY37" s="1970">
        <v>-1183.819</v>
      </c>
      <c r="CZ37" s="1970">
        <v>-1329.7660000000005</v>
      </c>
      <c r="DA37" s="1970">
        <v>-1126.578</v>
      </c>
      <c r="DB37" s="1970">
        <v>-1328.567</v>
      </c>
      <c r="DC37" s="1970">
        <v>-1448.933</v>
      </c>
      <c r="DD37" s="1970">
        <v>-1424.3950000000004</v>
      </c>
      <c r="DE37" s="1970">
        <v>-1271.028</v>
      </c>
      <c r="DF37" s="2085" t="s">
        <v>1155</v>
      </c>
    </row>
    <row r="38" spans="1:110" s="2081" customFormat="1">
      <c r="A38" s="2087"/>
      <c r="B38" s="2083"/>
      <c r="H38" s="1970"/>
      <c r="I38" s="1970"/>
      <c r="J38" s="2093"/>
      <c r="K38" s="1970"/>
      <c r="L38" s="1970"/>
      <c r="M38" s="1970"/>
      <c r="N38" s="1970"/>
      <c r="O38" s="1970"/>
      <c r="P38" s="1970"/>
      <c r="Q38" s="1970"/>
      <c r="R38" s="1970"/>
      <c r="S38" s="1970"/>
      <c r="T38" s="1970"/>
      <c r="U38" s="1970"/>
      <c r="V38" s="1970"/>
      <c r="W38" s="1970"/>
      <c r="X38" s="1970"/>
      <c r="Y38" s="1970"/>
      <c r="Z38" s="1970"/>
      <c r="AA38" s="1970"/>
      <c r="AB38" s="1970"/>
      <c r="AC38" s="1970"/>
      <c r="AD38" s="1970"/>
      <c r="AE38" s="1970"/>
      <c r="AF38" s="1970"/>
      <c r="AG38" s="1970"/>
      <c r="AH38" s="1970"/>
      <c r="AI38" s="1970"/>
      <c r="AJ38" s="1970"/>
      <c r="AK38" s="1970"/>
      <c r="AL38" s="1970"/>
      <c r="AM38" s="1970"/>
      <c r="AN38" s="1970"/>
      <c r="AO38" s="1970"/>
      <c r="AP38" s="1970"/>
      <c r="AQ38" s="1970"/>
      <c r="AR38" s="1970"/>
      <c r="AS38" s="1970"/>
      <c r="AT38" s="1970"/>
      <c r="AU38" s="1970"/>
      <c r="AV38" s="1970"/>
      <c r="AW38" s="1970"/>
      <c r="AX38" s="1970"/>
      <c r="AY38" s="1970"/>
      <c r="AZ38" s="1970"/>
      <c r="BA38" s="1970"/>
      <c r="BB38" s="1970"/>
      <c r="BC38" s="2084"/>
      <c r="BD38" s="293"/>
      <c r="BE38" s="1970"/>
      <c r="BF38" s="1970"/>
      <c r="BG38" s="1970"/>
      <c r="BH38" s="2084"/>
      <c r="BI38" s="293"/>
      <c r="BJ38" s="1970"/>
      <c r="BK38" s="1970"/>
      <c r="BL38" s="1970"/>
      <c r="BM38" s="1970"/>
      <c r="BN38" s="291"/>
      <c r="BO38" s="1970"/>
      <c r="BP38" s="1970"/>
      <c r="BQ38" s="2084"/>
      <c r="BR38" s="293"/>
      <c r="BS38" s="1969"/>
      <c r="BT38" s="293"/>
      <c r="BU38" s="1969"/>
      <c r="BV38" s="1969"/>
      <c r="BW38" s="1969"/>
      <c r="BX38" s="1970"/>
      <c r="BY38" s="1970"/>
      <c r="BZ38" s="1970"/>
      <c r="CA38" s="1970"/>
      <c r="CB38" s="1970"/>
      <c r="CC38" s="1970"/>
      <c r="CD38" s="1970"/>
      <c r="CE38" s="1970"/>
      <c r="CF38" s="1970"/>
      <c r="CG38" s="1970"/>
      <c r="CH38" s="1970"/>
      <c r="CI38" s="1970"/>
      <c r="CJ38" s="1970"/>
      <c r="CK38" s="1970"/>
      <c r="CL38" s="1970"/>
      <c r="CM38" s="1970"/>
      <c r="CN38" s="1970"/>
      <c r="CO38" s="1970"/>
      <c r="CP38" s="1970"/>
      <c r="CQ38" s="1970"/>
      <c r="CR38" s="1970"/>
      <c r="CS38" s="1970"/>
      <c r="CT38" s="1970"/>
      <c r="CU38" s="1970"/>
      <c r="CV38" s="1970"/>
      <c r="CW38" s="1970"/>
      <c r="CX38" s="1970"/>
      <c r="CY38" s="1970"/>
      <c r="CZ38" s="1970"/>
      <c r="DA38" s="1970"/>
      <c r="DB38" s="1970"/>
      <c r="DC38" s="1970"/>
      <c r="DD38" s="1970"/>
      <c r="DE38" s="1970"/>
      <c r="DF38" s="2085"/>
    </row>
    <row r="39" spans="1:110" s="2081" customFormat="1">
      <c r="A39" s="2087" t="s">
        <v>1492</v>
      </c>
      <c r="B39" s="2083">
        <v>111</v>
      </c>
      <c r="C39" s="2081">
        <v>66</v>
      </c>
      <c r="D39" s="2081">
        <v>45</v>
      </c>
      <c r="E39" s="2081">
        <v>64</v>
      </c>
      <c r="F39" s="2081">
        <v>81</v>
      </c>
      <c r="G39" s="2081">
        <v>73</v>
      </c>
      <c r="H39" s="1970">
        <v>4</v>
      </c>
      <c r="I39" s="1970">
        <v>26</v>
      </c>
      <c r="J39" s="1970">
        <v>24</v>
      </c>
      <c r="K39" s="1970">
        <v>22</v>
      </c>
      <c r="L39" s="1970">
        <v>19</v>
      </c>
      <c r="M39" s="1970">
        <v>30</v>
      </c>
      <c r="N39" s="1970">
        <v>11</v>
      </c>
      <c r="O39" s="1970">
        <v>9.5449999999999999</v>
      </c>
      <c r="P39" s="1970">
        <v>12.788</v>
      </c>
      <c r="Q39" s="1970">
        <v>49</v>
      </c>
      <c r="R39" s="1970">
        <v>30</v>
      </c>
      <c r="S39" s="1970">
        <v>42</v>
      </c>
      <c r="T39" s="1970">
        <v>37</v>
      </c>
      <c r="U39" s="1970">
        <v>60</v>
      </c>
      <c r="V39" s="1970">
        <v>56.439</v>
      </c>
      <c r="W39" s="1970">
        <v>35</v>
      </c>
      <c r="X39" s="1970">
        <v>94</v>
      </c>
      <c r="Y39" s="1970">
        <v>101.05</v>
      </c>
      <c r="Z39" s="1970">
        <v>152</v>
      </c>
      <c r="AA39" s="1970">
        <v>136</v>
      </c>
      <c r="AB39" s="1970">
        <v>100</v>
      </c>
      <c r="AC39" s="1970">
        <v>114</v>
      </c>
      <c r="AD39" s="1970">
        <v>162.886</v>
      </c>
      <c r="AE39" s="1970">
        <v>189</v>
      </c>
      <c r="AF39" s="1970">
        <v>208.44399999999999</v>
      </c>
      <c r="AG39" s="1970">
        <v>200.52500000000001</v>
      </c>
      <c r="AH39" s="1970">
        <v>314</v>
      </c>
      <c r="AI39" s="1970">
        <v>282</v>
      </c>
      <c r="AJ39" s="1970">
        <v>232</v>
      </c>
      <c r="AK39" s="1970">
        <v>265.36</v>
      </c>
      <c r="AL39" s="1970">
        <v>255.411</v>
      </c>
      <c r="AM39" s="1970">
        <v>297</v>
      </c>
      <c r="AN39" s="1970">
        <v>167</v>
      </c>
      <c r="AO39" s="1970">
        <v>160.34399999999999</v>
      </c>
      <c r="AP39" s="1970">
        <v>151</v>
      </c>
      <c r="AQ39" s="1970">
        <v>243.626</v>
      </c>
      <c r="AR39" s="1970">
        <v>74</v>
      </c>
      <c r="AS39" s="1970">
        <v>145</v>
      </c>
      <c r="AT39" s="1970">
        <v>178.494</v>
      </c>
      <c r="AU39" s="1970">
        <v>112</v>
      </c>
      <c r="AV39" s="1970">
        <v>142</v>
      </c>
      <c r="AW39" s="1970">
        <v>196.018</v>
      </c>
      <c r="AX39" s="1970">
        <v>194</v>
      </c>
      <c r="AY39" s="1970">
        <v>142</v>
      </c>
      <c r="AZ39" s="1970">
        <v>38</v>
      </c>
      <c r="BA39" s="1970">
        <v>-158</v>
      </c>
      <c r="BB39" s="1970">
        <v>-59</v>
      </c>
      <c r="BC39" s="2084">
        <v>129</v>
      </c>
      <c r="BD39" s="293">
        <f>SUM(AZ39:BC39)</f>
        <v>-50</v>
      </c>
      <c r="BE39" s="1970">
        <v>-36</v>
      </c>
      <c r="BF39" s="1970">
        <v>42</v>
      </c>
      <c r="BG39" s="1970">
        <v>45</v>
      </c>
      <c r="BH39" s="2084">
        <v>-45</v>
      </c>
      <c r="BI39" s="293">
        <f t="shared" si="3"/>
        <v>6</v>
      </c>
      <c r="BJ39" s="1970">
        <v>-14</v>
      </c>
      <c r="BK39" s="1970">
        <v>65</v>
      </c>
      <c r="BL39" s="1970">
        <v>145</v>
      </c>
      <c r="BM39" s="1970">
        <v>-22</v>
      </c>
      <c r="BN39" s="291">
        <f t="shared" si="4"/>
        <v>174</v>
      </c>
      <c r="BO39" s="1970">
        <v>-32</v>
      </c>
      <c r="BP39" s="1970">
        <v>54</v>
      </c>
      <c r="BQ39" s="2084">
        <v>145</v>
      </c>
      <c r="BR39" s="293">
        <f t="shared" si="5"/>
        <v>167</v>
      </c>
      <c r="BS39" s="1969">
        <v>54</v>
      </c>
      <c r="BT39" s="293">
        <f>BR39+BS39</f>
        <v>221</v>
      </c>
      <c r="BU39" s="1969">
        <v>43</v>
      </c>
      <c r="BV39" s="1969">
        <v>-19</v>
      </c>
      <c r="BW39" s="1969">
        <v>17</v>
      </c>
      <c r="BX39" s="1970">
        <v>16</v>
      </c>
      <c r="BY39" s="1970">
        <v>115</v>
      </c>
      <c r="BZ39" s="1970">
        <v>178</v>
      </c>
      <c r="CA39" s="1970">
        <v>212</v>
      </c>
      <c r="CB39" s="1970">
        <v>204</v>
      </c>
      <c r="CC39" s="1970">
        <v>167</v>
      </c>
      <c r="CD39" s="1970">
        <v>197</v>
      </c>
      <c r="CE39" s="1970">
        <v>187</v>
      </c>
      <c r="CF39" s="1970">
        <v>180</v>
      </c>
      <c r="CG39" s="1970">
        <v>133</v>
      </c>
      <c r="CH39" s="1970">
        <v>135</v>
      </c>
      <c r="CI39" s="1970">
        <v>126</v>
      </c>
      <c r="CJ39" s="1970">
        <v>115</v>
      </c>
      <c r="CK39" s="1970">
        <v>56</v>
      </c>
      <c r="CL39" s="1970">
        <f>146-CK39</f>
        <v>90</v>
      </c>
      <c r="CM39" s="1970">
        <v>155</v>
      </c>
      <c r="CN39" s="1970">
        <v>257</v>
      </c>
      <c r="CO39" s="1970">
        <v>97</v>
      </c>
      <c r="CP39" s="1970">
        <v>121.29300000000001</v>
      </c>
      <c r="CQ39" s="1970">
        <v>144.81100000000001</v>
      </c>
      <c r="CR39" s="1970">
        <v>96.215000000000003</v>
      </c>
      <c r="CS39" s="1970">
        <v>95.004999999999995</v>
      </c>
      <c r="CT39" s="1970">
        <v>1198.6840000000002</v>
      </c>
      <c r="CU39" s="1970">
        <v>976.9860000000001</v>
      </c>
      <c r="CV39" s="1970">
        <v>694.72699999999986</v>
      </c>
      <c r="CW39" s="1970">
        <v>298.24799999999999</v>
      </c>
      <c r="CX39" s="1970">
        <v>298.81300000000005</v>
      </c>
      <c r="CY39" s="1970">
        <v>238.327</v>
      </c>
      <c r="CZ39" s="1970">
        <v>222.18199999999979</v>
      </c>
      <c r="DA39" s="1970">
        <v>178.91800000000001</v>
      </c>
      <c r="DB39" s="1970">
        <v>164.53399999999999</v>
      </c>
      <c r="DC39" s="1970">
        <v>147.50099999999998</v>
      </c>
      <c r="DD39" s="1970">
        <v>140.79100000000005</v>
      </c>
      <c r="DE39" s="1970">
        <v>106.53100000000001</v>
      </c>
      <c r="DF39" s="2085" t="s">
        <v>1493</v>
      </c>
    </row>
    <row r="40" spans="1:110" s="2081" customFormat="1">
      <c r="A40" s="2086" t="s">
        <v>91</v>
      </c>
      <c r="B40" s="2081">
        <v>23</v>
      </c>
      <c r="C40" s="2081">
        <v>-20.528000000000002</v>
      </c>
      <c r="D40" s="2081">
        <v>-16.170999999999996</v>
      </c>
      <c r="E40" s="2081">
        <v>-1.0990000000000038</v>
      </c>
      <c r="F40" s="2081">
        <v>9.2659999999999982</v>
      </c>
      <c r="G40" s="2081">
        <v>3.5640000000000001</v>
      </c>
      <c r="H40" s="1969">
        <v>0</v>
      </c>
      <c r="I40" s="1969">
        <v>0</v>
      </c>
      <c r="J40" s="1969">
        <v>9.5310000000000024</v>
      </c>
      <c r="K40" s="1969">
        <v>0</v>
      </c>
      <c r="L40" s="1969">
        <v>5</v>
      </c>
      <c r="M40" s="1969">
        <v>17</v>
      </c>
      <c r="N40" s="1969">
        <v>-2.2719999999999985</v>
      </c>
      <c r="O40" s="1969">
        <v>-5.4859999999999971</v>
      </c>
      <c r="P40" s="1969">
        <v>4</v>
      </c>
      <c r="Q40" s="1969">
        <v>35</v>
      </c>
      <c r="R40" s="1969">
        <v>19.135999999999999</v>
      </c>
      <c r="S40" s="1969">
        <v>18.696999999999999</v>
      </c>
      <c r="T40" s="1969">
        <v>28</v>
      </c>
      <c r="U40" s="1969">
        <v>39</v>
      </c>
      <c r="V40" s="1969">
        <v>35.620000000000005</v>
      </c>
      <c r="W40" s="1969">
        <v>24</v>
      </c>
      <c r="X40" s="1969">
        <v>52</v>
      </c>
      <c r="Y40" s="1969">
        <v>86</v>
      </c>
      <c r="Z40" s="1969">
        <v>113</v>
      </c>
      <c r="AA40" s="1969">
        <v>113</v>
      </c>
      <c r="AB40" s="1969">
        <v>91</v>
      </c>
      <c r="AC40" s="1969">
        <v>98</v>
      </c>
      <c r="AD40" s="1969">
        <v>154</v>
      </c>
      <c r="AE40" s="1969">
        <v>170</v>
      </c>
      <c r="AF40" s="1969">
        <v>195</v>
      </c>
      <c r="AG40" s="1969">
        <v>188</v>
      </c>
      <c r="AH40" s="1969">
        <v>275.69099999999997</v>
      </c>
      <c r="AI40" s="1969">
        <v>259</v>
      </c>
      <c r="AJ40" s="1969">
        <v>222</v>
      </c>
      <c r="AK40" s="1969">
        <v>256</v>
      </c>
      <c r="AL40" s="1969">
        <v>252</v>
      </c>
      <c r="AM40" s="1969">
        <v>286.08</v>
      </c>
      <c r="AN40" s="1969">
        <v>165</v>
      </c>
      <c r="AO40" s="1969">
        <v>154</v>
      </c>
      <c r="AP40" s="1969">
        <v>143</v>
      </c>
      <c r="AQ40" s="1969">
        <v>198</v>
      </c>
      <c r="AR40" s="1969">
        <v>70</v>
      </c>
      <c r="AS40" s="1969">
        <v>139</v>
      </c>
      <c r="AT40" s="1969">
        <v>182</v>
      </c>
      <c r="AU40" s="1969">
        <v>107</v>
      </c>
      <c r="AV40" s="1969">
        <v>142.29900000000001</v>
      </c>
      <c r="AW40" s="1969">
        <v>185.52199999999999</v>
      </c>
      <c r="AX40" s="1969">
        <v>188</v>
      </c>
      <c r="AY40" s="1969">
        <v>117</v>
      </c>
      <c r="AZ40" s="1969">
        <f>AZ42+AZ43</f>
        <v>42</v>
      </c>
      <c r="BA40" s="1969">
        <f t="shared" ref="BA40:BV40" si="11">BA42+BA43</f>
        <v>-170</v>
      </c>
      <c r="BB40" s="1969">
        <f t="shared" si="11"/>
        <v>-51</v>
      </c>
      <c r="BC40" s="1969">
        <f t="shared" si="11"/>
        <v>139</v>
      </c>
      <c r="BD40" s="293">
        <f>BD42+BD43</f>
        <v>-40</v>
      </c>
      <c r="BE40" s="1969">
        <v>-32</v>
      </c>
      <c r="BF40" s="1969">
        <v>48</v>
      </c>
      <c r="BG40" s="1969">
        <v>42</v>
      </c>
      <c r="BH40" s="1969">
        <v>-57</v>
      </c>
      <c r="BI40" s="293">
        <f t="shared" si="11"/>
        <v>1</v>
      </c>
      <c r="BJ40" s="1969">
        <f t="shared" si="11"/>
        <v>-17</v>
      </c>
      <c r="BK40" s="1969">
        <f t="shared" si="11"/>
        <v>33</v>
      </c>
      <c r="BL40" s="1969">
        <f t="shared" si="11"/>
        <v>152</v>
      </c>
      <c r="BM40" s="1969">
        <f t="shared" si="11"/>
        <v>18</v>
      </c>
      <c r="BN40" s="1969">
        <f>BN42+BN43</f>
        <v>186</v>
      </c>
      <c r="BO40" s="1969">
        <f t="shared" si="11"/>
        <v>-31</v>
      </c>
      <c r="BP40" s="1969">
        <f t="shared" si="11"/>
        <v>59</v>
      </c>
      <c r="BQ40" s="1969">
        <f t="shared" si="11"/>
        <v>153</v>
      </c>
      <c r="BR40" s="1969">
        <f t="shared" si="11"/>
        <v>181</v>
      </c>
      <c r="BS40" s="1969">
        <f t="shared" si="11"/>
        <v>59</v>
      </c>
      <c r="BT40" s="293">
        <f t="shared" si="11"/>
        <v>240</v>
      </c>
      <c r="BU40" s="1969">
        <f t="shared" si="11"/>
        <v>46</v>
      </c>
      <c r="BV40" s="1969">
        <f t="shared" si="11"/>
        <v>-5</v>
      </c>
      <c r="BW40" s="1969">
        <v>24</v>
      </c>
      <c r="BX40" s="1970">
        <v>10</v>
      </c>
      <c r="BY40" s="1970">
        <v>125</v>
      </c>
      <c r="BZ40" s="1970">
        <v>168</v>
      </c>
      <c r="CA40" s="1970">
        <v>184</v>
      </c>
      <c r="CB40" s="1970">
        <v>200</v>
      </c>
      <c r="CC40" s="1970">
        <v>159</v>
      </c>
      <c r="CD40" s="1970">
        <v>199</v>
      </c>
      <c r="CE40" s="1970">
        <v>184</v>
      </c>
      <c r="CF40" s="1970">
        <v>176</v>
      </c>
      <c r="CG40" s="1970">
        <v>126</v>
      </c>
      <c r="CH40" s="1970">
        <v>125</v>
      </c>
      <c r="CI40" s="1970">
        <v>131</v>
      </c>
      <c r="CJ40" s="1970">
        <v>121</v>
      </c>
      <c r="CK40" s="1970">
        <v>66</v>
      </c>
      <c r="CL40" s="1970">
        <f>151-CK40</f>
        <v>85</v>
      </c>
      <c r="CM40" s="1970">
        <v>148</v>
      </c>
      <c r="CN40" s="1970">
        <v>238</v>
      </c>
      <c r="CO40" s="1970">
        <v>105</v>
      </c>
      <c r="CP40" s="1970">
        <v>130.61600000000001</v>
      </c>
      <c r="CQ40" s="1970">
        <v>134.87299999999999</v>
      </c>
      <c r="CR40" s="1970">
        <v>101.39000000000001</v>
      </c>
      <c r="CS40" s="1970">
        <v>88.423000000000002</v>
      </c>
      <c r="CT40" s="1970">
        <v>1215.2239999999999</v>
      </c>
      <c r="CU40" s="1970">
        <v>954.096</v>
      </c>
      <c r="CV40" s="1970">
        <v>697.57600000000002</v>
      </c>
      <c r="CW40" s="1970">
        <v>319.13900000000001</v>
      </c>
      <c r="CX40" s="1970">
        <v>316.90099999999995</v>
      </c>
      <c r="CY40" s="1970">
        <v>242.995</v>
      </c>
      <c r="CZ40" s="1970">
        <v>225.65400000000011</v>
      </c>
      <c r="DA40" s="1970">
        <v>162.935</v>
      </c>
      <c r="DB40" s="1970">
        <v>145.26900000000001</v>
      </c>
      <c r="DC40" s="1970">
        <v>132.01999999999998</v>
      </c>
      <c r="DD40" s="1970">
        <v>115.89000000000004</v>
      </c>
      <c r="DE40" s="1970">
        <v>116.82</v>
      </c>
      <c r="DF40" s="2085" t="s">
        <v>92</v>
      </c>
    </row>
    <row r="41" spans="1:110" s="2081" customFormat="1">
      <c r="A41" s="2086"/>
      <c r="B41" s="2083"/>
      <c r="H41" s="1970"/>
      <c r="I41" s="1970"/>
      <c r="J41" s="1970"/>
      <c r="K41" s="1970"/>
      <c r="L41" s="1970"/>
      <c r="M41" s="1970"/>
      <c r="N41" s="1970"/>
      <c r="O41" s="1970"/>
      <c r="P41" s="1970"/>
      <c r="Q41" s="1970"/>
      <c r="R41" s="1970"/>
      <c r="S41" s="1970"/>
      <c r="T41" s="1970"/>
      <c r="U41" s="1970"/>
      <c r="V41" s="1970"/>
      <c r="W41" s="1970"/>
      <c r="X41" s="1970"/>
      <c r="Y41" s="1970"/>
      <c r="Z41" s="1970"/>
      <c r="AA41" s="1970"/>
      <c r="AB41" s="1970"/>
      <c r="AC41" s="1970"/>
      <c r="AD41" s="1970"/>
      <c r="AE41" s="1970"/>
      <c r="AF41" s="1970"/>
      <c r="AG41" s="1970"/>
      <c r="AH41" s="1970"/>
      <c r="AI41" s="1970"/>
      <c r="AJ41" s="1970"/>
      <c r="AK41" s="1970"/>
      <c r="AL41" s="1970"/>
      <c r="AM41" s="1970"/>
      <c r="AN41" s="1970"/>
      <c r="AO41" s="1970"/>
      <c r="AP41" s="1970"/>
      <c r="AQ41" s="1970"/>
      <c r="AR41" s="1970"/>
      <c r="AS41" s="1970"/>
      <c r="AT41" s="1970"/>
      <c r="AU41" s="1970"/>
      <c r="AV41" s="1970"/>
      <c r="AW41" s="1970"/>
      <c r="AX41" s="1970"/>
      <c r="AY41" s="1970"/>
      <c r="AZ41" s="1970"/>
      <c r="BA41" s="1970"/>
      <c r="BB41" s="1970"/>
      <c r="BC41" s="2084"/>
      <c r="BD41" s="293"/>
      <c r="BE41" s="1970"/>
      <c r="BF41" s="1970"/>
      <c r="BG41" s="1970"/>
      <c r="BH41" s="2084"/>
      <c r="BI41" s="293"/>
      <c r="BJ41" s="1970"/>
      <c r="BK41" s="1970"/>
      <c r="BL41" s="1970"/>
      <c r="BM41" s="1970"/>
      <c r="BN41" s="291"/>
      <c r="BO41" s="1970"/>
      <c r="BP41" s="1970"/>
      <c r="BQ41" s="2084"/>
      <c r="BR41" s="293"/>
      <c r="BS41" s="1969"/>
      <c r="BT41" s="293"/>
      <c r="BU41" s="1969"/>
      <c r="BV41" s="1969"/>
      <c r="BW41" s="1969"/>
      <c r="BX41" s="1970"/>
      <c r="BY41" s="1970"/>
      <c r="BZ41" s="1970"/>
      <c r="CA41" s="1970"/>
      <c r="CB41" s="1970"/>
      <c r="CC41" s="1970"/>
      <c r="CD41" s="1970"/>
      <c r="CE41" s="1970"/>
      <c r="CF41" s="1970"/>
      <c r="CG41" s="1970"/>
      <c r="CH41" s="1970"/>
      <c r="CI41" s="1970"/>
      <c r="CJ41" s="1970"/>
      <c r="CK41" s="1970"/>
      <c r="CL41" s="1970"/>
      <c r="CM41" s="1970"/>
      <c r="CN41" s="1970"/>
      <c r="CO41" s="1970"/>
      <c r="CP41" s="1970"/>
      <c r="CQ41" s="1970"/>
      <c r="CR41" s="1970"/>
      <c r="CS41" s="1970"/>
      <c r="CT41" s="1970"/>
      <c r="CU41" s="1970"/>
      <c r="CV41" s="1970"/>
      <c r="CW41" s="1970"/>
      <c r="CX41" s="1970"/>
      <c r="CY41" s="1970"/>
      <c r="CZ41" s="1970"/>
      <c r="DA41" s="1970"/>
      <c r="DB41" s="1970"/>
      <c r="DC41" s="1970"/>
      <c r="DD41" s="1970"/>
      <c r="DE41" s="1970"/>
      <c r="DF41" s="2085"/>
    </row>
    <row r="42" spans="1:110" s="2081" customFormat="1">
      <c r="A42" s="2087" t="s">
        <v>1152</v>
      </c>
      <c r="B42" s="2083">
        <v>35</v>
      </c>
      <c r="C42" s="2081">
        <v>19.861999999999998</v>
      </c>
      <c r="D42" s="2081">
        <v>30.01</v>
      </c>
      <c r="E42" s="2081">
        <v>74.738</v>
      </c>
      <c r="F42" s="2081">
        <v>54.491999999999997</v>
      </c>
      <c r="G42" s="2081">
        <v>57.131999999999998</v>
      </c>
      <c r="H42" s="1970"/>
      <c r="I42" s="1970"/>
      <c r="J42" s="1970">
        <v>29.318000000000001</v>
      </c>
      <c r="K42" s="1970">
        <v>15</v>
      </c>
      <c r="L42" s="1970">
        <v>37</v>
      </c>
      <c r="M42" s="1970">
        <v>45</v>
      </c>
      <c r="N42" s="1970">
        <v>27.422000000000001</v>
      </c>
      <c r="O42" s="1970">
        <v>53.31</v>
      </c>
      <c r="P42" s="1970">
        <v>28</v>
      </c>
      <c r="Q42" s="1970">
        <v>50</v>
      </c>
      <c r="R42" s="1970">
        <v>36</v>
      </c>
      <c r="S42" s="1970">
        <v>40.427</v>
      </c>
      <c r="T42" s="1970">
        <v>41</v>
      </c>
      <c r="U42" s="1970">
        <v>53</v>
      </c>
      <c r="V42" s="1970">
        <v>52.484000000000002</v>
      </c>
      <c r="W42" s="1970">
        <v>45</v>
      </c>
      <c r="X42" s="1970">
        <v>71</v>
      </c>
      <c r="Y42" s="1970">
        <v>109</v>
      </c>
      <c r="Z42" s="1970">
        <v>171</v>
      </c>
      <c r="AA42" s="1970">
        <v>140</v>
      </c>
      <c r="AB42" s="1970">
        <v>116</v>
      </c>
      <c r="AC42" s="1970">
        <v>146</v>
      </c>
      <c r="AD42" s="1970">
        <v>188</v>
      </c>
      <c r="AE42" s="1970">
        <v>213</v>
      </c>
      <c r="AF42" s="1970">
        <v>253</v>
      </c>
      <c r="AG42" s="1970">
        <v>259</v>
      </c>
      <c r="AH42" s="1970">
        <v>348.33199999999999</v>
      </c>
      <c r="AI42" s="1970">
        <v>331</v>
      </c>
      <c r="AJ42" s="1970">
        <v>305</v>
      </c>
      <c r="AK42" s="1970">
        <v>349</v>
      </c>
      <c r="AL42" s="1970">
        <v>352</v>
      </c>
      <c r="AM42" s="1970">
        <v>409.548</v>
      </c>
      <c r="AN42" s="1970">
        <v>269</v>
      </c>
      <c r="AO42" s="1970">
        <v>273</v>
      </c>
      <c r="AP42" s="1970">
        <v>304</v>
      </c>
      <c r="AQ42" s="1970">
        <v>336</v>
      </c>
      <c r="AR42" s="1970">
        <v>259</v>
      </c>
      <c r="AS42" s="1970">
        <v>312</v>
      </c>
      <c r="AT42" s="1970">
        <v>388</v>
      </c>
      <c r="AU42" s="1970">
        <v>379</v>
      </c>
      <c r="AV42" s="1970">
        <v>367.512</v>
      </c>
      <c r="AW42" s="1970">
        <v>473.18299999999999</v>
      </c>
      <c r="AX42" s="1970">
        <v>483</v>
      </c>
      <c r="AY42" s="1970">
        <v>447</v>
      </c>
      <c r="AZ42" s="1970">
        <v>401</v>
      </c>
      <c r="BA42" s="1970">
        <v>395</v>
      </c>
      <c r="BB42" s="1970">
        <v>433</v>
      </c>
      <c r="BC42" s="2084">
        <v>623</v>
      </c>
      <c r="BD42" s="293">
        <f>SUM(AZ42:BC42)</f>
        <v>1852</v>
      </c>
      <c r="BE42" s="1970">
        <v>330</v>
      </c>
      <c r="BF42" s="1970">
        <v>363</v>
      </c>
      <c r="BG42" s="1970">
        <v>439</v>
      </c>
      <c r="BH42" s="2084">
        <v>448</v>
      </c>
      <c r="BI42" s="293">
        <f t="shared" si="3"/>
        <v>1580</v>
      </c>
      <c r="BJ42" s="1970">
        <v>350</v>
      </c>
      <c r="BK42" s="1970">
        <v>448</v>
      </c>
      <c r="BL42" s="1970">
        <v>528</v>
      </c>
      <c r="BM42" s="1970">
        <v>382</v>
      </c>
      <c r="BN42" s="291">
        <f t="shared" si="4"/>
        <v>1708</v>
      </c>
      <c r="BO42" s="1970">
        <v>234</v>
      </c>
      <c r="BP42" s="1970">
        <v>311</v>
      </c>
      <c r="BQ42" s="2084">
        <v>351</v>
      </c>
      <c r="BR42" s="293">
        <f t="shared" si="5"/>
        <v>896</v>
      </c>
      <c r="BS42" s="1969">
        <v>286</v>
      </c>
      <c r="BT42" s="293">
        <f>BR42+BS42</f>
        <v>1182</v>
      </c>
      <c r="BU42" s="1969">
        <v>179</v>
      </c>
      <c r="BV42" s="1969">
        <v>110</v>
      </c>
      <c r="BW42" s="1969">
        <v>143</v>
      </c>
      <c r="BX42" s="1970">
        <v>132</v>
      </c>
      <c r="BY42" s="1970">
        <v>202</v>
      </c>
      <c r="BZ42" s="1970">
        <v>254</v>
      </c>
      <c r="CA42" s="1970">
        <v>269</v>
      </c>
      <c r="CB42" s="1970">
        <v>295</v>
      </c>
      <c r="CC42" s="1970">
        <v>242</v>
      </c>
      <c r="CD42" s="1970">
        <v>286</v>
      </c>
      <c r="CE42" s="1970">
        <v>275</v>
      </c>
      <c r="CF42" s="1970">
        <v>276</v>
      </c>
      <c r="CG42" s="1970">
        <v>215</v>
      </c>
      <c r="CH42" s="1970">
        <v>228</v>
      </c>
      <c r="CI42" s="1970">
        <v>250</v>
      </c>
      <c r="CJ42" s="1970">
        <v>241</v>
      </c>
      <c r="CK42" s="1970">
        <v>188</v>
      </c>
      <c r="CL42" s="1970">
        <f>372-CK42</f>
        <v>184</v>
      </c>
      <c r="CM42" s="1970">
        <v>310</v>
      </c>
      <c r="CN42" s="1970">
        <v>412</v>
      </c>
      <c r="CO42" s="1970">
        <v>227</v>
      </c>
      <c r="CP42" s="1970">
        <v>264.76300000000003</v>
      </c>
      <c r="CQ42" s="1970">
        <v>281.06599999999997</v>
      </c>
      <c r="CR42" s="1970">
        <v>360.56200000000007</v>
      </c>
      <c r="CS42" s="1970">
        <v>239.971</v>
      </c>
      <c r="CT42" s="1970">
        <v>1364.317</v>
      </c>
      <c r="CU42" s="1970">
        <v>1174.971</v>
      </c>
      <c r="CV42" s="1970">
        <v>840.85800000000017</v>
      </c>
      <c r="CW42" s="1970">
        <v>451.53899999999999</v>
      </c>
      <c r="CX42" s="1970">
        <v>439.21100000000001</v>
      </c>
      <c r="CY42" s="1970">
        <v>390.00399999999991</v>
      </c>
      <c r="CZ42" s="1970">
        <v>374.06100000000015</v>
      </c>
      <c r="DA42" s="1970">
        <v>294.42</v>
      </c>
      <c r="DB42" s="1970">
        <v>273.38399999999996</v>
      </c>
      <c r="DC42" s="1970">
        <v>280.70200000000006</v>
      </c>
      <c r="DD42" s="1970">
        <v>234.3669999999999</v>
      </c>
      <c r="DE42" s="1970">
        <v>229.494</v>
      </c>
      <c r="DF42" s="2085" t="s">
        <v>1154</v>
      </c>
    </row>
    <row r="43" spans="1:110" s="2081" customFormat="1">
      <c r="A43" s="2087" t="s">
        <v>1311</v>
      </c>
      <c r="B43" s="2083">
        <v>-12</v>
      </c>
      <c r="C43" s="2081">
        <v>-40.39</v>
      </c>
      <c r="D43" s="2081">
        <v>-46.180999999999997</v>
      </c>
      <c r="E43" s="2081">
        <v>-75.837000000000003</v>
      </c>
      <c r="F43" s="2081">
        <v>-45.225999999999999</v>
      </c>
      <c r="G43" s="2081">
        <v>-53.567999999999998</v>
      </c>
      <c r="H43" s="1970"/>
      <c r="I43" s="1970"/>
      <c r="J43" s="1970">
        <v>-19.786999999999999</v>
      </c>
      <c r="K43" s="1970">
        <v>-15</v>
      </c>
      <c r="L43" s="1970">
        <v>-32</v>
      </c>
      <c r="M43" s="1970">
        <v>-28</v>
      </c>
      <c r="N43" s="1970">
        <v>-29.693999999999999</v>
      </c>
      <c r="O43" s="1970">
        <v>-58.795999999999999</v>
      </c>
      <c r="P43" s="1970">
        <v>-24</v>
      </c>
      <c r="Q43" s="1970">
        <v>-15</v>
      </c>
      <c r="R43" s="1970">
        <v>-16.864000000000001</v>
      </c>
      <c r="S43" s="1970">
        <v>-21.73</v>
      </c>
      <c r="T43" s="1970">
        <v>-13</v>
      </c>
      <c r="U43" s="1970">
        <v>-14</v>
      </c>
      <c r="V43" s="1970">
        <v>-16.864000000000001</v>
      </c>
      <c r="W43" s="1970">
        <v>-21</v>
      </c>
      <c r="X43" s="1970">
        <v>-19</v>
      </c>
      <c r="Y43" s="1970">
        <v>-23</v>
      </c>
      <c r="Z43" s="1970">
        <v>-58</v>
      </c>
      <c r="AA43" s="1970">
        <v>-27</v>
      </c>
      <c r="AB43" s="1970">
        <v>-25</v>
      </c>
      <c r="AC43" s="1970">
        <v>-48</v>
      </c>
      <c r="AD43" s="1970">
        <v>-34</v>
      </c>
      <c r="AE43" s="1970">
        <v>-43</v>
      </c>
      <c r="AF43" s="1970">
        <v>-58</v>
      </c>
      <c r="AG43" s="1970">
        <v>-71</v>
      </c>
      <c r="AH43" s="1970">
        <v>-72.641000000000005</v>
      </c>
      <c r="AI43" s="1970">
        <v>-72</v>
      </c>
      <c r="AJ43" s="1970">
        <v>-83</v>
      </c>
      <c r="AK43" s="1970">
        <v>-93</v>
      </c>
      <c r="AL43" s="1970">
        <v>-100</v>
      </c>
      <c r="AM43" s="1970">
        <v>-123.468</v>
      </c>
      <c r="AN43" s="1970">
        <v>-104</v>
      </c>
      <c r="AO43" s="1970">
        <v>-119</v>
      </c>
      <c r="AP43" s="1970">
        <v>-161</v>
      </c>
      <c r="AQ43" s="1970">
        <v>-138</v>
      </c>
      <c r="AR43" s="1970">
        <v>-189</v>
      </c>
      <c r="AS43" s="1970">
        <v>-173</v>
      </c>
      <c r="AT43" s="1970">
        <v>-206</v>
      </c>
      <c r="AU43" s="1970">
        <v>-272</v>
      </c>
      <c r="AV43" s="1970">
        <v>-225.21299999999999</v>
      </c>
      <c r="AW43" s="1970">
        <v>-287.661</v>
      </c>
      <c r="AX43" s="1970">
        <v>-295</v>
      </c>
      <c r="AY43" s="1970">
        <v>-330</v>
      </c>
      <c r="AZ43" s="1970">
        <v>-359</v>
      </c>
      <c r="BA43" s="1970">
        <v>-565</v>
      </c>
      <c r="BB43" s="1970">
        <v>-484</v>
      </c>
      <c r="BC43" s="2084">
        <v>-484</v>
      </c>
      <c r="BD43" s="293">
        <f>SUM(AZ43:BC43)</f>
        <v>-1892</v>
      </c>
      <c r="BE43" s="1970">
        <v>-362</v>
      </c>
      <c r="BF43" s="1970">
        <v>-315</v>
      </c>
      <c r="BG43" s="1970">
        <v>-397</v>
      </c>
      <c r="BH43" s="2084">
        <v>-505</v>
      </c>
      <c r="BI43" s="293">
        <f t="shared" si="3"/>
        <v>-1579</v>
      </c>
      <c r="BJ43" s="1970">
        <v>-367</v>
      </c>
      <c r="BK43" s="1970">
        <v>-415</v>
      </c>
      <c r="BL43" s="1970">
        <v>-376</v>
      </c>
      <c r="BM43" s="1970">
        <v>-364</v>
      </c>
      <c r="BN43" s="291">
        <f t="shared" si="4"/>
        <v>-1522</v>
      </c>
      <c r="BO43" s="1970">
        <v>-265</v>
      </c>
      <c r="BP43" s="1970">
        <v>-252</v>
      </c>
      <c r="BQ43" s="2084">
        <v>-198</v>
      </c>
      <c r="BR43" s="293">
        <f t="shared" si="5"/>
        <v>-715</v>
      </c>
      <c r="BS43" s="1969">
        <v>-227</v>
      </c>
      <c r="BT43" s="293">
        <f>BR43+BS43</f>
        <v>-942</v>
      </c>
      <c r="BU43" s="1969">
        <v>-133</v>
      </c>
      <c r="BV43" s="1969">
        <v>-115</v>
      </c>
      <c r="BW43" s="1969">
        <v>-119</v>
      </c>
      <c r="BX43" s="1970">
        <v>-122</v>
      </c>
      <c r="BY43" s="1970">
        <v>-77</v>
      </c>
      <c r="BZ43" s="1970">
        <v>-86</v>
      </c>
      <c r="CA43" s="1970">
        <v>-85</v>
      </c>
      <c r="CB43" s="1970">
        <v>-95</v>
      </c>
      <c r="CC43" s="1970">
        <v>-83</v>
      </c>
      <c r="CD43" s="1970">
        <v>-87</v>
      </c>
      <c r="CE43" s="1970">
        <v>-91</v>
      </c>
      <c r="CF43" s="1970">
        <v>-100</v>
      </c>
      <c r="CG43" s="1970">
        <v>-89</v>
      </c>
      <c r="CH43" s="1970">
        <v>-103</v>
      </c>
      <c r="CI43" s="1970">
        <v>-119</v>
      </c>
      <c r="CJ43" s="1970">
        <v>-120</v>
      </c>
      <c r="CK43" s="1970">
        <v>-122</v>
      </c>
      <c r="CL43" s="1970">
        <f>-221-CK43</f>
        <v>-99</v>
      </c>
      <c r="CM43" s="1970">
        <v>-162</v>
      </c>
      <c r="CN43" s="1970">
        <v>-174</v>
      </c>
      <c r="CO43" s="1970">
        <v>-122</v>
      </c>
      <c r="CP43" s="1970">
        <v>-134.14699999999999</v>
      </c>
      <c r="CQ43" s="1970">
        <v>-146.19300000000001</v>
      </c>
      <c r="CR43" s="1970">
        <v>-259.17199999999991</v>
      </c>
      <c r="CS43" s="1970">
        <v>-151.548</v>
      </c>
      <c r="CT43" s="1970">
        <v>-149.09300000000002</v>
      </c>
      <c r="CU43" s="1970">
        <v>-220.87499999999994</v>
      </c>
      <c r="CV43" s="1970">
        <v>-143.28200000000004</v>
      </c>
      <c r="CW43" s="1970">
        <v>-132.4</v>
      </c>
      <c r="CX43" s="1970">
        <v>-122.31</v>
      </c>
      <c r="CY43" s="1970">
        <v>-147.00899999999999</v>
      </c>
      <c r="CZ43" s="1970">
        <v>-148.40699999999998</v>
      </c>
      <c r="DA43" s="1970">
        <v>-131.48500000000001</v>
      </c>
      <c r="DB43" s="1970">
        <v>-128.11500000000001</v>
      </c>
      <c r="DC43" s="1970">
        <v>-148.68199999999996</v>
      </c>
      <c r="DD43" s="1970">
        <v>-118.47700000000003</v>
      </c>
      <c r="DE43" s="1970">
        <v>-112.67400000000001</v>
      </c>
      <c r="DF43" s="2085" t="s">
        <v>1155</v>
      </c>
    </row>
    <row r="44" spans="1:110" s="2081" customFormat="1">
      <c r="A44" s="2087"/>
      <c r="B44" s="2083"/>
      <c r="H44" s="1970"/>
      <c r="I44" s="1970"/>
      <c r="J44" s="1970"/>
      <c r="K44" s="1970"/>
      <c r="L44" s="1970"/>
      <c r="M44" s="1970"/>
      <c r="N44" s="1970"/>
      <c r="O44" s="1970"/>
      <c r="P44" s="1970"/>
      <c r="Q44" s="1970"/>
      <c r="R44" s="1970"/>
      <c r="S44" s="1970"/>
      <c r="T44" s="1970"/>
      <c r="U44" s="1970"/>
      <c r="V44" s="1970"/>
      <c r="W44" s="1970"/>
      <c r="X44" s="1970"/>
      <c r="Y44" s="1970"/>
      <c r="Z44" s="1970"/>
      <c r="AA44" s="1970"/>
      <c r="AB44" s="1970"/>
      <c r="AC44" s="1970"/>
      <c r="AD44" s="1970"/>
      <c r="AE44" s="1970"/>
      <c r="AF44" s="1970"/>
      <c r="AG44" s="1970"/>
      <c r="AH44" s="1970"/>
      <c r="AI44" s="1970"/>
      <c r="AJ44" s="1970"/>
      <c r="AK44" s="1970"/>
      <c r="AL44" s="1970"/>
      <c r="AM44" s="1970"/>
      <c r="AN44" s="1970"/>
      <c r="AO44" s="1970"/>
      <c r="AP44" s="1970"/>
      <c r="AQ44" s="1970"/>
      <c r="AR44" s="1970"/>
      <c r="AS44" s="1970"/>
      <c r="AT44" s="1970"/>
      <c r="AU44" s="1970"/>
      <c r="AV44" s="1970"/>
      <c r="AW44" s="1970"/>
      <c r="AX44" s="1970"/>
      <c r="AY44" s="1970"/>
      <c r="AZ44" s="1970"/>
      <c r="BA44" s="1970"/>
      <c r="BB44" s="1970"/>
      <c r="BC44" s="2084"/>
      <c r="BD44" s="293"/>
      <c r="BE44" s="1970"/>
      <c r="BF44" s="1970"/>
      <c r="BG44" s="1970"/>
      <c r="BH44" s="2084"/>
      <c r="BI44" s="293"/>
      <c r="BJ44" s="1970"/>
      <c r="BK44" s="1970"/>
      <c r="BL44" s="1970"/>
      <c r="BM44" s="1970"/>
      <c r="BN44" s="291"/>
      <c r="BO44" s="1970"/>
      <c r="BP44" s="1970"/>
      <c r="BQ44" s="2084"/>
      <c r="BR44" s="293"/>
      <c r="BS44" s="1969"/>
      <c r="BT44" s="293"/>
      <c r="BU44" s="1969"/>
      <c r="BV44" s="1969"/>
      <c r="BW44" s="1969"/>
      <c r="BX44" s="1970"/>
      <c r="BY44" s="1970"/>
      <c r="BZ44" s="1970"/>
      <c r="CA44" s="1970"/>
      <c r="CB44" s="1970"/>
      <c r="CC44" s="1970"/>
      <c r="CD44" s="1970"/>
      <c r="CE44" s="1970"/>
      <c r="CF44" s="1970"/>
      <c r="CG44" s="1970"/>
      <c r="CH44" s="1970"/>
      <c r="CI44" s="1970"/>
      <c r="CJ44" s="1970"/>
      <c r="CK44" s="1970"/>
      <c r="CL44" s="1970"/>
      <c r="CM44" s="1970"/>
      <c r="CN44" s="1970"/>
      <c r="CO44" s="1970"/>
      <c r="CP44" s="1970"/>
      <c r="CQ44" s="1970"/>
      <c r="CR44" s="1970"/>
      <c r="CS44" s="1970"/>
      <c r="CT44" s="1970"/>
      <c r="CU44" s="1970"/>
      <c r="CV44" s="1970"/>
      <c r="CW44" s="1970"/>
      <c r="CX44" s="1970"/>
      <c r="CY44" s="1970"/>
      <c r="CZ44" s="1970"/>
      <c r="DA44" s="1970"/>
      <c r="DB44" s="1970"/>
      <c r="DC44" s="1970"/>
      <c r="DD44" s="1970"/>
      <c r="DE44" s="1970"/>
      <c r="DF44" s="2085"/>
    </row>
    <row r="45" spans="1:110" s="2081" customFormat="1">
      <c r="A45" s="2087" t="s">
        <v>1464</v>
      </c>
      <c r="B45" s="2083">
        <v>-2</v>
      </c>
      <c r="D45" s="2081">
        <v>1</v>
      </c>
      <c r="E45" s="2081">
        <v>-1</v>
      </c>
      <c r="H45" s="1970"/>
      <c r="I45" s="1970"/>
      <c r="J45" s="1970"/>
      <c r="K45" s="1970"/>
      <c r="L45" s="1970">
        <v>0</v>
      </c>
      <c r="M45" s="1970">
        <v>0</v>
      </c>
      <c r="N45" s="1970">
        <v>0</v>
      </c>
      <c r="O45" s="1970">
        <v>0</v>
      </c>
      <c r="P45" s="1970">
        <v>0</v>
      </c>
      <c r="Q45" s="1970">
        <v>0</v>
      </c>
      <c r="R45" s="1970">
        <v>0</v>
      </c>
      <c r="S45" s="1970">
        <v>0</v>
      </c>
      <c r="T45" s="1970">
        <v>0</v>
      </c>
      <c r="U45" s="1970">
        <v>0</v>
      </c>
      <c r="V45" s="1970">
        <v>0</v>
      </c>
      <c r="W45" s="1970">
        <v>0</v>
      </c>
      <c r="X45" s="1970">
        <v>0</v>
      </c>
      <c r="Y45" s="1970">
        <v>0</v>
      </c>
      <c r="Z45" s="1970">
        <v>0</v>
      </c>
      <c r="AA45" s="1970">
        <v>0</v>
      </c>
      <c r="AB45" s="1970">
        <v>0</v>
      </c>
      <c r="AC45" s="1970">
        <v>0</v>
      </c>
      <c r="AD45" s="1970">
        <v>0</v>
      </c>
      <c r="AE45" s="1970">
        <v>0</v>
      </c>
      <c r="AF45" s="1970">
        <v>1</v>
      </c>
      <c r="AG45" s="1970">
        <v>3</v>
      </c>
      <c r="AH45" s="1970">
        <v>1</v>
      </c>
      <c r="AI45" s="1970">
        <v>4</v>
      </c>
      <c r="AJ45" s="1970">
        <v>1</v>
      </c>
      <c r="AK45" s="1970">
        <v>0</v>
      </c>
      <c r="AL45" s="1970">
        <v>0</v>
      </c>
      <c r="AM45" s="1970">
        <v>0</v>
      </c>
      <c r="AN45" s="1970">
        <v>0</v>
      </c>
      <c r="AO45" s="1970">
        <v>0</v>
      </c>
      <c r="AP45" s="1970">
        <v>0</v>
      </c>
      <c r="AQ45" s="1970">
        <v>0</v>
      </c>
      <c r="AR45" s="1970">
        <v>0</v>
      </c>
      <c r="AS45" s="1970">
        <v>0</v>
      </c>
      <c r="AT45" s="1970">
        <v>0</v>
      </c>
      <c r="AU45" s="1970">
        <v>0</v>
      </c>
      <c r="AV45" s="1970">
        <v>-3</v>
      </c>
      <c r="AW45" s="1970">
        <v>-4</v>
      </c>
      <c r="AX45" s="1970">
        <v>10</v>
      </c>
      <c r="AY45" s="1970">
        <v>-2</v>
      </c>
      <c r="AZ45" s="1970">
        <v>-3</v>
      </c>
      <c r="BA45" s="1970">
        <v>-2</v>
      </c>
      <c r="BB45" s="1970">
        <v>-2</v>
      </c>
      <c r="BC45" s="2084">
        <v>0</v>
      </c>
      <c r="BD45" s="293">
        <f>SUM(AZ45:BC45)</f>
        <v>-7</v>
      </c>
      <c r="BE45" s="1970">
        <v>-3</v>
      </c>
      <c r="BF45" s="1970">
        <v>-1</v>
      </c>
      <c r="BG45" s="1970">
        <v>-2</v>
      </c>
      <c r="BH45" s="2084">
        <v>-6</v>
      </c>
      <c r="BI45" s="293">
        <f t="shared" si="3"/>
        <v>-12</v>
      </c>
      <c r="BJ45" s="1970">
        <v>-2</v>
      </c>
      <c r="BK45" s="1970">
        <v>-2</v>
      </c>
      <c r="BL45" s="1970">
        <v>-1</v>
      </c>
      <c r="BM45" s="1970">
        <v>-2</v>
      </c>
      <c r="BN45" s="291">
        <f t="shared" si="4"/>
        <v>-7</v>
      </c>
      <c r="BO45" s="1970">
        <v>0</v>
      </c>
      <c r="BP45" s="1970">
        <v>-2</v>
      </c>
      <c r="BQ45" s="2084">
        <v>-1</v>
      </c>
      <c r="BR45" s="293">
        <f t="shared" si="5"/>
        <v>-3</v>
      </c>
      <c r="BS45" s="1969">
        <v>-41</v>
      </c>
      <c r="BT45" s="293">
        <f>BR45+BS45</f>
        <v>-44</v>
      </c>
      <c r="BU45" s="1969">
        <v>-40</v>
      </c>
      <c r="BV45" s="1969">
        <v>0</v>
      </c>
      <c r="BW45" s="1969">
        <v>0</v>
      </c>
      <c r="BX45" s="1970">
        <v>0</v>
      </c>
      <c r="BY45" s="1970">
        <v>0</v>
      </c>
      <c r="BZ45" s="1970">
        <v>0</v>
      </c>
      <c r="CA45" s="1970">
        <v>100</v>
      </c>
      <c r="CB45" s="1970">
        <v>0</v>
      </c>
      <c r="CC45" s="1970">
        <v>0</v>
      </c>
      <c r="CD45" s="1970">
        <v>1</v>
      </c>
      <c r="CE45" s="1970">
        <v>1</v>
      </c>
      <c r="CF45" s="1970">
        <v>0</v>
      </c>
      <c r="CG45" s="1970">
        <v>-2</v>
      </c>
      <c r="CH45" s="1970">
        <v>0</v>
      </c>
      <c r="CI45" s="1970">
        <v>-2</v>
      </c>
      <c r="CJ45" s="1970">
        <v>-15</v>
      </c>
      <c r="CK45" s="1970">
        <v>0</v>
      </c>
      <c r="CL45" s="1970">
        <f>-8-CK45</f>
        <v>-8</v>
      </c>
      <c r="CM45" s="1970">
        <v>0</v>
      </c>
      <c r="CN45" s="1970">
        <v>1</v>
      </c>
      <c r="CO45" s="1970">
        <v>0</v>
      </c>
      <c r="CP45" s="1970">
        <v>-5.1459999999999999</v>
      </c>
      <c r="CQ45" s="1970">
        <v>3.6999999999999998E-2</v>
      </c>
      <c r="CR45" s="1970">
        <v>0.94299999999999951</v>
      </c>
      <c r="CS45" s="1970">
        <v>-0.32700000000000001</v>
      </c>
      <c r="CT45" s="1970">
        <v>0.253</v>
      </c>
      <c r="CU45" s="1970">
        <v>2.0659999999999998</v>
      </c>
      <c r="CV45" s="1970">
        <v>-1.994</v>
      </c>
      <c r="CW45" s="1970">
        <v>3.3879999999999999</v>
      </c>
      <c r="CX45" s="1970">
        <v>-10.154999999999999</v>
      </c>
      <c r="CY45" s="1970">
        <v>-1.6619999999999999</v>
      </c>
      <c r="CZ45" s="1970">
        <v>-1.1890000000000001</v>
      </c>
      <c r="DA45" s="1970">
        <v>-0.66400000000000003</v>
      </c>
      <c r="DB45" s="1970">
        <v>1.19</v>
      </c>
      <c r="DC45" s="1970">
        <v>-0.60899999999999987</v>
      </c>
      <c r="DD45" s="1970">
        <v>-1.3620000000000001</v>
      </c>
      <c r="DE45" s="1970">
        <v>-0.73399999999999999</v>
      </c>
      <c r="DF45" s="2085" t="s">
        <v>1465</v>
      </c>
    </row>
    <row r="46" spans="1:110" s="2081" customFormat="1">
      <c r="A46" s="2087"/>
      <c r="B46" s="2083"/>
      <c r="H46" s="1970"/>
      <c r="I46" s="1970"/>
      <c r="J46" s="1970"/>
      <c r="K46" s="1970"/>
      <c r="L46" s="1970"/>
      <c r="M46" s="1970"/>
      <c r="N46" s="1970"/>
      <c r="O46" s="1970"/>
      <c r="P46" s="1970"/>
      <c r="Q46" s="1970"/>
      <c r="R46" s="1970"/>
      <c r="S46" s="1970"/>
      <c r="T46" s="1970"/>
      <c r="U46" s="1970"/>
      <c r="V46" s="1970"/>
      <c r="W46" s="1970"/>
      <c r="X46" s="1970"/>
      <c r="Y46" s="1970"/>
      <c r="Z46" s="1970"/>
      <c r="AA46" s="1970"/>
      <c r="AB46" s="1970"/>
      <c r="AC46" s="1970"/>
      <c r="AD46" s="1970"/>
      <c r="AE46" s="1970"/>
      <c r="AF46" s="1970"/>
      <c r="AG46" s="1970"/>
      <c r="AH46" s="1970"/>
      <c r="AI46" s="1970"/>
      <c r="AJ46" s="1970"/>
      <c r="AK46" s="1970"/>
      <c r="AL46" s="1970"/>
      <c r="AM46" s="1970"/>
      <c r="AN46" s="1970"/>
      <c r="AO46" s="1970"/>
      <c r="AP46" s="1970"/>
      <c r="AQ46" s="1970"/>
      <c r="AR46" s="1970"/>
      <c r="AS46" s="1970"/>
      <c r="AT46" s="1970"/>
      <c r="AU46" s="1970"/>
      <c r="AV46" s="1970"/>
      <c r="AW46" s="1970"/>
      <c r="AX46" s="1970"/>
      <c r="AY46" s="1970"/>
      <c r="AZ46" s="1970"/>
      <c r="BA46" s="1970"/>
      <c r="BB46" s="1970"/>
      <c r="BC46" s="2084"/>
      <c r="BD46" s="293"/>
      <c r="BE46" s="1970"/>
      <c r="BF46" s="1970"/>
      <c r="BG46" s="1970"/>
      <c r="BH46" s="2084"/>
      <c r="BI46" s="293"/>
      <c r="BJ46" s="1970"/>
      <c r="BK46" s="1970"/>
      <c r="BL46" s="1970"/>
      <c r="BM46" s="1970"/>
      <c r="BN46" s="291"/>
      <c r="BO46" s="1970"/>
      <c r="BP46" s="1970"/>
      <c r="BQ46" s="2084"/>
      <c r="BR46" s="293"/>
      <c r="BS46" s="1969"/>
      <c r="BT46" s="293"/>
      <c r="BU46" s="1969"/>
      <c r="BV46" s="1969"/>
      <c r="BW46" s="1969"/>
      <c r="BX46" s="1970"/>
      <c r="BY46" s="1970"/>
      <c r="BZ46" s="1970"/>
      <c r="CA46" s="1970"/>
      <c r="CB46" s="1970"/>
      <c r="CC46" s="1970"/>
      <c r="CD46" s="1970"/>
      <c r="CE46" s="1970"/>
      <c r="CF46" s="1970"/>
      <c r="CG46" s="1970"/>
      <c r="CH46" s="1970"/>
      <c r="CI46" s="1970"/>
      <c r="CJ46" s="1970"/>
      <c r="CK46" s="1970"/>
      <c r="CL46" s="1970"/>
      <c r="CM46" s="1970"/>
      <c r="CN46" s="1970"/>
      <c r="CO46" s="1970"/>
      <c r="CP46" s="1970"/>
      <c r="CQ46" s="1970"/>
      <c r="CR46" s="1970"/>
      <c r="CS46" s="1970"/>
      <c r="CT46" s="1970"/>
      <c r="CU46" s="1970"/>
      <c r="CV46" s="1970"/>
      <c r="CW46" s="1970"/>
      <c r="CX46" s="1970"/>
      <c r="CY46" s="1970"/>
      <c r="CZ46" s="1970"/>
      <c r="DA46" s="1970"/>
      <c r="DB46" s="1970"/>
      <c r="DC46" s="1970"/>
      <c r="DD46" s="1970"/>
      <c r="DE46" s="1970"/>
      <c r="DF46" s="2085"/>
    </row>
    <row r="47" spans="1:110" s="2081" customFormat="1">
      <c r="A47" s="2087" t="s">
        <v>1466</v>
      </c>
      <c r="B47" s="1970">
        <v>-502</v>
      </c>
      <c r="C47" s="1970">
        <v>-895</v>
      </c>
      <c r="D47" s="1970">
        <v>-1203</v>
      </c>
      <c r="E47" s="1970">
        <v>-1366</v>
      </c>
      <c r="F47" s="1970">
        <v>-828</v>
      </c>
      <c r="G47" s="1970">
        <v>-442</v>
      </c>
      <c r="H47" s="1970">
        <v>-31.586999999999989</v>
      </c>
      <c r="I47" s="1970">
        <v>6</v>
      </c>
      <c r="J47" s="1970">
        <v>-185</v>
      </c>
      <c r="K47" s="1970">
        <v>-107</v>
      </c>
      <c r="L47" s="1970">
        <v>-245</v>
      </c>
      <c r="M47" s="1970">
        <v>-280</v>
      </c>
      <c r="N47" s="1970">
        <v>-222</v>
      </c>
      <c r="O47" s="1970">
        <v>-333.17</v>
      </c>
      <c r="P47" s="1970">
        <v>-325.29899999999998</v>
      </c>
      <c r="Q47" s="1970">
        <v>-569</v>
      </c>
      <c r="R47" s="1970">
        <v>-624.47900000000004</v>
      </c>
      <c r="S47" s="1970">
        <v>-843</v>
      </c>
      <c r="T47" s="1970">
        <v>-774</v>
      </c>
      <c r="U47" s="1970">
        <v>-637</v>
      </c>
      <c r="V47" s="1970">
        <v>-695</v>
      </c>
      <c r="W47" s="1970">
        <v>-922.625</v>
      </c>
      <c r="X47" s="1970">
        <v>-527</v>
      </c>
      <c r="Y47" s="1970">
        <v>-378.47299999999996</v>
      </c>
      <c r="Z47" s="1970">
        <v>2</v>
      </c>
      <c r="AA47" s="1970">
        <v>376.43900000000008</v>
      </c>
      <c r="AB47" s="1970">
        <v>395</v>
      </c>
      <c r="AC47" s="1970">
        <v>91</v>
      </c>
      <c r="AD47" s="1970">
        <v>245.12799999999999</v>
      </c>
      <c r="AE47" s="1970">
        <v>1000</v>
      </c>
      <c r="AF47" s="1970">
        <v>1421.655</v>
      </c>
      <c r="AG47" s="1970">
        <v>1048</v>
      </c>
      <c r="AH47" s="1970">
        <v>997</v>
      </c>
      <c r="AI47" s="1970">
        <v>2291</v>
      </c>
      <c r="AJ47" s="1970">
        <v>1896</v>
      </c>
      <c r="AK47" s="1970">
        <v>1291</v>
      </c>
      <c r="AL47" s="1970">
        <v>-7.8849999999999909</v>
      </c>
      <c r="AM47" s="1970">
        <v>-541</v>
      </c>
      <c r="AN47" s="1970">
        <v>2980</v>
      </c>
      <c r="AO47" s="1970">
        <v>979</v>
      </c>
      <c r="AP47" s="1970">
        <v>867</v>
      </c>
      <c r="AQ47" s="1970">
        <v>1202</v>
      </c>
      <c r="AR47" s="1970">
        <v>1196.6589999999999</v>
      </c>
      <c r="AS47" s="1970">
        <v>1109</v>
      </c>
      <c r="AT47" s="1970">
        <v>321</v>
      </c>
      <c r="AU47" s="1970">
        <v>970.61500000000001</v>
      </c>
      <c r="AV47" s="1970">
        <v>1804</v>
      </c>
      <c r="AW47" s="1970">
        <v>1046.8179999999998</v>
      </c>
      <c r="AX47" s="1970">
        <v>666</v>
      </c>
      <c r="AY47" s="1970">
        <v>521</v>
      </c>
      <c r="AZ47" s="1970">
        <f t="shared" ref="AZ47:BX47" si="12">AZ48-AZ52</f>
        <v>1766</v>
      </c>
      <c r="BA47" s="1970">
        <f t="shared" si="12"/>
        <v>2659</v>
      </c>
      <c r="BB47" s="1970">
        <f t="shared" si="12"/>
        <v>926</v>
      </c>
      <c r="BC47" s="1970">
        <f t="shared" si="12"/>
        <v>2743</v>
      </c>
      <c r="BD47" s="291">
        <f t="shared" si="12"/>
        <v>8094</v>
      </c>
      <c r="BE47" s="1970">
        <v>2631</v>
      </c>
      <c r="BF47" s="1970">
        <v>648.96</v>
      </c>
      <c r="BG47" s="1970">
        <v>1776</v>
      </c>
      <c r="BH47" s="1970">
        <v>1434</v>
      </c>
      <c r="BI47" s="291">
        <f t="shared" si="12"/>
        <v>6489.96</v>
      </c>
      <c r="BJ47" s="1970">
        <f t="shared" si="12"/>
        <v>610</v>
      </c>
      <c r="BK47" s="1970">
        <f t="shared" si="12"/>
        <v>1001</v>
      </c>
      <c r="BL47" s="1970">
        <f t="shared" si="12"/>
        <v>495</v>
      </c>
      <c r="BM47" s="1970">
        <f t="shared" si="12"/>
        <v>1313</v>
      </c>
      <c r="BN47" s="291">
        <f t="shared" si="12"/>
        <v>3419</v>
      </c>
      <c r="BO47" s="1970">
        <f t="shared" si="12"/>
        <v>4415</v>
      </c>
      <c r="BP47" s="1970">
        <f t="shared" si="12"/>
        <v>1857</v>
      </c>
      <c r="BQ47" s="1970">
        <f t="shared" si="12"/>
        <v>307</v>
      </c>
      <c r="BR47" s="291">
        <f t="shared" si="12"/>
        <v>6579</v>
      </c>
      <c r="BS47" s="1969">
        <f t="shared" si="12"/>
        <v>2447</v>
      </c>
      <c r="BT47" s="293">
        <f>BT48-BT52</f>
        <v>9026</v>
      </c>
      <c r="BU47" s="1969">
        <f t="shared" si="12"/>
        <v>2036</v>
      </c>
      <c r="BV47" s="1969">
        <f t="shared" si="12"/>
        <v>145</v>
      </c>
      <c r="BW47" s="1969">
        <f t="shared" si="12"/>
        <v>-207</v>
      </c>
      <c r="BX47" s="1970">
        <f t="shared" si="12"/>
        <v>787</v>
      </c>
      <c r="BY47" s="1970">
        <f>BY48-BY52</f>
        <v>-308</v>
      </c>
      <c r="BZ47" s="1970">
        <f>BZ48-BZ52</f>
        <v>-90</v>
      </c>
      <c r="CA47" s="1970">
        <f>CA48-CA52</f>
        <v>119</v>
      </c>
      <c r="CB47" s="1970">
        <f>CB48-CB52</f>
        <v>480</v>
      </c>
      <c r="CC47" s="1970">
        <v>463</v>
      </c>
      <c r="CD47" s="1970">
        <v>1327</v>
      </c>
      <c r="CE47" s="1970">
        <v>674</v>
      </c>
      <c r="CF47" s="1970">
        <f>CF48-CF52</f>
        <v>727</v>
      </c>
      <c r="CG47" s="1970">
        <v>215</v>
      </c>
      <c r="CH47" s="1970">
        <v>-274</v>
      </c>
      <c r="CI47" s="1970">
        <v>399</v>
      </c>
      <c r="CJ47" s="1970">
        <v>-475</v>
      </c>
      <c r="CK47" s="1970">
        <v>1394</v>
      </c>
      <c r="CL47" s="1970">
        <f>CL48-CL52</f>
        <v>-445</v>
      </c>
      <c r="CM47" s="1970">
        <v>1157</v>
      </c>
      <c r="CN47" s="1970">
        <v>295</v>
      </c>
      <c r="CO47" s="1970">
        <v>-15</v>
      </c>
      <c r="CP47" s="1970">
        <v>592.95299999999975</v>
      </c>
      <c r="CQ47" s="1970">
        <v>878.94800000000009</v>
      </c>
      <c r="CR47" s="1970">
        <v>3595.4850000000001</v>
      </c>
      <c r="CS47" s="1970">
        <v>1195.6099999999997</v>
      </c>
      <c r="CT47" s="1970">
        <v>4102.4380500000007</v>
      </c>
      <c r="CU47" s="1970">
        <v>4297.241</v>
      </c>
      <c r="CV47" s="1970">
        <v>2889.8699500000002</v>
      </c>
      <c r="CW47" s="1970">
        <v>-1302.6109999999999</v>
      </c>
      <c r="CX47" s="1970">
        <v>794.03800000000035</v>
      </c>
      <c r="CY47" s="1970">
        <v>109.87799999999987</v>
      </c>
      <c r="CZ47" s="1970">
        <v>4682.6909999999998</v>
      </c>
      <c r="DA47" s="1970">
        <v>1594.5180000000003</v>
      </c>
      <c r="DB47" s="1970">
        <v>614.89000000000033</v>
      </c>
      <c r="DC47" s="1970">
        <v>1361.0759999999991</v>
      </c>
      <c r="DD47" s="1969">
        <v>1430.6510000000003</v>
      </c>
      <c r="DE47" s="1969">
        <v>1224.6860000000001</v>
      </c>
      <c r="DF47" s="2085" t="s">
        <v>1467</v>
      </c>
    </row>
    <row r="48" spans="1:110" s="2081" customFormat="1" ht="25.5">
      <c r="A48" s="2087" t="s">
        <v>1468</v>
      </c>
      <c r="B48" s="1970">
        <v>24</v>
      </c>
      <c r="C48" s="1970">
        <v>217</v>
      </c>
      <c r="D48" s="1970">
        <v>103</v>
      </c>
      <c r="E48" s="1970">
        <v>-22</v>
      </c>
      <c r="F48" s="1970">
        <v>81</v>
      </c>
      <c r="G48" s="1970">
        <v>115</v>
      </c>
      <c r="H48" s="1970">
        <v>70</v>
      </c>
      <c r="I48" s="1970">
        <v>43</v>
      </c>
      <c r="J48" s="1970">
        <v>67</v>
      </c>
      <c r="K48" s="1970">
        <v>-7</v>
      </c>
      <c r="L48" s="1970">
        <v>57</v>
      </c>
      <c r="M48" s="1970">
        <v>31</v>
      </c>
      <c r="N48" s="1970">
        <v>114</v>
      </c>
      <c r="O48" s="1970">
        <v>225.35399999999998</v>
      </c>
      <c r="P48" s="1970">
        <v>187</v>
      </c>
      <c r="Q48" s="1970">
        <v>204</v>
      </c>
      <c r="R48" s="1970">
        <v>235</v>
      </c>
      <c r="S48" s="1970">
        <v>353</v>
      </c>
      <c r="T48" s="1970">
        <v>1275</v>
      </c>
      <c r="U48" s="1970">
        <v>22</v>
      </c>
      <c r="V48" s="1970">
        <v>217</v>
      </c>
      <c r="W48" s="1970">
        <v>-57.931000000000012</v>
      </c>
      <c r="X48" s="1970">
        <v>451</v>
      </c>
      <c r="Y48" s="1970">
        <v>713.41499999999996</v>
      </c>
      <c r="Z48" s="1970">
        <v>285</v>
      </c>
      <c r="AA48" s="1970">
        <v>708</v>
      </c>
      <c r="AB48" s="1970">
        <v>589</v>
      </c>
      <c r="AC48" s="1970">
        <v>659</v>
      </c>
      <c r="AD48" s="1970">
        <v>152.541</v>
      </c>
      <c r="AE48" s="1970">
        <v>346</v>
      </c>
      <c r="AF48" s="1970">
        <v>655</v>
      </c>
      <c r="AG48" s="1970">
        <v>929</v>
      </c>
      <c r="AH48" s="1970">
        <v>427</v>
      </c>
      <c r="AI48" s="1970">
        <v>-78</v>
      </c>
      <c r="AJ48" s="1970">
        <v>1304</v>
      </c>
      <c r="AK48" s="1970">
        <v>1752</v>
      </c>
      <c r="AL48" s="1970">
        <v>1244.115</v>
      </c>
      <c r="AM48" s="1970">
        <v>162</v>
      </c>
      <c r="AN48" s="1970">
        <v>2949</v>
      </c>
      <c r="AO48" s="1970">
        <v>944</v>
      </c>
      <c r="AP48" s="1970">
        <v>627</v>
      </c>
      <c r="AQ48" s="1970">
        <v>1544</v>
      </c>
      <c r="AR48" s="1970">
        <v>1881.6589999999999</v>
      </c>
      <c r="AS48" s="1970">
        <v>1321</v>
      </c>
      <c r="AT48" s="1970">
        <v>1088</v>
      </c>
      <c r="AU48" s="1970">
        <v>1699</v>
      </c>
      <c r="AV48" s="1970">
        <v>2573</v>
      </c>
      <c r="AW48" s="1970">
        <v>1647.8519999999999</v>
      </c>
      <c r="AX48" s="1970">
        <v>1404</v>
      </c>
      <c r="AY48" s="1970">
        <v>1213</v>
      </c>
      <c r="AZ48" s="1970">
        <f>AZ50+AZ51</f>
        <v>2939</v>
      </c>
      <c r="BA48" s="1970">
        <f t="shared" ref="BA48:BQ48" si="13">BA50+BA51</f>
        <v>3009</v>
      </c>
      <c r="BB48" s="1970">
        <f t="shared" si="13"/>
        <v>2634</v>
      </c>
      <c r="BC48" s="1970">
        <f t="shared" si="13"/>
        <v>3283</v>
      </c>
      <c r="BD48" s="291">
        <f t="shared" si="13"/>
        <v>11865</v>
      </c>
      <c r="BE48" s="1970">
        <v>3975</v>
      </c>
      <c r="BF48" s="1970">
        <v>1607</v>
      </c>
      <c r="BG48" s="1970">
        <v>3189</v>
      </c>
      <c r="BH48" s="1970">
        <v>3000</v>
      </c>
      <c r="BI48" s="291">
        <f>BI50+BI51</f>
        <v>11771</v>
      </c>
      <c r="BJ48" s="1970">
        <f t="shared" si="13"/>
        <v>3447</v>
      </c>
      <c r="BK48" s="1970">
        <f t="shared" si="13"/>
        <v>2716</v>
      </c>
      <c r="BL48" s="1970">
        <f t="shared" si="13"/>
        <v>1915</v>
      </c>
      <c r="BM48" s="1970">
        <f t="shared" si="13"/>
        <v>3614</v>
      </c>
      <c r="BN48" s="291">
        <f>BN50+BN51</f>
        <v>11692</v>
      </c>
      <c r="BO48" s="1970">
        <f t="shared" si="13"/>
        <v>6367</v>
      </c>
      <c r="BP48" s="1970">
        <f t="shared" si="13"/>
        <v>2568</v>
      </c>
      <c r="BQ48" s="1970">
        <f t="shared" si="13"/>
        <v>796</v>
      </c>
      <c r="BR48" s="291">
        <f>BR50+BR51</f>
        <v>9731</v>
      </c>
      <c r="BS48" s="1969">
        <f t="shared" ref="BS48:CA48" si="14">BS50+BS51</f>
        <v>3990</v>
      </c>
      <c r="BT48" s="293">
        <f t="shared" si="14"/>
        <v>13721</v>
      </c>
      <c r="BU48" s="1969">
        <f t="shared" si="14"/>
        <v>3098</v>
      </c>
      <c r="BV48" s="1969">
        <f t="shared" si="14"/>
        <v>975</v>
      </c>
      <c r="BW48" s="1969">
        <f t="shared" si="14"/>
        <v>500</v>
      </c>
      <c r="BX48" s="1970">
        <f t="shared" si="14"/>
        <v>2672</v>
      </c>
      <c r="BY48" s="1970">
        <f>BY50+BY51</f>
        <v>2346</v>
      </c>
      <c r="BZ48" s="1970">
        <f t="shared" si="14"/>
        <v>995</v>
      </c>
      <c r="CA48" s="1970">
        <f t="shared" si="14"/>
        <v>1114</v>
      </c>
      <c r="CB48" s="1970">
        <f>CB50+CB51</f>
        <v>964</v>
      </c>
      <c r="CC48" s="1970">
        <v>986</v>
      </c>
      <c r="CD48" s="1970">
        <v>1714</v>
      </c>
      <c r="CE48" s="1970">
        <v>645</v>
      </c>
      <c r="CF48" s="1970">
        <f>CF50+CF51</f>
        <v>1441</v>
      </c>
      <c r="CG48" s="1970">
        <v>1255</v>
      </c>
      <c r="CH48" s="1970">
        <v>-671</v>
      </c>
      <c r="CI48" s="1970">
        <v>6</v>
      </c>
      <c r="CJ48" s="1970">
        <v>661</v>
      </c>
      <c r="CK48" s="1970">
        <v>1527</v>
      </c>
      <c r="CL48" s="1970">
        <f>CL50+CL51</f>
        <v>-724</v>
      </c>
      <c r="CM48" s="1970">
        <v>-290</v>
      </c>
      <c r="CN48" s="1970">
        <v>720</v>
      </c>
      <c r="CO48" s="1970">
        <v>524</v>
      </c>
      <c r="CP48" s="1970">
        <v>171.19400000000002</v>
      </c>
      <c r="CQ48" s="1970">
        <v>44.460000000000022</v>
      </c>
      <c r="CR48" s="1970">
        <v>1823.6800000000003</v>
      </c>
      <c r="CS48" s="1970">
        <v>848.89699999999993</v>
      </c>
      <c r="CT48" s="1970">
        <v>2527.38805</v>
      </c>
      <c r="CU48" s="1970">
        <v>2370.2570000000005</v>
      </c>
      <c r="CV48" s="1970">
        <v>2033.0519499999998</v>
      </c>
      <c r="CW48" s="1970">
        <v>-1118.3579999999999</v>
      </c>
      <c r="CX48" s="1970">
        <v>1108.366</v>
      </c>
      <c r="CY48" s="1970">
        <v>-335.09200000000033</v>
      </c>
      <c r="CZ48" s="1970">
        <v>3598.6910000000007</v>
      </c>
      <c r="DA48" s="1970">
        <v>-463.887</v>
      </c>
      <c r="DB48" s="1970">
        <v>592.42900000000009</v>
      </c>
      <c r="DC48" s="1970">
        <v>1262.338</v>
      </c>
      <c r="DD48" s="1969">
        <v>1316.7370000000001</v>
      </c>
      <c r="DE48" s="1969">
        <v>1179.5880000000002</v>
      </c>
      <c r="DF48" s="2085" t="s">
        <v>1469</v>
      </c>
    </row>
    <row r="49" spans="1:111" s="2081" customFormat="1">
      <c r="A49" s="2086" t="s">
        <v>1470</v>
      </c>
      <c r="B49" s="2083"/>
      <c r="H49" s="1970"/>
      <c r="I49" s="1970"/>
      <c r="J49" s="1970"/>
      <c r="K49" s="1970"/>
      <c r="L49" s="1970"/>
      <c r="M49" s="1970"/>
      <c r="N49" s="1970"/>
      <c r="O49" s="1970"/>
      <c r="P49" s="1970"/>
      <c r="Q49" s="1970"/>
      <c r="R49" s="1970"/>
      <c r="S49" s="1970"/>
      <c r="T49" s="1970"/>
      <c r="U49" s="1970"/>
      <c r="V49" s="1970"/>
      <c r="W49" s="1970"/>
      <c r="X49" s="1970"/>
      <c r="Y49" s="1970"/>
      <c r="Z49" s="1970"/>
      <c r="AA49" s="1970"/>
      <c r="AB49" s="1970"/>
      <c r="AC49" s="1970"/>
      <c r="AD49" s="1970"/>
      <c r="AE49" s="1970"/>
      <c r="AF49" s="1970"/>
      <c r="AG49" s="1970"/>
      <c r="AH49" s="1970"/>
      <c r="AI49" s="1970"/>
      <c r="AJ49" s="1970"/>
      <c r="AK49" s="1970"/>
      <c r="AL49" s="1970"/>
      <c r="AM49" s="1970"/>
      <c r="AN49" s="1970"/>
      <c r="AO49" s="1970"/>
      <c r="AP49" s="1970"/>
      <c r="AQ49" s="1970"/>
      <c r="AR49" s="1970"/>
      <c r="AS49" s="1970"/>
      <c r="AT49" s="1970"/>
      <c r="AU49" s="1970"/>
      <c r="AV49" s="1970"/>
      <c r="AW49" s="1970"/>
      <c r="AX49" s="1970"/>
      <c r="AY49" s="1970"/>
      <c r="AZ49" s="1970"/>
      <c r="BA49" s="1970"/>
      <c r="BB49" s="1970"/>
      <c r="BC49" s="2084"/>
      <c r="BD49" s="293"/>
      <c r="BE49" s="1970"/>
      <c r="BF49" s="1970"/>
      <c r="BG49" s="1970"/>
      <c r="BH49" s="2084"/>
      <c r="BI49" s="293"/>
      <c r="BJ49" s="1970"/>
      <c r="BK49" s="1970"/>
      <c r="BL49" s="1970"/>
      <c r="BM49" s="1970"/>
      <c r="BN49" s="291"/>
      <c r="BO49" s="1970"/>
      <c r="BP49" s="1970"/>
      <c r="BQ49" s="2084"/>
      <c r="BR49" s="293"/>
      <c r="BS49" s="1969"/>
      <c r="BT49" s="293"/>
      <c r="BU49" s="1969"/>
      <c r="BV49" s="1969"/>
      <c r="BW49" s="1969"/>
      <c r="BX49" s="1970"/>
      <c r="BY49" s="1970"/>
      <c r="BZ49" s="1970"/>
      <c r="CA49" s="1970"/>
      <c r="CB49" s="1970"/>
      <c r="CC49" s="1970"/>
      <c r="CD49" s="1970"/>
      <c r="CE49" s="1970"/>
      <c r="CF49" s="1970"/>
      <c r="CG49" s="1970"/>
      <c r="CH49" s="1970"/>
      <c r="CI49" s="1970"/>
      <c r="CJ49" s="1970"/>
      <c r="CK49" s="1970"/>
      <c r="CL49" s="1970"/>
      <c r="CM49" s="1970"/>
      <c r="CN49" s="1970"/>
      <c r="CO49" s="1970"/>
      <c r="CP49" s="1970"/>
      <c r="CQ49" s="1970"/>
      <c r="CR49" s="1970"/>
      <c r="CS49" s="1970"/>
      <c r="CT49" s="1970"/>
      <c r="CU49" s="1970"/>
      <c r="CV49" s="1970"/>
      <c r="CW49" s="1970"/>
      <c r="CX49" s="1970"/>
      <c r="CY49" s="1970"/>
      <c r="CZ49" s="1970"/>
      <c r="DA49" s="1970"/>
      <c r="DB49" s="1970"/>
      <c r="DC49" s="1970"/>
      <c r="DD49" s="1970"/>
      <c r="DE49" s="1970"/>
      <c r="DF49" s="2085" t="s">
        <v>1471</v>
      </c>
    </row>
    <row r="50" spans="1:111" s="2081" customFormat="1">
      <c r="A50" s="2087" t="s">
        <v>1472</v>
      </c>
      <c r="B50" s="2083"/>
      <c r="G50" s="2081">
        <v>1</v>
      </c>
      <c r="H50" s="1970"/>
      <c r="I50" s="1970"/>
      <c r="J50" s="1970">
        <v>0</v>
      </c>
      <c r="K50" s="1970">
        <v>0</v>
      </c>
      <c r="L50" s="1970">
        <v>27</v>
      </c>
      <c r="M50" s="1970">
        <v>29</v>
      </c>
      <c r="N50" s="1970">
        <v>57</v>
      </c>
      <c r="O50" s="1970">
        <v>213</v>
      </c>
      <c r="P50" s="1970">
        <v>71</v>
      </c>
      <c r="Q50" s="1970">
        <v>274</v>
      </c>
      <c r="R50" s="1970">
        <v>210</v>
      </c>
      <c r="S50" s="1970">
        <v>379</v>
      </c>
      <c r="T50" s="1970">
        <v>383</v>
      </c>
      <c r="U50" s="1970">
        <v>287</v>
      </c>
      <c r="V50" s="1970">
        <v>366</v>
      </c>
      <c r="W50" s="1970">
        <v>168</v>
      </c>
      <c r="X50" s="1970">
        <v>306</v>
      </c>
      <c r="Y50" s="1970">
        <v>220.41499999999999</v>
      </c>
      <c r="Z50" s="1970">
        <v>256</v>
      </c>
      <c r="AA50" s="1970">
        <v>438</v>
      </c>
      <c r="AB50" s="1970">
        <v>140</v>
      </c>
      <c r="AC50" s="1970">
        <v>382</v>
      </c>
      <c r="AD50" s="1970">
        <v>103.541</v>
      </c>
      <c r="AE50" s="1970">
        <v>80</v>
      </c>
      <c r="AF50" s="1970">
        <v>30</v>
      </c>
      <c r="AG50" s="1970">
        <v>345</v>
      </c>
      <c r="AH50" s="1970">
        <v>-161</v>
      </c>
      <c r="AI50" s="1970">
        <v>73</v>
      </c>
      <c r="AJ50" s="1970">
        <v>159</v>
      </c>
      <c r="AK50" s="1970">
        <v>38</v>
      </c>
      <c r="AL50" s="1970">
        <v>81.114999999999995</v>
      </c>
      <c r="AM50" s="1970">
        <v>278</v>
      </c>
      <c r="AN50" s="1970">
        <v>53</v>
      </c>
      <c r="AO50" s="1970">
        <v>91</v>
      </c>
      <c r="AP50" s="1970">
        <v>82</v>
      </c>
      <c r="AQ50" s="1970">
        <v>100</v>
      </c>
      <c r="AR50" s="1970">
        <v>47.243000000000002</v>
      </c>
      <c r="AS50" s="1970">
        <v>63</v>
      </c>
      <c r="AT50" s="1970">
        <v>60</v>
      </c>
      <c r="AU50" s="1970">
        <v>62</v>
      </c>
      <c r="AV50" s="1970">
        <v>25</v>
      </c>
      <c r="AW50" s="1970">
        <v>65.176000000000002</v>
      </c>
      <c r="AX50" s="1970">
        <v>256</v>
      </c>
      <c r="AY50" s="1970">
        <v>187</v>
      </c>
      <c r="AZ50" s="1970">
        <v>207</v>
      </c>
      <c r="BA50" s="1970">
        <v>482</v>
      </c>
      <c r="BB50" s="1970">
        <v>236</v>
      </c>
      <c r="BC50" s="2084">
        <v>267</v>
      </c>
      <c r="BD50" s="293">
        <f>SUM(AZ50:BC50)</f>
        <v>1192</v>
      </c>
      <c r="BE50" s="1970">
        <v>185</v>
      </c>
      <c r="BF50" s="1970">
        <v>260</v>
      </c>
      <c r="BG50" s="1970">
        <v>342</v>
      </c>
      <c r="BH50" s="2084">
        <v>703</v>
      </c>
      <c r="BI50" s="293">
        <f t="shared" si="3"/>
        <v>1490</v>
      </c>
      <c r="BJ50" s="1970">
        <v>164</v>
      </c>
      <c r="BK50" s="1970">
        <v>321</v>
      </c>
      <c r="BL50" s="1970">
        <v>944</v>
      </c>
      <c r="BM50" s="1970">
        <v>780</v>
      </c>
      <c r="BN50" s="291">
        <f t="shared" si="4"/>
        <v>2209</v>
      </c>
      <c r="BO50" s="1970">
        <v>1064</v>
      </c>
      <c r="BP50" s="1970">
        <v>633</v>
      </c>
      <c r="BQ50" s="2084">
        <v>927</v>
      </c>
      <c r="BR50" s="293">
        <f t="shared" si="5"/>
        <v>2624</v>
      </c>
      <c r="BS50" s="1969">
        <v>636</v>
      </c>
      <c r="BT50" s="293">
        <f>BR50+BS50</f>
        <v>3260</v>
      </c>
      <c r="BU50" s="1969">
        <v>810</v>
      </c>
      <c r="BV50" s="1969">
        <v>680</v>
      </c>
      <c r="BW50" s="1969">
        <v>597</v>
      </c>
      <c r="BX50" s="1970">
        <v>487</v>
      </c>
      <c r="BY50" s="1970">
        <v>531</v>
      </c>
      <c r="BZ50" s="1970">
        <v>504</v>
      </c>
      <c r="CA50" s="1970">
        <v>576</v>
      </c>
      <c r="CB50" s="1970">
        <v>953</v>
      </c>
      <c r="CC50" s="1970">
        <v>562</v>
      </c>
      <c r="CD50" s="1970">
        <v>758</v>
      </c>
      <c r="CE50" s="1970">
        <v>242</v>
      </c>
      <c r="CF50" s="1970">
        <v>199</v>
      </c>
      <c r="CG50" s="1970">
        <v>817</v>
      </c>
      <c r="CH50" s="1970">
        <v>427</v>
      </c>
      <c r="CI50" s="1970">
        <v>421</v>
      </c>
      <c r="CJ50" s="1970">
        <v>767</v>
      </c>
      <c r="CK50" s="1970">
        <v>337</v>
      </c>
      <c r="CL50" s="1970">
        <f>519-CK50</f>
        <v>182</v>
      </c>
      <c r="CM50" s="1970">
        <v>1</v>
      </c>
      <c r="CN50" s="1970">
        <v>305</v>
      </c>
      <c r="CO50" s="1970">
        <v>106</v>
      </c>
      <c r="CP50" s="1970">
        <v>76.540999999999997</v>
      </c>
      <c r="CQ50" s="1970">
        <v>-50.513999999999982</v>
      </c>
      <c r="CR50" s="1970">
        <v>-55.04000000000002</v>
      </c>
      <c r="CS50" s="1970">
        <v>-36.271999999999998</v>
      </c>
      <c r="CT50" s="1970">
        <v>99.037999999999997</v>
      </c>
      <c r="CU50" s="1970">
        <v>-22.672999999999995</v>
      </c>
      <c r="CV50" s="1970">
        <v>132.11700000000002</v>
      </c>
      <c r="CW50" s="1970">
        <v>58.587000000000003</v>
      </c>
      <c r="CX50" s="1970">
        <v>-161.048</v>
      </c>
      <c r="CY50" s="1970">
        <v>1857.2239999999999</v>
      </c>
      <c r="CZ50" s="1970">
        <v>120.46199999999999</v>
      </c>
      <c r="DA50" s="1970">
        <v>-11.865</v>
      </c>
      <c r="DB50" s="1970">
        <v>433.29500000000002</v>
      </c>
      <c r="DC50" s="1970">
        <v>162.52399999999994</v>
      </c>
      <c r="DD50" s="1970">
        <v>158.48500000000001</v>
      </c>
      <c r="DE50" s="1970">
        <v>-144.13</v>
      </c>
      <c r="DF50" s="2085" t="s">
        <v>1473</v>
      </c>
    </row>
    <row r="51" spans="1:111" s="2081" customFormat="1" ht="12.75" customHeight="1">
      <c r="A51" s="2087" t="s">
        <v>1474</v>
      </c>
      <c r="B51" s="2083">
        <v>24</v>
      </c>
      <c r="C51" s="2081">
        <v>217</v>
      </c>
      <c r="D51" s="2081">
        <v>103</v>
      </c>
      <c r="E51" s="2081">
        <v>-22</v>
      </c>
      <c r="F51" s="2081">
        <v>81</v>
      </c>
      <c r="G51" s="2081">
        <v>114</v>
      </c>
      <c r="H51" s="1970">
        <v>70</v>
      </c>
      <c r="I51" s="1970">
        <v>43</v>
      </c>
      <c r="J51" s="1970">
        <v>67</v>
      </c>
      <c r="K51" s="1970">
        <v>-7</v>
      </c>
      <c r="L51" s="1970">
        <v>30</v>
      </c>
      <c r="M51" s="1970">
        <v>2</v>
      </c>
      <c r="N51" s="1970">
        <v>57</v>
      </c>
      <c r="O51" s="1970">
        <v>12.353999999999999</v>
      </c>
      <c r="P51" s="1970">
        <v>116</v>
      </c>
      <c r="Q51" s="1970">
        <v>-70</v>
      </c>
      <c r="R51" s="1970">
        <v>25</v>
      </c>
      <c r="S51" s="1970">
        <v>-26</v>
      </c>
      <c r="T51" s="1970">
        <v>892</v>
      </c>
      <c r="U51" s="1970">
        <v>-265</v>
      </c>
      <c r="V51" s="1970">
        <v>-149</v>
      </c>
      <c r="W51" s="1970">
        <v>-225.93100000000001</v>
      </c>
      <c r="X51" s="1970">
        <v>145</v>
      </c>
      <c r="Y51" s="1970">
        <v>493</v>
      </c>
      <c r="Z51" s="1970">
        <v>29</v>
      </c>
      <c r="AA51" s="1970">
        <v>270</v>
      </c>
      <c r="AB51" s="1970">
        <v>449</v>
      </c>
      <c r="AC51" s="1970">
        <v>277</v>
      </c>
      <c r="AD51" s="1970">
        <v>49</v>
      </c>
      <c r="AE51" s="1970">
        <v>266</v>
      </c>
      <c r="AF51" s="1970">
        <v>625</v>
      </c>
      <c r="AG51" s="1970">
        <v>584</v>
      </c>
      <c r="AH51" s="1970">
        <v>588</v>
      </c>
      <c r="AI51" s="1970">
        <v>-151</v>
      </c>
      <c r="AJ51" s="1970">
        <v>1145</v>
      </c>
      <c r="AK51" s="1970">
        <v>1714</v>
      </c>
      <c r="AL51" s="1970">
        <v>1163</v>
      </c>
      <c r="AM51" s="1970">
        <v>-116</v>
      </c>
      <c r="AN51" s="1970">
        <v>2896</v>
      </c>
      <c r="AO51" s="1970">
        <v>853</v>
      </c>
      <c r="AP51" s="1970">
        <v>545</v>
      </c>
      <c r="AQ51" s="1970">
        <v>1444</v>
      </c>
      <c r="AR51" s="1970">
        <v>1834.4159999999999</v>
      </c>
      <c r="AS51" s="1970">
        <v>1258</v>
      </c>
      <c r="AT51" s="1970">
        <v>1028</v>
      </c>
      <c r="AU51" s="1970">
        <v>1637</v>
      </c>
      <c r="AV51" s="1970">
        <v>2548</v>
      </c>
      <c r="AW51" s="1970">
        <v>1582.6759999999999</v>
      </c>
      <c r="AX51" s="1970">
        <v>1148</v>
      </c>
      <c r="AY51" s="1970">
        <v>1026</v>
      </c>
      <c r="AZ51" s="1970">
        <v>2732</v>
      </c>
      <c r="BA51" s="1970">
        <v>2527</v>
      </c>
      <c r="BB51" s="1970">
        <v>2398</v>
      </c>
      <c r="BC51" s="2084">
        <v>3016</v>
      </c>
      <c r="BD51" s="293">
        <f>SUM(AZ51:BC51)</f>
        <v>10673</v>
      </c>
      <c r="BE51" s="1970">
        <v>3790</v>
      </c>
      <c r="BF51" s="1970">
        <v>1347</v>
      </c>
      <c r="BG51" s="1970">
        <v>2847</v>
      </c>
      <c r="BH51" s="2084">
        <v>2297</v>
      </c>
      <c r="BI51" s="293">
        <f t="shared" si="3"/>
        <v>10281</v>
      </c>
      <c r="BJ51" s="1970">
        <v>3283</v>
      </c>
      <c r="BK51" s="1970">
        <v>2395</v>
      </c>
      <c r="BL51" s="1970">
        <v>971</v>
      </c>
      <c r="BM51" s="1970">
        <v>2834</v>
      </c>
      <c r="BN51" s="291">
        <f t="shared" si="4"/>
        <v>9483</v>
      </c>
      <c r="BO51" s="1970">
        <v>5303</v>
      </c>
      <c r="BP51" s="1970">
        <v>1935</v>
      </c>
      <c r="BQ51" s="2084">
        <v>-131</v>
      </c>
      <c r="BR51" s="293">
        <f t="shared" si="5"/>
        <v>7107</v>
      </c>
      <c r="BS51" s="1969">
        <v>3354</v>
      </c>
      <c r="BT51" s="293">
        <f>BR51+BS51</f>
        <v>10461</v>
      </c>
      <c r="BU51" s="1969">
        <v>2288</v>
      </c>
      <c r="BV51" s="1969">
        <v>295</v>
      </c>
      <c r="BW51" s="1969">
        <v>-97</v>
      </c>
      <c r="BX51" s="1970">
        <v>2185</v>
      </c>
      <c r="BY51" s="1970">
        <v>1815</v>
      </c>
      <c r="BZ51" s="1970">
        <v>491</v>
      </c>
      <c r="CA51" s="1970">
        <v>538</v>
      </c>
      <c r="CB51" s="1970">
        <v>11</v>
      </c>
      <c r="CC51" s="1970">
        <v>424</v>
      </c>
      <c r="CD51" s="1970">
        <v>956</v>
      </c>
      <c r="CE51" s="1970">
        <v>403</v>
      </c>
      <c r="CF51" s="1970">
        <v>1242</v>
      </c>
      <c r="CG51" s="1970">
        <v>438</v>
      </c>
      <c r="CH51" s="1970">
        <v>-1098</v>
      </c>
      <c r="CI51" s="1970">
        <v>-415</v>
      </c>
      <c r="CJ51" s="1970">
        <v>-106</v>
      </c>
      <c r="CK51" s="1970">
        <v>1190</v>
      </c>
      <c r="CL51" s="1970">
        <f>284-CK51</f>
        <v>-906</v>
      </c>
      <c r="CM51" s="1970">
        <v>-291</v>
      </c>
      <c r="CN51" s="1970">
        <v>415</v>
      </c>
      <c r="CO51" s="1970">
        <v>418</v>
      </c>
      <c r="CP51" s="1970">
        <v>94.653000000000006</v>
      </c>
      <c r="CQ51" s="1970">
        <v>94.974000000000004</v>
      </c>
      <c r="CR51" s="1970">
        <v>1878.7200000000003</v>
      </c>
      <c r="CS51" s="1970">
        <v>885.16899999999998</v>
      </c>
      <c r="CT51" s="1970">
        <v>2428.35005</v>
      </c>
      <c r="CU51" s="1970">
        <v>2392.9300000000003</v>
      </c>
      <c r="CV51" s="1970">
        <v>1900.9349499999998</v>
      </c>
      <c r="CW51" s="1970">
        <v>-1176.9449999999999</v>
      </c>
      <c r="CX51" s="1970">
        <v>1269.414</v>
      </c>
      <c r="CY51" s="1970">
        <v>-2192.3160000000003</v>
      </c>
      <c r="CZ51" s="1970">
        <v>3478.2290000000007</v>
      </c>
      <c r="DA51" s="1970">
        <v>-452.02199999999999</v>
      </c>
      <c r="DB51" s="1970">
        <v>159.13400000000001</v>
      </c>
      <c r="DC51" s="1970">
        <v>1099.8140000000001</v>
      </c>
      <c r="DD51" s="1970">
        <v>1158.2520000000002</v>
      </c>
      <c r="DE51" s="1970">
        <v>1323.7180000000001</v>
      </c>
      <c r="DF51" s="2085" t="s">
        <v>1475</v>
      </c>
    </row>
    <row r="52" spans="1:111" ht="28.5" customHeight="1">
      <c r="A52" s="2094" t="s">
        <v>1476</v>
      </c>
      <c r="B52" s="1970">
        <v>526</v>
      </c>
      <c r="C52" s="1970">
        <v>1112</v>
      </c>
      <c r="D52" s="1970">
        <v>1306</v>
      </c>
      <c r="E52" s="1970">
        <v>1344</v>
      </c>
      <c r="F52" s="1970">
        <v>909</v>
      </c>
      <c r="G52" s="1970">
        <v>557</v>
      </c>
      <c r="H52" s="1970">
        <v>101.58699999999999</v>
      </c>
      <c r="I52" s="1970">
        <v>37</v>
      </c>
      <c r="J52" s="1970">
        <v>252</v>
      </c>
      <c r="K52" s="1970">
        <v>100</v>
      </c>
      <c r="L52" s="1970">
        <v>302</v>
      </c>
      <c r="M52" s="1970">
        <v>311</v>
      </c>
      <c r="N52" s="1970">
        <v>336</v>
      </c>
      <c r="O52" s="1970">
        <v>558.524</v>
      </c>
      <c r="P52" s="1970">
        <v>512.29899999999998</v>
      </c>
      <c r="Q52" s="1970">
        <v>773</v>
      </c>
      <c r="R52" s="1970">
        <v>859.47900000000004</v>
      </c>
      <c r="S52" s="1970">
        <v>1196</v>
      </c>
      <c r="T52" s="1970">
        <v>2049</v>
      </c>
      <c r="U52" s="1970">
        <v>659</v>
      </c>
      <c r="V52" s="1970">
        <v>912</v>
      </c>
      <c r="W52" s="1970">
        <v>864.69399999999996</v>
      </c>
      <c r="X52" s="1970">
        <v>978</v>
      </c>
      <c r="Y52" s="1970">
        <v>1091.8879999999999</v>
      </c>
      <c r="Z52" s="1970">
        <v>283</v>
      </c>
      <c r="AA52" s="1970">
        <v>331.56099999999992</v>
      </c>
      <c r="AB52" s="1970">
        <v>194</v>
      </c>
      <c r="AC52" s="1970">
        <v>568</v>
      </c>
      <c r="AD52" s="1970">
        <v>-92.586999999999989</v>
      </c>
      <c r="AE52" s="1970">
        <v>-654</v>
      </c>
      <c r="AF52" s="1970">
        <v>-766.65499999999997</v>
      </c>
      <c r="AG52" s="1970">
        <v>-119</v>
      </c>
      <c r="AH52" s="1970">
        <v>-570</v>
      </c>
      <c r="AI52" s="1970">
        <v>-2369</v>
      </c>
      <c r="AJ52" s="1970">
        <v>-592</v>
      </c>
      <c r="AK52" s="1970">
        <v>461</v>
      </c>
      <c r="AL52" s="1970">
        <v>1252</v>
      </c>
      <c r="AM52" s="1970">
        <v>703</v>
      </c>
      <c r="AN52" s="1970">
        <v>-31</v>
      </c>
      <c r="AO52" s="1970">
        <v>-35</v>
      </c>
      <c r="AP52" s="1970">
        <v>-240</v>
      </c>
      <c r="AQ52" s="1970">
        <v>342</v>
      </c>
      <c r="AR52" s="1970">
        <v>685</v>
      </c>
      <c r="AS52" s="1970">
        <v>212</v>
      </c>
      <c r="AT52" s="1970">
        <v>767</v>
      </c>
      <c r="AU52" s="1970">
        <v>728.38499999999999</v>
      </c>
      <c r="AV52" s="1970">
        <v>769</v>
      </c>
      <c r="AW52" s="1970">
        <v>601.03399999999999</v>
      </c>
      <c r="AX52" s="1970">
        <v>738</v>
      </c>
      <c r="AY52" s="1970">
        <v>692</v>
      </c>
      <c r="AZ52" s="1970">
        <f>AZ54+AZ55+AZ56+AZ57</f>
        <v>1173</v>
      </c>
      <c r="BA52" s="1970">
        <f t="shared" ref="BA52:BQ52" si="15">BA54+BA55+BA56+BA57</f>
        <v>350</v>
      </c>
      <c r="BB52" s="1970">
        <f t="shared" si="15"/>
        <v>1708</v>
      </c>
      <c r="BC52" s="1970">
        <f t="shared" si="15"/>
        <v>540</v>
      </c>
      <c r="BD52" s="291">
        <f>BD54+BD55+BD56+BD57</f>
        <v>3771</v>
      </c>
      <c r="BE52" s="1970">
        <v>1344</v>
      </c>
      <c r="BF52" s="1970">
        <v>958.04</v>
      </c>
      <c r="BG52" s="1970">
        <v>1413</v>
      </c>
      <c r="BH52" s="1970">
        <v>1566</v>
      </c>
      <c r="BI52" s="291">
        <f>BI54+BI55+BI56+BI57</f>
        <v>5281.04</v>
      </c>
      <c r="BJ52" s="1970">
        <f t="shared" si="15"/>
        <v>2837</v>
      </c>
      <c r="BK52" s="1970">
        <f t="shared" si="15"/>
        <v>1715</v>
      </c>
      <c r="BL52" s="1970">
        <f t="shared" si="15"/>
        <v>1420</v>
      </c>
      <c r="BM52" s="1970">
        <f t="shared" si="15"/>
        <v>2301</v>
      </c>
      <c r="BN52" s="291">
        <f t="shared" si="15"/>
        <v>8273</v>
      </c>
      <c r="BO52" s="1970">
        <f t="shared" si="15"/>
        <v>1952</v>
      </c>
      <c r="BP52" s="1970">
        <f t="shared" si="15"/>
        <v>711</v>
      </c>
      <c r="BQ52" s="1970">
        <f t="shared" si="15"/>
        <v>489</v>
      </c>
      <c r="BR52" s="291">
        <f>BR54+BR55+BR56+BR57</f>
        <v>3152</v>
      </c>
      <c r="BS52" s="1969">
        <f>BS54+BS55+BS56+BS57</f>
        <v>1543</v>
      </c>
      <c r="BT52" s="293">
        <f>BT54+BT55+BT56+BT57</f>
        <v>4695</v>
      </c>
      <c r="BU52" s="1969">
        <f t="shared" ref="BU52:CA52" si="16">BU54+BU55+BU56+BU57</f>
        <v>1062</v>
      </c>
      <c r="BV52" s="1969">
        <f t="shared" si="16"/>
        <v>830</v>
      </c>
      <c r="BW52" s="1969">
        <f t="shared" si="16"/>
        <v>707</v>
      </c>
      <c r="BX52" s="1970">
        <f t="shared" si="16"/>
        <v>1885</v>
      </c>
      <c r="BY52" s="1970">
        <f t="shared" si="16"/>
        <v>2654</v>
      </c>
      <c r="BZ52" s="1970">
        <f t="shared" si="16"/>
        <v>1085</v>
      </c>
      <c r="CA52" s="1970">
        <f t="shared" si="16"/>
        <v>995</v>
      </c>
      <c r="CB52" s="1970">
        <f>CB54+CB55+CB56+CB57</f>
        <v>484</v>
      </c>
      <c r="CC52" s="1970">
        <v>523</v>
      </c>
      <c r="CD52" s="1970">
        <v>387</v>
      </c>
      <c r="CE52" s="1970">
        <v>-29</v>
      </c>
      <c r="CF52" s="1970">
        <f>CF54+CF55+CF56+CF57</f>
        <v>714</v>
      </c>
      <c r="CG52" s="1970">
        <v>1040</v>
      </c>
      <c r="CH52" s="1970">
        <v>-397</v>
      </c>
      <c r="CI52" s="1970">
        <v>-393</v>
      </c>
      <c r="CJ52" s="1970">
        <v>1136</v>
      </c>
      <c r="CK52" s="1970">
        <v>133</v>
      </c>
      <c r="CL52" s="1970">
        <f>CL54+CL55+CL56+CL57</f>
        <v>-279</v>
      </c>
      <c r="CM52" s="1970">
        <v>-1447</v>
      </c>
      <c r="CN52" s="1970">
        <v>425</v>
      </c>
      <c r="CO52" s="1970">
        <v>539</v>
      </c>
      <c r="CP52" s="1970">
        <v>-421.75899999999979</v>
      </c>
      <c r="CQ52" s="1970">
        <v>-834.48800000000006</v>
      </c>
      <c r="CR52" s="1970">
        <v>-1771.8049999999998</v>
      </c>
      <c r="CS52" s="1970">
        <v>-346.71299999999985</v>
      </c>
      <c r="CT52" s="1970">
        <v>-1575.0500000000006</v>
      </c>
      <c r="CU52" s="1970">
        <v>-1926.983999999999</v>
      </c>
      <c r="CV52" s="1970">
        <v>-856.81800000000021</v>
      </c>
      <c r="CW52" s="1970">
        <v>184.25300000000004</v>
      </c>
      <c r="CX52" s="1970">
        <v>314.32799999999963</v>
      </c>
      <c r="CY52" s="1970">
        <v>-444.9700000000002</v>
      </c>
      <c r="CZ52" s="1970">
        <v>-1083.9999999999989</v>
      </c>
      <c r="DA52" s="1970">
        <v>-2058.4050000000002</v>
      </c>
      <c r="DB52" s="1970">
        <v>-22.46100000000024</v>
      </c>
      <c r="DC52" s="1970">
        <v>-98.737999999999033</v>
      </c>
      <c r="DD52" s="1969">
        <v>-113.91400000000029</v>
      </c>
      <c r="DE52" s="1969">
        <v>-45.097999999999871</v>
      </c>
      <c r="DF52" s="2095" t="s">
        <v>1477</v>
      </c>
      <c r="DG52" s="2081"/>
    </row>
    <row r="53" spans="1:111">
      <c r="A53" s="2094" t="s">
        <v>1478</v>
      </c>
      <c r="B53" s="2096"/>
      <c r="C53" s="2075"/>
      <c r="D53" s="2075" t="s">
        <v>93</v>
      </c>
      <c r="E53" s="2075" t="s">
        <v>93</v>
      </c>
      <c r="F53" s="2075" t="s">
        <v>93</v>
      </c>
      <c r="G53" s="2075"/>
      <c r="H53" s="1970"/>
      <c r="I53" s="1970"/>
      <c r="J53" s="1970"/>
      <c r="K53" s="1970"/>
      <c r="L53" s="1970"/>
      <c r="M53" s="1970"/>
      <c r="N53" s="1970"/>
      <c r="O53" s="1970"/>
      <c r="P53" s="1970"/>
      <c r="Q53" s="1970"/>
      <c r="R53" s="1970"/>
      <c r="S53" s="1970"/>
      <c r="T53" s="1970"/>
      <c r="U53" s="1970"/>
      <c r="V53" s="1970"/>
      <c r="W53" s="1970"/>
      <c r="X53" s="1970"/>
      <c r="Y53" s="1970"/>
      <c r="Z53" s="1970"/>
      <c r="AA53" s="1970"/>
      <c r="AB53" s="1970"/>
      <c r="AC53" s="1970"/>
      <c r="AD53" s="1970"/>
      <c r="AE53" s="1970"/>
      <c r="AF53" s="1970"/>
      <c r="AG53" s="1970"/>
      <c r="AH53" s="1970"/>
      <c r="AI53" s="1970"/>
      <c r="AJ53" s="1970"/>
      <c r="AK53" s="1970"/>
      <c r="AL53" s="1970"/>
      <c r="AM53" s="1970"/>
      <c r="AN53" s="1970"/>
      <c r="AO53" s="1970"/>
      <c r="AP53" s="1970"/>
      <c r="AQ53" s="1970"/>
      <c r="AR53" s="1970"/>
      <c r="AS53" s="1970"/>
      <c r="AT53" s="1970"/>
      <c r="AU53" s="1970"/>
      <c r="AV53" s="1970"/>
      <c r="AW53" s="1970"/>
      <c r="AX53" s="1970"/>
      <c r="AY53" s="1970"/>
      <c r="AZ53" s="1970"/>
      <c r="BA53" s="1970"/>
      <c r="BB53" s="1970"/>
      <c r="BC53" s="2084"/>
      <c r="BD53" s="293"/>
      <c r="BE53" s="1970"/>
      <c r="BF53" s="1970"/>
      <c r="BG53" s="1970"/>
      <c r="BH53" s="2084"/>
      <c r="BI53" s="293"/>
      <c r="BJ53" s="1970"/>
      <c r="BK53" s="1970"/>
      <c r="BL53" s="1970"/>
      <c r="BM53" s="1970"/>
      <c r="BN53" s="291"/>
      <c r="BO53" s="1970"/>
      <c r="BP53" s="1970"/>
      <c r="BQ53" s="2084"/>
      <c r="BR53" s="293"/>
      <c r="BS53" s="1969"/>
      <c r="BT53" s="293"/>
      <c r="BU53" s="1969"/>
      <c r="BV53" s="1969"/>
      <c r="BW53" s="1969"/>
      <c r="BX53" s="1970"/>
      <c r="BY53" s="1970"/>
      <c r="BZ53" s="1970"/>
      <c r="CA53" s="1970"/>
      <c r="CB53" s="1970"/>
      <c r="CC53" s="1970"/>
      <c r="CD53" s="1970"/>
      <c r="CE53" s="1970"/>
      <c r="CF53" s="1970"/>
      <c r="CG53" s="1970"/>
      <c r="CH53" s="1970"/>
      <c r="CI53" s="1970"/>
      <c r="CJ53" s="1970"/>
      <c r="CK53" s="1970"/>
      <c r="CL53" s="1970"/>
      <c r="CM53" s="1970"/>
      <c r="CN53" s="1970"/>
      <c r="CO53" s="1970"/>
      <c r="CP53" s="1970"/>
      <c r="CQ53" s="1970"/>
      <c r="CR53" s="1970"/>
      <c r="CS53" s="1970"/>
      <c r="CT53" s="1970"/>
      <c r="CU53" s="1970"/>
      <c r="CV53" s="1970"/>
      <c r="CW53" s="1970"/>
      <c r="CX53" s="1970"/>
      <c r="CY53" s="1970"/>
      <c r="CZ53" s="1970"/>
      <c r="DA53" s="1970"/>
      <c r="DB53" s="1970"/>
      <c r="DC53" s="1970"/>
      <c r="DD53" s="1970"/>
      <c r="DE53" s="1970"/>
      <c r="DF53" s="2085" t="s">
        <v>1471</v>
      </c>
      <c r="DG53" s="2081"/>
    </row>
    <row r="54" spans="1:111" ht="24.75" customHeight="1">
      <c r="A54" s="2087" t="s">
        <v>1479</v>
      </c>
      <c r="B54" s="2096">
        <v>155</v>
      </c>
      <c r="C54" s="2075">
        <v>591</v>
      </c>
      <c r="D54" s="2075">
        <v>1068</v>
      </c>
      <c r="E54" s="2075">
        <v>1085</v>
      </c>
      <c r="F54" s="2075">
        <v>691</v>
      </c>
      <c r="G54" s="2075">
        <v>588</v>
      </c>
      <c r="H54" s="1970">
        <v>173</v>
      </c>
      <c r="I54" s="1970">
        <v>168</v>
      </c>
      <c r="J54" s="1970">
        <v>244</v>
      </c>
      <c r="K54" s="1970">
        <v>228</v>
      </c>
      <c r="L54" s="1970">
        <v>325</v>
      </c>
      <c r="M54" s="1970">
        <v>434</v>
      </c>
      <c r="N54" s="1970">
        <v>528</v>
      </c>
      <c r="O54" s="1970">
        <v>738</v>
      </c>
      <c r="P54" s="1970">
        <v>681.29899999999998</v>
      </c>
      <c r="Q54" s="1970">
        <v>921</v>
      </c>
      <c r="R54" s="1970">
        <v>989.47900000000004</v>
      </c>
      <c r="S54" s="1970">
        <v>1357</v>
      </c>
      <c r="T54" s="1970">
        <v>1469</v>
      </c>
      <c r="U54" s="1970">
        <v>1157</v>
      </c>
      <c r="V54" s="1970">
        <v>1014</v>
      </c>
      <c r="W54" s="1970">
        <v>1057.694</v>
      </c>
      <c r="X54" s="1970">
        <v>939</v>
      </c>
      <c r="Y54" s="1970">
        <v>1118</v>
      </c>
      <c r="Z54" s="1970">
        <v>1031</v>
      </c>
      <c r="AA54" s="1970">
        <v>1388</v>
      </c>
      <c r="AB54" s="1970">
        <v>1020</v>
      </c>
      <c r="AC54" s="1970">
        <v>1394</v>
      </c>
      <c r="AD54" s="1970">
        <v>1075</v>
      </c>
      <c r="AE54" s="1970">
        <v>980</v>
      </c>
      <c r="AF54" s="1970">
        <v>970</v>
      </c>
      <c r="AG54" s="1970">
        <v>1025</v>
      </c>
      <c r="AH54" s="1970">
        <v>1179</v>
      </c>
      <c r="AI54" s="1970">
        <v>1115</v>
      </c>
      <c r="AJ54" s="1970">
        <v>1006</v>
      </c>
      <c r="AK54" s="1970">
        <v>1053</v>
      </c>
      <c r="AL54" s="1970">
        <v>900</v>
      </c>
      <c r="AM54" s="1970">
        <v>1023</v>
      </c>
      <c r="AN54" s="1970">
        <v>761</v>
      </c>
      <c r="AO54" s="1970">
        <v>758</v>
      </c>
      <c r="AP54" s="1970">
        <v>586</v>
      </c>
      <c r="AQ54" s="1970">
        <v>794</v>
      </c>
      <c r="AR54" s="1970">
        <v>705</v>
      </c>
      <c r="AS54" s="1970">
        <v>755</v>
      </c>
      <c r="AT54" s="1970">
        <v>812</v>
      </c>
      <c r="AU54" s="1970">
        <v>1075.385</v>
      </c>
      <c r="AV54" s="1970">
        <v>820</v>
      </c>
      <c r="AW54" s="1970">
        <v>1180.56</v>
      </c>
      <c r="AX54" s="1970">
        <v>1108</v>
      </c>
      <c r="AY54" s="1970">
        <v>1336</v>
      </c>
      <c r="AZ54" s="1970">
        <v>1161</v>
      </c>
      <c r="BA54" s="1970">
        <v>1335</v>
      </c>
      <c r="BB54" s="1970">
        <v>1477</v>
      </c>
      <c r="BC54" s="2084">
        <v>1317</v>
      </c>
      <c r="BD54" s="293">
        <f t="shared" ref="BD54:BD59" si="17">SUM(AZ54:BC54)</f>
        <v>5290</v>
      </c>
      <c r="BE54" s="1970">
        <v>1420</v>
      </c>
      <c r="BF54" s="1970">
        <v>1546</v>
      </c>
      <c r="BG54" s="1970">
        <v>1678</v>
      </c>
      <c r="BH54" s="2084">
        <v>1646</v>
      </c>
      <c r="BI54" s="293">
        <f t="shared" si="3"/>
        <v>6290</v>
      </c>
      <c r="BJ54" s="1970">
        <v>1911</v>
      </c>
      <c r="BK54" s="1970">
        <v>1956</v>
      </c>
      <c r="BL54" s="1970">
        <v>1951</v>
      </c>
      <c r="BM54" s="1970">
        <v>2231</v>
      </c>
      <c r="BN54" s="291">
        <f t="shared" si="4"/>
        <v>8049</v>
      </c>
      <c r="BO54" s="1970">
        <v>1845</v>
      </c>
      <c r="BP54" s="1970">
        <v>1956</v>
      </c>
      <c r="BQ54" s="2084">
        <v>1936</v>
      </c>
      <c r="BR54" s="293">
        <f t="shared" si="5"/>
        <v>5737</v>
      </c>
      <c r="BS54" s="1969">
        <v>1746</v>
      </c>
      <c r="BT54" s="293">
        <f t="shared" ref="BT54:BT60" si="18">BR54+BS54</f>
        <v>7483</v>
      </c>
      <c r="BU54" s="1969">
        <v>1632</v>
      </c>
      <c r="BV54" s="1969">
        <v>2061</v>
      </c>
      <c r="BW54" s="1969">
        <v>1737</v>
      </c>
      <c r="BX54" s="1970">
        <v>1894</v>
      </c>
      <c r="BY54" s="1970">
        <v>1623</v>
      </c>
      <c r="BZ54" s="1970">
        <v>1501</v>
      </c>
      <c r="CA54" s="1970">
        <v>1376</v>
      </c>
      <c r="CB54" s="1970">
        <v>1214</v>
      </c>
      <c r="CC54" s="1970">
        <v>1018</v>
      </c>
      <c r="CD54" s="1970">
        <v>1035</v>
      </c>
      <c r="CE54" s="1970">
        <v>880</v>
      </c>
      <c r="CF54" s="1970">
        <v>1176</v>
      </c>
      <c r="CG54" s="1970">
        <v>809</v>
      </c>
      <c r="CH54" s="1970">
        <v>915</v>
      </c>
      <c r="CI54" s="1970">
        <v>946</v>
      </c>
      <c r="CJ54" s="1970">
        <v>1605</v>
      </c>
      <c r="CK54" s="1970">
        <v>1188</v>
      </c>
      <c r="CL54" s="1970">
        <f>2107-CK54</f>
        <v>919</v>
      </c>
      <c r="CM54" s="1970">
        <v>1284</v>
      </c>
      <c r="CN54" s="1970">
        <v>1136</v>
      </c>
      <c r="CO54" s="1970">
        <v>1401</v>
      </c>
      <c r="CP54" s="1970">
        <v>1234.7620000000002</v>
      </c>
      <c r="CQ54" s="1970">
        <v>1028.9939999999997</v>
      </c>
      <c r="CR54" s="1970">
        <v>1130.5149999999999</v>
      </c>
      <c r="CS54" s="1970">
        <v>1814.146</v>
      </c>
      <c r="CT54" s="1970">
        <v>1406.4460000000001</v>
      </c>
      <c r="CU54" s="1970">
        <v>1357.2679999999996</v>
      </c>
      <c r="CV54" s="1970">
        <v>1697.9900000000007</v>
      </c>
      <c r="CW54" s="1970">
        <v>1501.4690000000001</v>
      </c>
      <c r="CX54" s="1970">
        <v>1478.0569999999998</v>
      </c>
      <c r="CY54" s="1970">
        <v>1392.7039999999997</v>
      </c>
      <c r="CZ54" s="1970">
        <v>2285.8380000000006</v>
      </c>
      <c r="DA54" s="1970">
        <v>1508.52</v>
      </c>
      <c r="DB54" s="1970">
        <v>1469.6689999999999</v>
      </c>
      <c r="DC54" s="1970">
        <v>1544.3890000000006</v>
      </c>
      <c r="DD54" s="1970">
        <v>2523.6389999999997</v>
      </c>
      <c r="DE54" s="1970">
        <v>1518.9760000000001</v>
      </c>
      <c r="DF54" s="2095" t="s">
        <v>1480</v>
      </c>
      <c r="DG54" s="2081"/>
    </row>
    <row r="55" spans="1:111" ht="31.5" customHeight="1">
      <c r="A55" s="2087" t="s">
        <v>1481</v>
      </c>
      <c r="B55" s="2088"/>
      <c r="D55" s="2075">
        <v>-17</v>
      </c>
      <c r="E55" s="2075">
        <v>-137</v>
      </c>
      <c r="F55" s="2075">
        <v>-336</v>
      </c>
      <c r="G55" s="2075">
        <v>-558</v>
      </c>
      <c r="H55" s="1970">
        <v>-170.251</v>
      </c>
      <c r="I55" s="1970">
        <v>-178</v>
      </c>
      <c r="J55" s="1970">
        <v>-130</v>
      </c>
      <c r="K55" s="1970">
        <v>-115</v>
      </c>
      <c r="L55" s="1970">
        <v>-119</v>
      </c>
      <c r="M55" s="1970">
        <v>-127</v>
      </c>
      <c r="N55" s="1970">
        <v>-182</v>
      </c>
      <c r="O55" s="1970">
        <v>-204.476</v>
      </c>
      <c r="P55" s="1970">
        <v>-175</v>
      </c>
      <c r="Q55" s="1970">
        <v>-210</v>
      </c>
      <c r="R55" s="1970">
        <v>-148</v>
      </c>
      <c r="S55" s="1970">
        <v>-190</v>
      </c>
      <c r="T55" s="1970">
        <v>-205</v>
      </c>
      <c r="U55" s="1970">
        <v>-345</v>
      </c>
      <c r="V55" s="1970">
        <v>-319</v>
      </c>
      <c r="W55" s="1970">
        <v>-294</v>
      </c>
      <c r="X55" s="1970">
        <v>-332</v>
      </c>
      <c r="Y55" s="1970">
        <v>-610.11199999999997</v>
      </c>
      <c r="Z55" s="1970">
        <v>-864</v>
      </c>
      <c r="AA55" s="1970">
        <v>-989.72400000000005</v>
      </c>
      <c r="AB55" s="1970">
        <v>-930</v>
      </c>
      <c r="AC55" s="1970">
        <v>-950</v>
      </c>
      <c r="AD55" s="1970">
        <v>-1357.587</v>
      </c>
      <c r="AE55" s="1970">
        <v>-1832</v>
      </c>
      <c r="AF55" s="1970">
        <v>-1792.655</v>
      </c>
      <c r="AG55" s="1970">
        <v>-2195</v>
      </c>
      <c r="AH55" s="1970">
        <v>-2119</v>
      </c>
      <c r="AI55" s="1970">
        <v>-2998</v>
      </c>
      <c r="AJ55" s="1970">
        <v>-2025</v>
      </c>
      <c r="AK55" s="1970">
        <v>-783</v>
      </c>
      <c r="AL55" s="1970">
        <v>-550</v>
      </c>
      <c r="AM55" s="1970">
        <v>-614</v>
      </c>
      <c r="AN55" s="1970">
        <v>-606</v>
      </c>
      <c r="AO55" s="1970">
        <v>-675</v>
      </c>
      <c r="AP55" s="1970">
        <v>-502</v>
      </c>
      <c r="AQ55" s="1970">
        <v>-644</v>
      </c>
      <c r="AR55" s="1970">
        <v>-611</v>
      </c>
      <c r="AS55" s="1970">
        <v>-582</v>
      </c>
      <c r="AT55" s="1970">
        <v>-583</v>
      </c>
      <c r="AU55" s="1970">
        <v>-1011</v>
      </c>
      <c r="AV55" s="1970">
        <v>-718</v>
      </c>
      <c r="AW55" s="1970">
        <v>-694</v>
      </c>
      <c r="AX55" s="1970">
        <v>-712</v>
      </c>
      <c r="AY55" s="1970">
        <v>-875</v>
      </c>
      <c r="AZ55" s="1970">
        <v>-746</v>
      </c>
      <c r="BA55" s="1970">
        <v>-817</v>
      </c>
      <c r="BB55" s="1970">
        <v>-615</v>
      </c>
      <c r="BC55" s="2084">
        <v>-1110</v>
      </c>
      <c r="BD55" s="293">
        <f t="shared" si="17"/>
        <v>-3288</v>
      </c>
      <c r="BE55" s="1970">
        <v>-841</v>
      </c>
      <c r="BF55" s="1970">
        <v>-871</v>
      </c>
      <c r="BG55" s="1970">
        <v>-952</v>
      </c>
      <c r="BH55" s="2084">
        <v>-998</v>
      </c>
      <c r="BI55" s="293">
        <f t="shared" si="3"/>
        <v>-3662</v>
      </c>
      <c r="BJ55" s="1970">
        <v>-970</v>
      </c>
      <c r="BK55" s="1970">
        <v>-826</v>
      </c>
      <c r="BL55" s="1970">
        <v>-858</v>
      </c>
      <c r="BM55" s="1970">
        <v>-982</v>
      </c>
      <c r="BN55" s="291">
        <f t="shared" si="4"/>
        <v>-3636</v>
      </c>
      <c r="BO55" s="1970">
        <v>-829</v>
      </c>
      <c r="BP55" s="1970">
        <v>-830</v>
      </c>
      <c r="BQ55" s="2084">
        <v>-856</v>
      </c>
      <c r="BR55" s="293">
        <f t="shared" si="5"/>
        <v>-2515</v>
      </c>
      <c r="BS55" s="1969">
        <v>-923</v>
      </c>
      <c r="BT55" s="293">
        <f t="shared" si="18"/>
        <v>-3438</v>
      </c>
      <c r="BU55" s="1969">
        <v>-768</v>
      </c>
      <c r="BV55" s="1969">
        <v>-779</v>
      </c>
      <c r="BW55" s="1969">
        <v>-541</v>
      </c>
      <c r="BX55" s="1970">
        <v>-736</v>
      </c>
      <c r="BY55" s="1970">
        <v>-683</v>
      </c>
      <c r="BZ55" s="1970">
        <v>-757</v>
      </c>
      <c r="CA55" s="1970">
        <v>-663</v>
      </c>
      <c r="CB55" s="1970">
        <v>-745</v>
      </c>
      <c r="CC55" s="1970">
        <v>-889</v>
      </c>
      <c r="CD55" s="1970">
        <v>-824</v>
      </c>
      <c r="CE55" s="1970">
        <v>-687</v>
      </c>
      <c r="CF55" s="1970">
        <v>-756</v>
      </c>
      <c r="CG55" s="1970">
        <v>-741</v>
      </c>
      <c r="CH55" s="1970">
        <v>-655</v>
      </c>
      <c r="CI55" s="1970">
        <v>-970</v>
      </c>
      <c r="CJ55" s="1970">
        <v>-856</v>
      </c>
      <c r="CK55" s="1970">
        <v>-1000</v>
      </c>
      <c r="CL55" s="1970">
        <f>-1857-CK55</f>
        <v>-857</v>
      </c>
      <c r="CM55" s="1970">
        <v>-1861</v>
      </c>
      <c r="CN55" s="1970">
        <v>-754</v>
      </c>
      <c r="CO55" s="1970">
        <v>-1280</v>
      </c>
      <c r="CP55" s="1970">
        <v>-1279.473</v>
      </c>
      <c r="CQ55" s="1970">
        <v>-1722.7979999999998</v>
      </c>
      <c r="CR55" s="1970">
        <v>-2677.6930000000002</v>
      </c>
      <c r="CS55" s="1970">
        <v>-2842.0279999999998</v>
      </c>
      <c r="CT55" s="1970">
        <v>-2414.2240000000006</v>
      </c>
      <c r="CU55" s="1970">
        <v>-2981.1989999999987</v>
      </c>
      <c r="CV55" s="1970">
        <v>-2965.0580000000009</v>
      </c>
      <c r="CW55" s="1970">
        <v>-2108.058</v>
      </c>
      <c r="CX55" s="1970">
        <v>-1539.5500000000002</v>
      </c>
      <c r="CY55" s="1970">
        <v>-1463.1559999999999</v>
      </c>
      <c r="CZ55" s="1970">
        <v>-1765.4889999999996</v>
      </c>
      <c r="DA55" s="1970">
        <v>-1867.181</v>
      </c>
      <c r="DB55" s="1970">
        <v>-1485.0940000000001</v>
      </c>
      <c r="DC55" s="1970">
        <v>-1405.9299999999998</v>
      </c>
      <c r="DD55" s="1970">
        <v>-2514.511</v>
      </c>
      <c r="DE55" s="1970">
        <v>-1758.607</v>
      </c>
      <c r="DF55" s="2089" t="s">
        <v>1482</v>
      </c>
      <c r="DG55" s="2081"/>
    </row>
    <row r="56" spans="1:111">
      <c r="A56" s="2087" t="s">
        <v>1483</v>
      </c>
      <c r="B56" s="2096">
        <v>175</v>
      </c>
      <c r="C56" s="2075">
        <v>37</v>
      </c>
      <c r="D56" s="2075">
        <v>64</v>
      </c>
      <c r="E56" s="2075">
        <v>75</v>
      </c>
      <c r="F56" s="2075">
        <v>155</v>
      </c>
      <c r="G56" s="2075">
        <v>100</v>
      </c>
      <c r="H56" s="1970"/>
      <c r="I56" s="1970"/>
      <c r="J56" s="1970">
        <v>5</v>
      </c>
      <c r="K56" s="1970">
        <v>1</v>
      </c>
      <c r="L56" s="1970"/>
      <c r="M56" s="1970"/>
      <c r="N56" s="1970"/>
      <c r="O56" s="1970"/>
      <c r="P56" s="1970"/>
      <c r="Q56" s="1970">
        <v>49</v>
      </c>
      <c r="R56" s="1970"/>
      <c r="S56" s="1970">
        <v>10</v>
      </c>
      <c r="T56" s="1970">
        <v>2</v>
      </c>
      <c r="U56" s="1970"/>
      <c r="V56" s="1970"/>
      <c r="W56" s="1970">
        <v>20</v>
      </c>
      <c r="X56" s="1970"/>
      <c r="Y56" s="1970"/>
      <c r="Z56" s="1970">
        <v>1</v>
      </c>
      <c r="AA56" s="1970"/>
      <c r="AB56" s="1970"/>
      <c r="AC56" s="1970">
        <v>1</v>
      </c>
      <c r="AD56" s="1970">
        <v>16</v>
      </c>
      <c r="AE56" s="1970"/>
      <c r="AF56" s="1970">
        <v>1</v>
      </c>
      <c r="AG56" s="1970">
        <v>40</v>
      </c>
      <c r="AH56" s="1970">
        <v>5</v>
      </c>
      <c r="AI56" s="1970">
        <v>22</v>
      </c>
      <c r="AJ56" s="1970"/>
      <c r="AK56" s="1970"/>
      <c r="AL56" s="1970">
        <v>3</v>
      </c>
      <c r="AM56" s="1970"/>
      <c r="AN56" s="1970"/>
      <c r="AO56" s="1970"/>
      <c r="AP56" s="1970">
        <v>1</v>
      </c>
      <c r="AQ56" s="1970"/>
      <c r="AR56" s="1970"/>
      <c r="AS56" s="1970"/>
      <c r="AT56" s="1970"/>
      <c r="AU56" s="1970">
        <v>2</v>
      </c>
      <c r="AV56" s="1970"/>
      <c r="AW56" s="1970"/>
      <c r="AX56" s="1970">
        <v>20</v>
      </c>
      <c r="AY56" s="1970"/>
      <c r="AZ56" s="1970">
        <v>2</v>
      </c>
      <c r="BA56" s="1970"/>
      <c r="BB56" s="1970"/>
      <c r="BC56" s="2084"/>
      <c r="BD56" s="293">
        <f t="shared" si="17"/>
        <v>2</v>
      </c>
      <c r="BE56" s="1970"/>
      <c r="BF56" s="1970">
        <v>0.04</v>
      </c>
      <c r="BG56" s="1970"/>
      <c r="BH56" s="2084">
        <v>2</v>
      </c>
      <c r="BI56" s="293">
        <f t="shared" si="3"/>
        <v>2.04</v>
      </c>
      <c r="BJ56" s="1970">
        <v>17</v>
      </c>
      <c r="BK56" s="1970"/>
      <c r="BL56" s="1970"/>
      <c r="BM56" s="1970"/>
      <c r="BN56" s="291">
        <f t="shared" si="4"/>
        <v>17</v>
      </c>
      <c r="BO56" s="1970"/>
      <c r="BP56" s="1970">
        <v>2</v>
      </c>
      <c r="BQ56" s="2084"/>
      <c r="BR56" s="293">
        <f t="shared" si="5"/>
        <v>2</v>
      </c>
      <c r="BS56" s="1969"/>
      <c r="BT56" s="293">
        <f t="shared" si="18"/>
        <v>2</v>
      </c>
      <c r="BU56" s="1969"/>
      <c r="BV56" s="1969"/>
      <c r="BW56" s="1969"/>
      <c r="BX56" s="1970"/>
      <c r="BY56" s="1970"/>
      <c r="BZ56" s="1970">
        <v>1</v>
      </c>
      <c r="CA56" s="1970">
        <v>0</v>
      </c>
      <c r="CB56" s="1970">
        <v>0</v>
      </c>
      <c r="CC56" s="1970">
        <v>450</v>
      </c>
      <c r="CD56" s="1970">
        <v>0</v>
      </c>
      <c r="CE56" s="1970">
        <v>0</v>
      </c>
      <c r="CF56" s="1970">
        <v>0</v>
      </c>
      <c r="CG56" s="1970">
        <v>451</v>
      </c>
      <c r="CH56" s="1970">
        <v>0</v>
      </c>
      <c r="CI56" s="1970">
        <v>0</v>
      </c>
      <c r="CJ56" s="1970">
        <v>0</v>
      </c>
      <c r="CK56" s="1970">
        <v>452</v>
      </c>
      <c r="CL56" s="1970">
        <f>452-CK56</f>
        <v>0</v>
      </c>
      <c r="CM56" s="1970">
        <v>0</v>
      </c>
      <c r="CN56" s="1970">
        <v>0</v>
      </c>
      <c r="CO56" s="1970">
        <v>451</v>
      </c>
      <c r="CP56" s="1970">
        <v>1.5989999999999895</v>
      </c>
      <c r="CQ56" s="1970">
        <v>2</v>
      </c>
      <c r="CR56" s="1970">
        <v>2.4279999999999973</v>
      </c>
      <c r="CS56" s="1970">
        <v>450.178</v>
      </c>
      <c r="CT56" s="1970">
        <v>2</v>
      </c>
      <c r="CU56" s="1970">
        <v>0</v>
      </c>
      <c r="CV56" s="1970">
        <v>0</v>
      </c>
      <c r="CW56" s="1970">
        <v>450.18799999999999</v>
      </c>
      <c r="CX56" s="1970">
        <v>0</v>
      </c>
      <c r="CY56" s="1970">
        <v>20.833000000000027</v>
      </c>
      <c r="CZ56" s="1970">
        <v>0</v>
      </c>
      <c r="DA56" s="1970">
        <v>456.404</v>
      </c>
      <c r="DB56" s="1970">
        <v>0</v>
      </c>
      <c r="DC56" s="1970">
        <v>1.3709999999999809</v>
      </c>
      <c r="DD56" s="1970">
        <v>-1.9095836023552692E-14</v>
      </c>
      <c r="DE56" s="1970">
        <v>450.19799999999998</v>
      </c>
      <c r="DF56" s="2095" t="s">
        <v>1484</v>
      </c>
      <c r="DG56" s="2081"/>
    </row>
    <row r="57" spans="1:111">
      <c r="A57" s="2087" t="s">
        <v>1485</v>
      </c>
      <c r="B57" s="2096">
        <v>196</v>
      </c>
      <c r="C57" s="2075">
        <v>484</v>
      </c>
      <c r="D57" s="2075">
        <v>191</v>
      </c>
      <c r="E57" s="2075">
        <v>321</v>
      </c>
      <c r="F57" s="2075">
        <v>399</v>
      </c>
      <c r="G57" s="2075">
        <v>427</v>
      </c>
      <c r="H57" s="1970">
        <v>98.837999999999994</v>
      </c>
      <c r="I57" s="1970">
        <v>47</v>
      </c>
      <c r="J57" s="1970">
        <v>133</v>
      </c>
      <c r="K57" s="1970">
        <v>-14</v>
      </c>
      <c r="L57" s="1970">
        <v>96</v>
      </c>
      <c r="M57" s="1970">
        <v>4</v>
      </c>
      <c r="N57" s="1970">
        <v>-10</v>
      </c>
      <c r="O57" s="1970">
        <v>25</v>
      </c>
      <c r="P57" s="1970">
        <v>6</v>
      </c>
      <c r="Q57" s="1970">
        <v>13</v>
      </c>
      <c r="R57" s="1970">
        <v>18</v>
      </c>
      <c r="S57" s="1970">
        <v>19</v>
      </c>
      <c r="T57" s="1970">
        <v>783</v>
      </c>
      <c r="U57" s="1970">
        <v>-153</v>
      </c>
      <c r="V57" s="1970">
        <v>217</v>
      </c>
      <c r="W57" s="1970">
        <v>81</v>
      </c>
      <c r="X57" s="1970">
        <v>371</v>
      </c>
      <c r="Y57" s="1970">
        <v>584</v>
      </c>
      <c r="Z57" s="1970">
        <v>115</v>
      </c>
      <c r="AA57" s="1970">
        <v>-66.715000000000003</v>
      </c>
      <c r="AB57" s="1970">
        <v>104</v>
      </c>
      <c r="AC57" s="1970">
        <v>123</v>
      </c>
      <c r="AD57" s="1970">
        <v>174</v>
      </c>
      <c r="AE57" s="1970">
        <v>198</v>
      </c>
      <c r="AF57" s="1970">
        <v>55</v>
      </c>
      <c r="AG57" s="1970">
        <v>1011</v>
      </c>
      <c r="AH57" s="1970">
        <v>365</v>
      </c>
      <c r="AI57" s="1970">
        <v>-508</v>
      </c>
      <c r="AJ57" s="1970">
        <v>427</v>
      </c>
      <c r="AK57" s="1970">
        <v>191</v>
      </c>
      <c r="AL57" s="1970">
        <v>899</v>
      </c>
      <c r="AM57" s="1970">
        <v>294</v>
      </c>
      <c r="AN57" s="1970">
        <v>-186</v>
      </c>
      <c r="AO57" s="1970">
        <v>-118</v>
      </c>
      <c r="AP57" s="1970">
        <v>-325</v>
      </c>
      <c r="AQ57" s="1970">
        <v>192</v>
      </c>
      <c r="AR57" s="1970">
        <v>591</v>
      </c>
      <c r="AS57" s="1970">
        <v>39</v>
      </c>
      <c r="AT57" s="1970">
        <v>538</v>
      </c>
      <c r="AU57" s="1970">
        <v>662</v>
      </c>
      <c r="AV57" s="1970">
        <v>667</v>
      </c>
      <c r="AW57" s="1970">
        <v>114.474</v>
      </c>
      <c r="AX57" s="1970">
        <v>322</v>
      </c>
      <c r="AY57" s="1970">
        <v>231</v>
      </c>
      <c r="AZ57" s="1970">
        <v>756</v>
      </c>
      <c r="BA57" s="1970">
        <v>-168</v>
      </c>
      <c r="BB57" s="1970">
        <v>846</v>
      </c>
      <c r="BC57" s="2084">
        <v>333</v>
      </c>
      <c r="BD57" s="293">
        <f t="shared" si="17"/>
        <v>1767</v>
      </c>
      <c r="BE57" s="1970">
        <v>765</v>
      </c>
      <c r="BF57" s="1970">
        <v>283</v>
      </c>
      <c r="BG57" s="1970">
        <v>687</v>
      </c>
      <c r="BH57" s="2084">
        <v>916</v>
      </c>
      <c r="BI57" s="293">
        <f>SUM(BE57:BH57)</f>
        <v>2651</v>
      </c>
      <c r="BJ57" s="1970">
        <v>1879</v>
      </c>
      <c r="BK57" s="1970">
        <v>585</v>
      </c>
      <c r="BL57" s="1970">
        <v>327</v>
      </c>
      <c r="BM57" s="1970">
        <v>1052</v>
      </c>
      <c r="BN57" s="291">
        <f t="shared" si="4"/>
        <v>3843</v>
      </c>
      <c r="BO57" s="1970">
        <v>936</v>
      </c>
      <c r="BP57" s="1970">
        <v>-417</v>
      </c>
      <c r="BQ57" s="2084">
        <v>-591</v>
      </c>
      <c r="BR57" s="293">
        <f t="shared" si="5"/>
        <v>-72</v>
      </c>
      <c r="BS57" s="1969">
        <v>720</v>
      </c>
      <c r="BT57" s="293">
        <f t="shared" si="18"/>
        <v>648</v>
      </c>
      <c r="BU57" s="1969">
        <v>198</v>
      </c>
      <c r="BV57" s="1969">
        <v>-452</v>
      </c>
      <c r="BW57" s="1969">
        <v>-489</v>
      </c>
      <c r="BX57" s="1970">
        <v>727</v>
      </c>
      <c r="BY57" s="1970">
        <v>1714</v>
      </c>
      <c r="BZ57" s="1970">
        <v>340</v>
      </c>
      <c r="CA57" s="1970">
        <v>282</v>
      </c>
      <c r="CB57" s="1970">
        <v>15</v>
      </c>
      <c r="CC57" s="1970">
        <v>-56</v>
      </c>
      <c r="CD57" s="1970">
        <v>176</v>
      </c>
      <c r="CE57" s="1970">
        <v>-222</v>
      </c>
      <c r="CF57" s="1970">
        <v>294</v>
      </c>
      <c r="CG57" s="1970">
        <v>521</v>
      </c>
      <c r="CH57" s="1970">
        <v>-657</v>
      </c>
      <c r="CI57" s="1970">
        <v>-369</v>
      </c>
      <c r="CJ57" s="1970">
        <v>387</v>
      </c>
      <c r="CK57" s="1970">
        <v>-507</v>
      </c>
      <c r="CL57" s="1970">
        <f>-848-CK57</f>
        <v>-341</v>
      </c>
      <c r="CM57" s="1970">
        <v>-870</v>
      </c>
      <c r="CN57" s="1970">
        <v>43</v>
      </c>
      <c r="CO57" s="1970">
        <v>-33</v>
      </c>
      <c r="CP57" s="1970">
        <v>-378.64699999999999</v>
      </c>
      <c r="CQ57" s="1970">
        <v>-142.684</v>
      </c>
      <c r="CR57" s="1970">
        <v>-227.05499999999995</v>
      </c>
      <c r="CS57" s="1970">
        <v>230.99100000000001</v>
      </c>
      <c r="CT57" s="1970">
        <v>-569.27200000000005</v>
      </c>
      <c r="CU57" s="1970">
        <v>-303.05299999999994</v>
      </c>
      <c r="CV57" s="1970">
        <v>410.24999999999994</v>
      </c>
      <c r="CW57" s="1970">
        <v>340.654</v>
      </c>
      <c r="CX57" s="1970">
        <v>375.82100000000003</v>
      </c>
      <c r="CY57" s="1970">
        <v>-395.351</v>
      </c>
      <c r="CZ57" s="1970">
        <v>-1604.3489999999999</v>
      </c>
      <c r="DA57" s="1970">
        <v>-2156.1480000000001</v>
      </c>
      <c r="DB57" s="1970">
        <v>-7.03600000000006</v>
      </c>
      <c r="DC57" s="1970">
        <v>-238.56799999999976</v>
      </c>
      <c r="DD57" s="1970">
        <v>-123.04199999999997</v>
      </c>
      <c r="DE57" s="1970">
        <v>-255.66499999999999</v>
      </c>
      <c r="DF57" s="2085" t="s">
        <v>1486</v>
      </c>
      <c r="DG57" s="2081"/>
    </row>
    <row r="58" spans="1:111" ht="16.5" customHeight="1">
      <c r="A58" s="2097" t="s">
        <v>3544</v>
      </c>
      <c r="B58" s="2096">
        <v>62</v>
      </c>
      <c r="C58" s="2075">
        <v>29</v>
      </c>
      <c r="D58" s="2075">
        <v>-45</v>
      </c>
      <c r="E58" s="2075">
        <v>-20</v>
      </c>
      <c r="F58" s="2075"/>
      <c r="G58" s="2075"/>
      <c r="H58" s="1970"/>
      <c r="I58" s="1970"/>
      <c r="J58" s="1970"/>
      <c r="K58" s="1970"/>
      <c r="L58" s="1970"/>
      <c r="M58" s="1970">
        <v>-43</v>
      </c>
      <c r="N58" s="1970">
        <v>-20</v>
      </c>
      <c r="O58" s="1970">
        <v>-52</v>
      </c>
      <c r="P58" s="1970">
        <v>-58</v>
      </c>
      <c r="Q58" s="1970">
        <v>-4</v>
      </c>
      <c r="R58" s="1970">
        <v>-42</v>
      </c>
      <c r="S58" s="1970">
        <v>-33</v>
      </c>
      <c r="T58" s="1970">
        <v>-29</v>
      </c>
      <c r="U58" s="1970">
        <v>-6</v>
      </c>
      <c r="V58" s="1970">
        <v>88</v>
      </c>
      <c r="W58" s="1970">
        <v>-109</v>
      </c>
      <c r="X58" s="1970">
        <v>-27</v>
      </c>
      <c r="Y58" s="1970">
        <v>-28</v>
      </c>
      <c r="Z58" s="1970">
        <v>-13</v>
      </c>
      <c r="AA58" s="1970">
        <v>-18</v>
      </c>
      <c r="AB58" s="1970">
        <v>-100</v>
      </c>
      <c r="AC58" s="1970">
        <v>3</v>
      </c>
      <c r="AD58" s="1970">
        <v>-57</v>
      </c>
      <c r="AE58" s="1970">
        <v>-173</v>
      </c>
      <c r="AF58" s="1970">
        <v>-116</v>
      </c>
      <c r="AG58" s="1970">
        <v>-55</v>
      </c>
      <c r="AH58" s="1970">
        <v>-111</v>
      </c>
      <c r="AI58" s="1970">
        <v>-72</v>
      </c>
      <c r="AJ58" s="1970">
        <v>-30</v>
      </c>
      <c r="AK58" s="1970">
        <v>-451</v>
      </c>
      <c r="AL58" s="1970">
        <v>-324</v>
      </c>
      <c r="AM58" s="1970">
        <v>-962</v>
      </c>
      <c r="AN58" s="1970">
        <v>-857</v>
      </c>
      <c r="AO58" s="1970">
        <v>-151</v>
      </c>
      <c r="AP58" s="1970">
        <v>-428</v>
      </c>
      <c r="AQ58" s="1970">
        <v>-261</v>
      </c>
      <c r="AR58" s="1970">
        <v>-133</v>
      </c>
      <c r="AS58" s="1970">
        <v>-505</v>
      </c>
      <c r="AT58" s="1970">
        <v>-400</v>
      </c>
      <c r="AU58" s="1970">
        <v>76</v>
      </c>
      <c r="AV58" s="1970">
        <v>78</v>
      </c>
      <c r="AW58" s="1970">
        <v>107</v>
      </c>
      <c r="AX58" s="1970">
        <v>-669</v>
      </c>
      <c r="AY58" s="1970">
        <v>-278</v>
      </c>
      <c r="AZ58" s="1970">
        <v>-455</v>
      </c>
      <c r="BA58" s="1970">
        <v>669</v>
      </c>
      <c r="BB58" s="1970">
        <v>-1807</v>
      </c>
      <c r="BC58" s="2084">
        <v>-233</v>
      </c>
      <c r="BD58" s="293">
        <f t="shared" si="17"/>
        <v>-1826</v>
      </c>
      <c r="BE58" s="1970">
        <v>259</v>
      </c>
      <c r="BF58" s="1970">
        <v>-1104</v>
      </c>
      <c r="BG58" s="1970">
        <v>-59</v>
      </c>
      <c r="BH58" s="2084">
        <v>-1071</v>
      </c>
      <c r="BI58" s="293">
        <f t="shared" si="3"/>
        <v>-1975</v>
      </c>
      <c r="BJ58" s="1970">
        <v>61</v>
      </c>
      <c r="BK58" s="1970">
        <v>-574</v>
      </c>
      <c r="BL58" s="1970">
        <v>-1281</v>
      </c>
      <c r="BM58" s="1970">
        <v>-1017</v>
      </c>
      <c r="BN58" s="291">
        <f t="shared" si="4"/>
        <v>-2811</v>
      </c>
      <c r="BO58" s="1970">
        <v>-284</v>
      </c>
      <c r="BP58" s="1970">
        <v>185</v>
      </c>
      <c r="BQ58" s="2084">
        <v>-2701</v>
      </c>
      <c r="BR58" s="293">
        <f t="shared" si="5"/>
        <v>-2800</v>
      </c>
      <c r="BS58" s="1969">
        <v>763</v>
      </c>
      <c r="BT58" s="293">
        <f t="shared" si="18"/>
        <v>-2037</v>
      </c>
      <c r="BU58" s="1969">
        <v>1197</v>
      </c>
      <c r="BV58" s="1969">
        <v>572</v>
      </c>
      <c r="BW58" s="1969">
        <v>167</v>
      </c>
      <c r="BX58" s="1970">
        <v>1689</v>
      </c>
      <c r="BY58" s="1970">
        <v>-225</v>
      </c>
      <c r="BZ58" s="1970">
        <v>472</v>
      </c>
      <c r="CA58" s="1970">
        <v>513</v>
      </c>
      <c r="CB58" s="1970">
        <v>-373</v>
      </c>
      <c r="CC58" s="1970">
        <v>203</v>
      </c>
      <c r="CD58" s="1970">
        <v>482</v>
      </c>
      <c r="CE58" s="1970">
        <v>354</v>
      </c>
      <c r="CF58" s="1970">
        <v>-393</v>
      </c>
      <c r="CG58" s="1970">
        <v>633</v>
      </c>
      <c r="CH58" s="1970">
        <v>-117</v>
      </c>
      <c r="CI58" s="1970">
        <v>-8</v>
      </c>
      <c r="CJ58" s="1970">
        <v>154</v>
      </c>
      <c r="CK58" s="1970">
        <v>-596</v>
      </c>
      <c r="CL58" s="1970">
        <f>-599-CK58</f>
        <v>-3</v>
      </c>
      <c r="CM58" s="1970">
        <v>1117</v>
      </c>
      <c r="CN58" s="1970">
        <v>130</v>
      </c>
      <c r="CO58" s="1970">
        <v>-317</v>
      </c>
      <c r="CP58" s="1970">
        <v>282.77200000000005</v>
      </c>
      <c r="CQ58" s="1970">
        <v>-6.0850000000000009</v>
      </c>
      <c r="CR58" s="1970">
        <v>-113.446</v>
      </c>
      <c r="CS58" s="1970">
        <v>-1184.44</v>
      </c>
      <c r="CT58" s="1970">
        <v>785.20100000000002</v>
      </c>
      <c r="CU58" s="1970">
        <v>-111.72400000000005</v>
      </c>
      <c r="CV58" s="1970">
        <v>-1106.8</v>
      </c>
      <c r="CW58" s="1970">
        <v>-1228.4259999999999</v>
      </c>
      <c r="CX58" s="1970">
        <v>817.0329999999999</v>
      </c>
      <c r="CY58" s="1970">
        <v>-250.79500000000002</v>
      </c>
      <c r="CZ58" s="1970">
        <v>1982.7950000000001</v>
      </c>
      <c r="DA58" s="1970">
        <v>-18.594000000000001</v>
      </c>
      <c r="DB58" s="1970">
        <v>250.25799999999998</v>
      </c>
      <c r="DC58" s="1970">
        <v>-432.35899999999998</v>
      </c>
      <c r="DD58" s="1970">
        <v>94.008999999999958</v>
      </c>
      <c r="DE58" s="1970">
        <v>-330.495</v>
      </c>
      <c r="DF58" s="2095" t="s">
        <v>1153</v>
      </c>
      <c r="DG58" s="2081"/>
    </row>
    <row r="59" spans="1:111" ht="25.5">
      <c r="A59" s="2087" t="s">
        <v>1487</v>
      </c>
      <c r="B59" s="2096">
        <v>162</v>
      </c>
      <c r="C59" s="2075">
        <v>-7</v>
      </c>
      <c r="D59" s="2075">
        <v>244</v>
      </c>
      <c r="E59" s="2075">
        <v>-19</v>
      </c>
      <c r="F59" s="2075">
        <v>228</v>
      </c>
      <c r="G59" s="2075">
        <v>274</v>
      </c>
      <c r="H59" s="1970">
        <v>30</v>
      </c>
      <c r="I59" s="1970">
        <v>39</v>
      </c>
      <c r="J59" s="1970">
        <v>160</v>
      </c>
      <c r="K59" s="1970">
        <v>37</v>
      </c>
      <c r="L59" s="1970">
        <v>71</v>
      </c>
      <c r="M59" s="1970">
        <v>52</v>
      </c>
      <c r="N59" s="1970">
        <v>41</v>
      </c>
      <c r="O59" s="1970">
        <v>32</v>
      </c>
      <c r="P59" s="1970">
        <v>-8</v>
      </c>
      <c r="Q59" s="1970">
        <v>111</v>
      </c>
      <c r="R59" s="1970">
        <v>22.4</v>
      </c>
      <c r="S59" s="1970">
        <v>79</v>
      </c>
      <c r="T59" s="1970">
        <v>7</v>
      </c>
      <c r="U59" s="1970">
        <v>88</v>
      </c>
      <c r="V59" s="1970">
        <v>105</v>
      </c>
      <c r="W59" s="1970">
        <v>185</v>
      </c>
      <c r="X59" s="1970">
        <v>-42</v>
      </c>
      <c r="Y59" s="1970">
        <v>214</v>
      </c>
      <c r="Z59" s="1970">
        <v>247</v>
      </c>
      <c r="AA59" s="1970">
        <v>189</v>
      </c>
      <c r="AB59" s="1970">
        <v>31</v>
      </c>
      <c r="AC59" s="1970">
        <v>509</v>
      </c>
      <c r="AD59" s="1970">
        <v>604.16</v>
      </c>
      <c r="AE59" s="1970">
        <v>572.59</v>
      </c>
      <c r="AF59" s="1970">
        <v>442</v>
      </c>
      <c r="AG59" s="1970">
        <v>907.74</v>
      </c>
      <c r="AH59" s="1970">
        <v>784</v>
      </c>
      <c r="AI59" s="1970">
        <v>764</v>
      </c>
      <c r="AJ59" s="1970">
        <v>1761</v>
      </c>
      <c r="AK59" s="1970">
        <v>4289</v>
      </c>
      <c r="AL59" s="1970">
        <v>4762.84</v>
      </c>
      <c r="AM59" s="1970">
        <v>1237</v>
      </c>
      <c r="AN59" s="1970">
        <v>-2043</v>
      </c>
      <c r="AO59" s="1970">
        <v>1559.7429999999999</v>
      </c>
      <c r="AP59" s="1970">
        <v>1417</v>
      </c>
      <c r="AQ59" s="1970">
        <v>1757</v>
      </c>
      <c r="AR59" s="1970">
        <v>2573</v>
      </c>
      <c r="AS59" s="1970">
        <v>2434</v>
      </c>
      <c r="AT59" s="1970">
        <v>3297.72</v>
      </c>
      <c r="AU59" s="1970">
        <v>2157</v>
      </c>
      <c r="AV59" s="1970">
        <v>3094</v>
      </c>
      <c r="AW59" s="1970">
        <v>4456</v>
      </c>
      <c r="AX59" s="1970">
        <v>2884</v>
      </c>
      <c r="AY59" s="1970">
        <v>1923</v>
      </c>
      <c r="AZ59" s="1970">
        <v>2418</v>
      </c>
      <c r="BA59" s="1970">
        <v>1506</v>
      </c>
      <c r="BB59" s="1970">
        <v>554</v>
      </c>
      <c r="BC59" s="2084">
        <v>477</v>
      </c>
      <c r="BD59" s="293">
        <f t="shared" si="17"/>
        <v>4955</v>
      </c>
      <c r="BE59" s="1970">
        <v>1674</v>
      </c>
      <c r="BF59" s="1970">
        <v>645</v>
      </c>
      <c r="BG59" s="1970">
        <v>972</v>
      </c>
      <c r="BH59" s="2084">
        <v>550</v>
      </c>
      <c r="BI59" s="293">
        <f t="shared" si="3"/>
        <v>3841</v>
      </c>
      <c r="BJ59" s="1970">
        <v>2782</v>
      </c>
      <c r="BK59" s="1970">
        <v>1589</v>
      </c>
      <c r="BL59" s="1970">
        <v>1016</v>
      </c>
      <c r="BM59" s="1970">
        <v>-1193</v>
      </c>
      <c r="BN59" s="291">
        <f t="shared" si="4"/>
        <v>4194</v>
      </c>
      <c r="BO59" s="1970">
        <v>-4591</v>
      </c>
      <c r="BP59" s="1970">
        <v>-1719</v>
      </c>
      <c r="BQ59" s="2084">
        <v>-2832</v>
      </c>
      <c r="BR59" s="293">
        <f t="shared" si="5"/>
        <v>-9142</v>
      </c>
      <c r="BS59" s="1969">
        <v>-2188</v>
      </c>
      <c r="BT59" s="293">
        <f t="shared" si="18"/>
        <v>-11330</v>
      </c>
      <c r="BU59" s="1969">
        <v>-1271</v>
      </c>
      <c r="BV59" s="1969">
        <v>18</v>
      </c>
      <c r="BW59" s="1969">
        <v>62</v>
      </c>
      <c r="BX59" s="1970">
        <v>651</v>
      </c>
      <c r="BY59" s="1970">
        <v>464</v>
      </c>
      <c r="BZ59" s="1970">
        <v>967</v>
      </c>
      <c r="CA59" s="1970">
        <v>771</v>
      </c>
      <c r="CB59" s="1970">
        <v>-231</v>
      </c>
      <c r="CC59" s="1970">
        <v>1296</v>
      </c>
      <c r="CD59" s="1970">
        <v>1123</v>
      </c>
      <c r="CE59" s="1970">
        <v>1246</v>
      </c>
      <c r="CF59" s="1970">
        <v>-157</v>
      </c>
      <c r="CG59" s="1970">
        <v>2019</v>
      </c>
      <c r="CH59" s="1970">
        <v>1616</v>
      </c>
      <c r="CI59" s="1970">
        <v>532</v>
      </c>
      <c r="CJ59" s="1970">
        <v>976</v>
      </c>
      <c r="CK59" s="1970">
        <v>-1344</v>
      </c>
      <c r="CL59" s="1970">
        <f>-958-CK59</f>
        <v>386</v>
      </c>
      <c r="CM59" s="1970">
        <v>-846</v>
      </c>
      <c r="CN59" s="1970">
        <v>-184</v>
      </c>
      <c r="CO59" s="1970">
        <v>326</v>
      </c>
      <c r="CP59" s="1970">
        <v>935.39099999999996</v>
      </c>
      <c r="CQ59" s="1970">
        <v>1175.681</v>
      </c>
      <c r="CR59" s="1970">
        <v>644.37699999999995</v>
      </c>
      <c r="CS59" s="1970">
        <v>1572.3810000000001</v>
      </c>
      <c r="CT59" s="1970">
        <v>3061.134</v>
      </c>
      <c r="CU59" s="1970">
        <v>2972.8519999999999</v>
      </c>
      <c r="CV59" s="1970">
        <v>1768.7899999999991</v>
      </c>
      <c r="CW59" s="1970">
        <v>3453.7730000000001</v>
      </c>
      <c r="CX59" s="1970">
        <v>1791.2659999999996</v>
      </c>
      <c r="CY59" s="1970">
        <v>1156.9620000000004</v>
      </c>
      <c r="CZ59" s="1970">
        <v>-1045.6400000000003</v>
      </c>
      <c r="DA59" s="1970">
        <v>115.976</v>
      </c>
      <c r="DB59" s="1970">
        <v>532.09199999999998</v>
      </c>
      <c r="DC59" s="1970">
        <v>-466.45399999999995</v>
      </c>
      <c r="DD59" s="1970">
        <v>-619.77200000000016</v>
      </c>
      <c r="DE59" s="1970">
        <v>-413.03899999999999</v>
      </c>
      <c r="DF59" s="2085" t="s">
        <v>1488</v>
      </c>
      <c r="DG59" s="2081"/>
    </row>
    <row r="60" spans="1:111" ht="4.5" customHeight="1">
      <c r="A60" s="2087"/>
      <c r="B60" s="2096"/>
      <c r="C60" s="2075"/>
      <c r="D60" s="2075"/>
      <c r="E60" s="2075"/>
      <c r="F60" s="2075"/>
      <c r="G60" s="2075"/>
      <c r="H60" s="2098"/>
      <c r="I60" s="2099"/>
      <c r="J60" s="2100"/>
      <c r="K60" s="2098"/>
      <c r="L60" s="2098"/>
      <c r="M60" s="2099"/>
      <c r="N60" s="2100"/>
      <c r="O60" s="2098"/>
      <c r="P60" s="2098"/>
      <c r="Q60" s="2099"/>
      <c r="R60" s="2100"/>
      <c r="S60" s="2098"/>
      <c r="T60" s="2098"/>
      <c r="U60" s="2099"/>
      <c r="V60" s="2100"/>
      <c r="W60" s="2098"/>
      <c r="X60" s="2098"/>
      <c r="Y60" s="2099"/>
      <c r="Z60" s="2100"/>
      <c r="AA60" s="2098"/>
      <c r="AB60" s="2100"/>
      <c r="AC60" s="2098"/>
      <c r="AD60" s="2100"/>
      <c r="AE60" s="2098"/>
      <c r="AF60" s="2098"/>
      <c r="AG60" s="2098"/>
      <c r="AH60" s="2100"/>
      <c r="AI60" s="2098"/>
      <c r="AJ60" s="2098"/>
      <c r="AK60" s="2098"/>
      <c r="AL60" s="2100"/>
      <c r="AM60" s="2098"/>
      <c r="AN60" s="2098"/>
      <c r="AO60" s="2098"/>
      <c r="AP60" s="2100"/>
      <c r="AQ60" s="2098"/>
      <c r="AR60" s="2098"/>
      <c r="AS60" s="2098"/>
      <c r="AT60" s="2098"/>
      <c r="AU60" s="2098"/>
      <c r="AV60" s="2098"/>
      <c r="AW60" s="2098"/>
      <c r="AX60" s="2098"/>
      <c r="AY60" s="2098"/>
      <c r="AZ60" s="2098"/>
      <c r="BA60" s="2098"/>
      <c r="BB60" s="2098"/>
      <c r="BC60" s="2101"/>
      <c r="BD60" s="293"/>
      <c r="BE60" s="2098"/>
      <c r="BF60" s="2098"/>
      <c r="BG60" s="2098"/>
      <c r="BH60" s="2101"/>
      <c r="BI60" s="293"/>
      <c r="BJ60" s="2098"/>
      <c r="BK60" s="2098"/>
      <c r="BL60" s="2098"/>
      <c r="BM60" s="2098"/>
      <c r="BN60" s="291"/>
      <c r="BO60" s="2098"/>
      <c r="BP60" s="2098"/>
      <c r="BQ60" s="2101"/>
      <c r="BR60" s="293">
        <f t="shared" si="5"/>
        <v>0</v>
      </c>
      <c r="BS60" s="1969"/>
      <c r="BT60" s="293">
        <f t="shared" si="18"/>
        <v>0</v>
      </c>
      <c r="BU60" s="1969"/>
      <c r="BV60" s="1969"/>
      <c r="BW60" s="1969"/>
      <c r="BX60" s="1970"/>
      <c r="BY60" s="1970"/>
      <c r="BZ60" s="1970"/>
      <c r="CA60" s="1970"/>
      <c r="CB60" s="1970"/>
      <c r="CC60" s="1970"/>
      <c r="CD60" s="1970"/>
      <c r="CE60" s="1970"/>
      <c r="CF60" s="1970"/>
      <c r="CG60" s="1970"/>
      <c r="CH60" s="1970"/>
      <c r="CI60" s="1970"/>
      <c r="CJ60" s="1970"/>
      <c r="CK60" s="1970"/>
      <c r="CL60" s="1970"/>
      <c r="CM60" s="1970"/>
      <c r="CN60" s="1970"/>
      <c r="CO60" s="1970"/>
      <c r="CP60" s="1970"/>
      <c r="CQ60" s="1970"/>
      <c r="CR60" s="1970"/>
      <c r="CS60" s="1970"/>
      <c r="CT60" s="1970"/>
      <c r="CU60" s="1970"/>
      <c r="CV60" s="1970"/>
      <c r="CW60" s="1970"/>
      <c r="CX60" s="1970"/>
      <c r="CY60" s="1970"/>
      <c r="CZ60" s="1970"/>
      <c r="DA60" s="1970"/>
      <c r="DB60" s="1970"/>
      <c r="DC60" s="1970"/>
      <c r="DD60" s="1970"/>
      <c r="DE60" s="1970"/>
      <c r="DF60" s="2085"/>
      <c r="DG60" s="2081"/>
    </row>
    <row r="61" spans="1:111">
      <c r="A61" s="2102" t="s">
        <v>94</v>
      </c>
      <c r="B61" s="1971">
        <v>0</v>
      </c>
      <c r="C61" s="1971">
        <v>0</v>
      </c>
      <c r="D61" s="1971">
        <v>0</v>
      </c>
      <c r="E61" s="1971">
        <v>0</v>
      </c>
      <c r="F61" s="1971">
        <v>0</v>
      </c>
      <c r="G61" s="1971">
        <v>0</v>
      </c>
      <c r="H61" s="1971">
        <v>0.45400000000000773</v>
      </c>
      <c r="I61" s="1971">
        <v>-0.30799999999999272</v>
      </c>
      <c r="J61" s="1971">
        <v>-0.41399999999998727</v>
      </c>
      <c r="K61" s="1971">
        <v>0</v>
      </c>
      <c r="L61" s="1971">
        <v>-0.12700000000000955</v>
      </c>
      <c r="M61" s="1971">
        <v>0</v>
      </c>
      <c r="N61" s="1971">
        <v>0</v>
      </c>
      <c r="O61" s="1971">
        <v>0.46299999999999386</v>
      </c>
      <c r="P61" s="1971">
        <v>-0.31300000000004502</v>
      </c>
      <c r="Q61" s="1971">
        <v>-0.43099999999998317</v>
      </c>
      <c r="R61" s="1971">
        <v>7.9000000000043258E-2</v>
      </c>
      <c r="S61" s="1971">
        <v>0</v>
      </c>
      <c r="T61" s="1971">
        <v>-0.28999999999996362</v>
      </c>
      <c r="U61" s="1971">
        <v>-0.18200000000013006</v>
      </c>
      <c r="V61" s="1971">
        <v>-0.36000000000012733</v>
      </c>
      <c r="W61" s="1971">
        <v>-0.375</v>
      </c>
      <c r="X61" s="1971">
        <v>0</v>
      </c>
      <c r="Y61" s="1971">
        <v>-1.8999999999948614E-2</v>
      </c>
      <c r="Z61" s="1971">
        <v>0</v>
      </c>
      <c r="AA61" s="1971">
        <v>-0.43900000000007822</v>
      </c>
      <c r="AB61" s="1971">
        <v>-0.43699999999989814</v>
      </c>
      <c r="AC61" s="1971">
        <v>0.33999999999991815</v>
      </c>
      <c r="AD61" s="1971">
        <v>0.20400000000006457</v>
      </c>
      <c r="AE61" s="1971">
        <v>-0.16800000000023374</v>
      </c>
      <c r="AF61" s="1971">
        <v>-0.2729999999996835</v>
      </c>
      <c r="AG61" s="1971">
        <v>-0.35799999999926513</v>
      </c>
      <c r="AH61" s="1971">
        <v>0</v>
      </c>
      <c r="AI61" s="1971">
        <v>0</v>
      </c>
      <c r="AJ61" s="1971">
        <v>0</v>
      </c>
      <c r="AK61" s="1971">
        <v>-0.25800000000072032</v>
      </c>
      <c r="AL61" s="1971">
        <v>0.18300000000090222</v>
      </c>
      <c r="AM61" s="1971">
        <v>0</v>
      </c>
      <c r="AN61" s="1971">
        <v>0.35100000000011278</v>
      </c>
      <c r="AO61" s="1971">
        <v>-0.23199999999951615</v>
      </c>
      <c r="AP61" s="1971">
        <v>0.45100000000002183</v>
      </c>
      <c r="AQ61" s="1971">
        <v>0.38699999999971624</v>
      </c>
      <c r="AR61" s="1971">
        <v>-0.45499999999992724</v>
      </c>
      <c r="AS61" s="1971">
        <v>0.4090000000001055</v>
      </c>
      <c r="AT61" s="1971">
        <v>7.8000000000429281E-2</v>
      </c>
      <c r="AU61" s="1971">
        <v>0.38500000000021828</v>
      </c>
      <c r="AV61" s="1971">
        <v>0.13500000000021828</v>
      </c>
      <c r="AW61" s="1971">
        <v>0.29200000000128057</v>
      </c>
      <c r="AX61" s="1971">
        <v>0</v>
      </c>
      <c r="AY61" s="1971">
        <v>0</v>
      </c>
      <c r="AZ61" s="1971">
        <f t="shared" ref="AZ61:BM61" si="19">AZ7+AZ45-AZ47+AZ58-AZ59</f>
        <v>0</v>
      </c>
      <c r="BA61" s="1971">
        <f t="shared" si="19"/>
        <v>0</v>
      </c>
      <c r="BB61" s="1971">
        <f t="shared" si="19"/>
        <v>0</v>
      </c>
      <c r="BC61" s="1971">
        <f t="shared" si="19"/>
        <v>0</v>
      </c>
      <c r="BD61" s="295">
        <f t="shared" si="19"/>
        <v>0</v>
      </c>
      <c r="BE61" s="1971">
        <v>0</v>
      </c>
      <c r="BF61" s="1971">
        <v>3.999999999996362E-2</v>
      </c>
      <c r="BG61" s="1971">
        <v>0</v>
      </c>
      <c r="BH61" s="1971">
        <v>0</v>
      </c>
      <c r="BI61" s="295">
        <f t="shared" si="19"/>
        <v>3.999999999996362E-2</v>
      </c>
      <c r="BJ61" s="1971">
        <f t="shared" si="19"/>
        <v>0</v>
      </c>
      <c r="BK61" s="1971">
        <f t="shared" si="19"/>
        <v>0</v>
      </c>
      <c r="BL61" s="1971">
        <f t="shared" si="19"/>
        <v>0</v>
      </c>
      <c r="BM61" s="1971">
        <f t="shared" si="19"/>
        <v>0</v>
      </c>
      <c r="BN61" s="291">
        <f>SUM(BJ61:BM61)</f>
        <v>0</v>
      </c>
      <c r="BO61" s="1971">
        <f t="shared" ref="BO61:CE61" si="20">BO7+BO45-BO47+BO58-BO59</f>
        <v>0</v>
      </c>
      <c r="BP61" s="1971">
        <f t="shared" si="20"/>
        <v>0</v>
      </c>
      <c r="BQ61" s="2103">
        <f t="shared" si="20"/>
        <v>0</v>
      </c>
      <c r="BR61" s="296">
        <f t="shared" si="20"/>
        <v>0</v>
      </c>
      <c r="BS61" s="2104">
        <f t="shared" si="20"/>
        <v>0</v>
      </c>
      <c r="BT61" s="297">
        <f t="shared" si="20"/>
        <v>0</v>
      </c>
      <c r="BU61" s="2104">
        <f t="shared" si="20"/>
        <v>0</v>
      </c>
      <c r="BV61" s="2104">
        <f t="shared" si="20"/>
        <v>0</v>
      </c>
      <c r="BW61" s="2104">
        <f t="shared" si="20"/>
        <v>0</v>
      </c>
      <c r="BX61" s="1971">
        <f t="shared" si="20"/>
        <v>0</v>
      </c>
      <c r="BY61" s="1971">
        <f t="shared" si="20"/>
        <v>0</v>
      </c>
      <c r="BZ61" s="1971">
        <f t="shared" si="20"/>
        <v>0</v>
      </c>
      <c r="CA61" s="1971">
        <f t="shared" si="20"/>
        <v>0</v>
      </c>
      <c r="CB61" s="1971">
        <f t="shared" si="20"/>
        <v>0</v>
      </c>
      <c r="CC61" s="1971">
        <f t="shared" si="20"/>
        <v>0</v>
      </c>
      <c r="CD61" s="1971">
        <f t="shared" si="20"/>
        <v>0</v>
      </c>
      <c r="CE61" s="1971">
        <f t="shared" si="20"/>
        <v>0</v>
      </c>
      <c r="CF61" s="1971">
        <f>CF7+CF45-CF47+CF58-CF59</f>
        <v>0</v>
      </c>
      <c r="CG61" s="1971">
        <v>0</v>
      </c>
      <c r="CH61" s="1971">
        <v>0</v>
      </c>
      <c r="CI61" s="1971">
        <v>0</v>
      </c>
      <c r="CJ61" s="1971">
        <v>0</v>
      </c>
      <c r="CK61" s="1971">
        <v>0</v>
      </c>
      <c r="CL61" s="1971">
        <f>CL7+CL45-CL47+CL58-CL59</f>
        <v>0</v>
      </c>
      <c r="CM61" s="1971">
        <v>0</v>
      </c>
      <c r="CN61" s="1971">
        <v>0</v>
      </c>
      <c r="CO61" s="1971">
        <v>0</v>
      </c>
      <c r="CP61" s="1971">
        <v>0</v>
      </c>
      <c r="CQ61" s="1971">
        <v>0</v>
      </c>
      <c r="CR61" s="1971">
        <v>-0.17999999999949523</v>
      </c>
      <c r="CS61" s="1971">
        <v>0</v>
      </c>
      <c r="CT61" s="1971">
        <v>-4.999999964638846E-5</v>
      </c>
      <c r="CU61" s="1971">
        <v>0</v>
      </c>
      <c r="CV61" s="1971">
        <v>4.9999999873762135E-5</v>
      </c>
      <c r="CW61" s="1971">
        <v>0</v>
      </c>
      <c r="CX61" s="1971">
        <v>0</v>
      </c>
      <c r="CY61" s="1971">
        <v>-3.865352482534945E-12</v>
      </c>
      <c r="CZ61" s="1971">
        <v>0</v>
      </c>
      <c r="DA61" s="1971">
        <v>-7.3896444519050419E-13</v>
      </c>
      <c r="DB61" s="1971">
        <v>0</v>
      </c>
      <c r="DC61" s="1971">
        <v>2.6716406864579767E-12</v>
      </c>
      <c r="DD61" s="1971">
        <v>0</v>
      </c>
      <c r="DE61" s="1971">
        <v>0</v>
      </c>
      <c r="DF61" s="2105" t="s">
        <v>95</v>
      </c>
      <c r="DG61" s="2081"/>
    </row>
    <row r="62" spans="1:111" s="2106" customFormat="1" ht="15.75" customHeight="1">
      <c r="A62" s="2271" t="s">
        <v>2689</v>
      </c>
      <c r="B62" s="2271"/>
      <c r="C62" s="2271"/>
      <c r="D62" s="2271"/>
      <c r="E62" s="2271"/>
      <c r="F62" s="2271"/>
      <c r="G62" s="2271"/>
      <c r="H62" s="2271"/>
      <c r="I62" s="2271"/>
      <c r="J62" s="2271"/>
      <c r="K62" s="2271"/>
      <c r="L62" s="2271"/>
      <c r="M62" s="2271"/>
      <c r="N62" s="2271"/>
      <c r="O62" s="2271"/>
      <c r="P62" s="2271"/>
      <c r="Q62" s="2271"/>
      <c r="R62" s="2271"/>
      <c r="S62" s="2271"/>
      <c r="T62" s="2271"/>
      <c r="U62" s="2271"/>
      <c r="V62" s="2271"/>
      <c r="W62" s="2271"/>
      <c r="X62" s="2271"/>
      <c r="Y62" s="2271"/>
      <c r="Z62" s="2271"/>
      <c r="AA62" s="2271"/>
      <c r="AB62" s="2271"/>
      <c r="AC62" s="2271"/>
      <c r="AD62" s="2271"/>
      <c r="AE62" s="2271"/>
      <c r="AF62" s="2271"/>
      <c r="AG62" s="2271"/>
      <c r="AH62" s="2271"/>
      <c r="AI62" s="2271"/>
      <c r="AJ62" s="2271"/>
      <c r="AK62" s="2271"/>
      <c r="AL62" s="2271"/>
      <c r="AM62" s="2271"/>
      <c r="AN62" s="2271"/>
      <c r="AO62" s="2271"/>
      <c r="AP62" s="2271"/>
      <c r="AQ62" s="2271"/>
      <c r="AR62" s="2271"/>
      <c r="AS62" s="2271"/>
      <c r="AT62" s="2271"/>
      <c r="AU62" s="2271"/>
      <c r="AV62" s="2271"/>
      <c r="AW62" s="2271"/>
      <c r="AX62" s="2271"/>
      <c r="AY62" s="2271"/>
      <c r="AZ62" s="2271"/>
      <c r="BA62" s="2271"/>
      <c r="BB62" s="2271"/>
      <c r="BC62" s="2271"/>
      <c r="BD62" s="2271"/>
      <c r="BE62" s="2271"/>
      <c r="BF62" s="2271"/>
      <c r="BG62" s="2271"/>
      <c r="BH62" s="2271"/>
      <c r="BI62" s="2271"/>
      <c r="BJ62" s="2271"/>
      <c r="BK62" s="2271"/>
      <c r="BL62" s="2271"/>
      <c r="BM62" s="2271"/>
      <c r="BN62" s="2271"/>
      <c r="BO62" s="2271"/>
      <c r="BP62" s="2271"/>
      <c r="BQ62" s="2271"/>
      <c r="BR62" s="2271"/>
      <c r="BS62" s="2271"/>
      <c r="BT62" s="2271"/>
      <c r="BU62" s="2271"/>
      <c r="BV62" s="2271"/>
      <c r="BW62" s="2271"/>
      <c r="BX62" s="2271"/>
      <c r="BY62" s="2271"/>
      <c r="BZ62" s="2271"/>
      <c r="CA62" s="2271"/>
      <c r="CB62" s="2271"/>
      <c r="CC62" s="2271"/>
      <c r="CD62" s="2271"/>
      <c r="CE62" s="2271"/>
      <c r="CF62" s="2271"/>
      <c r="CG62" s="2271"/>
      <c r="CH62" s="2271"/>
      <c r="CI62" s="2271"/>
      <c r="CJ62" s="2271"/>
      <c r="CK62" s="2271"/>
      <c r="CL62" s="2271"/>
      <c r="CM62" s="2271"/>
      <c r="CN62" s="2271"/>
      <c r="CO62" s="2271"/>
      <c r="CP62" s="2271"/>
      <c r="CQ62" s="2271"/>
      <c r="CR62" s="2271"/>
      <c r="CS62" s="2271"/>
      <c r="CT62" s="2271"/>
      <c r="CU62" s="2271"/>
      <c r="CV62" s="2271"/>
      <c r="CW62" s="2271"/>
      <c r="CX62" s="2271"/>
      <c r="CY62" s="2271"/>
      <c r="CZ62" s="2271"/>
      <c r="DA62" s="2271"/>
      <c r="DB62" s="2271"/>
      <c r="DC62" s="2271"/>
      <c r="DD62" s="2271"/>
      <c r="DE62" s="2271"/>
      <c r="DF62" s="2271"/>
    </row>
    <row r="63" spans="1:111" s="2106" customFormat="1" ht="15.75" customHeight="1">
      <c r="A63" s="2271" t="s">
        <v>2687</v>
      </c>
      <c r="B63" s="2271"/>
      <c r="C63" s="2271"/>
      <c r="D63" s="2271"/>
      <c r="E63" s="2271"/>
      <c r="F63" s="2271"/>
      <c r="G63" s="2271"/>
      <c r="H63" s="2271"/>
      <c r="I63" s="2271"/>
      <c r="J63" s="2271"/>
      <c r="K63" s="2271"/>
      <c r="L63" s="2271"/>
      <c r="M63" s="2271"/>
      <c r="N63" s="2271"/>
      <c r="O63" s="2271"/>
      <c r="P63" s="2271"/>
      <c r="Q63" s="2271"/>
      <c r="R63" s="2271"/>
      <c r="S63" s="2271"/>
      <c r="T63" s="2271"/>
      <c r="U63" s="2271"/>
      <c r="V63" s="2271"/>
      <c r="W63" s="2271"/>
      <c r="X63" s="2271"/>
      <c r="Y63" s="2271"/>
      <c r="Z63" s="2271"/>
      <c r="AA63" s="2271"/>
      <c r="AB63" s="2271"/>
      <c r="AC63" s="2271"/>
      <c r="AD63" s="2271"/>
      <c r="AE63" s="2271"/>
      <c r="AF63" s="2271"/>
      <c r="AG63" s="2271"/>
      <c r="AH63" s="2271"/>
      <c r="AI63" s="2271"/>
      <c r="AJ63" s="2271"/>
      <c r="AK63" s="2271"/>
      <c r="AL63" s="2271"/>
      <c r="AM63" s="2271"/>
      <c r="AN63" s="2271"/>
      <c r="AO63" s="2271"/>
      <c r="AP63" s="2271"/>
      <c r="AQ63" s="2271"/>
      <c r="AR63" s="2271"/>
      <c r="AS63" s="2271"/>
      <c r="AT63" s="2271"/>
      <c r="AU63" s="2271"/>
      <c r="AV63" s="2271"/>
      <c r="AW63" s="2271"/>
      <c r="AX63" s="2271"/>
      <c r="AY63" s="2271"/>
      <c r="AZ63" s="2271"/>
      <c r="BA63" s="2271"/>
      <c r="BB63" s="2271"/>
      <c r="BC63" s="2271"/>
      <c r="BD63" s="2271"/>
      <c r="BE63" s="2271"/>
      <c r="BF63" s="2271"/>
      <c r="BG63" s="2271"/>
      <c r="BH63" s="2271"/>
      <c r="BI63" s="2271"/>
      <c r="BJ63" s="2271"/>
      <c r="BK63" s="2271"/>
      <c r="BL63" s="2271"/>
      <c r="BM63" s="2271"/>
      <c r="BN63" s="2271"/>
      <c r="BO63" s="2271"/>
      <c r="BP63" s="2271"/>
      <c r="BQ63" s="2271"/>
      <c r="BR63" s="2271"/>
      <c r="BS63" s="2271"/>
      <c r="BT63" s="2271"/>
      <c r="BU63" s="2271"/>
      <c r="BV63" s="2271"/>
      <c r="BW63" s="2271"/>
      <c r="BX63" s="2271"/>
      <c r="BY63" s="2271"/>
      <c r="BZ63" s="2271"/>
      <c r="CA63" s="2271"/>
      <c r="CB63" s="2271"/>
      <c r="CC63" s="2271"/>
      <c r="CD63" s="2271"/>
      <c r="CE63" s="2271"/>
      <c r="CF63" s="2271"/>
      <c r="CG63" s="2271"/>
      <c r="CH63" s="2271"/>
      <c r="CI63" s="2271"/>
      <c r="CJ63" s="2271"/>
      <c r="CK63" s="2271"/>
      <c r="CL63" s="2271"/>
      <c r="CM63" s="2271"/>
      <c r="CN63" s="2271"/>
      <c r="CO63" s="2271"/>
      <c r="CP63" s="2271"/>
      <c r="CQ63" s="2271"/>
      <c r="CR63" s="2271"/>
      <c r="CS63" s="2271"/>
      <c r="CT63" s="2271"/>
      <c r="CU63" s="2271"/>
      <c r="CV63" s="2271"/>
      <c r="CW63" s="2271"/>
      <c r="CX63" s="2271"/>
      <c r="CY63" s="2271"/>
      <c r="CZ63" s="2271"/>
      <c r="DA63" s="2271"/>
      <c r="DB63" s="2271"/>
      <c r="DC63" s="2271"/>
      <c r="DD63" s="2271"/>
      <c r="DE63" s="2271"/>
      <c r="DF63" s="2271"/>
    </row>
    <row r="64" spans="1:111" s="2106" customFormat="1" ht="15.75" customHeight="1">
      <c r="A64" s="2271" t="s">
        <v>2688</v>
      </c>
      <c r="B64" s="2271"/>
      <c r="C64" s="2271"/>
      <c r="D64" s="2271"/>
      <c r="E64" s="2271"/>
      <c r="F64" s="2271"/>
      <c r="G64" s="2271"/>
      <c r="H64" s="2271"/>
      <c r="I64" s="2271"/>
      <c r="J64" s="2271"/>
      <c r="K64" s="2271"/>
      <c r="L64" s="2271"/>
      <c r="M64" s="2271"/>
      <c r="N64" s="2271"/>
      <c r="O64" s="2271"/>
      <c r="P64" s="2271"/>
      <c r="Q64" s="2271"/>
      <c r="R64" s="2271"/>
      <c r="S64" s="2271"/>
      <c r="T64" s="2271"/>
      <c r="U64" s="2271"/>
      <c r="V64" s="2271"/>
      <c r="W64" s="2271"/>
      <c r="X64" s="2271"/>
      <c r="Y64" s="2271"/>
      <c r="Z64" s="2271"/>
      <c r="AA64" s="2271"/>
      <c r="AB64" s="2271"/>
      <c r="AC64" s="2271"/>
      <c r="AD64" s="2271"/>
      <c r="AE64" s="2271"/>
      <c r="AF64" s="2271"/>
      <c r="AG64" s="2271"/>
      <c r="AH64" s="2271"/>
      <c r="AI64" s="2271"/>
      <c r="AJ64" s="2271"/>
      <c r="AK64" s="2271"/>
      <c r="AL64" s="2271"/>
      <c r="AM64" s="2271"/>
      <c r="AN64" s="2271"/>
      <c r="AO64" s="2271"/>
      <c r="AP64" s="2271"/>
      <c r="AQ64" s="2271"/>
      <c r="AR64" s="2271"/>
      <c r="AS64" s="2271"/>
      <c r="AT64" s="2271"/>
      <c r="AU64" s="2271"/>
      <c r="AV64" s="2271"/>
      <c r="AW64" s="2271"/>
      <c r="AX64" s="2271"/>
      <c r="AY64" s="2271"/>
      <c r="AZ64" s="2271"/>
      <c r="BA64" s="2271"/>
      <c r="BB64" s="2271"/>
      <c r="BC64" s="2271"/>
      <c r="BD64" s="2271"/>
      <c r="BE64" s="2271"/>
      <c r="BF64" s="2271"/>
      <c r="BG64" s="2271"/>
      <c r="BH64" s="2271"/>
      <c r="BI64" s="2271"/>
      <c r="BJ64" s="2271"/>
      <c r="BK64" s="2271"/>
      <c r="BL64" s="2271"/>
      <c r="BM64" s="2271"/>
      <c r="BN64" s="2271"/>
      <c r="BO64" s="2271"/>
      <c r="BP64" s="2271"/>
      <c r="BQ64" s="2271"/>
      <c r="BR64" s="2271"/>
      <c r="BS64" s="2271"/>
      <c r="BT64" s="2271"/>
      <c r="BU64" s="2271"/>
      <c r="BV64" s="2271"/>
      <c r="BW64" s="2271"/>
      <c r="BX64" s="2271"/>
      <c r="BY64" s="2271"/>
      <c r="BZ64" s="2271"/>
      <c r="CA64" s="2271"/>
      <c r="CB64" s="2271"/>
      <c r="CC64" s="2271"/>
      <c r="CD64" s="2271"/>
      <c r="CE64" s="2271"/>
      <c r="CF64" s="2271"/>
      <c r="CG64" s="2271"/>
      <c r="CH64" s="2271"/>
      <c r="CI64" s="2271"/>
      <c r="CJ64" s="2271"/>
      <c r="CK64" s="2271"/>
      <c r="CL64" s="2271"/>
      <c r="CM64" s="2271"/>
      <c r="CN64" s="2271"/>
      <c r="CO64" s="2271"/>
      <c r="CP64" s="2271"/>
      <c r="CQ64" s="2271"/>
      <c r="CR64" s="2271"/>
      <c r="CS64" s="2271"/>
      <c r="CT64" s="2271"/>
      <c r="CU64" s="2271"/>
      <c r="CV64" s="2271"/>
      <c r="CW64" s="2271"/>
      <c r="CX64" s="2271"/>
      <c r="CY64" s="2271"/>
      <c r="CZ64" s="2271"/>
      <c r="DA64" s="2271"/>
      <c r="DB64" s="2271"/>
      <c r="DC64" s="2271"/>
      <c r="DD64" s="2271"/>
      <c r="DE64" s="2271"/>
      <c r="DF64" s="2271"/>
    </row>
    <row r="154" spans="7:8">
      <c r="G154" s="2107"/>
      <c r="H154" s="2107"/>
    </row>
  </sheetData>
  <mergeCells count="6">
    <mergeCell ref="A64:DF64"/>
    <mergeCell ref="A2:DF2"/>
    <mergeCell ref="A3:DF3"/>
    <mergeCell ref="A5:CF5"/>
    <mergeCell ref="A62:DF62"/>
    <mergeCell ref="A63:DF63"/>
  </mergeCells>
  <pageMargins left="0.18" right="0.17" top="0.23" bottom="0.24" header="0.17" footer="0.24"/>
  <pageSetup paperSize="8" scale="56"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21E7A-F5C2-4182-B8E1-8F2598C9A521}">
  <sheetPr>
    <tabColor rgb="FF92D050"/>
  </sheetPr>
  <dimension ref="A1:CG189"/>
  <sheetViews>
    <sheetView showGridLines="0" view="pageBreakPreview" zoomScaleNormal="100" zoomScaleSheetLayoutView="100" workbookViewId="0">
      <pane ySplit="17" topLeftCell="A169" activePane="bottomLeft" state="frozen"/>
      <selection activeCell="B39" sqref="B39"/>
      <selection pane="bottomLeft" activeCell="I194" sqref="I194"/>
    </sheetView>
  </sheetViews>
  <sheetFormatPr defaultColWidth="8.85546875" defaultRowHeight="12.75"/>
  <cols>
    <col min="1" max="1" width="10.7109375" style="2147" customWidth="1"/>
    <col min="2" max="2" width="12.42578125" style="1966" customWidth="1"/>
    <col min="3" max="3" width="16" style="2148" customWidth="1"/>
    <col min="4" max="4" width="15.42578125" style="1966" customWidth="1"/>
    <col min="5" max="5" width="16" style="2148" customWidth="1"/>
    <col min="6" max="6" width="14.42578125" style="1966" customWidth="1"/>
    <col min="7" max="7" width="16" style="2148" customWidth="1"/>
    <col min="8" max="8" width="12.42578125" style="1966" customWidth="1"/>
    <col min="9" max="9" width="16" style="2148" customWidth="1"/>
    <col min="10" max="10" width="15.42578125" style="1966" customWidth="1"/>
    <col min="11" max="11" width="16" style="2148" customWidth="1"/>
    <col min="12" max="12" width="14.42578125" style="1966" customWidth="1"/>
    <col min="13" max="13" width="16" style="2148" customWidth="1"/>
    <col min="14" max="14" width="12.42578125" style="1966" customWidth="1"/>
    <col min="15" max="15" width="15.42578125" style="1966" customWidth="1"/>
    <col min="16" max="16" width="14.42578125" style="1966" customWidth="1"/>
    <col min="17" max="79" width="8.85546875" style="1966" customWidth="1"/>
    <col min="80" max="80" width="8.85546875" style="1966" hidden="1" customWidth="1"/>
    <col min="81" max="16384" width="8.85546875" style="1966"/>
  </cols>
  <sheetData>
    <row r="1" spans="1:85" ht="12.75" customHeight="1">
      <c r="A1" s="2129"/>
      <c r="B1" s="2130"/>
      <c r="C1" s="2131"/>
      <c r="D1" s="2130"/>
      <c r="E1" s="2131"/>
      <c r="F1" s="2130"/>
      <c r="G1" s="2131"/>
      <c r="H1" s="2130"/>
      <c r="I1" s="2131"/>
      <c r="J1" s="2130"/>
      <c r="K1" s="2131"/>
      <c r="L1" s="2130"/>
      <c r="M1" s="2131"/>
      <c r="N1" s="2303"/>
      <c r="O1" s="2303"/>
      <c r="P1" s="2304"/>
    </row>
    <row r="2" spans="1:85" s="2132" customFormat="1" ht="20.25" customHeight="1">
      <c r="A2" s="2305" t="s">
        <v>2723</v>
      </c>
      <c r="B2" s="2306"/>
      <c r="C2" s="2306"/>
      <c r="D2" s="2306"/>
      <c r="E2" s="2306"/>
      <c r="F2" s="2306"/>
      <c r="G2" s="2306"/>
      <c r="H2" s="2306"/>
      <c r="I2" s="2306"/>
      <c r="J2" s="2306"/>
      <c r="K2" s="2306"/>
      <c r="L2" s="2306"/>
      <c r="M2" s="2306"/>
      <c r="N2" s="2306"/>
      <c r="O2" s="2306"/>
      <c r="P2" s="2307"/>
    </row>
    <row r="3" spans="1:85" s="2132" customFormat="1" ht="25.5" customHeight="1">
      <c r="A3" s="2308" t="s">
        <v>2724</v>
      </c>
      <c r="B3" s="2309"/>
      <c r="C3" s="2309"/>
      <c r="D3" s="2309"/>
      <c r="E3" s="2309"/>
      <c r="F3" s="2309"/>
      <c r="G3" s="2309"/>
      <c r="H3" s="2309"/>
      <c r="I3" s="2309"/>
      <c r="J3" s="2309"/>
      <c r="K3" s="2309"/>
      <c r="L3" s="2309"/>
      <c r="M3" s="2309"/>
      <c r="N3" s="2309"/>
      <c r="O3" s="2309"/>
      <c r="P3" s="2310"/>
    </row>
    <row r="4" spans="1:85" s="2132" customFormat="1" ht="16.5" customHeight="1">
      <c r="A4" s="2133"/>
      <c r="B4" s="532"/>
      <c r="C4" s="532"/>
      <c r="D4" s="532"/>
      <c r="E4" s="532"/>
      <c r="F4" s="532"/>
      <c r="G4" s="532"/>
      <c r="H4" s="532"/>
      <c r="I4" s="532"/>
      <c r="J4" s="532"/>
      <c r="K4" s="532"/>
      <c r="L4" s="532"/>
      <c r="M4" s="532"/>
      <c r="N4" s="532"/>
      <c r="O4" s="532"/>
      <c r="P4" s="2134"/>
    </row>
    <row r="5" spans="1:85" ht="16.5" customHeight="1">
      <c r="A5" s="2311"/>
      <c r="B5" s="2312"/>
      <c r="C5" s="2312"/>
      <c r="D5" s="2312"/>
      <c r="E5" s="2312"/>
      <c r="F5" s="2312"/>
      <c r="G5" s="2312"/>
      <c r="H5" s="2312"/>
      <c r="I5" s="2312"/>
      <c r="J5" s="2312"/>
      <c r="K5" s="2312"/>
      <c r="L5" s="2312"/>
      <c r="M5" s="2312"/>
      <c r="N5" s="2313" t="s">
        <v>2685</v>
      </c>
      <c r="O5" s="2313"/>
      <c r="P5" s="2314"/>
      <c r="CC5" s="2135"/>
      <c r="CD5" s="2135"/>
      <c r="CE5" s="2135"/>
      <c r="CF5" s="2135"/>
      <c r="CG5" s="2135"/>
    </row>
    <row r="6" spans="1:85" s="2135" customFormat="1" ht="18.75" customHeight="1">
      <c r="A6" s="2291" t="s">
        <v>182</v>
      </c>
      <c r="B6" s="2294" t="s">
        <v>1069</v>
      </c>
      <c r="C6" s="2295"/>
      <c r="D6" s="2295"/>
      <c r="E6" s="2295"/>
      <c r="F6" s="2295"/>
      <c r="G6" s="2296"/>
      <c r="H6" s="2294" t="s">
        <v>1070</v>
      </c>
      <c r="I6" s="2295"/>
      <c r="J6" s="2295"/>
      <c r="K6" s="2295"/>
      <c r="L6" s="2295"/>
      <c r="M6" s="2296"/>
      <c r="N6" s="2294" t="s">
        <v>96</v>
      </c>
      <c r="O6" s="2295"/>
      <c r="P6" s="2296"/>
      <c r="BY6" s="2135">
        <f>BY8+BY18+BY28+BY36</f>
        <v>0</v>
      </c>
    </row>
    <row r="7" spans="1:85" s="2135" customFormat="1" ht="13.15" customHeight="1">
      <c r="A7" s="2292"/>
      <c r="B7" s="2297" t="s">
        <v>155</v>
      </c>
      <c r="C7" s="2288" t="s">
        <v>2091</v>
      </c>
      <c r="D7" s="2294" t="s">
        <v>122</v>
      </c>
      <c r="E7" s="2295"/>
      <c r="F7" s="2295"/>
      <c r="G7" s="2296"/>
      <c r="H7" s="2297" t="s">
        <v>155</v>
      </c>
      <c r="I7" s="2288" t="s">
        <v>2091</v>
      </c>
      <c r="J7" s="2294" t="s">
        <v>122</v>
      </c>
      <c r="K7" s="2295"/>
      <c r="L7" s="2295"/>
      <c r="M7" s="2296"/>
      <c r="N7" s="2297" t="s">
        <v>155</v>
      </c>
      <c r="O7" s="2294" t="s">
        <v>122</v>
      </c>
      <c r="P7" s="2296"/>
    </row>
    <row r="8" spans="1:85" s="2135" customFormat="1" ht="13.15" customHeight="1">
      <c r="A8" s="2292"/>
      <c r="B8" s="2298"/>
      <c r="C8" s="2289"/>
      <c r="D8" s="2300" t="s">
        <v>97</v>
      </c>
      <c r="E8" s="2288" t="s">
        <v>2091</v>
      </c>
      <c r="F8" s="2300" t="s">
        <v>98</v>
      </c>
      <c r="G8" s="2288" t="s">
        <v>2091</v>
      </c>
      <c r="H8" s="2298"/>
      <c r="I8" s="2289"/>
      <c r="J8" s="2300" t="s">
        <v>99</v>
      </c>
      <c r="K8" s="2288" t="s">
        <v>2091</v>
      </c>
      <c r="L8" s="2300" t="s">
        <v>1202</v>
      </c>
      <c r="M8" s="2288" t="s">
        <v>2091</v>
      </c>
      <c r="N8" s="2298"/>
      <c r="O8" s="2300" t="s">
        <v>100</v>
      </c>
      <c r="P8" s="2300" t="s">
        <v>101</v>
      </c>
    </row>
    <row r="9" spans="1:85" s="2135" customFormat="1">
      <c r="A9" s="2292"/>
      <c r="B9" s="2298"/>
      <c r="C9" s="2289"/>
      <c r="D9" s="2301"/>
      <c r="E9" s="2289"/>
      <c r="F9" s="2301"/>
      <c r="G9" s="2289"/>
      <c r="H9" s="2298"/>
      <c r="I9" s="2289"/>
      <c r="J9" s="2301"/>
      <c r="K9" s="2289"/>
      <c r="L9" s="2301"/>
      <c r="M9" s="2289"/>
      <c r="N9" s="2298"/>
      <c r="O9" s="2301"/>
      <c r="P9" s="2301"/>
    </row>
    <row r="10" spans="1:85" s="2135" customFormat="1">
      <c r="A10" s="2292"/>
      <c r="B10" s="2298"/>
      <c r="C10" s="2289"/>
      <c r="D10" s="2301"/>
      <c r="E10" s="2289"/>
      <c r="F10" s="2301"/>
      <c r="G10" s="2289"/>
      <c r="H10" s="2298"/>
      <c r="I10" s="2289"/>
      <c r="J10" s="2301"/>
      <c r="K10" s="2289"/>
      <c r="L10" s="2301"/>
      <c r="M10" s="2289"/>
      <c r="N10" s="2298"/>
      <c r="O10" s="2301"/>
      <c r="P10" s="2301"/>
    </row>
    <row r="11" spans="1:85" s="2135" customFormat="1">
      <c r="A11" s="2292"/>
      <c r="B11" s="2298"/>
      <c r="C11" s="2289"/>
      <c r="D11" s="2301"/>
      <c r="E11" s="2289"/>
      <c r="F11" s="2301"/>
      <c r="G11" s="2289"/>
      <c r="H11" s="2298"/>
      <c r="I11" s="2289"/>
      <c r="J11" s="2301"/>
      <c r="K11" s="2289"/>
      <c r="L11" s="2301"/>
      <c r="M11" s="2289"/>
      <c r="N11" s="2298"/>
      <c r="O11" s="2301"/>
      <c r="P11" s="2301"/>
      <c r="CC11" s="1966"/>
      <c r="CD11" s="1966"/>
      <c r="CE11" s="1966"/>
      <c r="CF11" s="1966"/>
      <c r="CG11" s="1966"/>
    </row>
    <row r="12" spans="1:85" s="2135" customFormat="1" ht="12" customHeight="1">
      <c r="A12" s="2293"/>
      <c r="B12" s="2299"/>
      <c r="C12" s="2290"/>
      <c r="D12" s="2302"/>
      <c r="E12" s="2290"/>
      <c r="F12" s="2302"/>
      <c r="G12" s="2290"/>
      <c r="H12" s="2299"/>
      <c r="I12" s="2290"/>
      <c r="J12" s="2302"/>
      <c r="K12" s="2290"/>
      <c r="L12" s="2302"/>
      <c r="M12" s="2290"/>
      <c r="N12" s="2299"/>
      <c r="O12" s="2302"/>
      <c r="P12" s="2302"/>
      <c r="CC12" s="1966"/>
      <c r="CD12" s="1966"/>
      <c r="CE12" s="1966"/>
      <c r="CF12" s="1966"/>
      <c r="CG12" s="1966"/>
    </row>
    <row r="13" spans="1:85">
      <c r="A13" s="2284" t="s">
        <v>289</v>
      </c>
      <c r="B13" s="2276" t="s">
        <v>102</v>
      </c>
      <c r="C13" s="2276"/>
      <c r="D13" s="2276"/>
      <c r="E13" s="2276"/>
      <c r="F13" s="2276"/>
      <c r="G13" s="2277"/>
      <c r="H13" s="2275" t="s">
        <v>103</v>
      </c>
      <c r="I13" s="2276"/>
      <c r="J13" s="2276"/>
      <c r="K13" s="2276"/>
      <c r="L13" s="2276"/>
      <c r="M13" s="2277"/>
      <c r="N13" s="2276" t="s">
        <v>104</v>
      </c>
      <c r="O13" s="2276"/>
      <c r="P13" s="2277"/>
    </row>
    <row r="14" spans="1:85" ht="13.15" customHeight="1">
      <c r="A14" s="2285"/>
      <c r="B14" s="2286" t="s">
        <v>105</v>
      </c>
      <c r="C14" s="2282" t="s">
        <v>2092</v>
      </c>
      <c r="D14" s="2275" t="s">
        <v>106</v>
      </c>
      <c r="E14" s="2276"/>
      <c r="F14" s="2276"/>
      <c r="G14" s="2277"/>
      <c r="H14" s="2286" t="s">
        <v>105</v>
      </c>
      <c r="I14" s="2282" t="s">
        <v>2092</v>
      </c>
      <c r="J14" s="2275" t="s">
        <v>106</v>
      </c>
      <c r="K14" s="2276"/>
      <c r="L14" s="2276"/>
      <c r="M14" s="2277"/>
      <c r="N14" s="2278" t="s">
        <v>105</v>
      </c>
      <c r="O14" s="2275" t="s">
        <v>106</v>
      </c>
      <c r="P14" s="2277"/>
    </row>
    <row r="15" spans="1:85" ht="13.15" customHeight="1">
      <c r="A15" s="2285"/>
      <c r="B15" s="2287"/>
      <c r="C15" s="2283"/>
      <c r="D15" s="2280" t="s">
        <v>107</v>
      </c>
      <c r="E15" s="2282" t="s">
        <v>2092</v>
      </c>
      <c r="F15" s="2280" t="s">
        <v>108</v>
      </c>
      <c r="G15" s="2282" t="s">
        <v>2092</v>
      </c>
      <c r="H15" s="2287"/>
      <c r="I15" s="2283"/>
      <c r="J15" s="2280" t="s">
        <v>109</v>
      </c>
      <c r="K15" s="2282" t="s">
        <v>2092</v>
      </c>
      <c r="L15" s="2280" t="s">
        <v>110</v>
      </c>
      <c r="M15" s="2282" t="s">
        <v>2092</v>
      </c>
      <c r="N15" s="2279"/>
      <c r="O15" s="2280" t="s">
        <v>111</v>
      </c>
      <c r="P15" s="2280" t="s">
        <v>112</v>
      </c>
    </row>
    <row r="16" spans="1:85">
      <c r="A16" s="2285"/>
      <c r="B16" s="2287"/>
      <c r="C16" s="2283"/>
      <c r="D16" s="2281"/>
      <c r="E16" s="2283"/>
      <c r="F16" s="2281"/>
      <c r="G16" s="2283"/>
      <c r="H16" s="2287"/>
      <c r="I16" s="2283"/>
      <c r="J16" s="2281"/>
      <c r="K16" s="2283"/>
      <c r="L16" s="2281"/>
      <c r="M16" s="2283"/>
      <c r="N16" s="2279"/>
      <c r="O16" s="2281"/>
      <c r="P16" s="2281"/>
    </row>
    <row r="17" spans="1:85">
      <c r="A17" s="2285"/>
      <c r="B17" s="2287"/>
      <c r="C17" s="2283"/>
      <c r="D17" s="2281"/>
      <c r="E17" s="2283"/>
      <c r="F17" s="2281"/>
      <c r="G17" s="2283"/>
      <c r="H17" s="2287"/>
      <c r="I17" s="2283"/>
      <c r="J17" s="2281"/>
      <c r="K17" s="2283"/>
      <c r="L17" s="2281"/>
      <c r="M17" s="2283"/>
      <c r="N17" s="2279"/>
      <c r="O17" s="2281"/>
      <c r="P17" s="2281"/>
    </row>
    <row r="18" spans="1:85">
      <c r="A18" s="2136"/>
      <c r="B18" s="2137"/>
      <c r="C18" s="2138"/>
      <c r="D18" s="2137"/>
      <c r="E18" s="2138"/>
      <c r="F18" s="2137"/>
      <c r="G18" s="2138"/>
      <c r="H18" s="2137"/>
      <c r="I18" s="2138"/>
      <c r="J18" s="2137"/>
      <c r="K18" s="2138"/>
      <c r="L18" s="2137"/>
      <c r="M18" s="2138"/>
      <c r="N18" s="2137"/>
      <c r="O18" s="2137"/>
      <c r="P18" s="2137"/>
    </row>
    <row r="19" spans="1:85">
      <c r="A19" s="1556">
        <v>1995</v>
      </c>
      <c r="B19" s="2139">
        <v>612343</v>
      </c>
      <c r="C19" s="2140">
        <v>89.8</v>
      </c>
      <c r="D19" s="2139">
        <v>339297</v>
      </c>
      <c r="E19" s="2140">
        <v>93.6</v>
      </c>
      <c r="F19" s="2139">
        <v>273046</v>
      </c>
      <c r="G19" s="2140">
        <v>85.6</v>
      </c>
      <c r="H19" s="2139">
        <v>985432</v>
      </c>
      <c r="I19" s="2140">
        <v>115.8</v>
      </c>
      <c r="J19" s="2139">
        <v>755527</v>
      </c>
      <c r="K19" s="2140">
        <v>185.6</v>
      </c>
      <c r="L19" s="2139">
        <v>229905</v>
      </c>
      <c r="M19" s="2140">
        <v>51.8</v>
      </c>
      <c r="N19" s="2139">
        <f t="shared" ref="N19:N26" si="0">B19-H19</f>
        <v>-373089</v>
      </c>
      <c r="O19" s="2139">
        <f t="shared" ref="O19:O26" si="1">D19-J19</f>
        <v>-416230</v>
      </c>
      <c r="P19" s="2139">
        <f t="shared" ref="P19:P26" si="2">F19-L19</f>
        <v>43141</v>
      </c>
    </row>
    <row r="20" spans="1:85">
      <c r="A20" s="1556">
        <v>1996</v>
      </c>
      <c r="B20" s="2139">
        <v>643669</v>
      </c>
      <c r="C20" s="2140">
        <v>105.1</v>
      </c>
      <c r="D20" s="2139">
        <v>343717</v>
      </c>
      <c r="E20" s="2140">
        <v>101.3</v>
      </c>
      <c r="F20" s="2139">
        <v>299952</v>
      </c>
      <c r="G20" s="2140">
        <v>109.9</v>
      </c>
      <c r="H20" s="2139">
        <v>1337583</v>
      </c>
      <c r="I20" s="2140">
        <v>135.69999999999999</v>
      </c>
      <c r="J20" s="2139">
        <v>1012005</v>
      </c>
      <c r="K20" s="2140">
        <v>133.9</v>
      </c>
      <c r="L20" s="2139">
        <v>325578</v>
      </c>
      <c r="M20" s="2140">
        <f>L20/L19*100</f>
        <v>141.61414497292358</v>
      </c>
      <c r="N20" s="2139">
        <f t="shared" si="0"/>
        <v>-693914</v>
      </c>
      <c r="O20" s="2139">
        <f t="shared" si="1"/>
        <v>-668288</v>
      </c>
      <c r="P20" s="2139">
        <f t="shared" si="2"/>
        <v>-25626</v>
      </c>
      <c r="CC20" s="2135"/>
      <c r="CD20" s="2135"/>
      <c r="CE20" s="2135"/>
      <c r="CF20" s="2135"/>
      <c r="CG20" s="2135"/>
    </row>
    <row r="21" spans="1:85">
      <c r="A21" s="1556">
        <v>1997</v>
      </c>
      <c r="B21" s="2139">
        <v>808257</v>
      </c>
      <c r="C21" s="2140">
        <f>B21/B20*100</f>
        <v>125.57028534852542</v>
      </c>
      <c r="D21" s="2139">
        <v>427920</v>
      </c>
      <c r="E21" s="2140">
        <f>D21/D20*100</f>
        <v>124.4977699677351</v>
      </c>
      <c r="F21" s="2139">
        <v>380337</v>
      </c>
      <c r="G21" s="2140">
        <f>F21/F20*100</f>
        <v>126.79928788606176</v>
      </c>
      <c r="H21" s="2139">
        <v>1375164</v>
      </c>
      <c r="I21" s="2140">
        <f>H21/H20*100</f>
        <v>102.80962003853217</v>
      </c>
      <c r="J21" s="2139">
        <v>977641</v>
      </c>
      <c r="K21" s="2140">
        <f>J21/J20*100</f>
        <v>96.604364602941686</v>
      </c>
      <c r="L21" s="2139">
        <v>397523</v>
      </c>
      <c r="M21" s="2140">
        <f>L21/L20*100</f>
        <v>122.09762330378588</v>
      </c>
      <c r="N21" s="2139">
        <f t="shared" si="0"/>
        <v>-566907</v>
      </c>
      <c r="O21" s="2139">
        <f t="shared" si="1"/>
        <v>-549721</v>
      </c>
      <c r="P21" s="2139">
        <f t="shared" si="2"/>
        <v>-17186</v>
      </c>
    </row>
    <row r="22" spans="1:85" s="2135" customFormat="1">
      <c r="A22" s="1556">
        <v>1998</v>
      </c>
      <c r="B22" s="2139">
        <f>SUM(B23:B26)</f>
        <v>677751</v>
      </c>
      <c r="C22" s="2140">
        <f>B22/B21*100</f>
        <v>83.853403063629514</v>
      </c>
      <c r="D22" s="2139">
        <f>SUM(D23:D26)</f>
        <v>434332</v>
      </c>
      <c r="E22" s="2140">
        <f>D22/D21*100</f>
        <v>101.4984109179286</v>
      </c>
      <c r="F22" s="2139">
        <f>SUM(F23:F26)</f>
        <v>243419</v>
      </c>
      <c r="G22" s="2140">
        <f>F22/F21*100</f>
        <v>64.000872910077106</v>
      </c>
      <c r="H22" s="2139">
        <f>SUM(H23:H26)</f>
        <v>1723903</v>
      </c>
      <c r="I22" s="2140">
        <f>H22/H21*100</f>
        <v>125.35981162974016</v>
      </c>
      <c r="J22" s="2139">
        <f>SUM(J23:J26)</f>
        <v>1266389</v>
      </c>
      <c r="K22" s="2140">
        <f>J22/J21*100</f>
        <v>129.53517702305857</v>
      </c>
      <c r="L22" s="2139">
        <f>SUM(L23:L26)</f>
        <v>457514</v>
      </c>
      <c r="M22" s="2140">
        <f>L22/L21*100</f>
        <v>115.09120227005734</v>
      </c>
      <c r="N22" s="2139">
        <f t="shared" si="0"/>
        <v>-1046152</v>
      </c>
      <c r="O22" s="2139">
        <f t="shared" si="1"/>
        <v>-832057</v>
      </c>
      <c r="P22" s="2139">
        <f t="shared" si="2"/>
        <v>-214095</v>
      </c>
      <c r="CC22" s="1966"/>
      <c r="CD22" s="1966"/>
      <c r="CE22" s="1966"/>
      <c r="CF22" s="1966"/>
      <c r="CG22" s="1966"/>
    </row>
    <row r="23" spans="1:85">
      <c r="A23" s="1583" t="s">
        <v>1066</v>
      </c>
      <c r="B23" s="1973">
        <v>129728</v>
      </c>
      <c r="C23" s="1972">
        <v>73</v>
      </c>
      <c r="D23" s="1973">
        <v>58676</v>
      </c>
      <c r="E23" s="1972">
        <v>53.3</v>
      </c>
      <c r="F23" s="1973">
        <v>71052</v>
      </c>
      <c r="G23" s="1972">
        <v>104.9</v>
      </c>
      <c r="H23" s="1973">
        <v>368405</v>
      </c>
      <c r="I23" s="1972">
        <v>121.4</v>
      </c>
      <c r="J23" s="1973">
        <v>274912</v>
      </c>
      <c r="K23" s="1972">
        <v>123.1</v>
      </c>
      <c r="L23" s="1973">
        <v>93493</v>
      </c>
      <c r="M23" s="1972">
        <v>116.7</v>
      </c>
      <c r="N23" s="1973">
        <f t="shared" si="0"/>
        <v>-238677</v>
      </c>
      <c r="O23" s="1973">
        <f t="shared" si="1"/>
        <v>-216236</v>
      </c>
      <c r="P23" s="1973">
        <f t="shared" si="2"/>
        <v>-22441</v>
      </c>
    </row>
    <row r="24" spans="1:85">
      <c r="A24" s="1583" t="s">
        <v>1067</v>
      </c>
      <c r="B24" s="1973">
        <v>181156</v>
      </c>
      <c r="C24" s="1972">
        <v>78.2</v>
      </c>
      <c r="D24" s="1973">
        <v>75560</v>
      </c>
      <c r="E24" s="1972">
        <v>52.8</v>
      </c>
      <c r="F24" s="1973">
        <v>105596</v>
      </c>
      <c r="G24" s="1972">
        <v>119.1</v>
      </c>
      <c r="H24" s="1973">
        <v>433970</v>
      </c>
      <c r="I24" s="1972">
        <v>119.7</v>
      </c>
      <c r="J24" s="1973">
        <v>321424</v>
      </c>
      <c r="K24" s="1972">
        <v>126.3</v>
      </c>
      <c r="L24" s="1973">
        <v>112546</v>
      </c>
      <c r="M24" s="1972">
        <v>104.2</v>
      </c>
      <c r="N24" s="1973">
        <f t="shared" si="0"/>
        <v>-252814</v>
      </c>
      <c r="O24" s="1973">
        <f t="shared" si="1"/>
        <v>-245864</v>
      </c>
      <c r="P24" s="1973">
        <f t="shared" si="2"/>
        <v>-6950</v>
      </c>
    </row>
    <row r="25" spans="1:85">
      <c r="A25" s="1583" t="s">
        <v>985</v>
      </c>
      <c r="B25" s="1973">
        <v>200803</v>
      </c>
      <c r="C25" s="1972">
        <v>119.4</v>
      </c>
      <c r="D25" s="1973">
        <v>74621</v>
      </c>
      <c r="E25" s="1972">
        <v>89.6</v>
      </c>
      <c r="F25" s="1973">
        <v>126182</v>
      </c>
      <c r="G25" s="1972">
        <v>148.69999999999999</v>
      </c>
      <c r="H25" s="1973">
        <v>448913</v>
      </c>
      <c r="I25" s="1972">
        <v>124.8</v>
      </c>
      <c r="J25" s="1973">
        <v>322099</v>
      </c>
      <c r="K25" s="1972">
        <v>127.1</v>
      </c>
      <c r="L25" s="1973">
        <v>126814</v>
      </c>
      <c r="M25" s="1972">
        <v>119.3</v>
      </c>
      <c r="N25" s="1973">
        <f t="shared" si="0"/>
        <v>-248110</v>
      </c>
      <c r="O25" s="1973">
        <f t="shared" si="1"/>
        <v>-247478</v>
      </c>
      <c r="P25" s="1973">
        <f t="shared" si="2"/>
        <v>-632</v>
      </c>
      <c r="CC25" s="2135"/>
      <c r="CD25" s="2135"/>
      <c r="CE25" s="2135"/>
      <c r="CF25" s="2135"/>
      <c r="CG25" s="2135"/>
    </row>
    <row r="26" spans="1:85">
      <c r="A26" s="1583" t="s">
        <v>1068</v>
      </c>
      <c r="B26" s="1973">
        <v>166064</v>
      </c>
      <c r="C26" s="1972">
        <v>71.900000000000006</v>
      </c>
      <c r="D26" s="1973">
        <v>225475</v>
      </c>
      <c r="E26" s="1972">
        <v>245.7</v>
      </c>
      <c r="F26" s="1973">
        <v>-59411</v>
      </c>
      <c r="G26" s="1972">
        <v>42.7</v>
      </c>
      <c r="H26" s="1973">
        <v>472615</v>
      </c>
      <c r="I26" s="1972">
        <v>135.30000000000001</v>
      </c>
      <c r="J26" s="1973">
        <v>347954</v>
      </c>
      <c r="K26" s="1972">
        <v>141.30000000000001</v>
      </c>
      <c r="L26" s="1973">
        <v>124661</v>
      </c>
      <c r="M26" s="1972">
        <v>120.9</v>
      </c>
      <c r="N26" s="1973">
        <f t="shared" si="0"/>
        <v>-306551</v>
      </c>
      <c r="O26" s="1973">
        <f t="shared" si="1"/>
        <v>-122479</v>
      </c>
      <c r="P26" s="1973">
        <f t="shared" si="2"/>
        <v>-184072</v>
      </c>
    </row>
    <row r="27" spans="1:85" s="2135" customFormat="1">
      <c r="A27" s="1556">
        <v>1999</v>
      </c>
      <c r="B27" s="2139">
        <f>SUM(B28:B31)</f>
        <v>1025231</v>
      </c>
      <c r="C27" s="2140">
        <f>B27/B22*100</f>
        <v>151.26956655172771</v>
      </c>
      <c r="D27" s="2139">
        <f>SUM(D28:D31)</f>
        <v>803837</v>
      </c>
      <c r="E27" s="2140">
        <f>D27/D22*100</f>
        <v>185.07432102631168</v>
      </c>
      <c r="F27" s="2139">
        <f>SUM(F28:F31)</f>
        <v>221394</v>
      </c>
      <c r="G27" s="2140">
        <f>F27/F22*100</f>
        <v>90.951815593688252</v>
      </c>
      <c r="H27" s="2139">
        <f>SUM(H28:H31)</f>
        <v>1433392</v>
      </c>
      <c r="I27" s="2140">
        <f>H27/H22*100</f>
        <v>83.148065755439831</v>
      </c>
      <c r="J27" s="2139">
        <f>SUM(J28:J31)</f>
        <v>1050311</v>
      </c>
      <c r="K27" s="2140">
        <f>J27/J22*100</f>
        <v>82.937470240186855</v>
      </c>
      <c r="L27" s="2139">
        <f>SUM(L28:L31)</f>
        <v>383081</v>
      </c>
      <c r="M27" s="2140">
        <f>L27/L22*100</f>
        <v>83.730989652775662</v>
      </c>
      <c r="N27" s="2139">
        <f>B27-H27</f>
        <v>-408161</v>
      </c>
      <c r="O27" s="2139">
        <f>D27-J27</f>
        <v>-246474</v>
      </c>
      <c r="P27" s="2139">
        <f>F27-L27</f>
        <v>-161687</v>
      </c>
      <c r="CC27" s="1966"/>
      <c r="CD27" s="1966"/>
      <c r="CE27" s="1966"/>
      <c r="CF27" s="1966"/>
      <c r="CG27" s="1966"/>
    </row>
    <row r="28" spans="1:85">
      <c r="A28" s="1583" t="s">
        <v>1066</v>
      </c>
      <c r="B28" s="1973">
        <v>148060</v>
      </c>
      <c r="C28" s="1972">
        <f>B28/B23*100</f>
        <v>114.1311050814011</v>
      </c>
      <c r="D28" s="1973">
        <v>112429</v>
      </c>
      <c r="E28" s="1972">
        <f>D28/D23*100</f>
        <v>191.60985752266683</v>
      </c>
      <c r="F28" s="1973">
        <v>35631</v>
      </c>
      <c r="G28" s="1972">
        <f>F28/F23*100</f>
        <v>50.147779091369706</v>
      </c>
      <c r="H28" s="1973">
        <v>312012</v>
      </c>
      <c r="I28" s="1972">
        <f>H28/H23*100</f>
        <v>84.692661608827251</v>
      </c>
      <c r="J28" s="1973">
        <v>224296</v>
      </c>
      <c r="K28" s="1972">
        <f>J28/J23*100</f>
        <v>81.588290071004536</v>
      </c>
      <c r="L28" s="1973">
        <v>87716</v>
      </c>
      <c r="M28" s="1972">
        <f>L28/L23*100</f>
        <v>93.820927769993474</v>
      </c>
      <c r="N28" s="1973">
        <f>B28-H28</f>
        <v>-163952</v>
      </c>
      <c r="O28" s="1973">
        <f>D28-J28</f>
        <v>-111867</v>
      </c>
      <c r="P28" s="1973">
        <f>F28-L28</f>
        <v>-52085</v>
      </c>
    </row>
    <row r="29" spans="1:85">
      <c r="A29" s="1583" t="s">
        <v>1067</v>
      </c>
      <c r="B29" s="1973">
        <v>166076</v>
      </c>
      <c r="C29" s="1972">
        <f>B29/B24*100</f>
        <v>91.675682836891951</v>
      </c>
      <c r="D29" s="1973">
        <v>119275</v>
      </c>
      <c r="E29" s="1972">
        <f>D29/D24*100</f>
        <v>157.85468501852833</v>
      </c>
      <c r="F29" s="1973">
        <v>46801</v>
      </c>
      <c r="G29" s="1972">
        <f>F29/F24*100</f>
        <v>44.32080760634873</v>
      </c>
      <c r="H29" s="1973">
        <v>331461</v>
      </c>
      <c r="I29" s="1972">
        <f>H29/H24*100</f>
        <v>76.37878194345231</v>
      </c>
      <c r="J29" s="1973">
        <v>245023</v>
      </c>
      <c r="K29" s="1972">
        <f>J29/J24*100</f>
        <v>76.230461944347653</v>
      </c>
      <c r="L29" s="1973">
        <v>86438</v>
      </c>
      <c r="M29" s="1972">
        <f>L29/L24*100</f>
        <v>76.802374140351503</v>
      </c>
      <c r="N29" s="1973">
        <f>B29-H29</f>
        <v>-165385</v>
      </c>
      <c r="O29" s="1973">
        <f>D29-J29</f>
        <v>-125748</v>
      </c>
      <c r="P29" s="1973">
        <f>F29-L29</f>
        <v>-39637</v>
      </c>
    </row>
    <row r="30" spans="1:85">
      <c r="A30" s="1583" t="s">
        <v>985</v>
      </c>
      <c r="B30" s="1973">
        <v>253582</v>
      </c>
      <c r="C30" s="1972">
        <f>B30/B25*100</f>
        <v>126.28396986100805</v>
      </c>
      <c r="D30" s="1973">
        <v>189190</v>
      </c>
      <c r="E30" s="1972">
        <f>D30/D25*100</f>
        <v>253.53452781388617</v>
      </c>
      <c r="F30" s="1973">
        <v>64392</v>
      </c>
      <c r="G30" s="1972">
        <f>F30/F25*100</f>
        <v>51.031050387535458</v>
      </c>
      <c r="H30" s="1973">
        <v>416663</v>
      </c>
      <c r="I30" s="1972">
        <f>H30/H25*100</f>
        <v>92.81597993375108</v>
      </c>
      <c r="J30" s="1973">
        <v>313653</v>
      </c>
      <c r="K30" s="1972">
        <f>J30/J25*100</f>
        <v>97.377824830254056</v>
      </c>
      <c r="L30" s="1973">
        <v>103010</v>
      </c>
      <c r="M30" s="1972">
        <f>L30/L25*100</f>
        <v>81.22920182314256</v>
      </c>
      <c r="N30" s="1973">
        <f>B30-H30</f>
        <v>-163081</v>
      </c>
      <c r="O30" s="1973">
        <f>D30-J30</f>
        <v>-124463</v>
      </c>
      <c r="P30" s="1973">
        <f>F30-L30</f>
        <v>-38618</v>
      </c>
    </row>
    <row r="31" spans="1:85">
      <c r="A31" s="1583" t="s">
        <v>1068</v>
      </c>
      <c r="B31" s="1973">
        <v>457513</v>
      </c>
      <c r="C31" s="1972">
        <f>B31/B26*100</f>
        <v>275.50402254552461</v>
      </c>
      <c r="D31" s="1973">
        <v>382943</v>
      </c>
      <c r="E31" s="1972">
        <f>D31/D26*100</f>
        <v>169.83834127952102</v>
      </c>
      <c r="F31" s="1973">
        <v>74570</v>
      </c>
      <c r="G31" s="1972">
        <f>F31/F26*100</f>
        <v>-125.5154769318813</v>
      </c>
      <c r="H31" s="1973">
        <v>373256</v>
      </c>
      <c r="I31" s="1972">
        <f>H31/H26*100</f>
        <v>78.976756979782706</v>
      </c>
      <c r="J31" s="1973">
        <v>267339</v>
      </c>
      <c r="K31" s="1972">
        <f>J31/J26*100</f>
        <v>76.831707639515571</v>
      </c>
      <c r="L31" s="1973">
        <v>105917</v>
      </c>
      <c r="M31" s="1972">
        <f>L31/L26*100</f>
        <v>84.964022428826979</v>
      </c>
      <c r="N31" s="1973">
        <f>B31-H31</f>
        <v>84257</v>
      </c>
      <c r="O31" s="1973">
        <f>D31-J31</f>
        <v>115604</v>
      </c>
      <c r="P31" s="1973">
        <f>F31-L31</f>
        <v>-31347</v>
      </c>
      <c r="CC31" s="2135"/>
      <c r="CD31" s="2135"/>
      <c r="CE31" s="2135"/>
      <c r="CF31" s="2135"/>
      <c r="CG31" s="2135"/>
    </row>
    <row r="32" spans="1:85">
      <c r="A32" s="1583"/>
      <c r="B32" s="1973"/>
      <c r="C32" s="1972"/>
      <c r="D32" s="1973"/>
      <c r="E32" s="1972"/>
      <c r="F32" s="1973"/>
      <c r="G32" s="1972"/>
      <c r="H32" s="1973"/>
      <c r="I32" s="1972"/>
      <c r="J32" s="1973"/>
      <c r="K32" s="1972"/>
      <c r="L32" s="1973"/>
      <c r="M32" s="1972"/>
      <c r="N32" s="1973"/>
      <c r="O32" s="1973"/>
      <c r="P32" s="1973"/>
    </row>
    <row r="33" spans="1:85" s="2135" customFormat="1">
      <c r="A33" s="1556">
        <v>2000</v>
      </c>
      <c r="B33" s="2139">
        <f>SUM(B34:B37)</f>
        <v>1858335</v>
      </c>
      <c r="C33" s="2140">
        <f>B33/B27*100</f>
        <v>181.2601257667784</v>
      </c>
      <c r="D33" s="2139">
        <f>SUM(D34:D37)</f>
        <v>1594131</v>
      </c>
      <c r="E33" s="2140">
        <f>D33/D27*100</f>
        <v>198.31520569468685</v>
      </c>
      <c r="F33" s="2139">
        <f>SUM(F34:F37)</f>
        <v>264204</v>
      </c>
      <c r="G33" s="2140">
        <f>F33/F27*100</f>
        <v>119.33656738665005</v>
      </c>
      <c r="H33" s="2139">
        <f>SUM(H34:H37)</f>
        <v>1539005</v>
      </c>
      <c r="I33" s="2140">
        <f>H33/H27*100</f>
        <v>107.36804726132138</v>
      </c>
      <c r="J33" s="2139">
        <f>SUM(J34:J37)</f>
        <v>1163552</v>
      </c>
      <c r="K33" s="2140">
        <f>J33/J27*100</f>
        <v>110.78166371674676</v>
      </c>
      <c r="L33" s="2139">
        <f>SUM(L34:L37)</f>
        <v>375453</v>
      </c>
      <c r="M33" s="2140">
        <f>L33/L27*100</f>
        <v>98.008776211819438</v>
      </c>
      <c r="N33" s="2139">
        <f>B33-H33</f>
        <v>319330</v>
      </c>
      <c r="O33" s="2139">
        <f>D33-J33</f>
        <v>430579</v>
      </c>
      <c r="P33" s="2139">
        <f>F33-L33</f>
        <v>-111249</v>
      </c>
      <c r="CC33" s="1966"/>
      <c r="CD33" s="1966"/>
      <c r="CE33" s="1966"/>
      <c r="CF33" s="1966"/>
      <c r="CG33" s="1966"/>
    </row>
    <row r="34" spans="1:85">
      <c r="A34" s="1583" t="s">
        <v>1066</v>
      </c>
      <c r="B34" s="1973">
        <v>393245</v>
      </c>
      <c r="C34" s="1972">
        <v>265.60000000000002</v>
      </c>
      <c r="D34" s="1973">
        <v>325162</v>
      </c>
      <c r="E34" s="1972">
        <v>289.2</v>
      </c>
      <c r="F34" s="1973">
        <v>68083</v>
      </c>
      <c r="G34" s="1972">
        <v>191.1</v>
      </c>
      <c r="H34" s="1973">
        <v>384263</v>
      </c>
      <c r="I34" s="1972">
        <v>123.2</v>
      </c>
      <c r="J34" s="1973">
        <v>284176</v>
      </c>
      <c r="K34" s="1972">
        <v>126.7</v>
      </c>
      <c r="L34" s="1973">
        <v>100087</v>
      </c>
      <c r="M34" s="1972">
        <v>114.1</v>
      </c>
      <c r="N34" s="1973">
        <f>B34-H34</f>
        <v>8982</v>
      </c>
      <c r="O34" s="1973">
        <f>D34-J34</f>
        <v>40986</v>
      </c>
      <c r="P34" s="1973">
        <f>F34-L34</f>
        <v>-32004</v>
      </c>
    </row>
    <row r="35" spans="1:85">
      <c r="A35" s="1583" t="s">
        <v>1067</v>
      </c>
      <c r="B35" s="1973">
        <v>522448</v>
      </c>
      <c r="C35" s="1972">
        <f>B35/B29*100</f>
        <v>314.58368457814493</v>
      </c>
      <c r="D35" s="1973">
        <v>450387</v>
      </c>
      <c r="E35" s="1972">
        <f>D35/D29*100</f>
        <v>377.60385663382937</v>
      </c>
      <c r="F35" s="1973">
        <v>72061</v>
      </c>
      <c r="G35" s="1972">
        <f>F35/F29*100</f>
        <v>153.9732057007329</v>
      </c>
      <c r="H35" s="1973">
        <v>363736</v>
      </c>
      <c r="I35" s="1972">
        <f>H35/H29*100</f>
        <v>109.73719381767388</v>
      </c>
      <c r="J35" s="1973">
        <v>262757</v>
      </c>
      <c r="K35" s="1972">
        <f>J35/J29*100</f>
        <v>107.23768789052457</v>
      </c>
      <c r="L35" s="1973">
        <v>100979</v>
      </c>
      <c r="M35" s="1972">
        <f>L35/L29*100</f>
        <v>116.82246234295101</v>
      </c>
      <c r="N35" s="1973">
        <f>B35-H35</f>
        <v>158712</v>
      </c>
      <c r="O35" s="1973">
        <f>D35-J35</f>
        <v>187630</v>
      </c>
      <c r="P35" s="1973">
        <f>F35-L35</f>
        <v>-28918</v>
      </c>
    </row>
    <row r="36" spans="1:85">
      <c r="A36" s="1583" t="s">
        <v>985</v>
      </c>
      <c r="B36" s="1973">
        <v>594058</v>
      </c>
      <c r="C36" s="1972">
        <f>B36/B30*100</f>
        <v>234.26662775749065</v>
      </c>
      <c r="D36" s="1973">
        <v>546998</v>
      </c>
      <c r="E36" s="1972">
        <f>D36/D30*100</f>
        <v>289.12627517310636</v>
      </c>
      <c r="F36" s="1973">
        <v>47060</v>
      </c>
      <c r="G36" s="1972">
        <f>F36/F30*100</f>
        <v>73.083612871164121</v>
      </c>
      <c r="H36" s="1973">
        <v>327785</v>
      </c>
      <c r="I36" s="1972">
        <f>H36/H30*100</f>
        <v>78.669092288012138</v>
      </c>
      <c r="J36" s="1973">
        <v>251119</v>
      </c>
      <c r="K36" s="1972">
        <f>J36/J30*100</f>
        <v>80.0626807331669</v>
      </c>
      <c r="L36" s="1973">
        <v>76666</v>
      </c>
      <c r="M36" s="1972">
        <f>L36/L30*100</f>
        <v>74.425783904475296</v>
      </c>
      <c r="N36" s="1973">
        <f>B36-H36</f>
        <v>266273</v>
      </c>
      <c r="O36" s="1973">
        <f>D36-J36</f>
        <v>295879</v>
      </c>
      <c r="P36" s="1973">
        <f>F36-L36</f>
        <v>-29606</v>
      </c>
    </row>
    <row r="37" spans="1:85">
      <c r="A37" s="1583" t="s">
        <v>1068</v>
      </c>
      <c r="B37" s="1973">
        <v>348584</v>
      </c>
      <c r="C37" s="1972">
        <f>B37/B31*100</f>
        <v>76.191059051873935</v>
      </c>
      <c r="D37" s="1973">
        <v>271584</v>
      </c>
      <c r="E37" s="1972">
        <f>D37/D31*100</f>
        <v>70.920215280080839</v>
      </c>
      <c r="F37" s="1973">
        <v>77000</v>
      </c>
      <c r="G37" s="1972">
        <f>F37/F31*100</f>
        <v>103.25868311653478</v>
      </c>
      <c r="H37" s="1973">
        <v>463221</v>
      </c>
      <c r="I37" s="1972">
        <f>H37/H31*100</f>
        <v>124.10276057183273</v>
      </c>
      <c r="J37" s="1973">
        <v>365500</v>
      </c>
      <c r="K37" s="1972">
        <f>J37/J31*100</f>
        <v>136.71780024612946</v>
      </c>
      <c r="L37" s="1973">
        <v>97721</v>
      </c>
      <c r="M37" s="1972">
        <f>L37/L31*100</f>
        <v>92.261865422925496</v>
      </c>
      <c r="N37" s="1973">
        <f>B37-H37</f>
        <v>-114637</v>
      </c>
      <c r="O37" s="1973">
        <f>D37-J37</f>
        <v>-93916</v>
      </c>
      <c r="P37" s="1973">
        <f>F37-L37</f>
        <v>-20721</v>
      </c>
      <c r="CC37" s="2135"/>
      <c r="CD37" s="2135"/>
      <c r="CE37" s="2135"/>
      <c r="CF37" s="2135"/>
      <c r="CG37" s="2135"/>
    </row>
    <row r="38" spans="1:85">
      <c r="A38" s="1583"/>
      <c r="B38" s="1973"/>
      <c r="C38" s="1972"/>
      <c r="D38" s="1973"/>
      <c r="E38" s="1972"/>
      <c r="F38" s="1973"/>
      <c r="G38" s="1972"/>
      <c r="H38" s="1973"/>
      <c r="I38" s="1972"/>
      <c r="J38" s="1973"/>
      <c r="K38" s="1972"/>
      <c r="L38" s="1973"/>
      <c r="M38" s="1972"/>
      <c r="N38" s="1973"/>
      <c r="O38" s="1973"/>
      <c r="P38" s="1973"/>
    </row>
    <row r="39" spans="1:85" s="2135" customFormat="1">
      <c r="A39" s="1556">
        <v>2001</v>
      </c>
      <c r="B39" s="2139">
        <f>SUM(B40:B43)</f>
        <v>2078931</v>
      </c>
      <c r="C39" s="2140">
        <f>B39/B33*100</f>
        <v>111.87062612499898</v>
      </c>
      <c r="D39" s="2139">
        <f>SUM(D40:D43)</f>
        <v>1855148</v>
      </c>
      <c r="E39" s="2140">
        <f>D39/D33*100</f>
        <v>116.37362299585166</v>
      </c>
      <c r="F39" s="2139">
        <f>SUM(F40:F43)</f>
        <v>223783</v>
      </c>
      <c r="G39" s="2140">
        <f>F39/F33*100</f>
        <v>84.700837231836005</v>
      </c>
      <c r="H39" s="2139">
        <f>SUM(H40:H43)</f>
        <v>1465064</v>
      </c>
      <c r="I39" s="2140">
        <f>H39/H33*100</f>
        <v>95.195532178258034</v>
      </c>
      <c r="J39" s="2139">
        <f>SUM(J40:J43)</f>
        <v>1022194</v>
      </c>
      <c r="K39" s="2140">
        <f>J39/J33*100</f>
        <v>87.851166084541134</v>
      </c>
      <c r="L39" s="2139">
        <f>SUM(L40:L43)</f>
        <v>442870</v>
      </c>
      <c r="M39" s="2140">
        <f>L39/L33*100</f>
        <v>117.95617560653398</v>
      </c>
      <c r="N39" s="2139">
        <f>B39-H39</f>
        <v>613867</v>
      </c>
      <c r="O39" s="2139">
        <f>D39-J39</f>
        <v>832954</v>
      </c>
      <c r="P39" s="2139">
        <f>F39-L39</f>
        <v>-219087</v>
      </c>
      <c r="CC39" s="1966"/>
      <c r="CD39" s="1966"/>
      <c r="CE39" s="1966"/>
      <c r="CF39" s="1966"/>
      <c r="CG39" s="1966"/>
    </row>
    <row r="40" spans="1:85">
      <c r="A40" s="1583" t="s">
        <v>1066</v>
      </c>
      <c r="B40" s="1973">
        <v>526737</v>
      </c>
      <c r="C40" s="1972">
        <f>B40/B34*100</f>
        <v>133.94626759399358</v>
      </c>
      <c r="D40" s="1973">
        <v>484118</v>
      </c>
      <c r="E40" s="1972">
        <f>D40/D34*100</f>
        <v>148.885171083952</v>
      </c>
      <c r="F40" s="1973">
        <v>42619</v>
      </c>
      <c r="G40" s="1972">
        <f>F40/F34*100</f>
        <v>62.598592893967655</v>
      </c>
      <c r="H40" s="1973">
        <v>316857</v>
      </c>
      <c r="I40" s="1972">
        <f>H40/H34*100</f>
        <v>82.458368357088759</v>
      </c>
      <c r="J40" s="1973">
        <v>223031</v>
      </c>
      <c r="K40" s="1972">
        <f>J40/J34*100</f>
        <v>78.483404650639045</v>
      </c>
      <c r="L40" s="1973">
        <v>93826</v>
      </c>
      <c r="M40" s="1972">
        <f>L40/L34*100</f>
        <v>93.744442335168401</v>
      </c>
      <c r="N40" s="1973">
        <f>B40-H40</f>
        <v>209880</v>
      </c>
      <c r="O40" s="1973">
        <f>D40-J40</f>
        <v>261087</v>
      </c>
      <c r="P40" s="1973">
        <f>F40-L40</f>
        <v>-51207</v>
      </c>
    </row>
    <row r="41" spans="1:85">
      <c r="A41" s="1583" t="s">
        <v>1067</v>
      </c>
      <c r="B41" s="1973">
        <f>1057964-B40</f>
        <v>531227</v>
      </c>
      <c r="C41" s="1972">
        <f>B41/B35*100</f>
        <v>101.68035861942242</v>
      </c>
      <c r="D41" s="1973">
        <f>968189-D40</f>
        <v>484071</v>
      </c>
      <c r="E41" s="1972">
        <f>D41/D35*100</f>
        <v>107.4789014780622</v>
      </c>
      <c r="F41" s="1973">
        <f>89775-F40</f>
        <v>47156</v>
      </c>
      <c r="G41" s="1972">
        <f>F41/F35*100</f>
        <v>65.439003066846141</v>
      </c>
      <c r="H41" s="1973">
        <f>650165-H40</f>
        <v>333308</v>
      </c>
      <c r="I41" s="1972">
        <f>H41/H35*100</f>
        <v>91.634592121758644</v>
      </c>
      <c r="J41" s="1973">
        <f>438187-J40</f>
        <v>215156</v>
      </c>
      <c r="K41" s="1972">
        <f>J41/J35*100</f>
        <v>81.884022119296546</v>
      </c>
      <c r="L41" s="1973">
        <f>211978-L40</f>
        <v>118152</v>
      </c>
      <c r="M41" s="1972">
        <f>L41/L35*100</f>
        <v>117.00650630329079</v>
      </c>
      <c r="N41" s="1973">
        <f>B41-H41</f>
        <v>197919</v>
      </c>
      <c r="O41" s="1973">
        <f>D41-J41</f>
        <v>268915</v>
      </c>
      <c r="P41" s="1973">
        <f>F41-L41</f>
        <v>-70996</v>
      </c>
    </row>
    <row r="42" spans="1:85">
      <c r="A42" s="1583" t="s">
        <v>985</v>
      </c>
      <c r="B42" s="1973">
        <f>1598367-B40-B41</f>
        <v>540403</v>
      </c>
      <c r="C42" s="1972">
        <f>B42/B36*100</f>
        <v>90.968053624393576</v>
      </c>
      <c r="D42" s="1973">
        <f>1416328-D41-D40</f>
        <v>448139</v>
      </c>
      <c r="E42" s="1972">
        <f>D42/D36*100</f>
        <v>81.926990592287353</v>
      </c>
      <c r="F42" s="1973">
        <f>182039-F41-F40</f>
        <v>92264</v>
      </c>
      <c r="G42" s="1972">
        <f>F42/F36*100</f>
        <v>196.05609859753505</v>
      </c>
      <c r="H42" s="1973">
        <f>1064478-H41-H40</f>
        <v>414313</v>
      </c>
      <c r="I42" s="1972">
        <f>H42/H36*100</f>
        <v>126.39779123510837</v>
      </c>
      <c r="J42" s="1973">
        <f>742102-J41-J40</f>
        <v>303915</v>
      </c>
      <c r="K42" s="1972">
        <f>J42/J36*100</f>
        <v>121.02429525444111</v>
      </c>
      <c r="L42" s="1973">
        <f>322376-L41-L40</f>
        <v>110398</v>
      </c>
      <c r="M42" s="1972">
        <f>L42/L36*100</f>
        <v>143.99864346646493</v>
      </c>
      <c r="N42" s="1973">
        <f>B42-H42</f>
        <v>126090</v>
      </c>
      <c r="O42" s="1973">
        <f>D42-J42</f>
        <v>144224</v>
      </c>
      <c r="P42" s="1973">
        <f>F42-L42</f>
        <v>-18134</v>
      </c>
    </row>
    <row r="43" spans="1:85">
      <c r="A43" s="1583" t="s">
        <v>1068</v>
      </c>
      <c r="B43" s="1973">
        <v>480564</v>
      </c>
      <c r="C43" s="1972">
        <f>B43/B37*100</f>
        <v>137.86174924838775</v>
      </c>
      <c r="D43" s="1973">
        <v>438820</v>
      </c>
      <c r="E43" s="1972">
        <f>D43/D37*100</f>
        <v>161.57800164958172</v>
      </c>
      <c r="F43" s="1973">
        <v>41744</v>
      </c>
      <c r="G43" s="1972">
        <f>F43/F37*100</f>
        <v>54.212987012987014</v>
      </c>
      <c r="H43" s="1973">
        <v>400586</v>
      </c>
      <c r="I43" s="1972">
        <f>H43/H37*100</f>
        <v>86.478376412122941</v>
      </c>
      <c r="J43" s="1973">
        <v>280092</v>
      </c>
      <c r="K43" s="1972">
        <f>J43/J37*100</f>
        <v>76.632558139534879</v>
      </c>
      <c r="L43" s="1973">
        <v>120494</v>
      </c>
      <c r="M43" s="1972">
        <f>L43/L37*100</f>
        <v>123.30410044923813</v>
      </c>
      <c r="N43" s="1973">
        <f>B43-H43</f>
        <v>79978</v>
      </c>
      <c r="O43" s="1973">
        <f>D43-J43</f>
        <v>158728</v>
      </c>
      <c r="P43" s="1973">
        <f>F43-L43</f>
        <v>-78750</v>
      </c>
    </row>
    <row r="44" spans="1:85">
      <c r="A44" s="1583"/>
      <c r="B44" s="1973"/>
      <c r="C44" s="1972"/>
      <c r="D44" s="1973"/>
      <c r="E44" s="1972"/>
      <c r="F44" s="1973"/>
      <c r="G44" s="1972"/>
      <c r="H44" s="1973"/>
      <c r="I44" s="1972"/>
      <c r="J44" s="1973"/>
      <c r="K44" s="1972"/>
      <c r="L44" s="1973"/>
      <c r="M44" s="1972"/>
      <c r="N44" s="1973"/>
      <c r="O44" s="1973"/>
      <c r="P44" s="1973"/>
    </row>
    <row r="45" spans="1:85">
      <c r="A45" s="1556">
        <v>2002</v>
      </c>
      <c r="B45" s="2139">
        <f>SUM(B46:B49)</f>
        <v>2304893</v>
      </c>
      <c r="C45" s="2140">
        <f>B45/B39*100</f>
        <v>110.86914380515755</v>
      </c>
      <c r="D45" s="2139">
        <f>SUM(D46:D49)</f>
        <v>2061150</v>
      </c>
      <c r="E45" s="2140">
        <f>D45/D39*100</f>
        <v>111.10434315752707</v>
      </c>
      <c r="F45" s="2139">
        <f>SUM(F46:F49)</f>
        <v>243743</v>
      </c>
      <c r="G45" s="2140">
        <f>F45/F39*100</f>
        <v>108.91935491078411</v>
      </c>
      <c r="H45" s="2139">
        <f>SUM(H46:H49)</f>
        <v>1823341</v>
      </c>
      <c r="I45" s="2140">
        <f>H45/H39*100</f>
        <v>124.45469958991553</v>
      </c>
      <c r="J45" s="2139">
        <f>SUM(J46:J49)</f>
        <v>1149250</v>
      </c>
      <c r="K45" s="2140">
        <f>J45/J39*100</f>
        <v>112.42973447310393</v>
      </c>
      <c r="L45" s="2139">
        <f>SUM(L46:L49)</f>
        <v>674091</v>
      </c>
      <c r="M45" s="2140">
        <f>L45/L39*100</f>
        <v>152.20967778354822</v>
      </c>
      <c r="N45" s="2139">
        <f>SUM(N46:N49)</f>
        <v>481552</v>
      </c>
      <c r="O45" s="2139">
        <f>SUM(O46:O49)</f>
        <v>911900</v>
      </c>
      <c r="P45" s="2139">
        <f>F45-L45</f>
        <v>-430348</v>
      </c>
    </row>
    <row r="46" spans="1:85">
      <c r="A46" s="1583" t="s">
        <v>1066</v>
      </c>
      <c r="B46" s="1973">
        <v>450164</v>
      </c>
      <c r="C46" s="1972">
        <f>B46/B40*100</f>
        <v>85.462764149850884</v>
      </c>
      <c r="D46" s="1973">
        <v>401156</v>
      </c>
      <c r="E46" s="1972">
        <f>D46/D40*100</f>
        <v>82.863268872464985</v>
      </c>
      <c r="F46" s="1973">
        <v>49008</v>
      </c>
      <c r="G46" s="1972">
        <f>F46/F40*100</f>
        <v>114.99096647035361</v>
      </c>
      <c r="H46" s="1973">
        <v>388536</v>
      </c>
      <c r="I46" s="1972">
        <f>H46/H40*100</f>
        <v>122.6218767456613</v>
      </c>
      <c r="J46" s="1973">
        <v>235658</v>
      </c>
      <c r="K46" s="1972">
        <f>J46/J40*100</f>
        <v>105.66154480767247</v>
      </c>
      <c r="L46" s="1973">
        <v>152878</v>
      </c>
      <c r="M46" s="1972">
        <f>L46/L40*100</f>
        <v>162.93777844094387</v>
      </c>
      <c r="N46" s="1973">
        <f>B46-H46</f>
        <v>61628</v>
      </c>
      <c r="O46" s="1973">
        <f>D46-J46</f>
        <v>165498</v>
      </c>
      <c r="P46" s="1973">
        <f>F46-L46</f>
        <v>-103870</v>
      </c>
    </row>
    <row r="47" spans="1:85">
      <c r="A47" s="1583" t="s">
        <v>1067</v>
      </c>
      <c r="B47" s="1973">
        <v>488972</v>
      </c>
      <c r="C47" s="1972">
        <f>B47/B41*100</f>
        <v>92.045773275831237</v>
      </c>
      <c r="D47" s="1973">
        <v>441582</v>
      </c>
      <c r="E47" s="1972">
        <f>D47/D41*100</f>
        <v>91.222568590144832</v>
      </c>
      <c r="F47" s="1973">
        <v>47390</v>
      </c>
      <c r="G47" s="1972">
        <f>F47/F41*100</f>
        <v>100.49622529476632</v>
      </c>
      <c r="H47" s="1973">
        <v>404729</v>
      </c>
      <c r="I47" s="1972">
        <f>H47/H41*100</f>
        <v>121.42792852256773</v>
      </c>
      <c r="J47" s="1973">
        <v>235732</v>
      </c>
      <c r="K47" s="1972">
        <f>J47/J41*100</f>
        <v>109.5632936102177</v>
      </c>
      <c r="L47" s="1973">
        <v>168997</v>
      </c>
      <c r="M47" s="1972">
        <f>L47/L41*100</f>
        <v>143.03355000338547</v>
      </c>
      <c r="N47" s="1973">
        <f>B47-H47</f>
        <v>84243</v>
      </c>
      <c r="O47" s="1973">
        <f>D47-J47</f>
        <v>205850</v>
      </c>
      <c r="P47" s="1973">
        <f>F47-L47</f>
        <v>-121607</v>
      </c>
    </row>
    <row r="48" spans="1:85">
      <c r="A48" s="1583" t="s">
        <v>985</v>
      </c>
      <c r="B48" s="1973">
        <v>631127</v>
      </c>
      <c r="C48" s="1972">
        <f>B48/B42*100</f>
        <v>116.78821176048247</v>
      </c>
      <c r="D48" s="1973">
        <v>566623</v>
      </c>
      <c r="E48" s="1972">
        <f>D48/D42*100</f>
        <v>126.43911822001657</v>
      </c>
      <c r="F48" s="1973">
        <v>64504</v>
      </c>
      <c r="G48" s="1972">
        <f>F48/F42*100</f>
        <v>69.912425214601583</v>
      </c>
      <c r="H48" s="1973">
        <v>466823</v>
      </c>
      <c r="I48" s="1972">
        <f>H48/H42*100</f>
        <v>112.67399285081569</v>
      </c>
      <c r="J48" s="1973">
        <v>316432</v>
      </c>
      <c r="K48" s="1972">
        <f>J48/J42*100</f>
        <v>104.11858578878963</v>
      </c>
      <c r="L48" s="1973">
        <v>150391</v>
      </c>
      <c r="M48" s="1972">
        <f>L48/L42*100</f>
        <v>136.22619974999549</v>
      </c>
      <c r="N48" s="1973">
        <f>B48-H48</f>
        <v>164304</v>
      </c>
      <c r="O48" s="1973">
        <f>D48-J48</f>
        <v>250191</v>
      </c>
      <c r="P48" s="1973">
        <f>F48-L48</f>
        <v>-85887</v>
      </c>
    </row>
    <row r="49" spans="1:85">
      <c r="A49" s="1583" t="s">
        <v>1068</v>
      </c>
      <c r="B49" s="1973">
        <v>734630</v>
      </c>
      <c r="C49" s="1972">
        <f>B49/B43*100</f>
        <v>152.86829641837508</v>
      </c>
      <c r="D49" s="1973">
        <v>651789</v>
      </c>
      <c r="E49" s="1972">
        <f>D49/D43*100</f>
        <v>148.53219999088466</v>
      </c>
      <c r="F49" s="1973">
        <v>82841</v>
      </c>
      <c r="G49" s="1972">
        <f>F49/F43*100</f>
        <v>198.45007665772329</v>
      </c>
      <c r="H49" s="1973">
        <v>563253</v>
      </c>
      <c r="I49" s="1972">
        <f>H49/H43*100</f>
        <v>140.60726036356738</v>
      </c>
      <c r="J49" s="1973">
        <v>361428</v>
      </c>
      <c r="K49" s="1972">
        <f>J49/J43*100</f>
        <v>129.03903003298916</v>
      </c>
      <c r="L49" s="1973">
        <v>201825</v>
      </c>
      <c r="M49" s="1972">
        <f>L49/L43*100</f>
        <v>167.4979667037363</v>
      </c>
      <c r="N49" s="1973">
        <f>B49-H49</f>
        <v>171377</v>
      </c>
      <c r="O49" s="1973">
        <f>D49-J49</f>
        <v>290361</v>
      </c>
      <c r="P49" s="1973">
        <f>F49-L49</f>
        <v>-118984</v>
      </c>
    </row>
    <row r="50" spans="1:85">
      <c r="A50" s="2141"/>
      <c r="B50" s="1973"/>
      <c r="C50" s="1972"/>
      <c r="D50" s="1973"/>
      <c r="E50" s="1972"/>
      <c r="F50" s="1973"/>
      <c r="G50" s="1972"/>
      <c r="H50" s="1973"/>
      <c r="I50" s="1972"/>
      <c r="J50" s="1973"/>
      <c r="K50" s="1972"/>
      <c r="L50" s="1973"/>
      <c r="M50" s="1972"/>
      <c r="N50" s="1973"/>
      <c r="O50" s="1973"/>
      <c r="P50" s="1973"/>
    </row>
    <row r="51" spans="1:85">
      <c r="A51" s="1556">
        <v>2003</v>
      </c>
      <c r="B51" s="2139">
        <f>SUM(B52:B55)</f>
        <v>2624513</v>
      </c>
      <c r="C51" s="2140">
        <f>B51/B45*100</f>
        <v>113.86702115889979</v>
      </c>
      <c r="D51" s="2139">
        <f>SUM(D52:D55)</f>
        <v>2290613</v>
      </c>
      <c r="E51" s="2140">
        <f>D51/D45*100</f>
        <v>111.13276568905708</v>
      </c>
      <c r="F51" s="2139">
        <f>SUM(F52:F55)</f>
        <v>333900</v>
      </c>
      <c r="G51" s="2140">
        <f>F51/F45*100</f>
        <v>136.98854941475241</v>
      </c>
      <c r="H51" s="2139">
        <f>SUM(H52:H55)</f>
        <v>2722704</v>
      </c>
      <c r="I51" s="2140">
        <f>H51/H45*100</f>
        <v>149.32500283819647</v>
      </c>
      <c r="J51" s="2139">
        <f>SUM(J52:J55)</f>
        <v>1855710</v>
      </c>
      <c r="K51" s="2140">
        <f>J51/J45*100</f>
        <v>161.4713943876441</v>
      </c>
      <c r="L51" s="2139">
        <f>SUM(L52:L55)</f>
        <v>866994</v>
      </c>
      <c r="M51" s="2140">
        <f>L51/L45*100</f>
        <v>128.61675945829271</v>
      </c>
      <c r="N51" s="2139">
        <f>B51-H51</f>
        <v>-98191</v>
      </c>
      <c r="O51" s="2139">
        <f>D51-J51</f>
        <v>434903</v>
      </c>
      <c r="P51" s="2139">
        <f>F51-L51</f>
        <v>-533094</v>
      </c>
    </row>
    <row r="52" spans="1:85">
      <c r="A52" s="1583" t="s">
        <v>1066</v>
      </c>
      <c r="B52" s="1973">
        <v>674859</v>
      </c>
      <c r="C52" s="1972">
        <f>B52/B46*100</f>
        <v>149.91403133080388</v>
      </c>
      <c r="D52" s="1973">
        <v>616581</v>
      </c>
      <c r="E52" s="1972">
        <f>D52/D46*100</f>
        <v>153.70105395407273</v>
      </c>
      <c r="F52" s="1973">
        <v>58278</v>
      </c>
      <c r="G52" s="1972">
        <f>F52/F46*100</f>
        <v>118.91527913809989</v>
      </c>
      <c r="H52" s="1973">
        <v>486576</v>
      </c>
      <c r="I52" s="1972">
        <f>H52/H46*100</f>
        <v>125.23318302551114</v>
      </c>
      <c r="J52" s="1973">
        <v>300283</v>
      </c>
      <c r="K52" s="1972">
        <f>J52/J46*100</f>
        <v>127.42321499800558</v>
      </c>
      <c r="L52" s="1973">
        <v>186293</v>
      </c>
      <c r="M52" s="1972">
        <f>L52/L46*100</f>
        <v>121.85729797616401</v>
      </c>
      <c r="N52" s="1973">
        <f>B52-H52</f>
        <v>188283</v>
      </c>
      <c r="O52" s="1973">
        <f>D52-J52</f>
        <v>316298</v>
      </c>
      <c r="P52" s="1973">
        <f>F52-L52</f>
        <v>-128015</v>
      </c>
    </row>
    <row r="53" spans="1:85">
      <c r="A53" s="1583" t="s">
        <v>1067</v>
      </c>
      <c r="B53" s="1973">
        <v>681183</v>
      </c>
      <c r="C53" s="1972">
        <f>B53/B47*100</f>
        <v>139.30920379899055</v>
      </c>
      <c r="D53" s="1973">
        <v>610772</v>
      </c>
      <c r="E53" s="1972">
        <f>D53/D47*100</f>
        <v>138.31451463148409</v>
      </c>
      <c r="F53" s="1973">
        <v>70411</v>
      </c>
      <c r="G53" s="1972">
        <f>F53/F47*100</f>
        <v>148.57775902089048</v>
      </c>
      <c r="H53" s="1973">
        <v>677680</v>
      </c>
      <c r="I53" s="1972">
        <f>H53/H47*100</f>
        <v>167.44043545187026</v>
      </c>
      <c r="J53" s="1973">
        <v>484528</v>
      </c>
      <c r="K53" s="1972">
        <f>J53/J47*100</f>
        <v>205.54188654913207</v>
      </c>
      <c r="L53" s="1973">
        <v>193152</v>
      </c>
      <c r="M53" s="1972">
        <f>L53/L47*100</f>
        <v>114.29315313289585</v>
      </c>
      <c r="N53" s="1973">
        <f>B53-H53</f>
        <v>3503</v>
      </c>
      <c r="O53" s="1973">
        <f>D53-J53</f>
        <v>126244</v>
      </c>
      <c r="P53" s="1973">
        <f>F53-L53</f>
        <v>-122741</v>
      </c>
    </row>
    <row r="54" spans="1:85">
      <c r="A54" s="1583" t="s">
        <v>985</v>
      </c>
      <c r="B54" s="1973">
        <v>536939</v>
      </c>
      <c r="C54" s="1972">
        <f>B54/B48*100</f>
        <v>85.076220792328641</v>
      </c>
      <c r="D54" s="1973">
        <v>460104</v>
      </c>
      <c r="E54" s="1972">
        <f>D54/D48*100</f>
        <v>81.201080789166696</v>
      </c>
      <c r="F54" s="1973">
        <v>76835</v>
      </c>
      <c r="G54" s="1972">
        <f>F54/F48*100</f>
        <v>119.11664392905865</v>
      </c>
      <c r="H54" s="1973">
        <v>681253</v>
      </c>
      <c r="I54" s="1972">
        <f>H54/H48*100</f>
        <v>145.93389785850312</v>
      </c>
      <c r="J54" s="1973">
        <v>472875</v>
      </c>
      <c r="K54" s="1972">
        <f>J54/J48*100</f>
        <v>149.43969004399048</v>
      </c>
      <c r="L54" s="1973">
        <v>208378</v>
      </c>
      <c r="M54" s="1972">
        <f>L54/L48*100</f>
        <v>138.55749346702927</v>
      </c>
      <c r="N54" s="1973">
        <f>B54-H54</f>
        <v>-144314</v>
      </c>
      <c r="O54" s="1973">
        <f>D54-J54</f>
        <v>-12771</v>
      </c>
      <c r="P54" s="1973">
        <f>F54-L54</f>
        <v>-131543</v>
      </c>
    </row>
    <row r="55" spans="1:85">
      <c r="A55" s="1583" t="s">
        <v>1068</v>
      </c>
      <c r="B55" s="1973">
        <v>731532</v>
      </c>
      <c r="C55" s="1972">
        <f>B55/B49*100</f>
        <v>99.578291112532838</v>
      </c>
      <c r="D55" s="1973">
        <v>603156</v>
      </c>
      <c r="E55" s="1972">
        <f>D55/D49*100</f>
        <v>92.538536244091262</v>
      </c>
      <c r="F55" s="1973">
        <v>128376</v>
      </c>
      <c r="G55" s="1972">
        <f>F55/F49*100</f>
        <v>154.96674352072043</v>
      </c>
      <c r="H55" s="1973">
        <v>877195</v>
      </c>
      <c r="I55" s="1972">
        <f>H55/H49*100</f>
        <v>155.73729744892614</v>
      </c>
      <c r="J55" s="1973">
        <v>598024</v>
      </c>
      <c r="K55" s="1972">
        <f>J55/J49*100</f>
        <v>165.46144736987728</v>
      </c>
      <c r="L55" s="1973">
        <v>279171</v>
      </c>
      <c r="M55" s="1972">
        <f>L55/L49*100</f>
        <v>138.32329988851728</v>
      </c>
      <c r="N55" s="1973">
        <f>B55-H55</f>
        <v>-145663</v>
      </c>
      <c r="O55" s="1973">
        <f>D55-J55</f>
        <v>5132</v>
      </c>
      <c r="P55" s="1973">
        <f>F55-L55</f>
        <v>-150795</v>
      </c>
    </row>
    <row r="56" spans="1:85">
      <c r="A56" s="2142"/>
      <c r="B56" s="1973"/>
      <c r="C56" s="1972"/>
      <c r="D56" s="1973"/>
      <c r="E56" s="1972"/>
      <c r="F56" s="1973"/>
      <c r="G56" s="1972"/>
      <c r="H56" s="1973"/>
      <c r="I56" s="1972"/>
      <c r="J56" s="1973"/>
      <c r="K56" s="1972"/>
      <c r="L56" s="1973"/>
      <c r="M56" s="1972"/>
      <c r="N56" s="1973"/>
      <c r="O56" s="1973"/>
      <c r="P56" s="1973"/>
    </row>
    <row r="57" spans="1:85">
      <c r="A57" s="1556">
        <v>2004</v>
      </c>
      <c r="B57" s="2139">
        <f>SUM(B58:B61)</f>
        <v>3742982</v>
      </c>
      <c r="C57" s="2140">
        <f>B57/B51*100</f>
        <v>142.61624918603945</v>
      </c>
      <c r="D57" s="2139">
        <f>SUM(D58:D61)</f>
        <v>3128727</v>
      </c>
      <c r="E57" s="2140">
        <f>D57/D51*100</f>
        <v>136.58907026197789</v>
      </c>
      <c r="F57" s="2139">
        <f>SUM(F58:F61)</f>
        <v>614183</v>
      </c>
      <c r="G57" s="2140">
        <f>F57/F51*100</f>
        <v>183.94219826295299</v>
      </c>
      <c r="H57" s="2139">
        <f>SUM(H58:H61)</f>
        <v>3581685</v>
      </c>
      <c r="I57" s="2140">
        <f>H57/H51*100</f>
        <v>131.54882058424272</v>
      </c>
      <c r="J57" s="2139">
        <f>SUM(J58:J61)</f>
        <v>2390433</v>
      </c>
      <c r="K57" s="2140">
        <f>J57/J51*100</f>
        <v>128.81500881064389</v>
      </c>
      <c r="L57" s="2139">
        <f>SUM(L58:L61)</f>
        <v>1191252</v>
      </c>
      <c r="M57" s="2140">
        <f>L57/L51*100</f>
        <v>137.40025882532058</v>
      </c>
      <c r="N57" s="2139">
        <f>B57-H57</f>
        <v>161297</v>
      </c>
      <c r="O57" s="2139">
        <f>D57-J57</f>
        <v>738294</v>
      </c>
      <c r="P57" s="2139">
        <f>F57-L57</f>
        <v>-577069</v>
      </c>
    </row>
    <row r="58" spans="1:85">
      <c r="A58" s="1583" t="s">
        <v>1066</v>
      </c>
      <c r="B58" s="1973">
        <v>732228</v>
      </c>
      <c r="C58" s="1972">
        <f>B58/B52*100</f>
        <v>108.50088685192019</v>
      </c>
      <c r="D58" s="1973">
        <v>644575</v>
      </c>
      <c r="E58" s="1972">
        <f>D58/D52*100</f>
        <v>104.54019828700527</v>
      </c>
      <c r="F58" s="1973">
        <v>87653</v>
      </c>
      <c r="G58" s="1972">
        <f>F58/F52*100</f>
        <v>150.40495555784344</v>
      </c>
      <c r="H58" s="1973">
        <v>712084</v>
      </c>
      <c r="I58" s="1972">
        <f>H58/H52*100</f>
        <v>146.34589457761996</v>
      </c>
      <c r="J58" s="1973">
        <v>446165</v>
      </c>
      <c r="K58" s="1972">
        <f>J58/J52*100</f>
        <v>148.58150478049041</v>
      </c>
      <c r="L58" s="1973">
        <v>265919</v>
      </c>
      <c r="M58" s="1972">
        <f>L58/L52*100</f>
        <v>142.74234673337162</v>
      </c>
      <c r="N58" s="1973">
        <f>B58-H58</f>
        <v>20144</v>
      </c>
      <c r="O58" s="1973">
        <f>D58-J58</f>
        <v>198410</v>
      </c>
      <c r="P58" s="1973">
        <f>F58-L58</f>
        <v>-178266</v>
      </c>
    </row>
    <row r="59" spans="1:85">
      <c r="A59" s="1583" t="s">
        <v>1067</v>
      </c>
      <c r="B59" s="1973">
        <v>946314</v>
      </c>
      <c r="C59" s="1972">
        <f>B59/B53*100</f>
        <v>138.92213986549871</v>
      </c>
      <c r="D59" s="1973">
        <v>686126</v>
      </c>
      <c r="E59" s="1972">
        <f>D59/D53*100</f>
        <v>112.33750073677248</v>
      </c>
      <c r="F59" s="1973">
        <v>260188</v>
      </c>
      <c r="G59" s="1972">
        <f>F59/F53*100</f>
        <v>369.52748860263307</v>
      </c>
      <c r="H59" s="1973">
        <v>840427</v>
      </c>
      <c r="I59" s="1972">
        <f>H59/H53*100</f>
        <v>124.01531696375872</v>
      </c>
      <c r="J59" s="1973">
        <v>547101</v>
      </c>
      <c r="K59" s="1972">
        <f>J59/J53*100</f>
        <v>112.91421754779908</v>
      </c>
      <c r="L59" s="1973">
        <v>293326</v>
      </c>
      <c r="M59" s="1972">
        <f>L59/L53*100</f>
        <v>151.86278164347249</v>
      </c>
      <c r="N59" s="1973">
        <f>B59-H59</f>
        <v>105887</v>
      </c>
      <c r="O59" s="1973">
        <f>D59-J59</f>
        <v>139025</v>
      </c>
      <c r="P59" s="1973">
        <f>F59-L59</f>
        <v>-33138</v>
      </c>
    </row>
    <row r="60" spans="1:85">
      <c r="A60" s="1583" t="s">
        <v>985</v>
      </c>
      <c r="B60" s="1973">
        <v>910453</v>
      </c>
      <c r="C60" s="1972">
        <f>B60/B54*100</f>
        <v>169.56358171039915</v>
      </c>
      <c r="D60" s="1973">
        <v>808630</v>
      </c>
      <c r="E60" s="1972">
        <f>D60/D54*100</f>
        <v>175.7493957887782</v>
      </c>
      <c r="F60" s="1973">
        <v>101823</v>
      </c>
      <c r="G60" s="1972">
        <f>F60/F54*100</f>
        <v>132.52163727467951</v>
      </c>
      <c r="H60" s="1973">
        <v>1003832</v>
      </c>
      <c r="I60" s="1972">
        <f>H60/H54*100</f>
        <v>147.35083735411075</v>
      </c>
      <c r="J60" s="1973">
        <v>740024</v>
      </c>
      <c r="K60" s="1972">
        <f>J60/J54*100</f>
        <v>156.49463388844833</v>
      </c>
      <c r="L60" s="1973">
        <v>263808</v>
      </c>
      <c r="M60" s="1972">
        <f>L60/L54*100</f>
        <v>126.60069681060379</v>
      </c>
      <c r="N60" s="1973">
        <f>B60-H60</f>
        <v>-93379</v>
      </c>
      <c r="O60" s="1973">
        <f>D60-J60</f>
        <v>68606</v>
      </c>
      <c r="P60" s="1973">
        <f>F60-L60</f>
        <v>-161985</v>
      </c>
    </row>
    <row r="61" spans="1:85">
      <c r="A61" s="1583" t="s">
        <v>1068</v>
      </c>
      <c r="B61" s="1973">
        <v>1153987</v>
      </c>
      <c r="C61" s="1972">
        <f>B61/B55*100</f>
        <v>157.74935341174412</v>
      </c>
      <c r="D61" s="1973">
        <v>989396</v>
      </c>
      <c r="E61" s="1972">
        <f>D61/D55*100</f>
        <v>164.03650133630435</v>
      </c>
      <c r="F61" s="1973">
        <v>164519</v>
      </c>
      <c r="G61" s="1972">
        <f>F61/F55*100</f>
        <v>128.15401632703933</v>
      </c>
      <c r="H61" s="1973">
        <v>1025342</v>
      </c>
      <c r="I61" s="1972">
        <f>H61/H55*100</f>
        <v>116.88871915594594</v>
      </c>
      <c r="J61" s="1973">
        <v>657143</v>
      </c>
      <c r="K61" s="1972">
        <f>J61/J55*100</f>
        <v>109.88572364988696</v>
      </c>
      <c r="L61" s="1973">
        <v>368199</v>
      </c>
      <c r="M61" s="1972">
        <f>L61/L55*100</f>
        <v>131.8901318546697</v>
      </c>
      <c r="N61" s="1973">
        <f>B61-H61</f>
        <v>128645</v>
      </c>
      <c r="O61" s="1973">
        <f>D61-J61</f>
        <v>332253</v>
      </c>
      <c r="P61" s="1973">
        <f>F61-L61</f>
        <v>-203680</v>
      </c>
      <c r="CC61" s="2143"/>
      <c r="CD61" s="2143"/>
      <c r="CE61" s="2143"/>
      <c r="CF61" s="2143"/>
      <c r="CG61" s="2143"/>
    </row>
    <row r="62" spans="1:85">
      <c r="A62" s="2142"/>
      <c r="B62" s="1973"/>
      <c r="C62" s="1972"/>
      <c r="D62" s="1973"/>
      <c r="E62" s="1972"/>
      <c r="F62" s="1973"/>
      <c r="G62" s="1972"/>
      <c r="H62" s="1973"/>
      <c r="I62" s="1972"/>
      <c r="J62" s="1973"/>
      <c r="K62" s="1972"/>
      <c r="L62" s="1973"/>
      <c r="M62" s="1972"/>
      <c r="N62" s="1973"/>
      <c r="O62" s="1973"/>
      <c r="P62" s="1973"/>
    </row>
    <row r="63" spans="1:85" s="2143" customFormat="1">
      <c r="A63" s="1550">
        <v>2005</v>
      </c>
      <c r="B63" s="1906">
        <v>7648962</v>
      </c>
      <c r="C63" s="1907">
        <v>204.35476312736745</v>
      </c>
      <c r="D63" s="1906">
        <v>6737131</v>
      </c>
      <c r="E63" s="1907">
        <v>215.33137918393007</v>
      </c>
      <c r="F63" s="1906">
        <v>911831</v>
      </c>
      <c r="G63" s="1907">
        <v>148.46242895032913</v>
      </c>
      <c r="H63" s="1906">
        <v>4349857</v>
      </c>
      <c r="I63" s="1907">
        <v>121.44722386251163</v>
      </c>
      <c r="J63" s="1906">
        <v>2967262</v>
      </c>
      <c r="K63" s="1907">
        <v>124.13073280029184</v>
      </c>
      <c r="L63" s="1906">
        <v>1382595</v>
      </c>
      <c r="M63" s="1907">
        <v>116.06234449134188</v>
      </c>
      <c r="N63" s="1906">
        <v>3299105</v>
      </c>
      <c r="O63" s="1906">
        <v>3769869</v>
      </c>
      <c r="P63" s="1906">
        <v>-470764</v>
      </c>
      <c r="CC63" s="1966"/>
      <c r="CD63" s="1966"/>
      <c r="CE63" s="1966"/>
      <c r="CF63" s="1966"/>
      <c r="CG63" s="1966"/>
    </row>
    <row r="64" spans="1:85">
      <c r="A64" s="1550" t="s">
        <v>1066</v>
      </c>
      <c r="B64" s="2144">
        <v>1124329</v>
      </c>
      <c r="C64" s="2145">
        <v>153.54903117608177</v>
      </c>
      <c r="D64" s="2144">
        <v>1029430</v>
      </c>
      <c r="E64" s="2145">
        <v>159.70678353954156</v>
      </c>
      <c r="F64" s="2144">
        <v>94899</v>
      </c>
      <c r="G64" s="2145">
        <v>108.26668796276226</v>
      </c>
      <c r="H64" s="2144">
        <v>1117109</v>
      </c>
      <c r="I64" s="2145">
        <v>156.87882328489334</v>
      </c>
      <c r="J64" s="2144">
        <v>823337</v>
      </c>
      <c r="K64" s="2145">
        <v>184.5364383131801</v>
      </c>
      <c r="L64" s="2144">
        <v>293772</v>
      </c>
      <c r="M64" s="2145">
        <v>110.47424215644614</v>
      </c>
      <c r="N64" s="2144">
        <v>7220</v>
      </c>
      <c r="O64" s="2144">
        <v>206093</v>
      </c>
      <c r="P64" s="2144">
        <v>-198873</v>
      </c>
    </row>
    <row r="65" spans="1:85">
      <c r="A65" s="1550" t="s">
        <v>1067</v>
      </c>
      <c r="B65" s="2144">
        <v>1696976</v>
      </c>
      <c r="C65" s="2145">
        <v>179.32483298355515</v>
      </c>
      <c r="D65" s="2144">
        <v>1527473</v>
      </c>
      <c r="E65" s="2145">
        <v>222.62281271952963</v>
      </c>
      <c r="F65" s="2144">
        <v>169503</v>
      </c>
      <c r="G65" s="2145">
        <v>65.14635571202362</v>
      </c>
      <c r="H65" s="2144">
        <v>1009210</v>
      </c>
      <c r="I65" s="2145">
        <v>120.08300542462345</v>
      </c>
      <c r="J65" s="2144">
        <v>627638</v>
      </c>
      <c r="K65" s="2145">
        <v>114.7206822871828</v>
      </c>
      <c r="L65" s="2144">
        <v>381572</v>
      </c>
      <c r="M65" s="2145">
        <v>130.08461575175744</v>
      </c>
      <c r="N65" s="2144">
        <v>687766</v>
      </c>
      <c r="O65" s="2144">
        <v>899835</v>
      </c>
      <c r="P65" s="2144">
        <v>-212069</v>
      </c>
    </row>
    <row r="66" spans="1:85">
      <c r="A66" s="1550" t="s">
        <v>985</v>
      </c>
      <c r="B66" s="2144">
        <v>2204873</v>
      </c>
      <c r="C66" s="2145">
        <v>242.17318192152698</v>
      </c>
      <c r="D66" s="2144">
        <v>1788751</v>
      </c>
      <c r="E66" s="2145">
        <v>221.20759803618463</v>
      </c>
      <c r="F66" s="2144">
        <v>416122</v>
      </c>
      <c r="G66" s="2145">
        <v>408.67191106135152</v>
      </c>
      <c r="H66" s="2144">
        <v>1215516</v>
      </c>
      <c r="I66" s="2145">
        <v>121.08759234612963</v>
      </c>
      <c r="J66" s="2144">
        <v>870559</v>
      </c>
      <c r="K66" s="2145">
        <v>117.63929277969363</v>
      </c>
      <c r="L66" s="2144">
        <v>344957</v>
      </c>
      <c r="M66" s="2145">
        <v>130.76062894226104</v>
      </c>
      <c r="N66" s="2144">
        <v>989357</v>
      </c>
      <c r="O66" s="2144">
        <v>918192</v>
      </c>
      <c r="P66" s="2144">
        <v>71165</v>
      </c>
    </row>
    <row r="67" spans="1:85">
      <c r="A67" s="1550" t="s">
        <v>1068</v>
      </c>
      <c r="B67" s="2144">
        <v>2622784</v>
      </c>
      <c r="C67" s="2145">
        <v>227.2802033298469</v>
      </c>
      <c r="D67" s="2144">
        <v>2391477</v>
      </c>
      <c r="E67" s="2145">
        <v>241.71080133738161</v>
      </c>
      <c r="F67" s="2144">
        <v>231307</v>
      </c>
      <c r="G67" s="2145">
        <v>140.59591901239369</v>
      </c>
      <c r="H67" s="2144">
        <v>1008022</v>
      </c>
      <c r="I67" s="2145">
        <v>98.310807515931259</v>
      </c>
      <c r="J67" s="2144">
        <v>645728</v>
      </c>
      <c r="K67" s="2145">
        <v>98.262935160231493</v>
      </c>
      <c r="L67" s="2144">
        <v>362294</v>
      </c>
      <c r="M67" s="2145">
        <v>98.396247681281039</v>
      </c>
      <c r="N67" s="2144">
        <v>1614762</v>
      </c>
      <c r="O67" s="2144">
        <v>1745749</v>
      </c>
      <c r="P67" s="2144">
        <v>-130987</v>
      </c>
      <c r="CC67" s="2143"/>
      <c r="CD67" s="2143"/>
      <c r="CE67" s="2143"/>
      <c r="CF67" s="2143"/>
      <c r="CG67" s="2143"/>
    </row>
    <row r="68" spans="1:85">
      <c r="A68" s="1550"/>
      <c r="B68" s="2144"/>
      <c r="C68" s="2145"/>
      <c r="D68" s="2144"/>
      <c r="E68" s="2145"/>
      <c r="F68" s="2144"/>
      <c r="G68" s="2145"/>
      <c r="H68" s="2144"/>
      <c r="I68" s="2145"/>
      <c r="J68" s="2144"/>
      <c r="K68" s="2145"/>
      <c r="L68" s="2144"/>
      <c r="M68" s="2145"/>
      <c r="N68" s="2144"/>
      <c r="O68" s="2144"/>
      <c r="P68" s="2144"/>
    </row>
    <row r="69" spans="1:85" s="2143" customFormat="1">
      <c r="A69" s="1550">
        <v>2006</v>
      </c>
      <c r="B69" s="1906">
        <v>13014633</v>
      </c>
      <c r="C69" s="1907">
        <v>170.14900845369607</v>
      </c>
      <c r="D69" s="1906">
        <v>12067616</v>
      </c>
      <c r="E69" s="1907">
        <v>179.12099378800858</v>
      </c>
      <c r="F69" s="1906">
        <v>947017</v>
      </c>
      <c r="G69" s="1907">
        <v>103.85882910320004</v>
      </c>
      <c r="H69" s="1906">
        <v>5269338</v>
      </c>
      <c r="I69" s="1907">
        <v>121.13818914047059</v>
      </c>
      <c r="J69" s="1906">
        <v>3504432</v>
      </c>
      <c r="K69" s="1907">
        <v>118.10322108394877</v>
      </c>
      <c r="L69" s="1906">
        <v>1764906</v>
      </c>
      <c r="M69" s="1907">
        <v>127.65169843663546</v>
      </c>
      <c r="N69" s="1906">
        <v>7745295</v>
      </c>
      <c r="O69" s="1906">
        <v>8563184</v>
      </c>
      <c r="P69" s="1906">
        <v>-817889</v>
      </c>
    </row>
    <row r="70" spans="1:85">
      <c r="A70" s="1550" t="s">
        <v>1066</v>
      </c>
      <c r="B70" s="2144">
        <v>2463706</v>
      </c>
      <c r="C70" s="2145">
        <v>219.12678584293386</v>
      </c>
      <c r="D70" s="2144">
        <v>2308638</v>
      </c>
      <c r="E70" s="2145">
        <v>224.26371875698203</v>
      </c>
      <c r="F70" s="2144">
        <v>155068</v>
      </c>
      <c r="G70" s="2145">
        <v>163.40319708321479</v>
      </c>
      <c r="H70" s="2144">
        <v>958143</v>
      </c>
      <c r="I70" s="2145">
        <v>85.769875634338277</v>
      </c>
      <c r="J70" s="2144">
        <v>586856</v>
      </c>
      <c r="K70" s="2145">
        <v>71.277739248934523</v>
      </c>
      <c r="L70" s="2144">
        <v>371287</v>
      </c>
      <c r="M70" s="2145">
        <v>126.3861089552442</v>
      </c>
      <c r="N70" s="2144">
        <v>1505563</v>
      </c>
      <c r="O70" s="2144">
        <v>1721782</v>
      </c>
      <c r="P70" s="2144">
        <v>-216219</v>
      </c>
    </row>
    <row r="71" spans="1:85">
      <c r="A71" s="1550" t="s">
        <v>1067</v>
      </c>
      <c r="B71" s="2144">
        <v>2950207</v>
      </c>
      <c r="C71" s="2145">
        <v>173.85083819688668</v>
      </c>
      <c r="D71" s="2144">
        <v>2684422</v>
      </c>
      <c r="E71" s="2145">
        <v>175.74268088535771</v>
      </c>
      <c r="F71" s="2144">
        <v>265785</v>
      </c>
      <c r="G71" s="2145">
        <v>156.8025344684165</v>
      </c>
      <c r="H71" s="2144">
        <v>1263014</v>
      </c>
      <c r="I71" s="2145">
        <v>125.14877973860743</v>
      </c>
      <c r="J71" s="2144">
        <v>878175</v>
      </c>
      <c r="K71" s="2145">
        <v>139.91743648408797</v>
      </c>
      <c r="L71" s="2144">
        <v>384839</v>
      </c>
      <c r="M71" s="2145">
        <v>100.85619489899678</v>
      </c>
      <c r="N71" s="2144">
        <v>1687193</v>
      </c>
      <c r="O71" s="2144">
        <v>1806247</v>
      </c>
      <c r="P71" s="2144">
        <v>-119054</v>
      </c>
    </row>
    <row r="72" spans="1:85">
      <c r="A72" s="1550" t="s">
        <v>985</v>
      </c>
      <c r="B72" s="2144">
        <v>3642944</v>
      </c>
      <c r="C72" s="2145">
        <v>165.22239602915906</v>
      </c>
      <c r="D72" s="2144">
        <v>3419035</v>
      </c>
      <c r="E72" s="2145">
        <v>191.14091340829441</v>
      </c>
      <c r="F72" s="2144">
        <v>223909</v>
      </c>
      <c r="G72" s="2145">
        <v>53.808498469198938</v>
      </c>
      <c r="H72" s="2144">
        <v>1457857</v>
      </c>
      <c r="I72" s="2145">
        <v>119.93729412035712</v>
      </c>
      <c r="J72" s="2144">
        <v>1022926</v>
      </c>
      <c r="K72" s="2145">
        <v>117.50220260774972</v>
      </c>
      <c r="L72" s="2144">
        <v>434931</v>
      </c>
      <c r="M72" s="2145">
        <v>126.08267117350857</v>
      </c>
      <c r="N72" s="2144">
        <v>2185087</v>
      </c>
      <c r="O72" s="2144">
        <v>2396109</v>
      </c>
      <c r="P72" s="2144">
        <v>-211022</v>
      </c>
    </row>
    <row r="73" spans="1:85">
      <c r="A73" s="1550" t="s">
        <v>1068</v>
      </c>
      <c r="B73" s="2144">
        <v>3957776</v>
      </c>
      <c r="C73" s="2145">
        <v>150.89980722773967</v>
      </c>
      <c r="D73" s="2144">
        <v>3655521</v>
      </c>
      <c r="E73" s="2145">
        <v>152.85620560013749</v>
      </c>
      <c r="F73" s="2144">
        <v>302255</v>
      </c>
      <c r="G73" s="2145">
        <v>130.67265582105168</v>
      </c>
      <c r="H73" s="2144">
        <v>1590324</v>
      </c>
      <c r="I73" s="2145">
        <v>157.76679477233634</v>
      </c>
      <c r="J73" s="2144">
        <v>1016475</v>
      </c>
      <c r="K73" s="2145">
        <v>157.41535135536944</v>
      </c>
      <c r="L73" s="2144">
        <v>573849</v>
      </c>
      <c r="M73" s="2145">
        <v>158.39318343665641</v>
      </c>
      <c r="N73" s="2144">
        <v>2367452</v>
      </c>
      <c r="O73" s="2144">
        <v>2639046</v>
      </c>
      <c r="P73" s="2144">
        <v>-271594</v>
      </c>
    </row>
    <row r="74" spans="1:85">
      <c r="A74" s="1550"/>
      <c r="B74" s="2144"/>
      <c r="C74" s="2145"/>
      <c r="D74" s="2144"/>
      <c r="E74" s="2145"/>
      <c r="F74" s="2144"/>
      <c r="G74" s="2145"/>
      <c r="H74" s="2144"/>
      <c r="I74" s="2145"/>
      <c r="J74" s="2144"/>
      <c r="K74" s="2145"/>
      <c r="L74" s="2144"/>
      <c r="M74" s="2145"/>
      <c r="N74" s="2144"/>
      <c r="O74" s="2144"/>
      <c r="P74" s="2144"/>
    </row>
    <row r="75" spans="1:85" s="2143" customFormat="1">
      <c r="A75" s="1550">
        <v>2007</v>
      </c>
      <c r="B75" s="1906">
        <v>21269317</v>
      </c>
      <c r="C75" s="1907">
        <v>163.42617575155595</v>
      </c>
      <c r="D75" s="1906">
        <v>20087289</v>
      </c>
      <c r="E75" s="1907">
        <v>166.45615007968433</v>
      </c>
      <c r="F75" s="1906">
        <v>1182028</v>
      </c>
      <c r="G75" s="1907">
        <v>124.8159219950645</v>
      </c>
      <c r="H75" s="1906">
        <v>6045019</v>
      </c>
      <c r="I75" s="1907">
        <v>114.72065371399596</v>
      </c>
      <c r="J75" s="1906">
        <v>4287396</v>
      </c>
      <c r="K75" s="1907">
        <v>122.34210850717035</v>
      </c>
      <c r="L75" s="1906">
        <v>1757623</v>
      </c>
      <c r="M75" s="1907">
        <v>99.587343461918081</v>
      </c>
      <c r="N75" s="1906">
        <v>15224298</v>
      </c>
      <c r="O75" s="1906">
        <v>15799893</v>
      </c>
      <c r="P75" s="1906">
        <v>-575595</v>
      </c>
    </row>
    <row r="76" spans="1:85">
      <c r="A76" s="1550" t="s">
        <v>1066</v>
      </c>
      <c r="B76" s="2144">
        <v>4036285</v>
      </c>
      <c r="C76" s="2145">
        <v>163.8298157328837</v>
      </c>
      <c r="D76" s="2144">
        <v>3809410</v>
      </c>
      <c r="E76" s="2145">
        <v>165.00681354114417</v>
      </c>
      <c r="F76" s="2144">
        <v>226875</v>
      </c>
      <c r="G76" s="2145">
        <v>146.30678154100136</v>
      </c>
      <c r="H76" s="2144">
        <v>1186041</v>
      </c>
      <c r="I76" s="2145">
        <v>123.78538485382661</v>
      </c>
      <c r="J76" s="2144">
        <v>807478</v>
      </c>
      <c r="K76" s="2145">
        <v>137.59389015363223</v>
      </c>
      <c r="L76" s="2144">
        <v>378563</v>
      </c>
      <c r="M76" s="2145">
        <v>101.95967001268559</v>
      </c>
      <c r="N76" s="2144">
        <v>2850244</v>
      </c>
      <c r="O76" s="2144">
        <v>3001932</v>
      </c>
      <c r="P76" s="2144">
        <v>-151688</v>
      </c>
    </row>
    <row r="77" spans="1:85">
      <c r="A77" s="1550" t="s">
        <v>1067</v>
      </c>
      <c r="B77" s="2144">
        <v>5215560</v>
      </c>
      <c r="C77" s="2145">
        <v>176.78623906729257</v>
      </c>
      <c r="D77" s="2144">
        <v>4913104</v>
      </c>
      <c r="E77" s="2145">
        <v>183.02278851834771</v>
      </c>
      <c r="F77" s="2144">
        <v>302456</v>
      </c>
      <c r="G77" s="2145">
        <v>113.79724213179824</v>
      </c>
      <c r="H77" s="2144">
        <v>1417480</v>
      </c>
      <c r="I77" s="2145">
        <v>112.22995152864496</v>
      </c>
      <c r="J77" s="2144">
        <v>955113</v>
      </c>
      <c r="K77" s="2145">
        <v>108.76112392176958</v>
      </c>
      <c r="L77" s="2144">
        <v>462367</v>
      </c>
      <c r="M77" s="2145">
        <v>120.14556736713276</v>
      </c>
      <c r="N77" s="2144">
        <v>3798080</v>
      </c>
      <c r="O77" s="2144">
        <v>3957991</v>
      </c>
      <c r="P77" s="2144">
        <v>-159911</v>
      </c>
    </row>
    <row r="78" spans="1:85">
      <c r="A78" s="1550" t="s">
        <v>985</v>
      </c>
      <c r="B78" s="2144">
        <v>5062744</v>
      </c>
      <c r="C78" s="2145">
        <v>138.97397269900389</v>
      </c>
      <c r="D78" s="2144">
        <v>4712334</v>
      </c>
      <c r="E78" s="2145">
        <v>137.82643348196203</v>
      </c>
      <c r="F78" s="2144">
        <v>350410</v>
      </c>
      <c r="G78" s="2145">
        <v>156.49661246309884</v>
      </c>
      <c r="H78" s="2144">
        <v>1555665</v>
      </c>
      <c r="I78" s="2145">
        <v>106.70902564517644</v>
      </c>
      <c r="J78" s="2144">
        <v>1181596</v>
      </c>
      <c r="K78" s="2145">
        <v>115.51138596535819</v>
      </c>
      <c r="L78" s="2144">
        <v>374069</v>
      </c>
      <c r="M78" s="2145">
        <v>86.006515976097347</v>
      </c>
      <c r="N78" s="2144">
        <v>3507079</v>
      </c>
      <c r="O78" s="2144">
        <v>3530738</v>
      </c>
      <c r="P78" s="2144">
        <v>-23659</v>
      </c>
    </row>
    <row r="79" spans="1:85">
      <c r="A79" s="1550" t="s">
        <v>1068</v>
      </c>
      <c r="B79" s="2144">
        <v>6954728</v>
      </c>
      <c r="C79" s="2145">
        <v>175.72313339612955</v>
      </c>
      <c r="D79" s="2144">
        <v>6652441</v>
      </c>
      <c r="E79" s="2145">
        <v>181.98338896151876</v>
      </c>
      <c r="F79" s="2144">
        <v>302287</v>
      </c>
      <c r="G79" s="2145">
        <v>100.01058708706225</v>
      </c>
      <c r="H79" s="2144">
        <v>1885833</v>
      </c>
      <c r="I79" s="2145">
        <v>118.58168524149796</v>
      </c>
      <c r="J79" s="2144">
        <v>1343209</v>
      </c>
      <c r="K79" s="2145">
        <v>132.14383039425465</v>
      </c>
      <c r="L79" s="2144">
        <v>542624</v>
      </c>
      <c r="M79" s="2145">
        <v>94.558673100414907</v>
      </c>
      <c r="N79" s="2144">
        <v>5068895</v>
      </c>
      <c r="O79" s="2144">
        <v>5309232</v>
      </c>
      <c r="P79" s="2144">
        <v>-240337</v>
      </c>
    </row>
    <row r="80" spans="1:85">
      <c r="A80" s="1550"/>
      <c r="B80" s="2144"/>
      <c r="C80" s="2145"/>
      <c r="D80" s="2144"/>
      <c r="E80" s="2145"/>
      <c r="F80" s="2144"/>
      <c r="G80" s="2145"/>
      <c r="H80" s="2144"/>
      <c r="I80" s="2145"/>
      <c r="J80" s="2144"/>
      <c r="K80" s="2145"/>
      <c r="L80" s="2144"/>
      <c r="M80" s="2145"/>
      <c r="N80" s="2144"/>
      <c r="O80" s="2144"/>
      <c r="P80" s="2144"/>
    </row>
    <row r="81" spans="1:38" s="2143" customFormat="1">
      <c r="A81" s="1550">
        <v>2008</v>
      </c>
      <c r="B81" s="1906">
        <v>30586343</v>
      </c>
      <c r="C81" s="1907">
        <v>143.80500793702026</v>
      </c>
      <c r="D81" s="1906">
        <v>28904059</v>
      </c>
      <c r="E81" s="1907">
        <v>143.89228431970088</v>
      </c>
      <c r="F81" s="1906">
        <v>1682284</v>
      </c>
      <c r="G81" s="1907">
        <v>142.32184009177448</v>
      </c>
      <c r="H81" s="1906">
        <v>7574679</v>
      </c>
      <c r="I81" s="1907">
        <v>125.30446967991334</v>
      </c>
      <c r="J81" s="1906">
        <v>5438709</v>
      </c>
      <c r="K81" s="1907">
        <v>126.85343271300343</v>
      </c>
      <c r="L81" s="1906">
        <v>2135970</v>
      </c>
      <c r="M81" s="1907">
        <v>121.52606104949697</v>
      </c>
      <c r="N81" s="1906">
        <v>23011664</v>
      </c>
      <c r="O81" s="1906">
        <v>23465350</v>
      </c>
      <c r="P81" s="1906">
        <v>-453686</v>
      </c>
    </row>
    <row r="82" spans="1:38">
      <c r="A82" s="1550" t="s">
        <v>1066</v>
      </c>
      <c r="B82" s="2144">
        <v>7237027</v>
      </c>
      <c r="C82" s="2145">
        <v>179.29920706788545</v>
      </c>
      <c r="D82" s="2144">
        <v>6927480</v>
      </c>
      <c r="E82" s="2145">
        <v>181.85178282201178</v>
      </c>
      <c r="F82" s="2144">
        <v>309547</v>
      </c>
      <c r="G82" s="2145">
        <v>136.43944903581266</v>
      </c>
      <c r="H82" s="2144">
        <v>1420943</v>
      </c>
      <c r="I82" s="2145">
        <v>119.80555478267614</v>
      </c>
      <c r="J82" s="2144">
        <v>1021862</v>
      </c>
      <c r="K82" s="2145">
        <v>126.54982550608189</v>
      </c>
      <c r="L82" s="2144">
        <v>399081</v>
      </c>
      <c r="M82" s="2145">
        <v>105.4199697276279</v>
      </c>
      <c r="N82" s="2144">
        <v>5816084</v>
      </c>
      <c r="O82" s="2144">
        <v>5905618</v>
      </c>
      <c r="P82" s="2144">
        <v>-89534</v>
      </c>
    </row>
    <row r="83" spans="1:38">
      <c r="A83" s="1550" t="s">
        <v>1067</v>
      </c>
      <c r="B83" s="2144">
        <v>9996038</v>
      </c>
      <c r="C83" s="2145">
        <v>191.65800029143563</v>
      </c>
      <c r="D83" s="2144">
        <v>9526529</v>
      </c>
      <c r="E83" s="2145">
        <v>193.90041407631509</v>
      </c>
      <c r="F83" s="2144">
        <v>469509</v>
      </c>
      <c r="G83" s="2145">
        <v>155.23216600100511</v>
      </c>
      <c r="H83" s="2144">
        <v>1794274</v>
      </c>
      <c r="I83" s="2145">
        <v>126.5819623557299</v>
      </c>
      <c r="J83" s="2144">
        <v>1323894</v>
      </c>
      <c r="K83" s="2145">
        <v>138.6112428581749</v>
      </c>
      <c r="L83" s="2144">
        <v>470380</v>
      </c>
      <c r="M83" s="2145">
        <v>101.73303890632333</v>
      </c>
      <c r="N83" s="2144">
        <v>8201764</v>
      </c>
      <c r="O83" s="2144">
        <v>8202635</v>
      </c>
      <c r="P83" s="2144">
        <v>-871</v>
      </c>
    </row>
    <row r="84" spans="1:38">
      <c r="A84" s="1550" t="s">
        <v>985</v>
      </c>
      <c r="B84" s="2144">
        <v>9010345</v>
      </c>
      <c r="C84" s="2145">
        <v>177.97354557133445</v>
      </c>
      <c r="D84" s="2144">
        <v>8545689</v>
      </c>
      <c r="E84" s="2145">
        <v>181.34726867832373</v>
      </c>
      <c r="F84" s="2144">
        <v>464656</v>
      </c>
      <c r="G84" s="2145">
        <v>132.60352158899576</v>
      </c>
      <c r="H84" s="2144">
        <v>2280618</v>
      </c>
      <c r="I84" s="2145">
        <v>146.60084272642246</v>
      </c>
      <c r="J84" s="2144">
        <v>1584822</v>
      </c>
      <c r="K84" s="2145">
        <v>134.12553867819457</v>
      </c>
      <c r="L84" s="2144">
        <v>695796</v>
      </c>
      <c r="M84" s="2145">
        <v>186.00739435772545</v>
      </c>
      <c r="N84" s="2144">
        <v>6729727</v>
      </c>
      <c r="O84" s="2144">
        <v>6960867</v>
      </c>
      <c r="P84" s="2144">
        <v>-231140</v>
      </c>
    </row>
    <row r="85" spans="1:38">
      <c r="A85" s="1550" t="s">
        <v>1068</v>
      </c>
      <c r="B85" s="2144">
        <v>4342933</v>
      </c>
      <c r="C85" s="2145">
        <v>62.44576351512238</v>
      </c>
      <c r="D85" s="2144">
        <v>3904361</v>
      </c>
      <c r="E85" s="2145">
        <v>58.690652047872348</v>
      </c>
      <c r="F85" s="2144">
        <v>438572</v>
      </c>
      <c r="G85" s="2145">
        <v>145.0846381088171</v>
      </c>
      <c r="H85" s="2144">
        <v>2078844</v>
      </c>
      <c r="I85" s="2145">
        <v>110.23478749178746</v>
      </c>
      <c r="J85" s="2144">
        <v>1508131</v>
      </c>
      <c r="K85" s="2145">
        <v>112.27820838008084</v>
      </c>
      <c r="L85" s="2144">
        <v>570713</v>
      </c>
      <c r="M85" s="2145">
        <v>105.1765126496432</v>
      </c>
      <c r="N85" s="2144">
        <v>2264089</v>
      </c>
      <c r="O85" s="2144">
        <v>2396230</v>
      </c>
      <c r="P85" s="2144">
        <v>-132141</v>
      </c>
    </row>
    <row r="86" spans="1:38">
      <c r="A86" s="1550"/>
      <c r="B86" s="2144"/>
      <c r="C86" s="2145"/>
      <c r="D86" s="2144"/>
      <c r="E86" s="2145"/>
      <c r="F86" s="2144"/>
      <c r="G86" s="2145"/>
      <c r="H86" s="2144"/>
      <c r="I86" s="2145"/>
      <c r="J86" s="2144"/>
      <c r="K86" s="2145"/>
      <c r="L86" s="2144"/>
      <c r="M86" s="2145"/>
      <c r="N86" s="2144"/>
      <c r="O86" s="2144"/>
      <c r="P86" s="2144"/>
    </row>
    <row r="87" spans="1:38" s="2143" customFormat="1">
      <c r="A87" s="1550">
        <v>2009</v>
      </c>
      <c r="B87" s="1906">
        <v>21096820</v>
      </c>
      <c r="C87" s="1907">
        <v>68.974640086917233</v>
      </c>
      <c r="D87" s="1906">
        <v>20001681</v>
      </c>
      <c r="E87" s="1907">
        <v>69.200249695034174</v>
      </c>
      <c r="F87" s="1906">
        <v>1095139</v>
      </c>
      <c r="G87" s="1907">
        <v>65.098342491517485</v>
      </c>
      <c r="H87" s="1906">
        <v>6513875</v>
      </c>
      <c r="I87" s="1907">
        <v>85.995393336140054</v>
      </c>
      <c r="J87" s="1906">
        <v>4735929</v>
      </c>
      <c r="K87" s="1907">
        <v>87.078183443901864</v>
      </c>
      <c r="L87" s="1906">
        <v>1777946</v>
      </c>
      <c r="M87" s="1907">
        <v>83.238341362472326</v>
      </c>
      <c r="N87" s="1906">
        <v>14582945</v>
      </c>
      <c r="O87" s="1906">
        <v>15265752</v>
      </c>
      <c r="P87" s="1906">
        <v>-682807</v>
      </c>
    </row>
    <row r="88" spans="1:38">
      <c r="A88" s="1550" t="s">
        <v>1066</v>
      </c>
      <c r="B88" s="2144">
        <v>3587634</v>
      </c>
      <c r="C88" s="2145">
        <v>49.573312356026861</v>
      </c>
      <c r="D88" s="2144">
        <v>3310785</v>
      </c>
      <c r="E88" s="2145">
        <v>47.792054253494776</v>
      </c>
      <c r="F88" s="2144">
        <v>276849</v>
      </c>
      <c r="G88" s="2145">
        <v>89.436822195014003</v>
      </c>
      <c r="H88" s="2144">
        <v>1476982</v>
      </c>
      <c r="I88" s="2145">
        <v>103.94378944123726</v>
      </c>
      <c r="J88" s="2144">
        <v>1079532</v>
      </c>
      <c r="K88" s="2145">
        <v>105.64361919711271</v>
      </c>
      <c r="L88" s="2144">
        <v>397450</v>
      </c>
      <c r="M88" s="2145">
        <v>99.591311037107758</v>
      </c>
      <c r="N88" s="2144">
        <v>2110652</v>
      </c>
      <c r="O88" s="2144">
        <v>2231253</v>
      </c>
      <c r="P88" s="2144">
        <v>-120601</v>
      </c>
    </row>
    <row r="89" spans="1:38">
      <c r="A89" s="1550" t="s">
        <v>1067</v>
      </c>
      <c r="B89" s="2144">
        <v>5255911</v>
      </c>
      <c r="C89" s="2145">
        <v>52.57994217308898</v>
      </c>
      <c r="D89" s="2144">
        <v>4952493</v>
      </c>
      <c r="E89" s="2145">
        <v>51.986332062811123</v>
      </c>
      <c r="F89" s="2144">
        <v>303418</v>
      </c>
      <c r="G89" s="2145">
        <v>64.624533289031731</v>
      </c>
      <c r="H89" s="2144">
        <v>1451664</v>
      </c>
      <c r="I89" s="2145">
        <v>80.905368968173192</v>
      </c>
      <c r="J89" s="2144">
        <v>1062036</v>
      </c>
      <c r="K89" s="2145">
        <v>80.220621892689294</v>
      </c>
      <c r="L89" s="2144">
        <v>389628</v>
      </c>
      <c r="M89" s="2145">
        <v>82.832603427016466</v>
      </c>
      <c r="N89" s="2144">
        <v>3804247</v>
      </c>
      <c r="O89" s="2144">
        <v>3890457</v>
      </c>
      <c r="P89" s="2144">
        <v>-86210</v>
      </c>
    </row>
    <row r="90" spans="1:38">
      <c r="A90" s="1550" t="s">
        <v>985</v>
      </c>
      <c r="B90" s="2144">
        <v>5946514</v>
      </c>
      <c r="C90" s="2145">
        <v>65.996518446297003</v>
      </c>
      <c r="D90" s="2144">
        <v>5896082</v>
      </c>
      <c r="E90" s="2145">
        <v>68.994811301932472</v>
      </c>
      <c r="F90" s="2144">
        <v>50432</v>
      </c>
      <c r="G90" s="2145">
        <v>10.85362074308736</v>
      </c>
      <c r="H90" s="2144">
        <v>1792929</v>
      </c>
      <c r="I90" s="2145">
        <v>78.615927787994309</v>
      </c>
      <c r="J90" s="2144">
        <v>1344491</v>
      </c>
      <c r="K90" s="2145">
        <v>84.835457862144764</v>
      </c>
      <c r="L90" s="2144">
        <v>448438</v>
      </c>
      <c r="M90" s="2145">
        <v>64.449637537439131</v>
      </c>
      <c r="N90" s="2144">
        <v>4153585</v>
      </c>
      <c r="O90" s="2144">
        <v>4551591</v>
      </c>
      <c r="P90" s="2144">
        <v>-398006</v>
      </c>
    </row>
    <row r="91" spans="1:38">
      <c r="A91" s="1550" t="s">
        <v>1068</v>
      </c>
      <c r="B91" s="2144">
        <v>6306761</v>
      </c>
      <c r="C91" s="2145">
        <v>145.21893384033325</v>
      </c>
      <c r="D91" s="2144">
        <v>5842321</v>
      </c>
      <c r="E91" s="2145">
        <v>149.63577906858509</v>
      </c>
      <c r="F91" s="2144">
        <v>464440</v>
      </c>
      <c r="G91" s="2145">
        <v>105.89823335735066</v>
      </c>
      <c r="H91" s="2144">
        <v>1792300</v>
      </c>
      <c r="I91" s="2145">
        <v>86.216185533883248</v>
      </c>
      <c r="J91" s="2144">
        <v>1249870</v>
      </c>
      <c r="K91" s="2145">
        <v>82.875426604187567</v>
      </c>
      <c r="L91" s="2144">
        <v>542430</v>
      </c>
      <c r="M91" s="2145">
        <v>95.044269186088286</v>
      </c>
      <c r="N91" s="2144">
        <v>4514461</v>
      </c>
      <c r="O91" s="2144">
        <v>4592451</v>
      </c>
      <c r="P91" s="2144">
        <v>-77990</v>
      </c>
    </row>
    <row r="92" spans="1:38">
      <c r="A92" s="1550"/>
      <c r="B92" s="2144"/>
      <c r="C92" s="2145"/>
      <c r="D92" s="2144"/>
      <c r="E92" s="2145"/>
      <c r="F92" s="2144"/>
      <c r="G92" s="2145"/>
      <c r="H92" s="2144"/>
      <c r="I92" s="2145"/>
      <c r="J92" s="2144"/>
      <c r="K92" s="2145"/>
      <c r="L92" s="2144"/>
      <c r="M92" s="2145"/>
      <c r="N92" s="2144"/>
      <c r="O92" s="2144"/>
      <c r="P92" s="2144"/>
    </row>
    <row r="93" spans="1:38" s="2143" customFormat="1">
      <c r="A93" s="1550">
        <v>2010</v>
      </c>
      <c r="B93" s="1906">
        <v>26476026</v>
      </c>
      <c r="C93" s="1907">
        <v>125.49771008142459</v>
      </c>
      <c r="D93" s="1906">
        <v>24311243</v>
      </c>
      <c r="E93" s="1907">
        <v>121.54599905877912</v>
      </c>
      <c r="F93" s="1906">
        <v>2164783</v>
      </c>
      <c r="G93" s="1907">
        <v>197.67198501742703</v>
      </c>
      <c r="H93" s="1906">
        <v>6745603</v>
      </c>
      <c r="I93" s="1907">
        <v>103.55745236130566</v>
      </c>
      <c r="J93" s="1906">
        <v>4794083</v>
      </c>
      <c r="K93" s="1907">
        <v>101.22793225996421</v>
      </c>
      <c r="L93" s="1906">
        <v>1951520</v>
      </c>
      <c r="M93" s="1907">
        <v>109.76261371267744</v>
      </c>
      <c r="N93" s="1906">
        <v>19730423</v>
      </c>
      <c r="O93" s="1906">
        <v>19517160</v>
      </c>
      <c r="P93" s="1906">
        <v>213263</v>
      </c>
    </row>
    <row r="94" spans="1:38">
      <c r="A94" s="1550" t="s">
        <v>1066</v>
      </c>
      <c r="B94" s="2144">
        <v>6258425</v>
      </c>
      <c r="C94" s="2145">
        <v>174.4443552491698</v>
      </c>
      <c r="D94" s="2144">
        <v>5760856</v>
      </c>
      <c r="E94" s="2145">
        <v>174.00272140897098</v>
      </c>
      <c r="F94" s="2144">
        <v>497569</v>
      </c>
      <c r="G94" s="2145">
        <v>179.72577108821056</v>
      </c>
      <c r="H94" s="2144">
        <v>1217837</v>
      </c>
      <c r="I94" s="2145">
        <v>82.454423953711014</v>
      </c>
      <c r="J94" s="2144">
        <v>855983</v>
      </c>
      <c r="K94" s="2145">
        <v>79.292045071382788</v>
      </c>
      <c r="L94" s="2144">
        <v>361854</v>
      </c>
      <c r="M94" s="2145">
        <v>91.043904893697331</v>
      </c>
      <c r="N94" s="2144">
        <v>5040588</v>
      </c>
      <c r="O94" s="2144">
        <v>4904873</v>
      </c>
      <c r="P94" s="2144">
        <v>135715</v>
      </c>
    </row>
    <row r="95" spans="1:38">
      <c r="A95" s="1550" t="s">
        <v>1067</v>
      </c>
      <c r="B95" s="2144">
        <v>6933621</v>
      </c>
      <c r="C95" s="2145">
        <v>131.92044157520934</v>
      </c>
      <c r="D95" s="2144">
        <v>6305395</v>
      </c>
      <c r="E95" s="2145">
        <v>127.31759540094252</v>
      </c>
      <c r="F95" s="2144">
        <v>628226</v>
      </c>
      <c r="G95" s="2145">
        <v>207.04968063859098</v>
      </c>
      <c r="H95" s="2144">
        <v>1737831</v>
      </c>
      <c r="I95" s="2145">
        <v>119.71303276791323</v>
      </c>
      <c r="J95" s="2144">
        <v>1245142</v>
      </c>
      <c r="K95" s="2145">
        <v>117.2410351438181</v>
      </c>
      <c r="L95" s="2144">
        <v>492689</v>
      </c>
      <c r="M95" s="2145">
        <v>126.45112774235938</v>
      </c>
      <c r="N95" s="2144">
        <v>5195790</v>
      </c>
      <c r="O95" s="2144">
        <v>5060253</v>
      </c>
      <c r="P95" s="2144">
        <v>135537</v>
      </c>
    </row>
    <row r="96" spans="1:38">
      <c r="A96" s="1550" t="s">
        <v>985</v>
      </c>
      <c r="B96" s="2144">
        <v>6888150</v>
      </c>
      <c r="C96" s="2145">
        <v>115.83509262737799</v>
      </c>
      <c r="D96" s="2144">
        <v>6400978</v>
      </c>
      <c r="E96" s="2145">
        <v>108.56324589786912</v>
      </c>
      <c r="F96" s="2144">
        <v>487172</v>
      </c>
      <c r="G96" s="2145">
        <v>965.99777918781729</v>
      </c>
      <c r="H96" s="2144">
        <v>1706833</v>
      </c>
      <c r="I96" s="2145">
        <v>95.198025130944956</v>
      </c>
      <c r="J96" s="2144">
        <v>1212269</v>
      </c>
      <c r="K96" s="2145">
        <v>90.165646330098156</v>
      </c>
      <c r="L96" s="2144">
        <v>494564</v>
      </c>
      <c r="M96" s="2145">
        <v>110.28592581360188</v>
      </c>
      <c r="N96" s="2144">
        <v>5181317</v>
      </c>
      <c r="O96" s="2144">
        <v>5188709</v>
      </c>
      <c r="P96" s="2144">
        <v>-7392</v>
      </c>
      <c r="Q96" s="2075"/>
      <c r="R96" s="2075"/>
      <c r="S96" s="2075"/>
      <c r="T96" s="2075"/>
      <c r="U96" s="2075"/>
      <c r="V96" s="2075"/>
      <c r="W96" s="2075"/>
      <c r="X96" s="2075"/>
      <c r="Y96" s="2075"/>
      <c r="Z96" s="2075"/>
      <c r="AA96" s="2075"/>
      <c r="AB96" s="2075"/>
      <c r="AC96" s="2075"/>
      <c r="AD96" s="2075"/>
      <c r="AE96" s="2075"/>
      <c r="AF96" s="2075"/>
      <c r="AG96" s="2075"/>
      <c r="AH96" s="2075"/>
      <c r="AI96" s="2075"/>
      <c r="AJ96" s="2075"/>
      <c r="AK96" s="2075"/>
      <c r="AL96" s="2146"/>
    </row>
    <row r="97" spans="1:16">
      <c r="A97" s="1550" t="s">
        <v>1068</v>
      </c>
      <c r="B97" s="2144">
        <v>6395830</v>
      </c>
      <c r="C97" s="2145">
        <v>101.41227802987936</v>
      </c>
      <c r="D97" s="2144">
        <v>5844014</v>
      </c>
      <c r="E97" s="2145">
        <v>100.02897820917407</v>
      </c>
      <c r="F97" s="2144">
        <v>551816</v>
      </c>
      <c r="G97" s="2145">
        <v>118.81319438463527</v>
      </c>
      <c r="H97" s="2144">
        <v>2083102</v>
      </c>
      <c r="I97" s="2145">
        <v>116.22507392735591</v>
      </c>
      <c r="J97" s="2144">
        <v>1480689</v>
      </c>
      <c r="K97" s="2145">
        <v>118.46744061382384</v>
      </c>
      <c r="L97" s="2144">
        <v>602413</v>
      </c>
      <c r="M97" s="2145">
        <v>111.05820105820105</v>
      </c>
      <c r="N97" s="2144">
        <v>4312728</v>
      </c>
      <c r="O97" s="2144">
        <v>4363325</v>
      </c>
      <c r="P97" s="2144">
        <v>-50597</v>
      </c>
    </row>
    <row r="98" spans="1:16">
      <c r="A98" s="1550"/>
      <c r="B98" s="2144"/>
      <c r="C98" s="2145"/>
      <c r="D98" s="2144"/>
      <c r="E98" s="2145"/>
      <c r="F98" s="2144"/>
      <c r="G98" s="2145"/>
      <c r="H98" s="2144"/>
      <c r="I98" s="2145"/>
      <c r="J98" s="2144"/>
      <c r="K98" s="2145"/>
      <c r="L98" s="2144"/>
      <c r="M98" s="2145"/>
      <c r="N98" s="2144"/>
      <c r="O98" s="2144"/>
      <c r="P98" s="2144"/>
    </row>
    <row r="99" spans="1:16" s="2143" customFormat="1">
      <c r="A99" s="1550">
        <v>2011</v>
      </c>
      <c r="B99" s="1906">
        <v>34494880</v>
      </c>
      <c r="C99" s="1907">
        <v>130.28722664043312</v>
      </c>
      <c r="D99" s="1906">
        <v>31419546</v>
      </c>
      <c r="E99" s="1907">
        <v>129.23874768558727</v>
      </c>
      <c r="F99" s="1906">
        <v>3075334</v>
      </c>
      <c r="G99" s="1907">
        <v>142.06199882390061</v>
      </c>
      <c r="H99" s="1906">
        <v>10166471</v>
      </c>
      <c r="I99" s="1907">
        <v>150.71256046346042</v>
      </c>
      <c r="J99" s="1906">
        <v>7665979</v>
      </c>
      <c r="K99" s="1907">
        <v>159.90501207425905</v>
      </c>
      <c r="L99" s="1906">
        <v>2500492</v>
      </c>
      <c r="M99" s="1907">
        <v>128.13048290563253</v>
      </c>
      <c r="N99" s="1906">
        <v>24328409</v>
      </c>
      <c r="O99" s="1906">
        <v>23753567</v>
      </c>
      <c r="P99" s="1906">
        <v>574842</v>
      </c>
    </row>
    <row r="100" spans="1:16">
      <c r="A100" s="1550" t="s">
        <v>1066</v>
      </c>
      <c r="B100" s="2144">
        <v>8546135</v>
      </c>
      <c r="C100" s="2145">
        <v>136.55408509329422</v>
      </c>
      <c r="D100" s="2144">
        <v>7627342</v>
      </c>
      <c r="E100" s="2145">
        <v>132.39945591419053</v>
      </c>
      <c r="F100" s="2144">
        <v>918793</v>
      </c>
      <c r="G100" s="2145">
        <v>184.65639941395062</v>
      </c>
      <c r="H100" s="2144">
        <v>1991926</v>
      </c>
      <c r="I100" s="2145">
        <v>163.5626114167988</v>
      </c>
      <c r="J100" s="2144">
        <v>1377351</v>
      </c>
      <c r="K100" s="2145">
        <v>160.90868627063855</v>
      </c>
      <c r="L100" s="2144">
        <v>614575</v>
      </c>
      <c r="M100" s="2145">
        <v>169.8405986945011</v>
      </c>
      <c r="N100" s="2144">
        <v>6554209</v>
      </c>
      <c r="O100" s="2144">
        <v>6249991</v>
      </c>
      <c r="P100" s="2144">
        <v>304218</v>
      </c>
    </row>
    <row r="101" spans="1:16">
      <c r="A101" s="1550" t="s">
        <v>1067</v>
      </c>
      <c r="B101" s="2144">
        <v>9705438</v>
      </c>
      <c r="C101" s="2145">
        <v>139.97647116852795</v>
      </c>
      <c r="D101" s="2144">
        <v>8839266</v>
      </c>
      <c r="E101" s="2145">
        <v>140.18576155815774</v>
      </c>
      <c r="F101" s="2144">
        <v>866172</v>
      </c>
      <c r="G101" s="2145">
        <v>137.87585996122417</v>
      </c>
      <c r="H101" s="2144">
        <v>2581827</v>
      </c>
      <c r="I101" s="2145">
        <v>148.56605734389592</v>
      </c>
      <c r="J101" s="2144">
        <v>1963507</v>
      </c>
      <c r="K101" s="2145">
        <v>157.69341970634673</v>
      </c>
      <c r="L101" s="2144">
        <v>618320</v>
      </c>
      <c r="M101" s="2145">
        <v>125.49904706620201</v>
      </c>
      <c r="N101" s="2144">
        <v>7123611</v>
      </c>
      <c r="O101" s="2144">
        <v>6875759</v>
      </c>
      <c r="P101" s="2144">
        <v>247852</v>
      </c>
    </row>
    <row r="102" spans="1:16">
      <c r="A102" s="1550" t="s">
        <v>1277</v>
      </c>
      <c r="B102" s="2144">
        <v>8580340</v>
      </c>
      <c r="C102" s="2145">
        <v>124.56668336200576</v>
      </c>
      <c r="D102" s="2144">
        <v>7788066</v>
      </c>
      <c r="E102" s="2145">
        <v>121.66993856251342</v>
      </c>
      <c r="F102" s="2144">
        <v>792274</v>
      </c>
      <c r="G102" s="2145">
        <v>162.62716248060235</v>
      </c>
      <c r="H102" s="2144">
        <v>2653956</v>
      </c>
      <c r="I102" s="2145">
        <v>155.49008016601508</v>
      </c>
      <c r="J102" s="2144">
        <v>2038878</v>
      </c>
      <c r="K102" s="2145">
        <v>168.18692880870501</v>
      </c>
      <c r="L102" s="2144">
        <v>615078</v>
      </c>
      <c r="M102" s="2145">
        <v>124.3677259161605</v>
      </c>
      <c r="N102" s="2144">
        <v>5926384</v>
      </c>
      <c r="O102" s="2144">
        <v>5749188</v>
      </c>
      <c r="P102" s="2144">
        <v>177196</v>
      </c>
    </row>
    <row r="103" spans="1:16">
      <c r="A103" s="1550" t="s">
        <v>1068</v>
      </c>
      <c r="B103" s="2144">
        <v>7662967</v>
      </c>
      <c r="C103" s="2145">
        <v>119.81192433194754</v>
      </c>
      <c r="D103" s="2144">
        <v>7164872</v>
      </c>
      <c r="E103" s="2145">
        <v>122.60189657314304</v>
      </c>
      <c r="F103" s="2144">
        <v>498095</v>
      </c>
      <c r="G103" s="2145">
        <v>90.264689679168413</v>
      </c>
      <c r="H103" s="2144">
        <v>2938762</v>
      </c>
      <c r="I103" s="2145">
        <v>141.07624110581239</v>
      </c>
      <c r="J103" s="2144">
        <v>2286243</v>
      </c>
      <c r="K103" s="2145">
        <v>154.40399705812632</v>
      </c>
      <c r="L103" s="2144">
        <v>652519</v>
      </c>
      <c r="M103" s="2145">
        <v>108.31754958807329</v>
      </c>
      <c r="N103" s="2144">
        <v>4724205</v>
      </c>
      <c r="O103" s="2144">
        <v>4878629</v>
      </c>
      <c r="P103" s="2144">
        <v>-154424</v>
      </c>
    </row>
    <row r="104" spans="1:16">
      <c r="A104" s="1550"/>
      <c r="B104" s="2144"/>
      <c r="C104" s="2145"/>
      <c r="D104" s="2144"/>
      <c r="E104" s="2145"/>
      <c r="F104" s="2144"/>
      <c r="G104" s="2145"/>
      <c r="H104" s="2144"/>
      <c r="I104" s="2145"/>
      <c r="J104" s="2144"/>
      <c r="K104" s="2145"/>
      <c r="L104" s="2144"/>
      <c r="M104" s="2145"/>
      <c r="N104" s="2144"/>
      <c r="O104" s="2144"/>
      <c r="P104" s="2144"/>
    </row>
    <row r="105" spans="1:16" s="2143" customFormat="1">
      <c r="A105" s="1550">
        <v>2012</v>
      </c>
      <c r="B105" s="1906">
        <v>32634038</v>
      </c>
      <c r="C105" s="1907">
        <v>94.605454490637456</v>
      </c>
      <c r="D105" s="1906">
        <v>31019406</v>
      </c>
      <c r="E105" s="1907">
        <v>98.726461547216502</v>
      </c>
      <c r="F105" s="1906">
        <v>1614632</v>
      </c>
      <c r="G105" s="1907">
        <v>52.502654996172772</v>
      </c>
      <c r="H105" s="1906">
        <v>10417471</v>
      </c>
      <c r="I105" s="1907">
        <v>102.46889997522248</v>
      </c>
      <c r="J105" s="1906">
        <v>7838856</v>
      </c>
      <c r="K105" s="1907">
        <v>102.2551196657335</v>
      </c>
      <c r="L105" s="1906">
        <v>2578615</v>
      </c>
      <c r="M105" s="1907">
        <v>103.12430513674909</v>
      </c>
      <c r="N105" s="1906">
        <v>22216567</v>
      </c>
      <c r="O105" s="1906">
        <v>23180550</v>
      </c>
      <c r="P105" s="1906">
        <v>-963983</v>
      </c>
    </row>
    <row r="106" spans="1:16">
      <c r="A106" s="1550" t="s">
        <v>1066</v>
      </c>
      <c r="B106" s="2144">
        <v>8969981</v>
      </c>
      <c r="C106" s="2145">
        <v>104.95950508621735</v>
      </c>
      <c r="D106" s="2144">
        <v>8678318</v>
      </c>
      <c r="E106" s="2145">
        <v>113.77905959900578</v>
      </c>
      <c r="F106" s="2144">
        <v>291663</v>
      </c>
      <c r="G106" s="2145">
        <v>31.744146940605773</v>
      </c>
      <c r="H106" s="2144">
        <v>2153519</v>
      </c>
      <c r="I106" s="2145">
        <v>108.11239975782232</v>
      </c>
      <c r="J106" s="2144">
        <v>1635052</v>
      </c>
      <c r="K106" s="2145">
        <v>118.70990038123905</v>
      </c>
      <c r="L106" s="2144">
        <v>518467</v>
      </c>
      <c r="M106" s="2145">
        <v>84.361876093235168</v>
      </c>
      <c r="N106" s="2144">
        <v>6816462</v>
      </c>
      <c r="O106" s="2144">
        <v>7043266</v>
      </c>
      <c r="P106" s="2144">
        <v>-226804</v>
      </c>
    </row>
    <row r="107" spans="1:16">
      <c r="A107" s="1550" t="s">
        <v>1067</v>
      </c>
      <c r="B107" s="2144">
        <v>8255228</v>
      </c>
      <c r="C107" s="2145">
        <v>85.057758341251571</v>
      </c>
      <c r="D107" s="2144">
        <v>7718399</v>
      </c>
      <c r="E107" s="2145">
        <v>87.319456162989098</v>
      </c>
      <c r="F107" s="2144">
        <v>536829</v>
      </c>
      <c r="G107" s="2145">
        <v>61.977182361009127</v>
      </c>
      <c r="H107" s="2144">
        <v>2668174</v>
      </c>
      <c r="I107" s="2145">
        <v>103.34441463351341</v>
      </c>
      <c r="J107" s="2144">
        <v>1929511</v>
      </c>
      <c r="K107" s="2145">
        <v>98.268608158768984</v>
      </c>
      <c r="L107" s="2144">
        <v>738663</v>
      </c>
      <c r="M107" s="2145">
        <v>119.46289946953034</v>
      </c>
      <c r="N107" s="2144">
        <v>5587054</v>
      </c>
      <c r="O107" s="2144">
        <v>5788888</v>
      </c>
      <c r="P107" s="2144">
        <v>-201834</v>
      </c>
    </row>
    <row r="108" spans="1:16">
      <c r="A108" s="1550" t="s">
        <v>985</v>
      </c>
      <c r="B108" s="2144">
        <v>7577848</v>
      </c>
      <c r="C108" s="2145">
        <v>88.316407042145187</v>
      </c>
      <c r="D108" s="2144">
        <v>7282901</v>
      </c>
      <c r="E108" s="2145">
        <v>93.513601451246046</v>
      </c>
      <c r="F108" s="2144">
        <v>294947</v>
      </c>
      <c r="G108" s="2145">
        <v>37.227903477837216</v>
      </c>
      <c r="H108" s="2144">
        <v>2475288</v>
      </c>
      <c r="I108" s="2145">
        <v>93.267861260699121</v>
      </c>
      <c r="J108" s="2144">
        <v>1936149</v>
      </c>
      <c r="K108" s="2145">
        <v>94.961493527322389</v>
      </c>
      <c r="L108" s="2144">
        <v>539139</v>
      </c>
      <c r="M108" s="2145">
        <v>87.653760986411484</v>
      </c>
      <c r="N108" s="2144">
        <v>5102560</v>
      </c>
      <c r="O108" s="2144">
        <v>5346752</v>
      </c>
      <c r="P108" s="2144">
        <v>-244192</v>
      </c>
    </row>
    <row r="109" spans="1:16">
      <c r="A109" s="1550" t="s">
        <v>1068</v>
      </c>
      <c r="B109" s="2144">
        <v>7830981</v>
      </c>
      <c r="C109" s="2145">
        <v>102.1925450024775</v>
      </c>
      <c r="D109" s="1973">
        <v>7339788</v>
      </c>
      <c r="E109" s="2145">
        <v>102.44129971896218</v>
      </c>
      <c r="F109" s="1973">
        <v>491193</v>
      </c>
      <c r="G109" s="2145">
        <v>98.614320561338701</v>
      </c>
      <c r="H109" s="2144">
        <v>3120490</v>
      </c>
      <c r="I109" s="2145">
        <v>106.18382842843349</v>
      </c>
      <c r="J109" s="1973">
        <v>2338144</v>
      </c>
      <c r="K109" s="2145">
        <v>102.27014363739988</v>
      </c>
      <c r="L109" s="1973">
        <v>782346</v>
      </c>
      <c r="M109" s="2145">
        <v>119.89627888230075</v>
      </c>
      <c r="N109" s="2144">
        <v>4710491</v>
      </c>
      <c r="O109" s="1973">
        <v>5001644</v>
      </c>
      <c r="P109" s="1973">
        <v>-291153</v>
      </c>
    </row>
    <row r="110" spans="1:16" s="2143" customFormat="1">
      <c r="A110" s="1550"/>
      <c r="B110" s="1906"/>
      <c r="C110" s="1907"/>
      <c r="D110" s="1906"/>
      <c r="E110" s="1907"/>
      <c r="F110" s="1906"/>
      <c r="G110" s="1907"/>
      <c r="H110" s="1906"/>
      <c r="I110" s="1907"/>
      <c r="J110" s="1906"/>
      <c r="K110" s="1907"/>
      <c r="L110" s="1906"/>
      <c r="M110" s="1907"/>
      <c r="N110" s="1906"/>
      <c r="O110" s="1906"/>
      <c r="P110" s="1906"/>
    </row>
    <row r="111" spans="1:16" s="2143" customFormat="1">
      <c r="A111" s="1550">
        <v>2013</v>
      </c>
      <c r="B111" s="1906">
        <v>31702945</v>
      </c>
      <c r="C111" s="1907">
        <v>97.146865490565403</v>
      </c>
      <c r="D111" s="1906">
        <v>30053947</v>
      </c>
      <c r="E111" s="1907">
        <v>96.887564513646723</v>
      </c>
      <c r="F111" s="1906">
        <v>1648998</v>
      </c>
      <c r="G111" s="1907">
        <v>102.12841068429215</v>
      </c>
      <c r="H111" s="1906">
        <v>10320593</v>
      </c>
      <c r="I111" s="1907">
        <v>99.070043007559121</v>
      </c>
      <c r="J111" s="1906">
        <v>7702277</v>
      </c>
      <c r="K111" s="1907">
        <v>98.257666679933905</v>
      </c>
      <c r="L111" s="1906">
        <v>2618316</v>
      </c>
      <c r="M111" s="1907">
        <v>101.53962495370577</v>
      </c>
      <c r="N111" s="1906">
        <v>21382352</v>
      </c>
      <c r="O111" s="1906">
        <v>22351670</v>
      </c>
      <c r="P111" s="1906">
        <v>-969318</v>
      </c>
    </row>
    <row r="112" spans="1:16">
      <c r="A112" s="1550" t="s">
        <v>1066</v>
      </c>
      <c r="B112" s="2144">
        <v>8273177</v>
      </c>
      <c r="C112" s="2145">
        <v>92.231823010550414</v>
      </c>
      <c r="D112" s="2144">
        <v>7864164</v>
      </c>
      <c r="E112" s="2145">
        <v>90.618527691656382</v>
      </c>
      <c r="F112" s="2144">
        <v>409013</v>
      </c>
      <c r="G112" s="2145">
        <v>140.23479152309343</v>
      </c>
      <c r="H112" s="2144">
        <v>2235816</v>
      </c>
      <c r="I112" s="2145">
        <v>103.82151260332506</v>
      </c>
      <c r="J112" s="2144">
        <v>1652430</v>
      </c>
      <c r="K112" s="2145">
        <v>101.06284081484871</v>
      </c>
      <c r="L112" s="2144">
        <v>583386</v>
      </c>
      <c r="M112" s="2145">
        <v>112.52133694140612</v>
      </c>
      <c r="N112" s="2144">
        <v>6037361</v>
      </c>
      <c r="O112" s="1973">
        <v>6211734</v>
      </c>
      <c r="P112" s="2144">
        <v>-174373</v>
      </c>
    </row>
    <row r="113" spans="1:16">
      <c r="A113" s="1550" t="s">
        <v>1067</v>
      </c>
      <c r="B113" s="2144">
        <v>7558422</v>
      </c>
      <c r="C113" s="2145">
        <v>91.559215566184236</v>
      </c>
      <c r="D113" s="2144">
        <v>7163104</v>
      </c>
      <c r="E113" s="2145">
        <v>92.805567579494138</v>
      </c>
      <c r="F113" s="2144">
        <v>395318</v>
      </c>
      <c r="G113" s="2145">
        <v>73.639464335943103</v>
      </c>
      <c r="H113" s="2144">
        <v>2860024</v>
      </c>
      <c r="I113" s="2145">
        <v>107.19031067688989</v>
      </c>
      <c r="J113" s="2144">
        <v>2167395</v>
      </c>
      <c r="K113" s="2145">
        <v>112.32871955640573</v>
      </c>
      <c r="L113" s="2144">
        <v>692629</v>
      </c>
      <c r="M113" s="2145">
        <v>93.767929353439925</v>
      </c>
      <c r="N113" s="2144">
        <v>4698398</v>
      </c>
      <c r="O113" s="1973">
        <v>4995709</v>
      </c>
      <c r="P113" s="2144">
        <v>-297311</v>
      </c>
    </row>
    <row r="114" spans="1:16">
      <c r="A114" s="1550" t="s">
        <v>1277</v>
      </c>
      <c r="B114" s="2144">
        <v>7923963</v>
      </c>
      <c r="C114" s="2145">
        <v>104.56745767399926</v>
      </c>
      <c r="D114" s="2144">
        <v>7669407</v>
      </c>
      <c r="E114" s="2145">
        <v>105.3070335570949</v>
      </c>
      <c r="F114" s="2144">
        <v>254556</v>
      </c>
      <c r="G114" s="2145">
        <v>86.305675256910561</v>
      </c>
      <c r="H114" s="2144">
        <v>2704978</v>
      </c>
      <c r="I114" s="2145">
        <v>109.27932426448963</v>
      </c>
      <c r="J114" s="2144">
        <v>1989530</v>
      </c>
      <c r="K114" s="2145">
        <v>102.75707086593027</v>
      </c>
      <c r="L114" s="2144">
        <v>715448</v>
      </c>
      <c r="M114" s="2145">
        <v>132.70195626730771</v>
      </c>
      <c r="N114" s="2144">
        <v>5218985</v>
      </c>
      <c r="O114" s="1973">
        <v>5679877</v>
      </c>
      <c r="P114" s="2144">
        <v>-460892</v>
      </c>
    </row>
    <row r="115" spans="1:16">
      <c r="A115" s="1550" t="s">
        <v>1068</v>
      </c>
      <c r="B115" s="2144">
        <v>7947383</v>
      </c>
      <c r="C115" s="2145">
        <v>101.48642935029469</v>
      </c>
      <c r="D115" s="2144">
        <v>7357272</v>
      </c>
      <c r="E115" s="2145">
        <v>100.23820851501432</v>
      </c>
      <c r="F115" s="2144">
        <v>590111</v>
      </c>
      <c r="G115" s="2145">
        <v>120.1383163033675</v>
      </c>
      <c r="H115" s="2144">
        <v>2519775</v>
      </c>
      <c r="I115" s="2145">
        <v>80.749337443798879</v>
      </c>
      <c r="J115" s="2144">
        <v>1892922</v>
      </c>
      <c r="K115" s="2145">
        <v>80.958315655494275</v>
      </c>
      <c r="L115" s="2144">
        <v>626853</v>
      </c>
      <c r="M115" s="2145">
        <v>80.124778550666846</v>
      </c>
      <c r="N115" s="2144">
        <v>5427608</v>
      </c>
      <c r="O115" s="1973">
        <v>5464350</v>
      </c>
      <c r="P115" s="2144">
        <v>-36742</v>
      </c>
    </row>
    <row r="116" spans="1:16">
      <c r="A116" s="1583"/>
      <c r="B116" s="1973"/>
      <c r="C116" s="1972"/>
      <c r="D116" s="1973"/>
      <c r="E116" s="1972"/>
      <c r="F116" s="1973"/>
      <c r="G116" s="1972"/>
      <c r="H116" s="1973"/>
      <c r="I116" s="1972"/>
      <c r="J116" s="1973"/>
      <c r="K116" s="1972"/>
      <c r="L116" s="1973"/>
      <c r="M116" s="1972"/>
      <c r="N116" s="1973"/>
      <c r="O116" s="1973"/>
      <c r="P116" s="1973"/>
    </row>
    <row r="117" spans="1:16" s="2143" customFormat="1">
      <c r="A117" s="1550">
        <v>2014</v>
      </c>
      <c r="B117" s="1906">
        <v>28259629</v>
      </c>
      <c r="C117" s="1907">
        <v>89.138813444618464</v>
      </c>
      <c r="D117" s="1906">
        <v>27321965</v>
      </c>
      <c r="E117" s="1907">
        <v>90.909739742337337</v>
      </c>
      <c r="F117" s="1906">
        <v>937664</v>
      </c>
      <c r="G117" s="1907">
        <v>56.862652350093811</v>
      </c>
      <c r="H117" s="1906">
        <v>9332001</v>
      </c>
      <c r="I117" s="1907">
        <v>90.421170566458699</v>
      </c>
      <c r="J117" s="1906">
        <v>7154344</v>
      </c>
      <c r="K117" s="1907">
        <v>92.886090697595009</v>
      </c>
      <c r="L117" s="1906">
        <v>2177657</v>
      </c>
      <c r="M117" s="1907">
        <v>83.170136836042701</v>
      </c>
      <c r="N117" s="1906">
        <v>18927628</v>
      </c>
      <c r="O117" s="1906">
        <v>20167621</v>
      </c>
      <c r="P117" s="1906">
        <v>-1239993</v>
      </c>
    </row>
    <row r="118" spans="1:16">
      <c r="A118" s="1550" t="s">
        <v>1066</v>
      </c>
      <c r="B118" s="2144">
        <v>7503648</v>
      </c>
      <c r="C118" s="2145">
        <v>90.698506752605439</v>
      </c>
      <c r="D118" s="2144">
        <v>7279897</v>
      </c>
      <c r="E118" s="2145">
        <v>92.570513534560064</v>
      </c>
      <c r="F118" s="2144">
        <v>223751</v>
      </c>
      <c r="G118" s="2145">
        <v>54.705107172632651</v>
      </c>
      <c r="H118" s="2144">
        <v>1959858</v>
      </c>
      <c r="I118" s="2145">
        <v>87.657392200431516</v>
      </c>
      <c r="J118" s="2144">
        <v>1457305</v>
      </c>
      <c r="K118" s="2145">
        <v>88.191632928475045</v>
      </c>
      <c r="L118" s="2144">
        <v>502553</v>
      </c>
      <c r="M118" s="2145">
        <v>86.144165269649946</v>
      </c>
      <c r="N118" s="2144">
        <v>5543790</v>
      </c>
      <c r="O118" s="1973">
        <v>5822592</v>
      </c>
      <c r="P118" s="2144">
        <v>-278802</v>
      </c>
    </row>
    <row r="119" spans="1:16">
      <c r="A119" s="1550" t="s">
        <v>1067</v>
      </c>
      <c r="B119" s="2144">
        <v>8090156</v>
      </c>
      <c r="C119" s="2145">
        <v>107.03498693245758</v>
      </c>
      <c r="D119" s="2144">
        <v>7824676</v>
      </c>
      <c r="E119" s="2145">
        <v>109.2358284899954</v>
      </c>
      <c r="F119" s="2144">
        <v>265480</v>
      </c>
      <c r="G119" s="2145">
        <v>67.156061702224534</v>
      </c>
      <c r="H119" s="2144">
        <v>2506058</v>
      </c>
      <c r="I119" s="2145">
        <v>87.623670290878678</v>
      </c>
      <c r="J119" s="2144">
        <v>1956212</v>
      </c>
      <c r="K119" s="2145">
        <v>90.256367667176491</v>
      </c>
      <c r="L119" s="2144">
        <v>549846</v>
      </c>
      <c r="M119" s="2145">
        <v>79.385356374047291</v>
      </c>
      <c r="N119" s="2144">
        <v>5584098</v>
      </c>
      <c r="O119" s="1973">
        <v>5868464</v>
      </c>
      <c r="P119" s="2144">
        <v>-284366</v>
      </c>
    </row>
    <row r="120" spans="1:16">
      <c r="A120" s="1550" t="s">
        <v>1277</v>
      </c>
      <c r="B120" s="2144">
        <v>7338205</v>
      </c>
      <c r="C120" s="2145">
        <v>92.60776457436765</v>
      </c>
      <c r="D120" s="2144">
        <v>7125400</v>
      </c>
      <c r="E120" s="2145">
        <v>92.90679188104113</v>
      </c>
      <c r="F120" s="2144">
        <v>212805</v>
      </c>
      <c r="G120" s="2145">
        <v>83.598500919247627</v>
      </c>
      <c r="H120" s="2144">
        <v>2257734</v>
      </c>
      <c r="I120" s="2145">
        <v>83.465891404662074</v>
      </c>
      <c r="J120" s="2144">
        <v>1757354</v>
      </c>
      <c r="K120" s="2145">
        <v>88.330108115987187</v>
      </c>
      <c r="L120" s="2144">
        <v>500380</v>
      </c>
      <c r="M120" s="2145">
        <v>69.939394617079088</v>
      </c>
      <c r="N120" s="2144">
        <v>5080471</v>
      </c>
      <c r="O120" s="1973">
        <v>5368046</v>
      </c>
      <c r="P120" s="2144">
        <v>-287575</v>
      </c>
    </row>
    <row r="121" spans="1:16">
      <c r="A121" s="1550" t="s">
        <v>1068</v>
      </c>
      <c r="B121" s="2144">
        <v>5327620</v>
      </c>
      <c r="C121" s="2145">
        <v>67.036155172086211</v>
      </c>
      <c r="D121" s="2144">
        <v>5091992</v>
      </c>
      <c r="E121" s="2145">
        <v>69.210326871155502</v>
      </c>
      <c r="F121" s="2144">
        <v>235628</v>
      </c>
      <c r="G121" s="2145">
        <v>39.929437004224624</v>
      </c>
      <c r="H121" s="2144">
        <v>2608351</v>
      </c>
      <c r="I121" s="2145">
        <v>103.51523449514342</v>
      </c>
      <c r="J121" s="2144">
        <v>1983473</v>
      </c>
      <c r="K121" s="2145">
        <v>104.78366250696014</v>
      </c>
      <c r="L121" s="2144">
        <v>624878</v>
      </c>
      <c r="M121" s="2145">
        <v>99.684934107358501</v>
      </c>
      <c r="N121" s="2144">
        <v>2719269</v>
      </c>
      <c r="O121" s="1973">
        <v>3108519</v>
      </c>
      <c r="P121" s="2144">
        <v>-389250</v>
      </c>
    </row>
    <row r="122" spans="1:16">
      <c r="A122" s="1550"/>
      <c r="B122" s="2144"/>
      <c r="C122" s="2145"/>
      <c r="D122" s="2144"/>
      <c r="E122" s="2145" t="s">
        <v>1846</v>
      </c>
      <c r="F122" s="2144"/>
      <c r="G122" s="2145"/>
      <c r="H122" s="2144"/>
      <c r="I122" s="2145"/>
      <c r="J122" s="2144"/>
      <c r="K122" s="2145"/>
      <c r="L122" s="2144"/>
      <c r="M122" s="2145"/>
      <c r="N122" s="2144"/>
      <c r="O122" s="1973"/>
      <c r="P122" s="2144"/>
    </row>
    <row r="123" spans="1:16">
      <c r="A123" s="1550">
        <v>2015</v>
      </c>
      <c r="B123" s="1906">
        <f>SUM(B124:B127)</f>
        <v>15586052</v>
      </c>
      <c r="C123" s="1907">
        <f>(B124+B125+B126+B127)/(B118+B119+B120+B121)*100</f>
        <v>55.153066588383027</v>
      </c>
      <c r="D123" s="1906">
        <f>SUM(D124:D127)</f>
        <v>15012423</v>
      </c>
      <c r="E123" s="1907">
        <f>(D124+D125+D126+D127)/(D118+D119+D120+D121)*100</f>
        <v>54.946351772282853</v>
      </c>
      <c r="F123" s="1906">
        <f>SUM(F124:F127)</f>
        <v>573629</v>
      </c>
      <c r="G123" s="1907">
        <f>(F124+F125+F126+F127)/(F118+F119+F120+F121)*100</f>
        <v>61.176391543239376</v>
      </c>
      <c r="H123" s="1906">
        <f>SUM(H124:H127)</f>
        <v>9773629</v>
      </c>
      <c r="I123" s="1907">
        <f>(H124+H125+H126+H127)/(H118+H119+H120+H121)*100</f>
        <v>104.73240412211699</v>
      </c>
      <c r="J123" s="1906">
        <f>SUM(J124:J127)</f>
        <v>7645888</v>
      </c>
      <c r="K123" s="1907">
        <f>(J124+J125+J126+J127)/(J118+J119+J120+J121)*100</f>
        <v>106.87056702892677</v>
      </c>
      <c r="L123" s="1906">
        <f>SUM(L124:L127)</f>
        <v>2127741</v>
      </c>
      <c r="M123" s="1907">
        <f>(L124+L125+L126+L127)/(L118+L119+L120+L121)*100</f>
        <v>97.707811652615632</v>
      </c>
      <c r="N123" s="1906">
        <f>SUM(N124:N127)</f>
        <v>5812423</v>
      </c>
      <c r="O123" s="1906">
        <f>SUM(O124:O127)</f>
        <v>7366535</v>
      </c>
      <c r="P123" s="1906">
        <f>SUM(P124:P127)</f>
        <v>-1554112</v>
      </c>
    </row>
    <row r="124" spans="1:16">
      <c r="A124" s="1550" t="s">
        <v>1066</v>
      </c>
      <c r="B124" s="2144">
        <v>4249512</v>
      </c>
      <c r="C124" s="2145">
        <f>B124/B118*100</f>
        <v>56.632613896600695</v>
      </c>
      <c r="D124" s="2144">
        <v>4156148</v>
      </c>
      <c r="E124" s="2145">
        <f>D124/D118*100</f>
        <v>57.090752794991474</v>
      </c>
      <c r="F124" s="2144">
        <v>93364</v>
      </c>
      <c r="G124" s="2145">
        <f>F124/F118*100</f>
        <v>41.726740886074253</v>
      </c>
      <c r="H124" s="2144">
        <v>2491530</v>
      </c>
      <c r="I124" s="2145">
        <f>H124/H118*100</f>
        <v>127.12808785126268</v>
      </c>
      <c r="J124" s="2144">
        <v>2017251</v>
      </c>
      <c r="K124" s="2145">
        <f>J124/J118*100</f>
        <v>138.42339112265449</v>
      </c>
      <c r="L124" s="2144">
        <v>474279</v>
      </c>
      <c r="M124" s="2145">
        <f>L124/L118*100</f>
        <v>94.373926730116025</v>
      </c>
      <c r="N124" s="1973">
        <f>B124-H124</f>
        <v>1757982</v>
      </c>
      <c r="O124" s="1973">
        <f>D124-J124</f>
        <v>2138897</v>
      </c>
      <c r="P124" s="1973">
        <f>F124-L124</f>
        <v>-380915</v>
      </c>
    </row>
    <row r="125" spans="1:16">
      <c r="A125" s="1556" t="s">
        <v>1067</v>
      </c>
      <c r="B125" s="1973">
        <f>D125+F125</f>
        <v>4427615</v>
      </c>
      <c r="C125" s="1972">
        <f>B125/B119*100</f>
        <v>54.728425508729373</v>
      </c>
      <c r="D125" s="1973">
        <v>4245173</v>
      </c>
      <c r="E125" s="1972">
        <f>D125/D119*100</f>
        <v>54.253658554041081</v>
      </c>
      <c r="F125" s="1973">
        <v>182442</v>
      </c>
      <c r="G125" s="1972">
        <f>F125/F119*100</f>
        <v>68.72156094621063</v>
      </c>
      <c r="H125" s="1973">
        <f>J125+L125</f>
        <v>2427502</v>
      </c>
      <c r="I125" s="1972">
        <f>H125/H119*100</f>
        <v>96.865355869656639</v>
      </c>
      <c r="J125" s="1973">
        <v>1863683</v>
      </c>
      <c r="K125" s="1972">
        <f>J125/J119*100</f>
        <v>95.269991187049257</v>
      </c>
      <c r="L125" s="1973">
        <v>563819</v>
      </c>
      <c r="M125" s="1972">
        <f>L125/L119*100</f>
        <v>102.54125700650727</v>
      </c>
      <c r="N125" s="1973">
        <f>B125-H125</f>
        <v>2000113</v>
      </c>
      <c r="O125" s="1973">
        <f>D125-J125</f>
        <v>2381490</v>
      </c>
      <c r="P125" s="1973">
        <f>F125-L125</f>
        <v>-381377</v>
      </c>
    </row>
    <row r="126" spans="1:16">
      <c r="A126" s="1556" t="s">
        <v>1277</v>
      </c>
      <c r="B126" s="1973">
        <f>D126+F126</f>
        <v>3646206</v>
      </c>
      <c r="C126" s="1972">
        <f>B126/B120*100</f>
        <v>49.68798227904508</v>
      </c>
      <c r="D126" s="1973">
        <v>3530491</v>
      </c>
      <c r="E126" s="1972">
        <f>D126/D120*100</f>
        <v>49.547969236814779</v>
      </c>
      <c r="F126" s="1973">
        <v>115715</v>
      </c>
      <c r="G126" s="1972">
        <f>F126/F120*100</f>
        <v>54.37607199078969</v>
      </c>
      <c r="H126" s="1973">
        <f>J126+L126</f>
        <v>2101727</v>
      </c>
      <c r="I126" s="1972">
        <f>H126/H120*100</f>
        <v>93.090107160542374</v>
      </c>
      <c r="J126" s="1973">
        <v>1639238</v>
      </c>
      <c r="K126" s="1972">
        <f>J126/J120*100</f>
        <v>93.278758861333571</v>
      </c>
      <c r="L126" s="1973">
        <v>462489</v>
      </c>
      <c r="M126" s="1972">
        <f>L126/L120*100</f>
        <v>92.427555058155804</v>
      </c>
      <c r="N126" s="1973">
        <f>O126+P126</f>
        <v>1544479</v>
      </c>
      <c r="O126" s="1973">
        <f>D126-J126</f>
        <v>1891253</v>
      </c>
      <c r="P126" s="1973">
        <f>F126-L126</f>
        <v>-346774</v>
      </c>
    </row>
    <row r="127" spans="1:16">
      <c r="A127" s="1556" t="s">
        <v>1068</v>
      </c>
      <c r="B127" s="1973">
        <f>D127+F127</f>
        <v>3262719</v>
      </c>
      <c r="C127" s="1972">
        <f>B127/B121*100</f>
        <v>61.241586299323146</v>
      </c>
      <c r="D127" s="1973">
        <v>3080611</v>
      </c>
      <c r="E127" s="1972">
        <f>D127/D121*100</f>
        <v>60.499132755903787</v>
      </c>
      <c r="F127" s="1973">
        <v>182108</v>
      </c>
      <c r="G127" s="1972">
        <f>F127/F121*100</f>
        <v>77.286230838440247</v>
      </c>
      <c r="H127" s="1973">
        <f>J127+L127</f>
        <v>2752870</v>
      </c>
      <c r="I127" s="1972">
        <f>H127/H121*100</f>
        <v>105.5406270091717</v>
      </c>
      <c r="J127" s="1973">
        <v>2125716</v>
      </c>
      <c r="K127" s="1972">
        <f>J127/J121*100</f>
        <v>107.17141095442186</v>
      </c>
      <c r="L127" s="1973">
        <v>627154</v>
      </c>
      <c r="M127" s="1972">
        <f>L127/L121*100</f>
        <v>100.36423109791031</v>
      </c>
      <c r="N127" s="1973">
        <f>O127+P127</f>
        <v>509849</v>
      </c>
      <c r="O127" s="1973">
        <f>D127-J127</f>
        <v>954895</v>
      </c>
      <c r="P127" s="1973">
        <f>F127-L127</f>
        <v>-445046</v>
      </c>
    </row>
    <row r="128" spans="1:16">
      <c r="A128" s="1583"/>
      <c r="B128" s="1973"/>
      <c r="C128" s="1972"/>
      <c r="D128" s="1973"/>
      <c r="E128" s="1972"/>
      <c r="F128" s="1973"/>
      <c r="G128" s="1972"/>
      <c r="H128" s="1973"/>
      <c r="I128" s="1972"/>
      <c r="J128" s="1973"/>
      <c r="K128" s="1972"/>
      <c r="L128" s="1973"/>
      <c r="M128" s="1972"/>
      <c r="N128" s="1973"/>
      <c r="O128" s="1973"/>
      <c r="P128" s="1973"/>
    </row>
    <row r="129" spans="1:16">
      <c r="A129" s="1550">
        <v>2016</v>
      </c>
      <c r="B129" s="1906">
        <f>SUM(B130:B133)</f>
        <v>13210511</v>
      </c>
      <c r="C129" s="1907">
        <f>(B130+B131+B132+B133)/(B124+B125+B126+B127)*100</f>
        <v>84.758545653511234</v>
      </c>
      <c r="D129" s="1906">
        <f>SUM(D130:D133)</f>
        <v>12537126</v>
      </c>
      <c r="E129" s="1907">
        <f>(D130+D131+D132+D133)/(D124+D125+D126+D127)*100</f>
        <v>83.511675630243033</v>
      </c>
      <c r="F129" s="1906">
        <f>SUM(F130:F133)</f>
        <v>673385</v>
      </c>
      <c r="G129" s="1907">
        <f>(F130+F131+F132+F133)/(F124+F125+F126+F127)*100</f>
        <v>117.3903341706922</v>
      </c>
      <c r="H129" s="1906">
        <f>SUM(H130:H133)</f>
        <v>9004176</v>
      </c>
      <c r="I129" s="1907">
        <f>(H130+H131+H132+H133)/(H124+H125+H126+H127)*100</f>
        <v>92.127253858316081</v>
      </c>
      <c r="J129" s="1906">
        <f>SUM(J130:J133)</f>
        <v>6649095</v>
      </c>
      <c r="K129" s="1907">
        <f>(J130+J131+J132+J133)/(J124+J125+J126+J127)*100</f>
        <v>86.963018553240644</v>
      </c>
      <c r="L129" s="1906">
        <f>SUM(L130:L133)</f>
        <v>2355081</v>
      </c>
      <c r="M129" s="1907">
        <f>(L130+L131+L132+L133)/(L124+L125+L126+L127)*100</f>
        <v>110.68457110146394</v>
      </c>
      <c r="N129" s="1906">
        <f>SUM(N130:N133)</f>
        <v>4206335</v>
      </c>
      <c r="O129" s="1906">
        <f>SUM(O130:O133)</f>
        <v>5888031</v>
      </c>
      <c r="P129" s="1906">
        <f>SUM(P130:P133)</f>
        <v>-1681696</v>
      </c>
    </row>
    <row r="130" spans="1:16">
      <c r="A130" s="1550" t="s">
        <v>1066</v>
      </c>
      <c r="B130" s="1973">
        <f>D130+F130</f>
        <v>2551987</v>
      </c>
      <c r="C130" s="2145">
        <f>B130/B124*100</f>
        <v>60.053648513052792</v>
      </c>
      <c r="D130" s="1973">
        <v>2428049</v>
      </c>
      <c r="E130" s="2145">
        <f>D130/D124*100</f>
        <v>58.420657782157903</v>
      </c>
      <c r="F130" s="1973">
        <v>123938</v>
      </c>
      <c r="G130" s="2145">
        <f>F130/F124*100</f>
        <v>132.74709738228867</v>
      </c>
      <c r="H130" s="1973">
        <f>J130+L130</f>
        <v>1930281</v>
      </c>
      <c r="I130" s="2145">
        <f>H130/H124*100</f>
        <v>77.473720966634957</v>
      </c>
      <c r="J130" s="1973">
        <v>1561476</v>
      </c>
      <c r="K130" s="2145">
        <f>J130/J124*100</f>
        <v>77.406133396389436</v>
      </c>
      <c r="L130" s="1973">
        <v>368805</v>
      </c>
      <c r="M130" s="2145">
        <f>L130/L124*100</f>
        <v>77.761191197586228</v>
      </c>
      <c r="N130" s="1973">
        <f>B130-H130</f>
        <v>621706</v>
      </c>
      <c r="O130" s="1973">
        <f>D130-J130</f>
        <v>866573</v>
      </c>
      <c r="P130" s="1973">
        <f>F130-L130</f>
        <v>-244867</v>
      </c>
    </row>
    <row r="131" spans="1:16">
      <c r="A131" s="1556" t="s">
        <v>1067</v>
      </c>
      <c r="B131" s="1973">
        <f>D131+F131</f>
        <v>3708890</v>
      </c>
      <c r="C131" s="2145">
        <f>B131/B125*100</f>
        <v>83.767220049620391</v>
      </c>
      <c r="D131" s="1973">
        <v>3507178</v>
      </c>
      <c r="E131" s="2145">
        <f>D131/D125*100</f>
        <v>82.615667253136678</v>
      </c>
      <c r="F131" s="1973">
        <v>201712</v>
      </c>
      <c r="G131" s="2145">
        <f>F131/F125*100</f>
        <v>110.56226088291072</v>
      </c>
      <c r="H131" s="1973">
        <f>J131+L131</f>
        <v>2396996</v>
      </c>
      <c r="I131" s="2145">
        <f>H131/H125*100</f>
        <v>98.74331720427007</v>
      </c>
      <c r="J131" s="1973">
        <v>1656231</v>
      </c>
      <c r="K131" s="2145">
        <f>J131/J125*100</f>
        <v>88.868707822092063</v>
      </c>
      <c r="L131" s="1973">
        <v>740765</v>
      </c>
      <c r="M131" s="2145">
        <f>L131/L125*100</f>
        <v>131.38347590272764</v>
      </c>
      <c r="N131" s="1973">
        <f>B131-H131</f>
        <v>1311894</v>
      </c>
      <c r="O131" s="1973">
        <f>D131-J131</f>
        <v>1850947</v>
      </c>
      <c r="P131" s="1973">
        <f>F131-L131</f>
        <v>-539053</v>
      </c>
    </row>
    <row r="132" spans="1:16">
      <c r="A132" s="1556" t="s">
        <v>1277</v>
      </c>
      <c r="B132" s="1973">
        <f>D132+F132</f>
        <v>3273975</v>
      </c>
      <c r="C132" s="2145">
        <f>B132/B126*100</f>
        <v>89.791278934870931</v>
      </c>
      <c r="D132" s="1973">
        <v>3152344</v>
      </c>
      <c r="E132" s="2145">
        <f>D132/D126*100</f>
        <v>89.289110211582468</v>
      </c>
      <c r="F132" s="1973">
        <v>121631</v>
      </c>
      <c r="G132" s="2145">
        <f>F132/F126*100</f>
        <v>105.11256103357387</v>
      </c>
      <c r="H132" s="1973">
        <f>J132+L132</f>
        <v>2292622</v>
      </c>
      <c r="I132" s="2145">
        <f>H132/H126*100</f>
        <v>109.08276859934712</v>
      </c>
      <c r="J132" s="1973">
        <v>1757327</v>
      </c>
      <c r="K132" s="2145">
        <f>J132/J126*100</f>
        <v>107.2038959565359</v>
      </c>
      <c r="L132" s="1973">
        <v>535295</v>
      </c>
      <c r="M132" s="2145">
        <f>L132/L126*100</f>
        <v>115.74221224721019</v>
      </c>
      <c r="N132" s="1973">
        <f>B132-H132</f>
        <v>981353</v>
      </c>
      <c r="O132" s="1973">
        <f>D132-J132</f>
        <v>1395017</v>
      </c>
      <c r="P132" s="1973">
        <f>F132-L132</f>
        <v>-413664</v>
      </c>
    </row>
    <row r="133" spans="1:16">
      <c r="A133" s="1556" t="s">
        <v>1068</v>
      </c>
      <c r="B133" s="1973">
        <f>D133+F133</f>
        <v>3675659</v>
      </c>
      <c r="C133" s="1972">
        <f>B133/B127*100</f>
        <v>112.6563151776172</v>
      </c>
      <c r="D133" s="1973">
        <v>3449555</v>
      </c>
      <c r="E133" s="1972">
        <f>D133/D127*100</f>
        <v>111.97632547569296</v>
      </c>
      <c r="F133" s="1973">
        <v>226104</v>
      </c>
      <c r="G133" s="1972">
        <f>F133/F127*100</f>
        <v>124.15929009159402</v>
      </c>
      <c r="H133" s="1973">
        <f>J133+L133</f>
        <v>2384277</v>
      </c>
      <c r="I133" s="1972">
        <f>H133/H127*100</f>
        <v>86.610591855045826</v>
      </c>
      <c r="J133" s="1973">
        <v>1674061</v>
      </c>
      <c r="K133" s="1972">
        <f>J133/J127*100</f>
        <v>78.752806113328404</v>
      </c>
      <c r="L133" s="1973">
        <v>710216</v>
      </c>
      <c r="M133" s="1972">
        <f>L133/L127*100</f>
        <v>113.24427493087823</v>
      </c>
      <c r="N133" s="1973">
        <f>B133-H133</f>
        <v>1291382</v>
      </c>
      <c r="O133" s="1973">
        <f>D133-J133</f>
        <v>1775494</v>
      </c>
      <c r="P133" s="1973">
        <f>F133-L133</f>
        <v>-484112</v>
      </c>
    </row>
    <row r="134" spans="1:16">
      <c r="A134" s="1583"/>
      <c r="B134" s="1973"/>
      <c r="C134" s="1972"/>
      <c r="D134" s="1973"/>
      <c r="E134" s="1972"/>
      <c r="F134" s="1973"/>
      <c r="G134" s="1972"/>
      <c r="H134" s="1973"/>
      <c r="I134" s="1972"/>
      <c r="J134" s="1973"/>
      <c r="K134" s="1972"/>
      <c r="L134" s="1973"/>
      <c r="M134" s="1972"/>
      <c r="N134" s="1973"/>
      <c r="O134" s="1973"/>
      <c r="P134" s="1973"/>
    </row>
    <row r="135" spans="1:16">
      <c r="A135" s="1550">
        <v>2017</v>
      </c>
      <c r="B135" s="1906">
        <f>SUM(B136:B139)</f>
        <v>15152058.61737035</v>
      </c>
      <c r="C135" s="1907">
        <f>((B136+B137+B138+B139)/(B130+B131+B132+B133))*100</f>
        <v>114.69699103517155</v>
      </c>
      <c r="D135" s="1906">
        <f>SUM(D136:D139)</f>
        <v>14089781.933162</v>
      </c>
      <c r="E135" s="1907">
        <f>((D136+D137+D138+D139)/(D130+D131+D132+D133))*100</f>
        <v>112.38446461463336</v>
      </c>
      <c r="F135" s="1906">
        <f>SUM(F136:F139)</f>
        <v>1062276.68420835</v>
      </c>
      <c r="G135" s="1907">
        <f>((F136+F137+F138+F139)/(F130+F131+F132+F133))*100</f>
        <v>157.75175927713715</v>
      </c>
      <c r="H135" s="1906">
        <f>SUM(H136:H139)</f>
        <v>9037315.9741737004</v>
      </c>
      <c r="I135" s="1907">
        <f>((H136+H137+H138+H139)/(H130+H131+H132+H133))*100</f>
        <v>100.36805115952532</v>
      </c>
      <c r="J135" s="1906">
        <f>SUM(J136:J139)</f>
        <v>6577309.4551737001</v>
      </c>
      <c r="K135" s="1907">
        <f>((J136+J137+J138+J139)/(J130+J131+J132+J133))*100</f>
        <v>98.920371195985325</v>
      </c>
      <c r="L135" s="1906">
        <f>SUM(L136:L139)</f>
        <v>2460006.5189999999</v>
      </c>
      <c r="M135" s="1907">
        <f>((L136+L137+L138+L139)/(L130+L131+L132+L133))*100</f>
        <v>104.45528281192875</v>
      </c>
      <c r="N135" s="1906">
        <f>SUM(N136:N139)</f>
        <v>6114742.6431966498</v>
      </c>
      <c r="O135" s="1906">
        <f>SUM(O136:O139)</f>
        <v>7512472.4779882999</v>
      </c>
      <c r="P135" s="1906">
        <f>SUM(P136:P139)</f>
        <v>-1397729.8347916498</v>
      </c>
    </row>
    <row r="136" spans="1:16">
      <c r="A136" s="1550" t="s">
        <v>1066</v>
      </c>
      <c r="B136" s="1973">
        <f>D136+F136</f>
        <v>3555749</v>
      </c>
      <c r="C136" s="2145">
        <f>B136/B130*100</f>
        <v>139.33256713298306</v>
      </c>
      <c r="D136" s="1973">
        <v>3378950</v>
      </c>
      <c r="E136" s="2145">
        <f>D136/D130*100</f>
        <v>139.16317174818136</v>
      </c>
      <c r="F136" s="1973">
        <v>176799</v>
      </c>
      <c r="G136" s="2145">
        <f>F136/F130*100</f>
        <v>142.65116429182333</v>
      </c>
      <c r="H136" s="1973">
        <f>J136+L136</f>
        <v>1665876</v>
      </c>
      <c r="I136" s="2145">
        <f>H136/H130*100</f>
        <v>86.302253402483885</v>
      </c>
      <c r="J136" s="1973">
        <v>1192142</v>
      </c>
      <c r="K136" s="2145">
        <f>J136/J130*100</f>
        <v>76.347122850431262</v>
      </c>
      <c r="L136" s="1973">
        <v>473734</v>
      </c>
      <c r="M136" s="2145">
        <f>L136/L130*100</f>
        <v>128.4510784832093</v>
      </c>
      <c r="N136" s="1973">
        <f>B136-H136</f>
        <v>1889873</v>
      </c>
      <c r="O136" s="1973">
        <f>D136-J136</f>
        <v>2186808</v>
      </c>
      <c r="P136" s="1973">
        <f>F136-L136</f>
        <v>-296935</v>
      </c>
    </row>
    <row r="137" spans="1:16">
      <c r="A137" s="1556" t="s">
        <v>1067</v>
      </c>
      <c r="B137" s="1973">
        <f>D137+F137</f>
        <v>3555275</v>
      </c>
      <c r="C137" s="2145">
        <f>B137/B131*100</f>
        <v>95.858194769863758</v>
      </c>
      <c r="D137" s="1973">
        <v>3260533</v>
      </c>
      <c r="E137" s="2145">
        <f>D137/D131*100</f>
        <v>92.967422811160432</v>
      </c>
      <c r="F137" s="1973">
        <v>294742</v>
      </c>
      <c r="G137" s="2145">
        <f>F137/F131*100</f>
        <v>146.12021099389227</v>
      </c>
      <c r="H137" s="1973">
        <f>J137+L137</f>
        <v>1966044</v>
      </c>
      <c r="I137" s="2145">
        <f>H137/H131*100</f>
        <v>82.021163155883443</v>
      </c>
      <c r="J137" s="1973">
        <v>1402666</v>
      </c>
      <c r="K137" s="2145">
        <f>J137/J131*100</f>
        <v>84.690239465388586</v>
      </c>
      <c r="L137" s="1973">
        <v>563378</v>
      </c>
      <c r="M137" s="2145">
        <f>L137/L131*100</f>
        <v>76.053539246589679</v>
      </c>
      <c r="N137" s="1973">
        <f>B137-H137</f>
        <v>1589231</v>
      </c>
      <c r="O137" s="1973">
        <f>D137-J137</f>
        <v>1857867</v>
      </c>
      <c r="P137" s="1973">
        <f>F137-L137</f>
        <v>-268636</v>
      </c>
    </row>
    <row r="138" spans="1:16">
      <c r="A138" s="1556" t="s">
        <v>1277</v>
      </c>
      <c r="B138" s="1973">
        <f>D138+F138</f>
        <v>3680432</v>
      </c>
      <c r="C138" s="2145">
        <f>B138/B132*100</f>
        <v>112.41478630716483</v>
      </c>
      <c r="D138" s="1973">
        <f>10156043-D136-D137</f>
        <v>3516560</v>
      </c>
      <c r="E138" s="2145">
        <f>D138/D132*100</f>
        <v>111.55381519275815</v>
      </c>
      <c r="F138" s="1973">
        <f>635413-F136-F137</f>
        <v>163872</v>
      </c>
      <c r="G138" s="1972">
        <f>+F138/F132*100</f>
        <v>134.72881091169191</v>
      </c>
      <c r="H138" s="1973">
        <f>J138+L138</f>
        <v>2757893</v>
      </c>
      <c r="I138" s="2145">
        <f>H138/H132*100</f>
        <v>120.29427441593074</v>
      </c>
      <c r="J138" s="1973">
        <f>4735724-J136-J137</f>
        <v>2140916</v>
      </c>
      <c r="K138" s="2145">
        <f>J138/J132*100</f>
        <v>121.82798079128131</v>
      </c>
      <c r="L138" s="1973">
        <f>1654089-L136-L137</f>
        <v>616977</v>
      </c>
      <c r="M138" s="2145">
        <f>L138/L132*100</f>
        <v>115.25924957266554</v>
      </c>
      <c r="N138" s="1973">
        <f>B138-H138</f>
        <v>922539</v>
      </c>
      <c r="O138" s="1973">
        <f>D138-J138</f>
        <v>1375644</v>
      </c>
      <c r="P138" s="1973">
        <f>F138-L138</f>
        <v>-453105</v>
      </c>
    </row>
    <row r="139" spans="1:16">
      <c r="A139" s="1556" t="s">
        <v>1068</v>
      </c>
      <c r="B139" s="1973">
        <f>D139+F139</f>
        <v>4360602.6173703503</v>
      </c>
      <c r="C139" s="1972">
        <f>B139/B133*100</f>
        <v>118.63458001328063</v>
      </c>
      <c r="D139" s="1973">
        <f>14089781.933162-D136-D137-D138</f>
        <v>3933738.933162</v>
      </c>
      <c r="E139" s="1972">
        <f>D139/D133*100</f>
        <v>114.03612736025373</v>
      </c>
      <c r="F139" s="1973">
        <f>1062276.68420835-F136-F137-F138</f>
        <v>426863.68420835002</v>
      </c>
      <c r="G139" s="1972">
        <f>+F139/F133*100</f>
        <v>188.79085916584847</v>
      </c>
      <c r="H139" s="1973">
        <f>J139+L139</f>
        <v>2647502.9741737</v>
      </c>
      <c r="I139" s="1972">
        <f>H139/H133*100</f>
        <v>111.04007521666736</v>
      </c>
      <c r="J139" s="1973">
        <f>6577309.4551737-J136-J137-J138</f>
        <v>1841585.4551737001</v>
      </c>
      <c r="K139" s="1972">
        <f>J139/J133*100</f>
        <v>110.00706994390885</v>
      </c>
      <c r="L139" s="1973">
        <f>2460006.519-L136-L137-L138</f>
        <v>805917.51899999985</v>
      </c>
      <c r="M139" s="1972">
        <f>L139/L133*100</f>
        <v>113.47498775020554</v>
      </c>
      <c r="N139" s="1973">
        <f>B139-H139</f>
        <v>1713099.6431966503</v>
      </c>
      <c r="O139" s="1973">
        <f>D139-J139</f>
        <v>2092153.4779882999</v>
      </c>
      <c r="P139" s="1973">
        <f>F139-L139</f>
        <v>-379053.83479164983</v>
      </c>
    </row>
    <row r="140" spans="1:16">
      <c r="A140" s="1583"/>
      <c r="B140" s="1973"/>
      <c r="C140" s="1972"/>
      <c r="D140" s="1973"/>
      <c r="E140" s="1972"/>
      <c r="F140" s="1973"/>
      <c r="G140" s="1972"/>
      <c r="H140" s="1973"/>
      <c r="I140" s="1972"/>
      <c r="J140" s="1973"/>
      <c r="K140" s="1972"/>
      <c r="L140" s="1973"/>
      <c r="M140" s="1972"/>
      <c r="N140" s="1973"/>
      <c r="O140" s="1973"/>
      <c r="P140" s="1973"/>
    </row>
    <row r="141" spans="1:16">
      <c r="A141" s="1550" t="s">
        <v>2051</v>
      </c>
      <c r="B141" s="1906">
        <f>SUM(B142:B145)</f>
        <v>20793769</v>
      </c>
      <c r="C141" s="1907">
        <f>((B142+B143+B144+B145)/(IF(B142=0,0,B136)+IF(B143=0,0,B137)+IF(B144=0,0,B138)+IF(B145=0,0,B139)))*100</f>
        <v>137.2339529901368</v>
      </c>
      <c r="D141" s="1906">
        <f>SUM(D142:D145)</f>
        <v>19660046</v>
      </c>
      <c r="E141" s="1907">
        <f>((D142+D143+D144+D145)/(IF(D142=0,0,D136)+IF(D143=0,0,D137)+IF(D144=0,0,D138)+IF(D145=0,0,D139)))*100</f>
        <v>139.53406868368711</v>
      </c>
      <c r="F141" s="1906">
        <f>SUM(F142:F145)</f>
        <v>1133723</v>
      </c>
      <c r="G141" s="1907">
        <f>((F142+F143+F144+F145)/(IF(F142=0,0,F136)+IF(F143=0,0,F137)+IF(F144=0,0,F138)+IF(F145=0,0,F139)))*100</f>
        <v>106.72577275334764</v>
      </c>
      <c r="H141" s="1906">
        <f>SUM(H142:H145)</f>
        <v>10952441</v>
      </c>
      <c r="I141" s="1907">
        <f>((H142+H143+H144+H145)/(IF(H142=0,0,H136)+IF(H143=0,0,H137)+IF(H144=0,0,H138)+IF(H145=0,0,H139)))*100</f>
        <v>121.19130316234632</v>
      </c>
      <c r="J141" s="1906">
        <f>SUM(J142:J145)</f>
        <v>8146109</v>
      </c>
      <c r="K141" s="1907">
        <f>((J142+J143+J144+J145)/(IF(J142=0,0,J136)+IF(J143=0,0,J137)+IF(J144=0,0,J138)+IF(J145=0,0,J139)))*100</f>
        <v>123.85169126552628</v>
      </c>
      <c r="L141" s="1906">
        <f>SUM(L142:L145)</f>
        <v>2806332</v>
      </c>
      <c r="M141" s="1907">
        <f>((L142+L143+L144+L145)/(IF(L142=0,0,L136)+IF(L143=0,0,L137)+IF(L144=0,0,L138)+IF(L145=0,0,L139)))*100</f>
        <v>114.07823427804502</v>
      </c>
      <c r="N141" s="1906">
        <f>SUM(N142:N145)</f>
        <v>9841328</v>
      </c>
      <c r="O141" s="1906">
        <f>SUM(O142:O145)</f>
        <v>11513937</v>
      </c>
      <c r="P141" s="1906">
        <f>SUM(P142:P145)</f>
        <v>-1672609</v>
      </c>
    </row>
    <row r="142" spans="1:16">
      <c r="A142" s="1550" t="s">
        <v>1066</v>
      </c>
      <c r="B142" s="1973">
        <f>D142+F142</f>
        <v>4579668</v>
      </c>
      <c r="C142" s="2145">
        <f>B142/B136*100</f>
        <v>128.79615518418203</v>
      </c>
      <c r="D142" s="1973">
        <v>4401270</v>
      </c>
      <c r="E142" s="2145">
        <f>D142/D136*100</f>
        <v>130.25555276047294</v>
      </c>
      <c r="F142" s="1973">
        <v>178398</v>
      </c>
      <c r="G142" s="2145">
        <f>F142/F136*100</f>
        <v>100.90441688018596</v>
      </c>
      <c r="H142" s="1973">
        <f>J142+L142</f>
        <v>2165789</v>
      </c>
      <c r="I142" s="2145">
        <f>H142/H136*100</f>
        <v>130.00901627732196</v>
      </c>
      <c r="J142" s="1973">
        <v>1548964</v>
      </c>
      <c r="K142" s="2145">
        <f>J142/J136*100</f>
        <v>129.93116591815402</v>
      </c>
      <c r="L142" s="1973">
        <v>616825</v>
      </c>
      <c r="M142" s="2145">
        <f>L142/L136*100</f>
        <v>130.20492512675889</v>
      </c>
      <c r="N142" s="1973">
        <f>B142-H142</f>
        <v>2413879</v>
      </c>
      <c r="O142" s="1973">
        <f>D142-J142</f>
        <v>2852306</v>
      </c>
      <c r="P142" s="1973">
        <f>F142-L142</f>
        <v>-438427</v>
      </c>
    </row>
    <row r="143" spans="1:16">
      <c r="A143" s="1556" t="s">
        <v>1067</v>
      </c>
      <c r="B143" s="1973">
        <f>D143+F143</f>
        <v>5338065</v>
      </c>
      <c r="C143" s="2145">
        <f>B143/B137*100</f>
        <v>150.14492549802759</v>
      </c>
      <c r="D143" s="1973">
        <v>4975984</v>
      </c>
      <c r="E143" s="2145">
        <f>D143/D137*100</f>
        <v>152.61259432123521</v>
      </c>
      <c r="F143" s="1973">
        <v>362081</v>
      </c>
      <c r="G143" s="2145">
        <f>F143/F137*100</f>
        <v>122.84676089597004</v>
      </c>
      <c r="H143" s="1973">
        <f>J143+L143</f>
        <v>2733003</v>
      </c>
      <c r="I143" s="2145">
        <f>H143/H137*100</f>
        <v>139.01026630126282</v>
      </c>
      <c r="J143" s="1973">
        <v>1985906</v>
      </c>
      <c r="K143" s="2145">
        <f>J143/J137*100</f>
        <v>141.58081824183378</v>
      </c>
      <c r="L143" s="1973">
        <v>747097</v>
      </c>
      <c r="M143" s="2145">
        <f>L143/L137*100</f>
        <v>132.61025457153102</v>
      </c>
      <c r="N143" s="1973">
        <f>B143-H143</f>
        <v>2605062</v>
      </c>
      <c r="O143" s="1973">
        <f>D143-J143</f>
        <v>2990078</v>
      </c>
      <c r="P143" s="1973">
        <f>F143-L143</f>
        <v>-385016</v>
      </c>
    </row>
    <row r="144" spans="1:16">
      <c r="A144" s="1556" t="s">
        <v>1277</v>
      </c>
      <c r="B144" s="1973">
        <f>D144+F144</f>
        <v>5310991</v>
      </c>
      <c r="C144" s="2145">
        <f>B144/B138*100</f>
        <v>144.3034676364079</v>
      </c>
      <c r="D144" s="1973">
        <v>5129451</v>
      </c>
      <c r="E144" s="2145">
        <f>D144/D138*100</f>
        <v>145.86559023591238</v>
      </c>
      <c r="F144" s="1973">
        <v>181540</v>
      </c>
      <c r="G144" s="1972">
        <f>F144/F138*100</f>
        <v>110.78158562780706</v>
      </c>
      <c r="H144" s="1973">
        <f>J144+L144</f>
        <v>2994870</v>
      </c>
      <c r="I144" s="2145">
        <f>H144/H138*100</f>
        <v>108.59268289233846</v>
      </c>
      <c r="J144" s="1973">
        <v>2375364</v>
      </c>
      <c r="K144" s="2145">
        <f>J144/J138*100</f>
        <v>110.95082665550633</v>
      </c>
      <c r="L144" s="1973">
        <v>619506</v>
      </c>
      <c r="M144" s="2145">
        <f>L144/L138*100</f>
        <v>100.40990182778289</v>
      </c>
      <c r="N144" s="1973">
        <f>B144-H144</f>
        <v>2316121</v>
      </c>
      <c r="O144" s="1973">
        <f>D144-J144</f>
        <v>2754087</v>
      </c>
      <c r="P144" s="1973">
        <f>F144-L144</f>
        <v>-437966</v>
      </c>
    </row>
    <row r="145" spans="1:16">
      <c r="A145" s="1556" t="s">
        <v>1068</v>
      </c>
      <c r="B145" s="1973">
        <f>D145+F145</f>
        <v>5565045</v>
      </c>
      <c r="C145" s="1972">
        <f>B145/B139*100</f>
        <v>127.62100765228604</v>
      </c>
      <c r="D145" s="1973">
        <v>5153341</v>
      </c>
      <c r="E145" s="1972">
        <f>D145/D139*100</f>
        <v>131.00363515627777</v>
      </c>
      <c r="F145" s="1973">
        <v>411704</v>
      </c>
      <c r="G145" s="1972">
        <f>F145/F139*100</f>
        <v>96.448588912766198</v>
      </c>
      <c r="H145" s="1973">
        <f>J145+L145</f>
        <v>3058779</v>
      </c>
      <c r="I145" s="1972">
        <f>H145/H139*100</f>
        <v>115.53448777350899</v>
      </c>
      <c r="J145" s="1973">
        <v>2235875</v>
      </c>
      <c r="K145" s="1972">
        <f>J145/J139*100</f>
        <v>121.4103311751618</v>
      </c>
      <c r="L145" s="1973">
        <v>822904</v>
      </c>
      <c r="M145" s="1972">
        <f>L145/L139*100</f>
        <v>102.1077195369915</v>
      </c>
      <c r="N145" s="1973">
        <f>B145-H145</f>
        <v>2506266</v>
      </c>
      <c r="O145" s="1973">
        <f>D145-J145</f>
        <v>2917466</v>
      </c>
      <c r="P145" s="1973">
        <f>F145-L145</f>
        <v>-411200</v>
      </c>
    </row>
    <row r="146" spans="1:16">
      <c r="A146" s="1583"/>
      <c r="B146" s="1973"/>
      <c r="C146" s="1972"/>
      <c r="D146" s="1973"/>
      <c r="E146" s="1972"/>
      <c r="F146" s="1973"/>
      <c r="G146" s="1972"/>
      <c r="H146" s="1973"/>
      <c r="I146" s="1972"/>
      <c r="J146" s="1973"/>
      <c r="K146" s="1972"/>
      <c r="L146" s="1973"/>
      <c r="M146" s="1972"/>
      <c r="N146" s="1973"/>
      <c r="O146" s="1973"/>
      <c r="P146" s="1973"/>
    </row>
    <row r="147" spans="1:16">
      <c r="A147" s="1550" t="s">
        <v>2144</v>
      </c>
      <c r="B147" s="1906">
        <f>SUM(B148:B151)</f>
        <v>19868260.82786759</v>
      </c>
      <c r="C147" s="1907">
        <f>((B148+B149+B150+B151)/(IF(B148=0,0,B142)+IF(B149=0,0,B143)+IF(B150=0,0,B144)+IF(B151=0,0,B145)))*100</f>
        <v>95.549108138440843</v>
      </c>
      <c r="D147" s="1906">
        <f>SUM(D148:D151)</f>
        <v>18640073.994547591</v>
      </c>
      <c r="E147" s="1907">
        <f>((D148+D149+D150+D151)/(IF(D148=0,0,D142)+IF(D149=0,0,D143)+IF(D150=0,0,D144)+IF(D151=0,0,D145)))*100</f>
        <v>94.811955142666463</v>
      </c>
      <c r="F147" s="1906">
        <f>SUM(F148:F151)</f>
        <v>1228186.8333199997</v>
      </c>
      <c r="G147" s="1907">
        <f>((F148+F149+F150+F151)/(IF(F148=0,0,F142)+IF(F149=0,0,F143)+IF(F150=0,0,F144)+IF(F151=0,0,F145)))*100</f>
        <v>108.33217931717004</v>
      </c>
      <c r="H147" s="1906">
        <f>SUM(H148:H151)</f>
        <v>11335316.035188857</v>
      </c>
      <c r="I147" s="1907">
        <f>((H148+H149+H150+H151)/(IF(H148=0,0,H142)+IF(H149=0,0,H143)+IF(H150=0,0,H144)+IF(H151=0,0,H145)))*100</f>
        <v>103.4957963725973</v>
      </c>
      <c r="J147" s="1906">
        <f>SUM(J148:J151)</f>
        <v>8094574.7430575844</v>
      </c>
      <c r="K147" s="1907">
        <f>((J148+J149+J150+J151)/(IF(J148=0,0,J142)+IF(J149=0,0,J143)+IF(J150=0,0,J144)+IF(J151=0,0,J145)))*100</f>
        <v>99.367375799385755</v>
      </c>
      <c r="L147" s="1906">
        <f>SUM(L148:L151)</f>
        <v>3240741.2921312745</v>
      </c>
      <c r="M147" s="1907">
        <f>((L148+L149+L150+L151)/(IF(L148=0,0,L142)+IF(L149=0,0,L143)+IF(L150=0,0,L144)+IF(L151=0,0,L145)))*100</f>
        <v>115.47961154030509</v>
      </c>
      <c r="N147" s="1906">
        <f>SUM(N148:N151)</f>
        <v>8532944.7926787324</v>
      </c>
      <c r="O147" s="1906">
        <f>SUM(O148:O151)</f>
        <v>10545499.251490008</v>
      </c>
      <c r="P147" s="1906">
        <f>SUM(P148:P151)</f>
        <v>-2012554.4588112747</v>
      </c>
    </row>
    <row r="148" spans="1:16">
      <c r="A148" s="1550" t="s">
        <v>1066</v>
      </c>
      <c r="B148" s="1973">
        <v>4746834</v>
      </c>
      <c r="C148" s="2145">
        <v>103.65017726175785</v>
      </c>
      <c r="D148" s="1973">
        <v>4560394</v>
      </c>
      <c r="E148" s="2145">
        <v>103.61541100636862</v>
      </c>
      <c r="F148" s="1973">
        <v>186440</v>
      </c>
      <c r="G148" s="2145">
        <v>104.50789807060616</v>
      </c>
      <c r="H148" s="1973">
        <v>2260685</v>
      </c>
      <c r="I148" s="2145">
        <v>104.3815902657184</v>
      </c>
      <c r="J148" s="1973">
        <v>1666613</v>
      </c>
      <c r="K148" s="2145">
        <v>107.59533468821742</v>
      </c>
      <c r="L148" s="1973">
        <v>594072</v>
      </c>
      <c r="M148" s="2145">
        <v>96.311271430308437</v>
      </c>
      <c r="N148" s="1973">
        <v>2486149</v>
      </c>
      <c r="O148" s="1973">
        <v>2893781</v>
      </c>
      <c r="P148" s="1973">
        <v>-407632</v>
      </c>
    </row>
    <row r="149" spans="1:16">
      <c r="A149" s="1556" t="s">
        <v>1067</v>
      </c>
      <c r="B149" s="1973">
        <v>5187689</v>
      </c>
      <c r="C149" s="2145">
        <v>97.182949252210307</v>
      </c>
      <c r="D149" s="1973">
        <v>4765736</v>
      </c>
      <c r="E149" s="2145">
        <v>95.774745256415613</v>
      </c>
      <c r="F149" s="1973">
        <v>421953</v>
      </c>
      <c r="G149" s="2145">
        <v>116.53552658106886</v>
      </c>
      <c r="H149" s="1973">
        <v>2785320</v>
      </c>
      <c r="I149" s="2145">
        <v>101.91426793164882</v>
      </c>
      <c r="J149" s="1973">
        <v>1986777</v>
      </c>
      <c r="K149" s="2145">
        <v>100.04385907490084</v>
      </c>
      <c r="L149" s="1973">
        <v>798543</v>
      </c>
      <c r="M149" s="2145">
        <v>106.88612054391866</v>
      </c>
      <c r="N149" s="1973">
        <v>2402369</v>
      </c>
      <c r="O149" s="1973">
        <v>2778959</v>
      </c>
      <c r="P149" s="1973">
        <v>-376590</v>
      </c>
    </row>
    <row r="150" spans="1:16">
      <c r="A150" s="1556" t="s">
        <v>1277</v>
      </c>
      <c r="B150" s="1973">
        <v>5085411.2909975499</v>
      </c>
      <c r="C150" s="2145">
        <v>95.752587247795191</v>
      </c>
      <c r="D150" s="1973">
        <v>4838911.4105575504</v>
      </c>
      <c r="E150" s="2145">
        <v>94.335854081802324</v>
      </c>
      <c r="F150" s="1973">
        <v>246499.88043999986</v>
      </c>
      <c r="G150" s="2145">
        <v>135.78268174506988</v>
      </c>
      <c r="H150" s="1973">
        <v>3077246.5529703242</v>
      </c>
      <c r="I150" s="2145">
        <v>102.75058860552626</v>
      </c>
      <c r="J150" s="1973">
        <v>2188256.1923896642</v>
      </c>
      <c r="K150" s="2145">
        <v>92.122983778051037</v>
      </c>
      <c r="L150" s="1973">
        <v>888990.36058065994</v>
      </c>
      <c r="M150" s="2145">
        <v>143.49987902952674</v>
      </c>
      <c r="N150" s="1973">
        <v>2008164.7380272257</v>
      </c>
      <c r="O150" s="1973">
        <v>2650655.2181678861</v>
      </c>
      <c r="P150" s="1973">
        <v>-642490.48014066007</v>
      </c>
    </row>
    <row r="151" spans="1:16">
      <c r="A151" s="1556" t="s">
        <v>1068</v>
      </c>
      <c r="B151" s="1973">
        <v>4848326.5368700409</v>
      </c>
      <c r="C151" s="2145">
        <v>87.121066170534846</v>
      </c>
      <c r="D151" s="1973">
        <v>4475032.5839900412</v>
      </c>
      <c r="E151" s="1972">
        <v>86.837501806886848</v>
      </c>
      <c r="F151" s="1973">
        <v>373293.95287999988</v>
      </c>
      <c r="G151" s="1972">
        <v>90.670470260186903</v>
      </c>
      <c r="H151" s="1973">
        <v>3212064.4822185347</v>
      </c>
      <c r="I151" s="1972">
        <v>105.01132910283924</v>
      </c>
      <c r="J151" s="1973">
        <v>2252928.5506679201</v>
      </c>
      <c r="K151" s="1972">
        <v>100.76272379573635</v>
      </c>
      <c r="L151" s="1973">
        <v>959135.93155061454</v>
      </c>
      <c r="M151" s="1972">
        <v>116.55502118723624</v>
      </c>
      <c r="N151" s="1973">
        <v>1636262.0546515062</v>
      </c>
      <c r="O151" s="1973">
        <v>2222104.033322121</v>
      </c>
      <c r="P151" s="1973">
        <v>-585841.97867061466</v>
      </c>
    </row>
    <row r="152" spans="1:16">
      <c r="A152" s="1556"/>
      <c r="B152" s="1973"/>
      <c r="C152" s="2145"/>
      <c r="D152" s="1973"/>
      <c r="E152" s="2145"/>
      <c r="F152" s="1973"/>
      <c r="G152" s="2145"/>
      <c r="H152" s="1973"/>
      <c r="I152" s="2145"/>
      <c r="J152" s="1973"/>
      <c r="K152" s="2145"/>
      <c r="L152" s="1973"/>
      <c r="M152" s="2145"/>
      <c r="N152" s="1973"/>
      <c r="O152" s="1973"/>
      <c r="P152" s="1973"/>
    </row>
    <row r="153" spans="1:16">
      <c r="A153" s="1550" t="s">
        <v>2375</v>
      </c>
      <c r="B153" s="1906">
        <f>SUM(B154:B157)</f>
        <v>12588158.035708018</v>
      </c>
      <c r="C153" s="1907">
        <f>((B154+B155+B156+B157)/(IF(B154=0,0,B148)+IF(B155=0,0,B149)+IF(B156=0,0,B150)+IF(B157=0,0,B151)))*100</f>
        <v>63.358127542052564</v>
      </c>
      <c r="D153" s="1906">
        <f>SUM(D154:D157)</f>
        <v>11361019.2327592</v>
      </c>
      <c r="E153" s="1907">
        <f>((D154+D155+D156+D157)/(IF(D154=0,0,D148)+IF(D155=0,0,D149)+IF(D156=0,0,D150)+IF(D157=0,0,D151)))*100</f>
        <v>60.949432046688287</v>
      </c>
      <c r="F153" s="1906">
        <f>SUM(F154:F157)</f>
        <v>1227138.8029488199</v>
      </c>
      <c r="G153" s="1907">
        <f>((F154+F155+F156+F157)/(IF(F154=0,0,F148)+IF(F155=0,0,F149)+IF(F156=0,0,F150)+IF(F157=0,0,F151)))*100</f>
        <v>99.914668489944091</v>
      </c>
      <c r="H153" s="1906">
        <f>SUM(H154:H157)</f>
        <v>10076563.924735539</v>
      </c>
      <c r="I153" s="1907">
        <f>((H154+H155+H156+H157)/(IF(H154=0,0,H148)+IF(H155=0,0,H149)+IF(H156=0,0,H150)+IF(H157=0,0,H151)))*100</f>
        <v>88.895306433929989</v>
      </c>
      <c r="J153" s="1906">
        <f>SUM(J154:J157)</f>
        <v>7503563.5902759498</v>
      </c>
      <c r="K153" s="1907">
        <f>((J154+J155+J156+J157)/(IF(J154=0,0,J148)+IF(J155=0,0,J149)+IF(J156=0,0,J150)+IF(J157=0,0,J151)))*100</f>
        <v>92.698675698948577</v>
      </c>
      <c r="L153" s="1906">
        <f>SUM(L154:L157)</f>
        <v>2573000.3344595898</v>
      </c>
      <c r="M153" s="1907">
        <f>((L154+L155+L156+L157)/(IF(L154=0,0,L148)+IF(L155=0,0,L149)+IF(L156=0,0,L150)+IF(L157=0,0,L151)))*100</f>
        <v>79.395425383291098</v>
      </c>
      <c r="N153" s="1906">
        <f>SUM(N154:N157)</f>
        <v>2511594.1109724799</v>
      </c>
      <c r="O153" s="1906">
        <f>SUM(O154:O157)</f>
        <v>3857455.6424832502</v>
      </c>
      <c r="P153" s="1906">
        <f>SUM(P154:P157)</f>
        <v>-1345861.5315107699</v>
      </c>
    </row>
    <row r="154" spans="1:16">
      <c r="A154" s="1550" t="s">
        <v>1066</v>
      </c>
      <c r="B154" s="1973">
        <f>D154+F154</f>
        <v>4463169</v>
      </c>
      <c r="C154" s="2145">
        <f>B154/B148*100</f>
        <v>94.024122183333148</v>
      </c>
      <c r="D154" s="1973">
        <v>4181813</v>
      </c>
      <c r="E154" s="2145">
        <f>D154/D148*100</f>
        <v>91.69850236624292</v>
      </c>
      <c r="F154" s="1973">
        <v>281356</v>
      </c>
      <c r="G154" s="2145">
        <f>F154/F148*100</f>
        <v>150.90967603518558</v>
      </c>
      <c r="H154" s="1973">
        <f>J154+L154</f>
        <v>2590101</v>
      </c>
      <c r="I154" s="2145">
        <f>H154/H148*100</f>
        <v>114.57151261675111</v>
      </c>
      <c r="J154" s="1973">
        <v>1963326</v>
      </c>
      <c r="K154" s="2145">
        <f>J154/J148*100</f>
        <v>117.80335326797523</v>
      </c>
      <c r="L154" s="1973">
        <v>626775</v>
      </c>
      <c r="M154" s="2145">
        <f>L154/L148*100</f>
        <v>105.50488829636812</v>
      </c>
      <c r="N154" s="1973">
        <f>B154-H154</f>
        <v>1873068</v>
      </c>
      <c r="O154" s="1973">
        <f>D154-J154</f>
        <v>2218487</v>
      </c>
      <c r="P154" s="1973">
        <f>F154-L154</f>
        <v>-345419</v>
      </c>
    </row>
    <row r="155" spans="1:16">
      <c r="A155" s="1550" t="s">
        <v>1067</v>
      </c>
      <c r="B155" s="1973">
        <f>D155+F155</f>
        <v>2613505.4821135411</v>
      </c>
      <c r="C155" s="2145">
        <f>B155/B149*100</f>
        <v>50.378993075983182</v>
      </c>
      <c r="D155" s="1973">
        <f>6406321.35471707-D154</f>
        <v>2224508.3547170702</v>
      </c>
      <c r="E155" s="2145">
        <f t="shared" ref="E155:E157" si="3">D155/D149*100</f>
        <v>46.677120904663418</v>
      </c>
      <c r="F155" s="1973">
        <f>670353.127396471-F154</f>
        <v>388997.12739647098</v>
      </c>
      <c r="G155" s="2145">
        <f>F155/F149*100</f>
        <v>92.189681646171735</v>
      </c>
      <c r="H155" s="1973">
        <f>J155+L155</f>
        <v>2199479.6892571002</v>
      </c>
      <c r="I155" s="2145">
        <f>H155/H149*100</f>
        <v>78.966858000412884</v>
      </c>
      <c r="J155" s="1973">
        <f>3566100.8411871-J154</f>
        <v>1602774.8411870999</v>
      </c>
      <c r="K155" s="2145">
        <f>J155/J149*100</f>
        <v>80.672105686098632</v>
      </c>
      <c r="L155" s="1973">
        <f>1223479.84807-L154</f>
        <v>596704.84807000007</v>
      </c>
      <c r="M155" s="2145">
        <f>L155/L149*100</f>
        <v>74.724197453361938</v>
      </c>
      <c r="N155" s="1973">
        <f>B155-H155</f>
        <v>414025.79285644088</v>
      </c>
      <c r="O155" s="1973">
        <f>D155-J155</f>
        <v>621733.51352997031</v>
      </c>
      <c r="P155" s="1973">
        <f>F155-L155</f>
        <v>-207707.72067352908</v>
      </c>
    </row>
    <row r="156" spans="1:16">
      <c r="A156" s="1550" t="s">
        <v>1277</v>
      </c>
      <c r="B156" s="1973">
        <v>2686454.0539217629</v>
      </c>
      <c r="C156" s="2145">
        <f>B156/B150*100</f>
        <v>52.826682055735766</v>
      </c>
      <c r="D156" s="1973">
        <v>2477492.400206469</v>
      </c>
      <c r="E156" s="2145">
        <f t="shared" si="3"/>
        <v>51.199375024743567</v>
      </c>
      <c r="F156" s="1973">
        <v>208961.65371529397</v>
      </c>
      <c r="G156" s="2145">
        <v>84.771503070224412</v>
      </c>
      <c r="H156" s="1973">
        <f>J156+L156</f>
        <v>2629910.5730516296</v>
      </c>
      <c r="I156" s="2145">
        <v>85.463108911864666</v>
      </c>
      <c r="J156" s="1973">
        <v>2007594.1866916297</v>
      </c>
      <c r="K156" s="2145">
        <v>91.744019446793189</v>
      </c>
      <c r="L156" s="1973">
        <v>622316.38635999989</v>
      </c>
      <c r="M156" s="2145">
        <v>70.002602272708884</v>
      </c>
      <c r="N156" s="1973">
        <v>56543.480870133266</v>
      </c>
      <c r="O156" s="1973">
        <v>469898.2135148393</v>
      </c>
      <c r="P156" s="1973">
        <v>-413354.73264470592</v>
      </c>
    </row>
    <row r="157" spans="1:16">
      <c r="A157" s="1556" t="s">
        <v>1068</v>
      </c>
      <c r="B157" s="1973">
        <f>D157+F157</f>
        <v>2825029.4996727156</v>
      </c>
      <c r="C157" s="2145">
        <f>B157/B151*100</f>
        <v>58.268135988556665</v>
      </c>
      <c r="D157" s="1973">
        <f>11361019.2327592-D154-D155-D156</f>
        <v>2477205.4778356608</v>
      </c>
      <c r="E157" s="2145">
        <f t="shared" si="3"/>
        <v>55.356143923915923</v>
      </c>
      <c r="F157" s="1973">
        <f>1227138.80294882-F154-F155-F156</f>
        <v>347824.02183705498</v>
      </c>
      <c r="G157" s="2145">
        <f>F157/F151*100</f>
        <v>93.176977326730892</v>
      </c>
      <c r="H157" s="1973">
        <f>J157+L157</f>
        <v>2657072.6624268098</v>
      </c>
      <c r="I157" s="2145">
        <f>H157/H151*100</f>
        <v>82.721647623699056</v>
      </c>
      <c r="J157" s="1973">
        <f>7503563.59027595-J154-J155-J156</f>
        <v>1929868.5623972202</v>
      </c>
      <c r="K157" s="2145">
        <f>J157/J151*100</f>
        <v>85.660442352913364</v>
      </c>
      <c r="L157" s="1973">
        <f>2573000.33445959-L154-L155-L156</f>
        <v>727204.10002958984</v>
      </c>
      <c r="M157" s="2145">
        <f>L157/L151*100</f>
        <v>75.818669294761435</v>
      </c>
      <c r="N157" s="1973">
        <f>B157-H157</f>
        <v>167956.83724590577</v>
      </c>
      <c r="O157" s="1973">
        <f>D157-J157</f>
        <v>547336.91543844063</v>
      </c>
      <c r="P157" s="1973">
        <f>F157-L157</f>
        <v>-379380.07819253486</v>
      </c>
    </row>
    <row r="158" spans="1:16">
      <c r="A158" s="1556"/>
      <c r="B158" s="1973"/>
      <c r="C158" s="2145"/>
      <c r="D158" s="1973"/>
      <c r="E158" s="2145"/>
      <c r="F158" s="1973"/>
      <c r="G158" s="2145"/>
      <c r="H158" s="1973"/>
      <c r="I158" s="2145"/>
      <c r="J158" s="1973"/>
      <c r="K158" s="2145"/>
      <c r="L158" s="1973"/>
      <c r="M158" s="2145"/>
      <c r="N158" s="1973"/>
      <c r="O158" s="1973"/>
      <c r="P158" s="1973"/>
    </row>
    <row r="159" spans="1:16">
      <c r="A159" s="1550" t="s">
        <v>2537</v>
      </c>
      <c r="B159" s="1906">
        <f>SUM(B160:B163)</f>
        <v>21692281.000000007</v>
      </c>
      <c r="C159" s="1907">
        <f>((B160+B161+B162+B163)/(IF(B160=0,0,B154)+IF(B161=0,0,B155)+IF(B162=0,0,B156)+IF(B163=0,0,B157)))*100</f>
        <v>172.32291601731492</v>
      </c>
      <c r="D159" s="1906">
        <f>SUM(D160:D163)</f>
        <v>19889468.834310226</v>
      </c>
      <c r="E159" s="1907">
        <f>((D160+D161+D162+D163)/(IF(D160=0,0,D154)+IF(D161=0,0,D155)+IF(D162=0,0,D156)+IF(D163=0,0,D157)))*100</f>
        <v>175.06764513662179</v>
      </c>
      <c r="F159" s="1906">
        <f>SUM(F160:F163)</f>
        <v>1802812.1656897794</v>
      </c>
      <c r="G159" s="1907">
        <f>((F160+F161+F162+F163)/(IF(F160=0,0,F154)+IF(F161=0,0,F155)+IF(F162=0,0,F156)+IF(F163=0,0,F157)))*100</f>
        <v>146.91183763056094</v>
      </c>
      <c r="H159" s="1906">
        <f>SUM(H160:H163)</f>
        <v>10418668</v>
      </c>
      <c r="I159" s="1907">
        <f>((H160+H161+H162+H163)/(IF(H160=0,0,H154)+IF(H161=0,0,H155)+IF(H162=0,0,H156)+IF(H163=0,0,H157)))*100</f>
        <v>103.3950469407997</v>
      </c>
      <c r="J159" s="1906">
        <f>SUM(J160:J163)</f>
        <v>7818125.4841546798</v>
      </c>
      <c r="K159" s="1907">
        <f>((J160+J161+J162+J163)/(IF(J160=0,0,J154)+IF(J161=0,0,J155)+IF(J162=0,0,J156)+IF(J163=0,0,J157)))*100</f>
        <v>104.19216669645313</v>
      </c>
      <c r="L159" s="1906">
        <f>SUM(L160:L163)</f>
        <v>2600542.5158453202</v>
      </c>
      <c r="M159" s="1907">
        <f>((L160+L161+L162+L163)/(IF(L160=0,0,L154)+IF(L161=0,0,L155)+IF(L162=0,0,L156)+IF(L163=0,0,L157)))*100</f>
        <v>101.070430540442</v>
      </c>
      <c r="N159" s="1906">
        <f>SUM(N160:N163)</f>
        <v>11273613.000000006</v>
      </c>
      <c r="O159" s="1906">
        <f>SUM(O160:O163)</f>
        <v>12071343.350155547</v>
      </c>
      <c r="P159" s="1906">
        <f>SUM(P160:P163)</f>
        <v>-797730.35015554074</v>
      </c>
    </row>
    <row r="160" spans="1:16">
      <c r="A160" s="1550" t="s">
        <v>1066</v>
      </c>
      <c r="B160" s="1973">
        <v>3840624</v>
      </c>
      <c r="C160" s="1972">
        <v>86.051502867133195</v>
      </c>
      <c r="D160" s="1973">
        <v>3592681</v>
      </c>
      <c r="E160" s="2145">
        <f t="shared" ref="E160:E161" si="4">D160/D154*100</f>
        <v>85.912043412749455</v>
      </c>
      <c r="F160" s="1973">
        <v>247943</v>
      </c>
      <c r="G160" s="1972">
        <v>88.124298042337827</v>
      </c>
      <c r="H160" s="1973">
        <v>2291785</v>
      </c>
      <c r="I160" s="1972">
        <v>88.482456861720834</v>
      </c>
      <c r="J160" s="1973">
        <v>1760142</v>
      </c>
      <c r="K160" s="1972">
        <v>89.651030954614768</v>
      </c>
      <c r="L160" s="1973">
        <v>531643</v>
      </c>
      <c r="M160" s="1972">
        <v>84.821985561006741</v>
      </c>
      <c r="N160" s="1973">
        <v>1548839</v>
      </c>
      <c r="O160" s="1973">
        <v>1832539</v>
      </c>
      <c r="P160" s="1973">
        <v>-283700</v>
      </c>
    </row>
    <row r="161" spans="1:16">
      <c r="A161" s="1550" t="s">
        <v>1067</v>
      </c>
      <c r="B161" s="1973">
        <v>4512158</v>
      </c>
      <c r="C161" s="2145">
        <f>B161/B155*100</f>
        <v>172.64773427416037</v>
      </c>
      <c r="D161" s="1973">
        <v>4101338</v>
      </c>
      <c r="E161" s="2145">
        <f t="shared" si="4"/>
        <v>184.37053703588535</v>
      </c>
      <c r="F161" s="1973">
        <v>410820</v>
      </c>
      <c r="G161" s="1972">
        <v>105.61003438498065</v>
      </c>
      <c r="H161" s="1973">
        <v>2542099</v>
      </c>
      <c r="I161" s="1972">
        <v>115.5772891387155</v>
      </c>
      <c r="J161" s="1973">
        <v>1934661</v>
      </c>
      <c r="K161" s="1972">
        <v>120.70697332428099</v>
      </c>
      <c r="L161" s="1973">
        <v>607438</v>
      </c>
      <c r="M161" s="1972">
        <v>101.79873717545877</v>
      </c>
      <c r="N161" s="1973">
        <v>1970059</v>
      </c>
      <c r="O161" s="1973">
        <v>2166677</v>
      </c>
      <c r="P161" s="1973">
        <v>-196618</v>
      </c>
    </row>
    <row r="162" spans="1:16">
      <c r="A162" s="1550" t="s">
        <v>1277</v>
      </c>
      <c r="B162" s="1973">
        <v>5540097</v>
      </c>
      <c r="C162" s="2145">
        <v>206.22340411563741</v>
      </c>
      <c r="D162" s="1973">
        <v>5000813</v>
      </c>
      <c r="E162" s="2145">
        <v>201.84978164143885</v>
      </c>
      <c r="F162" s="1973">
        <v>539284</v>
      </c>
      <c r="G162" s="1972">
        <v>258.07797287762833</v>
      </c>
      <c r="H162" s="1973">
        <v>2652770</v>
      </c>
      <c r="I162" s="1972">
        <v>100.86920928728939</v>
      </c>
      <c r="J162" s="1973">
        <v>2037553</v>
      </c>
      <c r="K162" s="1972">
        <v>101.49227436037461</v>
      </c>
      <c r="L162" s="1973">
        <v>615217</v>
      </c>
      <c r="M162" s="1972">
        <v>98.859199835388395</v>
      </c>
      <c r="N162" s="1973">
        <v>2887327</v>
      </c>
      <c r="O162" s="1973">
        <v>2963260</v>
      </c>
      <c r="P162" s="1973">
        <v>-75933</v>
      </c>
    </row>
    <row r="163" spans="1:16">
      <c r="A163" s="1550" t="s">
        <v>1068</v>
      </c>
      <c r="B163" s="1973">
        <v>7799402.0000000056</v>
      </c>
      <c r="C163" s="2145">
        <v>276.08214359898119</v>
      </c>
      <c r="D163" s="1973">
        <v>7194636.8343102261</v>
      </c>
      <c r="E163" s="2145">
        <v>290.43359134649558</v>
      </c>
      <c r="F163" s="1973">
        <v>604765.16568977945</v>
      </c>
      <c r="G163" s="1972">
        <v>173.871017446027</v>
      </c>
      <c r="H163" s="1973">
        <v>2932014</v>
      </c>
      <c r="I163" s="1972">
        <v>110.34752799428811</v>
      </c>
      <c r="J163" s="1973">
        <v>2085769.4841546798</v>
      </c>
      <c r="K163" s="1972">
        <v>108.07831811943736</v>
      </c>
      <c r="L163" s="1973">
        <v>846244.51584532019</v>
      </c>
      <c r="M163" s="1972">
        <v>116.36960185055155</v>
      </c>
      <c r="N163" s="1973">
        <v>4867388.0000000056</v>
      </c>
      <c r="O163" s="1973">
        <v>5108867.3501555463</v>
      </c>
      <c r="P163" s="1973">
        <v>-241479.35015554074</v>
      </c>
    </row>
    <row r="164" spans="1:16">
      <c r="A164" s="1550"/>
      <c r="B164" s="1973"/>
      <c r="C164" s="2145"/>
      <c r="D164" s="1973"/>
      <c r="E164" s="2145"/>
      <c r="F164" s="1973"/>
      <c r="G164" s="1972"/>
      <c r="H164" s="1973"/>
      <c r="I164" s="1972"/>
      <c r="J164" s="1973"/>
      <c r="K164" s="1972"/>
      <c r="L164" s="1973"/>
      <c r="M164" s="1972"/>
      <c r="N164" s="1973"/>
      <c r="O164" s="1973"/>
      <c r="P164" s="1973"/>
    </row>
    <row r="165" spans="1:16">
      <c r="A165" s="1550" t="s">
        <v>2827</v>
      </c>
      <c r="B165" s="1906">
        <f>SUM(B166:B169)</f>
        <v>42206696.141908742</v>
      </c>
      <c r="C165" s="1907">
        <f>((B166+B167+B168+B169)/(IF(B166=0,0,B160)+IF(B167=0,0,B161)+IF(B168=0,0,B162)+IF(B169=0,0,B163)))*100</f>
        <v>194.570115249331</v>
      </c>
      <c r="D165" s="1906">
        <f>SUM(D166:D169)</f>
        <v>40706447.497027099</v>
      </c>
      <c r="E165" s="1907">
        <f>((D166+D167+D168+D169)/(IF(D166=0,0,D160)+IF(D167=0,0,D161)+IF(D168=0,0,D162)+IF(D169=0,0,D163)))*100</f>
        <v>204.66332125876914</v>
      </c>
      <c r="F165" s="1906">
        <f>SUM(F166:F169)</f>
        <v>1500248.6448816422</v>
      </c>
      <c r="G165" s="1907">
        <f>((F166+F167+F168+F169)/(IF(F166=0,0,F160)+IF(F167=0,0,F161)+IF(F168=0,0,F162)+IF(F169=0,0,F163)))*100</f>
        <v>83.217135619207866</v>
      </c>
      <c r="H165" s="1906">
        <f>SUM(H166:H169)</f>
        <v>13509216.421858551</v>
      </c>
      <c r="I165" s="1907">
        <f>((H166+H167+H168+H169)/(IF(H166=0,0,H160)+IF(H167=0,0,H161)+IF(H168=0,0,H162)+IF(H169=0,0,H163)))*100</f>
        <v>129.66356564830122</v>
      </c>
      <c r="J165" s="1906">
        <f>SUM(J166:J169)</f>
        <v>9394522.4003469087</v>
      </c>
      <c r="K165" s="1907">
        <f>((J166+J167+J168+J169)/(IF(J166=0,0,J160)+IF(J167=0,0,J161)+IF(J168=0,0,J162)+IF(J169=0,0,J163)))*100</f>
        <v>120.16336165730748</v>
      </c>
      <c r="L165" s="1906">
        <f>SUM(L166:L169)</f>
        <v>4114694.0215116423</v>
      </c>
      <c r="M165" s="1907">
        <f>((L166+L167+L168+L169)/(IF(L166=0,0,L160)+IF(L167=0,0,L161)+IF(L168=0,0,L162)+IF(L169=0,0,L163)))*100</f>
        <v>158.22444726207982</v>
      </c>
      <c r="N165" s="1906">
        <f>SUM(N166:N169)</f>
        <v>28697479.72005019</v>
      </c>
      <c r="O165" s="1906">
        <f>SUM(O166:O169)</f>
        <v>31311925.096680187</v>
      </c>
      <c r="P165" s="1906">
        <f>SUM(P166:P169)</f>
        <v>-2614445.3766299998</v>
      </c>
    </row>
    <row r="166" spans="1:16">
      <c r="A166" s="1550" t="s">
        <v>1066</v>
      </c>
      <c r="B166" s="1973">
        <f>D166+F166</f>
        <v>8124292.2643750664</v>
      </c>
      <c r="C166" s="1972">
        <f>B166/B160*100</f>
        <v>211.53573649425371</v>
      </c>
      <c r="D166" s="1973">
        <v>7696880.979750949</v>
      </c>
      <c r="E166" s="1972">
        <f>D166/D160*100</f>
        <v>214.23780680085289</v>
      </c>
      <c r="F166" s="1973">
        <v>427411.28462411754</v>
      </c>
      <c r="G166" s="1972">
        <f>F166/F160*100</f>
        <v>172.38288018783251</v>
      </c>
      <c r="H166" s="1973">
        <f>J166+L166</f>
        <v>2677229.4012737232</v>
      </c>
      <c r="I166" s="1972">
        <f>H166/H160*100</f>
        <v>116.81852360817979</v>
      </c>
      <c r="J166" s="1973">
        <v>1960665.5076304048</v>
      </c>
      <c r="K166" s="1972">
        <f>J166/J160*100</f>
        <v>111.39246195082015</v>
      </c>
      <c r="L166" s="1973">
        <v>716563.89364331844</v>
      </c>
      <c r="M166" s="1972">
        <f>L166/L160*100</f>
        <v>134.78290763601109</v>
      </c>
      <c r="N166" s="1973">
        <f>B166-H166</f>
        <v>5447062.8631013427</v>
      </c>
      <c r="O166" s="1973">
        <f>D166-J166</f>
        <v>5736215.4721205439</v>
      </c>
      <c r="P166" s="1973">
        <f>F166-L166</f>
        <v>-289152.6090192009</v>
      </c>
    </row>
    <row r="167" spans="1:16">
      <c r="A167" s="1550" t="s">
        <v>1067</v>
      </c>
      <c r="B167" s="1973">
        <f>D167+F167</f>
        <v>10777523.638336884</v>
      </c>
      <c r="C167" s="2145">
        <f>B167/B161*100</f>
        <v>238.85519164747521</v>
      </c>
      <c r="D167" s="1973">
        <v>10481057.57075806</v>
      </c>
      <c r="E167" s="2145">
        <f t="shared" ref="E167:E168" si="5">D167/D161*100</f>
        <v>255.55215324262619</v>
      </c>
      <c r="F167" s="1973">
        <v>296466.06757882365</v>
      </c>
      <c r="G167" s="1972">
        <f t="shared" ref="G167:G168" si="6">F167/F161*100</f>
        <v>72.164468034376043</v>
      </c>
      <c r="H167" s="1973">
        <f t="shared" ref="H167:H169" si="7">J167+L167</f>
        <v>3202213.6162698241</v>
      </c>
      <c r="I167" s="1972">
        <f t="shared" ref="I167:I168" si="8">H167/H161*100</f>
        <v>125.96730561122223</v>
      </c>
      <c r="J167" s="1973">
        <v>2191232.069420727</v>
      </c>
      <c r="K167" s="1972">
        <f t="shared" ref="K167:K168" si="9">J167/J161*100</f>
        <v>113.26181017866837</v>
      </c>
      <c r="L167" s="1973">
        <v>1010981.5468490974</v>
      </c>
      <c r="M167" s="1972">
        <f t="shared" ref="M167:M168" si="10">L167/L161*100</f>
        <v>166.43370135702696</v>
      </c>
      <c r="N167" s="1973">
        <f t="shared" ref="N167:N169" si="11">B167-H167</f>
        <v>7575310.0220670598</v>
      </c>
      <c r="O167" s="1973">
        <f t="shared" ref="O167:O168" si="12">D167-J167</f>
        <v>8289825.5013373327</v>
      </c>
      <c r="P167" s="1973">
        <f t="shared" ref="P167:P168" si="13">F167-L167</f>
        <v>-714515.4792702737</v>
      </c>
    </row>
    <row r="168" spans="1:16">
      <c r="A168" s="1550" t="s">
        <v>1277</v>
      </c>
      <c r="B168" s="1973">
        <f>D168+F168</f>
        <v>12325090</v>
      </c>
      <c r="C168" s="2145">
        <f>B168/B162*100</f>
        <v>222.47065349216811</v>
      </c>
      <c r="D168" s="1973">
        <v>12012348.4</v>
      </c>
      <c r="E168" s="2145">
        <f t="shared" si="5"/>
        <v>240.20791019380249</v>
      </c>
      <c r="F168" s="1973">
        <v>312741.59999999998</v>
      </c>
      <c r="G168" s="1972">
        <f t="shared" si="6"/>
        <v>57.992004212993521</v>
      </c>
      <c r="H168" s="1973">
        <f t="shared" si="7"/>
        <v>3655101</v>
      </c>
      <c r="I168" s="1972">
        <f t="shared" si="8"/>
        <v>137.78431601684278</v>
      </c>
      <c r="J168" s="1973">
        <v>2578357.4</v>
      </c>
      <c r="K168" s="1972">
        <f t="shared" si="9"/>
        <v>126.54185682531937</v>
      </c>
      <c r="L168" s="1973">
        <v>1076743.6000000001</v>
      </c>
      <c r="M168" s="1972">
        <f t="shared" si="10"/>
        <v>175.01850566548066</v>
      </c>
      <c r="N168" s="1973">
        <f t="shared" si="11"/>
        <v>8669989</v>
      </c>
      <c r="O168" s="1973">
        <f t="shared" si="12"/>
        <v>9433991</v>
      </c>
      <c r="P168" s="1973">
        <f t="shared" si="13"/>
        <v>-764002.00000000012</v>
      </c>
    </row>
    <row r="169" spans="1:16">
      <c r="A169" s="1550" t="s">
        <v>1068</v>
      </c>
      <c r="B169" s="1973">
        <f>D169+F169</f>
        <v>10979790.23919679</v>
      </c>
      <c r="C169" s="2145">
        <f>B169/B163*100</f>
        <v>140.77733445713895</v>
      </c>
      <c r="D169" s="1973">
        <v>10516160.546518089</v>
      </c>
      <c r="E169" s="2145">
        <f>D169/D163*100</f>
        <v>146.16666259467019</v>
      </c>
      <c r="F169" s="1973">
        <v>463629.69267870102</v>
      </c>
      <c r="G169" s="1972">
        <f>F169/F163*100</f>
        <v>76.662764157372891</v>
      </c>
      <c r="H169" s="1973">
        <f t="shared" si="7"/>
        <v>3974672.4043150037</v>
      </c>
      <c r="I169" s="1972">
        <f>H169/H163*100</f>
        <v>135.56116731758456</v>
      </c>
      <c r="J169" s="1973">
        <v>2664267.4232957773</v>
      </c>
      <c r="K169" s="1972">
        <f>J169/J163*100</f>
        <v>127.73546854222728</v>
      </c>
      <c r="L169" s="1973">
        <v>1310404.9810192264</v>
      </c>
      <c r="M169" s="1972">
        <f>L169/L163*100</f>
        <v>154.84945030459107</v>
      </c>
      <c r="N169" s="1973">
        <f t="shared" si="11"/>
        <v>7005117.8348817863</v>
      </c>
      <c r="O169" s="1973">
        <f>D169-J169</f>
        <v>7851893.123222312</v>
      </c>
      <c r="P169" s="1973">
        <f>F169-L169</f>
        <v>-846775.28834052535</v>
      </c>
    </row>
    <row r="170" spans="1:16">
      <c r="A170" s="1550"/>
      <c r="B170" s="1973"/>
      <c r="C170" s="2145"/>
      <c r="D170" s="1973"/>
      <c r="E170" s="2145"/>
      <c r="F170" s="1973"/>
      <c r="G170" s="1972"/>
      <c r="H170" s="1973"/>
      <c r="I170" s="1972"/>
      <c r="J170" s="1973"/>
      <c r="K170" s="1972"/>
      <c r="L170" s="1973"/>
      <c r="M170" s="1972"/>
      <c r="N170" s="1973"/>
      <c r="O170" s="1973"/>
      <c r="P170" s="1973"/>
    </row>
    <row r="171" spans="1:16">
      <c r="A171" s="1550" t="s">
        <v>3518</v>
      </c>
      <c r="B171" s="1906">
        <f>SUM(B172:B175)</f>
        <v>29202113.999999963</v>
      </c>
      <c r="C171" s="1907">
        <f>((B172+B173+B174+B175)/(IF(B172=0,0,B166)+IF(B173=0,0,B167)+IF(B174=0,0,B168)+IF(B175=0,0,B169)))*100</f>
        <v>69.188343721137642</v>
      </c>
      <c r="D171" s="1906">
        <f>SUM(D172:D175)</f>
        <v>27586296.546869501</v>
      </c>
      <c r="E171" s="1907">
        <f>((D172+D173+D174+D175)/(IF(D172=0,0,D166)+IF(D173=0,0,D167)+IF(D174=0,0,D168)+IF(D175=0,0,D169)))*100</f>
        <v>67.768862779991309</v>
      </c>
      <c r="F171" s="1906">
        <f>SUM(F172:F175)</f>
        <v>1615817.4531304601</v>
      </c>
      <c r="G171" s="1907">
        <f>((F172+F173+F174+F175)/(IF(F172=0,0,F166)+IF(F173=0,0,F167)+IF(F174=0,0,F168)+IF(F175=0,0,F169)))*100</f>
        <v>107.70331029080418</v>
      </c>
      <c r="H171" s="1906">
        <f>SUM(H172:H175)</f>
        <v>16396550.999999953</v>
      </c>
      <c r="I171" s="1907">
        <f>((H172+H173+H174+H175)/(IF(H172=0,0,H166)+IF(H173=0,0,H167)+IF(H174=0,0,H168)+IF(H175=0,0,H169)))*100</f>
        <v>121.37307218995737</v>
      </c>
      <c r="J171" s="1906">
        <f>SUM(J172:J175)</f>
        <v>11911319.282069199</v>
      </c>
      <c r="K171" s="1907">
        <f>((J172+J173+J174+J175)/(IF(J172=0,0,J166)+IF(J173=0,0,J167)+IF(J174=0,0,J168)+IF(J175=0,0,J169)))*100</f>
        <v>126.79004609781283</v>
      </c>
      <c r="L171" s="1906">
        <f>SUM(L172:L175)</f>
        <v>4485231.7179307546</v>
      </c>
      <c r="M171" s="1907">
        <f>((L172+L173+L174+L175)/(IF(L172=0,0,L166)+IF(L173=0,0,L167)+IF(L174=0,0,L168)+IF(L175=0,0,L169)))*100</f>
        <v>109.00523087456659</v>
      </c>
      <c r="N171" s="1906">
        <f>SUM(N172:N175)</f>
        <v>12805563.000000009</v>
      </c>
      <c r="O171" s="1906">
        <f>SUM(O172:O175)</f>
        <v>15674977.264800303</v>
      </c>
      <c r="P171" s="1906">
        <f>SUM(P172:P175)</f>
        <v>-2869414.2648002948</v>
      </c>
    </row>
    <row r="172" spans="1:16">
      <c r="A172" s="1550" t="s">
        <v>1066</v>
      </c>
      <c r="B172" s="1973">
        <f>D172+F172</f>
        <v>8483779.8959766719</v>
      </c>
      <c r="C172" s="1972">
        <f>B172/B166*100</f>
        <v>104.42484858869436</v>
      </c>
      <c r="D172" s="1973">
        <v>8161693.78813258</v>
      </c>
      <c r="E172" s="1972">
        <f>D172/D166*100</f>
        <v>106.03897617235431</v>
      </c>
      <c r="F172" s="1973">
        <v>322086.10784409154</v>
      </c>
      <c r="G172" s="1972">
        <f>F172/F166*100</f>
        <v>75.357417885526075</v>
      </c>
      <c r="H172" s="1973">
        <f>J172+L172</f>
        <v>3763123.3505233326</v>
      </c>
      <c r="I172" s="1972">
        <f>H172/H166*100</f>
        <v>140.56036246774306</v>
      </c>
      <c r="J172" s="1973">
        <v>2607074.4095138805</v>
      </c>
      <c r="K172" s="1972">
        <f>J172/J166*100</f>
        <v>132.96885161532239</v>
      </c>
      <c r="L172" s="1973">
        <v>1156048.9410094521</v>
      </c>
      <c r="M172" s="1972">
        <f>L172/L166*100</f>
        <v>161.33229029048658</v>
      </c>
      <c r="N172" s="1973">
        <f>B172-H172</f>
        <v>4720656.5454533398</v>
      </c>
      <c r="O172" s="1973">
        <f>D172-J172</f>
        <v>5554619.3786186995</v>
      </c>
      <c r="P172" s="1973">
        <f>F172-L172</f>
        <v>-833962.83316536061</v>
      </c>
    </row>
    <row r="173" spans="1:16">
      <c r="A173" s="1550" t="s">
        <v>1067</v>
      </c>
      <c r="B173" s="1973">
        <f>D173+F173</f>
        <v>6673532.1040233281</v>
      </c>
      <c r="C173" s="1972">
        <f>B173/B167*100</f>
        <v>61.920830127292056</v>
      </c>
      <c r="D173" s="1973">
        <v>6209518.21186742</v>
      </c>
      <c r="E173" s="1972">
        <f t="shared" ref="E173:E175" si="14">D173/D167*100</f>
        <v>59.245149355842209</v>
      </c>
      <c r="F173" s="1973">
        <v>464013.89215590846</v>
      </c>
      <c r="G173" s="1972">
        <f t="shared" ref="G173:G175" si="15">F173/F167*100</f>
        <v>156.51500893353929</v>
      </c>
      <c r="H173" s="1973">
        <f t="shared" ref="H173:H175" si="16">J173+L173</f>
        <v>3905253.5792861194</v>
      </c>
      <c r="I173" s="1972">
        <f t="shared" ref="I173:I175" si="17">H173/H167*100</f>
        <v>121.95481149178451</v>
      </c>
      <c r="J173" s="1973">
        <v>2768918.5904861195</v>
      </c>
      <c r="K173" s="1972">
        <f t="shared" ref="K173:K175" si="18">J173/J167*100</f>
        <v>126.36354812103994</v>
      </c>
      <c r="L173" s="1973">
        <v>1136334.9887999999</v>
      </c>
      <c r="M173" s="1972">
        <f t="shared" ref="M173:M175" si="19">L173/L167*100</f>
        <v>112.39918199709864</v>
      </c>
      <c r="N173" s="1973">
        <f t="shared" ref="N173:N175" si="20">B173-H173</f>
        <v>2768278.5247372086</v>
      </c>
      <c r="O173" s="1973">
        <f t="shared" ref="O173:O175" si="21">D173-J173</f>
        <v>3440599.6213813005</v>
      </c>
      <c r="P173" s="1973">
        <f t="shared" ref="P173:P175" si="22">F173-L173</f>
        <v>-672321.09664409142</v>
      </c>
    </row>
    <row r="174" spans="1:16">
      <c r="A174" s="1550" t="s">
        <v>1277</v>
      </c>
      <c r="B174" s="1973">
        <f>D174+F174</f>
        <v>6669105.9284742801</v>
      </c>
      <c r="C174" s="1972">
        <f>B174/B168*100</f>
        <v>54.109997805081179</v>
      </c>
      <c r="D174" s="1973">
        <v>6311780.704334598</v>
      </c>
      <c r="E174" s="1972">
        <f t="shared" si="14"/>
        <v>52.544102902764614</v>
      </c>
      <c r="F174" s="1973">
        <v>357325.22413968231</v>
      </c>
      <c r="G174" s="1972">
        <f t="shared" si="15"/>
        <v>114.25573832828198</v>
      </c>
      <c r="H174" s="1973">
        <f t="shared" si="16"/>
        <v>4181578.9290296817</v>
      </c>
      <c r="I174" s="1972">
        <f t="shared" si="17"/>
        <v>114.40392287462595</v>
      </c>
      <c r="J174" s="1973">
        <v>3149856.425324779</v>
      </c>
      <c r="K174" s="1972">
        <f t="shared" si="18"/>
        <v>122.16523688006863</v>
      </c>
      <c r="L174" s="1973">
        <v>1031722.5037049027</v>
      </c>
      <c r="M174" s="1972">
        <f t="shared" si="19"/>
        <v>95.818772798361891</v>
      </c>
      <c r="N174" s="1973">
        <f t="shared" si="20"/>
        <v>2487526.9994445983</v>
      </c>
      <c r="O174" s="1973">
        <f t="shared" si="21"/>
        <v>3161924.279009819</v>
      </c>
      <c r="P174" s="1973">
        <f t="shared" si="22"/>
        <v>-674397.27956522047</v>
      </c>
    </row>
    <row r="175" spans="1:16">
      <c r="A175" s="1550" t="s">
        <v>1068</v>
      </c>
      <c r="B175" s="1973">
        <f>D175+F175</f>
        <v>7375696.0715256818</v>
      </c>
      <c r="C175" s="1972">
        <f>B175/B169*100</f>
        <v>67.175200170902713</v>
      </c>
      <c r="D175" s="1973">
        <v>6903303.8425349034</v>
      </c>
      <c r="E175" s="1972">
        <f t="shared" si="14"/>
        <v>65.644717118935532</v>
      </c>
      <c r="F175" s="1973">
        <v>472392.22899077786</v>
      </c>
      <c r="G175" s="1972">
        <f t="shared" si="15"/>
        <v>101.88998600617009</v>
      </c>
      <c r="H175" s="1973">
        <f t="shared" si="16"/>
        <v>4546595.1411608197</v>
      </c>
      <c r="I175" s="1972">
        <f t="shared" si="17"/>
        <v>114.38917924971432</v>
      </c>
      <c r="J175" s="1973">
        <v>3385469.8567444198</v>
      </c>
      <c r="K175" s="1972">
        <f t="shared" si="18"/>
        <v>127.06944607521771</v>
      </c>
      <c r="L175" s="1973">
        <v>1161125.2844163999</v>
      </c>
      <c r="M175" s="1972">
        <f t="shared" si="19"/>
        <v>88.608125063236756</v>
      </c>
      <c r="N175" s="1973">
        <f t="shared" si="20"/>
        <v>2829100.9303648621</v>
      </c>
      <c r="O175" s="1973">
        <f t="shared" si="21"/>
        <v>3517833.9857904837</v>
      </c>
      <c r="P175" s="1973">
        <f t="shared" si="22"/>
        <v>-688733.05542562203</v>
      </c>
    </row>
    <row r="176" spans="1:16">
      <c r="A176" s="1550"/>
      <c r="B176" s="1973"/>
      <c r="C176" s="1972"/>
      <c r="D176" s="1973"/>
      <c r="E176" s="1972"/>
      <c r="F176" s="1973"/>
      <c r="G176" s="1972"/>
      <c r="H176" s="1973"/>
      <c r="I176" s="1972"/>
      <c r="J176" s="1973"/>
      <c r="K176" s="1972"/>
      <c r="L176" s="1973"/>
      <c r="M176" s="1972"/>
      <c r="N176" s="1973"/>
      <c r="O176" s="1973"/>
      <c r="P176" s="1973"/>
    </row>
    <row r="177" spans="1:16">
      <c r="A177" s="1550" t="s">
        <v>3989</v>
      </c>
      <c r="B177" s="2196">
        <f>SUM(B178:B181)</f>
        <v>25992028.287370764</v>
      </c>
      <c r="C177" s="1907">
        <f>((B178+B179+B180+B181)/(IF(B178=0,0,B172)+IF(B179=0,0,B173)+IF(B180=0,0,B174)+IF(B181=0,0,B175)))*100</f>
        <v>89.007351616293249</v>
      </c>
      <c r="D177" s="1906">
        <f>SUM(D178:D181)</f>
        <v>24274261.0360891</v>
      </c>
      <c r="E177" s="1907">
        <f>((D178+D179+D180+D181)/(IF(D178=0,0,D172)+IF(D179=0,0,D173)+IF(D180=0,0,D174)+IF(D181=0,0,D175)))*100</f>
        <v>87.993910291099766</v>
      </c>
      <c r="F177" s="2197">
        <f>SUM(F178:F181)</f>
        <v>1717767.2512816598</v>
      </c>
      <c r="G177" s="1907">
        <f>((F178+F179+F180+F181)/(IF(F178=0,0,F172)+IF(F179=0,0,F173)+IF(F180=0,0,F174)+IF(F181=0,0,F175)))*100</f>
        <v>106.30948737146537</v>
      </c>
      <c r="H177" s="2197">
        <f>SUM(H178:H181)</f>
        <v>17167084.151302718</v>
      </c>
      <c r="I177" s="1907">
        <f>((H178+H179+H180+H181)/(IF(H178=0,0,H172)+IF(H179=0,0,H173)+IF(H180=0,0,H174)+IF(H181=0,0,H175)))*100</f>
        <v>104.69936117237562</v>
      </c>
      <c r="J177" s="1906">
        <f>SUM(J178:J181)</f>
        <v>12649990.633814799</v>
      </c>
      <c r="K177" s="1907">
        <f>((J178+J179+J180+J181)/(IF(J178=0,0,J172)+IF(J179=0,0,J173)+IF(J180=0,0,J174)+IF(J181=0,0,J175)))*100</f>
        <v>106.20142348847592</v>
      </c>
      <c r="L177" s="1906">
        <f>SUM(L178:L181)</f>
        <v>4517093.5174879199</v>
      </c>
      <c r="M177" s="1907">
        <f>((L178+L179+L180+L181)/(IF(L178=0,0,L172)+IF(L179=0,0,L173)+IF(L180=0,0,L174)+IF(L181=0,0,L175)))*100</f>
        <v>100.71037131548388</v>
      </c>
      <c r="N177" s="1906">
        <f>SUM(N178:N181)</f>
        <v>8824944.1360680424</v>
      </c>
      <c r="O177" s="1906">
        <f>SUM(O178:O181)</f>
        <v>11624270.402274305</v>
      </c>
      <c r="P177" s="1906">
        <f>SUM(P178:P181)</f>
        <v>-2799326.2662062598</v>
      </c>
    </row>
    <row r="178" spans="1:16">
      <c r="A178" s="1550" t="s">
        <v>1066</v>
      </c>
      <c r="B178" s="2088">
        <f>D178+F178</f>
        <v>6184494.1924629677</v>
      </c>
      <c r="C178" s="2145">
        <f>B178/B172*100</f>
        <v>72.897862371416394</v>
      </c>
      <c r="D178" s="1973">
        <v>5853641.0180594521</v>
      </c>
      <c r="E178" s="2145">
        <f>D178/D172*100</f>
        <v>71.720909531926736</v>
      </c>
      <c r="F178" s="1966">
        <v>330853.17440351599</v>
      </c>
      <c r="G178" s="2145">
        <f>F178/F172*100</f>
        <v>102.72196358238097</v>
      </c>
      <c r="H178" s="2198">
        <f>J178+L178</f>
        <v>3515055.0228954502</v>
      </c>
      <c r="I178" s="2145">
        <f>H178/H172*100</f>
        <v>93.407913997998932</v>
      </c>
      <c r="J178" s="1966">
        <v>2613676.4946902334</v>
      </c>
      <c r="K178" s="2145">
        <f>J178/J172*100</f>
        <v>100.25323731276177</v>
      </c>
      <c r="L178" s="1966">
        <v>901378.52820521675</v>
      </c>
      <c r="M178" s="2145">
        <f>L178/L172*100</f>
        <v>77.970620120817784</v>
      </c>
      <c r="N178" s="1973">
        <f>B178-H178</f>
        <v>2669439.1695675175</v>
      </c>
      <c r="O178" s="1973">
        <f>D178-J178</f>
        <v>3239964.5233692187</v>
      </c>
      <c r="P178" s="1973">
        <f>F178-L178</f>
        <v>-570525.35380170075</v>
      </c>
    </row>
    <row r="179" spans="1:16">
      <c r="A179" s="1550" t="s">
        <v>4130</v>
      </c>
      <c r="B179" s="2088">
        <f t="shared" ref="B179:B180" si="23">D179+F179</f>
        <v>6168008.8506042743</v>
      </c>
      <c r="C179" s="2145">
        <f>B179/B173*100</f>
        <v>92.424952101237594</v>
      </c>
      <c r="D179" s="1973">
        <v>5698014.717543547</v>
      </c>
      <c r="E179" s="2145">
        <f>D179/D173*100</f>
        <v>91.762589674891288</v>
      </c>
      <c r="F179" s="1966">
        <v>469994.13306072762</v>
      </c>
      <c r="G179" s="2145">
        <f>F179/F173*100</f>
        <v>101.28880643573702</v>
      </c>
      <c r="H179" s="2198">
        <f t="shared" ref="H179:H180" si="24">J179+L179</f>
        <v>4214096.3041208498</v>
      </c>
      <c r="I179" s="2145">
        <f>H179/H173*100</f>
        <v>107.90839105744286</v>
      </c>
      <c r="J179" s="1966">
        <v>3021218.8199898466</v>
      </c>
      <c r="K179" s="2145">
        <f>J179/J173*100</f>
        <v>109.11186881299506</v>
      </c>
      <c r="L179" s="1966">
        <v>1192877.4841310033</v>
      </c>
      <c r="M179" s="2145">
        <f>L179/L173*100</f>
        <v>104.97586502996919</v>
      </c>
      <c r="N179" s="1973">
        <f>B179-H179</f>
        <v>1953912.5464834245</v>
      </c>
      <c r="O179" s="1973">
        <f>D179-J179</f>
        <v>2676795.8975537005</v>
      </c>
      <c r="P179" s="1973">
        <f>F179-L179</f>
        <v>-722883.35107027565</v>
      </c>
    </row>
    <row r="180" spans="1:16">
      <c r="A180" s="1550" t="s">
        <v>1277</v>
      </c>
      <c r="B180" s="2088">
        <f t="shared" si="23"/>
        <v>6912559.9310168894</v>
      </c>
      <c r="C180" s="2145">
        <f>B180/B174*100</f>
        <v>103.65047436873304</v>
      </c>
      <c r="D180" s="1973">
        <v>6453946.5707875034</v>
      </c>
      <c r="E180" s="2145">
        <f>D180/D174*100</f>
        <v>102.25238919272455</v>
      </c>
      <c r="F180" s="1966">
        <v>458613.36022938613</v>
      </c>
      <c r="G180" s="2145">
        <f>F180/F174*100</f>
        <v>128.34620375137837</v>
      </c>
      <c r="H180" s="2198">
        <f t="shared" si="24"/>
        <v>4531953.1580239888</v>
      </c>
      <c r="I180" s="2145">
        <f>H180/H174*100</f>
        <v>108.37899355580525</v>
      </c>
      <c r="J180" s="1966">
        <v>3441945.7685926189</v>
      </c>
      <c r="K180" s="2145">
        <f>J180/J174*100</f>
        <v>109.27310022512289</v>
      </c>
      <c r="L180" s="1966">
        <v>1090007.38943137</v>
      </c>
      <c r="M180" s="2145">
        <f>L180/L174*100</f>
        <v>105.64927928945689</v>
      </c>
      <c r="N180" s="1973">
        <f>B180-H180</f>
        <v>2380606.7729929006</v>
      </c>
      <c r="O180" s="1973">
        <f>D180-J180</f>
        <v>3012000.8021948845</v>
      </c>
      <c r="P180" s="1973">
        <f>F180-L180</f>
        <v>-631394.02920198382</v>
      </c>
    </row>
    <row r="181" spans="1:16">
      <c r="A181" s="1550" t="s">
        <v>1068</v>
      </c>
      <c r="B181" s="2088">
        <f>D181+F181</f>
        <v>6726965.3132866304</v>
      </c>
      <c r="C181" s="2145">
        <f>B181/B175*100</f>
        <v>91.204480879526542</v>
      </c>
      <c r="D181" s="1973">
        <v>6268658.7296986002</v>
      </c>
      <c r="E181" s="2145">
        <f>D181/D175*100</f>
        <v>90.806646682333181</v>
      </c>
      <c r="F181" s="1966">
        <v>458306.58358802996</v>
      </c>
      <c r="G181" s="1972">
        <f>F181/F175*100</f>
        <v>97.018230923730357</v>
      </c>
      <c r="H181" s="2198">
        <f>J181+L181</f>
        <v>4905979.6662624292</v>
      </c>
      <c r="I181" s="2145">
        <f>H181/H175*100</f>
        <v>107.904476073712</v>
      </c>
      <c r="J181" s="1966">
        <v>3573149.5505420999</v>
      </c>
      <c r="K181" s="2145">
        <f>J181/J175*100</f>
        <v>105.54368231705833</v>
      </c>
      <c r="L181" s="1966">
        <v>1332830.1157203298</v>
      </c>
      <c r="M181" s="2145">
        <f>L181/L175*100</f>
        <v>114.78779539197026</v>
      </c>
      <c r="N181" s="1973">
        <f>B181-H181</f>
        <v>1820985.6470242012</v>
      </c>
      <c r="O181" s="1973">
        <f>D181-J181</f>
        <v>2695509.1791565004</v>
      </c>
      <c r="P181" s="1973">
        <f>F181-L181</f>
        <v>-874523.53213229985</v>
      </c>
    </row>
    <row r="182" spans="1:16">
      <c r="A182" s="1550"/>
      <c r="B182" s="2088"/>
      <c r="C182" s="2145"/>
      <c r="D182" s="1973"/>
      <c r="E182" s="2145"/>
      <c r="F182" s="2145"/>
      <c r="G182" s="2145"/>
      <c r="H182" s="2145"/>
      <c r="I182" s="2199"/>
      <c r="J182" s="2145"/>
      <c r="K182" s="2145"/>
      <c r="L182" s="2145"/>
      <c r="M182" s="2145"/>
      <c r="N182" s="2145"/>
      <c r="O182" s="2145"/>
    </row>
    <row r="183" spans="1:16">
      <c r="A183" s="1550" t="s">
        <v>4222</v>
      </c>
      <c r="B183" s="2196">
        <f>SUM(B184)</f>
        <v>6212869.9437425146</v>
      </c>
      <c r="C183" s="1907">
        <f>((B184+B185+B186+B187)/(IF(B184=0,0,B178)+IF(B185=0,0,B179)+IF(B186=0,0,B180)+IF(B187=0,0,B181)))*100</f>
        <v>100.45882088973627</v>
      </c>
      <c r="D183" s="1906">
        <f>SUM(D184)</f>
        <v>5919381.8154703099</v>
      </c>
      <c r="E183" s="1907">
        <f>((D184+D185+D186+D187)/(IF(D184=0,0,D178)+IF(D185=0,0,D179)+IF(D186=0,0,D180)+IF(D187=0,0,D181)))*100</f>
        <v>101.12307531685043</v>
      </c>
      <c r="F183" s="1906">
        <f>SUM(F184)</f>
        <v>293488.12827220501</v>
      </c>
      <c r="G183" s="1907">
        <f>((F184+F185+F186+F187)/(IF(F184=0,0,F178)+IF(F185=0,0,F179)+IF(F186=0,0,F180)+IF(F187=0,0,F181)))*100</f>
        <v>88.706456814665543</v>
      </c>
      <c r="H183" s="1906">
        <f>SUM(H184)</f>
        <v>3767410.2835777965</v>
      </c>
      <c r="I183" s="1907">
        <f>((H184+H185+H186+H187)/(IF(H184=0,0,H178)+IF(H185=0,0,H179)+IF(H186=0,0,H180)+IF(H187=0,0,H181)))*100</f>
        <v>107.17926914482476</v>
      </c>
      <c r="J183" s="1906">
        <f>SUM(J184)</f>
        <v>2810792.8833456384</v>
      </c>
      <c r="K183" s="1907">
        <f>((J184+J185+J186+J187)/(IF(J184=0,0,J178)+IF(J185=0,0,J179)+IF(J186=0,0,J180)+IF(J187=0,0,J181)))*100</f>
        <v>107.54172863611289</v>
      </c>
      <c r="L183" s="1906">
        <f>SUM(L184)</f>
        <v>956617.40023215802</v>
      </c>
      <c r="M183" s="1907">
        <f>((L184+L185+L186+L187)/(IF(L184=0,0,L178)+IF(L185=0,0,L179)+IF(L186=0,0,L180)+IF(L187=0,0,L181)))*100</f>
        <v>106.12826579494082</v>
      </c>
      <c r="N183" s="1906">
        <f>SUM(N184)</f>
        <v>2445459.6601647181</v>
      </c>
      <c r="O183" s="1906">
        <f>SUM(O184)</f>
        <v>3108588.9321246715</v>
      </c>
      <c r="P183" s="1906">
        <f>SUM(P184)</f>
        <v>-663129.27195995301</v>
      </c>
    </row>
    <row r="184" spans="1:16" ht="12.6" customHeight="1">
      <c r="A184" s="1699" t="s">
        <v>1066</v>
      </c>
      <c r="B184" s="2200">
        <f>D184+F184</f>
        <v>6212869.9437425146</v>
      </c>
      <c r="C184" s="2201">
        <f>B184/B178*100</f>
        <v>100.45882088973627</v>
      </c>
      <c r="D184" s="1908">
        <v>5919381.8154703099</v>
      </c>
      <c r="E184" s="2201">
        <f>D184/D178*100</f>
        <v>101.12307531685043</v>
      </c>
      <c r="F184" s="2202">
        <v>293488.12827220501</v>
      </c>
      <c r="G184" s="2201">
        <f>F184/F178*100</f>
        <v>88.706456814665543</v>
      </c>
      <c r="H184" s="2202">
        <f>J184+L184</f>
        <v>3767410.2835777965</v>
      </c>
      <c r="I184" s="2201">
        <f>H184/H178*100</f>
        <v>107.17926914482476</v>
      </c>
      <c r="J184" s="2202">
        <v>2810792.8833456384</v>
      </c>
      <c r="K184" s="2201">
        <f>J184/J178*100</f>
        <v>107.54172863611289</v>
      </c>
      <c r="L184" s="2202">
        <v>956617.40023215802</v>
      </c>
      <c r="M184" s="2201">
        <f>L184/L178*100</f>
        <v>106.12826579494082</v>
      </c>
      <c r="N184" s="2202">
        <f>B184-H184</f>
        <v>2445459.6601647181</v>
      </c>
      <c r="O184" s="2202">
        <f>D184-J184</f>
        <v>3108588.9321246715</v>
      </c>
      <c r="P184" s="1908">
        <f>F184-L184</f>
        <v>-663129.27195995301</v>
      </c>
    </row>
    <row r="185" spans="1:16" ht="9" customHeight="1">
      <c r="A185" s="2271" t="s">
        <v>2695</v>
      </c>
      <c r="B185" s="2271"/>
      <c r="C185" s="2271"/>
      <c r="D185" s="2271"/>
      <c r="E185" s="2271"/>
      <c r="F185" s="2271"/>
      <c r="G185" s="2271"/>
      <c r="H185" s="2271"/>
      <c r="I185" s="2271"/>
      <c r="J185" s="2271"/>
      <c r="K185" s="2271"/>
      <c r="L185" s="2271"/>
      <c r="M185" s="2271"/>
      <c r="N185" s="2271"/>
      <c r="O185" s="2271"/>
      <c r="P185" s="2271"/>
    </row>
    <row r="186" spans="1:16" ht="12" customHeight="1">
      <c r="A186" s="2271"/>
      <c r="B186" s="2271"/>
      <c r="C186" s="2271"/>
      <c r="D186" s="2271"/>
      <c r="E186" s="2271"/>
      <c r="F186" s="2271"/>
      <c r="G186" s="2271"/>
      <c r="H186" s="2271"/>
      <c r="I186" s="2271"/>
      <c r="J186" s="2271"/>
      <c r="K186" s="2271"/>
      <c r="L186" s="2271"/>
      <c r="M186" s="2271"/>
      <c r="N186" s="2271"/>
      <c r="O186" s="2271"/>
      <c r="P186" s="2271"/>
    </row>
    <row r="187" spans="1:16">
      <c r="A187" s="1966"/>
    </row>
    <row r="188" spans="1:16">
      <c r="C188" s="1966"/>
      <c r="E188" s="1966"/>
      <c r="G188" s="1966"/>
      <c r="I188" s="1966"/>
      <c r="K188" s="1966"/>
      <c r="M188" s="1966"/>
    </row>
    <row r="189" spans="1:16">
      <c r="B189" s="2149"/>
      <c r="C189" s="2149"/>
      <c r="D189" s="2149"/>
      <c r="E189" s="2149"/>
      <c r="F189" s="2149"/>
      <c r="G189" s="2149"/>
      <c r="H189" s="1451"/>
      <c r="I189" s="2149"/>
      <c r="J189" s="2149"/>
      <c r="K189" s="2149"/>
      <c r="L189" s="2149"/>
      <c r="M189" s="2149"/>
      <c r="N189" s="2149"/>
      <c r="O189" s="2149"/>
      <c r="P189" s="2149"/>
    </row>
  </sheetData>
  <mergeCells count="50">
    <mergeCell ref="N1:P1"/>
    <mergeCell ref="A2:P2"/>
    <mergeCell ref="A3:P3"/>
    <mergeCell ref="A5:M5"/>
    <mergeCell ref="N5:P5"/>
    <mergeCell ref="O15:O17"/>
    <mergeCell ref="P15:P17"/>
    <mergeCell ref="O7:P7"/>
    <mergeCell ref="D8:D12"/>
    <mergeCell ref="E8:E12"/>
    <mergeCell ref="F8:F12"/>
    <mergeCell ref="G8:G12"/>
    <mergeCell ref="J8:J12"/>
    <mergeCell ref="K8:K12"/>
    <mergeCell ref="L8:L12"/>
    <mergeCell ref="M8:M12"/>
    <mergeCell ref="O8:O12"/>
    <mergeCell ref="D7:G7"/>
    <mergeCell ref="H7:H12"/>
    <mergeCell ref="I7:I12"/>
    <mergeCell ref="J7:M7"/>
    <mergeCell ref="C14:C17"/>
    <mergeCell ref="D14:G14"/>
    <mergeCell ref="H14:H17"/>
    <mergeCell ref="I14:I17"/>
    <mergeCell ref="M15:M17"/>
    <mergeCell ref="C7:C12"/>
    <mergeCell ref="A6:A12"/>
    <mergeCell ref="B6:G6"/>
    <mergeCell ref="H6:M6"/>
    <mergeCell ref="N6:P6"/>
    <mergeCell ref="B7:B12"/>
    <mergeCell ref="N7:N12"/>
    <mergeCell ref="P8:P12"/>
    <mergeCell ref="A185:P186"/>
    <mergeCell ref="J14:M14"/>
    <mergeCell ref="N14:N17"/>
    <mergeCell ref="O14:P14"/>
    <mergeCell ref="D15:D17"/>
    <mergeCell ref="E15:E17"/>
    <mergeCell ref="F15:F17"/>
    <mergeCell ref="G15:G17"/>
    <mergeCell ref="J15:J17"/>
    <mergeCell ref="K15:K17"/>
    <mergeCell ref="L15:L17"/>
    <mergeCell ref="A13:A17"/>
    <mergeCell ref="B13:G13"/>
    <mergeCell ref="H13:M13"/>
    <mergeCell ref="N13:P13"/>
    <mergeCell ref="B14:B17"/>
  </mergeCells>
  <pageMargins left="0.17" right="0.17" top="0.52" bottom="0.19" header="0.17" footer="0.17"/>
  <pageSetup scale="22" orientation="landscape"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92D050"/>
  </sheetPr>
  <dimension ref="A1:AE291"/>
  <sheetViews>
    <sheetView showGridLines="0" view="pageBreakPreview" zoomScale="115" zoomScaleSheetLayoutView="115" workbookViewId="0">
      <pane ySplit="10" topLeftCell="A255" activePane="bottomLeft" state="frozen"/>
      <selection activeCell="B39" sqref="B39"/>
      <selection pane="bottomLeft" activeCell="G274" sqref="G274"/>
    </sheetView>
  </sheetViews>
  <sheetFormatPr defaultColWidth="8.85546875" defaultRowHeight="12.75"/>
  <cols>
    <col min="1" max="1" width="8.5703125" style="87" customWidth="1"/>
    <col min="2" max="2" width="22.5703125" style="125" customWidth="1"/>
    <col min="3" max="3" width="24" style="125" customWidth="1"/>
    <col min="4" max="4" width="22.5703125" style="125" customWidth="1"/>
    <col min="5" max="5" width="24" style="125" customWidth="1"/>
    <col min="6" max="6" width="8.85546875" style="125"/>
    <col min="7" max="7" width="15.42578125" style="125" customWidth="1"/>
    <col min="8" max="8" width="14" style="125" customWidth="1"/>
    <col min="9" max="16384" width="8.85546875" style="125"/>
  </cols>
  <sheetData>
    <row r="1" spans="1:31" ht="8.25" customHeight="1"/>
    <row r="2" spans="1:31" s="514" customFormat="1" ht="18.75" customHeight="1">
      <c r="A2" s="2318" t="s">
        <v>3449</v>
      </c>
      <c r="B2" s="2318"/>
      <c r="C2" s="2318"/>
      <c r="D2" s="2318"/>
      <c r="E2" s="2318"/>
    </row>
    <row r="3" spans="1:31" s="514" customFormat="1" ht="18.75" customHeight="1">
      <c r="A3" s="2319" t="s">
        <v>3450</v>
      </c>
      <c r="B3" s="2319"/>
      <c r="C3" s="2319"/>
      <c r="D3" s="2319"/>
      <c r="E3" s="2319"/>
    </row>
    <row r="4" spans="1:31" s="514" customFormat="1" ht="11.25" customHeight="1">
      <c r="A4" s="533"/>
      <c r="B4" s="533"/>
      <c r="C4" s="533"/>
      <c r="D4" s="533"/>
      <c r="E4" s="533"/>
    </row>
    <row r="5" spans="1:31" ht="11.25" customHeight="1">
      <c r="A5" s="515"/>
      <c r="B5" s="516"/>
      <c r="C5" s="516"/>
      <c r="D5" s="516"/>
      <c r="E5" s="516"/>
    </row>
    <row r="6" spans="1:31" s="87" customFormat="1">
      <c r="A6" s="2320" t="s">
        <v>182</v>
      </c>
      <c r="B6" s="2322" t="s">
        <v>3451</v>
      </c>
      <c r="C6" s="2323"/>
      <c r="D6" s="2323" t="s">
        <v>3452</v>
      </c>
      <c r="E6" s="2323"/>
    </row>
    <row r="7" spans="1:31" s="87" customFormat="1">
      <c r="A7" s="2321"/>
      <c r="B7" s="1309" t="s">
        <v>3453</v>
      </c>
      <c r="C7" s="1309" t="s">
        <v>3454</v>
      </c>
      <c r="D7" s="1309" t="s">
        <v>3453</v>
      </c>
      <c r="E7" s="1310" t="s">
        <v>3454</v>
      </c>
    </row>
    <row r="8" spans="1:31">
      <c r="A8" s="1311"/>
      <c r="B8" s="1312"/>
      <c r="C8" s="1312"/>
      <c r="D8" s="1312"/>
      <c r="E8" s="1313"/>
    </row>
    <row r="9" spans="1:31">
      <c r="A9" s="2324" t="s">
        <v>289</v>
      </c>
      <c r="B9" s="2326" t="s">
        <v>3455</v>
      </c>
      <c r="C9" s="2327"/>
      <c r="D9" s="2327" t="s">
        <v>3456</v>
      </c>
      <c r="E9" s="2327"/>
    </row>
    <row r="10" spans="1:31">
      <c r="A10" s="2325"/>
      <c r="B10" s="1308" t="s">
        <v>105</v>
      </c>
      <c r="C10" s="1308" t="s">
        <v>3457</v>
      </c>
      <c r="D10" s="1308" t="s">
        <v>105</v>
      </c>
      <c r="E10" s="1308" t="s">
        <v>3457</v>
      </c>
    </row>
    <row r="11" spans="1:31">
      <c r="A11" s="115">
        <v>2000</v>
      </c>
      <c r="B11" s="271">
        <v>100</v>
      </c>
      <c r="C11" s="271">
        <v>100</v>
      </c>
      <c r="D11" s="271">
        <v>100</v>
      </c>
      <c r="E11" s="272">
        <v>100</v>
      </c>
      <c r="F11" s="87"/>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row>
    <row r="12" spans="1:31">
      <c r="A12" s="116">
        <v>2001</v>
      </c>
      <c r="B12" s="271">
        <v>105.31796064924021</v>
      </c>
      <c r="C12" s="271">
        <v>110.137812784316</v>
      </c>
      <c r="D12" s="271">
        <v>97.236600680791042</v>
      </c>
      <c r="E12" s="271">
        <v>96.441399581188037</v>
      </c>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row>
    <row r="13" spans="1:31">
      <c r="A13" s="116">
        <v>2002</v>
      </c>
      <c r="B13" s="271">
        <v>97.259506156314671</v>
      </c>
      <c r="C13" s="271">
        <v>105.83283082185874</v>
      </c>
      <c r="D13" s="271">
        <v>86.855055613728425</v>
      </c>
      <c r="E13" s="271">
        <v>87.082529195495056</v>
      </c>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row>
    <row r="14" spans="1:31">
      <c r="A14" s="116">
        <v>2003</v>
      </c>
      <c r="B14" s="271">
        <v>85.464518174336135</v>
      </c>
      <c r="C14" s="271">
        <v>95.82272375825535</v>
      </c>
      <c r="D14" s="271">
        <v>75.171638939120626</v>
      </c>
      <c r="E14" s="271">
        <v>75.357996520103498</v>
      </c>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row>
    <row r="15" spans="1:31">
      <c r="A15" s="116">
        <v>2004</v>
      </c>
      <c r="B15" s="271">
        <v>80.249953111945786</v>
      </c>
      <c r="C15" s="271">
        <v>91.241209407035726</v>
      </c>
      <c r="D15" s="271">
        <v>74.235158395045531</v>
      </c>
      <c r="E15" s="271">
        <v>73.843078754559272</v>
      </c>
      <c r="F15" s="87"/>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row>
    <row r="16" spans="1:31">
      <c r="A16" s="116">
        <v>2005</v>
      </c>
      <c r="B16" s="271">
        <v>92.117884711509276</v>
      </c>
      <c r="C16" s="271">
        <v>101.81691165672568</v>
      </c>
      <c r="D16" s="271">
        <v>85.81461067077386</v>
      </c>
      <c r="E16" s="271">
        <v>81.398940628431959</v>
      </c>
      <c r="F16" s="87"/>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row>
    <row r="17" spans="1:31">
      <c r="A17" s="116">
        <v>2006</v>
      </c>
      <c r="B17" s="271">
        <f>+B29</f>
        <v>90.034168606815371</v>
      </c>
      <c r="C17" s="271">
        <f>+C29</f>
        <v>101.5173985506876</v>
      </c>
      <c r="D17" s="271">
        <f>+D29</f>
        <v>89.047316822160539</v>
      </c>
      <c r="E17" s="271">
        <f>+E29</f>
        <v>84.485970327054659</v>
      </c>
      <c r="F17" s="87"/>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row>
    <row r="18" spans="1:31" hidden="1">
      <c r="A18" s="40" t="s">
        <v>18</v>
      </c>
      <c r="B18" s="271">
        <v>91.043738953639036</v>
      </c>
      <c r="C18" s="271">
        <v>100.88649178879136</v>
      </c>
      <c r="D18" s="271">
        <v>85.708842380612566</v>
      </c>
      <c r="E18" s="271">
        <v>81.048362048222259</v>
      </c>
      <c r="F18" s="87"/>
      <c r="G18" s="87"/>
      <c r="H18" s="87"/>
      <c r="I18" s="87"/>
      <c r="J18" s="87"/>
      <c r="K18" s="87"/>
      <c r="L18" s="87"/>
      <c r="M18" s="87"/>
      <c r="N18" s="87"/>
      <c r="O18" s="87"/>
      <c r="P18" s="87"/>
      <c r="Q18" s="87"/>
      <c r="R18" s="87"/>
      <c r="S18" s="87"/>
      <c r="T18" s="87"/>
      <c r="U18" s="87"/>
      <c r="V18" s="87"/>
      <c r="W18" s="87"/>
      <c r="X18" s="87"/>
      <c r="Y18" s="87"/>
      <c r="Z18" s="87"/>
      <c r="AA18" s="87"/>
      <c r="AB18" s="87"/>
      <c r="AC18" s="87"/>
      <c r="AD18" s="87"/>
      <c r="AE18" s="87"/>
    </row>
    <row r="19" spans="1:31" hidden="1">
      <c r="A19" s="40" t="s">
        <v>19</v>
      </c>
      <c r="B19" s="271">
        <v>91.648839319885937</v>
      </c>
      <c r="C19" s="271">
        <v>100.96017594540957</v>
      </c>
      <c r="D19" s="271">
        <v>87.393310551017905</v>
      </c>
      <c r="E19" s="271">
        <v>81.932449102227238</v>
      </c>
      <c r="F19" s="87"/>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row>
    <row r="20" spans="1:31" hidden="1">
      <c r="A20" s="40" t="s">
        <v>20</v>
      </c>
      <c r="B20" s="271">
        <v>91.710575016114603</v>
      </c>
      <c r="C20" s="271">
        <v>101.05408135731381</v>
      </c>
      <c r="D20" s="271">
        <v>88.193025027865502</v>
      </c>
      <c r="E20" s="271">
        <v>82.704462696571852</v>
      </c>
      <c r="F20" s="87"/>
      <c r="G20" s="87"/>
      <c r="H20" s="87"/>
      <c r="I20" s="87"/>
      <c r="J20" s="87"/>
      <c r="K20" s="87"/>
      <c r="L20" s="87"/>
      <c r="M20" s="87"/>
      <c r="N20" s="87"/>
      <c r="O20" s="87"/>
      <c r="P20" s="87"/>
      <c r="Q20" s="87"/>
      <c r="R20" s="87"/>
      <c r="S20" s="87"/>
      <c r="T20" s="87"/>
      <c r="U20" s="87"/>
      <c r="V20" s="87"/>
      <c r="W20" s="87"/>
      <c r="X20" s="87"/>
      <c r="Y20" s="87"/>
      <c r="Z20" s="87"/>
      <c r="AA20" s="87"/>
      <c r="AB20" s="87"/>
      <c r="AC20" s="87"/>
      <c r="AD20" s="87"/>
      <c r="AE20" s="87"/>
    </row>
    <row r="21" spans="1:31" hidden="1">
      <c r="A21" s="40" t="s">
        <v>21</v>
      </c>
      <c r="B21" s="271">
        <v>91.071807621633567</v>
      </c>
      <c r="C21" s="271">
        <v>100.72886335304005</v>
      </c>
      <c r="D21" s="271">
        <v>87.548044627545025</v>
      </c>
      <c r="E21" s="271">
        <v>82.483258276596004</v>
      </c>
      <c r="F21" s="87"/>
      <c r="G21" s="87"/>
      <c r="H21" s="87"/>
      <c r="I21" s="87"/>
      <c r="J21" s="87"/>
      <c r="K21" s="87"/>
      <c r="L21" s="87"/>
      <c r="M21" s="87"/>
      <c r="N21" s="87"/>
      <c r="O21" s="87"/>
      <c r="P21" s="87"/>
      <c r="Q21" s="87"/>
      <c r="R21" s="87"/>
      <c r="S21" s="87"/>
      <c r="T21" s="87"/>
      <c r="U21" s="87"/>
      <c r="V21" s="87"/>
      <c r="W21" s="87"/>
      <c r="X21" s="87"/>
      <c r="Y21" s="87"/>
      <c r="Z21" s="87"/>
      <c r="AA21" s="87"/>
      <c r="AB21" s="87"/>
      <c r="AC21" s="87"/>
      <c r="AD21" s="87"/>
      <c r="AE21" s="87"/>
    </row>
    <row r="22" spans="1:31" hidden="1">
      <c r="A22" s="40" t="s">
        <v>22</v>
      </c>
      <c r="B22" s="271">
        <v>89.269920921145697</v>
      </c>
      <c r="C22" s="271">
        <v>99.713317753178984</v>
      </c>
      <c r="D22" s="271">
        <v>85.600425316767442</v>
      </c>
      <c r="E22" s="271">
        <v>81.359616698313218</v>
      </c>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row>
    <row r="23" spans="1:31" hidden="1">
      <c r="A23" s="40" t="s">
        <v>23</v>
      </c>
      <c r="B23" s="271">
        <v>90.904262038390996</v>
      </c>
      <c r="C23" s="271">
        <v>101.92927467096565</v>
      </c>
      <c r="D23" s="271">
        <v>86.900601583082846</v>
      </c>
      <c r="E23" s="271">
        <v>82.85989612148866</v>
      </c>
      <c r="F23" s="87"/>
      <c r="G23" s="87"/>
      <c r="H23" s="87"/>
      <c r="I23" s="87"/>
      <c r="J23" s="87"/>
      <c r="K23" s="87"/>
      <c r="L23" s="87"/>
      <c r="M23" s="87"/>
      <c r="N23" s="87"/>
      <c r="O23" s="87"/>
      <c r="P23" s="87"/>
      <c r="Q23" s="87"/>
      <c r="R23" s="87"/>
      <c r="S23" s="87"/>
      <c r="T23" s="87"/>
      <c r="U23" s="87"/>
      <c r="V23" s="87"/>
      <c r="W23" s="87"/>
      <c r="X23" s="87"/>
      <c r="Y23" s="87"/>
      <c r="Z23" s="87"/>
      <c r="AA23" s="87"/>
      <c r="AB23" s="87"/>
      <c r="AC23" s="87"/>
      <c r="AD23" s="87"/>
      <c r="AE23" s="87"/>
    </row>
    <row r="24" spans="1:31" hidden="1">
      <c r="A24" s="40" t="s">
        <v>24</v>
      </c>
      <c r="B24" s="271">
        <v>91.056673697668231</v>
      </c>
      <c r="C24" s="271">
        <v>102.03916091680782</v>
      </c>
      <c r="D24" s="271">
        <v>86.624438010405896</v>
      </c>
      <c r="E24" s="271">
        <v>82.383842709779643</v>
      </c>
      <c r="F24" s="87"/>
      <c r="G24" s="87"/>
      <c r="H24" s="87"/>
      <c r="I24" s="87"/>
      <c r="J24" s="87"/>
      <c r="K24" s="87"/>
      <c r="L24" s="87"/>
      <c r="M24" s="87"/>
      <c r="N24" s="87"/>
      <c r="O24" s="87"/>
      <c r="P24" s="87"/>
      <c r="Q24" s="87"/>
      <c r="R24" s="87"/>
      <c r="S24" s="87"/>
      <c r="T24" s="87"/>
      <c r="U24" s="87"/>
      <c r="V24" s="87"/>
      <c r="W24" s="87"/>
      <c r="X24" s="87"/>
      <c r="Y24" s="87"/>
      <c r="Z24" s="87"/>
      <c r="AA24" s="87"/>
      <c r="AB24" s="87"/>
      <c r="AC24" s="87"/>
      <c r="AD24" s="87"/>
      <c r="AE24" s="87"/>
    </row>
    <row r="25" spans="1:31" hidden="1">
      <c r="A25" s="40" t="s">
        <v>25</v>
      </c>
      <c r="B25" s="271">
        <v>90.673505970208936</v>
      </c>
      <c r="C25" s="271">
        <v>101.56633255549725</v>
      </c>
      <c r="D25" s="271">
        <v>86.168135240705794</v>
      </c>
      <c r="E25" s="271">
        <v>81.896482460645345</v>
      </c>
      <c r="F25" s="87"/>
      <c r="G25" s="87"/>
      <c r="H25" s="87"/>
      <c r="I25" s="87"/>
      <c r="J25" s="87"/>
      <c r="K25" s="87"/>
      <c r="L25" s="87"/>
      <c r="M25" s="87"/>
      <c r="N25" s="87"/>
      <c r="O25" s="87"/>
      <c r="P25" s="87"/>
      <c r="Q25" s="87"/>
      <c r="R25" s="87"/>
      <c r="S25" s="87"/>
      <c r="T25" s="87"/>
      <c r="U25" s="87"/>
      <c r="V25" s="87"/>
      <c r="W25" s="87"/>
      <c r="X25" s="87"/>
      <c r="Y25" s="87"/>
      <c r="Z25" s="87"/>
      <c r="AA25" s="87"/>
      <c r="AB25" s="87"/>
      <c r="AC25" s="87"/>
      <c r="AD25" s="87"/>
      <c r="AE25" s="87"/>
    </row>
    <row r="26" spans="1:31" hidden="1">
      <c r="A26" s="40" t="s">
        <v>26</v>
      </c>
      <c r="B26" s="271">
        <v>91.727286163123679</v>
      </c>
      <c r="C26" s="271">
        <v>102.75562687607548</v>
      </c>
      <c r="D26" s="271">
        <v>87.747919629625827</v>
      </c>
      <c r="E26" s="271">
        <v>83.224352900292516</v>
      </c>
      <c r="F26" s="87"/>
      <c r="G26" s="87"/>
      <c r="H26" s="87"/>
      <c r="I26" s="87"/>
      <c r="J26" s="87"/>
      <c r="K26" s="87"/>
      <c r="L26" s="87"/>
      <c r="M26" s="87"/>
      <c r="N26" s="87"/>
      <c r="O26" s="87"/>
      <c r="P26" s="87"/>
      <c r="Q26" s="87"/>
      <c r="R26" s="87"/>
      <c r="S26" s="87"/>
      <c r="T26" s="87"/>
      <c r="U26" s="87"/>
      <c r="V26" s="87"/>
      <c r="W26" s="87"/>
      <c r="X26" s="87"/>
      <c r="Y26" s="87"/>
      <c r="Z26" s="87"/>
      <c r="AA26" s="87"/>
      <c r="AB26" s="87"/>
      <c r="AC26" s="87"/>
      <c r="AD26" s="87"/>
      <c r="AE26" s="87"/>
    </row>
    <row r="27" spans="1:31" hidden="1">
      <c r="A27" s="40" t="s">
        <v>27</v>
      </c>
      <c r="B27" s="271">
        <v>92.633064074344574</v>
      </c>
      <c r="C27" s="271">
        <v>103.73209124035706</v>
      </c>
      <c r="D27" s="271">
        <v>89.473388051236171</v>
      </c>
      <c r="E27" s="271">
        <v>84.644768272282363</v>
      </c>
      <c r="F27" s="87"/>
      <c r="G27" s="87"/>
      <c r="H27" s="87"/>
      <c r="I27" s="87"/>
      <c r="J27" s="87"/>
      <c r="K27" s="87"/>
      <c r="L27" s="87"/>
      <c r="M27" s="87"/>
      <c r="N27" s="87"/>
      <c r="O27" s="87"/>
      <c r="P27" s="87"/>
      <c r="Q27" s="87"/>
      <c r="R27" s="87"/>
      <c r="S27" s="87"/>
      <c r="T27" s="87"/>
      <c r="U27" s="87"/>
      <c r="V27" s="87"/>
      <c r="W27" s="87"/>
      <c r="X27" s="87"/>
      <c r="Y27" s="87"/>
      <c r="Z27" s="87"/>
      <c r="AA27" s="87"/>
      <c r="AB27" s="87"/>
      <c r="AC27" s="87"/>
      <c r="AD27" s="87"/>
      <c r="AE27" s="87"/>
    </row>
    <row r="28" spans="1:31" hidden="1">
      <c r="A28" s="40" t="s">
        <v>28</v>
      </c>
      <c r="B28" s="271">
        <v>91.652066197611546</v>
      </c>
      <c r="C28" s="271">
        <v>102.86246250638885</v>
      </c>
      <c r="D28" s="271">
        <v>89.35150987705147</v>
      </c>
      <c r="E28" s="271">
        <v>84.510575864274855</v>
      </c>
      <c r="F28" s="87"/>
      <c r="G28" s="87"/>
      <c r="H28" s="87"/>
      <c r="I28" s="87"/>
      <c r="J28" s="87"/>
      <c r="K28" s="87"/>
      <c r="L28" s="87"/>
      <c r="M28" s="87"/>
      <c r="N28" s="87"/>
      <c r="O28" s="87"/>
      <c r="P28" s="87"/>
      <c r="Q28" s="87"/>
      <c r="R28" s="87"/>
      <c r="S28" s="87"/>
      <c r="T28" s="87"/>
      <c r="U28" s="87"/>
      <c r="V28" s="87"/>
      <c r="W28" s="87"/>
      <c r="X28" s="87"/>
      <c r="Y28" s="87"/>
      <c r="Z28" s="87"/>
      <c r="AA28" s="87"/>
      <c r="AB28" s="87"/>
      <c r="AC28" s="87"/>
      <c r="AD28" s="87"/>
      <c r="AE28" s="87"/>
    </row>
    <row r="29" spans="1:31" hidden="1">
      <c r="A29" s="40" t="s">
        <v>29</v>
      </c>
      <c r="B29" s="271">
        <v>90.034168606815371</v>
      </c>
      <c r="C29" s="271">
        <v>101.5173985506876</v>
      </c>
      <c r="D29" s="271">
        <v>89.047316822160539</v>
      </c>
      <c r="E29" s="271">
        <v>84.485970327054659</v>
      </c>
      <c r="F29" s="87"/>
      <c r="G29" s="87"/>
      <c r="H29" s="87"/>
      <c r="I29" s="87"/>
      <c r="J29" s="87"/>
      <c r="K29" s="87"/>
      <c r="L29" s="87"/>
      <c r="M29" s="87"/>
      <c r="N29" s="87"/>
      <c r="O29" s="87"/>
      <c r="P29" s="87"/>
      <c r="Q29" s="87"/>
      <c r="R29" s="87"/>
      <c r="S29" s="87"/>
      <c r="T29" s="87"/>
      <c r="U29" s="87"/>
      <c r="V29" s="87"/>
      <c r="W29" s="87"/>
      <c r="X29" s="87"/>
      <c r="Y29" s="87"/>
      <c r="Z29" s="87"/>
      <c r="AA29" s="87"/>
      <c r="AB29" s="87"/>
      <c r="AC29" s="87"/>
      <c r="AD29" s="87"/>
      <c r="AE29" s="87"/>
    </row>
    <row r="30" spans="1:31">
      <c r="A30" s="116">
        <v>2007</v>
      </c>
      <c r="B30" s="271">
        <f>+B42</f>
        <v>85.4</v>
      </c>
      <c r="C30" s="271">
        <f>+C42</f>
        <v>97.1</v>
      </c>
      <c r="D30" s="271">
        <f>+D42</f>
        <v>95.1</v>
      </c>
      <c r="E30" s="271">
        <f>+E42</f>
        <v>89.1</v>
      </c>
      <c r="F30" s="87"/>
      <c r="G30" s="87"/>
      <c r="H30" s="87"/>
      <c r="I30" s="87"/>
      <c r="J30" s="87"/>
      <c r="K30" s="87"/>
      <c r="L30" s="87"/>
      <c r="M30" s="87"/>
      <c r="N30" s="87"/>
      <c r="O30" s="87"/>
      <c r="P30" s="87"/>
      <c r="Q30" s="87"/>
      <c r="R30" s="87"/>
      <c r="S30" s="87"/>
      <c r="T30" s="87"/>
      <c r="U30" s="87"/>
      <c r="V30" s="87"/>
      <c r="W30" s="87"/>
      <c r="X30" s="87"/>
      <c r="Y30" s="87"/>
      <c r="Z30" s="87"/>
      <c r="AA30" s="87"/>
      <c r="AB30" s="87"/>
      <c r="AC30" s="87"/>
      <c r="AD30" s="87"/>
      <c r="AE30" s="87"/>
    </row>
    <row r="31" spans="1:31" hidden="1">
      <c r="A31" s="40" t="s">
        <v>18</v>
      </c>
      <c r="B31" s="116">
        <v>90.9</v>
      </c>
      <c r="C31" s="116">
        <v>102.2</v>
      </c>
      <c r="D31" s="116">
        <v>95.5</v>
      </c>
      <c r="E31" s="116">
        <v>89.9</v>
      </c>
      <c r="F31" s="87"/>
      <c r="G31" s="87"/>
      <c r="H31" s="87"/>
      <c r="I31" s="87"/>
      <c r="J31" s="87"/>
      <c r="K31" s="87"/>
      <c r="L31" s="87"/>
      <c r="M31" s="87"/>
      <c r="N31" s="87"/>
      <c r="O31" s="87"/>
      <c r="P31" s="87"/>
      <c r="Q31" s="87"/>
      <c r="R31" s="87"/>
      <c r="S31" s="87"/>
      <c r="T31" s="87"/>
      <c r="U31" s="87"/>
      <c r="V31" s="87"/>
      <c r="W31" s="87"/>
      <c r="X31" s="87"/>
      <c r="Y31" s="87"/>
      <c r="Z31" s="87"/>
      <c r="AA31" s="87"/>
      <c r="AB31" s="87"/>
      <c r="AC31" s="87"/>
      <c r="AD31" s="87"/>
      <c r="AE31" s="87"/>
    </row>
    <row r="32" spans="1:31" hidden="1">
      <c r="A32" s="40" t="s">
        <v>19</v>
      </c>
      <c r="B32" s="116">
        <v>90.5</v>
      </c>
      <c r="C32" s="116">
        <v>101.8</v>
      </c>
      <c r="D32" s="116">
        <v>96.1</v>
      </c>
      <c r="E32" s="116">
        <v>90.3</v>
      </c>
      <c r="F32" s="87"/>
      <c r="G32" s="87"/>
      <c r="H32" s="87"/>
      <c r="I32" s="87"/>
      <c r="J32" s="87"/>
      <c r="K32" s="87"/>
      <c r="L32" s="87"/>
      <c r="M32" s="87"/>
      <c r="N32" s="87"/>
      <c r="O32" s="87"/>
      <c r="P32" s="87"/>
      <c r="Q32" s="87"/>
      <c r="R32" s="87"/>
      <c r="S32" s="87"/>
      <c r="T32" s="87"/>
      <c r="U32" s="87"/>
      <c r="V32" s="87"/>
      <c r="W32" s="87"/>
      <c r="X32" s="87"/>
      <c r="Y32" s="87"/>
      <c r="Z32" s="87"/>
      <c r="AA32" s="87"/>
      <c r="AB32" s="87"/>
      <c r="AC32" s="87"/>
      <c r="AD32" s="87"/>
      <c r="AE32" s="87"/>
    </row>
    <row r="33" spans="1:31" hidden="1">
      <c r="A33" s="40" t="s">
        <v>20</v>
      </c>
      <c r="B33" s="116">
        <v>90.1</v>
      </c>
      <c r="C33" s="116">
        <v>101.5</v>
      </c>
      <c r="D33" s="116">
        <v>96.2</v>
      </c>
      <c r="E33" s="116">
        <v>90.6</v>
      </c>
      <c r="F33" s="87"/>
      <c r="G33" s="87"/>
      <c r="H33" s="87"/>
      <c r="I33" s="87"/>
      <c r="J33" s="87"/>
      <c r="K33" s="87"/>
      <c r="L33" s="87"/>
      <c r="M33" s="87"/>
      <c r="N33" s="87"/>
      <c r="O33" s="87"/>
      <c r="P33" s="87"/>
      <c r="Q33" s="87"/>
      <c r="R33" s="87"/>
      <c r="S33" s="87"/>
      <c r="T33" s="87"/>
      <c r="U33" s="87"/>
      <c r="V33" s="87"/>
      <c r="W33" s="87"/>
      <c r="X33" s="87"/>
      <c r="Y33" s="87"/>
      <c r="Z33" s="87"/>
      <c r="AA33" s="87"/>
      <c r="AB33" s="87"/>
      <c r="AC33" s="87"/>
      <c r="AD33" s="87"/>
      <c r="AE33" s="87"/>
    </row>
    <row r="34" spans="1:31" hidden="1">
      <c r="A34" s="40" t="s">
        <v>21</v>
      </c>
      <c r="B34" s="116">
        <v>88.8</v>
      </c>
      <c r="C34" s="116">
        <v>100.3</v>
      </c>
      <c r="D34" s="116">
        <v>94.6</v>
      </c>
      <c r="E34" s="116">
        <v>89.3</v>
      </c>
      <c r="F34" s="87"/>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row>
    <row r="35" spans="1:31" hidden="1">
      <c r="A35" s="40" t="s">
        <v>22</v>
      </c>
      <c r="B35" s="116">
        <v>88.9</v>
      </c>
      <c r="C35" s="116">
        <v>100.5</v>
      </c>
      <c r="D35" s="116">
        <v>94.1</v>
      </c>
      <c r="E35" s="116">
        <v>88.8</v>
      </c>
      <c r="F35" s="87"/>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row>
    <row r="36" spans="1:31" hidden="1">
      <c r="A36" s="40" t="s">
        <v>23</v>
      </c>
      <c r="B36" s="271">
        <v>90</v>
      </c>
      <c r="C36" s="116">
        <v>101.4</v>
      </c>
      <c r="D36" s="116">
        <v>94.4</v>
      </c>
      <c r="E36" s="116">
        <v>88.6</v>
      </c>
      <c r="F36" s="87"/>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row>
    <row r="37" spans="1:31" hidden="1">
      <c r="A37" s="40" t="s">
        <v>24</v>
      </c>
      <c r="B37" s="271">
        <v>88.7</v>
      </c>
      <c r="C37" s="271">
        <v>100</v>
      </c>
      <c r="D37" s="116">
        <v>93.1</v>
      </c>
      <c r="E37" s="116">
        <v>87.3</v>
      </c>
      <c r="F37" s="87"/>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row>
    <row r="38" spans="1:31" hidden="1">
      <c r="A38" s="40" t="s">
        <v>25</v>
      </c>
      <c r="B38" s="271">
        <v>89.4</v>
      </c>
      <c r="C38" s="271">
        <v>100.8</v>
      </c>
      <c r="D38" s="116">
        <v>94.4</v>
      </c>
      <c r="E38" s="116">
        <v>88.5</v>
      </c>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row>
    <row r="39" spans="1:31" hidden="1">
      <c r="A39" s="40" t="s">
        <v>26</v>
      </c>
      <c r="B39" s="271">
        <v>88.1</v>
      </c>
      <c r="C39" s="271">
        <v>99.5</v>
      </c>
      <c r="D39" s="116">
        <v>93.4</v>
      </c>
      <c r="E39" s="116">
        <v>87.6</v>
      </c>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row>
    <row r="40" spans="1:31" hidden="1">
      <c r="A40" s="40" t="s">
        <v>27</v>
      </c>
      <c r="B40" s="271">
        <v>86.5</v>
      </c>
      <c r="C40" s="271">
        <v>97.9</v>
      </c>
      <c r="D40" s="116">
        <v>92.4</v>
      </c>
      <c r="E40" s="116">
        <v>86.6</v>
      </c>
      <c r="F40" s="87"/>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row>
    <row r="41" spans="1:31" hidden="1">
      <c r="A41" s="40" t="s">
        <v>28</v>
      </c>
      <c r="B41" s="271">
        <v>84.8</v>
      </c>
      <c r="C41" s="271">
        <v>96.5</v>
      </c>
      <c r="D41" s="116">
        <v>92.7</v>
      </c>
      <c r="E41" s="116">
        <v>87.1</v>
      </c>
      <c r="F41" s="87"/>
      <c r="G41" s="87"/>
      <c r="H41" s="87"/>
      <c r="I41" s="87"/>
      <c r="J41" s="87"/>
      <c r="K41" s="87"/>
      <c r="L41" s="87"/>
      <c r="M41" s="87"/>
      <c r="N41" s="87"/>
      <c r="O41" s="87"/>
      <c r="P41" s="87"/>
      <c r="Q41" s="87"/>
      <c r="R41" s="87"/>
      <c r="S41" s="87"/>
      <c r="T41" s="87"/>
      <c r="U41" s="87"/>
      <c r="V41" s="87"/>
      <c r="W41" s="87"/>
      <c r="X41" s="87"/>
      <c r="Y41" s="87"/>
      <c r="Z41" s="87"/>
      <c r="AA41" s="87"/>
      <c r="AB41" s="87"/>
      <c r="AC41" s="87"/>
      <c r="AD41" s="87"/>
      <c r="AE41" s="87"/>
    </row>
    <row r="42" spans="1:31" hidden="1">
      <c r="A42" s="40" t="s">
        <v>29</v>
      </c>
      <c r="B42" s="271">
        <v>85.4</v>
      </c>
      <c r="C42" s="271">
        <v>97.1</v>
      </c>
      <c r="D42" s="116">
        <v>95.1</v>
      </c>
      <c r="E42" s="116">
        <v>89.1</v>
      </c>
      <c r="F42" s="87"/>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row>
    <row r="43" spans="1:31">
      <c r="A43" s="40" t="s">
        <v>114</v>
      </c>
      <c r="B43" s="271">
        <f>+B55</f>
        <v>100.1</v>
      </c>
      <c r="C43" s="271">
        <f>+C55</f>
        <v>117.2</v>
      </c>
      <c r="D43" s="271">
        <f>+D55</f>
        <v>121.8</v>
      </c>
      <c r="E43" s="271">
        <f>+E55</f>
        <v>114.1</v>
      </c>
      <c r="F43" s="87"/>
      <c r="G43" s="87"/>
      <c r="H43" s="87"/>
      <c r="I43" s="87"/>
      <c r="J43" s="87"/>
      <c r="K43" s="87"/>
      <c r="L43" s="87"/>
      <c r="M43" s="87"/>
      <c r="N43" s="87"/>
      <c r="O43" s="87"/>
      <c r="P43" s="87"/>
      <c r="Q43" s="87"/>
      <c r="R43" s="87"/>
      <c r="S43" s="87"/>
      <c r="T43" s="87"/>
      <c r="U43" s="87"/>
      <c r="V43" s="87"/>
      <c r="W43" s="87"/>
      <c r="X43" s="87"/>
      <c r="Y43" s="87"/>
      <c r="Z43" s="87"/>
      <c r="AA43" s="87"/>
      <c r="AB43" s="87"/>
      <c r="AC43" s="87"/>
      <c r="AD43" s="87"/>
      <c r="AE43" s="87"/>
    </row>
    <row r="44" spans="1:31" hidden="1">
      <c r="A44" s="40" t="s">
        <v>18</v>
      </c>
      <c r="B44" s="271">
        <v>85</v>
      </c>
      <c r="C44" s="271">
        <v>96.8</v>
      </c>
      <c r="D44" s="271">
        <v>96.5</v>
      </c>
      <c r="E44" s="271">
        <v>90</v>
      </c>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row>
    <row r="45" spans="1:31" hidden="1">
      <c r="A45" s="40" t="s">
        <v>19</v>
      </c>
      <c r="B45" s="271">
        <v>85</v>
      </c>
      <c r="C45" s="271">
        <v>97.1</v>
      </c>
      <c r="D45" s="271">
        <v>98</v>
      </c>
      <c r="E45" s="271">
        <v>91.4</v>
      </c>
      <c r="F45" s="87"/>
      <c r="G45" s="87"/>
      <c r="H45" s="87"/>
      <c r="I45" s="87"/>
      <c r="J45" s="87"/>
      <c r="K45" s="87"/>
      <c r="L45" s="87"/>
      <c r="M45" s="87"/>
      <c r="N45" s="87"/>
      <c r="O45" s="87"/>
      <c r="P45" s="87"/>
      <c r="Q45" s="87"/>
      <c r="R45" s="87"/>
      <c r="S45" s="87"/>
      <c r="T45" s="87"/>
      <c r="U45" s="87"/>
      <c r="V45" s="87"/>
      <c r="W45" s="87"/>
      <c r="X45" s="87"/>
      <c r="Y45" s="87"/>
      <c r="Z45" s="87"/>
      <c r="AA45" s="87"/>
      <c r="AB45" s="87"/>
      <c r="AC45" s="87"/>
      <c r="AD45" s="87"/>
      <c r="AE45" s="87"/>
    </row>
    <row r="46" spans="1:31" hidden="1">
      <c r="A46" s="40" t="s">
        <v>20</v>
      </c>
      <c r="B46" s="271">
        <v>82.6</v>
      </c>
      <c r="C46" s="271">
        <v>95.3</v>
      </c>
      <c r="D46" s="271">
        <v>97.2</v>
      </c>
      <c r="E46" s="271">
        <v>91.4</v>
      </c>
      <c r="F46" s="87"/>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row>
    <row r="47" spans="1:31" hidden="1">
      <c r="A47" s="40" t="s">
        <v>21</v>
      </c>
      <c r="B47" s="271">
        <v>83.2</v>
      </c>
      <c r="C47" s="271">
        <v>96.5</v>
      </c>
      <c r="D47" s="271">
        <v>100.3</v>
      </c>
      <c r="E47" s="271">
        <v>94.4</v>
      </c>
      <c r="F47" s="87"/>
      <c r="G47" s="87"/>
      <c r="H47" s="87"/>
      <c r="I47" s="87"/>
      <c r="J47" s="87"/>
      <c r="K47" s="87"/>
      <c r="L47" s="87"/>
      <c r="M47" s="87"/>
      <c r="N47" s="87"/>
      <c r="O47" s="87"/>
      <c r="P47" s="87"/>
      <c r="Q47" s="87"/>
      <c r="R47" s="87"/>
      <c r="S47" s="87"/>
      <c r="T47" s="87"/>
      <c r="U47" s="87"/>
      <c r="V47" s="87"/>
      <c r="W47" s="87"/>
      <c r="X47" s="87"/>
      <c r="Y47" s="87"/>
      <c r="Z47" s="87"/>
      <c r="AA47" s="87"/>
      <c r="AB47" s="87"/>
      <c r="AC47" s="87"/>
      <c r="AD47" s="87"/>
      <c r="AE47" s="87"/>
    </row>
    <row r="48" spans="1:31" hidden="1">
      <c r="A48" s="40" t="s">
        <v>22</v>
      </c>
      <c r="B48" s="271">
        <v>83.9</v>
      </c>
      <c r="C48" s="271">
        <v>96.9</v>
      </c>
      <c r="D48" s="271">
        <v>102.6</v>
      </c>
      <c r="E48" s="271">
        <v>96.1</v>
      </c>
      <c r="F48" s="87"/>
      <c r="G48" s="87"/>
      <c r="H48" s="87"/>
      <c r="I48" s="87"/>
      <c r="J48" s="87"/>
      <c r="K48" s="87"/>
      <c r="L48" s="87"/>
      <c r="M48" s="87"/>
      <c r="N48" s="87"/>
      <c r="O48" s="87"/>
      <c r="P48" s="87"/>
      <c r="Q48" s="87"/>
      <c r="R48" s="87"/>
      <c r="S48" s="87"/>
      <c r="T48" s="87"/>
      <c r="U48" s="87"/>
      <c r="V48" s="87"/>
      <c r="W48" s="87"/>
      <c r="X48" s="87"/>
      <c r="Y48" s="87"/>
      <c r="Z48" s="87"/>
      <c r="AA48" s="87"/>
      <c r="AB48" s="87"/>
      <c r="AC48" s="87"/>
      <c r="AD48" s="87"/>
      <c r="AE48" s="87"/>
    </row>
    <row r="49" spans="1:31" hidden="1">
      <c r="A49" s="40" t="s">
        <v>23</v>
      </c>
      <c r="B49" s="271">
        <v>84.624949385455565</v>
      </c>
      <c r="C49" s="271">
        <v>97.829487043232348</v>
      </c>
      <c r="D49" s="271">
        <v>103.03708811003435</v>
      </c>
      <c r="E49" s="271">
        <v>96.461978094020424</v>
      </c>
      <c r="F49" s="87"/>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row>
    <row r="50" spans="1:31" hidden="1">
      <c r="A50" s="40" t="s">
        <v>24</v>
      </c>
      <c r="B50" s="271">
        <v>84.625986045278992</v>
      </c>
      <c r="C50" s="271">
        <v>97.740826546447323</v>
      </c>
      <c r="D50" s="271">
        <v>102.49814692233508</v>
      </c>
      <c r="E50" s="271">
        <v>95.734270764121931</v>
      </c>
      <c r="F50" s="87"/>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row>
    <row r="51" spans="1:31" hidden="1">
      <c r="A51" s="40" t="s">
        <v>25</v>
      </c>
      <c r="B51" s="271">
        <v>87</v>
      </c>
      <c r="C51" s="271">
        <v>99.5</v>
      </c>
      <c r="D51" s="271">
        <v>105.03805824011273</v>
      </c>
      <c r="E51" s="271">
        <v>97.054891731624039</v>
      </c>
      <c r="F51" s="87"/>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row>
    <row r="52" spans="1:31" hidden="1">
      <c r="A52" s="40" t="s">
        <v>26</v>
      </c>
      <c r="B52" s="271">
        <v>90.2</v>
      </c>
      <c r="C52" s="271">
        <v>103.3</v>
      </c>
      <c r="D52" s="271">
        <v>109.4</v>
      </c>
      <c r="E52" s="271">
        <v>101.1</v>
      </c>
      <c r="F52" s="87"/>
      <c r="G52" s="87"/>
      <c r="H52" s="87"/>
      <c r="I52" s="87"/>
      <c r="J52" s="87"/>
      <c r="K52" s="87"/>
      <c r="L52" s="87"/>
      <c r="M52" s="87"/>
      <c r="N52" s="87"/>
      <c r="O52" s="87"/>
      <c r="P52" s="87"/>
      <c r="Q52" s="87"/>
      <c r="R52" s="87"/>
      <c r="S52" s="87"/>
      <c r="T52" s="87"/>
      <c r="U52" s="87"/>
      <c r="V52" s="87"/>
      <c r="W52" s="87"/>
      <c r="X52" s="87"/>
      <c r="Y52" s="87"/>
      <c r="Z52" s="87"/>
      <c r="AA52" s="87"/>
      <c r="AB52" s="87"/>
      <c r="AC52" s="87"/>
      <c r="AD52" s="87"/>
      <c r="AE52" s="87"/>
    </row>
    <row r="53" spans="1:31" hidden="1">
      <c r="A53" s="40" t="s">
        <v>27</v>
      </c>
      <c r="B53" s="271">
        <v>96.2</v>
      </c>
      <c r="C53" s="271">
        <v>110.1</v>
      </c>
      <c r="D53" s="271">
        <v>117.3</v>
      </c>
      <c r="E53" s="271">
        <v>107.9</v>
      </c>
      <c r="F53" s="87"/>
      <c r="G53" s="87"/>
      <c r="H53" s="87"/>
      <c r="I53" s="87"/>
      <c r="J53" s="87"/>
      <c r="K53" s="87"/>
      <c r="L53" s="87"/>
      <c r="M53" s="87"/>
      <c r="N53" s="87"/>
      <c r="O53" s="87"/>
      <c r="P53" s="87"/>
      <c r="Q53" s="87"/>
      <c r="R53" s="87"/>
      <c r="S53" s="87"/>
      <c r="T53" s="87"/>
      <c r="U53" s="87"/>
      <c r="V53" s="87"/>
      <c r="W53" s="87"/>
      <c r="X53" s="87"/>
      <c r="Y53" s="87"/>
      <c r="Z53" s="87"/>
      <c r="AA53" s="87"/>
      <c r="AB53" s="87"/>
      <c r="AC53" s="87"/>
      <c r="AD53" s="87"/>
      <c r="AE53" s="87"/>
    </row>
    <row r="54" spans="1:31" hidden="1">
      <c r="A54" s="40" t="s">
        <v>28</v>
      </c>
      <c r="B54" s="271">
        <v>101.5</v>
      </c>
      <c r="C54" s="271">
        <v>115.7</v>
      </c>
      <c r="D54" s="271">
        <v>124</v>
      </c>
      <c r="E54" s="271">
        <v>113.3</v>
      </c>
      <c r="F54" s="87"/>
      <c r="G54" s="87"/>
      <c r="H54" s="87"/>
      <c r="I54" s="87"/>
      <c r="J54" s="87"/>
      <c r="K54" s="87"/>
      <c r="L54" s="87"/>
      <c r="M54" s="87"/>
      <c r="N54" s="87"/>
      <c r="O54" s="87"/>
      <c r="P54" s="87"/>
      <c r="Q54" s="87"/>
      <c r="R54" s="87"/>
      <c r="S54" s="87"/>
      <c r="T54" s="87"/>
      <c r="U54" s="87"/>
      <c r="V54" s="87"/>
      <c r="W54" s="87"/>
      <c r="X54" s="87"/>
      <c r="Y54" s="87"/>
      <c r="Z54" s="87"/>
      <c r="AA54" s="87"/>
      <c r="AB54" s="87"/>
      <c r="AC54" s="87"/>
      <c r="AD54" s="87"/>
      <c r="AE54" s="87"/>
    </row>
    <row r="55" spans="1:31" hidden="1">
      <c r="A55" s="40" t="s">
        <v>29</v>
      </c>
      <c r="B55" s="271">
        <v>100.1</v>
      </c>
      <c r="C55" s="271">
        <v>117.2</v>
      </c>
      <c r="D55" s="271">
        <v>121.8</v>
      </c>
      <c r="E55" s="271">
        <v>114.1</v>
      </c>
      <c r="F55" s="87"/>
      <c r="G55" s="87"/>
      <c r="H55" s="87"/>
      <c r="I55" s="87"/>
      <c r="J55" s="87"/>
      <c r="K55" s="87"/>
      <c r="L55" s="87"/>
      <c r="M55" s="87"/>
      <c r="N55" s="87"/>
      <c r="O55" s="87"/>
      <c r="P55" s="87"/>
      <c r="Q55" s="87"/>
      <c r="R55" s="87"/>
      <c r="S55" s="87"/>
      <c r="T55" s="87"/>
      <c r="U55" s="87"/>
      <c r="V55" s="87"/>
      <c r="W55" s="87"/>
      <c r="X55" s="87"/>
      <c r="Y55" s="87"/>
      <c r="Z55" s="87"/>
      <c r="AA55" s="87"/>
      <c r="AB55" s="87"/>
      <c r="AC55" s="87"/>
      <c r="AD55" s="87"/>
      <c r="AE55" s="87"/>
    </row>
    <row r="56" spans="1:31">
      <c r="A56" s="40" t="s">
        <v>43</v>
      </c>
      <c r="B56" s="271">
        <f>+B68</f>
        <v>98.33791169486986</v>
      </c>
      <c r="C56" s="271">
        <f>+C68</f>
        <v>119.09333464520459</v>
      </c>
      <c r="D56" s="271">
        <f>+D68</f>
        <v>115.53161429725617</v>
      </c>
      <c r="E56" s="271">
        <f>+E68</f>
        <v>110.00613673275743</v>
      </c>
      <c r="F56" s="87"/>
      <c r="G56" s="87"/>
      <c r="H56" s="87"/>
      <c r="I56" s="87"/>
      <c r="J56" s="87"/>
      <c r="K56" s="87"/>
      <c r="L56" s="87"/>
      <c r="M56" s="87"/>
      <c r="N56" s="87"/>
      <c r="O56" s="87"/>
      <c r="P56" s="87"/>
      <c r="Q56" s="87"/>
      <c r="R56" s="87"/>
      <c r="S56" s="87"/>
      <c r="T56" s="87"/>
      <c r="U56" s="87"/>
      <c r="V56" s="87"/>
      <c r="W56" s="87"/>
      <c r="X56" s="87"/>
      <c r="Y56" s="87"/>
      <c r="Z56" s="87"/>
      <c r="AA56" s="87"/>
      <c r="AB56" s="87"/>
      <c r="AC56" s="87"/>
      <c r="AD56" s="87"/>
      <c r="AE56" s="87"/>
    </row>
    <row r="57" spans="1:31" hidden="1">
      <c r="A57" s="40" t="s">
        <v>18</v>
      </c>
      <c r="B57" s="1314">
        <v>103.1</v>
      </c>
      <c r="C57" s="1314">
        <v>123</v>
      </c>
      <c r="D57" s="1314">
        <v>124.19752118793643</v>
      </c>
      <c r="E57" s="1314">
        <v>117.60343880973134</v>
      </c>
      <c r="F57" s="87"/>
      <c r="G57" s="87"/>
      <c r="H57" s="87"/>
      <c r="I57" s="87"/>
      <c r="J57" s="87"/>
      <c r="K57" s="87"/>
      <c r="L57" s="87"/>
      <c r="M57" s="87"/>
      <c r="N57" s="87"/>
      <c r="O57" s="87"/>
      <c r="P57" s="87"/>
      <c r="Q57" s="87"/>
      <c r="R57" s="87"/>
      <c r="S57" s="87"/>
      <c r="T57" s="87"/>
      <c r="U57" s="87"/>
      <c r="V57" s="87"/>
      <c r="W57" s="87"/>
      <c r="X57" s="87"/>
      <c r="Y57" s="87"/>
      <c r="Z57" s="87"/>
      <c r="AA57" s="87"/>
      <c r="AB57" s="87"/>
      <c r="AC57" s="87"/>
      <c r="AD57" s="87"/>
      <c r="AE57" s="87"/>
    </row>
    <row r="58" spans="1:31" hidden="1">
      <c r="A58" s="40" t="s">
        <v>19</v>
      </c>
      <c r="B58" s="1314">
        <v>108.07148345424234</v>
      </c>
      <c r="C58" s="1314">
        <v>131.30612814950445</v>
      </c>
      <c r="D58" s="1314">
        <v>128.51864565388277</v>
      </c>
      <c r="E58" s="1314">
        <v>123.62250263529405</v>
      </c>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row>
    <row r="59" spans="1:31" hidden="1">
      <c r="A59" s="40" t="s">
        <v>20</v>
      </c>
      <c r="B59" s="1314">
        <v>108.05000216054745</v>
      </c>
      <c r="C59" s="1314">
        <v>130.83553961133705</v>
      </c>
      <c r="D59" s="1314">
        <v>126.94928196153209</v>
      </c>
      <c r="E59" s="1314">
        <v>121.39503110678471</v>
      </c>
      <c r="F59" s="87"/>
      <c r="G59" s="87"/>
      <c r="H59" s="87"/>
      <c r="I59" s="87"/>
      <c r="J59" s="87"/>
      <c r="K59" s="87"/>
      <c r="L59" s="87"/>
      <c r="M59" s="87"/>
      <c r="N59" s="87"/>
      <c r="O59" s="87"/>
      <c r="P59" s="87"/>
      <c r="Q59" s="87"/>
      <c r="R59" s="87"/>
      <c r="S59" s="87"/>
      <c r="T59" s="87"/>
      <c r="U59" s="87"/>
      <c r="V59" s="87"/>
      <c r="W59" s="87"/>
      <c r="X59" s="87"/>
      <c r="Y59" s="87"/>
      <c r="Z59" s="87"/>
      <c r="AA59" s="87"/>
      <c r="AB59" s="87"/>
      <c r="AC59" s="87"/>
      <c r="AD59" s="87"/>
      <c r="AE59" s="87"/>
    </row>
    <row r="60" spans="1:31" hidden="1">
      <c r="A60" s="40" t="s">
        <v>21</v>
      </c>
      <c r="B60" s="1314">
        <v>106.2</v>
      </c>
      <c r="C60" s="1314">
        <v>128</v>
      </c>
      <c r="D60" s="1314">
        <v>123.99426974227519</v>
      </c>
      <c r="E60" s="1314">
        <v>118.00298134482688</v>
      </c>
      <c r="F60" s="87"/>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row>
    <row r="61" spans="1:31" hidden="1">
      <c r="A61" s="40" t="s">
        <v>22</v>
      </c>
      <c r="B61" s="1314">
        <v>103.1</v>
      </c>
      <c r="C61" s="1314">
        <v>124</v>
      </c>
      <c r="D61" s="1314">
        <v>119.57249586313594</v>
      </c>
      <c r="E61" s="1314">
        <v>113.49964833274304</v>
      </c>
      <c r="F61" s="87"/>
      <c r="G61" s="87"/>
      <c r="H61" s="87"/>
      <c r="I61" s="87"/>
      <c r="J61" s="87"/>
      <c r="K61" s="87"/>
      <c r="L61" s="87"/>
      <c r="M61" s="87"/>
      <c r="N61" s="87"/>
      <c r="O61" s="87"/>
      <c r="P61" s="87"/>
      <c r="Q61" s="87"/>
      <c r="R61" s="87"/>
      <c r="S61" s="87"/>
      <c r="T61" s="87"/>
      <c r="U61" s="87"/>
      <c r="V61" s="87"/>
      <c r="W61" s="87"/>
      <c r="X61" s="87"/>
      <c r="Y61" s="87"/>
      <c r="Z61" s="87"/>
      <c r="AA61" s="87"/>
      <c r="AB61" s="87"/>
      <c r="AC61" s="87"/>
      <c r="AD61" s="87"/>
      <c r="AE61" s="87"/>
    </row>
    <row r="62" spans="1:31" hidden="1">
      <c r="A62" s="40" t="s">
        <v>23</v>
      </c>
      <c r="B62" s="1314">
        <v>100.68004174117964</v>
      </c>
      <c r="C62" s="1314">
        <v>121.51617266669739</v>
      </c>
      <c r="D62" s="1314">
        <v>115.74597442651607</v>
      </c>
      <c r="E62" s="1314">
        <v>110.17489581551685</v>
      </c>
      <c r="F62" s="87"/>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row>
    <row r="63" spans="1:31" hidden="1">
      <c r="A63" s="40" t="s">
        <v>24</v>
      </c>
      <c r="B63" s="1314">
        <v>100.56840277824344</v>
      </c>
      <c r="C63" s="1314">
        <v>121.88099443223825</v>
      </c>
      <c r="D63" s="1314">
        <v>116.80516673483064</v>
      </c>
      <c r="E63" s="1314">
        <v>111.4143874072607</v>
      </c>
      <c r="F63" s="87"/>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row>
    <row r="64" spans="1:31" hidden="1">
      <c r="A64" s="40" t="s">
        <v>25</v>
      </c>
      <c r="B64" s="1314">
        <v>99.992776775283929</v>
      </c>
      <c r="C64" s="1314">
        <v>122.01394620535584</v>
      </c>
      <c r="D64" s="1314">
        <v>115.97338366500441</v>
      </c>
      <c r="E64" s="1314">
        <v>111.48734731967774</v>
      </c>
      <c r="F64" s="87"/>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row>
    <row r="65" spans="1:31" hidden="1">
      <c r="A65" s="40" t="s">
        <v>26</v>
      </c>
      <c r="B65" s="1314">
        <v>98.95375073383822</v>
      </c>
      <c r="C65" s="1314">
        <v>120.80314399996075</v>
      </c>
      <c r="D65" s="1314">
        <v>114.93804792277264</v>
      </c>
      <c r="E65" s="1314">
        <v>110.48931109488855</v>
      </c>
      <c r="F65" s="87"/>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row>
    <row r="66" spans="1:31" hidden="1">
      <c r="A66" s="40" t="s">
        <v>27</v>
      </c>
      <c r="B66" s="1314">
        <v>97.300748609997385</v>
      </c>
      <c r="C66" s="1314">
        <v>117.98002375469721</v>
      </c>
      <c r="D66" s="1314">
        <v>112.84857667642464</v>
      </c>
      <c r="E66" s="1314">
        <v>107.73954244113617</v>
      </c>
      <c r="F66" s="87"/>
      <c r="G66" s="87"/>
      <c r="H66" s="87"/>
      <c r="I66" s="87"/>
      <c r="J66" s="87"/>
      <c r="K66" s="87"/>
      <c r="L66" s="87"/>
      <c r="M66" s="87"/>
      <c r="N66" s="87"/>
      <c r="O66" s="87"/>
      <c r="P66" s="87"/>
      <c r="Q66" s="87"/>
      <c r="R66" s="87"/>
      <c r="S66" s="87"/>
      <c r="T66" s="87"/>
      <c r="U66" s="87"/>
      <c r="V66" s="87"/>
      <c r="W66" s="87"/>
      <c r="X66" s="87"/>
      <c r="Y66" s="87"/>
      <c r="Z66" s="87"/>
      <c r="AA66" s="87"/>
      <c r="AB66" s="87"/>
      <c r="AC66" s="87"/>
      <c r="AD66" s="87"/>
      <c r="AE66" s="87"/>
    </row>
    <row r="67" spans="1:31" hidden="1">
      <c r="A67" s="40" t="s">
        <v>28</v>
      </c>
      <c r="B67" s="1314">
        <v>96.76557945178854</v>
      </c>
      <c r="C67" s="1314">
        <v>116.98753565056322</v>
      </c>
      <c r="D67" s="1314">
        <v>113.29680809447919</v>
      </c>
      <c r="E67" s="1314">
        <v>107.77511995759092</v>
      </c>
      <c r="F67" s="87"/>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row>
    <row r="68" spans="1:31" hidden="1">
      <c r="A68" s="40" t="s">
        <v>29</v>
      </c>
      <c r="B68" s="1314">
        <v>98.33791169486986</v>
      </c>
      <c r="C68" s="1314">
        <v>119.09333464520459</v>
      </c>
      <c r="D68" s="1314">
        <v>115.53161429725617</v>
      </c>
      <c r="E68" s="1314">
        <v>110.00613673275743</v>
      </c>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row>
    <row r="69" spans="1:31">
      <c r="A69" s="40" t="s">
        <v>48</v>
      </c>
      <c r="B69" s="1314"/>
      <c r="C69" s="1314"/>
      <c r="D69" s="1314"/>
      <c r="E69" s="1314"/>
      <c r="F69" s="87"/>
      <c r="G69" s="87"/>
      <c r="H69" s="87"/>
      <c r="I69" s="87"/>
      <c r="J69" s="87"/>
      <c r="K69" s="87"/>
      <c r="L69" s="87"/>
      <c r="M69" s="87"/>
      <c r="N69" s="87"/>
      <c r="O69" s="87"/>
      <c r="P69" s="87"/>
      <c r="Q69" s="87"/>
      <c r="R69" s="87"/>
      <c r="S69" s="87"/>
      <c r="T69" s="87"/>
      <c r="U69" s="87"/>
      <c r="V69" s="87"/>
      <c r="W69" s="87"/>
      <c r="X69" s="87"/>
      <c r="Y69" s="87"/>
      <c r="Z69" s="87"/>
      <c r="AA69" s="87"/>
      <c r="AB69" s="87"/>
      <c r="AC69" s="87"/>
      <c r="AD69" s="87"/>
      <c r="AE69" s="87"/>
    </row>
    <row r="70" spans="1:31">
      <c r="A70" s="40" t="s">
        <v>18</v>
      </c>
      <c r="B70" s="1314">
        <v>99.242214915068402</v>
      </c>
      <c r="C70" s="1314">
        <v>119.18864474043227</v>
      </c>
      <c r="D70" s="1314">
        <v>117.36218959846798</v>
      </c>
      <c r="E70" s="1314">
        <v>109.69673160079984</v>
      </c>
      <c r="F70" s="87"/>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row>
    <row r="71" spans="1:31">
      <c r="A71" s="40" t="s">
        <v>19</v>
      </c>
      <c r="B71" s="1314">
        <v>102.41250997766213</v>
      </c>
      <c r="C71" s="1314">
        <v>121.21029534529802</v>
      </c>
      <c r="D71" s="1314">
        <v>121.89703147807731</v>
      </c>
      <c r="E71" s="1314">
        <v>111.78311066984122</v>
      </c>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row>
    <row r="72" spans="1:31">
      <c r="A72" s="40" t="s">
        <v>20</v>
      </c>
      <c r="B72" s="1314">
        <v>102.16862987905446</v>
      </c>
      <c r="C72" s="1314">
        <v>120.55000605025569</v>
      </c>
      <c r="D72" s="1314">
        <v>122.39551240924369</v>
      </c>
      <c r="E72" s="1314">
        <v>111.94976996003348</v>
      </c>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row>
    <row r="73" spans="1:31">
      <c r="A73" s="40" t="s">
        <v>21</v>
      </c>
      <c r="B73" s="1314">
        <v>102.64418606064629</v>
      </c>
      <c r="C73" s="1314">
        <v>120.12061780044628</v>
      </c>
      <c r="D73" s="1314">
        <v>122.56273417904904</v>
      </c>
      <c r="E73" s="1314">
        <v>111.1605505819827</v>
      </c>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row>
    <row r="74" spans="1:31">
      <c r="A74" s="40" t="s">
        <v>22</v>
      </c>
      <c r="B74" s="1314">
        <v>107.060118652734</v>
      </c>
      <c r="C74" s="1314">
        <v>124.00008632039288</v>
      </c>
      <c r="D74" s="1314">
        <v>127.51249400695693</v>
      </c>
      <c r="E74" s="1314">
        <v>114.37616383621929</v>
      </c>
      <c r="F74" s="87"/>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row>
    <row r="75" spans="1:31">
      <c r="A75" s="40" t="s">
        <v>23</v>
      </c>
      <c r="B75" s="1314">
        <v>109.27050514211085</v>
      </c>
      <c r="C75" s="1314">
        <v>126.07859383911403</v>
      </c>
      <c r="D75" s="1314">
        <v>129.3605823857294</v>
      </c>
      <c r="E75" s="1314">
        <v>115.59918354728688</v>
      </c>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row>
    <row r="76" spans="1:31">
      <c r="A76" s="40" t="s">
        <v>24</v>
      </c>
      <c r="B76" s="1314">
        <v>106.27187091832498</v>
      </c>
      <c r="C76" s="1314">
        <v>123.55176811749457</v>
      </c>
      <c r="D76" s="1314">
        <v>125.72622397073962</v>
      </c>
      <c r="E76" s="1314">
        <v>113.0981949946774</v>
      </c>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row>
    <row r="77" spans="1:31">
      <c r="A77" s="40" t="s">
        <v>25</v>
      </c>
      <c r="B77" s="1314">
        <v>105.18608248012794</v>
      </c>
      <c r="C77" s="1314">
        <v>122.42277410923421</v>
      </c>
      <c r="D77" s="1314">
        <v>124.82154452672677</v>
      </c>
      <c r="E77" s="1314">
        <v>112.18954606756668</v>
      </c>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row>
    <row r="78" spans="1:31">
      <c r="A78" s="40" t="s">
        <v>26</v>
      </c>
      <c r="B78" s="1314">
        <v>104.67313718987634</v>
      </c>
      <c r="C78" s="1314">
        <v>122.65379358097431</v>
      </c>
      <c r="D78" s="1314">
        <v>124.80825847175078</v>
      </c>
      <c r="E78" s="1314">
        <v>112.45678468023874</v>
      </c>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row>
    <row r="79" spans="1:31">
      <c r="A79" s="40" t="s">
        <v>27</v>
      </c>
      <c r="B79" s="1314">
        <v>100.66931139435128</v>
      </c>
      <c r="C79" s="1314">
        <v>119.83743592983802</v>
      </c>
      <c r="D79" s="1314">
        <v>120.54769126858373</v>
      </c>
      <c r="E79" s="1314">
        <v>110.01394515022547</v>
      </c>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row>
    <row r="80" spans="1:31">
      <c r="A80" s="40" t="s">
        <v>28</v>
      </c>
      <c r="B80" s="1314">
        <v>101.81569108152895</v>
      </c>
      <c r="C80" s="1314">
        <v>121.30107839902388</v>
      </c>
      <c r="D80" s="1314">
        <v>123.75984428356971</v>
      </c>
      <c r="E80" s="1314">
        <v>112.78727594593947</v>
      </c>
      <c r="F80" s="87"/>
      <c r="G80" s="87"/>
      <c r="H80" s="87"/>
      <c r="I80" s="87"/>
      <c r="J80" s="87"/>
      <c r="K80" s="87"/>
      <c r="L80" s="87"/>
      <c r="M80" s="87"/>
      <c r="N80" s="87"/>
      <c r="O80" s="87"/>
      <c r="P80" s="87"/>
      <c r="Q80" s="87"/>
      <c r="R80" s="87"/>
      <c r="S80" s="87"/>
      <c r="T80" s="87"/>
      <c r="U80" s="87"/>
      <c r="V80" s="87"/>
      <c r="W80" s="87"/>
      <c r="X80" s="87"/>
      <c r="Y80" s="87"/>
      <c r="Z80" s="87"/>
      <c r="AA80" s="87"/>
      <c r="AB80" s="87"/>
      <c r="AC80" s="87"/>
      <c r="AD80" s="87"/>
      <c r="AE80" s="87"/>
    </row>
    <row r="81" spans="1:31">
      <c r="A81" s="40" t="s">
        <v>29</v>
      </c>
      <c r="B81" s="1314">
        <v>104.24373198736943</v>
      </c>
      <c r="C81" s="1314">
        <v>123.19885301577337</v>
      </c>
      <c r="D81" s="1314">
        <v>127.68472379390381</v>
      </c>
      <c r="E81" s="1314">
        <v>115.33763990743165</v>
      </c>
      <c r="F81" s="87"/>
      <c r="G81" s="87"/>
      <c r="H81" s="87"/>
      <c r="I81" s="87"/>
      <c r="J81" s="87"/>
      <c r="K81" s="87"/>
      <c r="L81" s="87"/>
      <c r="M81" s="87"/>
      <c r="N81" s="87"/>
      <c r="O81" s="87"/>
      <c r="P81" s="87"/>
      <c r="Q81" s="87"/>
      <c r="R81" s="87"/>
      <c r="S81" s="87"/>
      <c r="T81" s="87"/>
      <c r="U81" s="87"/>
      <c r="V81" s="87"/>
      <c r="W81" s="87"/>
      <c r="X81" s="87"/>
      <c r="Y81" s="87"/>
      <c r="Z81" s="87"/>
      <c r="AA81" s="87"/>
      <c r="AB81" s="87"/>
      <c r="AC81" s="87"/>
      <c r="AD81" s="87"/>
      <c r="AE81" s="87"/>
    </row>
    <row r="82" spans="1:31">
      <c r="A82" s="40" t="s">
        <v>1030</v>
      </c>
      <c r="B82" s="1314"/>
      <c r="C82" s="1314"/>
      <c r="D82" s="1315"/>
      <c r="E82" s="1315"/>
    </row>
    <row r="83" spans="1:31">
      <c r="A83" s="40" t="s">
        <v>18</v>
      </c>
      <c r="B83" s="1314">
        <v>103.77806153103111</v>
      </c>
      <c r="C83" s="1314">
        <v>122.78169156158205</v>
      </c>
      <c r="D83" s="1314">
        <v>128.05955460202622</v>
      </c>
      <c r="E83" s="1314">
        <v>114.72433770673038</v>
      </c>
    </row>
    <row r="84" spans="1:31">
      <c r="A84" s="40" t="s">
        <v>19</v>
      </c>
      <c r="B84" s="1314">
        <v>102.75753236478488</v>
      </c>
      <c r="C84" s="1314">
        <v>121.81294746910102</v>
      </c>
      <c r="D84" s="1314">
        <v>128.85735595348828</v>
      </c>
      <c r="E84" s="1314">
        <v>115.40152838783933</v>
      </c>
    </row>
    <row r="85" spans="1:31">
      <c r="A85" s="40" t="s">
        <v>20</v>
      </c>
      <c r="B85" s="1314">
        <v>101.32491762370059</v>
      </c>
      <c r="C85" s="1314">
        <v>120.44794046549116</v>
      </c>
      <c r="D85" s="1314">
        <v>127.28073664177801</v>
      </c>
      <c r="E85" s="1314">
        <v>114.41942133459121</v>
      </c>
    </row>
    <row r="86" spans="1:31">
      <c r="A86" s="40" t="s">
        <v>21</v>
      </c>
      <c r="B86" s="1314">
        <v>99.066905083372134</v>
      </c>
      <c r="C86" s="1314">
        <v>118.58972368240293</v>
      </c>
      <c r="D86" s="1316">
        <v>123.26394617777781</v>
      </c>
      <c r="E86" s="1316">
        <v>111.56588203946657</v>
      </c>
    </row>
    <row r="87" spans="1:31">
      <c r="A87" s="40" t="s">
        <v>22</v>
      </c>
      <c r="B87" s="1314">
        <v>99.768998732305874</v>
      </c>
      <c r="C87" s="1314">
        <v>119.46018957402917</v>
      </c>
      <c r="D87" s="1316">
        <v>123.20688205172416</v>
      </c>
      <c r="E87" s="1316">
        <v>110.91629611083748</v>
      </c>
    </row>
    <row r="88" spans="1:31">
      <c r="A88" s="40" t="s">
        <v>23</v>
      </c>
      <c r="B88" s="1314">
        <v>100.22001912812082</v>
      </c>
      <c r="C88" s="1314">
        <v>121.15251982531957</v>
      </c>
      <c r="D88" s="1316">
        <v>122.78049204391444</v>
      </c>
      <c r="E88" s="1316">
        <v>111.5863348630828</v>
      </c>
    </row>
    <row r="89" spans="1:31">
      <c r="A89" s="40" t="s">
        <v>24</v>
      </c>
      <c r="B89" s="1314">
        <v>101.0853120237993</v>
      </c>
      <c r="C89" s="1314">
        <v>123.60943069392583</v>
      </c>
      <c r="D89" s="1316">
        <v>123.30085360487563</v>
      </c>
      <c r="E89" s="1316">
        <v>113.13216990883178</v>
      </c>
    </row>
    <row r="90" spans="1:31">
      <c r="A90" s="40" t="s">
        <v>25</v>
      </c>
      <c r="B90" s="1314">
        <v>101.55470462948762</v>
      </c>
      <c r="C90" s="1314">
        <v>123.91931857888233</v>
      </c>
      <c r="D90" s="1316">
        <v>124.22632652665851</v>
      </c>
      <c r="E90" s="1316">
        <v>113.64473767131943</v>
      </c>
    </row>
    <row r="91" spans="1:31">
      <c r="A91" s="40" t="s">
        <v>26</v>
      </c>
      <c r="B91" s="1314">
        <v>104.45609985414954</v>
      </c>
      <c r="C91" s="1314">
        <v>127.36549305110935</v>
      </c>
      <c r="D91" s="1316">
        <v>128.34315625698892</v>
      </c>
      <c r="E91" s="1316">
        <v>117.31566512050034</v>
      </c>
    </row>
    <row r="92" spans="1:31">
      <c r="A92" s="40" t="s">
        <v>27</v>
      </c>
      <c r="B92" s="1314">
        <v>105.09628489346473</v>
      </c>
      <c r="C92" s="1314">
        <v>128.4159980377988</v>
      </c>
      <c r="D92" s="1316">
        <v>128.60645387047629</v>
      </c>
      <c r="E92" s="1316">
        <v>117.20656679623119</v>
      </c>
    </row>
    <row r="93" spans="1:31">
      <c r="A93" s="40" t="s">
        <v>28</v>
      </c>
      <c r="B93" s="1314">
        <v>105.7017300609789</v>
      </c>
      <c r="C93" s="1314">
        <v>128.55936898379102</v>
      </c>
      <c r="D93" s="1316">
        <v>130.36120965253542</v>
      </c>
      <c r="E93" s="1316">
        <v>117.78748048293416</v>
      </c>
    </row>
    <row r="94" spans="1:31">
      <c r="A94" s="40" t="s">
        <v>29</v>
      </c>
      <c r="B94" s="1314">
        <v>108.10109777506931</v>
      </c>
      <c r="C94" s="1314">
        <v>131.92468053351632</v>
      </c>
      <c r="D94" s="1316">
        <v>134.2224664075863</v>
      </c>
      <c r="E94" s="1316">
        <v>121.56828849287928</v>
      </c>
    </row>
    <row r="95" spans="1:31">
      <c r="A95" s="40" t="s">
        <v>1301</v>
      </c>
      <c r="B95" s="1314"/>
      <c r="C95" s="1314"/>
      <c r="D95" s="1315"/>
      <c r="E95" s="1315"/>
    </row>
    <row r="96" spans="1:31">
      <c r="A96" s="40" t="s">
        <v>18</v>
      </c>
      <c r="B96" s="1317">
        <v>109.34894037530316</v>
      </c>
      <c r="C96" s="1317">
        <v>132.33116604187796</v>
      </c>
      <c r="D96" s="1317">
        <v>136.24267017004152</v>
      </c>
      <c r="E96" s="1317">
        <v>121.73372272784898</v>
      </c>
    </row>
    <row r="97" spans="1:5">
      <c r="A97" s="40" t="s">
        <v>19</v>
      </c>
      <c r="B97" s="1317">
        <v>107.09390238148615</v>
      </c>
      <c r="C97" s="1317">
        <v>129.1517918681748</v>
      </c>
      <c r="D97" s="1317">
        <v>133.05758805046892</v>
      </c>
      <c r="E97" s="1317">
        <v>118.4332377530318</v>
      </c>
    </row>
    <row r="98" spans="1:5">
      <c r="A98" s="40" t="s">
        <v>20</v>
      </c>
      <c r="B98" s="1317">
        <v>107.27025289955442</v>
      </c>
      <c r="C98" s="1317">
        <v>129.14402321471778</v>
      </c>
      <c r="D98" s="1317">
        <v>132.54553336923982</v>
      </c>
      <c r="E98" s="1317">
        <v>117.94528792166842</v>
      </c>
    </row>
    <row r="99" spans="1:5">
      <c r="A99" s="40" t="s">
        <v>21</v>
      </c>
      <c r="B99" s="1317">
        <v>107.42461923330725</v>
      </c>
      <c r="C99" s="1317">
        <v>129.37353259979773</v>
      </c>
      <c r="D99" s="1317">
        <v>131.48884072856697</v>
      </c>
      <c r="E99" s="1317">
        <v>116.94392579151665</v>
      </c>
    </row>
    <row r="100" spans="1:5">
      <c r="A100" s="40" t="s">
        <v>22</v>
      </c>
      <c r="B100" s="1317">
        <v>109.61664573143401</v>
      </c>
      <c r="C100" s="1317">
        <v>131.89095485581325</v>
      </c>
      <c r="D100" s="1317">
        <v>133.00841072291274</v>
      </c>
      <c r="E100" s="1317">
        <v>117.96311127387746</v>
      </c>
    </row>
    <row r="101" spans="1:5">
      <c r="A101" s="40" t="s">
        <v>23</v>
      </c>
      <c r="B101" s="1317">
        <v>111.95648336035296</v>
      </c>
      <c r="C101" s="1317">
        <v>135.42761524157407</v>
      </c>
      <c r="D101" s="1317">
        <v>134.13345808968126</v>
      </c>
      <c r="E101" s="1317">
        <v>119.44263262742672</v>
      </c>
    </row>
    <row r="102" spans="1:5">
      <c r="A102" s="40" t="s">
        <v>24</v>
      </c>
      <c r="B102" s="1317">
        <v>113.03844528492385</v>
      </c>
      <c r="C102" s="1317">
        <v>135.47328396137888</v>
      </c>
      <c r="D102" s="1317">
        <v>134.70686439925467</v>
      </c>
      <c r="E102" s="1317">
        <v>118.40361452534009</v>
      </c>
    </row>
    <row r="103" spans="1:5">
      <c r="A103" s="40" t="s">
        <v>25</v>
      </c>
      <c r="B103" s="1317">
        <v>112.48813982177936</v>
      </c>
      <c r="C103" s="1317">
        <v>134.48956828687693</v>
      </c>
      <c r="D103" s="1317">
        <v>132.89488395342678</v>
      </c>
      <c r="E103" s="1317">
        <v>116.578302364168</v>
      </c>
    </row>
    <row r="104" spans="1:5">
      <c r="A104" s="40" t="s">
        <v>26</v>
      </c>
      <c r="B104" s="1317">
        <v>110.07992984950377</v>
      </c>
      <c r="C104" s="1317">
        <v>132.90574729762375</v>
      </c>
      <c r="D104" s="1317">
        <v>130.02897225997719</v>
      </c>
      <c r="E104" s="1317">
        <v>115.12927868228155</v>
      </c>
    </row>
    <row r="105" spans="1:5">
      <c r="A105" s="40" t="s">
        <v>27</v>
      </c>
      <c r="B105" s="1317">
        <v>109.26421172034792</v>
      </c>
      <c r="C105" s="1317">
        <v>132.21631462043905</v>
      </c>
      <c r="D105" s="1317">
        <v>129.619944204261</v>
      </c>
      <c r="E105" s="1317">
        <v>114.65337626314972</v>
      </c>
    </row>
    <row r="106" spans="1:5">
      <c r="A106" s="40" t="s">
        <v>28</v>
      </c>
      <c r="B106" s="1317">
        <v>110.03921059331229</v>
      </c>
      <c r="C106" s="1317">
        <v>132.78246820580696</v>
      </c>
      <c r="D106" s="1317">
        <v>131.98332166580053</v>
      </c>
      <c r="E106" s="1317">
        <v>116.09780107835856</v>
      </c>
    </row>
    <row r="107" spans="1:5">
      <c r="A107" s="40" t="s">
        <v>29</v>
      </c>
      <c r="B107" s="1317">
        <v>108.3361829325449</v>
      </c>
      <c r="C107" s="1317">
        <v>131.28645806861752</v>
      </c>
      <c r="D107" s="1317">
        <v>130.26760591307001</v>
      </c>
      <c r="E107" s="1317">
        <v>114.84720079754572</v>
      </c>
    </row>
    <row r="108" spans="1:5">
      <c r="A108" s="40" t="s">
        <v>1423</v>
      </c>
      <c r="B108" s="1314"/>
      <c r="C108" s="1314"/>
      <c r="D108" s="1315"/>
      <c r="E108" s="1315"/>
    </row>
    <row r="109" spans="1:5">
      <c r="A109" s="40" t="s">
        <v>18</v>
      </c>
      <c r="B109" s="1317">
        <v>107.29886348741235</v>
      </c>
      <c r="C109" s="1317">
        <v>130.32286046167911</v>
      </c>
      <c r="D109" s="1317">
        <v>130.83636223616267</v>
      </c>
      <c r="E109" s="1317">
        <v>114.68361838132077</v>
      </c>
    </row>
    <row r="110" spans="1:5">
      <c r="A110" s="40" t="s">
        <v>19</v>
      </c>
      <c r="B110" s="1317">
        <v>107.06731101905527</v>
      </c>
      <c r="C110" s="1317">
        <v>130.40092864507082</v>
      </c>
      <c r="D110" s="1317">
        <v>130.65090615221266</v>
      </c>
      <c r="E110" s="1317">
        <v>114.63559587157464</v>
      </c>
    </row>
    <row r="111" spans="1:5">
      <c r="A111" s="40" t="s">
        <v>20</v>
      </c>
      <c r="B111" s="1317">
        <v>109.17743252775075</v>
      </c>
      <c r="C111" s="1317">
        <v>132.39475209511755</v>
      </c>
      <c r="D111" s="1317">
        <v>133.10041029821073</v>
      </c>
      <c r="E111" s="1317">
        <v>116.57078451637352</v>
      </c>
    </row>
    <row r="112" spans="1:5">
      <c r="A112" s="40" t="s">
        <v>21</v>
      </c>
      <c r="B112" s="1317">
        <v>109.03021788117931</v>
      </c>
      <c r="C112" s="1317">
        <v>132.8442653602518</v>
      </c>
      <c r="D112" s="1317">
        <v>133.38216201211802</v>
      </c>
      <c r="E112" s="1317">
        <v>117.06032629393285</v>
      </c>
    </row>
    <row r="113" spans="1:5">
      <c r="A113" s="40" t="s">
        <v>22</v>
      </c>
      <c r="B113" s="1317">
        <v>109.26845270359166</v>
      </c>
      <c r="C113" s="1317">
        <v>133.20630029034027</v>
      </c>
      <c r="D113" s="1317">
        <v>132.96194622859309</v>
      </c>
      <c r="E113" s="1317">
        <v>116.62357119288816</v>
      </c>
    </row>
    <row r="114" spans="1:5">
      <c r="A114" s="40" t="s">
        <v>23</v>
      </c>
      <c r="B114" s="1317">
        <v>108.92315960947158</v>
      </c>
      <c r="C114" s="1317">
        <v>134.66932758257821</v>
      </c>
      <c r="D114" s="1317">
        <v>130.71896111405252</v>
      </c>
      <c r="E114" s="1317">
        <v>116.12021184474605</v>
      </c>
    </row>
    <row r="115" spans="1:5">
      <c r="A115" s="40" t="s">
        <v>24</v>
      </c>
      <c r="B115" s="1317">
        <v>109.68141533160806</v>
      </c>
      <c r="C115" s="1317">
        <v>135.94200455767958</v>
      </c>
      <c r="D115" s="1317">
        <v>130.81724378293535</v>
      </c>
      <c r="E115" s="1317">
        <v>116.07559986727814</v>
      </c>
    </row>
    <row r="116" spans="1:5">
      <c r="A116" s="40" t="s">
        <v>25</v>
      </c>
      <c r="B116" s="1317">
        <v>108.81886324599392</v>
      </c>
      <c r="C116" s="1317">
        <v>136.09969334540511</v>
      </c>
      <c r="D116" s="1317">
        <v>129.26812955811857</v>
      </c>
      <c r="E116" s="1317">
        <v>115.76539174625955</v>
      </c>
    </row>
    <row r="117" spans="1:5">
      <c r="A117" s="40" t="s">
        <v>26</v>
      </c>
      <c r="B117" s="1317">
        <v>109.3538321675311</v>
      </c>
      <c r="C117" s="1317">
        <v>138.81286503939558</v>
      </c>
      <c r="D117" s="1317">
        <v>129.51451511212463</v>
      </c>
      <c r="E117" s="1317">
        <v>117.67295628300748</v>
      </c>
    </row>
    <row r="118" spans="1:5">
      <c r="A118" s="40" t="s">
        <v>27</v>
      </c>
      <c r="B118" s="1317">
        <v>107.74067204193626</v>
      </c>
      <c r="C118" s="1317">
        <v>137.15124488248793</v>
      </c>
      <c r="D118" s="1317">
        <v>128.25762274607004</v>
      </c>
      <c r="E118" s="1317">
        <v>116.48879155596147</v>
      </c>
    </row>
    <row r="119" spans="1:5">
      <c r="A119" s="40" t="s">
        <v>28</v>
      </c>
      <c r="B119" s="1317">
        <v>108.714387944329</v>
      </c>
      <c r="C119" s="1317">
        <v>138.64787570408222</v>
      </c>
      <c r="D119" s="1317">
        <v>130.28449065843756</v>
      </c>
      <c r="E119" s="1317">
        <v>118.31813418390053</v>
      </c>
    </row>
    <row r="120" spans="1:5">
      <c r="A120" s="40" t="s">
        <v>29</v>
      </c>
      <c r="B120" s="1317">
        <v>108.05980070048319</v>
      </c>
      <c r="C120" s="1317">
        <v>138.95442781658662</v>
      </c>
      <c r="D120" s="1317">
        <v>131.46664271023602</v>
      </c>
      <c r="E120" s="1317">
        <v>120.25060522269098</v>
      </c>
    </row>
    <row r="121" spans="1:5">
      <c r="A121" s="40" t="s">
        <v>1634</v>
      </c>
      <c r="B121" s="1314"/>
      <c r="C121" s="1314"/>
      <c r="D121" s="1315"/>
      <c r="E121" s="1315"/>
    </row>
    <row r="122" spans="1:5">
      <c r="A122" s="40" t="s">
        <v>18</v>
      </c>
      <c r="B122" s="1317">
        <v>108.96942572728176</v>
      </c>
      <c r="C122" s="1317">
        <v>141.46553074034321</v>
      </c>
      <c r="D122" s="1317">
        <v>132.81280258492654</v>
      </c>
      <c r="E122" s="1317">
        <v>121.70483695461215</v>
      </c>
    </row>
    <row r="123" spans="1:5">
      <c r="A123" s="40" t="s">
        <v>19</v>
      </c>
      <c r="B123" s="1317">
        <v>110.1</v>
      </c>
      <c r="C123" s="1317">
        <v>144.69999999999999</v>
      </c>
      <c r="D123" s="1317">
        <v>134.1</v>
      </c>
      <c r="E123" s="1317">
        <v>124.3</v>
      </c>
    </row>
    <row r="124" spans="1:5">
      <c r="A124" s="40" t="s">
        <v>20</v>
      </c>
      <c r="B124" s="1317">
        <v>109.8</v>
      </c>
      <c r="C124" s="1317">
        <v>145.5</v>
      </c>
      <c r="D124" s="1317">
        <v>133.1</v>
      </c>
      <c r="E124" s="1317">
        <v>124.3</v>
      </c>
    </row>
    <row r="125" spans="1:5">
      <c r="A125" s="40" t="s">
        <v>21</v>
      </c>
      <c r="B125" s="1317">
        <v>110.1</v>
      </c>
      <c r="C125" s="1317">
        <v>146.69999999999999</v>
      </c>
      <c r="D125" s="1317">
        <v>133.1</v>
      </c>
      <c r="E125" s="1317">
        <v>124.6</v>
      </c>
    </row>
    <row r="126" spans="1:5">
      <c r="A126" s="40" t="s">
        <v>22</v>
      </c>
      <c r="B126" s="1317">
        <v>109.8</v>
      </c>
      <c r="C126" s="1317">
        <v>145.69999999999999</v>
      </c>
      <c r="D126" s="1317">
        <v>131.19999999999999</v>
      </c>
      <c r="E126" s="1317">
        <v>122.1</v>
      </c>
    </row>
    <row r="127" spans="1:5">
      <c r="A127" s="40" t="s">
        <v>23</v>
      </c>
      <c r="B127" s="1317">
        <v>110.26399254153948</v>
      </c>
      <c r="C127" s="1317">
        <v>146.0763107891525</v>
      </c>
      <c r="D127" s="1317">
        <v>129.81063592028516</v>
      </c>
      <c r="E127" s="1317">
        <v>120.44540408065649</v>
      </c>
    </row>
    <row r="128" spans="1:5">
      <c r="A128" s="40" t="s">
        <v>24</v>
      </c>
      <c r="B128" s="1317">
        <v>110.23409733088096</v>
      </c>
      <c r="C128" s="1317">
        <v>146.133452592097</v>
      </c>
      <c r="D128" s="1317">
        <v>128.93143024048649</v>
      </c>
      <c r="E128" s="1317">
        <v>119.42896848158294</v>
      </c>
    </row>
    <row r="129" spans="1:5">
      <c r="A129" s="40" t="s">
        <v>25</v>
      </c>
      <c r="B129" s="1317">
        <v>112.32693332684018</v>
      </c>
      <c r="C129" s="1317">
        <v>149.61995114651481</v>
      </c>
      <c r="D129" s="1317">
        <v>131.14508739368327</v>
      </c>
      <c r="E129" s="1317">
        <v>121.96319613306594</v>
      </c>
    </row>
    <row r="130" spans="1:5">
      <c r="A130" s="40" t="s">
        <v>26</v>
      </c>
      <c r="B130" s="1317">
        <v>115.3</v>
      </c>
      <c r="C130" s="1317">
        <v>153.5</v>
      </c>
      <c r="D130" s="1317">
        <v>135.4</v>
      </c>
      <c r="E130" s="1317">
        <v>125.8</v>
      </c>
    </row>
    <row r="131" spans="1:5">
      <c r="A131" s="40" t="s">
        <v>27</v>
      </c>
      <c r="B131" s="1317">
        <v>117.40711471302103</v>
      </c>
      <c r="C131" s="1317">
        <v>157.33265086993464</v>
      </c>
      <c r="D131" s="1317">
        <v>137.76602088790082</v>
      </c>
      <c r="E131" s="1317">
        <v>128.33480308429068</v>
      </c>
    </row>
    <row r="132" spans="1:5">
      <c r="A132" s="40" t="s">
        <v>28</v>
      </c>
      <c r="B132" s="1317">
        <v>120.58031452174892</v>
      </c>
      <c r="C132" s="1317">
        <v>163.69344678856345</v>
      </c>
      <c r="D132" s="1317">
        <v>141.58865067234493</v>
      </c>
      <c r="E132" s="1317">
        <v>133.18223695461768</v>
      </c>
    </row>
    <row r="133" spans="1:5">
      <c r="A133" s="40" t="s">
        <v>29</v>
      </c>
      <c r="B133" s="1317">
        <v>124.45036511566099</v>
      </c>
      <c r="C133" s="1317">
        <v>173.13953951454235</v>
      </c>
      <c r="D133" s="1317">
        <v>146.58996836445559</v>
      </c>
      <c r="E133" s="1317">
        <v>140.65933926882397</v>
      </c>
    </row>
    <row r="134" spans="1:5">
      <c r="A134" s="40" t="s">
        <v>1829</v>
      </c>
      <c r="B134" s="1317"/>
      <c r="C134" s="1317"/>
      <c r="D134" s="1317"/>
      <c r="E134" s="1317"/>
    </row>
    <row r="135" spans="1:5">
      <c r="A135" s="40" t="s">
        <v>18</v>
      </c>
      <c r="B135" s="1317">
        <v>129.34973852562538</v>
      </c>
      <c r="C135" s="1317">
        <v>181.3030733572956</v>
      </c>
      <c r="D135" s="1317">
        <v>153.12426289273861</v>
      </c>
      <c r="E135" s="1317">
        <v>146.47520559787034</v>
      </c>
    </row>
    <row r="136" spans="1:5">
      <c r="A136" s="40" t="s">
        <v>19</v>
      </c>
      <c r="B136" s="1317">
        <v>121.3778067394198</v>
      </c>
      <c r="C136" s="1317">
        <v>173.14575511993098</v>
      </c>
      <c r="D136" s="1317">
        <v>148.39932526693653</v>
      </c>
      <c r="E136" s="1317">
        <v>143.810983694828</v>
      </c>
    </row>
    <row r="137" spans="1:5">
      <c r="A137" s="40" t="s">
        <v>20</v>
      </c>
      <c r="B137" s="1317">
        <v>101.90193952812392</v>
      </c>
      <c r="C137" s="1317">
        <v>143.1655216767486</v>
      </c>
      <c r="D137" s="1317">
        <v>124.35693280455649</v>
      </c>
      <c r="E137" s="1317">
        <v>118.3538403311197</v>
      </c>
    </row>
    <row r="138" spans="1:5">
      <c r="A138" s="40" t="s">
        <v>21</v>
      </c>
      <c r="B138" s="1317">
        <v>101.09198461325389</v>
      </c>
      <c r="C138" s="1317">
        <v>139.02498935666924</v>
      </c>
      <c r="D138" s="1317">
        <v>122.37760827813327</v>
      </c>
      <c r="E138" s="1317">
        <v>113.26640560929921</v>
      </c>
    </row>
    <row r="139" spans="1:5">
      <c r="A139" s="40" t="s">
        <v>22</v>
      </c>
      <c r="B139" s="1317">
        <v>98.979939934743427</v>
      </c>
      <c r="C139" s="1317">
        <v>136.33751554559188</v>
      </c>
      <c r="D139" s="1317">
        <v>118.74840117223168</v>
      </c>
      <c r="E139" s="1317">
        <v>109.96976966409083</v>
      </c>
    </row>
    <row r="140" spans="1:5">
      <c r="A140" s="40" t="s">
        <v>23</v>
      </c>
      <c r="B140" s="1317">
        <v>99.6</v>
      </c>
      <c r="C140" s="1317">
        <v>139.5</v>
      </c>
      <c r="D140" s="1317">
        <v>118.1</v>
      </c>
      <c r="E140" s="1317">
        <v>111.2</v>
      </c>
    </row>
    <row r="141" spans="1:5">
      <c r="A141" s="40" t="s">
        <v>24</v>
      </c>
      <c r="B141" s="1317">
        <v>100.73111331036351</v>
      </c>
      <c r="C141" s="1317">
        <v>141.77357885893932</v>
      </c>
      <c r="D141" s="1317">
        <v>118.77862851505648</v>
      </c>
      <c r="E141" s="1317">
        <v>112.1757945371825</v>
      </c>
    </row>
    <row r="142" spans="1:5">
      <c r="A142" s="40" t="s">
        <v>25</v>
      </c>
      <c r="B142" s="1317">
        <v>102.33118006097402</v>
      </c>
      <c r="C142" s="1317">
        <v>148.38638640288332</v>
      </c>
      <c r="D142" s="1317">
        <v>120.37190493746722</v>
      </c>
      <c r="E142" s="1317">
        <v>117.00120566143731</v>
      </c>
    </row>
    <row r="143" spans="1:5">
      <c r="A143" s="40" t="s">
        <v>26</v>
      </c>
      <c r="B143" s="1317">
        <v>103.32918675444049</v>
      </c>
      <c r="C143" s="1317">
        <v>152.1046253384861</v>
      </c>
      <c r="D143" s="1317">
        <v>121.63167747018917</v>
      </c>
      <c r="E143" s="1317">
        <v>119.67073174934562</v>
      </c>
    </row>
    <row r="144" spans="1:5">
      <c r="A144" s="40" t="s">
        <v>27</v>
      </c>
      <c r="B144" s="1317">
        <v>102.58055014644231</v>
      </c>
      <c r="C144" s="1317">
        <v>149.55530426191089</v>
      </c>
      <c r="D144" s="1317">
        <v>120.45310687548863</v>
      </c>
      <c r="E144" s="1317">
        <v>117.08864645848028</v>
      </c>
    </row>
    <row r="145" spans="1:5">
      <c r="A145" s="40" t="s">
        <v>28</v>
      </c>
      <c r="B145" s="1317">
        <v>104.58035660969699</v>
      </c>
      <c r="C145" s="1317">
        <v>152.15281673331936</v>
      </c>
      <c r="D145" s="1317">
        <v>123.13902110754232</v>
      </c>
      <c r="E145" s="1317">
        <v>119.02988966257654</v>
      </c>
    </row>
    <row r="146" spans="1:5">
      <c r="A146" s="40" t="s">
        <v>29</v>
      </c>
      <c r="B146" s="1317">
        <v>89.746968389619084</v>
      </c>
      <c r="C146" s="1317">
        <v>132.8678343740894</v>
      </c>
      <c r="D146" s="1317">
        <v>110.00810598870943</v>
      </c>
      <c r="E146" s="1317">
        <v>107.59916736110999</v>
      </c>
    </row>
    <row r="147" spans="1:5">
      <c r="A147" s="40" t="s">
        <v>1852</v>
      </c>
      <c r="B147" s="1317"/>
      <c r="C147" s="1317"/>
      <c r="D147" s="1317"/>
      <c r="E147" s="1317"/>
    </row>
    <row r="148" spans="1:5">
      <c r="A148" s="40" t="s">
        <v>18</v>
      </c>
      <c r="B148" s="1317">
        <v>70.976955391184816</v>
      </c>
      <c r="C148" s="1317">
        <v>107.07802891630004</v>
      </c>
      <c r="D148" s="1317">
        <v>92.343941488455499</v>
      </c>
      <c r="E148" s="1317">
        <v>91.305300269348777</v>
      </c>
    </row>
    <row r="149" spans="1:5">
      <c r="A149" s="40" t="s">
        <v>19</v>
      </c>
      <c r="B149" s="1317">
        <v>70.655731099679215</v>
      </c>
      <c r="C149" s="1317">
        <v>107.39991156575893</v>
      </c>
      <c r="D149" s="1317">
        <v>92.174877487427167</v>
      </c>
      <c r="E149" s="1317">
        <v>91.719003239683076</v>
      </c>
    </row>
    <row r="150" spans="1:5">
      <c r="A150" s="40" t="s">
        <v>20</v>
      </c>
      <c r="B150" s="1317">
        <v>68.235269792438288</v>
      </c>
      <c r="C150" s="1317">
        <v>102.14533536791082</v>
      </c>
      <c r="D150" s="1317">
        <v>88.928719464023288</v>
      </c>
      <c r="E150" s="1317">
        <v>87.226756736416561</v>
      </c>
    </row>
    <row r="151" spans="1:5">
      <c r="A151" s="40" t="s">
        <v>21</v>
      </c>
      <c r="B151" s="1317">
        <v>70.843222554985616</v>
      </c>
      <c r="C151" s="1317">
        <v>105.51043854511089</v>
      </c>
      <c r="D151" s="1317">
        <v>92.183131708427794</v>
      </c>
      <c r="E151" s="1317">
        <v>89.822257123188322</v>
      </c>
    </row>
    <row r="152" spans="1:5">
      <c r="A152" s="40" t="s">
        <v>22</v>
      </c>
      <c r="B152" s="1317">
        <v>71.654834504688864</v>
      </c>
      <c r="C152" s="1317">
        <v>106.77957908003063</v>
      </c>
      <c r="D152" s="1317">
        <v>92.83962049241444</v>
      </c>
      <c r="E152" s="1317">
        <v>90.524605063968053</v>
      </c>
    </row>
    <row r="153" spans="1:5">
      <c r="A153" s="40" t="s">
        <v>23</v>
      </c>
      <c r="B153" s="1317">
        <v>71.287080198745031</v>
      </c>
      <c r="C153" s="1317">
        <v>105.8582476457124</v>
      </c>
      <c r="D153" s="1317">
        <v>91.724550951580895</v>
      </c>
      <c r="E153" s="1317">
        <v>89.110910607216283</v>
      </c>
    </row>
    <row r="154" spans="1:5">
      <c r="A154" s="40" t="s">
        <v>24</v>
      </c>
      <c r="B154" s="1317">
        <v>70.153992382983617</v>
      </c>
      <c r="C154" s="1317">
        <v>103.23176325287183</v>
      </c>
      <c r="D154" s="1317">
        <v>89.977237528949132</v>
      </c>
      <c r="E154" s="1317">
        <v>86.44816308819442</v>
      </c>
    </row>
    <row r="155" spans="1:5">
      <c r="A155" s="40" t="s">
        <v>25</v>
      </c>
      <c r="B155" s="1317">
        <v>67.55677668578241</v>
      </c>
      <c r="C155" s="1317">
        <v>99.783478735180239</v>
      </c>
      <c r="D155" s="1317">
        <v>87</v>
      </c>
      <c r="E155" s="1317">
        <v>83.98035502945541</v>
      </c>
    </row>
    <row r="156" spans="1:5">
      <c r="A156" s="40" t="s">
        <v>26</v>
      </c>
      <c r="B156" s="1317">
        <v>66.759106723651641</v>
      </c>
      <c r="C156" s="1317">
        <v>98.626527648451798</v>
      </c>
      <c r="D156" s="1317">
        <v>87.692910547364832</v>
      </c>
      <c r="E156" s="1317">
        <v>84.573048223050506</v>
      </c>
    </row>
    <row r="157" spans="1:5">
      <c r="A157" s="40" t="s">
        <v>27</v>
      </c>
      <c r="B157" s="1317">
        <v>68.839748731109353</v>
      </c>
      <c r="C157" s="1317">
        <v>100.50899526321939</v>
      </c>
      <c r="D157" s="1317">
        <v>91.202388827883752</v>
      </c>
      <c r="E157" s="1317">
        <v>86.808049621952136</v>
      </c>
    </row>
    <row r="158" spans="1:5">
      <c r="A158" s="40" t="s">
        <v>28</v>
      </c>
      <c r="B158" s="1317">
        <v>67.181088410062586</v>
      </c>
      <c r="C158" s="1317">
        <v>98.378077707345184</v>
      </c>
      <c r="D158" s="1317">
        <v>90.305412347700837</v>
      </c>
      <c r="E158" s="1317">
        <v>86.10100786193226</v>
      </c>
    </row>
    <row r="159" spans="1:5">
      <c r="A159" s="40" t="s">
        <v>29</v>
      </c>
      <c r="B159" s="1317">
        <v>66.293556981337389</v>
      </c>
      <c r="C159" s="1317">
        <v>96.32939815335574</v>
      </c>
      <c r="D159" s="1317">
        <v>91.286694268256099</v>
      </c>
      <c r="E159" s="1317">
        <v>86.31534359863943</v>
      </c>
    </row>
    <row r="160" spans="1:5">
      <c r="A160" s="40" t="s">
        <v>1915</v>
      </c>
      <c r="B160" s="1317"/>
      <c r="C160" s="1317"/>
      <c r="D160" s="1317"/>
      <c r="E160" s="1317"/>
    </row>
    <row r="161" spans="1:5">
      <c r="A161" s="40" t="s">
        <v>18</v>
      </c>
      <c r="B161" s="1317">
        <v>64.15821114736184</v>
      </c>
      <c r="C161" s="1317">
        <v>92.99906087229229</v>
      </c>
      <c r="D161" s="1317">
        <v>90.173361716642546</v>
      </c>
      <c r="E161" s="1317">
        <v>84.677912295315721</v>
      </c>
    </row>
    <row r="162" spans="1:5">
      <c r="A162" s="40" t="s">
        <v>19</v>
      </c>
      <c r="B162" s="1317">
        <v>64.611887042900349</v>
      </c>
      <c r="C162" s="1317">
        <v>93.481414959017187</v>
      </c>
      <c r="D162" s="1317">
        <v>91.877841348727486</v>
      </c>
      <c r="E162" s="1317">
        <v>86.139713314220572</v>
      </c>
    </row>
    <row r="163" spans="1:5">
      <c r="A163" s="40" t="s">
        <v>20</v>
      </c>
      <c r="B163" s="1317">
        <v>66.405437692565016</v>
      </c>
      <c r="C163" s="1317">
        <v>95.954759850478908</v>
      </c>
      <c r="D163" s="1317">
        <v>95.491070843088252</v>
      </c>
      <c r="E163" s="1317">
        <v>89.407385479836435</v>
      </c>
    </row>
    <row r="164" spans="1:5">
      <c r="A164" s="40" t="s">
        <v>21</v>
      </c>
      <c r="B164" s="1317">
        <v>66.699975285041788</v>
      </c>
      <c r="C164" s="1317">
        <v>96.229274530120662</v>
      </c>
      <c r="D164" s="1317">
        <v>95.626464930490201</v>
      </c>
      <c r="E164" s="1317">
        <v>89.343947989332392</v>
      </c>
    </row>
    <row r="165" spans="1:5">
      <c r="A165" s="40" t="s">
        <v>22</v>
      </c>
      <c r="B165" s="1317">
        <v>66</v>
      </c>
      <c r="C165" s="1317">
        <v>95.8</v>
      </c>
      <c r="D165" s="1317">
        <v>94.6</v>
      </c>
      <c r="E165" s="1317">
        <v>88.9</v>
      </c>
    </row>
    <row r="166" spans="1:5">
      <c r="A166" s="40" t="s">
        <v>23</v>
      </c>
      <c r="B166" s="1317">
        <v>65.664981260947755</v>
      </c>
      <c r="C166" s="1317">
        <v>95.515149290789722</v>
      </c>
      <c r="D166" s="1317">
        <v>93.138587280284995</v>
      </c>
      <c r="E166" s="1317">
        <v>87.536157894683271</v>
      </c>
    </row>
    <row r="167" spans="1:5">
      <c r="A167" s="40" t="s">
        <v>24</v>
      </c>
      <c r="B167" s="1317">
        <v>65.482513740176984</v>
      </c>
      <c r="C167" s="1317">
        <v>96.068358977538196</v>
      </c>
      <c r="D167" s="1317">
        <v>93.087199003490028</v>
      </c>
      <c r="E167" s="1317">
        <v>88.166834543095732</v>
      </c>
    </row>
    <row r="168" spans="1:5">
      <c r="A168" s="40" t="s">
        <v>25</v>
      </c>
      <c r="B168" s="1317">
        <v>64.892412426409351</v>
      </c>
      <c r="C168" s="1317">
        <v>95.337150623291194</v>
      </c>
      <c r="D168" s="1317">
        <v>92.242990606746503</v>
      </c>
      <c r="E168" s="1317">
        <v>87.624541208328907</v>
      </c>
    </row>
    <row r="169" spans="1:5">
      <c r="A169" s="40" t="s">
        <v>26</v>
      </c>
      <c r="B169" s="1317">
        <v>64.137324253006398</v>
      </c>
      <c r="C169" s="1317">
        <v>94.002527393918683</v>
      </c>
      <c r="D169" s="1317">
        <v>91.461730613429808</v>
      </c>
      <c r="E169" s="1317">
        <v>86.706783909485026</v>
      </c>
    </row>
    <row r="170" spans="1:5">
      <c r="A170" s="40" t="s">
        <v>27</v>
      </c>
      <c r="B170" s="1317">
        <v>65.262043310417582</v>
      </c>
      <c r="C170" s="1317">
        <v>95.683991615728686</v>
      </c>
      <c r="D170" s="1317">
        <v>93.599239096945098</v>
      </c>
      <c r="E170" s="1317">
        <v>88.667616599432392</v>
      </c>
    </row>
    <row r="171" spans="1:5">
      <c r="A171" s="40" t="s">
        <v>28</v>
      </c>
      <c r="B171" s="1317">
        <v>66.316990787547482</v>
      </c>
      <c r="C171" s="1317">
        <v>97.684081671665936</v>
      </c>
      <c r="D171" s="1317">
        <v>94.866620666860257</v>
      </c>
      <c r="E171" s="1317">
        <v>90.24414300194853</v>
      </c>
    </row>
    <row r="172" spans="1:5">
      <c r="A172" s="40" t="s">
        <v>29</v>
      </c>
      <c r="B172" s="1317">
        <v>65.916910305943404</v>
      </c>
      <c r="C172" s="1317">
        <v>97.292350001760425</v>
      </c>
      <c r="D172" s="1317">
        <v>94.259343783929708</v>
      </c>
      <c r="E172" s="1317">
        <v>89.815704031154723</v>
      </c>
    </row>
    <row r="173" spans="1:5">
      <c r="A173" s="40" t="s">
        <v>2051</v>
      </c>
      <c r="B173" s="1317"/>
      <c r="C173" s="1317"/>
      <c r="D173" s="1317"/>
      <c r="E173" s="1317"/>
    </row>
    <row r="174" spans="1:5">
      <c r="A174" s="40" t="s">
        <v>18</v>
      </c>
      <c r="B174" s="1317">
        <v>64.520349235782462</v>
      </c>
      <c r="C174" s="1317">
        <v>95.206581266447756</v>
      </c>
      <c r="D174" s="1317">
        <v>92.177070301986873</v>
      </c>
      <c r="E174" s="1317">
        <v>87.581646261652693</v>
      </c>
    </row>
    <row r="175" spans="1:5">
      <c r="A175" s="40" t="s">
        <v>19</v>
      </c>
      <c r="B175" s="1317">
        <v>64.091080158337405</v>
      </c>
      <c r="C175" s="1317">
        <v>94.766531627834212</v>
      </c>
      <c r="D175" s="1317">
        <v>91.337409060559537</v>
      </c>
      <c r="E175" s="1317">
        <v>86.874611954772902</v>
      </c>
    </row>
    <row r="176" spans="1:5">
      <c r="A176" s="40" t="s">
        <v>20</v>
      </c>
      <c r="B176" s="1317">
        <v>64.398488644068593</v>
      </c>
      <c r="C176" s="1317">
        <v>95.260894921301968</v>
      </c>
      <c r="D176" s="1317">
        <v>91.428826446230545</v>
      </c>
      <c r="E176" s="1317">
        <v>87.132096196303152</v>
      </c>
    </row>
    <row r="177" spans="1:5">
      <c r="A177" s="40" t="s">
        <v>21</v>
      </c>
      <c r="B177" s="1317">
        <v>65.407260287349033</v>
      </c>
      <c r="C177" s="1317">
        <v>97.498015558084305</v>
      </c>
      <c r="D177" s="1317">
        <v>92.200654177980027</v>
      </c>
      <c r="E177" s="1317">
        <v>88.488755846763212</v>
      </c>
    </row>
    <row r="178" spans="1:5">
      <c r="A178" s="40" t="s">
        <v>22</v>
      </c>
      <c r="B178" s="1317">
        <v>67.618230225689203</v>
      </c>
      <c r="C178" s="1317">
        <v>100.53111958524637</v>
      </c>
      <c r="D178" s="1317">
        <v>94.776453742610556</v>
      </c>
      <c r="E178" s="1317">
        <v>90.749795477563396</v>
      </c>
    </row>
    <row r="179" spans="1:5">
      <c r="A179" s="40" t="s">
        <v>23</v>
      </c>
      <c r="B179" s="1317">
        <v>68.60798473901788</v>
      </c>
      <c r="C179" s="1317">
        <v>102.02221543094221</v>
      </c>
      <c r="D179" s="1317">
        <v>94.98164543833019</v>
      </c>
      <c r="E179" s="1317">
        <v>90.855450407155715</v>
      </c>
    </row>
    <row r="180" spans="1:5">
      <c r="A180" s="40" t="s">
        <v>24</v>
      </c>
      <c r="B180" s="1317">
        <v>69.393243624273808</v>
      </c>
      <c r="C180" s="1317">
        <v>103.42415605449003</v>
      </c>
      <c r="D180" s="1317">
        <v>95.38948179767354</v>
      </c>
      <c r="E180" s="1317">
        <v>91.299147256168723</v>
      </c>
    </row>
    <row r="181" spans="1:5">
      <c r="A181" s="40" t="s">
        <v>25</v>
      </c>
      <c r="B181" s="1317">
        <v>72.753228353972915</v>
      </c>
      <c r="C181" s="1317">
        <v>109.59431076267211</v>
      </c>
      <c r="D181" s="1317">
        <v>100.2333417085119</v>
      </c>
      <c r="E181" s="1317">
        <v>96.945171080866984</v>
      </c>
    </row>
    <row r="182" spans="1:5">
      <c r="A182" s="40" t="s">
        <v>26</v>
      </c>
      <c r="B182" s="1317">
        <v>73.714920466064612</v>
      </c>
      <c r="C182" s="1317">
        <v>112.06419756318492</v>
      </c>
      <c r="D182" s="1317">
        <v>100.33033594008577</v>
      </c>
      <c r="E182" s="1317">
        <v>97.682755028922529</v>
      </c>
    </row>
    <row r="183" spans="1:5">
      <c r="A183" s="40" t="s">
        <v>27</v>
      </c>
      <c r="B183" s="1317">
        <v>73.126891998202922</v>
      </c>
      <c r="C183" s="1317">
        <v>110.17830329397664</v>
      </c>
      <c r="D183" s="1317">
        <v>98.898207676349742</v>
      </c>
      <c r="E183" s="1317">
        <v>95.280591105855834</v>
      </c>
    </row>
    <row r="184" spans="1:5">
      <c r="A184" s="40" t="s">
        <v>28</v>
      </c>
      <c r="B184" s="1317">
        <v>72.595167326312762</v>
      </c>
      <c r="C184" s="1317">
        <v>108.88270804573811</v>
      </c>
      <c r="D184" s="1317">
        <v>98.864685226407801</v>
      </c>
      <c r="E184" s="1317">
        <v>94.770240765665108</v>
      </c>
    </row>
    <row r="185" spans="1:5">
      <c r="A185" s="40" t="s">
        <v>29</v>
      </c>
      <c r="B185" s="1317">
        <v>72.556445053831936</v>
      </c>
      <c r="C185" s="1317">
        <v>108.90472689526757</v>
      </c>
      <c r="D185" s="1317">
        <v>99.580624400788707</v>
      </c>
      <c r="E185" s="1317">
        <v>95.378631606892981</v>
      </c>
    </row>
    <row r="186" spans="1:5">
      <c r="A186" s="40" t="s">
        <v>2144</v>
      </c>
      <c r="B186" s="1317"/>
      <c r="C186" s="1317"/>
      <c r="D186" s="1317"/>
      <c r="E186" s="1317"/>
    </row>
    <row r="187" spans="1:5">
      <c r="A187" s="40" t="s">
        <v>18</v>
      </c>
      <c r="B187" s="1318">
        <v>72.373847308812799</v>
      </c>
      <c r="C187" s="1317">
        <v>108.73355003050384</v>
      </c>
      <c r="D187" s="1317">
        <v>99.545782759756875</v>
      </c>
      <c r="E187" s="1317">
        <v>95.02240780447994</v>
      </c>
    </row>
    <row r="188" spans="1:5">
      <c r="A188" s="40" t="s">
        <v>19</v>
      </c>
      <c r="B188" s="1318">
        <v>72.039831922177925</v>
      </c>
      <c r="C188" s="1317">
        <v>107.82922723913136</v>
      </c>
      <c r="D188" s="1317">
        <v>99.254205603875221</v>
      </c>
      <c r="E188" s="1317">
        <v>94.328216551131604</v>
      </c>
    </row>
    <row r="189" spans="1:5">
      <c r="A189" s="40" t="s">
        <v>20</v>
      </c>
      <c r="B189" s="1318">
        <v>72.406654488516253</v>
      </c>
      <c r="C189" s="1317">
        <v>108.24404166006452</v>
      </c>
      <c r="D189" s="1317">
        <v>99.555132487881195</v>
      </c>
      <c r="E189" s="1317">
        <v>94.659038655386297</v>
      </c>
    </row>
    <row r="190" spans="1:5">
      <c r="A190" s="40" t="s">
        <v>21</v>
      </c>
      <c r="B190" s="1318">
        <v>73.272179051176778</v>
      </c>
      <c r="C190" s="1317">
        <v>109.42321137590775</v>
      </c>
      <c r="D190" s="1317">
        <v>100.34572626223851</v>
      </c>
      <c r="E190" s="1317">
        <v>95.373107984965543</v>
      </c>
    </row>
    <row r="191" spans="1:5">
      <c r="A191" s="40" t="s">
        <v>22</v>
      </c>
      <c r="B191" s="1318">
        <v>74.156051436136508</v>
      </c>
      <c r="C191" s="1317">
        <v>110.97641089600958</v>
      </c>
      <c r="D191" s="1317">
        <v>100.68596606113775</v>
      </c>
      <c r="E191" s="1317">
        <v>95.871890069372952</v>
      </c>
    </row>
    <row r="192" spans="1:5">
      <c r="A192" s="40" t="s">
        <v>23</v>
      </c>
      <c r="B192" s="1318">
        <v>73.356889336239036</v>
      </c>
      <c r="C192" s="1317">
        <v>109.63041477787823</v>
      </c>
      <c r="D192" s="1317">
        <v>99.126898423056431</v>
      </c>
      <c r="E192" s="1317">
        <v>94.273829162210589</v>
      </c>
    </row>
    <row r="193" spans="1:5">
      <c r="A193" s="40" t="s">
        <v>24</v>
      </c>
      <c r="B193" s="1318">
        <v>73.016319657572808</v>
      </c>
      <c r="C193" s="1317">
        <v>108.72636194864469</v>
      </c>
      <c r="D193" s="1317">
        <v>98.606639807467587</v>
      </c>
      <c r="E193" s="1317">
        <v>93.282824813129494</v>
      </c>
    </row>
    <row r="194" spans="1:5">
      <c r="A194" s="40" t="s">
        <v>25</v>
      </c>
      <c r="B194" s="1318">
        <v>73.62899384184729</v>
      </c>
      <c r="C194" s="1317">
        <v>109.99024312209032</v>
      </c>
      <c r="D194" s="1317">
        <v>98.871781862307259</v>
      </c>
      <c r="E194" s="1317">
        <v>93.834977130692948</v>
      </c>
    </row>
    <row r="195" spans="1:5">
      <c r="A195" s="40" t="s">
        <v>26</v>
      </c>
      <c r="B195" s="1318">
        <v>74.043557629454739</v>
      </c>
      <c r="C195" s="1317">
        <v>110.38273435701771</v>
      </c>
      <c r="D195" s="1317">
        <v>99.410936522941938</v>
      </c>
      <c r="E195" s="1317">
        <v>94.128792163962686</v>
      </c>
    </row>
    <row r="196" spans="1:5">
      <c r="A196" s="40" t="s">
        <v>27</v>
      </c>
      <c r="B196" s="1318">
        <v>73.97508534770013</v>
      </c>
      <c r="C196" s="1317">
        <v>110.28126363808715</v>
      </c>
      <c r="D196" s="1317">
        <v>99.164556140148193</v>
      </c>
      <c r="E196" s="1317">
        <v>93.823727225084397</v>
      </c>
    </row>
    <row r="197" spans="1:5">
      <c r="A197" s="40" t="s">
        <v>28</v>
      </c>
      <c r="B197" s="1318">
        <v>73.615583355642272</v>
      </c>
      <c r="C197" s="1317">
        <v>109.61109874000789</v>
      </c>
      <c r="D197" s="1317">
        <v>99.096090879740643</v>
      </c>
      <c r="E197" s="1317">
        <v>93.514470450479863</v>
      </c>
    </row>
    <row r="198" spans="1:5">
      <c r="A198" s="40" t="s">
        <v>29</v>
      </c>
      <c r="B198" s="1318">
        <v>73.418800101753476</v>
      </c>
      <c r="C198" s="1317">
        <v>109.29691710373346</v>
      </c>
      <c r="D198" s="1317">
        <v>98.982290195602815</v>
      </c>
      <c r="E198" s="1317">
        <v>93.377205381870766</v>
      </c>
    </row>
    <row r="199" spans="1:5">
      <c r="A199" s="40" t="s">
        <v>2375</v>
      </c>
      <c r="B199" s="1318"/>
      <c r="C199" s="1317"/>
      <c r="D199" s="1317"/>
      <c r="E199" s="1317"/>
    </row>
    <row r="200" spans="1:5">
      <c r="A200" s="40" t="s">
        <v>18</v>
      </c>
      <c r="B200" s="1318">
        <v>73.405790003903164</v>
      </c>
      <c r="C200" s="1317">
        <v>108.96615897506815</v>
      </c>
      <c r="D200" s="1317">
        <v>99.590332072384669</v>
      </c>
      <c r="E200" s="1317">
        <v>93.278073352533923</v>
      </c>
    </row>
    <row r="201" spans="1:5">
      <c r="A201" s="40" t="s">
        <v>19</v>
      </c>
      <c r="B201" s="1318">
        <v>74.611428394774222</v>
      </c>
      <c r="C201" s="1317">
        <v>110.987914963799</v>
      </c>
      <c r="D201" s="1317">
        <v>101.68197795185604</v>
      </c>
      <c r="E201" s="1317">
        <v>95.371051488441736</v>
      </c>
    </row>
    <row r="202" spans="1:5">
      <c r="A202" s="40" t="s">
        <v>20</v>
      </c>
      <c r="B202" s="1318">
        <v>76.562010847145771</v>
      </c>
      <c r="C202" s="1317">
        <v>115.93734585115818</v>
      </c>
      <c r="D202" s="1317">
        <v>104.9282712486041</v>
      </c>
      <c r="E202" s="1317">
        <v>100.30632692621839</v>
      </c>
    </row>
    <row r="203" spans="1:5">
      <c r="A203" s="40" t="s">
        <v>21</v>
      </c>
      <c r="B203" s="1318">
        <v>78.58524749013911</v>
      </c>
      <c r="C203" s="1317">
        <v>118.8690841339259</v>
      </c>
      <c r="D203" s="1317">
        <v>107.43414879552761</v>
      </c>
      <c r="E203" s="1317">
        <v>102.66366951624859</v>
      </c>
    </row>
    <row r="204" spans="1:5">
      <c r="A204" s="40" t="s">
        <v>22</v>
      </c>
      <c r="B204" s="1318">
        <v>78.363553362612464</v>
      </c>
      <c r="C204" s="1317">
        <v>118.25711637724045</v>
      </c>
      <c r="D204" s="1317">
        <v>106.29880229350726</v>
      </c>
      <c r="E204" s="1317">
        <v>101.34060121841881</v>
      </c>
    </row>
    <row r="205" spans="1:5">
      <c r="A205" s="40" t="s">
        <v>23</v>
      </c>
      <c r="B205" s="1318">
        <v>76.335999630180581</v>
      </c>
      <c r="C205" s="1317">
        <v>115.51626765379694</v>
      </c>
      <c r="D205" s="1317">
        <v>102.8075692103565</v>
      </c>
      <c r="E205" s="1317">
        <v>98.29797988784189</v>
      </c>
    </row>
    <row r="206" spans="1:5">
      <c r="A206" s="40" t="s">
        <v>24</v>
      </c>
      <c r="B206" s="1318">
        <v>76.191194979084173</v>
      </c>
      <c r="C206" s="1317">
        <v>115.79063798865717</v>
      </c>
      <c r="D206" s="1317">
        <v>102.07509090412221</v>
      </c>
      <c r="E206" s="1317">
        <v>97.914334296022133</v>
      </c>
    </row>
    <row r="207" spans="1:5">
      <c r="A207" s="40" t="s">
        <v>25</v>
      </c>
      <c r="B207" s="1318">
        <v>75.986208301409746</v>
      </c>
      <c r="C207" s="1317">
        <v>116.42371624358678</v>
      </c>
      <c r="D207" s="1317">
        <v>101.5324804887392</v>
      </c>
      <c r="E207" s="1317">
        <v>98.061697554230491</v>
      </c>
    </row>
    <row r="208" spans="1:5">
      <c r="A208" s="40" t="s">
        <v>26</v>
      </c>
      <c r="B208" s="1317">
        <v>76.909550966366254</v>
      </c>
      <c r="C208" s="1317">
        <v>117.97680826037106</v>
      </c>
      <c r="D208" s="1317">
        <v>102.54502246203045</v>
      </c>
      <c r="E208" s="1317">
        <v>99.140989716085897</v>
      </c>
    </row>
    <row r="209" spans="1:9">
      <c r="A209" s="40" t="s">
        <v>27</v>
      </c>
      <c r="B209" s="1317">
        <v>77.853554381174277</v>
      </c>
      <c r="C209" s="1317">
        <v>119.44650950256229</v>
      </c>
      <c r="D209" s="1317">
        <v>103.09272461502393</v>
      </c>
      <c r="E209" s="1317">
        <v>99.853242977449014</v>
      </c>
    </row>
    <row r="210" spans="1:9">
      <c r="A210" s="440" t="s">
        <v>28</v>
      </c>
      <c r="B210" s="1317">
        <v>77.552670877761344</v>
      </c>
      <c r="C210" s="1317">
        <v>118.92007968094401</v>
      </c>
      <c r="D210" s="1317">
        <v>102.70392206298102</v>
      </c>
      <c r="E210" s="1317">
        <v>99.310878371464753</v>
      </c>
    </row>
    <row r="211" spans="1:9">
      <c r="A211" s="440" t="s">
        <v>29</v>
      </c>
      <c r="B211" s="1317">
        <v>75.5998849811225</v>
      </c>
      <c r="C211" s="1317">
        <v>116.15970457603315</v>
      </c>
      <c r="D211" s="1317">
        <v>100.34383835439583</v>
      </c>
      <c r="E211" s="1317">
        <v>97.149568232456915</v>
      </c>
    </row>
    <row r="212" spans="1:9">
      <c r="A212" s="440" t="s">
        <v>2537</v>
      </c>
      <c r="B212" s="1317"/>
      <c r="C212" s="1317"/>
      <c r="D212" s="1317"/>
      <c r="E212" s="1317"/>
    </row>
    <row r="213" spans="1:9">
      <c r="A213" s="440" t="s">
        <v>18</v>
      </c>
      <c r="B213" s="1317">
        <v>74.928368030901524</v>
      </c>
      <c r="C213" s="1317">
        <v>115.21250503778602</v>
      </c>
      <c r="D213" s="1317">
        <v>99.932567282289725</v>
      </c>
      <c r="E213" s="1317">
        <v>96.770825142705746</v>
      </c>
      <c r="G213" s="1319"/>
    </row>
    <row r="214" spans="1:9">
      <c r="A214" s="440" t="s">
        <v>19</v>
      </c>
      <c r="B214" s="1317">
        <v>74.682259630522452</v>
      </c>
      <c r="C214" s="1317">
        <v>114.77334369907574</v>
      </c>
      <c r="D214" s="1317">
        <v>100.62529985229386</v>
      </c>
      <c r="E214" s="1317">
        <v>97.336181780432938</v>
      </c>
      <c r="G214" s="1319"/>
    </row>
    <row r="215" spans="1:9">
      <c r="A215" s="440" t="s">
        <v>20</v>
      </c>
      <c r="B215" s="1317">
        <v>75.914376619713437</v>
      </c>
      <c r="C215" s="1317">
        <v>116.48410716760374</v>
      </c>
      <c r="D215" s="1317">
        <v>102.19690597086374</v>
      </c>
      <c r="E215" s="1317">
        <v>98.905558457886343</v>
      </c>
      <c r="G215" s="1319"/>
    </row>
    <row r="216" spans="1:9">
      <c r="A216" s="440" t="s">
        <v>21</v>
      </c>
      <c r="B216" s="1317">
        <v>77.599999999999994</v>
      </c>
      <c r="C216" s="1317">
        <v>119.22981914055144</v>
      </c>
      <c r="D216" s="1317">
        <v>103.95511128306929</v>
      </c>
      <c r="E216" s="1317">
        <v>100.81608530226308</v>
      </c>
      <c r="G216" s="1319"/>
    </row>
    <row r="217" spans="1:9">
      <c r="A217" s="440" t="s">
        <v>22</v>
      </c>
      <c r="B217" s="1317">
        <v>76.816672486907351</v>
      </c>
      <c r="C217" s="1317">
        <v>117.94421404400231</v>
      </c>
      <c r="D217" s="1317">
        <v>102.44686091569032</v>
      </c>
      <c r="E217" s="1317">
        <v>99.226812067627648</v>
      </c>
      <c r="G217" s="1319"/>
    </row>
    <row r="218" spans="1:9">
      <c r="A218" s="440" t="s">
        <v>23</v>
      </c>
      <c r="B218" s="1317">
        <v>76.976254992774855</v>
      </c>
      <c r="C218" s="1317">
        <v>118.1269039268594</v>
      </c>
      <c r="D218" s="1317">
        <v>101.47993982256092</v>
      </c>
      <c r="E218" s="1317">
        <v>98.210267437279484</v>
      </c>
      <c r="G218" s="1319"/>
    </row>
    <row r="219" spans="1:9">
      <c r="A219" s="440" t="s">
        <v>24</v>
      </c>
      <c r="B219" s="1317">
        <v>77.662471993032639</v>
      </c>
      <c r="C219" s="1317">
        <v>119.21714391882186</v>
      </c>
      <c r="D219" s="1317">
        <v>102.70676274128409</v>
      </c>
      <c r="E219" s="1317">
        <v>99.40769355815037</v>
      </c>
      <c r="G219" s="1319"/>
    </row>
    <row r="220" spans="1:9">
      <c r="A220" s="440" t="s">
        <v>25</v>
      </c>
      <c r="B220" s="1317">
        <v>77.444931136299374</v>
      </c>
      <c r="C220" s="1317">
        <v>118.82319389230082</v>
      </c>
      <c r="D220" s="1317">
        <v>102.39280585716307</v>
      </c>
      <c r="E220" s="1317">
        <v>99.079101896060635</v>
      </c>
      <c r="G220" s="1319"/>
    </row>
    <row r="221" spans="1:9">
      <c r="A221" s="440" t="s">
        <v>26</v>
      </c>
      <c r="B221" s="1317">
        <v>77.363613766624795</v>
      </c>
      <c r="C221" s="1317">
        <v>118.59671775881935</v>
      </c>
      <c r="D221" s="1317">
        <v>103.4489988202567</v>
      </c>
      <c r="E221" s="1317">
        <v>99.978130615854127</v>
      </c>
      <c r="G221" s="1319"/>
    </row>
    <row r="222" spans="1:9">
      <c r="A222" s="1320" t="s">
        <v>27</v>
      </c>
      <c r="B222" s="1317">
        <v>78.626095312939213</v>
      </c>
      <c r="C222" s="1317">
        <v>119.93283624212407</v>
      </c>
      <c r="D222" s="1317">
        <v>105.50431315367858</v>
      </c>
      <c r="E222" s="1317">
        <v>101.43927595742862</v>
      </c>
      <c r="G222" s="1319"/>
    </row>
    <row r="223" spans="1:9">
      <c r="A223" s="1320" t="s">
        <v>28</v>
      </c>
      <c r="B223" s="1317">
        <v>81.342673840519012</v>
      </c>
      <c r="C223" s="1317">
        <v>124.04370007572032</v>
      </c>
      <c r="D223" s="1317">
        <v>109.48995259804423</v>
      </c>
      <c r="E223" s="1317">
        <v>105.18485351019797</v>
      </c>
      <c r="G223" s="1319"/>
    </row>
    <row r="224" spans="1:9">
      <c r="A224" s="1320" t="s">
        <v>29</v>
      </c>
      <c r="B224" s="1317">
        <v>85.427350455303653</v>
      </c>
      <c r="C224" s="1317">
        <v>130.26472362339197</v>
      </c>
      <c r="D224" s="1317">
        <v>113.62061243160647</v>
      </c>
      <c r="E224" s="1317">
        <v>109.17187687172401</v>
      </c>
      <c r="G224" s="1319"/>
      <c r="I224" s="1321"/>
    </row>
    <row r="225" spans="1:13">
      <c r="A225" s="1320" t="s">
        <v>2827</v>
      </c>
      <c r="B225" s="1317"/>
      <c r="C225" s="1317"/>
      <c r="D225" s="1317"/>
      <c r="E225" s="1317"/>
      <c r="G225" s="1319"/>
    </row>
    <row r="226" spans="1:13">
      <c r="A226" s="1320" t="s">
        <v>18</v>
      </c>
      <c r="B226" s="1317">
        <v>85.97586331349126</v>
      </c>
      <c r="C226" s="1317">
        <v>131.69321063696682</v>
      </c>
      <c r="D226" s="1317">
        <v>113.33620553086236</v>
      </c>
      <c r="E226" s="1317">
        <v>109.35381882438774</v>
      </c>
      <c r="F226" s="1319"/>
      <c r="G226" s="1322"/>
      <c r="H226" s="1319"/>
      <c r="I226" s="1319"/>
      <c r="K226" s="1319"/>
      <c r="L226" s="1319"/>
      <c r="M226" s="1319"/>
    </row>
    <row r="227" spans="1:13">
      <c r="A227" s="1320" t="s">
        <v>19</v>
      </c>
      <c r="B227" s="1317">
        <v>86.392691834118239</v>
      </c>
      <c r="C227" s="1317">
        <v>132.780425814686</v>
      </c>
      <c r="D227" s="1317">
        <v>113.25405846390015</v>
      </c>
      <c r="E227" s="1317">
        <v>109.61952964601005</v>
      </c>
      <c r="F227" s="1319"/>
      <c r="G227" s="1322"/>
      <c r="H227" s="1319"/>
      <c r="I227" s="1319"/>
      <c r="K227" s="1319"/>
      <c r="L227" s="1319"/>
      <c r="M227" s="1319"/>
    </row>
    <row r="228" spans="1:13">
      <c r="A228" s="1320" t="s">
        <v>20</v>
      </c>
      <c r="B228" s="1317">
        <v>93.191096348599345</v>
      </c>
      <c r="C228" s="1317">
        <v>147.50403011382303</v>
      </c>
      <c r="D228" s="1317">
        <v>119.53259074678007</v>
      </c>
      <c r="E228" s="1317">
        <v>118.63489369174503</v>
      </c>
      <c r="F228" s="1319"/>
      <c r="G228" s="1322"/>
      <c r="H228" s="1319"/>
      <c r="I228" s="1319"/>
      <c r="K228" s="1319"/>
      <c r="L228" s="1319"/>
      <c r="M228" s="1319"/>
    </row>
    <row r="229" spans="1:13">
      <c r="A229" s="1320" t="s">
        <v>21</v>
      </c>
      <c r="B229" s="1317">
        <v>91.232259830363915</v>
      </c>
      <c r="C229" s="1317">
        <v>137.8022093301818</v>
      </c>
      <c r="D229" s="1317">
        <v>115.86811131489486</v>
      </c>
      <c r="E229" s="1317">
        <v>109.3301237842667</v>
      </c>
      <c r="F229" s="1319"/>
      <c r="G229" s="1322"/>
      <c r="H229" s="1319"/>
      <c r="I229" s="1319"/>
      <c r="K229" s="1319"/>
      <c r="L229" s="1319"/>
      <c r="M229" s="1319"/>
    </row>
    <row r="230" spans="1:13">
      <c r="A230" s="1320" t="s">
        <v>22</v>
      </c>
      <c r="B230" s="1317">
        <v>91.569680933678427</v>
      </c>
      <c r="C230" s="1317">
        <v>133.88662095178995</v>
      </c>
      <c r="D230" s="1317">
        <v>115.76240737527185</v>
      </c>
      <c r="E230" s="1317">
        <v>105.79172873550102</v>
      </c>
      <c r="F230" s="1319"/>
      <c r="G230" s="1322"/>
      <c r="H230" s="1319"/>
      <c r="I230" s="1319"/>
      <c r="K230" s="1319"/>
      <c r="L230" s="1319"/>
      <c r="M230" s="1319"/>
    </row>
    <row r="231" spans="1:13">
      <c r="A231" s="1320" t="s">
        <v>23</v>
      </c>
      <c r="B231" s="1317">
        <v>91.875744476041291</v>
      </c>
      <c r="C231" s="1317">
        <v>132.72033434021603</v>
      </c>
      <c r="D231" s="1317">
        <v>114.26714109751161</v>
      </c>
      <c r="E231" s="1317">
        <v>102.98934790785195</v>
      </c>
      <c r="F231" s="1319"/>
      <c r="G231" s="1322"/>
      <c r="H231" s="1319"/>
      <c r="I231" s="1319"/>
      <c r="K231" s="1319"/>
      <c r="L231" s="1319"/>
      <c r="M231" s="1319"/>
    </row>
    <row r="232" spans="1:13">
      <c r="A232" s="1320" t="s">
        <v>24</v>
      </c>
      <c r="B232" s="1317">
        <v>94.35643314194904</v>
      </c>
      <c r="C232" s="1317">
        <v>135.54157557736883</v>
      </c>
      <c r="D232" s="1317">
        <v>117.16688870505256</v>
      </c>
      <c r="E232" s="1317">
        <v>104.92096686827043</v>
      </c>
      <c r="F232" s="1319"/>
      <c r="G232" s="1322"/>
      <c r="H232" s="1319"/>
      <c r="I232" s="1319"/>
      <c r="K232" s="1319"/>
      <c r="L232" s="1319"/>
      <c r="M232" s="1319"/>
    </row>
    <row r="233" spans="1:13">
      <c r="A233" s="1320" t="s">
        <v>25</v>
      </c>
      <c r="B233" s="1317">
        <v>95.617046092659109</v>
      </c>
      <c r="C233" s="1317">
        <v>138.26196730393767</v>
      </c>
      <c r="D233" s="1317">
        <v>119.09116462267188</v>
      </c>
      <c r="E233" s="1317">
        <v>107.51509422856428</v>
      </c>
      <c r="F233" s="1319"/>
      <c r="G233" s="1322"/>
      <c r="H233" s="1319"/>
      <c r="I233" s="1319"/>
      <c r="K233" s="1319"/>
      <c r="L233" s="1319"/>
      <c r="M233" s="1319"/>
    </row>
    <row r="234" spans="1:13">
      <c r="A234" s="1320" t="s">
        <v>26</v>
      </c>
      <c r="B234" s="1317">
        <v>97.418262330725327</v>
      </c>
      <c r="C234" s="1317">
        <v>140.07397379632556</v>
      </c>
      <c r="D234" s="1317">
        <v>123.56217832842516</v>
      </c>
      <c r="E234" s="1317">
        <v>111.05722762620766</v>
      </c>
      <c r="F234" s="1319"/>
      <c r="G234" s="1322"/>
      <c r="H234" s="1319"/>
      <c r="I234" s="1319"/>
      <c r="K234" s="1319"/>
      <c r="L234" s="1319"/>
      <c r="M234" s="1319"/>
    </row>
    <row r="235" spans="1:13">
      <c r="A235" s="1320" t="s">
        <v>27</v>
      </c>
      <c r="B235" s="1317">
        <v>98.61720537895475</v>
      </c>
      <c r="C235" s="1317">
        <v>142.28817622028564</v>
      </c>
      <c r="D235" s="1317">
        <v>125.25289781485489</v>
      </c>
      <c r="E235" s="1317">
        <v>113.13310638714475</v>
      </c>
      <c r="F235" s="1319"/>
      <c r="G235" s="1322"/>
      <c r="H235" s="1319"/>
      <c r="I235" s="1319"/>
      <c r="K235" s="1319"/>
      <c r="L235" s="1319"/>
      <c r="M235" s="1319"/>
    </row>
    <row r="236" spans="1:13">
      <c r="A236" s="1320" t="s">
        <v>28</v>
      </c>
      <c r="B236" s="1317">
        <v>96.561957074026154</v>
      </c>
      <c r="C236" s="1317">
        <v>140.58361811227141</v>
      </c>
      <c r="D236" s="1317">
        <v>123.17841291974055</v>
      </c>
      <c r="E236" s="1317">
        <v>112.08343225249077</v>
      </c>
      <c r="F236" s="1319"/>
      <c r="G236" s="1322"/>
      <c r="H236" s="1319"/>
      <c r="I236" s="1319"/>
      <c r="K236" s="1319"/>
      <c r="L236" s="1319"/>
      <c r="M236" s="1319"/>
    </row>
    <row r="237" spans="1:13">
      <c r="A237" s="1320" t="s">
        <v>29</v>
      </c>
      <c r="B237" s="1317">
        <v>95.211331351964589</v>
      </c>
      <c r="C237" s="1317">
        <v>141.19185287656876</v>
      </c>
      <c r="D237" s="1317">
        <v>122.3095839083818</v>
      </c>
      <c r="E237" s="1317">
        <v>113.08499808185351</v>
      </c>
      <c r="F237" s="1319"/>
      <c r="G237" s="1322"/>
      <c r="H237" s="1319"/>
      <c r="I237" s="1319"/>
      <c r="K237" s="1319"/>
      <c r="L237" s="1319"/>
      <c r="M237" s="1319"/>
    </row>
    <row r="238" spans="1:13">
      <c r="A238" s="1320" t="s">
        <v>3518</v>
      </c>
      <c r="B238" s="1317"/>
      <c r="C238" s="1317"/>
      <c r="D238" s="1317"/>
      <c r="E238" s="1317"/>
      <c r="F238" s="1319"/>
      <c r="G238" s="1322"/>
      <c r="H238" s="1319"/>
      <c r="I238" s="1319"/>
      <c r="K238" s="1319"/>
      <c r="L238" s="1319"/>
      <c r="M238" s="1319"/>
    </row>
    <row r="239" spans="1:13">
      <c r="A239" s="1320" t="s">
        <v>18</v>
      </c>
      <c r="B239" s="1317">
        <v>94.930165399092644</v>
      </c>
      <c r="C239" s="1317">
        <v>142.42056132739199</v>
      </c>
      <c r="D239" s="1317">
        <v>121.41964411202244</v>
      </c>
      <c r="E239" s="1317">
        <v>112.9842177228207</v>
      </c>
      <c r="F239" s="1319"/>
      <c r="G239" s="1322"/>
      <c r="H239" s="1319"/>
      <c r="I239" s="1319"/>
      <c r="K239" s="1319"/>
      <c r="L239" s="1319"/>
      <c r="M239" s="1319"/>
    </row>
    <row r="240" spans="1:13">
      <c r="A240" s="1320" t="s">
        <v>19</v>
      </c>
      <c r="B240" s="1317">
        <v>95.77602700389447</v>
      </c>
      <c r="C240" s="1317">
        <v>144.32698210705402</v>
      </c>
      <c r="D240" s="1317">
        <v>123.03418891165592</v>
      </c>
      <c r="E240" s="1317">
        <v>114.99442959166093</v>
      </c>
      <c r="F240" s="1319"/>
      <c r="G240" s="1322"/>
      <c r="H240" s="1319"/>
      <c r="I240" s="1319"/>
      <c r="K240" s="1319"/>
      <c r="L240" s="1319"/>
      <c r="M240" s="1319"/>
    </row>
    <row r="241" spans="1:13">
      <c r="A241" s="1320" t="s">
        <v>20</v>
      </c>
      <c r="B241" s="1317">
        <v>96.503262387587981</v>
      </c>
      <c r="C241" s="1317">
        <v>146.12460573106344</v>
      </c>
      <c r="D241" s="1317">
        <v>123.66006102888815</v>
      </c>
      <c r="E241" s="1317">
        <v>116.14417051653243</v>
      </c>
      <c r="F241" s="1319"/>
      <c r="G241" s="1322"/>
      <c r="H241" s="1319"/>
      <c r="I241" s="1319"/>
      <c r="K241" s="1319"/>
      <c r="L241" s="1319"/>
      <c r="M241" s="1319"/>
    </row>
    <row r="242" spans="1:13">
      <c r="A242" s="1320" t="s">
        <v>21</v>
      </c>
      <c r="B242" s="1317">
        <v>95.523477442910291</v>
      </c>
      <c r="C242" s="1317">
        <v>147.96689745384222</v>
      </c>
      <c r="D242" s="1317">
        <v>121.83340177241438</v>
      </c>
      <c r="E242" s="1317">
        <v>116.95443952107175</v>
      </c>
      <c r="F242" s="1319"/>
      <c r="G242" s="1322"/>
      <c r="H242" s="1319"/>
      <c r="I242" s="1319"/>
      <c r="K242" s="1319"/>
      <c r="L242" s="1319"/>
      <c r="M242" s="1319"/>
    </row>
    <row r="243" spans="1:13">
      <c r="A243" s="1320" t="s">
        <v>22</v>
      </c>
      <c r="B243" s="1317">
        <v>96.129488700663373</v>
      </c>
      <c r="C243" s="1317">
        <v>148.43257208834515</v>
      </c>
      <c r="D243" s="1317">
        <v>122.02968670249875</v>
      </c>
      <c r="E243" s="1317">
        <v>116.62989178281487</v>
      </c>
      <c r="F243" s="1319"/>
      <c r="G243" s="1322"/>
      <c r="H243" s="1319"/>
      <c r="I243" s="1319"/>
      <c r="K243" s="1319"/>
      <c r="L243" s="1319"/>
      <c r="M243" s="1319"/>
    </row>
    <row r="244" spans="1:13">
      <c r="A244" s="1320" t="s">
        <v>23</v>
      </c>
      <c r="B244" s="1317">
        <v>98.720135652933379</v>
      </c>
      <c r="C244" s="1317">
        <v>155.71180858767138</v>
      </c>
      <c r="D244" s="1317">
        <v>123.32500803880106</v>
      </c>
      <c r="E244" s="1317">
        <v>119.99872586711595</v>
      </c>
      <c r="F244" s="1319"/>
      <c r="G244" s="1322"/>
      <c r="H244" s="1319"/>
      <c r="I244" s="1319"/>
      <c r="K244" s="1319"/>
      <c r="L244" s="1319"/>
      <c r="M244" s="1319"/>
    </row>
    <row r="245" spans="1:13">
      <c r="A245" s="1320" t="s">
        <v>24</v>
      </c>
      <c r="B245" s="1317">
        <v>99.758350683758621</v>
      </c>
      <c r="C245" s="1317">
        <v>162.95151103322115</v>
      </c>
      <c r="D245" s="1317">
        <v>122.41352185756898</v>
      </c>
      <c r="E245" s="1317">
        <v>122.0460432433424</v>
      </c>
      <c r="F245" s="1319"/>
      <c r="G245" s="1322"/>
      <c r="H245" s="1319"/>
      <c r="I245" s="1319"/>
      <c r="K245" s="1319"/>
      <c r="L245" s="1319"/>
      <c r="M245" s="1319"/>
    </row>
    <row r="246" spans="1:13">
      <c r="A246" s="1320" t="s">
        <v>25</v>
      </c>
      <c r="B246" s="1317">
        <v>101.39212154213185</v>
      </c>
      <c r="C246" s="1317">
        <v>166.56423722318573</v>
      </c>
      <c r="D246" s="1317">
        <v>122.04384819079458</v>
      </c>
      <c r="E246" s="1317">
        <v>121.54792951348455</v>
      </c>
      <c r="F246" s="1319"/>
      <c r="G246" s="1322"/>
      <c r="H246" s="1319"/>
      <c r="I246" s="1319"/>
      <c r="K246" s="1319"/>
      <c r="L246" s="1319"/>
      <c r="M246" s="1319"/>
    </row>
    <row r="247" spans="1:13">
      <c r="A247" s="1320" t="s">
        <v>26</v>
      </c>
      <c r="B247" s="1317">
        <v>103.06842751608531</v>
      </c>
      <c r="C247" s="1317">
        <v>168.45744021491498</v>
      </c>
      <c r="D247" s="1317">
        <v>123.34741945594483</v>
      </c>
      <c r="E247" s="1317">
        <v>121.55104079178741</v>
      </c>
      <c r="F247" s="1319"/>
      <c r="G247" s="1322"/>
      <c r="H247" s="1319"/>
      <c r="I247" s="1319"/>
      <c r="K247" s="1319"/>
      <c r="L247" s="1319"/>
      <c r="M247" s="1319"/>
    </row>
    <row r="248" spans="1:13">
      <c r="A248" s="1320" t="s">
        <v>27</v>
      </c>
      <c r="B248" s="1770">
        <v>104.75431181497537</v>
      </c>
      <c r="C248" s="1770">
        <v>171.67756211310433</v>
      </c>
      <c r="D248" s="1770">
        <v>125.10929435325129</v>
      </c>
      <c r="E248" s="1770">
        <v>123.02006313649019</v>
      </c>
      <c r="F248" s="1319"/>
      <c r="G248" s="1322"/>
      <c r="H248" s="1319"/>
      <c r="I248" s="1319"/>
      <c r="K248" s="1319"/>
      <c r="L248" s="1319"/>
      <c r="M248" s="1319"/>
    </row>
    <row r="249" spans="1:13">
      <c r="A249" s="1320" t="s">
        <v>28</v>
      </c>
      <c r="B249" s="1770">
        <v>102.7823833229313</v>
      </c>
      <c r="C249" s="1770">
        <v>168.69644477125647</v>
      </c>
      <c r="D249" s="1770">
        <v>122.38057799056958</v>
      </c>
      <c r="E249" s="1770">
        <v>119.57408429261397</v>
      </c>
      <c r="F249" s="1319"/>
      <c r="G249" s="1322"/>
      <c r="H249" s="1319"/>
      <c r="I249" s="1319"/>
      <c r="K249" s="1319"/>
      <c r="L249" s="1319"/>
      <c r="M249" s="1319"/>
    </row>
    <row r="250" spans="1:13">
      <c r="A250" s="1320" t="s">
        <v>29</v>
      </c>
      <c r="B250" s="1770">
        <v>102.03526549289836</v>
      </c>
      <c r="C250" s="1770">
        <v>168.4936094533783</v>
      </c>
      <c r="D250" s="1770">
        <v>121.37819246927887</v>
      </c>
      <c r="E250" s="1770">
        <v>118.82610618702236</v>
      </c>
      <c r="F250" s="1319"/>
      <c r="G250" s="1322"/>
      <c r="H250" s="1319"/>
      <c r="I250" s="1319"/>
      <c r="K250" s="1319"/>
      <c r="L250" s="1319"/>
      <c r="M250" s="1319"/>
    </row>
    <row r="251" spans="1:13">
      <c r="A251" s="1320" t="s">
        <v>3989</v>
      </c>
      <c r="B251" s="1770"/>
      <c r="C251" s="1770"/>
      <c r="D251" s="1770"/>
      <c r="E251" s="1770"/>
      <c r="F251" s="1319"/>
      <c r="G251" s="1322"/>
      <c r="H251" s="1319"/>
      <c r="I251" s="1319"/>
      <c r="K251" s="1319"/>
      <c r="L251" s="1319"/>
      <c r="M251" s="1319"/>
    </row>
    <row r="252" spans="1:13">
      <c r="A252" s="1320" t="s">
        <v>18</v>
      </c>
      <c r="B252" s="1770">
        <v>102.29607834748636</v>
      </c>
      <c r="C252" s="1770">
        <v>169.01207337368098</v>
      </c>
      <c r="D252" s="1770">
        <v>121.51115099809917</v>
      </c>
      <c r="E252" s="1770">
        <v>117.77550603498509</v>
      </c>
      <c r="F252" s="1319"/>
      <c r="G252" s="1322"/>
      <c r="H252" s="1319"/>
      <c r="I252" s="1319"/>
      <c r="K252" s="1319"/>
      <c r="L252" s="1319"/>
      <c r="M252" s="1319"/>
    </row>
    <row r="253" spans="1:13">
      <c r="A253" s="1320" t="s">
        <v>19</v>
      </c>
      <c r="B253" s="1770">
        <v>103.56706165915817</v>
      </c>
      <c r="C253" s="1770">
        <v>171.51271716347495</v>
      </c>
      <c r="D253" s="1770">
        <v>122.47293811549488</v>
      </c>
      <c r="E253" s="1770">
        <v>118.47182190564939</v>
      </c>
      <c r="F253" s="1319"/>
      <c r="G253" s="1322"/>
      <c r="H253" s="1319"/>
      <c r="I253" s="1319"/>
      <c r="K253" s="1319"/>
      <c r="L253" s="1319"/>
      <c r="M253" s="1319"/>
    </row>
    <row r="254" spans="1:13">
      <c r="A254" s="1320" t="s">
        <v>20</v>
      </c>
      <c r="B254" s="1770">
        <v>103.70979421851702</v>
      </c>
      <c r="C254" s="1770">
        <v>173.03385766786619</v>
      </c>
      <c r="D254" s="1770">
        <v>121.78448488569089</v>
      </c>
      <c r="E254" s="1770">
        <v>118.71374762776311</v>
      </c>
      <c r="F254" s="1319"/>
      <c r="G254" s="1322"/>
      <c r="H254" s="1319"/>
      <c r="I254" s="1319"/>
      <c r="K254" s="1319"/>
      <c r="L254" s="1319"/>
      <c r="M254" s="1319"/>
    </row>
    <row r="255" spans="1:13">
      <c r="A255" s="1320" t="s">
        <v>21</v>
      </c>
      <c r="B255" s="1770">
        <v>104.84030303262587</v>
      </c>
      <c r="C255" s="1770">
        <v>174.71689239599834</v>
      </c>
      <c r="D255" s="1770">
        <v>121.80263431664169</v>
      </c>
      <c r="E255" s="1770">
        <v>118.63250963238141</v>
      </c>
      <c r="F255" s="1319"/>
      <c r="G255" s="1322"/>
      <c r="H255" s="1319"/>
      <c r="I255" s="1319"/>
      <c r="K255" s="1319"/>
      <c r="L255" s="1319"/>
      <c r="M255" s="1319"/>
    </row>
    <row r="256" spans="1:13">
      <c r="A256" s="1320" t="s">
        <v>22</v>
      </c>
      <c r="B256" s="1770">
        <v>104.31691304170744</v>
      </c>
      <c r="C256" s="1770">
        <v>173.87450307883515</v>
      </c>
      <c r="D256" s="1770">
        <v>120.12665668427138</v>
      </c>
      <c r="E256" s="1770">
        <v>116.85171668765965</v>
      </c>
      <c r="F256" s="1319"/>
      <c r="G256" s="1322"/>
      <c r="H256" s="1319"/>
      <c r="I256" s="1319"/>
      <c r="K256" s="1319"/>
      <c r="L256" s="1319"/>
      <c r="M256" s="1319"/>
    </row>
    <row r="257" spans="1:13">
      <c r="A257" s="1320" t="s">
        <v>23</v>
      </c>
      <c r="B257" s="1770">
        <v>104.43362373841073</v>
      </c>
      <c r="C257" s="1770">
        <v>173.55469906330265</v>
      </c>
      <c r="D257" s="1770">
        <v>119.60832563843553</v>
      </c>
      <c r="E257" s="1770">
        <v>115.92001649824373</v>
      </c>
      <c r="F257" s="1319"/>
      <c r="G257" s="1322"/>
      <c r="H257" s="1319"/>
      <c r="I257" s="1319"/>
      <c r="K257" s="1319"/>
      <c r="L257" s="1319"/>
      <c r="M257" s="1319"/>
    </row>
    <row r="258" spans="1:13">
      <c r="A258" s="1320" t="s">
        <v>24</v>
      </c>
      <c r="B258" s="1770">
        <v>104.11241714746888</v>
      </c>
      <c r="C258" s="1770">
        <v>173.45502181622945</v>
      </c>
      <c r="D258" s="1770">
        <v>119.42339446579413</v>
      </c>
      <c r="E258" s="1770">
        <v>115.72781984205487</v>
      </c>
      <c r="F258" s="1319"/>
      <c r="G258" s="1322"/>
      <c r="H258" s="1319"/>
      <c r="I258" s="1319"/>
      <c r="K258" s="1319"/>
      <c r="L258" s="1319"/>
      <c r="M258" s="1319"/>
    </row>
    <row r="259" spans="1:13">
      <c r="A259" s="1320" t="s">
        <v>25</v>
      </c>
      <c r="B259" s="1770">
        <v>103.73648658867879</v>
      </c>
      <c r="C259" s="1770">
        <v>173.20712581213502</v>
      </c>
      <c r="D259" s="1770">
        <v>118.78921181621823</v>
      </c>
      <c r="E259" s="1770">
        <v>115.23463116030808</v>
      </c>
      <c r="F259" s="1319"/>
      <c r="G259" s="1322"/>
      <c r="H259" s="1319"/>
      <c r="I259" s="1319"/>
      <c r="K259" s="1319"/>
      <c r="L259" s="1319"/>
      <c r="M259" s="1319"/>
    </row>
    <row r="260" spans="1:13">
      <c r="A260" s="1320" t="s">
        <v>26</v>
      </c>
      <c r="B260" s="1770">
        <v>103.50160495442373</v>
      </c>
      <c r="C260" s="1770">
        <v>173.40266208154168</v>
      </c>
      <c r="D260" s="1770">
        <v>118.22813640215026</v>
      </c>
      <c r="E260" s="1770">
        <v>114.85056776778033</v>
      </c>
      <c r="F260" s="1319"/>
      <c r="G260" s="1322"/>
      <c r="H260" s="1319"/>
      <c r="I260" s="1319"/>
      <c r="K260" s="1319"/>
      <c r="L260" s="1319"/>
      <c r="M260" s="1319"/>
    </row>
    <row r="261" spans="1:13">
      <c r="A261" s="1320" t="s">
        <v>27</v>
      </c>
      <c r="B261" s="1770">
        <v>105.37499832529416</v>
      </c>
      <c r="C261" s="1770">
        <v>176.80931482550233</v>
      </c>
      <c r="D261" s="1770">
        <v>119.8251874238553</v>
      </c>
      <c r="E261" s="1770">
        <v>116.50170959977503</v>
      </c>
      <c r="F261" s="1319"/>
      <c r="G261" s="1322"/>
      <c r="H261" s="1319"/>
      <c r="I261" s="1319"/>
      <c r="K261" s="1319"/>
      <c r="L261" s="1319"/>
      <c r="M261" s="1319"/>
    </row>
    <row r="262" spans="1:13">
      <c r="A262" s="1320" t="s">
        <v>28</v>
      </c>
      <c r="B262" s="1770">
        <v>107.45977985572041</v>
      </c>
      <c r="C262" s="1770">
        <v>180.42779009866683</v>
      </c>
      <c r="D262" s="1770">
        <v>122.6209170704749</v>
      </c>
      <c r="E262" s="1770">
        <v>118.96516779998321</v>
      </c>
      <c r="F262" s="1319"/>
      <c r="G262" s="1322"/>
      <c r="H262" s="1319"/>
      <c r="I262" s="1319"/>
      <c r="K262" s="1319"/>
      <c r="L262" s="1319"/>
      <c r="M262" s="1319"/>
    </row>
    <row r="263" spans="1:13">
      <c r="A263" s="1320" t="s">
        <v>29</v>
      </c>
      <c r="B263" s="1770">
        <v>109.15463450651254</v>
      </c>
      <c r="C263" s="1770">
        <v>183.66880065681667</v>
      </c>
      <c r="D263" s="1770">
        <v>125.14110439267948</v>
      </c>
      <c r="E263" s="1770">
        <v>121.5492184268943</v>
      </c>
      <c r="F263" s="1319"/>
      <c r="G263" s="1322"/>
      <c r="H263" s="1319"/>
      <c r="I263" s="1319"/>
      <c r="K263" s="1319"/>
      <c r="L263" s="1319"/>
      <c r="M263" s="1319"/>
    </row>
    <row r="264" spans="1:13">
      <c r="A264" s="1320" t="s">
        <v>4222</v>
      </c>
      <c r="B264" s="1770"/>
      <c r="C264" s="1770"/>
      <c r="D264" s="1770"/>
      <c r="E264" s="1770"/>
      <c r="F264" s="1319"/>
      <c r="G264" s="1322"/>
      <c r="H264" s="1319"/>
      <c r="I264" s="1319"/>
      <c r="K264" s="1319"/>
      <c r="L264" s="1319"/>
      <c r="M264" s="1319"/>
    </row>
    <row r="265" spans="1:13">
      <c r="A265" s="1320" t="s">
        <v>18</v>
      </c>
      <c r="B265" s="1770">
        <v>109.99078957738845</v>
      </c>
      <c r="C265" s="1770">
        <v>184.57667277177998</v>
      </c>
      <c r="D265" s="1770">
        <v>126.09670939048567</v>
      </c>
      <c r="E265" s="1770">
        <v>121.60652998401896</v>
      </c>
      <c r="F265" s="1319"/>
      <c r="G265" s="1322"/>
      <c r="H265" s="1319"/>
      <c r="I265" s="1319"/>
      <c r="K265" s="1319"/>
      <c r="L265" s="1319"/>
      <c r="M265" s="1319"/>
    </row>
    <row r="266" spans="1:13">
      <c r="A266" s="1320" t="s">
        <v>19</v>
      </c>
      <c r="B266" s="1770">
        <v>108.72841866026017</v>
      </c>
      <c r="C266" s="1770">
        <v>180.83953930380099</v>
      </c>
      <c r="D266" s="1770">
        <v>124.58460035651957</v>
      </c>
      <c r="E266" s="1770">
        <v>119.08728410650957</v>
      </c>
      <c r="F266" s="1319"/>
      <c r="G266" s="1322"/>
      <c r="H266" s="1319"/>
      <c r="I266" s="1319"/>
      <c r="K266" s="1319"/>
      <c r="L266" s="1319"/>
      <c r="M266" s="1319"/>
    </row>
    <row r="267" spans="1:13">
      <c r="A267" s="1320" t="s">
        <v>20</v>
      </c>
      <c r="B267" s="1770">
        <v>105.85892565586845</v>
      </c>
      <c r="C267" s="1770">
        <v>176.17889060090209</v>
      </c>
      <c r="D267" s="1770">
        <v>121.05445485383657</v>
      </c>
      <c r="E267" s="1770">
        <v>115.86852312314799</v>
      </c>
      <c r="F267" s="1319"/>
      <c r="G267" s="1322"/>
      <c r="H267" s="1319"/>
      <c r="I267" s="1319"/>
      <c r="K267" s="1319"/>
      <c r="L267" s="1319"/>
      <c r="M267" s="1319"/>
    </row>
    <row r="268" spans="1:13">
      <c r="A268" s="1320" t="s">
        <v>21</v>
      </c>
      <c r="B268" s="1770">
        <v>104.38027080429019</v>
      </c>
      <c r="C268" s="1770">
        <v>175.33233013575094</v>
      </c>
      <c r="D268" s="1770">
        <v>118.6517500414523</v>
      </c>
      <c r="E268" s="1770">
        <v>114.63903785611861</v>
      </c>
      <c r="F268" s="1319"/>
      <c r="G268" s="1322"/>
      <c r="H268" s="1319"/>
      <c r="I268" s="1319"/>
      <c r="K268" s="1319"/>
      <c r="L268" s="1319"/>
      <c r="M268" s="1319"/>
    </row>
    <row r="269" spans="1:13">
      <c r="A269" s="1320" t="s">
        <v>22</v>
      </c>
      <c r="B269" s="1770">
        <v>103.74899783319783</v>
      </c>
      <c r="C269" s="1770">
        <v>173.7755803276919</v>
      </c>
      <c r="D269" s="1770">
        <v>117.52582328903517</v>
      </c>
      <c r="E269" s="1770">
        <v>113.07438057304377</v>
      </c>
      <c r="F269" s="1319"/>
      <c r="G269" s="1322"/>
      <c r="H269" s="1319"/>
      <c r="I269" s="1319"/>
      <c r="K269" s="1319"/>
      <c r="L269" s="1319"/>
      <c r="M269" s="1319"/>
    </row>
    <row r="270" spans="1:13" s="778" customFormat="1" ht="25.5" customHeight="1">
      <c r="A270" s="2315" t="s">
        <v>2690</v>
      </c>
      <c r="B270" s="2316"/>
      <c r="C270" s="2316"/>
      <c r="D270" s="2316"/>
      <c r="E270" s="2317"/>
      <c r="F270" s="1323"/>
    </row>
    <row r="271" spans="1:13">
      <c r="B271" s="14"/>
      <c r="C271" s="14"/>
      <c r="D271" s="14"/>
      <c r="F271" s="1323"/>
    </row>
    <row r="272" spans="1:13">
      <c r="B272" s="14"/>
      <c r="C272" s="14"/>
      <c r="D272" s="14"/>
      <c r="F272" s="1323"/>
    </row>
    <row r="273" spans="1:6">
      <c r="B273" s="14"/>
      <c r="C273" s="14"/>
      <c r="D273" s="14"/>
      <c r="F273" s="1323"/>
    </row>
    <row r="274" spans="1:6">
      <c r="B274" s="14"/>
      <c r="C274" s="14"/>
      <c r="D274" s="14"/>
      <c r="E274" s="1975"/>
      <c r="F274" s="1323"/>
    </row>
    <row r="275" spans="1:6">
      <c r="A275" s="125"/>
      <c r="B275" s="14"/>
      <c r="C275" s="14"/>
      <c r="D275" s="14"/>
      <c r="F275" s="1323"/>
    </row>
    <row r="276" spans="1:6">
      <c r="A276" s="125"/>
      <c r="B276" s="14"/>
      <c r="C276" s="14"/>
      <c r="D276" s="14"/>
      <c r="F276" s="1323"/>
    </row>
    <row r="277" spans="1:6">
      <c r="A277" s="125"/>
      <c r="B277" s="14"/>
      <c r="C277" s="14"/>
      <c r="D277" s="14"/>
      <c r="F277" s="1323"/>
    </row>
    <row r="278" spans="1:6">
      <c r="A278" s="125"/>
      <c r="B278" s="14"/>
      <c r="C278" s="14"/>
      <c r="D278" s="14"/>
    </row>
    <row r="279" spans="1:6">
      <c r="A279" s="125"/>
      <c r="B279" s="14"/>
      <c r="C279" s="14"/>
      <c r="D279" s="14"/>
    </row>
    <row r="280" spans="1:6">
      <c r="A280" s="125"/>
      <c r="B280" s="14"/>
      <c r="C280" s="14"/>
      <c r="D280" s="14"/>
    </row>
    <row r="281" spans="1:6">
      <c r="A281" s="125"/>
      <c r="B281" s="14"/>
      <c r="C281" s="14"/>
      <c r="D281" s="14"/>
    </row>
    <row r="282" spans="1:6">
      <c r="A282" s="125"/>
      <c r="B282" s="14"/>
      <c r="C282" s="14"/>
      <c r="D282" s="14"/>
    </row>
    <row r="283" spans="1:6">
      <c r="A283" s="125"/>
      <c r="B283" s="14"/>
      <c r="C283" s="14"/>
      <c r="D283" s="14"/>
    </row>
    <row r="284" spans="1:6">
      <c r="A284" s="125"/>
      <c r="B284" s="14"/>
      <c r="C284" s="14"/>
      <c r="D284" s="14"/>
    </row>
    <row r="285" spans="1:6">
      <c r="A285" s="125"/>
    </row>
    <row r="286" spans="1:6">
      <c r="A286" s="125"/>
    </row>
    <row r="287" spans="1:6">
      <c r="A287" s="125"/>
    </row>
    <row r="288" spans="1:6">
      <c r="A288" s="125"/>
    </row>
    <row r="289" spans="1:8">
      <c r="A289" s="125"/>
    </row>
    <row r="290" spans="1:8">
      <c r="A290" s="125"/>
    </row>
    <row r="291" spans="1:8">
      <c r="A291" s="125"/>
      <c r="G291" s="240"/>
      <c r="H291" s="240"/>
    </row>
  </sheetData>
  <mergeCells count="9">
    <mergeCell ref="A270:E270"/>
    <mergeCell ref="A2:E2"/>
    <mergeCell ref="A3:E3"/>
    <mergeCell ref="A6:A7"/>
    <mergeCell ref="B6:C6"/>
    <mergeCell ref="D6:E6"/>
    <mergeCell ref="A9:A10"/>
    <mergeCell ref="B9:C9"/>
    <mergeCell ref="D9:E9"/>
  </mergeCells>
  <pageMargins left="0.28000000000000003" right="0.17" top="0.75" bottom="0.75" header="0.3" footer="0.3"/>
  <pageSetup scale="22"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tabColor rgb="FF92D050"/>
  </sheetPr>
  <dimension ref="A1:XFC289"/>
  <sheetViews>
    <sheetView showGridLines="0" view="pageBreakPreview" zoomScale="115" zoomScaleSheetLayoutView="115" workbookViewId="0">
      <pane ySplit="7" topLeftCell="A253" activePane="bottomLeft" state="frozen"/>
      <selection activeCell="B39" sqref="B39"/>
      <selection pane="bottomLeft" activeCell="G274" sqref="G274"/>
    </sheetView>
  </sheetViews>
  <sheetFormatPr defaultColWidth="8.85546875" defaultRowHeight="12.75"/>
  <cols>
    <col min="1" max="1" width="8.5703125" style="87" customWidth="1"/>
    <col min="2" max="15" width="10.7109375" style="125" customWidth="1"/>
    <col min="16" max="16384" width="8.85546875" style="125"/>
  </cols>
  <sheetData>
    <row r="1" spans="1:40" ht="8.25" customHeight="1"/>
    <row r="2" spans="1:40" s="514" customFormat="1" ht="18.75" customHeight="1">
      <c r="A2" s="2330" t="s">
        <v>3478</v>
      </c>
      <c r="B2" s="2330"/>
      <c r="C2" s="2330"/>
      <c r="D2" s="2330"/>
      <c r="E2" s="2330"/>
      <c r="F2" s="2330"/>
      <c r="G2" s="2330"/>
      <c r="H2" s="2330"/>
      <c r="I2" s="2330"/>
      <c r="J2" s="2330"/>
      <c r="K2" s="2330"/>
      <c r="L2" s="2330"/>
      <c r="M2" s="2330"/>
      <c r="N2" s="2330"/>
      <c r="O2" s="2330"/>
    </row>
    <row r="3" spans="1:40" s="514" customFormat="1" ht="25.5" customHeight="1">
      <c r="A3" s="2331" t="s">
        <v>3479</v>
      </c>
      <c r="B3" s="2331"/>
      <c r="C3" s="2331"/>
      <c r="D3" s="2331"/>
      <c r="E3" s="2331"/>
      <c r="F3" s="2331"/>
      <c r="G3" s="2331"/>
      <c r="H3" s="2331"/>
      <c r="I3" s="2331"/>
      <c r="J3" s="2331"/>
      <c r="K3" s="2331"/>
      <c r="L3" s="2331"/>
      <c r="M3" s="2331"/>
      <c r="N3" s="2331"/>
      <c r="O3" s="2331"/>
    </row>
    <row r="4" spans="1:40" s="514" customFormat="1" ht="11.25" customHeight="1">
      <c r="A4" s="533"/>
      <c r="B4" s="533"/>
      <c r="C4" s="533"/>
      <c r="D4" s="533"/>
      <c r="E4" s="533"/>
      <c r="F4" s="533"/>
      <c r="G4" s="533"/>
      <c r="H4" s="533"/>
      <c r="I4" s="533"/>
      <c r="J4" s="533"/>
      <c r="K4" s="533"/>
      <c r="L4" s="533"/>
      <c r="M4" s="533"/>
      <c r="N4" s="533"/>
      <c r="O4" s="533"/>
    </row>
    <row r="5" spans="1:40" ht="11.25" customHeight="1">
      <c r="A5" s="515"/>
      <c r="B5" s="516"/>
      <c r="C5" s="516"/>
      <c r="D5" s="516"/>
      <c r="E5" s="516"/>
      <c r="F5" s="516"/>
      <c r="G5" s="516"/>
      <c r="H5" s="516"/>
      <c r="I5" s="516"/>
      <c r="J5" s="516"/>
      <c r="K5" s="516"/>
      <c r="L5" s="516"/>
      <c r="M5" s="516"/>
      <c r="N5" s="516"/>
      <c r="O5" s="516"/>
    </row>
    <row r="6" spans="1:40" s="87" customFormat="1" ht="42.75" customHeight="1">
      <c r="A6" s="1339" t="s">
        <v>182</v>
      </c>
      <c r="B6" s="1309" t="s">
        <v>242</v>
      </c>
      <c r="C6" s="1309" t="s">
        <v>3480</v>
      </c>
      <c r="D6" s="1309" t="s">
        <v>3481</v>
      </c>
      <c r="E6" s="1309" t="s">
        <v>3482</v>
      </c>
      <c r="F6" s="1309" t="s">
        <v>264</v>
      </c>
      <c r="G6" s="1309" t="s">
        <v>265</v>
      </c>
      <c r="H6" s="1309" t="s">
        <v>3483</v>
      </c>
      <c r="I6" s="1309" t="s">
        <v>3484</v>
      </c>
      <c r="J6" s="1309" t="s">
        <v>3485</v>
      </c>
      <c r="K6" s="1309" t="s">
        <v>3486</v>
      </c>
      <c r="L6" s="1309" t="s">
        <v>246</v>
      </c>
      <c r="M6" s="1309" t="s">
        <v>3487</v>
      </c>
      <c r="N6" s="1309" t="s">
        <v>3488</v>
      </c>
      <c r="O6" s="1309" t="s">
        <v>3489</v>
      </c>
    </row>
    <row r="7" spans="1:40" ht="36.75" customHeight="1">
      <c r="A7" s="1340" t="s">
        <v>289</v>
      </c>
      <c r="B7" s="1341" t="s">
        <v>3490</v>
      </c>
      <c r="C7" s="1341" t="s">
        <v>3491</v>
      </c>
      <c r="D7" s="1341" t="s">
        <v>3492</v>
      </c>
      <c r="E7" s="1341" t="s">
        <v>3493</v>
      </c>
      <c r="F7" s="1341" t="s">
        <v>3494</v>
      </c>
      <c r="G7" s="1341" t="s">
        <v>3495</v>
      </c>
      <c r="H7" s="1341" t="s">
        <v>3496</v>
      </c>
      <c r="I7" s="1341" t="s">
        <v>3497</v>
      </c>
      <c r="J7" s="1341" t="s">
        <v>3498</v>
      </c>
      <c r="K7" s="1341" t="s">
        <v>3499</v>
      </c>
      <c r="L7" s="1341" t="s">
        <v>3500</v>
      </c>
      <c r="M7" s="1341" t="s">
        <v>3501</v>
      </c>
      <c r="N7" s="1341" t="s">
        <v>3502</v>
      </c>
      <c r="O7" s="1341" t="s">
        <v>3503</v>
      </c>
    </row>
    <row r="8" spans="1:40">
      <c r="A8" s="115">
        <v>2000</v>
      </c>
      <c r="B8" s="271">
        <v>100</v>
      </c>
      <c r="C8" s="271">
        <v>100</v>
      </c>
      <c r="D8" s="271">
        <v>100</v>
      </c>
      <c r="E8" s="271">
        <v>100</v>
      </c>
      <c r="F8" s="271">
        <v>100</v>
      </c>
      <c r="G8" s="271">
        <v>100</v>
      </c>
      <c r="H8" s="271">
        <v>100</v>
      </c>
      <c r="I8" s="271">
        <v>100</v>
      </c>
      <c r="J8" s="271">
        <v>100</v>
      </c>
      <c r="K8" s="271">
        <v>100</v>
      </c>
      <c r="L8" s="271">
        <v>100</v>
      </c>
      <c r="M8" s="271" t="s">
        <v>93</v>
      </c>
      <c r="N8" s="271" t="s">
        <v>93</v>
      </c>
      <c r="O8" s="271" t="s">
        <v>93</v>
      </c>
      <c r="P8" s="87"/>
      <c r="Q8" s="87"/>
      <c r="R8" s="87"/>
      <c r="S8" s="87"/>
      <c r="T8" s="87"/>
      <c r="U8" s="87"/>
      <c r="V8" s="87"/>
      <c r="W8" s="87"/>
      <c r="X8" s="87"/>
      <c r="Y8" s="87"/>
      <c r="Z8" s="87"/>
      <c r="AA8" s="87"/>
      <c r="AB8" s="87"/>
      <c r="AC8" s="87"/>
      <c r="AD8" s="87"/>
      <c r="AE8" s="87"/>
      <c r="AF8" s="87"/>
      <c r="AG8" s="87"/>
      <c r="AH8" s="87"/>
      <c r="AI8" s="87"/>
      <c r="AJ8" s="87"/>
      <c r="AK8" s="87"/>
      <c r="AL8" s="87"/>
      <c r="AM8" s="87"/>
      <c r="AN8" s="87"/>
    </row>
    <row r="9" spans="1:40">
      <c r="A9" s="116">
        <v>2001</v>
      </c>
      <c r="B9" s="271">
        <v>94.780453433493207</v>
      </c>
      <c r="C9" s="271">
        <v>96.432871235617966</v>
      </c>
      <c r="D9" s="271">
        <v>97.576584616903986</v>
      </c>
      <c r="E9" s="271">
        <v>128.97132354765327</v>
      </c>
      <c r="F9" s="271">
        <v>88.059642710856053</v>
      </c>
      <c r="G9" s="271">
        <v>80.597782488649258</v>
      </c>
      <c r="H9" s="271">
        <v>101.42164283948028</v>
      </c>
      <c r="I9" s="271">
        <v>89.481892962946858</v>
      </c>
      <c r="J9" s="271">
        <v>111.57152935166201</v>
      </c>
      <c r="K9" s="271">
        <v>100.77653918459663</v>
      </c>
      <c r="L9" s="271">
        <v>97.84315239557111</v>
      </c>
      <c r="M9" s="271" t="s">
        <v>93</v>
      </c>
      <c r="N9" s="271" t="s">
        <v>93</v>
      </c>
      <c r="O9" s="271" t="s">
        <v>93</v>
      </c>
      <c r="P9" s="87"/>
      <c r="Q9" s="87"/>
      <c r="R9" s="87"/>
      <c r="S9" s="87"/>
      <c r="T9" s="87"/>
      <c r="U9" s="87"/>
      <c r="V9" s="87"/>
      <c r="W9" s="87"/>
      <c r="X9" s="87"/>
      <c r="Y9" s="87"/>
      <c r="Z9" s="87"/>
      <c r="AA9" s="87"/>
      <c r="AB9" s="87"/>
      <c r="AC9" s="87"/>
      <c r="AD9" s="87"/>
      <c r="AE9" s="87"/>
      <c r="AF9" s="87"/>
      <c r="AG9" s="87"/>
      <c r="AH9" s="87"/>
      <c r="AI9" s="87"/>
      <c r="AJ9" s="87"/>
      <c r="AK9" s="87"/>
      <c r="AL9" s="87"/>
      <c r="AM9" s="87"/>
      <c r="AN9" s="87"/>
    </row>
    <row r="10" spans="1:40">
      <c r="A10" s="116">
        <v>2002</v>
      </c>
      <c r="B10" s="271">
        <v>92.872205237548243</v>
      </c>
      <c r="C10" s="271">
        <v>83.221240009715643</v>
      </c>
      <c r="D10" s="271">
        <v>87.475562693959603</v>
      </c>
      <c r="E10" s="271">
        <v>109.07368815301166</v>
      </c>
      <c r="F10" s="271">
        <v>80.583745402633966</v>
      </c>
      <c r="G10" s="271">
        <v>81.828817080517652</v>
      </c>
      <c r="H10" s="271">
        <v>97.246666408738889</v>
      </c>
      <c r="I10" s="271">
        <v>87.736851192471718</v>
      </c>
      <c r="J10" s="271">
        <v>107.97899088577014</v>
      </c>
      <c r="K10" s="271">
        <v>104.51445750605556</v>
      </c>
      <c r="L10" s="271">
        <v>98.694753215761253</v>
      </c>
      <c r="M10" s="271" t="s">
        <v>93</v>
      </c>
      <c r="N10" s="271" t="s">
        <v>93</v>
      </c>
      <c r="O10" s="271" t="s">
        <v>93</v>
      </c>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row>
    <row r="11" spans="1:40">
      <c r="A11" s="116">
        <v>2003</v>
      </c>
      <c r="B11" s="271">
        <v>93.656521045355163</v>
      </c>
      <c r="C11" s="271">
        <v>70.206581911165372</v>
      </c>
      <c r="D11" s="271">
        <v>81.271619391867731</v>
      </c>
      <c r="E11" s="271">
        <v>84.969473406168547</v>
      </c>
      <c r="F11" s="271">
        <v>68.433788337494462</v>
      </c>
      <c r="G11" s="271">
        <v>77.748051784783769</v>
      </c>
      <c r="H11" s="271">
        <v>92.280691485282659</v>
      </c>
      <c r="I11" s="271">
        <v>78.609909186428865</v>
      </c>
      <c r="J11" s="271">
        <v>98.52444503195575</v>
      </c>
      <c r="K11" s="271">
        <v>102.55504703588123</v>
      </c>
      <c r="L11" s="271">
        <v>98.487136539882812</v>
      </c>
      <c r="M11" s="271" t="s">
        <v>93</v>
      </c>
      <c r="N11" s="271" t="s">
        <v>93</v>
      </c>
      <c r="O11" s="271" t="s">
        <v>93</v>
      </c>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row>
    <row r="12" spans="1:40">
      <c r="A12" s="116">
        <v>2004</v>
      </c>
      <c r="B12" s="271">
        <v>99.852851956944562</v>
      </c>
      <c r="C12" s="271">
        <v>69.904995198889353</v>
      </c>
      <c r="D12" s="271">
        <v>79.936531407498691</v>
      </c>
      <c r="E12" s="271">
        <v>84.491970783476589</v>
      </c>
      <c r="F12" s="271">
        <v>64.486833070475726</v>
      </c>
      <c r="G12" s="271">
        <v>76.006674552326302</v>
      </c>
      <c r="H12" s="271">
        <v>81.008304605309519</v>
      </c>
      <c r="I12" s="271">
        <v>73.082701132950646</v>
      </c>
      <c r="J12" s="271">
        <v>105.17801765729259</v>
      </c>
      <c r="K12" s="271">
        <v>111.11248736395198</v>
      </c>
      <c r="L12" s="271">
        <v>106.60653188750398</v>
      </c>
      <c r="M12" s="271" t="s">
        <v>93</v>
      </c>
      <c r="N12" s="271" t="s">
        <v>93</v>
      </c>
      <c r="O12" s="271" t="s">
        <v>93</v>
      </c>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row>
    <row r="13" spans="1:40">
      <c r="A13" s="116">
        <v>2005</v>
      </c>
      <c r="B13" s="271">
        <v>108.45401750882651</v>
      </c>
      <c r="C13" s="271">
        <v>86.909508083679569</v>
      </c>
      <c r="D13" s="271">
        <v>97.144181973305876</v>
      </c>
      <c r="E13" s="271">
        <v>85.063131760102038</v>
      </c>
      <c r="F13" s="271">
        <v>67.477001957003253</v>
      </c>
      <c r="G13" s="271">
        <v>73.248833213510039</v>
      </c>
      <c r="H13" s="271">
        <v>86.492495451447326</v>
      </c>
      <c r="I13" s="271">
        <v>78.430719626997117</v>
      </c>
      <c r="J13" s="271">
        <v>135.18133057241602</v>
      </c>
      <c r="K13" s="271">
        <v>131.66442873779761</v>
      </c>
      <c r="L13" s="271">
        <v>115.10763215887737</v>
      </c>
      <c r="M13" s="271" t="s">
        <v>93</v>
      </c>
      <c r="N13" s="271" t="s">
        <v>93</v>
      </c>
      <c r="O13" s="271" t="s">
        <v>93</v>
      </c>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row>
    <row r="14" spans="1:40">
      <c r="A14" s="116">
        <v>2006</v>
      </c>
      <c r="B14" s="271"/>
      <c r="C14" s="271"/>
      <c r="D14" s="271"/>
      <c r="E14" s="271"/>
      <c r="F14" s="271"/>
      <c r="G14" s="271"/>
      <c r="H14" s="271"/>
      <c r="I14" s="271"/>
      <c r="J14" s="271"/>
      <c r="K14" s="271"/>
      <c r="L14" s="271"/>
      <c r="M14" s="271"/>
      <c r="N14" s="271"/>
      <c r="O14" s="271"/>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row>
    <row r="15" spans="1:40">
      <c r="A15" s="40" t="s">
        <v>18</v>
      </c>
      <c r="B15" s="501">
        <v>109.12926718775277</v>
      </c>
      <c r="C15" s="501">
        <v>86.694384013437372</v>
      </c>
      <c r="D15" s="501">
        <v>98.056983175873683</v>
      </c>
      <c r="E15" s="501">
        <v>85.531158229476134</v>
      </c>
      <c r="F15" s="501">
        <v>65.870618176201845</v>
      </c>
      <c r="G15" s="501">
        <v>73.956040431891779</v>
      </c>
      <c r="H15" s="501">
        <v>87.394583809031161</v>
      </c>
      <c r="I15" s="501">
        <v>78.470642740480756</v>
      </c>
      <c r="J15" s="501">
        <v>133.71095113180297</v>
      </c>
      <c r="K15" s="501">
        <v>133.27324623185174</v>
      </c>
      <c r="L15" s="501">
        <v>115.30690694593413</v>
      </c>
      <c r="M15" s="501" t="s">
        <v>93</v>
      </c>
      <c r="N15" s="501" t="s">
        <v>93</v>
      </c>
      <c r="O15" s="501" t="s">
        <v>93</v>
      </c>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row>
    <row r="16" spans="1:40">
      <c r="A16" s="40" t="s">
        <v>19</v>
      </c>
      <c r="B16" s="501">
        <v>111.52373268771808</v>
      </c>
      <c r="C16" s="501">
        <v>89.403002198794297</v>
      </c>
      <c r="D16" s="501">
        <v>100.69257047681118</v>
      </c>
      <c r="E16" s="501">
        <v>84.51459564726332</v>
      </c>
      <c r="F16" s="501">
        <v>65.790784361731767</v>
      </c>
      <c r="G16" s="501">
        <v>74.208807156125388</v>
      </c>
      <c r="H16" s="501">
        <v>89.988212731229481</v>
      </c>
      <c r="I16" s="501">
        <v>77.990270214797064</v>
      </c>
      <c r="J16" s="501">
        <v>139.36690440201002</v>
      </c>
      <c r="K16" s="501">
        <v>138.0100939490014</v>
      </c>
      <c r="L16" s="501">
        <v>116.84842086046253</v>
      </c>
      <c r="M16" s="501" t="s">
        <v>93</v>
      </c>
      <c r="N16" s="501" t="s">
        <v>93</v>
      </c>
      <c r="O16" s="501" t="s">
        <v>93</v>
      </c>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row>
    <row r="17" spans="1:40">
      <c r="A17" s="40" t="s">
        <v>20</v>
      </c>
      <c r="B17" s="501">
        <v>112.87319422351615</v>
      </c>
      <c r="C17" s="501">
        <v>89.878688014862618</v>
      </c>
      <c r="D17" s="501">
        <v>102.41585045068634</v>
      </c>
      <c r="E17" s="501">
        <v>87.373813984131743</v>
      </c>
      <c r="F17" s="501">
        <v>65.575156645315417</v>
      </c>
      <c r="G17" s="501">
        <v>75.675733180336152</v>
      </c>
      <c r="H17" s="501">
        <v>92.013170292732724</v>
      </c>
      <c r="I17" s="501">
        <v>77.069483561230612</v>
      </c>
      <c r="J17" s="501">
        <v>140.67613918610218</v>
      </c>
      <c r="K17" s="501">
        <v>139.12883256286875</v>
      </c>
      <c r="L17" s="501">
        <v>119.65301785931156</v>
      </c>
      <c r="M17" s="501" t="s">
        <v>93</v>
      </c>
      <c r="N17" s="501" t="s">
        <v>93</v>
      </c>
      <c r="O17" s="501" t="s">
        <v>93</v>
      </c>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row>
    <row r="18" spans="1:40">
      <c r="A18" s="40" t="s">
        <v>21</v>
      </c>
      <c r="B18" s="501">
        <v>113.61943677897852</v>
      </c>
      <c r="C18" s="501">
        <v>88.73289396231155</v>
      </c>
      <c r="D18" s="501">
        <v>102.00326864457882</v>
      </c>
      <c r="E18" s="501">
        <v>87.702291318219835</v>
      </c>
      <c r="F18" s="501">
        <v>65.412532398224911</v>
      </c>
      <c r="G18" s="501">
        <v>76.84846208050385</v>
      </c>
      <c r="H18" s="501">
        <v>91.25229320359449</v>
      </c>
      <c r="I18" s="501">
        <v>76.427967107674505</v>
      </c>
      <c r="J18" s="501">
        <v>141.82822717422459</v>
      </c>
      <c r="K18" s="501">
        <v>136.86835631771604</v>
      </c>
      <c r="L18" s="501">
        <v>120.74230771802929</v>
      </c>
      <c r="M18" s="501" t="s">
        <v>93</v>
      </c>
      <c r="N18" s="501" t="s">
        <v>93</v>
      </c>
      <c r="O18" s="501" t="s">
        <v>93</v>
      </c>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row>
    <row r="19" spans="1:40">
      <c r="A19" s="40" t="s">
        <v>22</v>
      </c>
      <c r="B19" s="501">
        <v>114.13724134769672</v>
      </c>
      <c r="C19" s="501">
        <v>85.593173464757399</v>
      </c>
      <c r="D19" s="501">
        <v>97.006326808810485</v>
      </c>
      <c r="E19" s="501">
        <v>92.343654008259776</v>
      </c>
      <c r="F19" s="501">
        <v>64.418366293193117</v>
      </c>
      <c r="G19" s="501">
        <v>76.616046168932726</v>
      </c>
      <c r="H19" s="501">
        <v>89.123772695292828</v>
      </c>
      <c r="I19" s="501">
        <v>73.965714165930692</v>
      </c>
      <c r="J19" s="501">
        <v>135.79895332386022</v>
      </c>
      <c r="K19" s="501">
        <v>134.6596037635338</v>
      </c>
      <c r="L19" s="501">
        <v>121.73457492862386</v>
      </c>
      <c r="M19" s="501" t="s">
        <v>93</v>
      </c>
      <c r="N19" s="501" t="s">
        <v>93</v>
      </c>
      <c r="O19" s="501" t="s">
        <v>93</v>
      </c>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row>
    <row r="20" spans="1:40">
      <c r="A20" s="40" t="s">
        <v>23</v>
      </c>
      <c r="B20" s="501">
        <v>114.35477564686167</v>
      </c>
      <c r="C20" s="501">
        <v>86.535118784609296</v>
      </c>
      <c r="D20" s="501">
        <v>98.333498915206334</v>
      </c>
      <c r="E20" s="501">
        <v>103.72435287644795</v>
      </c>
      <c r="F20" s="501">
        <v>64.370714069946075</v>
      </c>
      <c r="G20" s="501">
        <v>76.64748488759615</v>
      </c>
      <c r="H20" s="501">
        <v>88.522861819185607</v>
      </c>
      <c r="I20" s="501">
        <v>72.384051409245984</v>
      </c>
      <c r="J20" s="501">
        <v>139.74829518002423</v>
      </c>
      <c r="K20" s="501">
        <v>135.13229440693291</v>
      </c>
      <c r="L20" s="501">
        <v>123.04905384688503</v>
      </c>
      <c r="M20" s="501" t="s">
        <v>93</v>
      </c>
      <c r="N20" s="501" t="s">
        <v>93</v>
      </c>
      <c r="O20" s="501" t="s">
        <v>93</v>
      </c>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row>
    <row r="21" spans="1:40">
      <c r="A21" s="40" t="s">
        <v>24</v>
      </c>
      <c r="B21" s="501">
        <v>114.27225496386977</v>
      </c>
      <c r="C21" s="501">
        <v>86.721696769347432</v>
      </c>
      <c r="D21" s="501">
        <v>98.841316871281634</v>
      </c>
      <c r="E21" s="501">
        <v>100.38381123029565</v>
      </c>
      <c r="F21" s="501">
        <v>63.904155391762117</v>
      </c>
      <c r="G21" s="501">
        <v>76.460418291915062</v>
      </c>
      <c r="H21" s="501">
        <v>87.388024306329427</v>
      </c>
      <c r="I21" s="501">
        <v>71.462860620472767</v>
      </c>
      <c r="J21" s="501">
        <v>142.08532541916091</v>
      </c>
      <c r="K21" s="501">
        <v>134.57959560190156</v>
      </c>
      <c r="L21" s="501">
        <v>123.70352103872828</v>
      </c>
      <c r="M21" s="501" t="s">
        <v>93</v>
      </c>
      <c r="N21" s="501" t="s">
        <v>93</v>
      </c>
      <c r="O21" s="501" t="s">
        <v>93</v>
      </c>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row>
    <row r="22" spans="1:40">
      <c r="A22" s="40" t="s">
        <v>25</v>
      </c>
      <c r="B22" s="501">
        <v>114.77540719376938</v>
      </c>
      <c r="C22" s="501">
        <v>86.436832777434702</v>
      </c>
      <c r="D22" s="501">
        <v>96.593833334550993</v>
      </c>
      <c r="E22" s="501">
        <v>95.869237848890776</v>
      </c>
      <c r="F22" s="501">
        <v>63.82134984464922</v>
      </c>
      <c r="G22" s="501">
        <v>76.847063116017978</v>
      </c>
      <c r="H22" s="501">
        <v>87.595840215790673</v>
      </c>
      <c r="I22" s="501">
        <v>74.61774406354013</v>
      </c>
      <c r="J22" s="501">
        <v>142.21375410992044</v>
      </c>
      <c r="K22" s="501">
        <v>133.49490283794802</v>
      </c>
      <c r="L22" s="501">
        <v>123.80632846230068</v>
      </c>
      <c r="M22" s="501" t="s">
        <v>93</v>
      </c>
      <c r="N22" s="501" t="s">
        <v>93</v>
      </c>
      <c r="O22" s="501" t="s">
        <v>93</v>
      </c>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row>
    <row r="23" spans="1:40">
      <c r="A23" s="40" t="s">
        <v>26</v>
      </c>
      <c r="B23" s="501">
        <v>117.33172622875927</v>
      </c>
      <c r="C23" s="501">
        <v>88.327613996759993</v>
      </c>
      <c r="D23" s="501">
        <v>98.008817604896436</v>
      </c>
      <c r="E23" s="501">
        <v>97.193237133022151</v>
      </c>
      <c r="F23" s="501">
        <v>64.812800581173519</v>
      </c>
      <c r="G23" s="501">
        <v>76.612665636188538</v>
      </c>
      <c r="H23" s="501">
        <v>88.399775303418835</v>
      </c>
      <c r="I23" s="501">
        <v>77.640057874152859</v>
      </c>
      <c r="J23" s="501">
        <v>146.2103232490345</v>
      </c>
      <c r="K23" s="501">
        <v>136.10683471337541</v>
      </c>
      <c r="L23" s="501">
        <v>124.48675737738971</v>
      </c>
      <c r="M23" s="501" t="s">
        <v>93</v>
      </c>
      <c r="N23" s="501" t="s">
        <v>93</v>
      </c>
      <c r="O23" s="501" t="s">
        <v>93</v>
      </c>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row>
    <row r="24" spans="1:40">
      <c r="A24" s="40" t="s">
        <v>27</v>
      </c>
      <c r="B24" s="501">
        <v>120.04468675572596</v>
      </c>
      <c r="C24" s="501">
        <v>90.618485372882247</v>
      </c>
      <c r="D24" s="501">
        <v>100.27031404804814</v>
      </c>
      <c r="E24" s="501">
        <v>97.352168405175647</v>
      </c>
      <c r="F24" s="501">
        <v>66.04039222481714</v>
      </c>
      <c r="G24" s="501">
        <v>76.333524420455745</v>
      </c>
      <c r="H24" s="501">
        <v>89.273107404212027</v>
      </c>
      <c r="I24" s="501">
        <v>79.405826081024841</v>
      </c>
      <c r="J24" s="501">
        <v>151.0298910517806</v>
      </c>
      <c r="K24" s="501">
        <v>136.89464328740584</v>
      </c>
      <c r="L24" s="501">
        <v>126.12378360885739</v>
      </c>
      <c r="M24" s="501" t="s">
        <v>93</v>
      </c>
      <c r="N24" s="501" t="s">
        <v>93</v>
      </c>
      <c r="O24" s="501" t="s">
        <v>93</v>
      </c>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row>
    <row r="25" spans="1:40">
      <c r="A25" s="40" t="s">
        <v>28</v>
      </c>
      <c r="B25" s="501">
        <v>121.88084647612601</v>
      </c>
      <c r="C25" s="501">
        <v>90.28940368322516</v>
      </c>
      <c r="D25" s="501">
        <v>99.674167735662508</v>
      </c>
      <c r="E25" s="501">
        <v>96.379479241583326</v>
      </c>
      <c r="F25" s="501">
        <v>66.055956148458733</v>
      </c>
      <c r="G25" s="501">
        <v>76.163096530486996</v>
      </c>
      <c r="H25" s="501">
        <v>89.466445214835986</v>
      </c>
      <c r="I25" s="501">
        <v>80.140824868855347</v>
      </c>
      <c r="J25" s="501">
        <v>151.62458089248793</v>
      </c>
      <c r="K25" s="501">
        <v>140.28487438045016</v>
      </c>
      <c r="L25" s="501">
        <v>127.03259874879897</v>
      </c>
      <c r="M25" s="501" t="s">
        <v>93</v>
      </c>
      <c r="N25" s="501" t="s">
        <v>93</v>
      </c>
      <c r="O25" s="501" t="s">
        <v>93</v>
      </c>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row>
    <row r="26" spans="1:40">
      <c r="A26" s="40" t="s">
        <v>29</v>
      </c>
      <c r="B26" s="501">
        <v>123.98324131708074</v>
      </c>
      <c r="C26" s="501">
        <v>89.615566075798469</v>
      </c>
      <c r="D26" s="501">
        <v>98.497547199665647</v>
      </c>
      <c r="E26" s="501">
        <v>95.475923333427275</v>
      </c>
      <c r="F26" s="501">
        <v>66.196217291424546</v>
      </c>
      <c r="G26" s="501">
        <v>77.103618445205242</v>
      </c>
      <c r="H26" s="501">
        <v>90.041558117435955</v>
      </c>
      <c r="I26" s="501">
        <v>81.126718328929883</v>
      </c>
      <c r="J26" s="501">
        <v>154.99620703073484</v>
      </c>
      <c r="K26" s="501">
        <v>139.99901662402124</v>
      </c>
      <c r="L26" s="501">
        <v>127.23702977236302</v>
      </c>
      <c r="M26" s="501" t="s">
        <v>93</v>
      </c>
      <c r="N26" s="501" t="s">
        <v>93</v>
      </c>
      <c r="O26" s="501" t="s">
        <v>93</v>
      </c>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row>
    <row r="27" spans="1:40">
      <c r="A27" s="116">
        <v>2007</v>
      </c>
      <c r="B27" s="501"/>
      <c r="C27" s="501"/>
      <c r="D27" s="501"/>
      <c r="E27" s="501"/>
      <c r="F27" s="501"/>
      <c r="G27" s="501"/>
      <c r="H27" s="501"/>
      <c r="I27" s="501"/>
      <c r="J27" s="501"/>
      <c r="K27" s="501"/>
      <c r="L27" s="501"/>
      <c r="M27" s="501"/>
      <c r="N27" s="501"/>
      <c r="O27" s="501"/>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row>
    <row r="28" spans="1:40">
      <c r="A28" s="40" t="s">
        <v>18</v>
      </c>
      <c r="B28" s="501">
        <v>131.77204522201384</v>
      </c>
      <c r="C28" s="501">
        <v>97.420319049022794</v>
      </c>
      <c r="D28" s="501">
        <v>105.87670751357007</v>
      </c>
      <c r="E28" s="501">
        <v>100.27302183322497</v>
      </c>
      <c r="F28" s="501">
        <v>69.834105844979732</v>
      </c>
      <c r="G28" s="501">
        <v>81.967757618442832</v>
      </c>
      <c r="H28" s="501">
        <v>94.212726980624325</v>
      </c>
      <c r="I28" s="501">
        <v>84.158504918626534</v>
      </c>
      <c r="J28" s="501">
        <v>169.79045632560874</v>
      </c>
      <c r="K28" s="501">
        <v>150.16181412408207</v>
      </c>
      <c r="L28" s="501">
        <v>134.00682538692547</v>
      </c>
      <c r="M28" s="501" t="s">
        <v>93</v>
      </c>
      <c r="N28" s="501" t="s">
        <v>93</v>
      </c>
      <c r="O28" s="501" t="s">
        <v>93</v>
      </c>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row>
    <row r="29" spans="1:40">
      <c r="A29" s="40" t="s">
        <v>19</v>
      </c>
      <c r="B29" s="501">
        <v>133.42823133762454</v>
      </c>
      <c r="C29" s="501">
        <v>98.176345731051242</v>
      </c>
      <c r="D29" s="501">
        <v>107.31754731972802</v>
      </c>
      <c r="E29" s="501">
        <v>99.882514017947798</v>
      </c>
      <c r="F29" s="501">
        <v>69.761886811867868</v>
      </c>
      <c r="G29" s="501">
        <v>82.586572810681972</v>
      </c>
      <c r="H29" s="501">
        <v>94.99420179323603</v>
      </c>
      <c r="I29" s="501">
        <v>84.022675177158177</v>
      </c>
      <c r="J29" s="501">
        <v>173.84247479932324</v>
      </c>
      <c r="K29" s="501">
        <v>152.97031446016894</v>
      </c>
      <c r="L29" s="501">
        <v>134.19315358486071</v>
      </c>
      <c r="M29" s="501" t="s">
        <v>93</v>
      </c>
      <c r="N29" s="501" t="s">
        <v>93</v>
      </c>
      <c r="O29" s="501" t="s">
        <v>93</v>
      </c>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row>
    <row r="30" spans="1:40">
      <c r="A30" s="40" t="s">
        <v>20</v>
      </c>
      <c r="B30" s="501">
        <v>134.48786925349904</v>
      </c>
      <c r="C30" s="501">
        <v>97.649573415402187</v>
      </c>
      <c r="D30" s="501">
        <v>109.1473284655202</v>
      </c>
      <c r="E30" s="501">
        <v>101.13980298768175</v>
      </c>
      <c r="F30" s="501">
        <v>69.778368481050578</v>
      </c>
      <c r="G30" s="501">
        <v>83.568896796851462</v>
      </c>
      <c r="H30" s="501">
        <v>97.004658569168967</v>
      </c>
      <c r="I30" s="501">
        <v>84.209307953094978</v>
      </c>
      <c r="J30" s="501">
        <v>170.90429682382944</v>
      </c>
      <c r="K30" s="501">
        <v>154.44243095798319</v>
      </c>
      <c r="L30" s="501">
        <v>136.32095291472262</v>
      </c>
      <c r="M30" s="501" t="s">
        <v>93</v>
      </c>
      <c r="N30" s="501" t="s">
        <v>93</v>
      </c>
      <c r="O30" s="501" t="s">
        <v>93</v>
      </c>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row>
    <row r="31" spans="1:40">
      <c r="A31" s="40" t="s">
        <v>21</v>
      </c>
      <c r="B31" s="501">
        <v>134.81282069345411</v>
      </c>
      <c r="C31" s="501">
        <v>95.753649562895333</v>
      </c>
      <c r="D31" s="501">
        <v>107.17426266593255</v>
      </c>
      <c r="E31" s="501">
        <v>96.827648989074873</v>
      </c>
      <c r="F31" s="501">
        <v>69.038604777033527</v>
      </c>
      <c r="G31" s="501">
        <v>84.026338389583941</v>
      </c>
      <c r="H31" s="501">
        <v>96.624637862028635</v>
      </c>
      <c r="I31" s="501">
        <v>82.903728238513921</v>
      </c>
      <c r="J31" s="501">
        <v>173.73871141960939</v>
      </c>
      <c r="K31" s="501">
        <v>150.31467038079015</v>
      </c>
      <c r="L31" s="501">
        <v>137.0497823892957</v>
      </c>
      <c r="M31" s="501" t="s">
        <v>93</v>
      </c>
      <c r="N31" s="501" t="s">
        <v>93</v>
      </c>
      <c r="O31" s="501" t="s">
        <v>93</v>
      </c>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row>
    <row r="32" spans="1:40">
      <c r="A32" s="40" t="s">
        <v>22</v>
      </c>
      <c r="B32" s="501">
        <v>134.08320903555173</v>
      </c>
      <c r="C32" s="501">
        <v>95.703528063971405</v>
      </c>
      <c r="D32" s="501">
        <v>107.12311811731169</v>
      </c>
      <c r="E32" s="501">
        <v>94.861259080185079</v>
      </c>
      <c r="F32" s="501">
        <v>68.748085991438771</v>
      </c>
      <c r="G32" s="501">
        <v>83.475581076303229</v>
      </c>
      <c r="H32" s="501">
        <v>94.749193032113197</v>
      </c>
      <c r="I32" s="501">
        <v>81.200080378206309</v>
      </c>
      <c r="J32" s="501">
        <v>176.70051520058323</v>
      </c>
      <c r="K32" s="501">
        <v>147.43049380179963</v>
      </c>
      <c r="L32" s="501">
        <v>136.02249687042342</v>
      </c>
      <c r="M32" s="501" t="s">
        <v>93</v>
      </c>
      <c r="N32" s="501" t="s">
        <v>93</v>
      </c>
      <c r="O32" s="501" t="s">
        <v>93</v>
      </c>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row>
    <row r="33" spans="1:40">
      <c r="A33" s="40" t="s">
        <v>23</v>
      </c>
      <c r="B33" s="501">
        <v>133.92910076010952</v>
      </c>
      <c r="C33" s="501">
        <v>96.370522736931363</v>
      </c>
      <c r="D33" s="501">
        <v>106.93583757084266</v>
      </c>
      <c r="E33" s="501">
        <v>93.96888871908277</v>
      </c>
      <c r="F33" s="501">
        <v>68.366682904938259</v>
      </c>
      <c r="G33" s="501">
        <v>81.774881905522832</v>
      </c>
      <c r="H33" s="501">
        <v>94.466997512647396</v>
      </c>
      <c r="I33" s="501">
        <v>81.882205084157235</v>
      </c>
      <c r="J33" s="501">
        <v>180.06570682961242</v>
      </c>
      <c r="K33" s="501">
        <v>152.77781090089792</v>
      </c>
      <c r="L33" s="501">
        <v>134.80871072715453</v>
      </c>
      <c r="M33" s="501" t="s">
        <v>93</v>
      </c>
      <c r="N33" s="501" t="s">
        <v>93</v>
      </c>
      <c r="O33" s="501" t="s">
        <v>93</v>
      </c>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row>
    <row r="34" spans="1:40">
      <c r="A34" s="40" t="s">
        <v>24</v>
      </c>
      <c r="B34" s="501">
        <v>134.25410877701765</v>
      </c>
      <c r="C34" s="501">
        <v>94.79530824883436</v>
      </c>
      <c r="D34" s="501">
        <v>105.41760635066765</v>
      </c>
      <c r="E34" s="501">
        <v>92.144849276997135</v>
      </c>
      <c r="F34" s="501">
        <v>66.996350716952833</v>
      </c>
      <c r="G34" s="501">
        <v>80.690624944208125</v>
      </c>
      <c r="H34" s="501">
        <v>94.160474635142677</v>
      </c>
      <c r="I34" s="501">
        <v>81.525806210240091</v>
      </c>
      <c r="J34" s="501">
        <v>179.51733803580413</v>
      </c>
      <c r="K34" s="501">
        <v>155.97019912557735</v>
      </c>
      <c r="L34" s="501">
        <v>133.38967254922952</v>
      </c>
      <c r="M34" s="501" t="s">
        <v>93</v>
      </c>
      <c r="N34" s="501" t="s">
        <v>93</v>
      </c>
      <c r="O34" s="501" t="s">
        <v>93</v>
      </c>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row>
    <row r="35" spans="1:40">
      <c r="A35" s="40" t="s">
        <v>25</v>
      </c>
      <c r="B35" s="501">
        <v>135.70360831903565</v>
      </c>
      <c r="C35" s="501">
        <v>96.306199591700206</v>
      </c>
      <c r="D35" s="501">
        <v>107.3307882574683</v>
      </c>
      <c r="E35" s="501">
        <v>95.649896583280011</v>
      </c>
      <c r="F35" s="501">
        <v>67.808751805895469</v>
      </c>
      <c r="G35" s="501">
        <v>80.970157544434656</v>
      </c>
      <c r="H35" s="501">
        <v>94.333544803295496</v>
      </c>
      <c r="I35" s="501">
        <v>83.770763063137878</v>
      </c>
      <c r="J35" s="501">
        <v>174.14998784691005</v>
      </c>
      <c r="K35" s="501">
        <v>155.70418701005843</v>
      </c>
      <c r="L35" s="501">
        <v>133.05824008286137</v>
      </c>
      <c r="M35" s="501" t="s">
        <v>93</v>
      </c>
      <c r="N35" s="501" t="s">
        <v>93</v>
      </c>
      <c r="O35" s="501" t="s">
        <v>93</v>
      </c>
      <c r="P35" s="87"/>
      <c r="Q35" s="87"/>
      <c r="R35" s="87"/>
      <c r="S35" s="87"/>
      <c r="T35" s="87"/>
      <c r="U35" s="87"/>
      <c r="V35" s="87"/>
      <c r="W35" s="87"/>
      <c r="X35" s="87"/>
      <c r="Y35" s="87"/>
      <c r="Z35" s="87"/>
      <c r="AA35" s="87"/>
      <c r="AB35" s="87"/>
      <c r="AC35" s="87"/>
      <c r="AD35" s="87"/>
      <c r="AE35" s="87"/>
      <c r="AF35" s="87"/>
      <c r="AG35" s="87"/>
      <c r="AH35" s="87"/>
      <c r="AI35" s="87"/>
      <c r="AJ35" s="87"/>
      <c r="AK35" s="87"/>
      <c r="AL35" s="87"/>
      <c r="AM35" s="87"/>
      <c r="AN35" s="87"/>
    </row>
    <row r="36" spans="1:40">
      <c r="A36" s="40" t="s">
        <v>26</v>
      </c>
      <c r="B36" s="501">
        <v>137.01707171229674</v>
      </c>
      <c r="C36" s="501">
        <v>95.21850012044797</v>
      </c>
      <c r="D36" s="501">
        <v>108.21555324403145</v>
      </c>
      <c r="E36" s="501">
        <v>91.946245170396594</v>
      </c>
      <c r="F36" s="501">
        <v>67.325778097714505</v>
      </c>
      <c r="G36" s="501">
        <v>80.315700165944634</v>
      </c>
      <c r="H36" s="501">
        <v>94.245565486436277</v>
      </c>
      <c r="I36" s="501">
        <v>81.167963052398576</v>
      </c>
      <c r="J36" s="501">
        <v>174.42705498146708</v>
      </c>
      <c r="K36" s="501">
        <v>150.19895716875652</v>
      </c>
      <c r="L36" s="501">
        <v>133.42732360562641</v>
      </c>
      <c r="M36" s="501" t="s">
        <v>93</v>
      </c>
      <c r="N36" s="501" t="s">
        <v>93</v>
      </c>
      <c r="O36" s="501" t="s">
        <v>93</v>
      </c>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row>
    <row r="37" spans="1:40">
      <c r="A37" s="40" t="s">
        <v>27</v>
      </c>
      <c r="B37" s="501">
        <v>139.42018824186172</v>
      </c>
      <c r="C37" s="501">
        <v>94.402515379046548</v>
      </c>
      <c r="D37" s="501">
        <v>108.43235904702441</v>
      </c>
      <c r="E37" s="501">
        <v>87.501738405531583</v>
      </c>
      <c r="F37" s="501">
        <v>66.454588964093887</v>
      </c>
      <c r="G37" s="501">
        <v>80.175964195382505</v>
      </c>
      <c r="H37" s="501">
        <v>92.511780115454044</v>
      </c>
      <c r="I37" s="501">
        <v>78.431832642003883</v>
      </c>
      <c r="J37" s="501">
        <v>178.3988014214745</v>
      </c>
      <c r="K37" s="501">
        <v>150.48725378427639</v>
      </c>
      <c r="L37" s="501">
        <v>135.41390246355215</v>
      </c>
      <c r="M37" s="501" t="s">
        <v>93</v>
      </c>
      <c r="N37" s="501" t="s">
        <v>93</v>
      </c>
      <c r="O37" s="501" t="s">
        <v>93</v>
      </c>
      <c r="P37" s="87"/>
      <c r="Q37" s="87"/>
      <c r="R37" s="87"/>
      <c r="S37" s="87"/>
      <c r="T37" s="87"/>
      <c r="U37" s="87"/>
      <c r="V37" s="87"/>
      <c r="W37" s="87"/>
      <c r="X37" s="87"/>
      <c r="Y37" s="87"/>
      <c r="Z37" s="87"/>
      <c r="AA37" s="87"/>
      <c r="AB37" s="87"/>
      <c r="AC37" s="87"/>
      <c r="AD37" s="87"/>
      <c r="AE37" s="87"/>
      <c r="AF37" s="87"/>
      <c r="AG37" s="87"/>
      <c r="AH37" s="87"/>
      <c r="AI37" s="87"/>
      <c r="AJ37" s="87"/>
      <c r="AK37" s="87"/>
      <c r="AL37" s="87"/>
      <c r="AM37" s="87"/>
      <c r="AN37" s="87"/>
    </row>
    <row r="38" spans="1:40">
      <c r="A38" s="40" t="s">
        <v>28</v>
      </c>
      <c r="B38" s="501">
        <v>143.04039106612089</v>
      </c>
      <c r="C38" s="501">
        <v>94.12695753380882</v>
      </c>
      <c r="D38" s="501">
        <v>110.22854084872075</v>
      </c>
      <c r="E38" s="501">
        <v>88.015026929619239</v>
      </c>
      <c r="F38" s="501">
        <v>66.765065173977405</v>
      </c>
      <c r="G38" s="501">
        <v>81.040410032166633</v>
      </c>
      <c r="H38" s="501">
        <v>93.188099878026136</v>
      </c>
      <c r="I38" s="501">
        <v>78.841868330056926</v>
      </c>
      <c r="J38" s="501">
        <v>176.03393354575149</v>
      </c>
      <c r="K38" s="501">
        <v>151.2112289039116</v>
      </c>
      <c r="L38" s="501">
        <v>137.48920040900433</v>
      </c>
      <c r="M38" s="501" t="s">
        <v>93</v>
      </c>
      <c r="N38" s="501" t="s">
        <v>93</v>
      </c>
      <c r="O38" s="501" t="s">
        <v>93</v>
      </c>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row>
    <row r="39" spans="1:40">
      <c r="A39" s="40" t="s">
        <v>29</v>
      </c>
      <c r="B39" s="501">
        <v>146.58504696708189</v>
      </c>
      <c r="C39" s="501">
        <v>97.027145148297805</v>
      </c>
      <c r="D39" s="501">
        <v>115.45478023798627</v>
      </c>
      <c r="E39" s="501">
        <v>89.566541602004577</v>
      </c>
      <c r="F39" s="501">
        <v>68.127091621857346</v>
      </c>
      <c r="G39" s="501">
        <v>81.888627256961584</v>
      </c>
      <c r="H39" s="501">
        <v>94.314751078646708</v>
      </c>
      <c r="I39" s="501">
        <v>79.566542598048542</v>
      </c>
      <c r="J39" s="501">
        <v>181.48369414650062</v>
      </c>
      <c r="K39" s="501">
        <v>153.82562797827615</v>
      </c>
      <c r="L39" s="501">
        <v>138.76837844934417</v>
      </c>
      <c r="M39" s="501" t="s">
        <v>93</v>
      </c>
      <c r="N39" s="501" t="s">
        <v>93</v>
      </c>
      <c r="O39" s="501" t="s">
        <v>93</v>
      </c>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row>
    <row r="40" spans="1:40">
      <c r="A40" s="40" t="s">
        <v>114</v>
      </c>
      <c r="B40" s="501"/>
      <c r="C40" s="501"/>
      <c r="D40" s="501"/>
      <c r="E40" s="501"/>
      <c r="F40" s="501"/>
      <c r="G40" s="501"/>
      <c r="H40" s="501"/>
      <c r="I40" s="501"/>
      <c r="J40" s="501"/>
      <c r="K40" s="501"/>
      <c r="L40" s="501"/>
      <c r="M40" s="501"/>
      <c r="N40" s="501"/>
      <c r="O40" s="501"/>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row>
    <row r="41" spans="1:40">
      <c r="A41" s="40" t="s">
        <v>18</v>
      </c>
      <c r="B41" s="501">
        <v>149.82187439568722</v>
      </c>
      <c r="C41" s="501">
        <v>99.040234619480501</v>
      </c>
      <c r="D41" s="501">
        <v>122.33360546590414</v>
      </c>
      <c r="E41" s="501">
        <v>90.729188537862029</v>
      </c>
      <c r="F41" s="501">
        <v>68.087932201842861</v>
      </c>
      <c r="G41" s="501">
        <v>81.692630170228028</v>
      </c>
      <c r="H41" s="501">
        <v>93.951097999824512</v>
      </c>
      <c r="I41" s="501">
        <v>80.527279205853858</v>
      </c>
      <c r="J41" s="501">
        <v>178.75474937499831</v>
      </c>
      <c r="K41" s="501">
        <v>152.04587569567065</v>
      </c>
      <c r="L41" s="501">
        <v>138.20150759476687</v>
      </c>
      <c r="M41" s="501" t="s">
        <v>93</v>
      </c>
      <c r="N41" s="501" t="s">
        <v>93</v>
      </c>
      <c r="O41" s="501" t="s">
        <v>93</v>
      </c>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row>
    <row r="42" spans="1:40">
      <c r="A42" s="40" t="s">
        <v>19</v>
      </c>
      <c r="B42" s="501">
        <v>153.25533292319275</v>
      </c>
      <c r="C42" s="501">
        <v>100.92550561989529</v>
      </c>
      <c r="D42" s="501">
        <v>124.64207981647819</v>
      </c>
      <c r="E42" s="501">
        <v>93.174640058980643</v>
      </c>
      <c r="F42" s="501">
        <v>69.001001540006214</v>
      </c>
      <c r="G42" s="501">
        <v>81.178422343875852</v>
      </c>
      <c r="H42" s="501">
        <v>93.62594285927193</v>
      </c>
      <c r="I42" s="501">
        <v>81.690354589441185</v>
      </c>
      <c r="J42" s="501">
        <v>178.93897504936137</v>
      </c>
      <c r="K42" s="501">
        <v>149.64338182105669</v>
      </c>
      <c r="L42" s="501">
        <v>136.49703030502411</v>
      </c>
      <c r="M42" s="501" t="s">
        <v>93</v>
      </c>
      <c r="N42" s="501" t="s">
        <v>93</v>
      </c>
      <c r="O42" s="501" t="s">
        <v>93</v>
      </c>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row>
    <row r="43" spans="1:40">
      <c r="A43" s="40" t="s">
        <v>20</v>
      </c>
      <c r="B43" s="501">
        <v>158.39958416692289</v>
      </c>
      <c r="C43" s="501">
        <v>98.143171715647483</v>
      </c>
      <c r="D43" s="501">
        <v>126.06480608722237</v>
      </c>
      <c r="E43" s="501">
        <v>98.858337497284126</v>
      </c>
      <c r="F43" s="501">
        <v>68.281094590030946</v>
      </c>
      <c r="G43" s="501">
        <v>80.650069882672511</v>
      </c>
      <c r="H43" s="501">
        <v>93.664113559263441</v>
      </c>
      <c r="I43" s="501">
        <v>84.401753140201834</v>
      </c>
      <c r="J43" s="501">
        <v>173.40475120190763</v>
      </c>
      <c r="K43" s="501">
        <v>149.847997192371</v>
      </c>
      <c r="L43" s="501">
        <v>140.75789010835013</v>
      </c>
      <c r="M43" s="501" t="s">
        <v>93</v>
      </c>
      <c r="N43" s="501" t="s">
        <v>93</v>
      </c>
      <c r="O43" s="501" t="s">
        <v>93</v>
      </c>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row>
    <row r="44" spans="1:40">
      <c r="A44" s="40" t="s">
        <v>21</v>
      </c>
      <c r="B44" s="501">
        <v>164.85868013987849</v>
      </c>
      <c r="C44" s="501">
        <v>100.6766090896929</v>
      </c>
      <c r="D44" s="501">
        <v>132.04840817487354</v>
      </c>
      <c r="E44" s="501">
        <v>107.0165774189739</v>
      </c>
      <c r="F44" s="501">
        <v>69.676971642631642</v>
      </c>
      <c r="G44" s="501">
        <v>80.219223786813899</v>
      </c>
      <c r="H44" s="501">
        <v>93.608277301861449</v>
      </c>
      <c r="I44" s="501">
        <v>87.121232996485631</v>
      </c>
      <c r="J44" s="501">
        <v>184.40006698479829</v>
      </c>
      <c r="K44" s="501">
        <v>155.30113076029204</v>
      </c>
      <c r="L44" s="501">
        <v>144.95772196396433</v>
      </c>
      <c r="M44" s="501" t="s">
        <v>93</v>
      </c>
      <c r="N44" s="501" t="s">
        <v>93</v>
      </c>
      <c r="O44" s="501" t="s">
        <v>93</v>
      </c>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row>
    <row r="45" spans="1:40">
      <c r="A45" s="40" t="s">
        <v>22</v>
      </c>
      <c r="B45" s="501">
        <v>168.41264089561656</v>
      </c>
      <c r="C45" s="501">
        <v>104.29466463821559</v>
      </c>
      <c r="D45" s="501">
        <v>135.99452395699865</v>
      </c>
      <c r="E45" s="501">
        <v>103.93014218097777</v>
      </c>
      <c r="F45" s="501">
        <v>71.286248448802183</v>
      </c>
      <c r="G45" s="501">
        <v>78.731060646854033</v>
      </c>
      <c r="H45" s="501">
        <v>95.544498268287114</v>
      </c>
      <c r="I45" s="501">
        <v>88.651906607262461</v>
      </c>
      <c r="J45" s="501">
        <v>192.6325996103138</v>
      </c>
      <c r="K45" s="501">
        <v>152.15627510600055</v>
      </c>
      <c r="L45" s="501">
        <v>148.99628937546444</v>
      </c>
      <c r="M45" s="501" t="s">
        <v>93</v>
      </c>
      <c r="N45" s="501" t="s">
        <v>93</v>
      </c>
      <c r="O45" s="501" t="s">
        <v>93</v>
      </c>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row>
    <row r="46" spans="1:40">
      <c r="A46" s="40" t="s">
        <v>23</v>
      </c>
      <c r="B46" s="501">
        <v>168.61158423539356</v>
      </c>
      <c r="C46" s="501">
        <v>105.03325427198395</v>
      </c>
      <c r="D46" s="501">
        <v>136.69468096045787</v>
      </c>
      <c r="E46" s="501">
        <v>104.43574826586689</v>
      </c>
      <c r="F46" s="501">
        <v>71.174216057543546</v>
      </c>
      <c r="G46" s="501">
        <v>78.964961903968415</v>
      </c>
      <c r="H46" s="501">
        <v>95.019658316362836</v>
      </c>
      <c r="I46" s="501">
        <v>88.780655622407082</v>
      </c>
      <c r="J46" s="501">
        <v>200.07628676463744</v>
      </c>
      <c r="K46" s="501">
        <v>152.30647853153502</v>
      </c>
      <c r="L46" s="501">
        <v>149.51177396488174</v>
      </c>
      <c r="M46" s="501" t="s">
        <v>93</v>
      </c>
      <c r="N46" s="501" t="s">
        <v>93</v>
      </c>
      <c r="O46" s="501" t="s">
        <v>93</v>
      </c>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row>
    <row r="47" spans="1:40">
      <c r="A47" s="40" t="s">
        <v>24</v>
      </c>
      <c r="B47" s="501">
        <v>168.81624483375501</v>
      </c>
      <c r="C47" s="501">
        <v>104.68595954540206</v>
      </c>
      <c r="D47" s="501">
        <v>136.3842905873999</v>
      </c>
      <c r="E47" s="501">
        <v>103.07044457566289</v>
      </c>
      <c r="F47" s="501">
        <v>70.601328755723358</v>
      </c>
      <c r="G47" s="501">
        <v>77.466674893095416</v>
      </c>
      <c r="H47" s="501">
        <v>95.79568290708518</v>
      </c>
      <c r="I47" s="501">
        <v>88.508906708871635</v>
      </c>
      <c r="J47" s="501">
        <v>196.88437876315302</v>
      </c>
      <c r="K47" s="501">
        <v>152.80738248273425</v>
      </c>
      <c r="L47" s="501">
        <v>149.67059911388387</v>
      </c>
      <c r="M47" s="501" t="s">
        <v>93</v>
      </c>
      <c r="N47" s="501" t="s">
        <v>93</v>
      </c>
      <c r="O47" s="501" t="s">
        <v>93</v>
      </c>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row>
    <row r="48" spans="1:40">
      <c r="A48" s="40" t="s">
        <v>25</v>
      </c>
      <c r="B48" s="501">
        <v>167.22269098191825</v>
      </c>
      <c r="C48" s="501">
        <v>109.51779906568379</v>
      </c>
      <c r="D48" s="501">
        <v>141.53954296532558</v>
      </c>
      <c r="E48" s="501">
        <v>99.560087327772266</v>
      </c>
      <c r="F48" s="501">
        <v>72.328569402618072</v>
      </c>
      <c r="G48" s="501">
        <v>77.364863072536167</v>
      </c>
      <c r="H48" s="501">
        <v>92.287302794902132</v>
      </c>
      <c r="I48" s="501">
        <v>87.116726013959379</v>
      </c>
      <c r="J48" s="501">
        <v>199.76246854566529</v>
      </c>
      <c r="K48" s="501">
        <v>158.98805017848369</v>
      </c>
      <c r="L48" s="501">
        <v>149.29005254049898</v>
      </c>
      <c r="M48" s="501" t="s">
        <v>93</v>
      </c>
      <c r="N48" s="501" t="s">
        <v>93</v>
      </c>
      <c r="O48" s="501" t="s">
        <v>93</v>
      </c>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row>
    <row r="49" spans="1:40">
      <c r="A49" s="40" t="s">
        <v>26</v>
      </c>
      <c r="B49" s="501">
        <v>168.78178010293169</v>
      </c>
      <c r="C49" s="501">
        <v>115.03879426764011</v>
      </c>
      <c r="D49" s="501">
        <v>149.59312620322936</v>
      </c>
      <c r="E49" s="501">
        <v>105.560352089717</v>
      </c>
      <c r="F49" s="501">
        <v>75.887381207724047</v>
      </c>
      <c r="G49" s="501">
        <v>81.123572294998795</v>
      </c>
      <c r="H49" s="501">
        <v>93.545122272020222</v>
      </c>
      <c r="I49" s="501">
        <v>87.181544308786215</v>
      </c>
      <c r="J49" s="501">
        <v>196.91108341851501</v>
      </c>
      <c r="K49" s="501">
        <v>159.5409171662065</v>
      </c>
      <c r="L49" s="501">
        <v>150.83277056875207</v>
      </c>
      <c r="M49" s="501" t="s">
        <v>93</v>
      </c>
      <c r="N49" s="501" t="s">
        <v>93</v>
      </c>
      <c r="O49" s="501" t="s">
        <v>93</v>
      </c>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row>
    <row r="50" spans="1:40">
      <c r="A50" s="40" t="s">
        <v>27</v>
      </c>
      <c r="B50" s="501">
        <v>172.07597184344635</v>
      </c>
      <c r="C50" s="501">
        <v>125.09388029312694</v>
      </c>
      <c r="D50" s="501">
        <v>160.51798213820658</v>
      </c>
      <c r="E50" s="501">
        <v>122.44073270575004</v>
      </c>
      <c r="F50" s="501">
        <v>79.30260000322329</v>
      </c>
      <c r="G50" s="501">
        <v>91.15333636767005</v>
      </c>
      <c r="H50" s="501">
        <v>95.340925337612376</v>
      </c>
      <c r="I50" s="501">
        <v>87.780513809905401</v>
      </c>
      <c r="J50" s="501">
        <v>187.27171334430079</v>
      </c>
      <c r="K50" s="501">
        <v>166.74891437206259</v>
      </c>
      <c r="L50" s="501">
        <v>152.52958961563573</v>
      </c>
      <c r="M50" s="501" t="s">
        <v>93</v>
      </c>
      <c r="N50" s="501" t="s">
        <v>93</v>
      </c>
      <c r="O50" s="501" t="s">
        <v>93</v>
      </c>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row>
    <row r="51" spans="1:40">
      <c r="A51" s="40" t="s">
        <v>28</v>
      </c>
      <c r="B51" s="501">
        <v>175.50314086816309</v>
      </c>
      <c r="C51" s="501">
        <v>132.28372301481366</v>
      </c>
      <c r="D51" s="501">
        <v>178.34924783754323</v>
      </c>
      <c r="E51" s="501">
        <v>133.20078493278024</v>
      </c>
      <c r="F51" s="501">
        <v>81.540560739424379</v>
      </c>
      <c r="G51" s="501">
        <v>99.913618562975756</v>
      </c>
      <c r="H51" s="501">
        <v>105.68542644471037</v>
      </c>
      <c r="I51" s="501">
        <v>87.818424162418921</v>
      </c>
      <c r="J51" s="501">
        <v>182.85785431745856</v>
      </c>
      <c r="K51" s="501">
        <v>178.72074136871848</v>
      </c>
      <c r="L51" s="501">
        <v>153.98744856495856</v>
      </c>
      <c r="M51" s="501" t="s">
        <v>93</v>
      </c>
      <c r="N51" s="501" t="s">
        <v>93</v>
      </c>
      <c r="O51" s="501" t="s">
        <v>93</v>
      </c>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row>
    <row r="52" spans="1:40">
      <c r="A52" s="40" t="s">
        <v>29</v>
      </c>
      <c r="B52" s="501">
        <v>177.08227735166591</v>
      </c>
      <c r="C52" s="501">
        <v>124.77237093825305</v>
      </c>
      <c r="D52" s="501">
        <v>184.55408945642844</v>
      </c>
      <c r="E52" s="501">
        <v>128.96874168773363</v>
      </c>
      <c r="F52" s="501">
        <v>83.31158985720829</v>
      </c>
      <c r="G52" s="501">
        <v>125.8038596796293</v>
      </c>
      <c r="H52" s="501">
        <v>111.97084357254978</v>
      </c>
      <c r="I52" s="501">
        <v>88.094447707465747</v>
      </c>
      <c r="J52" s="501">
        <v>172.71334855104985</v>
      </c>
      <c r="K52" s="501">
        <v>178.68705405337269</v>
      </c>
      <c r="L52" s="501">
        <v>154.81722792096733</v>
      </c>
      <c r="M52" s="501" t="s">
        <v>93</v>
      </c>
      <c r="N52" s="501" t="s">
        <v>93</v>
      </c>
      <c r="O52" s="501" t="s">
        <v>93</v>
      </c>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row>
    <row r="53" spans="1:40">
      <c r="A53" s="40" t="s">
        <v>43</v>
      </c>
      <c r="B53" s="501"/>
      <c r="C53" s="501"/>
      <c r="D53" s="501"/>
      <c r="E53" s="501"/>
      <c r="F53" s="501"/>
      <c r="G53" s="501"/>
      <c r="H53" s="501"/>
      <c r="I53" s="501"/>
      <c r="J53" s="501"/>
      <c r="K53" s="501"/>
      <c r="L53" s="501"/>
      <c r="M53" s="501"/>
      <c r="N53" s="501"/>
      <c r="O53" s="501"/>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row>
    <row r="54" spans="1:40">
      <c r="A54" s="40" t="s">
        <v>18</v>
      </c>
      <c r="B54" s="501">
        <v>175.68952309505482</v>
      </c>
      <c r="C54" s="501">
        <v>126.40401001233802</v>
      </c>
      <c r="D54" s="501">
        <v>190.21107411282802</v>
      </c>
      <c r="E54" s="501">
        <v>132.32569061021914</v>
      </c>
      <c r="F54" s="501">
        <v>90.450264546243559</v>
      </c>
      <c r="G54" s="501">
        <v>124.50618324548701</v>
      </c>
      <c r="H54" s="501">
        <v>110.64579726271489</v>
      </c>
      <c r="I54" s="501">
        <v>87.895887077173271</v>
      </c>
      <c r="J54" s="501">
        <v>171.65997829438075</v>
      </c>
      <c r="K54" s="501">
        <v>179.98746651889806</v>
      </c>
      <c r="L54" s="501">
        <v>152.10669176015364</v>
      </c>
      <c r="M54" s="501" t="s">
        <v>93</v>
      </c>
      <c r="N54" s="501" t="s">
        <v>93</v>
      </c>
      <c r="O54" s="501" t="s">
        <v>93</v>
      </c>
      <c r="P54" s="87"/>
      <c r="Q54" s="87"/>
      <c r="R54" s="87"/>
      <c r="S54" s="87"/>
      <c r="T54" s="87"/>
      <c r="U54" s="87"/>
      <c r="V54" s="87"/>
      <c r="W54" s="87"/>
      <c r="X54" s="87"/>
      <c r="Y54" s="87"/>
      <c r="Z54" s="87"/>
      <c r="AA54" s="87"/>
      <c r="AB54" s="87"/>
      <c r="AC54" s="87"/>
      <c r="AD54" s="87"/>
      <c r="AE54" s="87"/>
      <c r="AF54" s="87"/>
      <c r="AG54" s="87"/>
      <c r="AH54" s="87"/>
      <c r="AI54" s="87"/>
      <c r="AJ54" s="87"/>
      <c r="AK54" s="87"/>
      <c r="AL54" s="87"/>
      <c r="AM54" s="87"/>
      <c r="AN54" s="87"/>
    </row>
    <row r="55" spans="1:40">
      <c r="A55" s="40" t="s">
        <v>19</v>
      </c>
      <c r="B55" s="501">
        <v>173.00303479118887</v>
      </c>
      <c r="C55" s="501">
        <v>130.03417355007193</v>
      </c>
      <c r="D55" s="501">
        <v>187.6432465897625</v>
      </c>
      <c r="E55" s="501">
        <v>136.9365408182336</v>
      </c>
      <c r="F55" s="501">
        <v>100.39739563853735</v>
      </c>
      <c r="G55" s="501">
        <v>123.52639884704206</v>
      </c>
      <c r="H55" s="501">
        <v>111.26838648620618</v>
      </c>
      <c r="I55" s="501">
        <v>103.01203477869616</v>
      </c>
      <c r="J55" s="501">
        <v>174.2872341613932</v>
      </c>
      <c r="K55" s="501">
        <v>186.95942025602758</v>
      </c>
      <c r="L55" s="501">
        <v>150.43822538097413</v>
      </c>
      <c r="M55" s="501" t="s">
        <v>93</v>
      </c>
      <c r="N55" s="501" t="s">
        <v>93</v>
      </c>
      <c r="O55" s="501" t="s">
        <v>93</v>
      </c>
      <c r="P55" s="87"/>
      <c r="Q55" s="87"/>
      <c r="R55" s="87"/>
      <c r="S55" s="87"/>
      <c r="T55" s="87"/>
      <c r="U55" s="87"/>
      <c r="V55" s="87"/>
      <c r="W55" s="87"/>
      <c r="X55" s="87"/>
      <c r="Y55" s="87"/>
      <c r="Z55" s="87"/>
      <c r="AA55" s="87"/>
      <c r="AB55" s="87"/>
      <c r="AC55" s="87"/>
      <c r="AD55" s="87"/>
      <c r="AE55" s="87"/>
      <c r="AF55" s="87"/>
      <c r="AG55" s="87"/>
      <c r="AH55" s="87"/>
      <c r="AI55" s="87"/>
      <c r="AJ55" s="87"/>
      <c r="AK55" s="87"/>
      <c r="AL55" s="87"/>
      <c r="AM55" s="87"/>
      <c r="AN55" s="87"/>
    </row>
    <row r="56" spans="1:40">
      <c r="A56" s="40" t="s">
        <v>20</v>
      </c>
      <c r="B56" s="501">
        <v>172.60996972700138</v>
      </c>
      <c r="C56" s="501">
        <v>126.95536681392645</v>
      </c>
      <c r="D56" s="501">
        <v>190.2708683386472</v>
      </c>
      <c r="E56" s="501">
        <v>138.68038775886066</v>
      </c>
      <c r="F56" s="501">
        <v>96.124348720788163</v>
      </c>
      <c r="G56" s="501">
        <v>119.4640110077694</v>
      </c>
      <c r="H56" s="501">
        <v>111.5691896411498</v>
      </c>
      <c r="I56" s="501">
        <v>105.98250601226324</v>
      </c>
      <c r="J56" s="501">
        <v>182.71089315187609</v>
      </c>
      <c r="K56" s="501">
        <v>188.30817741769818</v>
      </c>
      <c r="L56" s="501">
        <v>150.41253013034211</v>
      </c>
      <c r="M56" s="501" t="s">
        <v>93</v>
      </c>
      <c r="N56" s="501" t="s">
        <v>93</v>
      </c>
      <c r="O56" s="501" t="s">
        <v>93</v>
      </c>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row>
    <row r="57" spans="1:40">
      <c r="A57" s="40" t="s">
        <v>21</v>
      </c>
      <c r="B57" s="501">
        <v>172.43347723568743</v>
      </c>
      <c r="C57" s="501">
        <v>124.71013696166339</v>
      </c>
      <c r="D57" s="501">
        <v>182.27958272766023</v>
      </c>
      <c r="E57" s="501">
        <v>130.26211027030118</v>
      </c>
      <c r="F57" s="501">
        <v>91.915827373314301</v>
      </c>
      <c r="G57" s="501">
        <v>118.69548481174681</v>
      </c>
      <c r="H57" s="501">
        <v>110.00101577843208</v>
      </c>
      <c r="I57" s="501">
        <v>104.97353695948244</v>
      </c>
      <c r="J57" s="501">
        <v>185.08658033411518</v>
      </c>
      <c r="K57" s="501">
        <v>187.54439216750521</v>
      </c>
      <c r="L57" s="501">
        <v>150.44916649544609</v>
      </c>
      <c r="M57" s="501" t="s">
        <v>93</v>
      </c>
      <c r="N57" s="501" t="s">
        <v>93</v>
      </c>
      <c r="O57" s="501" t="s">
        <v>93</v>
      </c>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row>
    <row r="58" spans="1:40">
      <c r="A58" s="40" t="s">
        <v>22</v>
      </c>
      <c r="B58" s="501">
        <v>171.42059435418236</v>
      </c>
      <c r="C58" s="501">
        <v>120.34506318725165</v>
      </c>
      <c r="D58" s="501">
        <v>172.77163213964289</v>
      </c>
      <c r="E58" s="501">
        <v>125.42131080273417</v>
      </c>
      <c r="F58" s="501">
        <v>86.990508374900671</v>
      </c>
      <c r="G58" s="501">
        <v>113.93011403422418</v>
      </c>
      <c r="H58" s="501">
        <v>107.42270905482155</v>
      </c>
      <c r="I58" s="501">
        <v>103.74234181481366</v>
      </c>
      <c r="J58" s="501">
        <v>180.8327937010433</v>
      </c>
      <c r="K58" s="501">
        <v>181.21962192427378</v>
      </c>
      <c r="L58" s="501">
        <v>150.31897245838536</v>
      </c>
      <c r="M58" s="501" t="s">
        <v>93</v>
      </c>
      <c r="N58" s="501" t="s">
        <v>93</v>
      </c>
      <c r="O58" s="501" t="s">
        <v>93</v>
      </c>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row>
    <row r="59" spans="1:40">
      <c r="A59" s="40" t="s">
        <v>23</v>
      </c>
      <c r="B59" s="501">
        <v>169.22669126332272</v>
      </c>
      <c r="C59" s="501">
        <v>115.9029653478551</v>
      </c>
      <c r="D59" s="501">
        <v>160.8184437412896</v>
      </c>
      <c r="E59" s="501">
        <v>123.38773059515226</v>
      </c>
      <c r="F59" s="501">
        <v>83.467088054996779</v>
      </c>
      <c r="G59" s="501">
        <v>110.26690948031093</v>
      </c>
      <c r="H59" s="501">
        <v>106.95270191709947</v>
      </c>
      <c r="I59" s="501">
        <v>102.68663718509399</v>
      </c>
      <c r="J59" s="501">
        <v>179.9937208577889</v>
      </c>
      <c r="K59" s="501">
        <v>172.78113136586714</v>
      </c>
      <c r="L59" s="501">
        <v>150.39980984441524</v>
      </c>
      <c r="M59" s="501" t="s">
        <v>93</v>
      </c>
      <c r="N59" s="501" t="s">
        <v>93</v>
      </c>
      <c r="O59" s="501" t="s">
        <v>93</v>
      </c>
      <c r="P59" s="87"/>
      <c r="Q59" s="87"/>
      <c r="R59" s="87"/>
      <c r="S59" s="87"/>
      <c r="T59" s="87"/>
      <c r="U59" s="87"/>
      <c r="V59" s="87"/>
      <c r="W59" s="87"/>
      <c r="X59" s="87"/>
      <c r="Y59" s="87"/>
      <c r="Z59" s="87"/>
      <c r="AA59" s="87"/>
      <c r="AB59" s="87"/>
      <c r="AC59" s="87"/>
      <c r="AD59" s="87"/>
      <c r="AE59" s="87"/>
      <c r="AF59" s="87"/>
      <c r="AG59" s="87"/>
      <c r="AH59" s="87"/>
      <c r="AI59" s="87"/>
      <c r="AJ59" s="87"/>
      <c r="AK59" s="87"/>
      <c r="AL59" s="87"/>
      <c r="AM59" s="87"/>
      <c r="AN59" s="87"/>
    </row>
    <row r="60" spans="1:40">
      <c r="A60" s="40" t="s">
        <v>24</v>
      </c>
      <c r="B60" s="501">
        <v>170.55060244746909</v>
      </c>
      <c r="C60" s="501">
        <v>117.31487557713969</v>
      </c>
      <c r="D60" s="501">
        <v>162.05471719847756</v>
      </c>
      <c r="E60" s="501">
        <v>122.05614043044839</v>
      </c>
      <c r="F60" s="501">
        <v>84.838726038864749</v>
      </c>
      <c r="G60" s="501">
        <v>112.27189335271488</v>
      </c>
      <c r="H60" s="501">
        <v>112.70728941341126</v>
      </c>
      <c r="I60" s="501">
        <v>103.36327451233099</v>
      </c>
      <c r="J60" s="501">
        <v>177.83038147307289</v>
      </c>
      <c r="K60" s="501">
        <v>169.95821540899033</v>
      </c>
      <c r="L60" s="501">
        <v>151.85203974123374</v>
      </c>
      <c r="M60" s="501" t="s">
        <v>93</v>
      </c>
      <c r="N60" s="501" t="s">
        <v>93</v>
      </c>
      <c r="O60" s="501" t="s">
        <v>93</v>
      </c>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row>
    <row r="61" spans="1:40">
      <c r="A61" s="40" t="s">
        <v>25</v>
      </c>
      <c r="B61" s="501">
        <v>170.0261016860741</v>
      </c>
      <c r="C61" s="501">
        <v>115.5054714112278</v>
      </c>
      <c r="D61" s="501">
        <v>159.9643236251307</v>
      </c>
      <c r="E61" s="501">
        <v>119.67444572125032</v>
      </c>
      <c r="F61" s="501">
        <v>85.268624335356762</v>
      </c>
      <c r="G61" s="501">
        <v>119.90860603928071</v>
      </c>
      <c r="H61" s="501">
        <v>113.45685854142656</v>
      </c>
      <c r="I61" s="501">
        <v>103.35814375390453</v>
      </c>
      <c r="J61" s="501">
        <v>177.93000758704585</v>
      </c>
      <c r="K61" s="501">
        <v>166.55033902443768</v>
      </c>
      <c r="L61" s="501">
        <v>151.2336224168638</v>
      </c>
      <c r="M61" s="501" t="s">
        <v>93</v>
      </c>
      <c r="N61" s="501" t="s">
        <v>93</v>
      </c>
      <c r="O61" s="501" t="s">
        <v>93</v>
      </c>
      <c r="P61" s="87"/>
      <c r="Q61" s="87"/>
      <c r="R61" s="87"/>
      <c r="S61" s="87"/>
      <c r="T61" s="87"/>
      <c r="U61" s="87"/>
      <c r="V61" s="87"/>
      <c r="W61" s="87"/>
      <c r="X61" s="87"/>
      <c r="Y61" s="87"/>
      <c r="Z61" s="87"/>
      <c r="AA61" s="87"/>
      <c r="AB61" s="87"/>
      <c r="AC61" s="87"/>
      <c r="AD61" s="87"/>
      <c r="AE61" s="87"/>
      <c r="AF61" s="87"/>
      <c r="AG61" s="87"/>
      <c r="AH61" s="87"/>
      <c r="AI61" s="87"/>
      <c r="AJ61" s="87"/>
      <c r="AK61" s="87"/>
      <c r="AL61" s="87"/>
      <c r="AM61" s="87"/>
      <c r="AN61" s="87"/>
    </row>
    <row r="62" spans="1:40">
      <c r="A62" s="40" t="s">
        <v>26</v>
      </c>
      <c r="B62" s="501">
        <v>170.48483960171288</v>
      </c>
      <c r="C62" s="501">
        <v>113.71379511561884</v>
      </c>
      <c r="D62" s="501">
        <v>162.6640077594231</v>
      </c>
      <c r="E62" s="501">
        <v>120.13217989972715</v>
      </c>
      <c r="F62" s="501">
        <v>83.412160184600125</v>
      </c>
      <c r="G62" s="501">
        <v>124.26056559999785</v>
      </c>
      <c r="H62" s="501">
        <v>111.27602880843646</v>
      </c>
      <c r="I62" s="501">
        <v>103.48908979310281</v>
      </c>
      <c r="J62" s="501">
        <v>172.47896997615825</v>
      </c>
      <c r="K62" s="501">
        <v>165.09813793866257</v>
      </c>
      <c r="L62" s="501">
        <v>151.25591787618876</v>
      </c>
      <c r="M62" s="501" t="s">
        <v>93</v>
      </c>
      <c r="N62" s="501" t="s">
        <v>93</v>
      </c>
      <c r="O62" s="501" t="s">
        <v>93</v>
      </c>
      <c r="P62" s="87"/>
      <c r="Q62" s="87"/>
      <c r="R62" s="87"/>
      <c r="S62" s="87"/>
      <c r="T62" s="87"/>
      <c r="U62" s="87"/>
      <c r="V62" s="87"/>
      <c r="W62" s="87"/>
      <c r="X62" s="87"/>
      <c r="Y62" s="87"/>
      <c r="Z62" s="87"/>
      <c r="AA62" s="87"/>
      <c r="AB62" s="87"/>
      <c r="AC62" s="87"/>
      <c r="AD62" s="87"/>
      <c r="AE62" s="87"/>
      <c r="AF62" s="87"/>
      <c r="AG62" s="87"/>
      <c r="AH62" s="87"/>
      <c r="AI62" s="87"/>
      <c r="AJ62" s="87"/>
      <c r="AK62" s="87"/>
      <c r="AL62" s="87"/>
      <c r="AM62" s="87"/>
      <c r="AN62" s="87"/>
    </row>
    <row r="63" spans="1:40">
      <c r="A63" s="40" t="s">
        <v>27</v>
      </c>
      <c r="B63" s="501">
        <v>170.63905488047737</v>
      </c>
      <c r="C63" s="501">
        <v>111.90214760475918</v>
      </c>
      <c r="D63" s="501">
        <v>164.24028127452456</v>
      </c>
      <c r="E63" s="501">
        <v>116.30915080062</v>
      </c>
      <c r="F63" s="501">
        <v>80.137324646891074</v>
      </c>
      <c r="G63" s="501">
        <v>119.32598806247775</v>
      </c>
      <c r="H63" s="501">
        <v>108.88588986360207</v>
      </c>
      <c r="I63" s="501">
        <v>103.41544352934717</v>
      </c>
      <c r="J63" s="501">
        <v>170.22443210349965</v>
      </c>
      <c r="K63" s="501">
        <v>163.69407225227675</v>
      </c>
      <c r="L63" s="501">
        <v>151.80459407250808</v>
      </c>
      <c r="M63" s="501" t="s">
        <v>93</v>
      </c>
      <c r="N63" s="501" t="s">
        <v>93</v>
      </c>
      <c r="O63" s="501" t="s">
        <v>93</v>
      </c>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row>
    <row r="64" spans="1:40">
      <c r="A64" s="40" t="s">
        <v>28</v>
      </c>
      <c r="B64" s="501">
        <v>172.23852705127615</v>
      </c>
      <c r="C64" s="501">
        <v>112.41151164040276</v>
      </c>
      <c r="D64" s="501">
        <v>161.76735006690669</v>
      </c>
      <c r="E64" s="501">
        <v>117.67600591232474</v>
      </c>
      <c r="F64" s="501">
        <v>79.34405150775163</v>
      </c>
      <c r="G64" s="501">
        <v>117.9853909679769</v>
      </c>
      <c r="H64" s="501">
        <v>110.36854889633246</v>
      </c>
      <c r="I64" s="501">
        <v>103.55998239054145</v>
      </c>
      <c r="J64" s="501">
        <v>170.79802999725004</v>
      </c>
      <c r="K64" s="501">
        <v>167.45637965751683</v>
      </c>
      <c r="L64" s="501">
        <v>153.38856565207382</v>
      </c>
      <c r="M64" s="501" t="s">
        <v>93</v>
      </c>
      <c r="N64" s="501" t="s">
        <v>93</v>
      </c>
      <c r="O64" s="501" t="s">
        <v>93</v>
      </c>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row>
    <row r="65" spans="1:40">
      <c r="A65" s="40" t="s">
        <v>29</v>
      </c>
      <c r="B65" s="501">
        <v>173.29021031697829</v>
      </c>
      <c r="C65" s="501">
        <v>115.49676247373048</v>
      </c>
      <c r="D65" s="501">
        <v>166.02372816853907</v>
      </c>
      <c r="E65" s="501">
        <v>119.60823634853982</v>
      </c>
      <c r="F65" s="501">
        <v>82.754883896832524</v>
      </c>
      <c r="G65" s="501">
        <v>115.92980617634367</v>
      </c>
      <c r="H65" s="501">
        <v>111.34547081955778</v>
      </c>
      <c r="I65" s="501">
        <v>103.06762265688049</v>
      </c>
      <c r="J65" s="501">
        <v>173.47903488537338</v>
      </c>
      <c r="K65" s="501">
        <v>169.53706587770111</v>
      </c>
      <c r="L65" s="501">
        <v>152.83092816070933</v>
      </c>
      <c r="M65" s="501" t="s">
        <v>93</v>
      </c>
      <c r="N65" s="501" t="s">
        <v>93</v>
      </c>
      <c r="O65" s="501" t="s">
        <v>93</v>
      </c>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row>
    <row r="66" spans="1:40">
      <c r="A66" s="40" t="s">
        <v>48</v>
      </c>
      <c r="B66" s="501"/>
      <c r="C66" s="501"/>
      <c r="D66" s="501"/>
      <c r="E66" s="501"/>
      <c r="F66" s="501"/>
      <c r="G66" s="501"/>
      <c r="H66" s="501"/>
      <c r="I66" s="501"/>
      <c r="J66" s="501"/>
      <c r="K66" s="501"/>
      <c r="L66" s="501"/>
      <c r="M66" s="501"/>
      <c r="N66" s="501"/>
      <c r="O66" s="501"/>
      <c r="P66" s="87"/>
      <c r="Q66" s="87"/>
      <c r="R66" s="87"/>
      <c r="S66" s="87"/>
      <c r="T66" s="87"/>
      <c r="U66" s="87"/>
      <c r="V66" s="87"/>
      <c r="W66" s="87"/>
      <c r="X66" s="87"/>
      <c r="Y66" s="87"/>
      <c r="Z66" s="87"/>
      <c r="AA66" s="87"/>
      <c r="AB66" s="87"/>
      <c r="AC66" s="87"/>
      <c r="AD66" s="87"/>
      <c r="AE66" s="87"/>
      <c r="AF66" s="87"/>
      <c r="AG66" s="87"/>
      <c r="AH66" s="87"/>
      <c r="AI66" s="87"/>
      <c r="AJ66" s="87"/>
      <c r="AK66" s="87"/>
      <c r="AL66" s="87"/>
      <c r="AM66" s="87"/>
      <c r="AN66" s="87"/>
    </row>
    <row r="67" spans="1:40">
      <c r="A67" s="40" t="s">
        <v>18</v>
      </c>
      <c r="B67" s="501">
        <v>173.7278333748371</v>
      </c>
      <c r="C67" s="501">
        <v>119.59006298444659</v>
      </c>
      <c r="D67" s="501">
        <v>167.86294165448223</v>
      </c>
      <c r="E67" s="501">
        <v>115.15277092677309</v>
      </c>
      <c r="F67" s="501">
        <v>81.477848211979122</v>
      </c>
      <c r="G67" s="501">
        <v>115.373688186856</v>
      </c>
      <c r="H67" s="501">
        <v>112.7238957016578</v>
      </c>
      <c r="I67" s="501">
        <v>101.68264230064264</v>
      </c>
      <c r="J67" s="501">
        <v>177.27579745016035</v>
      </c>
      <c r="K67" s="501">
        <v>168.0874359042742</v>
      </c>
      <c r="L67" s="501">
        <v>152.58587737664345</v>
      </c>
      <c r="M67" s="501">
        <v>100</v>
      </c>
      <c r="N67" s="501" t="s">
        <v>93</v>
      </c>
      <c r="O67" s="501" t="s">
        <v>93</v>
      </c>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row>
    <row r="68" spans="1:40">
      <c r="A68" s="40" t="s">
        <v>19</v>
      </c>
      <c r="B68" s="501">
        <v>175.55438920498193</v>
      </c>
      <c r="C68" s="501">
        <v>126.69769827032985</v>
      </c>
      <c r="D68" s="501">
        <v>178.76701359710609</v>
      </c>
      <c r="E68" s="501">
        <v>120.36005824486546</v>
      </c>
      <c r="F68" s="501">
        <v>81.885319131608568</v>
      </c>
      <c r="G68" s="501">
        <v>113.39353862604939</v>
      </c>
      <c r="H68" s="501">
        <v>113.62217968668364</v>
      </c>
      <c r="I68" s="501">
        <v>100.43753738195774</v>
      </c>
      <c r="J68" s="501">
        <v>175.64228262502823</v>
      </c>
      <c r="K68" s="501">
        <v>171.92519770132742</v>
      </c>
      <c r="L68" s="501">
        <v>152.3568857792213</v>
      </c>
      <c r="M68" s="501">
        <v>103.17589413090907</v>
      </c>
      <c r="N68" s="501" t="s">
        <v>93</v>
      </c>
      <c r="O68" s="501" t="s">
        <v>93</v>
      </c>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row>
    <row r="69" spans="1:40">
      <c r="A69" s="40" t="s">
        <v>20</v>
      </c>
      <c r="B69" s="501">
        <v>177.76030409132008</v>
      </c>
      <c r="C69" s="501">
        <v>126.96504960142063</v>
      </c>
      <c r="D69" s="501">
        <v>182.00501436307152</v>
      </c>
      <c r="E69" s="501">
        <v>120.37216869447771</v>
      </c>
      <c r="F69" s="501">
        <v>81.23866499272097</v>
      </c>
      <c r="G69" s="501">
        <v>113.77556572380249</v>
      </c>
      <c r="H69" s="501">
        <v>115.05240450445413</v>
      </c>
      <c r="I69" s="501">
        <v>101.79980067943201</v>
      </c>
      <c r="J69" s="501">
        <v>179.55922828035233</v>
      </c>
      <c r="K69" s="501">
        <v>173.91356667999392</v>
      </c>
      <c r="L69" s="501">
        <v>155.37323740082442</v>
      </c>
      <c r="M69" s="501">
        <v>104.27882912965666</v>
      </c>
      <c r="N69" s="501" t="s">
        <v>93</v>
      </c>
      <c r="O69" s="501" t="s">
        <v>93</v>
      </c>
      <c r="P69" s="87"/>
      <c r="Q69" s="87"/>
      <c r="R69" s="87"/>
      <c r="S69" s="87"/>
      <c r="T69" s="87"/>
      <c r="U69" s="87"/>
      <c r="V69" s="87"/>
      <c r="W69" s="87"/>
      <c r="X69" s="87"/>
      <c r="Y69" s="87"/>
      <c r="Z69" s="87"/>
      <c r="AA69" s="87"/>
      <c r="AB69" s="87"/>
      <c r="AC69" s="87"/>
      <c r="AD69" s="87"/>
      <c r="AE69" s="87"/>
      <c r="AF69" s="87"/>
      <c r="AG69" s="87"/>
      <c r="AH69" s="87"/>
      <c r="AI69" s="87"/>
      <c r="AJ69" s="87"/>
      <c r="AK69" s="87"/>
      <c r="AL69" s="87"/>
      <c r="AM69" s="87"/>
      <c r="AN69" s="87"/>
    </row>
    <row r="70" spans="1:40">
      <c r="A70" s="40" t="s">
        <v>21</v>
      </c>
      <c r="B70" s="501">
        <v>177.92481485637737</v>
      </c>
      <c r="C70" s="501">
        <v>128.2152068108436</v>
      </c>
      <c r="D70" s="501">
        <v>180.94057106277293</v>
      </c>
      <c r="E70" s="501">
        <v>116.55996304637684</v>
      </c>
      <c r="F70" s="501">
        <v>80.147050282567164</v>
      </c>
      <c r="G70" s="501">
        <v>113.4054804343823</v>
      </c>
      <c r="H70" s="501">
        <v>116.5836526177242</v>
      </c>
      <c r="I70" s="501">
        <v>100.8439655212992</v>
      </c>
      <c r="J70" s="501">
        <v>185.72485107805807</v>
      </c>
      <c r="K70" s="501">
        <v>170.71728425110868</v>
      </c>
      <c r="L70" s="501">
        <v>155.0375613679029</v>
      </c>
      <c r="M70" s="501">
        <v>104.10378783928645</v>
      </c>
      <c r="N70" s="501" t="s">
        <v>93</v>
      </c>
      <c r="O70" s="501" t="s">
        <v>93</v>
      </c>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row>
    <row r="71" spans="1:40">
      <c r="A71" s="40" t="s">
        <v>22</v>
      </c>
      <c r="B71" s="501">
        <v>177.99464275501137</v>
      </c>
      <c r="C71" s="501">
        <v>136.38791812458661</v>
      </c>
      <c r="D71" s="501">
        <v>185.50603204853212</v>
      </c>
      <c r="E71" s="501">
        <v>121.34479123653746</v>
      </c>
      <c r="F71" s="501">
        <v>83.076251058666145</v>
      </c>
      <c r="G71" s="501">
        <v>113.94897325465932</v>
      </c>
      <c r="H71" s="501">
        <v>118.57376079618304</v>
      </c>
      <c r="I71" s="501">
        <v>100.05109978468725</v>
      </c>
      <c r="J71" s="501">
        <v>183.31980895071774</v>
      </c>
      <c r="K71" s="501">
        <v>173.44463872264524</v>
      </c>
      <c r="L71" s="501">
        <v>154.82975682828766</v>
      </c>
      <c r="M71" s="501">
        <v>103.64905073300133</v>
      </c>
      <c r="N71" s="501" t="s">
        <v>93</v>
      </c>
      <c r="O71" s="501" t="s">
        <v>93</v>
      </c>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row>
    <row r="72" spans="1:40">
      <c r="A72" s="40" t="s">
        <v>23</v>
      </c>
      <c r="B72" s="501">
        <v>177.0230064445233</v>
      </c>
      <c r="C72" s="501">
        <v>139.65995063248084</v>
      </c>
      <c r="D72" s="501">
        <v>183.59137609073758</v>
      </c>
      <c r="E72" s="501">
        <v>123.30314889282897</v>
      </c>
      <c r="F72" s="501">
        <v>84.250988008621377</v>
      </c>
      <c r="G72" s="501">
        <v>113.59502244676379</v>
      </c>
      <c r="H72" s="501">
        <v>122.92863296676664</v>
      </c>
      <c r="I72" s="501">
        <v>99.456297275669584</v>
      </c>
      <c r="J72" s="501">
        <v>180.5441804015789</v>
      </c>
      <c r="K72" s="501">
        <v>174.73283683005931</v>
      </c>
      <c r="L72" s="501">
        <v>154.74981851795113</v>
      </c>
      <c r="M72" s="501">
        <v>103.73857543932817</v>
      </c>
      <c r="N72" s="501" t="s">
        <v>93</v>
      </c>
      <c r="O72" s="501" t="s">
        <v>93</v>
      </c>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row>
    <row r="73" spans="1:40">
      <c r="A73" s="40" t="s">
        <v>24</v>
      </c>
      <c r="B73" s="501">
        <v>176.21600463197569</v>
      </c>
      <c r="C73" s="501">
        <v>133.86973069528551</v>
      </c>
      <c r="D73" s="501">
        <v>177.11110387561465</v>
      </c>
      <c r="E73" s="501">
        <v>120.81812944237215</v>
      </c>
      <c r="F73" s="501">
        <v>82.177164301890755</v>
      </c>
      <c r="G73" s="501">
        <v>113.08078476615167</v>
      </c>
      <c r="H73" s="501">
        <v>122.18037763300691</v>
      </c>
      <c r="I73" s="501">
        <v>99.408492553102079</v>
      </c>
      <c r="J73" s="501">
        <v>174.47106972768881</v>
      </c>
      <c r="K73" s="501">
        <v>173.90655297822613</v>
      </c>
      <c r="L73" s="501">
        <v>153.20945190120622</v>
      </c>
      <c r="M73" s="501">
        <v>102.74027320225775</v>
      </c>
      <c r="N73" s="501" t="s">
        <v>93</v>
      </c>
      <c r="O73" s="501" t="s">
        <v>93</v>
      </c>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row>
    <row r="74" spans="1:40">
      <c r="A74" s="40" t="s">
        <v>25</v>
      </c>
      <c r="B74" s="501">
        <v>176.92994748383535</v>
      </c>
      <c r="C74" s="501">
        <v>133.04943277519092</v>
      </c>
      <c r="D74" s="501">
        <v>173.13265164737911</v>
      </c>
      <c r="E74" s="501">
        <v>118.84240703291128</v>
      </c>
      <c r="F74" s="501">
        <v>81.543668810468247</v>
      </c>
      <c r="G74" s="501">
        <v>112.03491065279181</v>
      </c>
      <c r="H74" s="501">
        <v>120.01310979593552</v>
      </c>
      <c r="I74" s="501">
        <v>99.993581746664717</v>
      </c>
      <c r="J74" s="501">
        <v>170.94786155106902</v>
      </c>
      <c r="K74" s="501">
        <v>171.2080320951203</v>
      </c>
      <c r="L74" s="501">
        <v>153.4579969868135</v>
      </c>
      <c r="M74" s="501">
        <v>102.55482176434415</v>
      </c>
      <c r="N74" s="501" t="s">
        <v>93</v>
      </c>
      <c r="O74" s="501" t="s">
        <v>93</v>
      </c>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row>
    <row r="75" spans="1:40">
      <c r="A75" s="40" t="s">
        <v>26</v>
      </c>
      <c r="B75" s="501">
        <v>178.48432620954895</v>
      </c>
      <c r="C75" s="501">
        <v>132.80635984551992</v>
      </c>
      <c r="D75" s="501">
        <v>176.04964257631488</v>
      </c>
      <c r="E75" s="501">
        <v>117.40013467861644</v>
      </c>
      <c r="F75" s="501">
        <v>82.990048081178841</v>
      </c>
      <c r="G75" s="501">
        <v>110.40592571629071</v>
      </c>
      <c r="H75" s="501">
        <v>117.14359722962668</v>
      </c>
      <c r="I75" s="501">
        <v>100.39480793041777</v>
      </c>
      <c r="J75" s="501">
        <v>169.9155142537906</v>
      </c>
      <c r="K75" s="501">
        <v>170.08848101348616</v>
      </c>
      <c r="L75" s="501">
        <v>153.33103642965426</v>
      </c>
      <c r="M75" s="501">
        <v>103.01931304904144</v>
      </c>
      <c r="N75" s="501" t="s">
        <v>93</v>
      </c>
      <c r="O75" s="501" t="s">
        <v>93</v>
      </c>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row>
    <row r="76" spans="1:40">
      <c r="A76" s="40" t="s">
        <v>27</v>
      </c>
      <c r="B76" s="501">
        <v>180.18357238477779</v>
      </c>
      <c r="C76" s="501">
        <v>125.55837369107881</v>
      </c>
      <c r="D76" s="501">
        <v>174.21431215893733</v>
      </c>
      <c r="E76" s="501">
        <v>111.08598025946088</v>
      </c>
      <c r="F76" s="501">
        <v>82.064362576696809</v>
      </c>
      <c r="G76" s="501">
        <v>111.42668108749622</v>
      </c>
      <c r="H76" s="501">
        <v>113.73722889582903</v>
      </c>
      <c r="I76" s="501">
        <v>100.78612229513152</v>
      </c>
      <c r="J76" s="501">
        <v>165.97430947666987</v>
      </c>
      <c r="K76" s="501">
        <v>165.70732200641044</v>
      </c>
      <c r="L76" s="501">
        <v>152.09434631421442</v>
      </c>
      <c r="M76" s="501">
        <v>102.34444468757164</v>
      </c>
      <c r="N76" s="501" t="s">
        <v>93</v>
      </c>
      <c r="O76" s="501" t="s">
        <v>93</v>
      </c>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row>
    <row r="77" spans="1:40">
      <c r="A77" s="40" t="s">
        <v>28</v>
      </c>
      <c r="B77" s="501">
        <v>183.55708357282711</v>
      </c>
      <c r="C77" s="501">
        <v>129.68399803140451</v>
      </c>
      <c r="D77" s="501">
        <v>175.27002769446688</v>
      </c>
      <c r="E77" s="501">
        <v>114.31520055313658</v>
      </c>
      <c r="F77" s="501">
        <v>84.803319370847589</v>
      </c>
      <c r="G77" s="501">
        <v>113.44019068951179</v>
      </c>
      <c r="H77" s="501">
        <v>112.79938923606981</v>
      </c>
      <c r="I77" s="501">
        <v>101.9066031234527</v>
      </c>
      <c r="J77" s="501">
        <v>170.98160593133954</v>
      </c>
      <c r="K77" s="501">
        <v>170.08000401656062</v>
      </c>
      <c r="L77" s="501">
        <v>153.19961921084442</v>
      </c>
      <c r="M77" s="501">
        <v>104.32188972991592</v>
      </c>
      <c r="N77" s="501" t="s">
        <v>93</v>
      </c>
      <c r="O77" s="501" t="s">
        <v>93</v>
      </c>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row>
    <row r="78" spans="1:40">
      <c r="A78" s="40" t="s">
        <v>29</v>
      </c>
      <c r="B78" s="501">
        <v>185.37306737362005</v>
      </c>
      <c r="C78" s="501">
        <v>135.65302410506433</v>
      </c>
      <c r="D78" s="501">
        <v>180.59274523848558</v>
      </c>
      <c r="E78" s="501">
        <v>122.9193787348181</v>
      </c>
      <c r="F78" s="501">
        <v>84.759354636939463</v>
      </c>
      <c r="G78" s="501">
        <v>114.40594785045847</v>
      </c>
      <c r="H78" s="501">
        <v>113.91190675741419</v>
      </c>
      <c r="I78" s="501">
        <v>102.64423303243089</v>
      </c>
      <c r="J78" s="501">
        <v>176.03544095042145</v>
      </c>
      <c r="K78" s="501">
        <v>170.28841989862653</v>
      </c>
      <c r="L78" s="501">
        <v>154.33612305717864</v>
      </c>
      <c r="M78" s="501">
        <v>104.51085715654476</v>
      </c>
      <c r="N78" s="501" t="s">
        <v>93</v>
      </c>
      <c r="O78" s="501" t="s">
        <v>93</v>
      </c>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row>
    <row r="79" spans="1:40">
      <c r="A79" s="40" t="s">
        <v>1030</v>
      </c>
      <c r="B79" s="501"/>
      <c r="C79" s="501"/>
      <c r="D79" s="501"/>
      <c r="E79" s="501"/>
      <c r="F79" s="501"/>
      <c r="G79" s="501"/>
      <c r="H79" s="501"/>
      <c r="I79" s="501"/>
      <c r="J79" s="501"/>
      <c r="K79" s="501"/>
      <c r="L79" s="501"/>
      <c r="M79" s="501"/>
      <c r="N79" s="501"/>
      <c r="O79" s="501"/>
    </row>
    <row r="80" spans="1:40">
      <c r="A80" s="40" t="s">
        <v>18</v>
      </c>
      <c r="B80" s="501">
        <v>186.5118458476129</v>
      </c>
      <c r="C80" s="501">
        <v>136.64843336206275</v>
      </c>
      <c r="D80" s="501">
        <v>180.58501243868403</v>
      </c>
      <c r="E80" s="501">
        <v>127.13251021204749</v>
      </c>
      <c r="F80" s="501">
        <v>81.730030497344487</v>
      </c>
      <c r="G80" s="501">
        <v>114.2131206066298</v>
      </c>
      <c r="H80" s="501">
        <v>114.85288549015154</v>
      </c>
      <c r="I80" s="501">
        <v>101.7157409931923</v>
      </c>
      <c r="J80" s="501">
        <v>176.49222402503824</v>
      </c>
      <c r="K80" s="501">
        <v>170.54985333772532</v>
      </c>
      <c r="L80" s="501">
        <v>153.40856841806897</v>
      </c>
      <c r="M80" s="501">
        <v>104.06409984877999</v>
      </c>
      <c r="N80" s="501">
        <v>100</v>
      </c>
      <c r="O80" s="501" t="s">
        <v>93</v>
      </c>
    </row>
    <row r="81" spans="1:15">
      <c r="A81" s="40" t="s">
        <v>19</v>
      </c>
      <c r="B81" s="501">
        <v>190.25225703501005</v>
      </c>
      <c r="C81" s="501">
        <v>136.2854778231594</v>
      </c>
      <c r="D81" s="501">
        <v>179.46533813768011</v>
      </c>
      <c r="E81" s="501">
        <v>131.62556738595961</v>
      </c>
      <c r="F81" s="501">
        <v>80.749861890087175</v>
      </c>
      <c r="G81" s="501">
        <v>116.0104709398607</v>
      </c>
      <c r="H81" s="501">
        <v>113.01875787071056</v>
      </c>
      <c r="I81" s="501">
        <v>102.25772162990258</v>
      </c>
      <c r="J81" s="501">
        <v>181.12752839836767</v>
      </c>
      <c r="K81" s="501">
        <v>178.11197825469446</v>
      </c>
      <c r="L81" s="501">
        <v>154.84672130335622</v>
      </c>
      <c r="M81" s="501">
        <v>104.04965179240305</v>
      </c>
      <c r="N81" s="501">
        <v>101.47922246502934</v>
      </c>
      <c r="O81" s="501" t="s">
        <v>93</v>
      </c>
    </row>
    <row r="82" spans="1:15">
      <c r="A82" s="40" t="s">
        <v>20</v>
      </c>
      <c r="B82" s="501">
        <v>191.88282636001242</v>
      </c>
      <c r="C82" s="501">
        <v>133.16551321181345</v>
      </c>
      <c r="D82" s="501">
        <v>181.1933938035676</v>
      </c>
      <c r="E82" s="501">
        <v>132.45543414088189</v>
      </c>
      <c r="F82" s="501">
        <v>79.203423054681323</v>
      </c>
      <c r="G82" s="501">
        <v>115.98455320556704</v>
      </c>
      <c r="H82" s="501">
        <v>110.59656379539916</v>
      </c>
      <c r="I82" s="501">
        <v>102.67897980434476</v>
      </c>
      <c r="J82" s="501">
        <v>181.75145083913461</v>
      </c>
      <c r="K82" s="501">
        <v>175.73313760376786</v>
      </c>
      <c r="L82" s="501">
        <v>156.97447204976578</v>
      </c>
      <c r="M82" s="501">
        <v>103.75069510419645</v>
      </c>
      <c r="N82" s="501">
        <v>102.79044739564863</v>
      </c>
      <c r="O82" s="501" t="s">
        <v>93</v>
      </c>
    </row>
    <row r="83" spans="1:15">
      <c r="A83" s="40" t="s">
        <v>21</v>
      </c>
      <c r="B83" s="501">
        <v>190.84060186834529</v>
      </c>
      <c r="C83" s="501">
        <v>127.88671211679069</v>
      </c>
      <c r="D83" s="501">
        <v>176.84096916859522</v>
      </c>
      <c r="E83" s="501">
        <v>125.92630713261204</v>
      </c>
      <c r="F83" s="501">
        <v>77.652186271035404</v>
      </c>
      <c r="G83" s="501">
        <v>114.56056926190249</v>
      </c>
      <c r="H83" s="501">
        <v>107.35230962762866</v>
      </c>
      <c r="I83" s="501">
        <v>101.81384044667972</v>
      </c>
      <c r="J83" s="501">
        <v>183.77019759768442</v>
      </c>
      <c r="K83" s="501">
        <v>167.65393163158214</v>
      </c>
      <c r="L83" s="501">
        <v>155.62643206125648</v>
      </c>
      <c r="M83" s="501">
        <v>99.948455680649971</v>
      </c>
      <c r="N83" s="501">
        <v>99.19568920754898</v>
      </c>
      <c r="O83" s="501" t="s">
        <v>93</v>
      </c>
    </row>
    <row r="84" spans="1:15">
      <c r="A84" s="40" t="s">
        <v>22</v>
      </c>
      <c r="B84" s="501">
        <v>189.96911919246722</v>
      </c>
      <c r="C84" s="501">
        <v>128.27770656847076</v>
      </c>
      <c r="D84" s="501">
        <v>176.07497087311765</v>
      </c>
      <c r="E84" s="501">
        <v>126.55822155487373</v>
      </c>
      <c r="F84" s="501">
        <v>76.541461116071972</v>
      </c>
      <c r="G84" s="501">
        <v>113.52571909303255</v>
      </c>
      <c r="H84" s="501">
        <v>108.02174439277626</v>
      </c>
      <c r="I84" s="501">
        <v>101.12567755872188</v>
      </c>
      <c r="J84" s="501">
        <v>178.4108111040259</v>
      </c>
      <c r="K84" s="501">
        <v>167.90445402614915</v>
      </c>
      <c r="L84" s="501">
        <v>154.16675033706673</v>
      </c>
      <c r="M84" s="501">
        <v>96.936283956826699</v>
      </c>
      <c r="N84" s="501">
        <v>98.803059608385581</v>
      </c>
      <c r="O84" s="501" t="s">
        <v>93</v>
      </c>
    </row>
    <row r="85" spans="1:15">
      <c r="A85" s="40" t="s">
        <v>23</v>
      </c>
      <c r="B85" s="501">
        <v>189.22558708819273</v>
      </c>
      <c r="C85" s="501">
        <v>127.31316423721175</v>
      </c>
      <c r="D85" s="501">
        <v>176.55962742032122</v>
      </c>
      <c r="E85" s="501">
        <v>129.91295850074349</v>
      </c>
      <c r="F85" s="501">
        <v>76.156529317709541</v>
      </c>
      <c r="G85" s="501">
        <v>112.4953662727911</v>
      </c>
      <c r="H85" s="501">
        <v>109.97744021368875</v>
      </c>
      <c r="I85" s="501">
        <v>100.38996567375051</v>
      </c>
      <c r="J85" s="501">
        <v>176.11022326347648</v>
      </c>
      <c r="K85" s="501">
        <v>163.93137397002465</v>
      </c>
      <c r="L85" s="501">
        <v>152.53368658415511</v>
      </c>
      <c r="M85" s="501">
        <v>131.78981159663437</v>
      </c>
      <c r="N85" s="501">
        <v>97.746516838809711</v>
      </c>
      <c r="O85" s="501" t="s">
        <v>93</v>
      </c>
    </row>
    <row r="86" spans="1:15">
      <c r="A86" s="40" t="s">
        <v>24</v>
      </c>
      <c r="B86" s="501">
        <v>187.19736543056271</v>
      </c>
      <c r="C86" s="501">
        <v>126.96372449384489</v>
      </c>
      <c r="D86" s="501">
        <v>174.03615432831205</v>
      </c>
      <c r="E86" s="501">
        <v>143.22631490091314</v>
      </c>
      <c r="F86" s="501">
        <v>77.5674947014124</v>
      </c>
      <c r="G86" s="501">
        <v>113.45895514184156</v>
      </c>
      <c r="H86" s="501">
        <v>111.07486475631005</v>
      </c>
      <c r="I86" s="501">
        <v>100.29865237751224</v>
      </c>
      <c r="J86" s="501">
        <v>167.23483768619698</v>
      </c>
      <c r="K86" s="501">
        <v>168.8100505786839</v>
      </c>
      <c r="L86" s="501">
        <v>149.15351203580053</v>
      </c>
      <c r="M86" s="501">
        <v>127.87743519803431</v>
      </c>
      <c r="N86" s="501">
        <v>95.564269880447512</v>
      </c>
      <c r="O86" s="501" t="s">
        <v>93</v>
      </c>
    </row>
    <row r="87" spans="1:15">
      <c r="A87" s="40" t="s">
        <v>25</v>
      </c>
      <c r="B87" s="501">
        <v>187.66316547032221</v>
      </c>
      <c r="C87" s="501">
        <v>128.50891686629467</v>
      </c>
      <c r="D87" s="501">
        <v>174.27267629031078</v>
      </c>
      <c r="E87" s="501">
        <v>142.41761969443073</v>
      </c>
      <c r="F87" s="501">
        <v>78.693309579023648</v>
      </c>
      <c r="G87" s="501">
        <v>114.6216738442884</v>
      </c>
      <c r="H87" s="501">
        <v>110.50624940239889</v>
      </c>
      <c r="I87" s="501">
        <v>100.22538175516642</v>
      </c>
      <c r="J87" s="501">
        <v>168.69378327177361</v>
      </c>
      <c r="K87" s="501">
        <v>170.05194812522546</v>
      </c>
      <c r="L87" s="501">
        <v>149.96664480840266</v>
      </c>
      <c r="M87" s="501">
        <v>117.87743096988937</v>
      </c>
      <c r="N87" s="501">
        <v>95.870520366033801</v>
      </c>
      <c r="O87" s="501" t="s">
        <v>93</v>
      </c>
    </row>
    <row r="88" spans="1:15">
      <c r="A88" s="40" t="s">
        <v>26</v>
      </c>
      <c r="B88" s="501">
        <v>189.07692632369418</v>
      </c>
      <c r="C88" s="501">
        <v>133.62175900783942</v>
      </c>
      <c r="D88" s="501">
        <v>181.13007127896165</v>
      </c>
      <c r="E88" s="501">
        <v>145.35909162816344</v>
      </c>
      <c r="F88" s="501">
        <v>84.127050900139892</v>
      </c>
      <c r="G88" s="501">
        <v>115.76475470531412</v>
      </c>
      <c r="H88" s="501">
        <v>111.92073960489573</v>
      </c>
      <c r="I88" s="501">
        <v>101.40219788271541</v>
      </c>
      <c r="J88" s="501">
        <v>169.81035807641209</v>
      </c>
      <c r="K88" s="501">
        <v>178.50045007903199</v>
      </c>
      <c r="L88" s="501">
        <v>150.51112481842208</v>
      </c>
      <c r="M88" s="501">
        <v>110.13624124588594</v>
      </c>
      <c r="N88" s="501">
        <v>100.35340162625349</v>
      </c>
      <c r="O88" s="501" t="s">
        <v>93</v>
      </c>
    </row>
    <row r="89" spans="1:15">
      <c r="A89" s="40" t="s">
        <v>27</v>
      </c>
      <c r="B89" s="501">
        <v>189.29061645222299</v>
      </c>
      <c r="C89" s="501">
        <v>134.22509462773985</v>
      </c>
      <c r="D89" s="501">
        <v>181.77832054799489</v>
      </c>
      <c r="E89" s="501">
        <v>144.0618473800175</v>
      </c>
      <c r="F89" s="501">
        <v>85.957161002703344</v>
      </c>
      <c r="G89" s="501">
        <v>115.84545626292919</v>
      </c>
      <c r="H89" s="501">
        <v>111.88869970870232</v>
      </c>
      <c r="I89" s="501">
        <v>101.73380784356578</v>
      </c>
      <c r="J89" s="501">
        <v>169.36737846847581</v>
      </c>
      <c r="K89" s="501">
        <v>177.87959905811013</v>
      </c>
      <c r="L89" s="501">
        <v>149.85723369980042</v>
      </c>
      <c r="M89" s="501">
        <v>80.464286468474242</v>
      </c>
      <c r="N89" s="501">
        <v>103.96379040552387</v>
      </c>
      <c r="O89" s="501" t="s">
        <v>93</v>
      </c>
    </row>
    <row r="90" spans="1:15">
      <c r="A90" s="40" t="s">
        <v>28</v>
      </c>
      <c r="B90" s="501">
        <v>191.3538535890151</v>
      </c>
      <c r="C90" s="501">
        <v>136.9496562666998</v>
      </c>
      <c r="D90" s="501">
        <v>182.66928259696635</v>
      </c>
      <c r="E90" s="501">
        <v>141.42703926481275</v>
      </c>
      <c r="F90" s="501">
        <v>85.206192951418032</v>
      </c>
      <c r="G90" s="501">
        <v>117.08380683532191</v>
      </c>
      <c r="H90" s="501">
        <v>112.22931240080088</v>
      </c>
      <c r="I90" s="501">
        <v>102.12310258824347</v>
      </c>
      <c r="J90" s="501">
        <v>174.13525649434084</v>
      </c>
      <c r="K90" s="501">
        <v>182.63086390616766</v>
      </c>
      <c r="L90" s="501">
        <v>151.51461893634004</v>
      </c>
      <c r="M90" s="501">
        <v>94.405719973974811</v>
      </c>
      <c r="N90" s="501">
        <v>103.11585795443645</v>
      </c>
      <c r="O90" s="501" t="s">
        <v>93</v>
      </c>
    </row>
    <row r="91" spans="1:15">
      <c r="A91" s="40" t="s">
        <v>29</v>
      </c>
      <c r="B91" s="501">
        <v>193.18780683323726</v>
      </c>
      <c r="C91" s="501">
        <v>141.93454109497702</v>
      </c>
      <c r="D91" s="501">
        <v>187.9171351549964</v>
      </c>
      <c r="E91" s="501">
        <v>146.6424459112441</v>
      </c>
      <c r="F91" s="501">
        <v>87.419474738018337</v>
      </c>
      <c r="G91" s="501">
        <v>118.09956682600385</v>
      </c>
      <c r="H91" s="501">
        <v>112.86195295751349</v>
      </c>
      <c r="I91" s="501">
        <v>102.88795181239979</v>
      </c>
      <c r="J91" s="501">
        <v>176.51882306085136</v>
      </c>
      <c r="K91" s="501">
        <v>187.05917333957044</v>
      </c>
      <c r="L91" s="501">
        <v>151.75720007675113</v>
      </c>
      <c r="M91" s="501">
        <v>151.09501516550475</v>
      </c>
      <c r="N91" s="501">
        <v>105.03782118484412</v>
      </c>
      <c r="O91" s="501" t="s">
        <v>93</v>
      </c>
    </row>
    <row r="92" spans="1:15">
      <c r="A92" s="40" t="s">
        <v>1301</v>
      </c>
      <c r="B92" s="501"/>
      <c r="C92" s="501"/>
      <c r="D92" s="501"/>
      <c r="E92" s="501"/>
      <c r="F92" s="501"/>
      <c r="G92" s="501"/>
      <c r="H92" s="501"/>
      <c r="I92" s="501"/>
      <c r="J92" s="501"/>
      <c r="K92" s="501"/>
      <c r="L92" s="501"/>
      <c r="M92" s="501"/>
      <c r="N92" s="501"/>
      <c r="O92" s="501"/>
    </row>
    <row r="93" spans="1:15">
      <c r="A93" s="40" t="s">
        <v>18</v>
      </c>
      <c r="B93" s="501">
        <v>192.96732532535327</v>
      </c>
      <c r="C93" s="501">
        <v>146.33824016818338</v>
      </c>
      <c r="D93" s="501">
        <v>190.35081624206825</v>
      </c>
      <c r="E93" s="501">
        <v>144.41573774500333</v>
      </c>
      <c r="F93" s="501">
        <v>86.921527462159943</v>
      </c>
      <c r="G93" s="501">
        <v>118.16606342291391</v>
      </c>
      <c r="H93" s="501">
        <v>113.20611066998416</v>
      </c>
      <c r="I93" s="501">
        <v>102.93876345098059</v>
      </c>
      <c r="J93" s="501">
        <v>174.43135633629589</v>
      </c>
      <c r="K93" s="501">
        <v>188.91598686534414</v>
      </c>
      <c r="L93" s="501">
        <v>149.3560296957103</v>
      </c>
      <c r="M93" s="501">
        <v>147.01238290283834</v>
      </c>
      <c r="N93" s="501">
        <v>104.25234011722966</v>
      </c>
      <c r="O93" s="501" t="s">
        <v>93</v>
      </c>
    </row>
    <row r="94" spans="1:15">
      <c r="A94" s="40" t="s">
        <v>19</v>
      </c>
      <c r="B94" s="501">
        <v>192.4794959857002</v>
      </c>
      <c r="C94" s="501">
        <v>142.16764499420725</v>
      </c>
      <c r="D94" s="501">
        <v>185.80679200812713</v>
      </c>
      <c r="E94" s="501">
        <v>136.69659648052982</v>
      </c>
      <c r="F94" s="501">
        <v>82.392610071974389</v>
      </c>
      <c r="G94" s="501">
        <v>117.97095286206343</v>
      </c>
      <c r="H94" s="501">
        <v>112.39362888744115</v>
      </c>
      <c r="I94" s="501">
        <v>102.57801346593362</v>
      </c>
      <c r="J94" s="501">
        <v>177.41716155646799</v>
      </c>
      <c r="K94" s="501">
        <v>185.54606278366865</v>
      </c>
      <c r="L94" s="501">
        <v>149.29842614087778</v>
      </c>
      <c r="M94" s="501">
        <v>143.39894023128306</v>
      </c>
      <c r="N94" s="501">
        <v>102.08332675718489</v>
      </c>
      <c r="O94" s="501" t="s">
        <v>93</v>
      </c>
    </row>
    <row r="95" spans="1:15">
      <c r="A95" s="40" t="s">
        <v>20</v>
      </c>
      <c r="B95" s="501">
        <v>192.53511970084327</v>
      </c>
      <c r="C95" s="501">
        <v>141.01179360401119</v>
      </c>
      <c r="D95" s="501">
        <v>185.42173476995572</v>
      </c>
      <c r="E95" s="501">
        <v>138.64059565797143</v>
      </c>
      <c r="F95" s="501">
        <v>80.72008437489518</v>
      </c>
      <c r="G95" s="501">
        <v>118.06135050180086</v>
      </c>
      <c r="H95" s="501">
        <v>112.55256239665908</v>
      </c>
      <c r="I95" s="501">
        <v>102.32456747794043</v>
      </c>
      <c r="J95" s="501">
        <v>186.43141773707603</v>
      </c>
      <c r="K95" s="501">
        <v>186.79190941282204</v>
      </c>
      <c r="L95" s="501">
        <v>149.70321209027639</v>
      </c>
      <c r="M95" s="501">
        <v>138.6414389314001</v>
      </c>
      <c r="N95" s="501">
        <v>102.62254504150829</v>
      </c>
      <c r="O95" s="501" t="s">
        <v>93</v>
      </c>
    </row>
    <row r="96" spans="1:15">
      <c r="A96" s="40" t="s">
        <v>21</v>
      </c>
      <c r="B96" s="501">
        <v>191.75114775101628</v>
      </c>
      <c r="C96" s="501">
        <v>140.18610472942029</v>
      </c>
      <c r="D96" s="501">
        <v>181.65818038058489</v>
      </c>
      <c r="E96" s="501">
        <v>136.34206752835647</v>
      </c>
      <c r="F96" s="501">
        <v>80.552370017630423</v>
      </c>
      <c r="G96" s="501">
        <v>117.61757091790351</v>
      </c>
      <c r="H96" s="501">
        <v>110.94959220419437</v>
      </c>
      <c r="I96" s="501">
        <v>101.21115890870095</v>
      </c>
      <c r="J96" s="501">
        <v>183.11957656633513</v>
      </c>
      <c r="K96" s="501">
        <v>183.54850039726952</v>
      </c>
      <c r="L96" s="501">
        <v>149.06510876541969</v>
      </c>
      <c r="M96" s="501">
        <v>134.74765414959765</v>
      </c>
      <c r="N96" s="501">
        <v>103.28894722500905</v>
      </c>
      <c r="O96" s="501">
        <v>100</v>
      </c>
    </row>
    <row r="97" spans="1:15">
      <c r="A97" s="40" t="s">
        <v>22</v>
      </c>
      <c r="B97" s="501">
        <v>190.63234114491215</v>
      </c>
      <c r="C97" s="501">
        <v>142.8448640281602</v>
      </c>
      <c r="D97" s="501">
        <v>180.95346054333001</v>
      </c>
      <c r="E97" s="501">
        <v>136.81815569689644</v>
      </c>
      <c r="F97" s="501">
        <v>82.787059008118121</v>
      </c>
      <c r="G97" s="501">
        <v>117.18871625628708</v>
      </c>
      <c r="H97" s="501">
        <v>110.20934418907026</v>
      </c>
      <c r="I97" s="501">
        <v>99.653351295702521</v>
      </c>
      <c r="J97" s="501">
        <v>178.35918875949284</v>
      </c>
      <c r="K97" s="501">
        <v>185.56279470029432</v>
      </c>
      <c r="L97" s="501">
        <v>148.50898905491343</v>
      </c>
      <c r="M97" s="501">
        <v>133.22180081604762</v>
      </c>
      <c r="N97" s="501">
        <v>104.06503699505997</v>
      </c>
      <c r="O97" s="501">
        <v>101.71749293553896</v>
      </c>
    </row>
    <row r="98" spans="1:15">
      <c r="A98" s="40" t="s">
        <v>23</v>
      </c>
      <c r="B98" s="501">
        <v>188.13344920109802</v>
      </c>
      <c r="C98" s="501">
        <v>144.28093591626129</v>
      </c>
      <c r="D98" s="501">
        <v>183.85150484349614</v>
      </c>
      <c r="E98" s="501">
        <v>137.57064265414343</v>
      </c>
      <c r="F98" s="501">
        <v>86.674574208514571</v>
      </c>
      <c r="G98" s="501">
        <v>116.51791343688514</v>
      </c>
      <c r="H98" s="501">
        <v>110.36100982296915</v>
      </c>
      <c r="I98" s="501">
        <v>98.707188281270149</v>
      </c>
      <c r="J98" s="501">
        <v>175.93934157005992</v>
      </c>
      <c r="K98" s="501">
        <v>186.88374652973536</v>
      </c>
      <c r="L98" s="501">
        <v>148.42247180156468</v>
      </c>
      <c r="M98" s="501">
        <v>131.39194636522441</v>
      </c>
      <c r="N98" s="501">
        <v>103.54876625885714</v>
      </c>
      <c r="O98" s="501">
        <v>102.93000799932817</v>
      </c>
    </row>
    <row r="99" spans="1:15">
      <c r="A99" s="40" t="s">
        <v>24</v>
      </c>
      <c r="B99" s="501">
        <v>186.85792849537199</v>
      </c>
      <c r="C99" s="501">
        <v>146.69291884558331</v>
      </c>
      <c r="D99" s="501">
        <v>181.69685491574623</v>
      </c>
      <c r="E99" s="501">
        <v>136.04211905282224</v>
      </c>
      <c r="F99" s="501">
        <v>84.0321564627763</v>
      </c>
      <c r="G99" s="501">
        <v>115.97255519651691</v>
      </c>
      <c r="H99" s="501">
        <v>111.89704647828805</v>
      </c>
      <c r="I99" s="501">
        <v>98.341576196704068</v>
      </c>
      <c r="J99" s="501">
        <v>174.56086514955669</v>
      </c>
      <c r="K99" s="501">
        <v>190.07918032476925</v>
      </c>
      <c r="L99" s="501">
        <v>147.72344673197642</v>
      </c>
      <c r="M99" s="501">
        <v>129.20306296746503</v>
      </c>
      <c r="N99" s="501">
        <v>101.03901105395329</v>
      </c>
      <c r="O99" s="501">
        <v>104.6447950721613</v>
      </c>
    </row>
    <row r="100" spans="1:15">
      <c r="A100" s="40" t="s">
        <v>25</v>
      </c>
      <c r="B100" s="501">
        <v>184.91660663295485</v>
      </c>
      <c r="C100" s="501">
        <v>144.61581469092391</v>
      </c>
      <c r="D100" s="501">
        <v>178.80523168009427</v>
      </c>
      <c r="E100" s="501">
        <v>133.4867994153621</v>
      </c>
      <c r="F100" s="501">
        <v>82.190457470905699</v>
      </c>
      <c r="G100" s="501">
        <v>116.19961465453733</v>
      </c>
      <c r="H100" s="501">
        <v>110.9061870185308</v>
      </c>
      <c r="I100" s="501">
        <v>97.459205862414194</v>
      </c>
      <c r="J100" s="501">
        <v>172.82003481456957</v>
      </c>
      <c r="K100" s="501">
        <v>188.82187803408434</v>
      </c>
      <c r="L100" s="501">
        <v>145.94322399696861</v>
      </c>
      <c r="M100" s="501">
        <v>125.80073331387158</v>
      </c>
      <c r="N100" s="501">
        <v>99.257594647305467</v>
      </c>
      <c r="O100" s="501">
        <v>103.57872663779769</v>
      </c>
    </row>
    <row r="101" spans="1:15">
      <c r="A101" s="40" t="s">
        <v>26</v>
      </c>
      <c r="B101" s="501">
        <v>184.97099724538188</v>
      </c>
      <c r="C101" s="501">
        <v>139.28851261587113</v>
      </c>
      <c r="D101" s="501">
        <v>174.76583635884342</v>
      </c>
      <c r="E101" s="501">
        <v>133.46064283303397</v>
      </c>
      <c r="F101" s="501">
        <v>81.002192922274759</v>
      </c>
      <c r="G101" s="501">
        <v>117.1638466292588</v>
      </c>
      <c r="H101" s="501">
        <v>111.15470656235621</v>
      </c>
      <c r="I101" s="501">
        <v>97.658082571821694</v>
      </c>
      <c r="J101" s="501">
        <v>172.64049951840389</v>
      </c>
      <c r="K101" s="501">
        <v>186.92048307873173</v>
      </c>
      <c r="L101" s="501">
        <v>145.50122546193336</v>
      </c>
      <c r="M101" s="501">
        <v>126.42576814667274</v>
      </c>
      <c r="N101" s="501">
        <v>98.43619275809526</v>
      </c>
      <c r="O101" s="501">
        <v>100.78660037972833</v>
      </c>
    </row>
    <row r="102" spans="1:15">
      <c r="A102" s="40" t="s">
        <v>27</v>
      </c>
      <c r="B102" s="501">
        <v>186.2120938290895</v>
      </c>
      <c r="C102" s="501">
        <v>138.70228656459477</v>
      </c>
      <c r="D102" s="501">
        <v>175.67227086692671</v>
      </c>
      <c r="E102" s="501">
        <v>131.88794227379339</v>
      </c>
      <c r="F102" s="501">
        <v>80.32274797301757</v>
      </c>
      <c r="G102" s="501">
        <v>118.38501154626231</v>
      </c>
      <c r="H102" s="501">
        <v>112.37497164869937</v>
      </c>
      <c r="I102" s="501">
        <v>98.126773629263312</v>
      </c>
      <c r="J102" s="501">
        <v>175.68358073017123</v>
      </c>
      <c r="K102" s="501">
        <v>184.31364550706994</v>
      </c>
      <c r="L102" s="501">
        <v>145.28844469280045</v>
      </c>
      <c r="M102" s="501">
        <v>126.6221339694406</v>
      </c>
      <c r="N102" s="501">
        <v>97.849991285302096</v>
      </c>
      <c r="O102" s="501">
        <v>100.57020898907534</v>
      </c>
    </row>
    <row r="103" spans="1:15">
      <c r="A103" s="40" t="s">
        <v>28</v>
      </c>
      <c r="B103" s="501">
        <v>188.74611032626532</v>
      </c>
      <c r="C103" s="501">
        <v>141.9617809146857</v>
      </c>
      <c r="D103" s="501">
        <v>178.12207762904299</v>
      </c>
      <c r="E103" s="501">
        <v>132.1596390953317</v>
      </c>
      <c r="F103" s="501">
        <v>81.660585922174903</v>
      </c>
      <c r="G103" s="501">
        <v>120.16727574100869</v>
      </c>
      <c r="H103" s="501">
        <v>113.50790928408783</v>
      </c>
      <c r="I103" s="501">
        <v>98.539857282845333</v>
      </c>
      <c r="J103" s="501">
        <v>182.69903184962749</v>
      </c>
      <c r="K103" s="501">
        <v>189.35087882398886</v>
      </c>
      <c r="L103" s="501">
        <v>146.06583484508346</v>
      </c>
      <c r="M103" s="501">
        <v>126.01426022205482</v>
      </c>
      <c r="N103" s="501">
        <v>97.553984488329746</v>
      </c>
      <c r="O103" s="501">
        <v>102.66363103039136</v>
      </c>
    </row>
    <row r="104" spans="1:15">
      <c r="A104" s="40" t="s">
        <v>29</v>
      </c>
      <c r="B104" s="501">
        <v>190.01123503721917</v>
      </c>
      <c r="C104" s="501">
        <v>139.36091098291482</v>
      </c>
      <c r="D104" s="501">
        <v>176.64061964570334</v>
      </c>
      <c r="E104" s="501">
        <v>132.07724124236844</v>
      </c>
      <c r="F104" s="501">
        <v>80.06382546291465</v>
      </c>
      <c r="G104" s="501">
        <v>119.76812456100998</v>
      </c>
      <c r="H104" s="501">
        <v>114.48293017876405</v>
      </c>
      <c r="I104" s="501">
        <v>98.557719450620084</v>
      </c>
      <c r="J104" s="501">
        <v>190.40155570655236</v>
      </c>
      <c r="K104" s="501">
        <v>184.43544333347961</v>
      </c>
      <c r="L104" s="501">
        <v>145.24609456899009</v>
      </c>
      <c r="M104" s="501">
        <v>125.44135713185999</v>
      </c>
      <c r="N104" s="501">
        <v>97.347986219785156</v>
      </c>
      <c r="O104" s="501">
        <v>101.20877993635858</v>
      </c>
    </row>
    <row r="105" spans="1:15">
      <c r="A105" s="40" t="s">
        <v>1423</v>
      </c>
      <c r="B105" s="501"/>
      <c r="C105" s="501"/>
      <c r="D105" s="501"/>
      <c r="E105" s="501"/>
      <c r="F105" s="501"/>
      <c r="G105" s="501"/>
      <c r="H105" s="501"/>
      <c r="I105" s="501"/>
      <c r="J105" s="501"/>
      <c r="K105" s="501"/>
      <c r="L105" s="501"/>
      <c r="M105" s="501"/>
      <c r="N105" s="501"/>
      <c r="O105" s="501"/>
    </row>
    <row r="106" spans="1:15">
      <c r="A106" s="40" t="s">
        <v>18</v>
      </c>
      <c r="B106" s="501">
        <v>192.20948087545469</v>
      </c>
      <c r="C106" s="501">
        <v>140.38334142496558</v>
      </c>
      <c r="D106" s="501">
        <v>181.21742999033341</v>
      </c>
      <c r="E106" s="501">
        <v>130.3779492262052</v>
      </c>
      <c r="F106" s="501">
        <v>78.928654936466216</v>
      </c>
      <c r="G106" s="501">
        <v>120.81603607886217</v>
      </c>
      <c r="H106" s="501">
        <v>115.31079724353992</v>
      </c>
      <c r="I106" s="501">
        <v>98.991891903228819</v>
      </c>
      <c r="J106" s="501">
        <v>203.97010932856509</v>
      </c>
      <c r="K106" s="501">
        <v>184.65494664452413</v>
      </c>
      <c r="L106" s="501">
        <v>145.68012896426589</v>
      </c>
      <c r="M106" s="501">
        <v>123.90121278519247</v>
      </c>
      <c r="N106" s="501">
        <v>96.947831600945193</v>
      </c>
      <c r="O106" s="501">
        <v>102.92500659351344</v>
      </c>
    </row>
    <row r="107" spans="1:15">
      <c r="A107" s="40" t="s">
        <v>19</v>
      </c>
      <c r="B107" s="501">
        <v>191.83902226297124</v>
      </c>
      <c r="C107" s="501">
        <v>139.73260576515787</v>
      </c>
      <c r="D107" s="501">
        <v>186.1863514454696</v>
      </c>
      <c r="E107" s="501">
        <v>130.84746777471057</v>
      </c>
      <c r="F107" s="501">
        <v>78.717994888705221</v>
      </c>
      <c r="G107" s="501">
        <v>121.87880215676388</v>
      </c>
      <c r="H107" s="501">
        <v>116.11456060558632</v>
      </c>
      <c r="I107" s="501">
        <v>98.552743686138982</v>
      </c>
      <c r="J107" s="501">
        <v>215.39857396203331</v>
      </c>
      <c r="K107" s="501">
        <v>183.5558817372598</v>
      </c>
      <c r="L107" s="501">
        <v>145.09944742147962</v>
      </c>
      <c r="M107" s="501">
        <v>123.15729072583636</v>
      </c>
      <c r="N107" s="501">
        <v>99.081659890396821</v>
      </c>
      <c r="O107" s="501">
        <v>102.74200744120414</v>
      </c>
    </row>
    <row r="108" spans="1:15">
      <c r="A108" s="40" t="s">
        <v>20</v>
      </c>
      <c r="B108" s="501">
        <v>193.4096569041223</v>
      </c>
      <c r="C108" s="501">
        <v>143.25517982891958</v>
      </c>
      <c r="D108" s="501">
        <v>192.32172950371466</v>
      </c>
      <c r="E108" s="501">
        <v>133.06223655375533</v>
      </c>
      <c r="F108" s="501">
        <v>80.517661084481475</v>
      </c>
      <c r="G108" s="501">
        <v>122.67299390094655</v>
      </c>
      <c r="H108" s="501">
        <v>117.23660778880148</v>
      </c>
      <c r="I108" s="501">
        <v>99.137079649331241</v>
      </c>
      <c r="J108" s="501">
        <v>220.25459024095025</v>
      </c>
      <c r="K108" s="501">
        <v>184.30088700032584</v>
      </c>
      <c r="L108" s="501">
        <v>146.77713037077328</v>
      </c>
      <c r="M108" s="501">
        <v>122.12649381208681</v>
      </c>
      <c r="N108" s="501">
        <v>100.45053744224838</v>
      </c>
      <c r="O108" s="501">
        <v>106.0731460441223</v>
      </c>
    </row>
    <row r="109" spans="1:15">
      <c r="A109" s="40" t="s">
        <v>21</v>
      </c>
      <c r="B109" s="501">
        <v>195.06311177169778</v>
      </c>
      <c r="C109" s="501">
        <v>143.49095248407019</v>
      </c>
      <c r="D109" s="501">
        <v>189.93422858444137</v>
      </c>
      <c r="E109" s="501">
        <v>132.42233606517652</v>
      </c>
      <c r="F109" s="501">
        <v>81.879101370623516</v>
      </c>
      <c r="G109" s="501">
        <v>123.37421592328207</v>
      </c>
      <c r="H109" s="501">
        <v>116.9508953830624</v>
      </c>
      <c r="I109" s="501">
        <v>99.487475554360131</v>
      </c>
      <c r="J109" s="501">
        <v>227.82194622237722</v>
      </c>
      <c r="K109" s="501">
        <v>180.92643947784143</v>
      </c>
      <c r="L109" s="501">
        <v>146.42690776613702</v>
      </c>
      <c r="M109" s="501">
        <v>122.70260345587626</v>
      </c>
      <c r="N109" s="501">
        <v>102.79002287501945</v>
      </c>
      <c r="O109" s="501">
        <v>105.52268571040766</v>
      </c>
    </row>
    <row r="110" spans="1:15">
      <c r="A110" s="40" t="s">
        <v>22</v>
      </c>
      <c r="B110" s="501">
        <v>194.17514463430015</v>
      </c>
      <c r="C110" s="501">
        <v>143.27384380163221</v>
      </c>
      <c r="D110" s="501">
        <v>188.96917551882387</v>
      </c>
      <c r="E110" s="501">
        <v>133.54198736381156</v>
      </c>
      <c r="F110" s="501">
        <v>81.041711799319302</v>
      </c>
      <c r="G110" s="501">
        <v>122.6713877715396</v>
      </c>
      <c r="H110" s="501">
        <v>115.05995496142248</v>
      </c>
      <c r="I110" s="501">
        <v>98.927638226977777</v>
      </c>
      <c r="J110" s="501">
        <v>233.59254567696823</v>
      </c>
      <c r="K110" s="501">
        <v>180.26422808345788</v>
      </c>
      <c r="L110" s="501">
        <v>145.58461377781384</v>
      </c>
      <c r="M110" s="501">
        <v>121.75266308192644</v>
      </c>
      <c r="N110" s="501">
        <v>101.54050363486371</v>
      </c>
      <c r="O110" s="501">
        <v>107.06191280642388</v>
      </c>
    </row>
    <row r="111" spans="1:15">
      <c r="A111" s="40" t="s">
        <v>23</v>
      </c>
      <c r="B111" s="501">
        <v>190.98589859928654</v>
      </c>
      <c r="C111" s="501">
        <v>139.15048291901056</v>
      </c>
      <c r="D111" s="501">
        <v>185.01787327048802</v>
      </c>
      <c r="E111" s="501">
        <v>136.553524690373</v>
      </c>
      <c r="F111" s="501">
        <v>82.351881310433214</v>
      </c>
      <c r="G111" s="501">
        <v>121.57035587703189</v>
      </c>
      <c r="H111" s="501">
        <v>115.19881592495338</v>
      </c>
      <c r="I111" s="501">
        <v>97.777241795341794</v>
      </c>
      <c r="J111" s="501">
        <v>223.31147635867441</v>
      </c>
      <c r="K111" s="501">
        <v>176.95809935522894</v>
      </c>
      <c r="L111" s="501">
        <v>143.83930989375386</v>
      </c>
      <c r="M111" s="501">
        <v>120.81253577045503</v>
      </c>
      <c r="N111" s="501">
        <v>102.58170279246613</v>
      </c>
      <c r="O111" s="501">
        <v>103.36108359555719</v>
      </c>
    </row>
    <row r="112" spans="1:15">
      <c r="A112" s="40" t="s">
        <v>24</v>
      </c>
      <c r="B112" s="501">
        <v>189.26541800318762</v>
      </c>
      <c r="C112" s="501">
        <v>140.02751375267493</v>
      </c>
      <c r="D112" s="501">
        <v>187.21330171719248</v>
      </c>
      <c r="E112" s="501">
        <v>137.54639314971101</v>
      </c>
      <c r="F112" s="501">
        <v>82.217416612258674</v>
      </c>
      <c r="G112" s="501">
        <v>120.76858493093252</v>
      </c>
      <c r="H112" s="501">
        <v>115.90110929373991</v>
      </c>
      <c r="I112" s="501">
        <v>97.632318016718472</v>
      </c>
      <c r="J112" s="501">
        <v>226.26003168806488</v>
      </c>
      <c r="K112" s="501">
        <v>173.84293178113003</v>
      </c>
      <c r="L112" s="501">
        <v>142.65533214917502</v>
      </c>
      <c r="M112" s="501">
        <v>120.41266619302367</v>
      </c>
      <c r="N112" s="501">
        <v>100.82131092660852</v>
      </c>
      <c r="O112" s="501">
        <v>104.24059121776351</v>
      </c>
    </row>
    <row r="113" spans="1:15">
      <c r="A113" s="40" t="s">
        <v>25</v>
      </c>
      <c r="B113" s="501">
        <v>188.45160286797775</v>
      </c>
      <c r="C113" s="501">
        <v>137.10165765180491</v>
      </c>
      <c r="D113" s="501">
        <v>182.68622421003863</v>
      </c>
      <c r="E113" s="501">
        <v>139.05139164728266</v>
      </c>
      <c r="F113" s="501">
        <v>82.536620934701119</v>
      </c>
      <c r="G113" s="501">
        <v>120.90460728856529</v>
      </c>
      <c r="H113" s="501">
        <v>115.85447495025858</v>
      </c>
      <c r="I113" s="501">
        <v>97.366799263150455</v>
      </c>
      <c r="J113" s="501">
        <v>221.10171983944917</v>
      </c>
      <c r="K113" s="501">
        <v>171.45622928340734</v>
      </c>
      <c r="L113" s="501">
        <v>141.17761458827897</v>
      </c>
      <c r="M113" s="501">
        <v>120.86973087268808</v>
      </c>
      <c r="N113" s="501">
        <v>99.427630590818822</v>
      </c>
      <c r="O113" s="501">
        <v>102.04879314992118</v>
      </c>
    </row>
    <row r="114" spans="1:15">
      <c r="A114" s="40" t="s">
        <v>26</v>
      </c>
      <c r="B114" s="501">
        <v>188.20786169518095</v>
      </c>
      <c r="C114" s="501">
        <v>136.13734154520034</v>
      </c>
      <c r="D114" s="501">
        <v>177.62217006067726</v>
      </c>
      <c r="E114" s="501">
        <v>142.23721444002808</v>
      </c>
      <c r="F114" s="501">
        <v>81.332483493833294</v>
      </c>
      <c r="G114" s="501">
        <v>122.34422133884578</v>
      </c>
      <c r="H114" s="501">
        <v>116.06970844507215</v>
      </c>
      <c r="I114" s="501">
        <v>97.413499848410197</v>
      </c>
      <c r="J114" s="501">
        <v>223.42406841999539</v>
      </c>
      <c r="K114" s="501">
        <v>171.36697393315967</v>
      </c>
      <c r="L114" s="501">
        <v>140.11282729511356</v>
      </c>
      <c r="M114" s="501">
        <v>120.64057799413135</v>
      </c>
      <c r="N114" s="501">
        <v>96.394221276671161</v>
      </c>
      <c r="O114" s="501">
        <v>101.55624219298942</v>
      </c>
    </row>
    <row r="115" spans="1:15">
      <c r="A115" s="40" t="s">
        <v>27</v>
      </c>
      <c r="B115" s="501">
        <v>189.69394870899146</v>
      </c>
      <c r="C115" s="501">
        <v>134.22967898421007</v>
      </c>
      <c r="D115" s="501">
        <v>175.74498334243393</v>
      </c>
      <c r="E115" s="501">
        <v>138.4941561600466</v>
      </c>
      <c r="F115" s="501">
        <v>80.323056889339881</v>
      </c>
      <c r="G115" s="501">
        <v>122.94270382192977</v>
      </c>
      <c r="H115" s="501">
        <v>115.42700010487677</v>
      </c>
      <c r="I115" s="501">
        <v>98.229379792324906</v>
      </c>
      <c r="J115" s="501">
        <v>221.51247443735875</v>
      </c>
      <c r="K115" s="501">
        <v>170.44890383106096</v>
      </c>
      <c r="L115" s="501">
        <v>140.58967206942651</v>
      </c>
      <c r="M115" s="501">
        <v>120.77694589309634</v>
      </c>
      <c r="N115" s="501">
        <v>95.79601182717559</v>
      </c>
      <c r="O115" s="501">
        <v>99.906435006611403</v>
      </c>
    </row>
    <row r="116" spans="1:15">
      <c r="A116" s="40" t="s">
        <v>28</v>
      </c>
      <c r="B116" s="501">
        <v>191.02280201577676</v>
      </c>
      <c r="C116" s="501">
        <v>136.80544098080503</v>
      </c>
      <c r="D116" s="501">
        <v>176.79383864874441</v>
      </c>
      <c r="E116" s="501">
        <v>142.06182032622164</v>
      </c>
      <c r="F116" s="501">
        <v>81.940638387662133</v>
      </c>
      <c r="G116" s="501">
        <v>123.83797274772515</v>
      </c>
      <c r="H116" s="501">
        <v>116.60622711890863</v>
      </c>
      <c r="I116" s="501">
        <v>98.09331539190616</v>
      </c>
      <c r="J116" s="501">
        <v>227.66923266218953</v>
      </c>
      <c r="K116" s="501">
        <v>172.35809397159701</v>
      </c>
      <c r="L116" s="501">
        <v>141.43516121684746</v>
      </c>
      <c r="M116" s="501">
        <v>121.41768527078135</v>
      </c>
      <c r="N116" s="501">
        <v>96.172902116641467</v>
      </c>
      <c r="O116" s="501">
        <v>101.7919481097819</v>
      </c>
    </row>
    <row r="117" spans="1:15">
      <c r="A117" s="40" t="s">
        <v>29</v>
      </c>
      <c r="B117" s="501">
        <v>194.05443575032157</v>
      </c>
      <c r="C117" s="501">
        <v>136.9632716371832</v>
      </c>
      <c r="D117" s="501">
        <v>176.48870151350241</v>
      </c>
      <c r="E117" s="501">
        <v>147.05687672394259</v>
      </c>
      <c r="F117" s="501">
        <v>83.488794640841149</v>
      </c>
      <c r="G117" s="501">
        <v>126.13518451234363</v>
      </c>
      <c r="H117" s="501">
        <v>119.42881526096699</v>
      </c>
      <c r="I117" s="501">
        <v>99.638834084491862</v>
      </c>
      <c r="J117" s="501">
        <v>240.47087461062981</v>
      </c>
      <c r="K117" s="501">
        <v>173.92578144797142</v>
      </c>
      <c r="L117" s="501">
        <v>143.28381048812241</v>
      </c>
      <c r="M117" s="501">
        <v>122.85967687829049</v>
      </c>
      <c r="N117" s="501">
        <v>97.354155783046735</v>
      </c>
      <c r="O117" s="501">
        <v>101.87422327780573</v>
      </c>
    </row>
    <row r="118" spans="1:15">
      <c r="A118" s="40" t="s">
        <v>1634</v>
      </c>
      <c r="B118" s="501"/>
      <c r="C118" s="501"/>
      <c r="D118" s="501"/>
      <c r="E118" s="501"/>
      <c r="F118" s="501"/>
      <c r="G118" s="501"/>
      <c r="H118" s="501"/>
      <c r="I118" s="501"/>
      <c r="J118" s="501"/>
      <c r="K118" s="501"/>
      <c r="L118" s="501"/>
      <c r="M118" s="501"/>
      <c r="N118" s="501"/>
      <c r="O118" s="501"/>
    </row>
    <row r="119" spans="1:15">
      <c r="A119" s="40" t="s">
        <v>18</v>
      </c>
      <c r="B119" s="501">
        <v>193.4752409676087</v>
      </c>
      <c r="C119" s="501">
        <v>138.72558688061906</v>
      </c>
      <c r="D119" s="501">
        <v>176.16363287002477</v>
      </c>
      <c r="E119" s="501">
        <v>153.89896625672534</v>
      </c>
      <c r="F119" s="501">
        <v>84.507910425998219</v>
      </c>
      <c r="G119" s="501">
        <v>127.06257989225163</v>
      </c>
      <c r="H119" s="501">
        <v>121.53455156035157</v>
      </c>
      <c r="I119" s="501">
        <v>99.329043940327836</v>
      </c>
      <c r="J119" s="501">
        <v>241.91079025514296</v>
      </c>
      <c r="K119" s="501">
        <v>173.95828081796398</v>
      </c>
      <c r="L119" s="501">
        <v>141.06875095114657</v>
      </c>
      <c r="M119" s="501">
        <v>122.2885170458794</v>
      </c>
      <c r="N119" s="501">
        <v>97.437262773371572</v>
      </c>
      <c r="O119" s="501">
        <v>102.76595176403413</v>
      </c>
    </row>
    <row r="120" spans="1:15">
      <c r="A120" s="40" t="s">
        <v>19</v>
      </c>
      <c r="B120" s="501">
        <v>194.06038826851452</v>
      </c>
      <c r="C120" s="501">
        <v>138.71749326735619</v>
      </c>
      <c r="D120" s="501">
        <v>175.19510701290136</v>
      </c>
      <c r="E120" s="501">
        <v>154.26592135909226</v>
      </c>
      <c r="F120" s="501">
        <v>88.529854595129947</v>
      </c>
      <c r="G120" s="501">
        <v>135.43455359663008</v>
      </c>
      <c r="H120" s="501">
        <v>120.8475103752983</v>
      </c>
      <c r="I120" s="501">
        <v>108.94579582788852</v>
      </c>
      <c r="J120" s="501">
        <v>238.00687626790153</v>
      </c>
      <c r="K120" s="501">
        <v>176.19326882563811</v>
      </c>
      <c r="L120" s="501">
        <v>141.47729858070917</v>
      </c>
      <c r="M120" s="501">
        <v>122.11206158338915</v>
      </c>
      <c r="N120" s="501">
        <v>98.136403342392825</v>
      </c>
      <c r="O120" s="501">
        <v>102.2957688602458</v>
      </c>
    </row>
    <row r="121" spans="1:15">
      <c r="A121" s="40" t="s">
        <v>20</v>
      </c>
      <c r="B121" s="501">
        <v>194.26313475268361</v>
      </c>
      <c r="C121" s="501">
        <v>135.86320756331364</v>
      </c>
      <c r="D121" s="501">
        <v>174.35741996199522</v>
      </c>
      <c r="E121" s="501">
        <v>152.98814754189615</v>
      </c>
      <c r="F121" s="501">
        <v>87.898875627514684</v>
      </c>
      <c r="G121" s="501">
        <v>147.92511486109504</v>
      </c>
      <c r="H121" s="501">
        <v>120.55244798987809</v>
      </c>
      <c r="I121" s="501">
        <v>108.19072595581403</v>
      </c>
      <c r="J121" s="501">
        <v>237.91501624431342</v>
      </c>
      <c r="K121" s="501">
        <v>174.13227997930451</v>
      </c>
      <c r="L121" s="501">
        <v>144.76209251232419</v>
      </c>
      <c r="M121" s="501">
        <v>122.29640706062727</v>
      </c>
      <c r="N121" s="501">
        <v>97.990762197170454</v>
      </c>
      <c r="O121" s="501">
        <v>100.41276040333847</v>
      </c>
    </row>
    <row r="122" spans="1:15">
      <c r="A122" s="40" t="s">
        <v>21</v>
      </c>
      <c r="B122" s="501">
        <v>194.07075633456461</v>
      </c>
      <c r="C122" s="501">
        <v>136.17502137324385</v>
      </c>
      <c r="D122" s="501">
        <v>173.19517014055174</v>
      </c>
      <c r="E122" s="501">
        <v>145.5028921633687</v>
      </c>
      <c r="F122" s="501">
        <v>88.326948145744197</v>
      </c>
      <c r="G122" s="501">
        <v>168.60770984913358</v>
      </c>
      <c r="H122" s="501">
        <v>121.59579642261255</v>
      </c>
      <c r="I122" s="501">
        <v>114.08417621701052</v>
      </c>
      <c r="J122" s="501">
        <v>234.62462848110223</v>
      </c>
      <c r="K122" s="501">
        <v>174.38158236861108</v>
      </c>
      <c r="L122" s="501">
        <v>146.80168401155271</v>
      </c>
      <c r="M122" s="501">
        <v>122.16989408803094</v>
      </c>
      <c r="N122" s="501">
        <v>95.687723565212806</v>
      </c>
      <c r="O122" s="501">
        <v>100.95630227521443</v>
      </c>
    </row>
    <row r="123" spans="1:15">
      <c r="A123" s="40" t="s">
        <v>22</v>
      </c>
      <c r="B123" s="501">
        <v>191.7428001321145</v>
      </c>
      <c r="C123" s="501">
        <v>135.73702376929583</v>
      </c>
      <c r="D123" s="501">
        <v>170.74516001169783</v>
      </c>
      <c r="E123" s="501">
        <v>141.27395007742791</v>
      </c>
      <c r="F123" s="501">
        <v>84.931310438593954</v>
      </c>
      <c r="G123" s="501">
        <v>163.25752162131744</v>
      </c>
      <c r="H123" s="501">
        <v>121.53495212912652</v>
      </c>
      <c r="I123" s="501">
        <v>112.68663553101494</v>
      </c>
      <c r="J123" s="501">
        <v>230.16417480518064</v>
      </c>
      <c r="K123" s="501">
        <v>172.22769808576132</v>
      </c>
      <c r="L123" s="501">
        <v>145.82086673142231</v>
      </c>
      <c r="M123" s="501">
        <v>119.6064065734103</v>
      </c>
      <c r="N123" s="501">
        <v>93.138871606206905</v>
      </c>
      <c r="O123" s="501">
        <v>100.30274814477616</v>
      </c>
    </row>
    <row r="124" spans="1:15">
      <c r="A124" s="40" t="s">
        <v>23</v>
      </c>
      <c r="B124" s="501">
        <v>188.85243256357725</v>
      </c>
      <c r="C124" s="501">
        <v>135.45635050089425</v>
      </c>
      <c r="D124" s="501">
        <v>167.71707409376154</v>
      </c>
      <c r="E124" s="501">
        <v>140.96065283101379</v>
      </c>
      <c r="F124" s="501">
        <v>82.273723581206056</v>
      </c>
      <c r="G124" s="501">
        <v>160.26150192248576</v>
      </c>
      <c r="H124" s="501">
        <v>121.65468647274267</v>
      </c>
      <c r="I124" s="501">
        <v>111.67573640787616</v>
      </c>
      <c r="J124" s="501">
        <v>227.97795575615498</v>
      </c>
      <c r="K124" s="501">
        <v>169.14139616701033</v>
      </c>
      <c r="L124" s="501">
        <v>144.00810521118885</v>
      </c>
      <c r="M124" s="501">
        <v>118.2984648971545</v>
      </c>
      <c r="N124" s="501">
        <v>91.521850716914372</v>
      </c>
      <c r="O124" s="501">
        <v>100.10219788559255</v>
      </c>
    </row>
    <row r="125" spans="1:15">
      <c r="A125" s="40" t="s">
        <v>24</v>
      </c>
      <c r="B125" s="501">
        <v>187.15805814993516</v>
      </c>
      <c r="C125" s="501">
        <v>135.73625303624141</v>
      </c>
      <c r="D125" s="501">
        <v>165.1789464115964</v>
      </c>
      <c r="E125" s="501">
        <v>139.2497602176752</v>
      </c>
      <c r="F125" s="501">
        <v>81.807639320842057</v>
      </c>
      <c r="G125" s="501">
        <v>157.29725214330981</v>
      </c>
      <c r="H125" s="501">
        <v>120.71018808217279</v>
      </c>
      <c r="I125" s="501">
        <v>110.68598471221021</v>
      </c>
      <c r="J125" s="501">
        <v>225.44302298921787</v>
      </c>
      <c r="K125" s="501">
        <v>166.11584442602231</v>
      </c>
      <c r="L125" s="501">
        <v>142.05262173227277</v>
      </c>
      <c r="M125" s="501">
        <v>117.22820143689898</v>
      </c>
      <c r="N125" s="501">
        <v>90.861550109746901</v>
      </c>
      <c r="O125" s="501">
        <v>99.829929249266115</v>
      </c>
    </row>
    <row r="126" spans="1:15">
      <c r="A126" s="40" t="s">
        <v>25</v>
      </c>
      <c r="B126" s="501">
        <v>187.52130313238368</v>
      </c>
      <c r="C126" s="501">
        <v>137.97216431050546</v>
      </c>
      <c r="D126" s="501">
        <v>168.22824897226434</v>
      </c>
      <c r="E126" s="501">
        <v>141.8343790427343</v>
      </c>
      <c r="F126" s="501">
        <v>85.045161868614542</v>
      </c>
      <c r="G126" s="501">
        <v>171.69680829940299</v>
      </c>
      <c r="H126" s="501">
        <v>117.93972077320502</v>
      </c>
      <c r="I126" s="501">
        <v>109.39869089813249</v>
      </c>
      <c r="J126" s="501">
        <v>227.79245263989236</v>
      </c>
      <c r="K126" s="501">
        <v>169.7148083178873</v>
      </c>
      <c r="L126" s="501">
        <v>140.71168882722364</v>
      </c>
      <c r="M126" s="501">
        <v>117.31057718848487</v>
      </c>
      <c r="N126" s="501">
        <v>90.996810925848365</v>
      </c>
      <c r="O126" s="501">
        <v>101.30481028890438</v>
      </c>
    </row>
    <row r="127" spans="1:15">
      <c r="A127" s="40" t="s">
        <v>26</v>
      </c>
      <c r="B127" s="501">
        <v>189.38329656779166</v>
      </c>
      <c r="C127" s="501">
        <v>143.38857586363653</v>
      </c>
      <c r="D127" s="501">
        <v>173.88862012965328</v>
      </c>
      <c r="E127" s="501">
        <v>146.48287513222229</v>
      </c>
      <c r="F127" s="501">
        <v>89.622195711730015</v>
      </c>
      <c r="G127" s="501">
        <v>168.38607426921121</v>
      </c>
      <c r="H127" s="501">
        <v>118.98111285880196</v>
      </c>
      <c r="I127" s="501">
        <v>109.9387394364806</v>
      </c>
      <c r="J127" s="501">
        <v>239.58411174715275</v>
      </c>
      <c r="K127" s="501">
        <v>178.92340846434044</v>
      </c>
      <c r="L127" s="501">
        <v>141.14334142245315</v>
      </c>
      <c r="M127" s="501">
        <v>119.15261207198178</v>
      </c>
      <c r="N127" s="501">
        <v>93.061724662185426</v>
      </c>
      <c r="O127" s="501">
        <v>106.28700168470692</v>
      </c>
    </row>
    <row r="128" spans="1:15">
      <c r="A128" s="40" t="s">
        <v>27</v>
      </c>
      <c r="B128" s="501">
        <v>189.86421905081778</v>
      </c>
      <c r="C128" s="501">
        <v>146.29126138498287</v>
      </c>
      <c r="D128" s="501">
        <v>176.71437369393706</v>
      </c>
      <c r="E128" s="501">
        <v>147.04868415782371</v>
      </c>
      <c r="F128" s="501">
        <v>95.761792711338714</v>
      </c>
      <c r="G128" s="501">
        <v>165.38819352133694</v>
      </c>
      <c r="H128" s="501">
        <v>119.51353817519055</v>
      </c>
      <c r="I128" s="501">
        <v>109.5286785927034</v>
      </c>
      <c r="J128" s="501">
        <v>242.13443926853438</v>
      </c>
      <c r="K128" s="501">
        <v>183.06459165927174</v>
      </c>
      <c r="L128" s="501">
        <v>141.22571685393245</v>
      </c>
      <c r="M128" s="501">
        <v>119.75140706257888</v>
      </c>
      <c r="N128" s="501">
        <v>95.882962313205695</v>
      </c>
      <c r="O128" s="501">
        <v>108.35280023617574</v>
      </c>
    </row>
    <row r="129" spans="1:15">
      <c r="A129" s="40" t="s">
        <v>28</v>
      </c>
      <c r="B129" s="501">
        <v>190.5998074217492</v>
      </c>
      <c r="C129" s="501">
        <v>149.25833085417867</v>
      </c>
      <c r="D129" s="501">
        <v>180.88838480889694</v>
      </c>
      <c r="E129" s="501">
        <v>145.461366081308</v>
      </c>
      <c r="F129" s="501">
        <v>106.83663462868861</v>
      </c>
      <c r="G129" s="501">
        <v>183.37182103668084</v>
      </c>
      <c r="H129" s="501">
        <v>121.30078919418249</v>
      </c>
      <c r="I129" s="501">
        <v>108.97781934628105</v>
      </c>
      <c r="J129" s="501">
        <v>261.5079971280764</v>
      </c>
      <c r="K129" s="501">
        <v>188.95302514852082</v>
      </c>
      <c r="L129" s="501">
        <v>141.60019773305768</v>
      </c>
      <c r="M129" s="501">
        <v>120.81107740631543</v>
      </c>
      <c r="N129" s="501">
        <v>99.404436931880753</v>
      </c>
      <c r="O129" s="501">
        <v>109.88221480832981</v>
      </c>
    </row>
    <row r="130" spans="1:15">
      <c r="A130" s="40" t="s">
        <v>29</v>
      </c>
      <c r="B130" s="501">
        <v>192.37035062218192</v>
      </c>
      <c r="C130" s="501">
        <v>152.10106628423645</v>
      </c>
      <c r="D130" s="501">
        <v>183.57516885395032</v>
      </c>
      <c r="E130" s="501">
        <v>150.70244679587208</v>
      </c>
      <c r="F130" s="501">
        <v>127.6725497540619</v>
      </c>
      <c r="G130" s="501">
        <v>191.32244744572091</v>
      </c>
      <c r="H130" s="501">
        <v>127.91198711173978</v>
      </c>
      <c r="I130" s="501">
        <v>109.32360936386482</v>
      </c>
      <c r="J130" s="501">
        <v>270.50920623005953</v>
      </c>
      <c r="K130" s="501">
        <v>195.19189237014155</v>
      </c>
      <c r="L130" s="501">
        <v>143.49299447173527</v>
      </c>
      <c r="M130" s="501">
        <v>122.35495721425997</v>
      </c>
      <c r="N130" s="501">
        <v>100.52182105087577</v>
      </c>
      <c r="O130" s="501">
        <v>112.37885637933201</v>
      </c>
    </row>
    <row r="131" spans="1:15">
      <c r="A131" s="40" t="s">
        <v>1829</v>
      </c>
      <c r="B131" s="632"/>
      <c r="C131" s="632"/>
      <c r="D131" s="632"/>
      <c r="E131" s="632"/>
      <c r="F131" s="632"/>
      <c r="G131" s="632"/>
      <c r="H131" s="632"/>
      <c r="I131" s="632"/>
      <c r="J131" s="632"/>
      <c r="K131" s="632"/>
      <c r="L131" s="632"/>
      <c r="M131" s="632"/>
      <c r="N131" s="632"/>
      <c r="O131" s="632"/>
    </row>
    <row r="132" spans="1:15">
      <c r="A132" s="40" t="s">
        <v>18</v>
      </c>
      <c r="B132" s="501">
        <v>194.08603724186221</v>
      </c>
      <c r="C132" s="501">
        <v>163.44321140994339</v>
      </c>
      <c r="D132" s="501">
        <v>191.16735400521236</v>
      </c>
      <c r="E132" s="501">
        <v>151.86435625676077</v>
      </c>
      <c r="F132" s="501">
        <v>139.20330521608207</v>
      </c>
      <c r="G132" s="501">
        <v>188.25121205793869</v>
      </c>
      <c r="H132" s="501">
        <v>132.21038857068581</v>
      </c>
      <c r="I132" s="501">
        <v>109.85192091032177</v>
      </c>
      <c r="J132" s="501">
        <v>269.41744195606373</v>
      </c>
      <c r="K132" s="501">
        <v>197.7751551527312</v>
      </c>
      <c r="L132" s="501">
        <v>143.9573165202647</v>
      </c>
      <c r="M132" s="501">
        <v>151.15758634622134</v>
      </c>
      <c r="N132" s="501">
        <v>98.822044241983718</v>
      </c>
      <c r="O132" s="501">
        <v>108.80961593055586</v>
      </c>
    </row>
    <row r="133" spans="1:15">
      <c r="A133" s="40" t="s">
        <v>19</v>
      </c>
      <c r="B133" s="501">
        <v>183.6220892789789</v>
      </c>
      <c r="C133" s="501">
        <v>158.10092060647577</v>
      </c>
      <c r="D133" s="501">
        <v>178.91403845510715</v>
      </c>
      <c r="E133" s="501">
        <v>150.98398546899361</v>
      </c>
      <c r="F133" s="501">
        <v>130.74161844634199</v>
      </c>
      <c r="G133" s="501">
        <v>263.46262893354617</v>
      </c>
      <c r="H133" s="501">
        <v>135.60107773925799</v>
      </c>
      <c r="I133" s="501">
        <v>104.49784403820136</v>
      </c>
      <c r="J133" s="501">
        <v>256.12307234051013</v>
      </c>
      <c r="K133" s="501">
        <v>186.41765982890658</v>
      </c>
      <c r="L133" s="501">
        <v>135.52406111351712</v>
      </c>
      <c r="M133" s="501">
        <v>155.03027844726444</v>
      </c>
      <c r="N133" s="501">
        <v>94.70575013984049</v>
      </c>
      <c r="O133" s="501">
        <v>102.94358811609573</v>
      </c>
    </row>
    <row r="134" spans="1:15">
      <c r="A134" s="40" t="s">
        <v>20</v>
      </c>
      <c r="B134" s="501">
        <v>151.72810688243555</v>
      </c>
      <c r="C134" s="501">
        <v>135.89655530939868</v>
      </c>
      <c r="D134" s="501">
        <v>151.12702195505383</v>
      </c>
      <c r="E134" s="501">
        <v>129.93621044547771</v>
      </c>
      <c r="F134" s="501">
        <v>100.76522694639931</v>
      </c>
      <c r="G134" s="501">
        <v>185.29989979011771</v>
      </c>
      <c r="H134" s="501">
        <v>115.513167575401</v>
      </c>
      <c r="I134" s="501">
        <v>86.607770884602346</v>
      </c>
      <c r="J134" s="501">
        <v>214.65089735855742</v>
      </c>
      <c r="K134" s="501">
        <v>157.8586490999169</v>
      </c>
      <c r="L134" s="501">
        <v>112.48941940771969</v>
      </c>
      <c r="M134" s="501">
        <v>125.43959074857739</v>
      </c>
      <c r="N134" s="501">
        <v>79.372815874563415</v>
      </c>
      <c r="O134" s="501">
        <v>89.518467703393029</v>
      </c>
    </row>
    <row r="135" spans="1:15">
      <c r="A135" s="40" t="s">
        <v>21</v>
      </c>
      <c r="B135" s="501">
        <v>151.05128448872168</v>
      </c>
      <c r="C135" s="501">
        <v>135.59107333760178</v>
      </c>
      <c r="D135" s="501">
        <v>151.05310363158924</v>
      </c>
      <c r="E135" s="501">
        <v>130.39539266656641</v>
      </c>
      <c r="F135" s="501">
        <v>87.139140152724025</v>
      </c>
      <c r="G135" s="501">
        <v>157.83807360857861</v>
      </c>
      <c r="H135" s="501">
        <v>118.75531439459297</v>
      </c>
      <c r="I135" s="501">
        <v>86.374437772854094</v>
      </c>
      <c r="J135" s="501">
        <v>211.43495282923269</v>
      </c>
      <c r="K135" s="501">
        <v>154.15225055526849</v>
      </c>
      <c r="L135" s="501">
        <v>111.68635381610446</v>
      </c>
      <c r="M135" s="501">
        <v>119.36686848671545</v>
      </c>
      <c r="N135" s="501">
        <v>77.144967196955463</v>
      </c>
      <c r="O135" s="501">
        <v>87.24574681224054</v>
      </c>
    </row>
    <row r="136" spans="1:15">
      <c r="A136" s="40" t="s">
        <v>22</v>
      </c>
      <c r="B136" s="501">
        <v>149.8619268415068</v>
      </c>
      <c r="C136" s="501">
        <v>130.16526422224996</v>
      </c>
      <c r="D136" s="501">
        <v>144.6499053252505</v>
      </c>
      <c r="E136" s="501">
        <v>128.84145258204705</v>
      </c>
      <c r="F136" s="501">
        <v>83.07251635824818</v>
      </c>
      <c r="G136" s="501">
        <v>142.51285278663741</v>
      </c>
      <c r="H136" s="501">
        <v>120.82608475167046</v>
      </c>
      <c r="I136" s="501">
        <v>85.809686822967777</v>
      </c>
      <c r="J136" s="501">
        <v>211.85927751357346</v>
      </c>
      <c r="K136" s="501">
        <v>150.30030324094707</v>
      </c>
      <c r="L136" s="501">
        <v>111.52733339174796</v>
      </c>
      <c r="M136" s="501">
        <v>117.22577144275807</v>
      </c>
      <c r="N136" s="501">
        <v>76.938872084744332</v>
      </c>
      <c r="O136" s="501">
        <v>83.925155452276229</v>
      </c>
    </row>
    <row r="137" spans="1:15">
      <c r="A137" s="40" t="s">
        <v>23</v>
      </c>
      <c r="B137" s="501">
        <v>147.74991249917824</v>
      </c>
      <c r="C137" s="501">
        <v>128.07156049558407</v>
      </c>
      <c r="D137" s="501">
        <v>142.23976483337353</v>
      </c>
      <c r="E137" s="501">
        <v>130.85514972795752</v>
      </c>
      <c r="F137" s="501">
        <v>88.282168627715549</v>
      </c>
      <c r="G137" s="501">
        <v>143.18969010170548</v>
      </c>
      <c r="H137" s="501">
        <v>116.39070917596868</v>
      </c>
      <c r="I137" s="501">
        <v>85.041793286009451</v>
      </c>
      <c r="J137" s="501">
        <v>215.25232794781084</v>
      </c>
      <c r="K137" s="501">
        <v>146.46459309427016</v>
      </c>
      <c r="L137" s="501">
        <v>110.34007367228594</v>
      </c>
      <c r="M137" s="501">
        <v>122.99273327989245</v>
      </c>
      <c r="N137" s="501">
        <v>77.408917600025106</v>
      </c>
      <c r="O137" s="501">
        <v>82.953945345292084</v>
      </c>
    </row>
    <row r="138" spans="1:15">
      <c r="A138" s="40" t="s">
        <v>24</v>
      </c>
      <c r="B138" s="501">
        <v>146.38091571602189</v>
      </c>
      <c r="C138" s="501">
        <v>130.31619266432125</v>
      </c>
      <c r="D138" s="501">
        <v>141.50270232504519</v>
      </c>
      <c r="E138" s="501">
        <v>129.38982846892642</v>
      </c>
      <c r="F138" s="501">
        <v>91.072913498261926</v>
      </c>
      <c r="G138" s="501">
        <v>147.32197233888428</v>
      </c>
      <c r="H138" s="501">
        <v>115.81463098627124</v>
      </c>
      <c r="I138" s="501">
        <v>84.551331629042409</v>
      </c>
      <c r="J138" s="501">
        <v>212.82782796860246</v>
      </c>
      <c r="K138" s="501">
        <v>143.96291623624776</v>
      </c>
      <c r="L138" s="501">
        <v>109.12985536699364</v>
      </c>
      <c r="M138" s="501">
        <v>121.61324644491307</v>
      </c>
      <c r="N138" s="501">
        <v>78.897942367312282</v>
      </c>
      <c r="O138" s="501">
        <v>84.59959966135186</v>
      </c>
    </row>
    <row r="139" spans="1:15">
      <c r="A139" s="40" t="s">
        <v>25</v>
      </c>
      <c r="B139" s="501">
        <v>146.4369025428104</v>
      </c>
      <c r="C139" s="501">
        <v>128.84656982652575</v>
      </c>
      <c r="D139" s="501">
        <v>140.84575035683707</v>
      </c>
      <c r="E139" s="501">
        <v>136.32885460562389</v>
      </c>
      <c r="F139" s="501">
        <v>103.2259867240478</v>
      </c>
      <c r="G139" s="501">
        <v>146.90706776549771</v>
      </c>
      <c r="H139" s="501">
        <v>117.68075413585986</v>
      </c>
      <c r="I139" s="501">
        <v>92.222153171840588</v>
      </c>
      <c r="J139" s="501">
        <v>212.37353428752991</v>
      </c>
      <c r="K139" s="501">
        <v>145.8928860617637</v>
      </c>
      <c r="L139" s="501">
        <v>110.73929106144423</v>
      </c>
      <c r="M139" s="501">
        <v>128.72007240448923</v>
      </c>
      <c r="N139" s="501">
        <v>81.100671467266011</v>
      </c>
      <c r="O139" s="501">
        <v>86.175804390719478</v>
      </c>
    </row>
    <row r="140" spans="1:15">
      <c r="A140" s="40" t="s">
        <v>26</v>
      </c>
      <c r="B140" s="501">
        <v>147.24578446015158</v>
      </c>
      <c r="C140" s="501">
        <v>127.75559429127081</v>
      </c>
      <c r="D140" s="501">
        <v>143.50440983576601</v>
      </c>
      <c r="E140" s="501">
        <v>143.22326748701477</v>
      </c>
      <c r="F140" s="501">
        <v>105.40787083822532</v>
      </c>
      <c r="G140" s="501">
        <v>145.52211493749112</v>
      </c>
      <c r="H140" s="501">
        <v>119.90970769579815</v>
      </c>
      <c r="I140" s="501">
        <v>116.17253932071871</v>
      </c>
      <c r="J140" s="501">
        <v>207.34449388388006</v>
      </c>
      <c r="K140" s="501">
        <v>149.9448110491148</v>
      </c>
      <c r="L140" s="501">
        <v>111.61378387123726</v>
      </c>
      <c r="M140" s="501">
        <v>138.56511844749005</v>
      </c>
      <c r="N140" s="501">
        <v>81.929331863887583</v>
      </c>
      <c r="O140" s="501">
        <v>86.60985429289282</v>
      </c>
    </row>
    <row r="141" spans="1:15">
      <c r="A141" s="40" t="s">
        <v>27</v>
      </c>
      <c r="B141" s="501">
        <v>147.14699357702111</v>
      </c>
      <c r="C141" s="501">
        <v>127.86593543924977</v>
      </c>
      <c r="D141" s="501">
        <v>143.88500275432571</v>
      </c>
      <c r="E141" s="501">
        <v>137.28261846243868</v>
      </c>
      <c r="F141" s="501">
        <v>99.275523842348122</v>
      </c>
      <c r="G141" s="501">
        <v>147.93231854190827</v>
      </c>
      <c r="H141" s="501">
        <v>118.87040853053416</v>
      </c>
      <c r="I141" s="501">
        <v>117.56824526576355</v>
      </c>
      <c r="J141" s="501">
        <v>207.87661709609876</v>
      </c>
      <c r="K141" s="501">
        <v>148.35464361167536</v>
      </c>
      <c r="L141" s="501">
        <v>111.836328263868</v>
      </c>
      <c r="M141" s="501">
        <v>135.45135502691767</v>
      </c>
      <c r="N141" s="501">
        <v>79.354194437679993</v>
      </c>
      <c r="O141" s="501">
        <v>86.458533462601096</v>
      </c>
    </row>
    <row r="142" spans="1:15">
      <c r="A142" s="40" t="s">
        <v>28</v>
      </c>
      <c r="B142" s="501">
        <v>147.4012764204472</v>
      </c>
      <c r="C142" s="501">
        <v>133.8173908649303</v>
      </c>
      <c r="D142" s="501">
        <v>145.2509054769572</v>
      </c>
      <c r="E142" s="501">
        <v>134.06181832190703</v>
      </c>
      <c r="F142" s="501">
        <v>101.50402605694875</v>
      </c>
      <c r="G142" s="501">
        <v>154.48405746150596</v>
      </c>
      <c r="H142" s="501">
        <v>119.35015549222661</v>
      </c>
      <c r="I142" s="501">
        <v>124.88434134757946</v>
      </c>
      <c r="J142" s="501">
        <v>212.8550834907015</v>
      </c>
      <c r="K142" s="501">
        <v>149.83866897967056</v>
      </c>
      <c r="L142" s="501">
        <v>112.35355079100816</v>
      </c>
      <c r="M142" s="501">
        <v>138.23753936758655</v>
      </c>
      <c r="N142" s="501">
        <v>79.954547025550056</v>
      </c>
      <c r="O142" s="501">
        <v>90.130747132063547</v>
      </c>
    </row>
    <row r="143" spans="1:15">
      <c r="A143" s="40" t="s">
        <v>29</v>
      </c>
      <c r="B143" s="501">
        <v>131.59658371589262</v>
      </c>
      <c r="C143" s="501">
        <v>117.85695349624335</v>
      </c>
      <c r="D143" s="501">
        <v>131.36294499968116</v>
      </c>
      <c r="E143" s="501">
        <v>121.15999585195038</v>
      </c>
      <c r="F143" s="501">
        <v>95.046461667172565</v>
      </c>
      <c r="G143" s="501">
        <v>136.76818156885668</v>
      </c>
      <c r="H143" s="501">
        <v>107.07368309795059</v>
      </c>
      <c r="I143" s="501">
        <v>118.00410662195424</v>
      </c>
      <c r="J143" s="501">
        <v>188.73560921755848</v>
      </c>
      <c r="K143" s="501">
        <v>133.46862179120586</v>
      </c>
      <c r="L143" s="501">
        <v>101.03563825029545</v>
      </c>
      <c r="M143" s="501">
        <v>125.3447571977662</v>
      </c>
      <c r="N143" s="501">
        <v>72.45060060655814</v>
      </c>
      <c r="O143" s="501">
        <v>79.6010596899239</v>
      </c>
    </row>
    <row r="144" spans="1:15">
      <c r="A144" s="40" t="s">
        <v>1852</v>
      </c>
      <c r="B144" s="632"/>
      <c r="C144" s="632"/>
      <c r="D144" s="632"/>
      <c r="E144" s="632"/>
      <c r="F144" s="632"/>
      <c r="G144" s="632"/>
      <c r="H144" s="632"/>
      <c r="I144" s="632"/>
      <c r="J144" s="632"/>
      <c r="K144" s="632"/>
      <c r="L144" s="632"/>
      <c r="M144" s="632"/>
      <c r="N144" s="632"/>
      <c r="O144" s="632"/>
    </row>
    <row r="145" spans="1:15">
      <c r="A145" s="40" t="s">
        <v>18</v>
      </c>
      <c r="B145" s="501">
        <v>108.19711027464722</v>
      </c>
      <c r="C145" s="501">
        <v>98.509749723726387</v>
      </c>
      <c r="D145" s="501">
        <v>112.90402422863133</v>
      </c>
      <c r="E145" s="501">
        <v>100.51544920591355</v>
      </c>
      <c r="F145" s="501">
        <v>84.908459479813061</v>
      </c>
      <c r="G145" s="501">
        <v>116.02582533390586</v>
      </c>
      <c r="H145" s="501">
        <v>88.604242924717838</v>
      </c>
      <c r="I145" s="501">
        <v>106.57381866848969</v>
      </c>
      <c r="J145" s="501">
        <v>151.89650541698151</v>
      </c>
      <c r="K145" s="501">
        <v>112.20950532352457</v>
      </c>
      <c r="L145" s="501">
        <v>84.077515463719337</v>
      </c>
      <c r="M145" s="501">
        <v>109.83578544420398</v>
      </c>
      <c r="N145" s="501">
        <v>60.961276702800149</v>
      </c>
      <c r="O145" s="501">
        <v>66.472343422519685</v>
      </c>
    </row>
    <row r="146" spans="1:15">
      <c r="A146" s="40" t="s">
        <v>19</v>
      </c>
      <c r="B146" s="501">
        <v>109.52063264397091</v>
      </c>
      <c r="C146" s="501">
        <v>97.157715296775038</v>
      </c>
      <c r="D146" s="501">
        <v>114.86085648459799</v>
      </c>
      <c r="E146" s="501">
        <v>99.675938200764861</v>
      </c>
      <c r="F146" s="501">
        <v>85.646331258707946</v>
      </c>
      <c r="G146" s="501">
        <v>127.84378090351356</v>
      </c>
      <c r="H146" s="501">
        <v>91.247678007952814</v>
      </c>
      <c r="I146" s="501">
        <v>105.83880033109006</v>
      </c>
      <c r="J146" s="501">
        <v>148.16220429055255</v>
      </c>
      <c r="K146" s="501">
        <v>112.65063851380178</v>
      </c>
      <c r="L146" s="501">
        <v>83.196528940280317</v>
      </c>
      <c r="M146" s="501">
        <v>117.62562774914439</v>
      </c>
      <c r="N146" s="501">
        <v>62.212927216845003</v>
      </c>
      <c r="O146" s="501">
        <v>66.097273570606646</v>
      </c>
    </row>
    <row r="147" spans="1:15">
      <c r="A147" s="40" t="s">
        <v>20</v>
      </c>
      <c r="B147" s="501">
        <v>107.78861299493825</v>
      </c>
      <c r="C147" s="501">
        <v>94.347456309216085</v>
      </c>
      <c r="D147" s="501">
        <v>113.03455982274532</v>
      </c>
      <c r="E147" s="501">
        <v>96.136339289338764</v>
      </c>
      <c r="F147" s="501">
        <v>76.442419483947319</v>
      </c>
      <c r="G147" s="501">
        <v>124.31436024681229</v>
      </c>
      <c r="H147" s="501">
        <v>86.216906712378005</v>
      </c>
      <c r="I147" s="501">
        <v>99.602673986443648</v>
      </c>
      <c r="J147" s="501">
        <v>143.50091442044351</v>
      </c>
      <c r="K147" s="501">
        <v>110.04688535347577</v>
      </c>
      <c r="L147" s="501">
        <v>81.622603061819376</v>
      </c>
      <c r="M147" s="501">
        <v>109.66698276727362</v>
      </c>
      <c r="N147" s="501">
        <v>59.694080597621749</v>
      </c>
      <c r="O147" s="501">
        <v>64.234872515671299</v>
      </c>
    </row>
    <row r="148" spans="1:15">
      <c r="A148" s="40" t="s">
        <v>21</v>
      </c>
      <c r="B148" s="501">
        <v>113.71615750110769</v>
      </c>
      <c r="C148" s="501">
        <v>98.222023768412839</v>
      </c>
      <c r="D148" s="501">
        <v>119.53393214499503</v>
      </c>
      <c r="E148" s="501">
        <v>99.511285665533435</v>
      </c>
      <c r="F148" s="501">
        <v>76.680180903633328</v>
      </c>
      <c r="G148" s="501">
        <v>123.88828363982671</v>
      </c>
      <c r="H148" s="501">
        <v>87.388701502309615</v>
      </c>
      <c r="I148" s="501">
        <v>102.35470009793976</v>
      </c>
      <c r="J148" s="501">
        <v>147.61788953377425</v>
      </c>
      <c r="K148" s="501">
        <v>113.29061712336943</v>
      </c>
      <c r="L148" s="501">
        <v>86.398526548111221</v>
      </c>
      <c r="M148" s="501">
        <v>110.81683960388096</v>
      </c>
      <c r="N148" s="501">
        <v>61.215435503826235</v>
      </c>
      <c r="O148" s="501">
        <v>66.698813909885899</v>
      </c>
    </row>
    <row r="149" spans="1:15">
      <c r="A149" s="40" t="s">
        <v>22</v>
      </c>
      <c r="B149" s="501">
        <v>114.39784626082935</v>
      </c>
      <c r="C149" s="501">
        <v>98.860018127207681</v>
      </c>
      <c r="D149" s="501">
        <v>118.18331729945048</v>
      </c>
      <c r="E149" s="501">
        <v>103.32455007893415</v>
      </c>
      <c r="F149" s="501">
        <v>75.970444506156213</v>
      </c>
      <c r="G149" s="501">
        <v>122.73735927962271</v>
      </c>
      <c r="H149" s="501">
        <v>85.476573598063581</v>
      </c>
      <c r="I149" s="501">
        <v>101.52570935260657</v>
      </c>
      <c r="J149" s="501">
        <v>147.41140665929862</v>
      </c>
      <c r="K149" s="501">
        <v>114.94693263041648</v>
      </c>
      <c r="L149" s="501">
        <v>88.182309676519722</v>
      </c>
      <c r="M149" s="501">
        <v>108.88594899280787</v>
      </c>
      <c r="N149" s="501">
        <v>63.078417461555119</v>
      </c>
      <c r="O149" s="501">
        <v>68.023794002685833</v>
      </c>
    </row>
    <row r="150" spans="1:15">
      <c r="A150" s="40" t="s">
        <v>23</v>
      </c>
      <c r="B150" s="501">
        <v>112.61262547422035</v>
      </c>
      <c r="C150" s="501">
        <v>98.226796548286245</v>
      </c>
      <c r="D150" s="501">
        <v>119.38382024828006</v>
      </c>
      <c r="E150" s="501">
        <v>100.95413913933152</v>
      </c>
      <c r="F150" s="501">
        <v>74.241278592562793</v>
      </c>
      <c r="G150" s="501">
        <v>120.14942739721214</v>
      </c>
      <c r="H150" s="501">
        <v>84.938172380399223</v>
      </c>
      <c r="I150" s="501">
        <v>100.88944582264371</v>
      </c>
      <c r="J150" s="501">
        <v>140.95876528912274</v>
      </c>
      <c r="K150" s="501">
        <v>114.60726046258456</v>
      </c>
      <c r="L150" s="501">
        <v>87.911962696337781</v>
      </c>
      <c r="M150" s="501">
        <v>109.30828464198312</v>
      </c>
      <c r="N150" s="501">
        <v>62.03422223285024</v>
      </c>
      <c r="O150" s="501">
        <v>66.562883816197242</v>
      </c>
    </row>
    <row r="151" spans="1:15">
      <c r="A151" s="40" t="s">
        <v>24</v>
      </c>
      <c r="B151" s="501">
        <v>109.09696421281356</v>
      </c>
      <c r="C151" s="501">
        <v>96.866001181961707</v>
      </c>
      <c r="D151" s="501">
        <v>124.27930531806372</v>
      </c>
      <c r="E151" s="501">
        <v>97.826774332275903</v>
      </c>
      <c r="F151" s="501">
        <v>70.296295607311578</v>
      </c>
      <c r="G151" s="501">
        <v>115.84310674033844</v>
      </c>
      <c r="H151" s="501">
        <v>88.389086805190985</v>
      </c>
      <c r="I151" s="501">
        <v>98.49445691482137</v>
      </c>
      <c r="J151" s="501">
        <v>135.10030365810562</v>
      </c>
      <c r="K151" s="501">
        <v>110.36099473222856</v>
      </c>
      <c r="L151" s="501">
        <v>86.081114009713644</v>
      </c>
      <c r="M151" s="501">
        <v>105.82635205829919</v>
      </c>
      <c r="N151" s="501">
        <v>58.484937647340146</v>
      </c>
      <c r="O151" s="501">
        <v>65.420844004114969</v>
      </c>
    </row>
    <row r="152" spans="1:15">
      <c r="A152" s="40" t="s">
        <v>25</v>
      </c>
      <c r="B152" s="501">
        <v>105.91544398042134</v>
      </c>
      <c r="C152" s="501">
        <v>92.987848335595075</v>
      </c>
      <c r="D152" s="501">
        <v>121.37248700923341</v>
      </c>
      <c r="E152" s="501">
        <v>95.517340546634273</v>
      </c>
      <c r="F152" s="501">
        <v>69.005529091109423</v>
      </c>
      <c r="G152" s="501">
        <v>114.28492213378229</v>
      </c>
      <c r="H152" s="501">
        <v>84.740128827845425</v>
      </c>
      <c r="I152" s="501">
        <v>96.37526421853066</v>
      </c>
      <c r="J152" s="501">
        <v>128.04729040159495</v>
      </c>
      <c r="K152" s="501">
        <v>106.02595794960399</v>
      </c>
      <c r="L152" s="501">
        <v>83.348145180487151</v>
      </c>
      <c r="M152" s="501">
        <v>101.22477075525602</v>
      </c>
      <c r="N152" s="501">
        <v>55.505704625956199</v>
      </c>
      <c r="O152" s="501">
        <v>63.005686639845415</v>
      </c>
    </row>
    <row r="153" spans="1:15">
      <c r="A153" s="40" t="s">
        <v>26</v>
      </c>
      <c r="B153" s="501">
        <v>106.49789104880956</v>
      </c>
      <c r="C153" s="501">
        <v>93.372405312946924</v>
      </c>
      <c r="D153" s="501">
        <v>121.51646397952773</v>
      </c>
      <c r="E153" s="501">
        <v>96.20007647149869</v>
      </c>
      <c r="F153" s="501">
        <v>69.019497934649266</v>
      </c>
      <c r="G153" s="501">
        <v>118.54035459497084</v>
      </c>
      <c r="H153" s="501">
        <v>84.892769263369175</v>
      </c>
      <c r="I153" s="501">
        <v>95.49801881763446</v>
      </c>
      <c r="J153" s="501">
        <v>129.87532375935334</v>
      </c>
      <c r="K153" s="501">
        <v>106.17711086523178</v>
      </c>
      <c r="L153" s="501">
        <v>83.767115022000667</v>
      </c>
      <c r="M153" s="501">
        <v>100.78361720122354</v>
      </c>
      <c r="N153" s="501">
        <v>55.498934465244147</v>
      </c>
      <c r="O153" s="501">
        <v>63.790269046574366</v>
      </c>
    </row>
    <row r="154" spans="1:15">
      <c r="A154" s="40" t="s">
        <v>27</v>
      </c>
      <c r="B154" s="501">
        <v>109.04188775054986</v>
      </c>
      <c r="C154" s="501">
        <v>97.362554871392291</v>
      </c>
      <c r="D154" s="501">
        <v>132.96608401903597</v>
      </c>
      <c r="E154" s="501">
        <v>101.01311061171708</v>
      </c>
      <c r="F154" s="501">
        <v>68.639248210867777</v>
      </c>
      <c r="G154" s="501">
        <v>116.17452629141162</v>
      </c>
      <c r="H154" s="501">
        <v>88.701797121998624</v>
      </c>
      <c r="I154" s="501">
        <v>95.766997500610302</v>
      </c>
      <c r="J154" s="501">
        <v>134.92866749994278</v>
      </c>
      <c r="K154" s="501">
        <v>110.36673842654947</v>
      </c>
      <c r="L154" s="501">
        <v>86.878879174169271</v>
      </c>
      <c r="M154" s="501">
        <v>101.00721404049018</v>
      </c>
      <c r="N154" s="501">
        <v>57.937051476119471</v>
      </c>
      <c r="O154" s="501">
        <v>66.333125434820573</v>
      </c>
    </row>
    <row r="155" spans="1:15">
      <c r="A155" s="40" t="s">
        <v>28</v>
      </c>
      <c r="B155" s="501">
        <v>105.38255559253646</v>
      </c>
      <c r="C155" s="501">
        <v>96.404558100834294</v>
      </c>
      <c r="D155" s="501">
        <v>127.80846667026307</v>
      </c>
      <c r="E155" s="501">
        <v>104.15185986336741</v>
      </c>
      <c r="F155" s="501">
        <v>67.99400995344034</v>
      </c>
      <c r="G155" s="501">
        <v>110.3488347318106</v>
      </c>
      <c r="H155" s="501">
        <v>89.370697024368852</v>
      </c>
      <c r="I155" s="501">
        <v>93.603179924075519</v>
      </c>
      <c r="J155" s="501">
        <v>136.25286447477328</v>
      </c>
      <c r="K155" s="501">
        <v>108.10100292174981</v>
      </c>
      <c r="L155" s="501">
        <v>85.504372958422422</v>
      </c>
      <c r="M155" s="501">
        <v>98.187074728694967</v>
      </c>
      <c r="N155" s="501">
        <v>57.979366750902592</v>
      </c>
      <c r="O155" s="501">
        <v>65.004157231860106</v>
      </c>
    </row>
    <row r="156" spans="1:15">
      <c r="A156" s="40" t="s">
        <v>29</v>
      </c>
      <c r="B156" s="501">
        <v>104.67811203499782</v>
      </c>
      <c r="C156" s="501">
        <v>97.841576538407651</v>
      </c>
      <c r="D156" s="501">
        <v>126.35048183626742</v>
      </c>
      <c r="E156" s="501">
        <v>108.72758433038318</v>
      </c>
      <c r="F156" s="501">
        <v>65.065126576192355</v>
      </c>
      <c r="G156" s="501">
        <v>111.03669857050758</v>
      </c>
      <c r="H156" s="501">
        <v>94.462394993045493</v>
      </c>
      <c r="I156" s="501">
        <v>90.832503946983508</v>
      </c>
      <c r="J156" s="501">
        <v>145.90148409350743</v>
      </c>
      <c r="K156" s="501">
        <v>107.30851305752027</v>
      </c>
      <c r="L156" s="501">
        <v>86.020881501711756</v>
      </c>
      <c r="M156" s="501">
        <v>98.743528767075091</v>
      </c>
      <c r="N156" s="501">
        <v>58.754806724060387</v>
      </c>
      <c r="O156" s="501">
        <v>66.387877458941873</v>
      </c>
    </row>
    <row r="157" spans="1:15">
      <c r="A157" s="40" t="s">
        <v>1915</v>
      </c>
      <c r="B157" s="501"/>
      <c r="C157" s="501"/>
      <c r="D157" s="501"/>
      <c r="E157" s="501"/>
      <c r="F157" s="501"/>
      <c r="G157" s="501"/>
      <c r="H157" s="501"/>
      <c r="I157" s="501"/>
      <c r="J157" s="501"/>
      <c r="K157" s="501"/>
      <c r="L157" s="501"/>
      <c r="M157" s="501"/>
      <c r="N157" s="501"/>
      <c r="O157" s="501"/>
    </row>
    <row r="158" spans="1:15">
      <c r="A158" s="40" t="s">
        <v>18</v>
      </c>
      <c r="B158" s="501">
        <v>102.4847617935728</v>
      </c>
      <c r="C158" s="501">
        <v>96.388438249612477</v>
      </c>
      <c r="D158" s="501">
        <v>126.459750541598</v>
      </c>
      <c r="E158" s="501">
        <v>111.51688378479903</v>
      </c>
      <c r="F158" s="501">
        <v>61.302228741485848</v>
      </c>
      <c r="G158" s="501">
        <v>112.20827888017472</v>
      </c>
      <c r="H158" s="501">
        <v>92.124282849486136</v>
      </c>
      <c r="I158" s="501">
        <v>88.000128300103754</v>
      </c>
      <c r="J158" s="501">
        <v>142.2719875477776</v>
      </c>
      <c r="K158" s="501">
        <v>105.62508923596742</v>
      </c>
      <c r="L158" s="501">
        <v>83.501976405938478</v>
      </c>
      <c r="M158" s="501">
        <v>95.730406871322614</v>
      </c>
      <c r="N158" s="501">
        <v>57.236055507600206</v>
      </c>
      <c r="O158" s="501">
        <v>64.65006472650299</v>
      </c>
    </row>
    <row r="159" spans="1:15">
      <c r="A159" s="40" t="s">
        <v>19</v>
      </c>
      <c r="B159" s="501">
        <v>105.87006159055881</v>
      </c>
      <c r="C159" s="501">
        <v>99.032154228514841</v>
      </c>
      <c r="D159" s="501">
        <v>128.11965929715868</v>
      </c>
      <c r="E159" s="501">
        <v>112.46817051930891</v>
      </c>
      <c r="F159" s="501">
        <v>61.889723704696443</v>
      </c>
      <c r="G159" s="501">
        <v>114.33988107543914</v>
      </c>
      <c r="H159" s="501">
        <v>91.639975616374599</v>
      </c>
      <c r="I159" s="501">
        <v>87.131807568387472</v>
      </c>
      <c r="J159" s="501">
        <v>144.86062750739771</v>
      </c>
      <c r="K159" s="501">
        <v>106.73407186452779</v>
      </c>
      <c r="L159" s="501">
        <v>86.217818085696393</v>
      </c>
      <c r="M159" s="501">
        <v>95.790426602724835</v>
      </c>
      <c r="N159" s="501">
        <v>57.076833128435545</v>
      </c>
      <c r="O159" s="501">
        <v>65.996347287220743</v>
      </c>
    </row>
    <row r="160" spans="1:15">
      <c r="A160" s="40" t="s">
        <v>20</v>
      </c>
      <c r="B160" s="501">
        <v>111.1095133178178</v>
      </c>
      <c r="C160" s="501">
        <v>102.58462285524348</v>
      </c>
      <c r="D160" s="501">
        <v>135.62553984036794</v>
      </c>
      <c r="E160" s="501">
        <v>116.68523046057649</v>
      </c>
      <c r="F160" s="501">
        <v>64.274978223949759</v>
      </c>
      <c r="G160" s="501">
        <v>117.29388577612411</v>
      </c>
      <c r="H160" s="501">
        <v>90.362669816482651</v>
      </c>
      <c r="I160" s="501">
        <v>89.69450515431825</v>
      </c>
      <c r="J160" s="501">
        <v>152.30420035991372</v>
      </c>
      <c r="K160" s="501">
        <v>109.00792624436963</v>
      </c>
      <c r="L160" s="501">
        <v>90.74076929013431</v>
      </c>
      <c r="M160" s="501">
        <v>100.0935913852876</v>
      </c>
      <c r="N160" s="501">
        <v>59.500695349312572</v>
      </c>
      <c r="O160" s="501">
        <v>69.09911959273694</v>
      </c>
    </row>
    <row r="161" spans="1:15">
      <c r="A161" s="40" t="s">
        <v>21</v>
      </c>
      <c r="B161" s="501">
        <v>113.00444188718959</v>
      </c>
      <c r="C161" s="501">
        <v>103.84400278205671</v>
      </c>
      <c r="D161" s="501">
        <v>134.22155953306043</v>
      </c>
      <c r="E161" s="501">
        <v>116.59632159014895</v>
      </c>
      <c r="F161" s="501">
        <v>63.437892834781707</v>
      </c>
      <c r="G161" s="501">
        <v>117.79702404911887</v>
      </c>
      <c r="H161" s="501">
        <v>89.794125579531652</v>
      </c>
      <c r="I161" s="501">
        <v>89.9110400542571</v>
      </c>
      <c r="J161" s="501">
        <v>150.45678242155375</v>
      </c>
      <c r="K161" s="501">
        <v>110.79543794488123</v>
      </c>
      <c r="L161" s="501">
        <v>92.341813069654904</v>
      </c>
      <c r="M161" s="501">
        <v>100.38044082794377</v>
      </c>
      <c r="N161" s="501">
        <v>60.392898499857573</v>
      </c>
      <c r="O161" s="501">
        <v>70.126627889305169</v>
      </c>
    </row>
    <row r="162" spans="1:15">
      <c r="A162" s="40" t="s">
        <v>22</v>
      </c>
      <c r="B162" s="501">
        <v>113.5718206293114</v>
      </c>
      <c r="C162" s="501">
        <v>101.22525226357713</v>
      </c>
      <c r="D162" s="501">
        <v>131.20468510759275</v>
      </c>
      <c r="E162" s="501">
        <v>113.87477771059345</v>
      </c>
      <c r="F162" s="501">
        <v>64.285212982799152</v>
      </c>
      <c r="G162" s="501">
        <v>114.9009621769859</v>
      </c>
      <c r="H162" s="501">
        <v>90.640152481035898</v>
      </c>
      <c r="I162" s="501">
        <v>90.297712331772516</v>
      </c>
      <c r="J162" s="501">
        <v>153.85651037664604</v>
      </c>
      <c r="K162" s="501">
        <v>109.09708815745775</v>
      </c>
      <c r="L162" s="501">
        <v>92.761465464426379</v>
      </c>
      <c r="M162" s="501">
        <v>99.914459540048568</v>
      </c>
      <c r="N162" s="501">
        <v>60.201917822022949</v>
      </c>
      <c r="O162" s="501">
        <v>69.288510211295318</v>
      </c>
    </row>
    <row r="163" spans="1:15">
      <c r="A163" s="40" t="s">
        <v>23</v>
      </c>
      <c r="B163" s="501">
        <v>112.40587240126635</v>
      </c>
      <c r="C163" s="501">
        <v>98.674932772944146</v>
      </c>
      <c r="D163" s="501">
        <v>131.19210866140816</v>
      </c>
      <c r="E163" s="501">
        <v>111.48055530832008</v>
      </c>
      <c r="F163" s="501">
        <v>64.011341846231602</v>
      </c>
      <c r="G163" s="501">
        <v>110.74566341065611</v>
      </c>
      <c r="H163" s="501">
        <v>89.678033006987064</v>
      </c>
      <c r="I163" s="501">
        <v>90.363103280810776</v>
      </c>
      <c r="J163" s="501">
        <v>150.52973963435943</v>
      </c>
      <c r="K163" s="501">
        <v>106.95871131024242</v>
      </c>
      <c r="L163" s="501">
        <v>90.983991239752754</v>
      </c>
      <c r="M163" s="501">
        <v>99.346383730529666</v>
      </c>
      <c r="N163" s="501">
        <v>59.858502986873553</v>
      </c>
      <c r="O163" s="501">
        <v>67.409025243960983</v>
      </c>
    </row>
    <row r="164" spans="1:15">
      <c r="A164" s="40" t="s">
        <v>24</v>
      </c>
      <c r="B164" s="501">
        <v>112.44871332304334</v>
      </c>
      <c r="C164" s="501">
        <v>96.689148552701411</v>
      </c>
      <c r="D164" s="501">
        <v>129.40559051410364</v>
      </c>
      <c r="E164" s="501">
        <v>112.63865385032315</v>
      </c>
      <c r="F164" s="501">
        <v>65.966763936792063</v>
      </c>
      <c r="G164" s="501">
        <v>110.10145520163991</v>
      </c>
      <c r="H164" s="501">
        <v>90.055422280785351</v>
      </c>
      <c r="I164" s="501">
        <v>92.226329794013068</v>
      </c>
      <c r="J164" s="501">
        <v>152.78000113673642</v>
      </c>
      <c r="K164" s="501">
        <v>107.40470664983228</v>
      </c>
      <c r="L164" s="501">
        <v>90.671104079394041</v>
      </c>
      <c r="M164" s="501">
        <v>102.80951360805565</v>
      </c>
      <c r="N164" s="501">
        <v>59.992930243361776</v>
      </c>
      <c r="O164" s="501">
        <v>67.086501542356331</v>
      </c>
    </row>
    <row r="165" spans="1:15">
      <c r="A165" s="40" t="s">
        <v>25</v>
      </c>
      <c r="B165" s="501">
        <v>112.28449511520881</v>
      </c>
      <c r="C165" s="501">
        <v>94.255244430967153</v>
      </c>
      <c r="D165" s="501">
        <v>129.24625971646691</v>
      </c>
      <c r="E165" s="501">
        <v>110.94245449949349</v>
      </c>
      <c r="F165" s="501">
        <v>66.457344715645689</v>
      </c>
      <c r="G165" s="501">
        <v>109.02621463761328</v>
      </c>
      <c r="H165" s="501">
        <v>90.069857454800058</v>
      </c>
      <c r="I165" s="501">
        <v>94.585614807137716</v>
      </c>
      <c r="J165" s="501">
        <v>149.24364911323335</v>
      </c>
      <c r="K165" s="501">
        <v>109.04761979741177</v>
      </c>
      <c r="L165" s="501">
        <v>89.155522218438193</v>
      </c>
      <c r="M165" s="501">
        <v>103.25078096932062</v>
      </c>
      <c r="N165" s="501">
        <v>59.709292600144529</v>
      </c>
      <c r="O165" s="501">
        <v>67.578276830070209</v>
      </c>
    </row>
    <row r="166" spans="1:15">
      <c r="A166" s="40" t="s">
        <v>26</v>
      </c>
      <c r="B166" s="501">
        <v>112.54496984943626</v>
      </c>
      <c r="C166" s="501">
        <v>93.681431437463473</v>
      </c>
      <c r="D166" s="501">
        <v>126.68229622954892</v>
      </c>
      <c r="E166" s="501">
        <v>109.57717093311221</v>
      </c>
      <c r="F166" s="501">
        <v>65.004347062612766</v>
      </c>
      <c r="G166" s="501">
        <v>109.45010612450049</v>
      </c>
      <c r="H166" s="501">
        <v>92.466371731844163</v>
      </c>
      <c r="I166" s="501">
        <v>96.598607875981045</v>
      </c>
      <c r="J166" s="501">
        <v>151.5413671327253</v>
      </c>
      <c r="K166" s="501">
        <v>107.81615484467419</v>
      </c>
      <c r="L166" s="501">
        <v>87.856677201032184</v>
      </c>
      <c r="M166" s="501">
        <v>103.5371481502353</v>
      </c>
      <c r="N166" s="501">
        <v>60.105337530668358</v>
      </c>
      <c r="O166" s="501">
        <v>67.732001161059884</v>
      </c>
    </row>
    <row r="167" spans="1:15">
      <c r="A167" s="40" t="s">
        <v>27</v>
      </c>
      <c r="B167" s="501">
        <v>113.70965576242379</v>
      </c>
      <c r="C167" s="501">
        <v>95.951799777437188</v>
      </c>
      <c r="D167" s="501">
        <v>128.88371988833177</v>
      </c>
      <c r="E167" s="501">
        <v>114.94616769502423</v>
      </c>
      <c r="F167" s="501">
        <v>65.554684228397051</v>
      </c>
      <c r="G167" s="501">
        <v>111.76922952180493</v>
      </c>
      <c r="H167" s="501">
        <v>93.947961693336822</v>
      </c>
      <c r="I167" s="501">
        <v>96.011169999940478</v>
      </c>
      <c r="J167" s="501">
        <v>156.50365731104904</v>
      </c>
      <c r="K167" s="501">
        <v>107.96065133559522</v>
      </c>
      <c r="L167" s="501">
        <v>89.563605706366445</v>
      </c>
      <c r="M167" s="501">
        <v>104.89178618316384</v>
      </c>
      <c r="N167" s="501">
        <v>60.989985986727795</v>
      </c>
      <c r="O167" s="501">
        <v>69.817480079074528</v>
      </c>
    </row>
    <row r="168" spans="1:15">
      <c r="A168" s="40" t="s">
        <v>28</v>
      </c>
      <c r="B168" s="501">
        <v>113.57377244862489</v>
      </c>
      <c r="C168" s="501">
        <v>96.237055983871684</v>
      </c>
      <c r="D168" s="501">
        <v>128.48195261197742</v>
      </c>
      <c r="E168" s="501">
        <v>119.92112924263763</v>
      </c>
      <c r="F168" s="501">
        <v>66.939324820566483</v>
      </c>
      <c r="G168" s="501">
        <v>111.24687525527641</v>
      </c>
      <c r="H168" s="501">
        <v>99.583110929470564</v>
      </c>
      <c r="I168" s="501">
        <v>94.058649878495928</v>
      </c>
      <c r="J168" s="501">
        <v>155.52705375610313</v>
      </c>
      <c r="K168" s="501">
        <v>108.66037500761544</v>
      </c>
      <c r="L168" s="501">
        <v>89.650281438773959</v>
      </c>
      <c r="M168" s="501">
        <v>106.14445480479775</v>
      </c>
      <c r="N168" s="501">
        <v>59.850185192723373</v>
      </c>
      <c r="O168" s="501">
        <v>70.746745460325315</v>
      </c>
    </row>
    <row r="169" spans="1:15">
      <c r="A169" s="40" t="s">
        <v>29</v>
      </c>
      <c r="B169" s="501">
        <v>113.87743833467901</v>
      </c>
      <c r="C169" s="501">
        <v>95.491957890219012</v>
      </c>
      <c r="D169" s="501">
        <v>126.6974701060211</v>
      </c>
      <c r="E169" s="501">
        <v>118.59933180106827</v>
      </c>
      <c r="F169" s="501">
        <v>66.561080396470501</v>
      </c>
      <c r="G169" s="501">
        <v>114.01818095911493</v>
      </c>
      <c r="H169" s="501">
        <v>97.020719542964997</v>
      </c>
      <c r="I169" s="501">
        <v>94.149020461111576</v>
      </c>
      <c r="J169" s="501">
        <v>156.0452441698371</v>
      </c>
      <c r="K169" s="501">
        <v>108.59532244724416</v>
      </c>
      <c r="L169" s="501">
        <v>89.400067706407555</v>
      </c>
      <c r="M169" s="501">
        <v>107.50292395181251</v>
      </c>
      <c r="N169" s="501">
        <v>58.899680718035306</v>
      </c>
      <c r="O169" s="501">
        <v>70.76025669667419</v>
      </c>
    </row>
    <row r="170" spans="1:15">
      <c r="A170" s="40" t="s">
        <v>2051</v>
      </c>
      <c r="B170" s="632"/>
      <c r="C170" s="632"/>
      <c r="D170" s="632"/>
      <c r="E170" s="632"/>
      <c r="F170" s="632"/>
      <c r="G170" s="632"/>
      <c r="H170" s="632"/>
      <c r="I170" s="632"/>
      <c r="J170" s="632"/>
      <c r="K170" s="632"/>
      <c r="L170" s="632"/>
      <c r="M170" s="632"/>
      <c r="N170" s="632"/>
      <c r="O170" s="632"/>
    </row>
    <row r="171" spans="1:15">
      <c r="A171" s="40" t="s">
        <v>18</v>
      </c>
      <c r="B171" s="501">
        <v>113.32582532859135</v>
      </c>
      <c r="C171" s="501">
        <v>93.679481623519436</v>
      </c>
      <c r="D171" s="501">
        <v>123.97831813991407</v>
      </c>
      <c r="E171" s="501">
        <v>115.14973071860186</v>
      </c>
      <c r="F171" s="501">
        <v>64.173428345413427</v>
      </c>
      <c r="G171" s="501">
        <v>116.09670620056299</v>
      </c>
      <c r="H171" s="501">
        <v>94.065846325074403</v>
      </c>
      <c r="I171" s="501">
        <v>91.68735826220842</v>
      </c>
      <c r="J171" s="501">
        <v>152.92878696728064</v>
      </c>
      <c r="K171" s="501">
        <v>106.7512407735767</v>
      </c>
      <c r="L171" s="501">
        <v>86.665871595702569</v>
      </c>
      <c r="M171" s="501">
        <v>105.53174854011337</v>
      </c>
      <c r="N171" s="501">
        <v>57.711368303339086</v>
      </c>
      <c r="O171" s="501">
        <v>69.085061163197594</v>
      </c>
    </row>
    <row r="172" spans="1:15">
      <c r="A172" s="40" t="s">
        <v>19</v>
      </c>
      <c r="B172" s="501">
        <v>113.27451089724421</v>
      </c>
      <c r="C172" s="501">
        <v>92.191814739015669</v>
      </c>
      <c r="D172" s="501">
        <v>121.59035405416969</v>
      </c>
      <c r="E172" s="501">
        <v>114.83215971642116</v>
      </c>
      <c r="F172" s="501">
        <v>64.302899141088787</v>
      </c>
      <c r="G172" s="501">
        <v>110.03320362651904</v>
      </c>
      <c r="H172" s="501">
        <v>90.883937955997339</v>
      </c>
      <c r="I172" s="501">
        <v>89.806422382329416</v>
      </c>
      <c r="J172" s="501">
        <v>148.55368191362609</v>
      </c>
      <c r="K172" s="501">
        <v>108.95390336627665</v>
      </c>
      <c r="L172" s="501">
        <v>84.25966520140372</v>
      </c>
      <c r="M172" s="501">
        <v>104.07360421943623</v>
      </c>
      <c r="N172" s="501">
        <v>58.03356282758088</v>
      </c>
      <c r="O172" s="501">
        <v>66.762020598626066</v>
      </c>
    </row>
    <row r="173" spans="1:15">
      <c r="A173" s="40" t="s">
        <v>20</v>
      </c>
      <c r="B173" s="501">
        <v>113.62771293947434</v>
      </c>
      <c r="C173" s="501">
        <v>91.866470019727259</v>
      </c>
      <c r="D173" s="501">
        <v>122.5854791282584</v>
      </c>
      <c r="E173" s="501">
        <v>116.90336628354434</v>
      </c>
      <c r="F173" s="501">
        <v>64.640363393228284</v>
      </c>
      <c r="G173" s="501">
        <v>105.83292262719087</v>
      </c>
      <c r="H173" s="501">
        <v>90.79187754807694</v>
      </c>
      <c r="I173" s="501">
        <v>89.303413428397164</v>
      </c>
      <c r="J173" s="501">
        <v>146.94882013374948</v>
      </c>
      <c r="K173" s="501">
        <v>107.91902775276965</v>
      </c>
      <c r="L173" s="501">
        <v>85.455496465560117</v>
      </c>
      <c r="M173" s="501">
        <v>102.54260594943472</v>
      </c>
      <c r="N173" s="501">
        <v>57.783445197720091</v>
      </c>
      <c r="O173" s="501">
        <v>67.739763352379725</v>
      </c>
    </row>
    <row r="174" spans="1:15">
      <c r="A174" s="40" t="s">
        <v>21</v>
      </c>
      <c r="B174" s="501">
        <v>113.17076441761074</v>
      </c>
      <c r="C174" s="501">
        <v>91.702456280546869</v>
      </c>
      <c r="D174" s="501">
        <v>120.46050296347197</v>
      </c>
      <c r="E174" s="501">
        <v>119.74231352745502</v>
      </c>
      <c r="F174" s="501">
        <v>67.930514745913655</v>
      </c>
      <c r="G174" s="501">
        <v>103.94639708607761</v>
      </c>
      <c r="H174" s="501">
        <v>90.086740449421143</v>
      </c>
      <c r="I174" s="501">
        <v>89.865239688098413</v>
      </c>
      <c r="J174" s="501">
        <v>149.3913895123207</v>
      </c>
      <c r="K174" s="501">
        <v>109.47103866355718</v>
      </c>
      <c r="L174" s="501">
        <v>85.088034375111476</v>
      </c>
      <c r="M174" s="501">
        <v>104.15899013957349</v>
      </c>
      <c r="N174" s="501">
        <v>57.463522086193819</v>
      </c>
      <c r="O174" s="501">
        <v>68.865227139498245</v>
      </c>
    </row>
    <row r="175" spans="1:15">
      <c r="A175" s="40" t="s">
        <v>22</v>
      </c>
      <c r="B175" s="501">
        <v>112.90785834094011</v>
      </c>
      <c r="C175" s="501">
        <v>94.590003776483286</v>
      </c>
      <c r="D175" s="501">
        <v>125.18745101458633</v>
      </c>
      <c r="E175" s="501">
        <v>127.87976014327478</v>
      </c>
      <c r="F175" s="501">
        <v>69.727298760889283</v>
      </c>
      <c r="G175" s="501">
        <v>104.04589362431439</v>
      </c>
      <c r="H175" s="501">
        <v>91.159295967284294</v>
      </c>
      <c r="I175" s="501">
        <v>90.560719518362035</v>
      </c>
      <c r="J175" s="501">
        <v>152.11332041813719</v>
      </c>
      <c r="K175" s="501">
        <v>110.58001369685604</v>
      </c>
      <c r="L175" s="501">
        <v>86.172066628882916</v>
      </c>
      <c r="M175" s="501">
        <v>104.821769631772</v>
      </c>
      <c r="N175" s="501">
        <v>57.810258349844723</v>
      </c>
      <c r="O175" s="501">
        <v>70.67432814735507</v>
      </c>
    </row>
    <row r="176" spans="1:15">
      <c r="A176" s="40" t="s">
        <v>23</v>
      </c>
      <c r="B176" s="501">
        <v>112.05265463079866</v>
      </c>
      <c r="C176" s="501">
        <v>94.901143655323551</v>
      </c>
      <c r="D176" s="501">
        <v>126.04909170030975</v>
      </c>
      <c r="E176" s="501">
        <v>129.64280935537954</v>
      </c>
      <c r="F176" s="501">
        <v>69.438853863397867</v>
      </c>
      <c r="G176" s="501">
        <v>103.47337808566594</v>
      </c>
      <c r="H176" s="501">
        <v>91.285071491597535</v>
      </c>
      <c r="I176" s="501">
        <v>91.971471435249185</v>
      </c>
      <c r="J176" s="501">
        <v>151.34225340043207</v>
      </c>
      <c r="K176" s="501">
        <v>109.94911855428899</v>
      </c>
      <c r="L176" s="501">
        <v>86.843374107359153</v>
      </c>
      <c r="M176" s="501">
        <v>103.4769422929715</v>
      </c>
      <c r="N176" s="501">
        <v>58.25526953694196</v>
      </c>
      <c r="O176" s="501">
        <v>69.523959594832462</v>
      </c>
    </row>
    <row r="177" spans="1:15">
      <c r="A177" s="40" t="s">
        <v>24</v>
      </c>
      <c r="B177" s="501">
        <v>111.1680674736634</v>
      </c>
      <c r="C177" s="501">
        <v>94.903508804352001</v>
      </c>
      <c r="D177" s="501">
        <v>126.73944667956043</v>
      </c>
      <c r="E177" s="501">
        <v>132.35925355891305</v>
      </c>
      <c r="F177" s="501">
        <v>69.057388494083469</v>
      </c>
      <c r="G177" s="501">
        <v>104.37436814321759</v>
      </c>
      <c r="H177" s="501">
        <v>90.615005659889107</v>
      </c>
      <c r="I177" s="501">
        <v>93.580866105771563</v>
      </c>
      <c r="J177" s="501">
        <v>151.99661367291702</v>
      </c>
      <c r="K177" s="501">
        <v>110.73871199046424</v>
      </c>
      <c r="L177" s="501">
        <v>89.551775895095602</v>
      </c>
      <c r="M177" s="501">
        <v>102.10239583502386</v>
      </c>
      <c r="N177" s="501">
        <v>59.565526876892065</v>
      </c>
      <c r="O177" s="501">
        <v>69.764207821409002</v>
      </c>
    </row>
    <row r="178" spans="1:15">
      <c r="A178" s="40" t="s">
        <v>25</v>
      </c>
      <c r="B178" s="501">
        <v>111.90421675821905</v>
      </c>
      <c r="C178" s="501">
        <v>96.728186849665235</v>
      </c>
      <c r="D178" s="501">
        <v>129.84175009073462</v>
      </c>
      <c r="E178" s="501">
        <v>158.77580347442273</v>
      </c>
      <c r="F178" s="501">
        <v>73.316167207613987</v>
      </c>
      <c r="G178" s="501">
        <v>109.58546713364447</v>
      </c>
      <c r="H178" s="501">
        <v>93.75062741519838</v>
      </c>
      <c r="I178" s="501">
        <v>97.599016936697751</v>
      </c>
      <c r="J178" s="501">
        <v>152.02475094590056</v>
      </c>
      <c r="K178" s="501">
        <v>112.35597909604881</v>
      </c>
      <c r="L178" s="501">
        <v>91.580659186058583</v>
      </c>
      <c r="M178" s="501">
        <v>105.64401397153154</v>
      </c>
      <c r="N178" s="501">
        <v>59.737916260133964</v>
      </c>
      <c r="O178" s="501">
        <v>70.014490154450797</v>
      </c>
    </row>
    <row r="179" spans="1:15">
      <c r="A179" s="40" t="s">
        <v>26</v>
      </c>
      <c r="B179" s="501">
        <v>112.07021799986701</v>
      </c>
      <c r="C179" s="501">
        <v>95.433001516992832</v>
      </c>
      <c r="D179" s="501">
        <v>128.12349278828412</v>
      </c>
      <c r="E179" s="501">
        <v>163.55964425141946</v>
      </c>
      <c r="F179" s="501">
        <v>74.955782727672471</v>
      </c>
      <c r="G179" s="501">
        <v>110.56515502563934</v>
      </c>
      <c r="H179" s="501">
        <v>96.755210874896278</v>
      </c>
      <c r="I179" s="501">
        <v>100.28096394500717</v>
      </c>
      <c r="J179" s="501">
        <v>153.59750751854509</v>
      </c>
      <c r="K179" s="501">
        <v>110.05598036992687</v>
      </c>
      <c r="L179" s="501">
        <v>91.201960302416751</v>
      </c>
      <c r="M179" s="501">
        <v>108.91906729894534</v>
      </c>
      <c r="N179" s="501">
        <v>59.296349126078468</v>
      </c>
      <c r="O179" s="501">
        <v>68.502031804524066</v>
      </c>
    </row>
    <row r="180" spans="1:15">
      <c r="A180" s="40" t="s">
        <v>27</v>
      </c>
      <c r="B180" s="501">
        <v>111.91770238881554</v>
      </c>
      <c r="C180" s="501">
        <v>96.845354315554019</v>
      </c>
      <c r="D180" s="501">
        <v>128.62767399384421</v>
      </c>
      <c r="E180" s="501">
        <v>146.91813067021246</v>
      </c>
      <c r="F180" s="501">
        <v>72.890120169892455</v>
      </c>
      <c r="G180" s="501">
        <v>108.62525675333831</v>
      </c>
      <c r="H180" s="501">
        <v>98.557948493271866</v>
      </c>
      <c r="I180" s="501">
        <v>99.99481003510202</v>
      </c>
      <c r="J180" s="501">
        <v>154.75156633173606</v>
      </c>
      <c r="K180" s="501">
        <v>111.9846948847689</v>
      </c>
      <c r="L180" s="501">
        <v>92.04166798127757</v>
      </c>
      <c r="M180" s="501">
        <v>109.05329653287804</v>
      </c>
      <c r="N180" s="501">
        <v>60.234297478849925</v>
      </c>
      <c r="O180" s="501">
        <v>70.323315796199068</v>
      </c>
    </row>
    <row r="181" spans="1:15">
      <c r="A181" s="40" t="s">
        <v>28</v>
      </c>
      <c r="B181" s="501">
        <v>112.56849431520182</v>
      </c>
      <c r="C181" s="501">
        <v>98.551575487341722</v>
      </c>
      <c r="D181" s="501">
        <v>130.02898171444278</v>
      </c>
      <c r="E181" s="501">
        <v>138.21852213120457</v>
      </c>
      <c r="F181" s="501">
        <v>73.314479982587713</v>
      </c>
      <c r="G181" s="501">
        <v>106.99365124519589</v>
      </c>
      <c r="H181" s="501">
        <v>99.903813173663295</v>
      </c>
      <c r="I181" s="501">
        <v>100.5012009006231</v>
      </c>
      <c r="J181" s="501">
        <v>156.65120035602672</v>
      </c>
      <c r="K181" s="501">
        <v>114.46087478123846</v>
      </c>
      <c r="L181" s="501">
        <v>93.183097019350384</v>
      </c>
      <c r="M181" s="501">
        <v>108.86278941686413</v>
      </c>
      <c r="N181" s="501">
        <v>60.704294785192161</v>
      </c>
      <c r="O181" s="501">
        <v>71.483650190947131</v>
      </c>
    </row>
    <row r="182" spans="1:15">
      <c r="A182" s="40" t="s">
        <v>29</v>
      </c>
      <c r="B182" s="501">
        <v>113.45292460013883</v>
      </c>
      <c r="C182" s="501">
        <v>99.277098860665234</v>
      </c>
      <c r="D182" s="501">
        <v>133.42260830335013</v>
      </c>
      <c r="E182" s="501">
        <v>138.13369285231022</v>
      </c>
      <c r="F182" s="501">
        <v>74.504370285985345</v>
      </c>
      <c r="G182" s="501">
        <v>106.32402249486393</v>
      </c>
      <c r="H182" s="501">
        <v>99.076632056434761</v>
      </c>
      <c r="I182" s="501">
        <v>101.19696371928852</v>
      </c>
      <c r="J182" s="501">
        <v>156.73127970302576</v>
      </c>
      <c r="K182" s="501">
        <v>117.19758863743058</v>
      </c>
      <c r="L182" s="501">
        <v>93.131426337689106</v>
      </c>
      <c r="M182" s="501">
        <v>109.44134411467931</v>
      </c>
      <c r="N182" s="501">
        <v>61.144678228482306</v>
      </c>
      <c r="O182" s="501">
        <v>71.595687758578947</v>
      </c>
    </row>
    <row r="183" spans="1:15">
      <c r="A183" s="40" t="s">
        <v>2144</v>
      </c>
      <c r="B183" s="632"/>
      <c r="C183" s="632"/>
      <c r="D183" s="632"/>
      <c r="E183" s="632"/>
      <c r="F183" s="632"/>
      <c r="G183" s="632"/>
      <c r="H183" s="632"/>
      <c r="I183" s="632"/>
      <c r="J183" s="632"/>
      <c r="K183" s="632"/>
      <c r="L183" s="632"/>
      <c r="M183" s="632"/>
      <c r="N183" s="632"/>
      <c r="O183" s="632"/>
    </row>
    <row r="184" spans="1:15">
      <c r="A184" s="40" t="s">
        <v>18</v>
      </c>
      <c r="B184" s="501">
        <v>113.66916405917989</v>
      </c>
      <c r="C184" s="501">
        <v>100.22111136802776</v>
      </c>
      <c r="D184" s="501">
        <v>132.57785824235236</v>
      </c>
      <c r="E184" s="501">
        <v>138.41331184887304</v>
      </c>
      <c r="F184" s="501">
        <v>73.455208985372749</v>
      </c>
      <c r="G184" s="501">
        <v>105.92789648909957</v>
      </c>
      <c r="H184" s="501">
        <v>97.9088845496142</v>
      </c>
      <c r="I184" s="501">
        <v>102.36058146838859</v>
      </c>
      <c r="J184" s="501">
        <v>152.02189226272694</v>
      </c>
      <c r="K184" s="501">
        <v>115.71790971026024</v>
      </c>
      <c r="L184" s="501">
        <v>92.012799084619431</v>
      </c>
      <c r="M184" s="501">
        <v>109.92831129215011</v>
      </c>
      <c r="N184" s="501">
        <v>61.249637728343778</v>
      </c>
      <c r="O184" s="501">
        <v>71.738610659208462</v>
      </c>
    </row>
    <row r="185" spans="1:15">
      <c r="A185" s="40" t="s">
        <v>19</v>
      </c>
      <c r="B185" s="501">
        <v>114.08195533009503</v>
      </c>
      <c r="C185" s="501">
        <v>101.09721320396928</v>
      </c>
      <c r="D185" s="501">
        <v>131.51794275333293</v>
      </c>
      <c r="E185" s="501">
        <v>136.56225415714812</v>
      </c>
      <c r="F185" s="501">
        <v>72.337904077815423</v>
      </c>
      <c r="G185" s="501">
        <v>103.37882403063514</v>
      </c>
      <c r="H185" s="501">
        <v>97.646677180119624</v>
      </c>
      <c r="I185" s="501">
        <v>102.65399235458645</v>
      </c>
      <c r="J185" s="501">
        <v>154.58786801561638</v>
      </c>
      <c r="K185" s="501">
        <v>114.15077459419234</v>
      </c>
      <c r="L185" s="501">
        <v>90.89125676211323</v>
      </c>
      <c r="M185" s="501">
        <v>109.07886460085079</v>
      </c>
      <c r="N185" s="501">
        <v>61.441243971242599</v>
      </c>
      <c r="O185" s="501">
        <v>72.755342505393784</v>
      </c>
    </row>
    <row r="186" spans="1:15">
      <c r="A186" s="40" t="s">
        <v>20</v>
      </c>
      <c r="B186" s="501">
        <v>114.31694154621331</v>
      </c>
      <c r="C186" s="501">
        <v>101.01829549628472</v>
      </c>
      <c r="D186" s="501">
        <v>129.96044454247274</v>
      </c>
      <c r="E186" s="501">
        <v>140.43834784684944</v>
      </c>
      <c r="F186" s="501">
        <v>71.835320051848498</v>
      </c>
      <c r="G186" s="501">
        <v>101.92186095341216</v>
      </c>
      <c r="H186" s="501">
        <v>98.459722640854835</v>
      </c>
      <c r="I186" s="501">
        <v>102.74517897566422</v>
      </c>
      <c r="J186" s="501">
        <v>157.1468561654132</v>
      </c>
      <c r="K186" s="501">
        <v>113.89561507138342</v>
      </c>
      <c r="L186" s="501">
        <v>91.433399088021645</v>
      </c>
      <c r="M186" s="501">
        <v>107.91287356042994</v>
      </c>
      <c r="N186" s="501">
        <v>62.407035284043047</v>
      </c>
      <c r="O186" s="501">
        <v>72.839595469672787</v>
      </c>
    </row>
    <row r="187" spans="1:15">
      <c r="A187" s="40" t="s">
        <v>21</v>
      </c>
      <c r="B187" s="501">
        <v>114.41259542073327</v>
      </c>
      <c r="C187" s="501">
        <v>101.38066361383945</v>
      </c>
      <c r="D187" s="501">
        <v>131.46189064130442</v>
      </c>
      <c r="E187" s="501">
        <v>146.73509804495353</v>
      </c>
      <c r="F187" s="501">
        <v>71.227618241652266</v>
      </c>
      <c r="G187" s="501">
        <v>101.05337447582848</v>
      </c>
      <c r="H187" s="501">
        <v>99.035716999899904</v>
      </c>
      <c r="I187" s="501">
        <v>103.11830476545835</v>
      </c>
      <c r="J187" s="501">
        <v>157.99268060666739</v>
      </c>
      <c r="K187" s="501">
        <v>113.40649537854519</v>
      </c>
      <c r="L187" s="501">
        <v>91.739588660632947</v>
      </c>
      <c r="M187" s="501">
        <v>107.70846875569983</v>
      </c>
      <c r="N187" s="501">
        <v>63.028493529896075</v>
      </c>
      <c r="O187" s="501">
        <v>73.440675583411888</v>
      </c>
    </row>
    <row r="188" spans="1:15">
      <c r="A188" s="40" t="s">
        <v>22</v>
      </c>
      <c r="B188" s="501">
        <v>113.80593012005328</v>
      </c>
      <c r="C188" s="501">
        <v>101.22104162211616</v>
      </c>
      <c r="D188" s="501">
        <v>132.20104156164683</v>
      </c>
      <c r="E188" s="501">
        <v>152.20896717287135</v>
      </c>
      <c r="F188" s="501">
        <v>71.069848353481191</v>
      </c>
      <c r="G188" s="501">
        <v>98.332786631597628</v>
      </c>
      <c r="H188" s="501">
        <v>99.955386473385786</v>
      </c>
      <c r="I188" s="501">
        <v>102.25081144004552</v>
      </c>
      <c r="J188" s="501">
        <v>155.09251023125583</v>
      </c>
      <c r="K188" s="501">
        <v>111.96877140082742</v>
      </c>
      <c r="L188" s="501">
        <v>93.132447082732725</v>
      </c>
      <c r="M188" s="501">
        <v>105.88705434701355</v>
      </c>
      <c r="N188" s="501">
        <v>64.813580513287263</v>
      </c>
      <c r="O188" s="501">
        <v>73.159783216198292</v>
      </c>
    </row>
    <row r="189" spans="1:15">
      <c r="A189" s="40" t="s">
        <v>23</v>
      </c>
      <c r="B189" s="501">
        <v>113.16121838900084</v>
      </c>
      <c r="C189" s="501">
        <v>99.734849529534785</v>
      </c>
      <c r="D189" s="501">
        <v>133.56839907737765</v>
      </c>
      <c r="E189" s="501">
        <v>145.55988038757621</v>
      </c>
      <c r="F189" s="501">
        <v>69.881524228258854</v>
      </c>
      <c r="G189" s="501">
        <v>98.793258241536037</v>
      </c>
      <c r="H189" s="501">
        <v>101.51821185599709</v>
      </c>
      <c r="I189" s="501">
        <v>102.03750727068368</v>
      </c>
      <c r="J189" s="501">
        <v>151.47986452760014</v>
      </c>
      <c r="K189" s="501">
        <v>112.32440141392902</v>
      </c>
      <c r="L189" s="501">
        <v>93.471537045642719</v>
      </c>
      <c r="M189" s="501">
        <v>104.18283150830166</v>
      </c>
      <c r="N189" s="501">
        <v>64.157573099928342</v>
      </c>
      <c r="O189" s="501">
        <v>71.198833773906358</v>
      </c>
    </row>
    <row r="190" spans="1:15">
      <c r="A190" s="40" t="s">
        <v>24</v>
      </c>
      <c r="B190" s="501">
        <v>112.88401740482036</v>
      </c>
      <c r="C190" s="501">
        <v>100.75318912678351</v>
      </c>
      <c r="D190" s="501">
        <v>135.5704065237469</v>
      </c>
      <c r="E190" s="501">
        <v>140.02582554604206</v>
      </c>
      <c r="F190" s="501">
        <v>68.698430440648337</v>
      </c>
      <c r="G190" s="501">
        <v>96.524420282176692</v>
      </c>
      <c r="H190" s="501">
        <v>104.77853997265201</v>
      </c>
      <c r="I190" s="501">
        <v>102.39011234591997</v>
      </c>
      <c r="J190" s="501">
        <v>151.61701076551404</v>
      </c>
      <c r="K190" s="501">
        <v>111.12118708927073</v>
      </c>
      <c r="L190" s="501">
        <v>92.879993880639262</v>
      </c>
      <c r="M190" s="501">
        <v>102.37843223899205</v>
      </c>
      <c r="N190" s="501">
        <v>64.52523343845607</v>
      </c>
      <c r="O190" s="501">
        <v>71.488320195482842</v>
      </c>
    </row>
    <row r="191" spans="1:15">
      <c r="A191" s="40" t="s">
        <v>25</v>
      </c>
      <c r="B191" s="501">
        <v>112.41068163837735</v>
      </c>
      <c r="C191" s="501">
        <v>101.27771386888313</v>
      </c>
      <c r="D191" s="501">
        <v>138.93955231815795</v>
      </c>
      <c r="E191" s="501">
        <v>137.41075145068456</v>
      </c>
      <c r="F191" s="501">
        <v>71.256945778776739</v>
      </c>
      <c r="G191" s="501">
        <v>94.620970533245185</v>
      </c>
      <c r="H191" s="501">
        <v>105.94647293528054</v>
      </c>
      <c r="I191" s="501">
        <v>102.60656044790865</v>
      </c>
      <c r="J191" s="501">
        <v>148.61277077269048</v>
      </c>
      <c r="K191" s="501">
        <v>109.43274145427041</v>
      </c>
      <c r="L191" s="501">
        <v>94.29322902062404</v>
      </c>
      <c r="M191" s="501">
        <v>103.09029252169988</v>
      </c>
      <c r="N191" s="501">
        <v>65.997719473517748</v>
      </c>
      <c r="O191" s="501">
        <v>70.761256455097154</v>
      </c>
    </row>
    <row r="192" spans="1:15">
      <c r="A192" s="40" t="s">
        <v>26</v>
      </c>
      <c r="B192" s="501">
        <v>112.68787784462047</v>
      </c>
      <c r="C192" s="501">
        <v>102.36550338371276</v>
      </c>
      <c r="D192" s="501">
        <v>137.03004078424499</v>
      </c>
      <c r="E192" s="501">
        <v>138.4841790255071</v>
      </c>
      <c r="F192" s="501">
        <v>70.963673218715215</v>
      </c>
      <c r="G192" s="501">
        <v>92.293111023437092</v>
      </c>
      <c r="H192" s="501">
        <v>105.88845679155339</v>
      </c>
      <c r="I192" s="501">
        <v>102.56977496197466</v>
      </c>
      <c r="J192" s="501">
        <v>150.66244193100619</v>
      </c>
      <c r="K192" s="501">
        <v>110.37595821807058</v>
      </c>
      <c r="L192" s="501">
        <v>94.661517951044146</v>
      </c>
      <c r="M192" s="501">
        <v>104.13545816339708</v>
      </c>
      <c r="N192" s="501">
        <v>65.188733111105378</v>
      </c>
      <c r="O192" s="501">
        <v>71.811839623614603</v>
      </c>
    </row>
    <row r="193" spans="1:15">
      <c r="A193" s="40" t="s">
        <v>27</v>
      </c>
      <c r="B193" s="501">
        <v>112.93166367307946</v>
      </c>
      <c r="C193" s="501">
        <v>102.34211228983057</v>
      </c>
      <c r="D193" s="501">
        <v>134.92405812258053</v>
      </c>
      <c r="E193" s="501">
        <v>138.10750912158019</v>
      </c>
      <c r="F193" s="501">
        <v>70.44209546684047</v>
      </c>
      <c r="G193" s="501">
        <v>92.2830637584957</v>
      </c>
      <c r="H193" s="501">
        <v>105.54749344699002</v>
      </c>
      <c r="I193" s="501">
        <v>102.38295716750891</v>
      </c>
      <c r="J193" s="501">
        <v>152.21784806449847</v>
      </c>
      <c r="K193" s="501">
        <v>110.2463437576215</v>
      </c>
      <c r="L193" s="501">
        <v>93.940735850779262</v>
      </c>
      <c r="M193" s="501">
        <v>102.98192487556312</v>
      </c>
      <c r="N193" s="501">
        <v>64.709207872748053</v>
      </c>
      <c r="O193" s="501">
        <v>72.499314416830728</v>
      </c>
    </row>
    <row r="194" spans="1:15">
      <c r="A194" s="40" t="s">
        <v>28</v>
      </c>
      <c r="B194" s="501">
        <v>113.22902964946837</v>
      </c>
      <c r="C194" s="501">
        <v>103.04640801382934</v>
      </c>
      <c r="D194" s="501">
        <v>132.49816080330427</v>
      </c>
      <c r="E194" s="501">
        <v>137.03072483033503</v>
      </c>
      <c r="F194" s="501">
        <v>70.047645560243723</v>
      </c>
      <c r="G194" s="501">
        <v>91.041769180969638</v>
      </c>
      <c r="H194" s="501">
        <v>105.20822198644906</v>
      </c>
      <c r="I194" s="501">
        <v>102.14285195050839</v>
      </c>
      <c r="J194" s="501">
        <v>153.58144317968495</v>
      </c>
      <c r="K194" s="501">
        <v>110.25751599002908</v>
      </c>
      <c r="L194" s="501">
        <v>92.997187964797689</v>
      </c>
      <c r="M194" s="501">
        <v>103.14273342148661</v>
      </c>
      <c r="N194" s="501">
        <v>64.538994506239888</v>
      </c>
      <c r="O194" s="501">
        <v>72.791546377106741</v>
      </c>
    </row>
    <row r="195" spans="1:15">
      <c r="A195" s="40" t="s">
        <v>29</v>
      </c>
      <c r="B195" s="501">
        <v>113.60914232707721</v>
      </c>
      <c r="C195" s="501">
        <v>102.75373058300623</v>
      </c>
      <c r="D195" s="501">
        <v>130.91289442556044</v>
      </c>
      <c r="E195" s="501">
        <v>139.35971827964232</v>
      </c>
      <c r="F195" s="501">
        <v>69.109255095431962</v>
      </c>
      <c r="G195" s="501">
        <v>88.960992363676198</v>
      </c>
      <c r="H195" s="501">
        <v>102.83740596403908</v>
      </c>
      <c r="I195" s="501">
        <v>101.45621167143926</v>
      </c>
      <c r="J195" s="501">
        <v>154.82287370106062</v>
      </c>
      <c r="K195" s="501">
        <v>110.46108437548355</v>
      </c>
      <c r="L195" s="501">
        <v>93.429964098866037</v>
      </c>
      <c r="M195" s="501">
        <v>105.79416916830264</v>
      </c>
      <c r="N195" s="501">
        <v>65.033969368386479</v>
      </c>
      <c r="O195" s="501">
        <v>72.54069564297032</v>
      </c>
    </row>
    <row r="196" spans="1:15" s="94" customFormat="1">
      <c r="A196" s="331" t="s">
        <v>2375</v>
      </c>
      <c r="B196" s="632"/>
      <c r="C196" s="1330"/>
      <c r="D196" s="1330"/>
      <c r="E196" s="1330"/>
      <c r="F196" s="1330"/>
      <c r="G196" s="1330"/>
      <c r="H196" s="1330"/>
      <c r="I196" s="1330"/>
      <c r="J196" s="1330"/>
      <c r="K196" s="1330"/>
      <c r="L196" s="1330"/>
      <c r="M196" s="1330"/>
      <c r="N196" s="1330"/>
      <c r="O196" s="632"/>
    </row>
    <row r="197" spans="1:15">
      <c r="A197" s="40" t="s">
        <v>18</v>
      </c>
      <c r="B197" s="501">
        <v>114.13809242029191</v>
      </c>
      <c r="C197" s="501">
        <v>104.39413051449033</v>
      </c>
      <c r="D197" s="501">
        <v>132.40755485642126</v>
      </c>
      <c r="E197" s="501">
        <v>139.92381451610925</v>
      </c>
      <c r="F197" s="501">
        <v>68.078089362584507</v>
      </c>
      <c r="G197" s="501">
        <v>91.347565521641954</v>
      </c>
      <c r="H197" s="501">
        <v>102.07014027679362</v>
      </c>
      <c r="I197" s="501">
        <v>99.578097546254327</v>
      </c>
      <c r="J197" s="501">
        <v>156.0627353636348</v>
      </c>
      <c r="K197" s="501">
        <v>111.02882787096705</v>
      </c>
      <c r="L197" s="501">
        <v>91.424016742651759</v>
      </c>
      <c r="M197" s="501">
        <v>105.93482447225395</v>
      </c>
      <c r="N197" s="501">
        <v>64.486517765170035</v>
      </c>
      <c r="O197" s="501">
        <v>72.108846972374252</v>
      </c>
    </row>
    <row r="198" spans="1:15">
      <c r="A198" s="40" t="s">
        <v>19</v>
      </c>
      <c r="B198" s="501">
        <v>114.82968442645208</v>
      </c>
      <c r="C198" s="501">
        <v>106.90143530204361</v>
      </c>
      <c r="D198" s="501">
        <v>133.89786276780973</v>
      </c>
      <c r="E198" s="501">
        <v>143.66516755993732</v>
      </c>
      <c r="F198" s="501">
        <v>70.621627726726757</v>
      </c>
      <c r="G198" s="501">
        <v>93.802896487510367</v>
      </c>
      <c r="H198" s="501">
        <v>101.35478882433225</v>
      </c>
      <c r="I198" s="501">
        <v>99.683546990156501</v>
      </c>
      <c r="J198" s="501">
        <v>158.14053827533291</v>
      </c>
      <c r="K198" s="501">
        <v>111.05302874110164</v>
      </c>
      <c r="L198" s="501">
        <v>92.252624765850499</v>
      </c>
      <c r="M198" s="501">
        <v>109.27274609810131</v>
      </c>
      <c r="N198" s="501">
        <v>66.657078281851824</v>
      </c>
      <c r="O198" s="501">
        <v>72.995769409759575</v>
      </c>
    </row>
    <row r="199" spans="1:15">
      <c r="A199" s="40" t="s">
        <v>20</v>
      </c>
      <c r="B199" s="501">
        <v>116.41800170398784</v>
      </c>
      <c r="C199" s="501">
        <v>105.93593823843501</v>
      </c>
      <c r="D199" s="501">
        <v>141.81148024345512</v>
      </c>
      <c r="E199" s="501">
        <v>150.80016407480502</v>
      </c>
      <c r="F199" s="501">
        <v>81.782793575190581</v>
      </c>
      <c r="G199" s="501">
        <v>100.72459914400912</v>
      </c>
      <c r="H199" s="501">
        <v>108.80411767473171</v>
      </c>
      <c r="I199" s="501">
        <v>109.49298135883966</v>
      </c>
      <c r="J199" s="501">
        <v>156.38957198712021</v>
      </c>
      <c r="K199" s="501">
        <v>116.59456359979517</v>
      </c>
      <c r="L199" s="501">
        <v>94.713422123584238</v>
      </c>
      <c r="M199" s="501">
        <v>120.13006422353106</v>
      </c>
      <c r="N199" s="501">
        <v>68.861122283818261</v>
      </c>
      <c r="O199" s="501">
        <v>72.294158729953836</v>
      </c>
    </row>
    <row r="200" spans="1:15">
      <c r="A200" s="40" t="s">
        <v>21</v>
      </c>
      <c r="B200" s="501">
        <v>117.4571981944343</v>
      </c>
      <c r="C200" s="501">
        <v>107.65617192269839</v>
      </c>
      <c r="D200" s="501">
        <v>141.69742714613659</v>
      </c>
      <c r="E200" s="501">
        <v>161.50354462322994</v>
      </c>
      <c r="F200" s="501">
        <v>82.664583992334769</v>
      </c>
      <c r="G200" s="501">
        <v>103.41886412642062</v>
      </c>
      <c r="H200" s="501">
        <v>112.45438677981818</v>
      </c>
      <c r="I200" s="501">
        <v>113.69294824537589</v>
      </c>
      <c r="J200" s="501">
        <v>156.93983788672492</v>
      </c>
      <c r="K200" s="501">
        <v>116.67001298757015</v>
      </c>
      <c r="L200" s="501">
        <v>96.358191878749736</v>
      </c>
      <c r="M200" s="501">
        <v>124.37809486263417</v>
      </c>
      <c r="N200" s="501">
        <v>69.564376114675014</v>
      </c>
      <c r="O200" s="501">
        <v>73.55236829024436</v>
      </c>
    </row>
    <row r="201" spans="1:15">
      <c r="A201" s="40" t="s">
        <v>22</v>
      </c>
      <c r="B201" s="501">
        <v>116.96788726177581</v>
      </c>
      <c r="C201" s="501">
        <v>106.8648921482132</v>
      </c>
      <c r="D201" s="501">
        <v>142.26241583026692</v>
      </c>
      <c r="E201" s="501">
        <v>160.7136216684226</v>
      </c>
      <c r="F201" s="501">
        <v>79.695336594721397</v>
      </c>
      <c r="G201" s="501">
        <v>100.88913391611693</v>
      </c>
      <c r="H201" s="501">
        <v>112.52305173267722</v>
      </c>
      <c r="I201" s="501">
        <v>108.96843980482129</v>
      </c>
      <c r="J201" s="501">
        <v>155.11117071758198</v>
      </c>
      <c r="K201" s="501">
        <v>114.6949077444544</v>
      </c>
      <c r="L201" s="501">
        <v>96.969102354491511</v>
      </c>
      <c r="M201" s="501">
        <v>120.00913845607018</v>
      </c>
      <c r="N201" s="501">
        <v>69.628830917374444</v>
      </c>
      <c r="O201" s="501">
        <v>73.163160580460456</v>
      </c>
    </row>
    <row r="202" spans="1:15">
      <c r="A202" s="40" t="s">
        <v>23</v>
      </c>
      <c r="B202" s="501">
        <v>115.886701339547</v>
      </c>
      <c r="C202" s="501">
        <v>102.5819966608622</v>
      </c>
      <c r="D202" s="501">
        <v>139.13399547312503</v>
      </c>
      <c r="E202" s="501">
        <v>155.88760679572414</v>
      </c>
      <c r="F202" s="501">
        <v>75.427865426197911</v>
      </c>
      <c r="G202" s="501">
        <v>100.04421512377588</v>
      </c>
      <c r="H202" s="501">
        <v>108.04570905835477</v>
      </c>
      <c r="I202" s="501">
        <v>103.69441072186743</v>
      </c>
      <c r="J202" s="501">
        <v>155.08186216511942</v>
      </c>
      <c r="K202" s="501">
        <v>112.40641413043208</v>
      </c>
      <c r="L202" s="501">
        <v>96.490784063717342</v>
      </c>
      <c r="M202" s="501">
        <v>117.43607310492109</v>
      </c>
      <c r="N202" s="501">
        <v>68.096559049423817</v>
      </c>
      <c r="O202" s="501">
        <v>71.499464639078653</v>
      </c>
    </row>
    <row r="203" spans="1:15">
      <c r="A203" s="40" t="s">
        <v>24</v>
      </c>
      <c r="B203" s="501">
        <v>114.99217614685158</v>
      </c>
      <c r="C203" s="501">
        <v>101.01990387843915</v>
      </c>
      <c r="D203" s="501">
        <v>137.0093459307715</v>
      </c>
      <c r="E203" s="501">
        <v>155.65386639870826</v>
      </c>
      <c r="F203" s="501">
        <v>76.995053085115316</v>
      </c>
      <c r="G203" s="501">
        <v>102.73292453605728</v>
      </c>
      <c r="H203" s="501">
        <v>109.14105175482513</v>
      </c>
      <c r="I203" s="501">
        <v>105.53547261182229</v>
      </c>
      <c r="J203" s="501">
        <v>153.32246195119058</v>
      </c>
      <c r="K203" s="501">
        <v>111.186374715407</v>
      </c>
      <c r="L203" s="501">
        <v>95.588916502011912</v>
      </c>
      <c r="M203" s="501">
        <v>118.26723221160104</v>
      </c>
      <c r="N203" s="501">
        <v>67.465106493346696</v>
      </c>
      <c r="O203" s="501">
        <v>70.285022641183346</v>
      </c>
    </row>
    <row r="204" spans="1:15">
      <c r="A204" s="40" t="s">
        <v>25</v>
      </c>
      <c r="B204" s="501">
        <v>114.32764769976887</v>
      </c>
      <c r="C204" s="501">
        <v>97.843355253810898</v>
      </c>
      <c r="D204" s="501">
        <v>132.14267940941377</v>
      </c>
      <c r="E204" s="501">
        <v>162.76154790437516</v>
      </c>
      <c r="F204" s="501">
        <v>79.433844684830177</v>
      </c>
      <c r="G204" s="501">
        <v>103.51483751145724</v>
      </c>
      <c r="H204" s="501">
        <v>109.30945399188002</v>
      </c>
      <c r="I204" s="501">
        <v>106.32157420064597</v>
      </c>
      <c r="J204" s="501">
        <v>151.96905629839051</v>
      </c>
      <c r="K204" s="501">
        <v>109.85611303133476</v>
      </c>
      <c r="L204" s="501">
        <v>93.059702461176215</v>
      </c>
      <c r="M204" s="501">
        <v>122.06340240383652</v>
      </c>
      <c r="N204" s="501">
        <v>66.197111659645586</v>
      </c>
      <c r="O204" s="501">
        <v>68.235219717272599</v>
      </c>
    </row>
    <row r="205" spans="1:15">
      <c r="A205" s="40" t="s">
        <v>26</v>
      </c>
      <c r="B205" s="501">
        <v>114.22238570967426</v>
      </c>
      <c r="C205" s="501">
        <v>98.216097138133392</v>
      </c>
      <c r="D205" s="501">
        <v>133.36972677138976</v>
      </c>
      <c r="E205" s="501">
        <v>167.42730969350316</v>
      </c>
      <c r="F205" s="501">
        <v>81.871266958397413</v>
      </c>
      <c r="G205" s="501">
        <v>104.91544181797929</v>
      </c>
      <c r="H205" s="501">
        <v>112.03333762935675</v>
      </c>
      <c r="I205" s="501">
        <v>108.25724879366682</v>
      </c>
      <c r="J205" s="501">
        <v>151.71751475772851</v>
      </c>
      <c r="K205" s="501">
        <v>110.73788801191444</v>
      </c>
      <c r="L205" s="501">
        <v>91.369830393065584</v>
      </c>
      <c r="M205" s="501">
        <v>126.6411096043793</v>
      </c>
      <c r="N205" s="501">
        <v>65.289167742588219</v>
      </c>
      <c r="O205" s="501">
        <v>68.600565301732971</v>
      </c>
    </row>
    <row r="206" spans="1:15">
      <c r="A206" s="40" t="s">
        <v>27</v>
      </c>
      <c r="B206" s="501">
        <v>114.29915661764785</v>
      </c>
      <c r="C206" s="501">
        <v>98.501948302690906</v>
      </c>
      <c r="D206" s="501">
        <v>133.62021788150352</v>
      </c>
      <c r="E206" s="501">
        <v>173.02606767111661</v>
      </c>
      <c r="F206" s="501">
        <v>83.571840599866803</v>
      </c>
      <c r="G206" s="501">
        <v>105.31119879530149</v>
      </c>
      <c r="H206" s="501">
        <v>113.04778085640332</v>
      </c>
      <c r="I206" s="501">
        <v>108.05300946280819</v>
      </c>
      <c r="J206" s="501">
        <v>152.02723269141558</v>
      </c>
      <c r="K206" s="501">
        <v>106.97349303161636</v>
      </c>
      <c r="L206" s="501">
        <v>90.584214294434858</v>
      </c>
      <c r="M206" s="501">
        <v>124.7855867414861</v>
      </c>
      <c r="N206" s="501">
        <v>63.957781815989158</v>
      </c>
      <c r="O206" s="501">
        <v>68.639744446937584</v>
      </c>
    </row>
    <row r="207" spans="1:15">
      <c r="A207" s="40" t="s">
        <v>28</v>
      </c>
      <c r="B207" s="501">
        <v>114.63433136574217</v>
      </c>
      <c r="C207" s="501">
        <v>98.7553634831783</v>
      </c>
      <c r="D207" s="501">
        <v>132.08114667061471</v>
      </c>
      <c r="E207" s="501">
        <v>170.75924459179282</v>
      </c>
      <c r="F207" s="501">
        <v>82.723284967787365</v>
      </c>
      <c r="G207" s="501">
        <v>104.44316678413044</v>
      </c>
      <c r="H207" s="501">
        <v>115.82827936424972</v>
      </c>
      <c r="I207" s="501">
        <v>108.44209988591088</v>
      </c>
      <c r="J207" s="501">
        <v>152.0046503594331</v>
      </c>
      <c r="K207" s="501">
        <v>106.6107805822644</v>
      </c>
      <c r="L207" s="501">
        <v>89.999333888254384</v>
      </c>
      <c r="M207" s="501">
        <v>124.36207745594305</v>
      </c>
      <c r="N207" s="501">
        <v>62.725776852063184</v>
      </c>
      <c r="O207" s="501">
        <v>68.914719748088316</v>
      </c>
    </row>
    <row r="208" spans="1:15">
      <c r="A208" s="40" t="s">
        <v>29</v>
      </c>
      <c r="B208" s="501">
        <v>115.31065035326282</v>
      </c>
      <c r="C208" s="501">
        <v>96.43053887301194</v>
      </c>
      <c r="D208" s="501">
        <v>130.26724627088279</v>
      </c>
      <c r="E208" s="501">
        <v>164.80193343533148</v>
      </c>
      <c r="F208" s="501">
        <v>79.577615252392377</v>
      </c>
      <c r="G208" s="501">
        <v>103.67500318191865</v>
      </c>
      <c r="H208" s="501">
        <v>116.869763243824</v>
      </c>
      <c r="I208" s="501">
        <v>105.79150499634845</v>
      </c>
      <c r="J208" s="501">
        <v>152.66207442221142</v>
      </c>
      <c r="K208" s="501">
        <v>103.89657564001676</v>
      </c>
      <c r="L208" s="501">
        <v>89.138506668838602</v>
      </c>
      <c r="M208" s="501">
        <v>122.80797236660827</v>
      </c>
      <c r="N208" s="501">
        <v>61.866052832040751</v>
      </c>
      <c r="O208" s="501">
        <v>67.858679239170968</v>
      </c>
    </row>
    <row r="209" spans="1:15" s="94" customFormat="1">
      <c r="A209" s="631" t="s">
        <v>2537</v>
      </c>
      <c r="B209" s="455"/>
      <c r="C209" s="455"/>
      <c r="D209" s="455"/>
      <c r="E209" s="455"/>
      <c r="F209" s="455"/>
      <c r="G209" s="455"/>
      <c r="H209" s="455"/>
      <c r="I209" s="455"/>
      <c r="J209" s="455"/>
      <c r="K209" s="455"/>
      <c r="L209" s="455"/>
      <c r="M209" s="455"/>
      <c r="N209" s="455"/>
      <c r="O209" s="455"/>
    </row>
    <row r="210" spans="1:15">
      <c r="A210" s="40" t="s">
        <v>18</v>
      </c>
      <c r="B210" s="501">
        <v>116.34533822227306</v>
      </c>
      <c r="C210" s="501">
        <v>97.207171023242438</v>
      </c>
      <c r="D210" s="501">
        <v>130.29332247653056</v>
      </c>
      <c r="E210" s="501">
        <v>156.94318244952149</v>
      </c>
      <c r="F210" s="501">
        <v>80.233276513638671</v>
      </c>
      <c r="G210" s="501">
        <v>103.74992972671058</v>
      </c>
      <c r="H210" s="501">
        <v>117.34988577798016</v>
      </c>
      <c r="I210" s="501">
        <v>106.59206222462645</v>
      </c>
      <c r="J210" s="501">
        <v>153.50516338769162</v>
      </c>
      <c r="K210" s="501">
        <v>104.4484524759833</v>
      </c>
      <c r="L210" s="501">
        <v>88.505966672081371</v>
      </c>
      <c r="M210" s="501">
        <v>123.23382857572595</v>
      </c>
      <c r="N210" s="501">
        <v>62.397880799767684</v>
      </c>
      <c r="O210" s="501">
        <v>68.427605612796242</v>
      </c>
    </row>
    <row r="211" spans="1:15">
      <c r="A211" s="40" t="s">
        <v>19</v>
      </c>
      <c r="B211" s="501">
        <v>117.7720113440426</v>
      </c>
      <c r="C211" s="501">
        <v>99.233233671549115</v>
      </c>
      <c r="D211" s="501">
        <v>130.08810371531803</v>
      </c>
      <c r="E211" s="501">
        <v>151.91716638396667</v>
      </c>
      <c r="F211" s="501">
        <v>81.014445786738136</v>
      </c>
      <c r="G211" s="501">
        <v>103.14434175967789</v>
      </c>
      <c r="H211" s="501">
        <v>118.46340011207812</v>
      </c>
      <c r="I211" s="501">
        <v>106.87512393580607</v>
      </c>
      <c r="J211" s="501">
        <v>158.29369736311921</v>
      </c>
      <c r="K211" s="501">
        <v>107.43218190462771</v>
      </c>
      <c r="L211" s="501">
        <v>89.22451041035923</v>
      </c>
      <c r="M211" s="501">
        <v>124.62514432571359</v>
      </c>
      <c r="N211" s="501">
        <v>63.85320158253684</v>
      </c>
      <c r="O211" s="501">
        <v>70.284105273691495</v>
      </c>
    </row>
    <row r="212" spans="1:15">
      <c r="A212" s="40" t="s">
        <v>20</v>
      </c>
      <c r="B212" s="501">
        <v>118.07206726880143</v>
      </c>
      <c r="C212" s="501">
        <v>100.55673809092605</v>
      </c>
      <c r="D212" s="501">
        <v>130.3868377701304</v>
      </c>
      <c r="E212" s="501">
        <v>160.24559103449607</v>
      </c>
      <c r="F212" s="501">
        <v>80.966007469108334</v>
      </c>
      <c r="G212" s="501">
        <v>101.91321209885162</v>
      </c>
      <c r="H212" s="501">
        <v>115.47999780607368</v>
      </c>
      <c r="I212" s="501">
        <v>107.85177263521499</v>
      </c>
      <c r="J212" s="501">
        <v>164.27656193783878</v>
      </c>
      <c r="K212" s="501">
        <v>108.85045644296963</v>
      </c>
      <c r="L212" s="501">
        <v>90.994335429876998</v>
      </c>
      <c r="M212" s="501">
        <v>124.86419661089845</v>
      </c>
      <c r="N212" s="501">
        <v>65.40090080415834</v>
      </c>
      <c r="O212" s="501">
        <v>73.017675515702877</v>
      </c>
    </row>
    <row r="213" spans="1:15">
      <c r="A213" s="40" t="s">
        <v>21</v>
      </c>
      <c r="B213" s="501">
        <v>117.50112896757827</v>
      </c>
      <c r="C213" s="501">
        <v>100.14288021381128</v>
      </c>
      <c r="D213" s="501">
        <v>130.70815413880425</v>
      </c>
      <c r="E213" s="501">
        <v>172.02586712689026</v>
      </c>
      <c r="F213" s="501">
        <v>82.918409365478581</v>
      </c>
      <c r="G213" s="501">
        <v>102.13974681898952</v>
      </c>
      <c r="H213" s="501">
        <v>118.26958259977671</v>
      </c>
      <c r="I213" s="501">
        <v>110.08041740661916</v>
      </c>
      <c r="J213" s="501">
        <v>165.82160173175228</v>
      </c>
      <c r="K213" s="501">
        <v>108.05337675635168</v>
      </c>
      <c r="L213" s="501">
        <v>91.90173164559252</v>
      </c>
      <c r="M213" s="501">
        <v>124.65799135021928</v>
      </c>
      <c r="N213" s="501">
        <v>64.788677224071364</v>
      </c>
      <c r="O213" s="501">
        <v>72.848606423705576</v>
      </c>
    </row>
    <row r="214" spans="1:15">
      <c r="A214" s="40" t="s">
        <v>22</v>
      </c>
      <c r="B214" s="501">
        <v>116.85489588472133</v>
      </c>
      <c r="C214" s="501">
        <v>98.13280743726186</v>
      </c>
      <c r="D214" s="501">
        <v>127.96080115422291</v>
      </c>
      <c r="E214" s="501">
        <v>174.18935735859068</v>
      </c>
      <c r="F214" s="501">
        <v>79.981167506008788</v>
      </c>
      <c r="G214" s="501">
        <v>99.771322089621975</v>
      </c>
      <c r="H214" s="501">
        <v>115.65075699661053</v>
      </c>
      <c r="I214" s="501">
        <v>107.81692710533578</v>
      </c>
      <c r="J214" s="501">
        <v>165.1875518254341</v>
      </c>
      <c r="K214" s="501">
        <v>106.73647243625265</v>
      </c>
      <c r="L214" s="501">
        <v>90.6954035962018</v>
      </c>
      <c r="M214" s="501">
        <v>120.17366480849913</v>
      </c>
      <c r="N214" s="501">
        <v>64.93098585971569</v>
      </c>
      <c r="O214" s="501">
        <v>70.913678266544565</v>
      </c>
    </row>
    <row r="215" spans="1:15">
      <c r="A215" s="40" t="s">
        <v>23</v>
      </c>
      <c r="B215" s="501">
        <v>115.24261252104887</v>
      </c>
      <c r="C215" s="501">
        <v>98.328190075182135</v>
      </c>
      <c r="D215" s="501">
        <v>126.83989934432253</v>
      </c>
      <c r="E215" s="501">
        <v>175.78762971769549</v>
      </c>
      <c r="F215" s="501">
        <v>77.537114196613416</v>
      </c>
      <c r="G215" s="501">
        <v>97.82323337230946</v>
      </c>
      <c r="H215" s="501">
        <v>107.02713669261453</v>
      </c>
      <c r="I215" s="501">
        <v>106.11899851652515</v>
      </c>
      <c r="J215" s="501">
        <v>165.59961165629193</v>
      </c>
      <c r="K215" s="501">
        <v>106.06291958655511</v>
      </c>
      <c r="L215" s="501">
        <v>90.506123926088264</v>
      </c>
      <c r="M215" s="501">
        <v>118.32832724849239</v>
      </c>
      <c r="N215" s="501">
        <v>64.598500354454373</v>
      </c>
      <c r="O215" s="501">
        <v>70.929810003592095</v>
      </c>
    </row>
    <row r="216" spans="1:15">
      <c r="A216" s="40" t="s">
        <v>24</v>
      </c>
      <c r="B216" s="501">
        <v>115.72047960217543</v>
      </c>
      <c r="C216" s="501">
        <v>101.12624666941912</v>
      </c>
      <c r="D216" s="501">
        <v>130.07794448952657</v>
      </c>
      <c r="E216" s="501">
        <v>173.7635995292614</v>
      </c>
      <c r="F216" s="501">
        <v>79.442196296276322</v>
      </c>
      <c r="G216" s="501">
        <v>98.400661042615141</v>
      </c>
      <c r="H216" s="501">
        <v>105.42952823933508</v>
      </c>
      <c r="I216" s="501">
        <v>106.3473968457742</v>
      </c>
      <c r="J216" s="501">
        <v>167.12139691133808</v>
      </c>
      <c r="K216" s="501">
        <v>107.25439256204805</v>
      </c>
      <c r="L216" s="501">
        <v>91.77681908693738</v>
      </c>
      <c r="M216" s="501">
        <v>120.17514376341843</v>
      </c>
      <c r="N216" s="501">
        <v>66.317545477469011</v>
      </c>
      <c r="O216" s="501">
        <v>72.510528179155088</v>
      </c>
    </row>
    <row r="217" spans="1:15">
      <c r="A217" s="40" t="s">
        <v>25</v>
      </c>
      <c r="B217" s="501">
        <v>115.91173613449688</v>
      </c>
      <c r="C217" s="501">
        <v>101.76321580007505</v>
      </c>
      <c r="D217" s="501">
        <v>129.90460239829562</v>
      </c>
      <c r="E217" s="501">
        <v>170.35097744509054</v>
      </c>
      <c r="F217" s="501">
        <v>79.39844642762165</v>
      </c>
      <c r="G217" s="501">
        <v>97.477414911760647</v>
      </c>
      <c r="H217" s="501">
        <v>104.68431172278275</v>
      </c>
      <c r="I217" s="501">
        <v>106.31117566313665</v>
      </c>
      <c r="J217" s="501">
        <v>167.55615976493218</v>
      </c>
      <c r="K217" s="501">
        <v>105.94029469137632</v>
      </c>
      <c r="L217" s="501">
        <v>92.164259164717336</v>
      </c>
      <c r="M217" s="501">
        <v>119.19094328516428</v>
      </c>
      <c r="N217" s="501">
        <v>67.350065861303108</v>
      </c>
      <c r="O217" s="501">
        <v>72.39729605203901</v>
      </c>
    </row>
    <row r="218" spans="1:15">
      <c r="A218" s="40" t="s">
        <v>26</v>
      </c>
      <c r="B218" s="501">
        <v>117.54609115219351</v>
      </c>
      <c r="C218" s="501">
        <v>102.9697286139276</v>
      </c>
      <c r="D218" s="501">
        <v>132.23762851751346</v>
      </c>
      <c r="E218" s="501">
        <v>172.15119168300092</v>
      </c>
      <c r="F218" s="501">
        <v>79.52123247697368</v>
      </c>
      <c r="G218" s="501">
        <v>97.900032335144857</v>
      </c>
      <c r="H218" s="501">
        <v>106.32835747529184</v>
      </c>
      <c r="I218" s="501">
        <v>107.81016281643637</v>
      </c>
      <c r="J218" s="501">
        <v>170.29573782448296</v>
      </c>
      <c r="K218" s="501">
        <v>107.00747600049073</v>
      </c>
      <c r="L218" s="501">
        <v>93.534295573229144</v>
      </c>
      <c r="M218" s="501">
        <v>119.41192287028876</v>
      </c>
      <c r="N218" s="501">
        <v>68.879607130571685</v>
      </c>
      <c r="O218" s="501">
        <v>74.305677159538675</v>
      </c>
    </row>
    <row r="219" spans="1:15">
      <c r="A219" s="40" t="s">
        <v>27</v>
      </c>
      <c r="B219" s="501">
        <v>118.33140365594629</v>
      </c>
      <c r="C219" s="501">
        <v>105.26005719395209</v>
      </c>
      <c r="D219" s="501">
        <v>133.62614262757535</v>
      </c>
      <c r="E219" s="501">
        <v>184.05092085097701</v>
      </c>
      <c r="F219" s="501">
        <v>78.287433084174282</v>
      </c>
      <c r="G219" s="501">
        <v>97.282913893061092</v>
      </c>
      <c r="H219" s="501">
        <v>107.39857854524695</v>
      </c>
      <c r="I219" s="501">
        <v>108.74598265135336</v>
      </c>
      <c r="J219" s="501">
        <v>178.09609011834124</v>
      </c>
      <c r="K219" s="501">
        <v>108.81812602229222</v>
      </c>
      <c r="L219" s="501">
        <v>93.838971966180438</v>
      </c>
      <c r="M219" s="501">
        <v>118.26209895766149</v>
      </c>
      <c r="N219" s="501">
        <v>70.471311828188689</v>
      </c>
      <c r="O219" s="501">
        <v>75.377338186813461</v>
      </c>
    </row>
    <row r="220" spans="1:15">
      <c r="A220" s="40" t="s">
        <v>28</v>
      </c>
      <c r="B220" s="501">
        <v>119.12620810712093</v>
      </c>
      <c r="C220" s="501">
        <v>108.12920274687296</v>
      </c>
      <c r="D220" s="501">
        <v>136.95649189154338</v>
      </c>
      <c r="E220" s="501">
        <v>207.37480953513011</v>
      </c>
      <c r="F220" s="501">
        <v>80.226589180298873</v>
      </c>
      <c r="G220" s="501">
        <v>98.278987400584484</v>
      </c>
      <c r="H220" s="501">
        <v>108.27586790313472</v>
      </c>
      <c r="I220" s="501">
        <v>110.78529347325373</v>
      </c>
      <c r="J220" s="501">
        <v>181.98204135769322</v>
      </c>
      <c r="K220" s="501">
        <v>107.28888556772935</v>
      </c>
      <c r="L220" s="501">
        <v>94.389138418203359</v>
      </c>
      <c r="M220" s="501">
        <v>120.19339337407349</v>
      </c>
      <c r="N220" s="501">
        <v>71.305639635667006</v>
      </c>
      <c r="O220" s="501">
        <v>76.406349380196659</v>
      </c>
    </row>
    <row r="221" spans="1:15">
      <c r="A221" s="40" t="s">
        <v>29</v>
      </c>
      <c r="B221" s="501">
        <v>120.41365778556006</v>
      </c>
      <c r="C221" s="501">
        <v>110.25748650091839</v>
      </c>
      <c r="D221" s="501">
        <v>139.9112572911956</v>
      </c>
      <c r="E221" s="501">
        <v>234.16949456654385</v>
      </c>
      <c r="F221" s="501">
        <v>81.928473145346018</v>
      </c>
      <c r="G221" s="501">
        <v>101.97365276549272</v>
      </c>
      <c r="H221" s="501">
        <v>108.35849388002576</v>
      </c>
      <c r="I221" s="501">
        <v>113.49676468496631</v>
      </c>
      <c r="J221" s="501">
        <v>184.14094362973631</v>
      </c>
      <c r="K221" s="501">
        <v>109.79848988693693</v>
      </c>
      <c r="L221" s="501">
        <v>95.82369878415129</v>
      </c>
      <c r="M221" s="501">
        <v>123.64754090587699</v>
      </c>
      <c r="N221" s="501">
        <v>72.191002306025467</v>
      </c>
      <c r="O221" s="501">
        <v>77.549103354646135</v>
      </c>
    </row>
    <row r="222" spans="1:15">
      <c r="A222" s="40" t="s">
        <v>2827</v>
      </c>
      <c r="B222" s="501"/>
      <c r="C222" s="501"/>
      <c r="D222" s="501"/>
      <c r="E222" s="501"/>
      <c r="F222" s="501"/>
      <c r="G222" s="501"/>
      <c r="H222" s="501"/>
      <c r="I222" s="501"/>
      <c r="J222" s="501"/>
      <c r="K222" s="501"/>
      <c r="L222" s="501"/>
      <c r="M222" s="501"/>
      <c r="N222" s="501"/>
      <c r="O222" s="501"/>
    </row>
    <row r="223" spans="1:15">
      <c r="A223" s="40" t="s">
        <v>18</v>
      </c>
      <c r="B223" s="501">
        <v>121.66538938809788</v>
      </c>
      <c r="C223" s="501">
        <v>111.37136134911654</v>
      </c>
      <c r="D223" s="501">
        <v>139.74425219641137</v>
      </c>
      <c r="E223" s="501">
        <v>216.51168281428843</v>
      </c>
      <c r="F223" s="501">
        <v>85.290918512937353</v>
      </c>
      <c r="G223" s="501">
        <v>105.333144237184</v>
      </c>
      <c r="H223" s="501">
        <v>108.27373985888829</v>
      </c>
      <c r="I223" s="501">
        <v>114.56294010560312</v>
      </c>
      <c r="J223" s="501">
        <v>188.23544633792847</v>
      </c>
      <c r="K223" s="501">
        <v>110.80717974489112</v>
      </c>
      <c r="L223" s="501">
        <v>96.854875281234229</v>
      </c>
      <c r="M223" s="501">
        <v>126.23117279792442</v>
      </c>
      <c r="N223" s="501">
        <v>73.674381125282963</v>
      </c>
      <c r="O223" s="501">
        <v>78.49527581171499</v>
      </c>
    </row>
    <row r="224" spans="1:15">
      <c r="A224" s="40" t="s">
        <v>19</v>
      </c>
      <c r="B224" s="501">
        <v>122.02493692629419</v>
      </c>
      <c r="C224" s="501">
        <v>111.3926827401075</v>
      </c>
      <c r="D224" s="501">
        <v>140.36010877288115</v>
      </c>
      <c r="E224" s="501">
        <v>211.02293624234412</v>
      </c>
      <c r="F224" s="501">
        <v>87.355962427861627</v>
      </c>
      <c r="G224" s="501">
        <v>107.01687233401502</v>
      </c>
      <c r="H224" s="501">
        <v>105.99376680055911</v>
      </c>
      <c r="I224" s="501">
        <v>115.11232680750034</v>
      </c>
      <c r="J224" s="501">
        <v>190.24867221787332</v>
      </c>
      <c r="K224" s="501">
        <v>114.07256567430515</v>
      </c>
      <c r="L224" s="501">
        <v>97.148802129489837</v>
      </c>
      <c r="M224" s="501">
        <v>126.88561858073388</v>
      </c>
      <c r="N224" s="501">
        <v>74.282668237859397</v>
      </c>
      <c r="O224" s="501">
        <v>79.1638720254182</v>
      </c>
    </row>
    <row r="225" spans="1:15">
      <c r="A225" s="40" t="s">
        <v>20</v>
      </c>
      <c r="B225" s="501">
        <v>121.90955668126435</v>
      </c>
      <c r="C225" s="501">
        <v>113.05816211479723</v>
      </c>
      <c r="D225" s="501">
        <v>144.29821976535243</v>
      </c>
      <c r="E225" s="501">
        <v>216.31374956503524</v>
      </c>
      <c r="F225" s="501">
        <v>114.74054617558679</v>
      </c>
      <c r="G225" s="501">
        <v>109.0348280348225</v>
      </c>
      <c r="H225" s="501">
        <v>112.572657820681</v>
      </c>
      <c r="I225" s="501">
        <v>128.6217866796548</v>
      </c>
      <c r="J225" s="501">
        <v>195.84444981529586</v>
      </c>
      <c r="K225" s="501">
        <v>115.68474587360865</v>
      </c>
      <c r="L225" s="501">
        <v>98.174596170472086</v>
      </c>
      <c r="M225" s="501">
        <v>127.48706004736128</v>
      </c>
      <c r="N225" s="501">
        <v>75.795600999306146</v>
      </c>
      <c r="O225" s="501">
        <v>80.175006346317176</v>
      </c>
    </row>
    <row r="226" spans="1:15">
      <c r="A226" s="40" t="s">
        <v>21</v>
      </c>
      <c r="B226" s="501">
        <v>122.80856491166176</v>
      </c>
      <c r="C226" s="501">
        <v>115.42814436076917</v>
      </c>
      <c r="D226" s="501">
        <v>144.37537707450372</v>
      </c>
      <c r="E226" s="501">
        <v>205.69557246527216</v>
      </c>
      <c r="F226" s="501">
        <v>83.92818549399172</v>
      </c>
      <c r="G226" s="501">
        <v>105.12008717597058</v>
      </c>
      <c r="H226" s="501">
        <v>105.61727103353581</v>
      </c>
      <c r="I226" s="501">
        <v>117.90194604554127</v>
      </c>
      <c r="J226" s="501">
        <v>210.94946607555801</v>
      </c>
      <c r="K226" s="501">
        <v>115.7380626182679</v>
      </c>
      <c r="L226" s="501">
        <v>100.02993245574582</v>
      </c>
      <c r="M226" s="501">
        <v>126.82138480064417</v>
      </c>
      <c r="N226" s="501">
        <v>76.993035570143888</v>
      </c>
      <c r="O226" s="501">
        <v>81.838774467115584</v>
      </c>
    </row>
    <row r="227" spans="1:15">
      <c r="A227" s="40" t="s">
        <v>22</v>
      </c>
      <c r="B227" s="501">
        <v>122.4887278784672</v>
      </c>
      <c r="C227" s="501">
        <v>117.99333617952119</v>
      </c>
      <c r="D227" s="501">
        <v>150.55465075049472</v>
      </c>
      <c r="E227" s="501">
        <v>212.79249470970873</v>
      </c>
      <c r="F227" s="501">
        <v>67.971452453240332</v>
      </c>
      <c r="G227" s="501">
        <v>103.18674225470835</v>
      </c>
      <c r="H227" s="501">
        <v>101.77840985332564</v>
      </c>
      <c r="I227" s="501">
        <v>111.12256252818206</v>
      </c>
      <c r="J227" s="501">
        <v>216.5038072407238</v>
      </c>
      <c r="K227" s="501">
        <v>120.90429958185615</v>
      </c>
      <c r="L227" s="501">
        <v>105.45819211876075</v>
      </c>
      <c r="M227" s="501">
        <v>126.8427402022575</v>
      </c>
      <c r="N227" s="501">
        <v>79.163554690454234</v>
      </c>
      <c r="O227" s="501">
        <v>84.96453662689072</v>
      </c>
    </row>
    <row r="228" spans="1:15">
      <c r="A228" s="40" t="s">
        <v>23</v>
      </c>
      <c r="B228" s="501">
        <v>120.78794468559259</v>
      </c>
      <c r="C228" s="501">
        <v>116.6673065998894</v>
      </c>
      <c r="D228" s="501">
        <v>150.25070615035301</v>
      </c>
      <c r="E228" s="501">
        <v>221.69504673653887</v>
      </c>
      <c r="F228" s="501">
        <v>60.802336795789969</v>
      </c>
      <c r="G228" s="501">
        <v>99.476471883383439</v>
      </c>
      <c r="H228" s="501">
        <v>100.99865129297444</v>
      </c>
      <c r="I228" s="501">
        <v>112.74964693015546</v>
      </c>
      <c r="J228" s="501">
        <v>224.38738613002556</v>
      </c>
      <c r="K228" s="501">
        <v>121.38409969570148</v>
      </c>
      <c r="L228" s="501">
        <v>105.12672125531684</v>
      </c>
      <c r="M228" s="501">
        <v>125.29176316497752</v>
      </c>
      <c r="N228" s="501">
        <v>79.133423107833892</v>
      </c>
      <c r="O228" s="501">
        <v>83.611836369540413</v>
      </c>
    </row>
    <row r="229" spans="1:15">
      <c r="A229" s="40" t="s">
        <v>24</v>
      </c>
      <c r="B229" s="501">
        <v>121.36433352435337</v>
      </c>
      <c r="C229" s="501">
        <v>121.35920904773221</v>
      </c>
      <c r="D229" s="501">
        <v>154.42346077974244</v>
      </c>
      <c r="E229" s="501">
        <v>222.56929935480406</v>
      </c>
      <c r="F229" s="501">
        <v>62.948375686182217</v>
      </c>
      <c r="G229" s="501">
        <v>106.00294826309754</v>
      </c>
      <c r="H229" s="501">
        <v>97.711487060359232</v>
      </c>
      <c r="I229" s="501">
        <v>119.98174297140532</v>
      </c>
      <c r="J229" s="501">
        <v>229.09193483706454</v>
      </c>
      <c r="K229" s="501">
        <v>122.71311610989414</v>
      </c>
      <c r="L229" s="501">
        <v>105.7374621800133</v>
      </c>
      <c r="M229" s="501">
        <v>120.77229519921406</v>
      </c>
      <c r="N229" s="501">
        <v>80.990458408233849</v>
      </c>
      <c r="O229" s="501">
        <v>83.911892518789884</v>
      </c>
    </row>
    <row r="230" spans="1:15">
      <c r="A230" s="40" t="s">
        <v>25</v>
      </c>
      <c r="B230" s="501">
        <v>122.20133427822466</v>
      </c>
      <c r="C230" s="501">
        <v>122.41159866266794</v>
      </c>
      <c r="D230" s="501">
        <v>155.16895542945778</v>
      </c>
      <c r="E230" s="501">
        <v>229.14659285666522</v>
      </c>
      <c r="F230" s="501">
        <v>65.415755028873164</v>
      </c>
      <c r="G230" s="501">
        <v>123.03833276594254</v>
      </c>
      <c r="H230" s="501">
        <v>96.105409563672197</v>
      </c>
      <c r="I230" s="501">
        <v>118.09701229030571</v>
      </c>
      <c r="J230" s="501">
        <v>228.13116534207876</v>
      </c>
      <c r="K230" s="501">
        <v>118.01094883170039</v>
      </c>
      <c r="L230" s="501">
        <v>107.79735069478896</v>
      </c>
      <c r="M230" s="501">
        <v>116.0169273811274</v>
      </c>
      <c r="N230" s="501">
        <v>82.503772657781496</v>
      </c>
      <c r="O230" s="501">
        <v>83.384897613919307</v>
      </c>
    </row>
    <row r="231" spans="1:15">
      <c r="A231" s="40" t="s">
        <v>26</v>
      </c>
      <c r="B231" s="501">
        <v>125.50271481421123</v>
      </c>
      <c r="C231" s="501">
        <v>127.40104720865395</v>
      </c>
      <c r="D231" s="501">
        <v>168.17610099718991</v>
      </c>
      <c r="E231" s="501">
        <v>232.72707974439032</v>
      </c>
      <c r="F231" s="501">
        <v>66.751072175674921</v>
      </c>
      <c r="G231" s="501">
        <v>125.16594513555332</v>
      </c>
      <c r="H231" s="501">
        <v>100.83087922961703</v>
      </c>
      <c r="I231" s="501">
        <v>120.283563984408</v>
      </c>
      <c r="J231" s="501">
        <v>247.63121086883478</v>
      </c>
      <c r="K231" s="501">
        <v>126.96811975562754</v>
      </c>
      <c r="L231" s="501">
        <v>114.29447099489029</v>
      </c>
      <c r="M231" s="501">
        <v>118.6041729955883</v>
      </c>
      <c r="N231" s="501">
        <v>89.597034574889008</v>
      </c>
      <c r="O231" s="501">
        <v>87.636402816234337</v>
      </c>
    </row>
    <row r="232" spans="1:15">
      <c r="A232" s="40" t="s">
        <v>27</v>
      </c>
      <c r="B232" s="501">
        <v>126.81562144173751</v>
      </c>
      <c r="C232" s="501">
        <v>128.70168039134006</v>
      </c>
      <c r="D232" s="501">
        <v>171.53767727890551</v>
      </c>
      <c r="E232" s="501">
        <v>231.78290512412113</v>
      </c>
      <c r="F232" s="501">
        <v>69.372269560457255</v>
      </c>
      <c r="G232" s="501">
        <v>124.24798006120182</v>
      </c>
      <c r="H232" s="501">
        <v>99.542301667657952</v>
      </c>
      <c r="I232" s="501">
        <v>119.8842105949935</v>
      </c>
      <c r="J232" s="501">
        <v>257.11361526618037</v>
      </c>
      <c r="K232" s="501">
        <v>131.83546849512678</v>
      </c>
      <c r="L232" s="501">
        <v>118.87711368489215</v>
      </c>
      <c r="M232" s="501">
        <v>122.15145522626129</v>
      </c>
      <c r="N232" s="501">
        <v>92.924334001443384</v>
      </c>
      <c r="O232" s="501">
        <v>90.914384263403335</v>
      </c>
    </row>
    <row r="233" spans="1:15">
      <c r="A233" s="40" t="s">
        <v>28</v>
      </c>
      <c r="B233" s="501">
        <v>127.8752388588812</v>
      </c>
      <c r="C233" s="501">
        <v>125.29312615734015</v>
      </c>
      <c r="D233" s="501">
        <v>166.03584272993601</v>
      </c>
      <c r="E233" s="501">
        <v>227.83043989519601</v>
      </c>
      <c r="F233" s="501">
        <v>69.2745167035566</v>
      </c>
      <c r="G233" s="501">
        <v>124.57569706213818</v>
      </c>
      <c r="H233" s="501">
        <v>98.079700511662779</v>
      </c>
      <c r="I233" s="501">
        <v>116.64903126943716</v>
      </c>
      <c r="J233" s="501">
        <v>250.63174082024398</v>
      </c>
      <c r="K233" s="501">
        <v>130.84687986500126</v>
      </c>
      <c r="L233" s="501">
        <v>120.06092124864752</v>
      </c>
      <c r="M233" s="501">
        <v>124.34953322287475</v>
      </c>
      <c r="N233" s="501">
        <v>89.537738080590373</v>
      </c>
      <c r="O233" s="501">
        <v>89.264376111947172</v>
      </c>
    </row>
    <row r="234" spans="1:15">
      <c r="A234" s="40" t="s">
        <v>29</v>
      </c>
      <c r="B234" s="501">
        <v>128.97163885740233</v>
      </c>
      <c r="C234" s="501">
        <v>122.0876795282264</v>
      </c>
      <c r="D234" s="501">
        <v>160.91892160720326</v>
      </c>
      <c r="E234" s="501">
        <v>228.05698069772873</v>
      </c>
      <c r="F234" s="501">
        <v>74.590499933278565</v>
      </c>
      <c r="G234" s="501">
        <v>125.17656265777114</v>
      </c>
      <c r="H234" s="501">
        <v>97.796862443164571</v>
      </c>
      <c r="I234" s="501">
        <v>118.00473992603125</v>
      </c>
      <c r="J234" s="501">
        <v>239.88365347955113</v>
      </c>
      <c r="K234" s="501">
        <v>130.63599546850372</v>
      </c>
      <c r="L234" s="501">
        <v>118.17677904517117</v>
      </c>
      <c r="M234" s="501">
        <v>124.96842244393333</v>
      </c>
      <c r="N234" s="501">
        <v>85.852521686817369</v>
      </c>
      <c r="O234" s="501">
        <v>87.18159508599571</v>
      </c>
    </row>
    <row r="235" spans="1:15">
      <c r="A235" s="40" t="s">
        <v>3518</v>
      </c>
      <c r="B235" s="501"/>
      <c r="C235" s="501"/>
      <c r="D235" s="501"/>
      <c r="E235" s="501"/>
      <c r="F235" s="501"/>
      <c r="G235" s="501"/>
      <c r="H235" s="501"/>
      <c r="I235" s="501"/>
      <c r="J235" s="501"/>
      <c r="K235" s="501"/>
      <c r="L235" s="501"/>
      <c r="M235" s="501"/>
      <c r="N235" s="501"/>
      <c r="O235" s="501"/>
    </row>
    <row r="236" spans="1:15">
      <c r="A236" s="40" t="s">
        <v>18</v>
      </c>
      <c r="B236" s="501">
        <v>129.58787381764236</v>
      </c>
      <c r="C236" s="501">
        <v>120.97719628964961</v>
      </c>
      <c r="D236" s="501">
        <v>162.94682357021037</v>
      </c>
      <c r="E236" s="501">
        <v>217.34850103550332</v>
      </c>
      <c r="F236" s="501">
        <v>79.704966450269552</v>
      </c>
      <c r="G236" s="501">
        <v>125.14588441407665</v>
      </c>
      <c r="H236" s="501">
        <v>97.571940128261829</v>
      </c>
      <c r="I236" s="501">
        <v>115.70507518854546</v>
      </c>
      <c r="J236" s="501">
        <v>233.07195487108177</v>
      </c>
      <c r="K236" s="501">
        <v>131.26862077622036</v>
      </c>
      <c r="L236" s="501">
        <v>115.3633452766687</v>
      </c>
      <c r="M236" s="501">
        <v>125.22892427794329</v>
      </c>
      <c r="N236" s="501">
        <v>82.7140755950185</v>
      </c>
      <c r="O236" s="501">
        <v>86.743611385797308</v>
      </c>
    </row>
    <row r="237" spans="1:15">
      <c r="A237" s="40" t="s">
        <v>19</v>
      </c>
      <c r="B237" s="501">
        <v>130.98597673680692</v>
      </c>
      <c r="C237" s="501">
        <v>122.37787160156662</v>
      </c>
      <c r="D237" s="501">
        <v>165.30411578420743</v>
      </c>
      <c r="E237" s="501">
        <v>214.63169629539487</v>
      </c>
      <c r="F237" s="501">
        <v>84.097526120430885</v>
      </c>
      <c r="G237" s="501">
        <v>126.07920063818588</v>
      </c>
      <c r="H237" s="501">
        <v>98.311231972147382</v>
      </c>
      <c r="I237" s="501">
        <v>113.72753089279135</v>
      </c>
      <c r="J237" s="501">
        <v>241.48930560977999</v>
      </c>
      <c r="K237" s="501">
        <v>135.76272420824773</v>
      </c>
      <c r="L237" s="501">
        <v>118.19636272355348</v>
      </c>
      <c r="M237" s="501">
        <v>125.50353975503134</v>
      </c>
      <c r="N237" s="501">
        <v>85.783075021850564</v>
      </c>
      <c r="O237" s="501">
        <v>87.456162384873181</v>
      </c>
    </row>
    <row r="238" spans="1:15">
      <c r="A238" s="40" t="s">
        <v>20</v>
      </c>
      <c r="B238" s="501">
        <v>131.76312752861662</v>
      </c>
      <c r="C238" s="501">
        <v>122.62113483125604</v>
      </c>
      <c r="D238" s="501">
        <v>164.84715143777404</v>
      </c>
      <c r="E238" s="501">
        <v>212.80475613104929</v>
      </c>
      <c r="F238" s="501">
        <v>87.622675030273896</v>
      </c>
      <c r="G238" s="501">
        <v>125.36319645272083</v>
      </c>
      <c r="H238" s="501">
        <v>96.980018593846992</v>
      </c>
      <c r="I238" s="501">
        <v>113.01490477951859</v>
      </c>
      <c r="J238" s="501">
        <v>245.02005836081196</v>
      </c>
      <c r="K238" s="501">
        <v>140.24744774263985</v>
      </c>
      <c r="L238" s="501">
        <v>120.38986772494749</v>
      </c>
      <c r="M238" s="501">
        <v>125.68156264419981</v>
      </c>
      <c r="N238" s="501">
        <v>88.248524750713727</v>
      </c>
      <c r="O238" s="501">
        <v>88.164099316326556</v>
      </c>
    </row>
    <row r="239" spans="1:15">
      <c r="A239" s="40" t="s">
        <v>21</v>
      </c>
      <c r="B239" s="501">
        <v>131.64117550456191</v>
      </c>
      <c r="C239" s="501">
        <v>119.05289627270179</v>
      </c>
      <c r="D239" s="501">
        <v>158.96655929655296</v>
      </c>
      <c r="E239" s="501">
        <v>212.34413411970527</v>
      </c>
      <c r="F239" s="501">
        <v>93.183770188288776</v>
      </c>
      <c r="G239" s="501">
        <v>125.42330099683549</v>
      </c>
      <c r="H239" s="501">
        <v>95.623120291587213</v>
      </c>
      <c r="I239" s="501">
        <v>113.06406624483989</v>
      </c>
      <c r="J239" s="501">
        <v>242.60936595197657</v>
      </c>
      <c r="K239" s="501">
        <v>139.56844587925198</v>
      </c>
      <c r="L239" s="501">
        <v>120.79232146122541</v>
      </c>
      <c r="M239" s="501">
        <v>125.63223582824271</v>
      </c>
      <c r="N239" s="501">
        <v>89.376995999964748</v>
      </c>
      <c r="O239" s="501">
        <v>85.771840162081077</v>
      </c>
    </row>
    <row r="240" spans="1:15">
      <c r="A240" s="40" t="s">
        <v>22</v>
      </c>
      <c r="B240" s="501">
        <v>131.00592411317257</v>
      </c>
      <c r="C240" s="501">
        <v>119.47900399598906</v>
      </c>
      <c r="D240" s="501">
        <v>156.76611960159184</v>
      </c>
      <c r="E240" s="501">
        <v>215.77844368876157</v>
      </c>
      <c r="F240" s="501">
        <v>90.617497958626643</v>
      </c>
      <c r="G240" s="501">
        <v>124.40320014731716</v>
      </c>
      <c r="H240" s="501">
        <v>95.719432913568781</v>
      </c>
      <c r="I240" s="501">
        <v>110.68674446271149</v>
      </c>
      <c r="J240" s="501">
        <v>247.72327713667318</v>
      </c>
      <c r="K240" s="501">
        <v>139.98519352285916</v>
      </c>
      <c r="L240" s="501">
        <v>122.25566500072604</v>
      </c>
      <c r="M240" s="501">
        <v>125.49558148879154</v>
      </c>
      <c r="N240" s="501">
        <v>89.225879915998391</v>
      </c>
      <c r="O240" s="501">
        <v>84.88928132166042</v>
      </c>
    </row>
    <row r="241" spans="1:15">
      <c r="A241" s="40" t="s">
        <v>23</v>
      </c>
      <c r="B241" s="501">
        <v>129.56772368924825</v>
      </c>
      <c r="C241" s="501">
        <v>118.685810860768</v>
      </c>
      <c r="D241" s="501">
        <v>153.58643925253185</v>
      </c>
      <c r="E241" s="501">
        <v>240.22715957592166</v>
      </c>
      <c r="F241" s="501">
        <v>93.385610410565462</v>
      </c>
      <c r="G241" s="501">
        <v>122.3202131690332</v>
      </c>
      <c r="H241" s="501">
        <v>98.576274317115434</v>
      </c>
      <c r="I241" s="501">
        <v>109.23748241945805</v>
      </c>
      <c r="J241" s="501">
        <v>251.61664183075473</v>
      </c>
      <c r="K241" s="501">
        <v>137.90711000961048</v>
      </c>
      <c r="L241" s="501">
        <v>124.00641125897656</v>
      </c>
      <c r="M241" s="501">
        <v>123.99707343914503</v>
      </c>
      <c r="N241" s="501">
        <v>86.211310754688014</v>
      </c>
      <c r="O241" s="501">
        <v>84.475715529191817</v>
      </c>
    </row>
    <row r="242" spans="1:15">
      <c r="A242" s="40" t="s">
        <v>24</v>
      </c>
      <c r="B242" s="501">
        <v>128.46421607604381</v>
      </c>
      <c r="C242" s="501">
        <v>115.61583618308056</v>
      </c>
      <c r="D242" s="501">
        <v>150.1267843247532</v>
      </c>
      <c r="E242" s="501">
        <v>249.65023650409148</v>
      </c>
      <c r="F242" s="501">
        <v>100.46893522857202</v>
      </c>
      <c r="G242" s="501">
        <v>122.22229128752124</v>
      </c>
      <c r="H242" s="501">
        <v>97.277319203834381</v>
      </c>
      <c r="I242" s="501">
        <v>107.69363810483792</v>
      </c>
      <c r="J242" s="501">
        <v>249.30242973038526</v>
      </c>
      <c r="K242" s="501">
        <v>137.3955520633416</v>
      </c>
      <c r="L242" s="501">
        <v>123.77056774263332</v>
      </c>
      <c r="M242" s="501">
        <v>122.80178238707202</v>
      </c>
      <c r="N242" s="501">
        <v>84.932251065292363</v>
      </c>
      <c r="O242" s="501">
        <v>81.416862016292768</v>
      </c>
    </row>
    <row r="243" spans="1:15">
      <c r="A243" s="40" t="s">
        <v>25</v>
      </c>
      <c r="B243" s="501">
        <v>127.30942260491597</v>
      </c>
      <c r="C243" s="501">
        <v>115.89497984735006</v>
      </c>
      <c r="D243" s="501">
        <v>151.05110024134729</v>
      </c>
      <c r="E243" s="501">
        <v>232.33296583803346</v>
      </c>
      <c r="F243" s="501">
        <v>105.24174369833338</v>
      </c>
      <c r="G243" s="501">
        <v>123.41437501264807</v>
      </c>
      <c r="H243" s="501">
        <v>97.035253339473513</v>
      </c>
      <c r="I243" s="501">
        <v>108.0705370632809</v>
      </c>
      <c r="J243" s="501">
        <v>254.28211927363932</v>
      </c>
      <c r="K243" s="501">
        <v>139.15046565181564</v>
      </c>
      <c r="L243" s="501">
        <v>124.03586921883543</v>
      </c>
      <c r="M243" s="501">
        <v>122.74485808166379</v>
      </c>
      <c r="N243" s="501">
        <v>86.321569158856789</v>
      </c>
      <c r="O243" s="501">
        <v>81.235158434729385</v>
      </c>
    </row>
    <row r="244" spans="1:15">
      <c r="A244" s="40" t="s">
        <v>26</v>
      </c>
      <c r="B244" s="501">
        <v>127.19457796672488</v>
      </c>
      <c r="C244" s="501">
        <v>118.28253128345921</v>
      </c>
      <c r="D244" s="501">
        <v>154.19938406168529</v>
      </c>
      <c r="E244" s="501">
        <v>223.23575490610204</v>
      </c>
      <c r="F244" s="501">
        <v>106.36889285887581</v>
      </c>
      <c r="G244" s="501">
        <v>123.20424129458635</v>
      </c>
      <c r="H244" s="501">
        <v>97.618101757020426</v>
      </c>
      <c r="I244" s="501">
        <v>111.47089093801624</v>
      </c>
      <c r="J244" s="501">
        <v>259.20543152789514</v>
      </c>
      <c r="K244" s="501">
        <v>142.56056645542824</v>
      </c>
      <c r="L244" s="501">
        <v>124.93338810292644</v>
      </c>
      <c r="M244" s="501">
        <v>122.31157292385785</v>
      </c>
      <c r="N244" s="501">
        <v>86.788917077649046</v>
      </c>
      <c r="O244" s="501">
        <v>83.308021061612436</v>
      </c>
    </row>
    <row r="245" spans="1:15">
      <c r="A245" s="40" t="s">
        <v>27</v>
      </c>
      <c r="B245" s="501">
        <v>127.58673981673553</v>
      </c>
      <c r="C245" s="501">
        <v>120.10723617447938</v>
      </c>
      <c r="D245" s="501">
        <v>158.00365677777495</v>
      </c>
      <c r="E245" s="501">
        <v>223.8082020030927</v>
      </c>
      <c r="F245" s="501">
        <v>106.52695354857036</v>
      </c>
      <c r="G245" s="501">
        <v>121.6365910619831</v>
      </c>
      <c r="H245" s="501">
        <v>99.097396958247359</v>
      </c>
      <c r="I245" s="501">
        <v>112.88201009545153</v>
      </c>
      <c r="J245" s="501">
        <v>261.73611268600126</v>
      </c>
      <c r="K245" s="501">
        <v>148.13728744278822</v>
      </c>
      <c r="L245" s="501">
        <v>125.7916300169768</v>
      </c>
      <c r="M245" s="501">
        <v>156.2001046947037</v>
      </c>
      <c r="N245" s="501">
        <v>88.056649041937291</v>
      </c>
      <c r="O245" s="501">
        <v>84.204669754414695</v>
      </c>
    </row>
    <row r="246" spans="1:15">
      <c r="A246" s="40" t="s">
        <v>28</v>
      </c>
      <c r="B246" s="501">
        <v>127.0937767417667</v>
      </c>
      <c r="C246" s="501">
        <v>117.88216599617046</v>
      </c>
      <c r="D246" s="501">
        <v>154.87558208049589</v>
      </c>
      <c r="E246" s="501">
        <v>222.29491721240171</v>
      </c>
      <c r="F246" s="501">
        <v>98.006893198194987</v>
      </c>
      <c r="G246" s="501">
        <v>119.40475126804716</v>
      </c>
      <c r="H246" s="501">
        <v>99.657690418955724</v>
      </c>
      <c r="I246" s="501">
        <v>108.05425718362481</v>
      </c>
      <c r="J246" s="501">
        <v>262.10575236564887</v>
      </c>
      <c r="K246" s="501">
        <v>142.46076761457124</v>
      </c>
      <c r="L246" s="501">
        <v>124.79840594934898</v>
      </c>
      <c r="M246" s="501">
        <v>157.96595917653659</v>
      </c>
      <c r="N246" s="501">
        <v>85.413963685649506</v>
      </c>
      <c r="O246" s="501">
        <v>82.769422645155842</v>
      </c>
    </row>
    <row r="247" spans="1:15">
      <c r="A247" s="40" t="s">
        <v>29</v>
      </c>
      <c r="B247" s="501">
        <v>127.47529602401309</v>
      </c>
      <c r="C247" s="501">
        <v>116.96009015491423</v>
      </c>
      <c r="D247" s="501">
        <v>151.98379341958474</v>
      </c>
      <c r="E247" s="501">
        <v>220.50671195623113</v>
      </c>
      <c r="F247" s="501">
        <v>98.097622323195949</v>
      </c>
      <c r="G247" s="501">
        <v>122.20438813680437</v>
      </c>
      <c r="H247" s="501">
        <v>99.431158546376793</v>
      </c>
      <c r="I247" s="501">
        <v>107.34528254360521</v>
      </c>
      <c r="J247" s="501">
        <v>253.18796128857446</v>
      </c>
      <c r="K247" s="501">
        <v>137.92330449011203</v>
      </c>
      <c r="L247" s="501">
        <v>123.76504348451492</v>
      </c>
      <c r="M247" s="501">
        <v>157.45324351516305</v>
      </c>
      <c r="N247" s="501">
        <v>85.574281951801765</v>
      </c>
      <c r="O247" s="501">
        <v>80.627751048108934</v>
      </c>
    </row>
    <row r="248" spans="1:15">
      <c r="A248" s="40" t="s">
        <v>3989</v>
      </c>
      <c r="B248" s="501"/>
      <c r="C248" s="501"/>
      <c r="D248" s="501"/>
      <c r="E248" s="501"/>
      <c r="F248" s="501"/>
      <c r="G248" s="501"/>
      <c r="H248" s="501"/>
      <c r="I248" s="501"/>
      <c r="J248" s="501"/>
      <c r="K248" s="501"/>
      <c r="L248" s="501"/>
      <c r="M248" s="501"/>
      <c r="N248" s="501"/>
      <c r="O248" s="501"/>
    </row>
    <row r="249" spans="1:15">
      <c r="A249" s="40" t="s">
        <v>18</v>
      </c>
      <c r="B249" s="501">
        <v>127.75956097748006</v>
      </c>
      <c r="C249" s="501">
        <v>117.9924801253717</v>
      </c>
      <c r="D249" s="501">
        <v>153.08204378859526</v>
      </c>
      <c r="E249" s="501">
        <v>214.33410623551322</v>
      </c>
      <c r="F249" s="501">
        <v>96.112528905363689</v>
      </c>
      <c r="G249" s="501">
        <v>124.9054366767691</v>
      </c>
      <c r="H249" s="501">
        <v>99.234452531681413</v>
      </c>
      <c r="I249" s="501">
        <v>105.12628589140087</v>
      </c>
      <c r="J249" s="501">
        <v>257.40922098509475</v>
      </c>
      <c r="K249" s="501">
        <v>139.92433422025505</v>
      </c>
      <c r="L249" s="501">
        <v>124.55690603048768</v>
      </c>
      <c r="M249" s="501">
        <v>156.28949776698823</v>
      </c>
      <c r="N249" s="501">
        <v>86.923724729848914</v>
      </c>
      <c r="O249" s="501">
        <v>80.136856790366863</v>
      </c>
    </row>
    <row r="250" spans="1:15">
      <c r="A250" s="40" t="s">
        <v>19</v>
      </c>
      <c r="B250" s="501">
        <v>128.06205846071163</v>
      </c>
      <c r="C250" s="501">
        <v>119.48180968349925</v>
      </c>
      <c r="D250" s="501">
        <v>154.14929820008473</v>
      </c>
      <c r="E250" s="501">
        <v>211.64239659606909</v>
      </c>
      <c r="F250" s="501">
        <v>98.490982674844375</v>
      </c>
      <c r="G250" s="501">
        <v>125.54315836700285</v>
      </c>
      <c r="H250" s="501">
        <v>99.161016064678819</v>
      </c>
      <c r="I250" s="501">
        <v>103.94591046166877</v>
      </c>
      <c r="J250" s="501">
        <v>265.82761268374338</v>
      </c>
      <c r="K250" s="501">
        <v>138.07021016163978</v>
      </c>
      <c r="L250" s="501">
        <v>124.56966641163234</v>
      </c>
      <c r="M250" s="501">
        <v>155.52509403899205</v>
      </c>
      <c r="N250" s="501">
        <v>87.685218550902974</v>
      </c>
      <c r="O250" s="501">
        <v>81.936540059635348</v>
      </c>
    </row>
    <row r="251" spans="1:15">
      <c r="A251" s="40" t="s">
        <v>20</v>
      </c>
      <c r="B251" s="501">
        <v>127.84266187888707</v>
      </c>
      <c r="C251" s="501">
        <v>118.05773684631954</v>
      </c>
      <c r="D251" s="501">
        <v>152.69799463047832</v>
      </c>
      <c r="E251" s="501">
        <v>214.05974807150423</v>
      </c>
      <c r="F251" s="501">
        <v>98.408394586793108</v>
      </c>
      <c r="G251" s="501">
        <v>127.48308702854123</v>
      </c>
      <c r="H251" s="501">
        <v>100.4849292774191</v>
      </c>
      <c r="I251" s="501">
        <v>103.27092495861494</v>
      </c>
      <c r="J251" s="501">
        <v>266.06280919116961</v>
      </c>
      <c r="K251" s="501">
        <v>136.90860249832309</v>
      </c>
      <c r="L251" s="501">
        <v>126.0722599053985</v>
      </c>
      <c r="M251" s="501">
        <v>155.15047500044341</v>
      </c>
      <c r="N251" s="501">
        <v>87.985962824738053</v>
      </c>
      <c r="O251" s="501">
        <v>83.224879831977049</v>
      </c>
    </row>
    <row r="252" spans="1:15">
      <c r="A252" s="40" t="s">
        <v>21</v>
      </c>
      <c r="B252" s="501">
        <v>127.32049929683657</v>
      </c>
      <c r="C252" s="501">
        <v>118.4985635114659</v>
      </c>
      <c r="D252" s="501">
        <v>154.12265183039051</v>
      </c>
      <c r="E252" s="501">
        <v>209.18872695745955</v>
      </c>
      <c r="F252" s="501">
        <v>99.142285361429998</v>
      </c>
      <c r="G252" s="501">
        <v>129.22000887014985</v>
      </c>
      <c r="H252" s="501">
        <v>99.865666962740448</v>
      </c>
      <c r="I252" s="501">
        <v>102.5424164379836</v>
      </c>
      <c r="J252" s="501">
        <v>271.5889787767685</v>
      </c>
      <c r="K252" s="501">
        <v>140.18108824481993</v>
      </c>
      <c r="L252" s="501">
        <v>126.71696772522165</v>
      </c>
      <c r="M252" s="501">
        <v>154.31676419812322</v>
      </c>
      <c r="N252" s="501">
        <v>90.049208524488563</v>
      </c>
      <c r="O252" s="501">
        <v>84.841867345657604</v>
      </c>
    </row>
    <row r="253" spans="1:15">
      <c r="A253" s="40" t="s">
        <v>22</v>
      </c>
      <c r="B253" s="501">
        <v>127.21498739854374</v>
      </c>
      <c r="C253" s="501">
        <v>117.60801304107795</v>
      </c>
      <c r="D253" s="501">
        <v>152.56610662171042</v>
      </c>
      <c r="E253" s="501">
        <v>201.67415350905773</v>
      </c>
      <c r="F253" s="501">
        <v>96.296849517154101</v>
      </c>
      <c r="G253" s="501">
        <v>129.57369633985707</v>
      </c>
      <c r="H253" s="501">
        <v>100.96952506940029</v>
      </c>
      <c r="I253" s="501">
        <v>101.36088231089848</v>
      </c>
      <c r="J253" s="501">
        <v>274.30906035632933</v>
      </c>
      <c r="K253" s="501">
        <v>137.93380386360539</v>
      </c>
      <c r="L253" s="501">
        <v>126.54521290777204</v>
      </c>
      <c r="M253" s="501">
        <v>154.019458793475</v>
      </c>
      <c r="N253" s="501">
        <v>89.793010079155778</v>
      </c>
      <c r="O253" s="501">
        <v>84.697787252567977</v>
      </c>
    </row>
    <row r="254" spans="1:15">
      <c r="A254" s="40" t="s">
        <v>23</v>
      </c>
      <c r="B254" s="501">
        <v>127.23527430509279</v>
      </c>
      <c r="C254" s="501">
        <v>117.5564374969053</v>
      </c>
      <c r="D254" s="501">
        <v>151.05429921222253</v>
      </c>
      <c r="E254" s="501">
        <v>200.1042795176765</v>
      </c>
      <c r="F254" s="501">
        <v>92.58879111422759</v>
      </c>
      <c r="G254" s="501">
        <v>129.23119219197343</v>
      </c>
      <c r="H254" s="501">
        <v>105.39482906409252</v>
      </c>
      <c r="I254" s="501">
        <v>103.09459634332092</v>
      </c>
      <c r="J254" s="501">
        <v>277.5853539528037</v>
      </c>
      <c r="K254" s="501">
        <v>138.54662787117434</v>
      </c>
      <c r="L254" s="501">
        <v>127.1549795039862</v>
      </c>
      <c r="M254" s="501">
        <v>152.97214331477329</v>
      </c>
      <c r="N254" s="501">
        <v>90.774990098960245</v>
      </c>
      <c r="O254" s="501">
        <v>83.193114948905546</v>
      </c>
    </row>
    <row r="255" spans="1:15">
      <c r="A255" s="40" t="s">
        <v>24</v>
      </c>
      <c r="B255" s="501">
        <v>128.12414348686488</v>
      </c>
      <c r="C255" s="501">
        <v>117.80279850006222</v>
      </c>
      <c r="D255" s="501">
        <v>151.11469848816031</v>
      </c>
      <c r="E255" s="501">
        <v>197.65139594444048</v>
      </c>
      <c r="F255" s="501">
        <v>91.79132986363598</v>
      </c>
      <c r="G255" s="501">
        <v>132.04572398249383</v>
      </c>
      <c r="H255" s="501">
        <v>103.26751588564274</v>
      </c>
      <c r="I255" s="501">
        <v>107.99280329413413</v>
      </c>
      <c r="J255" s="501">
        <v>278.91286474145232</v>
      </c>
      <c r="K255" s="501">
        <v>137.32786217297419</v>
      </c>
      <c r="L255" s="501">
        <v>127.84694469704357</v>
      </c>
      <c r="M255" s="501">
        <v>154.30260182405902</v>
      </c>
      <c r="N255" s="501">
        <v>91.607719192401561</v>
      </c>
      <c r="O255" s="501">
        <v>83.89855823086458</v>
      </c>
    </row>
    <row r="256" spans="1:15">
      <c r="A256" s="40" t="s">
        <v>25</v>
      </c>
      <c r="B256" s="501">
        <v>128.41647218809257</v>
      </c>
      <c r="C256" s="501">
        <v>116.51459504946627</v>
      </c>
      <c r="D256" s="501">
        <v>150.5142962536622</v>
      </c>
      <c r="E256" s="501">
        <v>198.1062950632392</v>
      </c>
      <c r="F256" s="501">
        <v>93.443849779066383</v>
      </c>
      <c r="G256" s="501">
        <v>132.37710575524284</v>
      </c>
      <c r="H256" s="501">
        <v>102.59503645337962</v>
      </c>
      <c r="I256" s="501">
        <v>108.88789490176305</v>
      </c>
      <c r="J256" s="501">
        <v>258.75965656522754</v>
      </c>
      <c r="K256" s="501">
        <v>138.52941473470074</v>
      </c>
      <c r="L256" s="501">
        <v>125.98927367798935</v>
      </c>
      <c r="M256" s="501">
        <v>155.07251951226883</v>
      </c>
      <c r="N256" s="501">
        <v>89.599508622547106</v>
      </c>
      <c r="O256" s="501">
        <v>81.159625612785916</v>
      </c>
    </row>
    <row r="257" spans="1:16383">
      <c r="A257" s="40" t="s">
        <v>26</v>
      </c>
      <c r="B257" s="501">
        <v>128.54055005465895</v>
      </c>
      <c r="C257" s="501">
        <v>115.8360278299572</v>
      </c>
      <c r="D257" s="501">
        <v>147.58732614069768</v>
      </c>
      <c r="E257" s="501">
        <v>195.2698798003255</v>
      </c>
      <c r="F257" s="501">
        <v>95.225613767371357</v>
      </c>
      <c r="G257" s="501">
        <v>131.022261660217</v>
      </c>
      <c r="H257" s="501">
        <v>102.8690281247658</v>
      </c>
      <c r="I257" s="501">
        <v>109.76140864851197</v>
      </c>
      <c r="J257" s="501">
        <v>254.22969557053909</v>
      </c>
      <c r="K257" s="501">
        <v>138.94721551246593</v>
      </c>
      <c r="L257" s="501">
        <v>124.92475739693963</v>
      </c>
      <c r="M257" s="501">
        <v>154.85145116073437</v>
      </c>
      <c r="N257" s="501">
        <v>88.298335242259924</v>
      </c>
      <c r="O257" s="501">
        <v>80.461797276429493</v>
      </c>
    </row>
    <row r="258" spans="1:16383">
      <c r="A258" s="40" t="s">
        <v>27</v>
      </c>
      <c r="B258" s="501">
        <v>128.70595467465904</v>
      </c>
      <c r="C258" s="501">
        <v>118.04990526815241</v>
      </c>
      <c r="D258" s="501">
        <v>149.03551698694608</v>
      </c>
      <c r="E258" s="501">
        <v>191.46827074256177</v>
      </c>
      <c r="F258" s="501">
        <v>100.42419728268585</v>
      </c>
      <c r="G258" s="501">
        <v>129.09927555105332</v>
      </c>
      <c r="H258" s="501">
        <v>103.8205523709675</v>
      </c>
      <c r="I258" s="501">
        <v>109.85972380173999</v>
      </c>
      <c r="J258" s="501">
        <v>264.65669774134057</v>
      </c>
      <c r="K258" s="501">
        <v>140.16097498589602</v>
      </c>
      <c r="L258" s="501">
        <v>125.79041482494711</v>
      </c>
      <c r="M258" s="501">
        <v>154.66482209525014</v>
      </c>
      <c r="N258" s="501">
        <v>90.596475756738144</v>
      </c>
      <c r="O258" s="501">
        <v>82.071111209670747</v>
      </c>
    </row>
    <row r="259" spans="1:16383">
      <c r="A259" s="40" t="s">
        <v>28</v>
      </c>
      <c r="B259" s="501">
        <v>129.25385143247439</v>
      </c>
      <c r="C259" s="501">
        <v>122.2259895426397</v>
      </c>
      <c r="D259" s="501">
        <v>153.48340644202383</v>
      </c>
      <c r="E259" s="501">
        <v>189.53397488583312</v>
      </c>
      <c r="F259" s="501">
        <v>104.26127159035605</v>
      </c>
      <c r="G259" s="501">
        <v>128.05680379129615</v>
      </c>
      <c r="H259" s="501">
        <v>103.96222860784238</v>
      </c>
      <c r="I259" s="501">
        <v>111.10342395451275</v>
      </c>
      <c r="J259" s="501">
        <v>273.03568322885474</v>
      </c>
      <c r="K259" s="501">
        <v>140.04905272974639</v>
      </c>
      <c r="L259" s="501">
        <v>129.48462833750716</v>
      </c>
      <c r="M259" s="501">
        <v>157.07896145704913</v>
      </c>
      <c r="N259" s="501">
        <v>93.813025139443397</v>
      </c>
      <c r="O259" s="501">
        <v>84.618383398476254</v>
      </c>
    </row>
    <row r="260" spans="1:16383">
      <c r="A260" s="40" t="s">
        <v>29</v>
      </c>
      <c r="B260" s="501">
        <v>130.07618799450566</v>
      </c>
      <c r="C260" s="501">
        <v>125.00854918071808</v>
      </c>
      <c r="D260" s="501">
        <v>156.08515775360408</v>
      </c>
      <c r="E260" s="501">
        <v>192.65779845448344</v>
      </c>
      <c r="F260" s="501">
        <v>106.92483510326358</v>
      </c>
      <c r="G260" s="501">
        <v>128.76085281352081</v>
      </c>
      <c r="H260" s="501">
        <v>107.09247427738866</v>
      </c>
      <c r="I260" s="501">
        <v>117.39187332142228</v>
      </c>
      <c r="J260" s="501">
        <v>274.5005132348075</v>
      </c>
      <c r="K260" s="501">
        <v>138.38347029513386</v>
      </c>
      <c r="L260" s="501">
        <v>132.29200554950035</v>
      </c>
      <c r="M260" s="501">
        <v>164.90726096874724</v>
      </c>
      <c r="N260" s="501">
        <v>97.389125125172356</v>
      </c>
      <c r="O260" s="501">
        <v>86.724228708875657</v>
      </c>
    </row>
    <row r="261" spans="1:16383">
      <c r="A261" s="40" t="s">
        <v>4222</v>
      </c>
      <c r="B261" s="501"/>
      <c r="C261" s="501"/>
      <c r="D261" s="501"/>
      <c r="E261" s="501"/>
      <c r="F261" s="501"/>
      <c r="G261" s="501"/>
      <c r="H261" s="501"/>
      <c r="I261" s="501"/>
      <c r="J261" s="501"/>
      <c r="K261" s="501"/>
      <c r="L261" s="501"/>
      <c r="M261" s="501"/>
      <c r="N261" s="501"/>
      <c r="O261" s="501"/>
    </row>
    <row r="262" spans="1:16383">
      <c r="A262" s="40" t="s">
        <v>18</v>
      </c>
      <c r="B262" s="501">
        <v>130.66545059904155</v>
      </c>
      <c r="C262" s="501">
        <v>127.8718406388781</v>
      </c>
      <c r="D262" s="501">
        <v>161.09535413952167</v>
      </c>
      <c r="E262" s="501">
        <v>187.8136515232614</v>
      </c>
      <c r="F262" s="501">
        <v>105.45241185692392</v>
      </c>
      <c r="G262" s="501">
        <v>129.52733844647591</v>
      </c>
      <c r="H262" s="501">
        <v>108.87816872292538</v>
      </c>
      <c r="I262" s="501">
        <v>118.09887030300609</v>
      </c>
      <c r="J262" s="501">
        <v>280.8020796750526</v>
      </c>
      <c r="K262" s="501">
        <v>138.91423737554464</v>
      </c>
      <c r="L262" s="501">
        <v>133.09819859593938</v>
      </c>
      <c r="M262" s="501">
        <v>166.17391821803449</v>
      </c>
      <c r="N262" s="501">
        <v>98.705558620962549</v>
      </c>
      <c r="O262" s="501">
        <v>89.287642457781843</v>
      </c>
    </row>
    <row r="263" spans="1:16383">
      <c r="A263" s="40" t="s">
        <v>19</v>
      </c>
      <c r="B263" s="501">
        <v>131.31747380562362</v>
      </c>
      <c r="C263" s="501">
        <v>127.62248140970414</v>
      </c>
      <c r="D263" s="501">
        <v>159.62013820336111</v>
      </c>
      <c r="E263" s="501">
        <v>188.57482456663837</v>
      </c>
      <c r="F263" s="501">
        <v>95.668845439067042</v>
      </c>
      <c r="G263" s="501">
        <v>128.00647946186515</v>
      </c>
      <c r="H263" s="501">
        <v>108.4295620555941</v>
      </c>
      <c r="I263" s="501">
        <v>113.14807407170902</v>
      </c>
      <c r="J263" s="501">
        <v>275.32573522036802</v>
      </c>
      <c r="K263" s="501">
        <v>137.52000594407332</v>
      </c>
      <c r="L263" s="501">
        <v>133.77546142546279</v>
      </c>
      <c r="M263" s="501">
        <v>161.6765390966041</v>
      </c>
      <c r="N263" s="501">
        <v>98.478871586760633</v>
      </c>
      <c r="O263" s="501">
        <v>88.98496289373162</v>
      </c>
    </row>
    <row r="264" spans="1:16383">
      <c r="A264" s="40" t="s">
        <v>20</v>
      </c>
      <c r="B264" s="501">
        <v>132.2887619889643</v>
      </c>
      <c r="C264" s="501">
        <v>122.90745100473183</v>
      </c>
      <c r="D264" s="501">
        <v>155.43307562576493</v>
      </c>
      <c r="E264" s="501">
        <v>187.52580446541108</v>
      </c>
      <c r="F264" s="501">
        <v>87.680811298701627</v>
      </c>
      <c r="G264" s="501">
        <v>126.43181734711139</v>
      </c>
      <c r="H264" s="501">
        <v>106.63734031002318</v>
      </c>
      <c r="I264" s="501">
        <v>110.42770568407808</v>
      </c>
      <c r="J264" s="501">
        <v>270.98158216107061</v>
      </c>
      <c r="K264" s="501">
        <v>140.7921681319238</v>
      </c>
      <c r="L264" s="501">
        <v>134.72678054676865</v>
      </c>
      <c r="M264" s="501">
        <v>152.54992356593266</v>
      </c>
      <c r="N264" s="501">
        <v>99.450962578354265</v>
      </c>
      <c r="O264" s="501">
        <v>87.425264986016586</v>
      </c>
    </row>
    <row r="265" spans="1:16383">
      <c r="A265" s="40" t="s">
        <v>21</v>
      </c>
      <c r="B265" s="501">
        <v>132.43643545868363</v>
      </c>
      <c r="C265" s="501">
        <v>117.97779959043224</v>
      </c>
      <c r="D265" s="501">
        <v>151.16827357028302</v>
      </c>
      <c r="E265" s="501">
        <v>190.18119643827728</v>
      </c>
      <c r="F265" s="501">
        <v>85.768235005548036</v>
      </c>
      <c r="G265" s="501">
        <v>125.68252490913575</v>
      </c>
      <c r="H265" s="501">
        <v>105.56260082489379</v>
      </c>
      <c r="I265" s="501">
        <v>113.27199026219114</v>
      </c>
      <c r="J265" s="501">
        <v>261.60685080925788</v>
      </c>
      <c r="K265" s="501">
        <v>141.44210507298433</v>
      </c>
      <c r="L265" s="501">
        <v>136.01672013825268</v>
      </c>
      <c r="M265" s="501">
        <v>147.84030976029584</v>
      </c>
      <c r="N265" s="501">
        <v>98.766567531546755</v>
      </c>
      <c r="O265" s="501">
        <v>82.796660748587385</v>
      </c>
    </row>
    <row r="266" spans="1:16383">
      <c r="A266" s="625" t="s">
        <v>22</v>
      </c>
      <c r="B266" s="1771">
        <v>132.20744584965661</v>
      </c>
      <c r="C266" s="1771">
        <v>117.49131610983559</v>
      </c>
      <c r="D266" s="1771">
        <v>148.31534482529588</v>
      </c>
      <c r="E266" s="1771">
        <v>190.45537464451104</v>
      </c>
      <c r="F266" s="1771">
        <v>82.420666196277523</v>
      </c>
      <c r="G266" s="1771">
        <v>124.30588938384422</v>
      </c>
      <c r="H266" s="1771">
        <v>104.62056424738785</v>
      </c>
      <c r="I266" s="1771">
        <v>111.50674289485472</v>
      </c>
      <c r="J266" s="1771">
        <v>261.45924399385984</v>
      </c>
      <c r="K266" s="1771">
        <v>137.0927507937873</v>
      </c>
      <c r="L266" s="1771">
        <v>134.66147631049816</v>
      </c>
      <c r="M266" s="1771">
        <v>141.79058326641535</v>
      </c>
      <c r="N266" s="1771">
        <v>95.527048322327317</v>
      </c>
      <c r="O266" s="1771">
        <v>82.15387937225664</v>
      </c>
    </row>
    <row r="267" spans="1:16383" ht="2.25" customHeight="1">
      <c r="A267" s="459"/>
      <c r="B267" s="1342"/>
      <c r="C267" s="1342"/>
      <c r="D267" s="1342"/>
      <c r="E267" s="1342"/>
      <c r="F267" s="1342"/>
      <c r="G267" s="1342"/>
      <c r="H267" s="1342"/>
      <c r="I267" s="1342"/>
      <c r="J267" s="1342"/>
      <c r="K267" s="1342"/>
      <c r="L267" s="1342"/>
      <c r="M267" s="1342"/>
      <c r="N267" s="1342"/>
      <c r="O267" s="1342"/>
    </row>
    <row r="268" spans="1:16383" s="1331" customFormat="1" ht="45" customHeight="1">
      <c r="A268" s="2332" t="s">
        <v>4278</v>
      </c>
      <c r="B268" s="2333"/>
      <c r="C268" s="2333"/>
      <c r="D268" s="2333"/>
      <c r="E268" s="2333"/>
      <c r="F268" s="2333"/>
      <c r="G268" s="2333"/>
      <c r="H268" s="2333"/>
      <c r="I268" s="2333"/>
      <c r="J268" s="2333"/>
      <c r="K268" s="2333"/>
      <c r="L268" s="2333"/>
      <c r="M268" s="2333"/>
      <c r="N268" s="2333"/>
      <c r="O268" s="2333"/>
    </row>
    <row r="269" spans="1:16383" s="1331" customFormat="1" ht="14.25" customHeight="1">
      <c r="A269" s="2332" t="s">
        <v>4279</v>
      </c>
      <c r="B269" s="2333"/>
      <c r="C269" s="2333"/>
      <c r="D269" s="2333"/>
      <c r="E269" s="2333"/>
      <c r="F269" s="2333"/>
      <c r="G269" s="2333"/>
      <c r="H269" s="2333"/>
      <c r="I269" s="2333"/>
      <c r="J269" s="2333"/>
      <c r="K269" s="2333"/>
      <c r="L269" s="2333"/>
      <c r="M269" s="2333"/>
      <c r="N269" s="2333"/>
      <c r="O269" s="2333"/>
    </row>
    <row r="270" spans="1:16383" s="1331" customFormat="1" ht="14.25" customHeight="1">
      <c r="A270" s="2332" t="s">
        <v>4280</v>
      </c>
      <c r="B270" s="2333"/>
      <c r="C270" s="2333"/>
      <c r="D270" s="2333"/>
      <c r="E270" s="2333"/>
      <c r="F270" s="2333"/>
      <c r="G270" s="2333"/>
      <c r="H270" s="2333"/>
      <c r="I270" s="2333"/>
      <c r="J270" s="2333"/>
      <c r="K270" s="2333"/>
      <c r="L270" s="2333"/>
      <c r="M270" s="2333"/>
      <c r="N270" s="2333"/>
      <c r="O270" s="2333"/>
    </row>
    <row r="271" spans="1:16383" s="1331" customFormat="1" ht="14.25" customHeight="1">
      <c r="A271" s="2332" t="s">
        <v>4281</v>
      </c>
      <c r="B271" s="2333"/>
      <c r="C271" s="2333"/>
      <c r="D271" s="2333"/>
      <c r="E271" s="2333"/>
      <c r="F271" s="2333"/>
      <c r="G271" s="2333"/>
      <c r="H271" s="2333"/>
      <c r="I271" s="2333"/>
      <c r="J271" s="2333"/>
      <c r="K271" s="2333"/>
      <c r="L271" s="2333"/>
      <c r="M271" s="2333"/>
      <c r="N271" s="2333"/>
      <c r="O271" s="2333"/>
    </row>
    <row r="272" spans="1:16383" ht="14.25" customHeight="1">
      <c r="A272" s="2328" t="s">
        <v>3504</v>
      </c>
      <c r="B272" s="2329"/>
      <c r="C272" s="2329"/>
      <c r="D272" s="2329"/>
      <c r="E272" s="2329"/>
      <c r="F272" s="2329"/>
      <c r="G272" s="2329"/>
      <c r="H272" s="2329"/>
      <c r="I272" s="2329"/>
      <c r="J272" s="2329"/>
      <c r="K272" s="2329"/>
      <c r="L272" s="2329"/>
      <c r="M272" s="2329"/>
      <c r="N272" s="2329"/>
      <c r="O272" s="2329"/>
      <c r="P272" s="2328"/>
      <c r="Q272" s="2329"/>
      <c r="R272" s="2329"/>
      <c r="S272" s="2329"/>
      <c r="T272" s="2329"/>
      <c r="U272" s="2329"/>
      <c r="V272" s="2329"/>
      <c r="W272" s="2329"/>
      <c r="X272" s="2329"/>
      <c r="Y272" s="2329"/>
      <c r="Z272" s="2329"/>
      <c r="AA272" s="2329"/>
      <c r="AB272" s="2329"/>
      <c r="AC272" s="2329"/>
      <c r="AD272" s="2329"/>
      <c r="AE272" s="2329"/>
      <c r="AF272" s="2328"/>
      <c r="AG272" s="2329"/>
      <c r="AH272" s="2329"/>
      <c r="AI272" s="2329"/>
      <c r="AJ272" s="2329"/>
      <c r="AK272" s="2329"/>
      <c r="AL272" s="2329"/>
      <c r="AM272" s="2329"/>
      <c r="AN272" s="2329"/>
      <c r="AO272" s="2329"/>
      <c r="AP272" s="2329"/>
      <c r="AQ272" s="2329"/>
      <c r="AR272" s="2329"/>
      <c r="AS272" s="2329"/>
      <c r="AT272" s="2329"/>
      <c r="AU272" s="2329"/>
      <c r="AV272" s="2328"/>
      <c r="AW272" s="2329"/>
      <c r="AX272" s="2329"/>
      <c r="AY272" s="2329"/>
      <c r="AZ272" s="2329"/>
      <c r="BA272" s="2329"/>
      <c r="BB272" s="2329"/>
      <c r="BC272" s="2329"/>
      <c r="BD272" s="2329"/>
      <c r="BE272" s="2329"/>
      <c r="BF272" s="2329"/>
      <c r="BG272" s="2329"/>
      <c r="BH272" s="2329"/>
      <c r="BI272" s="2329"/>
      <c r="BJ272" s="2329"/>
      <c r="BK272" s="2329"/>
      <c r="BL272" s="2328"/>
      <c r="BM272" s="2329"/>
      <c r="BN272" s="2329"/>
      <c r="BO272" s="2329"/>
      <c r="BP272" s="2329"/>
      <c r="BQ272" s="2329"/>
      <c r="BR272" s="2329"/>
      <c r="BS272" s="2329"/>
      <c r="BT272" s="2329"/>
      <c r="BU272" s="2329"/>
      <c r="BV272" s="2329"/>
      <c r="BW272" s="2329"/>
      <c r="BX272" s="2329"/>
      <c r="BY272" s="2329"/>
      <c r="BZ272" s="2329"/>
      <c r="CA272" s="2329"/>
      <c r="CB272" s="2328"/>
      <c r="CC272" s="2329"/>
      <c r="CD272" s="2329"/>
      <c r="CE272" s="2329"/>
      <c r="CF272" s="2329"/>
      <c r="CG272" s="2329"/>
      <c r="CH272" s="2329"/>
      <c r="CI272" s="2329"/>
      <c r="CJ272" s="2329"/>
      <c r="CK272" s="2329"/>
      <c r="CL272" s="2329"/>
      <c r="CM272" s="2329"/>
      <c r="CN272" s="2329"/>
      <c r="CO272" s="2329"/>
      <c r="CP272" s="2329"/>
      <c r="CQ272" s="2329"/>
      <c r="CR272" s="2328"/>
      <c r="CS272" s="2329"/>
      <c r="CT272" s="2329"/>
      <c r="CU272" s="2329"/>
      <c r="CV272" s="2329"/>
      <c r="CW272" s="2329"/>
      <c r="CX272" s="2329"/>
      <c r="CY272" s="2329"/>
      <c r="CZ272" s="2329"/>
      <c r="DA272" s="2329"/>
      <c r="DB272" s="2329"/>
      <c r="DC272" s="2329"/>
      <c r="DD272" s="2329"/>
      <c r="DE272" s="2329"/>
      <c r="DF272" s="2329"/>
      <c r="DG272" s="2329"/>
      <c r="DH272" s="2328"/>
      <c r="DI272" s="2329"/>
      <c r="DJ272" s="2329"/>
      <c r="DK272" s="2329"/>
      <c r="DL272" s="2329"/>
      <c r="DM272" s="2329"/>
      <c r="DN272" s="2329"/>
      <c r="DO272" s="2329"/>
      <c r="DP272" s="2329"/>
      <c r="DQ272" s="2329"/>
      <c r="DR272" s="2329"/>
      <c r="DS272" s="2329"/>
      <c r="DT272" s="2329"/>
      <c r="DU272" s="2329"/>
      <c r="DV272" s="2329"/>
      <c r="DW272" s="2329"/>
      <c r="DX272" s="2328"/>
      <c r="DY272" s="2329"/>
      <c r="DZ272" s="2329"/>
      <c r="EA272" s="2329"/>
      <c r="EB272" s="2329"/>
      <c r="EC272" s="2329"/>
      <c r="ED272" s="2329"/>
      <c r="EE272" s="2329"/>
      <c r="EF272" s="2329"/>
      <c r="EG272" s="2329"/>
      <c r="EH272" s="2329"/>
      <c r="EI272" s="2329"/>
      <c r="EJ272" s="2329"/>
      <c r="EK272" s="2329"/>
      <c r="EL272" s="2329"/>
      <c r="EM272" s="2329"/>
      <c r="EN272" s="2328"/>
      <c r="EO272" s="2329"/>
      <c r="EP272" s="2329"/>
      <c r="EQ272" s="2329"/>
      <c r="ER272" s="2329"/>
      <c r="ES272" s="2329"/>
      <c r="ET272" s="2329"/>
      <c r="EU272" s="2329"/>
      <c r="EV272" s="2329"/>
      <c r="EW272" s="2329"/>
      <c r="EX272" s="2329"/>
      <c r="EY272" s="2329"/>
      <c r="EZ272" s="2329"/>
      <c r="FA272" s="2329"/>
      <c r="FB272" s="2329"/>
      <c r="FC272" s="2329"/>
      <c r="FD272" s="2328"/>
      <c r="FE272" s="2329"/>
      <c r="FF272" s="2329"/>
      <c r="FG272" s="2329"/>
      <c r="FH272" s="2329"/>
      <c r="FI272" s="2329"/>
      <c r="FJ272" s="2329"/>
      <c r="FK272" s="2329"/>
      <c r="FL272" s="2329"/>
      <c r="FM272" s="2329"/>
      <c r="FN272" s="2329"/>
      <c r="FO272" s="2329"/>
      <c r="FP272" s="2329"/>
      <c r="FQ272" s="2329"/>
      <c r="FR272" s="2329"/>
      <c r="FS272" s="2329"/>
      <c r="FT272" s="2328"/>
      <c r="FU272" s="2329"/>
      <c r="FV272" s="2329"/>
      <c r="FW272" s="2329"/>
      <c r="FX272" s="2329"/>
      <c r="FY272" s="2329"/>
      <c r="FZ272" s="2329"/>
      <c r="GA272" s="2329"/>
      <c r="GB272" s="2329"/>
      <c r="GC272" s="2329"/>
      <c r="GD272" s="2329"/>
      <c r="GE272" s="2329"/>
      <c r="GF272" s="2329"/>
      <c r="GG272" s="2329"/>
      <c r="GH272" s="2329"/>
      <c r="GI272" s="2329"/>
      <c r="GJ272" s="2328"/>
      <c r="GK272" s="2329"/>
      <c r="GL272" s="2329"/>
      <c r="GM272" s="2329"/>
      <c r="GN272" s="2329"/>
      <c r="GO272" s="2329"/>
      <c r="GP272" s="2329"/>
      <c r="GQ272" s="2329"/>
      <c r="GR272" s="2329"/>
      <c r="GS272" s="2329"/>
      <c r="GT272" s="2329"/>
      <c r="GU272" s="2329"/>
      <c r="GV272" s="2329"/>
      <c r="GW272" s="2329"/>
      <c r="GX272" s="2329"/>
      <c r="GY272" s="2329"/>
      <c r="GZ272" s="2328"/>
      <c r="HA272" s="2329"/>
      <c r="HB272" s="2329"/>
      <c r="HC272" s="2329"/>
      <c r="HD272" s="2329"/>
      <c r="HE272" s="2329"/>
      <c r="HF272" s="2329"/>
      <c r="HG272" s="2329"/>
      <c r="HH272" s="2329"/>
      <c r="HI272" s="2329"/>
      <c r="HJ272" s="2329"/>
      <c r="HK272" s="2329"/>
      <c r="HL272" s="2329"/>
      <c r="HM272" s="2329"/>
      <c r="HN272" s="2329"/>
      <c r="HO272" s="2329"/>
      <c r="HP272" s="2328"/>
      <c r="HQ272" s="2329"/>
      <c r="HR272" s="2329"/>
      <c r="HS272" s="2329"/>
      <c r="HT272" s="2329"/>
      <c r="HU272" s="2329"/>
      <c r="HV272" s="2329"/>
      <c r="HW272" s="2329"/>
      <c r="HX272" s="2329"/>
      <c r="HY272" s="2329"/>
      <c r="HZ272" s="2329"/>
      <c r="IA272" s="2329"/>
      <c r="IB272" s="2329"/>
      <c r="IC272" s="2329"/>
      <c r="ID272" s="2329"/>
      <c r="IE272" s="2329"/>
      <c r="IF272" s="2328"/>
      <c r="IG272" s="2329"/>
      <c r="IH272" s="2329"/>
      <c r="II272" s="2329"/>
      <c r="IJ272" s="2329"/>
      <c r="IK272" s="2329"/>
      <c r="IL272" s="2329"/>
      <c r="IM272" s="2329"/>
      <c r="IN272" s="2329"/>
      <c r="IO272" s="2329"/>
      <c r="IP272" s="2329"/>
      <c r="IQ272" s="2329"/>
      <c r="IR272" s="2329"/>
      <c r="IS272" s="2329"/>
      <c r="IT272" s="2329"/>
      <c r="IU272" s="2329"/>
      <c r="IV272" s="2328"/>
      <c r="IW272" s="2329"/>
      <c r="IX272" s="2329"/>
      <c r="IY272" s="2329"/>
      <c r="IZ272" s="2329"/>
      <c r="JA272" s="2329"/>
      <c r="JB272" s="2329"/>
      <c r="JC272" s="2329"/>
      <c r="JD272" s="2329"/>
      <c r="JE272" s="2329"/>
      <c r="JF272" s="2329"/>
      <c r="JG272" s="2329"/>
      <c r="JH272" s="2329"/>
      <c r="JI272" s="2329"/>
      <c r="JJ272" s="2329"/>
      <c r="JK272" s="2329"/>
      <c r="JL272" s="2328"/>
      <c r="JM272" s="2329"/>
      <c r="JN272" s="2329"/>
      <c r="JO272" s="2329"/>
      <c r="JP272" s="2329"/>
      <c r="JQ272" s="2329"/>
      <c r="JR272" s="2329"/>
      <c r="JS272" s="2329"/>
      <c r="JT272" s="2329"/>
      <c r="JU272" s="2329"/>
      <c r="JV272" s="2329"/>
      <c r="JW272" s="2329"/>
      <c r="JX272" s="2329"/>
      <c r="JY272" s="2329"/>
      <c r="JZ272" s="2329"/>
      <c r="KA272" s="2329"/>
      <c r="KB272" s="2328"/>
      <c r="KC272" s="2329"/>
      <c r="KD272" s="2329"/>
      <c r="KE272" s="2329"/>
      <c r="KF272" s="2329"/>
      <c r="KG272" s="2329"/>
      <c r="KH272" s="2329"/>
      <c r="KI272" s="2329"/>
      <c r="KJ272" s="2329"/>
      <c r="KK272" s="2329"/>
      <c r="KL272" s="2329"/>
      <c r="KM272" s="2329"/>
      <c r="KN272" s="2329"/>
      <c r="KO272" s="2329"/>
      <c r="KP272" s="2329"/>
      <c r="KQ272" s="2329"/>
      <c r="KR272" s="2328"/>
      <c r="KS272" s="2329"/>
      <c r="KT272" s="2329"/>
      <c r="KU272" s="2329"/>
      <c r="KV272" s="2329"/>
      <c r="KW272" s="2329"/>
      <c r="KX272" s="2329"/>
      <c r="KY272" s="2329"/>
      <c r="KZ272" s="2329"/>
      <c r="LA272" s="2329"/>
      <c r="LB272" s="2329"/>
      <c r="LC272" s="2329"/>
      <c r="LD272" s="2329"/>
      <c r="LE272" s="2329"/>
      <c r="LF272" s="2329"/>
      <c r="LG272" s="2329"/>
      <c r="LH272" s="2328"/>
      <c r="LI272" s="2329"/>
      <c r="LJ272" s="2329"/>
      <c r="LK272" s="2329"/>
      <c r="LL272" s="2329"/>
      <c r="LM272" s="2329"/>
      <c r="LN272" s="2329"/>
      <c r="LO272" s="2329"/>
      <c r="LP272" s="2329"/>
      <c r="LQ272" s="2329"/>
      <c r="LR272" s="2329"/>
      <c r="LS272" s="2329"/>
      <c r="LT272" s="2329"/>
      <c r="LU272" s="2329"/>
      <c r="LV272" s="2329"/>
      <c r="LW272" s="2329"/>
      <c r="LX272" s="2328"/>
      <c r="LY272" s="2329"/>
      <c r="LZ272" s="2329"/>
      <c r="MA272" s="2329"/>
      <c r="MB272" s="2329"/>
      <c r="MC272" s="2329"/>
      <c r="MD272" s="2329"/>
      <c r="ME272" s="2329"/>
      <c r="MF272" s="2329"/>
      <c r="MG272" s="2329"/>
      <c r="MH272" s="2329"/>
      <c r="MI272" s="2329"/>
      <c r="MJ272" s="2329"/>
      <c r="MK272" s="2329"/>
      <c r="ML272" s="2329"/>
      <c r="MM272" s="2329"/>
      <c r="MN272" s="2328"/>
      <c r="MO272" s="2329"/>
      <c r="MP272" s="2329"/>
      <c r="MQ272" s="2329"/>
      <c r="MR272" s="2329"/>
      <c r="MS272" s="2329"/>
      <c r="MT272" s="2329"/>
      <c r="MU272" s="2329"/>
      <c r="MV272" s="2329"/>
      <c r="MW272" s="2329"/>
      <c r="MX272" s="2329"/>
      <c r="MY272" s="2329"/>
      <c r="MZ272" s="2329"/>
      <c r="NA272" s="2329"/>
      <c r="NB272" s="2329"/>
      <c r="NC272" s="2329"/>
      <c r="ND272" s="2328"/>
      <c r="NE272" s="2329"/>
      <c r="NF272" s="2329"/>
      <c r="NG272" s="2329"/>
      <c r="NH272" s="2329"/>
      <c r="NI272" s="2329"/>
      <c r="NJ272" s="2329"/>
      <c r="NK272" s="2329"/>
      <c r="NL272" s="2329"/>
      <c r="NM272" s="2329"/>
      <c r="NN272" s="2329"/>
      <c r="NO272" s="2329"/>
      <c r="NP272" s="2329"/>
      <c r="NQ272" s="2329"/>
      <c r="NR272" s="2329"/>
      <c r="NS272" s="2329"/>
      <c r="NT272" s="2328"/>
      <c r="NU272" s="2329"/>
      <c r="NV272" s="2329"/>
      <c r="NW272" s="2329"/>
      <c r="NX272" s="2329"/>
      <c r="NY272" s="2329"/>
      <c r="NZ272" s="2329"/>
      <c r="OA272" s="2329"/>
      <c r="OB272" s="2329"/>
      <c r="OC272" s="2329"/>
      <c r="OD272" s="2329"/>
      <c r="OE272" s="2329"/>
      <c r="OF272" s="2329"/>
      <c r="OG272" s="2329"/>
      <c r="OH272" s="2329"/>
      <c r="OI272" s="2329"/>
      <c r="OJ272" s="2328"/>
      <c r="OK272" s="2329"/>
      <c r="OL272" s="2329"/>
      <c r="OM272" s="2329"/>
      <c r="ON272" s="2329"/>
      <c r="OO272" s="2329"/>
      <c r="OP272" s="2329"/>
      <c r="OQ272" s="2329"/>
      <c r="OR272" s="2329"/>
      <c r="OS272" s="2329"/>
      <c r="OT272" s="2329"/>
      <c r="OU272" s="2329"/>
      <c r="OV272" s="2329"/>
      <c r="OW272" s="2329"/>
      <c r="OX272" s="2329"/>
      <c r="OY272" s="2329"/>
      <c r="OZ272" s="2328"/>
      <c r="PA272" s="2329"/>
      <c r="PB272" s="2329"/>
      <c r="PC272" s="2329"/>
      <c r="PD272" s="2329"/>
      <c r="PE272" s="2329"/>
      <c r="PF272" s="2329"/>
      <c r="PG272" s="2329"/>
      <c r="PH272" s="2329"/>
      <c r="PI272" s="2329"/>
      <c r="PJ272" s="2329"/>
      <c r="PK272" s="2329"/>
      <c r="PL272" s="2329"/>
      <c r="PM272" s="2329"/>
      <c r="PN272" s="2329"/>
      <c r="PO272" s="2329"/>
      <c r="PP272" s="2328"/>
      <c r="PQ272" s="2329"/>
      <c r="PR272" s="2329"/>
      <c r="PS272" s="2329"/>
      <c r="PT272" s="2329"/>
      <c r="PU272" s="2329"/>
      <c r="PV272" s="2329"/>
      <c r="PW272" s="2329"/>
      <c r="PX272" s="2329"/>
      <c r="PY272" s="2329"/>
      <c r="PZ272" s="2329"/>
      <c r="QA272" s="2329"/>
      <c r="QB272" s="2329"/>
      <c r="QC272" s="2329"/>
      <c r="QD272" s="2329"/>
      <c r="QE272" s="2329"/>
      <c r="QF272" s="2328"/>
      <c r="QG272" s="2329"/>
      <c r="QH272" s="2329"/>
      <c r="QI272" s="2329"/>
      <c r="QJ272" s="2329"/>
      <c r="QK272" s="2329"/>
      <c r="QL272" s="2329"/>
      <c r="QM272" s="2329"/>
      <c r="QN272" s="2329"/>
      <c r="QO272" s="2329"/>
      <c r="QP272" s="2329"/>
      <c r="QQ272" s="2329"/>
      <c r="QR272" s="2329"/>
      <c r="QS272" s="2329"/>
      <c r="QT272" s="2329"/>
      <c r="QU272" s="2329"/>
      <c r="QV272" s="2328"/>
      <c r="QW272" s="2329"/>
      <c r="QX272" s="2329"/>
      <c r="QY272" s="2329"/>
      <c r="QZ272" s="2329"/>
      <c r="RA272" s="2329"/>
      <c r="RB272" s="2329"/>
      <c r="RC272" s="2329"/>
      <c r="RD272" s="2329"/>
      <c r="RE272" s="2329"/>
      <c r="RF272" s="2329"/>
      <c r="RG272" s="2329"/>
      <c r="RH272" s="2329"/>
      <c r="RI272" s="2329"/>
      <c r="RJ272" s="2329"/>
      <c r="RK272" s="2329"/>
      <c r="RL272" s="2328"/>
      <c r="RM272" s="2329"/>
      <c r="RN272" s="2329"/>
      <c r="RO272" s="2329"/>
      <c r="RP272" s="2329"/>
      <c r="RQ272" s="2329"/>
      <c r="RR272" s="2329"/>
      <c r="RS272" s="2329"/>
      <c r="RT272" s="2329"/>
      <c r="RU272" s="2329"/>
      <c r="RV272" s="2329"/>
      <c r="RW272" s="2329"/>
      <c r="RX272" s="2329"/>
      <c r="RY272" s="2329"/>
      <c r="RZ272" s="2329"/>
      <c r="SA272" s="2329"/>
      <c r="SB272" s="2328"/>
      <c r="SC272" s="2329"/>
      <c r="SD272" s="2329"/>
      <c r="SE272" s="2329"/>
      <c r="SF272" s="2329"/>
      <c r="SG272" s="2329"/>
      <c r="SH272" s="2329"/>
      <c r="SI272" s="2329"/>
      <c r="SJ272" s="2329"/>
      <c r="SK272" s="2329"/>
      <c r="SL272" s="2329"/>
      <c r="SM272" s="2329"/>
      <c r="SN272" s="2329"/>
      <c r="SO272" s="2329"/>
      <c r="SP272" s="2329"/>
      <c r="SQ272" s="2329"/>
      <c r="SR272" s="2328"/>
      <c r="SS272" s="2329"/>
      <c r="ST272" s="2329"/>
      <c r="SU272" s="2329"/>
      <c r="SV272" s="2329"/>
      <c r="SW272" s="2329"/>
      <c r="SX272" s="2329"/>
      <c r="SY272" s="2329"/>
      <c r="SZ272" s="2329"/>
      <c r="TA272" s="2329"/>
      <c r="TB272" s="2329"/>
      <c r="TC272" s="2329"/>
      <c r="TD272" s="2329"/>
      <c r="TE272" s="2329"/>
      <c r="TF272" s="2329"/>
      <c r="TG272" s="2329"/>
      <c r="TH272" s="2328"/>
      <c r="TI272" s="2329"/>
      <c r="TJ272" s="2329"/>
      <c r="TK272" s="2329"/>
      <c r="TL272" s="2329"/>
      <c r="TM272" s="2329"/>
      <c r="TN272" s="2329"/>
      <c r="TO272" s="2329"/>
      <c r="TP272" s="2329"/>
      <c r="TQ272" s="2329"/>
      <c r="TR272" s="2329"/>
      <c r="TS272" s="2329"/>
      <c r="TT272" s="2329"/>
      <c r="TU272" s="2329"/>
      <c r="TV272" s="2329"/>
      <c r="TW272" s="2329"/>
      <c r="TX272" s="2328"/>
      <c r="TY272" s="2329"/>
      <c r="TZ272" s="2329"/>
      <c r="UA272" s="2329"/>
      <c r="UB272" s="2329"/>
      <c r="UC272" s="2329"/>
      <c r="UD272" s="2329"/>
      <c r="UE272" s="2329"/>
      <c r="UF272" s="2329"/>
      <c r="UG272" s="2329"/>
      <c r="UH272" s="2329"/>
      <c r="UI272" s="2329"/>
      <c r="UJ272" s="2329"/>
      <c r="UK272" s="2329"/>
      <c r="UL272" s="2329"/>
      <c r="UM272" s="2329"/>
      <c r="UN272" s="2328"/>
      <c r="UO272" s="2329"/>
      <c r="UP272" s="2329"/>
      <c r="UQ272" s="2329"/>
      <c r="UR272" s="2329"/>
      <c r="US272" s="2329"/>
      <c r="UT272" s="2329"/>
      <c r="UU272" s="2329"/>
      <c r="UV272" s="2329"/>
      <c r="UW272" s="2329"/>
      <c r="UX272" s="2329"/>
      <c r="UY272" s="2329"/>
      <c r="UZ272" s="2329"/>
      <c r="VA272" s="2329"/>
      <c r="VB272" s="2329"/>
      <c r="VC272" s="2329"/>
      <c r="VD272" s="2328"/>
      <c r="VE272" s="2329"/>
      <c r="VF272" s="2329"/>
      <c r="VG272" s="2329"/>
      <c r="VH272" s="2329"/>
      <c r="VI272" s="2329"/>
      <c r="VJ272" s="2329"/>
      <c r="VK272" s="2329"/>
      <c r="VL272" s="2329"/>
      <c r="VM272" s="2329"/>
      <c r="VN272" s="2329"/>
      <c r="VO272" s="2329"/>
      <c r="VP272" s="2329"/>
      <c r="VQ272" s="2329"/>
      <c r="VR272" s="2329"/>
      <c r="VS272" s="2329"/>
      <c r="VT272" s="2328"/>
      <c r="VU272" s="2329"/>
      <c r="VV272" s="2329"/>
      <c r="VW272" s="2329"/>
      <c r="VX272" s="2329"/>
      <c r="VY272" s="2329"/>
      <c r="VZ272" s="2329"/>
      <c r="WA272" s="2329"/>
      <c r="WB272" s="2329"/>
      <c r="WC272" s="2329"/>
      <c r="WD272" s="2329"/>
      <c r="WE272" s="2329"/>
      <c r="WF272" s="2329"/>
      <c r="WG272" s="2329"/>
      <c r="WH272" s="2329"/>
      <c r="WI272" s="2329"/>
      <c r="WJ272" s="2328"/>
      <c r="WK272" s="2329"/>
      <c r="WL272" s="2329"/>
      <c r="WM272" s="2329"/>
      <c r="WN272" s="2329"/>
      <c r="WO272" s="2329"/>
      <c r="WP272" s="2329"/>
      <c r="WQ272" s="2329"/>
      <c r="WR272" s="2329"/>
      <c r="WS272" s="2329"/>
      <c r="WT272" s="2329"/>
      <c r="WU272" s="2329"/>
      <c r="WV272" s="2329"/>
      <c r="WW272" s="2329"/>
      <c r="WX272" s="2329"/>
      <c r="WY272" s="2329"/>
      <c r="WZ272" s="2328"/>
      <c r="XA272" s="2329"/>
      <c r="XB272" s="2329"/>
      <c r="XC272" s="2329"/>
      <c r="XD272" s="2329"/>
      <c r="XE272" s="2329"/>
      <c r="XF272" s="2329"/>
      <c r="XG272" s="2329"/>
      <c r="XH272" s="2329"/>
      <c r="XI272" s="2329"/>
      <c r="XJ272" s="2329"/>
      <c r="XK272" s="2329"/>
      <c r="XL272" s="2329"/>
      <c r="XM272" s="2329"/>
      <c r="XN272" s="2329"/>
      <c r="XO272" s="2329"/>
      <c r="XP272" s="2328"/>
      <c r="XQ272" s="2329"/>
      <c r="XR272" s="2329"/>
      <c r="XS272" s="2329"/>
      <c r="XT272" s="2329"/>
      <c r="XU272" s="2329"/>
      <c r="XV272" s="2329"/>
      <c r="XW272" s="2329"/>
      <c r="XX272" s="2329"/>
      <c r="XY272" s="2329"/>
      <c r="XZ272" s="2329"/>
      <c r="YA272" s="2329"/>
      <c r="YB272" s="2329"/>
      <c r="YC272" s="2329"/>
      <c r="YD272" s="2329"/>
      <c r="YE272" s="2329"/>
      <c r="YF272" s="2328"/>
      <c r="YG272" s="2329"/>
      <c r="YH272" s="2329"/>
      <c r="YI272" s="2329"/>
      <c r="YJ272" s="2329"/>
      <c r="YK272" s="2329"/>
      <c r="YL272" s="2329"/>
      <c r="YM272" s="2329"/>
      <c r="YN272" s="2329"/>
      <c r="YO272" s="2329"/>
      <c r="YP272" s="2329"/>
      <c r="YQ272" s="2329"/>
      <c r="YR272" s="2329"/>
      <c r="YS272" s="2329"/>
      <c r="YT272" s="2329"/>
      <c r="YU272" s="2329"/>
      <c r="YV272" s="2328"/>
      <c r="YW272" s="2329"/>
      <c r="YX272" s="2329"/>
      <c r="YY272" s="2329"/>
      <c r="YZ272" s="2329"/>
      <c r="ZA272" s="2329"/>
      <c r="ZB272" s="2329"/>
      <c r="ZC272" s="2329"/>
      <c r="ZD272" s="2329"/>
      <c r="ZE272" s="2329"/>
      <c r="ZF272" s="2329"/>
      <c r="ZG272" s="2329"/>
      <c r="ZH272" s="2329"/>
      <c r="ZI272" s="2329"/>
      <c r="ZJ272" s="2329"/>
      <c r="ZK272" s="2329"/>
      <c r="ZL272" s="2328"/>
      <c r="ZM272" s="2329"/>
      <c r="ZN272" s="2329"/>
      <c r="ZO272" s="2329"/>
      <c r="ZP272" s="2329"/>
      <c r="ZQ272" s="2329"/>
      <c r="ZR272" s="2329"/>
      <c r="ZS272" s="2329"/>
      <c r="ZT272" s="2329"/>
      <c r="ZU272" s="2329"/>
      <c r="ZV272" s="2329"/>
      <c r="ZW272" s="2329"/>
      <c r="ZX272" s="2329"/>
      <c r="ZY272" s="2329"/>
      <c r="ZZ272" s="2329"/>
      <c r="AAA272" s="2329"/>
      <c r="AAB272" s="2328"/>
      <c r="AAC272" s="2329"/>
      <c r="AAD272" s="2329"/>
      <c r="AAE272" s="2329"/>
      <c r="AAF272" s="2329"/>
      <c r="AAG272" s="2329"/>
      <c r="AAH272" s="2329"/>
      <c r="AAI272" s="2329"/>
      <c r="AAJ272" s="2329"/>
      <c r="AAK272" s="2329"/>
      <c r="AAL272" s="2329"/>
      <c r="AAM272" s="2329"/>
      <c r="AAN272" s="2329"/>
      <c r="AAO272" s="2329"/>
      <c r="AAP272" s="2329"/>
      <c r="AAQ272" s="2329"/>
      <c r="AAR272" s="2328"/>
      <c r="AAS272" s="2329"/>
      <c r="AAT272" s="2329"/>
      <c r="AAU272" s="2329"/>
      <c r="AAV272" s="2329"/>
      <c r="AAW272" s="2329"/>
      <c r="AAX272" s="2329"/>
      <c r="AAY272" s="2329"/>
      <c r="AAZ272" s="2329"/>
      <c r="ABA272" s="2329"/>
      <c r="ABB272" s="2329"/>
      <c r="ABC272" s="2329"/>
      <c r="ABD272" s="2329"/>
      <c r="ABE272" s="2329"/>
      <c r="ABF272" s="2329"/>
      <c r="ABG272" s="2329"/>
      <c r="ABH272" s="2328"/>
      <c r="ABI272" s="2329"/>
      <c r="ABJ272" s="2329"/>
      <c r="ABK272" s="2329"/>
      <c r="ABL272" s="2329"/>
      <c r="ABM272" s="2329"/>
      <c r="ABN272" s="2329"/>
      <c r="ABO272" s="2329"/>
      <c r="ABP272" s="2329"/>
      <c r="ABQ272" s="2329"/>
      <c r="ABR272" s="2329"/>
      <c r="ABS272" s="2329"/>
      <c r="ABT272" s="2329"/>
      <c r="ABU272" s="2329"/>
      <c r="ABV272" s="2329"/>
      <c r="ABW272" s="2329"/>
      <c r="ABX272" s="2328"/>
      <c r="ABY272" s="2329"/>
      <c r="ABZ272" s="2329"/>
      <c r="ACA272" s="2329"/>
      <c r="ACB272" s="2329"/>
      <c r="ACC272" s="2329"/>
      <c r="ACD272" s="2329"/>
      <c r="ACE272" s="2329"/>
      <c r="ACF272" s="2329"/>
      <c r="ACG272" s="2329"/>
      <c r="ACH272" s="2329"/>
      <c r="ACI272" s="2329"/>
      <c r="ACJ272" s="2329"/>
      <c r="ACK272" s="2329"/>
      <c r="ACL272" s="2329"/>
      <c r="ACM272" s="2329"/>
      <c r="ACN272" s="2328"/>
      <c r="ACO272" s="2329"/>
      <c r="ACP272" s="2329"/>
      <c r="ACQ272" s="2329"/>
      <c r="ACR272" s="2329"/>
      <c r="ACS272" s="2329"/>
      <c r="ACT272" s="2329"/>
      <c r="ACU272" s="2329"/>
      <c r="ACV272" s="2329"/>
      <c r="ACW272" s="2329"/>
      <c r="ACX272" s="2329"/>
      <c r="ACY272" s="2329"/>
      <c r="ACZ272" s="2329"/>
      <c r="ADA272" s="2329"/>
      <c r="ADB272" s="2329"/>
      <c r="ADC272" s="2329"/>
      <c r="ADD272" s="2328"/>
      <c r="ADE272" s="2329"/>
      <c r="ADF272" s="2329"/>
      <c r="ADG272" s="2329"/>
      <c r="ADH272" s="2329"/>
      <c r="ADI272" s="2329"/>
      <c r="ADJ272" s="2329"/>
      <c r="ADK272" s="2329"/>
      <c r="ADL272" s="2329"/>
      <c r="ADM272" s="2329"/>
      <c r="ADN272" s="2329"/>
      <c r="ADO272" s="2329"/>
      <c r="ADP272" s="2329"/>
      <c r="ADQ272" s="2329"/>
      <c r="ADR272" s="2329"/>
      <c r="ADS272" s="2329"/>
      <c r="ADT272" s="2328"/>
      <c r="ADU272" s="2329"/>
      <c r="ADV272" s="2329"/>
      <c r="ADW272" s="2329"/>
      <c r="ADX272" s="2329"/>
      <c r="ADY272" s="2329"/>
      <c r="ADZ272" s="2329"/>
      <c r="AEA272" s="2329"/>
      <c r="AEB272" s="2329"/>
      <c r="AEC272" s="2329"/>
      <c r="AED272" s="2329"/>
      <c r="AEE272" s="2329"/>
      <c r="AEF272" s="2329"/>
      <c r="AEG272" s="2329"/>
      <c r="AEH272" s="2329"/>
      <c r="AEI272" s="2329"/>
      <c r="AEJ272" s="2328"/>
      <c r="AEK272" s="2329"/>
      <c r="AEL272" s="2329"/>
      <c r="AEM272" s="2329"/>
      <c r="AEN272" s="2329"/>
      <c r="AEO272" s="2329"/>
      <c r="AEP272" s="2329"/>
      <c r="AEQ272" s="2329"/>
      <c r="AER272" s="2329"/>
      <c r="AES272" s="2329"/>
      <c r="AET272" s="2329"/>
      <c r="AEU272" s="2329"/>
      <c r="AEV272" s="2329"/>
      <c r="AEW272" s="2329"/>
      <c r="AEX272" s="2329"/>
      <c r="AEY272" s="2329"/>
      <c r="AEZ272" s="2328"/>
      <c r="AFA272" s="2329"/>
      <c r="AFB272" s="2329"/>
      <c r="AFC272" s="2329"/>
      <c r="AFD272" s="2329"/>
      <c r="AFE272" s="2329"/>
      <c r="AFF272" s="2329"/>
      <c r="AFG272" s="2329"/>
      <c r="AFH272" s="2329"/>
      <c r="AFI272" s="2329"/>
      <c r="AFJ272" s="2329"/>
      <c r="AFK272" s="2329"/>
      <c r="AFL272" s="2329"/>
      <c r="AFM272" s="2329"/>
      <c r="AFN272" s="2329"/>
      <c r="AFO272" s="2329"/>
      <c r="AFP272" s="2328"/>
      <c r="AFQ272" s="2329"/>
      <c r="AFR272" s="2329"/>
      <c r="AFS272" s="2329"/>
      <c r="AFT272" s="2329"/>
      <c r="AFU272" s="2329"/>
      <c r="AFV272" s="2329"/>
      <c r="AFW272" s="2329"/>
      <c r="AFX272" s="2329"/>
      <c r="AFY272" s="2329"/>
      <c r="AFZ272" s="2329"/>
      <c r="AGA272" s="2329"/>
      <c r="AGB272" s="2329"/>
      <c r="AGC272" s="2329"/>
      <c r="AGD272" s="2329"/>
      <c r="AGE272" s="2329"/>
      <c r="AGF272" s="2328"/>
      <c r="AGG272" s="2329"/>
      <c r="AGH272" s="2329"/>
      <c r="AGI272" s="2329"/>
      <c r="AGJ272" s="2329"/>
      <c r="AGK272" s="2329"/>
      <c r="AGL272" s="2329"/>
      <c r="AGM272" s="2329"/>
      <c r="AGN272" s="2329"/>
      <c r="AGO272" s="2329"/>
      <c r="AGP272" s="2329"/>
      <c r="AGQ272" s="2329"/>
      <c r="AGR272" s="2329"/>
      <c r="AGS272" s="2329"/>
      <c r="AGT272" s="2329"/>
      <c r="AGU272" s="2329"/>
      <c r="AGV272" s="2328"/>
      <c r="AGW272" s="2329"/>
      <c r="AGX272" s="2329"/>
      <c r="AGY272" s="2329"/>
      <c r="AGZ272" s="2329"/>
      <c r="AHA272" s="2329"/>
      <c r="AHB272" s="2329"/>
      <c r="AHC272" s="2329"/>
      <c r="AHD272" s="2329"/>
      <c r="AHE272" s="2329"/>
      <c r="AHF272" s="2329"/>
      <c r="AHG272" s="2329"/>
      <c r="AHH272" s="2329"/>
      <c r="AHI272" s="2329"/>
      <c r="AHJ272" s="2329"/>
      <c r="AHK272" s="2329"/>
      <c r="AHL272" s="2328"/>
      <c r="AHM272" s="2329"/>
      <c r="AHN272" s="2329"/>
      <c r="AHO272" s="2329"/>
      <c r="AHP272" s="2329"/>
      <c r="AHQ272" s="2329"/>
      <c r="AHR272" s="2329"/>
      <c r="AHS272" s="2329"/>
      <c r="AHT272" s="2329"/>
      <c r="AHU272" s="2329"/>
      <c r="AHV272" s="2329"/>
      <c r="AHW272" s="2329"/>
      <c r="AHX272" s="2329"/>
      <c r="AHY272" s="2329"/>
      <c r="AHZ272" s="2329"/>
      <c r="AIA272" s="2329"/>
      <c r="AIB272" s="2328"/>
      <c r="AIC272" s="2329"/>
      <c r="AID272" s="2329"/>
      <c r="AIE272" s="2329"/>
      <c r="AIF272" s="2329"/>
      <c r="AIG272" s="2329"/>
      <c r="AIH272" s="2329"/>
      <c r="AII272" s="2329"/>
      <c r="AIJ272" s="2329"/>
      <c r="AIK272" s="2329"/>
      <c r="AIL272" s="2329"/>
      <c r="AIM272" s="2329"/>
      <c r="AIN272" s="2329"/>
      <c r="AIO272" s="2329"/>
      <c r="AIP272" s="2329"/>
      <c r="AIQ272" s="2329"/>
      <c r="AIR272" s="2328"/>
      <c r="AIS272" s="2329"/>
      <c r="AIT272" s="2329"/>
      <c r="AIU272" s="2329"/>
      <c r="AIV272" s="2329"/>
      <c r="AIW272" s="2329"/>
      <c r="AIX272" s="2329"/>
      <c r="AIY272" s="2329"/>
      <c r="AIZ272" s="2329"/>
      <c r="AJA272" s="2329"/>
      <c r="AJB272" s="2329"/>
      <c r="AJC272" s="2329"/>
      <c r="AJD272" s="2329"/>
      <c r="AJE272" s="2329"/>
      <c r="AJF272" s="2329"/>
      <c r="AJG272" s="2329"/>
      <c r="AJH272" s="2328"/>
      <c r="AJI272" s="2329"/>
      <c r="AJJ272" s="2329"/>
      <c r="AJK272" s="2329"/>
      <c r="AJL272" s="2329"/>
      <c r="AJM272" s="2329"/>
      <c r="AJN272" s="2329"/>
      <c r="AJO272" s="2329"/>
      <c r="AJP272" s="2329"/>
      <c r="AJQ272" s="2329"/>
      <c r="AJR272" s="2329"/>
      <c r="AJS272" s="2329"/>
      <c r="AJT272" s="2329"/>
      <c r="AJU272" s="2329"/>
      <c r="AJV272" s="2329"/>
      <c r="AJW272" s="2329"/>
      <c r="AJX272" s="2328"/>
      <c r="AJY272" s="2329"/>
      <c r="AJZ272" s="2329"/>
      <c r="AKA272" s="2329"/>
      <c r="AKB272" s="2329"/>
      <c r="AKC272" s="2329"/>
      <c r="AKD272" s="2329"/>
      <c r="AKE272" s="2329"/>
      <c r="AKF272" s="2329"/>
      <c r="AKG272" s="2329"/>
      <c r="AKH272" s="2329"/>
      <c r="AKI272" s="2329"/>
      <c r="AKJ272" s="2329"/>
      <c r="AKK272" s="2329"/>
      <c r="AKL272" s="2329"/>
      <c r="AKM272" s="2329"/>
      <c r="AKN272" s="2328"/>
      <c r="AKO272" s="2329"/>
      <c r="AKP272" s="2329"/>
      <c r="AKQ272" s="2329"/>
      <c r="AKR272" s="2329"/>
      <c r="AKS272" s="2329"/>
      <c r="AKT272" s="2329"/>
      <c r="AKU272" s="2329"/>
      <c r="AKV272" s="2329"/>
      <c r="AKW272" s="2329"/>
      <c r="AKX272" s="2329"/>
      <c r="AKY272" s="2329"/>
      <c r="AKZ272" s="2329"/>
      <c r="ALA272" s="2329"/>
      <c r="ALB272" s="2329"/>
      <c r="ALC272" s="2329"/>
      <c r="ALD272" s="2328"/>
      <c r="ALE272" s="2329"/>
      <c r="ALF272" s="2329"/>
      <c r="ALG272" s="2329"/>
      <c r="ALH272" s="2329"/>
      <c r="ALI272" s="2329"/>
      <c r="ALJ272" s="2329"/>
      <c r="ALK272" s="2329"/>
      <c r="ALL272" s="2329"/>
      <c r="ALM272" s="2329"/>
      <c r="ALN272" s="2329"/>
      <c r="ALO272" s="2329"/>
      <c r="ALP272" s="2329"/>
      <c r="ALQ272" s="2329"/>
      <c r="ALR272" s="2329"/>
      <c r="ALS272" s="2329"/>
      <c r="ALT272" s="2328"/>
      <c r="ALU272" s="2329"/>
      <c r="ALV272" s="2329"/>
      <c r="ALW272" s="2329"/>
      <c r="ALX272" s="2329"/>
      <c r="ALY272" s="2329"/>
      <c r="ALZ272" s="2329"/>
      <c r="AMA272" s="2329"/>
      <c r="AMB272" s="2329"/>
      <c r="AMC272" s="2329"/>
      <c r="AMD272" s="2329"/>
      <c r="AME272" s="2329"/>
      <c r="AMF272" s="2329"/>
      <c r="AMG272" s="2329"/>
      <c r="AMH272" s="2329"/>
      <c r="AMI272" s="2329"/>
      <c r="AMJ272" s="2328"/>
      <c r="AMK272" s="2329"/>
      <c r="AML272" s="2329"/>
      <c r="AMM272" s="2329"/>
      <c r="AMN272" s="2329"/>
      <c r="AMO272" s="2329"/>
      <c r="AMP272" s="2329"/>
      <c r="AMQ272" s="2329"/>
      <c r="AMR272" s="2329"/>
      <c r="AMS272" s="2329"/>
      <c r="AMT272" s="2329"/>
      <c r="AMU272" s="2329"/>
      <c r="AMV272" s="2329"/>
      <c r="AMW272" s="2329"/>
      <c r="AMX272" s="2329"/>
      <c r="AMY272" s="2329"/>
      <c r="AMZ272" s="2328"/>
      <c r="ANA272" s="2329"/>
      <c r="ANB272" s="2329"/>
      <c r="ANC272" s="2329"/>
      <c r="AND272" s="2329"/>
      <c r="ANE272" s="2329"/>
      <c r="ANF272" s="2329"/>
      <c r="ANG272" s="2329"/>
      <c r="ANH272" s="2329"/>
      <c r="ANI272" s="2329"/>
      <c r="ANJ272" s="2329"/>
      <c r="ANK272" s="2329"/>
      <c r="ANL272" s="2329"/>
      <c r="ANM272" s="2329"/>
      <c r="ANN272" s="2329"/>
      <c r="ANO272" s="2329"/>
      <c r="ANP272" s="2328"/>
      <c r="ANQ272" s="2329"/>
      <c r="ANR272" s="2329"/>
      <c r="ANS272" s="2329"/>
      <c r="ANT272" s="2329"/>
      <c r="ANU272" s="2329"/>
      <c r="ANV272" s="2329"/>
      <c r="ANW272" s="2329"/>
      <c r="ANX272" s="2329"/>
      <c r="ANY272" s="2329"/>
      <c r="ANZ272" s="2329"/>
      <c r="AOA272" s="2329"/>
      <c r="AOB272" s="2329"/>
      <c r="AOC272" s="2329"/>
      <c r="AOD272" s="2329"/>
      <c r="AOE272" s="2329"/>
      <c r="AOF272" s="2328"/>
      <c r="AOG272" s="2329"/>
      <c r="AOH272" s="2329"/>
      <c r="AOI272" s="2329"/>
      <c r="AOJ272" s="2329"/>
      <c r="AOK272" s="2329"/>
      <c r="AOL272" s="2329"/>
      <c r="AOM272" s="2329"/>
      <c r="AON272" s="2329"/>
      <c r="AOO272" s="2329"/>
      <c r="AOP272" s="2329"/>
      <c r="AOQ272" s="2329"/>
      <c r="AOR272" s="2329"/>
      <c r="AOS272" s="2329"/>
      <c r="AOT272" s="2329"/>
      <c r="AOU272" s="2329"/>
      <c r="AOV272" s="2328"/>
      <c r="AOW272" s="2329"/>
      <c r="AOX272" s="2329"/>
      <c r="AOY272" s="2329"/>
      <c r="AOZ272" s="2329"/>
      <c r="APA272" s="2329"/>
      <c r="APB272" s="2329"/>
      <c r="APC272" s="2329"/>
      <c r="APD272" s="2329"/>
      <c r="APE272" s="2329"/>
      <c r="APF272" s="2329"/>
      <c r="APG272" s="2329"/>
      <c r="APH272" s="2329"/>
      <c r="API272" s="2329"/>
      <c r="APJ272" s="2329"/>
      <c r="APK272" s="2329"/>
      <c r="APL272" s="2328"/>
      <c r="APM272" s="2329"/>
      <c r="APN272" s="2329"/>
      <c r="APO272" s="2329"/>
      <c r="APP272" s="2329"/>
      <c r="APQ272" s="2329"/>
      <c r="APR272" s="2329"/>
      <c r="APS272" s="2329"/>
      <c r="APT272" s="2329"/>
      <c r="APU272" s="2329"/>
      <c r="APV272" s="2329"/>
      <c r="APW272" s="2329"/>
      <c r="APX272" s="2329"/>
      <c r="APY272" s="2329"/>
      <c r="APZ272" s="2329"/>
      <c r="AQA272" s="2329"/>
      <c r="AQB272" s="2328"/>
      <c r="AQC272" s="2329"/>
      <c r="AQD272" s="2329"/>
      <c r="AQE272" s="2329"/>
      <c r="AQF272" s="2329"/>
      <c r="AQG272" s="2329"/>
      <c r="AQH272" s="2329"/>
      <c r="AQI272" s="2329"/>
      <c r="AQJ272" s="2329"/>
      <c r="AQK272" s="2329"/>
      <c r="AQL272" s="2329"/>
      <c r="AQM272" s="2329"/>
      <c r="AQN272" s="2329"/>
      <c r="AQO272" s="2329"/>
      <c r="AQP272" s="2329"/>
      <c r="AQQ272" s="2329"/>
      <c r="AQR272" s="2328"/>
      <c r="AQS272" s="2329"/>
      <c r="AQT272" s="2329"/>
      <c r="AQU272" s="2329"/>
      <c r="AQV272" s="2329"/>
      <c r="AQW272" s="2329"/>
      <c r="AQX272" s="2329"/>
      <c r="AQY272" s="2329"/>
      <c r="AQZ272" s="2329"/>
      <c r="ARA272" s="2329"/>
      <c r="ARB272" s="2329"/>
      <c r="ARC272" s="2329"/>
      <c r="ARD272" s="2329"/>
      <c r="ARE272" s="2329"/>
      <c r="ARF272" s="2329"/>
      <c r="ARG272" s="2329"/>
      <c r="ARH272" s="2328"/>
      <c r="ARI272" s="2329"/>
      <c r="ARJ272" s="2329"/>
      <c r="ARK272" s="2329"/>
      <c r="ARL272" s="2329"/>
      <c r="ARM272" s="2329"/>
      <c r="ARN272" s="2329"/>
      <c r="ARO272" s="2329"/>
      <c r="ARP272" s="2329"/>
      <c r="ARQ272" s="2329"/>
      <c r="ARR272" s="2329"/>
      <c r="ARS272" s="2329"/>
      <c r="ART272" s="2329"/>
      <c r="ARU272" s="2329"/>
      <c r="ARV272" s="2329"/>
      <c r="ARW272" s="2329"/>
      <c r="ARX272" s="2328"/>
      <c r="ARY272" s="2329"/>
      <c r="ARZ272" s="2329"/>
      <c r="ASA272" s="2329"/>
      <c r="ASB272" s="2329"/>
      <c r="ASC272" s="2329"/>
      <c r="ASD272" s="2329"/>
      <c r="ASE272" s="2329"/>
      <c r="ASF272" s="2329"/>
      <c r="ASG272" s="2329"/>
      <c r="ASH272" s="2329"/>
      <c r="ASI272" s="2329"/>
      <c r="ASJ272" s="2329"/>
      <c r="ASK272" s="2329"/>
      <c r="ASL272" s="2329"/>
      <c r="ASM272" s="2329"/>
      <c r="ASN272" s="2328"/>
      <c r="ASO272" s="2329"/>
      <c r="ASP272" s="2329"/>
      <c r="ASQ272" s="2329"/>
      <c r="ASR272" s="2329"/>
      <c r="ASS272" s="2329"/>
      <c r="AST272" s="2329"/>
      <c r="ASU272" s="2329"/>
      <c r="ASV272" s="2329"/>
      <c r="ASW272" s="2329"/>
      <c r="ASX272" s="2329"/>
      <c r="ASY272" s="2329"/>
      <c r="ASZ272" s="2329"/>
      <c r="ATA272" s="2329"/>
      <c r="ATB272" s="2329"/>
      <c r="ATC272" s="2329"/>
      <c r="ATD272" s="2328"/>
      <c r="ATE272" s="2329"/>
      <c r="ATF272" s="2329"/>
      <c r="ATG272" s="2329"/>
      <c r="ATH272" s="2329"/>
      <c r="ATI272" s="2329"/>
      <c r="ATJ272" s="2329"/>
      <c r="ATK272" s="2329"/>
      <c r="ATL272" s="2329"/>
      <c r="ATM272" s="2329"/>
      <c r="ATN272" s="2329"/>
      <c r="ATO272" s="2329"/>
      <c r="ATP272" s="2329"/>
      <c r="ATQ272" s="2329"/>
      <c r="ATR272" s="2329"/>
      <c r="ATS272" s="2329"/>
      <c r="ATT272" s="2328"/>
      <c r="ATU272" s="2329"/>
      <c r="ATV272" s="2329"/>
      <c r="ATW272" s="2329"/>
      <c r="ATX272" s="2329"/>
      <c r="ATY272" s="2329"/>
      <c r="ATZ272" s="2329"/>
      <c r="AUA272" s="2329"/>
      <c r="AUB272" s="2329"/>
      <c r="AUC272" s="2329"/>
      <c r="AUD272" s="2329"/>
      <c r="AUE272" s="2329"/>
      <c r="AUF272" s="2329"/>
      <c r="AUG272" s="2329"/>
      <c r="AUH272" s="2329"/>
      <c r="AUI272" s="2329"/>
      <c r="AUJ272" s="2328"/>
      <c r="AUK272" s="2329"/>
      <c r="AUL272" s="2329"/>
      <c r="AUM272" s="2329"/>
      <c r="AUN272" s="2329"/>
      <c r="AUO272" s="2329"/>
      <c r="AUP272" s="2329"/>
      <c r="AUQ272" s="2329"/>
      <c r="AUR272" s="2329"/>
      <c r="AUS272" s="2329"/>
      <c r="AUT272" s="2329"/>
      <c r="AUU272" s="2329"/>
      <c r="AUV272" s="2329"/>
      <c r="AUW272" s="2329"/>
      <c r="AUX272" s="2329"/>
      <c r="AUY272" s="2329"/>
      <c r="AUZ272" s="2328"/>
      <c r="AVA272" s="2329"/>
      <c r="AVB272" s="2329"/>
      <c r="AVC272" s="2329"/>
      <c r="AVD272" s="2329"/>
      <c r="AVE272" s="2329"/>
      <c r="AVF272" s="2329"/>
      <c r="AVG272" s="2329"/>
      <c r="AVH272" s="2329"/>
      <c r="AVI272" s="2329"/>
      <c r="AVJ272" s="2329"/>
      <c r="AVK272" s="2329"/>
      <c r="AVL272" s="2329"/>
      <c r="AVM272" s="2329"/>
      <c r="AVN272" s="2329"/>
      <c r="AVO272" s="2329"/>
      <c r="AVP272" s="2328"/>
      <c r="AVQ272" s="2329"/>
      <c r="AVR272" s="2329"/>
      <c r="AVS272" s="2329"/>
      <c r="AVT272" s="2329"/>
      <c r="AVU272" s="2329"/>
      <c r="AVV272" s="2329"/>
      <c r="AVW272" s="2329"/>
      <c r="AVX272" s="2329"/>
      <c r="AVY272" s="2329"/>
      <c r="AVZ272" s="2329"/>
      <c r="AWA272" s="2329"/>
      <c r="AWB272" s="2329"/>
      <c r="AWC272" s="2329"/>
      <c r="AWD272" s="2329"/>
      <c r="AWE272" s="2329"/>
      <c r="AWF272" s="2328"/>
      <c r="AWG272" s="2329"/>
      <c r="AWH272" s="2329"/>
      <c r="AWI272" s="2329"/>
      <c r="AWJ272" s="2329"/>
      <c r="AWK272" s="2329"/>
      <c r="AWL272" s="2329"/>
      <c r="AWM272" s="2329"/>
      <c r="AWN272" s="2329"/>
      <c r="AWO272" s="2329"/>
      <c r="AWP272" s="2329"/>
      <c r="AWQ272" s="2329"/>
      <c r="AWR272" s="2329"/>
      <c r="AWS272" s="2329"/>
      <c r="AWT272" s="2329"/>
      <c r="AWU272" s="2329"/>
      <c r="AWV272" s="2328"/>
      <c r="AWW272" s="2329"/>
      <c r="AWX272" s="2329"/>
      <c r="AWY272" s="2329"/>
      <c r="AWZ272" s="2329"/>
      <c r="AXA272" s="2329"/>
      <c r="AXB272" s="2329"/>
      <c r="AXC272" s="2329"/>
      <c r="AXD272" s="2329"/>
      <c r="AXE272" s="2329"/>
      <c r="AXF272" s="2329"/>
      <c r="AXG272" s="2329"/>
      <c r="AXH272" s="2329"/>
      <c r="AXI272" s="2329"/>
      <c r="AXJ272" s="2329"/>
      <c r="AXK272" s="2329"/>
      <c r="AXL272" s="2328"/>
      <c r="AXM272" s="2329"/>
      <c r="AXN272" s="2329"/>
      <c r="AXO272" s="2329"/>
      <c r="AXP272" s="2329"/>
      <c r="AXQ272" s="2329"/>
      <c r="AXR272" s="2329"/>
      <c r="AXS272" s="2329"/>
      <c r="AXT272" s="2329"/>
      <c r="AXU272" s="2329"/>
      <c r="AXV272" s="2329"/>
      <c r="AXW272" s="2329"/>
      <c r="AXX272" s="2329"/>
      <c r="AXY272" s="2329"/>
      <c r="AXZ272" s="2329"/>
      <c r="AYA272" s="2329"/>
      <c r="AYB272" s="2328"/>
      <c r="AYC272" s="2329"/>
      <c r="AYD272" s="2329"/>
      <c r="AYE272" s="2329"/>
      <c r="AYF272" s="2329"/>
      <c r="AYG272" s="2329"/>
      <c r="AYH272" s="2329"/>
      <c r="AYI272" s="2329"/>
      <c r="AYJ272" s="2329"/>
      <c r="AYK272" s="2329"/>
      <c r="AYL272" s="2329"/>
      <c r="AYM272" s="2329"/>
      <c r="AYN272" s="2329"/>
      <c r="AYO272" s="2329"/>
      <c r="AYP272" s="2329"/>
      <c r="AYQ272" s="2329"/>
      <c r="AYR272" s="2328"/>
      <c r="AYS272" s="2329"/>
      <c r="AYT272" s="2329"/>
      <c r="AYU272" s="2329"/>
      <c r="AYV272" s="2329"/>
      <c r="AYW272" s="2329"/>
      <c r="AYX272" s="2329"/>
      <c r="AYY272" s="2329"/>
      <c r="AYZ272" s="2329"/>
      <c r="AZA272" s="2329"/>
      <c r="AZB272" s="2329"/>
      <c r="AZC272" s="2329"/>
      <c r="AZD272" s="2329"/>
      <c r="AZE272" s="2329"/>
      <c r="AZF272" s="2329"/>
      <c r="AZG272" s="2329"/>
      <c r="AZH272" s="2328"/>
      <c r="AZI272" s="2329"/>
      <c r="AZJ272" s="2329"/>
      <c r="AZK272" s="2329"/>
      <c r="AZL272" s="2329"/>
      <c r="AZM272" s="2329"/>
      <c r="AZN272" s="2329"/>
      <c r="AZO272" s="2329"/>
      <c r="AZP272" s="2329"/>
      <c r="AZQ272" s="2329"/>
      <c r="AZR272" s="2329"/>
      <c r="AZS272" s="2329"/>
      <c r="AZT272" s="2329"/>
      <c r="AZU272" s="2329"/>
      <c r="AZV272" s="2329"/>
      <c r="AZW272" s="2329"/>
      <c r="AZX272" s="2328"/>
      <c r="AZY272" s="2329"/>
      <c r="AZZ272" s="2329"/>
      <c r="BAA272" s="2329"/>
      <c r="BAB272" s="2329"/>
      <c r="BAC272" s="2329"/>
      <c r="BAD272" s="2329"/>
      <c r="BAE272" s="2329"/>
      <c r="BAF272" s="2329"/>
      <c r="BAG272" s="2329"/>
      <c r="BAH272" s="2329"/>
      <c r="BAI272" s="2329"/>
      <c r="BAJ272" s="2329"/>
      <c r="BAK272" s="2329"/>
      <c r="BAL272" s="2329"/>
      <c r="BAM272" s="2329"/>
      <c r="BAN272" s="2328"/>
      <c r="BAO272" s="2329"/>
      <c r="BAP272" s="2329"/>
      <c r="BAQ272" s="2329"/>
      <c r="BAR272" s="2329"/>
      <c r="BAS272" s="2329"/>
      <c r="BAT272" s="2329"/>
      <c r="BAU272" s="2329"/>
      <c r="BAV272" s="2329"/>
      <c r="BAW272" s="2329"/>
      <c r="BAX272" s="2329"/>
      <c r="BAY272" s="2329"/>
      <c r="BAZ272" s="2329"/>
      <c r="BBA272" s="2329"/>
      <c r="BBB272" s="2329"/>
      <c r="BBC272" s="2329"/>
      <c r="BBD272" s="2328"/>
      <c r="BBE272" s="2329"/>
      <c r="BBF272" s="2329"/>
      <c r="BBG272" s="2329"/>
      <c r="BBH272" s="2329"/>
      <c r="BBI272" s="2329"/>
      <c r="BBJ272" s="2329"/>
      <c r="BBK272" s="2329"/>
      <c r="BBL272" s="2329"/>
      <c r="BBM272" s="2329"/>
      <c r="BBN272" s="2329"/>
      <c r="BBO272" s="2329"/>
      <c r="BBP272" s="2329"/>
      <c r="BBQ272" s="2329"/>
      <c r="BBR272" s="2329"/>
      <c r="BBS272" s="2329"/>
      <c r="BBT272" s="2328"/>
      <c r="BBU272" s="2329"/>
      <c r="BBV272" s="2329"/>
      <c r="BBW272" s="2329"/>
      <c r="BBX272" s="2329"/>
      <c r="BBY272" s="2329"/>
      <c r="BBZ272" s="2329"/>
      <c r="BCA272" s="2329"/>
      <c r="BCB272" s="2329"/>
      <c r="BCC272" s="2329"/>
      <c r="BCD272" s="2329"/>
      <c r="BCE272" s="2329"/>
      <c r="BCF272" s="2329"/>
      <c r="BCG272" s="2329"/>
      <c r="BCH272" s="2329"/>
      <c r="BCI272" s="2329"/>
      <c r="BCJ272" s="2328"/>
      <c r="BCK272" s="2329"/>
      <c r="BCL272" s="2329"/>
      <c r="BCM272" s="2329"/>
      <c r="BCN272" s="2329"/>
      <c r="BCO272" s="2329"/>
      <c r="BCP272" s="2329"/>
      <c r="BCQ272" s="2329"/>
      <c r="BCR272" s="2329"/>
      <c r="BCS272" s="2329"/>
      <c r="BCT272" s="2329"/>
      <c r="BCU272" s="2329"/>
      <c r="BCV272" s="2329"/>
      <c r="BCW272" s="2329"/>
      <c r="BCX272" s="2329"/>
      <c r="BCY272" s="2329"/>
      <c r="BCZ272" s="2328"/>
      <c r="BDA272" s="2329"/>
      <c r="BDB272" s="2329"/>
      <c r="BDC272" s="2329"/>
      <c r="BDD272" s="2329"/>
      <c r="BDE272" s="2329"/>
      <c r="BDF272" s="2329"/>
      <c r="BDG272" s="2329"/>
      <c r="BDH272" s="2329"/>
      <c r="BDI272" s="2329"/>
      <c r="BDJ272" s="2329"/>
      <c r="BDK272" s="2329"/>
      <c r="BDL272" s="2329"/>
      <c r="BDM272" s="2329"/>
      <c r="BDN272" s="2329"/>
      <c r="BDO272" s="2329"/>
      <c r="BDP272" s="2328"/>
      <c r="BDQ272" s="2329"/>
      <c r="BDR272" s="2329"/>
      <c r="BDS272" s="2329"/>
      <c r="BDT272" s="2329"/>
      <c r="BDU272" s="2329"/>
      <c r="BDV272" s="2329"/>
      <c r="BDW272" s="2329"/>
      <c r="BDX272" s="2329"/>
      <c r="BDY272" s="2329"/>
      <c r="BDZ272" s="2329"/>
      <c r="BEA272" s="2329"/>
      <c r="BEB272" s="2329"/>
      <c r="BEC272" s="2329"/>
      <c r="BED272" s="2329"/>
      <c r="BEE272" s="2329"/>
      <c r="BEF272" s="2328"/>
      <c r="BEG272" s="2329"/>
      <c r="BEH272" s="2329"/>
      <c r="BEI272" s="2329"/>
      <c r="BEJ272" s="2329"/>
      <c r="BEK272" s="2329"/>
      <c r="BEL272" s="2329"/>
      <c r="BEM272" s="2329"/>
      <c r="BEN272" s="2329"/>
      <c r="BEO272" s="2329"/>
      <c r="BEP272" s="2329"/>
      <c r="BEQ272" s="2329"/>
      <c r="BER272" s="2329"/>
      <c r="BES272" s="2329"/>
      <c r="BET272" s="2329"/>
      <c r="BEU272" s="2329"/>
      <c r="BEV272" s="2328"/>
      <c r="BEW272" s="2329"/>
      <c r="BEX272" s="2329"/>
      <c r="BEY272" s="2329"/>
      <c r="BEZ272" s="2329"/>
      <c r="BFA272" s="2329"/>
      <c r="BFB272" s="2329"/>
      <c r="BFC272" s="2329"/>
      <c r="BFD272" s="2329"/>
      <c r="BFE272" s="2329"/>
      <c r="BFF272" s="2329"/>
      <c r="BFG272" s="2329"/>
      <c r="BFH272" s="2329"/>
      <c r="BFI272" s="2329"/>
      <c r="BFJ272" s="2329"/>
      <c r="BFK272" s="2329"/>
      <c r="BFL272" s="2328"/>
      <c r="BFM272" s="2329"/>
      <c r="BFN272" s="2329"/>
      <c r="BFO272" s="2329"/>
      <c r="BFP272" s="2329"/>
      <c r="BFQ272" s="2329"/>
      <c r="BFR272" s="2329"/>
      <c r="BFS272" s="2329"/>
      <c r="BFT272" s="2329"/>
      <c r="BFU272" s="2329"/>
      <c r="BFV272" s="2329"/>
      <c r="BFW272" s="2329"/>
      <c r="BFX272" s="2329"/>
      <c r="BFY272" s="2329"/>
      <c r="BFZ272" s="2329"/>
      <c r="BGA272" s="2329"/>
      <c r="BGB272" s="2328"/>
      <c r="BGC272" s="2329"/>
      <c r="BGD272" s="2329"/>
      <c r="BGE272" s="2329"/>
      <c r="BGF272" s="2329"/>
      <c r="BGG272" s="2329"/>
      <c r="BGH272" s="2329"/>
      <c r="BGI272" s="2329"/>
      <c r="BGJ272" s="2329"/>
      <c r="BGK272" s="2329"/>
      <c r="BGL272" s="2329"/>
      <c r="BGM272" s="2329"/>
      <c r="BGN272" s="2329"/>
      <c r="BGO272" s="2329"/>
      <c r="BGP272" s="2329"/>
      <c r="BGQ272" s="2329"/>
      <c r="BGR272" s="2328"/>
      <c r="BGS272" s="2329"/>
      <c r="BGT272" s="2329"/>
      <c r="BGU272" s="2329"/>
      <c r="BGV272" s="2329"/>
      <c r="BGW272" s="2329"/>
      <c r="BGX272" s="2329"/>
      <c r="BGY272" s="2329"/>
      <c r="BGZ272" s="2329"/>
      <c r="BHA272" s="2329"/>
      <c r="BHB272" s="2329"/>
      <c r="BHC272" s="2329"/>
      <c r="BHD272" s="2329"/>
      <c r="BHE272" s="2329"/>
      <c r="BHF272" s="2329"/>
      <c r="BHG272" s="2329"/>
      <c r="BHH272" s="2328"/>
      <c r="BHI272" s="2329"/>
      <c r="BHJ272" s="2329"/>
      <c r="BHK272" s="2329"/>
      <c r="BHL272" s="2329"/>
      <c r="BHM272" s="2329"/>
      <c r="BHN272" s="2329"/>
      <c r="BHO272" s="2329"/>
      <c r="BHP272" s="2329"/>
      <c r="BHQ272" s="2329"/>
      <c r="BHR272" s="2329"/>
      <c r="BHS272" s="2329"/>
      <c r="BHT272" s="2329"/>
      <c r="BHU272" s="2329"/>
      <c r="BHV272" s="2329"/>
      <c r="BHW272" s="2329"/>
      <c r="BHX272" s="2328"/>
      <c r="BHY272" s="2329"/>
      <c r="BHZ272" s="2329"/>
      <c r="BIA272" s="2329"/>
      <c r="BIB272" s="2329"/>
      <c r="BIC272" s="2329"/>
      <c r="BID272" s="2329"/>
      <c r="BIE272" s="2329"/>
      <c r="BIF272" s="2329"/>
      <c r="BIG272" s="2329"/>
      <c r="BIH272" s="2329"/>
      <c r="BII272" s="2329"/>
      <c r="BIJ272" s="2329"/>
      <c r="BIK272" s="2329"/>
      <c r="BIL272" s="2329"/>
      <c r="BIM272" s="2329"/>
      <c r="BIN272" s="2328"/>
      <c r="BIO272" s="2329"/>
      <c r="BIP272" s="2329"/>
      <c r="BIQ272" s="2329"/>
      <c r="BIR272" s="2329"/>
      <c r="BIS272" s="2329"/>
      <c r="BIT272" s="2329"/>
      <c r="BIU272" s="2329"/>
      <c r="BIV272" s="2329"/>
      <c r="BIW272" s="2329"/>
      <c r="BIX272" s="2329"/>
      <c r="BIY272" s="2329"/>
      <c r="BIZ272" s="2329"/>
      <c r="BJA272" s="2329"/>
      <c r="BJB272" s="2329"/>
      <c r="BJC272" s="2329"/>
      <c r="BJD272" s="2328"/>
      <c r="BJE272" s="2329"/>
      <c r="BJF272" s="2329"/>
      <c r="BJG272" s="2329"/>
      <c r="BJH272" s="2329"/>
      <c r="BJI272" s="2329"/>
      <c r="BJJ272" s="2329"/>
      <c r="BJK272" s="2329"/>
      <c r="BJL272" s="2329"/>
      <c r="BJM272" s="2329"/>
      <c r="BJN272" s="2329"/>
      <c r="BJO272" s="2329"/>
      <c r="BJP272" s="2329"/>
      <c r="BJQ272" s="2329"/>
      <c r="BJR272" s="2329"/>
      <c r="BJS272" s="2329"/>
      <c r="BJT272" s="2328"/>
      <c r="BJU272" s="2329"/>
      <c r="BJV272" s="2329"/>
      <c r="BJW272" s="2329"/>
      <c r="BJX272" s="2329"/>
      <c r="BJY272" s="2329"/>
      <c r="BJZ272" s="2329"/>
      <c r="BKA272" s="2329"/>
      <c r="BKB272" s="2329"/>
      <c r="BKC272" s="2329"/>
      <c r="BKD272" s="2329"/>
      <c r="BKE272" s="2329"/>
      <c r="BKF272" s="2329"/>
      <c r="BKG272" s="2329"/>
      <c r="BKH272" s="2329"/>
      <c r="BKI272" s="2329"/>
      <c r="BKJ272" s="2328"/>
      <c r="BKK272" s="2329"/>
      <c r="BKL272" s="2329"/>
      <c r="BKM272" s="2329"/>
      <c r="BKN272" s="2329"/>
      <c r="BKO272" s="2329"/>
      <c r="BKP272" s="2329"/>
      <c r="BKQ272" s="2329"/>
      <c r="BKR272" s="2329"/>
      <c r="BKS272" s="2329"/>
      <c r="BKT272" s="2329"/>
      <c r="BKU272" s="2329"/>
      <c r="BKV272" s="2329"/>
      <c r="BKW272" s="2329"/>
      <c r="BKX272" s="2329"/>
      <c r="BKY272" s="2329"/>
      <c r="BKZ272" s="2328"/>
      <c r="BLA272" s="2329"/>
      <c r="BLB272" s="2329"/>
      <c r="BLC272" s="2329"/>
      <c r="BLD272" s="2329"/>
      <c r="BLE272" s="2329"/>
      <c r="BLF272" s="2329"/>
      <c r="BLG272" s="2329"/>
      <c r="BLH272" s="2329"/>
      <c r="BLI272" s="2329"/>
      <c r="BLJ272" s="2329"/>
      <c r="BLK272" s="2329"/>
      <c r="BLL272" s="2329"/>
      <c r="BLM272" s="2329"/>
      <c r="BLN272" s="2329"/>
      <c r="BLO272" s="2329"/>
      <c r="BLP272" s="2328"/>
      <c r="BLQ272" s="2329"/>
      <c r="BLR272" s="2329"/>
      <c r="BLS272" s="2329"/>
      <c r="BLT272" s="2329"/>
      <c r="BLU272" s="2329"/>
      <c r="BLV272" s="2329"/>
      <c r="BLW272" s="2329"/>
      <c r="BLX272" s="2329"/>
      <c r="BLY272" s="2329"/>
      <c r="BLZ272" s="2329"/>
      <c r="BMA272" s="2329"/>
      <c r="BMB272" s="2329"/>
      <c r="BMC272" s="2329"/>
      <c r="BMD272" s="2329"/>
      <c r="BME272" s="2329"/>
      <c r="BMF272" s="2328"/>
      <c r="BMG272" s="2329"/>
      <c r="BMH272" s="2329"/>
      <c r="BMI272" s="2329"/>
      <c r="BMJ272" s="2329"/>
      <c r="BMK272" s="2329"/>
      <c r="BML272" s="2329"/>
      <c r="BMM272" s="2329"/>
      <c r="BMN272" s="2329"/>
      <c r="BMO272" s="2329"/>
      <c r="BMP272" s="2329"/>
      <c r="BMQ272" s="2329"/>
      <c r="BMR272" s="2329"/>
      <c r="BMS272" s="2329"/>
      <c r="BMT272" s="2329"/>
      <c r="BMU272" s="2329"/>
      <c r="BMV272" s="2328"/>
      <c r="BMW272" s="2329"/>
      <c r="BMX272" s="2329"/>
      <c r="BMY272" s="2329"/>
      <c r="BMZ272" s="2329"/>
      <c r="BNA272" s="2329"/>
      <c r="BNB272" s="2329"/>
      <c r="BNC272" s="2329"/>
      <c r="BND272" s="2329"/>
      <c r="BNE272" s="2329"/>
      <c r="BNF272" s="2329"/>
      <c r="BNG272" s="2329"/>
      <c r="BNH272" s="2329"/>
      <c r="BNI272" s="2329"/>
      <c r="BNJ272" s="2329"/>
      <c r="BNK272" s="2329"/>
      <c r="BNL272" s="2328"/>
      <c r="BNM272" s="2329"/>
      <c r="BNN272" s="2329"/>
      <c r="BNO272" s="2329"/>
      <c r="BNP272" s="2329"/>
      <c r="BNQ272" s="2329"/>
      <c r="BNR272" s="2329"/>
      <c r="BNS272" s="2329"/>
      <c r="BNT272" s="2329"/>
      <c r="BNU272" s="2329"/>
      <c r="BNV272" s="2329"/>
      <c r="BNW272" s="2329"/>
      <c r="BNX272" s="2329"/>
      <c r="BNY272" s="2329"/>
      <c r="BNZ272" s="2329"/>
      <c r="BOA272" s="2329"/>
      <c r="BOB272" s="2328"/>
      <c r="BOC272" s="2329"/>
      <c r="BOD272" s="2329"/>
      <c r="BOE272" s="2329"/>
      <c r="BOF272" s="2329"/>
      <c r="BOG272" s="2329"/>
      <c r="BOH272" s="2329"/>
      <c r="BOI272" s="2329"/>
      <c r="BOJ272" s="2329"/>
      <c r="BOK272" s="2329"/>
      <c r="BOL272" s="2329"/>
      <c r="BOM272" s="2329"/>
      <c r="BON272" s="2329"/>
      <c r="BOO272" s="2329"/>
      <c r="BOP272" s="2329"/>
      <c r="BOQ272" s="2329"/>
      <c r="BOR272" s="2328"/>
      <c r="BOS272" s="2329"/>
      <c r="BOT272" s="2329"/>
      <c r="BOU272" s="2329"/>
      <c r="BOV272" s="2329"/>
      <c r="BOW272" s="2329"/>
      <c r="BOX272" s="2329"/>
      <c r="BOY272" s="2329"/>
      <c r="BOZ272" s="2329"/>
      <c r="BPA272" s="2329"/>
      <c r="BPB272" s="2329"/>
      <c r="BPC272" s="2329"/>
      <c r="BPD272" s="2329"/>
      <c r="BPE272" s="2329"/>
      <c r="BPF272" s="2329"/>
      <c r="BPG272" s="2329"/>
      <c r="BPH272" s="2328"/>
      <c r="BPI272" s="2329"/>
      <c r="BPJ272" s="2329"/>
      <c r="BPK272" s="2329"/>
      <c r="BPL272" s="2329"/>
      <c r="BPM272" s="2329"/>
      <c r="BPN272" s="2329"/>
      <c r="BPO272" s="2329"/>
      <c r="BPP272" s="2329"/>
      <c r="BPQ272" s="2329"/>
      <c r="BPR272" s="2329"/>
      <c r="BPS272" s="2329"/>
      <c r="BPT272" s="2329"/>
      <c r="BPU272" s="2329"/>
      <c r="BPV272" s="2329"/>
      <c r="BPW272" s="2329"/>
      <c r="BPX272" s="2328"/>
      <c r="BPY272" s="2329"/>
      <c r="BPZ272" s="2329"/>
      <c r="BQA272" s="2329"/>
      <c r="BQB272" s="2329"/>
      <c r="BQC272" s="2329"/>
      <c r="BQD272" s="2329"/>
      <c r="BQE272" s="2329"/>
      <c r="BQF272" s="2329"/>
      <c r="BQG272" s="2329"/>
      <c r="BQH272" s="2329"/>
      <c r="BQI272" s="2329"/>
      <c r="BQJ272" s="2329"/>
      <c r="BQK272" s="2329"/>
      <c r="BQL272" s="2329"/>
      <c r="BQM272" s="2329"/>
      <c r="BQN272" s="2328"/>
      <c r="BQO272" s="2329"/>
      <c r="BQP272" s="2329"/>
      <c r="BQQ272" s="2329"/>
      <c r="BQR272" s="2329"/>
      <c r="BQS272" s="2329"/>
      <c r="BQT272" s="2329"/>
      <c r="BQU272" s="2329"/>
      <c r="BQV272" s="2329"/>
      <c r="BQW272" s="2329"/>
      <c r="BQX272" s="2329"/>
      <c r="BQY272" s="2329"/>
      <c r="BQZ272" s="2329"/>
      <c r="BRA272" s="2329"/>
      <c r="BRB272" s="2329"/>
      <c r="BRC272" s="2329"/>
      <c r="BRD272" s="2328"/>
      <c r="BRE272" s="2329"/>
      <c r="BRF272" s="2329"/>
      <c r="BRG272" s="2329"/>
      <c r="BRH272" s="2329"/>
      <c r="BRI272" s="2329"/>
      <c r="BRJ272" s="2329"/>
      <c r="BRK272" s="2329"/>
      <c r="BRL272" s="2329"/>
      <c r="BRM272" s="2329"/>
      <c r="BRN272" s="2329"/>
      <c r="BRO272" s="2329"/>
      <c r="BRP272" s="2329"/>
      <c r="BRQ272" s="2329"/>
      <c r="BRR272" s="2329"/>
      <c r="BRS272" s="2329"/>
      <c r="BRT272" s="2328"/>
      <c r="BRU272" s="2329"/>
      <c r="BRV272" s="2329"/>
      <c r="BRW272" s="2329"/>
      <c r="BRX272" s="2329"/>
      <c r="BRY272" s="2329"/>
      <c r="BRZ272" s="2329"/>
      <c r="BSA272" s="2329"/>
      <c r="BSB272" s="2329"/>
      <c r="BSC272" s="2329"/>
      <c r="BSD272" s="2329"/>
      <c r="BSE272" s="2329"/>
      <c r="BSF272" s="2329"/>
      <c r="BSG272" s="2329"/>
      <c r="BSH272" s="2329"/>
      <c r="BSI272" s="2329"/>
      <c r="BSJ272" s="2328"/>
      <c r="BSK272" s="2329"/>
      <c r="BSL272" s="2329"/>
      <c r="BSM272" s="2329"/>
      <c r="BSN272" s="2329"/>
      <c r="BSO272" s="2329"/>
      <c r="BSP272" s="2329"/>
      <c r="BSQ272" s="2329"/>
      <c r="BSR272" s="2329"/>
      <c r="BSS272" s="2329"/>
      <c r="BST272" s="2329"/>
      <c r="BSU272" s="2329"/>
      <c r="BSV272" s="2329"/>
      <c r="BSW272" s="2329"/>
      <c r="BSX272" s="2329"/>
      <c r="BSY272" s="2329"/>
      <c r="BSZ272" s="2328"/>
      <c r="BTA272" s="2329"/>
      <c r="BTB272" s="2329"/>
      <c r="BTC272" s="2329"/>
      <c r="BTD272" s="2329"/>
      <c r="BTE272" s="2329"/>
      <c r="BTF272" s="2329"/>
      <c r="BTG272" s="2329"/>
      <c r="BTH272" s="2329"/>
      <c r="BTI272" s="2329"/>
      <c r="BTJ272" s="2329"/>
      <c r="BTK272" s="2329"/>
      <c r="BTL272" s="2329"/>
      <c r="BTM272" s="2329"/>
      <c r="BTN272" s="2329"/>
      <c r="BTO272" s="2329"/>
      <c r="BTP272" s="2328"/>
      <c r="BTQ272" s="2329"/>
      <c r="BTR272" s="2329"/>
      <c r="BTS272" s="2329"/>
      <c r="BTT272" s="2329"/>
      <c r="BTU272" s="2329"/>
      <c r="BTV272" s="2329"/>
      <c r="BTW272" s="2329"/>
      <c r="BTX272" s="2329"/>
      <c r="BTY272" s="2329"/>
      <c r="BTZ272" s="2329"/>
      <c r="BUA272" s="2329"/>
      <c r="BUB272" s="2329"/>
      <c r="BUC272" s="2329"/>
      <c r="BUD272" s="2329"/>
      <c r="BUE272" s="2329"/>
      <c r="BUF272" s="2328"/>
      <c r="BUG272" s="2329"/>
      <c r="BUH272" s="2329"/>
      <c r="BUI272" s="2329"/>
      <c r="BUJ272" s="2329"/>
      <c r="BUK272" s="2329"/>
      <c r="BUL272" s="2329"/>
      <c r="BUM272" s="2329"/>
      <c r="BUN272" s="2329"/>
      <c r="BUO272" s="2329"/>
      <c r="BUP272" s="2329"/>
      <c r="BUQ272" s="2329"/>
      <c r="BUR272" s="2329"/>
      <c r="BUS272" s="2329"/>
      <c r="BUT272" s="2329"/>
      <c r="BUU272" s="2329"/>
      <c r="BUV272" s="2328"/>
      <c r="BUW272" s="2329"/>
      <c r="BUX272" s="2329"/>
      <c r="BUY272" s="2329"/>
      <c r="BUZ272" s="2329"/>
      <c r="BVA272" s="2329"/>
      <c r="BVB272" s="2329"/>
      <c r="BVC272" s="2329"/>
      <c r="BVD272" s="2329"/>
      <c r="BVE272" s="2329"/>
      <c r="BVF272" s="2329"/>
      <c r="BVG272" s="2329"/>
      <c r="BVH272" s="2329"/>
      <c r="BVI272" s="2329"/>
      <c r="BVJ272" s="2329"/>
      <c r="BVK272" s="2329"/>
      <c r="BVL272" s="2328"/>
      <c r="BVM272" s="2329"/>
      <c r="BVN272" s="2329"/>
      <c r="BVO272" s="2329"/>
      <c r="BVP272" s="2329"/>
      <c r="BVQ272" s="2329"/>
      <c r="BVR272" s="2329"/>
      <c r="BVS272" s="2329"/>
      <c r="BVT272" s="2329"/>
      <c r="BVU272" s="2329"/>
      <c r="BVV272" s="2329"/>
      <c r="BVW272" s="2329"/>
      <c r="BVX272" s="2329"/>
      <c r="BVY272" s="2329"/>
      <c r="BVZ272" s="2329"/>
      <c r="BWA272" s="2329"/>
      <c r="BWB272" s="2328"/>
      <c r="BWC272" s="2329"/>
      <c r="BWD272" s="2329"/>
      <c r="BWE272" s="2329"/>
      <c r="BWF272" s="2329"/>
      <c r="BWG272" s="2329"/>
      <c r="BWH272" s="2329"/>
      <c r="BWI272" s="2329"/>
      <c r="BWJ272" s="2329"/>
      <c r="BWK272" s="2329"/>
      <c r="BWL272" s="2329"/>
      <c r="BWM272" s="2329"/>
      <c r="BWN272" s="2329"/>
      <c r="BWO272" s="2329"/>
      <c r="BWP272" s="2329"/>
      <c r="BWQ272" s="2329"/>
      <c r="BWR272" s="2328"/>
      <c r="BWS272" s="2329"/>
      <c r="BWT272" s="2329"/>
      <c r="BWU272" s="2329"/>
      <c r="BWV272" s="2329"/>
      <c r="BWW272" s="2329"/>
      <c r="BWX272" s="2329"/>
      <c r="BWY272" s="2329"/>
      <c r="BWZ272" s="2329"/>
      <c r="BXA272" s="2329"/>
      <c r="BXB272" s="2329"/>
      <c r="BXC272" s="2329"/>
      <c r="BXD272" s="2329"/>
      <c r="BXE272" s="2329"/>
      <c r="BXF272" s="2329"/>
      <c r="BXG272" s="2329"/>
      <c r="BXH272" s="2328"/>
      <c r="BXI272" s="2329"/>
      <c r="BXJ272" s="2329"/>
      <c r="BXK272" s="2329"/>
      <c r="BXL272" s="2329"/>
      <c r="BXM272" s="2329"/>
      <c r="BXN272" s="2329"/>
      <c r="BXO272" s="2329"/>
      <c r="BXP272" s="2329"/>
      <c r="BXQ272" s="2329"/>
      <c r="BXR272" s="2329"/>
      <c r="BXS272" s="2329"/>
      <c r="BXT272" s="2329"/>
      <c r="BXU272" s="2329"/>
      <c r="BXV272" s="2329"/>
      <c r="BXW272" s="2329"/>
      <c r="BXX272" s="2328"/>
      <c r="BXY272" s="2329"/>
      <c r="BXZ272" s="2329"/>
      <c r="BYA272" s="2329"/>
      <c r="BYB272" s="2329"/>
      <c r="BYC272" s="2329"/>
      <c r="BYD272" s="2329"/>
      <c r="BYE272" s="2329"/>
      <c r="BYF272" s="2329"/>
      <c r="BYG272" s="2329"/>
      <c r="BYH272" s="2329"/>
      <c r="BYI272" s="2329"/>
      <c r="BYJ272" s="2329"/>
      <c r="BYK272" s="2329"/>
      <c r="BYL272" s="2329"/>
      <c r="BYM272" s="2329"/>
      <c r="BYN272" s="2328"/>
      <c r="BYO272" s="2329"/>
      <c r="BYP272" s="2329"/>
      <c r="BYQ272" s="2329"/>
      <c r="BYR272" s="2329"/>
      <c r="BYS272" s="2329"/>
      <c r="BYT272" s="2329"/>
      <c r="BYU272" s="2329"/>
      <c r="BYV272" s="2329"/>
      <c r="BYW272" s="2329"/>
      <c r="BYX272" s="2329"/>
      <c r="BYY272" s="2329"/>
      <c r="BYZ272" s="2329"/>
      <c r="BZA272" s="2329"/>
      <c r="BZB272" s="2329"/>
      <c r="BZC272" s="2329"/>
      <c r="BZD272" s="2328"/>
      <c r="BZE272" s="2329"/>
      <c r="BZF272" s="2329"/>
      <c r="BZG272" s="2329"/>
      <c r="BZH272" s="2329"/>
      <c r="BZI272" s="2329"/>
      <c r="BZJ272" s="2329"/>
      <c r="BZK272" s="2329"/>
      <c r="BZL272" s="2329"/>
      <c r="BZM272" s="2329"/>
      <c r="BZN272" s="2329"/>
      <c r="BZO272" s="2329"/>
      <c r="BZP272" s="2329"/>
      <c r="BZQ272" s="2329"/>
      <c r="BZR272" s="2329"/>
      <c r="BZS272" s="2329"/>
      <c r="BZT272" s="2328"/>
      <c r="BZU272" s="2329"/>
      <c r="BZV272" s="2329"/>
      <c r="BZW272" s="2329"/>
      <c r="BZX272" s="2329"/>
      <c r="BZY272" s="2329"/>
      <c r="BZZ272" s="2329"/>
      <c r="CAA272" s="2329"/>
      <c r="CAB272" s="2329"/>
      <c r="CAC272" s="2329"/>
      <c r="CAD272" s="2329"/>
      <c r="CAE272" s="2329"/>
      <c r="CAF272" s="2329"/>
      <c r="CAG272" s="2329"/>
      <c r="CAH272" s="2329"/>
      <c r="CAI272" s="2329"/>
      <c r="CAJ272" s="2328"/>
      <c r="CAK272" s="2329"/>
      <c r="CAL272" s="2329"/>
      <c r="CAM272" s="2329"/>
      <c r="CAN272" s="2329"/>
      <c r="CAO272" s="2329"/>
      <c r="CAP272" s="2329"/>
      <c r="CAQ272" s="2329"/>
      <c r="CAR272" s="2329"/>
      <c r="CAS272" s="2329"/>
      <c r="CAT272" s="2329"/>
      <c r="CAU272" s="2329"/>
      <c r="CAV272" s="2329"/>
      <c r="CAW272" s="2329"/>
      <c r="CAX272" s="2329"/>
      <c r="CAY272" s="2329"/>
      <c r="CAZ272" s="2328"/>
      <c r="CBA272" s="2329"/>
      <c r="CBB272" s="2329"/>
      <c r="CBC272" s="2329"/>
      <c r="CBD272" s="2329"/>
      <c r="CBE272" s="2329"/>
      <c r="CBF272" s="2329"/>
      <c r="CBG272" s="2329"/>
      <c r="CBH272" s="2329"/>
      <c r="CBI272" s="2329"/>
      <c r="CBJ272" s="2329"/>
      <c r="CBK272" s="2329"/>
      <c r="CBL272" s="2329"/>
      <c r="CBM272" s="2329"/>
      <c r="CBN272" s="2329"/>
      <c r="CBO272" s="2329"/>
      <c r="CBP272" s="2328"/>
      <c r="CBQ272" s="2329"/>
      <c r="CBR272" s="2329"/>
      <c r="CBS272" s="2329"/>
      <c r="CBT272" s="2329"/>
      <c r="CBU272" s="2329"/>
      <c r="CBV272" s="2329"/>
      <c r="CBW272" s="2329"/>
      <c r="CBX272" s="2329"/>
      <c r="CBY272" s="2329"/>
      <c r="CBZ272" s="2329"/>
      <c r="CCA272" s="2329"/>
      <c r="CCB272" s="2329"/>
      <c r="CCC272" s="2329"/>
      <c r="CCD272" s="2329"/>
      <c r="CCE272" s="2329"/>
      <c r="CCF272" s="2328"/>
      <c r="CCG272" s="2329"/>
      <c r="CCH272" s="2329"/>
      <c r="CCI272" s="2329"/>
      <c r="CCJ272" s="2329"/>
      <c r="CCK272" s="2329"/>
      <c r="CCL272" s="2329"/>
      <c r="CCM272" s="2329"/>
      <c r="CCN272" s="2329"/>
      <c r="CCO272" s="2329"/>
      <c r="CCP272" s="2329"/>
      <c r="CCQ272" s="2329"/>
      <c r="CCR272" s="2329"/>
      <c r="CCS272" s="2329"/>
      <c r="CCT272" s="2329"/>
      <c r="CCU272" s="2329"/>
      <c r="CCV272" s="2328"/>
      <c r="CCW272" s="2329"/>
      <c r="CCX272" s="2329"/>
      <c r="CCY272" s="2329"/>
      <c r="CCZ272" s="2329"/>
      <c r="CDA272" s="2329"/>
      <c r="CDB272" s="2329"/>
      <c r="CDC272" s="2329"/>
      <c r="CDD272" s="2329"/>
      <c r="CDE272" s="2329"/>
      <c r="CDF272" s="2329"/>
      <c r="CDG272" s="2329"/>
      <c r="CDH272" s="2329"/>
      <c r="CDI272" s="2329"/>
      <c r="CDJ272" s="2329"/>
      <c r="CDK272" s="2329"/>
      <c r="CDL272" s="2328"/>
      <c r="CDM272" s="2329"/>
      <c r="CDN272" s="2329"/>
      <c r="CDO272" s="2329"/>
      <c r="CDP272" s="2329"/>
      <c r="CDQ272" s="2329"/>
      <c r="CDR272" s="2329"/>
      <c r="CDS272" s="2329"/>
      <c r="CDT272" s="2329"/>
      <c r="CDU272" s="2329"/>
      <c r="CDV272" s="2329"/>
      <c r="CDW272" s="2329"/>
      <c r="CDX272" s="2329"/>
      <c r="CDY272" s="2329"/>
      <c r="CDZ272" s="2329"/>
      <c r="CEA272" s="2329"/>
      <c r="CEB272" s="2328"/>
      <c r="CEC272" s="2329"/>
      <c r="CED272" s="2329"/>
      <c r="CEE272" s="2329"/>
      <c r="CEF272" s="2329"/>
      <c r="CEG272" s="2329"/>
      <c r="CEH272" s="2329"/>
      <c r="CEI272" s="2329"/>
      <c r="CEJ272" s="2329"/>
      <c r="CEK272" s="2329"/>
      <c r="CEL272" s="2329"/>
      <c r="CEM272" s="2329"/>
      <c r="CEN272" s="2329"/>
      <c r="CEO272" s="2329"/>
      <c r="CEP272" s="2329"/>
      <c r="CEQ272" s="2329"/>
      <c r="CER272" s="2328"/>
      <c r="CES272" s="2329"/>
      <c r="CET272" s="2329"/>
      <c r="CEU272" s="2329"/>
      <c r="CEV272" s="2329"/>
      <c r="CEW272" s="2329"/>
      <c r="CEX272" s="2329"/>
      <c r="CEY272" s="2329"/>
      <c r="CEZ272" s="2329"/>
      <c r="CFA272" s="2329"/>
      <c r="CFB272" s="2329"/>
      <c r="CFC272" s="2329"/>
      <c r="CFD272" s="2329"/>
      <c r="CFE272" s="2329"/>
      <c r="CFF272" s="2329"/>
      <c r="CFG272" s="2329"/>
      <c r="CFH272" s="2328"/>
      <c r="CFI272" s="2329"/>
      <c r="CFJ272" s="2329"/>
      <c r="CFK272" s="2329"/>
      <c r="CFL272" s="2329"/>
      <c r="CFM272" s="2329"/>
      <c r="CFN272" s="2329"/>
      <c r="CFO272" s="2329"/>
      <c r="CFP272" s="2329"/>
      <c r="CFQ272" s="2329"/>
      <c r="CFR272" s="2329"/>
      <c r="CFS272" s="2329"/>
      <c r="CFT272" s="2329"/>
      <c r="CFU272" s="2329"/>
      <c r="CFV272" s="2329"/>
      <c r="CFW272" s="2329"/>
      <c r="CFX272" s="2328"/>
      <c r="CFY272" s="2329"/>
      <c r="CFZ272" s="2329"/>
      <c r="CGA272" s="2329"/>
      <c r="CGB272" s="2329"/>
      <c r="CGC272" s="2329"/>
      <c r="CGD272" s="2329"/>
      <c r="CGE272" s="2329"/>
      <c r="CGF272" s="2329"/>
      <c r="CGG272" s="2329"/>
      <c r="CGH272" s="2329"/>
      <c r="CGI272" s="2329"/>
      <c r="CGJ272" s="2329"/>
      <c r="CGK272" s="2329"/>
      <c r="CGL272" s="2329"/>
      <c r="CGM272" s="2329"/>
      <c r="CGN272" s="2328"/>
      <c r="CGO272" s="2329"/>
      <c r="CGP272" s="2329"/>
      <c r="CGQ272" s="2329"/>
      <c r="CGR272" s="2329"/>
      <c r="CGS272" s="2329"/>
      <c r="CGT272" s="2329"/>
      <c r="CGU272" s="2329"/>
      <c r="CGV272" s="2329"/>
      <c r="CGW272" s="2329"/>
      <c r="CGX272" s="2329"/>
      <c r="CGY272" s="2329"/>
      <c r="CGZ272" s="2329"/>
      <c r="CHA272" s="2329"/>
      <c r="CHB272" s="2329"/>
      <c r="CHC272" s="2329"/>
      <c r="CHD272" s="2328"/>
      <c r="CHE272" s="2329"/>
      <c r="CHF272" s="2329"/>
      <c r="CHG272" s="2329"/>
      <c r="CHH272" s="2329"/>
      <c r="CHI272" s="2329"/>
      <c r="CHJ272" s="2329"/>
      <c r="CHK272" s="2329"/>
      <c r="CHL272" s="2329"/>
      <c r="CHM272" s="2329"/>
      <c r="CHN272" s="2329"/>
      <c r="CHO272" s="2329"/>
      <c r="CHP272" s="2329"/>
      <c r="CHQ272" s="2329"/>
      <c r="CHR272" s="2329"/>
      <c r="CHS272" s="2329"/>
      <c r="CHT272" s="2328"/>
      <c r="CHU272" s="2329"/>
      <c r="CHV272" s="2329"/>
      <c r="CHW272" s="2329"/>
      <c r="CHX272" s="2329"/>
      <c r="CHY272" s="2329"/>
      <c r="CHZ272" s="2329"/>
      <c r="CIA272" s="2329"/>
      <c r="CIB272" s="2329"/>
      <c r="CIC272" s="2329"/>
      <c r="CID272" s="2329"/>
      <c r="CIE272" s="2329"/>
      <c r="CIF272" s="2329"/>
      <c r="CIG272" s="2329"/>
      <c r="CIH272" s="2329"/>
      <c r="CII272" s="2329"/>
      <c r="CIJ272" s="2328"/>
      <c r="CIK272" s="2329"/>
      <c r="CIL272" s="2329"/>
      <c r="CIM272" s="2329"/>
      <c r="CIN272" s="2329"/>
      <c r="CIO272" s="2329"/>
      <c r="CIP272" s="2329"/>
      <c r="CIQ272" s="2329"/>
      <c r="CIR272" s="2329"/>
      <c r="CIS272" s="2329"/>
      <c r="CIT272" s="2329"/>
      <c r="CIU272" s="2329"/>
      <c r="CIV272" s="2329"/>
      <c r="CIW272" s="2329"/>
      <c r="CIX272" s="2329"/>
      <c r="CIY272" s="2329"/>
      <c r="CIZ272" s="2328"/>
      <c r="CJA272" s="2329"/>
      <c r="CJB272" s="2329"/>
      <c r="CJC272" s="2329"/>
      <c r="CJD272" s="2329"/>
      <c r="CJE272" s="2329"/>
      <c r="CJF272" s="2329"/>
      <c r="CJG272" s="2329"/>
      <c r="CJH272" s="2329"/>
      <c r="CJI272" s="2329"/>
      <c r="CJJ272" s="2329"/>
      <c r="CJK272" s="2329"/>
      <c r="CJL272" s="2329"/>
      <c r="CJM272" s="2329"/>
      <c r="CJN272" s="2329"/>
      <c r="CJO272" s="2329"/>
      <c r="CJP272" s="2328"/>
      <c r="CJQ272" s="2329"/>
      <c r="CJR272" s="2329"/>
      <c r="CJS272" s="2329"/>
      <c r="CJT272" s="2329"/>
      <c r="CJU272" s="2329"/>
      <c r="CJV272" s="2329"/>
      <c r="CJW272" s="2329"/>
      <c r="CJX272" s="2329"/>
      <c r="CJY272" s="2329"/>
      <c r="CJZ272" s="2329"/>
      <c r="CKA272" s="2329"/>
      <c r="CKB272" s="2329"/>
      <c r="CKC272" s="2329"/>
      <c r="CKD272" s="2329"/>
      <c r="CKE272" s="2329"/>
      <c r="CKF272" s="2328"/>
      <c r="CKG272" s="2329"/>
      <c r="CKH272" s="2329"/>
      <c r="CKI272" s="2329"/>
      <c r="CKJ272" s="2329"/>
      <c r="CKK272" s="2329"/>
      <c r="CKL272" s="2329"/>
      <c r="CKM272" s="2329"/>
      <c r="CKN272" s="2329"/>
      <c r="CKO272" s="2329"/>
      <c r="CKP272" s="2329"/>
      <c r="CKQ272" s="2329"/>
      <c r="CKR272" s="2329"/>
      <c r="CKS272" s="2329"/>
      <c r="CKT272" s="2329"/>
      <c r="CKU272" s="2329"/>
      <c r="CKV272" s="2328"/>
      <c r="CKW272" s="2329"/>
      <c r="CKX272" s="2329"/>
      <c r="CKY272" s="2329"/>
      <c r="CKZ272" s="2329"/>
      <c r="CLA272" s="2329"/>
      <c r="CLB272" s="2329"/>
      <c r="CLC272" s="2329"/>
      <c r="CLD272" s="2329"/>
      <c r="CLE272" s="2329"/>
      <c r="CLF272" s="2329"/>
      <c r="CLG272" s="2329"/>
      <c r="CLH272" s="2329"/>
      <c r="CLI272" s="2329"/>
      <c r="CLJ272" s="2329"/>
      <c r="CLK272" s="2329"/>
      <c r="CLL272" s="2328"/>
      <c r="CLM272" s="2329"/>
      <c r="CLN272" s="2329"/>
      <c r="CLO272" s="2329"/>
      <c r="CLP272" s="2329"/>
      <c r="CLQ272" s="2329"/>
      <c r="CLR272" s="2329"/>
      <c r="CLS272" s="2329"/>
      <c r="CLT272" s="2329"/>
      <c r="CLU272" s="2329"/>
      <c r="CLV272" s="2329"/>
      <c r="CLW272" s="2329"/>
      <c r="CLX272" s="2329"/>
      <c r="CLY272" s="2329"/>
      <c r="CLZ272" s="2329"/>
      <c r="CMA272" s="2329"/>
      <c r="CMB272" s="2328"/>
      <c r="CMC272" s="2329"/>
      <c r="CMD272" s="2329"/>
      <c r="CME272" s="2329"/>
      <c r="CMF272" s="2329"/>
      <c r="CMG272" s="2329"/>
      <c r="CMH272" s="2329"/>
      <c r="CMI272" s="2329"/>
      <c r="CMJ272" s="2329"/>
      <c r="CMK272" s="2329"/>
      <c r="CML272" s="2329"/>
      <c r="CMM272" s="2329"/>
      <c r="CMN272" s="2329"/>
      <c r="CMO272" s="2329"/>
      <c r="CMP272" s="2329"/>
      <c r="CMQ272" s="2329"/>
      <c r="CMR272" s="2328"/>
      <c r="CMS272" s="2329"/>
      <c r="CMT272" s="2329"/>
      <c r="CMU272" s="2329"/>
      <c r="CMV272" s="2329"/>
      <c r="CMW272" s="2329"/>
      <c r="CMX272" s="2329"/>
      <c r="CMY272" s="2329"/>
      <c r="CMZ272" s="2329"/>
      <c r="CNA272" s="2329"/>
      <c r="CNB272" s="2329"/>
      <c r="CNC272" s="2329"/>
      <c r="CND272" s="2329"/>
      <c r="CNE272" s="2329"/>
      <c r="CNF272" s="2329"/>
      <c r="CNG272" s="2329"/>
      <c r="CNH272" s="2328"/>
      <c r="CNI272" s="2329"/>
      <c r="CNJ272" s="2329"/>
      <c r="CNK272" s="2329"/>
      <c r="CNL272" s="2329"/>
      <c r="CNM272" s="2329"/>
      <c r="CNN272" s="2329"/>
      <c r="CNO272" s="2329"/>
      <c r="CNP272" s="2329"/>
      <c r="CNQ272" s="2329"/>
      <c r="CNR272" s="2329"/>
      <c r="CNS272" s="2329"/>
      <c r="CNT272" s="2329"/>
      <c r="CNU272" s="2329"/>
      <c r="CNV272" s="2329"/>
      <c r="CNW272" s="2329"/>
      <c r="CNX272" s="2328"/>
      <c r="CNY272" s="2329"/>
      <c r="CNZ272" s="2329"/>
      <c r="COA272" s="2329"/>
      <c r="COB272" s="2329"/>
      <c r="COC272" s="2329"/>
      <c r="COD272" s="2329"/>
      <c r="COE272" s="2329"/>
      <c r="COF272" s="2329"/>
      <c r="COG272" s="2329"/>
      <c r="COH272" s="2329"/>
      <c r="COI272" s="2329"/>
      <c r="COJ272" s="2329"/>
      <c r="COK272" s="2329"/>
      <c r="COL272" s="2329"/>
      <c r="COM272" s="2329"/>
      <c r="CON272" s="2328"/>
      <c r="COO272" s="2329"/>
      <c r="COP272" s="2329"/>
      <c r="COQ272" s="2329"/>
      <c r="COR272" s="2329"/>
      <c r="COS272" s="2329"/>
      <c r="COT272" s="2329"/>
      <c r="COU272" s="2329"/>
      <c r="COV272" s="2329"/>
      <c r="COW272" s="2329"/>
      <c r="COX272" s="2329"/>
      <c r="COY272" s="2329"/>
      <c r="COZ272" s="2329"/>
      <c r="CPA272" s="2329"/>
      <c r="CPB272" s="2329"/>
      <c r="CPC272" s="2329"/>
      <c r="CPD272" s="2328"/>
      <c r="CPE272" s="2329"/>
      <c r="CPF272" s="2329"/>
      <c r="CPG272" s="2329"/>
      <c r="CPH272" s="2329"/>
      <c r="CPI272" s="2329"/>
      <c r="CPJ272" s="2329"/>
      <c r="CPK272" s="2329"/>
      <c r="CPL272" s="2329"/>
      <c r="CPM272" s="2329"/>
      <c r="CPN272" s="2329"/>
      <c r="CPO272" s="2329"/>
      <c r="CPP272" s="2329"/>
      <c r="CPQ272" s="2329"/>
      <c r="CPR272" s="2329"/>
      <c r="CPS272" s="2329"/>
      <c r="CPT272" s="2328"/>
      <c r="CPU272" s="2329"/>
      <c r="CPV272" s="2329"/>
      <c r="CPW272" s="2329"/>
      <c r="CPX272" s="2329"/>
      <c r="CPY272" s="2329"/>
      <c r="CPZ272" s="2329"/>
      <c r="CQA272" s="2329"/>
      <c r="CQB272" s="2329"/>
      <c r="CQC272" s="2329"/>
      <c r="CQD272" s="2329"/>
      <c r="CQE272" s="2329"/>
      <c r="CQF272" s="2329"/>
      <c r="CQG272" s="2329"/>
      <c r="CQH272" s="2329"/>
      <c r="CQI272" s="2329"/>
      <c r="CQJ272" s="2328"/>
      <c r="CQK272" s="2329"/>
      <c r="CQL272" s="2329"/>
      <c r="CQM272" s="2329"/>
      <c r="CQN272" s="2329"/>
      <c r="CQO272" s="2329"/>
      <c r="CQP272" s="2329"/>
      <c r="CQQ272" s="2329"/>
      <c r="CQR272" s="2329"/>
      <c r="CQS272" s="2329"/>
      <c r="CQT272" s="2329"/>
      <c r="CQU272" s="2329"/>
      <c r="CQV272" s="2329"/>
      <c r="CQW272" s="2329"/>
      <c r="CQX272" s="2329"/>
      <c r="CQY272" s="2329"/>
      <c r="CQZ272" s="2328"/>
      <c r="CRA272" s="2329"/>
      <c r="CRB272" s="2329"/>
      <c r="CRC272" s="2329"/>
      <c r="CRD272" s="2329"/>
      <c r="CRE272" s="2329"/>
      <c r="CRF272" s="2329"/>
      <c r="CRG272" s="2329"/>
      <c r="CRH272" s="2329"/>
      <c r="CRI272" s="2329"/>
      <c r="CRJ272" s="2329"/>
      <c r="CRK272" s="2329"/>
      <c r="CRL272" s="2329"/>
      <c r="CRM272" s="2329"/>
      <c r="CRN272" s="2329"/>
      <c r="CRO272" s="2329"/>
      <c r="CRP272" s="2328"/>
      <c r="CRQ272" s="2329"/>
      <c r="CRR272" s="2329"/>
      <c r="CRS272" s="2329"/>
      <c r="CRT272" s="2329"/>
      <c r="CRU272" s="2329"/>
      <c r="CRV272" s="2329"/>
      <c r="CRW272" s="2329"/>
      <c r="CRX272" s="2329"/>
      <c r="CRY272" s="2329"/>
      <c r="CRZ272" s="2329"/>
      <c r="CSA272" s="2329"/>
      <c r="CSB272" s="2329"/>
      <c r="CSC272" s="2329"/>
      <c r="CSD272" s="2329"/>
      <c r="CSE272" s="2329"/>
      <c r="CSF272" s="2328"/>
      <c r="CSG272" s="2329"/>
      <c r="CSH272" s="2329"/>
      <c r="CSI272" s="2329"/>
      <c r="CSJ272" s="2329"/>
      <c r="CSK272" s="2329"/>
      <c r="CSL272" s="2329"/>
      <c r="CSM272" s="2329"/>
      <c r="CSN272" s="2329"/>
      <c r="CSO272" s="2329"/>
      <c r="CSP272" s="2329"/>
      <c r="CSQ272" s="2329"/>
      <c r="CSR272" s="2329"/>
      <c r="CSS272" s="2329"/>
      <c r="CST272" s="2329"/>
      <c r="CSU272" s="2329"/>
      <c r="CSV272" s="2328"/>
      <c r="CSW272" s="2329"/>
      <c r="CSX272" s="2329"/>
      <c r="CSY272" s="2329"/>
      <c r="CSZ272" s="2329"/>
      <c r="CTA272" s="2329"/>
      <c r="CTB272" s="2329"/>
      <c r="CTC272" s="2329"/>
      <c r="CTD272" s="2329"/>
      <c r="CTE272" s="2329"/>
      <c r="CTF272" s="2329"/>
      <c r="CTG272" s="2329"/>
      <c r="CTH272" s="2329"/>
      <c r="CTI272" s="2329"/>
      <c r="CTJ272" s="2329"/>
      <c r="CTK272" s="2329"/>
      <c r="CTL272" s="2328"/>
      <c r="CTM272" s="2329"/>
      <c r="CTN272" s="2329"/>
      <c r="CTO272" s="2329"/>
      <c r="CTP272" s="2329"/>
      <c r="CTQ272" s="2329"/>
      <c r="CTR272" s="2329"/>
      <c r="CTS272" s="2329"/>
      <c r="CTT272" s="2329"/>
      <c r="CTU272" s="2329"/>
      <c r="CTV272" s="2329"/>
      <c r="CTW272" s="2329"/>
      <c r="CTX272" s="2329"/>
      <c r="CTY272" s="2329"/>
      <c r="CTZ272" s="2329"/>
      <c r="CUA272" s="2329"/>
      <c r="CUB272" s="2328"/>
      <c r="CUC272" s="2329"/>
      <c r="CUD272" s="2329"/>
      <c r="CUE272" s="2329"/>
      <c r="CUF272" s="2329"/>
      <c r="CUG272" s="2329"/>
      <c r="CUH272" s="2329"/>
      <c r="CUI272" s="2329"/>
      <c r="CUJ272" s="2329"/>
      <c r="CUK272" s="2329"/>
      <c r="CUL272" s="2329"/>
      <c r="CUM272" s="2329"/>
      <c r="CUN272" s="2329"/>
      <c r="CUO272" s="2329"/>
      <c r="CUP272" s="2329"/>
      <c r="CUQ272" s="2329"/>
      <c r="CUR272" s="2328"/>
      <c r="CUS272" s="2329"/>
      <c r="CUT272" s="2329"/>
      <c r="CUU272" s="2329"/>
      <c r="CUV272" s="2329"/>
      <c r="CUW272" s="2329"/>
      <c r="CUX272" s="2329"/>
      <c r="CUY272" s="2329"/>
      <c r="CUZ272" s="2329"/>
      <c r="CVA272" s="2329"/>
      <c r="CVB272" s="2329"/>
      <c r="CVC272" s="2329"/>
      <c r="CVD272" s="2329"/>
      <c r="CVE272" s="2329"/>
      <c r="CVF272" s="2329"/>
      <c r="CVG272" s="2329"/>
      <c r="CVH272" s="2328"/>
      <c r="CVI272" s="2329"/>
      <c r="CVJ272" s="2329"/>
      <c r="CVK272" s="2329"/>
      <c r="CVL272" s="2329"/>
      <c r="CVM272" s="2329"/>
      <c r="CVN272" s="2329"/>
      <c r="CVO272" s="2329"/>
      <c r="CVP272" s="2329"/>
      <c r="CVQ272" s="2329"/>
      <c r="CVR272" s="2329"/>
      <c r="CVS272" s="2329"/>
      <c r="CVT272" s="2329"/>
      <c r="CVU272" s="2329"/>
      <c r="CVV272" s="2329"/>
      <c r="CVW272" s="2329"/>
      <c r="CVX272" s="2328"/>
      <c r="CVY272" s="2329"/>
      <c r="CVZ272" s="2329"/>
      <c r="CWA272" s="2329"/>
      <c r="CWB272" s="2329"/>
      <c r="CWC272" s="2329"/>
      <c r="CWD272" s="2329"/>
      <c r="CWE272" s="2329"/>
      <c r="CWF272" s="2329"/>
      <c r="CWG272" s="2329"/>
      <c r="CWH272" s="2329"/>
      <c r="CWI272" s="2329"/>
      <c r="CWJ272" s="2329"/>
      <c r="CWK272" s="2329"/>
      <c r="CWL272" s="2329"/>
      <c r="CWM272" s="2329"/>
      <c r="CWN272" s="2328"/>
      <c r="CWO272" s="2329"/>
      <c r="CWP272" s="2329"/>
      <c r="CWQ272" s="2329"/>
      <c r="CWR272" s="2329"/>
      <c r="CWS272" s="2329"/>
      <c r="CWT272" s="2329"/>
      <c r="CWU272" s="2329"/>
      <c r="CWV272" s="2329"/>
      <c r="CWW272" s="2329"/>
      <c r="CWX272" s="2329"/>
      <c r="CWY272" s="2329"/>
      <c r="CWZ272" s="2329"/>
      <c r="CXA272" s="2329"/>
      <c r="CXB272" s="2329"/>
      <c r="CXC272" s="2329"/>
      <c r="CXD272" s="2328"/>
      <c r="CXE272" s="2329"/>
      <c r="CXF272" s="2329"/>
      <c r="CXG272" s="2329"/>
      <c r="CXH272" s="2329"/>
      <c r="CXI272" s="2329"/>
      <c r="CXJ272" s="2329"/>
      <c r="CXK272" s="2329"/>
      <c r="CXL272" s="2329"/>
      <c r="CXM272" s="2329"/>
      <c r="CXN272" s="2329"/>
      <c r="CXO272" s="2329"/>
      <c r="CXP272" s="2329"/>
      <c r="CXQ272" s="2329"/>
      <c r="CXR272" s="2329"/>
      <c r="CXS272" s="2329"/>
      <c r="CXT272" s="2328"/>
      <c r="CXU272" s="2329"/>
      <c r="CXV272" s="2329"/>
      <c r="CXW272" s="2329"/>
      <c r="CXX272" s="2329"/>
      <c r="CXY272" s="2329"/>
      <c r="CXZ272" s="2329"/>
      <c r="CYA272" s="2329"/>
      <c r="CYB272" s="2329"/>
      <c r="CYC272" s="2329"/>
      <c r="CYD272" s="2329"/>
      <c r="CYE272" s="2329"/>
      <c r="CYF272" s="2329"/>
      <c r="CYG272" s="2329"/>
      <c r="CYH272" s="2329"/>
      <c r="CYI272" s="2329"/>
      <c r="CYJ272" s="2328"/>
      <c r="CYK272" s="2329"/>
      <c r="CYL272" s="2329"/>
      <c r="CYM272" s="2329"/>
      <c r="CYN272" s="2329"/>
      <c r="CYO272" s="2329"/>
      <c r="CYP272" s="2329"/>
      <c r="CYQ272" s="2329"/>
      <c r="CYR272" s="2329"/>
      <c r="CYS272" s="2329"/>
      <c r="CYT272" s="2329"/>
      <c r="CYU272" s="2329"/>
      <c r="CYV272" s="2329"/>
      <c r="CYW272" s="2329"/>
      <c r="CYX272" s="2329"/>
      <c r="CYY272" s="2329"/>
      <c r="CYZ272" s="2328"/>
      <c r="CZA272" s="2329"/>
      <c r="CZB272" s="2329"/>
      <c r="CZC272" s="2329"/>
      <c r="CZD272" s="2329"/>
      <c r="CZE272" s="2329"/>
      <c r="CZF272" s="2329"/>
      <c r="CZG272" s="2329"/>
      <c r="CZH272" s="2329"/>
      <c r="CZI272" s="2329"/>
      <c r="CZJ272" s="2329"/>
      <c r="CZK272" s="2329"/>
      <c r="CZL272" s="2329"/>
      <c r="CZM272" s="2329"/>
      <c r="CZN272" s="2329"/>
      <c r="CZO272" s="2329"/>
      <c r="CZP272" s="2328"/>
      <c r="CZQ272" s="2329"/>
      <c r="CZR272" s="2329"/>
      <c r="CZS272" s="2329"/>
      <c r="CZT272" s="2329"/>
      <c r="CZU272" s="2329"/>
      <c r="CZV272" s="2329"/>
      <c r="CZW272" s="2329"/>
      <c r="CZX272" s="2329"/>
      <c r="CZY272" s="2329"/>
      <c r="CZZ272" s="2329"/>
      <c r="DAA272" s="2329"/>
      <c r="DAB272" s="2329"/>
      <c r="DAC272" s="2329"/>
      <c r="DAD272" s="2329"/>
      <c r="DAE272" s="2329"/>
      <c r="DAF272" s="2328"/>
      <c r="DAG272" s="2329"/>
      <c r="DAH272" s="2329"/>
      <c r="DAI272" s="2329"/>
      <c r="DAJ272" s="2329"/>
      <c r="DAK272" s="2329"/>
      <c r="DAL272" s="2329"/>
      <c r="DAM272" s="2329"/>
      <c r="DAN272" s="2329"/>
      <c r="DAO272" s="2329"/>
      <c r="DAP272" s="2329"/>
      <c r="DAQ272" s="2329"/>
      <c r="DAR272" s="2329"/>
      <c r="DAS272" s="2329"/>
      <c r="DAT272" s="2329"/>
      <c r="DAU272" s="2329"/>
      <c r="DAV272" s="2328"/>
      <c r="DAW272" s="2329"/>
      <c r="DAX272" s="2329"/>
      <c r="DAY272" s="2329"/>
      <c r="DAZ272" s="2329"/>
      <c r="DBA272" s="2329"/>
      <c r="DBB272" s="2329"/>
      <c r="DBC272" s="2329"/>
      <c r="DBD272" s="2329"/>
      <c r="DBE272" s="2329"/>
      <c r="DBF272" s="2329"/>
      <c r="DBG272" s="2329"/>
      <c r="DBH272" s="2329"/>
      <c r="DBI272" s="2329"/>
      <c r="DBJ272" s="2329"/>
      <c r="DBK272" s="2329"/>
      <c r="DBL272" s="2328"/>
      <c r="DBM272" s="2329"/>
      <c r="DBN272" s="2329"/>
      <c r="DBO272" s="2329"/>
      <c r="DBP272" s="2329"/>
      <c r="DBQ272" s="2329"/>
      <c r="DBR272" s="2329"/>
      <c r="DBS272" s="2329"/>
      <c r="DBT272" s="2329"/>
      <c r="DBU272" s="2329"/>
      <c r="DBV272" s="2329"/>
      <c r="DBW272" s="2329"/>
      <c r="DBX272" s="2329"/>
      <c r="DBY272" s="2329"/>
      <c r="DBZ272" s="2329"/>
      <c r="DCA272" s="2329"/>
      <c r="DCB272" s="2328"/>
      <c r="DCC272" s="2329"/>
      <c r="DCD272" s="2329"/>
      <c r="DCE272" s="2329"/>
      <c r="DCF272" s="2329"/>
      <c r="DCG272" s="2329"/>
      <c r="DCH272" s="2329"/>
      <c r="DCI272" s="2329"/>
      <c r="DCJ272" s="2329"/>
      <c r="DCK272" s="2329"/>
      <c r="DCL272" s="2329"/>
      <c r="DCM272" s="2329"/>
      <c r="DCN272" s="2329"/>
      <c r="DCO272" s="2329"/>
      <c r="DCP272" s="2329"/>
      <c r="DCQ272" s="2329"/>
      <c r="DCR272" s="2328"/>
      <c r="DCS272" s="2329"/>
      <c r="DCT272" s="2329"/>
      <c r="DCU272" s="2329"/>
      <c r="DCV272" s="2329"/>
      <c r="DCW272" s="2329"/>
      <c r="DCX272" s="2329"/>
      <c r="DCY272" s="2329"/>
      <c r="DCZ272" s="2329"/>
      <c r="DDA272" s="2329"/>
      <c r="DDB272" s="2329"/>
      <c r="DDC272" s="2329"/>
      <c r="DDD272" s="2329"/>
      <c r="DDE272" s="2329"/>
      <c r="DDF272" s="2329"/>
      <c r="DDG272" s="2329"/>
      <c r="DDH272" s="2328"/>
      <c r="DDI272" s="2329"/>
      <c r="DDJ272" s="2329"/>
      <c r="DDK272" s="2329"/>
      <c r="DDL272" s="2329"/>
      <c r="DDM272" s="2329"/>
      <c r="DDN272" s="2329"/>
      <c r="DDO272" s="2329"/>
      <c r="DDP272" s="2329"/>
      <c r="DDQ272" s="2329"/>
      <c r="DDR272" s="2329"/>
      <c r="DDS272" s="2329"/>
      <c r="DDT272" s="2329"/>
      <c r="DDU272" s="2329"/>
      <c r="DDV272" s="2329"/>
      <c r="DDW272" s="2329"/>
      <c r="DDX272" s="2328"/>
      <c r="DDY272" s="2329"/>
      <c r="DDZ272" s="2329"/>
      <c r="DEA272" s="2329"/>
      <c r="DEB272" s="2329"/>
      <c r="DEC272" s="2329"/>
      <c r="DED272" s="2329"/>
      <c r="DEE272" s="2329"/>
      <c r="DEF272" s="2329"/>
      <c r="DEG272" s="2329"/>
      <c r="DEH272" s="2329"/>
      <c r="DEI272" s="2329"/>
      <c r="DEJ272" s="2329"/>
      <c r="DEK272" s="2329"/>
      <c r="DEL272" s="2329"/>
      <c r="DEM272" s="2329"/>
      <c r="DEN272" s="2328"/>
      <c r="DEO272" s="2329"/>
      <c r="DEP272" s="2329"/>
      <c r="DEQ272" s="2329"/>
      <c r="DER272" s="2329"/>
      <c r="DES272" s="2329"/>
      <c r="DET272" s="2329"/>
      <c r="DEU272" s="2329"/>
      <c r="DEV272" s="2329"/>
      <c r="DEW272" s="2329"/>
      <c r="DEX272" s="2329"/>
      <c r="DEY272" s="2329"/>
      <c r="DEZ272" s="2329"/>
      <c r="DFA272" s="2329"/>
      <c r="DFB272" s="2329"/>
      <c r="DFC272" s="2329"/>
      <c r="DFD272" s="2328"/>
      <c r="DFE272" s="2329"/>
      <c r="DFF272" s="2329"/>
      <c r="DFG272" s="2329"/>
      <c r="DFH272" s="2329"/>
      <c r="DFI272" s="2329"/>
      <c r="DFJ272" s="2329"/>
      <c r="DFK272" s="2329"/>
      <c r="DFL272" s="2329"/>
      <c r="DFM272" s="2329"/>
      <c r="DFN272" s="2329"/>
      <c r="DFO272" s="2329"/>
      <c r="DFP272" s="2329"/>
      <c r="DFQ272" s="2329"/>
      <c r="DFR272" s="2329"/>
      <c r="DFS272" s="2329"/>
      <c r="DFT272" s="2328"/>
      <c r="DFU272" s="2329"/>
      <c r="DFV272" s="2329"/>
      <c r="DFW272" s="2329"/>
      <c r="DFX272" s="2329"/>
      <c r="DFY272" s="2329"/>
      <c r="DFZ272" s="2329"/>
      <c r="DGA272" s="2329"/>
      <c r="DGB272" s="2329"/>
      <c r="DGC272" s="2329"/>
      <c r="DGD272" s="2329"/>
      <c r="DGE272" s="2329"/>
      <c r="DGF272" s="2329"/>
      <c r="DGG272" s="2329"/>
      <c r="DGH272" s="2329"/>
      <c r="DGI272" s="2329"/>
      <c r="DGJ272" s="2328"/>
      <c r="DGK272" s="2329"/>
      <c r="DGL272" s="2329"/>
      <c r="DGM272" s="2329"/>
      <c r="DGN272" s="2329"/>
      <c r="DGO272" s="2329"/>
      <c r="DGP272" s="2329"/>
      <c r="DGQ272" s="2329"/>
      <c r="DGR272" s="2329"/>
      <c r="DGS272" s="2329"/>
      <c r="DGT272" s="2329"/>
      <c r="DGU272" s="2329"/>
      <c r="DGV272" s="2329"/>
      <c r="DGW272" s="2329"/>
      <c r="DGX272" s="2329"/>
      <c r="DGY272" s="2329"/>
      <c r="DGZ272" s="2328"/>
      <c r="DHA272" s="2329"/>
      <c r="DHB272" s="2329"/>
      <c r="DHC272" s="2329"/>
      <c r="DHD272" s="2329"/>
      <c r="DHE272" s="2329"/>
      <c r="DHF272" s="2329"/>
      <c r="DHG272" s="2329"/>
      <c r="DHH272" s="2329"/>
      <c r="DHI272" s="2329"/>
      <c r="DHJ272" s="2329"/>
      <c r="DHK272" s="2329"/>
      <c r="DHL272" s="2329"/>
      <c r="DHM272" s="2329"/>
      <c r="DHN272" s="2329"/>
      <c r="DHO272" s="2329"/>
      <c r="DHP272" s="2328"/>
      <c r="DHQ272" s="2329"/>
      <c r="DHR272" s="2329"/>
      <c r="DHS272" s="2329"/>
      <c r="DHT272" s="2329"/>
      <c r="DHU272" s="2329"/>
      <c r="DHV272" s="2329"/>
      <c r="DHW272" s="2329"/>
      <c r="DHX272" s="2329"/>
      <c r="DHY272" s="2329"/>
      <c r="DHZ272" s="2329"/>
      <c r="DIA272" s="2329"/>
      <c r="DIB272" s="2329"/>
      <c r="DIC272" s="2329"/>
      <c r="DID272" s="2329"/>
      <c r="DIE272" s="2329"/>
      <c r="DIF272" s="2328"/>
      <c r="DIG272" s="2329"/>
      <c r="DIH272" s="2329"/>
      <c r="DII272" s="2329"/>
      <c r="DIJ272" s="2329"/>
      <c r="DIK272" s="2329"/>
      <c r="DIL272" s="2329"/>
      <c r="DIM272" s="2329"/>
      <c r="DIN272" s="2329"/>
      <c r="DIO272" s="2329"/>
      <c r="DIP272" s="2329"/>
      <c r="DIQ272" s="2329"/>
      <c r="DIR272" s="2329"/>
      <c r="DIS272" s="2329"/>
      <c r="DIT272" s="2329"/>
      <c r="DIU272" s="2329"/>
      <c r="DIV272" s="2328"/>
      <c r="DIW272" s="2329"/>
      <c r="DIX272" s="2329"/>
      <c r="DIY272" s="2329"/>
      <c r="DIZ272" s="2329"/>
      <c r="DJA272" s="2329"/>
      <c r="DJB272" s="2329"/>
      <c r="DJC272" s="2329"/>
      <c r="DJD272" s="2329"/>
      <c r="DJE272" s="2329"/>
      <c r="DJF272" s="2329"/>
      <c r="DJG272" s="2329"/>
      <c r="DJH272" s="2329"/>
      <c r="DJI272" s="2329"/>
      <c r="DJJ272" s="2329"/>
      <c r="DJK272" s="2329"/>
      <c r="DJL272" s="2328"/>
      <c r="DJM272" s="2329"/>
      <c r="DJN272" s="2329"/>
      <c r="DJO272" s="2329"/>
      <c r="DJP272" s="2329"/>
      <c r="DJQ272" s="2329"/>
      <c r="DJR272" s="2329"/>
      <c r="DJS272" s="2329"/>
      <c r="DJT272" s="2329"/>
      <c r="DJU272" s="2329"/>
      <c r="DJV272" s="2329"/>
      <c r="DJW272" s="2329"/>
      <c r="DJX272" s="2329"/>
      <c r="DJY272" s="2329"/>
      <c r="DJZ272" s="2329"/>
      <c r="DKA272" s="2329"/>
      <c r="DKB272" s="2328"/>
      <c r="DKC272" s="2329"/>
      <c r="DKD272" s="2329"/>
      <c r="DKE272" s="2329"/>
      <c r="DKF272" s="2329"/>
      <c r="DKG272" s="2329"/>
      <c r="DKH272" s="2329"/>
      <c r="DKI272" s="2329"/>
      <c r="DKJ272" s="2329"/>
      <c r="DKK272" s="2329"/>
      <c r="DKL272" s="2329"/>
      <c r="DKM272" s="2329"/>
      <c r="DKN272" s="2329"/>
      <c r="DKO272" s="2329"/>
      <c r="DKP272" s="2329"/>
      <c r="DKQ272" s="2329"/>
      <c r="DKR272" s="2328"/>
      <c r="DKS272" s="2329"/>
      <c r="DKT272" s="2329"/>
      <c r="DKU272" s="2329"/>
      <c r="DKV272" s="2329"/>
      <c r="DKW272" s="2329"/>
      <c r="DKX272" s="2329"/>
      <c r="DKY272" s="2329"/>
      <c r="DKZ272" s="2329"/>
      <c r="DLA272" s="2329"/>
      <c r="DLB272" s="2329"/>
      <c r="DLC272" s="2329"/>
      <c r="DLD272" s="2329"/>
      <c r="DLE272" s="2329"/>
      <c r="DLF272" s="2329"/>
      <c r="DLG272" s="2329"/>
      <c r="DLH272" s="2328"/>
      <c r="DLI272" s="2329"/>
      <c r="DLJ272" s="2329"/>
      <c r="DLK272" s="2329"/>
      <c r="DLL272" s="2329"/>
      <c r="DLM272" s="2329"/>
      <c r="DLN272" s="2329"/>
      <c r="DLO272" s="2329"/>
      <c r="DLP272" s="2329"/>
      <c r="DLQ272" s="2329"/>
      <c r="DLR272" s="2329"/>
      <c r="DLS272" s="2329"/>
      <c r="DLT272" s="2329"/>
      <c r="DLU272" s="2329"/>
      <c r="DLV272" s="2329"/>
      <c r="DLW272" s="2329"/>
      <c r="DLX272" s="2328"/>
      <c r="DLY272" s="2329"/>
      <c r="DLZ272" s="2329"/>
      <c r="DMA272" s="2329"/>
      <c r="DMB272" s="2329"/>
      <c r="DMC272" s="2329"/>
      <c r="DMD272" s="2329"/>
      <c r="DME272" s="2329"/>
      <c r="DMF272" s="2329"/>
      <c r="DMG272" s="2329"/>
      <c r="DMH272" s="2329"/>
      <c r="DMI272" s="2329"/>
      <c r="DMJ272" s="2329"/>
      <c r="DMK272" s="2329"/>
      <c r="DML272" s="2329"/>
      <c r="DMM272" s="2329"/>
      <c r="DMN272" s="2328"/>
      <c r="DMO272" s="2329"/>
      <c r="DMP272" s="2329"/>
      <c r="DMQ272" s="2329"/>
      <c r="DMR272" s="2329"/>
      <c r="DMS272" s="2329"/>
      <c r="DMT272" s="2329"/>
      <c r="DMU272" s="2329"/>
      <c r="DMV272" s="2329"/>
      <c r="DMW272" s="2329"/>
      <c r="DMX272" s="2329"/>
      <c r="DMY272" s="2329"/>
      <c r="DMZ272" s="2329"/>
      <c r="DNA272" s="2329"/>
      <c r="DNB272" s="2329"/>
      <c r="DNC272" s="2329"/>
      <c r="DND272" s="2328"/>
      <c r="DNE272" s="2329"/>
      <c r="DNF272" s="2329"/>
      <c r="DNG272" s="2329"/>
      <c r="DNH272" s="2329"/>
      <c r="DNI272" s="2329"/>
      <c r="DNJ272" s="2329"/>
      <c r="DNK272" s="2329"/>
      <c r="DNL272" s="2329"/>
      <c r="DNM272" s="2329"/>
      <c r="DNN272" s="2329"/>
      <c r="DNO272" s="2329"/>
      <c r="DNP272" s="2329"/>
      <c r="DNQ272" s="2329"/>
      <c r="DNR272" s="2329"/>
      <c r="DNS272" s="2329"/>
      <c r="DNT272" s="2328"/>
      <c r="DNU272" s="2329"/>
      <c r="DNV272" s="2329"/>
      <c r="DNW272" s="2329"/>
      <c r="DNX272" s="2329"/>
      <c r="DNY272" s="2329"/>
      <c r="DNZ272" s="2329"/>
      <c r="DOA272" s="2329"/>
      <c r="DOB272" s="2329"/>
      <c r="DOC272" s="2329"/>
      <c r="DOD272" s="2329"/>
      <c r="DOE272" s="2329"/>
      <c r="DOF272" s="2329"/>
      <c r="DOG272" s="2329"/>
      <c r="DOH272" s="2329"/>
      <c r="DOI272" s="2329"/>
      <c r="DOJ272" s="2328"/>
      <c r="DOK272" s="2329"/>
      <c r="DOL272" s="2329"/>
      <c r="DOM272" s="2329"/>
      <c r="DON272" s="2329"/>
      <c r="DOO272" s="2329"/>
      <c r="DOP272" s="2329"/>
      <c r="DOQ272" s="2329"/>
      <c r="DOR272" s="2329"/>
      <c r="DOS272" s="2329"/>
      <c r="DOT272" s="2329"/>
      <c r="DOU272" s="2329"/>
      <c r="DOV272" s="2329"/>
      <c r="DOW272" s="2329"/>
      <c r="DOX272" s="2329"/>
      <c r="DOY272" s="2329"/>
      <c r="DOZ272" s="2328"/>
      <c r="DPA272" s="2329"/>
      <c r="DPB272" s="2329"/>
      <c r="DPC272" s="2329"/>
      <c r="DPD272" s="2329"/>
      <c r="DPE272" s="2329"/>
      <c r="DPF272" s="2329"/>
      <c r="DPG272" s="2329"/>
      <c r="DPH272" s="2329"/>
      <c r="DPI272" s="2329"/>
      <c r="DPJ272" s="2329"/>
      <c r="DPK272" s="2329"/>
      <c r="DPL272" s="2329"/>
      <c r="DPM272" s="2329"/>
      <c r="DPN272" s="2329"/>
      <c r="DPO272" s="2329"/>
      <c r="DPP272" s="2328"/>
      <c r="DPQ272" s="2329"/>
      <c r="DPR272" s="2329"/>
      <c r="DPS272" s="2329"/>
      <c r="DPT272" s="2329"/>
      <c r="DPU272" s="2329"/>
      <c r="DPV272" s="2329"/>
      <c r="DPW272" s="2329"/>
      <c r="DPX272" s="2329"/>
      <c r="DPY272" s="2329"/>
      <c r="DPZ272" s="2329"/>
      <c r="DQA272" s="2329"/>
      <c r="DQB272" s="2329"/>
      <c r="DQC272" s="2329"/>
      <c r="DQD272" s="2329"/>
      <c r="DQE272" s="2329"/>
      <c r="DQF272" s="2328"/>
      <c r="DQG272" s="2329"/>
      <c r="DQH272" s="2329"/>
      <c r="DQI272" s="2329"/>
      <c r="DQJ272" s="2329"/>
      <c r="DQK272" s="2329"/>
      <c r="DQL272" s="2329"/>
      <c r="DQM272" s="2329"/>
      <c r="DQN272" s="2329"/>
      <c r="DQO272" s="2329"/>
      <c r="DQP272" s="2329"/>
      <c r="DQQ272" s="2329"/>
      <c r="DQR272" s="2329"/>
      <c r="DQS272" s="2329"/>
      <c r="DQT272" s="2329"/>
      <c r="DQU272" s="2329"/>
      <c r="DQV272" s="2328"/>
      <c r="DQW272" s="2329"/>
      <c r="DQX272" s="2329"/>
      <c r="DQY272" s="2329"/>
      <c r="DQZ272" s="2329"/>
      <c r="DRA272" s="2329"/>
      <c r="DRB272" s="2329"/>
      <c r="DRC272" s="2329"/>
      <c r="DRD272" s="2329"/>
      <c r="DRE272" s="2329"/>
      <c r="DRF272" s="2329"/>
      <c r="DRG272" s="2329"/>
      <c r="DRH272" s="2329"/>
      <c r="DRI272" s="2329"/>
      <c r="DRJ272" s="2329"/>
      <c r="DRK272" s="2329"/>
      <c r="DRL272" s="2328"/>
      <c r="DRM272" s="2329"/>
      <c r="DRN272" s="2329"/>
      <c r="DRO272" s="2329"/>
      <c r="DRP272" s="2329"/>
      <c r="DRQ272" s="2329"/>
      <c r="DRR272" s="2329"/>
      <c r="DRS272" s="2329"/>
      <c r="DRT272" s="2329"/>
      <c r="DRU272" s="2329"/>
      <c r="DRV272" s="2329"/>
      <c r="DRW272" s="2329"/>
      <c r="DRX272" s="2329"/>
      <c r="DRY272" s="2329"/>
      <c r="DRZ272" s="2329"/>
      <c r="DSA272" s="2329"/>
      <c r="DSB272" s="2328"/>
      <c r="DSC272" s="2329"/>
      <c r="DSD272" s="2329"/>
      <c r="DSE272" s="2329"/>
      <c r="DSF272" s="2329"/>
      <c r="DSG272" s="2329"/>
      <c r="DSH272" s="2329"/>
      <c r="DSI272" s="2329"/>
      <c r="DSJ272" s="2329"/>
      <c r="DSK272" s="2329"/>
      <c r="DSL272" s="2329"/>
      <c r="DSM272" s="2329"/>
      <c r="DSN272" s="2329"/>
      <c r="DSO272" s="2329"/>
      <c r="DSP272" s="2329"/>
      <c r="DSQ272" s="2329"/>
      <c r="DSR272" s="2328"/>
      <c r="DSS272" s="2329"/>
      <c r="DST272" s="2329"/>
      <c r="DSU272" s="2329"/>
      <c r="DSV272" s="2329"/>
      <c r="DSW272" s="2329"/>
      <c r="DSX272" s="2329"/>
      <c r="DSY272" s="2329"/>
      <c r="DSZ272" s="2329"/>
      <c r="DTA272" s="2329"/>
      <c r="DTB272" s="2329"/>
      <c r="DTC272" s="2329"/>
      <c r="DTD272" s="2329"/>
      <c r="DTE272" s="2329"/>
      <c r="DTF272" s="2329"/>
      <c r="DTG272" s="2329"/>
      <c r="DTH272" s="2328"/>
      <c r="DTI272" s="2329"/>
      <c r="DTJ272" s="2329"/>
      <c r="DTK272" s="2329"/>
      <c r="DTL272" s="2329"/>
      <c r="DTM272" s="2329"/>
      <c r="DTN272" s="2329"/>
      <c r="DTO272" s="2329"/>
      <c r="DTP272" s="2329"/>
      <c r="DTQ272" s="2329"/>
      <c r="DTR272" s="2329"/>
      <c r="DTS272" s="2329"/>
      <c r="DTT272" s="2329"/>
      <c r="DTU272" s="2329"/>
      <c r="DTV272" s="2329"/>
      <c r="DTW272" s="2329"/>
      <c r="DTX272" s="2328"/>
      <c r="DTY272" s="2329"/>
      <c r="DTZ272" s="2329"/>
      <c r="DUA272" s="2329"/>
      <c r="DUB272" s="2329"/>
      <c r="DUC272" s="2329"/>
      <c r="DUD272" s="2329"/>
      <c r="DUE272" s="2329"/>
      <c r="DUF272" s="2329"/>
      <c r="DUG272" s="2329"/>
      <c r="DUH272" s="2329"/>
      <c r="DUI272" s="2329"/>
      <c r="DUJ272" s="2329"/>
      <c r="DUK272" s="2329"/>
      <c r="DUL272" s="2329"/>
      <c r="DUM272" s="2329"/>
      <c r="DUN272" s="2328"/>
      <c r="DUO272" s="2329"/>
      <c r="DUP272" s="2329"/>
      <c r="DUQ272" s="2329"/>
      <c r="DUR272" s="2329"/>
      <c r="DUS272" s="2329"/>
      <c r="DUT272" s="2329"/>
      <c r="DUU272" s="2329"/>
      <c r="DUV272" s="2329"/>
      <c r="DUW272" s="2329"/>
      <c r="DUX272" s="2329"/>
      <c r="DUY272" s="2329"/>
      <c r="DUZ272" s="2329"/>
      <c r="DVA272" s="2329"/>
      <c r="DVB272" s="2329"/>
      <c r="DVC272" s="2329"/>
      <c r="DVD272" s="2328"/>
      <c r="DVE272" s="2329"/>
      <c r="DVF272" s="2329"/>
      <c r="DVG272" s="2329"/>
      <c r="DVH272" s="2329"/>
      <c r="DVI272" s="2329"/>
      <c r="DVJ272" s="2329"/>
      <c r="DVK272" s="2329"/>
      <c r="DVL272" s="2329"/>
      <c r="DVM272" s="2329"/>
      <c r="DVN272" s="2329"/>
      <c r="DVO272" s="2329"/>
      <c r="DVP272" s="2329"/>
      <c r="DVQ272" s="2329"/>
      <c r="DVR272" s="2329"/>
      <c r="DVS272" s="2329"/>
      <c r="DVT272" s="2328"/>
      <c r="DVU272" s="2329"/>
      <c r="DVV272" s="2329"/>
      <c r="DVW272" s="2329"/>
      <c r="DVX272" s="2329"/>
      <c r="DVY272" s="2329"/>
      <c r="DVZ272" s="2329"/>
      <c r="DWA272" s="2329"/>
      <c r="DWB272" s="2329"/>
      <c r="DWC272" s="2329"/>
      <c r="DWD272" s="2329"/>
      <c r="DWE272" s="2329"/>
      <c r="DWF272" s="2329"/>
      <c r="DWG272" s="2329"/>
      <c r="DWH272" s="2329"/>
      <c r="DWI272" s="2329"/>
      <c r="DWJ272" s="2328"/>
      <c r="DWK272" s="2329"/>
      <c r="DWL272" s="2329"/>
      <c r="DWM272" s="2329"/>
      <c r="DWN272" s="2329"/>
      <c r="DWO272" s="2329"/>
      <c r="DWP272" s="2329"/>
      <c r="DWQ272" s="2329"/>
      <c r="DWR272" s="2329"/>
      <c r="DWS272" s="2329"/>
      <c r="DWT272" s="2329"/>
      <c r="DWU272" s="2329"/>
      <c r="DWV272" s="2329"/>
      <c r="DWW272" s="2329"/>
      <c r="DWX272" s="2329"/>
      <c r="DWY272" s="2329"/>
      <c r="DWZ272" s="2328"/>
      <c r="DXA272" s="2329"/>
      <c r="DXB272" s="2329"/>
      <c r="DXC272" s="2329"/>
      <c r="DXD272" s="2329"/>
      <c r="DXE272" s="2329"/>
      <c r="DXF272" s="2329"/>
      <c r="DXG272" s="2329"/>
      <c r="DXH272" s="2329"/>
      <c r="DXI272" s="2329"/>
      <c r="DXJ272" s="2329"/>
      <c r="DXK272" s="2329"/>
      <c r="DXL272" s="2329"/>
      <c r="DXM272" s="2329"/>
      <c r="DXN272" s="2329"/>
      <c r="DXO272" s="2329"/>
      <c r="DXP272" s="2328"/>
      <c r="DXQ272" s="2329"/>
      <c r="DXR272" s="2329"/>
      <c r="DXS272" s="2329"/>
      <c r="DXT272" s="2329"/>
      <c r="DXU272" s="2329"/>
      <c r="DXV272" s="2329"/>
      <c r="DXW272" s="2329"/>
      <c r="DXX272" s="2329"/>
      <c r="DXY272" s="2329"/>
      <c r="DXZ272" s="2329"/>
      <c r="DYA272" s="2329"/>
      <c r="DYB272" s="2329"/>
      <c r="DYC272" s="2329"/>
      <c r="DYD272" s="2329"/>
      <c r="DYE272" s="2329"/>
      <c r="DYF272" s="2328"/>
      <c r="DYG272" s="2329"/>
      <c r="DYH272" s="2329"/>
      <c r="DYI272" s="2329"/>
      <c r="DYJ272" s="2329"/>
      <c r="DYK272" s="2329"/>
      <c r="DYL272" s="2329"/>
      <c r="DYM272" s="2329"/>
      <c r="DYN272" s="2329"/>
      <c r="DYO272" s="2329"/>
      <c r="DYP272" s="2329"/>
      <c r="DYQ272" s="2329"/>
      <c r="DYR272" s="2329"/>
      <c r="DYS272" s="2329"/>
      <c r="DYT272" s="2329"/>
      <c r="DYU272" s="2329"/>
      <c r="DYV272" s="2328"/>
      <c r="DYW272" s="2329"/>
      <c r="DYX272" s="2329"/>
      <c r="DYY272" s="2329"/>
      <c r="DYZ272" s="2329"/>
      <c r="DZA272" s="2329"/>
      <c r="DZB272" s="2329"/>
      <c r="DZC272" s="2329"/>
      <c r="DZD272" s="2329"/>
      <c r="DZE272" s="2329"/>
      <c r="DZF272" s="2329"/>
      <c r="DZG272" s="2329"/>
      <c r="DZH272" s="2329"/>
      <c r="DZI272" s="2329"/>
      <c r="DZJ272" s="2329"/>
      <c r="DZK272" s="2329"/>
      <c r="DZL272" s="2328"/>
      <c r="DZM272" s="2329"/>
      <c r="DZN272" s="2329"/>
      <c r="DZO272" s="2329"/>
      <c r="DZP272" s="2329"/>
      <c r="DZQ272" s="2329"/>
      <c r="DZR272" s="2329"/>
      <c r="DZS272" s="2329"/>
      <c r="DZT272" s="2329"/>
      <c r="DZU272" s="2329"/>
      <c r="DZV272" s="2329"/>
      <c r="DZW272" s="2329"/>
      <c r="DZX272" s="2329"/>
      <c r="DZY272" s="2329"/>
      <c r="DZZ272" s="2329"/>
      <c r="EAA272" s="2329"/>
      <c r="EAB272" s="2328"/>
      <c r="EAC272" s="2329"/>
      <c r="EAD272" s="2329"/>
      <c r="EAE272" s="2329"/>
      <c r="EAF272" s="2329"/>
      <c r="EAG272" s="2329"/>
      <c r="EAH272" s="2329"/>
      <c r="EAI272" s="2329"/>
      <c r="EAJ272" s="2329"/>
      <c r="EAK272" s="2329"/>
      <c r="EAL272" s="2329"/>
      <c r="EAM272" s="2329"/>
      <c r="EAN272" s="2329"/>
      <c r="EAO272" s="2329"/>
      <c r="EAP272" s="2329"/>
      <c r="EAQ272" s="2329"/>
      <c r="EAR272" s="2328"/>
      <c r="EAS272" s="2329"/>
      <c r="EAT272" s="2329"/>
      <c r="EAU272" s="2329"/>
      <c r="EAV272" s="2329"/>
      <c r="EAW272" s="2329"/>
      <c r="EAX272" s="2329"/>
      <c r="EAY272" s="2329"/>
      <c r="EAZ272" s="2329"/>
      <c r="EBA272" s="2329"/>
      <c r="EBB272" s="2329"/>
      <c r="EBC272" s="2329"/>
      <c r="EBD272" s="2329"/>
      <c r="EBE272" s="2329"/>
      <c r="EBF272" s="2329"/>
      <c r="EBG272" s="2329"/>
      <c r="EBH272" s="2328"/>
      <c r="EBI272" s="2329"/>
      <c r="EBJ272" s="2329"/>
      <c r="EBK272" s="2329"/>
      <c r="EBL272" s="2329"/>
      <c r="EBM272" s="2329"/>
      <c r="EBN272" s="2329"/>
      <c r="EBO272" s="2329"/>
      <c r="EBP272" s="2329"/>
      <c r="EBQ272" s="2329"/>
      <c r="EBR272" s="2329"/>
      <c r="EBS272" s="2329"/>
      <c r="EBT272" s="2329"/>
      <c r="EBU272" s="2329"/>
      <c r="EBV272" s="2329"/>
      <c r="EBW272" s="2329"/>
      <c r="EBX272" s="2328"/>
      <c r="EBY272" s="2329"/>
      <c r="EBZ272" s="2329"/>
      <c r="ECA272" s="2329"/>
      <c r="ECB272" s="2329"/>
      <c r="ECC272" s="2329"/>
      <c r="ECD272" s="2329"/>
      <c r="ECE272" s="2329"/>
      <c r="ECF272" s="2329"/>
      <c r="ECG272" s="2329"/>
      <c r="ECH272" s="2329"/>
      <c r="ECI272" s="2329"/>
      <c r="ECJ272" s="2329"/>
      <c r="ECK272" s="2329"/>
      <c r="ECL272" s="2329"/>
      <c r="ECM272" s="2329"/>
      <c r="ECN272" s="2328"/>
      <c r="ECO272" s="2329"/>
      <c r="ECP272" s="2329"/>
      <c r="ECQ272" s="2329"/>
      <c r="ECR272" s="2329"/>
      <c r="ECS272" s="2329"/>
      <c r="ECT272" s="2329"/>
      <c r="ECU272" s="2329"/>
      <c r="ECV272" s="2329"/>
      <c r="ECW272" s="2329"/>
      <c r="ECX272" s="2329"/>
      <c r="ECY272" s="2329"/>
      <c r="ECZ272" s="2329"/>
      <c r="EDA272" s="2329"/>
      <c r="EDB272" s="2329"/>
      <c r="EDC272" s="2329"/>
      <c r="EDD272" s="2328"/>
      <c r="EDE272" s="2329"/>
      <c r="EDF272" s="2329"/>
      <c r="EDG272" s="2329"/>
      <c r="EDH272" s="2329"/>
      <c r="EDI272" s="2329"/>
      <c r="EDJ272" s="2329"/>
      <c r="EDK272" s="2329"/>
      <c r="EDL272" s="2329"/>
      <c r="EDM272" s="2329"/>
      <c r="EDN272" s="2329"/>
      <c r="EDO272" s="2329"/>
      <c r="EDP272" s="2329"/>
      <c r="EDQ272" s="2329"/>
      <c r="EDR272" s="2329"/>
      <c r="EDS272" s="2329"/>
      <c r="EDT272" s="2328"/>
      <c r="EDU272" s="2329"/>
      <c r="EDV272" s="2329"/>
      <c r="EDW272" s="2329"/>
      <c r="EDX272" s="2329"/>
      <c r="EDY272" s="2329"/>
      <c r="EDZ272" s="2329"/>
      <c r="EEA272" s="2329"/>
      <c r="EEB272" s="2329"/>
      <c r="EEC272" s="2329"/>
      <c r="EED272" s="2329"/>
      <c r="EEE272" s="2329"/>
      <c r="EEF272" s="2329"/>
      <c r="EEG272" s="2329"/>
      <c r="EEH272" s="2329"/>
      <c r="EEI272" s="2329"/>
      <c r="EEJ272" s="2328"/>
      <c r="EEK272" s="2329"/>
      <c r="EEL272" s="2329"/>
      <c r="EEM272" s="2329"/>
      <c r="EEN272" s="2329"/>
      <c r="EEO272" s="2329"/>
      <c r="EEP272" s="2329"/>
      <c r="EEQ272" s="2329"/>
      <c r="EER272" s="2329"/>
      <c r="EES272" s="2329"/>
      <c r="EET272" s="2329"/>
      <c r="EEU272" s="2329"/>
      <c r="EEV272" s="2329"/>
      <c r="EEW272" s="2329"/>
      <c r="EEX272" s="2329"/>
      <c r="EEY272" s="2329"/>
      <c r="EEZ272" s="2328"/>
      <c r="EFA272" s="2329"/>
      <c r="EFB272" s="2329"/>
      <c r="EFC272" s="2329"/>
      <c r="EFD272" s="2329"/>
      <c r="EFE272" s="2329"/>
      <c r="EFF272" s="2329"/>
      <c r="EFG272" s="2329"/>
      <c r="EFH272" s="2329"/>
      <c r="EFI272" s="2329"/>
      <c r="EFJ272" s="2329"/>
      <c r="EFK272" s="2329"/>
      <c r="EFL272" s="2329"/>
      <c r="EFM272" s="2329"/>
      <c r="EFN272" s="2329"/>
      <c r="EFO272" s="2329"/>
      <c r="EFP272" s="2328"/>
      <c r="EFQ272" s="2329"/>
      <c r="EFR272" s="2329"/>
      <c r="EFS272" s="2329"/>
      <c r="EFT272" s="2329"/>
      <c r="EFU272" s="2329"/>
      <c r="EFV272" s="2329"/>
      <c r="EFW272" s="2329"/>
      <c r="EFX272" s="2329"/>
      <c r="EFY272" s="2329"/>
      <c r="EFZ272" s="2329"/>
      <c r="EGA272" s="2329"/>
      <c r="EGB272" s="2329"/>
      <c r="EGC272" s="2329"/>
      <c r="EGD272" s="2329"/>
      <c r="EGE272" s="2329"/>
      <c r="EGF272" s="2328"/>
      <c r="EGG272" s="2329"/>
      <c r="EGH272" s="2329"/>
      <c r="EGI272" s="2329"/>
      <c r="EGJ272" s="2329"/>
      <c r="EGK272" s="2329"/>
      <c r="EGL272" s="2329"/>
      <c r="EGM272" s="2329"/>
      <c r="EGN272" s="2329"/>
      <c r="EGO272" s="2329"/>
      <c r="EGP272" s="2329"/>
      <c r="EGQ272" s="2329"/>
      <c r="EGR272" s="2329"/>
      <c r="EGS272" s="2329"/>
      <c r="EGT272" s="2329"/>
      <c r="EGU272" s="2329"/>
      <c r="EGV272" s="2328"/>
      <c r="EGW272" s="2329"/>
      <c r="EGX272" s="2329"/>
      <c r="EGY272" s="2329"/>
      <c r="EGZ272" s="2329"/>
      <c r="EHA272" s="2329"/>
      <c r="EHB272" s="2329"/>
      <c r="EHC272" s="2329"/>
      <c r="EHD272" s="2329"/>
      <c r="EHE272" s="2329"/>
      <c r="EHF272" s="2329"/>
      <c r="EHG272" s="2329"/>
      <c r="EHH272" s="2329"/>
      <c r="EHI272" s="2329"/>
      <c r="EHJ272" s="2329"/>
      <c r="EHK272" s="2329"/>
      <c r="EHL272" s="2328"/>
      <c r="EHM272" s="2329"/>
      <c r="EHN272" s="2329"/>
      <c r="EHO272" s="2329"/>
      <c r="EHP272" s="2329"/>
      <c r="EHQ272" s="2329"/>
      <c r="EHR272" s="2329"/>
      <c r="EHS272" s="2329"/>
      <c r="EHT272" s="2329"/>
      <c r="EHU272" s="2329"/>
      <c r="EHV272" s="2329"/>
      <c r="EHW272" s="2329"/>
      <c r="EHX272" s="2329"/>
      <c r="EHY272" s="2329"/>
      <c r="EHZ272" s="2329"/>
      <c r="EIA272" s="2329"/>
      <c r="EIB272" s="2328"/>
      <c r="EIC272" s="2329"/>
      <c r="EID272" s="2329"/>
      <c r="EIE272" s="2329"/>
      <c r="EIF272" s="2329"/>
      <c r="EIG272" s="2329"/>
      <c r="EIH272" s="2329"/>
      <c r="EII272" s="2329"/>
      <c r="EIJ272" s="2329"/>
      <c r="EIK272" s="2329"/>
      <c r="EIL272" s="2329"/>
      <c r="EIM272" s="2329"/>
      <c r="EIN272" s="2329"/>
      <c r="EIO272" s="2329"/>
      <c r="EIP272" s="2329"/>
      <c r="EIQ272" s="2329"/>
      <c r="EIR272" s="2328"/>
      <c r="EIS272" s="2329"/>
      <c r="EIT272" s="2329"/>
      <c r="EIU272" s="2329"/>
      <c r="EIV272" s="2329"/>
      <c r="EIW272" s="2329"/>
      <c r="EIX272" s="2329"/>
      <c r="EIY272" s="2329"/>
      <c r="EIZ272" s="2329"/>
      <c r="EJA272" s="2329"/>
      <c r="EJB272" s="2329"/>
      <c r="EJC272" s="2329"/>
      <c r="EJD272" s="2329"/>
      <c r="EJE272" s="2329"/>
      <c r="EJF272" s="2329"/>
      <c r="EJG272" s="2329"/>
      <c r="EJH272" s="2328"/>
      <c r="EJI272" s="2329"/>
      <c r="EJJ272" s="2329"/>
      <c r="EJK272" s="2329"/>
      <c r="EJL272" s="2329"/>
      <c r="EJM272" s="2329"/>
      <c r="EJN272" s="2329"/>
      <c r="EJO272" s="2329"/>
      <c r="EJP272" s="2329"/>
      <c r="EJQ272" s="2329"/>
      <c r="EJR272" s="2329"/>
      <c r="EJS272" s="2329"/>
      <c r="EJT272" s="2329"/>
      <c r="EJU272" s="2329"/>
      <c r="EJV272" s="2329"/>
      <c r="EJW272" s="2329"/>
      <c r="EJX272" s="2328"/>
      <c r="EJY272" s="2329"/>
      <c r="EJZ272" s="2329"/>
      <c r="EKA272" s="2329"/>
      <c r="EKB272" s="2329"/>
      <c r="EKC272" s="2329"/>
      <c r="EKD272" s="2329"/>
      <c r="EKE272" s="2329"/>
      <c r="EKF272" s="2329"/>
      <c r="EKG272" s="2329"/>
      <c r="EKH272" s="2329"/>
      <c r="EKI272" s="2329"/>
      <c r="EKJ272" s="2329"/>
      <c r="EKK272" s="2329"/>
      <c r="EKL272" s="2329"/>
      <c r="EKM272" s="2329"/>
      <c r="EKN272" s="2328"/>
      <c r="EKO272" s="2329"/>
      <c r="EKP272" s="2329"/>
      <c r="EKQ272" s="2329"/>
      <c r="EKR272" s="2329"/>
      <c r="EKS272" s="2329"/>
      <c r="EKT272" s="2329"/>
      <c r="EKU272" s="2329"/>
      <c r="EKV272" s="2329"/>
      <c r="EKW272" s="2329"/>
      <c r="EKX272" s="2329"/>
      <c r="EKY272" s="2329"/>
      <c r="EKZ272" s="2329"/>
      <c r="ELA272" s="2329"/>
      <c r="ELB272" s="2329"/>
      <c r="ELC272" s="2329"/>
      <c r="ELD272" s="2328"/>
      <c r="ELE272" s="2329"/>
      <c r="ELF272" s="2329"/>
      <c r="ELG272" s="2329"/>
      <c r="ELH272" s="2329"/>
      <c r="ELI272" s="2329"/>
      <c r="ELJ272" s="2329"/>
      <c r="ELK272" s="2329"/>
      <c r="ELL272" s="2329"/>
      <c r="ELM272" s="2329"/>
      <c r="ELN272" s="2329"/>
      <c r="ELO272" s="2329"/>
      <c r="ELP272" s="2329"/>
      <c r="ELQ272" s="2329"/>
      <c r="ELR272" s="2329"/>
      <c r="ELS272" s="2329"/>
      <c r="ELT272" s="2328"/>
      <c r="ELU272" s="2329"/>
      <c r="ELV272" s="2329"/>
      <c r="ELW272" s="2329"/>
      <c r="ELX272" s="2329"/>
      <c r="ELY272" s="2329"/>
      <c r="ELZ272" s="2329"/>
      <c r="EMA272" s="2329"/>
      <c r="EMB272" s="2329"/>
      <c r="EMC272" s="2329"/>
      <c r="EMD272" s="2329"/>
      <c r="EME272" s="2329"/>
      <c r="EMF272" s="2329"/>
      <c r="EMG272" s="2329"/>
      <c r="EMH272" s="2329"/>
      <c r="EMI272" s="2329"/>
      <c r="EMJ272" s="2328"/>
      <c r="EMK272" s="2329"/>
      <c r="EML272" s="2329"/>
      <c r="EMM272" s="2329"/>
      <c r="EMN272" s="2329"/>
      <c r="EMO272" s="2329"/>
      <c r="EMP272" s="2329"/>
      <c r="EMQ272" s="2329"/>
      <c r="EMR272" s="2329"/>
      <c r="EMS272" s="2329"/>
      <c r="EMT272" s="2329"/>
      <c r="EMU272" s="2329"/>
      <c r="EMV272" s="2329"/>
      <c r="EMW272" s="2329"/>
      <c r="EMX272" s="2329"/>
      <c r="EMY272" s="2329"/>
      <c r="EMZ272" s="2328"/>
      <c r="ENA272" s="2329"/>
      <c r="ENB272" s="2329"/>
      <c r="ENC272" s="2329"/>
      <c r="END272" s="2329"/>
      <c r="ENE272" s="2329"/>
      <c r="ENF272" s="2329"/>
      <c r="ENG272" s="2329"/>
      <c r="ENH272" s="2329"/>
      <c r="ENI272" s="2329"/>
      <c r="ENJ272" s="2329"/>
      <c r="ENK272" s="2329"/>
      <c r="ENL272" s="2329"/>
      <c r="ENM272" s="2329"/>
      <c r="ENN272" s="2329"/>
      <c r="ENO272" s="2329"/>
      <c r="ENP272" s="2328"/>
      <c r="ENQ272" s="2329"/>
      <c r="ENR272" s="2329"/>
      <c r="ENS272" s="2329"/>
      <c r="ENT272" s="2329"/>
      <c r="ENU272" s="2329"/>
      <c r="ENV272" s="2329"/>
      <c r="ENW272" s="2329"/>
      <c r="ENX272" s="2329"/>
      <c r="ENY272" s="2329"/>
      <c r="ENZ272" s="2329"/>
      <c r="EOA272" s="2329"/>
      <c r="EOB272" s="2329"/>
      <c r="EOC272" s="2329"/>
      <c r="EOD272" s="2329"/>
      <c r="EOE272" s="2329"/>
      <c r="EOF272" s="2328"/>
      <c r="EOG272" s="2329"/>
      <c r="EOH272" s="2329"/>
      <c r="EOI272" s="2329"/>
      <c r="EOJ272" s="2329"/>
      <c r="EOK272" s="2329"/>
      <c r="EOL272" s="2329"/>
      <c r="EOM272" s="2329"/>
      <c r="EON272" s="2329"/>
      <c r="EOO272" s="2329"/>
      <c r="EOP272" s="2329"/>
      <c r="EOQ272" s="2329"/>
      <c r="EOR272" s="2329"/>
      <c r="EOS272" s="2329"/>
      <c r="EOT272" s="2329"/>
      <c r="EOU272" s="2329"/>
      <c r="EOV272" s="2328"/>
      <c r="EOW272" s="2329"/>
      <c r="EOX272" s="2329"/>
      <c r="EOY272" s="2329"/>
      <c r="EOZ272" s="2329"/>
      <c r="EPA272" s="2329"/>
      <c r="EPB272" s="2329"/>
      <c r="EPC272" s="2329"/>
      <c r="EPD272" s="2329"/>
      <c r="EPE272" s="2329"/>
      <c r="EPF272" s="2329"/>
      <c r="EPG272" s="2329"/>
      <c r="EPH272" s="2329"/>
      <c r="EPI272" s="2329"/>
      <c r="EPJ272" s="2329"/>
      <c r="EPK272" s="2329"/>
      <c r="EPL272" s="2328"/>
      <c r="EPM272" s="2329"/>
      <c r="EPN272" s="2329"/>
      <c r="EPO272" s="2329"/>
      <c r="EPP272" s="2329"/>
      <c r="EPQ272" s="2329"/>
      <c r="EPR272" s="2329"/>
      <c r="EPS272" s="2329"/>
      <c r="EPT272" s="2329"/>
      <c r="EPU272" s="2329"/>
      <c r="EPV272" s="2329"/>
      <c r="EPW272" s="2329"/>
      <c r="EPX272" s="2329"/>
      <c r="EPY272" s="2329"/>
      <c r="EPZ272" s="2329"/>
      <c r="EQA272" s="2329"/>
      <c r="EQB272" s="2328"/>
      <c r="EQC272" s="2329"/>
      <c r="EQD272" s="2329"/>
      <c r="EQE272" s="2329"/>
      <c r="EQF272" s="2329"/>
      <c r="EQG272" s="2329"/>
      <c r="EQH272" s="2329"/>
      <c r="EQI272" s="2329"/>
      <c r="EQJ272" s="2329"/>
      <c r="EQK272" s="2329"/>
      <c r="EQL272" s="2329"/>
      <c r="EQM272" s="2329"/>
      <c r="EQN272" s="2329"/>
      <c r="EQO272" s="2329"/>
      <c r="EQP272" s="2329"/>
      <c r="EQQ272" s="2329"/>
      <c r="EQR272" s="2328"/>
      <c r="EQS272" s="2329"/>
      <c r="EQT272" s="2329"/>
      <c r="EQU272" s="2329"/>
      <c r="EQV272" s="2329"/>
      <c r="EQW272" s="2329"/>
      <c r="EQX272" s="2329"/>
      <c r="EQY272" s="2329"/>
      <c r="EQZ272" s="2329"/>
      <c r="ERA272" s="2329"/>
      <c r="ERB272" s="2329"/>
      <c r="ERC272" s="2329"/>
      <c r="ERD272" s="2329"/>
      <c r="ERE272" s="2329"/>
      <c r="ERF272" s="2329"/>
      <c r="ERG272" s="2329"/>
      <c r="ERH272" s="2328"/>
      <c r="ERI272" s="2329"/>
      <c r="ERJ272" s="2329"/>
      <c r="ERK272" s="2329"/>
      <c r="ERL272" s="2329"/>
      <c r="ERM272" s="2329"/>
      <c r="ERN272" s="2329"/>
      <c r="ERO272" s="2329"/>
      <c r="ERP272" s="2329"/>
      <c r="ERQ272" s="2329"/>
      <c r="ERR272" s="2329"/>
      <c r="ERS272" s="2329"/>
      <c r="ERT272" s="2329"/>
      <c r="ERU272" s="2329"/>
      <c r="ERV272" s="2329"/>
      <c r="ERW272" s="2329"/>
      <c r="ERX272" s="2328"/>
      <c r="ERY272" s="2329"/>
      <c r="ERZ272" s="2329"/>
      <c r="ESA272" s="2329"/>
      <c r="ESB272" s="2329"/>
      <c r="ESC272" s="2329"/>
      <c r="ESD272" s="2329"/>
      <c r="ESE272" s="2329"/>
      <c r="ESF272" s="2329"/>
      <c r="ESG272" s="2329"/>
      <c r="ESH272" s="2329"/>
      <c r="ESI272" s="2329"/>
      <c r="ESJ272" s="2329"/>
      <c r="ESK272" s="2329"/>
      <c r="ESL272" s="2329"/>
      <c r="ESM272" s="2329"/>
      <c r="ESN272" s="2328"/>
      <c r="ESO272" s="2329"/>
      <c r="ESP272" s="2329"/>
      <c r="ESQ272" s="2329"/>
      <c r="ESR272" s="2329"/>
      <c r="ESS272" s="2329"/>
      <c r="EST272" s="2329"/>
      <c r="ESU272" s="2329"/>
      <c r="ESV272" s="2329"/>
      <c r="ESW272" s="2329"/>
      <c r="ESX272" s="2329"/>
      <c r="ESY272" s="2329"/>
      <c r="ESZ272" s="2329"/>
      <c r="ETA272" s="2329"/>
      <c r="ETB272" s="2329"/>
      <c r="ETC272" s="2329"/>
      <c r="ETD272" s="2328"/>
      <c r="ETE272" s="2329"/>
      <c r="ETF272" s="2329"/>
      <c r="ETG272" s="2329"/>
      <c r="ETH272" s="2329"/>
      <c r="ETI272" s="2329"/>
      <c r="ETJ272" s="2329"/>
      <c r="ETK272" s="2329"/>
      <c r="ETL272" s="2329"/>
      <c r="ETM272" s="2329"/>
      <c r="ETN272" s="2329"/>
      <c r="ETO272" s="2329"/>
      <c r="ETP272" s="2329"/>
      <c r="ETQ272" s="2329"/>
      <c r="ETR272" s="2329"/>
      <c r="ETS272" s="2329"/>
      <c r="ETT272" s="2328"/>
      <c r="ETU272" s="2329"/>
      <c r="ETV272" s="2329"/>
      <c r="ETW272" s="2329"/>
      <c r="ETX272" s="2329"/>
      <c r="ETY272" s="2329"/>
      <c r="ETZ272" s="2329"/>
      <c r="EUA272" s="2329"/>
      <c r="EUB272" s="2329"/>
      <c r="EUC272" s="2329"/>
      <c r="EUD272" s="2329"/>
      <c r="EUE272" s="2329"/>
      <c r="EUF272" s="2329"/>
      <c r="EUG272" s="2329"/>
      <c r="EUH272" s="2329"/>
      <c r="EUI272" s="2329"/>
      <c r="EUJ272" s="2328"/>
      <c r="EUK272" s="2329"/>
      <c r="EUL272" s="2329"/>
      <c r="EUM272" s="2329"/>
      <c r="EUN272" s="2329"/>
      <c r="EUO272" s="2329"/>
      <c r="EUP272" s="2329"/>
      <c r="EUQ272" s="2329"/>
      <c r="EUR272" s="2329"/>
      <c r="EUS272" s="2329"/>
      <c r="EUT272" s="2329"/>
      <c r="EUU272" s="2329"/>
      <c r="EUV272" s="2329"/>
      <c r="EUW272" s="2329"/>
      <c r="EUX272" s="2329"/>
      <c r="EUY272" s="2329"/>
      <c r="EUZ272" s="2328"/>
      <c r="EVA272" s="2329"/>
      <c r="EVB272" s="2329"/>
      <c r="EVC272" s="2329"/>
      <c r="EVD272" s="2329"/>
      <c r="EVE272" s="2329"/>
      <c r="EVF272" s="2329"/>
      <c r="EVG272" s="2329"/>
      <c r="EVH272" s="2329"/>
      <c r="EVI272" s="2329"/>
      <c r="EVJ272" s="2329"/>
      <c r="EVK272" s="2329"/>
      <c r="EVL272" s="2329"/>
      <c r="EVM272" s="2329"/>
      <c r="EVN272" s="2329"/>
      <c r="EVO272" s="2329"/>
      <c r="EVP272" s="2328"/>
      <c r="EVQ272" s="2329"/>
      <c r="EVR272" s="2329"/>
      <c r="EVS272" s="2329"/>
      <c r="EVT272" s="2329"/>
      <c r="EVU272" s="2329"/>
      <c r="EVV272" s="2329"/>
      <c r="EVW272" s="2329"/>
      <c r="EVX272" s="2329"/>
      <c r="EVY272" s="2329"/>
      <c r="EVZ272" s="2329"/>
      <c r="EWA272" s="2329"/>
      <c r="EWB272" s="2329"/>
      <c r="EWC272" s="2329"/>
      <c r="EWD272" s="2329"/>
      <c r="EWE272" s="2329"/>
      <c r="EWF272" s="2328"/>
      <c r="EWG272" s="2329"/>
      <c r="EWH272" s="2329"/>
      <c r="EWI272" s="2329"/>
      <c r="EWJ272" s="2329"/>
      <c r="EWK272" s="2329"/>
      <c r="EWL272" s="2329"/>
      <c r="EWM272" s="2329"/>
      <c r="EWN272" s="2329"/>
      <c r="EWO272" s="2329"/>
      <c r="EWP272" s="2329"/>
      <c r="EWQ272" s="2329"/>
      <c r="EWR272" s="2329"/>
      <c r="EWS272" s="2329"/>
      <c r="EWT272" s="2329"/>
      <c r="EWU272" s="2329"/>
      <c r="EWV272" s="2328"/>
      <c r="EWW272" s="2329"/>
      <c r="EWX272" s="2329"/>
      <c r="EWY272" s="2329"/>
      <c r="EWZ272" s="2329"/>
      <c r="EXA272" s="2329"/>
      <c r="EXB272" s="2329"/>
      <c r="EXC272" s="2329"/>
      <c r="EXD272" s="2329"/>
      <c r="EXE272" s="2329"/>
      <c r="EXF272" s="2329"/>
      <c r="EXG272" s="2329"/>
      <c r="EXH272" s="2329"/>
      <c r="EXI272" s="2329"/>
      <c r="EXJ272" s="2329"/>
      <c r="EXK272" s="2329"/>
      <c r="EXL272" s="2328"/>
      <c r="EXM272" s="2329"/>
      <c r="EXN272" s="2329"/>
      <c r="EXO272" s="2329"/>
      <c r="EXP272" s="2329"/>
      <c r="EXQ272" s="2329"/>
      <c r="EXR272" s="2329"/>
      <c r="EXS272" s="2329"/>
      <c r="EXT272" s="2329"/>
      <c r="EXU272" s="2329"/>
      <c r="EXV272" s="2329"/>
      <c r="EXW272" s="2329"/>
      <c r="EXX272" s="2329"/>
      <c r="EXY272" s="2329"/>
      <c r="EXZ272" s="2329"/>
      <c r="EYA272" s="2329"/>
      <c r="EYB272" s="2328"/>
      <c r="EYC272" s="2329"/>
      <c r="EYD272" s="2329"/>
      <c r="EYE272" s="2329"/>
      <c r="EYF272" s="2329"/>
      <c r="EYG272" s="2329"/>
      <c r="EYH272" s="2329"/>
      <c r="EYI272" s="2329"/>
      <c r="EYJ272" s="2329"/>
      <c r="EYK272" s="2329"/>
      <c r="EYL272" s="2329"/>
      <c r="EYM272" s="2329"/>
      <c r="EYN272" s="2329"/>
      <c r="EYO272" s="2329"/>
      <c r="EYP272" s="2329"/>
      <c r="EYQ272" s="2329"/>
      <c r="EYR272" s="2328"/>
      <c r="EYS272" s="2329"/>
      <c r="EYT272" s="2329"/>
      <c r="EYU272" s="2329"/>
      <c r="EYV272" s="2329"/>
      <c r="EYW272" s="2329"/>
      <c r="EYX272" s="2329"/>
      <c r="EYY272" s="2329"/>
      <c r="EYZ272" s="2329"/>
      <c r="EZA272" s="2329"/>
      <c r="EZB272" s="2329"/>
      <c r="EZC272" s="2329"/>
      <c r="EZD272" s="2329"/>
      <c r="EZE272" s="2329"/>
      <c r="EZF272" s="2329"/>
      <c r="EZG272" s="2329"/>
      <c r="EZH272" s="2328"/>
      <c r="EZI272" s="2329"/>
      <c r="EZJ272" s="2329"/>
      <c r="EZK272" s="2329"/>
      <c r="EZL272" s="2329"/>
      <c r="EZM272" s="2329"/>
      <c r="EZN272" s="2329"/>
      <c r="EZO272" s="2329"/>
      <c r="EZP272" s="2329"/>
      <c r="EZQ272" s="2329"/>
      <c r="EZR272" s="2329"/>
      <c r="EZS272" s="2329"/>
      <c r="EZT272" s="2329"/>
      <c r="EZU272" s="2329"/>
      <c r="EZV272" s="2329"/>
      <c r="EZW272" s="2329"/>
      <c r="EZX272" s="2328"/>
      <c r="EZY272" s="2329"/>
      <c r="EZZ272" s="2329"/>
      <c r="FAA272" s="2329"/>
      <c r="FAB272" s="2329"/>
      <c r="FAC272" s="2329"/>
      <c r="FAD272" s="2329"/>
      <c r="FAE272" s="2329"/>
      <c r="FAF272" s="2329"/>
      <c r="FAG272" s="2329"/>
      <c r="FAH272" s="2329"/>
      <c r="FAI272" s="2329"/>
      <c r="FAJ272" s="2329"/>
      <c r="FAK272" s="2329"/>
      <c r="FAL272" s="2329"/>
      <c r="FAM272" s="2329"/>
      <c r="FAN272" s="2328"/>
      <c r="FAO272" s="2329"/>
      <c r="FAP272" s="2329"/>
      <c r="FAQ272" s="2329"/>
      <c r="FAR272" s="2329"/>
      <c r="FAS272" s="2329"/>
      <c r="FAT272" s="2329"/>
      <c r="FAU272" s="2329"/>
      <c r="FAV272" s="2329"/>
      <c r="FAW272" s="2329"/>
      <c r="FAX272" s="2329"/>
      <c r="FAY272" s="2329"/>
      <c r="FAZ272" s="2329"/>
      <c r="FBA272" s="2329"/>
      <c r="FBB272" s="2329"/>
      <c r="FBC272" s="2329"/>
      <c r="FBD272" s="2328"/>
      <c r="FBE272" s="2329"/>
      <c r="FBF272" s="2329"/>
      <c r="FBG272" s="2329"/>
      <c r="FBH272" s="2329"/>
      <c r="FBI272" s="2329"/>
      <c r="FBJ272" s="2329"/>
      <c r="FBK272" s="2329"/>
      <c r="FBL272" s="2329"/>
      <c r="FBM272" s="2329"/>
      <c r="FBN272" s="2329"/>
      <c r="FBO272" s="2329"/>
      <c r="FBP272" s="2329"/>
      <c r="FBQ272" s="2329"/>
      <c r="FBR272" s="2329"/>
      <c r="FBS272" s="2329"/>
      <c r="FBT272" s="2328"/>
      <c r="FBU272" s="2329"/>
      <c r="FBV272" s="2329"/>
      <c r="FBW272" s="2329"/>
      <c r="FBX272" s="2329"/>
      <c r="FBY272" s="2329"/>
      <c r="FBZ272" s="2329"/>
      <c r="FCA272" s="2329"/>
      <c r="FCB272" s="2329"/>
      <c r="FCC272" s="2329"/>
      <c r="FCD272" s="2329"/>
      <c r="FCE272" s="2329"/>
      <c r="FCF272" s="2329"/>
      <c r="FCG272" s="2329"/>
      <c r="FCH272" s="2329"/>
      <c r="FCI272" s="2329"/>
      <c r="FCJ272" s="2328"/>
      <c r="FCK272" s="2329"/>
      <c r="FCL272" s="2329"/>
      <c r="FCM272" s="2329"/>
      <c r="FCN272" s="2329"/>
      <c r="FCO272" s="2329"/>
      <c r="FCP272" s="2329"/>
      <c r="FCQ272" s="2329"/>
      <c r="FCR272" s="2329"/>
      <c r="FCS272" s="2329"/>
      <c r="FCT272" s="2329"/>
      <c r="FCU272" s="2329"/>
      <c r="FCV272" s="2329"/>
      <c r="FCW272" s="2329"/>
      <c r="FCX272" s="2329"/>
      <c r="FCY272" s="2329"/>
      <c r="FCZ272" s="2328"/>
      <c r="FDA272" s="2329"/>
      <c r="FDB272" s="2329"/>
      <c r="FDC272" s="2329"/>
      <c r="FDD272" s="2329"/>
      <c r="FDE272" s="2329"/>
      <c r="FDF272" s="2329"/>
      <c r="FDG272" s="2329"/>
      <c r="FDH272" s="2329"/>
      <c r="FDI272" s="2329"/>
      <c r="FDJ272" s="2329"/>
      <c r="FDK272" s="2329"/>
      <c r="FDL272" s="2329"/>
      <c r="FDM272" s="2329"/>
      <c r="FDN272" s="2329"/>
      <c r="FDO272" s="2329"/>
      <c r="FDP272" s="2328"/>
      <c r="FDQ272" s="2329"/>
      <c r="FDR272" s="2329"/>
      <c r="FDS272" s="2329"/>
      <c r="FDT272" s="2329"/>
      <c r="FDU272" s="2329"/>
      <c r="FDV272" s="2329"/>
      <c r="FDW272" s="2329"/>
      <c r="FDX272" s="2329"/>
      <c r="FDY272" s="2329"/>
      <c r="FDZ272" s="2329"/>
      <c r="FEA272" s="2329"/>
      <c r="FEB272" s="2329"/>
      <c r="FEC272" s="2329"/>
      <c r="FED272" s="2329"/>
      <c r="FEE272" s="2329"/>
      <c r="FEF272" s="2328"/>
      <c r="FEG272" s="2329"/>
      <c r="FEH272" s="2329"/>
      <c r="FEI272" s="2329"/>
      <c r="FEJ272" s="2329"/>
      <c r="FEK272" s="2329"/>
      <c r="FEL272" s="2329"/>
      <c r="FEM272" s="2329"/>
      <c r="FEN272" s="2329"/>
      <c r="FEO272" s="2329"/>
      <c r="FEP272" s="2329"/>
      <c r="FEQ272" s="2329"/>
      <c r="FER272" s="2329"/>
      <c r="FES272" s="2329"/>
      <c r="FET272" s="2329"/>
      <c r="FEU272" s="2329"/>
      <c r="FEV272" s="2328"/>
      <c r="FEW272" s="2329"/>
      <c r="FEX272" s="2329"/>
      <c r="FEY272" s="2329"/>
      <c r="FEZ272" s="2329"/>
      <c r="FFA272" s="2329"/>
      <c r="FFB272" s="2329"/>
      <c r="FFC272" s="2329"/>
      <c r="FFD272" s="2329"/>
      <c r="FFE272" s="2329"/>
      <c r="FFF272" s="2329"/>
      <c r="FFG272" s="2329"/>
      <c r="FFH272" s="2329"/>
      <c r="FFI272" s="2329"/>
      <c r="FFJ272" s="2329"/>
      <c r="FFK272" s="2329"/>
      <c r="FFL272" s="2328"/>
      <c r="FFM272" s="2329"/>
      <c r="FFN272" s="2329"/>
      <c r="FFO272" s="2329"/>
      <c r="FFP272" s="2329"/>
      <c r="FFQ272" s="2329"/>
      <c r="FFR272" s="2329"/>
      <c r="FFS272" s="2329"/>
      <c r="FFT272" s="2329"/>
      <c r="FFU272" s="2329"/>
      <c r="FFV272" s="2329"/>
      <c r="FFW272" s="2329"/>
      <c r="FFX272" s="2329"/>
      <c r="FFY272" s="2329"/>
      <c r="FFZ272" s="2329"/>
      <c r="FGA272" s="2329"/>
      <c r="FGB272" s="2328"/>
      <c r="FGC272" s="2329"/>
      <c r="FGD272" s="2329"/>
      <c r="FGE272" s="2329"/>
      <c r="FGF272" s="2329"/>
      <c r="FGG272" s="2329"/>
      <c r="FGH272" s="2329"/>
      <c r="FGI272" s="2329"/>
      <c r="FGJ272" s="2329"/>
      <c r="FGK272" s="2329"/>
      <c r="FGL272" s="2329"/>
      <c r="FGM272" s="2329"/>
      <c r="FGN272" s="2329"/>
      <c r="FGO272" s="2329"/>
      <c r="FGP272" s="2329"/>
      <c r="FGQ272" s="2329"/>
      <c r="FGR272" s="2328"/>
      <c r="FGS272" s="2329"/>
      <c r="FGT272" s="2329"/>
      <c r="FGU272" s="2329"/>
      <c r="FGV272" s="2329"/>
      <c r="FGW272" s="2329"/>
      <c r="FGX272" s="2329"/>
      <c r="FGY272" s="2329"/>
      <c r="FGZ272" s="2329"/>
      <c r="FHA272" s="2329"/>
      <c r="FHB272" s="2329"/>
      <c r="FHC272" s="2329"/>
      <c r="FHD272" s="2329"/>
      <c r="FHE272" s="2329"/>
      <c r="FHF272" s="2329"/>
      <c r="FHG272" s="2329"/>
      <c r="FHH272" s="2328"/>
      <c r="FHI272" s="2329"/>
      <c r="FHJ272" s="2329"/>
      <c r="FHK272" s="2329"/>
      <c r="FHL272" s="2329"/>
      <c r="FHM272" s="2329"/>
      <c r="FHN272" s="2329"/>
      <c r="FHO272" s="2329"/>
      <c r="FHP272" s="2329"/>
      <c r="FHQ272" s="2329"/>
      <c r="FHR272" s="2329"/>
      <c r="FHS272" s="2329"/>
      <c r="FHT272" s="2329"/>
      <c r="FHU272" s="2329"/>
      <c r="FHV272" s="2329"/>
      <c r="FHW272" s="2329"/>
      <c r="FHX272" s="2328"/>
      <c r="FHY272" s="2329"/>
      <c r="FHZ272" s="2329"/>
      <c r="FIA272" s="2329"/>
      <c r="FIB272" s="2329"/>
      <c r="FIC272" s="2329"/>
      <c r="FID272" s="2329"/>
      <c r="FIE272" s="2329"/>
      <c r="FIF272" s="2329"/>
      <c r="FIG272" s="2329"/>
      <c r="FIH272" s="2329"/>
      <c r="FII272" s="2329"/>
      <c r="FIJ272" s="2329"/>
      <c r="FIK272" s="2329"/>
      <c r="FIL272" s="2329"/>
      <c r="FIM272" s="2329"/>
      <c r="FIN272" s="2328"/>
      <c r="FIO272" s="2329"/>
      <c r="FIP272" s="2329"/>
      <c r="FIQ272" s="2329"/>
      <c r="FIR272" s="2329"/>
      <c r="FIS272" s="2329"/>
      <c r="FIT272" s="2329"/>
      <c r="FIU272" s="2329"/>
      <c r="FIV272" s="2329"/>
      <c r="FIW272" s="2329"/>
      <c r="FIX272" s="2329"/>
      <c r="FIY272" s="2329"/>
      <c r="FIZ272" s="2329"/>
      <c r="FJA272" s="2329"/>
      <c r="FJB272" s="2329"/>
      <c r="FJC272" s="2329"/>
      <c r="FJD272" s="2328"/>
      <c r="FJE272" s="2329"/>
      <c r="FJF272" s="2329"/>
      <c r="FJG272" s="2329"/>
      <c r="FJH272" s="2329"/>
      <c r="FJI272" s="2329"/>
      <c r="FJJ272" s="2329"/>
      <c r="FJK272" s="2329"/>
      <c r="FJL272" s="2329"/>
      <c r="FJM272" s="2329"/>
      <c r="FJN272" s="2329"/>
      <c r="FJO272" s="2329"/>
      <c r="FJP272" s="2329"/>
      <c r="FJQ272" s="2329"/>
      <c r="FJR272" s="2329"/>
      <c r="FJS272" s="2329"/>
      <c r="FJT272" s="2328"/>
      <c r="FJU272" s="2329"/>
      <c r="FJV272" s="2329"/>
      <c r="FJW272" s="2329"/>
      <c r="FJX272" s="2329"/>
      <c r="FJY272" s="2329"/>
      <c r="FJZ272" s="2329"/>
      <c r="FKA272" s="2329"/>
      <c r="FKB272" s="2329"/>
      <c r="FKC272" s="2329"/>
      <c r="FKD272" s="2329"/>
      <c r="FKE272" s="2329"/>
      <c r="FKF272" s="2329"/>
      <c r="FKG272" s="2329"/>
      <c r="FKH272" s="2329"/>
      <c r="FKI272" s="2329"/>
      <c r="FKJ272" s="2328"/>
      <c r="FKK272" s="2329"/>
      <c r="FKL272" s="2329"/>
      <c r="FKM272" s="2329"/>
      <c r="FKN272" s="2329"/>
      <c r="FKO272" s="2329"/>
      <c r="FKP272" s="2329"/>
      <c r="FKQ272" s="2329"/>
      <c r="FKR272" s="2329"/>
      <c r="FKS272" s="2329"/>
      <c r="FKT272" s="2329"/>
      <c r="FKU272" s="2329"/>
      <c r="FKV272" s="2329"/>
      <c r="FKW272" s="2329"/>
      <c r="FKX272" s="2329"/>
      <c r="FKY272" s="2329"/>
      <c r="FKZ272" s="2328"/>
      <c r="FLA272" s="2329"/>
      <c r="FLB272" s="2329"/>
      <c r="FLC272" s="2329"/>
      <c r="FLD272" s="2329"/>
      <c r="FLE272" s="2329"/>
      <c r="FLF272" s="2329"/>
      <c r="FLG272" s="2329"/>
      <c r="FLH272" s="2329"/>
      <c r="FLI272" s="2329"/>
      <c r="FLJ272" s="2329"/>
      <c r="FLK272" s="2329"/>
      <c r="FLL272" s="2329"/>
      <c r="FLM272" s="2329"/>
      <c r="FLN272" s="2329"/>
      <c r="FLO272" s="2329"/>
      <c r="FLP272" s="2328"/>
      <c r="FLQ272" s="2329"/>
      <c r="FLR272" s="2329"/>
      <c r="FLS272" s="2329"/>
      <c r="FLT272" s="2329"/>
      <c r="FLU272" s="2329"/>
      <c r="FLV272" s="2329"/>
      <c r="FLW272" s="2329"/>
      <c r="FLX272" s="2329"/>
      <c r="FLY272" s="2329"/>
      <c r="FLZ272" s="2329"/>
      <c r="FMA272" s="2329"/>
      <c r="FMB272" s="2329"/>
      <c r="FMC272" s="2329"/>
      <c r="FMD272" s="2329"/>
      <c r="FME272" s="2329"/>
      <c r="FMF272" s="2328"/>
      <c r="FMG272" s="2329"/>
      <c r="FMH272" s="2329"/>
      <c r="FMI272" s="2329"/>
      <c r="FMJ272" s="2329"/>
      <c r="FMK272" s="2329"/>
      <c r="FML272" s="2329"/>
      <c r="FMM272" s="2329"/>
      <c r="FMN272" s="2329"/>
      <c r="FMO272" s="2329"/>
      <c r="FMP272" s="2329"/>
      <c r="FMQ272" s="2329"/>
      <c r="FMR272" s="2329"/>
      <c r="FMS272" s="2329"/>
      <c r="FMT272" s="2329"/>
      <c r="FMU272" s="2329"/>
      <c r="FMV272" s="2328"/>
      <c r="FMW272" s="2329"/>
      <c r="FMX272" s="2329"/>
      <c r="FMY272" s="2329"/>
      <c r="FMZ272" s="2329"/>
      <c r="FNA272" s="2329"/>
      <c r="FNB272" s="2329"/>
      <c r="FNC272" s="2329"/>
      <c r="FND272" s="2329"/>
      <c r="FNE272" s="2329"/>
      <c r="FNF272" s="2329"/>
      <c r="FNG272" s="2329"/>
      <c r="FNH272" s="2329"/>
      <c r="FNI272" s="2329"/>
      <c r="FNJ272" s="2329"/>
      <c r="FNK272" s="2329"/>
      <c r="FNL272" s="2328"/>
      <c r="FNM272" s="2329"/>
      <c r="FNN272" s="2329"/>
      <c r="FNO272" s="2329"/>
      <c r="FNP272" s="2329"/>
      <c r="FNQ272" s="2329"/>
      <c r="FNR272" s="2329"/>
      <c r="FNS272" s="2329"/>
      <c r="FNT272" s="2329"/>
      <c r="FNU272" s="2329"/>
      <c r="FNV272" s="2329"/>
      <c r="FNW272" s="2329"/>
      <c r="FNX272" s="2329"/>
      <c r="FNY272" s="2329"/>
      <c r="FNZ272" s="2329"/>
      <c r="FOA272" s="2329"/>
      <c r="FOB272" s="2328"/>
      <c r="FOC272" s="2329"/>
      <c r="FOD272" s="2329"/>
      <c r="FOE272" s="2329"/>
      <c r="FOF272" s="2329"/>
      <c r="FOG272" s="2329"/>
      <c r="FOH272" s="2329"/>
      <c r="FOI272" s="2329"/>
      <c r="FOJ272" s="2329"/>
      <c r="FOK272" s="2329"/>
      <c r="FOL272" s="2329"/>
      <c r="FOM272" s="2329"/>
      <c r="FON272" s="2329"/>
      <c r="FOO272" s="2329"/>
      <c r="FOP272" s="2329"/>
      <c r="FOQ272" s="2329"/>
      <c r="FOR272" s="2328"/>
      <c r="FOS272" s="2329"/>
      <c r="FOT272" s="2329"/>
      <c r="FOU272" s="2329"/>
      <c r="FOV272" s="2329"/>
      <c r="FOW272" s="2329"/>
      <c r="FOX272" s="2329"/>
      <c r="FOY272" s="2329"/>
      <c r="FOZ272" s="2329"/>
      <c r="FPA272" s="2329"/>
      <c r="FPB272" s="2329"/>
      <c r="FPC272" s="2329"/>
      <c r="FPD272" s="2329"/>
      <c r="FPE272" s="2329"/>
      <c r="FPF272" s="2329"/>
      <c r="FPG272" s="2329"/>
      <c r="FPH272" s="2328"/>
      <c r="FPI272" s="2329"/>
      <c r="FPJ272" s="2329"/>
      <c r="FPK272" s="2329"/>
      <c r="FPL272" s="2329"/>
      <c r="FPM272" s="2329"/>
      <c r="FPN272" s="2329"/>
      <c r="FPO272" s="2329"/>
      <c r="FPP272" s="2329"/>
      <c r="FPQ272" s="2329"/>
      <c r="FPR272" s="2329"/>
      <c r="FPS272" s="2329"/>
      <c r="FPT272" s="2329"/>
      <c r="FPU272" s="2329"/>
      <c r="FPV272" s="2329"/>
      <c r="FPW272" s="2329"/>
      <c r="FPX272" s="2328"/>
      <c r="FPY272" s="2329"/>
      <c r="FPZ272" s="2329"/>
      <c r="FQA272" s="2329"/>
      <c r="FQB272" s="2329"/>
      <c r="FQC272" s="2329"/>
      <c r="FQD272" s="2329"/>
      <c r="FQE272" s="2329"/>
      <c r="FQF272" s="2329"/>
      <c r="FQG272" s="2329"/>
      <c r="FQH272" s="2329"/>
      <c r="FQI272" s="2329"/>
      <c r="FQJ272" s="2329"/>
      <c r="FQK272" s="2329"/>
      <c r="FQL272" s="2329"/>
      <c r="FQM272" s="2329"/>
      <c r="FQN272" s="2328"/>
      <c r="FQO272" s="2329"/>
      <c r="FQP272" s="2329"/>
      <c r="FQQ272" s="2329"/>
      <c r="FQR272" s="2329"/>
      <c r="FQS272" s="2329"/>
      <c r="FQT272" s="2329"/>
      <c r="FQU272" s="2329"/>
      <c r="FQV272" s="2329"/>
      <c r="FQW272" s="2329"/>
      <c r="FQX272" s="2329"/>
      <c r="FQY272" s="2329"/>
      <c r="FQZ272" s="2329"/>
      <c r="FRA272" s="2329"/>
      <c r="FRB272" s="2329"/>
      <c r="FRC272" s="2329"/>
      <c r="FRD272" s="2328"/>
      <c r="FRE272" s="2329"/>
      <c r="FRF272" s="2329"/>
      <c r="FRG272" s="2329"/>
      <c r="FRH272" s="2329"/>
      <c r="FRI272" s="2329"/>
      <c r="FRJ272" s="2329"/>
      <c r="FRK272" s="2329"/>
      <c r="FRL272" s="2329"/>
      <c r="FRM272" s="2329"/>
      <c r="FRN272" s="2329"/>
      <c r="FRO272" s="2329"/>
      <c r="FRP272" s="2329"/>
      <c r="FRQ272" s="2329"/>
      <c r="FRR272" s="2329"/>
      <c r="FRS272" s="2329"/>
      <c r="FRT272" s="2328"/>
      <c r="FRU272" s="2329"/>
      <c r="FRV272" s="2329"/>
      <c r="FRW272" s="2329"/>
      <c r="FRX272" s="2329"/>
      <c r="FRY272" s="2329"/>
      <c r="FRZ272" s="2329"/>
      <c r="FSA272" s="2329"/>
      <c r="FSB272" s="2329"/>
      <c r="FSC272" s="2329"/>
      <c r="FSD272" s="2329"/>
      <c r="FSE272" s="2329"/>
      <c r="FSF272" s="2329"/>
      <c r="FSG272" s="2329"/>
      <c r="FSH272" s="2329"/>
      <c r="FSI272" s="2329"/>
      <c r="FSJ272" s="2328"/>
      <c r="FSK272" s="2329"/>
      <c r="FSL272" s="2329"/>
      <c r="FSM272" s="2329"/>
      <c r="FSN272" s="2329"/>
      <c r="FSO272" s="2329"/>
      <c r="FSP272" s="2329"/>
      <c r="FSQ272" s="2329"/>
      <c r="FSR272" s="2329"/>
      <c r="FSS272" s="2329"/>
      <c r="FST272" s="2329"/>
      <c r="FSU272" s="2329"/>
      <c r="FSV272" s="2329"/>
      <c r="FSW272" s="2329"/>
      <c r="FSX272" s="2329"/>
      <c r="FSY272" s="2329"/>
      <c r="FSZ272" s="2328"/>
      <c r="FTA272" s="2329"/>
      <c r="FTB272" s="2329"/>
      <c r="FTC272" s="2329"/>
      <c r="FTD272" s="2329"/>
      <c r="FTE272" s="2329"/>
      <c r="FTF272" s="2329"/>
      <c r="FTG272" s="2329"/>
      <c r="FTH272" s="2329"/>
      <c r="FTI272" s="2329"/>
      <c r="FTJ272" s="2329"/>
      <c r="FTK272" s="2329"/>
      <c r="FTL272" s="2329"/>
      <c r="FTM272" s="2329"/>
      <c r="FTN272" s="2329"/>
      <c r="FTO272" s="2329"/>
      <c r="FTP272" s="2328"/>
      <c r="FTQ272" s="2329"/>
      <c r="FTR272" s="2329"/>
      <c r="FTS272" s="2329"/>
      <c r="FTT272" s="2329"/>
      <c r="FTU272" s="2329"/>
      <c r="FTV272" s="2329"/>
      <c r="FTW272" s="2329"/>
      <c r="FTX272" s="2329"/>
      <c r="FTY272" s="2329"/>
      <c r="FTZ272" s="2329"/>
      <c r="FUA272" s="2329"/>
      <c r="FUB272" s="2329"/>
      <c r="FUC272" s="2329"/>
      <c r="FUD272" s="2329"/>
      <c r="FUE272" s="2329"/>
      <c r="FUF272" s="2328"/>
      <c r="FUG272" s="2329"/>
      <c r="FUH272" s="2329"/>
      <c r="FUI272" s="2329"/>
      <c r="FUJ272" s="2329"/>
      <c r="FUK272" s="2329"/>
      <c r="FUL272" s="2329"/>
      <c r="FUM272" s="2329"/>
      <c r="FUN272" s="2329"/>
      <c r="FUO272" s="2329"/>
      <c r="FUP272" s="2329"/>
      <c r="FUQ272" s="2329"/>
      <c r="FUR272" s="2329"/>
      <c r="FUS272" s="2329"/>
      <c r="FUT272" s="2329"/>
      <c r="FUU272" s="2329"/>
      <c r="FUV272" s="2328"/>
      <c r="FUW272" s="2329"/>
      <c r="FUX272" s="2329"/>
      <c r="FUY272" s="2329"/>
      <c r="FUZ272" s="2329"/>
      <c r="FVA272" s="2329"/>
      <c r="FVB272" s="2329"/>
      <c r="FVC272" s="2329"/>
      <c r="FVD272" s="2329"/>
      <c r="FVE272" s="2329"/>
      <c r="FVF272" s="2329"/>
      <c r="FVG272" s="2329"/>
      <c r="FVH272" s="2329"/>
      <c r="FVI272" s="2329"/>
      <c r="FVJ272" s="2329"/>
      <c r="FVK272" s="2329"/>
      <c r="FVL272" s="2328"/>
      <c r="FVM272" s="2329"/>
      <c r="FVN272" s="2329"/>
      <c r="FVO272" s="2329"/>
      <c r="FVP272" s="2329"/>
      <c r="FVQ272" s="2329"/>
      <c r="FVR272" s="2329"/>
      <c r="FVS272" s="2329"/>
      <c r="FVT272" s="2329"/>
      <c r="FVU272" s="2329"/>
      <c r="FVV272" s="2329"/>
      <c r="FVW272" s="2329"/>
      <c r="FVX272" s="2329"/>
      <c r="FVY272" s="2329"/>
      <c r="FVZ272" s="2329"/>
      <c r="FWA272" s="2329"/>
      <c r="FWB272" s="2328"/>
      <c r="FWC272" s="2329"/>
      <c r="FWD272" s="2329"/>
      <c r="FWE272" s="2329"/>
      <c r="FWF272" s="2329"/>
      <c r="FWG272" s="2329"/>
      <c r="FWH272" s="2329"/>
      <c r="FWI272" s="2329"/>
      <c r="FWJ272" s="2329"/>
      <c r="FWK272" s="2329"/>
      <c r="FWL272" s="2329"/>
      <c r="FWM272" s="2329"/>
      <c r="FWN272" s="2329"/>
      <c r="FWO272" s="2329"/>
      <c r="FWP272" s="2329"/>
      <c r="FWQ272" s="2329"/>
      <c r="FWR272" s="2328"/>
      <c r="FWS272" s="2329"/>
      <c r="FWT272" s="2329"/>
      <c r="FWU272" s="2329"/>
      <c r="FWV272" s="2329"/>
      <c r="FWW272" s="2329"/>
      <c r="FWX272" s="2329"/>
      <c r="FWY272" s="2329"/>
      <c r="FWZ272" s="2329"/>
      <c r="FXA272" s="2329"/>
      <c r="FXB272" s="2329"/>
      <c r="FXC272" s="2329"/>
      <c r="FXD272" s="2329"/>
      <c r="FXE272" s="2329"/>
      <c r="FXF272" s="2329"/>
      <c r="FXG272" s="2329"/>
      <c r="FXH272" s="2328"/>
      <c r="FXI272" s="2329"/>
      <c r="FXJ272" s="2329"/>
      <c r="FXK272" s="2329"/>
      <c r="FXL272" s="2329"/>
      <c r="FXM272" s="2329"/>
      <c r="FXN272" s="2329"/>
      <c r="FXO272" s="2329"/>
      <c r="FXP272" s="2329"/>
      <c r="FXQ272" s="2329"/>
      <c r="FXR272" s="2329"/>
      <c r="FXS272" s="2329"/>
      <c r="FXT272" s="2329"/>
      <c r="FXU272" s="2329"/>
      <c r="FXV272" s="2329"/>
      <c r="FXW272" s="2329"/>
      <c r="FXX272" s="2328"/>
      <c r="FXY272" s="2329"/>
      <c r="FXZ272" s="2329"/>
      <c r="FYA272" s="2329"/>
      <c r="FYB272" s="2329"/>
      <c r="FYC272" s="2329"/>
      <c r="FYD272" s="2329"/>
      <c r="FYE272" s="2329"/>
      <c r="FYF272" s="2329"/>
      <c r="FYG272" s="2329"/>
      <c r="FYH272" s="2329"/>
      <c r="FYI272" s="2329"/>
      <c r="FYJ272" s="2329"/>
      <c r="FYK272" s="2329"/>
      <c r="FYL272" s="2329"/>
      <c r="FYM272" s="2329"/>
      <c r="FYN272" s="2328"/>
      <c r="FYO272" s="2329"/>
      <c r="FYP272" s="2329"/>
      <c r="FYQ272" s="2329"/>
      <c r="FYR272" s="2329"/>
      <c r="FYS272" s="2329"/>
      <c r="FYT272" s="2329"/>
      <c r="FYU272" s="2329"/>
      <c r="FYV272" s="2329"/>
      <c r="FYW272" s="2329"/>
      <c r="FYX272" s="2329"/>
      <c r="FYY272" s="2329"/>
      <c r="FYZ272" s="2329"/>
      <c r="FZA272" s="2329"/>
      <c r="FZB272" s="2329"/>
      <c r="FZC272" s="2329"/>
      <c r="FZD272" s="2328"/>
      <c r="FZE272" s="2329"/>
      <c r="FZF272" s="2329"/>
      <c r="FZG272" s="2329"/>
      <c r="FZH272" s="2329"/>
      <c r="FZI272" s="2329"/>
      <c r="FZJ272" s="2329"/>
      <c r="FZK272" s="2329"/>
      <c r="FZL272" s="2329"/>
      <c r="FZM272" s="2329"/>
      <c r="FZN272" s="2329"/>
      <c r="FZO272" s="2329"/>
      <c r="FZP272" s="2329"/>
      <c r="FZQ272" s="2329"/>
      <c r="FZR272" s="2329"/>
      <c r="FZS272" s="2329"/>
      <c r="FZT272" s="2328"/>
      <c r="FZU272" s="2329"/>
      <c r="FZV272" s="2329"/>
      <c r="FZW272" s="2329"/>
      <c r="FZX272" s="2329"/>
      <c r="FZY272" s="2329"/>
      <c r="FZZ272" s="2329"/>
      <c r="GAA272" s="2329"/>
      <c r="GAB272" s="2329"/>
      <c r="GAC272" s="2329"/>
      <c r="GAD272" s="2329"/>
      <c r="GAE272" s="2329"/>
      <c r="GAF272" s="2329"/>
      <c r="GAG272" s="2329"/>
      <c r="GAH272" s="2329"/>
      <c r="GAI272" s="2329"/>
      <c r="GAJ272" s="2328"/>
      <c r="GAK272" s="2329"/>
      <c r="GAL272" s="2329"/>
      <c r="GAM272" s="2329"/>
      <c r="GAN272" s="2329"/>
      <c r="GAO272" s="2329"/>
      <c r="GAP272" s="2329"/>
      <c r="GAQ272" s="2329"/>
      <c r="GAR272" s="2329"/>
      <c r="GAS272" s="2329"/>
      <c r="GAT272" s="2329"/>
      <c r="GAU272" s="2329"/>
      <c r="GAV272" s="2329"/>
      <c r="GAW272" s="2329"/>
      <c r="GAX272" s="2329"/>
      <c r="GAY272" s="2329"/>
      <c r="GAZ272" s="2328"/>
      <c r="GBA272" s="2329"/>
      <c r="GBB272" s="2329"/>
      <c r="GBC272" s="2329"/>
      <c r="GBD272" s="2329"/>
      <c r="GBE272" s="2329"/>
      <c r="GBF272" s="2329"/>
      <c r="GBG272" s="2329"/>
      <c r="GBH272" s="2329"/>
      <c r="GBI272" s="2329"/>
      <c r="GBJ272" s="2329"/>
      <c r="GBK272" s="2329"/>
      <c r="GBL272" s="2329"/>
      <c r="GBM272" s="2329"/>
      <c r="GBN272" s="2329"/>
      <c r="GBO272" s="2329"/>
      <c r="GBP272" s="2328"/>
      <c r="GBQ272" s="2329"/>
      <c r="GBR272" s="2329"/>
      <c r="GBS272" s="2329"/>
      <c r="GBT272" s="2329"/>
      <c r="GBU272" s="2329"/>
      <c r="GBV272" s="2329"/>
      <c r="GBW272" s="2329"/>
      <c r="GBX272" s="2329"/>
      <c r="GBY272" s="2329"/>
      <c r="GBZ272" s="2329"/>
      <c r="GCA272" s="2329"/>
      <c r="GCB272" s="2329"/>
      <c r="GCC272" s="2329"/>
      <c r="GCD272" s="2329"/>
      <c r="GCE272" s="2329"/>
      <c r="GCF272" s="2328"/>
      <c r="GCG272" s="2329"/>
      <c r="GCH272" s="2329"/>
      <c r="GCI272" s="2329"/>
      <c r="GCJ272" s="2329"/>
      <c r="GCK272" s="2329"/>
      <c r="GCL272" s="2329"/>
      <c r="GCM272" s="2329"/>
      <c r="GCN272" s="2329"/>
      <c r="GCO272" s="2329"/>
      <c r="GCP272" s="2329"/>
      <c r="GCQ272" s="2329"/>
      <c r="GCR272" s="2329"/>
      <c r="GCS272" s="2329"/>
      <c r="GCT272" s="2329"/>
      <c r="GCU272" s="2329"/>
      <c r="GCV272" s="2328"/>
      <c r="GCW272" s="2329"/>
      <c r="GCX272" s="2329"/>
      <c r="GCY272" s="2329"/>
      <c r="GCZ272" s="2329"/>
      <c r="GDA272" s="2329"/>
      <c r="GDB272" s="2329"/>
      <c r="GDC272" s="2329"/>
      <c r="GDD272" s="2329"/>
      <c r="GDE272" s="2329"/>
      <c r="GDF272" s="2329"/>
      <c r="GDG272" s="2329"/>
      <c r="GDH272" s="2329"/>
      <c r="GDI272" s="2329"/>
      <c r="GDJ272" s="2329"/>
      <c r="GDK272" s="2329"/>
      <c r="GDL272" s="2328"/>
      <c r="GDM272" s="2329"/>
      <c r="GDN272" s="2329"/>
      <c r="GDO272" s="2329"/>
      <c r="GDP272" s="2329"/>
      <c r="GDQ272" s="2329"/>
      <c r="GDR272" s="2329"/>
      <c r="GDS272" s="2329"/>
      <c r="GDT272" s="2329"/>
      <c r="GDU272" s="2329"/>
      <c r="GDV272" s="2329"/>
      <c r="GDW272" s="2329"/>
      <c r="GDX272" s="2329"/>
      <c r="GDY272" s="2329"/>
      <c r="GDZ272" s="2329"/>
      <c r="GEA272" s="2329"/>
      <c r="GEB272" s="2328"/>
      <c r="GEC272" s="2329"/>
      <c r="GED272" s="2329"/>
      <c r="GEE272" s="2329"/>
      <c r="GEF272" s="2329"/>
      <c r="GEG272" s="2329"/>
      <c r="GEH272" s="2329"/>
      <c r="GEI272" s="2329"/>
      <c r="GEJ272" s="2329"/>
      <c r="GEK272" s="2329"/>
      <c r="GEL272" s="2329"/>
      <c r="GEM272" s="2329"/>
      <c r="GEN272" s="2329"/>
      <c r="GEO272" s="2329"/>
      <c r="GEP272" s="2329"/>
      <c r="GEQ272" s="2329"/>
      <c r="GER272" s="2328"/>
      <c r="GES272" s="2329"/>
      <c r="GET272" s="2329"/>
      <c r="GEU272" s="2329"/>
      <c r="GEV272" s="2329"/>
      <c r="GEW272" s="2329"/>
      <c r="GEX272" s="2329"/>
      <c r="GEY272" s="2329"/>
      <c r="GEZ272" s="2329"/>
      <c r="GFA272" s="2329"/>
      <c r="GFB272" s="2329"/>
      <c r="GFC272" s="2329"/>
      <c r="GFD272" s="2329"/>
      <c r="GFE272" s="2329"/>
      <c r="GFF272" s="2329"/>
      <c r="GFG272" s="2329"/>
      <c r="GFH272" s="2328"/>
      <c r="GFI272" s="2329"/>
      <c r="GFJ272" s="2329"/>
      <c r="GFK272" s="2329"/>
      <c r="GFL272" s="2329"/>
      <c r="GFM272" s="2329"/>
      <c r="GFN272" s="2329"/>
      <c r="GFO272" s="2329"/>
      <c r="GFP272" s="2329"/>
      <c r="GFQ272" s="2329"/>
      <c r="GFR272" s="2329"/>
      <c r="GFS272" s="2329"/>
      <c r="GFT272" s="2329"/>
      <c r="GFU272" s="2329"/>
      <c r="GFV272" s="2329"/>
      <c r="GFW272" s="2329"/>
      <c r="GFX272" s="2328"/>
      <c r="GFY272" s="2329"/>
      <c r="GFZ272" s="2329"/>
      <c r="GGA272" s="2329"/>
      <c r="GGB272" s="2329"/>
      <c r="GGC272" s="2329"/>
      <c r="GGD272" s="2329"/>
      <c r="GGE272" s="2329"/>
      <c r="GGF272" s="2329"/>
      <c r="GGG272" s="2329"/>
      <c r="GGH272" s="2329"/>
      <c r="GGI272" s="2329"/>
      <c r="GGJ272" s="2329"/>
      <c r="GGK272" s="2329"/>
      <c r="GGL272" s="2329"/>
      <c r="GGM272" s="2329"/>
      <c r="GGN272" s="2328"/>
      <c r="GGO272" s="2329"/>
      <c r="GGP272" s="2329"/>
      <c r="GGQ272" s="2329"/>
      <c r="GGR272" s="2329"/>
      <c r="GGS272" s="2329"/>
      <c r="GGT272" s="2329"/>
      <c r="GGU272" s="2329"/>
      <c r="GGV272" s="2329"/>
      <c r="GGW272" s="2329"/>
      <c r="GGX272" s="2329"/>
      <c r="GGY272" s="2329"/>
      <c r="GGZ272" s="2329"/>
      <c r="GHA272" s="2329"/>
      <c r="GHB272" s="2329"/>
      <c r="GHC272" s="2329"/>
      <c r="GHD272" s="2328"/>
      <c r="GHE272" s="2329"/>
      <c r="GHF272" s="2329"/>
      <c r="GHG272" s="2329"/>
      <c r="GHH272" s="2329"/>
      <c r="GHI272" s="2329"/>
      <c r="GHJ272" s="2329"/>
      <c r="GHK272" s="2329"/>
      <c r="GHL272" s="2329"/>
      <c r="GHM272" s="2329"/>
      <c r="GHN272" s="2329"/>
      <c r="GHO272" s="2329"/>
      <c r="GHP272" s="2329"/>
      <c r="GHQ272" s="2329"/>
      <c r="GHR272" s="2329"/>
      <c r="GHS272" s="2329"/>
      <c r="GHT272" s="2328"/>
      <c r="GHU272" s="2329"/>
      <c r="GHV272" s="2329"/>
      <c r="GHW272" s="2329"/>
      <c r="GHX272" s="2329"/>
      <c r="GHY272" s="2329"/>
      <c r="GHZ272" s="2329"/>
      <c r="GIA272" s="2329"/>
      <c r="GIB272" s="2329"/>
      <c r="GIC272" s="2329"/>
      <c r="GID272" s="2329"/>
      <c r="GIE272" s="2329"/>
      <c r="GIF272" s="2329"/>
      <c r="GIG272" s="2329"/>
      <c r="GIH272" s="2329"/>
      <c r="GII272" s="2329"/>
      <c r="GIJ272" s="2328"/>
      <c r="GIK272" s="2329"/>
      <c r="GIL272" s="2329"/>
      <c r="GIM272" s="2329"/>
      <c r="GIN272" s="2329"/>
      <c r="GIO272" s="2329"/>
      <c r="GIP272" s="2329"/>
      <c r="GIQ272" s="2329"/>
      <c r="GIR272" s="2329"/>
      <c r="GIS272" s="2329"/>
      <c r="GIT272" s="2329"/>
      <c r="GIU272" s="2329"/>
      <c r="GIV272" s="2329"/>
      <c r="GIW272" s="2329"/>
      <c r="GIX272" s="2329"/>
      <c r="GIY272" s="2329"/>
      <c r="GIZ272" s="2328"/>
      <c r="GJA272" s="2329"/>
      <c r="GJB272" s="2329"/>
      <c r="GJC272" s="2329"/>
      <c r="GJD272" s="2329"/>
      <c r="GJE272" s="2329"/>
      <c r="GJF272" s="2329"/>
      <c r="GJG272" s="2329"/>
      <c r="GJH272" s="2329"/>
      <c r="GJI272" s="2329"/>
      <c r="GJJ272" s="2329"/>
      <c r="GJK272" s="2329"/>
      <c r="GJL272" s="2329"/>
      <c r="GJM272" s="2329"/>
      <c r="GJN272" s="2329"/>
      <c r="GJO272" s="2329"/>
      <c r="GJP272" s="2328"/>
      <c r="GJQ272" s="2329"/>
      <c r="GJR272" s="2329"/>
      <c r="GJS272" s="2329"/>
      <c r="GJT272" s="2329"/>
      <c r="GJU272" s="2329"/>
      <c r="GJV272" s="2329"/>
      <c r="GJW272" s="2329"/>
      <c r="GJX272" s="2329"/>
      <c r="GJY272" s="2329"/>
      <c r="GJZ272" s="2329"/>
      <c r="GKA272" s="2329"/>
      <c r="GKB272" s="2329"/>
      <c r="GKC272" s="2329"/>
      <c r="GKD272" s="2329"/>
      <c r="GKE272" s="2329"/>
      <c r="GKF272" s="2328"/>
      <c r="GKG272" s="2329"/>
      <c r="GKH272" s="2329"/>
      <c r="GKI272" s="2329"/>
      <c r="GKJ272" s="2329"/>
      <c r="GKK272" s="2329"/>
      <c r="GKL272" s="2329"/>
      <c r="GKM272" s="2329"/>
      <c r="GKN272" s="2329"/>
      <c r="GKO272" s="2329"/>
      <c r="GKP272" s="2329"/>
      <c r="GKQ272" s="2329"/>
      <c r="GKR272" s="2329"/>
      <c r="GKS272" s="2329"/>
      <c r="GKT272" s="2329"/>
      <c r="GKU272" s="2329"/>
      <c r="GKV272" s="2328"/>
      <c r="GKW272" s="2329"/>
      <c r="GKX272" s="2329"/>
      <c r="GKY272" s="2329"/>
      <c r="GKZ272" s="2329"/>
      <c r="GLA272" s="2329"/>
      <c r="GLB272" s="2329"/>
      <c r="GLC272" s="2329"/>
      <c r="GLD272" s="2329"/>
      <c r="GLE272" s="2329"/>
      <c r="GLF272" s="2329"/>
      <c r="GLG272" s="2329"/>
      <c r="GLH272" s="2329"/>
      <c r="GLI272" s="2329"/>
      <c r="GLJ272" s="2329"/>
      <c r="GLK272" s="2329"/>
      <c r="GLL272" s="2328"/>
      <c r="GLM272" s="2329"/>
      <c r="GLN272" s="2329"/>
      <c r="GLO272" s="2329"/>
      <c r="GLP272" s="2329"/>
      <c r="GLQ272" s="2329"/>
      <c r="GLR272" s="2329"/>
      <c r="GLS272" s="2329"/>
      <c r="GLT272" s="2329"/>
      <c r="GLU272" s="2329"/>
      <c r="GLV272" s="2329"/>
      <c r="GLW272" s="2329"/>
      <c r="GLX272" s="2329"/>
      <c r="GLY272" s="2329"/>
      <c r="GLZ272" s="2329"/>
      <c r="GMA272" s="2329"/>
      <c r="GMB272" s="2328"/>
      <c r="GMC272" s="2329"/>
      <c r="GMD272" s="2329"/>
      <c r="GME272" s="2329"/>
      <c r="GMF272" s="2329"/>
      <c r="GMG272" s="2329"/>
      <c r="GMH272" s="2329"/>
      <c r="GMI272" s="2329"/>
      <c r="GMJ272" s="2329"/>
      <c r="GMK272" s="2329"/>
      <c r="GML272" s="2329"/>
      <c r="GMM272" s="2329"/>
      <c r="GMN272" s="2329"/>
      <c r="GMO272" s="2329"/>
      <c r="GMP272" s="2329"/>
      <c r="GMQ272" s="2329"/>
      <c r="GMR272" s="2328"/>
      <c r="GMS272" s="2329"/>
      <c r="GMT272" s="2329"/>
      <c r="GMU272" s="2329"/>
      <c r="GMV272" s="2329"/>
      <c r="GMW272" s="2329"/>
      <c r="GMX272" s="2329"/>
      <c r="GMY272" s="2329"/>
      <c r="GMZ272" s="2329"/>
      <c r="GNA272" s="2329"/>
      <c r="GNB272" s="2329"/>
      <c r="GNC272" s="2329"/>
      <c r="GND272" s="2329"/>
      <c r="GNE272" s="2329"/>
      <c r="GNF272" s="2329"/>
      <c r="GNG272" s="2329"/>
      <c r="GNH272" s="2328"/>
      <c r="GNI272" s="2329"/>
      <c r="GNJ272" s="2329"/>
      <c r="GNK272" s="2329"/>
      <c r="GNL272" s="2329"/>
      <c r="GNM272" s="2329"/>
      <c r="GNN272" s="2329"/>
      <c r="GNO272" s="2329"/>
      <c r="GNP272" s="2329"/>
      <c r="GNQ272" s="2329"/>
      <c r="GNR272" s="2329"/>
      <c r="GNS272" s="2329"/>
      <c r="GNT272" s="2329"/>
      <c r="GNU272" s="2329"/>
      <c r="GNV272" s="2329"/>
      <c r="GNW272" s="2329"/>
      <c r="GNX272" s="2328"/>
      <c r="GNY272" s="2329"/>
      <c r="GNZ272" s="2329"/>
      <c r="GOA272" s="2329"/>
      <c r="GOB272" s="2329"/>
      <c r="GOC272" s="2329"/>
      <c r="GOD272" s="2329"/>
      <c r="GOE272" s="2329"/>
      <c r="GOF272" s="2329"/>
      <c r="GOG272" s="2329"/>
      <c r="GOH272" s="2329"/>
      <c r="GOI272" s="2329"/>
      <c r="GOJ272" s="2329"/>
      <c r="GOK272" s="2329"/>
      <c r="GOL272" s="2329"/>
      <c r="GOM272" s="2329"/>
      <c r="GON272" s="2328"/>
      <c r="GOO272" s="2329"/>
      <c r="GOP272" s="2329"/>
      <c r="GOQ272" s="2329"/>
      <c r="GOR272" s="2329"/>
      <c r="GOS272" s="2329"/>
      <c r="GOT272" s="2329"/>
      <c r="GOU272" s="2329"/>
      <c r="GOV272" s="2329"/>
      <c r="GOW272" s="2329"/>
      <c r="GOX272" s="2329"/>
      <c r="GOY272" s="2329"/>
      <c r="GOZ272" s="2329"/>
      <c r="GPA272" s="2329"/>
      <c r="GPB272" s="2329"/>
      <c r="GPC272" s="2329"/>
      <c r="GPD272" s="2328"/>
      <c r="GPE272" s="2329"/>
      <c r="GPF272" s="2329"/>
      <c r="GPG272" s="2329"/>
      <c r="GPH272" s="2329"/>
      <c r="GPI272" s="2329"/>
      <c r="GPJ272" s="2329"/>
      <c r="GPK272" s="2329"/>
      <c r="GPL272" s="2329"/>
      <c r="GPM272" s="2329"/>
      <c r="GPN272" s="2329"/>
      <c r="GPO272" s="2329"/>
      <c r="GPP272" s="2329"/>
      <c r="GPQ272" s="2329"/>
      <c r="GPR272" s="2329"/>
      <c r="GPS272" s="2329"/>
      <c r="GPT272" s="2328"/>
      <c r="GPU272" s="2329"/>
      <c r="GPV272" s="2329"/>
      <c r="GPW272" s="2329"/>
      <c r="GPX272" s="2329"/>
      <c r="GPY272" s="2329"/>
      <c r="GPZ272" s="2329"/>
      <c r="GQA272" s="2329"/>
      <c r="GQB272" s="2329"/>
      <c r="GQC272" s="2329"/>
      <c r="GQD272" s="2329"/>
      <c r="GQE272" s="2329"/>
      <c r="GQF272" s="2329"/>
      <c r="GQG272" s="2329"/>
      <c r="GQH272" s="2329"/>
      <c r="GQI272" s="2329"/>
      <c r="GQJ272" s="2328"/>
      <c r="GQK272" s="2329"/>
      <c r="GQL272" s="2329"/>
      <c r="GQM272" s="2329"/>
      <c r="GQN272" s="2329"/>
      <c r="GQO272" s="2329"/>
      <c r="GQP272" s="2329"/>
      <c r="GQQ272" s="2329"/>
      <c r="GQR272" s="2329"/>
      <c r="GQS272" s="2329"/>
      <c r="GQT272" s="2329"/>
      <c r="GQU272" s="2329"/>
      <c r="GQV272" s="2329"/>
      <c r="GQW272" s="2329"/>
      <c r="GQX272" s="2329"/>
      <c r="GQY272" s="2329"/>
      <c r="GQZ272" s="2328"/>
      <c r="GRA272" s="2329"/>
      <c r="GRB272" s="2329"/>
      <c r="GRC272" s="2329"/>
      <c r="GRD272" s="2329"/>
      <c r="GRE272" s="2329"/>
      <c r="GRF272" s="2329"/>
      <c r="GRG272" s="2329"/>
      <c r="GRH272" s="2329"/>
      <c r="GRI272" s="2329"/>
      <c r="GRJ272" s="2329"/>
      <c r="GRK272" s="2329"/>
      <c r="GRL272" s="2329"/>
      <c r="GRM272" s="2329"/>
      <c r="GRN272" s="2329"/>
      <c r="GRO272" s="2329"/>
      <c r="GRP272" s="2328"/>
      <c r="GRQ272" s="2329"/>
      <c r="GRR272" s="2329"/>
      <c r="GRS272" s="2329"/>
      <c r="GRT272" s="2329"/>
      <c r="GRU272" s="2329"/>
      <c r="GRV272" s="2329"/>
      <c r="GRW272" s="2329"/>
      <c r="GRX272" s="2329"/>
      <c r="GRY272" s="2329"/>
      <c r="GRZ272" s="2329"/>
      <c r="GSA272" s="2329"/>
      <c r="GSB272" s="2329"/>
      <c r="GSC272" s="2329"/>
      <c r="GSD272" s="2329"/>
      <c r="GSE272" s="2329"/>
      <c r="GSF272" s="2328"/>
      <c r="GSG272" s="2329"/>
      <c r="GSH272" s="2329"/>
      <c r="GSI272" s="2329"/>
      <c r="GSJ272" s="2329"/>
      <c r="GSK272" s="2329"/>
      <c r="GSL272" s="2329"/>
      <c r="GSM272" s="2329"/>
      <c r="GSN272" s="2329"/>
      <c r="GSO272" s="2329"/>
      <c r="GSP272" s="2329"/>
      <c r="GSQ272" s="2329"/>
      <c r="GSR272" s="2329"/>
      <c r="GSS272" s="2329"/>
      <c r="GST272" s="2329"/>
      <c r="GSU272" s="2329"/>
      <c r="GSV272" s="2328"/>
      <c r="GSW272" s="2329"/>
      <c r="GSX272" s="2329"/>
      <c r="GSY272" s="2329"/>
      <c r="GSZ272" s="2329"/>
      <c r="GTA272" s="2329"/>
      <c r="GTB272" s="2329"/>
      <c r="GTC272" s="2329"/>
      <c r="GTD272" s="2329"/>
      <c r="GTE272" s="2329"/>
      <c r="GTF272" s="2329"/>
      <c r="GTG272" s="2329"/>
      <c r="GTH272" s="2329"/>
      <c r="GTI272" s="2329"/>
      <c r="GTJ272" s="2329"/>
      <c r="GTK272" s="2329"/>
      <c r="GTL272" s="2328"/>
      <c r="GTM272" s="2329"/>
      <c r="GTN272" s="2329"/>
      <c r="GTO272" s="2329"/>
      <c r="GTP272" s="2329"/>
      <c r="GTQ272" s="2329"/>
      <c r="GTR272" s="2329"/>
      <c r="GTS272" s="2329"/>
      <c r="GTT272" s="2329"/>
      <c r="GTU272" s="2329"/>
      <c r="GTV272" s="2329"/>
      <c r="GTW272" s="2329"/>
      <c r="GTX272" s="2329"/>
      <c r="GTY272" s="2329"/>
      <c r="GTZ272" s="2329"/>
      <c r="GUA272" s="2329"/>
      <c r="GUB272" s="2328"/>
      <c r="GUC272" s="2329"/>
      <c r="GUD272" s="2329"/>
      <c r="GUE272" s="2329"/>
      <c r="GUF272" s="2329"/>
      <c r="GUG272" s="2329"/>
      <c r="GUH272" s="2329"/>
      <c r="GUI272" s="2329"/>
      <c r="GUJ272" s="2329"/>
      <c r="GUK272" s="2329"/>
      <c r="GUL272" s="2329"/>
      <c r="GUM272" s="2329"/>
      <c r="GUN272" s="2329"/>
      <c r="GUO272" s="2329"/>
      <c r="GUP272" s="2329"/>
      <c r="GUQ272" s="2329"/>
      <c r="GUR272" s="2328"/>
      <c r="GUS272" s="2329"/>
      <c r="GUT272" s="2329"/>
      <c r="GUU272" s="2329"/>
      <c r="GUV272" s="2329"/>
      <c r="GUW272" s="2329"/>
      <c r="GUX272" s="2329"/>
      <c r="GUY272" s="2329"/>
      <c r="GUZ272" s="2329"/>
      <c r="GVA272" s="2329"/>
      <c r="GVB272" s="2329"/>
      <c r="GVC272" s="2329"/>
      <c r="GVD272" s="2329"/>
      <c r="GVE272" s="2329"/>
      <c r="GVF272" s="2329"/>
      <c r="GVG272" s="2329"/>
      <c r="GVH272" s="2328"/>
      <c r="GVI272" s="2329"/>
      <c r="GVJ272" s="2329"/>
      <c r="GVK272" s="2329"/>
      <c r="GVL272" s="2329"/>
      <c r="GVM272" s="2329"/>
      <c r="GVN272" s="2329"/>
      <c r="GVO272" s="2329"/>
      <c r="GVP272" s="2329"/>
      <c r="GVQ272" s="2329"/>
      <c r="GVR272" s="2329"/>
      <c r="GVS272" s="2329"/>
      <c r="GVT272" s="2329"/>
      <c r="GVU272" s="2329"/>
      <c r="GVV272" s="2329"/>
      <c r="GVW272" s="2329"/>
      <c r="GVX272" s="2328"/>
      <c r="GVY272" s="2329"/>
      <c r="GVZ272" s="2329"/>
      <c r="GWA272" s="2329"/>
      <c r="GWB272" s="2329"/>
      <c r="GWC272" s="2329"/>
      <c r="GWD272" s="2329"/>
      <c r="GWE272" s="2329"/>
      <c r="GWF272" s="2329"/>
      <c r="GWG272" s="2329"/>
      <c r="GWH272" s="2329"/>
      <c r="GWI272" s="2329"/>
      <c r="GWJ272" s="2329"/>
      <c r="GWK272" s="2329"/>
      <c r="GWL272" s="2329"/>
      <c r="GWM272" s="2329"/>
      <c r="GWN272" s="2328"/>
      <c r="GWO272" s="2329"/>
      <c r="GWP272" s="2329"/>
      <c r="GWQ272" s="2329"/>
      <c r="GWR272" s="2329"/>
      <c r="GWS272" s="2329"/>
      <c r="GWT272" s="2329"/>
      <c r="GWU272" s="2329"/>
      <c r="GWV272" s="2329"/>
      <c r="GWW272" s="2329"/>
      <c r="GWX272" s="2329"/>
      <c r="GWY272" s="2329"/>
      <c r="GWZ272" s="2329"/>
      <c r="GXA272" s="2329"/>
      <c r="GXB272" s="2329"/>
      <c r="GXC272" s="2329"/>
      <c r="GXD272" s="2328"/>
      <c r="GXE272" s="2329"/>
      <c r="GXF272" s="2329"/>
      <c r="GXG272" s="2329"/>
      <c r="GXH272" s="2329"/>
      <c r="GXI272" s="2329"/>
      <c r="GXJ272" s="2329"/>
      <c r="GXK272" s="2329"/>
      <c r="GXL272" s="2329"/>
      <c r="GXM272" s="2329"/>
      <c r="GXN272" s="2329"/>
      <c r="GXO272" s="2329"/>
      <c r="GXP272" s="2329"/>
      <c r="GXQ272" s="2329"/>
      <c r="GXR272" s="2329"/>
      <c r="GXS272" s="2329"/>
      <c r="GXT272" s="2328"/>
      <c r="GXU272" s="2329"/>
      <c r="GXV272" s="2329"/>
      <c r="GXW272" s="2329"/>
      <c r="GXX272" s="2329"/>
      <c r="GXY272" s="2329"/>
      <c r="GXZ272" s="2329"/>
      <c r="GYA272" s="2329"/>
      <c r="GYB272" s="2329"/>
      <c r="GYC272" s="2329"/>
      <c r="GYD272" s="2329"/>
      <c r="GYE272" s="2329"/>
      <c r="GYF272" s="2329"/>
      <c r="GYG272" s="2329"/>
      <c r="GYH272" s="2329"/>
      <c r="GYI272" s="2329"/>
      <c r="GYJ272" s="2328"/>
      <c r="GYK272" s="2329"/>
      <c r="GYL272" s="2329"/>
      <c r="GYM272" s="2329"/>
      <c r="GYN272" s="2329"/>
      <c r="GYO272" s="2329"/>
      <c r="GYP272" s="2329"/>
      <c r="GYQ272" s="2329"/>
      <c r="GYR272" s="2329"/>
      <c r="GYS272" s="2329"/>
      <c r="GYT272" s="2329"/>
      <c r="GYU272" s="2329"/>
      <c r="GYV272" s="2329"/>
      <c r="GYW272" s="2329"/>
      <c r="GYX272" s="2329"/>
      <c r="GYY272" s="2329"/>
      <c r="GYZ272" s="2328"/>
      <c r="GZA272" s="2329"/>
      <c r="GZB272" s="2329"/>
      <c r="GZC272" s="2329"/>
      <c r="GZD272" s="2329"/>
      <c r="GZE272" s="2329"/>
      <c r="GZF272" s="2329"/>
      <c r="GZG272" s="2329"/>
      <c r="GZH272" s="2329"/>
      <c r="GZI272" s="2329"/>
      <c r="GZJ272" s="2329"/>
      <c r="GZK272" s="2329"/>
      <c r="GZL272" s="2329"/>
      <c r="GZM272" s="2329"/>
      <c r="GZN272" s="2329"/>
      <c r="GZO272" s="2329"/>
      <c r="GZP272" s="2328"/>
      <c r="GZQ272" s="2329"/>
      <c r="GZR272" s="2329"/>
      <c r="GZS272" s="2329"/>
      <c r="GZT272" s="2329"/>
      <c r="GZU272" s="2329"/>
      <c r="GZV272" s="2329"/>
      <c r="GZW272" s="2329"/>
      <c r="GZX272" s="2329"/>
      <c r="GZY272" s="2329"/>
      <c r="GZZ272" s="2329"/>
      <c r="HAA272" s="2329"/>
      <c r="HAB272" s="2329"/>
      <c r="HAC272" s="2329"/>
      <c r="HAD272" s="2329"/>
      <c r="HAE272" s="2329"/>
      <c r="HAF272" s="2328"/>
      <c r="HAG272" s="2329"/>
      <c r="HAH272" s="2329"/>
      <c r="HAI272" s="2329"/>
      <c r="HAJ272" s="2329"/>
      <c r="HAK272" s="2329"/>
      <c r="HAL272" s="2329"/>
      <c r="HAM272" s="2329"/>
      <c r="HAN272" s="2329"/>
      <c r="HAO272" s="2329"/>
      <c r="HAP272" s="2329"/>
      <c r="HAQ272" s="2329"/>
      <c r="HAR272" s="2329"/>
      <c r="HAS272" s="2329"/>
      <c r="HAT272" s="2329"/>
      <c r="HAU272" s="2329"/>
      <c r="HAV272" s="2328"/>
      <c r="HAW272" s="2329"/>
      <c r="HAX272" s="2329"/>
      <c r="HAY272" s="2329"/>
      <c r="HAZ272" s="2329"/>
      <c r="HBA272" s="2329"/>
      <c r="HBB272" s="2329"/>
      <c r="HBC272" s="2329"/>
      <c r="HBD272" s="2329"/>
      <c r="HBE272" s="2329"/>
      <c r="HBF272" s="2329"/>
      <c r="HBG272" s="2329"/>
      <c r="HBH272" s="2329"/>
      <c r="HBI272" s="2329"/>
      <c r="HBJ272" s="2329"/>
      <c r="HBK272" s="2329"/>
      <c r="HBL272" s="2328"/>
      <c r="HBM272" s="2329"/>
      <c r="HBN272" s="2329"/>
      <c r="HBO272" s="2329"/>
      <c r="HBP272" s="2329"/>
      <c r="HBQ272" s="2329"/>
      <c r="HBR272" s="2329"/>
      <c r="HBS272" s="2329"/>
      <c r="HBT272" s="2329"/>
      <c r="HBU272" s="2329"/>
      <c r="HBV272" s="2329"/>
      <c r="HBW272" s="2329"/>
      <c r="HBX272" s="2329"/>
      <c r="HBY272" s="2329"/>
      <c r="HBZ272" s="2329"/>
      <c r="HCA272" s="2329"/>
      <c r="HCB272" s="2328"/>
      <c r="HCC272" s="2329"/>
      <c r="HCD272" s="2329"/>
      <c r="HCE272" s="2329"/>
      <c r="HCF272" s="2329"/>
      <c r="HCG272" s="2329"/>
      <c r="HCH272" s="2329"/>
      <c r="HCI272" s="2329"/>
      <c r="HCJ272" s="2329"/>
      <c r="HCK272" s="2329"/>
      <c r="HCL272" s="2329"/>
      <c r="HCM272" s="2329"/>
      <c r="HCN272" s="2329"/>
      <c r="HCO272" s="2329"/>
      <c r="HCP272" s="2329"/>
      <c r="HCQ272" s="2329"/>
      <c r="HCR272" s="2328"/>
      <c r="HCS272" s="2329"/>
      <c r="HCT272" s="2329"/>
      <c r="HCU272" s="2329"/>
      <c r="HCV272" s="2329"/>
      <c r="HCW272" s="2329"/>
      <c r="HCX272" s="2329"/>
      <c r="HCY272" s="2329"/>
      <c r="HCZ272" s="2329"/>
      <c r="HDA272" s="2329"/>
      <c r="HDB272" s="2329"/>
      <c r="HDC272" s="2329"/>
      <c r="HDD272" s="2329"/>
      <c r="HDE272" s="2329"/>
      <c r="HDF272" s="2329"/>
      <c r="HDG272" s="2329"/>
      <c r="HDH272" s="2328"/>
      <c r="HDI272" s="2329"/>
      <c r="HDJ272" s="2329"/>
      <c r="HDK272" s="2329"/>
      <c r="HDL272" s="2329"/>
      <c r="HDM272" s="2329"/>
      <c r="HDN272" s="2329"/>
      <c r="HDO272" s="2329"/>
      <c r="HDP272" s="2329"/>
      <c r="HDQ272" s="2329"/>
      <c r="HDR272" s="2329"/>
      <c r="HDS272" s="2329"/>
      <c r="HDT272" s="2329"/>
      <c r="HDU272" s="2329"/>
      <c r="HDV272" s="2329"/>
      <c r="HDW272" s="2329"/>
      <c r="HDX272" s="2328"/>
      <c r="HDY272" s="2329"/>
      <c r="HDZ272" s="2329"/>
      <c r="HEA272" s="2329"/>
      <c r="HEB272" s="2329"/>
      <c r="HEC272" s="2329"/>
      <c r="HED272" s="2329"/>
      <c r="HEE272" s="2329"/>
      <c r="HEF272" s="2329"/>
      <c r="HEG272" s="2329"/>
      <c r="HEH272" s="2329"/>
      <c r="HEI272" s="2329"/>
      <c r="HEJ272" s="2329"/>
      <c r="HEK272" s="2329"/>
      <c r="HEL272" s="2329"/>
      <c r="HEM272" s="2329"/>
      <c r="HEN272" s="2328"/>
      <c r="HEO272" s="2329"/>
      <c r="HEP272" s="2329"/>
      <c r="HEQ272" s="2329"/>
      <c r="HER272" s="2329"/>
      <c r="HES272" s="2329"/>
      <c r="HET272" s="2329"/>
      <c r="HEU272" s="2329"/>
      <c r="HEV272" s="2329"/>
      <c r="HEW272" s="2329"/>
      <c r="HEX272" s="2329"/>
      <c r="HEY272" s="2329"/>
      <c r="HEZ272" s="2329"/>
      <c r="HFA272" s="2329"/>
      <c r="HFB272" s="2329"/>
      <c r="HFC272" s="2329"/>
      <c r="HFD272" s="2328"/>
      <c r="HFE272" s="2329"/>
      <c r="HFF272" s="2329"/>
      <c r="HFG272" s="2329"/>
      <c r="HFH272" s="2329"/>
      <c r="HFI272" s="2329"/>
      <c r="HFJ272" s="2329"/>
      <c r="HFK272" s="2329"/>
      <c r="HFL272" s="2329"/>
      <c r="HFM272" s="2329"/>
      <c r="HFN272" s="2329"/>
      <c r="HFO272" s="2329"/>
      <c r="HFP272" s="2329"/>
      <c r="HFQ272" s="2329"/>
      <c r="HFR272" s="2329"/>
      <c r="HFS272" s="2329"/>
      <c r="HFT272" s="2328"/>
      <c r="HFU272" s="2329"/>
      <c r="HFV272" s="2329"/>
      <c r="HFW272" s="2329"/>
      <c r="HFX272" s="2329"/>
      <c r="HFY272" s="2329"/>
      <c r="HFZ272" s="2329"/>
      <c r="HGA272" s="2329"/>
      <c r="HGB272" s="2329"/>
      <c r="HGC272" s="2329"/>
      <c r="HGD272" s="2329"/>
      <c r="HGE272" s="2329"/>
      <c r="HGF272" s="2329"/>
      <c r="HGG272" s="2329"/>
      <c r="HGH272" s="2329"/>
      <c r="HGI272" s="2329"/>
      <c r="HGJ272" s="2328"/>
      <c r="HGK272" s="2329"/>
      <c r="HGL272" s="2329"/>
      <c r="HGM272" s="2329"/>
      <c r="HGN272" s="2329"/>
      <c r="HGO272" s="2329"/>
      <c r="HGP272" s="2329"/>
      <c r="HGQ272" s="2329"/>
      <c r="HGR272" s="2329"/>
      <c r="HGS272" s="2329"/>
      <c r="HGT272" s="2329"/>
      <c r="HGU272" s="2329"/>
      <c r="HGV272" s="2329"/>
      <c r="HGW272" s="2329"/>
      <c r="HGX272" s="2329"/>
      <c r="HGY272" s="2329"/>
      <c r="HGZ272" s="2328"/>
      <c r="HHA272" s="2329"/>
      <c r="HHB272" s="2329"/>
      <c r="HHC272" s="2329"/>
      <c r="HHD272" s="2329"/>
      <c r="HHE272" s="2329"/>
      <c r="HHF272" s="2329"/>
      <c r="HHG272" s="2329"/>
      <c r="HHH272" s="2329"/>
      <c r="HHI272" s="2329"/>
      <c r="HHJ272" s="2329"/>
      <c r="HHK272" s="2329"/>
      <c r="HHL272" s="2329"/>
      <c r="HHM272" s="2329"/>
      <c r="HHN272" s="2329"/>
      <c r="HHO272" s="2329"/>
      <c r="HHP272" s="2328"/>
      <c r="HHQ272" s="2329"/>
      <c r="HHR272" s="2329"/>
      <c r="HHS272" s="2329"/>
      <c r="HHT272" s="2329"/>
      <c r="HHU272" s="2329"/>
      <c r="HHV272" s="2329"/>
      <c r="HHW272" s="2329"/>
      <c r="HHX272" s="2329"/>
      <c r="HHY272" s="2329"/>
      <c r="HHZ272" s="2329"/>
      <c r="HIA272" s="2329"/>
      <c r="HIB272" s="2329"/>
      <c r="HIC272" s="2329"/>
      <c r="HID272" s="2329"/>
      <c r="HIE272" s="2329"/>
      <c r="HIF272" s="2328"/>
      <c r="HIG272" s="2329"/>
      <c r="HIH272" s="2329"/>
      <c r="HII272" s="2329"/>
      <c r="HIJ272" s="2329"/>
      <c r="HIK272" s="2329"/>
      <c r="HIL272" s="2329"/>
      <c r="HIM272" s="2329"/>
      <c r="HIN272" s="2329"/>
      <c r="HIO272" s="2329"/>
      <c r="HIP272" s="2329"/>
      <c r="HIQ272" s="2329"/>
      <c r="HIR272" s="2329"/>
      <c r="HIS272" s="2329"/>
      <c r="HIT272" s="2329"/>
      <c r="HIU272" s="2329"/>
      <c r="HIV272" s="2328"/>
      <c r="HIW272" s="2329"/>
      <c r="HIX272" s="2329"/>
      <c r="HIY272" s="2329"/>
      <c r="HIZ272" s="2329"/>
      <c r="HJA272" s="2329"/>
      <c r="HJB272" s="2329"/>
      <c r="HJC272" s="2329"/>
      <c r="HJD272" s="2329"/>
      <c r="HJE272" s="2329"/>
      <c r="HJF272" s="2329"/>
      <c r="HJG272" s="2329"/>
      <c r="HJH272" s="2329"/>
      <c r="HJI272" s="2329"/>
      <c r="HJJ272" s="2329"/>
      <c r="HJK272" s="2329"/>
      <c r="HJL272" s="2328"/>
      <c r="HJM272" s="2329"/>
      <c r="HJN272" s="2329"/>
      <c r="HJO272" s="2329"/>
      <c r="HJP272" s="2329"/>
      <c r="HJQ272" s="2329"/>
      <c r="HJR272" s="2329"/>
      <c r="HJS272" s="2329"/>
      <c r="HJT272" s="2329"/>
      <c r="HJU272" s="2329"/>
      <c r="HJV272" s="2329"/>
      <c r="HJW272" s="2329"/>
      <c r="HJX272" s="2329"/>
      <c r="HJY272" s="2329"/>
      <c r="HJZ272" s="2329"/>
      <c r="HKA272" s="2329"/>
      <c r="HKB272" s="2328"/>
      <c r="HKC272" s="2329"/>
      <c r="HKD272" s="2329"/>
      <c r="HKE272" s="2329"/>
      <c r="HKF272" s="2329"/>
      <c r="HKG272" s="2329"/>
      <c r="HKH272" s="2329"/>
      <c r="HKI272" s="2329"/>
      <c r="HKJ272" s="2329"/>
      <c r="HKK272" s="2329"/>
      <c r="HKL272" s="2329"/>
      <c r="HKM272" s="2329"/>
      <c r="HKN272" s="2329"/>
      <c r="HKO272" s="2329"/>
      <c r="HKP272" s="2329"/>
      <c r="HKQ272" s="2329"/>
      <c r="HKR272" s="2328"/>
      <c r="HKS272" s="2329"/>
      <c r="HKT272" s="2329"/>
      <c r="HKU272" s="2329"/>
      <c r="HKV272" s="2329"/>
      <c r="HKW272" s="2329"/>
      <c r="HKX272" s="2329"/>
      <c r="HKY272" s="2329"/>
      <c r="HKZ272" s="2329"/>
      <c r="HLA272" s="2329"/>
      <c r="HLB272" s="2329"/>
      <c r="HLC272" s="2329"/>
      <c r="HLD272" s="2329"/>
      <c r="HLE272" s="2329"/>
      <c r="HLF272" s="2329"/>
      <c r="HLG272" s="2329"/>
      <c r="HLH272" s="2328"/>
      <c r="HLI272" s="2329"/>
      <c r="HLJ272" s="2329"/>
      <c r="HLK272" s="2329"/>
      <c r="HLL272" s="2329"/>
      <c r="HLM272" s="2329"/>
      <c r="HLN272" s="2329"/>
      <c r="HLO272" s="2329"/>
      <c r="HLP272" s="2329"/>
      <c r="HLQ272" s="2329"/>
      <c r="HLR272" s="2329"/>
      <c r="HLS272" s="2329"/>
      <c r="HLT272" s="2329"/>
      <c r="HLU272" s="2329"/>
      <c r="HLV272" s="2329"/>
      <c r="HLW272" s="2329"/>
      <c r="HLX272" s="2328"/>
      <c r="HLY272" s="2329"/>
      <c r="HLZ272" s="2329"/>
      <c r="HMA272" s="2329"/>
      <c r="HMB272" s="2329"/>
      <c r="HMC272" s="2329"/>
      <c r="HMD272" s="2329"/>
      <c r="HME272" s="2329"/>
      <c r="HMF272" s="2329"/>
      <c r="HMG272" s="2329"/>
      <c r="HMH272" s="2329"/>
      <c r="HMI272" s="2329"/>
      <c r="HMJ272" s="2329"/>
      <c r="HMK272" s="2329"/>
      <c r="HML272" s="2329"/>
      <c r="HMM272" s="2329"/>
      <c r="HMN272" s="2328"/>
      <c r="HMO272" s="2329"/>
      <c r="HMP272" s="2329"/>
      <c r="HMQ272" s="2329"/>
      <c r="HMR272" s="2329"/>
      <c r="HMS272" s="2329"/>
      <c r="HMT272" s="2329"/>
      <c r="HMU272" s="2329"/>
      <c r="HMV272" s="2329"/>
      <c r="HMW272" s="2329"/>
      <c r="HMX272" s="2329"/>
      <c r="HMY272" s="2329"/>
      <c r="HMZ272" s="2329"/>
      <c r="HNA272" s="2329"/>
      <c r="HNB272" s="2329"/>
      <c r="HNC272" s="2329"/>
      <c r="HND272" s="2328"/>
      <c r="HNE272" s="2329"/>
      <c r="HNF272" s="2329"/>
      <c r="HNG272" s="2329"/>
      <c r="HNH272" s="2329"/>
      <c r="HNI272" s="2329"/>
      <c r="HNJ272" s="2329"/>
      <c r="HNK272" s="2329"/>
      <c r="HNL272" s="2329"/>
      <c r="HNM272" s="2329"/>
      <c r="HNN272" s="2329"/>
      <c r="HNO272" s="2329"/>
      <c r="HNP272" s="2329"/>
      <c r="HNQ272" s="2329"/>
      <c r="HNR272" s="2329"/>
      <c r="HNS272" s="2329"/>
      <c r="HNT272" s="2328"/>
      <c r="HNU272" s="2329"/>
      <c r="HNV272" s="2329"/>
      <c r="HNW272" s="2329"/>
      <c r="HNX272" s="2329"/>
      <c r="HNY272" s="2329"/>
      <c r="HNZ272" s="2329"/>
      <c r="HOA272" s="2329"/>
      <c r="HOB272" s="2329"/>
      <c r="HOC272" s="2329"/>
      <c r="HOD272" s="2329"/>
      <c r="HOE272" s="2329"/>
      <c r="HOF272" s="2329"/>
      <c r="HOG272" s="2329"/>
      <c r="HOH272" s="2329"/>
      <c r="HOI272" s="2329"/>
      <c r="HOJ272" s="2328"/>
      <c r="HOK272" s="2329"/>
      <c r="HOL272" s="2329"/>
      <c r="HOM272" s="2329"/>
      <c r="HON272" s="2329"/>
      <c r="HOO272" s="2329"/>
      <c r="HOP272" s="2329"/>
      <c r="HOQ272" s="2329"/>
      <c r="HOR272" s="2329"/>
      <c r="HOS272" s="2329"/>
      <c r="HOT272" s="2329"/>
      <c r="HOU272" s="2329"/>
      <c r="HOV272" s="2329"/>
      <c r="HOW272" s="2329"/>
      <c r="HOX272" s="2329"/>
      <c r="HOY272" s="2329"/>
      <c r="HOZ272" s="2328"/>
      <c r="HPA272" s="2329"/>
      <c r="HPB272" s="2329"/>
      <c r="HPC272" s="2329"/>
      <c r="HPD272" s="2329"/>
      <c r="HPE272" s="2329"/>
      <c r="HPF272" s="2329"/>
      <c r="HPG272" s="2329"/>
      <c r="HPH272" s="2329"/>
      <c r="HPI272" s="2329"/>
      <c r="HPJ272" s="2329"/>
      <c r="HPK272" s="2329"/>
      <c r="HPL272" s="2329"/>
      <c r="HPM272" s="2329"/>
      <c r="HPN272" s="2329"/>
      <c r="HPO272" s="2329"/>
      <c r="HPP272" s="2328"/>
      <c r="HPQ272" s="2329"/>
      <c r="HPR272" s="2329"/>
      <c r="HPS272" s="2329"/>
      <c r="HPT272" s="2329"/>
      <c r="HPU272" s="2329"/>
      <c r="HPV272" s="2329"/>
      <c r="HPW272" s="2329"/>
      <c r="HPX272" s="2329"/>
      <c r="HPY272" s="2329"/>
      <c r="HPZ272" s="2329"/>
      <c r="HQA272" s="2329"/>
      <c r="HQB272" s="2329"/>
      <c r="HQC272" s="2329"/>
      <c r="HQD272" s="2329"/>
      <c r="HQE272" s="2329"/>
      <c r="HQF272" s="2328"/>
      <c r="HQG272" s="2329"/>
      <c r="HQH272" s="2329"/>
      <c r="HQI272" s="2329"/>
      <c r="HQJ272" s="2329"/>
      <c r="HQK272" s="2329"/>
      <c r="HQL272" s="2329"/>
      <c r="HQM272" s="2329"/>
      <c r="HQN272" s="2329"/>
      <c r="HQO272" s="2329"/>
      <c r="HQP272" s="2329"/>
      <c r="HQQ272" s="2329"/>
      <c r="HQR272" s="2329"/>
      <c r="HQS272" s="2329"/>
      <c r="HQT272" s="2329"/>
      <c r="HQU272" s="2329"/>
      <c r="HQV272" s="2328"/>
      <c r="HQW272" s="2329"/>
      <c r="HQX272" s="2329"/>
      <c r="HQY272" s="2329"/>
      <c r="HQZ272" s="2329"/>
      <c r="HRA272" s="2329"/>
      <c r="HRB272" s="2329"/>
      <c r="HRC272" s="2329"/>
      <c r="HRD272" s="2329"/>
      <c r="HRE272" s="2329"/>
      <c r="HRF272" s="2329"/>
      <c r="HRG272" s="2329"/>
      <c r="HRH272" s="2329"/>
      <c r="HRI272" s="2329"/>
      <c r="HRJ272" s="2329"/>
      <c r="HRK272" s="2329"/>
      <c r="HRL272" s="2328"/>
      <c r="HRM272" s="2329"/>
      <c r="HRN272" s="2329"/>
      <c r="HRO272" s="2329"/>
      <c r="HRP272" s="2329"/>
      <c r="HRQ272" s="2329"/>
      <c r="HRR272" s="2329"/>
      <c r="HRS272" s="2329"/>
      <c r="HRT272" s="2329"/>
      <c r="HRU272" s="2329"/>
      <c r="HRV272" s="2329"/>
      <c r="HRW272" s="2329"/>
      <c r="HRX272" s="2329"/>
      <c r="HRY272" s="2329"/>
      <c r="HRZ272" s="2329"/>
      <c r="HSA272" s="2329"/>
      <c r="HSB272" s="2328"/>
      <c r="HSC272" s="2329"/>
      <c r="HSD272" s="2329"/>
      <c r="HSE272" s="2329"/>
      <c r="HSF272" s="2329"/>
      <c r="HSG272" s="2329"/>
      <c r="HSH272" s="2329"/>
      <c r="HSI272" s="2329"/>
      <c r="HSJ272" s="2329"/>
      <c r="HSK272" s="2329"/>
      <c r="HSL272" s="2329"/>
      <c r="HSM272" s="2329"/>
      <c r="HSN272" s="2329"/>
      <c r="HSO272" s="2329"/>
      <c r="HSP272" s="2329"/>
      <c r="HSQ272" s="2329"/>
      <c r="HSR272" s="2328"/>
      <c r="HSS272" s="2329"/>
      <c r="HST272" s="2329"/>
      <c r="HSU272" s="2329"/>
      <c r="HSV272" s="2329"/>
      <c r="HSW272" s="2329"/>
      <c r="HSX272" s="2329"/>
      <c r="HSY272" s="2329"/>
      <c r="HSZ272" s="2329"/>
      <c r="HTA272" s="2329"/>
      <c r="HTB272" s="2329"/>
      <c r="HTC272" s="2329"/>
      <c r="HTD272" s="2329"/>
      <c r="HTE272" s="2329"/>
      <c r="HTF272" s="2329"/>
      <c r="HTG272" s="2329"/>
      <c r="HTH272" s="2328"/>
      <c r="HTI272" s="2329"/>
      <c r="HTJ272" s="2329"/>
      <c r="HTK272" s="2329"/>
      <c r="HTL272" s="2329"/>
      <c r="HTM272" s="2329"/>
      <c r="HTN272" s="2329"/>
      <c r="HTO272" s="2329"/>
      <c r="HTP272" s="2329"/>
      <c r="HTQ272" s="2329"/>
      <c r="HTR272" s="2329"/>
      <c r="HTS272" s="2329"/>
      <c r="HTT272" s="2329"/>
      <c r="HTU272" s="2329"/>
      <c r="HTV272" s="2329"/>
      <c r="HTW272" s="2329"/>
      <c r="HTX272" s="2328"/>
      <c r="HTY272" s="2329"/>
      <c r="HTZ272" s="2329"/>
      <c r="HUA272" s="2329"/>
      <c r="HUB272" s="2329"/>
      <c r="HUC272" s="2329"/>
      <c r="HUD272" s="2329"/>
      <c r="HUE272" s="2329"/>
      <c r="HUF272" s="2329"/>
      <c r="HUG272" s="2329"/>
      <c r="HUH272" s="2329"/>
      <c r="HUI272" s="2329"/>
      <c r="HUJ272" s="2329"/>
      <c r="HUK272" s="2329"/>
      <c r="HUL272" s="2329"/>
      <c r="HUM272" s="2329"/>
      <c r="HUN272" s="2328"/>
      <c r="HUO272" s="2329"/>
      <c r="HUP272" s="2329"/>
      <c r="HUQ272" s="2329"/>
      <c r="HUR272" s="2329"/>
      <c r="HUS272" s="2329"/>
      <c r="HUT272" s="2329"/>
      <c r="HUU272" s="2329"/>
      <c r="HUV272" s="2329"/>
      <c r="HUW272" s="2329"/>
      <c r="HUX272" s="2329"/>
      <c r="HUY272" s="2329"/>
      <c r="HUZ272" s="2329"/>
      <c r="HVA272" s="2329"/>
      <c r="HVB272" s="2329"/>
      <c r="HVC272" s="2329"/>
      <c r="HVD272" s="2328"/>
      <c r="HVE272" s="2329"/>
      <c r="HVF272" s="2329"/>
      <c r="HVG272" s="2329"/>
      <c r="HVH272" s="2329"/>
      <c r="HVI272" s="2329"/>
      <c r="HVJ272" s="2329"/>
      <c r="HVK272" s="2329"/>
      <c r="HVL272" s="2329"/>
      <c r="HVM272" s="2329"/>
      <c r="HVN272" s="2329"/>
      <c r="HVO272" s="2329"/>
      <c r="HVP272" s="2329"/>
      <c r="HVQ272" s="2329"/>
      <c r="HVR272" s="2329"/>
      <c r="HVS272" s="2329"/>
      <c r="HVT272" s="2328"/>
      <c r="HVU272" s="2329"/>
      <c r="HVV272" s="2329"/>
      <c r="HVW272" s="2329"/>
      <c r="HVX272" s="2329"/>
      <c r="HVY272" s="2329"/>
      <c r="HVZ272" s="2329"/>
      <c r="HWA272" s="2329"/>
      <c r="HWB272" s="2329"/>
      <c r="HWC272" s="2329"/>
      <c r="HWD272" s="2329"/>
      <c r="HWE272" s="2329"/>
      <c r="HWF272" s="2329"/>
      <c r="HWG272" s="2329"/>
      <c r="HWH272" s="2329"/>
      <c r="HWI272" s="2329"/>
      <c r="HWJ272" s="2328"/>
      <c r="HWK272" s="2329"/>
      <c r="HWL272" s="2329"/>
      <c r="HWM272" s="2329"/>
      <c r="HWN272" s="2329"/>
      <c r="HWO272" s="2329"/>
      <c r="HWP272" s="2329"/>
      <c r="HWQ272" s="2329"/>
      <c r="HWR272" s="2329"/>
      <c r="HWS272" s="2329"/>
      <c r="HWT272" s="2329"/>
      <c r="HWU272" s="2329"/>
      <c r="HWV272" s="2329"/>
      <c r="HWW272" s="2329"/>
      <c r="HWX272" s="2329"/>
      <c r="HWY272" s="2329"/>
      <c r="HWZ272" s="2328"/>
      <c r="HXA272" s="2329"/>
      <c r="HXB272" s="2329"/>
      <c r="HXC272" s="2329"/>
      <c r="HXD272" s="2329"/>
      <c r="HXE272" s="2329"/>
      <c r="HXF272" s="2329"/>
      <c r="HXG272" s="2329"/>
      <c r="HXH272" s="2329"/>
      <c r="HXI272" s="2329"/>
      <c r="HXJ272" s="2329"/>
      <c r="HXK272" s="2329"/>
      <c r="HXL272" s="2329"/>
      <c r="HXM272" s="2329"/>
      <c r="HXN272" s="2329"/>
      <c r="HXO272" s="2329"/>
      <c r="HXP272" s="2328"/>
      <c r="HXQ272" s="2329"/>
      <c r="HXR272" s="2329"/>
      <c r="HXS272" s="2329"/>
      <c r="HXT272" s="2329"/>
      <c r="HXU272" s="2329"/>
      <c r="HXV272" s="2329"/>
      <c r="HXW272" s="2329"/>
      <c r="HXX272" s="2329"/>
      <c r="HXY272" s="2329"/>
      <c r="HXZ272" s="2329"/>
      <c r="HYA272" s="2329"/>
      <c r="HYB272" s="2329"/>
      <c r="HYC272" s="2329"/>
      <c r="HYD272" s="2329"/>
      <c r="HYE272" s="2329"/>
      <c r="HYF272" s="2328"/>
      <c r="HYG272" s="2329"/>
      <c r="HYH272" s="2329"/>
      <c r="HYI272" s="2329"/>
      <c r="HYJ272" s="2329"/>
      <c r="HYK272" s="2329"/>
      <c r="HYL272" s="2329"/>
      <c r="HYM272" s="2329"/>
      <c r="HYN272" s="2329"/>
      <c r="HYO272" s="2329"/>
      <c r="HYP272" s="2329"/>
      <c r="HYQ272" s="2329"/>
      <c r="HYR272" s="2329"/>
      <c r="HYS272" s="2329"/>
      <c r="HYT272" s="2329"/>
      <c r="HYU272" s="2329"/>
      <c r="HYV272" s="2328"/>
      <c r="HYW272" s="2329"/>
      <c r="HYX272" s="2329"/>
      <c r="HYY272" s="2329"/>
      <c r="HYZ272" s="2329"/>
      <c r="HZA272" s="2329"/>
      <c r="HZB272" s="2329"/>
      <c r="HZC272" s="2329"/>
      <c r="HZD272" s="2329"/>
      <c r="HZE272" s="2329"/>
      <c r="HZF272" s="2329"/>
      <c r="HZG272" s="2329"/>
      <c r="HZH272" s="2329"/>
      <c r="HZI272" s="2329"/>
      <c r="HZJ272" s="2329"/>
      <c r="HZK272" s="2329"/>
      <c r="HZL272" s="2328"/>
      <c r="HZM272" s="2329"/>
      <c r="HZN272" s="2329"/>
      <c r="HZO272" s="2329"/>
      <c r="HZP272" s="2329"/>
      <c r="HZQ272" s="2329"/>
      <c r="HZR272" s="2329"/>
      <c r="HZS272" s="2329"/>
      <c r="HZT272" s="2329"/>
      <c r="HZU272" s="2329"/>
      <c r="HZV272" s="2329"/>
      <c r="HZW272" s="2329"/>
      <c r="HZX272" s="2329"/>
      <c r="HZY272" s="2329"/>
      <c r="HZZ272" s="2329"/>
      <c r="IAA272" s="2329"/>
      <c r="IAB272" s="2328"/>
      <c r="IAC272" s="2329"/>
      <c r="IAD272" s="2329"/>
      <c r="IAE272" s="2329"/>
      <c r="IAF272" s="2329"/>
      <c r="IAG272" s="2329"/>
      <c r="IAH272" s="2329"/>
      <c r="IAI272" s="2329"/>
      <c r="IAJ272" s="2329"/>
      <c r="IAK272" s="2329"/>
      <c r="IAL272" s="2329"/>
      <c r="IAM272" s="2329"/>
      <c r="IAN272" s="2329"/>
      <c r="IAO272" s="2329"/>
      <c r="IAP272" s="2329"/>
      <c r="IAQ272" s="2329"/>
      <c r="IAR272" s="2328"/>
      <c r="IAS272" s="2329"/>
      <c r="IAT272" s="2329"/>
      <c r="IAU272" s="2329"/>
      <c r="IAV272" s="2329"/>
      <c r="IAW272" s="2329"/>
      <c r="IAX272" s="2329"/>
      <c r="IAY272" s="2329"/>
      <c r="IAZ272" s="2329"/>
      <c r="IBA272" s="2329"/>
      <c r="IBB272" s="2329"/>
      <c r="IBC272" s="2329"/>
      <c r="IBD272" s="2329"/>
      <c r="IBE272" s="2329"/>
      <c r="IBF272" s="2329"/>
      <c r="IBG272" s="2329"/>
      <c r="IBH272" s="2328"/>
      <c r="IBI272" s="2329"/>
      <c r="IBJ272" s="2329"/>
      <c r="IBK272" s="2329"/>
      <c r="IBL272" s="2329"/>
      <c r="IBM272" s="2329"/>
      <c r="IBN272" s="2329"/>
      <c r="IBO272" s="2329"/>
      <c r="IBP272" s="2329"/>
      <c r="IBQ272" s="2329"/>
      <c r="IBR272" s="2329"/>
      <c r="IBS272" s="2329"/>
      <c r="IBT272" s="2329"/>
      <c r="IBU272" s="2329"/>
      <c r="IBV272" s="2329"/>
      <c r="IBW272" s="2329"/>
      <c r="IBX272" s="2328"/>
      <c r="IBY272" s="2329"/>
      <c r="IBZ272" s="2329"/>
      <c r="ICA272" s="2329"/>
      <c r="ICB272" s="2329"/>
      <c r="ICC272" s="2329"/>
      <c r="ICD272" s="2329"/>
      <c r="ICE272" s="2329"/>
      <c r="ICF272" s="2329"/>
      <c r="ICG272" s="2329"/>
      <c r="ICH272" s="2329"/>
      <c r="ICI272" s="2329"/>
      <c r="ICJ272" s="2329"/>
      <c r="ICK272" s="2329"/>
      <c r="ICL272" s="2329"/>
      <c r="ICM272" s="2329"/>
      <c r="ICN272" s="2328"/>
      <c r="ICO272" s="2329"/>
      <c r="ICP272" s="2329"/>
      <c r="ICQ272" s="2329"/>
      <c r="ICR272" s="2329"/>
      <c r="ICS272" s="2329"/>
      <c r="ICT272" s="2329"/>
      <c r="ICU272" s="2329"/>
      <c r="ICV272" s="2329"/>
      <c r="ICW272" s="2329"/>
      <c r="ICX272" s="2329"/>
      <c r="ICY272" s="2329"/>
      <c r="ICZ272" s="2329"/>
      <c r="IDA272" s="2329"/>
      <c r="IDB272" s="2329"/>
      <c r="IDC272" s="2329"/>
      <c r="IDD272" s="2328"/>
      <c r="IDE272" s="2329"/>
      <c r="IDF272" s="2329"/>
      <c r="IDG272" s="2329"/>
      <c r="IDH272" s="2329"/>
      <c r="IDI272" s="2329"/>
      <c r="IDJ272" s="2329"/>
      <c r="IDK272" s="2329"/>
      <c r="IDL272" s="2329"/>
      <c r="IDM272" s="2329"/>
      <c r="IDN272" s="2329"/>
      <c r="IDO272" s="2329"/>
      <c r="IDP272" s="2329"/>
      <c r="IDQ272" s="2329"/>
      <c r="IDR272" s="2329"/>
      <c r="IDS272" s="2329"/>
      <c r="IDT272" s="2328"/>
      <c r="IDU272" s="2329"/>
      <c r="IDV272" s="2329"/>
      <c r="IDW272" s="2329"/>
      <c r="IDX272" s="2329"/>
      <c r="IDY272" s="2329"/>
      <c r="IDZ272" s="2329"/>
      <c r="IEA272" s="2329"/>
      <c r="IEB272" s="2329"/>
      <c r="IEC272" s="2329"/>
      <c r="IED272" s="2329"/>
      <c r="IEE272" s="2329"/>
      <c r="IEF272" s="2329"/>
      <c r="IEG272" s="2329"/>
      <c r="IEH272" s="2329"/>
      <c r="IEI272" s="2329"/>
      <c r="IEJ272" s="2328"/>
      <c r="IEK272" s="2329"/>
      <c r="IEL272" s="2329"/>
      <c r="IEM272" s="2329"/>
      <c r="IEN272" s="2329"/>
      <c r="IEO272" s="2329"/>
      <c r="IEP272" s="2329"/>
      <c r="IEQ272" s="2329"/>
      <c r="IER272" s="2329"/>
      <c r="IES272" s="2329"/>
      <c r="IET272" s="2329"/>
      <c r="IEU272" s="2329"/>
      <c r="IEV272" s="2329"/>
      <c r="IEW272" s="2329"/>
      <c r="IEX272" s="2329"/>
      <c r="IEY272" s="2329"/>
      <c r="IEZ272" s="2328"/>
      <c r="IFA272" s="2329"/>
      <c r="IFB272" s="2329"/>
      <c r="IFC272" s="2329"/>
      <c r="IFD272" s="2329"/>
      <c r="IFE272" s="2329"/>
      <c r="IFF272" s="2329"/>
      <c r="IFG272" s="2329"/>
      <c r="IFH272" s="2329"/>
      <c r="IFI272" s="2329"/>
      <c r="IFJ272" s="2329"/>
      <c r="IFK272" s="2329"/>
      <c r="IFL272" s="2329"/>
      <c r="IFM272" s="2329"/>
      <c r="IFN272" s="2329"/>
      <c r="IFO272" s="2329"/>
      <c r="IFP272" s="2328"/>
      <c r="IFQ272" s="2329"/>
      <c r="IFR272" s="2329"/>
      <c r="IFS272" s="2329"/>
      <c r="IFT272" s="2329"/>
      <c r="IFU272" s="2329"/>
      <c r="IFV272" s="2329"/>
      <c r="IFW272" s="2329"/>
      <c r="IFX272" s="2329"/>
      <c r="IFY272" s="2329"/>
      <c r="IFZ272" s="2329"/>
      <c r="IGA272" s="2329"/>
      <c r="IGB272" s="2329"/>
      <c r="IGC272" s="2329"/>
      <c r="IGD272" s="2329"/>
      <c r="IGE272" s="2329"/>
      <c r="IGF272" s="2328"/>
      <c r="IGG272" s="2329"/>
      <c r="IGH272" s="2329"/>
      <c r="IGI272" s="2329"/>
      <c r="IGJ272" s="2329"/>
      <c r="IGK272" s="2329"/>
      <c r="IGL272" s="2329"/>
      <c r="IGM272" s="2329"/>
      <c r="IGN272" s="2329"/>
      <c r="IGO272" s="2329"/>
      <c r="IGP272" s="2329"/>
      <c r="IGQ272" s="2329"/>
      <c r="IGR272" s="2329"/>
      <c r="IGS272" s="2329"/>
      <c r="IGT272" s="2329"/>
      <c r="IGU272" s="2329"/>
      <c r="IGV272" s="2328"/>
      <c r="IGW272" s="2329"/>
      <c r="IGX272" s="2329"/>
      <c r="IGY272" s="2329"/>
      <c r="IGZ272" s="2329"/>
      <c r="IHA272" s="2329"/>
      <c r="IHB272" s="2329"/>
      <c r="IHC272" s="2329"/>
      <c r="IHD272" s="2329"/>
      <c r="IHE272" s="2329"/>
      <c r="IHF272" s="2329"/>
      <c r="IHG272" s="2329"/>
      <c r="IHH272" s="2329"/>
      <c r="IHI272" s="2329"/>
      <c r="IHJ272" s="2329"/>
      <c r="IHK272" s="2329"/>
      <c r="IHL272" s="2328"/>
      <c r="IHM272" s="2329"/>
      <c r="IHN272" s="2329"/>
      <c r="IHO272" s="2329"/>
      <c r="IHP272" s="2329"/>
      <c r="IHQ272" s="2329"/>
      <c r="IHR272" s="2329"/>
      <c r="IHS272" s="2329"/>
      <c r="IHT272" s="2329"/>
      <c r="IHU272" s="2329"/>
      <c r="IHV272" s="2329"/>
      <c r="IHW272" s="2329"/>
      <c r="IHX272" s="2329"/>
      <c r="IHY272" s="2329"/>
      <c r="IHZ272" s="2329"/>
      <c r="IIA272" s="2329"/>
      <c r="IIB272" s="2328"/>
      <c r="IIC272" s="2329"/>
      <c r="IID272" s="2329"/>
      <c r="IIE272" s="2329"/>
      <c r="IIF272" s="2329"/>
      <c r="IIG272" s="2329"/>
      <c r="IIH272" s="2329"/>
      <c r="III272" s="2329"/>
      <c r="IIJ272" s="2329"/>
      <c r="IIK272" s="2329"/>
      <c r="IIL272" s="2329"/>
      <c r="IIM272" s="2329"/>
      <c r="IIN272" s="2329"/>
      <c r="IIO272" s="2329"/>
      <c r="IIP272" s="2329"/>
      <c r="IIQ272" s="2329"/>
      <c r="IIR272" s="2328"/>
      <c r="IIS272" s="2329"/>
      <c r="IIT272" s="2329"/>
      <c r="IIU272" s="2329"/>
      <c r="IIV272" s="2329"/>
      <c r="IIW272" s="2329"/>
      <c r="IIX272" s="2329"/>
      <c r="IIY272" s="2329"/>
      <c r="IIZ272" s="2329"/>
      <c r="IJA272" s="2329"/>
      <c r="IJB272" s="2329"/>
      <c r="IJC272" s="2329"/>
      <c r="IJD272" s="2329"/>
      <c r="IJE272" s="2329"/>
      <c r="IJF272" s="2329"/>
      <c r="IJG272" s="2329"/>
      <c r="IJH272" s="2328"/>
      <c r="IJI272" s="2329"/>
      <c r="IJJ272" s="2329"/>
      <c r="IJK272" s="2329"/>
      <c r="IJL272" s="2329"/>
      <c r="IJM272" s="2329"/>
      <c r="IJN272" s="2329"/>
      <c r="IJO272" s="2329"/>
      <c r="IJP272" s="2329"/>
      <c r="IJQ272" s="2329"/>
      <c r="IJR272" s="2329"/>
      <c r="IJS272" s="2329"/>
      <c r="IJT272" s="2329"/>
      <c r="IJU272" s="2329"/>
      <c r="IJV272" s="2329"/>
      <c r="IJW272" s="2329"/>
      <c r="IJX272" s="2328"/>
      <c r="IJY272" s="2329"/>
      <c r="IJZ272" s="2329"/>
      <c r="IKA272" s="2329"/>
      <c r="IKB272" s="2329"/>
      <c r="IKC272" s="2329"/>
      <c r="IKD272" s="2329"/>
      <c r="IKE272" s="2329"/>
      <c r="IKF272" s="2329"/>
      <c r="IKG272" s="2329"/>
      <c r="IKH272" s="2329"/>
      <c r="IKI272" s="2329"/>
      <c r="IKJ272" s="2329"/>
      <c r="IKK272" s="2329"/>
      <c r="IKL272" s="2329"/>
      <c r="IKM272" s="2329"/>
      <c r="IKN272" s="2328"/>
      <c r="IKO272" s="2329"/>
      <c r="IKP272" s="2329"/>
      <c r="IKQ272" s="2329"/>
      <c r="IKR272" s="2329"/>
      <c r="IKS272" s="2329"/>
      <c r="IKT272" s="2329"/>
      <c r="IKU272" s="2329"/>
      <c r="IKV272" s="2329"/>
      <c r="IKW272" s="2329"/>
      <c r="IKX272" s="2329"/>
      <c r="IKY272" s="2329"/>
      <c r="IKZ272" s="2329"/>
      <c r="ILA272" s="2329"/>
      <c r="ILB272" s="2329"/>
      <c r="ILC272" s="2329"/>
      <c r="ILD272" s="2328"/>
      <c r="ILE272" s="2329"/>
      <c r="ILF272" s="2329"/>
      <c r="ILG272" s="2329"/>
      <c r="ILH272" s="2329"/>
      <c r="ILI272" s="2329"/>
      <c r="ILJ272" s="2329"/>
      <c r="ILK272" s="2329"/>
      <c r="ILL272" s="2329"/>
      <c r="ILM272" s="2329"/>
      <c r="ILN272" s="2329"/>
      <c r="ILO272" s="2329"/>
      <c r="ILP272" s="2329"/>
      <c r="ILQ272" s="2329"/>
      <c r="ILR272" s="2329"/>
      <c r="ILS272" s="2329"/>
      <c r="ILT272" s="2328"/>
      <c r="ILU272" s="2329"/>
      <c r="ILV272" s="2329"/>
      <c r="ILW272" s="2329"/>
      <c r="ILX272" s="2329"/>
      <c r="ILY272" s="2329"/>
      <c r="ILZ272" s="2329"/>
      <c r="IMA272" s="2329"/>
      <c r="IMB272" s="2329"/>
      <c r="IMC272" s="2329"/>
      <c r="IMD272" s="2329"/>
      <c r="IME272" s="2329"/>
      <c r="IMF272" s="2329"/>
      <c r="IMG272" s="2329"/>
      <c r="IMH272" s="2329"/>
      <c r="IMI272" s="2329"/>
      <c r="IMJ272" s="2328"/>
      <c r="IMK272" s="2329"/>
      <c r="IML272" s="2329"/>
      <c r="IMM272" s="2329"/>
      <c r="IMN272" s="2329"/>
      <c r="IMO272" s="2329"/>
      <c r="IMP272" s="2329"/>
      <c r="IMQ272" s="2329"/>
      <c r="IMR272" s="2329"/>
      <c r="IMS272" s="2329"/>
      <c r="IMT272" s="2329"/>
      <c r="IMU272" s="2329"/>
      <c r="IMV272" s="2329"/>
      <c r="IMW272" s="2329"/>
      <c r="IMX272" s="2329"/>
      <c r="IMY272" s="2329"/>
      <c r="IMZ272" s="2328"/>
      <c r="INA272" s="2329"/>
      <c r="INB272" s="2329"/>
      <c r="INC272" s="2329"/>
      <c r="IND272" s="2329"/>
      <c r="INE272" s="2329"/>
      <c r="INF272" s="2329"/>
      <c r="ING272" s="2329"/>
      <c r="INH272" s="2329"/>
      <c r="INI272" s="2329"/>
      <c r="INJ272" s="2329"/>
      <c r="INK272" s="2329"/>
      <c r="INL272" s="2329"/>
      <c r="INM272" s="2329"/>
      <c r="INN272" s="2329"/>
      <c r="INO272" s="2329"/>
      <c r="INP272" s="2328"/>
      <c r="INQ272" s="2329"/>
      <c r="INR272" s="2329"/>
      <c r="INS272" s="2329"/>
      <c r="INT272" s="2329"/>
      <c r="INU272" s="2329"/>
      <c r="INV272" s="2329"/>
      <c r="INW272" s="2329"/>
      <c r="INX272" s="2329"/>
      <c r="INY272" s="2329"/>
      <c r="INZ272" s="2329"/>
      <c r="IOA272" s="2329"/>
      <c r="IOB272" s="2329"/>
      <c r="IOC272" s="2329"/>
      <c r="IOD272" s="2329"/>
      <c r="IOE272" s="2329"/>
      <c r="IOF272" s="2328"/>
      <c r="IOG272" s="2329"/>
      <c r="IOH272" s="2329"/>
      <c r="IOI272" s="2329"/>
      <c r="IOJ272" s="2329"/>
      <c r="IOK272" s="2329"/>
      <c r="IOL272" s="2329"/>
      <c r="IOM272" s="2329"/>
      <c r="ION272" s="2329"/>
      <c r="IOO272" s="2329"/>
      <c r="IOP272" s="2329"/>
      <c r="IOQ272" s="2329"/>
      <c r="IOR272" s="2329"/>
      <c r="IOS272" s="2329"/>
      <c r="IOT272" s="2329"/>
      <c r="IOU272" s="2329"/>
      <c r="IOV272" s="2328"/>
      <c r="IOW272" s="2329"/>
      <c r="IOX272" s="2329"/>
      <c r="IOY272" s="2329"/>
      <c r="IOZ272" s="2329"/>
      <c r="IPA272" s="2329"/>
      <c r="IPB272" s="2329"/>
      <c r="IPC272" s="2329"/>
      <c r="IPD272" s="2329"/>
      <c r="IPE272" s="2329"/>
      <c r="IPF272" s="2329"/>
      <c r="IPG272" s="2329"/>
      <c r="IPH272" s="2329"/>
      <c r="IPI272" s="2329"/>
      <c r="IPJ272" s="2329"/>
      <c r="IPK272" s="2329"/>
      <c r="IPL272" s="2328"/>
      <c r="IPM272" s="2329"/>
      <c r="IPN272" s="2329"/>
      <c r="IPO272" s="2329"/>
      <c r="IPP272" s="2329"/>
      <c r="IPQ272" s="2329"/>
      <c r="IPR272" s="2329"/>
      <c r="IPS272" s="2329"/>
      <c r="IPT272" s="2329"/>
      <c r="IPU272" s="2329"/>
      <c r="IPV272" s="2329"/>
      <c r="IPW272" s="2329"/>
      <c r="IPX272" s="2329"/>
      <c r="IPY272" s="2329"/>
      <c r="IPZ272" s="2329"/>
      <c r="IQA272" s="2329"/>
      <c r="IQB272" s="2328"/>
      <c r="IQC272" s="2329"/>
      <c r="IQD272" s="2329"/>
      <c r="IQE272" s="2329"/>
      <c r="IQF272" s="2329"/>
      <c r="IQG272" s="2329"/>
      <c r="IQH272" s="2329"/>
      <c r="IQI272" s="2329"/>
      <c r="IQJ272" s="2329"/>
      <c r="IQK272" s="2329"/>
      <c r="IQL272" s="2329"/>
      <c r="IQM272" s="2329"/>
      <c r="IQN272" s="2329"/>
      <c r="IQO272" s="2329"/>
      <c r="IQP272" s="2329"/>
      <c r="IQQ272" s="2329"/>
      <c r="IQR272" s="2328"/>
      <c r="IQS272" s="2329"/>
      <c r="IQT272" s="2329"/>
      <c r="IQU272" s="2329"/>
      <c r="IQV272" s="2329"/>
      <c r="IQW272" s="2329"/>
      <c r="IQX272" s="2329"/>
      <c r="IQY272" s="2329"/>
      <c r="IQZ272" s="2329"/>
      <c r="IRA272" s="2329"/>
      <c r="IRB272" s="2329"/>
      <c r="IRC272" s="2329"/>
      <c r="IRD272" s="2329"/>
      <c r="IRE272" s="2329"/>
      <c r="IRF272" s="2329"/>
      <c r="IRG272" s="2329"/>
      <c r="IRH272" s="2328"/>
      <c r="IRI272" s="2329"/>
      <c r="IRJ272" s="2329"/>
      <c r="IRK272" s="2329"/>
      <c r="IRL272" s="2329"/>
      <c r="IRM272" s="2329"/>
      <c r="IRN272" s="2329"/>
      <c r="IRO272" s="2329"/>
      <c r="IRP272" s="2329"/>
      <c r="IRQ272" s="2329"/>
      <c r="IRR272" s="2329"/>
      <c r="IRS272" s="2329"/>
      <c r="IRT272" s="2329"/>
      <c r="IRU272" s="2329"/>
      <c r="IRV272" s="2329"/>
      <c r="IRW272" s="2329"/>
      <c r="IRX272" s="2328"/>
      <c r="IRY272" s="2329"/>
      <c r="IRZ272" s="2329"/>
      <c r="ISA272" s="2329"/>
      <c r="ISB272" s="2329"/>
      <c r="ISC272" s="2329"/>
      <c r="ISD272" s="2329"/>
      <c r="ISE272" s="2329"/>
      <c r="ISF272" s="2329"/>
      <c r="ISG272" s="2329"/>
      <c r="ISH272" s="2329"/>
      <c r="ISI272" s="2329"/>
      <c r="ISJ272" s="2329"/>
      <c r="ISK272" s="2329"/>
      <c r="ISL272" s="2329"/>
      <c r="ISM272" s="2329"/>
      <c r="ISN272" s="2328"/>
      <c r="ISO272" s="2329"/>
      <c r="ISP272" s="2329"/>
      <c r="ISQ272" s="2329"/>
      <c r="ISR272" s="2329"/>
      <c r="ISS272" s="2329"/>
      <c r="IST272" s="2329"/>
      <c r="ISU272" s="2329"/>
      <c r="ISV272" s="2329"/>
      <c r="ISW272" s="2329"/>
      <c r="ISX272" s="2329"/>
      <c r="ISY272" s="2329"/>
      <c r="ISZ272" s="2329"/>
      <c r="ITA272" s="2329"/>
      <c r="ITB272" s="2329"/>
      <c r="ITC272" s="2329"/>
      <c r="ITD272" s="2328"/>
      <c r="ITE272" s="2329"/>
      <c r="ITF272" s="2329"/>
      <c r="ITG272" s="2329"/>
      <c r="ITH272" s="2329"/>
      <c r="ITI272" s="2329"/>
      <c r="ITJ272" s="2329"/>
      <c r="ITK272" s="2329"/>
      <c r="ITL272" s="2329"/>
      <c r="ITM272" s="2329"/>
      <c r="ITN272" s="2329"/>
      <c r="ITO272" s="2329"/>
      <c r="ITP272" s="2329"/>
      <c r="ITQ272" s="2329"/>
      <c r="ITR272" s="2329"/>
      <c r="ITS272" s="2329"/>
      <c r="ITT272" s="2328"/>
      <c r="ITU272" s="2329"/>
      <c r="ITV272" s="2329"/>
      <c r="ITW272" s="2329"/>
      <c r="ITX272" s="2329"/>
      <c r="ITY272" s="2329"/>
      <c r="ITZ272" s="2329"/>
      <c r="IUA272" s="2329"/>
      <c r="IUB272" s="2329"/>
      <c r="IUC272" s="2329"/>
      <c r="IUD272" s="2329"/>
      <c r="IUE272" s="2329"/>
      <c r="IUF272" s="2329"/>
      <c r="IUG272" s="2329"/>
      <c r="IUH272" s="2329"/>
      <c r="IUI272" s="2329"/>
      <c r="IUJ272" s="2328"/>
      <c r="IUK272" s="2329"/>
      <c r="IUL272" s="2329"/>
      <c r="IUM272" s="2329"/>
      <c r="IUN272" s="2329"/>
      <c r="IUO272" s="2329"/>
      <c r="IUP272" s="2329"/>
      <c r="IUQ272" s="2329"/>
      <c r="IUR272" s="2329"/>
      <c r="IUS272" s="2329"/>
      <c r="IUT272" s="2329"/>
      <c r="IUU272" s="2329"/>
      <c r="IUV272" s="2329"/>
      <c r="IUW272" s="2329"/>
      <c r="IUX272" s="2329"/>
      <c r="IUY272" s="2329"/>
      <c r="IUZ272" s="2328"/>
      <c r="IVA272" s="2329"/>
      <c r="IVB272" s="2329"/>
      <c r="IVC272" s="2329"/>
      <c r="IVD272" s="2329"/>
      <c r="IVE272" s="2329"/>
      <c r="IVF272" s="2329"/>
      <c r="IVG272" s="2329"/>
      <c r="IVH272" s="2329"/>
      <c r="IVI272" s="2329"/>
      <c r="IVJ272" s="2329"/>
      <c r="IVK272" s="2329"/>
      <c r="IVL272" s="2329"/>
      <c r="IVM272" s="2329"/>
      <c r="IVN272" s="2329"/>
      <c r="IVO272" s="2329"/>
      <c r="IVP272" s="2328"/>
      <c r="IVQ272" s="2329"/>
      <c r="IVR272" s="2329"/>
      <c r="IVS272" s="2329"/>
      <c r="IVT272" s="2329"/>
      <c r="IVU272" s="2329"/>
      <c r="IVV272" s="2329"/>
      <c r="IVW272" s="2329"/>
      <c r="IVX272" s="2329"/>
      <c r="IVY272" s="2329"/>
      <c r="IVZ272" s="2329"/>
      <c r="IWA272" s="2329"/>
      <c r="IWB272" s="2329"/>
      <c r="IWC272" s="2329"/>
      <c r="IWD272" s="2329"/>
      <c r="IWE272" s="2329"/>
      <c r="IWF272" s="2328"/>
      <c r="IWG272" s="2329"/>
      <c r="IWH272" s="2329"/>
      <c r="IWI272" s="2329"/>
      <c r="IWJ272" s="2329"/>
      <c r="IWK272" s="2329"/>
      <c r="IWL272" s="2329"/>
      <c r="IWM272" s="2329"/>
      <c r="IWN272" s="2329"/>
      <c r="IWO272" s="2329"/>
      <c r="IWP272" s="2329"/>
      <c r="IWQ272" s="2329"/>
      <c r="IWR272" s="2329"/>
      <c r="IWS272" s="2329"/>
      <c r="IWT272" s="2329"/>
      <c r="IWU272" s="2329"/>
      <c r="IWV272" s="2328"/>
      <c r="IWW272" s="2329"/>
      <c r="IWX272" s="2329"/>
      <c r="IWY272" s="2329"/>
      <c r="IWZ272" s="2329"/>
      <c r="IXA272" s="2329"/>
      <c r="IXB272" s="2329"/>
      <c r="IXC272" s="2329"/>
      <c r="IXD272" s="2329"/>
      <c r="IXE272" s="2329"/>
      <c r="IXF272" s="2329"/>
      <c r="IXG272" s="2329"/>
      <c r="IXH272" s="2329"/>
      <c r="IXI272" s="2329"/>
      <c r="IXJ272" s="2329"/>
      <c r="IXK272" s="2329"/>
      <c r="IXL272" s="2328"/>
      <c r="IXM272" s="2329"/>
      <c r="IXN272" s="2329"/>
      <c r="IXO272" s="2329"/>
      <c r="IXP272" s="2329"/>
      <c r="IXQ272" s="2329"/>
      <c r="IXR272" s="2329"/>
      <c r="IXS272" s="2329"/>
      <c r="IXT272" s="2329"/>
      <c r="IXU272" s="2329"/>
      <c r="IXV272" s="2329"/>
      <c r="IXW272" s="2329"/>
      <c r="IXX272" s="2329"/>
      <c r="IXY272" s="2329"/>
      <c r="IXZ272" s="2329"/>
      <c r="IYA272" s="2329"/>
      <c r="IYB272" s="2328"/>
      <c r="IYC272" s="2329"/>
      <c r="IYD272" s="2329"/>
      <c r="IYE272" s="2329"/>
      <c r="IYF272" s="2329"/>
      <c r="IYG272" s="2329"/>
      <c r="IYH272" s="2329"/>
      <c r="IYI272" s="2329"/>
      <c r="IYJ272" s="2329"/>
      <c r="IYK272" s="2329"/>
      <c r="IYL272" s="2329"/>
      <c r="IYM272" s="2329"/>
      <c r="IYN272" s="2329"/>
      <c r="IYO272" s="2329"/>
      <c r="IYP272" s="2329"/>
      <c r="IYQ272" s="2329"/>
      <c r="IYR272" s="2328"/>
      <c r="IYS272" s="2329"/>
      <c r="IYT272" s="2329"/>
      <c r="IYU272" s="2329"/>
      <c r="IYV272" s="2329"/>
      <c r="IYW272" s="2329"/>
      <c r="IYX272" s="2329"/>
      <c r="IYY272" s="2329"/>
      <c r="IYZ272" s="2329"/>
      <c r="IZA272" s="2329"/>
      <c r="IZB272" s="2329"/>
      <c r="IZC272" s="2329"/>
      <c r="IZD272" s="2329"/>
      <c r="IZE272" s="2329"/>
      <c r="IZF272" s="2329"/>
      <c r="IZG272" s="2329"/>
      <c r="IZH272" s="2328"/>
      <c r="IZI272" s="2329"/>
      <c r="IZJ272" s="2329"/>
      <c r="IZK272" s="2329"/>
      <c r="IZL272" s="2329"/>
      <c r="IZM272" s="2329"/>
      <c r="IZN272" s="2329"/>
      <c r="IZO272" s="2329"/>
      <c r="IZP272" s="2329"/>
      <c r="IZQ272" s="2329"/>
      <c r="IZR272" s="2329"/>
      <c r="IZS272" s="2329"/>
      <c r="IZT272" s="2329"/>
      <c r="IZU272" s="2329"/>
      <c r="IZV272" s="2329"/>
      <c r="IZW272" s="2329"/>
      <c r="IZX272" s="2328"/>
      <c r="IZY272" s="2329"/>
      <c r="IZZ272" s="2329"/>
      <c r="JAA272" s="2329"/>
      <c r="JAB272" s="2329"/>
      <c r="JAC272" s="2329"/>
      <c r="JAD272" s="2329"/>
      <c r="JAE272" s="2329"/>
      <c r="JAF272" s="2329"/>
      <c r="JAG272" s="2329"/>
      <c r="JAH272" s="2329"/>
      <c r="JAI272" s="2329"/>
      <c r="JAJ272" s="2329"/>
      <c r="JAK272" s="2329"/>
      <c r="JAL272" s="2329"/>
      <c r="JAM272" s="2329"/>
      <c r="JAN272" s="2328"/>
      <c r="JAO272" s="2329"/>
      <c r="JAP272" s="2329"/>
      <c r="JAQ272" s="2329"/>
      <c r="JAR272" s="2329"/>
      <c r="JAS272" s="2329"/>
      <c r="JAT272" s="2329"/>
      <c r="JAU272" s="2329"/>
      <c r="JAV272" s="2329"/>
      <c r="JAW272" s="2329"/>
      <c r="JAX272" s="2329"/>
      <c r="JAY272" s="2329"/>
      <c r="JAZ272" s="2329"/>
      <c r="JBA272" s="2329"/>
      <c r="JBB272" s="2329"/>
      <c r="JBC272" s="2329"/>
      <c r="JBD272" s="2328"/>
      <c r="JBE272" s="2329"/>
      <c r="JBF272" s="2329"/>
      <c r="JBG272" s="2329"/>
      <c r="JBH272" s="2329"/>
      <c r="JBI272" s="2329"/>
      <c r="JBJ272" s="2329"/>
      <c r="JBK272" s="2329"/>
      <c r="JBL272" s="2329"/>
      <c r="JBM272" s="2329"/>
      <c r="JBN272" s="2329"/>
      <c r="JBO272" s="2329"/>
      <c r="JBP272" s="2329"/>
      <c r="JBQ272" s="2329"/>
      <c r="JBR272" s="2329"/>
      <c r="JBS272" s="2329"/>
      <c r="JBT272" s="2328"/>
      <c r="JBU272" s="2329"/>
      <c r="JBV272" s="2329"/>
      <c r="JBW272" s="2329"/>
      <c r="JBX272" s="2329"/>
      <c r="JBY272" s="2329"/>
      <c r="JBZ272" s="2329"/>
      <c r="JCA272" s="2329"/>
      <c r="JCB272" s="2329"/>
      <c r="JCC272" s="2329"/>
      <c r="JCD272" s="2329"/>
      <c r="JCE272" s="2329"/>
      <c r="JCF272" s="2329"/>
      <c r="JCG272" s="2329"/>
      <c r="JCH272" s="2329"/>
      <c r="JCI272" s="2329"/>
      <c r="JCJ272" s="2328"/>
      <c r="JCK272" s="2329"/>
      <c r="JCL272" s="2329"/>
      <c r="JCM272" s="2329"/>
      <c r="JCN272" s="2329"/>
      <c r="JCO272" s="2329"/>
      <c r="JCP272" s="2329"/>
      <c r="JCQ272" s="2329"/>
      <c r="JCR272" s="2329"/>
      <c r="JCS272" s="2329"/>
      <c r="JCT272" s="2329"/>
      <c r="JCU272" s="2329"/>
      <c r="JCV272" s="2329"/>
      <c r="JCW272" s="2329"/>
      <c r="JCX272" s="2329"/>
      <c r="JCY272" s="2329"/>
      <c r="JCZ272" s="2328"/>
      <c r="JDA272" s="2329"/>
      <c r="JDB272" s="2329"/>
      <c r="JDC272" s="2329"/>
      <c r="JDD272" s="2329"/>
      <c r="JDE272" s="2329"/>
      <c r="JDF272" s="2329"/>
      <c r="JDG272" s="2329"/>
      <c r="JDH272" s="2329"/>
      <c r="JDI272" s="2329"/>
      <c r="JDJ272" s="2329"/>
      <c r="JDK272" s="2329"/>
      <c r="JDL272" s="2329"/>
      <c r="JDM272" s="2329"/>
      <c r="JDN272" s="2329"/>
      <c r="JDO272" s="2329"/>
      <c r="JDP272" s="2328"/>
      <c r="JDQ272" s="2329"/>
      <c r="JDR272" s="2329"/>
      <c r="JDS272" s="2329"/>
      <c r="JDT272" s="2329"/>
      <c r="JDU272" s="2329"/>
      <c r="JDV272" s="2329"/>
      <c r="JDW272" s="2329"/>
      <c r="JDX272" s="2329"/>
      <c r="JDY272" s="2329"/>
      <c r="JDZ272" s="2329"/>
      <c r="JEA272" s="2329"/>
      <c r="JEB272" s="2329"/>
      <c r="JEC272" s="2329"/>
      <c r="JED272" s="2329"/>
      <c r="JEE272" s="2329"/>
      <c r="JEF272" s="2328"/>
      <c r="JEG272" s="2329"/>
      <c r="JEH272" s="2329"/>
      <c r="JEI272" s="2329"/>
      <c r="JEJ272" s="2329"/>
      <c r="JEK272" s="2329"/>
      <c r="JEL272" s="2329"/>
      <c r="JEM272" s="2329"/>
      <c r="JEN272" s="2329"/>
      <c r="JEO272" s="2329"/>
      <c r="JEP272" s="2329"/>
      <c r="JEQ272" s="2329"/>
      <c r="JER272" s="2329"/>
      <c r="JES272" s="2329"/>
      <c r="JET272" s="2329"/>
      <c r="JEU272" s="2329"/>
      <c r="JEV272" s="2328"/>
      <c r="JEW272" s="2329"/>
      <c r="JEX272" s="2329"/>
      <c r="JEY272" s="2329"/>
      <c r="JEZ272" s="2329"/>
      <c r="JFA272" s="2329"/>
      <c r="JFB272" s="2329"/>
      <c r="JFC272" s="2329"/>
      <c r="JFD272" s="2329"/>
      <c r="JFE272" s="2329"/>
      <c r="JFF272" s="2329"/>
      <c r="JFG272" s="2329"/>
      <c r="JFH272" s="2329"/>
      <c r="JFI272" s="2329"/>
      <c r="JFJ272" s="2329"/>
      <c r="JFK272" s="2329"/>
      <c r="JFL272" s="2328"/>
      <c r="JFM272" s="2329"/>
      <c r="JFN272" s="2329"/>
      <c r="JFO272" s="2329"/>
      <c r="JFP272" s="2329"/>
      <c r="JFQ272" s="2329"/>
      <c r="JFR272" s="2329"/>
      <c r="JFS272" s="2329"/>
      <c r="JFT272" s="2329"/>
      <c r="JFU272" s="2329"/>
      <c r="JFV272" s="2329"/>
      <c r="JFW272" s="2329"/>
      <c r="JFX272" s="2329"/>
      <c r="JFY272" s="2329"/>
      <c r="JFZ272" s="2329"/>
      <c r="JGA272" s="2329"/>
      <c r="JGB272" s="2328"/>
      <c r="JGC272" s="2329"/>
      <c r="JGD272" s="2329"/>
      <c r="JGE272" s="2329"/>
      <c r="JGF272" s="2329"/>
      <c r="JGG272" s="2329"/>
      <c r="JGH272" s="2329"/>
      <c r="JGI272" s="2329"/>
      <c r="JGJ272" s="2329"/>
      <c r="JGK272" s="2329"/>
      <c r="JGL272" s="2329"/>
      <c r="JGM272" s="2329"/>
      <c r="JGN272" s="2329"/>
      <c r="JGO272" s="2329"/>
      <c r="JGP272" s="2329"/>
      <c r="JGQ272" s="2329"/>
      <c r="JGR272" s="2328"/>
      <c r="JGS272" s="2329"/>
      <c r="JGT272" s="2329"/>
      <c r="JGU272" s="2329"/>
      <c r="JGV272" s="2329"/>
      <c r="JGW272" s="2329"/>
      <c r="JGX272" s="2329"/>
      <c r="JGY272" s="2329"/>
      <c r="JGZ272" s="2329"/>
      <c r="JHA272" s="2329"/>
      <c r="JHB272" s="2329"/>
      <c r="JHC272" s="2329"/>
      <c r="JHD272" s="2329"/>
      <c r="JHE272" s="2329"/>
      <c r="JHF272" s="2329"/>
      <c r="JHG272" s="2329"/>
      <c r="JHH272" s="2328"/>
      <c r="JHI272" s="2329"/>
      <c r="JHJ272" s="2329"/>
      <c r="JHK272" s="2329"/>
      <c r="JHL272" s="2329"/>
      <c r="JHM272" s="2329"/>
      <c r="JHN272" s="2329"/>
      <c r="JHO272" s="2329"/>
      <c r="JHP272" s="2329"/>
      <c r="JHQ272" s="2329"/>
      <c r="JHR272" s="2329"/>
      <c r="JHS272" s="2329"/>
      <c r="JHT272" s="2329"/>
      <c r="JHU272" s="2329"/>
      <c r="JHV272" s="2329"/>
      <c r="JHW272" s="2329"/>
      <c r="JHX272" s="2328"/>
      <c r="JHY272" s="2329"/>
      <c r="JHZ272" s="2329"/>
      <c r="JIA272" s="2329"/>
      <c r="JIB272" s="2329"/>
      <c r="JIC272" s="2329"/>
      <c r="JID272" s="2329"/>
      <c r="JIE272" s="2329"/>
      <c r="JIF272" s="2329"/>
      <c r="JIG272" s="2329"/>
      <c r="JIH272" s="2329"/>
      <c r="JII272" s="2329"/>
      <c r="JIJ272" s="2329"/>
      <c r="JIK272" s="2329"/>
      <c r="JIL272" s="2329"/>
      <c r="JIM272" s="2329"/>
      <c r="JIN272" s="2328"/>
      <c r="JIO272" s="2329"/>
      <c r="JIP272" s="2329"/>
      <c r="JIQ272" s="2329"/>
      <c r="JIR272" s="2329"/>
      <c r="JIS272" s="2329"/>
      <c r="JIT272" s="2329"/>
      <c r="JIU272" s="2329"/>
      <c r="JIV272" s="2329"/>
      <c r="JIW272" s="2329"/>
      <c r="JIX272" s="2329"/>
      <c r="JIY272" s="2329"/>
      <c r="JIZ272" s="2329"/>
      <c r="JJA272" s="2329"/>
      <c r="JJB272" s="2329"/>
      <c r="JJC272" s="2329"/>
      <c r="JJD272" s="2328"/>
      <c r="JJE272" s="2329"/>
      <c r="JJF272" s="2329"/>
      <c r="JJG272" s="2329"/>
      <c r="JJH272" s="2329"/>
      <c r="JJI272" s="2329"/>
      <c r="JJJ272" s="2329"/>
      <c r="JJK272" s="2329"/>
      <c r="JJL272" s="2329"/>
      <c r="JJM272" s="2329"/>
      <c r="JJN272" s="2329"/>
      <c r="JJO272" s="2329"/>
      <c r="JJP272" s="2329"/>
      <c r="JJQ272" s="2329"/>
      <c r="JJR272" s="2329"/>
      <c r="JJS272" s="2329"/>
      <c r="JJT272" s="2328"/>
      <c r="JJU272" s="2329"/>
      <c r="JJV272" s="2329"/>
      <c r="JJW272" s="2329"/>
      <c r="JJX272" s="2329"/>
      <c r="JJY272" s="2329"/>
      <c r="JJZ272" s="2329"/>
      <c r="JKA272" s="2329"/>
      <c r="JKB272" s="2329"/>
      <c r="JKC272" s="2329"/>
      <c r="JKD272" s="2329"/>
      <c r="JKE272" s="2329"/>
      <c r="JKF272" s="2329"/>
      <c r="JKG272" s="2329"/>
      <c r="JKH272" s="2329"/>
      <c r="JKI272" s="2329"/>
      <c r="JKJ272" s="2328"/>
      <c r="JKK272" s="2329"/>
      <c r="JKL272" s="2329"/>
      <c r="JKM272" s="2329"/>
      <c r="JKN272" s="2329"/>
      <c r="JKO272" s="2329"/>
      <c r="JKP272" s="2329"/>
      <c r="JKQ272" s="2329"/>
      <c r="JKR272" s="2329"/>
      <c r="JKS272" s="2329"/>
      <c r="JKT272" s="2329"/>
      <c r="JKU272" s="2329"/>
      <c r="JKV272" s="2329"/>
      <c r="JKW272" s="2329"/>
      <c r="JKX272" s="2329"/>
      <c r="JKY272" s="2329"/>
      <c r="JKZ272" s="2328"/>
      <c r="JLA272" s="2329"/>
      <c r="JLB272" s="2329"/>
      <c r="JLC272" s="2329"/>
      <c r="JLD272" s="2329"/>
      <c r="JLE272" s="2329"/>
      <c r="JLF272" s="2329"/>
      <c r="JLG272" s="2329"/>
      <c r="JLH272" s="2329"/>
      <c r="JLI272" s="2329"/>
      <c r="JLJ272" s="2329"/>
      <c r="JLK272" s="2329"/>
      <c r="JLL272" s="2329"/>
      <c r="JLM272" s="2329"/>
      <c r="JLN272" s="2329"/>
      <c r="JLO272" s="2329"/>
      <c r="JLP272" s="2328"/>
      <c r="JLQ272" s="2329"/>
      <c r="JLR272" s="2329"/>
      <c r="JLS272" s="2329"/>
      <c r="JLT272" s="2329"/>
      <c r="JLU272" s="2329"/>
      <c r="JLV272" s="2329"/>
      <c r="JLW272" s="2329"/>
      <c r="JLX272" s="2329"/>
      <c r="JLY272" s="2329"/>
      <c r="JLZ272" s="2329"/>
      <c r="JMA272" s="2329"/>
      <c r="JMB272" s="2329"/>
      <c r="JMC272" s="2329"/>
      <c r="JMD272" s="2329"/>
      <c r="JME272" s="2329"/>
      <c r="JMF272" s="2328"/>
      <c r="JMG272" s="2329"/>
      <c r="JMH272" s="2329"/>
      <c r="JMI272" s="2329"/>
      <c r="JMJ272" s="2329"/>
      <c r="JMK272" s="2329"/>
      <c r="JML272" s="2329"/>
      <c r="JMM272" s="2329"/>
      <c r="JMN272" s="2329"/>
      <c r="JMO272" s="2329"/>
      <c r="JMP272" s="2329"/>
      <c r="JMQ272" s="2329"/>
      <c r="JMR272" s="2329"/>
      <c r="JMS272" s="2329"/>
      <c r="JMT272" s="2329"/>
      <c r="JMU272" s="2329"/>
      <c r="JMV272" s="2328"/>
      <c r="JMW272" s="2329"/>
      <c r="JMX272" s="2329"/>
      <c r="JMY272" s="2329"/>
      <c r="JMZ272" s="2329"/>
      <c r="JNA272" s="2329"/>
      <c r="JNB272" s="2329"/>
      <c r="JNC272" s="2329"/>
      <c r="JND272" s="2329"/>
      <c r="JNE272" s="2329"/>
      <c r="JNF272" s="2329"/>
      <c r="JNG272" s="2329"/>
      <c r="JNH272" s="2329"/>
      <c r="JNI272" s="2329"/>
      <c r="JNJ272" s="2329"/>
      <c r="JNK272" s="2329"/>
      <c r="JNL272" s="2328"/>
      <c r="JNM272" s="2329"/>
      <c r="JNN272" s="2329"/>
      <c r="JNO272" s="2329"/>
      <c r="JNP272" s="2329"/>
      <c r="JNQ272" s="2329"/>
      <c r="JNR272" s="2329"/>
      <c r="JNS272" s="2329"/>
      <c r="JNT272" s="2329"/>
      <c r="JNU272" s="2329"/>
      <c r="JNV272" s="2329"/>
      <c r="JNW272" s="2329"/>
      <c r="JNX272" s="2329"/>
      <c r="JNY272" s="2329"/>
      <c r="JNZ272" s="2329"/>
      <c r="JOA272" s="2329"/>
      <c r="JOB272" s="2328"/>
      <c r="JOC272" s="2329"/>
      <c r="JOD272" s="2329"/>
      <c r="JOE272" s="2329"/>
      <c r="JOF272" s="2329"/>
      <c r="JOG272" s="2329"/>
      <c r="JOH272" s="2329"/>
      <c r="JOI272" s="2329"/>
      <c r="JOJ272" s="2329"/>
      <c r="JOK272" s="2329"/>
      <c r="JOL272" s="2329"/>
      <c r="JOM272" s="2329"/>
      <c r="JON272" s="2329"/>
      <c r="JOO272" s="2329"/>
      <c r="JOP272" s="2329"/>
      <c r="JOQ272" s="2329"/>
      <c r="JOR272" s="2328"/>
      <c r="JOS272" s="2329"/>
      <c r="JOT272" s="2329"/>
      <c r="JOU272" s="2329"/>
      <c r="JOV272" s="2329"/>
      <c r="JOW272" s="2329"/>
      <c r="JOX272" s="2329"/>
      <c r="JOY272" s="2329"/>
      <c r="JOZ272" s="2329"/>
      <c r="JPA272" s="2329"/>
      <c r="JPB272" s="2329"/>
      <c r="JPC272" s="2329"/>
      <c r="JPD272" s="2329"/>
      <c r="JPE272" s="2329"/>
      <c r="JPF272" s="2329"/>
      <c r="JPG272" s="2329"/>
      <c r="JPH272" s="2328"/>
      <c r="JPI272" s="2329"/>
      <c r="JPJ272" s="2329"/>
      <c r="JPK272" s="2329"/>
      <c r="JPL272" s="2329"/>
      <c r="JPM272" s="2329"/>
      <c r="JPN272" s="2329"/>
      <c r="JPO272" s="2329"/>
      <c r="JPP272" s="2329"/>
      <c r="JPQ272" s="2329"/>
      <c r="JPR272" s="2329"/>
      <c r="JPS272" s="2329"/>
      <c r="JPT272" s="2329"/>
      <c r="JPU272" s="2329"/>
      <c r="JPV272" s="2329"/>
      <c r="JPW272" s="2329"/>
      <c r="JPX272" s="2328"/>
      <c r="JPY272" s="2329"/>
      <c r="JPZ272" s="2329"/>
      <c r="JQA272" s="2329"/>
      <c r="JQB272" s="2329"/>
      <c r="JQC272" s="2329"/>
      <c r="JQD272" s="2329"/>
      <c r="JQE272" s="2329"/>
      <c r="JQF272" s="2329"/>
      <c r="JQG272" s="2329"/>
      <c r="JQH272" s="2329"/>
      <c r="JQI272" s="2329"/>
      <c r="JQJ272" s="2329"/>
      <c r="JQK272" s="2329"/>
      <c r="JQL272" s="2329"/>
      <c r="JQM272" s="2329"/>
      <c r="JQN272" s="2328"/>
      <c r="JQO272" s="2329"/>
      <c r="JQP272" s="2329"/>
      <c r="JQQ272" s="2329"/>
      <c r="JQR272" s="2329"/>
      <c r="JQS272" s="2329"/>
      <c r="JQT272" s="2329"/>
      <c r="JQU272" s="2329"/>
      <c r="JQV272" s="2329"/>
      <c r="JQW272" s="2329"/>
      <c r="JQX272" s="2329"/>
      <c r="JQY272" s="2329"/>
      <c r="JQZ272" s="2329"/>
      <c r="JRA272" s="2329"/>
      <c r="JRB272" s="2329"/>
      <c r="JRC272" s="2329"/>
      <c r="JRD272" s="2328"/>
      <c r="JRE272" s="2329"/>
      <c r="JRF272" s="2329"/>
      <c r="JRG272" s="2329"/>
      <c r="JRH272" s="2329"/>
      <c r="JRI272" s="2329"/>
      <c r="JRJ272" s="2329"/>
      <c r="JRK272" s="2329"/>
      <c r="JRL272" s="2329"/>
      <c r="JRM272" s="2329"/>
      <c r="JRN272" s="2329"/>
      <c r="JRO272" s="2329"/>
      <c r="JRP272" s="2329"/>
      <c r="JRQ272" s="2329"/>
      <c r="JRR272" s="2329"/>
      <c r="JRS272" s="2329"/>
      <c r="JRT272" s="2328"/>
      <c r="JRU272" s="2329"/>
      <c r="JRV272" s="2329"/>
      <c r="JRW272" s="2329"/>
      <c r="JRX272" s="2329"/>
      <c r="JRY272" s="2329"/>
      <c r="JRZ272" s="2329"/>
      <c r="JSA272" s="2329"/>
      <c r="JSB272" s="2329"/>
      <c r="JSC272" s="2329"/>
      <c r="JSD272" s="2329"/>
      <c r="JSE272" s="2329"/>
      <c r="JSF272" s="2329"/>
      <c r="JSG272" s="2329"/>
      <c r="JSH272" s="2329"/>
      <c r="JSI272" s="2329"/>
      <c r="JSJ272" s="2328"/>
      <c r="JSK272" s="2329"/>
      <c r="JSL272" s="2329"/>
      <c r="JSM272" s="2329"/>
      <c r="JSN272" s="2329"/>
      <c r="JSO272" s="2329"/>
      <c r="JSP272" s="2329"/>
      <c r="JSQ272" s="2329"/>
      <c r="JSR272" s="2329"/>
      <c r="JSS272" s="2329"/>
      <c r="JST272" s="2329"/>
      <c r="JSU272" s="2329"/>
      <c r="JSV272" s="2329"/>
      <c r="JSW272" s="2329"/>
      <c r="JSX272" s="2329"/>
      <c r="JSY272" s="2329"/>
      <c r="JSZ272" s="2328"/>
      <c r="JTA272" s="2329"/>
      <c r="JTB272" s="2329"/>
      <c r="JTC272" s="2329"/>
      <c r="JTD272" s="2329"/>
      <c r="JTE272" s="2329"/>
      <c r="JTF272" s="2329"/>
      <c r="JTG272" s="2329"/>
      <c r="JTH272" s="2329"/>
      <c r="JTI272" s="2329"/>
      <c r="JTJ272" s="2329"/>
      <c r="JTK272" s="2329"/>
      <c r="JTL272" s="2329"/>
      <c r="JTM272" s="2329"/>
      <c r="JTN272" s="2329"/>
      <c r="JTO272" s="2329"/>
      <c r="JTP272" s="2328"/>
      <c r="JTQ272" s="2329"/>
      <c r="JTR272" s="2329"/>
      <c r="JTS272" s="2329"/>
      <c r="JTT272" s="2329"/>
      <c r="JTU272" s="2329"/>
      <c r="JTV272" s="2329"/>
      <c r="JTW272" s="2329"/>
      <c r="JTX272" s="2329"/>
      <c r="JTY272" s="2329"/>
      <c r="JTZ272" s="2329"/>
      <c r="JUA272" s="2329"/>
      <c r="JUB272" s="2329"/>
      <c r="JUC272" s="2329"/>
      <c r="JUD272" s="2329"/>
      <c r="JUE272" s="2329"/>
      <c r="JUF272" s="2328"/>
      <c r="JUG272" s="2329"/>
      <c r="JUH272" s="2329"/>
      <c r="JUI272" s="2329"/>
      <c r="JUJ272" s="2329"/>
      <c r="JUK272" s="2329"/>
      <c r="JUL272" s="2329"/>
      <c r="JUM272" s="2329"/>
      <c r="JUN272" s="2329"/>
      <c r="JUO272" s="2329"/>
      <c r="JUP272" s="2329"/>
      <c r="JUQ272" s="2329"/>
      <c r="JUR272" s="2329"/>
      <c r="JUS272" s="2329"/>
      <c r="JUT272" s="2329"/>
      <c r="JUU272" s="2329"/>
      <c r="JUV272" s="2328"/>
      <c r="JUW272" s="2329"/>
      <c r="JUX272" s="2329"/>
      <c r="JUY272" s="2329"/>
      <c r="JUZ272" s="2329"/>
      <c r="JVA272" s="2329"/>
      <c r="JVB272" s="2329"/>
      <c r="JVC272" s="2329"/>
      <c r="JVD272" s="2329"/>
      <c r="JVE272" s="2329"/>
      <c r="JVF272" s="2329"/>
      <c r="JVG272" s="2329"/>
      <c r="JVH272" s="2329"/>
      <c r="JVI272" s="2329"/>
      <c r="JVJ272" s="2329"/>
      <c r="JVK272" s="2329"/>
      <c r="JVL272" s="2328"/>
      <c r="JVM272" s="2329"/>
      <c r="JVN272" s="2329"/>
      <c r="JVO272" s="2329"/>
      <c r="JVP272" s="2329"/>
      <c r="JVQ272" s="2329"/>
      <c r="JVR272" s="2329"/>
      <c r="JVS272" s="2329"/>
      <c r="JVT272" s="2329"/>
      <c r="JVU272" s="2329"/>
      <c r="JVV272" s="2329"/>
      <c r="JVW272" s="2329"/>
      <c r="JVX272" s="2329"/>
      <c r="JVY272" s="2329"/>
      <c r="JVZ272" s="2329"/>
      <c r="JWA272" s="2329"/>
      <c r="JWB272" s="2328"/>
      <c r="JWC272" s="2329"/>
      <c r="JWD272" s="2329"/>
      <c r="JWE272" s="2329"/>
      <c r="JWF272" s="2329"/>
      <c r="JWG272" s="2329"/>
      <c r="JWH272" s="2329"/>
      <c r="JWI272" s="2329"/>
      <c r="JWJ272" s="2329"/>
      <c r="JWK272" s="2329"/>
      <c r="JWL272" s="2329"/>
      <c r="JWM272" s="2329"/>
      <c r="JWN272" s="2329"/>
      <c r="JWO272" s="2329"/>
      <c r="JWP272" s="2329"/>
      <c r="JWQ272" s="2329"/>
      <c r="JWR272" s="2328"/>
      <c r="JWS272" s="2329"/>
      <c r="JWT272" s="2329"/>
      <c r="JWU272" s="2329"/>
      <c r="JWV272" s="2329"/>
      <c r="JWW272" s="2329"/>
      <c r="JWX272" s="2329"/>
      <c r="JWY272" s="2329"/>
      <c r="JWZ272" s="2329"/>
      <c r="JXA272" s="2329"/>
      <c r="JXB272" s="2329"/>
      <c r="JXC272" s="2329"/>
      <c r="JXD272" s="2329"/>
      <c r="JXE272" s="2329"/>
      <c r="JXF272" s="2329"/>
      <c r="JXG272" s="2329"/>
      <c r="JXH272" s="2328"/>
      <c r="JXI272" s="2329"/>
      <c r="JXJ272" s="2329"/>
      <c r="JXK272" s="2329"/>
      <c r="JXL272" s="2329"/>
      <c r="JXM272" s="2329"/>
      <c r="JXN272" s="2329"/>
      <c r="JXO272" s="2329"/>
      <c r="JXP272" s="2329"/>
      <c r="JXQ272" s="2329"/>
      <c r="JXR272" s="2329"/>
      <c r="JXS272" s="2329"/>
      <c r="JXT272" s="2329"/>
      <c r="JXU272" s="2329"/>
      <c r="JXV272" s="2329"/>
      <c r="JXW272" s="2329"/>
      <c r="JXX272" s="2328"/>
      <c r="JXY272" s="2329"/>
      <c r="JXZ272" s="2329"/>
      <c r="JYA272" s="2329"/>
      <c r="JYB272" s="2329"/>
      <c r="JYC272" s="2329"/>
      <c r="JYD272" s="2329"/>
      <c r="JYE272" s="2329"/>
      <c r="JYF272" s="2329"/>
      <c r="JYG272" s="2329"/>
      <c r="JYH272" s="2329"/>
      <c r="JYI272" s="2329"/>
      <c r="JYJ272" s="2329"/>
      <c r="JYK272" s="2329"/>
      <c r="JYL272" s="2329"/>
      <c r="JYM272" s="2329"/>
      <c r="JYN272" s="2328"/>
      <c r="JYO272" s="2329"/>
      <c r="JYP272" s="2329"/>
      <c r="JYQ272" s="2329"/>
      <c r="JYR272" s="2329"/>
      <c r="JYS272" s="2329"/>
      <c r="JYT272" s="2329"/>
      <c r="JYU272" s="2329"/>
      <c r="JYV272" s="2329"/>
      <c r="JYW272" s="2329"/>
      <c r="JYX272" s="2329"/>
      <c r="JYY272" s="2329"/>
      <c r="JYZ272" s="2329"/>
      <c r="JZA272" s="2329"/>
      <c r="JZB272" s="2329"/>
      <c r="JZC272" s="2329"/>
      <c r="JZD272" s="2328"/>
      <c r="JZE272" s="2329"/>
      <c r="JZF272" s="2329"/>
      <c r="JZG272" s="2329"/>
      <c r="JZH272" s="2329"/>
      <c r="JZI272" s="2329"/>
      <c r="JZJ272" s="2329"/>
      <c r="JZK272" s="2329"/>
      <c r="JZL272" s="2329"/>
      <c r="JZM272" s="2329"/>
      <c r="JZN272" s="2329"/>
      <c r="JZO272" s="2329"/>
      <c r="JZP272" s="2329"/>
      <c r="JZQ272" s="2329"/>
      <c r="JZR272" s="2329"/>
      <c r="JZS272" s="2329"/>
      <c r="JZT272" s="2328"/>
      <c r="JZU272" s="2329"/>
      <c r="JZV272" s="2329"/>
      <c r="JZW272" s="2329"/>
      <c r="JZX272" s="2329"/>
      <c r="JZY272" s="2329"/>
      <c r="JZZ272" s="2329"/>
      <c r="KAA272" s="2329"/>
      <c r="KAB272" s="2329"/>
      <c r="KAC272" s="2329"/>
      <c r="KAD272" s="2329"/>
      <c r="KAE272" s="2329"/>
      <c r="KAF272" s="2329"/>
      <c r="KAG272" s="2329"/>
      <c r="KAH272" s="2329"/>
      <c r="KAI272" s="2329"/>
      <c r="KAJ272" s="2328"/>
      <c r="KAK272" s="2329"/>
      <c r="KAL272" s="2329"/>
      <c r="KAM272" s="2329"/>
      <c r="KAN272" s="2329"/>
      <c r="KAO272" s="2329"/>
      <c r="KAP272" s="2329"/>
      <c r="KAQ272" s="2329"/>
      <c r="KAR272" s="2329"/>
      <c r="KAS272" s="2329"/>
      <c r="KAT272" s="2329"/>
      <c r="KAU272" s="2329"/>
      <c r="KAV272" s="2329"/>
      <c r="KAW272" s="2329"/>
      <c r="KAX272" s="2329"/>
      <c r="KAY272" s="2329"/>
      <c r="KAZ272" s="2328"/>
      <c r="KBA272" s="2329"/>
      <c r="KBB272" s="2329"/>
      <c r="KBC272" s="2329"/>
      <c r="KBD272" s="2329"/>
      <c r="KBE272" s="2329"/>
      <c r="KBF272" s="2329"/>
      <c r="KBG272" s="2329"/>
      <c r="KBH272" s="2329"/>
      <c r="KBI272" s="2329"/>
      <c r="KBJ272" s="2329"/>
      <c r="KBK272" s="2329"/>
      <c r="KBL272" s="2329"/>
      <c r="KBM272" s="2329"/>
      <c r="KBN272" s="2329"/>
      <c r="KBO272" s="2329"/>
      <c r="KBP272" s="2328"/>
      <c r="KBQ272" s="2329"/>
      <c r="KBR272" s="2329"/>
      <c r="KBS272" s="2329"/>
      <c r="KBT272" s="2329"/>
      <c r="KBU272" s="2329"/>
      <c r="KBV272" s="2329"/>
      <c r="KBW272" s="2329"/>
      <c r="KBX272" s="2329"/>
      <c r="KBY272" s="2329"/>
      <c r="KBZ272" s="2329"/>
      <c r="KCA272" s="2329"/>
      <c r="KCB272" s="2329"/>
      <c r="KCC272" s="2329"/>
      <c r="KCD272" s="2329"/>
      <c r="KCE272" s="2329"/>
      <c r="KCF272" s="2328"/>
      <c r="KCG272" s="2329"/>
      <c r="KCH272" s="2329"/>
      <c r="KCI272" s="2329"/>
      <c r="KCJ272" s="2329"/>
      <c r="KCK272" s="2329"/>
      <c r="KCL272" s="2329"/>
      <c r="KCM272" s="2329"/>
      <c r="KCN272" s="2329"/>
      <c r="KCO272" s="2329"/>
      <c r="KCP272" s="2329"/>
      <c r="KCQ272" s="2329"/>
      <c r="KCR272" s="2329"/>
      <c r="KCS272" s="2329"/>
      <c r="KCT272" s="2329"/>
      <c r="KCU272" s="2329"/>
      <c r="KCV272" s="2328"/>
      <c r="KCW272" s="2329"/>
      <c r="KCX272" s="2329"/>
      <c r="KCY272" s="2329"/>
      <c r="KCZ272" s="2329"/>
      <c r="KDA272" s="2329"/>
      <c r="KDB272" s="2329"/>
      <c r="KDC272" s="2329"/>
      <c r="KDD272" s="2329"/>
      <c r="KDE272" s="2329"/>
      <c r="KDF272" s="2329"/>
      <c r="KDG272" s="2329"/>
      <c r="KDH272" s="2329"/>
      <c r="KDI272" s="2329"/>
      <c r="KDJ272" s="2329"/>
      <c r="KDK272" s="2329"/>
      <c r="KDL272" s="2328"/>
      <c r="KDM272" s="2329"/>
      <c r="KDN272" s="2329"/>
      <c r="KDO272" s="2329"/>
      <c r="KDP272" s="2329"/>
      <c r="KDQ272" s="2329"/>
      <c r="KDR272" s="2329"/>
      <c r="KDS272" s="2329"/>
      <c r="KDT272" s="2329"/>
      <c r="KDU272" s="2329"/>
      <c r="KDV272" s="2329"/>
      <c r="KDW272" s="2329"/>
      <c r="KDX272" s="2329"/>
      <c r="KDY272" s="2329"/>
      <c r="KDZ272" s="2329"/>
      <c r="KEA272" s="2329"/>
      <c r="KEB272" s="2328"/>
      <c r="KEC272" s="2329"/>
      <c r="KED272" s="2329"/>
      <c r="KEE272" s="2329"/>
      <c r="KEF272" s="2329"/>
      <c r="KEG272" s="2329"/>
      <c r="KEH272" s="2329"/>
      <c r="KEI272" s="2329"/>
      <c r="KEJ272" s="2329"/>
      <c r="KEK272" s="2329"/>
      <c r="KEL272" s="2329"/>
      <c r="KEM272" s="2329"/>
      <c r="KEN272" s="2329"/>
      <c r="KEO272" s="2329"/>
      <c r="KEP272" s="2329"/>
      <c r="KEQ272" s="2329"/>
      <c r="KER272" s="2328"/>
      <c r="KES272" s="2329"/>
      <c r="KET272" s="2329"/>
      <c r="KEU272" s="2329"/>
      <c r="KEV272" s="2329"/>
      <c r="KEW272" s="2329"/>
      <c r="KEX272" s="2329"/>
      <c r="KEY272" s="2329"/>
      <c r="KEZ272" s="2329"/>
      <c r="KFA272" s="2329"/>
      <c r="KFB272" s="2329"/>
      <c r="KFC272" s="2329"/>
      <c r="KFD272" s="2329"/>
      <c r="KFE272" s="2329"/>
      <c r="KFF272" s="2329"/>
      <c r="KFG272" s="2329"/>
      <c r="KFH272" s="2328"/>
      <c r="KFI272" s="2329"/>
      <c r="KFJ272" s="2329"/>
      <c r="KFK272" s="2329"/>
      <c r="KFL272" s="2329"/>
      <c r="KFM272" s="2329"/>
      <c r="KFN272" s="2329"/>
      <c r="KFO272" s="2329"/>
      <c r="KFP272" s="2329"/>
      <c r="KFQ272" s="2329"/>
      <c r="KFR272" s="2329"/>
      <c r="KFS272" s="2329"/>
      <c r="KFT272" s="2329"/>
      <c r="KFU272" s="2329"/>
      <c r="KFV272" s="2329"/>
      <c r="KFW272" s="2329"/>
      <c r="KFX272" s="2328"/>
      <c r="KFY272" s="2329"/>
      <c r="KFZ272" s="2329"/>
      <c r="KGA272" s="2329"/>
      <c r="KGB272" s="2329"/>
      <c r="KGC272" s="2329"/>
      <c r="KGD272" s="2329"/>
      <c r="KGE272" s="2329"/>
      <c r="KGF272" s="2329"/>
      <c r="KGG272" s="2329"/>
      <c r="KGH272" s="2329"/>
      <c r="KGI272" s="2329"/>
      <c r="KGJ272" s="2329"/>
      <c r="KGK272" s="2329"/>
      <c r="KGL272" s="2329"/>
      <c r="KGM272" s="2329"/>
      <c r="KGN272" s="2328"/>
      <c r="KGO272" s="2329"/>
      <c r="KGP272" s="2329"/>
      <c r="KGQ272" s="2329"/>
      <c r="KGR272" s="2329"/>
      <c r="KGS272" s="2329"/>
      <c r="KGT272" s="2329"/>
      <c r="KGU272" s="2329"/>
      <c r="KGV272" s="2329"/>
      <c r="KGW272" s="2329"/>
      <c r="KGX272" s="2329"/>
      <c r="KGY272" s="2329"/>
      <c r="KGZ272" s="2329"/>
      <c r="KHA272" s="2329"/>
      <c r="KHB272" s="2329"/>
      <c r="KHC272" s="2329"/>
      <c r="KHD272" s="2328"/>
      <c r="KHE272" s="2329"/>
      <c r="KHF272" s="2329"/>
      <c r="KHG272" s="2329"/>
      <c r="KHH272" s="2329"/>
      <c r="KHI272" s="2329"/>
      <c r="KHJ272" s="2329"/>
      <c r="KHK272" s="2329"/>
      <c r="KHL272" s="2329"/>
      <c r="KHM272" s="2329"/>
      <c r="KHN272" s="2329"/>
      <c r="KHO272" s="2329"/>
      <c r="KHP272" s="2329"/>
      <c r="KHQ272" s="2329"/>
      <c r="KHR272" s="2329"/>
      <c r="KHS272" s="2329"/>
      <c r="KHT272" s="2328"/>
      <c r="KHU272" s="2329"/>
      <c r="KHV272" s="2329"/>
      <c r="KHW272" s="2329"/>
      <c r="KHX272" s="2329"/>
      <c r="KHY272" s="2329"/>
      <c r="KHZ272" s="2329"/>
      <c r="KIA272" s="2329"/>
      <c r="KIB272" s="2329"/>
      <c r="KIC272" s="2329"/>
      <c r="KID272" s="2329"/>
      <c r="KIE272" s="2329"/>
      <c r="KIF272" s="2329"/>
      <c r="KIG272" s="2329"/>
      <c r="KIH272" s="2329"/>
      <c r="KII272" s="2329"/>
      <c r="KIJ272" s="2328"/>
      <c r="KIK272" s="2329"/>
      <c r="KIL272" s="2329"/>
      <c r="KIM272" s="2329"/>
      <c r="KIN272" s="2329"/>
      <c r="KIO272" s="2329"/>
      <c r="KIP272" s="2329"/>
      <c r="KIQ272" s="2329"/>
      <c r="KIR272" s="2329"/>
      <c r="KIS272" s="2329"/>
      <c r="KIT272" s="2329"/>
      <c r="KIU272" s="2329"/>
      <c r="KIV272" s="2329"/>
      <c r="KIW272" s="2329"/>
      <c r="KIX272" s="2329"/>
      <c r="KIY272" s="2329"/>
      <c r="KIZ272" s="2328"/>
      <c r="KJA272" s="2329"/>
      <c r="KJB272" s="2329"/>
      <c r="KJC272" s="2329"/>
      <c r="KJD272" s="2329"/>
      <c r="KJE272" s="2329"/>
      <c r="KJF272" s="2329"/>
      <c r="KJG272" s="2329"/>
      <c r="KJH272" s="2329"/>
      <c r="KJI272" s="2329"/>
      <c r="KJJ272" s="2329"/>
      <c r="KJK272" s="2329"/>
      <c r="KJL272" s="2329"/>
      <c r="KJM272" s="2329"/>
      <c r="KJN272" s="2329"/>
      <c r="KJO272" s="2329"/>
      <c r="KJP272" s="2328"/>
      <c r="KJQ272" s="2329"/>
      <c r="KJR272" s="2329"/>
      <c r="KJS272" s="2329"/>
      <c r="KJT272" s="2329"/>
      <c r="KJU272" s="2329"/>
      <c r="KJV272" s="2329"/>
      <c r="KJW272" s="2329"/>
      <c r="KJX272" s="2329"/>
      <c r="KJY272" s="2329"/>
      <c r="KJZ272" s="2329"/>
      <c r="KKA272" s="2329"/>
      <c r="KKB272" s="2329"/>
      <c r="KKC272" s="2329"/>
      <c r="KKD272" s="2329"/>
      <c r="KKE272" s="2329"/>
      <c r="KKF272" s="2328"/>
      <c r="KKG272" s="2329"/>
      <c r="KKH272" s="2329"/>
      <c r="KKI272" s="2329"/>
      <c r="KKJ272" s="2329"/>
      <c r="KKK272" s="2329"/>
      <c r="KKL272" s="2329"/>
      <c r="KKM272" s="2329"/>
      <c r="KKN272" s="2329"/>
      <c r="KKO272" s="2329"/>
      <c r="KKP272" s="2329"/>
      <c r="KKQ272" s="2329"/>
      <c r="KKR272" s="2329"/>
      <c r="KKS272" s="2329"/>
      <c r="KKT272" s="2329"/>
      <c r="KKU272" s="2329"/>
      <c r="KKV272" s="2328"/>
      <c r="KKW272" s="2329"/>
      <c r="KKX272" s="2329"/>
      <c r="KKY272" s="2329"/>
      <c r="KKZ272" s="2329"/>
      <c r="KLA272" s="2329"/>
      <c r="KLB272" s="2329"/>
      <c r="KLC272" s="2329"/>
      <c r="KLD272" s="2329"/>
      <c r="KLE272" s="2329"/>
      <c r="KLF272" s="2329"/>
      <c r="KLG272" s="2329"/>
      <c r="KLH272" s="2329"/>
      <c r="KLI272" s="2329"/>
      <c r="KLJ272" s="2329"/>
      <c r="KLK272" s="2329"/>
      <c r="KLL272" s="2328"/>
      <c r="KLM272" s="2329"/>
      <c r="KLN272" s="2329"/>
      <c r="KLO272" s="2329"/>
      <c r="KLP272" s="2329"/>
      <c r="KLQ272" s="2329"/>
      <c r="KLR272" s="2329"/>
      <c r="KLS272" s="2329"/>
      <c r="KLT272" s="2329"/>
      <c r="KLU272" s="2329"/>
      <c r="KLV272" s="2329"/>
      <c r="KLW272" s="2329"/>
      <c r="KLX272" s="2329"/>
      <c r="KLY272" s="2329"/>
      <c r="KLZ272" s="2329"/>
      <c r="KMA272" s="2329"/>
      <c r="KMB272" s="2328"/>
      <c r="KMC272" s="2329"/>
      <c r="KMD272" s="2329"/>
      <c r="KME272" s="2329"/>
      <c r="KMF272" s="2329"/>
      <c r="KMG272" s="2329"/>
      <c r="KMH272" s="2329"/>
      <c r="KMI272" s="2329"/>
      <c r="KMJ272" s="2329"/>
      <c r="KMK272" s="2329"/>
      <c r="KML272" s="2329"/>
      <c r="KMM272" s="2329"/>
      <c r="KMN272" s="2329"/>
      <c r="KMO272" s="2329"/>
      <c r="KMP272" s="2329"/>
      <c r="KMQ272" s="2329"/>
      <c r="KMR272" s="2328"/>
      <c r="KMS272" s="2329"/>
      <c r="KMT272" s="2329"/>
      <c r="KMU272" s="2329"/>
      <c r="KMV272" s="2329"/>
      <c r="KMW272" s="2329"/>
      <c r="KMX272" s="2329"/>
      <c r="KMY272" s="2329"/>
      <c r="KMZ272" s="2329"/>
      <c r="KNA272" s="2329"/>
      <c r="KNB272" s="2329"/>
      <c r="KNC272" s="2329"/>
      <c r="KND272" s="2329"/>
      <c r="KNE272" s="2329"/>
      <c r="KNF272" s="2329"/>
      <c r="KNG272" s="2329"/>
      <c r="KNH272" s="2328"/>
      <c r="KNI272" s="2329"/>
      <c r="KNJ272" s="2329"/>
      <c r="KNK272" s="2329"/>
      <c r="KNL272" s="2329"/>
      <c r="KNM272" s="2329"/>
      <c r="KNN272" s="2329"/>
      <c r="KNO272" s="2329"/>
      <c r="KNP272" s="2329"/>
      <c r="KNQ272" s="2329"/>
      <c r="KNR272" s="2329"/>
      <c r="KNS272" s="2329"/>
      <c r="KNT272" s="2329"/>
      <c r="KNU272" s="2329"/>
      <c r="KNV272" s="2329"/>
      <c r="KNW272" s="2329"/>
      <c r="KNX272" s="2328"/>
      <c r="KNY272" s="2329"/>
      <c r="KNZ272" s="2329"/>
      <c r="KOA272" s="2329"/>
      <c r="KOB272" s="2329"/>
      <c r="KOC272" s="2329"/>
      <c r="KOD272" s="2329"/>
      <c r="KOE272" s="2329"/>
      <c r="KOF272" s="2329"/>
      <c r="KOG272" s="2329"/>
      <c r="KOH272" s="2329"/>
      <c r="KOI272" s="2329"/>
      <c r="KOJ272" s="2329"/>
      <c r="KOK272" s="2329"/>
      <c r="KOL272" s="2329"/>
      <c r="KOM272" s="2329"/>
      <c r="KON272" s="2328"/>
      <c r="KOO272" s="2329"/>
      <c r="KOP272" s="2329"/>
      <c r="KOQ272" s="2329"/>
      <c r="KOR272" s="2329"/>
      <c r="KOS272" s="2329"/>
      <c r="KOT272" s="2329"/>
      <c r="KOU272" s="2329"/>
      <c r="KOV272" s="2329"/>
      <c r="KOW272" s="2329"/>
      <c r="KOX272" s="2329"/>
      <c r="KOY272" s="2329"/>
      <c r="KOZ272" s="2329"/>
      <c r="KPA272" s="2329"/>
      <c r="KPB272" s="2329"/>
      <c r="KPC272" s="2329"/>
      <c r="KPD272" s="2328"/>
      <c r="KPE272" s="2329"/>
      <c r="KPF272" s="2329"/>
      <c r="KPG272" s="2329"/>
      <c r="KPH272" s="2329"/>
      <c r="KPI272" s="2329"/>
      <c r="KPJ272" s="2329"/>
      <c r="KPK272" s="2329"/>
      <c r="KPL272" s="2329"/>
      <c r="KPM272" s="2329"/>
      <c r="KPN272" s="2329"/>
      <c r="KPO272" s="2329"/>
      <c r="KPP272" s="2329"/>
      <c r="KPQ272" s="2329"/>
      <c r="KPR272" s="2329"/>
      <c r="KPS272" s="2329"/>
      <c r="KPT272" s="2328"/>
      <c r="KPU272" s="2329"/>
      <c r="KPV272" s="2329"/>
      <c r="KPW272" s="2329"/>
      <c r="KPX272" s="2329"/>
      <c r="KPY272" s="2329"/>
      <c r="KPZ272" s="2329"/>
      <c r="KQA272" s="2329"/>
      <c r="KQB272" s="2329"/>
      <c r="KQC272" s="2329"/>
      <c r="KQD272" s="2329"/>
      <c r="KQE272" s="2329"/>
      <c r="KQF272" s="2329"/>
      <c r="KQG272" s="2329"/>
      <c r="KQH272" s="2329"/>
      <c r="KQI272" s="2329"/>
      <c r="KQJ272" s="2328"/>
      <c r="KQK272" s="2329"/>
      <c r="KQL272" s="2329"/>
      <c r="KQM272" s="2329"/>
      <c r="KQN272" s="2329"/>
      <c r="KQO272" s="2329"/>
      <c r="KQP272" s="2329"/>
      <c r="KQQ272" s="2329"/>
      <c r="KQR272" s="2329"/>
      <c r="KQS272" s="2329"/>
      <c r="KQT272" s="2329"/>
      <c r="KQU272" s="2329"/>
      <c r="KQV272" s="2329"/>
      <c r="KQW272" s="2329"/>
      <c r="KQX272" s="2329"/>
      <c r="KQY272" s="2329"/>
      <c r="KQZ272" s="2328"/>
      <c r="KRA272" s="2329"/>
      <c r="KRB272" s="2329"/>
      <c r="KRC272" s="2329"/>
      <c r="KRD272" s="2329"/>
      <c r="KRE272" s="2329"/>
      <c r="KRF272" s="2329"/>
      <c r="KRG272" s="2329"/>
      <c r="KRH272" s="2329"/>
      <c r="KRI272" s="2329"/>
      <c r="KRJ272" s="2329"/>
      <c r="KRK272" s="2329"/>
      <c r="KRL272" s="2329"/>
      <c r="KRM272" s="2329"/>
      <c r="KRN272" s="2329"/>
      <c r="KRO272" s="2329"/>
      <c r="KRP272" s="2328"/>
      <c r="KRQ272" s="2329"/>
      <c r="KRR272" s="2329"/>
      <c r="KRS272" s="2329"/>
      <c r="KRT272" s="2329"/>
      <c r="KRU272" s="2329"/>
      <c r="KRV272" s="2329"/>
      <c r="KRW272" s="2329"/>
      <c r="KRX272" s="2329"/>
      <c r="KRY272" s="2329"/>
      <c r="KRZ272" s="2329"/>
      <c r="KSA272" s="2329"/>
      <c r="KSB272" s="2329"/>
      <c r="KSC272" s="2329"/>
      <c r="KSD272" s="2329"/>
      <c r="KSE272" s="2329"/>
      <c r="KSF272" s="2328"/>
      <c r="KSG272" s="2329"/>
      <c r="KSH272" s="2329"/>
      <c r="KSI272" s="2329"/>
      <c r="KSJ272" s="2329"/>
      <c r="KSK272" s="2329"/>
      <c r="KSL272" s="2329"/>
      <c r="KSM272" s="2329"/>
      <c r="KSN272" s="2329"/>
      <c r="KSO272" s="2329"/>
      <c r="KSP272" s="2329"/>
      <c r="KSQ272" s="2329"/>
      <c r="KSR272" s="2329"/>
      <c r="KSS272" s="2329"/>
      <c r="KST272" s="2329"/>
      <c r="KSU272" s="2329"/>
      <c r="KSV272" s="2328"/>
      <c r="KSW272" s="2329"/>
      <c r="KSX272" s="2329"/>
      <c r="KSY272" s="2329"/>
      <c r="KSZ272" s="2329"/>
      <c r="KTA272" s="2329"/>
      <c r="KTB272" s="2329"/>
      <c r="KTC272" s="2329"/>
      <c r="KTD272" s="2329"/>
      <c r="KTE272" s="2329"/>
      <c r="KTF272" s="2329"/>
      <c r="KTG272" s="2329"/>
      <c r="KTH272" s="2329"/>
      <c r="KTI272" s="2329"/>
      <c r="KTJ272" s="2329"/>
      <c r="KTK272" s="2329"/>
      <c r="KTL272" s="2328"/>
      <c r="KTM272" s="2329"/>
      <c r="KTN272" s="2329"/>
      <c r="KTO272" s="2329"/>
      <c r="KTP272" s="2329"/>
      <c r="KTQ272" s="2329"/>
      <c r="KTR272" s="2329"/>
      <c r="KTS272" s="2329"/>
      <c r="KTT272" s="2329"/>
      <c r="KTU272" s="2329"/>
      <c r="KTV272" s="2329"/>
      <c r="KTW272" s="2329"/>
      <c r="KTX272" s="2329"/>
      <c r="KTY272" s="2329"/>
      <c r="KTZ272" s="2329"/>
      <c r="KUA272" s="2329"/>
      <c r="KUB272" s="2328"/>
      <c r="KUC272" s="2329"/>
      <c r="KUD272" s="2329"/>
      <c r="KUE272" s="2329"/>
      <c r="KUF272" s="2329"/>
      <c r="KUG272" s="2329"/>
      <c r="KUH272" s="2329"/>
      <c r="KUI272" s="2329"/>
      <c r="KUJ272" s="2329"/>
      <c r="KUK272" s="2329"/>
      <c r="KUL272" s="2329"/>
      <c r="KUM272" s="2329"/>
      <c r="KUN272" s="2329"/>
      <c r="KUO272" s="2329"/>
      <c r="KUP272" s="2329"/>
      <c r="KUQ272" s="2329"/>
      <c r="KUR272" s="2328"/>
      <c r="KUS272" s="2329"/>
      <c r="KUT272" s="2329"/>
      <c r="KUU272" s="2329"/>
      <c r="KUV272" s="2329"/>
      <c r="KUW272" s="2329"/>
      <c r="KUX272" s="2329"/>
      <c r="KUY272" s="2329"/>
      <c r="KUZ272" s="2329"/>
      <c r="KVA272" s="2329"/>
      <c r="KVB272" s="2329"/>
      <c r="KVC272" s="2329"/>
      <c r="KVD272" s="2329"/>
      <c r="KVE272" s="2329"/>
      <c r="KVF272" s="2329"/>
      <c r="KVG272" s="2329"/>
      <c r="KVH272" s="2328"/>
      <c r="KVI272" s="2329"/>
      <c r="KVJ272" s="2329"/>
      <c r="KVK272" s="2329"/>
      <c r="KVL272" s="2329"/>
      <c r="KVM272" s="2329"/>
      <c r="KVN272" s="2329"/>
      <c r="KVO272" s="2329"/>
      <c r="KVP272" s="2329"/>
      <c r="KVQ272" s="2329"/>
      <c r="KVR272" s="2329"/>
      <c r="KVS272" s="2329"/>
      <c r="KVT272" s="2329"/>
      <c r="KVU272" s="2329"/>
      <c r="KVV272" s="2329"/>
      <c r="KVW272" s="2329"/>
      <c r="KVX272" s="2328"/>
      <c r="KVY272" s="2329"/>
      <c r="KVZ272" s="2329"/>
      <c r="KWA272" s="2329"/>
      <c r="KWB272" s="2329"/>
      <c r="KWC272" s="2329"/>
      <c r="KWD272" s="2329"/>
      <c r="KWE272" s="2329"/>
      <c r="KWF272" s="2329"/>
      <c r="KWG272" s="2329"/>
      <c r="KWH272" s="2329"/>
      <c r="KWI272" s="2329"/>
      <c r="KWJ272" s="2329"/>
      <c r="KWK272" s="2329"/>
      <c r="KWL272" s="2329"/>
      <c r="KWM272" s="2329"/>
      <c r="KWN272" s="2328"/>
      <c r="KWO272" s="2329"/>
      <c r="KWP272" s="2329"/>
      <c r="KWQ272" s="2329"/>
      <c r="KWR272" s="2329"/>
      <c r="KWS272" s="2329"/>
      <c r="KWT272" s="2329"/>
      <c r="KWU272" s="2329"/>
      <c r="KWV272" s="2329"/>
      <c r="KWW272" s="2329"/>
      <c r="KWX272" s="2329"/>
      <c r="KWY272" s="2329"/>
      <c r="KWZ272" s="2329"/>
      <c r="KXA272" s="2329"/>
      <c r="KXB272" s="2329"/>
      <c r="KXC272" s="2329"/>
      <c r="KXD272" s="2328"/>
      <c r="KXE272" s="2329"/>
      <c r="KXF272" s="2329"/>
      <c r="KXG272" s="2329"/>
      <c r="KXH272" s="2329"/>
      <c r="KXI272" s="2329"/>
      <c r="KXJ272" s="2329"/>
      <c r="KXK272" s="2329"/>
      <c r="KXL272" s="2329"/>
      <c r="KXM272" s="2329"/>
      <c r="KXN272" s="2329"/>
      <c r="KXO272" s="2329"/>
      <c r="KXP272" s="2329"/>
      <c r="KXQ272" s="2329"/>
      <c r="KXR272" s="2329"/>
      <c r="KXS272" s="2329"/>
      <c r="KXT272" s="2328"/>
      <c r="KXU272" s="2329"/>
      <c r="KXV272" s="2329"/>
      <c r="KXW272" s="2329"/>
      <c r="KXX272" s="2329"/>
      <c r="KXY272" s="2329"/>
      <c r="KXZ272" s="2329"/>
      <c r="KYA272" s="2329"/>
      <c r="KYB272" s="2329"/>
      <c r="KYC272" s="2329"/>
      <c r="KYD272" s="2329"/>
      <c r="KYE272" s="2329"/>
      <c r="KYF272" s="2329"/>
      <c r="KYG272" s="2329"/>
      <c r="KYH272" s="2329"/>
      <c r="KYI272" s="2329"/>
      <c r="KYJ272" s="2328"/>
      <c r="KYK272" s="2329"/>
      <c r="KYL272" s="2329"/>
      <c r="KYM272" s="2329"/>
      <c r="KYN272" s="2329"/>
      <c r="KYO272" s="2329"/>
      <c r="KYP272" s="2329"/>
      <c r="KYQ272" s="2329"/>
      <c r="KYR272" s="2329"/>
      <c r="KYS272" s="2329"/>
      <c r="KYT272" s="2329"/>
      <c r="KYU272" s="2329"/>
      <c r="KYV272" s="2329"/>
      <c r="KYW272" s="2329"/>
      <c r="KYX272" s="2329"/>
      <c r="KYY272" s="2329"/>
      <c r="KYZ272" s="2328"/>
      <c r="KZA272" s="2329"/>
      <c r="KZB272" s="2329"/>
      <c r="KZC272" s="2329"/>
      <c r="KZD272" s="2329"/>
      <c r="KZE272" s="2329"/>
      <c r="KZF272" s="2329"/>
      <c r="KZG272" s="2329"/>
      <c r="KZH272" s="2329"/>
      <c r="KZI272" s="2329"/>
      <c r="KZJ272" s="2329"/>
      <c r="KZK272" s="2329"/>
      <c r="KZL272" s="2329"/>
      <c r="KZM272" s="2329"/>
      <c r="KZN272" s="2329"/>
      <c r="KZO272" s="2329"/>
      <c r="KZP272" s="2328"/>
      <c r="KZQ272" s="2329"/>
      <c r="KZR272" s="2329"/>
      <c r="KZS272" s="2329"/>
      <c r="KZT272" s="2329"/>
      <c r="KZU272" s="2329"/>
      <c r="KZV272" s="2329"/>
      <c r="KZW272" s="2329"/>
      <c r="KZX272" s="2329"/>
      <c r="KZY272" s="2329"/>
      <c r="KZZ272" s="2329"/>
      <c r="LAA272" s="2329"/>
      <c r="LAB272" s="2329"/>
      <c r="LAC272" s="2329"/>
      <c r="LAD272" s="2329"/>
      <c r="LAE272" s="2329"/>
      <c r="LAF272" s="2328"/>
      <c r="LAG272" s="2329"/>
      <c r="LAH272" s="2329"/>
      <c r="LAI272" s="2329"/>
      <c r="LAJ272" s="2329"/>
      <c r="LAK272" s="2329"/>
      <c r="LAL272" s="2329"/>
      <c r="LAM272" s="2329"/>
      <c r="LAN272" s="2329"/>
      <c r="LAO272" s="2329"/>
      <c r="LAP272" s="2329"/>
      <c r="LAQ272" s="2329"/>
      <c r="LAR272" s="2329"/>
      <c r="LAS272" s="2329"/>
      <c r="LAT272" s="2329"/>
      <c r="LAU272" s="2329"/>
      <c r="LAV272" s="2328"/>
      <c r="LAW272" s="2329"/>
      <c r="LAX272" s="2329"/>
      <c r="LAY272" s="2329"/>
      <c r="LAZ272" s="2329"/>
      <c r="LBA272" s="2329"/>
      <c r="LBB272" s="2329"/>
      <c r="LBC272" s="2329"/>
      <c r="LBD272" s="2329"/>
      <c r="LBE272" s="2329"/>
      <c r="LBF272" s="2329"/>
      <c r="LBG272" s="2329"/>
      <c r="LBH272" s="2329"/>
      <c r="LBI272" s="2329"/>
      <c r="LBJ272" s="2329"/>
      <c r="LBK272" s="2329"/>
      <c r="LBL272" s="2328"/>
      <c r="LBM272" s="2329"/>
      <c r="LBN272" s="2329"/>
      <c r="LBO272" s="2329"/>
      <c r="LBP272" s="2329"/>
      <c r="LBQ272" s="2329"/>
      <c r="LBR272" s="2329"/>
      <c r="LBS272" s="2329"/>
      <c r="LBT272" s="2329"/>
      <c r="LBU272" s="2329"/>
      <c r="LBV272" s="2329"/>
      <c r="LBW272" s="2329"/>
      <c r="LBX272" s="2329"/>
      <c r="LBY272" s="2329"/>
      <c r="LBZ272" s="2329"/>
      <c r="LCA272" s="2329"/>
      <c r="LCB272" s="2328"/>
      <c r="LCC272" s="2329"/>
      <c r="LCD272" s="2329"/>
      <c r="LCE272" s="2329"/>
      <c r="LCF272" s="2329"/>
      <c r="LCG272" s="2329"/>
      <c r="LCH272" s="2329"/>
      <c r="LCI272" s="2329"/>
      <c r="LCJ272" s="2329"/>
      <c r="LCK272" s="2329"/>
      <c r="LCL272" s="2329"/>
      <c r="LCM272" s="2329"/>
      <c r="LCN272" s="2329"/>
      <c r="LCO272" s="2329"/>
      <c r="LCP272" s="2329"/>
      <c r="LCQ272" s="2329"/>
      <c r="LCR272" s="2328"/>
      <c r="LCS272" s="2329"/>
      <c r="LCT272" s="2329"/>
      <c r="LCU272" s="2329"/>
      <c r="LCV272" s="2329"/>
      <c r="LCW272" s="2329"/>
      <c r="LCX272" s="2329"/>
      <c r="LCY272" s="2329"/>
      <c r="LCZ272" s="2329"/>
      <c r="LDA272" s="2329"/>
      <c r="LDB272" s="2329"/>
      <c r="LDC272" s="2329"/>
      <c r="LDD272" s="2329"/>
      <c r="LDE272" s="2329"/>
      <c r="LDF272" s="2329"/>
      <c r="LDG272" s="2329"/>
      <c r="LDH272" s="2328"/>
      <c r="LDI272" s="2329"/>
      <c r="LDJ272" s="2329"/>
      <c r="LDK272" s="2329"/>
      <c r="LDL272" s="2329"/>
      <c r="LDM272" s="2329"/>
      <c r="LDN272" s="2329"/>
      <c r="LDO272" s="2329"/>
      <c r="LDP272" s="2329"/>
      <c r="LDQ272" s="2329"/>
      <c r="LDR272" s="2329"/>
      <c r="LDS272" s="2329"/>
      <c r="LDT272" s="2329"/>
      <c r="LDU272" s="2329"/>
      <c r="LDV272" s="2329"/>
      <c r="LDW272" s="2329"/>
      <c r="LDX272" s="2328"/>
      <c r="LDY272" s="2329"/>
      <c r="LDZ272" s="2329"/>
      <c r="LEA272" s="2329"/>
      <c r="LEB272" s="2329"/>
      <c r="LEC272" s="2329"/>
      <c r="LED272" s="2329"/>
      <c r="LEE272" s="2329"/>
      <c r="LEF272" s="2329"/>
      <c r="LEG272" s="2329"/>
      <c r="LEH272" s="2329"/>
      <c r="LEI272" s="2329"/>
      <c r="LEJ272" s="2329"/>
      <c r="LEK272" s="2329"/>
      <c r="LEL272" s="2329"/>
      <c r="LEM272" s="2329"/>
      <c r="LEN272" s="2328"/>
      <c r="LEO272" s="2329"/>
      <c r="LEP272" s="2329"/>
      <c r="LEQ272" s="2329"/>
      <c r="LER272" s="2329"/>
      <c r="LES272" s="2329"/>
      <c r="LET272" s="2329"/>
      <c r="LEU272" s="2329"/>
      <c r="LEV272" s="2329"/>
      <c r="LEW272" s="2329"/>
      <c r="LEX272" s="2329"/>
      <c r="LEY272" s="2329"/>
      <c r="LEZ272" s="2329"/>
      <c r="LFA272" s="2329"/>
      <c r="LFB272" s="2329"/>
      <c r="LFC272" s="2329"/>
      <c r="LFD272" s="2328"/>
      <c r="LFE272" s="2329"/>
      <c r="LFF272" s="2329"/>
      <c r="LFG272" s="2329"/>
      <c r="LFH272" s="2329"/>
      <c r="LFI272" s="2329"/>
      <c r="LFJ272" s="2329"/>
      <c r="LFK272" s="2329"/>
      <c r="LFL272" s="2329"/>
      <c r="LFM272" s="2329"/>
      <c r="LFN272" s="2329"/>
      <c r="LFO272" s="2329"/>
      <c r="LFP272" s="2329"/>
      <c r="LFQ272" s="2329"/>
      <c r="LFR272" s="2329"/>
      <c r="LFS272" s="2329"/>
      <c r="LFT272" s="2328"/>
      <c r="LFU272" s="2329"/>
      <c r="LFV272" s="2329"/>
      <c r="LFW272" s="2329"/>
      <c r="LFX272" s="2329"/>
      <c r="LFY272" s="2329"/>
      <c r="LFZ272" s="2329"/>
      <c r="LGA272" s="2329"/>
      <c r="LGB272" s="2329"/>
      <c r="LGC272" s="2329"/>
      <c r="LGD272" s="2329"/>
      <c r="LGE272" s="2329"/>
      <c r="LGF272" s="2329"/>
      <c r="LGG272" s="2329"/>
      <c r="LGH272" s="2329"/>
      <c r="LGI272" s="2329"/>
      <c r="LGJ272" s="2328"/>
      <c r="LGK272" s="2329"/>
      <c r="LGL272" s="2329"/>
      <c r="LGM272" s="2329"/>
      <c r="LGN272" s="2329"/>
      <c r="LGO272" s="2329"/>
      <c r="LGP272" s="2329"/>
      <c r="LGQ272" s="2329"/>
      <c r="LGR272" s="2329"/>
      <c r="LGS272" s="2329"/>
      <c r="LGT272" s="2329"/>
      <c r="LGU272" s="2329"/>
      <c r="LGV272" s="2329"/>
      <c r="LGW272" s="2329"/>
      <c r="LGX272" s="2329"/>
      <c r="LGY272" s="2329"/>
      <c r="LGZ272" s="2328"/>
      <c r="LHA272" s="2329"/>
      <c r="LHB272" s="2329"/>
      <c r="LHC272" s="2329"/>
      <c r="LHD272" s="2329"/>
      <c r="LHE272" s="2329"/>
      <c r="LHF272" s="2329"/>
      <c r="LHG272" s="2329"/>
      <c r="LHH272" s="2329"/>
      <c r="LHI272" s="2329"/>
      <c r="LHJ272" s="2329"/>
      <c r="LHK272" s="2329"/>
      <c r="LHL272" s="2329"/>
      <c r="LHM272" s="2329"/>
      <c r="LHN272" s="2329"/>
      <c r="LHO272" s="2329"/>
      <c r="LHP272" s="2328"/>
      <c r="LHQ272" s="2329"/>
      <c r="LHR272" s="2329"/>
      <c r="LHS272" s="2329"/>
      <c r="LHT272" s="2329"/>
      <c r="LHU272" s="2329"/>
      <c r="LHV272" s="2329"/>
      <c r="LHW272" s="2329"/>
      <c r="LHX272" s="2329"/>
      <c r="LHY272" s="2329"/>
      <c r="LHZ272" s="2329"/>
      <c r="LIA272" s="2329"/>
      <c r="LIB272" s="2329"/>
      <c r="LIC272" s="2329"/>
      <c r="LID272" s="2329"/>
      <c r="LIE272" s="2329"/>
      <c r="LIF272" s="2328"/>
      <c r="LIG272" s="2329"/>
      <c r="LIH272" s="2329"/>
      <c r="LII272" s="2329"/>
      <c r="LIJ272" s="2329"/>
      <c r="LIK272" s="2329"/>
      <c r="LIL272" s="2329"/>
      <c r="LIM272" s="2329"/>
      <c r="LIN272" s="2329"/>
      <c r="LIO272" s="2329"/>
      <c r="LIP272" s="2329"/>
      <c r="LIQ272" s="2329"/>
      <c r="LIR272" s="2329"/>
      <c r="LIS272" s="2329"/>
      <c r="LIT272" s="2329"/>
      <c r="LIU272" s="2329"/>
      <c r="LIV272" s="2328"/>
      <c r="LIW272" s="2329"/>
      <c r="LIX272" s="2329"/>
      <c r="LIY272" s="2329"/>
      <c r="LIZ272" s="2329"/>
      <c r="LJA272" s="2329"/>
      <c r="LJB272" s="2329"/>
      <c r="LJC272" s="2329"/>
      <c r="LJD272" s="2329"/>
      <c r="LJE272" s="2329"/>
      <c r="LJF272" s="2329"/>
      <c r="LJG272" s="2329"/>
      <c r="LJH272" s="2329"/>
      <c r="LJI272" s="2329"/>
      <c r="LJJ272" s="2329"/>
      <c r="LJK272" s="2329"/>
      <c r="LJL272" s="2328"/>
      <c r="LJM272" s="2329"/>
      <c r="LJN272" s="2329"/>
      <c r="LJO272" s="2329"/>
      <c r="LJP272" s="2329"/>
      <c r="LJQ272" s="2329"/>
      <c r="LJR272" s="2329"/>
      <c r="LJS272" s="2329"/>
      <c r="LJT272" s="2329"/>
      <c r="LJU272" s="2329"/>
      <c r="LJV272" s="2329"/>
      <c r="LJW272" s="2329"/>
      <c r="LJX272" s="2329"/>
      <c r="LJY272" s="2329"/>
      <c r="LJZ272" s="2329"/>
      <c r="LKA272" s="2329"/>
      <c r="LKB272" s="2328"/>
      <c r="LKC272" s="2329"/>
      <c r="LKD272" s="2329"/>
      <c r="LKE272" s="2329"/>
      <c r="LKF272" s="2329"/>
      <c r="LKG272" s="2329"/>
      <c r="LKH272" s="2329"/>
      <c r="LKI272" s="2329"/>
      <c r="LKJ272" s="2329"/>
      <c r="LKK272" s="2329"/>
      <c r="LKL272" s="2329"/>
      <c r="LKM272" s="2329"/>
      <c r="LKN272" s="2329"/>
      <c r="LKO272" s="2329"/>
      <c r="LKP272" s="2329"/>
      <c r="LKQ272" s="2329"/>
      <c r="LKR272" s="2328"/>
      <c r="LKS272" s="2329"/>
      <c r="LKT272" s="2329"/>
      <c r="LKU272" s="2329"/>
      <c r="LKV272" s="2329"/>
      <c r="LKW272" s="2329"/>
      <c r="LKX272" s="2329"/>
      <c r="LKY272" s="2329"/>
      <c r="LKZ272" s="2329"/>
      <c r="LLA272" s="2329"/>
      <c r="LLB272" s="2329"/>
      <c r="LLC272" s="2329"/>
      <c r="LLD272" s="2329"/>
      <c r="LLE272" s="2329"/>
      <c r="LLF272" s="2329"/>
      <c r="LLG272" s="2329"/>
      <c r="LLH272" s="2328"/>
      <c r="LLI272" s="2329"/>
      <c r="LLJ272" s="2329"/>
      <c r="LLK272" s="2329"/>
      <c r="LLL272" s="2329"/>
      <c r="LLM272" s="2329"/>
      <c r="LLN272" s="2329"/>
      <c r="LLO272" s="2329"/>
      <c r="LLP272" s="2329"/>
      <c r="LLQ272" s="2329"/>
      <c r="LLR272" s="2329"/>
      <c r="LLS272" s="2329"/>
      <c r="LLT272" s="2329"/>
      <c r="LLU272" s="2329"/>
      <c r="LLV272" s="2329"/>
      <c r="LLW272" s="2329"/>
      <c r="LLX272" s="2328"/>
      <c r="LLY272" s="2329"/>
      <c r="LLZ272" s="2329"/>
      <c r="LMA272" s="2329"/>
      <c r="LMB272" s="2329"/>
      <c r="LMC272" s="2329"/>
      <c r="LMD272" s="2329"/>
      <c r="LME272" s="2329"/>
      <c r="LMF272" s="2329"/>
      <c r="LMG272" s="2329"/>
      <c r="LMH272" s="2329"/>
      <c r="LMI272" s="2329"/>
      <c r="LMJ272" s="2329"/>
      <c r="LMK272" s="2329"/>
      <c r="LML272" s="2329"/>
      <c r="LMM272" s="2329"/>
      <c r="LMN272" s="2328"/>
      <c r="LMO272" s="2329"/>
      <c r="LMP272" s="2329"/>
      <c r="LMQ272" s="2329"/>
      <c r="LMR272" s="2329"/>
      <c r="LMS272" s="2329"/>
      <c r="LMT272" s="2329"/>
      <c r="LMU272" s="2329"/>
      <c r="LMV272" s="2329"/>
      <c r="LMW272" s="2329"/>
      <c r="LMX272" s="2329"/>
      <c r="LMY272" s="2329"/>
      <c r="LMZ272" s="2329"/>
      <c r="LNA272" s="2329"/>
      <c r="LNB272" s="2329"/>
      <c r="LNC272" s="2329"/>
      <c r="LND272" s="2328"/>
      <c r="LNE272" s="2329"/>
      <c r="LNF272" s="2329"/>
      <c r="LNG272" s="2329"/>
      <c r="LNH272" s="2329"/>
      <c r="LNI272" s="2329"/>
      <c r="LNJ272" s="2329"/>
      <c r="LNK272" s="2329"/>
      <c r="LNL272" s="2329"/>
      <c r="LNM272" s="2329"/>
      <c r="LNN272" s="2329"/>
      <c r="LNO272" s="2329"/>
      <c r="LNP272" s="2329"/>
      <c r="LNQ272" s="2329"/>
      <c r="LNR272" s="2329"/>
      <c r="LNS272" s="2329"/>
      <c r="LNT272" s="2328"/>
      <c r="LNU272" s="2329"/>
      <c r="LNV272" s="2329"/>
      <c r="LNW272" s="2329"/>
      <c r="LNX272" s="2329"/>
      <c r="LNY272" s="2329"/>
      <c r="LNZ272" s="2329"/>
      <c r="LOA272" s="2329"/>
      <c r="LOB272" s="2329"/>
      <c r="LOC272" s="2329"/>
      <c r="LOD272" s="2329"/>
      <c r="LOE272" s="2329"/>
      <c r="LOF272" s="2329"/>
      <c r="LOG272" s="2329"/>
      <c r="LOH272" s="2329"/>
      <c r="LOI272" s="2329"/>
      <c r="LOJ272" s="2328"/>
      <c r="LOK272" s="2329"/>
      <c r="LOL272" s="2329"/>
      <c r="LOM272" s="2329"/>
      <c r="LON272" s="2329"/>
      <c r="LOO272" s="2329"/>
      <c r="LOP272" s="2329"/>
      <c r="LOQ272" s="2329"/>
      <c r="LOR272" s="2329"/>
      <c r="LOS272" s="2329"/>
      <c r="LOT272" s="2329"/>
      <c r="LOU272" s="2329"/>
      <c r="LOV272" s="2329"/>
      <c r="LOW272" s="2329"/>
      <c r="LOX272" s="2329"/>
      <c r="LOY272" s="2329"/>
      <c r="LOZ272" s="2328"/>
      <c r="LPA272" s="2329"/>
      <c r="LPB272" s="2329"/>
      <c r="LPC272" s="2329"/>
      <c r="LPD272" s="2329"/>
      <c r="LPE272" s="2329"/>
      <c r="LPF272" s="2329"/>
      <c r="LPG272" s="2329"/>
      <c r="LPH272" s="2329"/>
      <c r="LPI272" s="2329"/>
      <c r="LPJ272" s="2329"/>
      <c r="LPK272" s="2329"/>
      <c r="LPL272" s="2329"/>
      <c r="LPM272" s="2329"/>
      <c r="LPN272" s="2329"/>
      <c r="LPO272" s="2329"/>
      <c r="LPP272" s="2328"/>
      <c r="LPQ272" s="2329"/>
      <c r="LPR272" s="2329"/>
      <c r="LPS272" s="2329"/>
      <c r="LPT272" s="2329"/>
      <c r="LPU272" s="2329"/>
      <c r="LPV272" s="2329"/>
      <c r="LPW272" s="2329"/>
      <c r="LPX272" s="2329"/>
      <c r="LPY272" s="2329"/>
      <c r="LPZ272" s="2329"/>
      <c r="LQA272" s="2329"/>
      <c r="LQB272" s="2329"/>
      <c r="LQC272" s="2329"/>
      <c r="LQD272" s="2329"/>
      <c r="LQE272" s="2329"/>
      <c r="LQF272" s="2328"/>
      <c r="LQG272" s="2329"/>
      <c r="LQH272" s="2329"/>
      <c r="LQI272" s="2329"/>
      <c r="LQJ272" s="2329"/>
      <c r="LQK272" s="2329"/>
      <c r="LQL272" s="2329"/>
      <c r="LQM272" s="2329"/>
      <c r="LQN272" s="2329"/>
      <c r="LQO272" s="2329"/>
      <c r="LQP272" s="2329"/>
      <c r="LQQ272" s="2329"/>
      <c r="LQR272" s="2329"/>
      <c r="LQS272" s="2329"/>
      <c r="LQT272" s="2329"/>
      <c r="LQU272" s="2329"/>
      <c r="LQV272" s="2328"/>
      <c r="LQW272" s="2329"/>
      <c r="LQX272" s="2329"/>
      <c r="LQY272" s="2329"/>
      <c r="LQZ272" s="2329"/>
      <c r="LRA272" s="2329"/>
      <c r="LRB272" s="2329"/>
      <c r="LRC272" s="2329"/>
      <c r="LRD272" s="2329"/>
      <c r="LRE272" s="2329"/>
      <c r="LRF272" s="2329"/>
      <c r="LRG272" s="2329"/>
      <c r="LRH272" s="2329"/>
      <c r="LRI272" s="2329"/>
      <c r="LRJ272" s="2329"/>
      <c r="LRK272" s="2329"/>
      <c r="LRL272" s="2328"/>
      <c r="LRM272" s="2329"/>
      <c r="LRN272" s="2329"/>
      <c r="LRO272" s="2329"/>
      <c r="LRP272" s="2329"/>
      <c r="LRQ272" s="2329"/>
      <c r="LRR272" s="2329"/>
      <c r="LRS272" s="2329"/>
      <c r="LRT272" s="2329"/>
      <c r="LRU272" s="2329"/>
      <c r="LRV272" s="2329"/>
      <c r="LRW272" s="2329"/>
      <c r="LRX272" s="2329"/>
      <c r="LRY272" s="2329"/>
      <c r="LRZ272" s="2329"/>
      <c r="LSA272" s="2329"/>
      <c r="LSB272" s="2328"/>
      <c r="LSC272" s="2329"/>
      <c r="LSD272" s="2329"/>
      <c r="LSE272" s="2329"/>
      <c r="LSF272" s="2329"/>
      <c r="LSG272" s="2329"/>
      <c r="LSH272" s="2329"/>
      <c r="LSI272" s="2329"/>
      <c r="LSJ272" s="2329"/>
      <c r="LSK272" s="2329"/>
      <c r="LSL272" s="2329"/>
      <c r="LSM272" s="2329"/>
      <c r="LSN272" s="2329"/>
      <c r="LSO272" s="2329"/>
      <c r="LSP272" s="2329"/>
      <c r="LSQ272" s="2329"/>
      <c r="LSR272" s="2328"/>
      <c r="LSS272" s="2329"/>
      <c r="LST272" s="2329"/>
      <c r="LSU272" s="2329"/>
      <c r="LSV272" s="2329"/>
      <c r="LSW272" s="2329"/>
      <c r="LSX272" s="2329"/>
      <c r="LSY272" s="2329"/>
      <c r="LSZ272" s="2329"/>
      <c r="LTA272" s="2329"/>
      <c r="LTB272" s="2329"/>
      <c r="LTC272" s="2329"/>
      <c r="LTD272" s="2329"/>
      <c r="LTE272" s="2329"/>
      <c r="LTF272" s="2329"/>
      <c r="LTG272" s="2329"/>
      <c r="LTH272" s="2328"/>
      <c r="LTI272" s="2329"/>
      <c r="LTJ272" s="2329"/>
      <c r="LTK272" s="2329"/>
      <c r="LTL272" s="2329"/>
      <c r="LTM272" s="2329"/>
      <c r="LTN272" s="2329"/>
      <c r="LTO272" s="2329"/>
      <c r="LTP272" s="2329"/>
      <c r="LTQ272" s="2329"/>
      <c r="LTR272" s="2329"/>
      <c r="LTS272" s="2329"/>
      <c r="LTT272" s="2329"/>
      <c r="LTU272" s="2329"/>
      <c r="LTV272" s="2329"/>
      <c r="LTW272" s="2329"/>
      <c r="LTX272" s="2328"/>
      <c r="LTY272" s="2329"/>
      <c r="LTZ272" s="2329"/>
      <c r="LUA272" s="2329"/>
      <c r="LUB272" s="2329"/>
      <c r="LUC272" s="2329"/>
      <c r="LUD272" s="2329"/>
      <c r="LUE272" s="2329"/>
      <c r="LUF272" s="2329"/>
      <c r="LUG272" s="2329"/>
      <c r="LUH272" s="2329"/>
      <c r="LUI272" s="2329"/>
      <c r="LUJ272" s="2329"/>
      <c r="LUK272" s="2329"/>
      <c r="LUL272" s="2329"/>
      <c r="LUM272" s="2329"/>
      <c r="LUN272" s="2328"/>
      <c r="LUO272" s="2329"/>
      <c r="LUP272" s="2329"/>
      <c r="LUQ272" s="2329"/>
      <c r="LUR272" s="2329"/>
      <c r="LUS272" s="2329"/>
      <c r="LUT272" s="2329"/>
      <c r="LUU272" s="2329"/>
      <c r="LUV272" s="2329"/>
      <c r="LUW272" s="2329"/>
      <c r="LUX272" s="2329"/>
      <c r="LUY272" s="2329"/>
      <c r="LUZ272" s="2329"/>
      <c r="LVA272" s="2329"/>
      <c r="LVB272" s="2329"/>
      <c r="LVC272" s="2329"/>
      <c r="LVD272" s="2328"/>
      <c r="LVE272" s="2329"/>
      <c r="LVF272" s="2329"/>
      <c r="LVG272" s="2329"/>
      <c r="LVH272" s="2329"/>
      <c r="LVI272" s="2329"/>
      <c r="LVJ272" s="2329"/>
      <c r="LVK272" s="2329"/>
      <c r="LVL272" s="2329"/>
      <c r="LVM272" s="2329"/>
      <c r="LVN272" s="2329"/>
      <c r="LVO272" s="2329"/>
      <c r="LVP272" s="2329"/>
      <c r="LVQ272" s="2329"/>
      <c r="LVR272" s="2329"/>
      <c r="LVS272" s="2329"/>
      <c r="LVT272" s="2328"/>
      <c r="LVU272" s="2329"/>
      <c r="LVV272" s="2329"/>
      <c r="LVW272" s="2329"/>
      <c r="LVX272" s="2329"/>
      <c r="LVY272" s="2329"/>
      <c r="LVZ272" s="2329"/>
      <c r="LWA272" s="2329"/>
      <c r="LWB272" s="2329"/>
      <c r="LWC272" s="2329"/>
      <c r="LWD272" s="2329"/>
      <c r="LWE272" s="2329"/>
      <c r="LWF272" s="2329"/>
      <c r="LWG272" s="2329"/>
      <c r="LWH272" s="2329"/>
      <c r="LWI272" s="2329"/>
      <c r="LWJ272" s="2328"/>
      <c r="LWK272" s="2329"/>
      <c r="LWL272" s="2329"/>
      <c r="LWM272" s="2329"/>
      <c r="LWN272" s="2329"/>
      <c r="LWO272" s="2329"/>
      <c r="LWP272" s="2329"/>
      <c r="LWQ272" s="2329"/>
      <c r="LWR272" s="2329"/>
      <c r="LWS272" s="2329"/>
      <c r="LWT272" s="2329"/>
      <c r="LWU272" s="2329"/>
      <c r="LWV272" s="2329"/>
      <c r="LWW272" s="2329"/>
      <c r="LWX272" s="2329"/>
      <c r="LWY272" s="2329"/>
      <c r="LWZ272" s="2328"/>
      <c r="LXA272" s="2329"/>
      <c r="LXB272" s="2329"/>
      <c r="LXC272" s="2329"/>
      <c r="LXD272" s="2329"/>
      <c r="LXE272" s="2329"/>
      <c r="LXF272" s="2329"/>
      <c r="LXG272" s="2329"/>
      <c r="LXH272" s="2329"/>
      <c r="LXI272" s="2329"/>
      <c r="LXJ272" s="2329"/>
      <c r="LXK272" s="2329"/>
      <c r="LXL272" s="2329"/>
      <c r="LXM272" s="2329"/>
      <c r="LXN272" s="2329"/>
      <c r="LXO272" s="2329"/>
      <c r="LXP272" s="2328"/>
      <c r="LXQ272" s="2329"/>
      <c r="LXR272" s="2329"/>
      <c r="LXS272" s="2329"/>
      <c r="LXT272" s="2329"/>
      <c r="LXU272" s="2329"/>
      <c r="LXV272" s="2329"/>
      <c r="LXW272" s="2329"/>
      <c r="LXX272" s="2329"/>
      <c r="LXY272" s="2329"/>
      <c r="LXZ272" s="2329"/>
      <c r="LYA272" s="2329"/>
      <c r="LYB272" s="2329"/>
      <c r="LYC272" s="2329"/>
      <c r="LYD272" s="2329"/>
      <c r="LYE272" s="2329"/>
      <c r="LYF272" s="2328"/>
      <c r="LYG272" s="2329"/>
      <c r="LYH272" s="2329"/>
      <c r="LYI272" s="2329"/>
      <c r="LYJ272" s="2329"/>
      <c r="LYK272" s="2329"/>
      <c r="LYL272" s="2329"/>
      <c r="LYM272" s="2329"/>
      <c r="LYN272" s="2329"/>
      <c r="LYO272" s="2329"/>
      <c r="LYP272" s="2329"/>
      <c r="LYQ272" s="2329"/>
      <c r="LYR272" s="2329"/>
      <c r="LYS272" s="2329"/>
      <c r="LYT272" s="2329"/>
      <c r="LYU272" s="2329"/>
      <c r="LYV272" s="2328"/>
      <c r="LYW272" s="2329"/>
      <c r="LYX272" s="2329"/>
      <c r="LYY272" s="2329"/>
      <c r="LYZ272" s="2329"/>
      <c r="LZA272" s="2329"/>
      <c r="LZB272" s="2329"/>
      <c r="LZC272" s="2329"/>
      <c r="LZD272" s="2329"/>
      <c r="LZE272" s="2329"/>
      <c r="LZF272" s="2329"/>
      <c r="LZG272" s="2329"/>
      <c r="LZH272" s="2329"/>
      <c r="LZI272" s="2329"/>
      <c r="LZJ272" s="2329"/>
      <c r="LZK272" s="2329"/>
      <c r="LZL272" s="2328"/>
      <c r="LZM272" s="2329"/>
      <c r="LZN272" s="2329"/>
      <c r="LZO272" s="2329"/>
      <c r="LZP272" s="2329"/>
      <c r="LZQ272" s="2329"/>
      <c r="LZR272" s="2329"/>
      <c r="LZS272" s="2329"/>
      <c r="LZT272" s="2329"/>
      <c r="LZU272" s="2329"/>
      <c r="LZV272" s="2329"/>
      <c r="LZW272" s="2329"/>
      <c r="LZX272" s="2329"/>
      <c r="LZY272" s="2329"/>
      <c r="LZZ272" s="2329"/>
      <c r="MAA272" s="2329"/>
      <c r="MAB272" s="2328"/>
      <c r="MAC272" s="2329"/>
      <c r="MAD272" s="2329"/>
      <c r="MAE272" s="2329"/>
      <c r="MAF272" s="2329"/>
      <c r="MAG272" s="2329"/>
      <c r="MAH272" s="2329"/>
      <c r="MAI272" s="2329"/>
      <c r="MAJ272" s="2329"/>
      <c r="MAK272" s="2329"/>
      <c r="MAL272" s="2329"/>
      <c r="MAM272" s="2329"/>
      <c r="MAN272" s="2329"/>
      <c r="MAO272" s="2329"/>
      <c r="MAP272" s="2329"/>
      <c r="MAQ272" s="2329"/>
      <c r="MAR272" s="2328"/>
      <c r="MAS272" s="2329"/>
      <c r="MAT272" s="2329"/>
      <c r="MAU272" s="2329"/>
      <c r="MAV272" s="2329"/>
      <c r="MAW272" s="2329"/>
      <c r="MAX272" s="2329"/>
      <c r="MAY272" s="2329"/>
      <c r="MAZ272" s="2329"/>
      <c r="MBA272" s="2329"/>
      <c r="MBB272" s="2329"/>
      <c r="MBC272" s="2329"/>
      <c r="MBD272" s="2329"/>
      <c r="MBE272" s="2329"/>
      <c r="MBF272" s="2329"/>
      <c r="MBG272" s="2329"/>
      <c r="MBH272" s="2328"/>
      <c r="MBI272" s="2329"/>
      <c r="MBJ272" s="2329"/>
      <c r="MBK272" s="2329"/>
      <c r="MBL272" s="2329"/>
      <c r="MBM272" s="2329"/>
      <c r="MBN272" s="2329"/>
      <c r="MBO272" s="2329"/>
      <c r="MBP272" s="2329"/>
      <c r="MBQ272" s="2329"/>
      <c r="MBR272" s="2329"/>
      <c r="MBS272" s="2329"/>
      <c r="MBT272" s="2329"/>
      <c r="MBU272" s="2329"/>
      <c r="MBV272" s="2329"/>
      <c r="MBW272" s="2329"/>
      <c r="MBX272" s="2328"/>
      <c r="MBY272" s="2329"/>
      <c r="MBZ272" s="2329"/>
      <c r="MCA272" s="2329"/>
      <c r="MCB272" s="2329"/>
      <c r="MCC272" s="2329"/>
      <c r="MCD272" s="2329"/>
      <c r="MCE272" s="2329"/>
      <c r="MCF272" s="2329"/>
      <c r="MCG272" s="2329"/>
      <c r="MCH272" s="2329"/>
      <c r="MCI272" s="2329"/>
      <c r="MCJ272" s="2329"/>
      <c r="MCK272" s="2329"/>
      <c r="MCL272" s="2329"/>
      <c r="MCM272" s="2329"/>
      <c r="MCN272" s="2328"/>
      <c r="MCO272" s="2329"/>
      <c r="MCP272" s="2329"/>
      <c r="MCQ272" s="2329"/>
      <c r="MCR272" s="2329"/>
      <c r="MCS272" s="2329"/>
      <c r="MCT272" s="2329"/>
      <c r="MCU272" s="2329"/>
      <c r="MCV272" s="2329"/>
      <c r="MCW272" s="2329"/>
      <c r="MCX272" s="2329"/>
      <c r="MCY272" s="2329"/>
      <c r="MCZ272" s="2329"/>
      <c r="MDA272" s="2329"/>
      <c r="MDB272" s="2329"/>
      <c r="MDC272" s="2329"/>
      <c r="MDD272" s="2328"/>
      <c r="MDE272" s="2329"/>
      <c r="MDF272" s="2329"/>
      <c r="MDG272" s="2329"/>
      <c r="MDH272" s="2329"/>
      <c r="MDI272" s="2329"/>
      <c r="MDJ272" s="2329"/>
      <c r="MDK272" s="2329"/>
      <c r="MDL272" s="2329"/>
      <c r="MDM272" s="2329"/>
      <c r="MDN272" s="2329"/>
      <c r="MDO272" s="2329"/>
      <c r="MDP272" s="2329"/>
      <c r="MDQ272" s="2329"/>
      <c r="MDR272" s="2329"/>
      <c r="MDS272" s="2329"/>
      <c r="MDT272" s="2328"/>
      <c r="MDU272" s="2329"/>
      <c r="MDV272" s="2329"/>
      <c r="MDW272" s="2329"/>
      <c r="MDX272" s="2329"/>
      <c r="MDY272" s="2329"/>
      <c r="MDZ272" s="2329"/>
      <c r="MEA272" s="2329"/>
      <c r="MEB272" s="2329"/>
      <c r="MEC272" s="2329"/>
      <c r="MED272" s="2329"/>
      <c r="MEE272" s="2329"/>
      <c r="MEF272" s="2329"/>
      <c r="MEG272" s="2329"/>
      <c r="MEH272" s="2329"/>
      <c r="MEI272" s="2329"/>
      <c r="MEJ272" s="2328"/>
      <c r="MEK272" s="2329"/>
      <c r="MEL272" s="2329"/>
      <c r="MEM272" s="2329"/>
      <c r="MEN272" s="2329"/>
      <c r="MEO272" s="2329"/>
      <c r="MEP272" s="2329"/>
      <c r="MEQ272" s="2329"/>
      <c r="MER272" s="2329"/>
      <c r="MES272" s="2329"/>
      <c r="MET272" s="2329"/>
      <c r="MEU272" s="2329"/>
      <c r="MEV272" s="2329"/>
      <c r="MEW272" s="2329"/>
      <c r="MEX272" s="2329"/>
      <c r="MEY272" s="2329"/>
      <c r="MEZ272" s="2328"/>
      <c r="MFA272" s="2329"/>
      <c r="MFB272" s="2329"/>
      <c r="MFC272" s="2329"/>
      <c r="MFD272" s="2329"/>
      <c r="MFE272" s="2329"/>
      <c r="MFF272" s="2329"/>
      <c r="MFG272" s="2329"/>
      <c r="MFH272" s="2329"/>
      <c r="MFI272" s="2329"/>
      <c r="MFJ272" s="2329"/>
      <c r="MFK272" s="2329"/>
      <c r="MFL272" s="2329"/>
      <c r="MFM272" s="2329"/>
      <c r="MFN272" s="2329"/>
      <c r="MFO272" s="2329"/>
      <c r="MFP272" s="2328"/>
      <c r="MFQ272" s="2329"/>
      <c r="MFR272" s="2329"/>
      <c r="MFS272" s="2329"/>
      <c r="MFT272" s="2329"/>
      <c r="MFU272" s="2329"/>
      <c r="MFV272" s="2329"/>
      <c r="MFW272" s="2329"/>
      <c r="MFX272" s="2329"/>
      <c r="MFY272" s="2329"/>
      <c r="MFZ272" s="2329"/>
      <c r="MGA272" s="2329"/>
      <c r="MGB272" s="2329"/>
      <c r="MGC272" s="2329"/>
      <c r="MGD272" s="2329"/>
      <c r="MGE272" s="2329"/>
      <c r="MGF272" s="2328"/>
      <c r="MGG272" s="2329"/>
      <c r="MGH272" s="2329"/>
      <c r="MGI272" s="2329"/>
      <c r="MGJ272" s="2329"/>
      <c r="MGK272" s="2329"/>
      <c r="MGL272" s="2329"/>
      <c r="MGM272" s="2329"/>
      <c r="MGN272" s="2329"/>
      <c r="MGO272" s="2329"/>
      <c r="MGP272" s="2329"/>
      <c r="MGQ272" s="2329"/>
      <c r="MGR272" s="2329"/>
      <c r="MGS272" s="2329"/>
      <c r="MGT272" s="2329"/>
      <c r="MGU272" s="2329"/>
      <c r="MGV272" s="2328"/>
      <c r="MGW272" s="2329"/>
      <c r="MGX272" s="2329"/>
      <c r="MGY272" s="2329"/>
      <c r="MGZ272" s="2329"/>
      <c r="MHA272" s="2329"/>
      <c r="MHB272" s="2329"/>
      <c r="MHC272" s="2329"/>
      <c r="MHD272" s="2329"/>
      <c r="MHE272" s="2329"/>
      <c r="MHF272" s="2329"/>
      <c r="MHG272" s="2329"/>
      <c r="MHH272" s="2329"/>
      <c r="MHI272" s="2329"/>
      <c r="MHJ272" s="2329"/>
      <c r="MHK272" s="2329"/>
      <c r="MHL272" s="2328"/>
      <c r="MHM272" s="2329"/>
      <c r="MHN272" s="2329"/>
      <c r="MHO272" s="2329"/>
      <c r="MHP272" s="2329"/>
      <c r="MHQ272" s="2329"/>
      <c r="MHR272" s="2329"/>
      <c r="MHS272" s="2329"/>
      <c r="MHT272" s="2329"/>
      <c r="MHU272" s="2329"/>
      <c r="MHV272" s="2329"/>
      <c r="MHW272" s="2329"/>
      <c r="MHX272" s="2329"/>
      <c r="MHY272" s="2329"/>
      <c r="MHZ272" s="2329"/>
      <c r="MIA272" s="2329"/>
      <c r="MIB272" s="2328"/>
      <c r="MIC272" s="2329"/>
      <c r="MID272" s="2329"/>
      <c r="MIE272" s="2329"/>
      <c r="MIF272" s="2329"/>
      <c r="MIG272" s="2329"/>
      <c r="MIH272" s="2329"/>
      <c r="MII272" s="2329"/>
      <c r="MIJ272" s="2329"/>
      <c r="MIK272" s="2329"/>
      <c r="MIL272" s="2329"/>
      <c r="MIM272" s="2329"/>
      <c r="MIN272" s="2329"/>
      <c r="MIO272" s="2329"/>
      <c r="MIP272" s="2329"/>
      <c r="MIQ272" s="2329"/>
      <c r="MIR272" s="2328"/>
      <c r="MIS272" s="2329"/>
      <c r="MIT272" s="2329"/>
      <c r="MIU272" s="2329"/>
      <c r="MIV272" s="2329"/>
      <c r="MIW272" s="2329"/>
      <c r="MIX272" s="2329"/>
      <c r="MIY272" s="2329"/>
      <c r="MIZ272" s="2329"/>
      <c r="MJA272" s="2329"/>
      <c r="MJB272" s="2329"/>
      <c r="MJC272" s="2329"/>
      <c r="MJD272" s="2329"/>
      <c r="MJE272" s="2329"/>
      <c r="MJF272" s="2329"/>
      <c r="MJG272" s="2329"/>
      <c r="MJH272" s="2328"/>
      <c r="MJI272" s="2329"/>
      <c r="MJJ272" s="2329"/>
      <c r="MJK272" s="2329"/>
      <c r="MJL272" s="2329"/>
      <c r="MJM272" s="2329"/>
      <c r="MJN272" s="2329"/>
      <c r="MJO272" s="2329"/>
      <c r="MJP272" s="2329"/>
      <c r="MJQ272" s="2329"/>
      <c r="MJR272" s="2329"/>
      <c r="MJS272" s="2329"/>
      <c r="MJT272" s="2329"/>
      <c r="MJU272" s="2329"/>
      <c r="MJV272" s="2329"/>
      <c r="MJW272" s="2329"/>
      <c r="MJX272" s="2328"/>
      <c r="MJY272" s="2329"/>
      <c r="MJZ272" s="2329"/>
      <c r="MKA272" s="2329"/>
      <c r="MKB272" s="2329"/>
      <c r="MKC272" s="2329"/>
      <c r="MKD272" s="2329"/>
      <c r="MKE272" s="2329"/>
      <c r="MKF272" s="2329"/>
      <c r="MKG272" s="2329"/>
      <c r="MKH272" s="2329"/>
      <c r="MKI272" s="2329"/>
      <c r="MKJ272" s="2329"/>
      <c r="MKK272" s="2329"/>
      <c r="MKL272" s="2329"/>
      <c r="MKM272" s="2329"/>
      <c r="MKN272" s="2328"/>
      <c r="MKO272" s="2329"/>
      <c r="MKP272" s="2329"/>
      <c r="MKQ272" s="2329"/>
      <c r="MKR272" s="2329"/>
      <c r="MKS272" s="2329"/>
      <c r="MKT272" s="2329"/>
      <c r="MKU272" s="2329"/>
      <c r="MKV272" s="2329"/>
      <c r="MKW272" s="2329"/>
      <c r="MKX272" s="2329"/>
      <c r="MKY272" s="2329"/>
      <c r="MKZ272" s="2329"/>
      <c r="MLA272" s="2329"/>
      <c r="MLB272" s="2329"/>
      <c r="MLC272" s="2329"/>
      <c r="MLD272" s="2328"/>
      <c r="MLE272" s="2329"/>
      <c r="MLF272" s="2329"/>
      <c r="MLG272" s="2329"/>
      <c r="MLH272" s="2329"/>
      <c r="MLI272" s="2329"/>
      <c r="MLJ272" s="2329"/>
      <c r="MLK272" s="2329"/>
      <c r="MLL272" s="2329"/>
      <c r="MLM272" s="2329"/>
      <c r="MLN272" s="2329"/>
      <c r="MLO272" s="2329"/>
      <c r="MLP272" s="2329"/>
      <c r="MLQ272" s="2329"/>
      <c r="MLR272" s="2329"/>
      <c r="MLS272" s="2329"/>
      <c r="MLT272" s="2328"/>
      <c r="MLU272" s="2329"/>
      <c r="MLV272" s="2329"/>
      <c r="MLW272" s="2329"/>
      <c r="MLX272" s="2329"/>
      <c r="MLY272" s="2329"/>
      <c r="MLZ272" s="2329"/>
      <c r="MMA272" s="2329"/>
      <c r="MMB272" s="2329"/>
      <c r="MMC272" s="2329"/>
      <c r="MMD272" s="2329"/>
      <c r="MME272" s="2329"/>
      <c r="MMF272" s="2329"/>
      <c r="MMG272" s="2329"/>
      <c r="MMH272" s="2329"/>
      <c r="MMI272" s="2329"/>
      <c r="MMJ272" s="2328"/>
      <c r="MMK272" s="2329"/>
      <c r="MML272" s="2329"/>
      <c r="MMM272" s="2329"/>
      <c r="MMN272" s="2329"/>
      <c r="MMO272" s="2329"/>
      <c r="MMP272" s="2329"/>
      <c r="MMQ272" s="2329"/>
      <c r="MMR272" s="2329"/>
      <c r="MMS272" s="2329"/>
      <c r="MMT272" s="2329"/>
      <c r="MMU272" s="2329"/>
      <c r="MMV272" s="2329"/>
      <c r="MMW272" s="2329"/>
      <c r="MMX272" s="2329"/>
      <c r="MMY272" s="2329"/>
      <c r="MMZ272" s="2328"/>
      <c r="MNA272" s="2329"/>
      <c r="MNB272" s="2329"/>
      <c r="MNC272" s="2329"/>
      <c r="MND272" s="2329"/>
      <c r="MNE272" s="2329"/>
      <c r="MNF272" s="2329"/>
      <c r="MNG272" s="2329"/>
      <c r="MNH272" s="2329"/>
      <c r="MNI272" s="2329"/>
      <c r="MNJ272" s="2329"/>
      <c r="MNK272" s="2329"/>
      <c r="MNL272" s="2329"/>
      <c r="MNM272" s="2329"/>
      <c r="MNN272" s="2329"/>
      <c r="MNO272" s="2329"/>
      <c r="MNP272" s="2328"/>
      <c r="MNQ272" s="2329"/>
      <c r="MNR272" s="2329"/>
      <c r="MNS272" s="2329"/>
      <c r="MNT272" s="2329"/>
      <c r="MNU272" s="2329"/>
      <c r="MNV272" s="2329"/>
      <c r="MNW272" s="2329"/>
      <c r="MNX272" s="2329"/>
      <c r="MNY272" s="2329"/>
      <c r="MNZ272" s="2329"/>
      <c r="MOA272" s="2329"/>
      <c r="MOB272" s="2329"/>
      <c r="MOC272" s="2329"/>
      <c r="MOD272" s="2329"/>
      <c r="MOE272" s="2329"/>
      <c r="MOF272" s="2328"/>
      <c r="MOG272" s="2329"/>
      <c r="MOH272" s="2329"/>
      <c r="MOI272" s="2329"/>
      <c r="MOJ272" s="2329"/>
      <c r="MOK272" s="2329"/>
      <c r="MOL272" s="2329"/>
      <c r="MOM272" s="2329"/>
      <c r="MON272" s="2329"/>
      <c r="MOO272" s="2329"/>
      <c r="MOP272" s="2329"/>
      <c r="MOQ272" s="2329"/>
      <c r="MOR272" s="2329"/>
      <c r="MOS272" s="2329"/>
      <c r="MOT272" s="2329"/>
      <c r="MOU272" s="2329"/>
      <c r="MOV272" s="2328"/>
      <c r="MOW272" s="2329"/>
      <c r="MOX272" s="2329"/>
      <c r="MOY272" s="2329"/>
      <c r="MOZ272" s="2329"/>
      <c r="MPA272" s="2329"/>
      <c r="MPB272" s="2329"/>
      <c r="MPC272" s="2329"/>
      <c r="MPD272" s="2329"/>
      <c r="MPE272" s="2329"/>
      <c r="MPF272" s="2329"/>
      <c r="MPG272" s="2329"/>
      <c r="MPH272" s="2329"/>
      <c r="MPI272" s="2329"/>
      <c r="MPJ272" s="2329"/>
      <c r="MPK272" s="2329"/>
      <c r="MPL272" s="2328"/>
      <c r="MPM272" s="2329"/>
      <c r="MPN272" s="2329"/>
      <c r="MPO272" s="2329"/>
      <c r="MPP272" s="2329"/>
      <c r="MPQ272" s="2329"/>
      <c r="MPR272" s="2329"/>
      <c r="MPS272" s="2329"/>
      <c r="MPT272" s="2329"/>
      <c r="MPU272" s="2329"/>
      <c r="MPV272" s="2329"/>
      <c r="MPW272" s="2329"/>
      <c r="MPX272" s="2329"/>
      <c r="MPY272" s="2329"/>
      <c r="MPZ272" s="2329"/>
      <c r="MQA272" s="2329"/>
      <c r="MQB272" s="2328"/>
      <c r="MQC272" s="2329"/>
      <c r="MQD272" s="2329"/>
      <c r="MQE272" s="2329"/>
      <c r="MQF272" s="2329"/>
      <c r="MQG272" s="2329"/>
      <c r="MQH272" s="2329"/>
      <c r="MQI272" s="2329"/>
      <c r="MQJ272" s="2329"/>
      <c r="MQK272" s="2329"/>
      <c r="MQL272" s="2329"/>
      <c r="MQM272" s="2329"/>
      <c r="MQN272" s="2329"/>
      <c r="MQO272" s="2329"/>
      <c r="MQP272" s="2329"/>
      <c r="MQQ272" s="2329"/>
      <c r="MQR272" s="2328"/>
      <c r="MQS272" s="2329"/>
      <c r="MQT272" s="2329"/>
      <c r="MQU272" s="2329"/>
      <c r="MQV272" s="2329"/>
      <c r="MQW272" s="2329"/>
      <c r="MQX272" s="2329"/>
      <c r="MQY272" s="2329"/>
      <c r="MQZ272" s="2329"/>
      <c r="MRA272" s="2329"/>
      <c r="MRB272" s="2329"/>
      <c r="MRC272" s="2329"/>
      <c r="MRD272" s="2329"/>
      <c r="MRE272" s="2329"/>
      <c r="MRF272" s="2329"/>
      <c r="MRG272" s="2329"/>
      <c r="MRH272" s="2328"/>
      <c r="MRI272" s="2329"/>
      <c r="MRJ272" s="2329"/>
      <c r="MRK272" s="2329"/>
      <c r="MRL272" s="2329"/>
      <c r="MRM272" s="2329"/>
      <c r="MRN272" s="2329"/>
      <c r="MRO272" s="2329"/>
      <c r="MRP272" s="2329"/>
      <c r="MRQ272" s="2329"/>
      <c r="MRR272" s="2329"/>
      <c r="MRS272" s="2329"/>
      <c r="MRT272" s="2329"/>
      <c r="MRU272" s="2329"/>
      <c r="MRV272" s="2329"/>
      <c r="MRW272" s="2329"/>
      <c r="MRX272" s="2328"/>
      <c r="MRY272" s="2329"/>
      <c r="MRZ272" s="2329"/>
      <c r="MSA272" s="2329"/>
      <c r="MSB272" s="2329"/>
      <c r="MSC272" s="2329"/>
      <c r="MSD272" s="2329"/>
      <c r="MSE272" s="2329"/>
      <c r="MSF272" s="2329"/>
      <c r="MSG272" s="2329"/>
      <c r="MSH272" s="2329"/>
      <c r="MSI272" s="2329"/>
      <c r="MSJ272" s="2329"/>
      <c r="MSK272" s="2329"/>
      <c r="MSL272" s="2329"/>
      <c r="MSM272" s="2329"/>
      <c r="MSN272" s="2328"/>
      <c r="MSO272" s="2329"/>
      <c r="MSP272" s="2329"/>
      <c r="MSQ272" s="2329"/>
      <c r="MSR272" s="2329"/>
      <c r="MSS272" s="2329"/>
      <c r="MST272" s="2329"/>
      <c r="MSU272" s="2329"/>
      <c r="MSV272" s="2329"/>
      <c r="MSW272" s="2329"/>
      <c r="MSX272" s="2329"/>
      <c r="MSY272" s="2329"/>
      <c r="MSZ272" s="2329"/>
      <c r="MTA272" s="2329"/>
      <c r="MTB272" s="2329"/>
      <c r="MTC272" s="2329"/>
      <c r="MTD272" s="2328"/>
      <c r="MTE272" s="2329"/>
      <c r="MTF272" s="2329"/>
      <c r="MTG272" s="2329"/>
      <c r="MTH272" s="2329"/>
      <c r="MTI272" s="2329"/>
      <c r="MTJ272" s="2329"/>
      <c r="MTK272" s="2329"/>
      <c r="MTL272" s="2329"/>
      <c r="MTM272" s="2329"/>
      <c r="MTN272" s="2329"/>
      <c r="MTO272" s="2329"/>
      <c r="MTP272" s="2329"/>
      <c r="MTQ272" s="2329"/>
      <c r="MTR272" s="2329"/>
      <c r="MTS272" s="2329"/>
      <c r="MTT272" s="2328"/>
      <c r="MTU272" s="2329"/>
      <c r="MTV272" s="2329"/>
      <c r="MTW272" s="2329"/>
      <c r="MTX272" s="2329"/>
      <c r="MTY272" s="2329"/>
      <c r="MTZ272" s="2329"/>
      <c r="MUA272" s="2329"/>
      <c r="MUB272" s="2329"/>
      <c r="MUC272" s="2329"/>
      <c r="MUD272" s="2329"/>
      <c r="MUE272" s="2329"/>
      <c r="MUF272" s="2329"/>
      <c r="MUG272" s="2329"/>
      <c r="MUH272" s="2329"/>
      <c r="MUI272" s="2329"/>
      <c r="MUJ272" s="2328"/>
      <c r="MUK272" s="2329"/>
      <c r="MUL272" s="2329"/>
      <c r="MUM272" s="2329"/>
      <c r="MUN272" s="2329"/>
      <c r="MUO272" s="2329"/>
      <c r="MUP272" s="2329"/>
      <c r="MUQ272" s="2329"/>
      <c r="MUR272" s="2329"/>
      <c r="MUS272" s="2329"/>
      <c r="MUT272" s="2329"/>
      <c r="MUU272" s="2329"/>
      <c r="MUV272" s="2329"/>
      <c r="MUW272" s="2329"/>
      <c r="MUX272" s="2329"/>
      <c r="MUY272" s="2329"/>
      <c r="MUZ272" s="2328"/>
      <c r="MVA272" s="2329"/>
      <c r="MVB272" s="2329"/>
      <c r="MVC272" s="2329"/>
      <c r="MVD272" s="2329"/>
      <c r="MVE272" s="2329"/>
      <c r="MVF272" s="2329"/>
      <c r="MVG272" s="2329"/>
      <c r="MVH272" s="2329"/>
      <c r="MVI272" s="2329"/>
      <c r="MVJ272" s="2329"/>
      <c r="MVK272" s="2329"/>
      <c r="MVL272" s="2329"/>
      <c r="MVM272" s="2329"/>
      <c r="MVN272" s="2329"/>
      <c r="MVO272" s="2329"/>
      <c r="MVP272" s="2328"/>
      <c r="MVQ272" s="2329"/>
      <c r="MVR272" s="2329"/>
      <c r="MVS272" s="2329"/>
      <c r="MVT272" s="2329"/>
      <c r="MVU272" s="2329"/>
      <c r="MVV272" s="2329"/>
      <c r="MVW272" s="2329"/>
      <c r="MVX272" s="2329"/>
      <c r="MVY272" s="2329"/>
      <c r="MVZ272" s="2329"/>
      <c r="MWA272" s="2329"/>
      <c r="MWB272" s="2329"/>
      <c r="MWC272" s="2329"/>
      <c r="MWD272" s="2329"/>
      <c r="MWE272" s="2329"/>
      <c r="MWF272" s="2328"/>
      <c r="MWG272" s="2329"/>
      <c r="MWH272" s="2329"/>
      <c r="MWI272" s="2329"/>
      <c r="MWJ272" s="2329"/>
      <c r="MWK272" s="2329"/>
      <c r="MWL272" s="2329"/>
      <c r="MWM272" s="2329"/>
      <c r="MWN272" s="2329"/>
      <c r="MWO272" s="2329"/>
      <c r="MWP272" s="2329"/>
      <c r="MWQ272" s="2329"/>
      <c r="MWR272" s="2329"/>
      <c r="MWS272" s="2329"/>
      <c r="MWT272" s="2329"/>
      <c r="MWU272" s="2329"/>
      <c r="MWV272" s="2328"/>
      <c r="MWW272" s="2329"/>
      <c r="MWX272" s="2329"/>
      <c r="MWY272" s="2329"/>
      <c r="MWZ272" s="2329"/>
      <c r="MXA272" s="2329"/>
      <c r="MXB272" s="2329"/>
      <c r="MXC272" s="2329"/>
      <c r="MXD272" s="2329"/>
      <c r="MXE272" s="2329"/>
      <c r="MXF272" s="2329"/>
      <c r="MXG272" s="2329"/>
      <c r="MXH272" s="2329"/>
      <c r="MXI272" s="2329"/>
      <c r="MXJ272" s="2329"/>
      <c r="MXK272" s="2329"/>
      <c r="MXL272" s="2328"/>
      <c r="MXM272" s="2329"/>
      <c r="MXN272" s="2329"/>
      <c r="MXO272" s="2329"/>
      <c r="MXP272" s="2329"/>
      <c r="MXQ272" s="2329"/>
      <c r="MXR272" s="2329"/>
      <c r="MXS272" s="2329"/>
      <c r="MXT272" s="2329"/>
      <c r="MXU272" s="2329"/>
      <c r="MXV272" s="2329"/>
      <c r="MXW272" s="2329"/>
      <c r="MXX272" s="2329"/>
      <c r="MXY272" s="2329"/>
      <c r="MXZ272" s="2329"/>
      <c r="MYA272" s="2329"/>
      <c r="MYB272" s="2328"/>
      <c r="MYC272" s="2329"/>
      <c r="MYD272" s="2329"/>
      <c r="MYE272" s="2329"/>
      <c r="MYF272" s="2329"/>
      <c r="MYG272" s="2329"/>
      <c r="MYH272" s="2329"/>
      <c r="MYI272" s="2329"/>
      <c r="MYJ272" s="2329"/>
      <c r="MYK272" s="2329"/>
      <c r="MYL272" s="2329"/>
      <c r="MYM272" s="2329"/>
      <c r="MYN272" s="2329"/>
      <c r="MYO272" s="2329"/>
      <c r="MYP272" s="2329"/>
      <c r="MYQ272" s="2329"/>
      <c r="MYR272" s="2328"/>
      <c r="MYS272" s="2329"/>
      <c r="MYT272" s="2329"/>
      <c r="MYU272" s="2329"/>
      <c r="MYV272" s="2329"/>
      <c r="MYW272" s="2329"/>
      <c r="MYX272" s="2329"/>
      <c r="MYY272" s="2329"/>
      <c r="MYZ272" s="2329"/>
      <c r="MZA272" s="2329"/>
      <c r="MZB272" s="2329"/>
      <c r="MZC272" s="2329"/>
      <c r="MZD272" s="2329"/>
      <c r="MZE272" s="2329"/>
      <c r="MZF272" s="2329"/>
      <c r="MZG272" s="2329"/>
      <c r="MZH272" s="2328"/>
      <c r="MZI272" s="2329"/>
      <c r="MZJ272" s="2329"/>
      <c r="MZK272" s="2329"/>
      <c r="MZL272" s="2329"/>
      <c r="MZM272" s="2329"/>
      <c r="MZN272" s="2329"/>
      <c r="MZO272" s="2329"/>
      <c r="MZP272" s="2329"/>
      <c r="MZQ272" s="2329"/>
      <c r="MZR272" s="2329"/>
      <c r="MZS272" s="2329"/>
      <c r="MZT272" s="2329"/>
      <c r="MZU272" s="2329"/>
      <c r="MZV272" s="2329"/>
      <c r="MZW272" s="2329"/>
      <c r="MZX272" s="2328"/>
      <c r="MZY272" s="2329"/>
      <c r="MZZ272" s="2329"/>
      <c r="NAA272" s="2329"/>
      <c r="NAB272" s="2329"/>
      <c r="NAC272" s="2329"/>
      <c r="NAD272" s="2329"/>
      <c r="NAE272" s="2329"/>
      <c r="NAF272" s="2329"/>
      <c r="NAG272" s="2329"/>
      <c r="NAH272" s="2329"/>
      <c r="NAI272" s="2329"/>
      <c r="NAJ272" s="2329"/>
      <c r="NAK272" s="2329"/>
      <c r="NAL272" s="2329"/>
      <c r="NAM272" s="2329"/>
      <c r="NAN272" s="2328"/>
      <c r="NAO272" s="2329"/>
      <c r="NAP272" s="2329"/>
      <c r="NAQ272" s="2329"/>
      <c r="NAR272" s="2329"/>
      <c r="NAS272" s="2329"/>
      <c r="NAT272" s="2329"/>
      <c r="NAU272" s="2329"/>
      <c r="NAV272" s="2329"/>
      <c r="NAW272" s="2329"/>
      <c r="NAX272" s="2329"/>
      <c r="NAY272" s="2329"/>
      <c r="NAZ272" s="2329"/>
      <c r="NBA272" s="2329"/>
      <c r="NBB272" s="2329"/>
      <c r="NBC272" s="2329"/>
      <c r="NBD272" s="2328"/>
      <c r="NBE272" s="2329"/>
      <c r="NBF272" s="2329"/>
      <c r="NBG272" s="2329"/>
      <c r="NBH272" s="2329"/>
      <c r="NBI272" s="2329"/>
      <c r="NBJ272" s="2329"/>
      <c r="NBK272" s="2329"/>
      <c r="NBL272" s="2329"/>
      <c r="NBM272" s="2329"/>
      <c r="NBN272" s="2329"/>
      <c r="NBO272" s="2329"/>
      <c r="NBP272" s="2329"/>
      <c r="NBQ272" s="2329"/>
      <c r="NBR272" s="2329"/>
      <c r="NBS272" s="2329"/>
      <c r="NBT272" s="2328"/>
      <c r="NBU272" s="2329"/>
      <c r="NBV272" s="2329"/>
      <c r="NBW272" s="2329"/>
      <c r="NBX272" s="2329"/>
      <c r="NBY272" s="2329"/>
      <c r="NBZ272" s="2329"/>
      <c r="NCA272" s="2329"/>
      <c r="NCB272" s="2329"/>
      <c r="NCC272" s="2329"/>
      <c r="NCD272" s="2329"/>
      <c r="NCE272" s="2329"/>
      <c r="NCF272" s="2329"/>
      <c r="NCG272" s="2329"/>
      <c r="NCH272" s="2329"/>
      <c r="NCI272" s="2329"/>
      <c r="NCJ272" s="2328"/>
      <c r="NCK272" s="2329"/>
      <c r="NCL272" s="2329"/>
      <c r="NCM272" s="2329"/>
      <c r="NCN272" s="2329"/>
      <c r="NCO272" s="2329"/>
      <c r="NCP272" s="2329"/>
      <c r="NCQ272" s="2329"/>
      <c r="NCR272" s="2329"/>
      <c r="NCS272" s="2329"/>
      <c r="NCT272" s="2329"/>
      <c r="NCU272" s="2329"/>
      <c r="NCV272" s="2329"/>
      <c r="NCW272" s="2329"/>
      <c r="NCX272" s="2329"/>
      <c r="NCY272" s="2329"/>
      <c r="NCZ272" s="2328"/>
      <c r="NDA272" s="2329"/>
      <c r="NDB272" s="2329"/>
      <c r="NDC272" s="2329"/>
      <c r="NDD272" s="2329"/>
      <c r="NDE272" s="2329"/>
      <c r="NDF272" s="2329"/>
      <c r="NDG272" s="2329"/>
      <c r="NDH272" s="2329"/>
      <c r="NDI272" s="2329"/>
      <c r="NDJ272" s="2329"/>
      <c r="NDK272" s="2329"/>
      <c r="NDL272" s="2329"/>
      <c r="NDM272" s="2329"/>
      <c r="NDN272" s="2329"/>
      <c r="NDO272" s="2329"/>
      <c r="NDP272" s="2328"/>
      <c r="NDQ272" s="2329"/>
      <c r="NDR272" s="2329"/>
      <c r="NDS272" s="2329"/>
      <c r="NDT272" s="2329"/>
      <c r="NDU272" s="2329"/>
      <c r="NDV272" s="2329"/>
      <c r="NDW272" s="2329"/>
      <c r="NDX272" s="2329"/>
      <c r="NDY272" s="2329"/>
      <c r="NDZ272" s="2329"/>
      <c r="NEA272" s="2329"/>
      <c r="NEB272" s="2329"/>
      <c r="NEC272" s="2329"/>
      <c r="NED272" s="2329"/>
      <c r="NEE272" s="2329"/>
      <c r="NEF272" s="2328"/>
      <c r="NEG272" s="2329"/>
      <c r="NEH272" s="2329"/>
      <c r="NEI272" s="2329"/>
      <c r="NEJ272" s="2329"/>
      <c r="NEK272" s="2329"/>
      <c r="NEL272" s="2329"/>
      <c r="NEM272" s="2329"/>
      <c r="NEN272" s="2329"/>
      <c r="NEO272" s="2329"/>
      <c r="NEP272" s="2329"/>
      <c r="NEQ272" s="2329"/>
      <c r="NER272" s="2329"/>
      <c r="NES272" s="2329"/>
      <c r="NET272" s="2329"/>
      <c r="NEU272" s="2329"/>
      <c r="NEV272" s="2328"/>
      <c r="NEW272" s="2329"/>
      <c r="NEX272" s="2329"/>
      <c r="NEY272" s="2329"/>
      <c r="NEZ272" s="2329"/>
      <c r="NFA272" s="2329"/>
      <c r="NFB272" s="2329"/>
      <c r="NFC272" s="2329"/>
      <c r="NFD272" s="2329"/>
      <c r="NFE272" s="2329"/>
      <c r="NFF272" s="2329"/>
      <c r="NFG272" s="2329"/>
      <c r="NFH272" s="2329"/>
      <c r="NFI272" s="2329"/>
      <c r="NFJ272" s="2329"/>
      <c r="NFK272" s="2329"/>
      <c r="NFL272" s="2328"/>
      <c r="NFM272" s="2329"/>
      <c r="NFN272" s="2329"/>
      <c r="NFO272" s="2329"/>
      <c r="NFP272" s="2329"/>
      <c r="NFQ272" s="2329"/>
      <c r="NFR272" s="2329"/>
      <c r="NFS272" s="2329"/>
      <c r="NFT272" s="2329"/>
      <c r="NFU272" s="2329"/>
      <c r="NFV272" s="2329"/>
      <c r="NFW272" s="2329"/>
      <c r="NFX272" s="2329"/>
      <c r="NFY272" s="2329"/>
      <c r="NFZ272" s="2329"/>
      <c r="NGA272" s="2329"/>
      <c r="NGB272" s="2328"/>
      <c r="NGC272" s="2329"/>
      <c r="NGD272" s="2329"/>
      <c r="NGE272" s="2329"/>
      <c r="NGF272" s="2329"/>
      <c r="NGG272" s="2329"/>
      <c r="NGH272" s="2329"/>
      <c r="NGI272" s="2329"/>
      <c r="NGJ272" s="2329"/>
      <c r="NGK272" s="2329"/>
      <c r="NGL272" s="2329"/>
      <c r="NGM272" s="2329"/>
      <c r="NGN272" s="2329"/>
      <c r="NGO272" s="2329"/>
      <c r="NGP272" s="2329"/>
      <c r="NGQ272" s="2329"/>
      <c r="NGR272" s="2328"/>
      <c r="NGS272" s="2329"/>
      <c r="NGT272" s="2329"/>
      <c r="NGU272" s="2329"/>
      <c r="NGV272" s="2329"/>
      <c r="NGW272" s="2329"/>
      <c r="NGX272" s="2329"/>
      <c r="NGY272" s="2329"/>
      <c r="NGZ272" s="2329"/>
      <c r="NHA272" s="2329"/>
      <c r="NHB272" s="2329"/>
      <c r="NHC272" s="2329"/>
      <c r="NHD272" s="2329"/>
      <c r="NHE272" s="2329"/>
      <c r="NHF272" s="2329"/>
      <c r="NHG272" s="2329"/>
      <c r="NHH272" s="2328"/>
      <c r="NHI272" s="2329"/>
      <c r="NHJ272" s="2329"/>
      <c r="NHK272" s="2329"/>
      <c r="NHL272" s="2329"/>
      <c r="NHM272" s="2329"/>
      <c r="NHN272" s="2329"/>
      <c r="NHO272" s="2329"/>
      <c r="NHP272" s="2329"/>
      <c r="NHQ272" s="2329"/>
      <c r="NHR272" s="2329"/>
      <c r="NHS272" s="2329"/>
      <c r="NHT272" s="2329"/>
      <c r="NHU272" s="2329"/>
      <c r="NHV272" s="2329"/>
      <c r="NHW272" s="2329"/>
      <c r="NHX272" s="2328"/>
      <c r="NHY272" s="2329"/>
      <c r="NHZ272" s="2329"/>
      <c r="NIA272" s="2329"/>
      <c r="NIB272" s="2329"/>
      <c r="NIC272" s="2329"/>
      <c r="NID272" s="2329"/>
      <c r="NIE272" s="2329"/>
      <c r="NIF272" s="2329"/>
      <c r="NIG272" s="2329"/>
      <c r="NIH272" s="2329"/>
      <c r="NII272" s="2329"/>
      <c r="NIJ272" s="2329"/>
      <c r="NIK272" s="2329"/>
      <c r="NIL272" s="2329"/>
      <c r="NIM272" s="2329"/>
      <c r="NIN272" s="2328"/>
      <c r="NIO272" s="2329"/>
      <c r="NIP272" s="2329"/>
      <c r="NIQ272" s="2329"/>
      <c r="NIR272" s="2329"/>
      <c r="NIS272" s="2329"/>
      <c r="NIT272" s="2329"/>
      <c r="NIU272" s="2329"/>
      <c r="NIV272" s="2329"/>
      <c r="NIW272" s="2329"/>
      <c r="NIX272" s="2329"/>
      <c r="NIY272" s="2329"/>
      <c r="NIZ272" s="2329"/>
      <c r="NJA272" s="2329"/>
      <c r="NJB272" s="2329"/>
      <c r="NJC272" s="2329"/>
      <c r="NJD272" s="2328"/>
      <c r="NJE272" s="2329"/>
      <c r="NJF272" s="2329"/>
      <c r="NJG272" s="2329"/>
      <c r="NJH272" s="2329"/>
      <c r="NJI272" s="2329"/>
      <c r="NJJ272" s="2329"/>
      <c r="NJK272" s="2329"/>
      <c r="NJL272" s="2329"/>
      <c r="NJM272" s="2329"/>
      <c r="NJN272" s="2329"/>
      <c r="NJO272" s="2329"/>
      <c r="NJP272" s="2329"/>
      <c r="NJQ272" s="2329"/>
      <c r="NJR272" s="2329"/>
      <c r="NJS272" s="2329"/>
      <c r="NJT272" s="2328"/>
      <c r="NJU272" s="2329"/>
      <c r="NJV272" s="2329"/>
      <c r="NJW272" s="2329"/>
      <c r="NJX272" s="2329"/>
      <c r="NJY272" s="2329"/>
      <c r="NJZ272" s="2329"/>
      <c r="NKA272" s="2329"/>
      <c r="NKB272" s="2329"/>
      <c r="NKC272" s="2329"/>
      <c r="NKD272" s="2329"/>
      <c r="NKE272" s="2329"/>
      <c r="NKF272" s="2329"/>
      <c r="NKG272" s="2329"/>
      <c r="NKH272" s="2329"/>
      <c r="NKI272" s="2329"/>
      <c r="NKJ272" s="2328"/>
      <c r="NKK272" s="2329"/>
      <c r="NKL272" s="2329"/>
      <c r="NKM272" s="2329"/>
      <c r="NKN272" s="2329"/>
      <c r="NKO272" s="2329"/>
      <c r="NKP272" s="2329"/>
      <c r="NKQ272" s="2329"/>
      <c r="NKR272" s="2329"/>
      <c r="NKS272" s="2329"/>
      <c r="NKT272" s="2329"/>
      <c r="NKU272" s="2329"/>
      <c r="NKV272" s="2329"/>
      <c r="NKW272" s="2329"/>
      <c r="NKX272" s="2329"/>
      <c r="NKY272" s="2329"/>
      <c r="NKZ272" s="2328"/>
      <c r="NLA272" s="2329"/>
      <c r="NLB272" s="2329"/>
      <c r="NLC272" s="2329"/>
      <c r="NLD272" s="2329"/>
      <c r="NLE272" s="2329"/>
      <c r="NLF272" s="2329"/>
      <c r="NLG272" s="2329"/>
      <c r="NLH272" s="2329"/>
      <c r="NLI272" s="2329"/>
      <c r="NLJ272" s="2329"/>
      <c r="NLK272" s="2329"/>
      <c r="NLL272" s="2329"/>
      <c r="NLM272" s="2329"/>
      <c r="NLN272" s="2329"/>
      <c r="NLO272" s="2329"/>
      <c r="NLP272" s="2328"/>
      <c r="NLQ272" s="2329"/>
      <c r="NLR272" s="2329"/>
      <c r="NLS272" s="2329"/>
      <c r="NLT272" s="2329"/>
      <c r="NLU272" s="2329"/>
      <c r="NLV272" s="2329"/>
      <c r="NLW272" s="2329"/>
      <c r="NLX272" s="2329"/>
      <c r="NLY272" s="2329"/>
      <c r="NLZ272" s="2329"/>
      <c r="NMA272" s="2329"/>
      <c r="NMB272" s="2329"/>
      <c r="NMC272" s="2329"/>
      <c r="NMD272" s="2329"/>
      <c r="NME272" s="2329"/>
      <c r="NMF272" s="2328"/>
      <c r="NMG272" s="2329"/>
      <c r="NMH272" s="2329"/>
      <c r="NMI272" s="2329"/>
      <c r="NMJ272" s="2329"/>
      <c r="NMK272" s="2329"/>
      <c r="NML272" s="2329"/>
      <c r="NMM272" s="2329"/>
      <c r="NMN272" s="2329"/>
      <c r="NMO272" s="2329"/>
      <c r="NMP272" s="2329"/>
      <c r="NMQ272" s="2329"/>
      <c r="NMR272" s="2329"/>
      <c r="NMS272" s="2329"/>
      <c r="NMT272" s="2329"/>
      <c r="NMU272" s="2329"/>
      <c r="NMV272" s="2328"/>
      <c r="NMW272" s="2329"/>
      <c r="NMX272" s="2329"/>
      <c r="NMY272" s="2329"/>
      <c r="NMZ272" s="2329"/>
      <c r="NNA272" s="2329"/>
      <c r="NNB272" s="2329"/>
      <c r="NNC272" s="2329"/>
      <c r="NND272" s="2329"/>
      <c r="NNE272" s="2329"/>
      <c r="NNF272" s="2329"/>
      <c r="NNG272" s="2329"/>
      <c r="NNH272" s="2329"/>
      <c r="NNI272" s="2329"/>
      <c r="NNJ272" s="2329"/>
      <c r="NNK272" s="2329"/>
      <c r="NNL272" s="2328"/>
      <c r="NNM272" s="2329"/>
      <c r="NNN272" s="2329"/>
      <c r="NNO272" s="2329"/>
      <c r="NNP272" s="2329"/>
      <c r="NNQ272" s="2329"/>
      <c r="NNR272" s="2329"/>
      <c r="NNS272" s="2329"/>
      <c r="NNT272" s="2329"/>
      <c r="NNU272" s="2329"/>
      <c r="NNV272" s="2329"/>
      <c r="NNW272" s="2329"/>
      <c r="NNX272" s="2329"/>
      <c r="NNY272" s="2329"/>
      <c r="NNZ272" s="2329"/>
      <c r="NOA272" s="2329"/>
      <c r="NOB272" s="2328"/>
      <c r="NOC272" s="2329"/>
      <c r="NOD272" s="2329"/>
      <c r="NOE272" s="2329"/>
      <c r="NOF272" s="2329"/>
      <c r="NOG272" s="2329"/>
      <c r="NOH272" s="2329"/>
      <c r="NOI272" s="2329"/>
      <c r="NOJ272" s="2329"/>
      <c r="NOK272" s="2329"/>
      <c r="NOL272" s="2329"/>
      <c r="NOM272" s="2329"/>
      <c r="NON272" s="2329"/>
      <c r="NOO272" s="2329"/>
      <c r="NOP272" s="2329"/>
      <c r="NOQ272" s="2329"/>
      <c r="NOR272" s="2328"/>
      <c r="NOS272" s="2329"/>
      <c r="NOT272" s="2329"/>
      <c r="NOU272" s="2329"/>
      <c r="NOV272" s="2329"/>
      <c r="NOW272" s="2329"/>
      <c r="NOX272" s="2329"/>
      <c r="NOY272" s="2329"/>
      <c r="NOZ272" s="2329"/>
      <c r="NPA272" s="2329"/>
      <c r="NPB272" s="2329"/>
      <c r="NPC272" s="2329"/>
      <c r="NPD272" s="2329"/>
      <c r="NPE272" s="2329"/>
      <c r="NPF272" s="2329"/>
      <c r="NPG272" s="2329"/>
      <c r="NPH272" s="2328"/>
      <c r="NPI272" s="2329"/>
      <c r="NPJ272" s="2329"/>
      <c r="NPK272" s="2329"/>
      <c r="NPL272" s="2329"/>
      <c r="NPM272" s="2329"/>
      <c r="NPN272" s="2329"/>
      <c r="NPO272" s="2329"/>
      <c r="NPP272" s="2329"/>
      <c r="NPQ272" s="2329"/>
      <c r="NPR272" s="2329"/>
      <c r="NPS272" s="2329"/>
      <c r="NPT272" s="2329"/>
      <c r="NPU272" s="2329"/>
      <c r="NPV272" s="2329"/>
      <c r="NPW272" s="2329"/>
      <c r="NPX272" s="2328"/>
      <c r="NPY272" s="2329"/>
      <c r="NPZ272" s="2329"/>
      <c r="NQA272" s="2329"/>
      <c r="NQB272" s="2329"/>
      <c r="NQC272" s="2329"/>
      <c r="NQD272" s="2329"/>
      <c r="NQE272" s="2329"/>
      <c r="NQF272" s="2329"/>
      <c r="NQG272" s="2329"/>
      <c r="NQH272" s="2329"/>
      <c r="NQI272" s="2329"/>
      <c r="NQJ272" s="2329"/>
      <c r="NQK272" s="2329"/>
      <c r="NQL272" s="2329"/>
      <c r="NQM272" s="2329"/>
      <c r="NQN272" s="2328"/>
      <c r="NQO272" s="2329"/>
      <c r="NQP272" s="2329"/>
      <c r="NQQ272" s="2329"/>
      <c r="NQR272" s="2329"/>
      <c r="NQS272" s="2329"/>
      <c r="NQT272" s="2329"/>
      <c r="NQU272" s="2329"/>
      <c r="NQV272" s="2329"/>
      <c r="NQW272" s="2329"/>
      <c r="NQX272" s="2329"/>
      <c r="NQY272" s="2329"/>
      <c r="NQZ272" s="2329"/>
      <c r="NRA272" s="2329"/>
      <c r="NRB272" s="2329"/>
      <c r="NRC272" s="2329"/>
      <c r="NRD272" s="2328"/>
      <c r="NRE272" s="2329"/>
      <c r="NRF272" s="2329"/>
      <c r="NRG272" s="2329"/>
      <c r="NRH272" s="2329"/>
      <c r="NRI272" s="2329"/>
      <c r="NRJ272" s="2329"/>
      <c r="NRK272" s="2329"/>
      <c r="NRL272" s="2329"/>
      <c r="NRM272" s="2329"/>
      <c r="NRN272" s="2329"/>
      <c r="NRO272" s="2329"/>
      <c r="NRP272" s="2329"/>
      <c r="NRQ272" s="2329"/>
      <c r="NRR272" s="2329"/>
      <c r="NRS272" s="2329"/>
      <c r="NRT272" s="2328"/>
      <c r="NRU272" s="2329"/>
      <c r="NRV272" s="2329"/>
      <c r="NRW272" s="2329"/>
      <c r="NRX272" s="2329"/>
      <c r="NRY272" s="2329"/>
      <c r="NRZ272" s="2329"/>
      <c r="NSA272" s="2329"/>
      <c r="NSB272" s="2329"/>
      <c r="NSC272" s="2329"/>
      <c r="NSD272" s="2329"/>
      <c r="NSE272" s="2329"/>
      <c r="NSF272" s="2329"/>
      <c r="NSG272" s="2329"/>
      <c r="NSH272" s="2329"/>
      <c r="NSI272" s="2329"/>
      <c r="NSJ272" s="2328"/>
      <c r="NSK272" s="2329"/>
      <c r="NSL272" s="2329"/>
      <c r="NSM272" s="2329"/>
      <c r="NSN272" s="2329"/>
      <c r="NSO272" s="2329"/>
      <c r="NSP272" s="2329"/>
      <c r="NSQ272" s="2329"/>
      <c r="NSR272" s="2329"/>
      <c r="NSS272" s="2329"/>
      <c r="NST272" s="2329"/>
      <c r="NSU272" s="2329"/>
      <c r="NSV272" s="2329"/>
      <c r="NSW272" s="2329"/>
      <c r="NSX272" s="2329"/>
      <c r="NSY272" s="2329"/>
      <c r="NSZ272" s="2328"/>
      <c r="NTA272" s="2329"/>
      <c r="NTB272" s="2329"/>
      <c r="NTC272" s="2329"/>
      <c r="NTD272" s="2329"/>
      <c r="NTE272" s="2329"/>
      <c r="NTF272" s="2329"/>
      <c r="NTG272" s="2329"/>
      <c r="NTH272" s="2329"/>
      <c r="NTI272" s="2329"/>
      <c r="NTJ272" s="2329"/>
      <c r="NTK272" s="2329"/>
      <c r="NTL272" s="2329"/>
      <c r="NTM272" s="2329"/>
      <c r="NTN272" s="2329"/>
      <c r="NTO272" s="2329"/>
      <c r="NTP272" s="2328"/>
      <c r="NTQ272" s="2329"/>
      <c r="NTR272" s="2329"/>
      <c r="NTS272" s="2329"/>
      <c r="NTT272" s="2329"/>
      <c r="NTU272" s="2329"/>
      <c r="NTV272" s="2329"/>
      <c r="NTW272" s="2329"/>
      <c r="NTX272" s="2329"/>
      <c r="NTY272" s="2329"/>
      <c r="NTZ272" s="2329"/>
      <c r="NUA272" s="2329"/>
      <c r="NUB272" s="2329"/>
      <c r="NUC272" s="2329"/>
      <c r="NUD272" s="2329"/>
      <c r="NUE272" s="2329"/>
      <c r="NUF272" s="2328"/>
      <c r="NUG272" s="2329"/>
      <c r="NUH272" s="2329"/>
      <c r="NUI272" s="2329"/>
      <c r="NUJ272" s="2329"/>
      <c r="NUK272" s="2329"/>
      <c r="NUL272" s="2329"/>
      <c r="NUM272" s="2329"/>
      <c r="NUN272" s="2329"/>
      <c r="NUO272" s="2329"/>
      <c r="NUP272" s="2329"/>
      <c r="NUQ272" s="2329"/>
      <c r="NUR272" s="2329"/>
      <c r="NUS272" s="2329"/>
      <c r="NUT272" s="2329"/>
      <c r="NUU272" s="2329"/>
      <c r="NUV272" s="2328"/>
      <c r="NUW272" s="2329"/>
      <c r="NUX272" s="2329"/>
      <c r="NUY272" s="2329"/>
      <c r="NUZ272" s="2329"/>
      <c r="NVA272" s="2329"/>
      <c r="NVB272" s="2329"/>
      <c r="NVC272" s="2329"/>
      <c r="NVD272" s="2329"/>
      <c r="NVE272" s="2329"/>
      <c r="NVF272" s="2329"/>
      <c r="NVG272" s="2329"/>
      <c r="NVH272" s="2329"/>
      <c r="NVI272" s="2329"/>
      <c r="NVJ272" s="2329"/>
      <c r="NVK272" s="2329"/>
      <c r="NVL272" s="2328"/>
      <c r="NVM272" s="2329"/>
      <c r="NVN272" s="2329"/>
      <c r="NVO272" s="2329"/>
      <c r="NVP272" s="2329"/>
      <c r="NVQ272" s="2329"/>
      <c r="NVR272" s="2329"/>
      <c r="NVS272" s="2329"/>
      <c r="NVT272" s="2329"/>
      <c r="NVU272" s="2329"/>
      <c r="NVV272" s="2329"/>
      <c r="NVW272" s="2329"/>
      <c r="NVX272" s="2329"/>
      <c r="NVY272" s="2329"/>
      <c r="NVZ272" s="2329"/>
      <c r="NWA272" s="2329"/>
      <c r="NWB272" s="2328"/>
      <c r="NWC272" s="2329"/>
      <c r="NWD272" s="2329"/>
      <c r="NWE272" s="2329"/>
      <c r="NWF272" s="2329"/>
      <c r="NWG272" s="2329"/>
      <c r="NWH272" s="2329"/>
      <c r="NWI272" s="2329"/>
      <c r="NWJ272" s="2329"/>
      <c r="NWK272" s="2329"/>
      <c r="NWL272" s="2329"/>
      <c r="NWM272" s="2329"/>
      <c r="NWN272" s="2329"/>
      <c r="NWO272" s="2329"/>
      <c r="NWP272" s="2329"/>
      <c r="NWQ272" s="2329"/>
      <c r="NWR272" s="2328"/>
      <c r="NWS272" s="2329"/>
      <c r="NWT272" s="2329"/>
      <c r="NWU272" s="2329"/>
      <c r="NWV272" s="2329"/>
      <c r="NWW272" s="2329"/>
      <c r="NWX272" s="2329"/>
      <c r="NWY272" s="2329"/>
      <c r="NWZ272" s="2329"/>
      <c r="NXA272" s="2329"/>
      <c r="NXB272" s="2329"/>
      <c r="NXC272" s="2329"/>
      <c r="NXD272" s="2329"/>
      <c r="NXE272" s="2329"/>
      <c r="NXF272" s="2329"/>
      <c r="NXG272" s="2329"/>
      <c r="NXH272" s="2328"/>
      <c r="NXI272" s="2329"/>
      <c r="NXJ272" s="2329"/>
      <c r="NXK272" s="2329"/>
      <c r="NXL272" s="2329"/>
      <c r="NXM272" s="2329"/>
      <c r="NXN272" s="2329"/>
      <c r="NXO272" s="2329"/>
      <c r="NXP272" s="2329"/>
      <c r="NXQ272" s="2329"/>
      <c r="NXR272" s="2329"/>
      <c r="NXS272" s="2329"/>
      <c r="NXT272" s="2329"/>
      <c r="NXU272" s="2329"/>
      <c r="NXV272" s="2329"/>
      <c r="NXW272" s="2329"/>
      <c r="NXX272" s="2328"/>
      <c r="NXY272" s="2329"/>
      <c r="NXZ272" s="2329"/>
      <c r="NYA272" s="2329"/>
      <c r="NYB272" s="2329"/>
      <c r="NYC272" s="2329"/>
      <c r="NYD272" s="2329"/>
      <c r="NYE272" s="2329"/>
      <c r="NYF272" s="2329"/>
      <c r="NYG272" s="2329"/>
      <c r="NYH272" s="2329"/>
      <c r="NYI272" s="2329"/>
      <c r="NYJ272" s="2329"/>
      <c r="NYK272" s="2329"/>
      <c r="NYL272" s="2329"/>
      <c r="NYM272" s="2329"/>
      <c r="NYN272" s="2328"/>
      <c r="NYO272" s="2329"/>
      <c r="NYP272" s="2329"/>
      <c r="NYQ272" s="2329"/>
      <c r="NYR272" s="2329"/>
      <c r="NYS272" s="2329"/>
      <c r="NYT272" s="2329"/>
      <c r="NYU272" s="2329"/>
      <c r="NYV272" s="2329"/>
      <c r="NYW272" s="2329"/>
      <c r="NYX272" s="2329"/>
      <c r="NYY272" s="2329"/>
      <c r="NYZ272" s="2329"/>
      <c r="NZA272" s="2329"/>
      <c r="NZB272" s="2329"/>
      <c r="NZC272" s="2329"/>
      <c r="NZD272" s="2328"/>
      <c r="NZE272" s="2329"/>
      <c r="NZF272" s="2329"/>
      <c r="NZG272" s="2329"/>
      <c r="NZH272" s="2329"/>
      <c r="NZI272" s="2329"/>
      <c r="NZJ272" s="2329"/>
      <c r="NZK272" s="2329"/>
      <c r="NZL272" s="2329"/>
      <c r="NZM272" s="2329"/>
      <c r="NZN272" s="2329"/>
      <c r="NZO272" s="2329"/>
      <c r="NZP272" s="2329"/>
      <c r="NZQ272" s="2329"/>
      <c r="NZR272" s="2329"/>
      <c r="NZS272" s="2329"/>
      <c r="NZT272" s="2328"/>
      <c r="NZU272" s="2329"/>
      <c r="NZV272" s="2329"/>
      <c r="NZW272" s="2329"/>
      <c r="NZX272" s="2329"/>
      <c r="NZY272" s="2329"/>
      <c r="NZZ272" s="2329"/>
      <c r="OAA272" s="2329"/>
      <c r="OAB272" s="2329"/>
      <c r="OAC272" s="2329"/>
      <c r="OAD272" s="2329"/>
      <c r="OAE272" s="2329"/>
      <c r="OAF272" s="2329"/>
      <c r="OAG272" s="2329"/>
      <c r="OAH272" s="2329"/>
      <c r="OAI272" s="2329"/>
      <c r="OAJ272" s="2328"/>
      <c r="OAK272" s="2329"/>
      <c r="OAL272" s="2329"/>
      <c r="OAM272" s="2329"/>
      <c r="OAN272" s="2329"/>
      <c r="OAO272" s="2329"/>
      <c r="OAP272" s="2329"/>
      <c r="OAQ272" s="2329"/>
      <c r="OAR272" s="2329"/>
      <c r="OAS272" s="2329"/>
      <c r="OAT272" s="2329"/>
      <c r="OAU272" s="2329"/>
      <c r="OAV272" s="2329"/>
      <c r="OAW272" s="2329"/>
      <c r="OAX272" s="2329"/>
      <c r="OAY272" s="2329"/>
      <c r="OAZ272" s="2328"/>
      <c r="OBA272" s="2329"/>
      <c r="OBB272" s="2329"/>
      <c r="OBC272" s="2329"/>
      <c r="OBD272" s="2329"/>
      <c r="OBE272" s="2329"/>
      <c r="OBF272" s="2329"/>
      <c r="OBG272" s="2329"/>
      <c r="OBH272" s="2329"/>
      <c r="OBI272" s="2329"/>
      <c r="OBJ272" s="2329"/>
      <c r="OBK272" s="2329"/>
      <c r="OBL272" s="2329"/>
      <c r="OBM272" s="2329"/>
      <c r="OBN272" s="2329"/>
      <c r="OBO272" s="2329"/>
      <c r="OBP272" s="2328"/>
      <c r="OBQ272" s="2329"/>
      <c r="OBR272" s="2329"/>
      <c r="OBS272" s="2329"/>
      <c r="OBT272" s="2329"/>
      <c r="OBU272" s="2329"/>
      <c r="OBV272" s="2329"/>
      <c r="OBW272" s="2329"/>
      <c r="OBX272" s="2329"/>
      <c r="OBY272" s="2329"/>
      <c r="OBZ272" s="2329"/>
      <c r="OCA272" s="2329"/>
      <c r="OCB272" s="2329"/>
      <c r="OCC272" s="2329"/>
      <c r="OCD272" s="2329"/>
      <c r="OCE272" s="2329"/>
      <c r="OCF272" s="2328"/>
      <c r="OCG272" s="2329"/>
      <c r="OCH272" s="2329"/>
      <c r="OCI272" s="2329"/>
      <c r="OCJ272" s="2329"/>
      <c r="OCK272" s="2329"/>
      <c r="OCL272" s="2329"/>
      <c r="OCM272" s="2329"/>
      <c r="OCN272" s="2329"/>
      <c r="OCO272" s="2329"/>
      <c r="OCP272" s="2329"/>
      <c r="OCQ272" s="2329"/>
      <c r="OCR272" s="2329"/>
      <c r="OCS272" s="2329"/>
      <c r="OCT272" s="2329"/>
      <c r="OCU272" s="2329"/>
      <c r="OCV272" s="2328"/>
      <c r="OCW272" s="2329"/>
      <c r="OCX272" s="2329"/>
      <c r="OCY272" s="2329"/>
      <c r="OCZ272" s="2329"/>
      <c r="ODA272" s="2329"/>
      <c r="ODB272" s="2329"/>
      <c r="ODC272" s="2329"/>
      <c r="ODD272" s="2329"/>
      <c r="ODE272" s="2329"/>
      <c r="ODF272" s="2329"/>
      <c r="ODG272" s="2329"/>
      <c r="ODH272" s="2329"/>
      <c r="ODI272" s="2329"/>
      <c r="ODJ272" s="2329"/>
      <c r="ODK272" s="2329"/>
      <c r="ODL272" s="2328"/>
      <c r="ODM272" s="2329"/>
      <c r="ODN272" s="2329"/>
      <c r="ODO272" s="2329"/>
      <c r="ODP272" s="2329"/>
      <c r="ODQ272" s="2329"/>
      <c r="ODR272" s="2329"/>
      <c r="ODS272" s="2329"/>
      <c r="ODT272" s="2329"/>
      <c r="ODU272" s="2329"/>
      <c r="ODV272" s="2329"/>
      <c r="ODW272" s="2329"/>
      <c r="ODX272" s="2329"/>
      <c r="ODY272" s="2329"/>
      <c r="ODZ272" s="2329"/>
      <c r="OEA272" s="2329"/>
      <c r="OEB272" s="2328"/>
      <c r="OEC272" s="2329"/>
      <c r="OED272" s="2329"/>
      <c r="OEE272" s="2329"/>
      <c r="OEF272" s="2329"/>
      <c r="OEG272" s="2329"/>
      <c r="OEH272" s="2329"/>
      <c r="OEI272" s="2329"/>
      <c r="OEJ272" s="2329"/>
      <c r="OEK272" s="2329"/>
      <c r="OEL272" s="2329"/>
      <c r="OEM272" s="2329"/>
      <c r="OEN272" s="2329"/>
      <c r="OEO272" s="2329"/>
      <c r="OEP272" s="2329"/>
      <c r="OEQ272" s="2329"/>
      <c r="OER272" s="2328"/>
      <c r="OES272" s="2329"/>
      <c r="OET272" s="2329"/>
      <c r="OEU272" s="2329"/>
      <c r="OEV272" s="2329"/>
      <c r="OEW272" s="2329"/>
      <c r="OEX272" s="2329"/>
      <c r="OEY272" s="2329"/>
      <c r="OEZ272" s="2329"/>
      <c r="OFA272" s="2329"/>
      <c r="OFB272" s="2329"/>
      <c r="OFC272" s="2329"/>
      <c r="OFD272" s="2329"/>
      <c r="OFE272" s="2329"/>
      <c r="OFF272" s="2329"/>
      <c r="OFG272" s="2329"/>
      <c r="OFH272" s="2328"/>
      <c r="OFI272" s="2329"/>
      <c r="OFJ272" s="2329"/>
      <c r="OFK272" s="2329"/>
      <c r="OFL272" s="2329"/>
      <c r="OFM272" s="2329"/>
      <c r="OFN272" s="2329"/>
      <c r="OFO272" s="2329"/>
      <c r="OFP272" s="2329"/>
      <c r="OFQ272" s="2329"/>
      <c r="OFR272" s="2329"/>
      <c r="OFS272" s="2329"/>
      <c r="OFT272" s="2329"/>
      <c r="OFU272" s="2329"/>
      <c r="OFV272" s="2329"/>
      <c r="OFW272" s="2329"/>
      <c r="OFX272" s="2328"/>
      <c r="OFY272" s="2329"/>
      <c r="OFZ272" s="2329"/>
      <c r="OGA272" s="2329"/>
      <c r="OGB272" s="2329"/>
      <c r="OGC272" s="2329"/>
      <c r="OGD272" s="2329"/>
      <c r="OGE272" s="2329"/>
      <c r="OGF272" s="2329"/>
      <c r="OGG272" s="2329"/>
      <c r="OGH272" s="2329"/>
      <c r="OGI272" s="2329"/>
      <c r="OGJ272" s="2329"/>
      <c r="OGK272" s="2329"/>
      <c r="OGL272" s="2329"/>
      <c r="OGM272" s="2329"/>
      <c r="OGN272" s="2328"/>
      <c r="OGO272" s="2329"/>
      <c r="OGP272" s="2329"/>
      <c r="OGQ272" s="2329"/>
      <c r="OGR272" s="2329"/>
      <c r="OGS272" s="2329"/>
      <c r="OGT272" s="2329"/>
      <c r="OGU272" s="2329"/>
      <c r="OGV272" s="2329"/>
      <c r="OGW272" s="2329"/>
      <c r="OGX272" s="2329"/>
      <c r="OGY272" s="2329"/>
      <c r="OGZ272" s="2329"/>
      <c r="OHA272" s="2329"/>
      <c r="OHB272" s="2329"/>
      <c r="OHC272" s="2329"/>
      <c r="OHD272" s="2328"/>
      <c r="OHE272" s="2329"/>
      <c r="OHF272" s="2329"/>
      <c r="OHG272" s="2329"/>
      <c r="OHH272" s="2329"/>
      <c r="OHI272" s="2329"/>
      <c r="OHJ272" s="2329"/>
      <c r="OHK272" s="2329"/>
      <c r="OHL272" s="2329"/>
      <c r="OHM272" s="2329"/>
      <c r="OHN272" s="2329"/>
      <c r="OHO272" s="2329"/>
      <c r="OHP272" s="2329"/>
      <c r="OHQ272" s="2329"/>
      <c r="OHR272" s="2329"/>
      <c r="OHS272" s="2329"/>
      <c r="OHT272" s="2328"/>
      <c r="OHU272" s="2329"/>
      <c r="OHV272" s="2329"/>
      <c r="OHW272" s="2329"/>
      <c r="OHX272" s="2329"/>
      <c r="OHY272" s="2329"/>
      <c r="OHZ272" s="2329"/>
      <c r="OIA272" s="2329"/>
      <c r="OIB272" s="2329"/>
      <c r="OIC272" s="2329"/>
      <c r="OID272" s="2329"/>
      <c r="OIE272" s="2329"/>
      <c r="OIF272" s="2329"/>
      <c r="OIG272" s="2329"/>
      <c r="OIH272" s="2329"/>
      <c r="OII272" s="2329"/>
      <c r="OIJ272" s="2328"/>
      <c r="OIK272" s="2329"/>
      <c r="OIL272" s="2329"/>
      <c r="OIM272" s="2329"/>
      <c r="OIN272" s="2329"/>
      <c r="OIO272" s="2329"/>
      <c r="OIP272" s="2329"/>
      <c r="OIQ272" s="2329"/>
      <c r="OIR272" s="2329"/>
      <c r="OIS272" s="2329"/>
      <c r="OIT272" s="2329"/>
      <c r="OIU272" s="2329"/>
      <c r="OIV272" s="2329"/>
      <c r="OIW272" s="2329"/>
      <c r="OIX272" s="2329"/>
      <c r="OIY272" s="2329"/>
      <c r="OIZ272" s="2328"/>
      <c r="OJA272" s="2329"/>
      <c r="OJB272" s="2329"/>
      <c r="OJC272" s="2329"/>
      <c r="OJD272" s="2329"/>
      <c r="OJE272" s="2329"/>
      <c r="OJF272" s="2329"/>
      <c r="OJG272" s="2329"/>
      <c r="OJH272" s="2329"/>
      <c r="OJI272" s="2329"/>
      <c r="OJJ272" s="2329"/>
      <c r="OJK272" s="2329"/>
      <c r="OJL272" s="2329"/>
      <c r="OJM272" s="2329"/>
      <c r="OJN272" s="2329"/>
      <c r="OJO272" s="2329"/>
      <c r="OJP272" s="2328"/>
      <c r="OJQ272" s="2329"/>
      <c r="OJR272" s="2329"/>
      <c r="OJS272" s="2329"/>
      <c r="OJT272" s="2329"/>
      <c r="OJU272" s="2329"/>
      <c r="OJV272" s="2329"/>
      <c r="OJW272" s="2329"/>
      <c r="OJX272" s="2329"/>
      <c r="OJY272" s="2329"/>
      <c r="OJZ272" s="2329"/>
      <c r="OKA272" s="2329"/>
      <c r="OKB272" s="2329"/>
      <c r="OKC272" s="2329"/>
      <c r="OKD272" s="2329"/>
      <c r="OKE272" s="2329"/>
      <c r="OKF272" s="2328"/>
      <c r="OKG272" s="2329"/>
      <c r="OKH272" s="2329"/>
      <c r="OKI272" s="2329"/>
      <c r="OKJ272" s="2329"/>
      <c r="OKK272" s="2329"/>
      <c r="OKL272" s="2329"/>
      <c r="OKM272" s="2329"/>
      <c r="OKN272" s="2329"/>
      <c r="OKO272" s="2329"/>
      <c r="OKP272" s="2329"/>
      <c r="OKQ272" s="2329"/>
      <c r="OKR272" s="2329"/>
      <c r="OKS272" s="2329"/>
      <c r="OKT272" s="2329"/>
      <c r="OKU272" s="2329"/>
      <c r="OKV272" s="2328"/>
      <c r="OKW272" s="2329"/>
      <c r="OKX272" s="2329"/>
      <c r="OKY272" s="2329"/>
      <c r="OKZ272" s="2329"/>
      <c r="OLA272" s="2329"/>
      <c r="OLB272" s="2329"/>
      <c r="OLC272" s="2329"/>
      <c r="OLD272" s="2329"/>
      <c r="OLE272" s="2329"/>
      <c r="OLF272" s="2329"/>
      <c r="OLG272" s="2329"/>
      <c r="OLH272" s="2329"/>
      <c r="OLI272" s="2329"/>
      <c r="OLJ272" s="2329"/>
      <c r="OLK272" s="2329"/>
      <c r="OLL272" s="2328"/>
      <c r="OLM272" s="2329"/>
      <c r="OLN272" s="2329"/>
      <c r="OLO272" s="2329"/>
      <c r="OLP272" s="2329"/>
      <c r="OLQ272" s="2329"/>
      <c r="OLR272" s="2329"/>
      <c r="OLS272" s="2329"/>
      <c r="OLT272" s="2329"/>
      <c r="OLU272" s="2329"/>
      <c r="OLV272" s="2329"/>
      <c r="OLW272" s="2329"/>
      <c r="OLX272" s="2329"/>
      <c r="OLY272" s="2329"/>
      <c r="OLZ272" s="2329"/>
      <c r="OMA272" s="2329"/>
      <c r="OMB272" s="2328"/>
      <c r="OMC272" s="2329"/>
      <c r="OMD272" s="2329"/>
      <c r="OME272" s="2329"/>
      <c r="OMF272" s="2329"/>
      <c r="OMG272" s="2329"/>
      <c r="OMH272" s="2329"/>
      <c r="OMI272" s="2329"/>
      <c r="OMJ272" s="2329"/>
      <c r="OMK272" s="2329"/>
      <c r="OML272" s="2329"/>
      <c r="OMM272" s="2329"/>
      <c r="OMN272" s="2329"/>
      <c r="OMO272" s="2329"/>
      <c r="OMP272" s="2329"/>
      <c r="OMQ272" s="2329"/>
      <c r="OMR272" s="2328"/>
      <c r="OMS272" s="2329"/>
      <c r="OMT272" s="2329"/>
      <c r="OMU272" s="2329"/>
      <c r="OMV272" s="2329"/>
      <c r="OMW272" s="2329"/>
      <c r="OMX272" s="2329"/>
      <c r="OMY272" s="2329"/>
      <c r="OMZ272" s="2329"/>
      <c r="ONA272" s="2329"/>
      <c r="ONB272" s="2329"/>
      <c r="ONC272" s="2329"/>
      <c r="OND272" s="2329"/>
      <c r="ONE272" s="2329"/>
      <c r="ONF272" s="2329"/>
      <c r="ONG272" s="2329"/>
      <c r="ONH272" s="2328"/>
      <c r="ONI272" s="2329"/>
      <c r="ONJ272" s="2329"/>
      <c r="ONK272" s="2329"/>
      <c r="ONL272" s="2329"/>
      <c r="ONM272" s="2329"/>
      <c r="ONN272" s="2329"/>
      <c r="ONO272" s="2329"/>
      <c r="ONP272" s="2329"/>
      <c r="ONQ272" s="2329"/>
      <c r="ONR272" s="2329"/>
      <c r="ONS272" s="2329"/>
      <c r="ONT272" s="2329"/>
      <c r="ONU272" s="2329"/>
      <c r="ONV272" s="2329"/>
      <c r="ONW272" s="2329"/>
      <c r="ONX272" s="2328"/>
      <c r="ONY272" s="2329"/>
      <c r="ONZ272" s="2329"/>
      <c r="OOA272" s="2329"/>
      <c r="OOB272" s="2329"/>
      <c r="OOC272" s="2329"/>
      <c r="OOD272" s="2329"/>
      <c r="OOE272" s="2329"/>
      <c r="OOF272" s="2329"/>
      <c r="OOG272" s="2329"/>
      <c r="OOH272" s="2329"/>
      <c r="OOI272" s="2329"/>
      <c r="OOJ272" s="2329"/>
      <c r="OOK272" s="2329"/>
      <c r="OOL272" s="2329"/>
      <c r="OOM272" s="2329"/>
      <c r="OON272" s="2328"/>
      <c r="OOO272" s="2329"/>
      <c r="OOP272" s="2329"/>
      <c r="OOQ272" s="2329"/>
      <c r="OOR272" s="2329"/>
      <c r="OOS272" s="2329"/>
      <c r="OOT272" s="2329"/>
      <c r="OOU272" s="2329"/>
      <c r="OOV272" s="2329"/>
      <c r="OOW272" s="2329"/>
      <c r="OOX272" s="2329"/>
      <c r="OOY272" s="2329"/>
      <c r="OOZ272" s="2329"/>
      <c r="OPA272" s="2329"/>
      <c r="OPB272" s="2329"/>
      <c r="OPC272" s="2329"/>
      <c r="OPD272" s="2328"/>
      <c r="OPE272" s="2329"/>
      <c r="OPF272" s="2329"/>
      <c r="OPG272" s="2329"/>
      <c r="OPH272" s="2329"/>
      <c r="OPI272" s="2329"/>
      <c r="OPJ272" s="2329"/>
      <c r="OPK272" s="2329"/>
      <c r="OPL272" s="2329"/>
      <c r="OPM272" s="2329"/>
      <c r="OPN272" s="2329"/>
      <c r="OPO272" s="2329"/>
      <c r="OPP272" s="2329"/>
      <c r="OPQ272" s="2329"/>
      <c r="OPR272" s="2329"/>
      <c r="OPS272" s="2329"/>
      <c r="OPT272" s="2328"/>
      <c r="OPU272" s="2329"/>
      <c r="OPV272" s="2329"/>
      <c r="OPW272" s="2329"/>
      <c r="OPX272" s="2329"/>
      <c r="OPY272" s="2329"/>
      <c r="OPZ272" s="2329"/>
      <c r="OQA272" s="2329"/>
      <c r="OQB272" s="2329"/>
      <c r="OQC272" s="2329"/>
      <c r="OQD272" s="2329"/>
      <c r="OQE272" s="2329"/>
      <c r="OQF272" s="2329"/>
      <c r="OQG272" s="2329"/>
      <c r="OQH272" s="2329"/>
      <c r="OQI272" s="2329"/>
      <c r="OQJ272" s="2328"/>
      <c r="OQK272" s="2329"/>
      <c r="OQL272" s="2329"/>
      <c r="OQM272" s="2329"/>
      <c r="OQN272" s="2329"/>
      <c r="OQO272" s="2329"/>
      <c r="OQP272" s="2329"/>
      <c r="OQQ272" s="2329"/>
      <c r="OQR272" s="2329"/>
      <c r="OQS272" s="2329"/>
      <c r="OQT272" s="2329"/>
      <c r="OQU272" s="2329"/>
      <c r="OQV272" s="2329"/>
      <c r="OQW272" s="2329"/>
      <c r="OQX272" s="2329"/>
      <c r="OQY272" s="2329"/>
      <c r="OQZ272" s="2328"/>
      <c r="ORA272" s="2329"/>
      <c r="ORB272" s="2329"/>
      <c r="ORC272" s="2329"/>
      <c r="ORD272" s="2329"/>
      <c r="ORE272" s="2329"/>
      <c r="ORF272" s="2329"/>
      <c r="ORG272" s="2329"/>
      <c r="ORH272" s="2329"/>
      <c r="ORI272" s="2329"/>
      <c r="ORJ272" s="2329"/>
      <c r="ORK272" s="2329"/>
      <c r="ORL272" s="2329"/>
      <c r="ORM272" s="2329"/>
      <c r="ORN272" s="2329"/>
      <c r="ORO272" s="2329"/>
      <c r="ORP272" s="2328"/>
      <c r="ORQ272" s="2329"/>
      <c r="ORR272" s="2329"/>
      <c r="ORS272" s="2329"/>
      <c r="ORT272" s="2329"/>
      <c r="ORU272" s="2329"/>
      <c r="ORV272" s="2329"/>
      <c r="ORW272" s="2329"/>
      <c r="ORX272" s="2329"/>
      <c r="ORY272" s="2329"/>
      <c r="ORZ272" s="2329"/>
      <c r="OSA272" s="2329"/>
      <c r="OSB272" s="2329"/>
      <c r="OSC272" s="2329"/>
      <c r="OSD272" s="2329"/>
      <c r="OSE272" s="2329"/>
      <c r="OSF272" s="2328"/>
      <c r="OSG272" s="2329"/>
      <c r="OSH272" s="2329"/>
      <c r="OSI272" s="2329"/>
      <c r="OSJ272" s="2329"/>
      <c r="OSK272" s="2329"/>
      <c r="OSL272" s="2329"/>
      <c r="OSM272" s="2329"/>
      <c r="OSN272" s="2329"/>
      <c r="OSO272" s="2329"/>
      <c r="OSP272" s="2329"/>
      <c r="OSQ272" s="2329"/>
      <c r="OSR272" s="2329"/>
      <c r="OSS272" s="2329"/>
      <c r="OST272" s="2329"/>
      <c r="OSU272" s="2329"/>
      <c r="OSV272" s="2328"/>
      <c r="OSW272" s="2329"/>
      <c r="OSX272" s="2329"/>
      <c r="OSY272" s="2329"/>
      <c r="OSZ272" s="2329"/>
      <c r="OTA272" s="2329"/>
      <c r="OTB272" s="2329"/>
      <c r="OTC272" s="2329"/>
      <c r="OTD272" s="2329"/>
      <c r="OTE272" s="2329"/>
      <c r="OTF272" s="2329"/>
      <c r="OTG272" s="2329"/>
      <c r="OTH272" s="2329"/>
      <c r="OTI272" s="2329"/>
      <c r="OTJ272" s="2329"/>
      <c r="OTK272" s="2329"/>
      <c r="OTL272" s="2328"/>
      <c r="OTM272" s="2329"/>
      <c r="OTN272" s="2329"/>
      <c r="OTO272" s="2329"/>
      <c r="OTP272" s="2329"/>
      <c r="OTQ272" s="2329"/>
      <c r="OTR272" s="2329"/>
      <c r="OTS272" s="2329"/>
      <c r="OTT272" s="2329"/>
      <c r="OTU272" s="2329"/>
      <c r="OTV272" s="2329"/>
      <c r="OTW272" s="2329"/>
      <c r="OTX272" s="2329"/>
      <c r="OTY272" s="2329"/>
      <c r="OTZ272" s="2329"/>
      <c r="OUA272" s="2329"/>
      <c r="OUB272" s="2328"/>
      <c r="OUC272" s="2329"/>
      <c r="OUD272" s="2329"/>
      <c r="OUE272" s="2329"/>
      <c r="OUF272" s="2329"/>
      <c r="OUG272" s="2329"/>
      <c r="OUH272" s="2329"/>
      <c r="OUI272" s="2329"/>
      <c r="OUJ272" s="2329"/>
      <c r="OUK272" s="2329"/>
      <c r="OUL272" s="2329"/>
      <c r="OUM272" s="2329"/>
      <c r="OUN272" s="2329"/>
      <c r="OUO272" s="2329"/>
      <c r="OUP272" s="2329"/>
      <c r="OUQ272" s="2329"/>
      <c r="OUR272" s="2328"/>
      <c r="OUS272" s="2329"/>
      <c r="OUT272" s="2329"/>
      <c r="OUU272" s="2329"/>
      <c r="OUV272" s="2329"/>
      <c r="OUW272" s="2329"/>
      <c r="OUX272" s="2329"/>
      <c r="OUY272" s="2329"/>
      <c r="OUZ272" s="2329"/>
      <c r="OVA272" s="2329"/>
      <c r="OVB272" s="2329"/>
      <c r="OVC272" s="2329"/>
      <c r="OVD272" s="2329"/>
      <c r="OVE272" s="2329"/>
      <c r="OVF272" s="2329"/>
      <c r="OVG272" s="2329"/>
      <c r="OVH272" s="2328"/>
      <c r="OVI272" s="2329"/>
      <c r="OVJ272" s="2329"/>
      <c r="OVK272" s="2329"/>
      <c r="OVL272" s="2329"/>
      <c r="OVM272" s="2329"/>
      <c r="OVN272" s="2329"/>
      <c r="OVO272" s="2329"/>
      <c r="OVP272" s="2329"/>
      <c r="OVQ272" s="2329"/>
      <c r="OVR272" s="2329"/>
      <c r="OVS272" s="2329"/>
      <c r="OVT272" s="2329"/>
      <c r="OVU272" s="2329"/>
      <c r="OVV272" s="2329"/>
      <c r="OVW272" s="2329"/>
      <c r="OVX272" s="2328"/>
      <c r="OVY272" s="2329"/>
      <c r="OVZ272" s="2329"/>
      <c r="OWA272" s="2329"/>
      <c r="OWB272" s="2329"/>
      <c r="OWC272" s="2329"/>
      <c r="OWD272" s="2329"/>
      <c r="OWE272" s="2329"/>
      <c r="OWF272" s="2329"/>
      <c r="OWG272" s="2329"/>
      <c r="OWH272" s="2329"/>
      <c r="OWI272" s="2329"/>
      <c r="OWJ272" s="2329"/>
      <c r="OWK272" s="2329"/>
      <c r="OWL272" s="2329"/>
      <c r="OWM272" s="2329"/>
      <c r="OWN272" s="2328"/>
      <c r="OWO272" s="2329"/>
      <c r="OWP272" s="2329"/>
      <c r="OWQ272" s="2329"/>
      <c r="OWR272" s="2329"/>
      <c r="OWS272" s="2329"/>
      <c r="OWT272" s="2329"/>
      <c r="OWU272" s="2329"/>
      <c r="OWV272" s="2329"/>
      <c r="OWW272" s="2329"/>
      <c r="OWX272" s="2329"/>
      <c r="OWY272" s="2329"/>
      <c r="OWZ272" s="2329"/>
      <c r="OXA272" s="2329"/>
      <c r="OXB272" s="2329"/>
      <c r="OXC272" s="2329"/>
      <c r="OXD272" s="2328"/>
      <c r="OXE272" s="2329"/>
      <c r="OXF272" s="2329"/>
      <c r="OXG272" s="2329"/>
      <c r="OXH272" s="2329"/>
      <c r="OXI272" s="2329"/>
      <c r="OXJ272" s="2329"/>
      <c r="OXK272" s="2329"/>
      <c r="OXL272" s="2329"/>
      <c r="OXM272" s="2329"/>
      <c r="OXN272" s="2329"/>
      <c r="OXO272" s="2329"/>
      <c r="OXP272" s="2329"/>
      <c r="OXQ272" s="2329"/>
      <c r="OXR272" s="2329"/>
      <c r="OXS272" s="2329"/>
      <c r="OXT272" s="2328"/>
      <c r="OXU272" s="2329"/>
      <c r="OXV272" s="2329"/>
      <c r="OXW272" s="2329"/>
      <c r="OXX272" s="2329"/>
      <c r="OXY272" s="2329"/>
      <c r="OXZ272" s="2329"/>
      <c r="OYA272" s="2329"/>
      <c r="OYB272" s="2329"/>
      <c r="OYC272" s="2329"/>
      <c r="OYD272" s="2329"/>
      <c r="OYE272" s="2329"/>
      <c r="OYF272" s="2329"/>
      <c r="OYG272" s="2329"/>
      <c r="OYH272" s="2329"/>
      <c r="OYI272" s="2329"/>
      <c r="OYJ272" s="2328"/>
      <c r="OYK272" s="2329"/>
      <c r="OYL272" s="2329"/>
      <c r="OYM272" s="2329"/>
      <c r="OYN272" s="2329"/>
      <c r="OYO272" s="2329"/>
      <c r="OYP272" s="2329"/>
      <c r="OYQ272" s="2329"/>
      <c r="OYR272" s="2329"/>
      <c r="OYS272" s="2329"/>
      <c r="OYT272" s="2329"/>
      <c r="OYU272" s="2329"/>
      <c r="OYV272" s="2329"/>
      <c r="OYW272" s="2329"/>
      <c r="OYX272" s="2329"/>
      <c r="OYY272" s="2329"/>
      <c r="OYZ272" s="2328"/>
      <c r="OZA272" s="2329"/>
      <c r="OZB272" s="2329"/>
      <c r="OZC272" s="2329"/>
      <c r="OZD272" s="2329"/>
      <c r="OZE272" s="2329"/>
      <c r="OZF272" s="2329"/>
      <c r="OZG272" s="2329"/>
      <c r="OZH272" s="2329"/>
      <c r="OZI272" s="2329"/>
      <c r="OZJ272" s="2329"/>
      <c r="OZK272" s="2329"/>
      <c r="OZL272" s="2329"/>
      <c r="OZM272" s="2329"/>
      <c r="OZN272" s="2329"/>
      <c r="OZO272" s="2329"/>
      <c r="OZP272" s="2328"/>
      <c r="OZQ272" s="2329"/>
      <c r="OZR272" s="2329"/>
      <c r="OZS272" s="2329"/>
      <c r="OZT272" s="2329"/>
      <c r="OZU272" s="2329"/>
      <c r="OZV272" s="2329"/>
      <c r="OZW272" s="2329"/>
      <c r="OZX272" s="2329"/>
      <c r="OZY272" s="2329"/>
      <c r="OZZ272" s="2329"/>
      <c r="PAA272" s="2329"/>
      <c r="PAB272" s="2329"/>
      <c r="PAC272" s="2329"/>
      <c r="PAD272" s="2329"/>
      <c r="PAE272" s="2329"/>
      <c r="PAF272" s="2328"/>
      <c r="PAG272" s="2329"/>
      <c r="PAH272" s="2329"/>
      <c r="PAI272" s="2329"/>
      <c r="PAJ272" s="2329"/>
      <c r="PAK272" s="2329"/>
      <c r="PAL272" s="2329"/>
      <c r="PAM272" s="2329"/>
      <c r="PAN272" s="2329"/>
      <c r="PAO272" s="2329"/>
      <c r="PAP272" s="2329"/>
      <c r="PAQ272" s="2329"/>
      <c r="PAR272" s="2329"/>
      <c r="PAS272" s="2329"/>
      <c r="PAT272" s="2329"/>
      <c r="PAU272" s="2329"/>
      <c r="PAV272" s="2328"/>
      <c r="PAW272" s="2329"/>
      <c r="PAX272" s="2329"/>
      <c r="PAY272" s="2329"/>
      <c r="PAZ272" s="2329"/>
      <c r="PBA272" s="2329"/>
      <c r="PBB272" s="2329"/>
      <c r="PBC272" s="2329"/>
      <c r="PBD272" s="2329"/>
      <c r="PBE272" s="2329"/>
      <c r="PBF272" s="2329"/>
      <c r="PBG272" s="2329"/>
      <c r="PBH272" s="2329"/>
      <c r="PBI272" s="2329"/>
      <c r="PBJ272" s="2329"/>
      <c r="PBK272" s="2329"/>
      <c r="PBL272" s="2328"/>
      <c r="PBM272" s="2329"/>
      <c r="PBN272" s="2329"/>
      <c r="PBO272" s="2329"/>
      <c r="PBP272" s="2329"/>
      <c r="PBQ272" s="2329"/>
      <c r="PBR272" s="2329"/>
      <c r="PBS272" s="2329"/>
      <c r="PBT272" s="2329"/>
      <c r="PBU272" s="2329"/>
      <c r="PBV272" s="2329"/>
      <c r="PBW272" s="2329"/>
      <c r="PBX272" s="2329"/>
      <c r="PBY272" s="2329"/>
      <c r="PBZ272" s="2329"/>
      <c r="PCA272" s="2329"/>
      <c r="PCB272" s="2328"/>
      <c r="PCC272" s="2329"/>
      <c r="PCD272" s="2329"/>
      <c r="PCE272" s="2329"/>
      <c r="PCF272" s="2329"/>
      <c r="PCG272" s="2329"/>
      <c r="PCH272" s="2329"/>
      <c r="PCI272" s="2329"/>
      <c r="PCJ272" s="2329"/>
      <c r="PCK272" s="2329"/>
      <c r="PCL272" s="2329"/>
      <c r="PCM272" s="2329"/>
      <c r="PCN272" s="2329"/>
      <c r="PCO272" s="2329"/>
      <c r="PCP272" s="2329"/>
      <c r="PCQ272" s="2329"/>
      <c r="PCR272" s="2328"/>
      <c r="PCS272" s="2329"/>
      <c r="PCT272" s="2329"/>
      <c r="PCU272" s="2329"/>
      <c r="PCV272" s="2329"/>
      <c r="PCW272" s="2329"/>
      <c r="PCX272" s="2329"/>
      <c r="PCY272" s="2329"/>
      <c r="PCZ272" s="2329"/>
      <c r="PDA272" s="2329"/>
      <c r="PDB272" s="2329"/>
      <c r="PDC272" s="2329"/>
      <c r="PDD272" s="2329"/>
      <c r="PDE272" s="2329"/>
      <c r="PDF272" s="2329"/>
      <c r="PDG272" s="2329"/>
      <c r="PDH272" s="2328"/>
      <c r="PDI272" s="2329"/>
      <c r="PDJ272" s="2329"/>
      <c r="PDK272" s="2329"/>
      <c r="PDL272" s="2329"/>
      <c r="PDM272" s="2329"/>
      <c r="PDN272" s="2329"/>
      <c r="PDO272" s="2329"/>
      <c r="PDP272" s="2329"/>
      <c r="PDQ272" s="2329"/>
      <c r="PDR272" s="2329"/>
      <c r="PDS272" s="2329"/>
      <c r="PDT272" s="2329"/>
      <c r="PDU272" s="2329"/>
      <c r="PDV272" s="2329"/>
      <c r="PDW272" s="2329"/>
      <c r="PDX272" s="2328"/>
      <c r="PDY272" s="2329"/>
      <c r="PDZ272" s="2329"/>
      <c r="PEA272" s="2329"/>
      <c r="PEB272" s="2329"/>
      <c r="PEC272" s="2329"/>
      <c r="PED272" s="2329"/>
      <c r="PEE272" s="2329"/>
      <c r="PEF272" s="2329"/>
      <c r="PEG272" s="2329"/>
      <c r="PEH272" s="2329"/>
      <c r="PEI272" s="2329"/>
      <c r="PEJ272" s="2329"/>
      <c r="PEK272" s="2329"/>
      <c r="PEL272" s="2329"/>
      <c r="PEM272" s="2329"/>
      <c r="PEN272" s="2328"/>
      <c r="PEO272" s="2329"/>
      <c r="PEP272" s="2329"/>
      <c r="PEQ272" s="2329"/>
      <c r="PER272" s="2329"/>
      <c r="PES272" s="2329"/>
      <c r="PET272" s="2329"/>
      <c r="PEU272" s="2329"/>
      <c r="PEV272" s="2329"/>
      <c r="PEW272" s="2329"/>
      <c r="PEX272" s="2329"/>
      <c r="PEY272" s="2329"/>
      <c r="PEZ272" s="2329"/>
      <c r="PFA272" s="2329"/>
      <c r="PFB272" s="2329"/>
      <c r="PFC272" s="2329"/>
      <c r="PFD272" s="2328"/>
      <c r="PFE272" s="2329"/>
      <c r="PFF272" s="2329"/>
      <c r="PFG272" s="2329"/>
      <c r="PFH272" s="2329"/>
      <c r="PFI272" s="2329"/>
      <c r="PFJ272" s="2329"/>
      <c r="PFK272" s="2329"/>
      <c r="PFL272" s="2329"/>
      <c r="PFM272" s="2329"/>
      <c r="PFN272" s="2329"/>
      <c r="PFO272" s="2329"/>
      <c r="PFP272" s="2329"/>
      <c r="PFQ272" s="2329"/>
      <c r="PFR272" s="2329"/>
      <c r="PFS272" s="2329"/>
      <c r="PFT272" s="2328"/>
      <c r="PFU272" s="2329"/>
      <c r="PFV272" s="2329"/>
      <c r="PFW272" s="2329"/>
      <c r="PFX272" s="2329"/>
      <c r="PFY272" s="2329"/>
      <c r="PFZ272" s="2329"/>
      <c r="PGA272" s="2329"/>
      <c r="PGB272" s="2329"/>
      <c r="PGC272" s="2329"/>
      <c r="PGD272" s="2329"/>
      <c r="PGE272" s="2329"/>
      <c r="PGF272" s="2329"/>
      <c r="PGG272" s="2329"/>
      <c r="PGH272" s="2329"/>
      <c r="PGI272" s="2329"/>
      <c r="PGJ272" s="2328"/>
      <c r="PGK272" s="2329"/>
      <c r="PGL272" s="2329"/>
      <c r="PGM272" s="2329"/>
      <c r="PGN272" s="2329"/>
      <c r="PGO272" s="2329"/>
      <c r="PGP272" s="2329"/>
      <c r="PGQ272" s="2329"/>
      <c r="PGR272" s="2329"/>
      <c r="PGS272" s="2329"/>
      <c r="PGT272" s="2329"/>
      <c r="PGU272" s="2329"/>
      <c r="PGV272" s="2329"/>
      <c r="PGW272" s="2329"/>
      <c r="PGX272" s="2329"/>
      <c r="PGY272" s="2329"/>
      <c r="PGZ272" s="2328"/>
      <c r="PHA272" s="2329"/>
      <c r="PHB272" s="2329"/>
      <c r="PHC272" s="2329"/>
      <c r="PHD272" s="2329"/>
      <c r="PHE272" s="2329"/>
      <c r="PHF272" s="2329"/>
      <c r="PHG272" s="2329"/>
      <c r="PHH272" s="2329"/>
      <c r="PHI272" s="2329"/>
      <c r="PHJ272" s="2329"/>
      <c r="PHK272" s="2329"/>
      <c r="PHL272" s="2329"/>
      <c r="PHM272" s="2329"/>
      <c r="PHN272" s="2329"/>
      <c r="PHO272" s="2329"/>
      <c r="PHP272" s="2328"/>
      <c r="PHQ272" s="2329"/>
      <c r="PHR272" s="2329"/>
      <c r="PHS272" s="2329"/>
      <c r="PHT272" s="2329"/>
      <c r="PHU272" s="2329"/>
      <c r="PHV272" s="2329"/>
      <c r="PHW272" s="2329"/>
      <c r="PHX272" s="2329"/>
      <c r="PHY272" s="2329"/>
      <c r="PHZ272" s="2329"/>
      <c r="PIA272" s="2329"/>
      <c r="PIB272" s="2329"/>
      <c r="PIC272" s="2329"/>
      <c r="PID272" s="2329"/>
      <c r="PIE272" s="2329"/>
      <c r="PIF272" s="2328"/>
      <c r="PIG272" s="2329"/>
      <c r="PIH272" s="2329"/>
      <c r="PII272" s="2329"/>
      <c r="PIJ272" s="2329"/>
      <c r="PIK272" s="2329"/>
      <c r="PIL272" s="2329"/>
      <c r="PIM272" s="2329"/>
      <c r="PIN272" s="2329"/>
      <c r="PIO272" s="2329"/>
      <c r="PIP272" s="2329"/>
      <c r="PIQ272" s="2329"/>
      <c r="PIR272" s="2329"/>
      <c r="PIS272" s="2329"/>
      <c r="PIT272" s="2329"/>
      <c r="PIU272" s="2329"/>
      <c r="PIV272" s="2328"/>
      <c r="PIW272" s="2329"/>
      <c r="PIX272" s="2329"/>
      <c r="PIY272" s="2329"/>
      <c r="PIZ272" s="2329"/>
      <c r="PJA272" s="2329"/>
      <c r="PJB272" s="2329"/>
      <c r="PJC272" s="2329"/>
      <c r="PJD272" s="2329"/>
      <c r="PJE272" s="2329"/>
      <c r="PJF272" s="2329"/>
      <c r="PJG272" s="2329"/>
      <c r="PJH272" s="2329"/>
      <c r="PJI272" s="2329"/>
      <c r="PJJ272" s="2329"/>
      <c r="PJK272" s="2329"/>
      <c r="PJL272" s="2328"/>
      <c r="PJM272" s="2329"/>
      <c r="PJN272" s="2329"/>
      <c r="PJO272" s="2329"/>
      <c r="PJP272" s="2329"/>
      <c r="PJQ272" s="2329"/>
      <c r="PJR272" s="2329"/>
      <c r="PJS272" s="2329"/>
      <c r="PJT272" s="2329"/>
      <c r="PJU272" s="2329"/>
      <c r="PJV272" s="2329"/>
      <c r="PJW272" s="2329"/>
      <c r="PJX272" s="2329"/>
      <c r="PJY272" s="2329"/>
      <c r="PJZ272" s="2329"/>
      <c r="PKA272" s="2329"/>
      <c r="PKB272" s="2328"/>
      <c r="PKC272" s="2329"/>
      <c r="PKD272" s="2329"/>
      <c r="PKE272" s="2329"/>
      <c r="PKF272" s="2329"/>
      <c r="PKG272" s="2329"/>
      <c r="PKH272" s="2329"/>
      <c r="PKI272" s="2329"/>
      <c r="PKJ272" s="2329"/>
      <c r="PKK272" s="2329"/>
      <c r="PKL272" s="2329"/>
      <c r="PKM272" s="2329"/>
      <c r="PKN272" s="2329"/>
      <c r="PKO272" s="2329"/>
      <c r="PKP272" s="2329"/>
      <c r="PKQ272" s="2329"/>
      <c r="PKR272" s="2328"/>
      <c r="PKS272" s="2329"/>
      <c r="PKT272" s="2329"/>
      <c r="PKU272" s="2329"/>
      <c r="PKV272" s="2329"/>
      <c r="PKW272" s="2329"/>
      <c r="PKX272" s="2329"/>
      <c r="PKY272" s="2329"/>
      <c r="PKZ272" s="2329"/>
      <c r="PLA272" s="2329"/>
      <c r="PLB272" s="2329"/>
      <c r="PLC272" s="2329"/>
      <c r="PLD272" s="2329"/>
      <c r="PLE272" s="2329"/>
      <c r="PLF272" s="2329"/>
      <c r="PLG272" s="2329"/>
      <c r="PLH272" s="2328"/>
      <c r="PLI272" s="2329"/>
      <c r="PLJ272" s="2329"/>
      <c r="PLK272" s="2329"/>
      <c r="PLL272" s="2329"/>
      <c r="PLM272" s="2329"/>
      <c r="PLN272" s="2329"/>
      <c r="PLO272" s="2329"/>
      <c r="PLP272" s="2329"/>
      <c r="PLQ272" s="2329"/>
      <c r="PLR272" s="2329"/>
      <c r="PLS272" s="2329"/>
      <c r="PLT272" s="2329"/>
      <c r="PLU272" s="2329"/>
      <c r="PLV272" s="2329"/>
      <c r="PLW272" s="2329"/>
      <c r="PLX272" s="2328"/>
      <c r="PLY272" s="2329"/>
      <c r="PLZ272" s="2329"/>
      <c r="PMA272" s="2329"/>
      <c r="PMB272" s="2329"/>
      <c r="PMC272" s="2329"/>
      <c r="PMD272" s="2329"/>
      <c r="PME272" s="2329"/>
      <c r="PMF272" s="2329"/>
      <c r="PMG272" s="2329"/>
      <c r="PMH272" s="2329"/>
      <c r="PMI272" s="2329"/>
      <c r="PMJ272" s="2329"/>
      <c r="PMK272" s="2329"/>
      <c r="PML272" s="2329"/>
      <c r="PMM272" s="2329"/>
      <c r="PMN272" s="2328"/>
      <c r="PMO272" s="2329"/>
      <c r="PMP272" s="2329"/>
      <c r="PMQ272" s="2329"/>
      <c r="PMR272" s="2329"/>
      <c r="PMS272" s="2329"/>
      <c r="PMT272" s="2329"/>
      <c r="PMU272" s="2329"/>
      <c r="PMV272" s="2329"/>
      <c r="PMW272" s="2329"/>
      <c r="PMX272" s="2329"/>
      <c r="PMY272" s="2329"/>
      <c r="PMZ272" s="2329"/>
      <c r="PNA272" s="2329"/>
      <c r="PNB272" s="2329"/>
      <c r="PNC272" s="2329"/>
      <c r="PND272" s="2328"/>
      <c r="PNE272" s="2329"/>
      <c r="PNF272" s="2329"/>
      <c r="PNG272" s="2329"/>
      <c r="PNH272" s="2329"/>
      <c r="PNI272" s="2329"/>
      <c r="PNJ272" s="2329"/>
      <c r="PNK272" s="2329"/>
      <c r="PNL272" s="2329"/>
      <c r="PNM272" s="2329"/>
      <c r="PNN272" s="2329"/>
      <c r="PNO272" s="2329"/>
      <c r="PNP272" s="2329"/>
      <c r="PNQ272" s="2329"/>
      <c r="PNR272" s="2329"/>
      <c r="PNS272" s="2329"/>
      <c r="PNT272" s="2328"/>
      <c r="PNU272" s="2329"/>
      <c r="PNV272" s="2329"/>
      <c r="PNW272" s="2329"/>
      <c r="PNX272" s="2329"/>
      <c r="PNY272" s="2329"/>
      <c r="PNZ272" s="2329"/>
      <c r="POA272" s="2329"/>
      <c r="POB272" s="2329"/>
      <c r="POC272" s="2329"/>
      <c r="POD272" s="2329"/>
      <c r="POE272" s="2329"/>
      <c r="POF272" s="2329"/>
      <c r="POG272" s="2329"/>
      <c r="POH272" s="2329"/>
      <c r="POI272" s="2329"/>
      <c r="POJ272" s="2328"/>
      <c r="POK272" s="2329"/>
      <c r="POL272" s="2329"/>
      <c r="POM272" s="2329"/>
      <c r="PON272" s="2329"/>
      <c r="POO272" s="2329"/>
      <c r="POP272" s="2329"/>
      <c r="POQ272" s="2329"/>
      <c r="POR272" s="2329"/>
      <c r="POS272" s="2329"/>
      <c r="POT272" s="2329"/>
      <c r="POU272" s="2329"/>
      <c r="POV272" s="2329"/>
      <c r="POW272" s="2329"/>
      <c r="POX272" s="2329"/>
      <c r="POY272" s="2329"/>
      <c r="POZ272" s="2328"/>
      <c r="PPA272" s="2329"/>
      <c r="PPB272" s="2329"/>
      <c r="PPC272" s="2329"/>
      <c r="PPD272" s="2329"/>
      <c r="PPE272" s="2329"/>
      <c r="PPF272" s="2329"/>
      <c r="PPG272" s="2329"/>
      <c r="PPH272" s="2329"/>
      <c r="PPI272" s="2329"/>
      <c r="PPJ272" s="2329"/>
      <c r="PPK272" s="2329"/>
      <c r="PPL272" s="2329"/>
      <c r="PPM272" s="2329"/>
      <c r="PPN272" s="2329"/>
      <c r="PPO272" s="2329"/>
      <c r="PPP272" s="2328"/>
      <c r="PPQ272" s="2329"/>
      <c r="PPR272" s="2329"/>
      <c r="PPS272" s="2329"/>
      <c r="PPT272" s="2329"/>
      <c r="PPU272" s="2329"/>
      <c r="PPV272" s="2329"/>
      <c r="PPW272" s="2329"/>
      <c r="PPX272" s="2329"/>
      <c r="PPY272" s="2329"/>
      <c r="PPZ272" s="2329"/>
      <c r="PQA272" s="2329"/>
      <c r="PQB272" s="2329"/>
      <c r="PQC272" s="2329"/>
      <c r="PQD272" s="2329"/>
      <c r="PQE272" s="2329"/>
      <c r="PQF272" s="2328"/>
      <c r="PQG272" s="2329"/>
      <c r="PQH272" s="2329"/>
      <c r="PQI272" s="2329"/>
      <c r="PQJ272" s="2329"/>
      <c r="PQK272" s="2329"/>
      <c r="PQL272" s="2329"/>
      <c r="PQM272" s="2329"/>
      <c r="PQN272" s="2329"/>
      <c r="PQO272" s="2329"/>
      <c r="PQP272" s="2329"/>
      <c r="PQQ272" s="2329"/>
      <c r="PQR272" s="2329"/>
      <c r="PQS272" s="2329"/>
      <c r="PQT272" s="2329"/>
      <c r="PQU272" s="2329"/>
      <c r="PQV272" s="2328"/>
      <c r="PQW272" s="2329"/>
      <c r="PQX272" s="2329"/>
      <c r="PQY272" s="2329"/>
      <c r="PQZ272" s="2329"/>
      <c r="PRA272" s="2329"/>
      <c r="PRB272" s="2329"/>
      <c r="PRC272" s="2329"/>
      <c r="PRD272" s="2329"/>
      <c r="PRE272" s="2329"/>
      <c r="PRF272" s="2329"/>
      <c r="PRG272" s="2329"/>
      <c r="PRH272" s="2329"/>
      <c r="PRI272" s="2329"/>
      <c r="PRJ272" s="2329"/>
      <c r="PRK272" s="2329"/>
      <c r="PRL272" s="2328"/>
      <c r="PRM272" s="2329"/>
      <c r="PRN272" s="2329"/>
      <c r="PRO272" s="2329"/>
      <c r="PRP272" s="2329"/>
      <c r="PRQ272" s="2329"/>
      <c r="PRR272" s="2329"/>
      <c r="PRS272" s="2329"/>
      <c r="PRT272" s="2329"/>
      <c r="PRU272" s="2329"/>
      <c r="PRV272" s="2329"/>
      <c r="PRW272" s="2329"/>
      <c r="PRX272" s="2329"/>
      <c r="PRY272" s="2329"/>
      <c r="PRZ272" s="2329"/>
      <c r="PSA272" s="2329"/>
      <c r="PSB272" s="2328"/>
      <c r="PSC272" s="2329"/>
      <c r="PSD272" s="2329"/>
      <c r="PSE272" s="2329"/>
      <c r="PSF272" s="2329"/>
      <c r="PSG272" s="2329"/>
      <c r="PSH272" s="2329"/>
      <c r="PSI272" s="2329"/>
      <c r="PSJ272" s="2329"/>
      <c r="PSK272" s="2329"/>
      <c r="PSL272" s="2329"/>
      <c r="PSM272" s="2329"/>
      <c r="PSN272" s="2329"/>
      <c r="PSO272" s="2329"/>
      <c r="PSP272" s="2329"/>
      <c r="PSQ272" s="2329"/>
      <c r="PSR272" s="2328"/>
      <c r="PSS272" s="2329"/>
      <c r="PST272" s="2329"/>
      <c r="PSU272" s="2329"/>
      <c r="PSV272" s="2329"/>
      <c r="PSW272" s="2329"/>
      <c r="PSX272" s="2329"/>
      <c r="PSY272" s="2329"/>
      <c r="PSZ272" s="2329"/>
      <c r="PTA272" s="2329"/>
      <c r="PTB272" s="2329"/>
      <c r="PTC272" s="2329"/>
      <c r="PTD272" s="2329"/>
      <c r="PTE272" s="2329"/>
      <c r="PTF272" s="2329"/>
      <c r="PTG272" s="2329"/>
      <c r="PTH272" s="2328"/>
      <c r="PTI272" s="2329"/>
      <c r="PTJ272" s="2329"/>
      <c r="PTK272" s="2329"/>
      <c r="PTL272" s="2329"/>
      <c r="PTM272" s="2329"/>
      <c r="PTN272" s="2329"/>
      <c r="PTO272" s="2329"/>
      <c r="PTP272" s="2329"/>
      <c r="PTQ272" s="2329"/>
      <c r="PTR272" s="2329"/>
      <c r="PTS272" s="2329"/>
      <c r="PTT272" s="2329"/>
      <c r="PTU272" s="2329"/>
      <c r="PTV272" s="2329"/>
      <c r="PTW272" s="2329"/>
      <c r="PTX272" s="2328"/>
      <c r="PTY272" s="2329"/>
      <c r="PTZ272" s="2329"/>
      <c r="PUA272" s="2329"/>
      <c r="PUB272" s="2329"/>
      <c r="PUC272" s="2329"/>
      <c r="PUD272" s="2329"/>
      <c r="PUE272" s="2329"/>
      <c r="PUF272" s="2329"/>
      <c r="PUG272" s="2329"/>
      <c r="PUH272" s="2329"/>
      <c r="PUI272" s="2329"/>
      <c r="PUJ272" s="2329"/>
      <c r="PUK272" s="2329"/>
      <c r="PUL272" s="2329"/>
      <c r="PUM272" s="2329"/>
      <c r="PUN272" s="2328"/>
      <c r="PUO272" s="2329"/>
      <c r="PUP272" s="2329"/>
      <c r="PUQ272" s="2329"/>
      <c r="PUR272" s="2329"/>
      <c r="PUS272" s="2329"/>
      <c r="PUT272" s="2329"/>
      <c r="PUU272" s="2329"/>
      <c r="PUV272" s="2329"/>
      <c r="PUW272" s="2329"/>
      <c r="PUX272" s="2329"/>
      <c r="PUY272" s="2329"/>
      <c r="PUZ272" s="2329"/>
      <c r="PVA272" s="2329"/>
      <c r="PVB272" s="2329"/>
      <c r="PVC272" s="2329"/>
      <c r="PVD272" s="2328"/>
      <c r="PVE272" s="2329"/>
      <c r="PVF272" s="2329"/>
      <c r="PVG272" s="2329"/>
      <c r="PVH272" s="2329"/>
      <c r="PVI272" s="2329"/>
      <c r="PVJ272" s="2329"/>
      <c r="PVK272" s="2329"/>
      <c r="PVL272" s="2329"/>
      <c r="PVM272" s="2329"/>
      <c r="PVN272" s="2329"/>
      <c r="PVO272" s="2329"/>
      <c r="PVP272" s="2329"/>
      <c r="PVQ272" s="2329"/>
      <c r="PVR272" s="2329"/>
      <c r="PVS272" s="2329"/>
      <c r="PVT272" s="2328"/>
      <c r="PVU272" s="2329"/>
      <c r="PVV272" s="2329"/>
      <c r="PVW272" s="2329"/>
      <c r="PVX272" s="2329"/>
      <c r="PVY272" s="2329"/>
      <c r="PVZ272" s="2329"/>
      <c r="PWA272" s="2329"/>
      <c r="PWB272" s="2329"/>
      <c r="PWC272" s="2329"/>
      <c r="PWD272" s="2329"/>
      <c r="PWE272" s="2329"/>
      <c r="PWF272" s="2329"/>
      <c r="PWG272" s="2329"/>
      <c r="PWH272" s="2329"/>
      <c r="PWI272" s="2329"/>
      <c r="PWJ272" s="2328"/>
      <c r="PWK272" s="2329"/>
      <c r="PWL272" s="2329"/>
      <c r="PWM272" s="2329"/>
      <c r="PWN272" s="2329"/>
      <c r="PWO272" s="2329"/>
      <c r="PWP272" s="2329"/>
      <c r="PWQ272" s="2329"/>
      <c r="PWR272" s="2329"/>
      <c r="PWS272" s="2329"/>
      <c r="PWT272" s="2329"/>
      <c r="PWU272" s="2329"/>
      <c r="PWV272" s="2329"/>
      <c r="PWW272" s="2329"/>
      <c r="PWX272" s="2329"/>
      <c r="PWY272" s="2329"/>
      <c r="PWZ272" s="2328"/>
      <c r="PXA272" s="2329"/>
      <c r="PXB272" s="2329"/>
      <c r="PXC272" s="2329"/>
      <c r="PXD272" s="2329"/>
      <c r="PXE272" s="2329"/>
      <c r="PXF272" s="2329"/>
      <c r="PXG272" s="2329"/>
      <c r="PXH272" s="2329"/>
      <c r="PXI272" s="2329"/>
      <c r="PXJ272" s="2329"/>
      <c r="PXK272" s="2329"/>
      <c r="PXL272" s="2329"/>
      <c r="PXM272" s="2329"/>
      <c r="PXN272" s="2329"/>
      <c r="PXO272" s="2329"/>
      <c r="PXP272" s="2328"/>
      <c r="PXQ272" s="2329"/>
      <c r="PXR272" s="2329"/>
      <c r="PXS272" s="2329"/>
      <c r="PXT272" s="2329"/>
      <c r="PXU272" s="2329"/>
      <c r="PXV272" s="2329"/>
      <c r="PXW272" s="2329"/>
      <c r="PXX272" s="2329"/>
      <c r="PXY272" s="2329"/>
      <c r="PXZ272" s="2329"/>
      <c r="PYA272" s="2329"/>
      <c r="PYB272" s="2329"/>
      <c r="PYC272" s="2329"/>
      <c r="PYD272" s="2329"/>
      <c r="PYE272" s="2329"/>
      <c r="PYF272" s="2328"/>
      <c r="PYG272" s="2329"/>
      <c r="PYH272" s="2329"/>
      <c r="PYI272" s="2329"/>
      <c r="PYJ272" s="2329"/>
      <c r="PYK272" s="2329"/>
      <c r="PYL272" s="2329"/>
      <c r="PYM272" s="2329"/>
      <c r="PYN272" s="2329"/>
      <c r="PYO272" s="2329"/>
      <c r="PYP272" s="2329"/>
      <c r="PYQ272" s="2329"/>
      <c r="PYR272" s="2329"/>
      <c r="PYS272" s="2329"/>
      <c r="PYT272" s="2329"/>
      <c r="PYU272" s="2329"/>
      <c r="PYV272" s="2328"/>
      <c r="PYW272" s="2329"/>
      <c r="PYX272" s="2329"/>
      <c r="PYY272" s="2329"/>
      <c r="PYZ272" s="2329"/>
      <c r="PZA272" s="2329"/>
      <c r="PZB272" s="2329"/>
      <c r="PZC272" s="2329"/>
      <c r="PZD272" s="2329"/>
      <c r="PZE272" s="2329"/>
      <c r="PZF272" s="2329"/>
      <c r="PZG272" s="2329"/>
      <c r="PZH272" s="2329"/>
      <c r="PZI272" s="2329"/>
      <c r="PZJ272" s="2329"/>
      <c r="PZK272" s="2329"/>
      <c r="PZL272" s="2328"/>
      <c r="PZM272" s="2329"/>
      <c r="PZN272" s="2329"/>
      <c r="PZO272" s="2329"/>
      <c r="PZP272" s="2329"/>
      <c r="PZQ272" s="2329"/>
      <c r="PZR272" s="2329"/>
      <c r="PZS272" s="2329"/>
      <c r="PZT272" s="2329"/>
      <c r="PZU272" s="2329"/>
      <c r="PZV272" s="2329"/>
      <c r="PZW272" s="2329"/>
      <c r="PZX272" s="2329"/>
      <c r="PZY272" s="2329"/>
      <c r="PZZ272" s="2329"/>
      <c r="QAA272" s="2329"/>
      <c r="QAB272" s="2328"/>
      <c r="QAC272" s="2329"/>
      <c r="QAD272" s="2329"/>
      <c r="QAE272" s="2329"/>
      <c r="QAF272" s="2329"/>
      <c r="QAG272" s="2329"/>
      <c r="QAH272" s="2329"/>
      <c r="QAI272" s="2329"/>
      <c r="QAJ272" s="2329"/>
      <c r="QAK272" s="2329"/>
      <c r="QAL272" s="2329"/>
      <c r="QAM272" s="2329"/>
      <c r="QAN272" s="2329"/>
      <c r="QAO272" s="2329"/>
      <c r="QAP272" s="2329"/>
      <c r="QAQ272" s="2329"/>
      <c r="QAR272" s="2328"/>
      <c r="QAS272" s="2329"/>
      <c r="QAT272" s="2329"/>
      <c r="QAU272" s="2329"/>
      <c r="QAV272" s="2329"/>
      <c r="QAW272" s="2329"/>
      <c r="QAX272" s="2329"/>
      <c r="QAY272" s="2329"/>
      <c r="QAZ272" s="2329"/>
      <c r="QBA272" s="2329"/>
      <c r="QBB272" s="2329"/>
      <c r="QBC272" s="2329"/>
      <c r="QBD272" s="2329"/>
      <c r="QBE272" s="2329"/>
      <c r="QBF272" s="2329"/>
      <c r="QBG272" s="2329"/>
      <c r="QBH272" s="2328"/>
      <c r="QBI272" s="2329"/>
      <c r="QBJ272" s="2329"/>
      <c r="QBK272" s="2329"/>
      <c r="QBL272" s="2329"/>
      <c r="QBM272" s="2329"/>
      <c r="QBN272" s="2329"/>
      <c r="QBO272" s="2329"/>
      <c r="QBP272" s="2329"/>
      <c r="QBQ272" s="2329"/>
      <c r="QBR272" s="2329"/>
      <c r="QBS272" s="2329"/>
      <c r="QBT272" s="2329"/>
      <c r="QBU272" s="2329"/>
      <c r="QBV272" s="2329"/>
      <c r="QBW272" s="2329"/>
      <c r="QBX272" s="2328"/>
      <c r="QBY272" s="2329"/>
      <c r="QBZ272" s="2329"/>
      <c r="QCA272" s="2329"/>
      <c r="QCB272" s="2329"/>
      <c r="QCC272" s="2329"/>
      <c r="QCD272" s="2329"/>
      <c r="QCE272" s="2329"/>
      <c r="QCF272" s="2329"/>
      <c r="QCG272" s="2329"/>
      <c r="QCH272" s="2329"/>
      <c r="QCI272" s="2329"/>
      <c r="QCJ272" s="2329"/>
      <c r="QCK272" s="2329"/>
      <c r="QCL272" s="2329"/>
      <c r="QCM272" s="2329"/>
      <c r="QCN272" s="2328"/>
      <c r="QCO272" s="2329"/>
      <c r="QCP272" s="2329"/>
      <c r="QCQ272" s="2329"/>
      <c r="QCR272" s="2329"/>
      <c r="QCS272" s="2329"/>
      <c r="QCT272" s="2329"/>
      <c r="QCU272" s="2329"/>
      <c r="QCV272" s="2329"/>
      <c r="QCW272" s="2329"/>
      <c r="QCX272" s="2329"/>
      <c r="QCY272" s="2329"/>
      <c r="QCZ272" s="2329"/>
      <c r="QDA272" s="2329"/>
      <c r="QDB272" s="2329"/>
      <c r="QDC272" s="2329"/>
      <c r="QDD272" s="2328"/>
      <c r="QDE272" s="2329"/>
      <c r="QDF272" s="2329"/>
      <c r="QDG272" s="2329"/>
      <c r="QDH272" s="2329"/>
      <c r="QDI272" s="2329"/>
      <c r="QDJ272" s="2329"/>
      <c r="QDK272" s="2329"/>
      <c r="QDL272" s="2329"/>
      <c r="QDM272" s="2329"/>
      <c r="QDN272" s="2329"/>
      <c r="QDO272" s="2329"/>
      <c r="QDP272" s="2329"/>
      <c r="QDQ272" s="2329"/>
      <c r="QDR272" s="2329"/>
      <c r="QDS272" s="2329"/>
      <c r="QDT272" s="2328"/>
      <c r="QDU272" s="2329"/>
      <c r="QDV272" s="2329"/>
      <c r="QDW272" s="2329"/>
      <c r="QDX272" s="2329"/>
      <c r="QDY272" s="2329"/>
      <c r="QDZ272" s="2329"/>
      <c r="QEA272" s="2329"/>
      <c r="QEB272" s="2329"/>
      <c r="QEC272" s="2329"/>
      <c r="QED272" s="2329"/>
      <c r="QEE272" s="2329"/>
      <c r="QEF272" s="2329"/>
      <c r="QEG272" s="2329"/>
      <c r="QEH272" s="2329"/>
      <c r="QEI272" s="2329"/>
      <c r="QEJ272" s="2328"/>
      <c r="QEK272" s="2329"/>
      <c r="QEL272" s="2329"/>
      <c r="QEM272" s="2329"/>
      <c r="QEN272" s="2329"/>
      <c r="QEO272" s="2329"/>
      <c r="QEP272" s="2329"/>
      <c r="QEQ272" s="2329"/>
      <c r="QER272" s="2329"/>
      <c r="QES272" s="2329"/>
      <c r="QET272" s="2329"/>
      <c r="QEU272" s="2329"/>
      <c r="QEV272" s="2329"/>
      <c r="QEW272" s="2329"/>
      <c r="QEX272" s="2329"/>
      <c r="QEY272" s="2329"/>
      <c r="QEZ272" s="2328"/>
      <c r="QFA272" s="2329"/>
      <c r="QFB272" s="2329"/>
      <c r="QFC272" s="2329"/>
      <c r="QFD272" s="2329"/>
      <c r="QFE272" s="2329"/>
      <c r="QFF272" s="2329"/>
      <c r="QFG272" s="2329"/>
      <c r="QFH272" s="2329"/>
      <c r="QFI272" s="2329"/>
      <c r="QFJ272" s="2329"/>
      <c r="QFK272" s="2329"/>
      <c r="QFL272" s="2329"/>
      <c r="QFM272" s="2329"/>
      <c r="QFN272" s="2329"/>
      <c r="QFO272" s="2329"/>
      <c r="QFP272" s="2328"/>
      <c r="QFQ272" s="2329"/>
      <c r="QFR272" s="2329"/>
      <c r="QFS272" s="2329"/>
      <c r="QFT272" s="2329"/>
      <c r="QFU272" s="2329"/>
      <c r="QFV272" s="2329"/>
      <c r="QFW272" s="2329"/>
      <c r="QFX272" s="2329"/>
      <c r="QFY272" s="2329"/>
      <c r="QFZ272" s="2329"/>
      <c r="QGA272" s="2329"/>
      <c r="QGB272" s="2329"/>
      <c r="QGC272" s="2329"/>
      <c r="QGD272" s="2329"/>
      <c r="QGE272" s="2329"/>
      <c r="QGF272" s="2328"/>
      <c r="QGG272" s="2329"/>
      <c r="QGH272" s="2329"/>
      <c r="QGI272" s="2329"/>
      <c r="QGJ272" s="2329"/>
      <c r="QGK272" s="2329"/>
      <c r="QGL272" s="2329"/>
      <c r="QGM272" s="2329"/>
      <c r="QGN272" s="2329"/>
      <c r="QGO272" s="2329"/>
      <c r="QGP272" s="2329"/>
      <c r="QGQ272" s="2329"/>
      <c r="QGR272" s="2329"/>
      <c r="QGS272" s="2329"/>
      <c r="QGT272" s="2329"/>
      <c r="QGU272" s="2329"/>
      <c r="QGV272" s="2328"/>
      <c r="QGW272" s="2329"/>
      <c r="QGX272" s="2329"/>
      <c r="QGY272" s="2329"/>
      <c r="QGZ272" s="2329"/>
      <c r="QHA272" s="2329"/>
      <c r="QHB272" s="2329"/>
      <c r="QHC272" s="2329"/>
      <c r="QHD272" s="2329"/>
      <c r="QHE272" s="2329"/>
      <c r="QHF272" s="2329"/>
      <c r="QHG272" s="2329"/>
      <c r="QHH272" s="2329"/>
      <c r="QHI272" s="2329"/>
      <c r="QHJ272" s="2329"/>
      <c r="QHK272" s="2329"/>
      <c r="QHL272" s="2328"/>
      <c r="QHM272" s="2329"/>
      <c r="QHN272" s="2329"/>
      <c r="QHO272" s="2329"/>
      <c r="QHP272" s="2329"/>
      <c r="QHQ272" s="2329"/>
      <c r="QHR272" s="2329"/>
      <c r="QHS272" s="2329"/>
      <c r="QHT272" s="2329"/>
      <c r="QHU272" s="2329"/>
      <c r="QHV272" s="2329"/>
      <c r="QHW272" s="2329"/>
      <c r="QHX272" s="2329"/>
      <c r="QHY272" s="2329"/>
      <c r="QHZ272" s="2329"/>
      <c r="QIA272" s="2329"/>
      <c r="QIB272" s="2328"/>
      <c r="QIC272" s="2329"/>
      <c r="QID272" s="2329"/>
      <c r="QIE272" s="2329"/>
      <c r="QIF272" s="2329"/>
      <c r="QIG272" s="2329"/>
      <c r="QIH272" s="2329"/>
      <c r="QII272" s="2329"/>
      <c r="QIJ272" s="2329"/>
      <c r="QIK272" s="2329"/>
      <c r="QIL272" s="2329"/>
      <c r="QIM272" s="2329"/>
      <c r="QIN272" s="2329"/>
      <c r="QIO272" s="2329"/>
      <c r="QIP272" s="2329"/>
      <c r="QIQ272" s="2329"/>
      <c r="QIR272" s="2328"/>
      <c r="QIS272" s="2329"/>
      <c r="QIT272" s="2329"/>
      <c r="QIU272" s="2329"/>
      <c r="QIV272" s="2329"/>
      <c r="QIW272" s="2329"/>
      <c r="QIX272" s="2329"/>
      <c r="QIY272" s="2329"/>
      <c r="QIZ272" s="2329"/>
      <c r="QJA272" s="2329"/>
      <c r="QJB272" s="2329"/>
      <c r="QJC272" s="2329"/>
      <c r="QJD272" s="2329"/>
      <c r="QJE272" s="2329"/>
      <c r="QJF272" s="2329"/>
      <c r="QJG272" s="2329"/>
      <c r="QJH272" s="2328"/>
      <c r="QJI272" s="2329"/>
      <c r="QJJ272" s="2329"/>
      <c r="QJK272" s="2329"/>
      <c r="QJL272" s="2329"/>
      <c r="QJM272" s="2329"/>
      <c r="QJN272" s="2329"/>
      <c r="QJO272" s="2329"/>
      <c r="QJP272" s="2329"/>
      <c r="QJQ272" s="2329"/>
      <c r="QJR272" s="2329"/>
      <c r="QJS272" s="2329"/>
      <c r="QJT272" s="2329"/>
      <c r="QJU272" s="2329"/>
      <c r="QJV272" s="2329"/>
      <c r="QJW272" s="2329"/>
      <c r="QJX272" s="2328"/>
      <c r="QJY272" s="2329"/>
      <c r="QJZ272" s="2329"/>
      <c r="QKA272" s="2329"/>
      <c r="QKB272" s="2329"/>
      <c r="QKC272" s="2329"/>
      <c r="QKD272" s="2329"/>
      <c r="QKE272" s="2329"/>
      <c r="QKF272" s="2329"/>
      <c r="QKG272" s="2329"/>
      <c r="QKH272" s="2329"/>
      <c r="QKI272" s="2329"/>
      <c r="QKJ272" s="2329"/>
      <c r="QKK272" s="2329"/>
      <c r="QKL272" s="2329"/>
      <c r="QKM272" s="2329"/>
      <c r="QKN272" s="2328"/>
      <c r="QKO272" s="2329"/>
      <c r="QKP272" s="2329"/>
      <c r="QKQ272" s="2329"/>
      <c r="QKR272" s="2329"/>
      <c r="QKS272" s="2329"/>
      <c r="QKT272" s="2329"/>
      <c r="QKU272" s="2329"/>
      <c r="QKV272" s="2329"/>
      <c r="QKW272" s="2329"/>
      <c r="QKX272" s="2329"/>
      <c r="QKY272" s="2329"/>
      <c r="QKZ272" s="2329"/>
      <c r="QLA272" s="2329"/>
      <c r="QLB272" s="2329"/>
      <c r="QLC272" s="2329"/>
      <c r="QLD272" s="2328"/>
      <c r="QLE272" s="2329"/>
      <c r="QLF272" s="2329"/>
      <c r="QLG272" s="2329"/>
      <c r="QLH272" s="2329"/>
      <c r="QLI272" s="2329"/>
      <c r="QLJ272" s="2329"/>
      <c r="QLK272" s="2329"/>
      <c r="QLL272" s="2329"/>
      <c r="QLM272" s="2329"/>
      <c r="QLN272" s="2329"/>
      <c r="QLO272" s="2329"/>
      <c r="QLP272" s="2329"/>
      <c r="QLQ272" s="2329"/>
      <c r="QLR272" s="2329"/>
      <c r="QLS272" s="2329"/>
      <c r="QLT272" s="2328"/>
      <c r="QLU272" s="2329"/>
      <c r="QLV272" s="2329"/>
      <c r="QLW272" s="2329"/>
      <c r="QLX272" s="2329"/>
      <c r="QLY272" s="2329"/>
      <c r="QLZ272" s="2329"/>
      <c r="QMA272" s="2329"/>
      <c r="QMB272" s="2329"/>
      <c r="QMC272" s="2329"/>
      <c r="QMD272" s="2329"/>
      <c r="QME272" s="2329"/>
      <c r="QMF272" s="2329"/>
      <c r="QMG272" s="2329"/>
      <c r="QMH272" s="2329"/>
      <c r="QMI272" s="2329"/>
      <c r="QMJ272" s="2328"/>
      <c r="QMK272" s="2329"/>
      <c r="QML272" s="2329"/>
      <c r="QMM272" s="2329"/>
      <c r="QMN272" s="2329"/>
      <c r="QMO272" s="2329"/>
      <c r="QMP272" s="2329"/>
      <c r="QMQ272" s="2329"/>
      <c r="QMR272" s="2329"/>
      <c r="QMS272" s="2329"/>
      <c r="QMT272" s="2329"/>
      <c r="QMU272" s="2329"/>
      <c r="QMV272" s="2329"/>
      <c r="QMW272" s="2329"/>
      <c r="QMX272" s="2329"/>
      <c r="QMY272" s="2329"/>
      <c r="QMZ272" s="2328"/>
      <c r="QNA272" s="2329"/>
      <c r="QNB272" s="2329"/>
      <c r="QNC272" s="2329"/>
      <c r="QND272" s="2329"/>
      <c r="QNE272" s="2329"/>
      <c r="QNF272" s="2329"/>
      <c r="QNG272" s="2329"/>
      <c r="QNH272" s="2329"/>
      <c r="QNI272" s="2329"/>
      <c r="QNJ272" s="2329"/>
      <c r="QNK272" s="2329"/>
      <c r="QNL272" s="2329"/>
      <c r="QNM272" s="2329"/>
      <c r="QNN272" s="2329"/>
      <c r="QNO272" s="2329"/>
      <c r="QNP272" s="2328"/>
      <c r="QNQ272" s="2329"/>
      <c r="QNR272" s="2329"/>
      <c r="QNS272" s="2329"/>
      <c r="QNT272" s="2329"/>
      <c r="QNU272" s="2329"/>
      <c r="QNV272" s="2329"/>
      <c r="QNW272" s="2329"/>
      <c r="QNX272" s="2329"/>
      <c r="QNY272" s="2329"/>
      <c r="QNZ272" s="2329"/>
      <c r="QOA272" s="2329"/>
      <c r="QOB272" s="2329"/>
      <c r="QOC272" s="2329"/>
      <c r="QOD272" s="2329"/>
      <c r="QOE272" s="2329"/>
      <c r="QOF272" s="2328"/>
      <c r="QOG272" s="2329"/>
      <c r="QOH272" s="2329"/>
      <c r="QOI272" s="2329"/>
      <c r="QOJ272" s="2329"/>
      <c r="QOK272" s="2329"/>
      <c r="QOL272" s="2329"/>
      <c r="QOM272" s="2329"/>
      <c r="QON272" s="2329"/>
      <c r="QOO272" s="2329"/>
      <c r="QOP272" s="2329"/>
      <c r="QOQ272" s="2329"/>
      <c r="QOR272" s="2329"/>
      <c r="QOS272" s="2329"/>
      <c r="QOT272" s="2329"/>
      <c r="QOU272" s="2329"/>
      <c r="QOV272" s="2328"/>
      <c r="QOW272" s="2329"/>
      <c r="QOX272" s="2329"/>
      <c r="QOY272" s="2329"/>
      <c r="QOZ272" s="2329"/>
      <c r="QPA272" s="2329"/>
      <c r="QPB272" s="2329"/>
      <c r="QPC272" s="2329"/>
      <c r="QPD272" s="2329"/>
      <c r="QPE272" s="2329"/>
      <c r="QPF272" s="2329"/>
      <c r="QPG272" s="2329"/>
      <c r="QPH272" s="2329"/>
      <c r="QPI272" s="2329"/>
      <c r="QPJ272" s="2329"/>
      <c r="QPK272" s="2329"/>
      <c r="QPL272" s="2328"/>
      <c r="QPM272" s="2329"/>
      <c r="QPN272" s="2329"/>
      <c r="QPO272" s="2329"/>
      <c r="QPP272" s="2329"/>
      <c r="QPQ272" s="2329"/>
      <c r="QPR272" s="2329"/>
      <c r="QPS272" s="2329"/>
      <c r="QPT272" s="2329"/>
      <c r="QPU272" s="2329"/>
      <c r="QPV272" s="2329"/>
      <c r="QPW272" s="2329"/>
      <c r="QPX272" s="2329"/>
      <c r="QPY272" s="2329"/>
      <c r="QPZ272" s="2329"/>
      <c r="QQA272" s="2329"/>
      <c r="QQB272" s="2328"/>
      <c r="QQC272" s="2329"/>
      <c r="QQD272" s="2329"/>
      <c r="QQE272" s="2329"/>
      <c r="QQF272" s="2329"/>
      <c r="QQG272" s="2329"/>
      <c r="QQH272" s="2329"/>
      <c r="QQI272" s="2329"/>
      <c r="QQJ272" s="2329"/>
      <c r="QQK272" s="2329"/>
      <c r="QQL272" s="2329"/>
      <c r="QQM272" s="2329"/>
      <c r="QQN272" s="2329"/>
      <c r="QQO272" s="2329"/>
      <c r="QQP272" s="2329"/>
      <c r="QQQ272" s="2329"/>
      <c r="QQR272" s="2328"/>
      <c r="QQS272" s="2329"/>
      <c r="QQT272" s="2329"/>
      <c r="QQU272" s="2329"/>
      <c r="QQV272" s="2329"/>
      <c r="QQW272" s="2329"/>
      <c r="QQX272" s="2329"/>
      <c r="QQY272" s="2329"/>
      <c r="QQZ272" s="2329"/>
      <c r="QRA272" s="2329"/>
      <c r="QRB272" s="2329"/>
      <c r="QRC272" s="2329"/>
      <c r="QRD272" s="2329"/>
      <c r="QRE272" s="2329"/>
      <c r="QRF272" s="2329"/>
      <c r="QRG272" s="2329"/>
      <c r="QRH272" s="2328"/>
      <c r="QRI272" s="2329"/>
      <c r="QRJ272" s="2329"/>
      <c r="QRK272" s="2329"/>
      <c r="QRL272" s="2329"/>
      <c r="QRM272" s="2329"/>
      <c r="QRN272" s="2329"/>
      <c r="QRO272" s="2329"/>
      <c r="QRP272" s="2329"/>
      <c r="QRQ272" s="2329"/>
      <c r="QRR272" s="2329"/>
      <c r="QRS272" s="2329"/>
      <c r="QRT272" s="2329"/>
      <c r="QRU272" s="2329"/>
      <c r="QRV272" s="2329"/>
      <c r="QRW272" s="2329"/>
      <c r="QRX272" s="2328"/>
      <c r="QRY272" s="2329"/>
      <c r="QRZ272" s="2329"/>
      <c r="QSA272" s="2329"/>
      <c r="QSB272" s="2329"/>
      <c r="QSC272" s="2329"/>
      <c r="QSD272" s="2329"/>
      <c r="QSE272" s="2329"/>
      <c r="QSF272" s="2329"/>
      <c r="QSG272" s="2329"/>
      <c r="QSH272" s="2329"/>
      <c r="QSI272" s="2329"/>
      <c r="QSJ272" s="2329"/>
      <c r="QSK272" s="2329"/>
      <c r="QSL272" s="2329"/>
      <c r="QSM272" s="2329"/>
      <c r="QSN272" s="2328"/>
      <c r="QSO272" s="2329"/>
      <c r="QSP272" s="2329"/>
      <c r="QSQ272" s="2329"/>
      <c r="QSR272" s="2329"/>
      <c r="QSS272" s="2329"/>
      <c r="QST272" s="2329"/>
      <c r="QSU272" s="2329"/>
      <c r="QSV272" s="2329"/>
      <c r="QSW272" s="2329"/>
      <c r="QSX272" s="2329"/>
      <c r="QSY272" s="2329"/>
      <c r="QSZ272" s="2329"/>
      <c r="QTA272" s="2329"/>
      <c r="QTB272" s="2329"/>
      <c r="QTC272" s="2329"/>
      <c r="QTD272" s="2328"/>
      <c r="QTE272" s="2329"/>
      <c r="QTF272" s="2329"/>
      <c r="QTG272" s="2329"/>
      <c r="QTH272" s="2329"/>
      <c r="QTI272" s="2329"/>
      <c r="QTJ272" s="2329"/>
      <c r="QTK272" s="2329"/>
      <c r="QTL272" s="2329"/>
      <c r="QTM272" s="2329"/>
      <c r="QTN272" s="2329"/>
      <c r="QTO272" s="2329"/>
      <c r="QTP272" s="2329"/>
      <c r="QTQ272" s="2329"/>
      <c r="QTR272" s="2329"/>
      <c r="QTS272" s="2329"/>
      <c r="QTT272" s="2328"/>
      <c r="QTU272" s="2329"/>
      <c r="QTV272" s="2329"/>
      <c r="QTW272" s="2329"/>
      <c r="QTX272" s="2329"/>
      <c r="QTY272" s="2329"/>
      <c r="QTZ272" s="2329"/>
      <c r="QUA272" s="2329"/>
      <c r="QUB272" s="2329"/>
      <c r="QUC272" s="2329"/>
      <c r="QUD272" s="2329"/>
      <c r="QUE272" s="2329"/>
      <c r="QUF272" s="2329"/>
      <c r="QUG272" s="2329"/>
      <c r="QUH272" s="2329"/>
      <c r="QUI272" s="2329"/>
      <c r="QUJ272" s="2328"/>
      <c r="QUK272" s="2329"/>
      <c r="QUL272" s="2329"/>
      <c r="QUM272" s="2329"/>
      <c r="QUN272" s="2329"/>
      <c r="QUO272" s="2329"/>
      <c r="QUP272" s="2329"/>
      <c r="QUQ272" s="2329"/>
      <c r="QUR272" s="2329"/>
      <c r="QUS272" s="2329"/>
      <c r="QUT272" s="2329"/>
      <c r="QUU272" s="2329"/>
      <c r="QUV272" s="2329"/>
      <c r="QUW272" s="2329"/>
      <c r="QUX272" s="2329"/>
      <c r="QUY272" s="2329"/>
      <c r="QUZ272" s="2328"/>
      <c r="QVA272" s="2329"/>
      <c r="QVB272" s="2329"/>
      <c r="QVC272" s="2329"/>
      <c r="QVD272" s="2329"/>
      <c r="QVE272" s="2329"/>
      <c r="QVF272" s="2329"/>
      <c r="QVG272" s="2329"/>
      <c r="QVH272" s="2329"/>
      <c r="QVI272" s="2329"/>
      <c r="QVJ272" s="2329"/>
      <c r="QVK272" s="2329"/>
      <c r="QVL272" s="2329"/>
      <c r="QVM272" s="2329"/>
      <c r="QVN272" s="2329"/>
      <c r="QVO272" s="2329"/>
      <c r="QVP272" s="2328"/>
      <c r="QVQ272" s="2329"/>
      <c r="QVR272" s="2329"/>
      <c r="QVS272" s="2329"/>
      <c r="QVT272" s="2329"/>
      <c r="QVU272" s="2329"/>
      <c r="QVV272" s="2329"/>
      <c r="QVW272" s="2329"/>
      <c r="QVX272" s="2329"/>
      <c r="QVY272" s="2329"/>
      <c r="QVZ272" s="2329"/>
      <c r="QWA272" s="2329"/>
      <c r="QWB272" s="2329"/>
      <c r="QWC272" s="2329"/>
      <c r="QWD272" s="2329"/>
      <c r="QWE272" s="2329"/>
      <c r="QWF272" s="2328"/>
      <c r="QWG272" s="2329"/>
      <c r="QWH272" s="2329"/>
      <c r="QWI272" s="2329"/>
      <c r="QWJ272" s="2329"/>
      <c r="QWK272" s="2329"/>
      <c r="QWL272" s="2329"/>
      <c r="QWM272" s="2329"/>
      <c r="QWN272" s="2329"/>
      <c r="QWO272" s="2329"/>
      <c r="QWP272" s="2329"/>
      <c r="QWQ272" s="2329"/>
      <c r="QWR272" s="2329"/>
      <c r="QWS272" s="2329"/>
      <c r="QWT272" s="2329"/>
      <c r="QWU272" s="2329"/>
      <c r="QWV272" s="2328"/>
      <c r="QWW272" s="2329"/>
      <c r="QWX272" s="2329"/>
      <c r="QWY272" s="2329"/>
      <c r="QWZ272" s="2329"/>
      <c r="QXA272" s="2329"/>
      <c r="QXB272" s="2329"/>
      <c r="QXC272" s="2329"/>
      <c r="QXD272" s="2329"/>
      <c r="QXE272" s="2329"/>
      <c r="QXF272" s="2329"/>
      <c r="QXG272" s="2329"/>
      <c r="QXH272" s="2329"/>
      <c r="QXI272" s="2329"/>
      <c r="QXJ272" s="2329"/>
      <c r="QXK272" s="2329"/>
      <c r="QXL272" s="2328"/>
      <c r="QXM272" s="2329"/>
      <c r="QXN272" s="2329"/>
      <c r="QXO272" s="2329"/>
      <c r="QXP272" s="2329"/>
      <c r="QXQ272" s="2329"/>
      <c r="QXR272" s="2329"/>
      <c r="QXS272" s="2329"/>
      <c r="QXT272" s="2329"/>
      <c r="QXU272" s="2329"/>
      <c r="QXV272" s="2329"/>
      <c r="QXW272" s="2329"/>
      <c r="QXX272" s="2329"/>
      <c r="QXY272" s="2329"/>
      <c r="QXZ272" s="2329"/>
      <c r="QYA272" s="2329"/>
      <c r="QYB272" s="2328"/>
      <c r="QYC272" s="2329"/>
      <c r="QYD272" s="2329"/>
      <c r="QYE272" s="2329"/>
      <c r="QYF272" s="2329"/>
      <c r="QYG272" s="2329"/>
      <c r="QYH272" s="2329"/>
      <c r="QYI272" s="2329"/>
      <c r="QYJ272" s="2329"/>
      <c r="QYK272" s="2329"/>
      <c r="QYL272" s="2329"/>
      <c r="QYM272" s="2329"/>
      <c r="QYN272" s="2329"/>
      <c r="QYO272" s="2329"/>
      <c r="QYP272" s="2329"/>
      <c r="QYQ272" s="2329"/>
      <c r="QYR272" s="2328"/>
      <c r="QYS272" s="2329"/>
      <c r="QYT272" s="2329"/>
      <c r="QYU272" s="2329"/>
      <c r="QYV272" s="2329"/>
      <c r="QYW272" s="2329"/>
      <c r="QYX272" s="2329"/>
      <c r="QYY272" s="2329"/>
      <c r="QYZ272" s="2329"/>
      <c r="QZA272" s="2329"/>
      <c r="QZB272" s="2329"/>
      <c r="QZC272" s="2329"/>
      <c r="QZD272" s="2329"/>
      <c r="QZE272" s="2329"/>
      <c r="QZF272" s="2329"/>
      <c r="QZG272" s="2329"/>
      <c r="QZH272" s="2328"/>
      <c r="QZI272" s="2329"/>
      <c r="QZJ272" s="2329"/>
      <c r="QZK272" s="2329"/>
      <c r="QZL272" s="2329"/>
      <c r="QZM272" s="2329"/>
      <c r="QZN272" s="2329"/>
      <c r="QZO272" s="2329"/>
      <c r="QZP272" s="2329"/>
      <c r="QZQ272" s="2329"/>
      <c r="QZR272" s="2329"/>
      <c r="QZS272" s="2329"/>
      <c r="QZT272" s="2329"/>
      <c r="QZU272" s="2329"/>
      <c r="QZV272" s="2329"/>
      <c r="QZW272" s="2329"/>
      <c r="QZX272" s="2328"/>
      <c r="QZY272" s="2329"/>
      <c r="QZZ272" s="2329"/>
      <c r="RAA272" s="2329"/>
      <c r="RAB272" s="2329"/>
      <c r="RAC272" s="2329"/>
      <c r="RAD272" s="2329"/>
      <c r="RAE272" s="2329"/>
      <c r="RAF272" s="2329"/>
      <c r="RAG272" s="2329"/>
      <c r="RAH272" s="2329"/>
      <c r="RAI272" s="2329"/>
      <c r="RAJ272" s="2329"/>
      <c r="RAK272" s="2329"/>
      <c r="RAL272" s="2329"/>
      <c r="RAM272" s="2329"/>
      <c r="RAN272" s="2328"/>
      <c r="RAO272" s="2329"/>
      <c r="RAP272" s="2329"/>
      <c r="RAQ272" s="2329"/>
      <c r="RAR272" s="2329"/>
      <c r="RAS272" s="2329"/>
      <c r="RAT272" s="2329"/>
      <c r="RAU272" s="2329"/>
      <c r="RAV272" s="2329"/>
      <c r="RAW272" s="2329"/>
      <c r="RAX272" s="2329"/>
      <c r="RAY272" s="2329"/>
      <c r="RAZ272" s="2329"/>
      <c r="RBA272" s="2329"/>
      <c r="RBB272" s="2329"/>
      <c r="RBC272" s="2329"/>
      <c r="RBD272" s="2328"/>
      <c r="RBE272" s="2329"/>
      <c r="RBF272" s="2329"/>
      <c r="RBG272" s="2329"/>
      <c r="RBH272" s="2329"/>
      <c r="RBI272" s="2329"/>
      <c r="RBJ272" s="2329"/>
      <c r="RBK272" s="2329"/>
      <c r="RBL272" s="2329"/>
      <c r="RBM272" s="2329"/>
      <c r="RBN272" s="2329"/>
      <c r="RBO272" s="2329"/>
      <c r="RBP272" s="2329"/>
      <c r="RBQ272" s="2329"/>
      <c r="RBR272" s="2329"/>
      <c r="RBS272" s="2329"/>
      <c r="RBT272" s="2328"/>
      <c r="RBU272" s="2329"/>
      <c r="RBV272" s="2329"/>
      <c r="RBW272" s="2329"/>
      <c r="RBX272" s="2329"/>
      <c r="RBY272" s="2329"/>
      <c r="RBZ272" s="2329"/>
      <c r="RCA272" s="2329"/>
      <c r="RCB272" s="2329"/>
      <c r="RCC272" s="2329"/>
      <c r="RCD272" s="2329"/>
      <c r="RCE272" s="2329"/>
      <c r="RCF272" s="2329"/>
      <c r="RCG272" s="2329"/>
      <c r="RCH272" s="2329"/>
      <c r="RCI272" s="2329"/>
      <c r="RCJ272" s="2328"/>
      <c r="RCK272" s="2329"/>
      <c r="RCL272" s="2329"/>
      <c r="RCM272" s="2329"/>
      <c r="RCN272" s="2329"/>
      <c r="RCO272" s="2329"/>
      <c r="RCP272" s="2329"/>
      <c r="RCQ272" s="2329"/>
      <c r="RCR272" s="2329"/>
      <c r="RCS272" s="2329"/>
      <c r="RCT272" s="2329"/>
      <c r="RCU272" s="2329"/>
      <c r="RCV272" s="2329"/>
      <c r="RCW272" s="2329"/>
      <c r="RCX272" s="2329"/>
      <c r="RCY272" s="2329"/>
      <c r="RCZ272" s="2328"/>
      <c r="RDA272" s="2329"/>
      <c r="RDB272" s="2329"/>
      <c r="RDC272" s="2329"/>
      <c r="RDD272" s="2329"/>
      <c r="RDE272" s="2329"/>
      <c r="RDF272" s="2329"/>
      <c r="RDG272" s="2329"/>
      <c r="RDH272" s="2329"/>
      <c r="RDI272" s="2329"/>
      <c r="RDJ272" s="2329"/>
      <c r="RDK272" s="2329"/>
      <c r="RDL272" s="2329"/>
      <c r="RDM272" s="2329"/>
      <c r="RDN272" s="2329"/>
      <c r="RDO272" s="2329"/>
      <c r="RDP272" s="2328"/>
      <c r="RDQ272" s="2329"/>
      <c r="RDR272" s="2329"/>
      <c r="RDS272" s="2329"/>
      <c r="RDT272" s="2329"/>
      <c r="RDU272" s="2329"/>
      <c r="RDV272" s="2329"/>
      <c r="RDW272" s="2329"/>
      <c r="RDX272" s="2329"/>
      <c r="RDY272" s="2329"/>
      <c r="RDZ272" s="2329"/>
      <c r="REA272" s="2329"/>
      <c r="REB272" s="2329"/>
      <c r="REC272" s="2329"/>
      <c r="RED272" s="2329"/>
      <c r="REE272" s="2329"/>
      <c r="REF272" s="2328"/>
      <c r="REG272" s="2329"/>
      <c r="REH272" s="2329"/>
      <c r="REI272" s="2329"/>
      <c r="REJ272" s="2329"/>
      <c r="REK272" s="2329"/>
      <c r="REL272" s="2329"/>
      <c r="REM272" s="2329"/>
      <c r="REN272" s="2329"/>
      <c r="REO272" s="2329"/>
      <c r="REP272" s="2329"/>
      <c r="REQ272" s="2329"/>
      <c r="RER272" s="2329"/>
      <c r="RES272" s="2329"/>
      <c r="RET272" s="2329"/>
      <c r="REU272" s="2329"/>
      <c r="REV272" s="2328"/>
      <c r="REW272" s="2329"/>
      <c r="REX272" s="2329"/>
      <c r="REY272" s="2329"/>
      <c r="REZ272" s="2329"/>
      <c r="RFA272" s="2329"/>
      <c r="RFB272" s="2329"/>
      <c r="RFC272" s="2329"/>
      <c r="RFD272" s="2329"/>
      <c r="RFE272" s="2329"/>
      <c r="RFF272" s="2329"/>
      <c r="RFG272" s="2329"/>
      <c r="RFH272" s="2329"/>
      <c r="RFI272" s="2329"/>
      <c r="RFJ272" s="2329"/>
      <c r="RFK272" s="2329"/>
      <c r="RFL272" s="2328"/>
      <c r="RFM272" s="2329"/>
      <c r="RFN272" s="2329"/>
      <c r="RFO272" s="2329"/>
      <c r="RFP272" s="2329"/>
      <c r="RFQ272" s="2329"/>
      <c r="RFR272" s="2329"/>
      <c r="RFS272" s="2329"/>
      <c r="RFT272" s="2329"/>
      <c r="RFU272" s="2329"/>
      <c r="RFV272" s="2329"/>
      <c r="RFW272" s="2329"/>
      <c r="RFX272" s="2329"/>
      <c r="RFY272" s="2329"/>
      <c r="RFZ272" s="2329"/>
      <c r="RGA272" s="2329"/>
      <c r="RGB272" s="2328"/>
      <c r="RGC272" s="2329"/>
      <c r="RGD272" s="2329"/>
      <c r="RGE272" s="2329"/>
      <c r="RGF272" s="2329"/>
      <c r="RGG272" s="2329"/>
      <c r="RGH272" s="2329"/>
      <c r="RGI272" s="2329"/>
      <c r="RGJ272" s="2329"/>
      <c r="RGK272" s="2329"/>
      <c r="RGL272" s="2329"/>
      <c r="RGM272" s="2329"/>
      <c r="RGN272" s="2329"/>
      <c r="RGO272" s="2329"/>
      <c r="RGP272" s="2329"/>
      <c r="RGQ272" s="2329"/>
      <c r="RGR272" s="2328"/>
      <c r="RGS272" s="2329"/>
      <c r="RGT272" s="2329"/>
      <c r="RGU272" s="2329"/>
      <c r="RGV272" s="2329"/>
      <c r="RGW272" s="2329"/>
      <c r="RGX272" s="2329"/>
      <c r="RGY272" s="2329"/>
      <c r="RGZ272" s="2329"/>
      <c r="RHA272" s="2329"/>
      <c r="RHB272" s="2329"/>
      <c r="RHC272" s="2329"/>
      <c r="RHD272" s="2329"/>
      <c r="RHE272" s="2329"/>
      <c r="RHF272" s="2329"/>
      <c r="RHG272" s="2329"/>
      <c r="RHH272" s="2328"/>
      <c r="RHI272" s="2329"/>
      <c r="RHJ272" s="2329"/>
      <c r="RHK272" s="2329"/>
      <c r="RHL272" s="2329"/>
      <c r="RHM272" s="2329"/>
      <c r="RHN272" s="2329"/>
      <c r="RHO272" s="2329"/>
      <c r="RHP272" s="2329"/>
      <c r="RHQ272" s="2329"/>
      <c r="RHR272" s="2329"/>
      <c r="RHS272" s="2329"/>
      <c r="RHT272" s="2329"/>
      <c r="RHU272" s="2329"/>
      <c r="RHV272" s="2329"/>
      <c r="RHW272" s="2329"/>
      <c r="RHX272" s="2328"/>
      <c r="RHY272" s="2329"/>
      <c r="RHZ272" s="2329"/>
      <c r="RIA272" s="2329"/>
      <c r="RIB272" s="2329"/>
      <c r="RIC272" s="2329"/>
      <c r="RID272" s="2329"/>
      <c r="RIE272" s="2329"/>
      <c r="RIF272" s="2329"/>
      <c r="RIG272" s="2329"/>
      <c r="RIH272" s="2329"/>
      <c r="RII272" s="2329"/>
      <c r="RIJ272" s="2329"/>
      <c r="RIK272" s="2329"/>
      <c r="RIL272" s="2329"/>
      <c r="RIM272" s="2329"/>
      <c r="RIN272" s="2328"/>
      <c r="RIO272" s="2329"/>
      <c r="RIP272" s="2329"/>
      <c r="RIQ272" s="2329"/>
      <c r="RIR272" s="2329"/>
      <c r="RIS272" s="2329"/>
      <c r="RIT272" s="2329"/>
      <c r="RIU272" s="2329"/>
      <c r="RIV272" s="2329"/>
      <c r="RIW272" s="2329"/>
      <c r="RIX272" s="2329"/>
      <c r="RIY272" s="2329"/>
      <c r="RIZ272" s="2329"/>
      <c r="RJA272" s="2329"/>
      <c r="RJB272" s="2329"/>
      <c r="RJC272" s="2329"/>
      <c r="RJD272" s="2328"/>
      <c r="RJE272" s="2329"/>
      <c r="RJF272" s="2329"/>
      <c r="RJG272" s="2329"/>
      <c r="RJH272" s="2329"/>
      <c r="RJI272" s="2329"/>
      <c r="RJJ272" s="2329"/>
      <c r="RJK272" s="2329"/>
      <c r="RJL272" s="2329"/>
      <c r="RJM272" s="2329"/>
      <c r="RJN272" s="2329"/>
      <c r="RJO272" s="2329"/>
      <c r="RJP272" s="2329"/>
      <c r="RJQ272" s="2329"/>
      <c r="RJR272" s="2329"/>
      <c r="RJS272" s="2329"/>
      <c r="RJT272" s="2328"/>
      <c r="RJU272" s="2329"/>
      <c r="RJV272" s="2329"/>
      <c r="RJW272" s="2329"/>
      <c r="RJX272" s="2329"/>
      <c r="RJY272" s="2329"/>
      <c r="RJZ272" s="2329"/>
      <c r="RKA272" s="2329"/>
      <c r="RKB272" s="2329"/>
      <c r="RKC272" s="2329"/>
      <c r="RKD272" s="2329"/>
      <c r="RKE272" s="2329"/>
      <c r="RKF272" s="2329"/>
      <c r="RKG272" s="2329"/>
      <c r="RKH272" s="2329"/>
      <c r="RKI272" s="2329"/>
      <c r="RKJ272" s="2328"/>
      <c r="RKK272" s="2329"/>
      <c r="RKL272" s="2329"/>
      <c r="RKM272" s="2329"/>
      <c r="RKN272" s="2329"/>
      <c r="RKO272" s="2329"/>
      <c r="RKP272" s="2329"/>
      <c r="RKQ272" s="2329"/>
      <c r="RKR272" s="2329"/>
      <c r="RKS272" s="2329"/>
      <c r="RKT272" s="2329"/>
      <c r="RKU272" s="2329"/>
      <c r="RKV272" s="2329"/>
      <c r="RKW272" s="2329"/>
      <c r="RKX272" s="2329"/>
      <c r="RKY272" s="2329"/>
      <c r="RKZ272" s="2328"/>
      <c r="RLA272" s="2329"/>
      <c r="RLB272" s="2329"/>
      <c r="RLC272" s="2329"/>
      <c r="RLD272" s="2329"/>
      <c r="RLE272" s="2329"/>
      <c r="RLF272" s="2329"/>
      <c r="RLG272" s="2329"/>
      <c r="RLH272" s="2329"/>
      <c r="RLI272" s="2329"/>
      <c r="RLJ272" s="2329"/>
      <c r="RLK272" s="2329"/>
      <c r="RLL272" s="2329"/>
      <c r="RLM272" s="2329"/>
      <c r="RLN272" s="2329"/>
      <c r="RLO272" s="2329"/>
      <c r="RLP272" s="2328"/>
      <c r="RLQ272" s="2329"/>
      <c r="RLR272" s="2329"/>
      <c r="RLS272" s="2329"/>
      <c r="RLT272" s="2329"/>
      <c r="RLU272" s="2329"/>
      <c r="RLV272" s="2329"/>
      <c r="RLW272" s="2329"/>
      <c r="RLX272" s="2329"/>
      <c r="RLY272" s="2329"/>
      <c r="RLZ272" s="2329"/>
      <c r="RMA272" s="2329"/>
      <c r="RMB272" s="2329"/>
      <c r="RMC272" s="2329"/>
      <c r="RMD272" s="2329"/>
      <c r="RME272" s="2329"/>
      <c r="RMF272" s="2328"/>
      <c r="RMG272" s="2329"/>
      <c r="RMH272" s="2329"/>
      <c r="RMI272" s="2329"/>
      <c r="RMJ272" s="2329"/>
      <c r="RMK272" s="2329"/>
      <c r="RML272" s="2329"/>
      <c r="RMM272" s="2329"/>
      <c r="RMN272" s="2329"/>
      <c r="RMO272" s="2329"/>
      <c r="RMP272" s="2329"/>
      <c r="RMQ272" s="2329"/>
      <c r="RMR272" s="2329"/>
      <c r="RMS272" s="2329"/>
      <c r="RMT272" s="2329"/>
      <c r="RMU272" s="2329"/>
      <c r="RMV272" s="2328"/>
      <c r="RMW272" s="2329"/>
      <c r="RMX272" s="2329"/>
      <c r="RMY272" s="2329"/>
      <c r="RMZ272" s="2329"/>
      <c r="RNA272" s="2329"/>
      <c r="RNB272" s="2329"/>
      <c r="RNC272" s="2329"/>
      <c r="RND272" s="2329"/>
      <c r="RNE272" s="2329"/>
      <c r="RNF272" s="2329"/>
      <c r="RNG272" s="2329"/>
      <c r="RNH272" s="2329"/>
      <c r="RNI272" s="2329"/>
      <c r="RNJ272" s="2329"/>
      <c r="RNK272" s="2329"/>
      <c r="RNL272" s="2328"/>
      <c r="RNM272" s="2329"/>
      <c r="RNN272" s="2329"/>
      <c r="RNO272" s="2329"/>
      <c r="RNP272" s="2329"/>
      <c r="RNQ272" s="2329"/>
      <c r="RNR272" s="2329"/>
      <c r="RNS272" s="2329"/>
      <c r="RNT272" s="2329"/>
      <c r="RNU272" s="2329"/>
      <c r="RNV272" s="2329"/>
      <c r="RNW272" s="2329"/>
      <c r="RNX272" s="2329"/>
      <c r="RNY272" s="2329"/>
      <c r="RNZ272" s="2329"/>
      <c r="ROA272" s="2329"/>
      <c r="ROB272" s="2328"/>
      <c r="ROC272" s="2329"/>
      <c r="ROD272" s="2329"/>
      <c r="ROE272" s="2329"/>
      <c r="ROF272" s="2329"/>
      <c r="ROG272" s="2329"/>
      <c r="ROH272" s="2329"/>
      <c r="ROI272" s="2329"/>
      <c r="ROJ272" s="2329"/>
      <c r="ROK272" s="2329"/>
      <c r="ROL272" s="2329"/>
      <c r="ROM272" s="2329"/>
      <c r="RON272" s="2329"/>
      <c r="ROO272" s="2329"/>
      <c r="ROP272" s="2329"/>
      <c r="ROQ272" s="2329"/>
      <c r="ROR272" s="2328"/>
      <c r="ROS272" s="2329"/>
      <c r="ROT272" s="2329"/>
      <c r="ROU272" s="2329"/>
      <c r="ROV272" s="2329"/>
      <c r="ROW272" s="2329"/>
      <c r="ROX272" s="2329"/>
      <c r="ROY272" s="2329"/>
      <c r="ROZ272" s="2329"/>
      <c r="RPA272" s="2329"/>
      <c r="RPB272" s="2329"/>
      <c r="RPC272" s="2329"/>
      <c r="RPD272" s="2329"/>
      <c r="RPE272" s="2329"/>
      <c r="RPF272" s="2329"/>
      <c r="RPG272" s="2329"/>
      <c r="RPH272" s="2328"/>
      <c r="RPI272" s="2329"/>
      <c r="RPJ272" s="2329"/>
      <c r="RPK272" s="2329"/>
      <c r="RPL272" s="2329"/>
      <c r="RPM272" s="2329"/>
      <c r="RPN272" s="2329"/>
      <c r="RPO272" s="2329"/>
      <c r="RPP272" s="2329"/>
      <c r="RPQ272" s="2329"/>
      <c r="RPR272" s="2329"/>
      <c r="RPS272" s="2329"/>
      <c r="RPT272" s="2329"/>
      <c r="RPU272" s="2329"/>
      <c r="RPV272" s="2329"/>
      <c r="RPW272" s="2329"/>
      <c r="RPX272" s="2328"/>
      <c r="RPY272" s="2329"/>
      <c r="RPZ272" s="2329"/>
      <c r="RQA272" s="2329"/>
      <c r="RQB272" s="2329"/>
      <c r="RQC272" s="2329"/>
      <c r="RQD272" s="2329"/>
      <c r="RQE272" s="2329"/>
      <c r="RQF272" s="2329"/>
      <c r="RQG272" s="2329"/>
      <c r="RQH272" s="2329"/>
      <c r="RQI272" s="2329"/>
      <c r="RQJ272" s="2329"/>
      <c r="RQK272" s="2329"/>
      <c r="RQL272" s="2329"/>
      <c r="RQM272" s="2329"/>
      <c r="RQN272" s="2328"/>
      <c r="RQO272" s="2329"/>
      <c r="RQP272" s="2329"/>
      <c r="RQQ272" s="2329"/>
      <c r="RQR272" s="2329"/>
      <c r="RQS272" s="2329"/>
      <c r="RQT272" s="2329"/>
      <c r="RQU272" s="2329"/>
      <c r="RQV272" s="2329"/>
      <c r="RQW272" s="2329"/>
      <c r="RQX272" s="2329"/>
      <c r="RQY272" s="2329"/>
      <c r="RQZ272" s="2329"/>
      <c r="RRA272" s="2329"/>
      <c r="RRB272" s="2329"/>
      <c r="RRC272" s="2329"/>
      <c r="RRD272" s="2328"/>
      <c r="RRE272" s="2329"/>
      <c r="RRF272" s="2329"/>
      <c r="RRG272" s="2329"/>
      <c r="RRH272" s="2329"/>
      <c r="RRI272" s="2329"/>
      <c r="RRJ272" s="2329"/>
      <c r="RRK272" s="2329"/>
      <c r="RRL272" s="2329"/>
      <c r="RRM272" s="2329"/>
      <c r="RRN272" s="2329"/>
      <c r="RRO272" s="2329"/>
      <c r="RRP272" s="2329"/>
      <c r="RRQ272" s="2329"/>
      <c r="RRR272" s="2329"/>
      <c r="RRS272" s="2329"/>
      <c r="RRT272" s="2328"/>
      <c r="RRU272" s="2329"/>
      <c r="RRV272" s="2329"/>
      <c r="RRW272" s="2329"/>
      <c r="RRX272" s="2329"/>
      <c r="RRY272" s="2329"/>
      <c r="RRZ272" s="2329"/>
      <c r="RSA272" s="2329"/>
      <c r="RSB272" s="2329"/>
      <c r="RSC272" s="2329"/>
      <c r="RSD272" s="2329"/>
      <c r="RSE272" s="2329"/>
      <c r="RSF272" s="2329"/>
      <c r="RSG272" s="2329"/>
      <c r="RSH272" s="2329"/>
      <c r="RSI272" s="2329"/>
      <c r="RSJ272" s="2328"/>
      <c r="RSK272" s="2329"/>
      <c r="RSL272" s="2329"/>
      <c r="RSM272" s="2329"/>
      <c r="RSN272" s="2329"/>
      <c r="RSO272" s="2329"/>
      <c r="RSP272" s="2329"/>
      <c r="RSQ272" s="2329"/>
      <c r="RSR272" s="2329"/>
      <c r="RSS272" s="2329"/>
      <c r="RST272" s="2329"/>
      <c r="RSU272" s="2329"/>
      <c r="RSV272" s="2329"/>
      <c r="RSW272" s="2329"/>
      <c r="RSX272" s="2329"/>
      <c r="RSY272" s="2329"/>
      <c r="RSZ272" s="2328"/>
      <c r="RTA272" s="2329"/>
      <c r="RTB272" s="2329"/>
      <c r="RTC272" s="2329"/>
      <c r="RTD272" s="2329"/>
      <c r="RTE272" s="2329"/>
      <c r="RTF272" s="2329"/>
      <c r="RTG272" s="2329"/>
      <c r="RTH272" s="2329"/>
      <c r="RTI272" s="2329"/>
      <c r="RTJ272" s="2329"/>
      <c r="RTK272" s="2329"/>
      <c r="RTL272" s="2329"/>
      <c r="RTM272" s="2329"/>
      <c r="RTN272" s="2329"/>
      <c r="RTO272" s="2329"/>
      <c r="RTP272" s="2328"/>
      <c r="RTQ272" s="2329"/>
      <c r="RTR272" s="2329"/>
      <c r="RTS272" s="2329"/>
      <c r="RTT272" s="2329"/>
      <c r="RTU272" s="2329"/>
      <c r="RTV272" s="2329"/>
      <c r="RTW272" s="2329"/>
      <c r="RTX272" s="2329"/>
      <c r="RTY272" s="2329"/>
      <c r="RTZ272" s="2329"/>
      <c r="RUA272" s="2329"/>
      <c r="RUB272" s="2329"/>
      <c r="RUC272" s="2329"/>
      <c r="RUD272" s="2329"/>
      <c r="RUE272" s="2329"/>
      <c r="RUF272" s="2328"/>
      <c r="RUG272" s="2329"/>
      <c r="RUH272" s="2329"/>
      <c r="RUI272" s="2329"/>
      <c r="RUJ272" s="2329"/>
      <c r="RUK272" s="2329"/>
      <c r="RUL272" s="2329"/>
      <c r="RUM272" s="2329"/>
      <c r="RUN272" s="2329"/>
      <c r="RUO272" s="2329"/>
      <c r="RUP272" s="2329"/>
      <c r="RUQ272" s="2329"/>
      <c r="RUR272" s="2329"/>
      <c r="RUS272" s="2329"/>
      <c r="RUT272" s="2329"/>
      <c r="RUU272" s="2329"/>
      <c r="RUV272" s="2328"/>
      <c r="RUW272" s="2329"/>
      <c r="RUX272" s="2329"/>
      <c r="RUY272" s="2329"/>
      <c r="RUZ272" s="2329"/>
      <c r="RVA272" s="2329"/>
      <c r="RVB272" s="2329"/>
      <c r="RVC272" s="2329"/>
      <c r="RVD272" s="2329"/>
      <c r="RVE272" s="2329"/>
      <c r="RVF272" s="2329"/>
      <c r="RVG272" s="2329"/>
      <c r="RVH272" s="2329"/>
      <c r="RVI272" s="2329"/>
      <c r="RVJ272" s="2329"/>
      <c r="RVK272" s="2329"/>
      <c r="RVL272" s="2328"/>
      <c r="RVM272" s="2329"/>
      <c r="RVN272" s="2329"/>
      <c r="RVO272" s="2329"/>
      <c r="RVP272" s="2329"/>
      <c r="RVQ272" s="2329"/>
      <c r="RVR272" s="2329"/>
      <c r="RVS272" s="2329"/>
      <c r="RVT272" s="2329"/>
      <c r="RVU272" s="2329"/>
      <c r="RVV272" s="2329"/>
      <c r="RVW272" s="2329"/>
      <c r="RVX272" s="2329"/>
      <c r="RVY272" s="2329"/>
      <c r="RVZ272" s="2329"/>
      <c r="RWA272" s="2329"/>
      <c r="RWB272" s="2328"/>
      <c r="RWC272" s="2329"/>
      <c r="RWD272" s="2329"/>
      <c r="RWE272" s="2329"/>
      <c r="RWF272" s="2329"/>
      <c r="RWG272" s="2329"/>
      <c r="RWH272" s="2329"/>
      <c r="RWI272" s="2329"/>
      <c r="RWJ272" s="2329"/>
      <c r="RWK272" s="2329"/>
      <c r="RWL272" s="2329"/>
      <c r="RWM272" s="2329"/>
      <c r="RWN272" s="2329"/>
      <c r="RWO272" s="2329"/>
      <c r="RWP272" s="2329"/>
      <c r="RWQ272" s="2329"/>
      <c r="RWR272" s="2328"/>
      <c r="RWS272" s="2329"/>
      <c r="RWT272" s="2329"/>
      <c r="RWU272" s="2329"/>
      <c r="RWV272" s="2329"/>
      <c r="RWW272" s="2329"/>
      <c r="RWX272" s="2329"/>
      <c r="RWY272" s="2329"/>
      <c r="RWZ272" s="2329"/>
      <c r="RXA272" s="2329"/>
      <c r="RXB272" s="2329"/>
      <c r="RXC272" s="2329"/>
      <c r="RXD272" s="2329"/>
      <c r="RXE272" s="2329"/>
      <c r="RXF272" s="2329"/>
      <c r="RXG272" s="2329"/>
      <c r="RXH272" s="2328"/>
      <c r="RXI272" s="2329"/>
      <c r="RXJ272" s="2329"/>
      <c r="RXK272" s="2329"/>
      <c r="RXL272" s="2329"/>
      <c r="RXM272" s="2329"/>
      <c r="RXN272" s="2329"/>
      <c r="RXO272" s="2329"/>
      <c r="RXP272" s="2329"/>
      <c r="RXQ272" s="2329"/>
      <c r="RXR272" s="2329"/>
      <c r="RXS272" s="2329"/>
      <c r="RXT272" s="2329"/>
      <c r="RXU272" s="2329"/>
      <c r="RXV272" s="2329"/>
      <c r="RXW272" s="2329"/>
      <c r="RXX272" s="2328"/>
      <c r="RXY272" s="2329"/>
      <c r="RXZ272" s="2329"/>
      <c r="RYA272" s="2329"/>
      <c r="RYB272" s="2329"/>
      <c r="RYC272" s="2329"/>
      <c r="RYD272" s="2329"/>
      <c r="RYE272" s="2329"/>
      <c r="RYF272" s="2329"/>
      <c r="RYG272" s="2329"/>
      <c r="RYH272" s="2329"/>
      <c r="RYI272" s="2329"/>
      <c r="RYJ272" s="2329"/>
      <c r="RYK272" s="2329"/>
      <c r="RYL272" s="2329"/>
      <c r="RYM272" s="2329"/>
      <c r="RYN272" s="2328"/>
      <c r="RYO272" s="2329"/>
      <c r="RYP272" s="2329"/>
      <c r="RYQ272" s="2329"/>
      <c r="RYR272" s="2329"/>
      <c r="RYS272" s="2329"/>
      <c r="RYT272" s="2329"/>
      <c r="RYU272" s="2329"/>
      <c r="RYV272" s="2329"/>
      <c r="RYW272" s="2329"/>
      <c r="RYX272" s="2329"/>
      <c r="RYY272" s="2329"/>
      <c r="RYZ272" s="2329"/>
      <c r="RZA272" s="2329"/>
      <c r="RZB272" s="2329"/>
      <c r="RZC272" s="2329"/>
      <c r="RZD272" s="2328"/>
      <c r="RZE272" s="2329"/>
      <c r="RZF272" s="2329"/>
      <c r="RZG272" s="2329"/>
      <c r="RZH272" s="2329"/>
      <c r="RZI272" s="2329"/>
      <c r="RZJ272" s="2329"/>
      <c r="RZK272" s="2329"/>
      <c r="RZL272" s="2329"/>
      <c r="RZM272" s="2329"/>
      <c r="RZN272" s="2329"/>
      <c r="RZO272" s="2329"/>
      <c r="RZP272" s="2329"/>
      <c r="RZQ272" s="2329"/>
      <c r="RZR272" s="2329"/>
      <c r="RZS272" s="2329"/>
      <c r="RZT272" s="2328"/>
      <c r="RZU272" s="2329"/>
      <c r="RZV272" s="2329"/>
      <c r="RZW272" s="2329"/>
      <c r="RZX272" s="2329"/>
      <c r="RZY272" s="2329"/>
      <c r="RZZ272" s="2329"/>
      <c r="SAA272" s="2329"/>
      <c r="SAB272" s="2329"/>
      <c r="SAC272" s="2329"/>
      <c r="SAD272" s="2329"/>
      <c r="SAE272" s="2329"/>
      <c r="SAF272" s="2329"/>
      <c r="SAG272" s="2329"/>
      <c r="SAH272" s="2329"/>
      <c r="SAI272" s="2329"/>
      <c r="SAJ272" s="2328"/>
      <c r="SAK272" s="2329"/>
      <c r="SAL272" s="2329"/>
      <c r="SAM272" s="2329"/>
      <c r="SAN272" s="2329"/>
      <c r="SAO272" s="2329"/>
      <c r="SAP272" s="2329"/>
      <c r="SAQ272" s="2329"/>
      <c r="SAR272" s="2329"/>
      <c r="SAS272" s="2329"/>
      <c r="SAT272" s="2329"/>
      <c r="SAU272" s="2329"/>
      <c r="SAV272" s="2329"/>
      <c r="SAW272" s="2329"/>
      <c r="SAX272" s="2329"/>
      <c r="SAY272" s="2329"/>
      <c r="SAZ272" s="2328"/>
      <c r="SBA272" s="2329"/>
      <c r="SBB272" s="2329"/>
      <c r="SBC272" s="2329"/>
      <c r="SBD272" s="2329"/>
      <c r="SBE272" s="2329"/>
      <c r="SBF272" s="2329"/>
      <c r="SBG272" s="2329"/>
      <c r="SBH272" s="2329"/>
      <c r="SBI272" s="2329"/>
      <c r="SBJ272" s="2329"/>
      <c r="SBK272" s="2329"/>
      <c r="SBL272" s="2329"/>
      <c r="SBM272" s="2329"/>
      <c r="SBN272" s="2329"/>
      <c r="SBO272" s="2329"/>
      <c r="SBP272" s="2328"/>
      <c r="SBQ272" s="2329"/>
      <c r="SBR272" s="2329"/>
      <c r="SBS272" s="2329"/>
      <c r="SBT272" s="2329"/>
      <c r="SBU272" s="2329"/>
      <c r="SBV272" s="2329"/>
      <c r="SBW272" s="2329"/>
      <c r="SBX272" s="2329"/>
      <c r="SBY272" s="2329"/>
      <c r="SBZ272" s="2329"/>
      <c r="SCA272" s="2329"/>
      <c r="SCB272" s="2329"/>
      <c r="SCC272" s="2329"/>
      <c r="SCD272" s="2329"/>
      <c r="SCE272" s="2329"/>
      <c r="SCF272" s="2328"/>
      <c r="SCG272" s="2329"/>
      <c r="SCH272" s="2329"/>
      <c r="SCI272" s="2329"/>
      <c r="SCJ272" s="2329"/>
      <c r="SCK272" s="2329"/>
      <c r="SCL272" s="2329"/>
      <c r="SCM272" s="2329"/>
      <c r="SCN272" s="2329"/>
      <c r="SCO272" s="2329"/>
      <c r="SCP272" s="2329"/>
      <c r="SCQ272" s="2329"/>
      <c r="SCR272" s="2329"/>
      <c r="SCS272" s="2329"/>
      <c r="SCT272" s="2329"/>
      <c r="SCU272" s="2329"/>
      <c r="SCV272" s="2328"/>
      <c r="SCW272" s="2329"/>
      <c r="SCX272" s="2329"/>
      <c r="SCY272" s="2329"/>
      <c r="SCZ272" s="2329"/>
      <c r="SDA272" s="2329"/>
      <c r="SDB272" s="2329"/>
      <c r="SDC272" s="2329"/>
      <c r="SDD272" s="2329"/>
      <c r="SDE272" s="2329"/>
      <c r="SDF272" s="2329"/>
      <c r="SDG272" s="2329"/>
      <c r="SDH272" s="2329"/>
      <c r="SDI272" s="2329"/>
      <c r="SDJ272" s="2329"/>
      <c r="SDK272" s="2329"/>
      <c r="SDL272" s="2328"/>
      <c r="SDM272" s="2329"/>
      <c r="SDN272" s="2329"/>
      <c r="SDO272" s="2329"/>
      <c r="SDP272" s="2329"/>
      <c r="SDQ272" s="2329"/>
      <c r="SDR272" s="2329"/>
      <c r="SDS272" s="2329"/>
      <c r="SDT272" s="2329"/>
      <c r="SDU272" s="2329"/>
      <c r="SDV272" s="2329"/>
      <c r="SDW272" s="2329"/>
      <c r="SDX272" s="2329"/>
      <c r="SDY272" s="2329"/>
      <c r="SDZ272" s="2329"/>
      <c r="SEA272" s="2329"/>
      <c r="SEB272" s="2328"/>
      <c r="SEC272" s="2329"/>
      <c r="SED272" s="2329"/>
      <c r="SEE272" s="2329"/>
      <c r="SEF272" s="2329"/>
      <c r="SEG272" s="2329"/>
      <c r="SEH272" s="2329"/>
      <c r="SEI272" s="2329"/>
      <c r="SEJ272" s="2329"/>
      <c r="SEK272" s="2329"/>
      <c r="SEL272" s="2329"/>
      <c r="SEM272" s="2329"/>
      <c r="SEN272" s="2329"/>
      <c r="SEO272" s="2329"/>
      <c r="SEP272" s="2329"/>
      <c r="SEQ272" s="2329"/>
      <c r="SER272" s="2328"/>
      <c r="SES272" s="2329"/>
      <c r="SET272" s="2329"/>
      <c r="SEU272" s="2329"/>
      <c r="SEV272" s="2329"/>
      <c r="SEW272" s="2329"/>
      <c r="SEX272" s="2329"/>
      <c r="SEY272" s="2329"/>
      <c r="SEZ272" s="2329"/>
      <c r="SFA272" s="2329"/>
      <c r="SFB272" s="2329"/>
      <c r="SFC272" s="2329"/>
      <c r="SFD272" s="2329"/>
      <c r="SFE272" s="2329"/>
      <c r="SFF272" s="2329"/>
      <c r="SFG272" s="2329"/>
      <c r="SFH272" s="2328"/>
      <c r="SFI272" s="2329"/>
      <c r="SFJ272" s="2329"/>
      <c r="SFK272" s="2329"/>
      <c r="SFL272" s="2329"/>
      <c r="SFM272" s="2329"/>
      <c r="SFN272" s="2329"/>
      <c r="SFO272" s="2329"/>
      <c r="SFP272" s="2329"/>
      <c r="SFQ272" s="2329"/>
      <c r="SFR272" s="2329"/>
      <c r="SFS272" s="2329"/>
      <c r="SFT272" s="2329"/>
      <c r="SFU272" s="2329"/>
      <c r="SFV272" s="2329"/>
      <c r="SFW272" s="2329"/>
      <c r="SFX272" s="2328"/>
      <c r="SFY272" s="2329"/>
      <c r="SFZ272" s="2329"/>
      <c r="SGA272" s="2329"/>
      <c r="SGB272" s="2329"/>
      <c r="SGC272" s="2329"/>
      <c r="SGD272" s="2329"/>
      <c r="SGE272" s="2329"/>
      <c r="SGF272" s="2329"/>
      <c r="SGG272" s="2329"/>
      <c r="SGH272" s="2329"/>
      <c r="SGI272" s="2329"/>
      <c r="SGJ272" s="2329"/>
      <c r="SGK272" s="2329"/>
      <c r="SGL272" s="2329"/>
      <c r="SGM272" s="2329"/>
      <c r="SGN272" s="2328"/>
      <c r="SGO272" s="2329"/>
      <c r="SGP272" s="2329"/>
      <c r="SGQ272" s="2329"/>
      <c r="SGR272" s="2329"/>
      <c r="SGS272" s="2329"/>
      <c r="SGT272" s="2329"/>
      <c r="SGU272" s="2329"/>
      <c r="SGV272" s="2329"/>
      <c r="SGW272" s="2329"/>
      <c r="SGX272" s="2329"/>
      <c r="SGY272" s="2329"/>
      <c r="SGZ272" s="2329"/>
      <c r="SHA272" s="2329"/>
      <c r="SHB272" s="2329"/>
      <c r="SHC272" s="2329"/>
      <c r="SHD272" s="2328"/>
      <c r="SHE272" s="2329"/>
      <c r="SHF272" s="2329"/>
      <c r="SHG272" s="2329"/>
      <c r="SHH272" s="2329"/>
      <c r="SHI272" s="2329"/>
      <c r="SHJ272" s="2329"/>
      <c r="SHK272" s="2329"/>
      <c r="SHL272" s="2329"/>
      <c r="SHM272" s="2329"/>
      <c r="SHN272" s="2329"/>
      <c r="SHO272" s="2329"/>
      <c r="SHP272" s="2329"/>
      <c r="SHQ272" s="2329"/>
      <c r="SHR272" s="2329"/>
      <c r="SHS272" s="2329"/>
      <c r="SHT272" s="2328"/>
      <c r="SHU272" s="2329"/>
      <c r="SHV272" s="2329"/>
      <c r="SHW272" s="2329"/>
      <c r="SHX272" s="2329"/>
      <c r="SHY272" s="2329"/>
      <c r="SHZ272" s="2329"/>
      <c r="SIA272" s="2329"/>
      <c r="SIB272" s="2329"/>
      <c r="SIC272" s="2329"/>
      <c r="SID272" s="2329"/>
      <c r="SIE272" s="2329"/>
      <c r="SIF272" s="2329"/>
      <c r="SIG272" s="2329"/>
      <c r="SIH272" s="2329"/>
      <c r="SII272" s="2329"/>
      <c r="SIJ272" s="2328"/>
      <c r="SIK272" s="2329"/>
      <c r="SIL272" s="2329"/>
      <c r="SIM272" s="2329"/>
      <c r="SIN272" s="2329"/>
      <c r="SIO272" s="2329"/>
      <c r="SIP272" s="2329"/>
      <c r="SIQ272" s="2329"/>
      <c r="SIR272" s="2329"/>
      <c r="SIS272" s="2329"/>
      <c r="SIT272" s="2329"/>
      <c r="SIU272" s="2329"/>
      <c r="SIV272" s="2329"/>
      <c r="SIW272" s="2329"/>
      <c r="SIX272" s="2329"/>
      <c r="SIY272" s="2329"/>
      <c r="SIZ272" s="2328"/>
      <c r="SJA272" s="2329"/>
      <c r="SJB272" s="2329"/>
      <c r="SJC272" s="2329"/>
      <c r="SJD272" s="2329"/>
      <c r="SJE272" s="2329"/>
      <c r="SJF272" s="2329"/>
      <c r="SJG272" s="2329"/>
      <c r="SJH272" s="2329"/>
      <c r="SJI272" s="2329"/>
      <c r="SJJ272" s="2329"/>
      <c r="SJK272" s="2329"/>
      <c r="SJL272" s="2329"/>
      <c r="SJM272" s="2329"/>
      <c r="SJN272" s="2329"/>
      <c r="SJO272" s="2329"/>
      <c r="SJP272" s="2328"/>
      <c r="SJQ272" s="2329"/>
      <c r="SJR272" s="2329"/>
      <c r="SJS272" s="2329"/>
      <c r="SJT272" s="2329"/>
      <c r="SJU272" s="2329"/>
      <c r="SJV272" s="2329"/>
      <c r="SJW272" s="2329"/>
      <c r="SJX272" s="2329"/>
      <c r="SJY272" s="2329"/>
      <c r="SJZ272" s="2329"/>
      <c r="SKA272" s="2329"/>
      <c r="SKB272" s="2329"/>
      <c r="SKC272" s="2329"/>
      <c r="SKD272" s="2329"/>
      <c r="SKE272" s="2329"/>
      <c r="SKF272" s="2328"/>
      <c r="SKG272" s="2329"/>
      <c r="SKH272" s="2329"/>
      <c r="SKI272" s="2329"/>
      <c r="SKJ272" s="2329"/>
      <c r="SKK272" s="2329"/>
      <c r="SKL272" s="2329"/>
      <c r="SKM272" s="2329"/>
      <c r="SKN272" s="2329"/>
      <c r="SKO272" s="2329"/>
      <c r="SKP272" s="2329"/>
      <c r="SKQ272" s="2329"/>
      <c r="SKR272" s="2329"/>
      <c r="SKS272" s="2329"/>
      <c r="SKT272" s="2329"/>
      <c r="SKU272" s="2329"/>
      <c r="SKV272" s="2328"/>
      <c r="SKW272" s="2329"/>
      <c r="SKX272" s="2329"/>
      <c r="SKY272" s="2329"/>
      <c r="SKZ272" s="2329"/>
      <c r="SLA272" s="2329"/>
      <c r="SLB272" s="2329"/>
      <c r="SLC272" s="2329"/>
      <c r="SLD272" s="2329"/>
      <c r="SLE272" s="2329"/>
      <c r="SLF272" s="2329"/>
      <c r="SLG272" s="2329"/>
      <c r="SLH272" s="2329"/>
      <c r="SLI272" s="2329"/>
      <c r="SLJ272" s="2329"/>
      <c r="SLK272" s="2329"/>
      <c r="SLL272" s="2328"/>
      <c r="SLM272" s="2329"/>
      <c r="SLN272" s="2329"/>
      <c r="SLO272" s="2329"/>
      <c r="SLP272" s="2329"/>
      <c r="SLQ272" s="2329"/>
      <c r="SLR272" s="2329"/>
      <c r="SLS272" s="2329"/>
      <c r="SLT272" s="2329"/>
      <c r="SLU272" s="2329"/>
      <c r="SLV272" s="2329"/>
      <c r="SLW272" s="2329"/>
      <c r="SLX272" s="2329"/>
      <c r="SLY272" s="2329"/>
      <c r="SLZ272" s="2329"/>
      <c r="SMA272" s="2329"/>
      <c r="SMB272" s="2328"/>
      <c r="SMC272" s="2329"/>
      <c r="SMD272" s="2329"/>
      <c r="SME272" s="2329"/>
      <c r="SMF272" s="2329"/>
      <c r="SMG272" s="2329"/>
      <c r="SMH272" s="2329"/>
      <c r="SMI272" s="2329"/>
      <c r="SMJ272" s="2329"/>
      <c r="SMK272" s="2329"/>
      <c r="SML272" s="2329"/>
      <c r="SMM272" s="2329"/>
      <c r="SMN272" s="2329"/>
      <c r="SMO272" s="2329"/>
      <c r="SMP272" s="2329"/>
      <c r="SMQ272" s="2329"/>
      <c r="SMR272" s="2328"/>
      <c r="SMS272" s="2329"/>
      <c r="SMT272" s="2329"/>
      <c r="SMU272" s="2329"/>
      <c r="SMV272" s="2329"/>
      <c r="SMW272" s="2329"/>
      <c r="SMX272" s="2329"/>
      <c r="SMY272" s="2329"/>
      <c r="SMZ272" s="2329"/>
      <c r="SNA272" s="2329"/>
      <c r="SNB272" s="2329"/>
      <c r="SNC272" s="2329"/>
      <c r="SND272" s="2329"/>
      <c r="SNE272" s="2329"/>
      <c r="SNF272" s="2329"/>
      <c r="SNG272" s="2329"/>
      <c r="SNH272" s="2328"/>
      <c r="SNI272" s="2329"/>
      <c r="SNJ272" s="2329"/>
      <c r="SNK272" s="2329"/>
      <c r="SNL272" s="2329"/>
      <c r="SNM272" s="2329"/>
      <c r="SNN272" s="2329"/>
      <c r="SNO272" s="2329"/>
      <c r="SNP272" s="2329"/>
      <c r="SNQ272" s="2329"/>
      <c r="SNR272" s="2329"/>
      <c r="SNS272" s="2329"/>
      <c r="SNT272" s="2329"/>
      <c r="SNU272" s="2329"/>
      <c r="SNV272" s="2329"/>
      <c r="SNW272" s="2329"/>
      <c r="SNX272" s="2328"/>
      <c r="SNY272" s="2329"/>
      <c r="SNZ272" s="2329"/>
      <c r="SOA272" s="2329"/>
      <c r="SOB272" s="2329"/>
      <c r="SOC272" s="2329"/>
      <c r="SOD272" s="2329"/>
      <c r="SOE272" s="2329"/>
      <c r="SOF272" s="2329"/>
      <c r="SOG272" s="2329"/>
      <c r="SOH272" s="2329"/>
      <c r="SOI272" s="2329"/>
      <c r="SOJ272" s="2329"/>
      <c r="SOK272" s="2329"/>
      <c r="SOL272" s="2329"/>
      <c r="SOM272" s="2329"/>
      <c r="SON272" s="2328"/>
      <c r="SOO272" s="2329"/>
      <c r="SOP272" s="2329"/>
      <c r="SOQ272" s="2329"/>
      <c r="SOR272" s="2329"/>
      <c r="SOS272" s="2329"/>
      <c r="SOT272" s="2329"/>
      <c r="SOU272" s="2329"/>
      <c r="SOV272" s="2329"/>
      <c r="SOW272" s="2329"/>
      <c r="SOX272" s="2329"/>
      <c r="SOY272" s="2329"/>
      <c r="SOZ272" s="2329"/>
      <c r="SPA272" s="2329"/>
      <c r="SPB272" s="2329"/>
      <c r="SPC272" s="2329"/>
      <c r="SPD272" s="2328"/>
      <c r="SPE272" s="2329"/>
      <c r="SPF272" s="2329"/>
      <c r="SPG272" s="2329"/>
      <c r="SPH272" s="2329"/>
      <c r="SPI272" s="2329"/>
      <c r="SPJ272" s="2329"/>
      <c r="SPK272" s="2329"/>
      <c r="SPL272" s="2329"/>
      <c r="SPM272" s="2329"/>
      <c r="SPN272" s="2329"/>
      <c r="SPO272" s="2329"/>
      <c r="SPP272" s="2329"/>
      <c r="SPQ272" s="2329"/>
      <c r="SPR272" s="2329"/>
      <c r="SPS272" s="2329"/>
      <c r="SPT272" s="2328"/>
      <c r="SPU272" s="2329"/>
      <c r="SPV272" s="2329"/>
      <c r="SPW272" s="2329"/>
      <c r="SPX272" s="2329"/>
      <c r="SPY272" s="2329"/>
      <c r="SPZ272" s="2329"/>
      <c r="SQA272" s="2329"/>
      <c r="SQB272" s="2329"/>
      <c r="SQC272" s="2329"/>
      <c r="SQD272" s="2329"/>
      <c r="SQE272" s="2329"/>
      <c r="SQF272" s="2329"/>
      <c r="SQG272" s="2329"/>
      <c r="SQH272" s="2329"/>
      <c r="SQI272" s="2329"/>
      <c r="SQJ272" s="2328"/>
      <c r="SQK272" s="2329"/>
      <c r="SQL272" s="2329"/>
      <c r="SQM272" s="2329"/>
      <c r="SQN272" s="2329"/>
      <c r="SQO272" s="2329"/>
      <c r="SQP272" s="2329"/>
      <c r="SQQ272" s="2329"/>
      <c r="SQR272" s="2329"/>
      <c r="SQS272" s="2329"/>
      <c r="SQT272" s="2329"/>
      <c r="SQU272" s="2329"/>
      <c r="SQV272" s="2329"/>
      <c r="SQW272" s="2329"/>
      <c r="SQX272" s="2329"/>
      <c r="SQY272" s="2329"/>
      <c r="SQZ272" s="2328"/>
      <c r="SRA272" s="2329"/>
      <c r="SRB272" s="2329"/>
      <c r="SRC272" s="2329"/>
      <c r="SRD272" s="2329"/>
      <c r="SRE272" s="2329"/>
      <c r="SRF272" s="2329"/>
      <c r="SRG272" s="2329"/>
      <c r="SRH272" s="2329"/>
      <c r="SRI272" s="2329"/>
      <c r="SRJ272" s="2329"/>
      <c r="SRK272" s="2329"/>
      <c r="SRL272" s="2329"/>
      <c r="SRM272" s="2329"/>
      <c r="SRN272" s="2329"/>
      <c r="SRO272" s="2329"/>
      <c r="SRP272" s="2328"/>
      <c r="SRQ272" s="2329"/>
      <c r="SRR272" s="2329"/>
      <c r="SRS272" s="2329"/>
      <c r="SRT272" s="2329"/>
      <c r="SRU272" s="2329"/>
      <c r="SRV272" s="2329"/>
      <c r="SRW272" s="2329"/>
      <c r="SRX272" s="2329"/>
      <c r="SRY272" s="2329"/>
      <c r="SRZ272" s="2329"/>
      <c r="SSA272" s="2329"/>
      <c r="SSB272" s="2329"/>
      <c r="SSC272" s="2329"/>
      <c r="SSD272" s="2329"/>
      <c r="SSE272" s="2329"/>
      <c r="SSF272" s="2328"/>
      <c r="SSG272" s="2329"/>
      <c r="SSH272" s="2329"/>
      <c r="SSI272" s="2329"/>
      <c r="SSJ272" s="2329"/>
      <c r="SSK272" s="2329"/>
      <c r="SSL272" s="2329"/>
      <c r="SSM272" s="2329"/>
      <c r="SSN272" s="2329"/>
      <c r="SSO272" s="2329"/>
      <c r="SSP272" s="2329"/>
      <c r="SSQ272" s="2329"/>
      <c r="SSR272" s="2329"/>
      <c r="SSS272" s="2329"/>
      <c r="SST272" s="2329"/>
      <c r="SSU272" s="2329"/>
      <c r="SSV272" s="2328"/>
      <c r="SSW272" s="2329"/>
      <c r="SSX272" s="2329"/>
      <c r="SSY272" s="2329"/>
      <c r="SSZ272" s="2329"/>
      <c r="STA272" s="2329"/>
      <c r="STB272" s="2329"/>
      <c r="STC272" s="2329"/>
      <c r="STD272" s="2329"/>
      <c r="STE272" s="2329"/>
      <c r="STF272" s="2329"/>
      <c r="STG272" s="2329"/>
      <c r="STH272" s="2329"/>
      <c r="STI272" s="2329"/>
      <c r="STJ272" s="2329"/>
      <c r="STK272" s="2329"/>
      <c r="STL272" s="2328"/>
      <c r="STM272" s="2329"/>
      <c r="STN272" s="2329"/>
      <c r="STO272" s="2329"/>
      <c r="STP272" s="2329"/>
      <c r="STQ272" s="2329"/>
      <c r="STR272" s="2329"/>
      <c r="STS272" s="2329"/>
      <c r="STT272" s="2329"/>
      <c r="STU272" s="2329"/>
      <c r="STV272" s="2329"/>
      <c r="STW272" s="2329"/>
      <c r="STX272" s="2329"/>
      <c r="STY272" s="2329"/>
      <c r="STZ272" s="2329"/>
      <c r="SUA272" s="2329"/>
      <c r="SUB272" s="2328"/>
      <c r="SUC272" s="2329"/>
      <c r="SUD272" s="2329"/>
      <c r="SUE272" s="2329"/>
      <c r="SUF272" s="2329"/>
      <c r="SUG272" s="2329"/>
      <c r="SUH272" s="2329"/>
      <c r="SUI272" s="2329"/>
      <c r="SUJ272" s="2329"/>
      <c r="SUK272" s="2329"/>
      <c r="SUL272" s="2329"/>
      <c r="SUM272" s="2329"/>
      <c r="SUN272" s="2329"/>
      <c r="SUO272" s="2329"/>
      <c r="SUP272" s="2329"/>
      <c r="SUQ272" s="2329"/>
      <c r="SUR272" s="2328"/>
      <c r="SUS272" s="2329"/>
      <c r="SUT272" s="2329"/>
      <c r="SUU272" s="2329"/>
      <c r="SUV272" s="2329"/>
      <c r="SUW272" s="2329"/>
      <c r="SUX272" s="2329"/>
      <c r="SUY272" s="2329"/>
      <c r="SUZ272" s="2329"/>
      <c r="SVA272" s="2329"/>
      <c r="SVB272" s="2329"/>
      <c r="SVC272" s="2329"/>
      <c r="SVD272" s="2329"/>
      <c r="SVE272" s="2329"/>
      <c r="SVF272" s="2329"/>
      <c r="SVG272" s="2329"/>
      <c r="SVH272" s="2328"/>
      <c r="SVI272" s="2329"/>
      <c r="SVJ272" s="2329"/>
      <c r="SVK272" s="2329"/>
      <c r="SVL272" s="2329"/>
      <c r="SVM272" s="2329"/>
      <c r="SVN272" s="2329"/>
      <c r="SVO272" s="2329"/>
      <c r="SVP272" s="2329"/>
      <c r="SVQ272" s="2329"/>
      <c r="SVR272" s="2329"/>
      <c r="SVS272" s="2329"/>
      <c r="SVT272" s="2329"/>
      <c r="SVU272" s="2329"/>
      <c r="SVV272" s="2329"/>
      <c r="SVW272" s="2329"/>
      <c r="SVX272" s="2328"/>
      <c r="SVY272" s="2329"/>
      <c r="SVZ272" s="2329"/>
      <c r="SWA272" s="2329"/>
      <c r="SWB272" s="2329"/>
      <c r="SWC272" s="2329"/>
      <c r="SWD272" s="2329"/>
      <c r="SWE272" s="2329"/>
      <c r="SWF272" s="2329"/>
      <c r="SWG272" s="2329"/>
      <c r="SWH272" s="2329"/>
      <c r="SWI272" s="2329"/>
      <c r="SWJ272" s="2329"/>
      <c r="SWK272" s="2329"/>
      <c r="SWL272" s="2329"/>
      <c r="SWM272" s="2329"/>
      <c r="SWN272" s="2328"/>
      <c r="SWO272" s="2329"/>
      <c r="SWP272" s="2329"/>
      <c r="SWQ272" s="2329"/>
      <c r="SWR272" s="2329"/>
      <c r="SWS272" s="2329"/>
      <c r="SWT272" s="2329"/>
      <c r="SWU272" s="2329"/>
      <c r="SWV272" s="2329"/>
      <c r="SWW272" s="2329"/>
      <c r="SWX272" s="2329"/>
      <c r="SWY272" s="2329"/>
      <c r="SWZ272" s="2329"/>
      <c r="SXA272" s="2329"/>
      <c r="SXB272" s="2329"/>
      <c r="SXC272" s="2329"/>
      <c r="SXD272" s="2328"/>
      <c r="SXE272" s="2329"/>
      <c r="SXF272" s="2329"/>
      <c r="SXG272" s="2329"/>
      <c r="SXH272" s="2329"/>
      <c r="SXI272" s="2329"/>
      <c r="SXJ272" s="2329"/>
      <c r="SXK272" s="2329"/>
      <c r="SXL272" s="2329"/>
      <c r="SXM272" s="2329"/>
      <c r="SXN272" s="2329"/>
      <c r="SXO272" s="2329"/>
      <c r="SXP272" s="2329"/>
      <c r="SXQ272" s="2329"/>
      <c r="SXR272" s="2329"/>
      <c r="SXS272" s="2329"/>
      <c r="SXT272" s="2328"/>
      <c r="SXU272" s="2329"/>
      <c r="SXV272" s="2329"/>
      <c r="SXW272" s="2329"/>
      <c r="SXX272" s="2329"/>
      <c r="SXY272" s="2329"/>
      <c r="SXZ272" s="2329"/>
      <c r="SYA272" s="2329"/>
      <c r="SYB272" s="2329"/>
      <c r="SYC272" s="2329"/>
      <c r="SYD272" s="2329"/>
      <c r="SYE272" s="2329"/>
      <c r="SYF272" s="2329"/>
      <c r="SYG272" s="2329"/>
      <c r="SYH272" s="2329"/>
      <c r="SYI272" s="2329"/>
      <c r="SYJ272" s="2328"/>
      <c r="SYK272" s="2329"/>
      <c r="SYL272" s="2329"/>
      <c r="SYM272" s="2329"/>
      <c r="SYN272" s="2329"/>
      <c r="SYO272" s="2329"/>
      <c r="SYP272" s="2329"/>
      <c r="SYQ272" s="2329"/>
      <c r="SYR272" s="2329"/>
      <c r="SYS272" s="2329"/>
      <c r="SYT272" s="2329"/>
      <c r="SYU272" s="2329"/>
      <c r="SYV272" s="2329"/>
      <c r="SYW272" s="2329"/>
      <c r="SYX272" s="2329"/>
      <c r="SYY272" s="2329"/>
      <c r="SYZ272" s="2328"/>
      <c r="SZA272" s="2329"/>
      <c r="SZB272" s="2329"/>
      <c r="SZC272" s="2329"/>
      <c r="SZD272" s="2329"/>
      <c r="SZE272" s="2329"/>
      <c r="SZF272" s="2329"/>
      <c r="SZG272" s="2329"/>
      <c r="SZH272" s="2329"/>
      <c r="SZI272" s="2329"/>
      <c r="SZJ272" s="2329"/>
      <c r="SZK272" s="2329"/>
      <c r="SZL272" s="2329"/>
      <c r="SZM272" s="2329"/>
      <c r="SZN272" s="2329"/>
      <c r="SZO272" s="2329"/>
      <c r="SZP272" s="2328"/>
      <c r="SZQ272" s="2329"/>
      <c r="SZR272" s="2329"/>
      <c r="SZS272" s="2329"/>
      <c r="SZT272" s="2329"/>
      <c r="SZU272" s="2329"/>
      <c r="SZV272" s="2329"/>
      <c r="SZW272" s="2329"/>
      <c r="SZX272" s="2329"/>
      <c r="SZY272" s="2329"/>
      <c r="SZZ272" s="2329"/>
      <c r="TAA272" s="2329"/>
      <c r="TAB272" s="2329"/>
      <c r="TAC272" s="2329"/>
      <c r="TAD272" s="2329"/>
      <c r="TAE272" s="2329"/>
      <c r="TAF272" s="2328"/>
      <c r="TAG272" s="2329"/>
      <c r="TAH272" s="2329"/>
      <c r="TAI272" s="2329"/>
      <c r="TAJ272" s="2329"/>
      <c r="TAK272" s="2329"/>
      <c r="TAL272" s="2329"/>
      <c r="TAM272" s="2329"/>
      <c r="TAN272" s="2329"/>
      <c r="TAO272" s="2329"/>
      <c r="TAP272" s="2329"/>
      <c r="TAQ272" s="2329"/>
      <c r="TAR272" s="2329"/>
      <c r="TAS272" s="2329"/>
      <c r="TAT272" s="2329"/>
      <c r="TAU272" s="2329"/>
      <c r="TAV272" s="2328"/>
      <c r="TAW272" s="2329"/>
      <c r="TAX272" s="2329"/>
      <c r="TAY272" s="2329"/>
      <c r="TAZ272" s="2329"/>
      <c r="TBA272" s="2329"/>
      <c r="TBB272" s="2329"/>
      <c r="TBC272" s="2329"/>
      <c r="TBD272" s="2329"/>
      <c r="TBE272" s="2329"/>
      <c r="TBF272" s="2329"/>
      <c r="TBG272" s="2329"/>
      <c r="TBH272" s="2329"/>
      <c r="TBI272" s="2329"/>
      <c r="TBJ272" s="2329"/>
      <c r="TBK272" s="2329"/>
      <c r="TBL272" s="2328"/>
      <c r="TBM272" s="2329"/>
      <c r="TBN272" s="2329"/>
      <c r="TBO272" s="2329"/>
      <c r="TBP272" s="2329"/>
      <c r="TBQ272" s="2329"/>
      <c r="TBR272" s="2329"/>
      <c r="TBS272" s="2329"/>
      <c r="TBT272" s="2329"/>
      <c r="TBU272" s="2329"/>
      <c r="TBV272" s="2329"/>
      <c r="TBW272" s="2329"/>
      <c r="TBX272" s="2329"/>
      <c r="TBY272" s="2329"/>
      <c r="TBZ272" s="2329"/>
      <c r="TCA272" s="2329"/>
      <c r="TCB272" s="2328"/>
      <c r="TCC272" s="2329"/>
      <c r="TCD272" s="2329"/>
      <c r="TCE272" s="2329"/>
      <c r="TCF272" s="2329"/>
      <c r="TCG272" s="2329"/>
      <c r="TCH272" s="2329"/>
      <c r="TCI272" s="2329"/>
      <c r="TCJ272" s="2329"/>
      <c r="TCK272" s="2329"/>
      <c r="TCL272" s="2329"/>
      <c r="TCM272" s="2329"/>
      <c r="TCN272" s="2329"/>
      <c r="TCO272" s="2329"/>
      <c r="TCP272" s="2329"/>
      <c r="TCQ272" s="2329"/>
      <c r="TCR272" s="2328"/>
      <c r="TCS272" s="2329"/>
      <c r="TCT272" s="2329"/>
      <c r="TCU272" s="2329"/>
      <c r="TCV272" s="2329"/>
      <c r="TCW272" s="2329"/>
      <c r="TCX272" s="2329"/>
      <c r="TCY272" s="2329"/>
      <c r="TCZ272" s="2329"/>
      <c r="TDA272" s="2329"/>
      <c r="TDB272" s="2329"/>
      <c r="TDC272" s="2329"/>
      <c r="TDD272" s="2329"/>
      <c r="TDE272" s="2329"/>
      <c r="TDF272" s="2329"/>
      <c r="TDG272" s="2329"/>
      <c r="TDH272" s="2328"/>
      <c r="TDI272" s="2329"/>
      <c r="TDJ272" s="2329"/>
      <c r="TDK272" s="2329"/>
      <c r="TDL272" s="2329"/>
      <c r="TDM272" s="2329"/>
      <c r="TDN272" s="2329"/>
      <c r="TDO272" s="2329"/>
      <c r="TDP272" s="2329"/>
      <c r="TDQ272" s="2329"/>
      <c r="TDR272" s="2329"/>
      <c r="TDS272" s="2329"/>
      <c r="TDT272" s="2329"/>
      <c r="TDU272" s="2329"/>
      <c r="TDV272" s="2329"/>
      <c r="TDW272" s="2329"/>
      <c r="TDX272" s="2328"/>
      <c r="TDY272" s="2329"/>
      <c r="TDZ272" s="2329"/>
      <c r="TEA272" s="2329"/>
      <c r="TEB272" s="2329"/>
      <c r="TEC272" s="2329"/>
      <c r="TED272" s="2329"/>
      <c r="TEE272" s="2329"/>
      <c r="TEF272" s="2329"/>
      <c r="TEG272" s="2329"/>
      <c r="TEH272" s="2329"/>
      <c r="TEI272" s="2329"/>
      <c r="TEJ272" s="2329"/>
      <c r="TEK272" s="2329"/>
      <c r="TEL272" s="2329"/>
      <c r="TEM272" s="2329"/>
      <c r="TEN272" s="2328"/>
      <c r="TEO272" s="2329"/>
      <c r="TEP272" s="2329"/>
      <c r="TEQ272" s="2329"/>
      <c r="TER272" s="2329"/>
      <c r="TES272" s="2329"/>
      <c r="TET272" s="2329"/>
      <c r="TEU272" s="2329"/>
      <c r="TEV272" s="2329"/>
      <c r="TEW272" s="2329"/>
      <c r="TEX272" s="2329"/>
      <c r="TEY272" s="2329"/>
      <c r="TEZ272" s="2329"/>
      <c r="TFA272" s="2329"/>
      <c r="TFB272" s="2329"/>
      <c r="TFC272" s="2329"/>
      <c r="TFD272" s="2328"/>
      <c r="TFE272" s="2329"/>
      <c r="TFF272" s="2329"/>
      <c r="TFG272" s="2329"/>
      <c r="TFH272" s="2329"/>
      <c r="TFI272" s="2329"/>
      <c r="TFJ272" s="2329"/>
      <c r="TFK272" s="2329"/>
      <c r="TFL272" s="2329"/>
      <c r="TFM272" s="2329"/>
      <c r="TFN272" s="2329"/>
      <c r="TFO272" s="2329"/>
      <c r="TFP272" s="2329"/>
      <c r="TFQ272" s="2329"/>
      <c r="TFR272" s="2329"/>
      <c r="TFS272" s="2329"/>
      <c r="TFT272" s="2328"/>
      <c r="TFU272" s="2329"/>
      <c r="TFV272" s="2329"/>
      <c r="TFW272" s="2329"/>
      <c r="TFX272" s="2329"/>
      <c r="TFY272" s="2329"/>
      <c r="TFZ272" s="2329"/>
      <c r="TGA272" s="2329"/>
      <c r="TGB272" s="2329"/>
      <c r="TGC272" s="2329"/>
      <c r="TGD272" s="2329"/>
      <c r="TGE272" s="2329"/>
      <c r="TGF272" s="2329"/>
      <c r="TGG272" s="2329"/>
      <c r="TGH272" s="2329"/>
      <c r="TGI272" s="2329"/>
      <c r="TGJ272" s="2328"/>
      <c r="TGK272" s="2329"/>
      <c r="TGL272" s="2329"/>
      <c r="TGM272" s="2329"/>
      <c r="TGN272" s="2329"/>
      <c r="TGO272" s="2329"/>
      <c r="TGP272" s="2329"/>
      <c r="TGQ272" s="2329"/>
      <c r="TGR272" s="2329"/>
      <c r="TGS272" s="2329"/>
      <c r="TGT272" s="2329"/>
      <c r="TGU272" s="2329"/>
      <c r="TGV272" s="2329"/>
      <c r="TGW272" s="2329"/>
      <c r="TGX272" s="2329"/>
      <c r="TGY272" s="2329"/>
      <c r="TGZ272" s="2328"/>
      <c r="THA272" s="2329"/>
      <c r="THB272" s="2329"/>
      <c r="THC272" s="2329"/>
      <c r="THD272" s="2329"/>
      <c r="THE272" s="2329"/>
      <c r="THF272" s="2329"/>
      <c r="THG272" s="2329"/>
      <c r="THH272" s="2329"/>
      <c r="THI272" s="2329"/>
      <c r="THJ272" s="2329"/>
      <c r="THK272" s="2329"/>
      <c r="THL272" s="2329"/>
      <c r="THM272" s="2329"/>
      <c r="THN272" s="2329"/>
      <c r="THO272" s="2329"/>
      <c r="THP272" s="2328"/>
      <c r="THQ272" s="2329"/>
      <c r="THR272" s="2329"/>
      <c r="THS272" s="2329"/>
      <c r="THT272" s="2329"/>
      <c r="THU272" s="2329"/>
      <c r="THV272" s="2329"/>
      <c r="THW272" s="2329"/>
      <c r="THX272" s="2329"/>
      <c r="THY272" s="2329"/>
      <c r="THZ272" s="2329"/>
      <c r="TIA272" s="2329"/>
      <c r="TIB272" s="2329"/>
      <c r="TIC272" s="2329"/>
      <c r="TID272" s="2329"/>
      <c r="TIE272" s="2329"/>
      <c r="TIF272" s="2328"/>
      <c r="TIG272" s="2329"/>
      <c r="TIH272" s="2329"/>
      <c r="TII272" s="2329"/>
      <c r="TIJ272" s="2329"/>
      <c r="TIK272" s="2329"/>
      <c r="TIL272" s="2329"/>
      <c r="TIM272" s="2329"/>
      <c r="TIN272" s="2329"/>
      <c r="TIO272" s="2329"/>
      <c r="TIP272" s="2329"/>
      <c r="TIQ272" s="2329"/>
      <c r="TIR272" s="2329"/>
      <c r="TIS272" s="2329"/>
      <c r="TIT272" s="2329"/>
      <c r="TIU272" s="2329"/>
      <c r="TIV272" s="2328"/>
      <c r="TIW272" s="2329"/>
      <c r="TIX272" s="2329"/>
      <c r="TIY272" s="2329"/>
      <c r="TIZ272" s="2329"/>
      <c r="TJA272" s="2329"/>
      <c r="TJB272" s="2329"/>
      <c r="TJC272" s="2329"/>
      <c r="TJD272" s="2329"/>
      <c r="TJE272" s="2329"/>
      <c r="TJF272" s="2329"/>
      <c r="TJG272" s="2329"/>
      <c r="TJH272" s="2329"/>
      <c r="TJI272" s="2329"/>
      <c r="TJJ272" s="2329"/>
      <c r="TJK272" s="2329"/>
      <c r="TJL272" s="2328"/>
      <c r="TJM272" s="2329"/>
      <c r="TJN272" s="2329"/>
      <c r="TJO272" s="2329"/>
      <c r="TJP272" s="2329"/>
      <c r="TJQ272" s="2329"/>
      <c r="TJR272" s="2329"/>
      <c r="TJS272" s="2329"/>
      <c r="TJT272" s="2329"/>
      <c r="TJU272" s="2329"/>
      <c r="TJV272" s="2329"/>
      <c r="TJW272" s="2329"/>
      <c r="TJX272" s="2329"/>
      <c r="TJY272" s="2329"/>
      <c r="TJZ272" s="2329"/>
      <c r="TKA272" s="2329"/>
      <c r="TKB272" s="2328"/>
      <c r="TKC272" s="2329"/>
      <c r="TKD272" s="2329"/>
      <c r="TKE272" s="2329"/>
      <c r="TKF272" s="2329"/>
      <c r="TKG272" s="2329"/>
      <c r="TKH272" s="2329"/>
      <c r="TKI272" s="2329"/>
      <c r="TKJ272" s="2329"/>
      <c r="TKK272" s="2329"/>
      <c r="TKL272" s="2329"/>
      <c r="TKM272" s="2329"/>
      <c r="TKN272" s="2329"/>
      <c r="TKO272" s="2329"/>
      <c r="TKP272" s="2329"/>
      <c r="TKQ272" s="2329"/>
      <c r="TKR272" s="2328"/>
      <c r="TKS272" s="2329"/>
      <c r="TKT272" s="2329"/>
      <c r="TKU272" s="2329"/>
      <c r="TKV272" s="2329"/>
      <c r="TKW272" s="2329"/>
      <c r="TKX272" s="2329"/>
      <c r="TKY272" s="2329"/>
      <c r="TKZ272" s="2329"/>
      <c r="TLA272" s="2329"/>
      <c r="TLB272" s="2329"/>
      <c r="TLC272" s="2329"/>
      <c r="TLD272" s="2329"/>
      <c r="TLE272" s="2329"/>
      <c r="TLF272" s="2329"/>
      <c r="TLG272" s="2329"/>
      <c r="TLH272" s="2328"/>
      <c r="TLI272" s="2329"/>
      <c r="TLJ272" s="2329"/>
      <c r="TLK272" s="2329"/>
      <c r="TLL272" s="2329"/>
      <c r="TLM272" s="2329"/>
      <c r="TLN272" s="2329"/>
      <c r="TLO272" s="2329"/>
      <c r="TLP272" s="2329"/>
      <c r="TLQ272" s="2329"/>
      <c r="TLR272" s="2329"/>
      <c r="TLS272" s="2329"/>
      <c r="TLT272" s="2329"/>
      <c r="TLU272" s="2329"/>
      <c r="TLV272" s="2329"/>
      <c r="TLW272" s="2329"/>
      <c r="TLX272" s="2328"/>
      <c r="TLY272" s="2329"/>
      <c r="TLZ272" s="2329"/>
      <c r="TMA272" s="2329"/>
      <c r="TMB272" s="2329"/>
      <c r="TMC272" s="2329"/>
      <c r="TMD272" s="2329"/>
      <c r="TME272" s="2329"/>
      <c r="TMF272" s="2329"/>
      <c r="TMG272" s="2329"/>
      <c r="TMH272" s="2329"/>
      <c r="TMI272" s="2329"/>
      <c r="TMJ272" s="2329"/>
      <c r="TMK272" s="2329"/>
      <c r="TML272" s="2329"/>
      <c r="TMM272" s="2329"/>
      <c r="TMN272" s="2328"/>
      <c r="TMO272" s="2329"/>
      <c r="TMP272" s="2329"/>
      <c r="TMQ272" s="2329"/>
      <c r="TMR272" s="2329"/>
      <c r="TMS272" s="2329"/>
      <c r="TMT272" s="2329"/>
      <c r="TMU272" s="2329"/>
      <c r="TMV272" s="2329"/>
      <c r="TMW272" s="2329"/>
      <c r="TMX272" s="2329"/>
      <c r="TMY272" s="2329"/>
      <c r="TMZ272" s="2329"/>
      <c r="TNA272" s="2329"/>
      <c r="TNB272" s="2329"/>
      <c r="TNC272" s="2329"/>
      <c r="TND272" s="2328"/>
      <c r="TNE272" s="2329"/>
      <c r="TNF272" s="2329"/>
      <c r="TNG272" s="2329"/>
      <c r="TNH272" s="2329"/>
      <c r="TNI272" s="2329"/>
      <c r="TNJ272" s="2329"/>
      <c r="TNK272" s="2329"/>
      <c r="TNL272" s="2329"/>
      <c r="TNM272" s="2329"/>
      <c r="TNN272" s="2329"/>
      <c r="TNO272" s="2329"/>
      <c r="TNP272" s="2329"/>
      <c r="TNQ272" s="2329"/>
      <c r="TNR272" s="2329"/>
      <c r="TNS272" s="2329"/>
      <c r="TNT272" s="2328"/>
      <c r="TNU272" s="2329"/>
      <c r="TNV272" s="2329"/>
      <c r="TNW272" s="2329"/>
      <c r="TNX272" s="2329"/>
      <c r="TNY272" s="2329"/>
      <c r="TNZ272" s="2329"/>
      <c r="TOA272" s="2329"/>
      <c r="TOB272" s="2329"/>
      <c r="TOC272" s="2329"/>
      <c r="TOD272" s="2329"/>
      <c r="TOE272" s="2329"/>
      <c r="TOF272" s="2329"/>
      <c r="TOG272" s="2329"/>
      <c r="TOH272" s="2329"/>
      <c r="TOI272" s="2329"/>
      <c r="TOJ272" s="2328"/>
      <c r="TOK272" s="2329"/>
      <c r="TOL272" s="2329"/>
      <c r="TOM272" s="2329"/>
      <c r="TON272" s="2329"/>
      <c r="TOO272" s="2329"/>
      <c r="TOP272" s="2329"/>
      <c r="TOQ272" s="2329"/>
      <c r="TOR272" s="2329"/>
      <c r="TOS272" s="2329"/>
      <c r="TOT272" s="2329"/>
      <c r="TOU272" s="2329"/>
      <c r="TOV272" s="2329"/>
      <c r="TOW272" s="2329"/>
      <c r="TOX272" s="2329"/>
      <c r="TOY272" s="2329"/>
      <c r="TOZ272" s="2328"/>
      <c r="TPA272" s="2329"/>
      <c r="TPB272" s="2329"/>
      <c r="TPC272" s="2329"/>
      <c r="TPD272" s="2329"/>
      <c r="TPE272" s="2329"/>
      <c r="TPF272" s="2329"/>
      <c r="TPG272" s="2329"/>
      <c r="TPH272" s="2329"/>
      <c r="TPI272" s="2329"/>
      <c r="TPJ272" s="2329"/>
      <c r="TPK272" s="2329"/>
      <c r="TPL272" s="2329"/>
      <c r="TPM272" s="2329"/>
      <c r="TPN272" s="2329"/>
      <c r="TPO272" s="2329"/>
      <c r="TPP272" s="2328"/>
      <c r="TPQ272" s="2329"/>
      <c r="TPR272" s="2329"/>
      <c r="TPS272" s="2329"/>
      <c r="TPT272" s="2329"/>
      <c r="TPU272" s="2329"/>
      <c r="TPV272" s="2329"/>
      <c r="TPW272" s="2329"/>
      <c r="TPX272" s="2329"/>
      <c r="TPY272" s="2329"/>
      <c r="TPZ272" s="2329"/>
      <c r="TQA272" s="2329"/>
      <c r="TQB272" s="2329"/>
      <c r="TQC272" s="2329"/>
      <c r="TQD272" s="2329"/>
      <c r="TQE272" s="2329"/>
      <c r="TQF272" s="2328"/>
      <c r="TQG272" s="2329"/>
      <c r="TQH272" s="2329"/>
      <c r="TQI272" s="2329"/>
      <c r="TQJ272" s="2329"/>
      <c r="TQK272" s="2329"/>
      <c r="TQL272" s="2329"/>
      <c r="TQM272" s="2329"/>
      <c r="TQN272" s="2329"/>
      <c r="TQO272" s="2329"/>
      <c r="TQP272" s="2329"/>
      <c r="TQQ272" s="2329"/>
      <c r="TQR272" s="2329"/>
      <c r="TQS272" s="2329"/>
      <c r="TQT272" s="2329"/>
      <c r="TQU272" s="2329"/>
      <c r="TQV272" s="2328"/>
      <c r="TQW272" s="2329"/>
      <c r="TQX272" s="2329"/>
      <c r="TQY272" s="2329"/>
      <c r="TQZ272" s="2329"/>
      <c r="TRA272" s="2329"/>
      <c r="TRB272" s="2329"/>
      <c r="TRC272" s="2329"/>
      <c r="TRD272" s="2329"/>
      <c r="TRE272" s="2329"/>
      <c r="TRF272" s="2329"/>
      <c r="TRG272" s="2329"/>
      <c r="TRH272" s="2329"/>
      <c r="TRI272" s="2329"/>
      <c r="TRJ272" s="2329"/>
      <c r="TRK272" s="2329"/>
      <c r="TRL272" s="2328"/>
      <c r="TRM272" s="2329"/>
      <c r="TRN272" s="2329"/>
      <c r="TRO272" s="2329"/>
      <c r="TRP272" s="2329"/>
      <c r="TRQ272" s="2329"/>
      <c r="TRR272" s="2329"/>
      <c r="TRS272" s="2329"/>
      <c r="TRT272" s="2329"/>
      <c r="TRU272" s="2329"/>
      <c r="TRV272" s="2329"/>
      <c r="TRW272" s="2329"/>
      <c r="TRX272" s="2329"/>
      <c r="TRY272" s="2329"/>
      <c r="TRZ272" s="2329"/>
      <c r="TSA272" s="2329"/>
      <c r="TSB272" s="2328"/>
      <c r="TSC272" s="2329"/>
      <c r="TSD272" s="2329"/>
      <c r="TSE272" s="2329"/>
      <c r="TSF272" s="2329"/>
      <c r="TSG272" s="2329"/>
      <c r="TSH272" s="2329"/>
      <c r="TSI272" s="2329"/>
      <c r="TSJ272" s="2329"/>
      <c r="TSK272" s="2329"/>
      <c r="TSL272" s="2329"/>
      <c r="TSM272" s="2329"/>
      <c r="TSN272" s="2329"/>
      <c r="TSO272" s="2329"/>
      <c r="TSP272" s="2329"/>
      <c r="TSQ272" s="2329"/>
      <c r="TSR272" s="2328"/>
      <c r="TSS272" s="2329"/>
      <c r="TST272" s="2329"/>
      <c r="TSU272" s="2329"/>
      <c r="TSV272" s="2329"/>
      <c r="TSW272" s="2329"/>
      <c r="TSX272" s="2329"/>
      <c r="TSY272" s="2329"/>
      <c r="TSZ272" s="2329"/>
      <c r="TTA272" s="2329"/>
      <c r="TTB272" s="2329"/>
      <c r="TTC272" s="2329"/>
      <c r="TTD272" s="2329"/>
      <c r="TTE272" s="2329"/>
      <c r="TTF272" s="2329"/>
      <c r="TTG272" s="2329"/>
      <c r="TTH272" s="2328"/>
      <c r="TTI272" s="2329"/>
      <c r="TTJ272" s="2329"/>
      <c r="TTK272" s="2329"/>
      <c r="TTL272" s="2329"/>
      <c r="TTM272" s="2329"/>
      <c r="TTN272" s="2329"/>
      <c r="TTO272" s="2329"/>
      <c r="TTP272" s="2329"/>
      <c r="TTQ272" s="2329"/>
      <c r="TTR272" s="2329"/>
      <c r="TTS272" s="2329"/>
      <c r="TTT272" s="2329"/>
      <c r="TTU272" s="2329"/>
      <c r="TTV272" s="2329"/>
      <c r="TTW272" s="2329"/>
      <c r="TTX272" s="2328"/>
      <c r="TTY272" s="2329"/>
      <c r="TTZ272" s="2329"/>
      <c r="TUA272" s="2329"/>
      <c r="TUB272" s="2329"/>
      <c r="TUC272" s="2329"/>
      <c r="TUD272" s="2329"/>
      <c r="TUE272" s="2329"/>
      <c r="TUF272" s="2329"/>
      <c r="TUG272" s="2329"/>
      <c r="TUH272" s="2329"/>
      <c r="TUI272" s="2329"/>
      <c r="TUJ272" s="2329"/>
      <c r="TUK272" s="2329"/>
      <c r="TUL272" s="2329"/>
      <c r="TUM272" s="2329"/>
      <c r="TUN272" s="2328"/>
      <c r="TUO272" s="2329"/>
      <c r="TUP272" s="2329"/>
      <c r="TUQ272" s="2329"/>
      <c r="TUR272" s="2329"/>
      <c r="TUS272" s="2329"/>
      <c r="TUT272" s="2329"/>
      <c r="TUU272" s="2329"/>
      <c r="TUV272" s="2329"/>
      <c r="TUW272" s="2329"/>
      <c r="TUX272" s="2329"/>
      <c r="TUY272" s="2329"/>
      <c r="TUZ272" s="2329"/>
      <c r="TVA272" s="2329"/>
      <c r="TVB272" s="2329"/>
      <c r="TVC272" s="2329"/>
      <c r="TVD272" s="2328"/>
      <c r="TVE272" s="2329"/>
      <c r="TVF272" s="2329"/>
      <c r="TVG272" s="2329"/>
      <c r="TVH272" s="2329"/>
      <c r="TVI272" s="2329"/>
      <c r="TVJ272" s="2329"/>
      <c r="TVK272" s="2329"/>
      <c r="TVL272" s="2329"/>
      <c r="TVM272" s="2329"/>
      <c r="TVN272" s="2329"/>
      <c r="TVO272" s="2329"/>
      <c r="TVP272" s="2329"/>
      <c r="TVQ272" s="2329"/>
      <c r="TVR272" s="2329"/>
      <c r="TVS272" s="2329"/>
      <c r="TVT272" s="2328"/>
      <c r="TVU272" s="2329"/>
      <c r="TVV272" s="2329"/>
      <c r="TVW272" s="2329"/>
      <c r="TVX272" s="2329"/>
      <c r="TVY272" s="2329"/>
      <c r="TVZ272" s="2329"/>
      <c r="TWA272" s="2329"/>
      <c r="TWB272" s="2329"/>
      <c r="TWC272" s="2329"/>
      <c r="TWD272" s="2329"/>
      <c r="TWE272" s="2329"/>
      <c r="TWF272" s="2329"/>
      <c r="TWG272" s="2329"/>
      <c r="TWH272" s="2329"/>
      <c r="TWI272" s="2329"/>
      <c r="TWJ272" s="2328"/>
      <c r="TWK272" s="2329"/>
      <c r="TWL272" s="2329"/>
      <c r="TWM272" s="2329"/>
      <c r="TWN272" s="2329"/>
      <c r="TWO272" s="2329"/>
      <c r="TWP272" s="2329"/>
      <c r="TWQ272" s="2329"/>
      <c r="TWR272" s="2329"/>
      <c r="TWS272" s="2329"/>
      <c r="TWT272" s="2329"/>
      <c r="TWU272" s="2329"/>
      <c r="TWV272" s="2329"/>
      <c r="TWW272" s="2329"/>
      <c r="TWX272" s="2329"/>
      <c r="TWY272" s="2329"/>
      <c r="TWZ272" s="2328"/>
      <c r="TXA272" s="2329"/>
      <c r="TXB272" s="2329"/>
      <c r="TXC272" s="2329"/>
      <c r="TXD272" s="2329"/>
      <c r="TXE272" s="2329"/>
      <c r="TXF272" s="2329"/>
      <c r="TXG272" s="2329"/>
      <c r="TXH272" s="2329"/>
      <c r="TXI272" s="2329"/>
      <c r="TXJ272" s="2329"/>
      <c r="TXK272" s="2329"/>
      <c r="TXL272" s="2329"/>
      <c r="TXM272" s="2329"/>
      <c r="TXN272" s="2329"/>
      <c r="TXO272" s="2329"/>
      <c r="TXP272" s="2328"/>
      <c r="TXQ272" s="2329"/>
      <c r="TXR272" s="2329"/>
      <c r="TXS272" s="2329"/>
      <c r="TXT272" s="2329"/>
      <c r="TXU272" s="2329"/>
      <c r="TXV272" s="2329"/>
      <c r="TXW272" s="2329"/>
      <c r="TXX272" s="2329"/>
      <c r="TXY272" s="2329"/>
      <c r="TXZ272" s="2329"/>
      <c r="TYA272" s="2329"/>
      <c r="TYB272" s="2329"/>
      <c r="TYC272" s="2329"/>
      <c r="TYD272" s="2329"/>
      <c r="TYE272" s="2329"/>
      <c r="TYF272" s="2328"/>
      <c r="TYG272" s="2329"/>
      <c r="TYH272" s="2329"/>
      <c r="TYI272" s="2329"/>
      <c r="TYJ272" s="2329"/>
      <c r="TYK272" s="2329"/>
      <c r="TYL272" s="2329"/>
      <c r="TYM272" s="2329"/>
      <c r="TYN272" s="2329"/>
      <c r="TYO272" s="2329"/>
      <c r="TYP272" s="2329"/>
      <c r="TYQ272" s="2329"/>
      <c r="TYR272" s="2329"/>
      <c r="TYS272" s="2329"/>
      <c r="TYT272" s="2329"/>
      <c r="TYU272" s="2329"/>
      <c r="TYV272" s="2328"/>
      <c r="TYW272" s="2329"/>
      <c r="TYX272" s="2329"/>
      <c r="TYY272" s="2329"/>
      <c r="TYZ272" s="2329"/>
      <c r="TZA272" s="2329"/>
      <c r="TZB272" s="2329"/>
      <c r="TZC272" s="2329"/>
      <c r="TZD272" s="2329"/>
      <c r="TZE272" s="2329"/>
      <c r="TZF272" s="2329"/>
      <c r="TZG272" s="2329"/>
      <c r="TZH272" s="2329"/>
      <c r="TZI272" s="2329"/>
      <c r="TZJ272" s="2329"/>
      <c r="TZK272" s="2329"/>
      <c r="TZL272" s="2328"/>
      <c r="TZM272" s="2329"/>
      <c r="TZN272" s="2329"/>
      <c r="TZO272" s="2329"/>
      <c r="TZP272" s="2329"/>
      <c r="TZQ272" s="2329"/>
      <c r="TZR272" s="2329"/>
      <c r="TZS272" s="2329"/>
      <c r="TZT272" s="2329"/>
      <c r="TZU272" s="2329"/>
      <c r="TZV272" s="2329"/>
      <c r="TZW272" s="2329"/>
      <c r="TZX272" s="2329"/>
      <c r="TZY272" s="2329"/>
      <c r="TZZ272" s="2329"/>
      <c r="UAA272" s="2329"/>
      <c r="UAB272" s="2328"/>
      <c r="UAC272" s="2329"/>
      <c r="UAD272" s="2329"/>
      <c r="UAE272" s="2329"/>
      <c r="UAF272" s="2329"/>
      <c r="UAG272" s="2329"/>
      <c r="UAH272" s="2329"/>
      <c r="UAI272" s="2329"/>
      <c r="UAJ272" s="2329"/>
      <c r="UAK272" s="2329"/>
      <c r="UAL272" s="2329"/>
      <c r="UAM272" s="2329"/>
      <c r="UAN272" s="2329"/>
      <c r="UAO272" s="2329"/>
      <c r="UAP272" s="2329"/>
      <c r="UAQ272" s="2329"/>
      <c r="UAR272" s="2328"/>
      <c r="UAS272" s="2329"/>
      <c r="UAT272" s="2329"/>
      <c r="UAU272" s="2329"/>
      <c r="UAV272" s="2329"/>
      <c r="UAW272" s="2329"/>
      <c r="UAX272" s="2329"/>
      <c r="UAY272" s="2329"/>
      <c r="UAZ272" s="2329"/>
      <c r="UBA272" s="2329"/>
      <c r="UBB272" s="2329"/>
      <c r="UBC272" s="2329"/>
      <c r="UBD272" s="2329"/>
      <c r="UBE272" s="2329"/>
      <c r="UBF272" s="2329"/>
      <c r="UBG272" s="2329"/>
      <c r="UBH272" s="2328"/>
      <c r="UBI272" s="2329"/>
      <c r="UBJ272" s="2329"/>
      <c r="UBK272" s="2329"/>
      <c r="UBL272" s="2329"/>
      <c r="UBM272" s="2329"/>
      <c r="UBN272" s="2329"/>
      <c r="UBO272" s="2329"/>
      <c r="UBP272" s="2329"/>
      <c r="UBQ272" s="2329"/>
      <c r="UBR272" s="2329"/>
      <c r="UBS272" s="2329"/>
      <c r="UBT272" s="2329"/>
      <c r="UBU272" s="2329"/>
      <c r="UBV272" s="2329"/>
      <c r="UBW272" s="2329"/>
      <c r="UBX272" s="2328"/>
      <c r="UBY272" s="2329"/>
      <c r="UBZ272" s="2329"/>
      <c r="UCA272" s="2329"/>
      <c r="UCB272" s="2329"/>
      <c r="UCC272" s="2329"/>
      <c r="UCD272" s="2329"/>
      <c r="UCE272" s="2329"/>
      <c r="UCF272" s="2329"/>
      <c r="UCG272" s="2329"/>
      <c r="UCH272" s="2329"/>
      <c r="UCI272" s="2329"/>
      <c r="UCJ272" s="2329"/>
      <c r="UCK272" s="2329"/>
      <c r="UCL272" s="2329"/>
      <c r="UCM272" s="2329"/>
      <c r="UCN272" s="2328"/>
      <c r="UCO272" s="2329"/>
      <c r="UCP272" s="2329"/>
      <c r="UCQ272" s="2329"/>
      <c r="UCR272" s="2329"/>
      <c r="UCS272" s="2329"/>
      <c r="UCT272" s="2329"/>
      <c r="UCU272" s="2329"/>
      <c r="UCV272" s="2329"/>
      <c r="UCW272" s="2329"/>
      <c r="UCX272" s="2329"/>
      <c r="UCY272" s="2329"/>
      <c r="UCZ272" s="2329"/>
      <c r="UDA272" s="2329"/>
      <c r="UDB272" s="2329"/>
      <c r="UDC272" s="2329"/>
      <c r="UDD272" s="2328"/>
      <c r="UDE272" s="2329"/>
      <c r="UDF272" s="2329"/>
      <c r="UDG272" s="2329"/>
      <c r="UDH272" s="2329"/>
      <c r="UDI272" s="2329"/>
      <c r="UDJ272" s="2329"/>
      <c r="UDK272" s="2329"/>
      <c r="UDL272" s="2329"/>
      <c r="UDM272" s="2329"/>
      <c r="UDN272" s="2329"/>
      <c r="UDO272" s="2329"/>
      <c r="UDP272" s="2329"/>
      <c r="UDQ272" s="2329"/>
      <c r="UDR272" s="2329"/>
      <c r="UDS272" s="2329"/>
      <c r="UDT272" s="2328"/>
      <c r="UDU272" s="2329"/>
      <c r="UDV272" s="2329"/>
      <c r="UDW272" s="2329"/>
      <c r="UDX272" s="2329"/>
      <c r="UDY272" s="2329"/>
      <c r="UDZ272" s="2329"/>
      <c r="UEA272" s="2329"/>
      <c r="UEB272" s="2329"/>
      <c r="UEC272" s="2329"/>
      <c r="UED272" s="2329"/>
      <c r="UEE272" s="2329"/>
      <c r="UEF272" s="2329"/>
      <c r="UEG272" s="2329"/>
      <c r="UEH272" s="2329"/>
      <c r="UEI272" s="2329"/>
      <c r="UEJ272" s="2328"/>
      <c r="UEK272" s="2329"/>
      <c r="UEL272" s="2329"/>
      <c r="UEM272" s="2329"/>
      <c r="UEN272" s="2329"/>
      <c r="UEO272" s="2329"/>
      <c r="UEP272" s="2329"/>
      <c r="UEQ272" s="2329"/>
      <c r="UER272" s="2329"/>
      <c r="UES272" s="2329"/>
      <c r="UET272" s="2329"/>
      <c r="UEU272" s="2329"/>
      <c r="UEV272" s="2329"/>
      <c r="UEW272" s="2329"/>
      <c r="UEX272" s="2329"/>
      <c r="UEY272" s="2329"/>
      <c r="UEZ272" s="2328"/>
      <c r="UFA272" s="2329"/>
      <c r="UFB272" s="2329"/>
      <c r="UFC272" s="2329"/>
      <c r="UFD272" s="2329"/>
      <c r="UFE272" s="2329"/>
      <c r="UFF272" s="2329"/>
      <c r="UFG272" s="2329"/>
      <c r="UFH272" s="2329"/>
      <c r="UFI272" s="2329"/>
      <c r="UFJ272" s="2329"/>
      <c r="UFK272" s="2329"/>
      <c r="UFL272" s="2329"/>
      <c r="UFM272" s="2329"/>
      <c r="UFN272" s="2329"/>
      <c r="UFO272" s="2329"/>
      <c r="UFP272" s="2328"/>
      <c r="UFQ272" s="2329"/>
      <c r="UFR272" s="2329"/>
      <c r="UFS272" s="2329"/>
      <c r="UFT272" s="2329"/>
      <c r="UFU272" s="2329"/>
      <c r="UFV272" s="2329"/>
      <c r="UFW272" s="2329"/>
      <c r="UFX272" s="2329"/>
      <c r="UFY272" s="2329"/>
      <c r="UFZ272" s="2329"/>
      <c r="UGA272" s="2329"/>
      <c r="UGB272" s="2329"/>
      <c r="UGC272" s="2329"/>
      <c r="UGD272" s="2329"/>
      <c r="UGE272" s="2329"/>
      <c r="UGF272" s="2328"/>
      <c r="UGG272" s="2329"/>
      <c r="UGH272" s="2329"/>
      <c r="UGI272" s="2329"/>
      <c r="UGJ272" s="2329"/>
      <c r="UGK272" s="2329"/>
      <c r="UGL272" s="2329"/>
      <c r="UGM272" s="2329"/>
      <c r="UGN272" s="2329"/>
      <c r="UGO272" s="2329"/>
      <c r="UGP272" s="2329"/>
      <c r="UGQ272" s="2329"/>
      <c r="UGR272" s="2329"/>
      <c r="UGS272" s="2329"/>
      <c r="UGT272" s="2329"/>
      <c r="UGU272" s="2329"/>
      <c r="UGV272" s="2328"/>
      <c r="UGW272" s="2329"/>
      <c r="UGX272" s="2329"/>
      <c r="UGY272" s="2329"/>
      <c r="UGZ272" s="2329"/>
      <c r="UHA272" s="2329"/>
      <c r="UHB272" s="2329"/>
      <c r="UHC272" s="2329"/>
      <c r="UHD272" s="2329"/>
      <c r="UHE272" s="2329"/>
      <c r="UHF272" s="2329"/>
      <c r="UHG272" s="2329"/>
      <c r="UHH272" s="2329"/>
      <c r="UHI272" s="2329"/>
      <c r="UHJ272" s="2329"/>
      <c r="UHK272" s="2329"/>
      <c r="UHL272" s="2328"/>
      <c r="UHM272" s="2329"/>
      <c r="UHN272" s="2329"/>
      <c r="UHO272" s="2329"/>
      <c r="UHP272" s="2329"/>
      <c r="UHQ272" s="2329"/>
      <c r="UHR272" s="2329"/>
      <c r="UHS272" s="2329"/>
      <c r="UHT272" s="2329"/>
      <c r="UHU272" s="2329"/>
      <c r="UHV272" s="2329"/>
      <c r="UHW272" s="2329"/>
      <c r="UHX272" s="2329"/>
      <c r="UHY272" s="2329"/>
      <c r="UHZ272" s="2329"/>
      <c r="UIA272" s="2329"/>
      <c r="UIB272" s="2328"/>
      <c r="UIC272" s="2329"/>
      <c r="UID272" s="2329"/>
      <c r="UIE272" s="2329"/>
      <c r="UIF272" s="2329"/>
      <c r="UIG272" s="2329"/>
      <c r="UIH272" s="2329"/>
      <c r="UII272" s="2329"/>
      <c r="UIJ272" s="2329"/>
      <c r="UIK272" s="2329"/>
      <c r="UIL272" s="2329"/>
      <c r="UIM272" s="2329"/>
      <c r="UIN272" s="2329"/>
      <c r="UIO272" s="2329"/>
      <c r="UIP272" s="2329"/>
      <c r="UIQ272" s="2329"/>
      <c r="UIR272" s="2328"/>
      <c r="UIS272" s="2329"/>
      <c r="UIT272" s="2329"/>
      <c r="UIU272" s="2329"/>
      <c r="UIV272" s="2329"/>
      <c r="UIW272" s="2329"/>
      <c r="UIX272" s="2329"/>
      <c r="UIY272" s="2329"/>
      <c r="UIZ272" s="2329"/>
      <c r="UJA272" s="2329"/>
      <c r="UJB272" s="2329"/>
      <c r="UJC272" s="2329"/>
      <c r="UJD272" s="2329"/>
      <c r="UJE272" s="2329"/>
      <c r="UJF272" s="2329"/>
      <c r="UJG272" s="2329"/>
      <c r="UJH272" s="2328"/>
      <c r="UJI272" s="2329"/>
      <c r="UJJ272" s="2329"/>
      <c r="UJK272" s="2329"/>
      <c r="UJL272" s="2329"/>
      <c r="UJM272" s="2329"/>
      <c r="UJN272" s="2329"/>
      <c r="UJO272" s="2329"/>
      <c r="UJP272" s="2329"/>
      <c r="UJQ272" s="2329"/>
      <c r="UJR272" s="2329"/>
      <c r="UJS272" s="2329"/>
      <c r="UJT272" s="2329"/>
      <c r="UJU272" s="2329"/>
      <c r="UJV272" s="2329"/>
      <c r="UJW272" s="2329"/>
      <c r="UJX272" s="2328"/>
      <c r="UJY272" s="2329"/>
      <c r="UJZ272" s="2329"/>
      <c r="UKA272" s="2329"/>
      <c r="UKB272" s="2329"/>
      <c r="UKC272" s="2329"/>
      <c r="UKD272" s="2329"/>
      <c r="UKE272" s="2329"/>
      <c r="UKF272" s="2329"/>
      <c r="UKG272" s="2329"/>
      <c r="UKH272" s="2329"/>
      <c r="UKI272" s="2329"/>
      <c r="UKJ272" s="2329"/>
      <c r="UKK272" s="2329"/>
      <c r="UKL272" s="2329"/>
      <c r="UKM272" s="2329"/>
      <c r="UKN272" s="2328"/>
      <c r="UKO272" s="2329"/>
      <c r="UKP272" s="2329"/>
      <c r="UKQ272" s="2329"/>
      <c r="UKR272" s="2329"/>
      <c r="UKS272" s="2329"/>
      <c r="UKT272" s="2329"/>
      <c r="UKU272" s="2329"/>
      <c r="UKV272" s="2329"/>
      <c r="UKW272" s="2329"/>
      <c r="UKX272" s="2329"/>
      <c r="UKY272" s="2329"/>
      <c r="UKZ272" s="2329"/>
      <c r="ULA272" s="2329"/>
      <c r="ULB272" s="2329"/>
      <c r="ULC272" s="2329"/>
      <c r="ULD272" s="2328"/>
      <c r="ULE272" s="2329"/>
      <c r="ULF272" s="2329"/>
      <c r="ULG272" s="2329"/>
      <c r="ULH272" s="2329"/>
      <c r="ULI272" s="2329"/>
      <c r="ULJ272" s="2329"/>
      <c r="ULK272" s="2329"/>
      <c r="ULL272" s="2329"/>
      <c r="ULM272" s="2329"/>
      <c r="ULN272" s="2329"/>
      <c r="ULO272" s="2329"/>
      <c r="ULP272" s="2329"/>
      <c r="ULQ272" s="2329"/>
      <c r="ULR272" s="2329"/>
      <c r="ULS272" s="2329"/>
      <c r="ULT272" s="2328"/>
      <c r="ULU272" s="2329"/>
      <c r="ULV272" s="2329"/>
      <c r="ULW272" s="2329"/>
      <c r="ULX272" s="2329"/>
      <c r="ULY272" s="2329"/>
      <c r="ULZ272" s="2329"/>
      <c r="UMA272" s="2329"/>
      <c r="UMB272" s="2329"/>
      <c r="UMC272" s="2329"/>
      <c r="UMD272" s="2329"/>
      <c r="UME272" s="2329"/>
      <c r="UMF272" s="2329"/>
      <c r="UMG272" s="2329"/>
      <c r="UMH272" s="2329"/>
      <c r="UMI272" s="2329"/>
      <c r="UMJ272" s="2328"/>
      <c r="UMK272" s="2329"/>
      <c r="UML272" s="2329"/>
      <c r="UMM272" s="2329"/>
      <c r="UMN272" s="2329"/>
      <c r="UMO272" s="2329"/>
      <c r="UMP272" s="2329"/>
      <c r="UMQ272" s="2329"/>
      <c r="UMR272" s="2329"/>
      <c r="UMS272" s="2329"/>
      <c r="UMT272" s="2329"/>
      <c r="UMU272" s="2329"/>
      <c r="UMV272" s="2329"/>
      <c r="UMW272" s="2329"/>
      <c r="UMX272" s="2329"/>
      <c r="UMY272" s="2329"/>
      <c r="UMZ272" s="2328"/>
      <c r="UNA272" s="2329"/>
      <c r="UNB272" s="2329"/>
      <c r="UNC272" s="2329"/>
      <c r="UND272" s="2329"/>
      <c r="UNE272" s="2329"/>
      <c r="UNF272" s="2329"/>
      <c r="UNG272" s="2329"/>
      <c r="UNH272" s="2329"/>
      <c r="UNI272" s="2329"/>
      <c r="UNJ272" s="2329"/>
      <c r="UNK272" s="2329"/>
      <c r="UNL272" s="2329"/>
      <c r="UNM272" s="2329"/>
      <c r="UNN272" s="2329"/>
      <c r="UNO272" s="2329"/>
      <c r="UNP272" s="2328"/>
      <c r="UNQ272" s="2329"/>
      <c r="UNR272" s="2329"/>
      <c r="UNS272" s="2329"/>
      <c r="UNT272" s="2329"/>
      <c r="UNU272" s="2329"/>
      <c r="UNV272" s="2329"/>
      <c r="UNW272" s="2329"/>
      <c r="UNX272" s="2329"/>
      <c r="UNY272" s="2329"/>
      <c r="UNZ272" s="2329"/>
      <c r="UOA272" s="2329"/>
      <c r="UOB272" s="2329"/>
      <c r="UOC272" s="2329"/>
      <c r="UOD272" s="2329"/>
      <c r="UOE272" s="2329"/>
      <c r="UOF272" s="2328"/>
      <c r="UOG272" s="2329"/>
      <c r="UOH272" s="2329"/>
      <c r="UOI272" s="2329"/>
      <c r="UOJ272" s="2329"/>
      <c r="UOK272" s="2329"/>
      <c r="UOL272" s="2329"/>
      <c r="UOM272" s="2329"/>
      <c r="UON272" s="2329"/>
      <c r="UOO272" s="2329"/>
      <c r="UOP272" s="2329"/>
      <c r="UOQ272" s="2329"/>
      <c r="UOR272" s="2329"/>
      <c r="UOS272" s="2329"/>
      <c r="UOT272" s="2329"/>
      <c r="UOU272" s="2329"/>
      <c r="UOV272" s="2328"/>
      <c r="UOW272" s="2329"/>
      <c r="UOX272" s="2329"/>
      <c r="UOY272" s="2329"/>
      <c r="UOZ272" s="2329"/>
      <c r="UPA272" s="2329"/>
      <c r="UPB272" s="2329"/>
      <c r="UPC272" s="2329"/>
      <c r="UPD272" s="2329"/>
      <c r="UPE272" s="2329"/>
      <c r="UPF272" s="2329"/>
      <c r="UPG272" s="2329"/>
      <c r="UPH272" s="2329"/>
      <c r="UPI272" s="2329"/>
      <c r="UPJ272" s="2329"/>
      <c r="UPK272" s="2329"/>
      <c r="UPL272" s="2328"/>
      <c r="UPM272" s="2329"/>
      <c r="UPN272" s="2329"/>
      <c r="UPO272" s="2329"/>
      <c r="UPP272" s="2329"/>
      <c r="UPQ272" s="2329"/>
      <c r="UPR272" s="2329"/>
      <c r="UPS272" s="2329"/>
      <c r="UPT272" s="2329"/>
      <c r="UPU272" s="2329"/>
      <c r="UPV272" s="2329"/>
      <c r="UPW272" s="2329"/>
      <c r="UPX272" s="2329"/>
      <c r="UPY272" s="2329"/>
      <c r="UPZ272" s="2329"/>
      <c r="UQA272" s="2329"/>
      <c r="UQB272" s="2328"/>
      <c r="UQC272" s="2329"/>
      <c r="UQD272" s="2329"/>
      <c r="UQE272" s="2329"/>
      <c r="UQF272" s="2329"/>
      <c r="UQG272" s="2329"/>
      <c r="UQH272" s="2329"/>
      <c r="UQI272" s="2329"/>
      <c r="UQJ272" s="2329"/>
      <c r="UQK272" s="2329"/>
      <c r="UQL272" s="2329"/>
      <c r="UQM272" s="2329"/>
      <c r="UQN272" s="2329"/>
      <c r="UQO272" s="2329"/>
      <c r="UQP272" s="2329"/>
      <c r="UQQ272" s="2329"/>
      <c r="UQR272" s="2328"/>
      <c r="UQS272" s="2329"/>
      <c r="UQT272" s="2329"/>
      <c r="UQU272" s="2329"/>
      <c r="UQV272" s="2329"/>
      <c r="UQW272" s="2329"/>
      <c r="UQX272" s="2329"/>
      <c r="UQY272" s="2329"/>
      <c r="UQZ272" s="2329"/>
      <c r="URA272" s="2329"/>
      <c r="URB272" s="2329"/>
      <c r="URC272" s="2329"/>
      <c r="URD272" s="2329"/>
      <c r="URE272" s="2329"/>
      <c r="URF272" s="2329"/>
      <c r="URG272" s="2329"/>
      <c r="URH272" s="2328"/>
      <c r="URI272" s="2329"/>
      <c r="URJ272" s="2329"/>
      <c r="URK272" s="2329"/>
      <c r="URL272" s="2329"/>
      <c r="URM272" s="2329"/>
      <c r="URN272" s="2329"/>
      <c r="URO272" s="2329"/>
      <c r="URP272" s="2329"/>
      <c r="URQ272" s="2329"/>
      <c r="URR272" s="2329"/>
      <c r="URS272" s="2329"/>
      <c r="URT272" s="2329"/>
      <c r="URU272" s="2329"/>
      <c r="URV272" s="2329"/>
      <c r="URW272" s="2329"/>
      <c r="URX272" s="2328"/>
      <c r="URY272" s="2329"/>
      <c r="URZ272" s="2329"/>
      <c r="USA272" s="2329"/>
      <c r="USB272" s="2329"/>
      <c r="USC272" s="2329"/>
      <c r="USD272" s="2329"/>
      <c r="USE272" s="2329"/>
      <c r="USF272" s="2329"/>
      <c r="USG272" s="2329"/>
      <c r="USH272" s="2329"/>
      <c r="USI272" s="2329"/>
      <c r="USJ272" s="2329"/>
      <c r="USK272" s="2329"/>
      <c r="USL272" s="2329"/>
      <c r="USM272" s="2329"/>
      <c r="USN272" s="2328"/>
      <c r="USO272" s="2329"/>
      <c r="USP272" s="2329"/>
      <c r="USQ272" s="2329"/>
      <c r="USR272" s="2329"/>
      <c r="USS272" s="2329"/>
      <c r="UST272" s="2329"/>
      <c r="USU272" s="2329"/>
      <c r="USV272" s="2329"/>
      <c r="USW272" s="2329"/>
      <c r="USX272" s="2329"/>
      <c r="USY272" s="2329"/>
      <c r="USZ272" s="2329"/>
      <c r="UTA272" s="2329"/>
      <c r="UTB272" s="2329"/>
      <c r="UTC272" s="2329"/>
      <c r="UTD272" s="2328"/>
      <c r="UTE272" s="2329"/>
      <c r="UTF272" s="2329"/>
      <c r="UTG272" s="2329"/>
      <c r="UTH272" s="2329"/>
      <c r="UTI272" s="2329"/>
      <c r="UTJ272" s="2329"/>
      <c r="UTK272" s="2329"/>
      <c r="UTL272" s="2329"/>
      <c r="UTM272" s="2329"/>
      <c r="UTN272" s="2329"/>
      <c r="UTO272" s="2329"/>
      <c r="UTP272" s="2329"/>
      <c r="UTQ272" s="2329"/>
      <c r="UTR272" s="2329"/>
      <c r="UTS272" s="2329"/>
      <c r="UTT272" s="2328"/>
      <c r="UTU272" s="2329"/>
      <c r="UTV272" s="2329"/>
      <c r="UTW272" s="2329"/>
      <c r="UTX272" s="2329"/>
      <c r="UTY272" s="2329"/>
      <c r="UTZ272" s="2329"/>
      <c r="UUA272" s="2329"/>
      <c r="UUB272" s="2329"/>
      <c r="UUC272" s="2329"/>
      <c r="UUD272" s="2329"/>
      <c r="UUE272" s="2329"/>
      <c r="UUF272" s="2329"/>
      <c r="UUG272" s="2329"/>
      <c r="UUH272" s="2329"/>
      <c r="UUI272" s="2329"/>
      <c r="UUJ272" s="2328"/>
      <c r="UUK272" s="2329"/>
      <c r="UUL272" s="2329"/>
      <c r="UUM272" s="2329"/>
      <c r="UUN272" s="2329"/>
      <c r="UUO272" s="2329"/>
      <c r="UUP272" s="2329"/>
      <c r="UUQ272" s="2329"/>
      <c r="UUR272" s="2329"/>
      <c r="UUS272" s="2329"/>
      <c r="UUT272" s="2329"/>
      <c r="UUU272" s="2329"/>
      <c r="UUV272" s="2329"/>
      <c r="UUW272" s="2329"/>
      <c r="UUX272" s="2329"/>
      <c r="UUY272" s="2329"/>
      <c r="UUZ272" s="2328"/>
      <c r="UVA272" s="2329"/>
      <c r="UVB272" s="2329"/>
      <c r="UVC272" s="2329"/>
      <c r="UVD272" s="2329"/>
      <c r="UVE272" s="2329"/>
      <c r="UVF272" s="2329"/>
      <c r="UVG272" s="2329"/>
      <c r="UVH272" s="2329"/>
      <c r="UVI272" s="2329"/>
      <c r="UVJ272" s="2329"/>
      <c r="UVK272" s="2329"/>
      <c r="UVL272" s="2329"/>
      <c r="UVM272" s="2329"/>
      <c r="UVN272" s="2329"/>
      <c r="UVO272" s="2329"/>
      <c r="UVP272" s="2328"/>
      <c r="UVQ272" s="2329"/>
      <c r="UVR272" s="2329"/>
      <c r="UVS272" s="2329"/>
      <c r="UVT272" s="2329"/>
      <c r="UVU272" s="2329"/>
      <c r="UVV272" s="2329"/>
      <c r="UVW272" s="2329"/>
      <c r="UVX272" s="2329"/>
      <c r="UVY272" s="2329"/>
      <c r="UVZ272" s="2329"/>
      <c r="UWA272" s="2329"/>
      <c r="UWB272" s="2329"/>
      <c r="UWC272" s="2329"/>
      <c r="UWD272" s="2329"/>
      <c r="UWE272" s="2329"/>
      <c r="UWF272" s="2328"/>
      <c r="UWG272" s="2329"/>
      <c r="UWH272" s="2329"/>
      <c r="UWI272" s="2329"/>
      <c r="UWJ272" s="2329"/>
      <c r="UWK272" s="2329"/>
      <c r="UWL272" s="2329"/>
      <c r="UWM272" s="2329"/>
      <c r="UWN272" s="2329"/>
      <c r="UWO272" s="2329"/>
      <c r="UWP272" s="2329"/>
      <c r="UWQ272" s="2329"/>
      <c r="UWR272" s="2329"/>
      <c r="UWS272" s="2329"/>
      <c r="UWT272" s="2329"/>
      <c r="UWU272" s="2329"/>
      <c r="UWV272" s="2328"/>
      <c r="UWW272" s="2329"/>
      <c r="UWX272" s="2329"/>
      <c r="UWY272" s="2329"/>
      <c r="UWZ272" s="2329"/>
      <c r="UXA272" s="2329"/>
      <c r="UXB272" s="2329"/>
      <c r="UXC272" s="2329"/>
      <c r="UXD272" s="2329"/>
      <c r="UXE272" s="2329"/>
      <c r="UXF272" s="2329"/>
      <c r="UXG272" s="2329"/>
      <c r="UXH272" s="2329"/>
      <c r="UXI272" s="2329"/>
      <c r="UXJ272" s="2329"/>
      <c r="UXK272" s="2329"/>
      <c r="UXL272" s="2328"/>
      <c r="UXM272" s="2329"/>
      <c r="UXN272" s="2329"/>
      <c r="UXO272" s="2329"/>
      <c r="UXP272" s="2329"/>
      <c r="UXQ272" s="2329"/>
      <c r="UXR272" s="2329"/>
      <c r="UXS272" s="2329"/>
      <c r="UXT272" s="2329"/>
      <c r="UXU272" s="2329"/>
      <c r="UXV272" s="2329"/>
      <c r="UXW272" s="2329"/>
      <c r="UXX272" s="2329"/>
      <c r="UXY272" s="2329"/>
      <c r="UXZ272" s="2329"/>
      <c r="UYA272" s="2329"/>
      <c r="UYB272" s="2328"/>
      <c r="UYC272" s="2329"/>
      <c r="UYD272" s="2329"/>
      <c r="UYE272" s="2329"/>
      <c r="UYF272" s="2329"/>
      <c r="UYG272" s="2329"/>
      <c r="UYH272" s="2329"/>
      <c r="UYI272" s="2329"/>
      <c r="UYJ272" s="2329"/>
      <c r="UYK272" s="2329"/>
      <c r="UYL272" s="2329"/>
      <c r="UYM272" s="2329"/>
      <c r="UYN272" s="2329"/>
      <c r="UYO272" s="2329"/>
      <c r="UYP272" s="2329"/>
      <c r="UYQ272" s="2329"/>
      <c r="UYR272" s="2328"/>
      <c r="UYS272" s="2329"/>
      <c r="UYT272" s="2329"/>
      <c r="UYU272" s="2329"/>
      <c r="UYV272" s="2329"/>
      <c r="UYW272" s="2329"/>
      <c r="UYX272" s="2329"/>
      <c r="UYY272" s="2329"/>
      <c r="UYZ272" s="2329"/>
      <c r="UZA272" s="2329"/>
      <c r="UZB272" s="2329"/>
      <c r="UZC272" s="2329"/>
      <c r="UZD272" s="2329"/>
      <c r="UZE272" s="2329"/>
      <c r="UZF272" s="2329"/>
      <c r="UZG272" s="2329"/>
      <c r="UZH272" s="2328"/>
      <c r="UZI272" s="2329"/>
      <c r="UZJ272" s="2329"/>
      <c r="UZK272" s="2329"/>
      <c r="UZL272" s="2329"/>
      <c r="UZM272" s="2329"/>
      <c r="UZN272" s="2329"/>
      <c r="UZO272" s="2329"/>
      <c r="UZP272" s="2329"/>
      <c r="UZQ272" s="2329"/>
      <c r="UZR272" s="2329"/>
      <c r="UZS272" s="2329"/>
      <c r="UZT272" s="2329"/>
      <c r="UZU272" s="2329"/>
      <c r="UZV272" s="2329"/>
      <c r="UZW272" s="2329"/>
      <c r="UZX272" s="2328"/>
      <c r="UZY272" s="2329"/>
      <c r="UZZ272" s="2329"/>
      <c r="VAA272" s="2329"/>
      <c r="VAB272" s="2329"/>
      <c r="VAC272" s="2329"/>
      <c r="VAD272" s="2329"/>
      <c r="VAE272" s="2329"/>
      <c r="VAF272" s="2329"/>
      <c r="VAG272" s="2329"/>
      <c r="VAH272" s="2329"/>
      <c r="VAI272" s="2329"/>
      <c r="VAJ272" s="2329"/>
      <c r="VAK272" s="2329"/>
      <c r="VAL272" s="2329"/>
      <c r="VAM272" s="2329"/>
      <c r="VAN272" s="2328"/>
      <c r="VAO272" s="2329"/>
      <c r="VAP272" s="2329"/>
      <c r="VAQ272" s="2329"/>
      <c r="VAR272" s="2329"/>
      <c r="VAS272" s="2329"/>
      <c r="VAT272" s="2329"/>
      <c r="VAU272" s="2329"/>
      <c r="VAV272" s="2329"/>
      <c r="VAW272" s="2329"/>
      <c r="VAX272" s="2329"/>
      <c r="VAY272" s="2329"/>
      <c r="VAZ272" s="2329"/>
      <c r="VBA272" s="2329"/>
      <c r="VBB272" s="2329"/>
      <c r="VBC272" s="2329"/>
      <c r="VBD272" s="2328"/>
      <c r="VBE272" s="2329"/>
      <c r="VBF272" s="2329"/>
      <c r="VBG272" s="2329"/>
      <c r="VBH272" s="2329"/>
      <c r="VBI272" s="2329"/>
      <c r="VBJ272" s="2329"/>
      <c r="VBK272" s="2329"/>
      <c r="VBL272" s="2329"/>
      <c r="VBM272" s="2329"/>
      <c r="VBN272" s="2329"/>
      <c r="VBO272" s="2329"/>
      <c r="VBP272" s="2329"/>
      <c r="VBQ272" s="2329"/>
      <c r="VBR272" s="2329"/>
      <c r="VBS272" s="2329"/>
      <c r="VBT272" s="2328"/>
      <c r="VBU272" s="2329"/>
      <c r="VBV272" s="2329"/>
      <c r="VBW272" s="2329"/>
      <c r="VBX272" s="2329"/>
      <c r="VBY272" s="2329"/>
      <c r="VBZ272" s="2329"/>
      <c r="VCA272" s="2329"/>
      <c r="VCB272" s="2329"/>
      <c r="VCC272" s="2329"/>
      <c r="VCD272" s="2329"/>
      <c r="VCE272" s="2329"/>
      <c r="VCF272" s="2329"/>
      <c r="VCG272" s="2329"/>
      <c r="VCH272" s="2329"/>
      <c r="VCI272" s="2329"/>
      <c r="VCJ272" s="2328"/>
      <c r="VCK272" s="2329"/>
      <c r="VCL272" s="2329"/>
      <c r="VCM272" s="2329"/>
      <c r="VCN272" s="2329"/>
      <c r="VCO272" s="2329"/>
      <c r="VCP272" s="2329"/>
      <c r="VCQ272" s="2329"/>
      <c r="VCR272" s="2329"/>
      <c r="VCS272" s="2329"/>
      <c r="VCT272" s="2329"/>
      <c r="VCU272" s="2329"/>
      <c r="VCV272" s="2329"/>
      <c r="VCW272" s="2329"/>
      <c r="VCX272" s="2329"/>
      <c r="VCY272" s="2329"/>
      <c r="VCZ272" s="2328"/>
      <c r="VDA272" s="2329"/>
      <c r="VDB272" s="2329"/>
      <c r="VDC272" s="2329"/>
      <c r="VDD272" s="2329"/>
      <c r="VDE272" s="2329"/>
      <c r="VDF272" s="2329"/>
      <c r="VDG272" s="2329"/>
      <c r="VDH272" s="2329"/>
      <c r="VDI272" s="2329"/>
      <c r="VDJ272" s="2329"/>
      <c r="VDK272" s="2329"/>
      <c r="VDL272" s="2329"/>
      <c r="VDM272" s="2329"/>
      <c r="VDN272" s="2329"/>
      <c r="VDO272" s="2329"/>
      <c r="VDP272" s="2328"/>
      <c r="VDQ272" s="2329"/>
      <c r="VDR272" s="2329"/>
      <c r="VDS272" s="2329"/>
      <c r="VDT272" s="2329"/>
      <c r="VDU272" s="2329"/>
      <c r="VDV272" s="2329"/>
      <c r="VDW272" s="2329"/>
      <c r="VDX272" s="2329"/>
      <c r="VDY272" s="2329"/>
      <c r="VDZ272" s="2329"/>
      <c r="VEA272" s="2329"/>
      <c r="VEB272" s="2329"/>
      <c r="VEC272" s="2329"/>
      <c r="VED272" s="2329"/>
      <c r="VEE272" s="2329"/>
      <c r="VEF272" s="2328"/>
      <c r="VEG272" s="2329"/>
      <c r="VEH272" s="2329"/>
      <c r="VEI272" s="2329"/>
      <c r="VEJ272" s="2329"/>
      <c r="VEK272" s="2329"/>
      <c r="VEL272" s="2329"/>
      <c r="VEM272" s="2329"/>
      <c r="VEN272" s="2329"/>
      <c r="VEO272" s="2329"/>
      <c r="VEP272" s="2329"/>
      <c r="VEQ272" s="2329"/>
      <c r="VER272" s="2329"/>
      <c r="VES272" s="2329"/>
      <c r="VET272" s="2329"/>
      <c r="VEU272" s="2329"/>
      <c r="VEV272" s="2328"/>
      <c r="VEW272" s="2329"/>
      <c r="VEX272" s="2329"/>
      <c r="VEY272" s="2329"/>
      <c r="VEZ272" s="2329"/>
      <c r="VFA272" s="2329"/>
      <c r="VFB272" s="2329"/>
      <c r="VFC272" s="2329"/>
      <c r="VFD272" s="2329"/>
      <c r="VFE272" s="2329"/>
      <c r="VFF272" s="2329"/>
      <c r="VFG272" s="2329"/>
      <c r="VFH272" s="2329"/>
      <c r="VFI272" s="2329"/>
      <c r="VFJ272" s="2329"/>
      <c r="VFK272" s="2329"/>
      <c r="VFL272" s="2328"/>
      <c r="VFM272" s="2329"/>
      <c r="VFN272" s="2329"/>
      <c r="VFO272" s="2329"/>
      <c r="VFP272" s="2329"/>
      <c r="VFQ272" s="2329"/>
      <c r="VFR272" s="2329"/>
      <c r="VFS272" s="2329"/>
      <c r="VFT272" s="2329"/>
      <c r="VFU272" s="2329"/>
      <c r="VFV272" s="2329"/>
      <c r="VFW272" s="2329"/>
      <c r="VFX272" s="2329"/>
      <c r="VFY272" s="2329"/>
      <c r="VFZ272" s="2329"/>
      <c r="VGA272" s="2329"/>
      <c r="VGB272" s="2328"/>
      <c r="VGC272" s="2329"/>
      <c r="VGD272" s="2329"/>
      <c r="VGE272" s="2329"/>
      <c r="VGF272" s="2329"/>
      <c r="VGG272" s="2329"/>
      <c r="VGH272" s="2329"/>
      <c r="VGI272" s="2329"/>
      <c r="VGJ272" s="2329"/>
      <c r="VGK272" s="2329"/>
      <c r="VGL272" s="2329"/>
      <c r="VGM272" s="2329"/>
      <c r="VGN272" s="2329"/>
      <c r="VGO272" s="2329"/>
      <c r="VGP272" s="2329"/>
      <c r="VGQ272" s="2329"/>
      <c r="VGR272" s="2328"/>
      <c r="VGS272" s="2329"/>
      <c r="VGT272" s="2329"/>
      <c r="VGU272" s="2329"/>
      <c r="VGV272" s="2329"/>
      <c r="VGW272" s="2329"/>
      <c r="VGX272" s="2329"/>
      <c r="VGY272" s="2329"/>
      <c r="VGZ272" s="2329"/>
      <c r="VHA272" s="2329"/>
      <c r="VHB272" s="2329"/>
      <c r="VHC272" s="2329"/>
      <c r="VHD272" s="2329"/>
      <c r="VHE272" s="2329"/>
      <c r="VHF272" s="2329"/>
      <c r="VHG272" s="2329"/>
      <c r="VHH272" s="2328"/>
      <c r="VHI272" s="2329"/>
      <c r="VHJ272" s="2329"/>
      <c r="VHK272" s="2329"/>
      <c r="VHL272" s="2329"/>
      <c r="VHM272" s="2329"/>
      <c r="VHN272" s="2329"/>
      <c r="VHO272" s="2329"/>
      <c r="VHP272" s="2329"/>
      <c r="VHQ272" s="2329"/>
      <c r="VHR272" s="2329"/>
      <c r="VHS272" s="2329"/>
      <c r="VHT272" s="2329"/>
      <c r="VHU272" s="2329"/>
      <c r="VHV272" s="2329"/>
      <c r="VHW272" s="2329"/>
      <c r="VHX272" s="2328"/>
      <c r="VHY272" s="2329"/>
      <c r="VHZ272" s="2329"/>
      <c r="VIA272" s="2329"/>
      <c r="VIB272" s="2329"/>
      <c r="VIC272" s="2329"/>
      <c r="VID272" s="2329"/>
      <c r="VIE272" s="2329"/>
      <c r="VIF272" s="2329"/>
      <c r="VIG272" s="2329"/>
      <c r="VIH272" s="2329"/>
      <c r="VII272" s="2329"/>
      <c r="VIJ272" s="2329"/>
      <c r="VIK272" s="2329"/>
      <c r="VIL272" s="2329"/>
      <c r="VIM272" s="2329"/>
      <c r="VIN272" s="2328"/>
      <c r="VIO272" s="2329"/>
      <c r="VIP272" s="2329"/>
      <c r="VIQ272" s="2329"/>
      <c r="VIR272" s="2329"/>
      <c r="VIS272" s="2329"/>
      <c r="VIT272" s="2329"/>
      <c r="VIU272" s="2329"/>
      <c r="VIV272" s="2329"/>
      <c r="VIW272" s="2329"/>
      <c r="VIX272" s="2329"/>
      <c r="VIY272" s="2329"/>
      <c r="VIZ272" s="2329"/>
      <c r="VJA272" s="2329"/>
      <c r="VJB272" s="2329"/>
      <c r="VJC272" s="2329"/>
      <c r="VJD272" s="2328"/>
      <c r="VJE272" s="2329"/>
      <c r="VJF272" s="2329"/>
      <c r="VJG272" s="2329"/>
      <c r="VJH272" s="2329"/>
      <c r="VJI272" s="2329"/>
      <c r="VJJ272" s="2329"/>
      <c r="VJK272" s="2329"/>
      <c r="VJL272" s="2329"/>
      <c r="VJM272" s="2329"/>
      <c r="VJN272" s="2329"/>
      <c r="VJO272" s="2329"/>
      <c r="VJP272" s="2329"/>
      <c r="VJQ272" s="2329"/>
      <c r="VJR272" s="2329"/>
      <c r="VJS272" s="2329"/>
      <c r="VJT272" s="2328"/>
      <c r="VJU272" s="2329"/>
      <c r="VJV272" s="2329"/>
      <c r="VJW272" s="2329"/>
      <c r="VJX272" s="2329"/>
      <c r="VJY272" s="2329"/>
      <c r="VJZ272" s="2329"/>
      <c r="VKA272" s="2329"/>
      <c r="VKB272" s="2329"/>
      <c r="VKC272" s="2329"/>
      <c r="VKD272" s="2329"/>
      <c r="VKE272" s="2329"/>
      <c r="VKF272" s="2329"/>
      <c r="VKG272" s="2329"/>
      <c r="VKH272" s="2329"/>
      <c r="VKI272" s="2329"/>
      <c r="VKJ272" s="2328"/>
      <c r="VKK272" s="2329"/>
      <c r="VKL272" s="2329"/>
      <c r="VKM272" s="2329"/>
      <c r="VKN272" s="2329"/>
      <c r="VKO272" s="2329"/>
      <c r="VKP272" s="2329"/>
      <c r="VKQ272" s="2329"/>
      <c r="VKR272" s="2329"/>
      <c r="VKS272" s="2329"/>
      <c r="VKT272" s="2329"/>
      <c r="VKU272" s="2329"/>
      <c r="VKV272" s="2329"/>
      <c r="VKW272" s="2329"/>
      <c r="VKX272" s="2329"/>
      <c r="VKY272" s="2329"/>
      <c r="VKZ272" s="2328"/>
      <c r="VLA272" s="2329"/>
      <c r="VLB272" s="2329"/>
      <c r="VLC272" s="2329"/>
      <c r="VLD272" s="2329"/>
      <c r="VLE272" s="2329"/>
      <c r="VLF272" s="2329"/>
      <c r="VLG272" s="2329"/>
      <c r="VLH272" s="2329"/>
      <c r="VLI272" s="2329"/>
      <c r="VLJ272" s="2329"/>
      <c r="VLK272" s="2329"/>
      <c r="VLL272" s="2329"/>
      <c r="VLM272" s="2329"/>
      <c r="VLN272" s="2329"/>
      <c r="VLO272" s="2329"/>
      <c r="VLP272" s="2328"/>
      <c r="VLQ272" s="2329"/>
      <c r="VLR272" s="2329"/>
      <c r="VLS272" s="2329"/>
      <c r="VLT272" s="2329"/>
      <c r="VLU272" s="2329"/>
      <c r="VLV272" s="2329"/>
      <c r="VLW272" s="2329"/>
      <c r="VLX272" s="2329"/>
      <c r="VLY272" s="2329"/>
      <c r="VLZ272" s="2329"/>
      <c r="VMA272" s="2329"/>
      <c r="VMB272" s="2329"/>
      <c r="VMC272" s="2329"/>
      <c r="VMD272" s="2329"/>
      <c r="VME272" s="2329"/>
      <c r="VMF272" s="2328"/>
      <c r="VMG272" s="2329"/>
      <c r="VMH272" s="2329"/>
      <c r="VMI272" s="2329"/>
      <c r="VMJ272" s="2329"/>
      <c r="VMK272" s="2329"/>
      <c r="VML272" s="2329"/>
      <c r="VMM272" s="2329"/>
      <c r="VMN272" s="2329"/>
      <c r="VMO272" s="2329"/>
      <c r="VMP272" s="2329"/>
      <c r="VMQ272" s="2329"/>
      <c r="VMR272" s="2329"/>
      <c r="VMS272" s="2329"/>
      <c r="VMT272" s="2329"/>
      <c r="VMU272" s="2329"/>
      <c r="VMV272" s="2328"/>
      <c r="VMW272" s="2329"/>
      <c r="VMX272" s="2329"/>
      <c r="VMY272" s="2329"/>
      <c r="VMZ272" s="2329"/>
      <c r="VNA272" s="2329"/>
      <c r="VNB272" s="2329"/>
      <c r="VNC272" s="2329"/>
      <c r="VND272" s="2329"/>
      <c r="VNE272" s="2329"/>
      <c r="VNF272" s="2329"/>
      <c r="VNG272" s="2329"/>
      <c r="VNH272" s="2329"/>
      <c r="VNI272" s="2329"/>
      <c r="VNJ272" s="2329"/>
      <c r="VNK272" s="2329"/>
      <c r="VNL272" s="2328"/>
      <c r="VNM272" s="2329"/>
      <c r="VNN272" s="2329"/>
      <c r="VNO272" s="2329"/>
      <c r="VNP272" s="2329"/>
      <c r="VNQ272" s="2329"/>
      <c r="VNR272" s="2329"/>
      <c r="VNS272" s="2329"/>
      <c r="VNT272" s="2329"/>
      <c r="VNU272" s="2329"/>
      <c r="VNV272" s="2329"/>
      <c r="VNW272" s="2329"/>
      <c r="VNX272" s="2329"/>
      <c r="VNY272" s="2329"/>
      <c r="VNZ272" s="2329"/>
      <c r="VOA272" s="2329"/>
      <c r="VOB272" s="2328"/>
      <c r="VOC272" s="2329"/>
      <c r="VOD272" s="2329"/>
      <c r="VOE272" s="2329"/>
      <c r="VOF272" s="2329"/>
      <c r="VOG272" s="2329"/>
      <c r="VOH272" s="2329"/>
      <c r="VOI272" s="2329"/>
      <c r="VOJ272" s="2329"/>
      <c r="VOK272" s="2329"/>
      <c r="VOL272" s="2329"/>
      <c r="VOM272" s="2329"/>
      <c r="VON272" s="2329"/>
      <c r="VOO272" s="2329"/>
      <c r="VOP272" s="2329"/>
      <c r="VOQ272" s="2329"/>
      <c r="VOR272" s="2328"/>
      <c r="VOS272" s="2329"/>
      <c r="VOT272" s="2329"/>
      <c r="VOU272" s="2329"/>
      <c r="VOV272" s="2329"/>
      <c r="VOW272" s="2329"/>
      <c r="VOX272" s="2329"/>
      <c r="VOY272" s="2329"/>
      <c r="VOZ272" s="2329"/>
      <c r="VPA272" s="2329"/>
      <c r="VPB272" s="2329"/>
      <c r="VPC272" s="2329"/>
      <c r="VPD272" s="2329"/>
      <c r="VPE272" s="2329"/>
      <c r="VPF272" s="2329"/>
      <c r="VPG272" s="2329"/>
      <c r="VPH272" s="2328"/>
      <c r="VPI272" s="2329"/>
      <c r="VPJ272" s="2329"/>
      <c r="VPK272" s="2329"/>
      <c r="VPL272" s="2329"/>
      <c r="VPM272" s="2329"/>
      <c r="VPN272" s="2329"/>
      <c r="VPO272" s="2329"/>
      <c r="VPP272" s="2329"/>
      <c r="VPQ272" s="2329"/>
      <c r="VPR272" s="2329"/>
      <c r="VPS272" s="2329"/>
      <c r="VPT272" s="2329"/>
      <c r="VPU272" s="2329"/>
      <c r="VPV272" s="2329"/>
      <c r="VPW272" s="2329"/>
      <c r="VPX272" s="2328"/>
      <c r="VPY272" s="2329"/>
      <c r="VPZ272" s="2329"/>
      <c r="VQA272" s="2329"/>
      <c r="VQB272" s="2329"/>
      <c r="VQC272" s="2329"/>
      <c r="VQD272" s="2329"/>
      <c r="VQE272" s="2329"/>
      <c r="VQF272" s="2329"/>
      <c r="VQG272" s="2329"/>
      <c r="VQH272" s="2329"/>
      <c r="VQI272" s="2329"/>
      <c r="VQJ272" s="2329"/>
      <c r="VQK272" s="2329"/>
      <c r="VQL272" s="2329"/>
      <c r="VQM272" s="2329"/>
      <c r="VQN272" s="2328"/>
      <c r="VQO272" s="2329"/>
      <c r="VQP272" s="2329"/>
      <c r="VQQ272" s="2329"/>
      <c r="VQR272" s="2329"/>
      <c r="VQS272" s="2329"/>
      <c r="VQT272" s="2329"/>
      <c r="VQU272" s="2329"/>
      <c r="VQV272" s="2329"/>
      <c r="VQW272" s="2329"/>
      <c r="VQX272" s="2329"/>
      <c r="VQY272" s="2329"/>
      <c r="VQZ272" s="2329"/>
      <c r="VRA272" s="2329"/>
      <c r="VRB272" s="2329"/>
      <c r="VRC272" s="2329"/>
      <c r="VRD272" s="2328"/>
      <c r="VRE272" s="2329"/>
      <c r="VRF272" s="2329"/>
      <c r="VRG272" s="2329"/>
      <c r="VRH272" s="2329"/>
      <c r="VRI272" s="2329"/>
      <c r="VRJ272" s="2329"/>
      <c r="VRK272" s="2329"/>
      <c r="VRL272" s="2329"/>
      <c r="VRM272" s="2329"/>
      <c r="VRN272" s="2329"/>
      <c r="VRO272" s="2329"/>
      <c r="VRP272" s="2329"/>
      <c r="VRQ272" s="2329"/>
      <c r="VRR272" s="2329"/>
      <c r="VRS272" s="2329"/>
      <c r="VRT272" s="2328"/>
      <c r="VRU272" s="2329"/>
      <c r="VRV272" s="2329"/>
      <c r="VRW272" s="2329"/>
      <c r="VRX272" s="2329"/>
      <c r="VRY272" s="2329"/>
      <c r="VRZ272" s="2329"/>
      <c r="VSA272" s="2329"/>
      <c r="VSB272" s="2329"/>
      <c r="VSC272" s="2329"/>
      <c r="VSD272" s="2329"/>
      <c r="VSE272" s="2329"/>
      <c r="VSF272" s="2329"/>
      <c r="VSG272" s="2329"/>
      <c r="VSH272" s="2329"/>
      <c r="VSI272" s="2329"/>
      <c r="VSJ272" s="2328"/>
      <c r="VSK272" s="2329"/>
      <c r="VSL272" s="2329"/>
      <c r="VSM272" s="2329"/>
      <c r="VSN272" s="2329"/>
      <c r="VSO272" s="2329"/>
      <c r="VSP272" s="2329"/>
      <c r="VSQ272" s="2329"/>
      <c r="VSR272" s="2329"/>
      <c r="VSS272" s="2329"/>
      <c r="VST272" s="2329"/>
      <c r="VSU272" s="2329"/>
      <c r="VSV272" s="2329"/>
      <c r="VSW272" s="2329"/>
      <c r="VSX272" s="2329"/>
      <c r="VSY272" s="2329"/>
      <c r="VSZ272" s="2328"/>
      <c r="VTA272" s="2329"/>
      <c r="VTB272" s="2329"/>
      <c r="VTC272" s="2329"/>
      <c r="VTD272" s="2329"/>
      <c r="VTE272" s="2329"/>
      <c r="VTF272" s="2329"/>
      <c r="VTG272" s="2329"/>
      <c r="VTH272" s="2329"/>
      <c r="VTI272" s="2329"/>
      <c r="VTJ272" s="2329"/>
      <c r="VTK272" s="2329"/>
      <c r="VTL272" s="2329"/>
      <c r="VTM272" s="2329"/>
      <c r="VTN272" s="2329"/>
      <c r="VTO272" s="2329"/>
      <c r="VTP272" s="2328"/>
      <c r="VTQ272" s="2329"/>
      <c r="VTR272" s="2329"/>
      <c r="VTS272" s="2329"/>
      <c r="VTT272" s="2329"/>
      <c r="VTU272" s="2329"/>
      <c r="VTV272" s="2329"/>
      <c r="VTW272" s="2329"/>
      <c r="VTX272" s="2329"/>
      <c r="VTY272" s="2329"/>
      <c r="VTZ272" s="2329"/>
      <c r="VUA272" s="2329"/>
      <c r="VUB272" s="2329"/>
      <c r="VUC272" s="2329"/>
      <c r="VUD272" s="2329"/>
      <c r="VUE272" s="2329"/>
      <c r="VUF272" s="2328"/>
      <c r="VUG272" s="2329"/>
      <c r="VUH272" s="2329"/>
      <c r="VUI272" s="2329"/>
      <c r="VUJ272" s="2329"/>
      <c r="VUK272" s="2329"/>
      <c r="VUL272" s="2329"/>
      <c r="VUM272" s="2329"/>
      <c r="VUN272" s="2329"/>
      <c r="VUO272" s="2329"/>
      <c r="VUP272" s="2329"/>
      <c r="VUQ272" s="2329"/>
      <c r="VUR272" s="2329"/>
      <c r="VUS272" s="2329"/>
      <c r="VUT272" s="2329"/>
      <c r="VUU272" s="2329"/>
      <c r="VUV272" s="2328"/>
      <c r="VUW272" s="2329"/>
      <c r="VUX272" s="2329"/>
      <c r="VUY272" s="2329"/>
      <c r="VUZ272" s="2329"/>
      <c r="VVA272" s="2329"/>
      <c r="VVB272" s="2329"/>
      <c r="VVC272" s="2329"/>
      <c r="VVD272" s="2329"/>
      <c r="VVE272" s="2329"/>
      <c r="VVF272" s="2329"/>
      <c r="VVG272" s="2329"/>
      <c r="VVH272" s="2329"/>
      <c r="VVI272" s="2329"/>
      <c r="VVJ272" s="2329"/>
      <c r="VVK272" s="2329"/>
      <c r="VVL272" s="2328"/>
      <c r="VVM272" s="2329"/>
      <c r="VVN272" s="2329"/>
      <c r="VVO272" s="2329"/>
      <c r="VVP272" s="2329"/>
      <c r="VVQ272" s="2329"/>
      <c r="VVR272" s="2329"/>
      <c r="VVS272" s="2329"/>
      <c r="VVT272" s="2329"/>
      <c r="VVU272" s="2329"/>
      <c r="VVV272" s="2329"/>
      <c r="VVW272" s="2329"/>
      <c r="VVX272" s="2329"/>
      <c r="VVY272" s="2329"/>
      <c r="VVZ272" s="2329"/>
      <c r="VWA272" s="2329"/>
      <c r="VWB272" s="2328"/>
      <c r="VWC272" s="2329"/>
      <c r="VWD272" s="2329"/>
      <c r="VWE272" s="2329"/>
      <c r="VWF272" s="2329"/>
      <c r="VWG272" s="2329"/>
      <c r="VWH272" s="2329"/>
      <c r="VWI272" s="2329"/>
      <c r="VWJ272" s="2329"/>
      <c r="VWK272" s="2329"/>
      <c r="VWL272" s="2329"/>
      <c r="VWM272" s="2329"/>
      <c r="VWN272" s="2329"/>
      <c r="VWO272" s="2329"/>
      <c r="VWP272" s="2329"/>
      <c r="VWQ272" s="2329"/>
      <c r="VWR272" s="2328"/>
      <c r="VWS272" s="2329"/>
      <c r="VWT272" s="2329"/>
      <c r="VWU272" s="2329"/>
      <c r="VWV272" s="2329"/>
      <c r="VWW272" s="2329"/>
      <c r="VWX272" s="2329"/>
      <c r="VWY272" s="2329"/>
      <c r="VWZ272" s="2329"/>
      <c r="VXA272" s="2329"/>
      <c r="VXB272" s="2329"/>
      <c r="VXC272" s="2329"/>
      <c r="VXD272" s="2329"/>
      <c r="VXE272" s="2329"/>
      <c r="VXF272" s="2329"/>
      <c r="VXG272" s="2329"/>
      <c r="VXH272" s="2328"/>
      <c r="VXI272" s="2329"/>
      <c r="VXJ272" s="2329"/>
      <c r="VXK272" s="2329"/>
      <c r="VXL272" s="2329"/>
      <c r="VXM272" s="2329"/>
      <c r="VXN272" s="2329"/>
      <c r="VXO272" s="2329"/>
      <c r="VXP272" s="2329"/>
      <c r="VXQ272" s="2329"/>
      <c r="VXR272" s="2329"/>
      <c r="VXS272" s="2329"/>
      <c r="VXT272" s="2329"/>
      <c r="VXU272" s="2329"/>
      <c r="VXV272" s="2329"/>
      <c r="VXW272" s="2329"/>
      <c r="VXX272" s="2328"/>
      <c r="VXY272" s="2329"/>
      <c r="VXZ272" s="2329"/>
      <c r="VYA272" s="2329"/>
      <c r="VYB272" s="2329"/>
      <c r="VYC272" s="2329"/>
      <c r="VYD272" s="2329"/>
      <c r="VYE272" s="2329"/>
      <c r="VYF272" s="2329"/>
      <c r="VYG272" s="2329"/>
      <c r="VYH272" s="2329"/>
      <c r="VYI272" s="2329"/>
      <c r="VYJ272" s="2329"/>
      <c r="VYK272" s="2329"/>
      <c r="VYL272" s="2329"/>
      <c r="VYM272" s="2329"/>
      <c r="VYN272" s="2328"/>
      <c r="VYO272" s="2329"/>
      <c r="VYP272" s="2329"/>
      <c r="VYQ272" s="2329"/>
      <c r="VYR272" s="2329"/>
      <c r="VYS272" s="2329"/>
      <c r="VYT272" s="2329"/>
      <c r="VYU272" s="2329"/>
      <c r="VYV272" s="2329"/>
      <c r="VYW272" s="2329"/>
      <c r="VYX272" s="2329"/>
      <c r="VYY272" s="2329"/>
      <c r="VYZ272" s="2329"/>
      <c r="VZA272" s="2329"/>
      <c r="VZB272" s="2329"/>
      <c r="VZC272" s="2329"/>
      <c r="VZD272" s="2328"/>
      <c r="VZE272" s="2329"/>
      <c r="VZF272" s="2329"/>
      <c r="VZG272" s="2329"/>
      <c r="VZH272" s="2329"/>
      <c r="VZI272" s="2329"/>
      <c r="VZJ272" s="2329"/>
      <c r="VZK272" s="2329"/>
      <c r="VZL272" s="2329"/>
      <c r="VZM272" s="2329"/>
      <c r="VZN272" s="2329"/>
      <c r="VZO272" s="2329"/>
      <c r="VZP272" s="2329"/>
      <c r="VZQ272" s="2329"/>
      <c r="VZR272" s="2329"/>
      <c r="VZS272" s="2329"/>
      <c r="VZT272" s="2328"/>
      <c r="VZU272" s="2329"/>
      <c r="VZV272" s="2329"/>
      <c r="VZW272" s="2329"/>
      <c r="VZX272" s="2329"/>
      <c r="VZY272" s="2329"/>
      <c r="VZZ272" s="2329"/>
      <c r="WAA272" s="2329"/>
      <c r="WAB272" s="2329"/>
      <c r="WAC272" s="2329"/>
      <c r="WAD272" s="2329"/>
      <c r="WAE272" s="2329"/>
      <c r="WAF272" s="2329"/>
      <c r="WAG272" s="2329"/>
      <c r="WAH272" s="2329"/>
      <c r="WAI272" s="2329"/>
      <c r="WAJ272" s="2328"/>
      <c r="WAK272" s="2329"/>
      <c r="WAL272" s="2329"/>
      <c r="WAM272" s="2329"/>
      <c r="WAN272" s="2329"/>
      <c r="WAO272" s="2329"/>
      <c r="WAP272" s="2329"/>
      <c r="WAQ272" s="2329"/>
      <c r="WAR272" s="2329"/>
      <c r="WAS272" s="2329"/>
      <c r="WAT272" s="2329"/>
      <c r="WAU272" s="2329"/>
      <c r="WAV272" s="2329"/>
      <c r="WAW272" s="2329"/>
      <c r="WAX272" s="2329"/>
      <c r="WAY272" s="2329"/>
      <c r="WAZ272" s="2328"/>
      <c r="WBA272" s="2329"/>
      <c r="WBB272" s="2329"/>
      <c r="WBC272" s="2329"/>
      <c r="WBD272" s="2329"/>
      <c r="WBE272" s="2329"/>
      <c r="WBF272" s="2329"/>
      <c r="WBG272" s="2329"/>
      <c r="WBH272" s="2329"/>
      <c r="WBI272" s="2329"/>
      <c r="WBJ272" s="2329"/>
      <c r="WBK272" s="2329"/>
      <c r="WBL272" s="2329"/>
      <c r="WBM272" s="2329"/>
      <c r="WBN272" s="2329"/>
      <c r="WBO272" s="2329"/>
      <c r="WBP272" s="2328"/>
      <c r="WBQ272" s="2329"/>
      <c r="WBR272" s="2329"/>
      <c r="WBS272" s="2329"/>
      <c r="WBT272" s="2329"/>
      <c r="WBU272" s="2329"/>
      <c r="WBV272" s="2329"/>
      <c r="WBW272" s="2329"/>
      <c r="WBX272" s="2329"/>
      <c r="WBY272" s="2329"/>
      <c r="WBZ272" s="2329"/>
      <c r="WCA272" s="2329"/>
      <c r="WCB272" s="2329"/>
      <c r="WCC272" s="2329"/>
      <c r="WCD272" s="2329"/>
      <c r="WCE272" s="2329"/>
      <c r="WCF272" s="2328"/>
      <c r="WCG272" s="2329"/>
      <c r="WCH272" s="2329"/>
      <c r="WCI272" s="2329"/>
      <c r="WCJ272" s="2329"/>
      <c r="WCK272" s="2329"/>
      <c r="WCL272" s="2329"/>
      <c r="WCM272" s="2329"/>
      <c r="WCN272" s="2329"/>
      <c r="WCO272" s="2329"/>
      <c r="WCP272" s="2329"/>
      <c r="WCQ272" s="2329"/>
      <c r="WCR272" s="2329"/>
      <c r="WCS272" s="2329"/>
      <c r="WCT272" s="2329"/>
      <c r="WCU272" s="2329"/>
      <c r="WCV272" s="2328"/>
      <c r="WCW272" s="2329"/>
      <c r="WCX272" s="2329"/>
      <c r="WCY272" s="2329"/>
      <c r="WCZ272" s="2329"/>
      <c r="WDA272" s="2329"/>
      <c r="WDB272" s="2329"/>
      <c r="WDC272" s="2329"/>
      <c r="WDD272" s="2329"/>
      <c r="WDE272" s="2329"/>
      <c r="WDF272" s="2329"/>
      <c r="WDG272" s="2329"/>
      <c r="WDH272" s="2329"/>
      <c r="WDI272" s="2329"/>
      <c r="WDJ272" s="2329"/>
      <c r="WDK272" s="2329"/>
      <c r="WDL272" s="2328"/>
      <c r="WDM272" s="2329"/>
      <c r="WDN272" s="2329"/>
      <c r="WDO272" s="2329"/>
      <c r="WDP272" s="2329"/>
      <c r="WDQ272" s="2329"/>
      <c r="WDR272" s="2329"/>
      <c r="WDS272" s="2329"/>
      <c r="WDT272" s="2329"/>
      <c r="WDU272" s="2329"/>
      <c r="WDV272" s="2329"/>
      <c r="WDW272" s="2329"/>
      <c r="WDX272" s="2329"/>
      <c r="WDY272" s="2329"/>
      <c r="WDZ272" s="2329"/>
      <c r="WEA272" s="2329"/>
      <c r="WEB272" s="2328"/>
      <c r="WEC272" s="2329"/>
      <c r="WED272" s="2329"/>
      <c r="WEE272" s="2329"/>
      <c r="WEF272" s="2329"/>
      <c r="WEG272" s="2329"/>
      <c r="WEH272" s="2329"/>
      <c r="WEI272" s="2329"/>
      <c r="WEJ272" s="2329"/>
      <c r="WEK272" s="2329"/>
      <c r="WEL272" s="2329"/>
      <c r="WEM272" s="2329"/>
      <c r="WEN272" s="2329"/>
      <c r="WEO272" s="2329"/>
      <c r="WEP272" s="2329"/>
      <c r="WEQ272" s="2329"/>
      <c r="WER272" s="2328"/>
      <c r="WES272" s="2329"/>
      <c r="WET272" s="2329"/>
      <c r="WEU272" s="2329"/>
      <c r="WEV272" s="2329"/>
      <c r="WEW272" s="2329"/>
      <c r="WEX272" s="2329"/>
      <c r="WEY272" s="2329"/>
      <c r="WEZ272" s="2329"/>
      <c r="WFA272" s="2329"/>
      <c r="WFB272" s="2329"/>
      <c r="WFC272" s="2329"/>
      <c r="WFD272" s="2329"/>
      <c r="WFE272" s="2329"/>
      <c r="WFF272" s="2329"/>
      <c r="WFG272" s="2329"/>
      <c r="WFH272" s="2328"/>
      <c r="WFI272" s="2329"/>
      <c r="WFJ272" s="2329"/>
      <c r="WFK272" s="2329"/>
      <c r="WFL272" s="2329"/>
      <c r="WFM272" s="2329"/>
      <c r="WFN272" s="2329"/>
      <c r="WFO272" s="2329"/>
      <c r="WFP272" s="2329"/>
      <c r="WFQ272" s="2329"/>
      <c r="WFR272" s="2329"/>
      <c r="WFS272" s="2329"/>
      <c r="WFT272" s="2329"/>
      <c r="WFU272" s="2329"/>
      <c r="WFV272" s="2329"/>
      <c r="WFW272" s="2329"/>
      <c r="WFX272" s="2328"/>
      <c r="WFY272" s="2329"/>
      <c r="WFZ272" s="2329"/>
      <c r="WGA272" s="2329"/>
      <c r="WGB272" s="2329"/>
      <c r="WGC272" s="2329"/>
      <c r="WGD272" s="2329"/>
      <c r="WGE272" s="2329"/>
      <c r="WGF272" s="2329"/>
      <c r="WGG272" s="2329"/>
      <c r="WGH272" s="2329"/>
      <c r="WGI272" s="2329"/>
      <c r="WGJ272" s="2329"/>
      <c r="WGK272" s="2329"/>
      <c r="WGL272" s="2329"/>
      <c r="WGM272" s="2329"/>
      <c r="WGN272" s="2328"/>
      <c r="WGO272" s="2329"/>
      <c r="WGP272" s="2329"/>
      <c r="WGQ272" s="2329"/>
      <c r="WGR272" s="2329"/>
      <c r="WGS272" s="2329"/>
      <c r="WGT272" s="2329"/>
      <c r="WGU272" s="2329"/>
      <c r="WGV272" s="2329"/>
      <c r="WGW272" s="2329"/>
      <c r="WGX272" s="2329"/>
      <c r="WGY272" s="2329"/>
      <c r="WGZ272" s="2329"/>
      <c r="WHA272" s="2329"/>
      <c r="WHB272" s="2329"/>
      <c r="WHC272" s="2329"/>
      <c r="WHD272" s="2328"/>
      <c r="WHE272" s="2329"/>
      <c r="WHF272" s="2329"/>
      <c r="WHG272" s="2329"/>
      <c r="WHH272" s="2329"/>
      <c r="WHI272" s="2329"/>
      <c r="WHJ272" s="2329"/>
      <c r="WHK272" s="2329"/>
      <c r="WHL272" s="2329"/>
      <c r="WHM272" s="2329"/>
      <c r="WHN272" s="2329"/>
      <c r="WHO272" s="2329"/>
      <c r="WHP272" s="2329"/>
      <c r="WHQ272" s="2329"/>
      <c r="WHR272" s="2329"/>
      <c r="WHS272" s="2329"/>
      <c r="WHT272" s="2328"/>
      <c r="WHU272" s="2329"/>
      <c r="WHV272" s="2329"/>
      <c r="WHW272" s="2329"/>
      <c r="WHX272" s="2329"/>
      <c r="WHY272" s="2329"/>
      <c r="WHZ272" s="2329"/>
      <c r="WIA272" s="2329"/>
      <c r="WIB272" s="2329"/>
      <c r="WIC272" s="2329"/>
      <c r="WID272" s="2329"/>
      <c r="WIE272" s="2329"/>
      <c r="WIF272" s="2329"/>
      <c r="WIG272" s="2329"/>
      <c r="WIH272" s="2329"/>
      <c r="WII272" s="2329"/>
      <c r="WIJ272" s="2328"/>
      <c r="WIK272" s="2329"/>
      <c r="WIL272" s="2329"/>
      <c r="WIM272" s="2329"/>
      <c r="WIN272" s="2329"/>
      <c r="WIO272" s="2329"/>
      <c r="WIP272" s="2329"/>
      <c r="WIQ272" s="2329"/>
      <c r="WIR272" s="2329"/>
      <c r="WIS272" s="2329"/>
      <c r="WIT272" s="2329"/>
      <c r="WIU272" s="2329"/>
      <c r="WIV272" s="2329"/>
      <c r="WIW272" s="2329"/>
      <c r="WIX272" s="2329"/>
      <c r="WIY272" s="2329"/>
      <c r="WIZ272" s="2328"/>
      <c r="WJA272" s="2329"/>
      <c r="WJB272" s="2329"/>
      <c r="WJC272" s="2329"/>
      <c r="WJD272" s="2329"/>
      <c r="WJE272" s="2329"/>
      <c r="WJF272" s="2329"/>
      <c r="WJG272" s="2329"/>
      <c r="WJH272" s="2329"/>
      <c r="WJI272" s="2329"/>
      <c r="WJJ272" s="2329"/>
      <c r="WJK272" s="2329"/>
      <c r="WJL272" s="2329"/>
      <c r="WJM272" s="2329"/>
      <c r="WJN272" s="2329"/>
      <c r="WJO272" s="2329"/>
      <c r="WJP272" s="2328"/>
      <c r="WJQ272" s="2329"/>
      <c r="WJR272" s="2329"/>
      <c r="WJS272" s="2329"/>
      <c r="WJT272" s="2329"/>
      <c r="WJU272" s="2329"/>
      <c r="WJV272" s="2329"/>
      <c r="WJW272" s="2329"/>
      <c r="WJX272" s="2329"/>
      <c r="WJY272" s="2329"/>
      <c r="WJZ272" s="2329"/>
      <c r="WKA272" s="2329"/>
      <c r="WKB272" s="2329"/>
      <c r="WKC272" s="2329"/>
      <c r="WKD272" s="2329"/>
      <c r="WKE272" s="2329"/>
      <c r="WKF272" s="2328"/>
      <c r="WKG272" s="2329"/>
      <c r="WKH272" s="2329"/>
      <c r="WKI272" s="2329"/>
      <c r="WKJ272" s="2329"/>
      <c r="WKK272" s="2329"/>
      <c r="WKL272" s="2329"/>
      <c r="WKM272" s="2329"/>
      <c r="WKN272" s="2329"/>
      <c r="WKO272" s="2329"/>
      <c r="WKP272" s="2329"/>
      <c r="WKQ272" s="2329"/>
      <c r="WKR272" s="2329"/>
      <c r="WKS272" s="2329"/>
      <c r="WKT272" s="2329"/>
      <c r="WKU272" s="2329"/>
      <c r="WKV272" s="2328"/>
      <c r="WKW272" s="2329"/>
      <c r="WKX272" s="2329"/>
      <c r="WKY272" s="2329"/>
      <c r="WKZ272" s="2329"/>
      <c r="WLA272" s="2329"/>
      <c r="WLB272" s="2329"/>
      <c r="WLC272" s="2329"/>
      <c r="WLD272" s="2329"/>
      <c r="WLE272" s="2329"/>
      <c r="WLF272" s="2329"/>
      <c r="WLG272" s="2329"/>
      <c r="WLH272" s="2329"/>
      <c r="WLI272" s="2329"/>
      <c r="WLJ272" s="2329"/>
      <c r="WLK272" s="2329"/>
      <c r="WLL272" s="2328"/>
      <c r="WLM272" s="2329"/>
      <c r="WLN272" s="2329"/>
      <c r="WLO272" s="2329"/>
      <c r="WLP272" s="2329"/>
      <c r="WLQ272" s="2329"/>
      <c r="WLR272" s="2329"/>
      <c r="WLS272" s="2329"/>
      <c r="WLT272" s="2329"/>
      <c r="WLU272" s="2329"/>
      <c r="WLV272" s="2329"/>
      <c r="WLW272" s="2329"/>
      <c r="WLX272" s="2329"/>
      <c r="WLY272" s="2329"/>
      <c r="WLZ272" s="2329"/>
      <c r="WMA272" s="2329"/>
      <c r="WMB272" s="2328"/>
      <c r="WMC272" s="2329"/>
      <c r="WMD272" s="2329"/>
      <c r="WME272" s="2329"/>
      <c r="WMF272" s="2329"/>
      <c r="WMG272" s="2329"/>
      <c r="WMH272" s="2329"/>
      <c r="WMI272" s="2329"/>
      <c r="WMJ272" s="2329"/>
      <c r="WMK272" s="2329"/>
      <c r="WML272" s="2329"/>
      <c r="WMM272" s="2329"/>
      <c r="WMN272" s="2329"/>
      <c r="WMO272" s="2329"/>
      <c r="WMP272" s="2329"/>
      <c r="WMQ272" s="2329"/>
      <c r="WMR272" s="2328"/>
      <c r="WMS272" s="2329"/>
      <c r="WMT272" s="2329"/>
      <c r="WMU272" s="2329"/>
      <c r="WMV272" s="2329"/>
      <c r="WMW272" s="2329"/>
      <c r="WMX272" s="2329"/>
      <c r="WMY272" s="2329"/>
      <c r="WMZ272" s="2329"/>
      <c r="WNA272" s="2329"/>
      <c r="WNB272" s="2329"/>
      <c r="WNC272" s="2329"/>
      <c r="WND272" s="2329"/>
      <c r="WNE272" s="2329"/>
      <c r="WNF272" s="2329"/>
      <c r="WNG272" s="2329"/>
      <c r="WNH272" s="2328"/>
      <c r="WNI272" s="2329"/>
      <c r="WNJ272" s="2329"/>
      <c r="WNK272" s="2329"/>
      <c r="WNL272" s="2329"/>
      <c r="WNM272" s="2329"/>
      <c r="WNN272" s="2329"/>
      <c r="WNO272" s="2329"/>
      <c r="WNP272" s="2329"/>
      <c r="WNQ272" s="2329"/>
      <c r="WNR272" s="2329"/>
      <c r="WNS272" s="2329"/>
      <c r="WNT272" s="2329"/>
      <c r="WNU272" s="2329"/>
      <c r="WNV272" s="2329"/>
      <c r="WNW272" s="2329"/>
      <c r="WNX272" s="2328"/>
      <c r="WNY272" s="2329"/>
      <c r="WNZ272" s="2329"/>
      <c r="WOA272" s="2329"/>
      <c r="WOB272" s="2329"/>
      <c r="WOC272" s="2329"/>
      <c r="WOD272" s="2329"/>
      <c r="WOE272" s="2329"/>
      <c r="WOF272" s="2329"/>
      <c r="WOG272" s="2329"/>
      <c r="WOH272" s="2329"/>
      <c r="WOI272" s="2329"/>
      <c r="WOJ272" s="2329"/>
      <c r="WOK272" s="2329"/>
      <c r="WOL272" s="2329"/>
      <c r="WOM272" s="2329"/>
      <c r="WON272" s="2328"/>
      <c r="WOO272" s="2329"/>
      <c r="WOP272" s="2329"/>
      <c r="WOQ272" s="2329"/>
      <c r="WOR272" s="2329"/>
      <c r="WOS272" s="2329"/>
      <c r="WOT272" s="2329"/>
      <c r="WOU272" s="2329"/>
      <c r="WOV272" s="2329"/>
      <c r="WOW272" s="2329"/>
      <c r="WOX272" s="2329"/>
      <c r="WOY272" s="2329"/>
      <c r="WOZ272" s="2329"/>
      <c r="WPA272" s="2329"/>
      <c r="WPB272" s="2329"/>
      <c r="WPC272" s="2329"/>
      <c r="WPD272" s="2328"/>
      <c r="WPE272" s="2329"/>
      <c r="WPF272" s="2329"/>
      <c r="WPG272" s="2329"/>
      <c r="WPH272" s="2329"/>
      <c r="WPI272" s="2329"/>
      <c r="WPJ272" s="2329"/>
      <c r="WPK272" s="2329"/>
      <c r="WPL272" s="2329"/>
      <c r="WPM272" s="2329"/>
      <c r="WPN272" s="2329"/>
      <c r="WPO272" s="2329"/>
      <c r="WPP272" s="2329"/>
      <c r="WPQ272" s="2329"/>
      <c r="WPR272" s="2329"/>
      <c r="WPS272" s="2329"/>
      <c r="WPT272" s="2328"/>
      <c r="WPU272" s="2329"/>
      <c r="WPV272" s="2329"/>
      <c r="WPW272" s="2329"/>
      <c r="WPX272" s="2329"/>
      <c r="WPY272" s="2329"/>
      <c r="WPZ272" s="2329"/>
      <c r="WQA272" s="2329"/>
      <c r="WQB272" s="2329"/>
      <c r="WQC272" s="2329"/>
      <c r="WQD272" s="2329"/>
      <c r="WQE272" s="2329"/>
      <c r="WQF272" s="2329"/>
      <c r="WQG272" s="2329"/>
      <c r="WQH272" s="2329"/>
      <c r="WQI272" s="2329"/>
      <c r="WQJ272" s="2328"/>
      <c r="WQK272" s="2329"/>
      <c r="WQL272" s="2329"/>
      <c r="WQM272" s="2329"/>
      <c r="WQN272" s="2329"/>
      <c r="WQO272" s="2329"/>
      <c r="WQP272" s="2329"/>
      <c r="WQQ272" s="2329"/>
      <c r="WQR272" s="2329"/>
      <c r="WQS272" s="2329"/>
      <c r="WQT272" s="2329"/>
      <c r="WQU272" s="2329"/>
      <c r="WQV272" s="2329"/>
      <c r="WQW272" s="2329"/>
      <c r="WQX272" s="2329"/>
      <c r="WQY272" s="2329"/>
      <c r="WQZ272" s="2328"/>
      <c r="WRA272" s="2329"/>
      <c r="WRB272" s="2329"/>
      <c r="WRC272" s="2329"/>
      <c r="WRD272" s="2329"/>
      <c r="WRE272" s="2329"/>
      <c r="WRF272" s="2329"/>
      <c r="WRG272" s="2329"/>
      <c r="WRH272" s="2329"/>
      <c r="WRI272" s="2329"/>
      <c r="WRJ272" s="2329"/>
      <c r="WRK272" s="2329"/>
      <c r="WRL272" s="2329"/>
      <c r="WRM272" s="2329"/>
      <c r="WRN272" s="2329"/>
      <c r="WRO272" s="2329"/>
      <c r="WRP272" s="2328"/>
      <c r="WRQ272" s="2329"/>
      <c r="WRR272" s="2329"/>
      <c r="WRS272" s="2329"/>
      <c r="WRT272" s="2329"/>
      <c r="WRU272" s="2329"/>
      <c r="WRV272" s="2329"/>
      <c r="WRW272" s="2329"/>
      <c r="WRX272" s="2329"/>
      <c r="WRY272" s="2329"/>
      <c r="WRZ272" s="2329"/>
      <c r="WSA272" s="2329"/>
      <c r="WSB272" s="2329"/>
      <c r="WSC272" s="2329"/>
      <c r="WSD272" s="2329"/>
      <c r="WSE272" s="2329"/>
      <c r="WSF272" s="2328"/>
      <c r="WSG272" s="2329"/>
      <c r="WSH272" s="2329"/>
      <c r="WSI272" s="2329"/>
      <c r="WSJ272" s="2329"/>
      <c r="WSK272" s="2329"/>
      <c r="WSL272" s="2329"/>
      <c r="WSM272" s="2329"/>
      <c r="WSN272" s="2329"/>
      <c r="WSO272" s="2329"/>
      <c r="WSP272" s="2329"/>
      <c r="WSQ272" s="2329"/>
      <c r="WSR272" s="2329"/>
      <c r="WSS272" s="2329"/>
      <c r="WST272" s="2329"/>
      <c r="WSU272" s="2329"/>
      <c r="WSV272" s="2328"/>
      <c r="WSW272" s="2329"/>
      <c r="WSX272" s="2329"/>
      <c r="WSY272" s="2329"/>
      <c r="WSZ272" s="2329"/>
      <c r="WTA272" s="2329"/>
      <c r="WTB272" s="2329"/>
      <c r="WTC272" s="2329"/>
      <c r="WTD272" s="2329"/>
      <c r="WTE272" s="2329"/>
      <c r="WTF272" s="2329"/>
      <c r="WTG272" s="2329"/>
      <c r="WTH272" s="2329"/>
      <c r="WTI272" s="2329"/>
      <c r="WTJ272" s="2329"/>
      <c r="WTK272" s="2329"/>
      <c r="WTL272" s="2328"/>
      <c r="WTM272" s="2329"/>
      <c r="WTN272" s="2329"/>
      <c r="WTO272" s="2329"/>
      <c r="WTP272" s="2329"/>
      <c r="WTQ272" s="2329"/>
      <c r="WTR272" s="2329"/>
      <c r="WTS272" s="2329"/>
      <c r="WTT272" s="2329"/>
      <c r="WTU272" s="2329"/>
      <c r="WTV272" s="2329"/>
      <c r="WTW272" s="2329"/>
      <c r="WTX272" s="2329"/>
      <c r="WTY272" s="2329"/>
      <c r="WTZ272" s="2329"/>
      <c r="WUA272" s="2329"/>
      <c r="WUB272" s="2328"/>
      <c r="WUC272" s="2329"/>
      <c r="WUD272" s="2329"/>
      <c r="WUE272" s="2329"/>
      <c r="WUF272" s="2329"/>
      <c r="WUG272" s="2329"/>
      <c r="WUH272" s="2329"/>
      <c r="WUI272" s="2329"/>
      <c r="WUJ272" s="2329"/>
      <c r="WUK272" s="2329"/>
      <c r="WUL272" s="2329"/>
      <c r="WUM272" s="2329"/>
      <c r="WUN272" s="2329"/>
      <c r="WUO272" s="2329"/>
      <c r="WUP272" s="2329"/>
      <c r="WUQ272" s="2329"/>
      <c r="WUR272" s="2328"/>
      <c r="WUS272" s="2329"/>
      <c r="WUT272" s="2329"/>
      <c r="WUU272" s="2329"/>
      <c r="WUV272" s="2329"/>
      <c r="WUW272" s="2329"/>
      <c r="WUX272" s="2329"/>
      <c r="WUY272" s="2329"/>
      <c r="WUZ272" s="2329"/>
      <c r="WVA272" s="2329"/>
      <c r="WVB272" s="2329"/>
      <c r="WVC272" s="2329"/>
      <c r="WVD272" s="2329"/>
      <c r="WVE272" s="2329"/>
      <c r="WVF272" s="2329"/>
      <c r="WVG272" s="2329"/>
      <c r="WVH272" s="2328"/>
      <c r="WVI272" s="2329"/>
      <c r="WVJ272" s="2329"/>
      <c r="WVK272" s="2329"/>
      <c r="WVL272" s="2329"/>
      <c r="WVM272" s="2329"/>
      <c r="WVN272" s="2329"/>
      <c r="WVO272" s="2329"/>
      <c r="WVP272" s="2329"/>
      <c r="WVQ272" s="2329"/>
      <c r="WVR272" s="2329"/>
      <c r="WVS272" s="2329"/>
      <c r="WVT272" s="2329"/>
      <c r="WVU272" s="2329"/>
      <c r="WVV272" s="2329"/>
      <c r="WVW272" s="2329"/>
      <c r="WVX272" s="2328"/>
      <c r="WVY272" s="2329"/>
      <c r="WVZ272" s="2329"/>
      <c r="WWA272" s="2329"/>
      <c r="WWB272" s="2329"/>
      <c r="WWC272" s="2329"/>
      <c r="WWD272" s="2329"/>
      <c r="WWE272" s="2329"/>
      <c r="WWF272" s="2329"/>
      <c r="WWG272" s="2329"/>
      <c r="WWH272" s="2329"/>
      <c r="WWI272" s="2329"/>
      <c r="WWJ272" s="2329"/>
      <c r="WWK272" s="2329"/>
      <c r="WWL272" s="2329"/>
      <c r="WWM272" s="2329"/>
      <c r="WWN272" s="2328"/>
      <c r="WWO272" s="2329"/>
      <c r="WWP272" s="2329"/>
      <c r="WWQ272" s="2329"/>
      <c r="WWR272" s="2329"/>
      <c r="WWS272" s="2329"/>
      <c r="WWT272" s="2329"/>
      <c r="WWU272" s="2329"/>
      <c r="WWV272" s="2329"/>
      <c r="WWW272" s="2329"/>
      <c r="WWX272" s="2329"/>
      <c r="WWY272" s="2329"/>
      <c r="WWZ272" s="2329"/>
      <c r="WXA272" s="2329"/>
      <c r="WXB272" s="2329"/>
      <c r="WXC272" s="2329"/>
      <c r="WXD272" s="2328"/>
      <c r="WXE272" s="2329"/>
      <c r="WXF272" s="2329"/>
      <c r="WXG272" s="2329"/>
      <c r="WXH272" s="2329"/>
      <c r="WXI272" s="2329"/>
      <c r="WXJ272" s="2329"/>
      <c r="WXK272" s="2329"/>
      <c r="WXL272" s="2329"/>
      <c r="WXM272" s="2329"/>
      <c r="WXN272" s="2329"/>
      <c r="WXO272" s="2329"/>
      <c r="WXP272" s="2329"/>
      <c r="WXQ272" s="2329"/>
      <c r="WXR272" s="2329"/>
      <c r="WXS272" s="2329"/>
      <c r="WXT272" s="2328"/>
      <c r="WXU272" s="2329"/>
      <c r="WXV272" s="2329"/>
      <c r="WXW272" s="2329"/>
      <c r="WXX272" s="2329"/>
      <c r="WXY272" s="2329"/>
      <c r="WXZ272" s="2329"/>
      <c r="WYA272" s="2329"/>
      <c r="WYB272" s="2329"/>
      <c r="WYC272" s="2329"/>
      <c r="WYD272" s="2329"/>
      <c r="WYE272" s="2329"/>
      <c r="WYF272" s="2329"/>
      <c r="WYG272" s="2329"/>
      <c r="WYH272" s="2329"/>
      <c r="WYI272" s="2329"/>
      <c r="WYJ272" s="2328"/>
      <c r="WYK272" s="2329"/>
      <c r="WYL272" s="2329"/>
      <c r="WYM272" s="2329"/>
      <c r="WYN272" s="2329"/>
      <c r="WYO272" s="2329"/>
      <c r="WYP272" s="2329"/>
      <c r="WYQ272" s="2329"/>
      <c r="WYR272" s="2329"/>
      <c r="WYS272" s="2329"/>
      <c r="WYT272" s="2329"/>
      <c r="WYU272" s="2329"/>
      <c r="WYV272" s="2329"/>
      <c r="WYW272" s="2329"/>
      <c r="WYX272" s="2329"/>
      <c r="WYY272" s="2329"/>
      <c r="WYZ272" s="2328"/>
      <c r="WZA272" s="2329"/>
      <c r="WZB272" s="2329"/>
      <c r="WZC272" s="2329"/>
      <c r="WZD272" s="2329"/>
      <c r="WZE272" s="2329"/>
      <c r="WZF272" s="2329"/>
      <c r="WZG272" s="2329"/>
      <c r="WZH272" s="2329"/>
      <c r="WZI272" s="2329"/>
      <c r="WZJ272" s="2329"/>
      <c r="WZK272" s="2329"/>
      <c r="WZL272" s="2329"/>
      <c r="WZM272" s="2329"/>
      <c r="WZN272" s="2329"/>
      <c r="WZO272" s="2329"/>
      <c r="WZP272" s="2328"/>
      <c r="WZQ272" s="2329"/>
      <c r="WZR272" s="2329"/>
      <c r="WZS272" s="2329"/>
      <c r="WZT272" s="2329"/>
      <c r="WZU272" s="2329"/>
      <c r="WZV272" s="2329"/>
      <c r="WZW272" s="2329"/>
      <c r="WZX272" s="2329"/>
      <c r="WZY272" s="2329"/>
      <c r="WZZ272" s="2329"/>
      <c r="XAA272" s="2329"/>
      <c r="XAB272" s="2329"/>
      <c r="XAC272" s="2329"/>
      <c r="XAD272" s="2329"/>
      <c r="XAE272" s="2329"/>
      <c r="XAF272" s="2328"/>
      <c r="XAG272" s="2329"/>
      <c r="XAH272" s="2329"/>
      <c r="XAI272" s="2329"/>
      <c r="XAJ272" s="2329"/>
      <c r="XAK272" s="2329"/>
      <c r="XAL272" s="2329"/>
      <c r="XAM272" s="2329"/>
      <c r="XAN272" s="2329"/>
      <c r="XAO272" s="2329"/>
      <c r="XAP272" s="2329"/>
      <c r="XAQ272" s="2329"/>
      <c r="XAR272" s="2329"/>
      <c r="XAS272" s="2329"/>
      <c r="XAT272" s="2329"/>
      <c r="XAU272" s="2329"/>
      <c r="XAV272" s="2328"/>
      <c r="XAW272" s="2329"/>
      <c r="XAX272" s="2329"/>
      <c r="XAY272" s="2329"/>
      <c r="XAZ272" s="2329"/>
      <c r="XBA272" s="2329"/>
      <c r="XBB272" s="2329"/>
      <c r="XBC272" s="2329"/>
      <c r="XBD272" s="2329"/>
      <c r="XBE272" s="2329"/>
      <c r="XBF272" s="2329"/>
      <c r="XBG272" s="2329"/>
      <c r="XBH272" s="2329"/>
      <c r="XBI272" s="2329"/>
      <c r="XBJ272" s="2329"/>
      <c r="XBK272" s="2329"/>
      <c r="XBL272" s="2328"/>
      <c r="XBM272" s="2329"/>
      <c r="XBN272" s="2329"/>
      <c r="XBO272" s="2329"/>
      <c r="XBP272" s="2329"/>
      <c r="XBQ272" s="2329"/>
      <c r="XBR272" s="2329"/>
      <c r="XBS272" s="2329"/>
      <c r="XBT272" s="2329"/>
      <c r="XBU272" s="2329"/>
      <c r="XBV272" s="2329"/>
      <c r="XBW272" s="2329"/>
      <c r="XBX272" s="2329"/>
      <c r="XBY272" s="2329"/>
      <c r="XBZ272" s="2329"/>
      <c r="XCA272" s="2329"/>
      <c r="XCB272" s="2328"/>
      <c r="XCC272" s="2329"/>
      <c r="XCD272" s="2329"/>
      <c r="XCE272" s="2329"/>
      <c r="XCF272" s="2329"/>
      <c r="XCG272" s="2329"/>
      <c r="XCH272" s="2329"/>
      <c r="XCI272" s="2329"/>
      <c r="XCJ272" s="2329"/>
      <c r="XCK272" s="2329"/>
      <c r="XCL272" s="2329"/>
      <c r="XCM272" s="2329"/>
      <c r="XCN272" s="2329"/>
      <c r="XCO272" s="2329"/>
      <c r="XCP272" s="2329"/>
      <c r="XCQ272" s="2329"/>
      <c r="XCR272" s="2328"/>
      <c r="XCS272" s="2329"/>
      <c r="XCT272" s="2329"/>
      <c r="XCU272" s="2329"/>
      <c r="XCV272" s="2329"/>
      <c r="XCW272" s="2329"/>
      <c r="XCX272" s="2329"/>
      <c r="XCY272" s="2329"/>
      <c r="XCZ272" s="2329"/>
      <c r="XDA272" s="2329"/>
      <c r="XDB272" s="2329"/>
      <c r="XDC272" s="2329"/>
      <c r="XDD272" s="2329"/>
      <c r="XDE272" s="2329"/>
      <c r="XDF272" s="2329"/>
      <c r="XDG272" s="2329"/>
      <c r="XDH272" s="2328"/>
      <c r="XDI272" s="2329"/>
      <c r="XDJ272" s="2329"/>
      <c r="XDK272" s="2329"/>
      <c r="XDL272" s="2329"/>
      <c r="XDM272" s="2329"/>
      <c r="XDN272" s="2329"/>
      <c r="XDO272" s="2329"/>
      <c r="XDP272" s="2329"/>
      <c r="XDQ272" s="2329"/>
      <c r="XDR272" s="2329"/>
      <c r="XDS272" s="2329"/>
      <c r="XDT272" s="2329"/>
      <c r="XDU272" s="2329"/>
      <c r="XDV272" s="2329"/>
      <c r="XDW272" s="2329"/>
      <c r="XDX272" s="2328"/>
      <c r="XDY272" s="2329"/>
      <c r="XDZ272" s="2329"/>
      <c r="XEA272" s="2329"/>
      <c r="XEB272" s="2329"/>
      <c r="XEC272" s="2329"/>
      <c r="XED272" s="2329"/>
      <c r="XEE272" s="2329"/>
      <c r="XEF272" s="2329"/>
      <c r="XEG272" s="2329"/>
      <c r="XEH272" s="2329"/>
      <c r="XEI272" s="2329"/>
      <c r="XEJ272" s="2329"/>
      <c r="XEK272" s="2329"/>
      <c r="XEL272" s="2329"/>
      <c r="XEM272" s="2329"/>
      <c r="XEN272" s="2328"/>
      <c r="XEO272" s="2328"/>
      <c r="XEP272" s="2328"/>
      <c r="XEQ272" s="2328"/>
      <c r="XER272" s="2328"/>
      <c r="XES272" s="2328"/>
      <c r="XET272" s="2328"/>
      <c r="XEU272" s="2328"/>
      <c r="XEV272" s="2328"/>
      <c r="XEW272" s="2328"/>
      <c r="XEX272" s="2328"/>
      <c r="XEY272" s="2328"/>
      <c r="XEZ272" s="2328"/>
      <c r="XFA272" s="2328"/>
      <c r="XFB272" s="2328"/>
      <c r="XFC272" s="2328"/>
    </row>
    <row r="273" spans="1:15">
      <c r="A273" s="125"/>
      <c r="B273" s="1431"/>
      <c r="C273" s="14"/>
      <c r="D273" s="14"/>
      <c r="E273" s="14"/>
      <c r="F273" s="14"/>
      <c r="G273" s="14"/>
      <c r="H273" s="14"/>
      <c r="I273" s="14"/>
      <c r="J273" s="14"/>
      <c r="K273" s="14"/>
      <c r="L273" s="14"/>
      <c r="M273" s="14"/>
      <c r="N273" s="14"/>
      <c r="O273" s="14"/>
    </row>
    <row r="274" spans="1:15">
      <c r="A274" s="125"/>
      <c r="B274" s="14"/>
      <c r="C274" s="14"/>
      <c r="D274" s="14"/>
      <c r="E274" s="14"/>
      <c r="F274" s="14"/>
      <c r="G274" s="14"/>
      <c r="H274" s="14"/>
      <c r="I274" s="14"/>
      <c r="J274" s="14"/>
      <c r="K274" s="14"/>
      <c r="L274" s="14"/>
      <c r="M274" s="14"/>
      <c r="N274" s="14"/>
      <c r="O274" s="14"/>
    </row>
    <row r="275" spans="1:15">
      <c r="A275" s="125"/>
      <c r="B275" s="14"/>
      <c r="C275" s="14"/>
      <c r="D275" s="14"/>
      <c r="E275" s="14"/>
      <c r="F275" s="14"/>
      <c r="G275" s="14"/>
      <c r="H275" s="14"/>
      <c r="I275" s="14"/>
      <c r="J275" s="14"/>
      <c r="K275" s="14"/>
      <c r="L275" s="14"/>
      <c r="M275" s="14"/>
      <c r="N275" s="14"/>
      <c r="O275" s="14"/>
    </row>
    <row r="276" spans="1:15">
      <c r="A276" s="125"/>
      <c r="B276" s="1332"/>
      <c r="C276" s="1332"/>
      <c r="D276" s="1332"/>
      <c r="E276" s="1332"/>
      <c r="F276" s="1332"/>
      <c r="G276" s="1332"/>
      <c r="H276" s="1332"/>
      <c r="I276" s="1332"/>
      <c r="J276" s="1332"/>
      <c r="K276" s="1332"/>
      <c r="L276" s="1332"/>
      <c r="M276" s="1332"/>
      <c r="N276" s="1332"/>
      <c r="O276" s="1332"/>
    </row>
    <row r="277" spans="1:15">
      <c r="A277" s="125"/>
      <c r="B277" s="14"/>
      <c r="C277" s="14"/>
      <c r="D277" s="1965"/>
      <c r="E277" s="14"/>
      <c r="F277" s="14"/>
      <c r="G277" s="14"/>
      <c r="H277" s="14"/>
      <c r="I277" s="14"/>
      <c r="J277" s="14"/>
      <c r="K277" s="14"/>
      <c r="L277" s="14"/>
      <c r="M277" s="14"/>
      <c r="N277" s="14"/>
      <c r="O277" s="14"/>
    </row>
    <row r="278" spans="1:15">
      <c r="A278" s="125"/>
      <c r="B278" s="14"/>
      <c r="C278" s="14"/>
      <c r="D278" s="14"/>
      <c r="E278" s="14"/>
      <c r="F278" s="14"/>
      <c r="G278" s="14"/>
      <c r="H278" s="14"/>
      <c r="I278" s="14"/>
      <c r="J278" s="14"/>
      <c r="K278" s="14"/>
      <c r="L278" s="14"/>
      <c r="M278" s="14"/>
      <c r="N278" s="14"/>
      <c r="O278" s="14"/>
    </row>
    <row r="279" spans="1:15">
      <c r="A279" s="125"/>
      <c r="B279" s="14"/>
      <c r="C279" s="14"/>
      <c r="D279" s="14"/>
      <c r="E279" s="14"/>
      <c r="F279" s="14"/>
      <c r="G279" s="14"/>
      <c r="H279" s="14"/>
      <c r="I279" s="14"/>
      <c r="J279" s="14"/>
      <c r="K279" s="14"/>
      <c r="L279" s="14"/>
      <c r="M279" s="14"/>
      <c r="N279" s="14"/>
      <c r="O279" s="14"/>
    </row>
    <row r="280" spans="1:15">
      <c r="A280" s="125"/>
      <c r="B280" s="14"/>
      <c r="C280" s="14"/>
      <c r="D280" s="14"/>
      <c r="E280" s="14"/>
      <c r="F280" s="14"/>
      <c r="G280" s="14"/>
      <c r="H280" s="14"/>
      <c r="I280" s="14"/>
      <c r="J280" s="14"/>
      <c r="K280" s="14"/>
      <c r="L280" s="14"/>
      <c r="M280" s="14"/>
      <c r="N280" s="14"/>
      <c r="O280" s="14"/>
    </row>
    <row r="281" spans="1:15">
      <c r="A281" s="125"/>
      <c r="B281" s="14"/>
      <c r="C281" s="14"/>
      <c r="D281" s="14"/>
      <c r="E281" s="14"/>
      <c r="F281" s="14"/>
      <c r="G281" s="14"/>
      <c r="H281" s="14"/>
      <c r="I281" s="14"/>
      <c r="J281" s="14"/>
      <c r="K281" s="14"/>
      <c r="L281" s="14"/>
      <c r="M281" s="14"/>
      <c r="N281" s="14"/>
      <c r="O281" s="14"/>
    </row>
    <row r="282" spans="1:15">
      <c r="A282" s="125"/>
      <c r="B282" s="14"/>
      <c r="C282" s="14"/>
      <c r="D282" s="14"/>
      <c r="E282" s="14"/>
      <c r="F282" s="14"/>
      <c r="G282" s="14"/>
      <c r="H282" s="14"/>
      <c r="I282" s="14"/>
      <c r="J282" s="14"/>
      <c r="K282" s="14"/>
      <c r="L282" s="14"/>
      <c r="M282" s="14"/>
      <c r="N282" s="14"/>
      <c r="O282" s="14"/>
    </row>
    <row r="283" spans="1:15">
      <c r="A283" s="125"/>
    </row>
    <row r="284" spans="1:15">
      <c r="A284" s="125"/>
    </row>
    <row r="285" spans="1:15">
      <c r="A285" s="125"/>
    </row>
    <row r="286" spans="1:15">
      <c r="A286" s="125"/>
    </row>
    <row r="287" spans="1:15">
      <c r="A287" s="125"/>
    </row>
    <row r="288" spans="1:15">
      <c r="A288" s="125"/>
    </row>
    <row r="289" spans="1:17">
      <c r="A289" s="125"/>
      <c r="Q289" s="240"/>
    </row>
  </sheetData>
  <mergeCells count="1030">
    <mergeCell ref="RL272:SA272"/>
    <mergeCell ref="A2:O2"/>
    <mergeCell ref="A3:O3"/>
    <mergeCell ref="A269:O269"/>
    <mergeCell ref="A270:O270"/>
    <mergeCell ref="A271:O271"/>
    <mergeCell ref="A272:O272"/>
    <mergeCell ref="A268:O268"/>
    <mergeCell ref="P272:AE272"/>
    <mergeCell ref="AF272:AU272"/>
    <mergeCell ref="AV272:BK272"/>
    <mergeCell ref="BL272:CA272"/>
    <mergeCell ref="CB272:CQ272"/>
    <mergeCell ref="CR272:DG272"/>
    <mergeCell ref="DH272:DW272"/>
    <mergeCell ref="DX272:EM272"/>
    <mergeCell ref="EN272:FC272"/>
    <mergeCell ref="FD272:FS272"/>
    <mergeCell ref="FT272:GI272"/>
    <mergeCell ref="GJ272:GY272"/>
    <mergeCell ref="GZ272:HO272"/>
    <mergeCell ref="HP272:IE272"/>
    <mergeCell ref="IF272:IU272"/>
    <mergeCell ref="IV272:JK272"/>
    <mergeCell ref="JL272:KA272"/>
    <mergeCell ref="KB272:KQ272"/>
    <mergeCell ref="KR272:LG272"/>
    <mergeCell ref="LH272:LW272"/>
    <mergeCell ref="LX272:MM272"/>
    <mergeCell ref="MN272:NC272"/>
    <mergeCell ref="ND272:NS272"/>
    <mergeCell ref="NT272:OI272"/>
    <mergeCell ref="OJ272:OY272"/>
    <mergeCell ref="OZ272:PO272"/>
    <mergeCell ref="PP272:QE272"/>
    <mergeCell ref="QF272:QU272"/>
    <mergeCell ref="QV272:RK272"/>
    <mergeCell ref="ANP272:AOE272"/>
    <mergeCell ref="SB272:SQ272"/>
    <mergeCell ref="SR272:TG272"/>
    <mergeCell ref="TH272:TW272"/>
    <mergeCell ref="TX272:UM272"/>
    <mergeCell ref="UN272:VC272"/>
    <mergeCell ref="VD272:VS272"/>
    <mergeCell ref="VT272:WI272"/>
    <mergeCell ref="WJ272:WY272"/>
    <mergeCell ref="WZ272:XO272"/>
    <mergeCell ref="XP272:YE272"/>
    <mergeCell ref="YF272:YU272"/>
    <mergeCell ref="YV272:ZK272"/>
    <mergeCell ref="ZL272:AAA272"/>
    <mergeCell ref="AAB272:AAQ272"/>
    <mergeCell ref="AAR272:ABG272"/>
    <mergeCell ref="ABH272:ABW272"/>
    <mergeCell ref="ABX272:ACM272"/>
    <mergeCell ref="ACN272:ADC272"/>
    <mergeCell ref="ADD272:ADS272"/>
    <mergeCell ref="ADT272:AEI272"/>
    <mergeCell ref="AEJ272:AEY272"/>
    <mergeCell ref="AEZ272:AFO272"/>
    <mergeCell ref="AFP272:AGE272"/>
    <mergeCell ref="AGF272:AGU272"/>
    <mergeCell ref="AGV272:AHK272"/>
    <mergeCell ref="AHL272:AIA272"/>
    <mergeCell ref="AIB272:AIQ272"/>
    <mergeCell ref="AIR272:AJG272"/>
    <mergeCell ref="AJH272:AJW272"/>
    <mergeCell ref="AJX272:AKM272"/>
    <mergeCell ref="AKN272:ALC272"/>
    <mergeCell ref="ALD272:ALS272"/>
    <mergeCell ref="ALT272:AMI272"/>
    <mergeCell ref="AMJ272:AMY272"/>
    <mergeCell ref="AMZ272:ANO272"/>
    <mergeCell ref="BJT272:BKI272"/>
    <mergeCell ref="AOF272:AOU272"/>
    <mergeCell ref="AOV272:APK272"/>
    <mergeCell ref="APL272:AQA272"/>
    <mergeCell ref="AQB272:AQQ272"/>
    <mergeCell ref="AQR272:ARG272"/>
    <mergeCell ref="ARH272:ARW272"/>
    <mergeCell ref="ARX272:ASM272"/>
    <mergeCell ref="ASN272:ATC272"/>
    <mergeCell ref="ATD272:ATS272"/>
    <mergeCell ref="ATT272:AUI272"/>
    <mergeCell ref="AUJ272:AUY272"/>
    <mergeCell ref="AUZ272:AVO272"/>
    <mergeCell ref="AVP272:AWE272"/>
    <mergeCell ref="AWF272:AWU272"/>
    <mergeCell ref="AWV272:AXK272"/>
    <mergeCell ref="AXL272:AYA272"/>
    <mergeCell ref="AYB272:AYQ272"/>
    <mergeCell ref="AYR272:AZG272"/>
    <mergeCell ref="AZH272:AZW272"/>
    <mergeCell ref="AZX272:BAM272"/>
    <mergeCell ref="BAN272:BBC272"/>
    <mergeCell ref="BBD272:BBS272"/>
    <mergeCell ref="BBT272:BCI272"/>
    <mergeCell ref="BCJ272:BCY272"/>
    <mergeCell ref="BCZ272:BDO272"/>
    <mergeCell ref="BDP272:BEE272"/>
    <mergeCell ref="BEF272:BEU272"/>
    <mergeCell ref="BEV272:BFK272"/>
    <mergeCell ref="BFL272:BGA272"/>
    <mergeCell ref="BGB272:BGQ272"/>
    <mergeCell ref="BGR272:BHG272"/>
    <mergeCell ref="BHH272:BHW272"/>
    <mergeCell ref="BHX272:BIM272"/>
    <mergeCell ref="BIN272:BJC272"/>
    <mergeCell ref="BJD272:BJS272"/>
    <mergeCell ref="CFX272:CGM272"/>
    <mergeCell ref="BKJ272:BKY272"/>
    <mergeCell ref="BKZ272:BLO272"/>
    <mergeCell ref="BLP272:BME272"/>
    <mergeCell ref="BMF272:BMU272"/>
    <mergeCell ref="BMV272:BNK272"/>
    <mergeCell ref="BNL272:BOA272"/>
    <mergeCell ref="BOB272:BOQ272"/>
    <mergeCell ref="BOR272:BPG272"/>
    <mergeCell ref="BPH272:BPW272"/>
    <mergeCell ref="BPX272:BQM272"/>
    <mergeCell ref="BQN272:BRC272"/>
    <mergeCell ref="BRD272:BRS272"/>
    <mergeCell ref="BRT272:BSI272"/>
    <mergeCell ref="BSJ272:BSY272"/>
    <mergeCell ref="BSZ272:BTO272"/>
    <mergeCell ref="BTP272:BUE272"/>
    <mergeCell ref="BUF272:BUU272"/>
    <mergeCell ref="BUV272:BVK272"/>
    <mergeCell ref="BVL272:BWA272"/>
    <mergeCell ref="BWB272:BWQ272"/>
    <mergeCell ref="BWR272:BXG272"/>
    <mergeCell ref="BXH272:BXW272"/>
    <mergeCell ref="BXX272:BYM272"/>
    <mergeCell ref="BYN272:BZC272"/>
    <mergeCell ref="BZD272:BZS272"/>
    <mergeCell ref="BZT272:CAI272"/>
    <mergeCell ref="CAJ272:CAY272"/>
    <mergeCell ref="CAZ272:CBO272"/>
    <mergeCell ref="CBP272:CCE272"/>
    <mergeCell ref="CCF272:CCU272"/>
    <mergeCell ref="CCV272:CDK272"/>
    <mergeCell ref="CDL272:CEA272"/>
    <mergeCell ref="CEB272:CEQ272"/>
    <mergeCell ref="CER272:CFG272"/>
    <mergeCell ref="CFH272:CFW272"/>
    <mergeCell ref="DCB272:DCQ272"/>
    <mergeCell ref="CGN272:CHC272"/>
    <mergeCell ref="CHD272:CHS272"/>
    <mergeCell ref="CHT272:CII272"/>
    <mergeCell ref="CIJ272:CIY272"/>
    <mergeCell ref="CIZ272:CJO272"/>
    <mergeCell ref="CJP272:CKE272"/>
    <mergeCell ref="CKF272:CKU272"/>
    <mergeCell ref="CKV272:CLK272"/>
    <mergeCell ref="CLL272:CMA272"/>
    <mergeCell ref="CMB272:CMQ272"/>
    <mergeCell ref="CMR272:CNG272"/>
    <mergeCell ref="CNH272:CNW272"/>
    <mergeCell ref="CNX272:COM272"/>
    <mergeCell ref="CON272:CPC272"/>
    <mergeCell ref="CPD272:CPS272"/>
    <mergeCell ref="CPT272:CQI272"/>
    <mergeCell ref="CQJ272:CQY272"/>
    <mergeCell ref="CQZ272:CRO272"/>
    <mergeCell ref="CRP272:CSE272"/>
    <mergeCell ref="CSF272:CSU272"/>
    <mergeCell ref="CSV272:CTK272"/>
    <mergeCell ref="CTL272:CUA272"/>
    <mergeCell ref="CUB272:CUQ272"/>
    <mergeCell ref="CUR272:CVG272"/>
    <mergeCell ref="CVH272:CVW272"/>
    <mergeCell ref="CVX272:CWM272"/>
    <mergeCell ref="CWN272:CXC272"/>
    <mergeCell ref="CXD272:CXS272"/>
    <mergeCell ref="CXT272:CYI272"/>
    <mergeCell ref="CYJ272:CYY272"/>
    <mergeCell ref="CYZ272:CZO272"/>
    <mergeCell ref="CZP272:DAE272"/>
    <mergeCell ref="DAF272:DAU272"/>
    <mergeCell ref="DAV272:DBK272"/>
    <mergeCell ref="DBL272:DCA272"/>
    <mergeCell ref="DYF272:DYU272"/>
    <mergeCell ref="DCR272:DDG272"/>
    <mergeCell ref="DDH272:DDW272"/>
    <mergeCell ref="DDX272:DEM272"/>
    <mergeCell ref="DEN272:DFC272"/>
    <mergeCell ref="DFD272:DFS272"/>
    <mergeCell ref="DFT272:DGI272"/>
    <mergeCell ref="DGJ272:DGY272"/>
    <mergeCell ref="DGZ272:DHO272"/>
    <mergeCell ref="DHP272:DIE272"/>
    <mergeCell ref="DIF272:DIU272"/>
    <mergeCell ref="DIV272:DJK272"/>
    <mergeCell ref="DJL272:DKA272"/>
    <mergeCell ref="DKB272:DKQ272"/>
    <mergeCell ref="DKR272:DLG272"/>
    <mergeCell ref="DLH272:DLW272"/>
    <mergeCell ref="DLX272:DMM272"/>
    <mergeCell ref="DMN272:DNC272"/>
    <mergeCell ref="DND272:DNS272"/>
    <mergeCell ref="DNT272:DOI272"/>
    <mergeCell ref="DOJ272:DOY272"/>
    <mergeCell ref="DOZ272:DPO272"/>
    <mergeCell ref="DPP272:DQE272"/>
    <mergeCell ref="DQF272:DQU272"/>
    <mergeCell ref="DQV272:DRK272"/>
    <mergeCell ref="DRL272:DSA272"/>
    <mergeCell ref="DSB272:DSQ272"/>
    <mergeCell ref="DSR272:DTG272"/>
    <mergeCell ref="DTH272:DTW272"/>
    <mergeCell ref="DTX272:DUM272"/>
    <mergeCell ref="DUN272:DVC272"/>
    <mergeCell ref="DVD272:DVS272"/>
    <mergeCell ref="DVT272:DWI272"/>
    <mergeCell ref="DWJ272:DWY272"/>
    <mergeCell ref="DWZ272:DXO272"/>
    <mergeCell ref="DXP272:DYE272"/>
    <mergeCell ref="EUJ272:EUY272"/>
    <mergeCell ref="DYV272:DZK272"/>
    <mergeCell ref="DZL272:EAA272"/>
    <mergeCell ref="EAB272:EAQ272"/>
    <mergeCell ref="EAR272:EBG272"/>
    <mergeCell ref="EBH272:EBW272"/>
    <mergeCell ref="EBX272:ECM272"/>
    <mergeCell ref="ECN272:EDC272"/>
    <mergeCell ref="EDD272:EDS272"/>
    <mergeCell ref="EDT272:EEI272"/>
    <mergeCell ref="EEJ272:EEY272"/>
    <mergeCell ref="EEZ272:EFO272"/>
    <mergeCell ref="EFP272:EGE272"/>
    <mergeCell ref="EGF272:EGU272"/>
    <mergeCell ref="EGV272:EHK272"/>
    <mergeCell ref="EHL272:EIA272"/>
    <mergeCell ref="EIB272:EIQ272"/>
    <mergeCell ref="EIR272:EJG272"/>
    <mergeCell ref="EJH272:EJW272"/>
    <mergeCell ref="EJX272:EKM272"/>
    <mergeCell ref="EKN272:ELC272"/>
    <mergeCell ref="ELD272:ELS272"/>
    <mergeCell ref="ELT272:EMI272"/>
    <mergeCell ref="EMJ272:EMY272"/>
    <mergeCell ref="EMZ272:ENO272"/>
    <mergeCell ref="ENP272:EOE272"/>
    <mergeCell ref="EOF272:EOU272"/>
    <mergeCell ref="EOV272:EPK272"/>
    <mergeCell ref="EPL272:EQA272"/>
    <mergeCell ref="EQB272:EQQ272"/>
    <mergeCell ref="EQR272:ERG272"/>
    <mergeCell ref="ERH272:ERW272"/>
    <mergeCell ref="ERX272:ESM272"/>
    <mergeCell ref="ESN272:ETC272"/>
    <mergeCell ref="ETD272:ETS272"/>
    <mergeCell ref="ETT272:EUI272"/>
    <mergeCell ref="FQN272:FRC272"/>
    <mergeCell ref="EUZ272:EVO272"/>
    <mergeCell ref="EVP272:EWE272"/>
    <mergeCell ref="EWF272:EWU272"/>
    <mergeCell ref="EWV272:EXK272"/>
    <mergeCell ref="EXL272:EYA272"/>
    <mergeCell ref="EYB272:EYQ272"/>
    <mergeCell ref="EYR272:EZG272"/>
    <mergeCell ref="EZH272:EZW272"/>
    <mergeCell ref="EZX272:FAM272"/>
    <mergeCell ref="FAN272:FBC272"/>
    <mergeCell ref="FBD272:FBS272"/>
    <mergeCell ref="FBT272:FCI272"/>
    <mergeCell ref="FCJ272:FCY272"/>
    <mergeCell ref="FCZ272:FDO272"/>
    <mergeCell ref="FDP272:FEE272"/>
    <mergeCell ref="FEF272:FEU272"/>
    <mergeCell ref="FEV272:FFK272"/>
    <mergeCell ref="FFL272:FGA272"/>
    <mergeCell ref="FGB272:FGQ272"/>
    <mergeCell ref="FGR272:FHG272"/>
    <mergeCell ref="FHH272:FHW272"/>
    <mergeCell ref="FHX272:FIM272"/>
    <mergeCell ref="FIN272:FJC272"/>
    <mergeCell ref="FJD272:FJS272"/>
    <mergeCell ref="FJT272:FKI272"/>
    <mergeCell ref="FKJ272:FKY272"/>
    <mergeCell ref="FKZ272:FLO272"/>
    <mergeCell ref="FLP272:FME272"/>
    <mergeCell ref="FMF272:FMU272"/>
    <mergeCell ref="FMV272:FNK272"/>
    <mergeCell ref="FNL272:FOA272"/>
    <mergeCell ref="FOB272:FOQ272"/>
    <mergeCell ref="FOR272:FPG272"/>
    <mergeCell ref="FPH272:FPW272"/>
    <mergeCell ref="FPX272:FQM272"/>
    <mergeCell ref="GMR272:GNG272"/>
    <mergeCell ref="FRD272:FRS272"/>
    <mergeCell ref="FRT272:FSI272"/>
    <mergeCell ref="FSJ272:FSY272"/>
    <mergeCell ref="FSZ272:FTO272"/>
    <mergeCell ref="FTP272:FUE272"/>
    <mergeCell ref="FUF272:FUU272"/>
    <mergeCell ref="FUV272:FVK272"/>
    <mergeCell ref="FVL272:FWA272"/>
    <mergeCell ref="FWB272:FWQ272"/>
    <mergeCell ref="FWR272:FXG272"/>
    <mergeCell ref="FXH272:FXW272"/>
    <mergeCell ref="FXX272:FYM272"/>
    <mergeCell ref="FYN272:FZC272"/>
    <mergeCell ref="FZD272:FZS272"/>
    <mergeCell ref="FZT272:GAI272"/>
    <mergeCell ref="GAJ272:GAY272"/>
    <mergeCell ref="GAZ272:GBO272"/>
    <mergeCell ref="GBP272:GCE272"/>
    <mergeCell ref="GCF272:GCU272"/>
    <mergeCell ref="GCV272:GDK272"/>
    <mergeCell ref="GDL272:GEA272"/>
    <mergeCell ref="GEB272:GEQ272"/>
    <mergeCell ref="GER272:GFG272"/>
    <mergeCell ref="GFH272:GFW272"/>
    <mergeCell ref="GFX272:GGM272"/>
    <mergeCell ref="GGN272:GHC272"/>
    <mergeCell ref="GHD272:GHS272"/>
    <mergeCell ref="GHT272:GII272"/>
    <mergeCell ref="GIJ272:GIY272"/>
    <mergeCell ref="GIZ272:GJO272"/>
    <mergeCell ref="GJP272:GKE272"/>
    <mergeCell ref="GKF272:GKU272"/>
    <mergeCell ref="GKV272:GLK272"/>
    <mergeCell ref="GLL272:GMA272"/>
    <mergeCell ref="GMB272:GMQ272"/>
    <mergeCell ref="HIV272:HJK272"/>
    <mergeCell ref="GNH272:GNW272"/>
    <mergeCell ref="GNX272:GOM272"/>
    <mergeCell ref="GON272:GPC272"/>
    <mergeCell ref="GPD272:GPS272"/>
    <mergeCell ref="GPT272:GQI272"/>
    <mergeCell ref="GQJ272:GQY272"/>
    <mergeCell ref="GQZ272:GRO272"/>
    <mergeCell ref="GRP272:GSE272"/>
    <mergeCell ref="GSF272:GSU272"/>
    <mergeCell ref="GSV272:GTK272"/>
    <mergeCell ref="GTL272:GUA272"/>
    <mergeCell ref="GUB272:GUQ272"/>
    <mergeCell ref="GUR272:GVG272"/>
    <mergeCell ref="GVH272:GVW272"/>
    <mergeCell ref="GVX272:GWM272"/>
    <mergeCell ref="GWN272:GXC272"/>
    <mergeCell ref="GXD272:GXS272"/>
    <mergeCell ref="GXT272:GYI272"/>
    <mergeCell ref="GYJ272:GYY272"/>
    <mergeCell ref="GYZ272:GZO272"/>
    <mergeCell ref="GZP272:HAE272"/>
    <mergeCell ref="HAF272:HAU272"/>
    <mergeCell ref="HAV272:HBK272"/>
    <mergeCell ref="HBL272:HCA272"/>
    <mergeCell ref="HCB272:HCQ272"/>
    <mergeCell ref="HCR272:HDG272"/>
    <mergeCell ref="HDH272:HDW272"/>
    <mergeCell ref="HDX272:HEM272"/>
    <mergeCell ref="HEN272:HFC272"/>
    <mergeCell ref="HFD272:HFS272"/>
    <mergeCell ref="HFT272:HGI272"/>
    <mergeCell ref="HGJ272:HGY272"/>
    <mergeCell ref="HGZ272:HHO272"/>
    <mergeCell ref="HHP272:HIE272"/>
    <mergeCell ref="HIF272:HIU272"/>
    <mergeCell ref="IEZ272:IFO272"/>
    <mergeCell ref="HJL272:HKA272"/>
    <mergeCell ref="HKB272:HKQ272"/>
    <mergeCell ref="HKR272:HLG272"/>
    <mergeCell ref="HLH272:HLW272"/>
    <mergeCell ref="HLX272:HMM272"/>
    <mergeCell ref="HMN272:HNC272"/>
    <mergeCell ref="HND272:HNS272"/>
    <mergeCell ref="HNT272:HOI272"/>
    <mergeCell ref="HOJ272:HOY272"/>
    <mergeCell ref="HOZ272:HPO272"/>
    <mergeCell ref="HPP272:HQE272"/>
    <mergeCell ref="HQF272:HQU272"/>
    <mergeCell ref="HQV272:HRK272"/>
    <mergeCell ref="HRL272:HSA272"/>
    <mergeCell ref="HSB272:HSQ272"/>
    <mergeCell ref="HSR272:HTG272"/>
    <mergeCell ref="HTH272:HTW272"/>
    <mergeCell ref="HTX272:HUM272"/>
    <mergeCell ref="HUN272:HVC272"/>
    <mergeCell ref="HVD272:HVS272"/>
    <mergeCell ref="HVT272:HWI272"/>
    <mergeCell ref="HWJ272:HWY272"/>
    <mergeCell ref="HWZ272:HXO272"/>
    <mergeCell ref="HXP272:HYE272"/>
    <mergeCell ref="HYF272:HYU272"/>
    <mergeCell ref="HYV272:HZK272"/>
    <mergeCell ref="HZL272:IAA272"/>
    <mergeCell ref="IAB272:IAQ272"/>
    <mergeCell ref="IAR272:IBG272"/>
    <mergeCell ref="IBH272:IBW272"/>
    <mergeCell ref="IBX272:ICM272"/>
    <mergeCell ref="ICN272:IDC272"/>
    <mergeCell ref="IDD272:IDS272"/>
    <mergeCell ref="IDT272:IEI272"/>
    <mergeCell ref="IEJ272:IEY272"/>
    <mergeCell ref="JBD272:JBS272"/>
    <mergeCell ref="IFP272:IGE272"/>
    <mergeCell ref="IGF272:IGU272"/>
    <mergeCell ref="IGV272:IHK272"/>
    <mergeCell ref="IHL272:IIA272"/>
    <mergeCell ref="IIB272:IIQ272"/>
    <mergeCell ref="IIR272:IJG272"/>
    <mergeCell ref="IJH272:IJW272"/>
    <mergeCell ref="IJX272:IKM272"/>
    <mergeCell ref="IKN272:ILC272"/>
    <mergeCell ref="ILD272:ILS272"/>
    <mergeCell ref="ILT272:IMI272"/>
    <mergeCell ref="IMJ272:IMY272"/>
    <mergeCell ref="IMZ272:INO272"/>
    <mergeCell ref="INP272:IOE272"/>
    <mergeCell ref="IOF272:IOU272"/>
    <mergeCell ref="IOV272:IPK272"/>
    <mergeCell ref="IPL272:IQA272"/>
    <mergeCell ref="IQB272:IQQ272"/>
    <mergeCell ref="IQR272:IRG272"/>
    <mergeCell ref="IRH272:IRW272"/>
    <mergeCell ref="IRX272:ISM272"/>
    <mergeCell ref="ISN272:ITC272"/>
    <mergeCell ref="ITD272:ITS272"/>
    <mergeCell ref="ITT272:IUI272"/>
    <mergeCell ref="IUJ272:IUY272"/>
    <mergeCell ref="IUZ272:IVO272"/>
    <mergeCell ref="IVP272:IWE272"/>
    <mergeCell ref="IWF272:IWU272"/>
    <mergeCell ref="IWV272:IXK272"/>
    <mergeCell ref="IXL272:IYA272"/>
    <mergeCell ref="IYB272:IYQ272"/>
    <mergeCell ref="IYR272:IZG272"/>
    <mergeCell ref="IZH272:IZW272"/>
    <mergeCell ref="IZX272:JAM272"/>
    <mergeCell ref="JAN272:JBC272"/>
    <mergeCell ref="JXH272:JXW272"/>
    <mergeCell ref="JBT272:JCI272"/>
    <mergeCell ref="JCJ272:JCY272"/>
    <mergeCell ref="JCZ272:JDO272"/>
    <mergeCell ref="JDP272:JEE272"/>
    <mergeCell ref="JEF272:JEU272"/>
    <mergeCell ref="JEV272:JFK272"/>
    <mergeCell ref="JFL272:JGA272"/>
    <mergeCell ref="JGB272:JGQ272"/>
    <mergeCell ref="JGR272:JHG272"/>
    <mergeCell ref="JHH272:JHW272"/>
    <mergeCell ref="JHX272:JIM272"/>
    <mergeCell ref="JIN272:JJC272"/>
    <mergeCell ref="JJD272:JJS272"/>
    <mergeCell ref="JJT272:JKI272"/>
    <mergeCell ref="JKJ272:JKY272"/>
    <mergeCell ref="JKZ272:JLO272"/>
    <mergeCell ref="JLP272:JME272"/>
    <mergeCell ref="JMF272:JMU272"/>
    <mergeCell ref="JMV272:JNK272"/>
    <mergeCell ref="JNL272:JOA272"/>
    <mergeCell ref="JOB272:JOQ272"/>
    <mergeCell ref="JOR272:JPG272"/>
    <mergeCell ref="JPH272:JPW272"/>
    <mergeCell ref="JPX272:JQM272"/>
    <mergeCell ref="JQN272:JRC272"/>
    <mergeCell ref="JRD272:JRS272"/>
    <mergeCell ref="JRT272:JSI272"/>
    <mergeCell ref="JSJ272:JSY272"/>
    <mergeCell ref="JSZ272:JTO272"/>
    <mergeCell ref="JTP272:JUE272"/>
    <mergeCell ref="JUF272:JUU272"/>
    <mergeCell ref="JUV272:JVK272"/>
    <mergeCell ref="JVL272:JWA272"/>
    <mergeCell ref="JWB272:JWQ272"/>
    <mergeCell ref="JWR272:JXG272"/>
    <mergeCell ref="KTL272:KUA272"/>
    <mergeCell ref="JXX272:JYM272"/>
    <mergeCell ref="JYN272:JZC272"/>
    <mergeCell ref="JZD272:JZS272"/>
    <mergeCell ref="JZT272:KAI272"/>
    <mergeCell ref="KAJ272:KAY272"/>
    <mergeCell ref="KAZ272:KBO272"/>
    <mergeCell ref="KBP272:KCE272"/>
    <mergeCell ref="KCF272:KCU272"/>
    <mergeCell ref="KCV272:KDK272"/>
    <mergeCell ref="KDL272:KEA272"/>
    <mergeCell ref="KEB272:KEQ272"/>
    <mergeCell ref="KER272:KFG272"/>
    <mergeCell ref="KFH272:KFW272"/>
    <mergeCell ref="KFX272:KGM272"/>
    <mergeCell ref="KGN272:KHC272"/>
    <mergeCell ref="KHD272:KHS272"/>
    <mergeCell ref="KHT272:KII272"/>
    <mergeCell ref="KIJ272:KIY272"/>
    <mergeCell ref="KIZ272:KJO272"/>
    <mergeCell ref="KJP272:KKE272"/>
    <mergeCell ref="KKF272:KKU272"/>
    <mergeCell ref="KKV272:KLK272"/>
    <mergeCell ref="KLL272:KMA272"/>
    <mergeCell ref="KMB272:KMQ272"/>
    <mergeCell ref="KMR272:KNG272"/>
    <mergeCell ref="KNH272:KNW272"/>
    <mergeCell ref="KNX272:KOM272"/>
    <mergeCell ref="KON272:KPC272"/>
    <mergeCell ref="KPD272:KPS272"/>
    <mergeCell ref="KPT272:KQI272"/>
    <mergeCell ref="KQJ272:KQY272"/>
    <mergeCell ref="KQZ272:KRO272"/>
    <mergeCell ref="KRP272:KSE272"/>
    <mergeCell ref="KSF272:KSU272"/>
    <mergeCell ref="KSV272:KTK272"/>
    <mergeCell ref="LPP272:LQE272"/>
    <mergeCell ref="KUB272:KUQ272"/>
    <mergeCell ref="KUR272:KVG272"/>
    <mergeCell ref="KVH272:KVW272"/>
    <mergeCell ref="KVX272:KWM272"/>
    <mergeCell ref="KWN272:KXC272"/>
    <mergeCell ref="KXD272:KXS272"/>
    <mergeCell ref="KXT272:KYI272"/>
    <mergeCell ref="KYJ272:KYY272"/>
    <mergeCell ref="KYZ272:KZO272"/>
    <mergeCell ref="KZP272:LAE272"/>
    <mergeCell ref="LAF272:LAU272"/>
    <mergeCell ref="LAV272:LBK272"/>
    <mergeCell ref="LBL272:LCA272"/>
    <mergeCell ref="LCB272:LCQ272"/>
    <mergeCell ref="LCR272:LDG272"/>
    <mergeCell ref="LDH272:LDW272"/>
    <mergeCell ref="LDX272:LEM272"/>
    <mergeCell ref="LEN272:LFC272"/>
    <mergeCell ref="LFD272:LFS272"/>
    <mergeCell ref="LFT272:LGI272"/>
    <mergeCell ref="LGJ272:LGY272"/>
    <mergeCell ref="LGZ272:LHO272"/>
    <mergeCell ref="LHP272:LIE272"/>
    <mergeCell ref="LIF272:LIU272"/>
    <mergeCell ref="LIV272:LJK272"/>
    <mergeCell ref="LJL272:LKA272"/>
    <mergeCell ref="LKB272:LKQ272"/>
    <mergeCell ref="LKR272:LLG272"/>
    <mergeCell ref="LLH272:LLW272"/>
    <mergeCell ref="LLX272:LMM272"/>
    <mergeCell ref="LMN272:LNC272"/>
    <mergeCell ref="LND272:LNS272"/>
    <mergeCell ref="LNT272:LOI272"/>
    <mergeCell ref="LOJ272:LOY272"/>
    <mergeCell ref="LOZ272:LPO272"/>
    <mergeCell ref="MLT272:MMI272"/>
    <mergeCell ref="LQF272:LQU272"/>
    <mergeCell ref="LQV272:LRK272"/>
    <mergeCell ref="LRL272:LSA272"/>
    <mergeCell ref="LSB272:LSQ272"/>
    <mergeCell ref="LSR272:LTG272"/>
    <mergeCell ref="LTH272:LTW272"/>
    <mergeCell ref="LTX272:LUM272"/>
    <mergeCell ref="LUN272:LVC272"/>
    <mergeCell ref="LVD272:LVS272"/>
    <mergeCell ref="LVT272:LWI272"/>
    <mergeCell ref="LWJ272:LWY272"/>
    <mergeCell ref="LWZ272:LXO272"/>
    <mergeCell ref="LXP272:LYE272"/>
    <mergeCell ref="LYF272:LYU272"/>
    <mergeCell ref="LYV272:LZK272"/>
    <mergeCell ref="LZL272:MAA272"/>
    <mergeCell ref="MAB272:MAQ272"/>
    <mergeCell ref="MAR272:MBG272"/>
    <mergeCell ref="MBH272:MBW272"/>
    <mergeCell ref="MBX272:MCM272"/>
    <mergeCell ref="MCN272:MDC272"/>
    <mergeCell ref="MDD272:MDS272"/>
    <mergeCell ref="MDT272:MEI272"/>
    <mergeCell ref="MEJ272:MEY272"/>
    <mergeCell ref="MEZ272:MFO272"/>
    <mergeCell ref="MFP272:MGE272"/>
    <mergeCell ref="MGF272:MGU272"/>
    <mergeCell ref="MGV272:MHK272"/>
    <mergeCell ref="MHL272:MIA272"/>
    <mergeCell ref="MIB272:MIQ272"/>
    <mergeCell ref="MIR272:MJG272"/>
    <mergeCell ref="MJH272:MJW272"/>
    <mergeCell ref="MJX272:MKM272"/>
    <mergeCell ref="MKN272:MLC272"/>
    <mergeCell ref="MLD272:MLS272"/>
    <mergeCell ref="NHX272:NIM272"/>
    <mergeCell ref="MMJ272:MMY272"/>
    <mergeCell ref="MMZ272:MNO272"/>
    <mergeCell ref="MNP272:MOE272"/>
    <mergeCell ref="MOF272:MOU272"/>
    <mergeCell ref="MOV272:MPK272"/>
    <mergeCell ref="MPL272:MQA272"/>
    <mergeCell ref="MQB272:MQQ272"/>
    <mergeCell ref="MQR272:MRG272"/>
    <mergeCell ref="MRH272:MRW272"/>
    <mergeCell ref="MRX272:MSM272"/>
    <mergeCell ref="MSN272:MTC272"/>
    <mergeCell ref="MTD272:MTS272"/>
    <mergeCell ref="MTT272:MUI272"/>
    <mergeCell ref="MUJ272:MUY272"/>
    <mergeCell ref="MUZ272:MVO272"/>
    <mergeCell ref="MVP272:MWE272"/>
    <mergeCell ref="MWF272:MWU272"/>
    <mergeCell ref="MWV272:MXK272"/>
    <mergeCell ref="MXL272:MYA272"/>
    <mergeCell ref="MYB272:MYQ272"/>
    <mergeCell ref="MYR272:MZG272"/>
    <mergeCell ref="MZH272:MZW272"/>
    <mergeCell ref="MZX272:NAM272"/>
    <mergeCell ref="NAN272:NBC272"/>
    <mergeCell ref="NBD272:NBS272"/>
    <mergeCell ref="NBT272:NCI272"/>
    <mergeCell ref="NCJ272:NCY272"/>
    <mergeCell ref="NCZ272:NDO272"/>
    <mergeCell ref="NDP272:NEE272"/>
    <mergeCell ref="NEF272:NEU272"/>
    <mergeCell ref="NEV272:NFK272"/>
    <mergeCell ref="NFL272:NGA272"/>
    <mergeCell ref="NGB272:NGQ272"/>
    <mergeCell ref="NGR272:NHG272"/>
    <mergeCell ref="NHH272:NHW272"/>
    <mergeCell ref="OEB272:OEQ272"/>
    <mergeCell ref="NIN272:NJC272"/>
    <mergeCell ref="NJD272:NJS272"/>
    <mergeCell ref="NJT272:NKI272"/>
    <mergeCell ref="NKJ272:NKY272"/>
    <mergeCell ref="NKZ272:NLO272"/>
    <mergeCell ref="NLP272:NME272"/>
    <mergeCell ref="NMF272:NMU272"/>
    <mergeCell ref="NMV272:NNK272"/>
    <mergeCell ref="NNL272:NOA272"/>
    <mergeCell ref="NOB272:NOQ272"/>
    <mergeCell ref="NOR272:NPG272"/>
    <mergeCell ref="NPH272:NPW272"/>
    <mergeCell ref="NPX272:NQM272"/>
    <mergeCell ref="NQN272:NRC272"/>
    <mergeCell ref="NRD272:NRS272"/>
    <mergeCell ref="NRT272:NSI272"/>
    <mergeCell ref="NSJ272:NSY272"/>
    <mergeCell ref="NSZ272:NTO272"/>
    <mergeCell ref="NTP272:NUE272"/>
    <mergeCell ref="NUF272:NUU272"/>
    <mergeCell ref="NUV272:NVK272"/>
    <mergeCell ref="NVL272:NWA272"/>
    <mergeCell ref="NWB272:NWQ272"/>
    <mergeCell ref="NWR272:NXG272"/>
    <mergeCell ref="NXH272:NXW272"/>
    <mergeCell ref="NXX272:NYM272"/>
    <mergeCell ref="NYN272:NZC272"/>
    <mergeCell ref="NZD272:NZS272"/>
    <mergeCell ref="NZT272:OAI272"/>
    <mergeCell ref="OAJ272:OAY272"/>
    <mergeCell ref="OAZ272:OBO272"/>
    <mergeCell ref="OBP272:OCE272"/>
    <mergeCell ref="OCF272:OCU272"/>
    <mergeCell ref="OCV272:ODK272"/>
    <mergeCell ref="ODL272:OEA272"/>
    <mergeCell ref="PAF272:PAU272"/>
    <mergeCell ref="OER272:OFG272"/>
    <mergeCell ref="OFH272:OFW272"/>
    <mergeCell ref="OFX272:OGM272"/>
    <mergeCell ref="OGN272:OHC272"/>
    <mergeCell ref="OHD272:OHS272"/>
    <mergeCell ref="OHT272:OII272"/>
    <mergeCell ref="OIJ272:OIY272"/>
    <mergeCell ref="OIZ272:OJO272"/>
    <mergeCell ref="OJP272:OKE272"/>
    <mergeCell ref="OKF272:OKU272"/>
    <mergeCell ref="OKV272:OLK272"/>
    <mergeCell ref="OLL272:OMA272"/>
    <mergeCell ref="OMB272:OMQ272"/>
    <mergeCell ref="OMR272:ONG272"/>
    <mergeCell ref="ONH272:ONW272"/>
    <mergeCell ref="ONX272:OOM272"/>
    <mergeCell ref="OON272:OPC272"/>
    <mergeCell ref="OPD272:OPS272"/>
    <mergeCell ref="OPT272:OQI272"/>
    <mergeCell ref="OQJ272:OQY272"/>
    <mergeCell ref="OQZ272:ORO272"/>
    <mergeCell ref="ORP272:OSE272"/>
    <mergeCell ref="OSF272:OSU272"/>
    <mergeCell ref="OSV272:OTK272"/>
    <mergeCell ref="OTL272:OUA272"/>
    <mergeCell ref="OUB272:OUQ272"/>
    <mergeCell ref="OUR272:OVG272"/>
    <mergeCell ref="OVH272:OVW272"/>
    <mergeCell ref="OVX272:OWM272"/>
    <mergeCell ref="OWN272:OXC272"/>
    <mergeCell ref="OXD272:OXS272"/>
    <mergeCell ref="OXT272:OYI272"/>
    <mergeCell ref="OYJ272:OYY272"/>
    <mergeCell ref="OYZ272:OZO272"/>
    <mergeCell ref="OZP272:PAE272"/>
    <mergeCell ref="PWJ272:PWY272"/>
    <mergeCell ref="PAV272:PBK272"/>
    <mergeCell ref="PBL272:PCA272"/>
    <mergeCell ref="PCB272:PCQ272"/>
    <mergeCell ref="PCR272:PDG272"/>
    <mergeCell ref="PDH272:PDW272"/>
    <mergeCell ref="PDX272:PEM272"/>
    <mergeCell ref="PEN272:PFC272"/>
    <mergeCell ref="PFD272:PFS272"/>
    <mergeCell ref="PFT272:PGI272"/>
    <mergeCell ref="PGJ272:PGY272"/>
    <mergeCell ref="PGZ272:PHO272"/>
    <mergeCell ref="PHP272:PIE272"/>
    <mergeCell ref="PIF272:PIU272"/>
    <mergeCell ref="PIV272:PJK272"/>
    <mergeCell ref="PJL272:PKA272"/>
    <mergeCell ref="PKB272:PKQ272"/>
    <mergeCell ref="PKR272:PLG272"/>
    <mergeCell ref="PLH272:PLW272"/>
    <mergeCell ref="PLX272:PMM272"/>
    <mergeCell ref="PMN272:PNC272"/>
    <mergeCell ref="PND272:PNS272"/>
    <mergeCell ref="PNT272:POI272"/>
    <mergeCell ref="POJ272:POY272"/>
    <mergeCell ref="POZ272:PPO272"/>
    <mergeCell ref="PPP272:PQE272"/>
    <mergeCell ref="PQF272:PQU272"/>
    <mergeCell ref="PQV272:PRK272"/>
    <mergeCell ref="PRL272:PSA272"/>
    <mergeCell ref="PSB272:PSQ272"/>
    <mergeCell ref="PSR272:PTG272"/>
    <mergeCell ref="PTH272:PTW272"/>
    <mergeCell ref="PTX272:PUM272"/>
    <mergeCell ref="PUN272:PVC272"/>
    <mergeCell ref="PVD272:PVS272"/>
    <mergeCell ref="PVT272:PWI272"/>
    <mergeCell ref="QSN272:QTC272"/>
    <mergeCell ref="PWZ272:PXO272"/>
    <mergeCell ref="PXP272:PYE272"/>
    <mergeCell ref="PYF272:PYU272"/>
    <mergeCell ref="PYV272:PZK272"/>
    <mergeCell ref="PZL272:QAA272"/>
    <mergeCell ref="QAB272:QAQ272"/>
    <mergeCell ref="QAR272:QBG272"/>
    <mergeCell ref="QBH272:QBW272"/>
    <mergeCell ref="QBX272:QCM272"/>
    <mergeCell ref="QCN272:QDC272"/>
    <mergeCell ref="QDD272:QDS272"/>
    <mergeCell ref="QDT272:QEI272"/>
    <mergeCell ref="QEJ272:QEY272"/>
    <mergeCell ref="QEZ272:QFO272"/>
    <mergeCell ref="QFP272:QGE272"/>
    <mergeCell ref="QGF272:QGU272"/>
    <mergeCell ref="QGV272:QHK272"/>
    <mergeCell ref="QHL272:QIA272"/>
    <mergeCell ref="QIB272:QIQ272"/>
    <mergeCell ref="QIR272:QJG272"/>
    <mergeCell ref="QJH272:QJW272"/>
    <mergeCell ref="QJX272:QKM272"/>
    <mergeCell ref="QKN272:QLC272"/>
    <mergeCell ref="QLD272:QLS272"/>
    <mergeCell ref="QLT272:QMI272"/>
    <mergeCell ref="QMJ272:QMY272"/>
    <mergeCell ref="QMZ272:QNO272"/>
    <mergeCell ref="QNP272:QOE272"/>
    <mergeCell ref="QOF272:QOU272"/>
    <mergeCell ref="QOV272:QPK272"/>
    <mergeCell ref="QPL272:QQA272"/>
    <mergeCell ref="QQB272:QQQ272"/>
    <mergeCell ref="QQR272:QRG272"/>
    <mergeCell ref="QRH272:QRW272"/>
    <mergeCell ref="QRX272:QSM272"/>
    <mergeCell ref="ROR272:RPG272"/>
    <mergeCell ref="QTD272:QTS272"/>
    <mergeCell ref="QTT272:QUI272"/>
    <mergeCell ref="QUJ272:QUY272"/>
    <mergeCell ref="QUZ272:QVO272"/>
    <mergeCell ref="QVP272:QWE272"/>
    <mergeCell ref="QWF272:QWU272"/>
    <mergeCell ref="QWV272:QXK272"/>
    <mergeCell ref="QXL272:QYA272"/>
    <mergeCell ref="QYB272:QYQ272"/>
    <mergeCell ref="QYR272:QZG272"/>
    <mergeCell ref="QZH272:QZW272"/>
    <mergeCell ref="QZX272:RAM272"/>
    <mergeCell ref="RAN272:RBC272"/>
    <mergeCell ref="RBD272:RBS272"/>
    <mergeCell ref="RBT272:RCI272"/>
    <mergeCell ref="RCJ272:RCY272"/>
    <mergeCell ref="RCZ272:RDO272"/>
    <mergeCell ref="RDP272:REE272"/>
    <mergeCell ref="REF272:REU272"/>
    <mergeCell ref="REV272:RFK272"/>
    <mergeCell ref="RFL272:RGA272"/>
    <mergeCell ref="RGB272:RGQ272"/>
    <mergeCell ref="RGR272:RHG272"/>
    <mergeCell ref="RHH272:RHW272"/>
    <mergeCell ref="RHX272:RIM272"/>
    <mergeCell ref="RIN272:RJC272"/>
    <mergeCell ref="RJD272:RJS272"/>
    <mergeCell ref="RJT272:RKI272"/>
    <mergeCell ref="RKJ272:RKY272"/>
    <mergeCell ref="RKZ272:RLO272"/>
    <mergeCell ref="RLP272:RME272"/>
    <mergeCell ref="RMF272:RMU272"/>
    <mergeCell ref="RMV272:RNK272"/>
    <mergeCell ref="RNL272:ROA272"/>
    <mergeCell ref="ROB272:ROQ272"/>
    <mergeCell ref="SKV272:SLK272"/>
    <mergeCell ref="RPH272:RPW272"/>
    <mergeCell ref="RPX272:RQM272"/>
    <mergeCell ref="RQN272:RRC272"/>
    <mergeCell ref="RRD272:RRS272"/>
    <mergeCell ref="RRT272:RSI272"/>
    <mergeCell ref="RSJ272:RSY272"/>
    <mergeCell ref="RSZ272:RTO272"/>
    <mergeCell ref="RTP272:RUE272"/>
    <mergeCell ref="RUF272:RUU272"/>
    <mergeCell ref="RUV272:RVK272"/>
    <mergeCell ref="RVL272:RWA272"/>
    <mergeCell ref="RWB272:RWQ272"/>
    <mergeCell ref="RWR272:RXG272"/>
    <mergeCell ref="RXH272:RXW272"/>
    <mergeCell ref="RXX272:RYM272"/>
    <mergeCell ref="RYN272:RZC272"/>
    <mergeCell ref="RZD272:RZS272"/>
    <mergeCell ref="RZT272:SAI272"/>
    <mergeCell ref="SAJ272:SAY272"/>
    <mergeCell ref="SAZ272:SBO272"/>
    <mergeCell ref="SBP272:SCE272"/>
    <mergeCell ref="SCF272:SCU272"/>
    <mergeCell ref="SCV272:SDK272"/>
    <mergeCell ref="SDL272:SEA272"/>
    <mergeCell ref="SEB272:SEQ272"/>
    <mergeCell ref="SER272:SFG272"/>
    <mergeCell ref="SFH272:SFW272"/>
    <mergeCell ref="SFX272:SGM272"/>
    <mergeCell ref="SGN272:SHC272"/>
    <mergeCell ref="SHD272:SHS272"/>
    <mergeCell ref="SHT272:SII272"/>
    <mergeCell ref="SIJ272:SIY272"/>
    <mergeCell ref="SIZ272:SJO272"/>
    <mergeCell ref="SJP272:SKE272"/>
    <mergeCell ref="SKF272:SKU272"/>
    <mergeCell ref="TGZ272:THO272"/>
    <mergeCell ref="SLL272:SMA272"/>
    <mergeCell ref="SMB272:SMQ272"/>
    <mergeCell ref="SMR272:SNG272"/>
    <mergeCell ref="SNH272:SNW272"/>
    <mergeCell ref="SNX272:SOM272"/>
    <mergeCell ref="SON272:SPC272"/>
    <mergeCell ref="SPD272:SPS272"/>
    <mergeCell ref="SPT272:SQI272"/>
    <mergeCell ref="SQJ272:SQY272"/>
    <mergeCell ref="SQZ272:SRO272"/>
    <mergeCell ref="SRP272:SSE272"/>
    <mergeCell ref="SSF272:SSU272"/>
    <mergeCell ref="SSV272:STK272"/>
    <mergeCell ref="STL272:SUA272"/>
    <mergeCell ref="SUB272:SUQ272"/>
    <mergeCell ref="SUR272:SVG272"/>
    <mergeCell ref="SVH272:SVW272"/>
    <mergeCell ref="SVX272:SWM272"/>
    <mergeCell ref="SWN272:SXC272"/>
    <mergeCell ref="SXD272:SXS272"/>
    <mergeCell ref="SXT272:SYI272"/>
    <mergeCell ref="SYJ272:SYY272"/>
    <mergeCell ref="SYZ272:SZO272"/>
    <mergeCell ref="SZP272:TAE272"/>
    <mergeCell ref="TAF272:TAU272"/>
    <mergeCell ref="TAV272:TBK272"/>
    <mergeCell ref="TBL272:TCA272"/>
    <mergeCell ref="TCB272:TCQ272"/>
    <mergeCell ref="TCR272:TDG272"/>
    <mergeCell ref="TDH272:TDW272"/>
    <mergeCell ref="TDX272:TEM272"/>
    <mergeCell ref="TEN272:TFC272"/>
    <mergeCell ref="TFD272:TFS272"/>
    <mergeCell ref="TFT272:TGI272"/>
    <mergeCell ref="TGJ272:TGY272"/>
    <mergeCell ref="UDD272:UDS272"/>
    <mergeCell ref="THP272:TIE272"/>
    <mergeCell ref="TIF272:TIU272"/>
    <mergeCell ref="TIV272:TJK272"/>
    <mergeCell ref="TJL272:TKA272"/>
    <mergeCell ref="TKB272:TKQ272"/>
    <mergeCell ref="TKR272:TLG272"/>
    <mergeCell ref="TLH272:TLW272"/>
    <mergeCell ref="TLX272:TMM272"/>
    <mergeCell ref="TMN272:TNC272"/>
    <mergeCell ref="TND272:TNS272"/>
    <mergeCell ref="TNT272:TOI272"/>
    <mergeCell ref="TOJ272:TOY272"/>
    <mergeCell ref="TOZ272:TPO272"/>
    <mergeCell ref="TPP272:TQE272"/>
    <mergeCell ref="TQF272:TQU272"/>
    <mergeCell ref="TQV272:TRK272"/>
    <mergeCell ref="TRL272:TSA272"/>
    <mergeCell ref="TSB272:TSQ272"/>
    <mergeCell ref="TSR272:TTG272"/>
    <mergeCell ref="TTH272:TTW272"/>
    <mergeCell ref="TTX272:TUM272"/>
    <mergeCell ref="TUN272:TVC272"/>
    <mergeCell ref="TVD272:TVS272"/>
    <mergeCell ref="TVT272:TWI272"/>
    <mergeCell ref="TWJ272:TWY272"/>
    <mergeCell ref="TWZ272:TXO272"/>
    <mergeCell ref="TXP272:TYE272"/>
    <mergeCell ref="TYF272:TYU272"/>
    <mergeCell ref="TYV272:TZK272"/>
    <mergeCell ref="TZL272:UAA272"/>
    <mergeCell ref="UAB272:UAQ272"/>
    <mergeCell ref="UAR272:UBG272"/>
    <mergeCell ref="UBH272:UBW272"/>
    <mergeCell ref="UBX272:UCM272"/>
    <mergeCell ref="UCN272:UDC272"/>
    <mergeCell ref="UZH272:UZW272"/>
    <mergeCell ref="UDT272:UEI272"/>
    <mergeCell ref="UEJ272:UEY272"/>
    <mergeCell ref="UEZ272:UFO272"/>
    <mergeCell ref="UFP272:UGE272"/>
    <mergeCell ref="UGF272:UGU272"/>
    <mergeCell ref="UGV272:UHK272"/>
    <mergeCell ref="UHL272:UIA272"/>
    <mergeCell ref="UIB272:UIQ272"/>
    <mergeCell ref="UIR272:UJG272"/>
    <mergeCell ref="UJH272:UJW272"/>
    <mergeCell ref="UJX272:UKM272"/>
    <mergeCell ref="UKN272:ULC272"/>
    <mergeCell ref="ULD272:ULS272"/>
    <mergeCell ref="ULT272:UMI272"/>
    <mergeCell ref="UMJ272:UMY272"/>
    <mergeCell ref="UMZ272:UNO272"/>
    <mergeCell ref="UNP272:UOE272"/>
    <mergeCell ref="UOF272:UOU272"/>
    <mergeCell ref="UOV272:UPK272"/>
    <mergeCell ref="UPL272:UQA272"/>
    <mergeCell ref="UQB272:UQQ272"/>
    <mergeCell ref="UQR272:URG272"/>
    <mergeCell ref="URH272:URW272"/>
    <mergeCell ref="URX272:USM272"/>
    <mergeCell ref="USN272:UTC272"/>
    <mergeCell ref="UTD272:UTS272"/>
    <mergeCell ref="UTT272:UUI272"/>
    <mergeCell ref="UUJ272:UUY272"/>
    <mergeCell ref="UUZ272:UVO272"/>
    <mergeCell ref="UVP272:UWE272"/>
    <mergeCell ref="UWF272:UWU272"/>
    <mergeCell ref="UWV272:UXK272"/>
    <mergeCell ref="UXL272:UYA272"/>
    <mergeCell ref="UYB272:UYQ272"/>
    <mergeCell ref="UYR272:UZG272"/>
    <mergeCell ref="VVL272:VWA272"/>
    <mergeCell ref="UZX272:VAM272"/>
    <mergeCell ref="VAN272:VBC272"/>
    <mergeCell ref="VBD272:VBS272"/>
    <mergeCell ref="VBT272:VCI272"/>
    <mergeCell ref="VCJ272:VCY272"/>
    <mergeCell ref="VCZ272:VDO272"/>
    <mergeCell ref="VDP272:VEE272"/>
    <mergeCell ref="VEF272:VEU272"/>
    <mergeCell ref="VEV272:VFK272"/>
    <mergeCell ref="VFL272:VGA272"/>
    <mergeCell ref="VGB272:VGQ272"/>
    <mergeCell ref="VGR272:VHG272"/>
    <mergeCell ref="VHH272:VHW272"/>
    <mergeCell ref="VHX272:VIM272"/>
    <mergeCell ref="VIN272:VJC272"/>
    <mergeCell ref="VJD272:VJS272"/>
    <mergeCell ref="VJT272:VKI272"/>
    <mergeCell ref="VKJ272:VKY272"/>
    <mergeCell ref="VKZ272:VLO272"/>
    <mergeCell ref="VLP272:VME272"/>
    <mergeCell ref="VMF272:VMU272"/>
    <mergeCell ref="VMV272:VNK272"/>
    <mergeCell ref="VNL272:VOA272"/>
    <mergeCell ref="VOB272:VOQ272"/>
    <mergeCell ref="VOR272:VPG272"/>
    <mergeCell ref="VPH272:VPW272"/>
    <mergeCell ref="VPX272:VQM272"/>
    <mergeCell ref="VQN272:VRC272"/>
    <mergeCell ref="VRD272:VRS272"/>
    <mergeCell ref="VRT272:VSI272"/>
    <mergeCell ref="VSJ272:VSY272"/>
    <mergeCell ref="VSZ272:VTO272"/>
    <mergeCell ref="VTP272:VUE272"/>
    <mergeCell ref="VUF272:VUU272"/>
    <mergeCell ref="VUV272:VVK272"/>
    <mergeCell ref="WRP272:WSE272"/>
    <mergeCell ref="VWB272:VWQ272"/>
    <mergeCell ref="VWR272:VXG272"/>
    <mergeCell ref="VXH272:VXW272"/>
    <mergeCell ref="VXX272:VYM272"/>
    <mergeCell ref="VYN272:VZC272"/>
    <mergeCell ref="VZD272:VZS272"/>
    <mergeCell ref="VZT272:WAI272"/>
    <mergeCell ref="WAJ272:WAY272"/>
    <mergeCell ref="WAZ272:WBO272"/>
    <mergeCell ref="WBP272:WCE272"/>
    <mergeCell ref="WCF272:WCU272"/>
    <mergeCell ref="WCV272:WDK272"/>
    <mergeCell ref="WDL272:WEA272"/>
    <mergeCell ref="WEB272:WEQ272"/>
    <mergeCell ref="WER272:WFG272"/>
    <mergeCell ref="WFH272:WFW272"/>
    <mergeCell ref="WFX272:WGM272"/>
    <mergeCell ref="WGN272:WHC272"/>
    <mergeCell ref="WHD272:WHS272"/>
    <mergeCell ref="WHT272:WII272"/>
    <mergeCell ref="WIJ272:WIY272"/>
    <mergeCell ref="WIZ272:WJO272"/>
    <mergeCell ref="WJP272:WKE272"/>
    <mergeCell ref="WKF272:WKU272"/>
    <mergeCell ref="WVX272:WWM272"/>
    <mergeCell ref="WWN272:WXC272"/>
    <mergeCell ref="WXD272:WXS272"/>
    <mergeCell ref="WXT272:WYI272"/>
    <mergeCell ref="WYJ272:WYY272"/>
    <mergeCell ref="WYZ272:WZO272"/>
    <mergeCell ref="XDH272:XDW272"/>
    <mergeCell ref="XDX272:XEM272"/>
    <mergeCell ref="XEN272:XFC272"/>
    <mergeCell ref="WZP272:XAE272"/>
    <mergeCell ref="XAF272:XAU272"/>
    <mergeCell ref="XAV272:XBK272"/>
    <mergeCell ref="XBL272:XCA272"/>
    <mergeCell ref="XCB272:XCQ272"/>
    <mergeCell ref="XCR272:XDG272"/>
    <mergeCell ref="WKV272:WLK272"/>
    <mergeCell ref="WLL272:WMA272"/>
    <mergeCell ref="WMB272:WMQ272"/>
    <mergeCell ref="WMR272:WNG272"/>
    <mergeCell ref="WNH272:WNW272"/>
    <mergeCell ref="WNX272:WOM272"/>
    <mergeCell ref="WON272:WPC272"/>
    <mergeCell ref="WPD272:WPS272"/>
    <mergeCell ref="WPT272:WQI272"/>
    <mergeCell ref="WQJ272:WQY272"/>
    <mergeCell ref="WQZ272:WRO272"/>
    <mergeCell ref="WSF272:WSU272"/>
    <mergeCell ref="WSV272:WTK272"/>
    <mergeCell ref="WTL272:WUA272"/>
    <mergeCell ref="WUB272:WUQ272"/>
    <mergeCell ref="WUR272:WVG272"/>
    <mergeCell ref="WVH272:WVW272"/>
  </mergeCells>
  <pageMargins left="0.28000000000000003" right="0.17" top="0.75" bottom="0.75" header="0.3" footer="0.3"/>
  <pageSetup scale="18"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rgb="FF92D050"/>
  </sheetPr>
  <dimension ref="A2:CD289"/>
  <sheetViews>
    <sheetView showGridLines="0" view="pageBreakPreview" zoomScale="120" zoomScaleSheetLayoutView="120" workbookViewId="0">
      <pane ySplit="7" topLeftCell="A271" activePane="bottomLeft" state="frozen"/>
      <selection activeCell="B39" sqref="B39"/>
      <selection pane="bottomLeft" activeCell="I286" sqref="I286"/>
    </sheetView>
  </sheetViews>
  <sheetFormatPr defaultColWidth="9.140625" defaultRowHeight="12.75"/>
  <cols>
    <col min="1" max="1" width="8.140625" style="30" customWidth="1"/>
    <col min="2" max="7" width="18" style="30" customWidth="1"/>
    <col min="8" max="8" width="10.7109375" style="30" customWidth="1"/>
    <col min="9" max="9" width="12.85546875" style="30" customWidth="1"/>
    <col min="10" max="79" width="9.140625" style="30"/>
    <col min="80" max="80" width="0" style="30" hidden="1" customWidth="1"/>
    <col min="81" max="16384" width="9.140625" style="30"/>
  </cols>
  <sheetData>
    <row r="2" spans="1:82" s="1" customFormat="1" ht="13.5" customHeight="1">
      <c r="A2" s="2338" t="s">
        <v>2725</v>
      </c>
      <c r="B2" s="2338"/>
      <c r="C2" s="2338"/>
      <c r="D2" s="2338"/>
      <c r="E2" s="2338"/>
      <c r="F2" s="2338"/>
      <c r="G2" s="2338"/>
    </row>
    <row r="3" spans="1:82" s="1" customFormat="1" ht="18.75" customHeight="1">
      <c r="A3" s="2339" t="s">
        <v>2726</v>
      </c>
      <c r="B3" s="2339"/>
      <c r="C3" s="2339"/>
      <c r="D3" s="2339"/>
      <c r="E3" s="2339"/>
      <c r="F3" s="2339"/>
      <c r="G3" s="2339"/>
    </row>
    <row r="4" spans="1:82" s="506" customFormat="1" ht="12.75" customHeight="1">
      <c r="A4" s="534"/>
      <c r="B4" s="534"/>
      <c r="C4" s="534"/>
      <c r="D4" s="534"/>
      <c r="E4" s="534"/>
      <c r="F4" s="534"/>
      <c r="G4" s="534"/>
    </row>
    <row r="5" spans="1:82" s="1" customFormat="1" ht="12.75" customHeight="1">
      <c r="A5" s="2340" t="s">
        <v>8</v>
      </c>
      <c r="B5" s="2340"/>
      <c r="C5" s="2340"/>
      <c r="D5" s="2340"/>
      <c r="E5" s="2340"/>
      <c r="F5" s="2340"/>
      <c r="G5" s="2340"/>
    </row>
    <row r="6" spans="1:82" s="41" customFormat="1" ht="45.75" customHeight="1">
      <c r="A6" s="630" t="s">
        <v>182</v>
      </c>
      <c r="B6" s="630" t="s">
        <v>116</v>
      </c>
      <c r="C6" s="630" t="s">
        <v>117</v>
      </c>
      <c r="D6" s="630" t="s">
        <v>2059</v>
      </c>
      <c r="E6" s="630" t="s">
        <v>1205</v>
      </c>
      <c r="F6" s="630" t="s">
        <v>1206</v>
      </c>
      <c r="G6" s="630" t="s">
        <v>1207</v>
      </c>
    </row>
    <row r="7" spans="1:82" ht="33" customHeight="1">
      <c r="A7" s="504" t="s">
        <v>289</v>
      </c>
      <c r="B7" s="504" t="s">
        <v>118</v>
      </c>
      <c r="C7" s="504" t="s">
        <v>119</v>
      </c>
      <c r="D7" s="504" t="s">
        <v>2817</v>
      </c>
      <c r="E7" s="504" t="s">
        <v>120</v>
      </c>
      <c r="F7" s="504" t="s">
        <v>2686</v>
      </c>
      <c r="G7" s="504" t="s">
        <v>1208</v>
      </c>
      <c r="CD7" s="327"/>
    </row>
    <row r="8" spans="1:82" hidden="1">
      <c r="A8" s="38">
        <v>1995</v>
      </c>
      <c r="B8" s="42">
        <v>134.10000000000002</v>
      </c>
      <c r="C8" s="42">
        <v>125.82000000000001</v>
      </c>
      <c r="D8" s="42">
        <v>61.443999999999996</v>
      </c>
      <c r="E8" s="42">
        <v>259.92</v>
      </c>
      <c r="F8" s="42">
        <v>191.52</v>
      </c>
      <c r="G8" s="422">
        <v>11.141395154553051</v>
      </c>
      <c r="CC8" s="30">
        <f>CC10+CC11</f>
        <v>4361</v>
      </c>
      <c r="CD8" s="327">
        <f>BY8+BZ8+CA8+CC8</f>
        <v>4361</v>
      </c>
    </row>
    <row r="9" spans="1:82" hidden="1">
      <c r="A9" s="5">
        <v>1996</v>
      </c>
      <c r="B9" s="28">
        <v>118.87999999999997</v>
      </c>
      <c r="C9" s="28">
        <v>190.14000000000001</v>
      </c>
      <c r="D9" s="28">
        <v>377.6</v>
      </c>
      <c r="E9" s="28">
        <v>309.02</v>
      </c>
      <c r="F9" s="28">
        <v>240.84</v>
      </c>
      <c r="G9" s="113">
        <v>11.346121906660022</v>
      </c>
      <c r="CD9" s="327"/>
    </row>
    <row r="10" spans="1:82" hidden="1">
      <c r="A10" s="5">
        <v>1997</v>
      </c>
      <c r="B10" s="28">
        <v>246.68</v>
      </c>
      <c r="C10" s="28">
        <v>166.06</v>
      </c>
      <c r="D10" s="28">
        <v>406.22</v>
      </c>
      <c r="E10" s="28">
        <v>412.74</v>
      </c>
      <c r="F10" s="28">
        <v>311.26</v>
      </c>
      <c r="G10" s="113">
        <v>10.146501317226756</v>
      </c>
      <c r="CC10" s="30">
        <v>3917</v>
      </c>
      <c r="CD10" s="327">
        <f>BY10+BZ10+CA10+CC10</f>
        <v>3917</v>
      </c>
    </row>
    <row r="11" spans="1:82" hidden="1">
      <c r="A11" s="5">
        <v>1998</v>
      </c>
      <c r="B11" s="28">
        <v>138.97999999999999</v>
      </c>
      <c r="C11" s="28">
        <v>203.6</v>
      </c>
      <c r="D11" s="28">
        <v>438.08</v>
      </c>
      <c r="E11" s="28">
        <v>342.58</v>
      </c>
      <c r="F11" s="28">
        <v>243.7</v>
      </c>
      <c r="G11" s="113">
        <v>14.118178087812884</v>
      </c>
      <c r="CC11" s="30">
        <v>444</v>
      </c>
      <c r="CD11" s="327">
        <f t="shared" ref="CD11:CD52" si="0">BY11+BZ11+CA11+CC11</f>
        <v>444</v>
      </c>
    </row>
    <row r="12" spans="1:82" hidden="1">
      <c r="A12" s="5">
        <v>1999</v>
      </c>
      <c r="B12" s="28">
        <v>317.21999999999997</v>
      </c>
      <c r="C12" s="28">
        <v>101.28</v>
      </c>
      <c r="D12" s="28">
        <v>456.66</v>
      </c>
      <c r="E12" s="28">
        <v>418.5</v>
      </c>
      <c r="F12" s="28">
        <v>280.86</v>
      </c>
      <c r="G12" s="113">
        <v>13.440860215053762</v>
      </c>
      <c r="CD12" s="327"/>
    </row>
    <row r="13" spans="1:82" hidden="1">
      <c r="A13" s="5">
        <v>2000</v>
      </c>
      <c r="B13" s="28">
        <v>578.66000000000008</v>
      </c>
      <c r="C13" s="28">
        <v>202.7</v>
      </c>
      <c r="D13" s="28">
        <v>424.18</v>
      </c>
      <c r="E13" s="28">
        <v>781.36</v>
      </c>
      <c r="F13" s="28">
        <v>325.82</v>
      </c>
      <c r="G13" s="113">
        <v>14.481001780123995</v>
      </c>
      <c r="CC13" s="30">
        <f>CC15+CC16</f>
        <v>-2648</v>
      </c>
      <c r="CD13" s="327">
        <f t="shared" si="0"/>
        <v>-2648</v>
      </c>
    </row>
    <row r="14" spans="1:82" ht="7.5" hidden="1" customHeight="1">
      <c r="A14" s="5"/>
      <c r="B14" s="28"/>
      <c r="C14" s="28"/>
      <c r="D14" s="28"/>
      <c r="E14" s="28"/>
      <c r="F14" s="28"/>
      <c r="G14" s="113"/>
      <c r="CD14" s="327"/>
    </row>
    <row r="15" spans="1:82" hidden="1">
      <c r="A15" s="5">
        <v>2001</v>
      </c>
      <c r="B15" s="28">
        <v>666.70134153614254</v>
      </c>
      <c r="C15" s="28">
        <v>20.615555115547579</v>
      </c>
      <c r="D15" s="28">
        <v>365.13</v>
      </c>
      <c r="E15" s="28">
        <v>687.31689665169006</v>
      </c>
      <c r="F15" s="28">
        <v>350.72034710799807</v>
      </c>
      <c r="G15" s="113">
        <v>15.156234999856329</v>
      </c>
      <c r="CC15" s="30">
        <v>-367</v>
      </c>
      <c r="CD15" s="327">
        <f t="shared" si="0"/>
        <v>-367</v>
      </c>
    </row>
    <row r="16" spans="1:82" hidden="1">
      <c r="A16" s="5">
        <v>2002</v>
      </c>
      <c r="B16" s="28">
        <v>535.12949244603442</v>
      </c>
      <c r="C16" s="28">
        <v>250.6294381295495</v>
      </c>
      <c r="D16" s="28">
        <v>426.31</v>
      </c>
      <c r="E16" s="28">
        <v>785.75893057558392</v>
      </c>
      <c r="F16" s="28">
        <v>405.02481057558396</v>
      </c>
      <c r="G16" s="113">
        <v>14.968218839197858</v>
      </c>
      <c r="CC16" s="30">
        <v>-2281</v>
      </c>
      <c r="CD16" s="327">
        <f t="shared" si="0"/>
        <v>-2281</v>
      </c>
    </row>
    <row r="17" spans="1:82" hidden="1">
      <c r="A17" s="5">
        <v>2003</v>
      </c>
      <c r="B17" s="28">
        <v>649.67457614809166</v>
      </c>
      <c r="C17" s="28">
        <v>370.39215656874046</v>
      </c>
      <c r="D17" s="28">
        <v>589.75</v>
      </c>
      <c r="E17" s="28">
        <v>1020.0667327168321</v>
      </c>
      <c r="F17" s="28">
        <v>519.04552047792799</v>
      </c>
      <c r="G17" s="113">
        <v>13.768541906343067</v>
      </c>
      <c r="CD17" s="327"/>
    </row>
    <row r="18" spans="1:82" hidden="1">
      <c r="A18" s="5">
        <v>2004</v>
      </c>
      <c r="B18" s="423">
        <v>960.71047693507967</v>
      </c>
      <c r="C18" s="423">
        <v>545.16788435032413</v>
      </c>
      <c r="D18" s="423">
        <v>944.74</v>
      </c>
      <c r="E18" s="423">
        <v>1505.8783612854038</v>
      </c>
      <c r="F18" s="423">
        <v>685.66962160337187</v>
      </c>
      <c r="G18" s="424">
        <v>12.440685326050986</v>
      </c>
      <c r="CC18" s="30">
        <f>CC20+CC21</f>
        <v>-797</v>
      </c>
      <c r="CD18" s="327">
        <f t="shared" si="0"/>
        <v>-797</v>
      </c>
    </row>
    <row r="19" spans="1:82" hidden="1">
      <c r="A19" s="5">
        <v>2005</v>
      </c>
      <c r="B19" s="423">
        <v>1036.0004879875071</v>
      </c>
      <c r="C19" s="423">
        <v>802.69085712110882</v>
      </c>
      <c r="D19" s="423">
        <v>1451.673865221082</v>
      </c>
      <c r="E19" s="423">
        <v>1838.6913451086159</v>
      </c>
      <c r="F19" s="423">
        <v>796.45042524850601</v>
      </c>
      <c r="G19" s="424">
        <v>15.722886953187034</v>
      </c>
      <c r="CD19" s="327"/>
    </row>
    <row r="20" spans="1:82" ht="15" hidden="1">
      <c r="A20" s="128" t="s">
        <v>18</v>
      </c>
      <c r="B20" s="425">
        <v>942.00474171046619</v>
      </c>
      <c r="C20" s="423">
        <v>502.76538743438368</v>
      </c>
      <c r="D20" s="423">
        <v>944.76346551250992</v>
      </c>
      <c r="E20" s="423">
        <v>1444.7701291448498</v>
      </c>
      <c r="F20" s="423">
        <v>618.41400162516391</v>
      </c>
      <c r="G20" s="424">
        <v>1.0608750744257149</v>
      </c>
      <c r="H20" s="43"/>
      <c r="I20" s="43"/>
      <c r="CC20" s="30">
        <v>-644</v>
      </c>
      <c r="CD20" s="327">
        <f t="shared" si="0"/>
        <v>-644</v>
      </c>
    </row>
    <row r="21" spans="1:82" hidden="1">
      <c r="A21" s="128" t="s">
        <v>19</v>
      </c>
      <c r="B21" s="426">
        <v>898.68403275957837</v>
      </c>
      <c r="C21" s="423">
        <v>544.18132761489369</v>
      </c>
      <c r="D21" s="423">
        <v>998.52206972653198</v>
      </c>
      <c r="E21" s="423">
        <v>1442.8653603744719</v>
      </c>
      <c r="F21" s="423">
        <v>639.79639097140785</v>
      </c>
      <c r="G21" s="424">
        <v>2.1981368132832269</v>
      </c>
      <c r="H21" s="43"/>
      <c r="I21" s="43"/>
      <c r="CC21" s="30">
        <v>-153</v>
      </c>
      <c r="CD21" s="327">
        <f t="shared" si="0"/>
        <v>-153</v>
      </c>
    </row>
    <row r="22" spans="1:82" hidden="1">
      <c r="A22" s="128" t="s">
        <v>20</v>
      </c>
      <c r="B22" s="426">
        <v>892.21515947397927</v>
      </c>
      <c r="C22" s="423">
        <v>556.58481139308469</v>
      </c>
      <c r="D22" s="423">
        <v>1055.30965780519</v>
      </c>
      <c r="E22" s="423">
        <v>1448.7999708670638</v>
      </c>
      <c r="F22" s="423">
        <v>639.81767324583598</v>
      </c>
      <c r="G22" s="424">
        <v>3.3313865639047848</v>
      </c>
      <c r="H22" s="43"/>
      <c r="I22" s="43"/>
      <c r="CD22" s="327"/>
    </row>
    <row r="23" spans="1:82" hidden="1">
      <c r="A23" s="128" t="s">
        <v>21</v>
      </c>
      <c r="B23" s="426">
        <v>1003.1229480410176</v>
      </c>
      <c r="C23" s="423">
        <v>581.65869265508491</v>
      </c>
      <c r="D23" s="423">
        <v>1082.8349468781405</v>
      </c>
      <c r="E23" s="423">
        <v>1584.7816406961019</v>
      </c>
      <c r="F23" s="423">
        <v>681.24733238799013</v>
      </c>
      <c r="G23" s="424">
        <v>4.534270966129446</v>
      </c>
      <c r="H23" s="43"/>
      <c r="I23" s="43"/>
      <c r="CD23" s="327"/>
    </row>
    <row r="24" spans="1:82" hidden="1">
      <c r="A24" s="128" t="s">
        <v>22</v>
      </c>
      <c r="B24" s="426">
        <v>1036.4872921166273</v>
      </c>
      <c r="C24" s="423">
        <v>621.42532569840546</v>
      </c>
      <c r="D24" s="423">
        <v>1099.3367620315685</v>
      </c>
      <c r="E24" s="423">
        <v>1657.9126178150323</v>
      </c>
      <c r="F24" s="423">
        <v>731.29756130039812</v>
      </c>
      <c r="G24" s="424">
        <v>5.4257257373378858</v>
      </c>
      <c r="H24" s="43"/>
      <c r="I24" s="43"/>
      <c r="CD24" s="327"/>
    </row>
    <row r="25" spans="1:82" hidden="1">
      <c r="A25" s="128" t="s">
        <v>23</v>
      </c>
      <c r="B25" s="426">
        <v>1100.3384840961137</v>
      </c>
      <c r="C25" s="423">
        <v>592.14768338986187</v>
      </c>
      <c r="D25" s="423">
        <v>1101.0951560996098</v>
      </c>
      <c r="E25" s="423">
        <v>1692.4861674859758</v>
      </c>
      <c r="F25" s="423">
        <v>775.44086006359987</v>
      </c>
      <c r="G25" s="424">
        <v>6.3203014599953242</v>
      </c>
      <c r="H25" s="43"/>
      <c r="I25" s="43"/>
      <c r="CC25" s="30">
        <v>-31</v>
      </c>
      <c r="CD25" s="327">
        <f t="shared" si="0"/>
        <v>-31</v>
      </c>
    </row>
    <row r="26" spans="1:82" hidden="1">
      <c r="A26" s="128" t="s">
        <v>24</v>
      </c>
      <c r="B26" s="426">
        <v>1082.9939380977798</v>
      </c>
      <c r="C26" s="423">
        <v>691.54060884527803</v>
      </c>
      <c r="D26" s="423">
        <v>1136.9263587689998</v>
      </c>
      <c r="E26" s="423">
        <v>1774.5345469430581</v>
      </c>
      <c r="F26" s="423">
        <v>811.45976042374605</v>
      </c>
      <c r="G26" s="424">
        <v>7.2344437596442654</v>
      </c>
      <c r="H26" s="43"/>
      <c r="I26" s="43"/>
      <c r="CC26" s="30">
        <v>-440</v>
      </c>
      <c r="CD26" s="327">
        <f t="shared" si="0"/>
        <v>-440</v>
      </c>
    </row>
    <row r="27" spans="1:82" hidden="1">
      <c r="A27" s="128" t="s">
        <v>25</v>
      </c>
      <c r="B27" s="426">
        <v>1071.4864969725661</v>
      </c>
      <c r="C27" s="423">
        <v>761.19386633676208</v>
      </c>
      <c r="D27" s="423">
        <v>1226.7760169591581</v>
      </c>
      <c r="E27" s="423">
        <v>1832.6803633093282</v>
      </c>
      <c r="F27" s="423">
        <v>832.04509136438014</v>
      </c>
      <c r="G27" s="424">
        <v>8.5846308981731987</v>
      </c>
      <c r="H27" s="43"/>
      <c r="I27" s="43"/>
      <c r="CD27" s="327"/>
    </row>
    <row r="28" spans="1:82" hidden="1">
      <c r="A28" s="128" t="s">
        <v>26</v>
      </c>
      <c r="B28" s="426">
        <v>1145.196852069382</v>
      </c>
      <c r="C28" s="423">
        <v>728.34411314199565</v>
      </c>
      <c r="D28" s="423">
        <v>1261.4407799139096</v>
      </c>
      <c r="E28" s="423">
        <v>1873.5409652113781</v>
      </c>
      <c r="F28" s="423">
        <v>843.40775928979792</v>
      </c>
      <c r="G28" s="424">
        <v>9.6994364942629403</v>
      </c>
      <c r="H28" s="43"/>
      <c r="I28" s="43"/>
      <c r="CC28" s="30">
        <f>CC30+CC31</f>
        <v>-498</v>
      </c>
      <c r="CD28" s="327">
        <f>BY28+BZ28+CA28+CC28</f>
        <v>-498</v>
      </c>
    </row>
    <row r="29" spans="1:82" hidden="1">
      <c r="A29" s="128" t="s">
        <v>27</v>
      </c>
      <c r="B29" s="426">
        <v>1122.2922589680441</v>
      </c>
      <c r="C29" s="423">
        <v>741.89058961024216</v>
      </c>
      <c r="D29" s="423">
        <v>1338.8969367714942</v>
      </c>
      <c r="E29" s="423">
        <v>1864.1828485782862</v>
      </c>
      <c r="F29" s="423">
        <v>796.90697123063808</v>
      </c>
      <c r="G29" s="424">
        <v>11.643567361032094</v>
      </c>
      <c r="H29" s="43"/>
      <c r="I29" s="43"/>
      <c r="CD29" s="327"/>
    </row>
    <row r="30" spans="1:82" hidden="1">
      <c r="A30" s="128" t="s">
        <v>28</v>
      </c>
      <c r="B30" s="426">
        <v>1098.4971849432382</v>
      </c>
      <c r="C30" s="423">
        <v>706.95883187496793</v>
      </c>
      <c r="D30" s="423">
        <v>1393.8364500878258</v>
      </c>
      <c r="E30" s="423">
        <v>1805.4560168182061</v>
      </c>
      <c r="F30" s="423">
        <v>773.44285378011011</v>
      </c>
      <c r="G30" s="424">
        <v>13.531626737319973</v>
      </c>
      <c r="H30" s="43"/>
      <c r="I30" s="43"/>
      <c r="CC30" s="30">
        <v>-521</v>
      </c>
      <c r="CD30" s="327">
        <f>BY30+BZ30+CA30+CC30</f>
        <v>-521</v>
      </c>
    </row>
    <row r="31" spans="1:82" hidden="1">
      <c r="A31" s="128" t="s">
        <v>29</v>
      </c>
      <c r="B31" s="426">
        <v>1036.0004879875073</v>
      </c>
      <c r="C31" s="423">
        <v>802.69085712110882</v>
      </c>
      <c r="D31" s="423">
        <v>1451.673865221082</v>
      </c>
      <c r="E31" s="423">
        <v>1838.6913451086161</v>
      </c>
      <c r="F31" s="423">
        <v>796.45042524850601</v>
      </c>
      <c r="G31" s="424">
        <v>15.722886953187034</v>
      </c>
      <c r="H31" s="43"/>
      <c r="I31" s="43"/>
      <c r="CC31" s="30">
        <v>23</v>
      </c>
      <c r="CD31" s="327">
        <f>BY31+BZ31+CA31+CC31</f>
        <v>23</v>
      </c>
    </row>
    <row r="32" spans="1:82" hidden="1">
      <c r="A32" s="129">
        <v>2006</v>
      </c>
      <c r="B32" s="423">
        <v>1957.2939453609158</v>
      </c>
      <c r="C32" s="423">
        <v>1477.6651191990834</v>
      </c>
      <c r="D32" s="423">
        <v>2369.0709289899992</v>
      </c>
      <c r="E32" s="423">
        <v>3434.9590645600006</v>
      </c>
      <c r="F32" s="423">
        <v>2135.4512166600002</v>
      </c>
      <c r="G32" s="424"/>
      <c r="H32" s="43"/>
      <c r="I32" s="43"/>
      <c r="CD32" s="327"/>
    </row>
    <row r="33" spans="1:82" hidden="1">
      <c r="A33" s="128" t="s">
        <v>18</v>
      </c>
      <c r="B33" s="423">
        <v>1105.486402558196</v>
      </c>
      <c r="C33" s="423">
        <v>673.5574450718035</v>
      </c>
      <c r="D33" s="423">
        <v>1405.0779187999997</v>
      </c>
      <c r="E33" s="423">
        <v>1779.0438476300001</v>
      </c>
      <c r="F33" s="423">
        <v>707.85783872000013</v>
      </c>
      <c r="G33" s="424">
        <v>1.4307957680194916</v>
      </c>
      <c r="H33" s="43"/>
      <c r="I33" s="43"/>
      <c r="CC33" s="30">
        <v>433</v>
      </c>
      <c r="CD33" s="327">
        <f t="shared" si="0"/>
        <v>433</v>
      </c>
    </row>
    <row r="34" spans="1:82" hidden="1">
      <c r="A34" s="128" t="s">
        <v>19</v>
      </c>
      <c r="B34" s="423">
        <v>1155.1237011387882</v>
      </c>
      <c r="C34" s="423">
        <v>690.58563345121195</v>
      </c>
      <c r="D34" s="423">
        <v>1364.1025199999997</v>
      </c>
      <c r="E34" s="423">
        <v>1845.7093345899996</v>
      </c>
      <c r="F34" s="423">
        <v>764.2260487399999</v>
      </c>
      <c r="G34" s="424">
        <v>2.9165454431641629</v>
      </c>
      <c r="H34" s="43"/>
      <c r="I34" s="43"/>
      <c r="CC34" s="30">
        <v>-931</v>
      </c>
      <c r="CD34" s="327">
        <f t="shared" si="0"/>
        <v>-931</v>
      </c>
    </row>
    <row r="35" spans="1:82" hidden="1">
      <c r="A35" s="128" t="s">
        <v>20</v>
      </c>
      <c r="B35" s="423">
        <v>1252.2659811012934</v>
      </c>
      <c r="C35" s="423">
        <v>674.23729065870577</v>
      </c>
      <c r="D35" s="423">
        <v>1398.9087918199998</v>
      </c>
      <c r="E35" s="423">
        <v>1926.5032717600002</v>
      </c>
      <c r="F35" s="423">
        <v>841.32249034000006</v>
      </c>
      <c r="G35" s="424">
        <v>3.8308734605412758</v>
      </c>
      <c r="H35" s="43"/>
      <c r="I35" s="43"/>
      <c r="CD35" s="327"/>
    </row>
    <row r="36" spans="1:82" hidden="1">
      <c r="A36" s="128" t="s">
        <v>21</v>
      </c>
      <c r="B36" s="423">
        <v>1445.1790252374435</v>
      </c>
      <c r="C36" s="423">
        <v>610.3784273725571</v>
      </c>
      <c r="D36" s="423">
        <v>1504.7018845800005</v>
      </c>
      <c r="E36" s="423">
        <v>2055.5574526100004</v>
      </c>
      <c r="F36" s="423">
        <v>915.66259446000004</v>
      </c>
      <c r="G36" s="424">
        <v>4.8903384577381175</v>
      </c>
      <c r="H36" s="43"/>
      <c r="I36" s="43"/>
      <c r="CC36" s="30">
        <v>204</v>
      </c>
      <c r="CD36" s="327">
        <f t="shared" si="0"/>
        <v>204</v>
      </c>
    </row>
    <row r="37" spans="1:82" hidden="1">
      <c r="A37" s="128" t="s">
        <v>22</v>
      </c>
      <c r="B37" s="423">
        <v>1516.6699195310116</v>
      </c>
      <c r="C37" s="423">
        <v>636.68527485898858</v>
      </c>
      <c r="D37" s="423">
        <v>1577.85957433</v>
      </c>
      <c r="E37" s="423">
        <v>2153.3551943900002</v>
      </c>
      <c r="F37" s="423">
        <v>986.21397751000006</v>
      </c>
      <c r="G37" s="424">
        <v>5.9357301087741297</v>
      </c>
      <c r="CC37" s="30">
        <v>200</v>
      </c>
      <c r="CD37" s="327">
        <f t="shared" si="0"/>
        <v>200</v>
      </c>
    </row>
    <row r="38" spans="1:82" hidden="1">
      <c r="A38" s="128" t="s">
        <v>23</v>
      </c>
      <c r="B38" s="423">
        <v>1585.4926098653332</v>
      </c>
      <c r="C38" s="423">
        <v>763.96339595466634</v>
      </c>
      <c r="D38" s="423">
        <v>1677.1738760599997</v>
      </c>
      <c r="E38" s="423">
        <v>2349.45600582</v>
      </c>
      <c r="F38" s="423">
        <v>1131.2472143800001</v>
      </c>
      <c r="G38" s="424">
        <v>6.3172752243343293</v>
      </c>
      <c r="CD38" s="327"/>
    </row>
    <row r="39" spans="1:82" hidden="1">
      <c r="A39" s="128" t="s">
        <v>24</v>
      </c>
      <c r="B39" s="423">
        <v>1884.5023596718318</v>
      </c>
      <c r="C39" s="423">
        <v>661.60083833816827</v>
      </c>
      <c r="D39" s="423">
        <v>1785.2472700100002</v>
      </c>
      <c r="E39" s="423">
        <v>2546.1031978499996</v>
      </c>
      <c r="F39" s="423">
        <v>1293.6081918599998</v>
      </c>
      <c r="G39" s="424">
        <v>6.8053836203232354</v>
      </c>
      <c r="CC39" s="30">
        <v>295</v>
      </c>
      <c r="CD39" s="327">
        <f t="shared" si="0"/>
        <v>295</v>
      </c>
    </row>
    <row r="40" spans="1:82" hidden="1">
      <c r="A40" s="128" t="s">
        <v>25</v>
      </c>
      <c r="B40" s="423">
        <v>1588.2240708241015</v>
      </c>
      <c r="C40" s="423">
        <v>1071.4717123958985</v>
      </c>
      <c r="D40" s="423">
        <v>1913.3265658300002</v>
      </c>
      <c r="E40" s="423">
        <v>2659.6957829799999</v>
      </c>
      <c r="F40" s="423">
        <v>1411.4761434100001</v>
      </c>
      <c r="G40" s="424">
        <v>7.2949869171179147</v>
      </c>
      <c r="CC40" s="30">
        <v>-95</v>
      </c>
      <c r="CD40" s="327">
        <f t="shared" si="0"/>
        <v>-95</v>
      </c>
    </row>
    <row r="41" spans="1:82" hidden="1">
      <c r="A41" s="128" t="s">
        <v>26</v>
      </c>
      <c r="B41" s="423">
        <v>1638.6151015690937</v>
      </c>
      <c r="C41" s="423">
        <v>1159.5437563109065</v>
      </c>
      <c r="D41" s="423">
        <v>2033.0709613599995</v>
      </c>
      <c r="E41" s="423">
        <v>2798.1588578800006</v>
      </c>
      <c r="F41" s="423">
        <v>1529.3885263800003</v>
      </c>
      <c r="G41" s="424">
        <v>8.3237187806893385</v>
      </c>
      <c r="CD41" s="327"/>
    </row>
    <row r="42" spans="1:82" hidden="1">
      <c r="A42" s="128" t="s">
        <v>27</v>
      </c>
      <c r="B42" s="423">
        <v>2014.0511970996029</v>
      </c>
      <c r="C42" s="423">
        <v>937.11467580039721</v>
      </c>
      <c r="D42" s="423">
        <v>2170.7026661899995</v>
      </c>
      <c r="E42" s="423">
        <v>2951.16587265</v>
      </c>
      <c r="F42" s="423">
        <v>1714.3926982600001</v>
      </c>
      <c r="G42" s="424">
        <v>8.6105126409965997</v>
      </c>
      <c r="CC42" s="30">
        <v>0</v>
      </c>
      <c r="CD42" s="327">
        <f t="shared" si="0"/>
        <v>0</v>
      </c>
    </row>
    <row r="43" spans="1:82" hidden="1">
      <c r="A43" s="128" t="s">
        <v>28</v>
      </c>
      <c r="B43" s="423">
        <v>1649.3031889469619</v>
      </c>
      <c r="C43" s="423">
        <v>1391.3515558130375</v>
      </c>
      <c r="D43" s="423">
        <v>2250.3402722599994</v>
      </c>
      <c r="E43" s="423">
        <v>3040.6547447600001</v>
      </c>
      <c r="F43" s="423">
        <v>1820.3852246000001</v>
      </c>
      <c r="G43" s="424">
        <v>8.9702991319258363</v>
      </c>
      <c r="CD43" s="327"/>
    </row>
    <row r="44" spans="1:82" hidden="1">
      <c r="A44" s="128" t="s">
        <v>29</v>
      </c>
      <c r="B44" s="423">
        <v>1957.2939453609158</v>
      </c>
      <c r="C44" s="423">
        <v>1477.6651191990834</v>
      </c>
      <c r="D44" s="423">
        <v>2369.0709289899992</v>
      </c>
      <c r="E44" s="423">
        <v>3434.9590645600006</v>
      </c>
      <c r="F44" s="423">
        <v>2135.4512166600002</v>
      </c>
      <c r="G44" s="424">
        <v>8.4465052909105189</v>
      </c>
      <c r="CC44" s="30">
        <f>CC45-CC49</f>
        <v>481</v>
      </c>
      <c r="CD44" s="327">
        <f t="shared" si="0"/>
        <v>481</v>
      </c>
    </row>
    <row r="45" spans="1:82" hidden="1">
      <c r="A45" s="130" t="s">
        <v>121</v>
      </c>
      <c r="B45" s="423">
        <v>2871.6757064960207</v>
      </c>
      <c r="C45" s="423">
        <v>3025.579504403981</v>
      </c>
      <c r="D45" s="423">
        <v>4644.1000000000004</v>
      </c>
      <c r="E45" s="423">
        <v>5897.2552108999998</v>
      </c>
      <c r="F45" s="423">
        <v>4401.6000000000004</v>
      </c>
      <c r="G45" s="424"/>
      <c r="CC45" s="30">
        <f>CC47+CC48</f>
        <v>965</v>
      </c>
      <c r="CD45" s="327">
        <f t="shared" si="0"/>
        <v>965</v>
      </c>
    </row>
    <row r="46" spans="1:82" hidden="1">
      <c r="A46" s="128" t="s">
        <v>18</v>
      </c>
      <c r="B46" s="423">
        <v>2114.3700751026372</v>
      </c>
      <c r="C46" s="423">
        <v>1138.1046796473629</v>
      </c>
      <c r="D46" s="423">
        <v>2520.1305085299991</v>
      </c>
      <c r="E46" s="423">
        <v>3252.4747547500001</v>
      </c>
      <c r="F46" s="423">
        <v>1950.7451824</v>
      </c>
      <c r="G46" s="424">
        <v>0.84429274251683528</v>
      </c>
      <c r="CD46" s="327"/>
    </row>
    <row r="47" spans="1:82" hidden="1">
      <c r="A47" s="128" t="s">
        <v>19</v>
      </c>
      <c r="B47" s="423">
        <v>1748.9776398929316</v>
      </c>
      <c r="C47" s="423">
        <v>1599.4913577270686</v>
      </c>
      <c r="D47" s="423">
        <v>2693.2072224200001</v>
      </c>
      <c r="E47" s="423">
        <v>3348.4689976199998</v>
      </c>
      <c r="F47" s="423">
        <v>2078.7716244099997</v>
      </c>
      <c r="G47" s="424">
        <v>1.574535635163375</v>
      </c>
      <c r="CC47" s="30">
        <v>954</v>
      </c>
      <c r="CD47" s="327">
        <f t="shared" si="0"/>
        <v>954</v>
      </c>
    </row>
    <row r="48" spans="1:82" hidden="1">
      <c r="A48" s="128" t="s">
        <v>20</v>
      </c>
      <c r="B48" s="423">
        <v>1805.2500934654174</v>
      </c>
      <c r="C48" s="423">
        <v>1659.1831381645818</v>
      </c>
      <c r="D48" s="423">
        <v>2906.1031668499995</v>
      </c>
      <c r="E48" s="423">
        <v>3464.4332316299997</v>
      </c>
      <c r="F48" s="423">
        <v>2216.0282588099999</v>
      </c>
      <c r="G48" s="424">
        <v>2.3219017986544372</v>
      </c>
      <c r="CC48" s="30">
        <v>11</v>
      </c>
      <c r="CD48" s="327">
        <f t="shared" si="0"/>
        <v>11</v>
      </c>
    </row>
    <row r="49" spans="1:82" hidden="1">
      <c r="A49" s="128" t="s">
        <v>21</v>
      </c>
      <c r="B49" s="423">
        <v>2126.9685358907027</v>
      </c>
      <c r="C49" s="423">
        <v>1418.2946958292966</v>
      </c>
      <c r="D49" s="423">
        <v>3111.6</v>
      </c>
      <c r="E49" s="423">
        <v>3545.26323172</v>
      </c>
      <c r="F49" s="423">
        <v>2340.6354799700002</v>
      </c>
      <c r="G49" s="424">
        <v>2.9411670714690841</v>
      </c>
      <c r="CC49" s="30">
        <f>CC51+CC52+CC53+CC54</f>
        <v>484</v>
      </c>
      <c r="CD49" s="327">
        <f t="shared" si="0"/>
        <v>484</v>
      </c>
    </row>
    <row r="50" spans="1:82" hidden="1">
      <c r="A50" s="128" t="s">
        <v>22</v>
      </c>
      <c r="B50" s="423">
        <v>1831.8186928825041</v>
      </c>
      <c r="C50" s="423">
        <v>1953.1499846174961</v>
      </c>
      <c r="D50" s="423">
        <v>3329.7</v>
      </c>
      <c r="E50" s="423">
        <v>3784.9686775</v>
      </c>
      <c r="F50" s="423">
        <v>2523.2134007700001</v>
      </c>
      <c r="G50" s="424">
        <v>3.4730316497707907</v>
      </c>
      <c r="CD50" s="327"/>
    </row>
    <row r="51" spans="1:82" hidden="1">
      <c r="A51" s="128" t="s">
        <v>23</v>
      </c>
      <c r="B51" s="423">
        <v>2140.3657838791883</v>
      </c>
      <c r="C51" s="423">
        <v>1900.8716703008108</v>
      </c>
      <c r="D51" s="423">
        <v>3462.2</v>
      </c>
      <c r="E51" s="423">
        <v>4041.23745418</v>
      </c>
      <c r="F51" s="423">
        <v>2739.73652227</v>
      </c>
      <c r="G51" s="424">
        <v>3.8954110781271098</v>
      </c>
      <c r="CC51" s="30">
        <v>1214</v>
      </c>
      <c r="CD51" s="327">
        <f t="shared" si="0"/>
        <v>1214</v>
      </c>
    </row>
    <row r="52" spans="1:82" hidden="1">
      <c r="A52" s="128" t="s">
        <v>24</v>
      </c>
      <c r="B52" s="423">
        <v>2800.913101097166</v>
      </c>
      <c r="C52" s="423">
        <v>1540.2822771128333</v>
      </c>
      <c r="D52" s="423">
        <v>3452.6</v>
      </c>
      <c r="E52" s="423">
        <v>4341.1953782099999</v>
      </c>
      <c r="F52" s="423">
        <v>3024.8366283599998</v>
      </c>
      <c r="G52" s="424">
        <v>4.21169853623043</v>
      </c>
      <c r="CC52" s="30">
        <v>-745</v>
      </c>
      <c r="CD52" s="327">
        <f t="shared" si="0"/>
        <v>-745</v>
      </c>
    </row>
    <row r="53" spans="1:82" hidden="1">
      <c r="A53" s="128" t="s">
        <v>25</v>
      </c>
      <c r="B53" s="423">
        <v>2516.90987649923</v>
      </c>
      <c r="C53" s="423">
        <v>2119.1866557407702</v>
      </c>
      <c r="D53" s="423">
        <v>3586</v>
      </c>
      <c r="E53" s="423">
        <v>4636.0965322399998</v>
      </c>
      <c r="F53" s="423">
        <v>3259.80839982</v>
      </c>
      <c r="G53" s="424">
        <v>4.5451751093156672</v>
      </c>
      <c r="CC53" s="30">
        <v>0</v>
      </c>
      <c r="CD53" s="327">
        <f>BY53+BZ53+CA53+CC53</f>
        <v>0</v>
      </c>
    </row>
    <row r="54" spans="1:82" hidden="1">
      <c r="A54" s="128" t="s">
        <v>26</v>
      </c>
      <c r="B54" s="423">
        <v>2744.5623244850672</v>
      </c>
      <c r="C54" s="423">
        <v>2200.4853187249337</v>
      </c>
      <c r="D54" s="423">
        <v>3771.3</v>
      </c>
      <c r="E54" s="423">
        <v>4945.0476432100004</v>
      </c>
      <c r="F54" s="423">
        <v>3417.3791418999999</v>
      </c>
      <c r="G54" s="424">
        <v>4.8598646244344597</v>
      </c>
      <c r="CC54" s="30">
        <v>15</v>
      </c>
      <c r="CD54" s="327">
        <f>BY54+BZ54+CA54+CC54</f>
        <v>15</v>
      </c>
    </row>
    <row r="55" spans="1:82" hidden="1">
      <c r="A55" s="128" t="s">
        <v>27</v>
      </c>
      <c r="B55" s="423">
        <v>3239.6269183050667</v>
      </c>
      <c r="C55" s="423">
        <v>1905.1886028849335</v>
      </c>
      <c r="D55" s="423">
        <v>4077.5</v>
      </c>
      <c r="E55" s="423">
        <v>5144.8155211900003</v>
      </c>
      <c r="F55" s="423">
        <v>3530.0808482500001</v>
      </c>
      <c r="G55" s="424">
        <v>5.3085469725969467</v>
      </c>
      <c r="CC55" s="30">
        <v>-372</v>
      </c>
      <c r="CD55" s="327">
        <f>BY55+BZ55+CA55+CC55</f>
        <v>-372</v>
      </c>
    </row>
    <row r="56" spans="1:82" hidden="1">
      <c r="A56" s="128" t="s">
        <v>28</v>
      </c>
      <c r="B56" s="423">
        <v>3079.6416690861297</v>
      </c>
      <c r="C56" s="423">
        <v>2232.0405344938699</v>
      </c>
      <c r="D56" s="423">
        <v>4387.3999999999996</v>
      </c>
      <c r="E56" s="423">
        <v>5311.6822035799996</v>
      </c>
      <c r="F56" s="423">
        <v>3769.7125072700001</v>
      </c>
      <c r="G56" s="424">
        <v>5.5224370452260967</v>
      </c>
      <c r="CC56" s="30">
        <v>-231</v>
      </c>
      <c r="CD56" s="327">
        <f>BY56+BZ56+CA56+CC56</f>
        <v>-231</v>
      </c>
    </row>
    <row r="57" spans="1:82" hidden="1">
      <c r="A57" s="128" t="s">
        <v>29</v>
      </c>
      <c r="B57" s="423">
        <v>2871.6757064960207</v>
      </c>
      <c r="C57" s="423">
        <v>3025.579504403981</v>
      </c>
      <c r="D57" s="423">
        <v>4644.1000000000004</v>
      </c>
      <c r="E57" s="423">
        <v>5897.2552108999998</v>
      </c>
      <c r="F57" s="423">
        <v>4401.6000000000004</v>
      </c>
      <c r="G57" s="424">
        <v>6.0921255906942919</v>
      </c>
      <c r="CD57" s="327"/>
    </row>
    <row r="58" spans="1:82" ht="17.25" customHeight="1">
      <c r="A58" s="331" t="s">
        <v>114</v>
      </c>
      <c r="B58" s="626">
        <v>4036.0885673581779</v>
      </c>
      <c r="C58" s="626">
        <v>4458.1136025118212</v>
      </c>
      <c r="D58" s="626">
        <v>7224.9</v>
      </c>
      <c r="E58" s="626">
        <v>8494.2021698699991</v>
      </c>
      <c r="F58" s="626">
        <v>6081.0003026699997</v>
      </c>
      <c r="G58" s="622"/>
      <c r="CC58" s="30" t="e">
        <f>#REF!+CC42-CC44+CC55-CC56</f>
        <v>#REF!</v>
      </c>
      <c r="CD58" s="327" t="e">
        <f>BY58+BZ58+CA58+CC58</f>
        <v>#REF!</v>
      </c>
    </row>
    <row r="59" spans="1:82" ht="18.75" hidden="1" customHeight="1">
      <c r="A59" s="627" t="s">
        <v>18</v>
      </c>
      <c r="B59" s="628">
        <v>3540.2907294331403</v>
      </c>
      <c r="C59" s="628">
        <v>2110.0584309268597</v>
      </c>
      <c r="D59" s="628">
        <v>4801.8</v>
      </c>
      <c r="E59" s="628">
        <v>5650.3491603600005</v>
      </c>
      <c r="F59" s="628">
        <v>4095.9496440200001</v>
      </c>
      <c r="G59" s="629">
        <v>0.55811233014973993</v>
      </c>
    </row>
    <row r="60" spans="1:82" ht="17.25" hidden="1" customHeight="1">
      <c r="A60" s="627" t="s">
        <v>19</v>
      </c>
      <c r="B60" s="628">
        <v>3542.9353284594913</v>
      </c>
      <c r="C60" s="628">
        <v>2652.0249402405093</v>
      </c>
      <c r="D60" s="628">
        <v>4857.6000000000004</v>
      </c>
      <c r="E60" s="628">
        <v>6194.9602687000006</v>
      </c>
      <c r="F60" s="628">
        <v>4246.36731977</v>
      </c>
      <c r="G60" s="629">
        <v>1.1226066048987489</v>
      </c>
    </row>
    <row r="61" spans="1:82" ht="15.75" hidden="1" customHeight="1">
      <c r="A61" s="627" t="s">
        <v>20</v>
      </c>
      <c r="B61" s="628">
        <v>3601.5234624221089</v>
      </c>
      <c r="C61" s="628">
        <v>2739.7297048278897</v>
      </c>
      <c r="D61" s="628">
        <v>4969.1000000000004</v>
      </c>
      <c r="E61" s="628">
        <v>6341.2531672499999</v>
      </c>
      <c r="F61" s="628">
        <v>4428.2279845800003</v>
      </c>
      <c r="G61" s="629">
        <v>1.8539695852580784</v>
      </c>
    </row>
    <row r="62" spans="1:82" ht="15.75" hidden="1" customHeight="1">
      <c r="A62" s="627" t="s">
        <v>21</v>
      </c>
      <c r="B62" s="628">
        <v>4315.0298191111997</v>
      </c>
      <c r="C62" s="628">
        <v>2234.8895687087979</v>
      </c>
      <c r="D62" s="628">
        <v>5261</v>
      </c>
      <c r="E62" s="628">
        <v>6549.9193878199994</v>
      </c>
      <c r="F62" s="628">
        <v>4563.1478739799995</v>
      </c>
      <c r="G62" s="629">
        <v>2.4483975335770523</v>
      </c>
    </row>
    <row r="63" spans="1:82" s="6" customFormat="1" ht="14.25" hidden="1" customHeight="1">
      <c r="A63" s="627" t="s">
        <v>22</v>
      </c>
      <c r="B63" s="628">
        <v>3132.6474541564075</v>
      </c>
      <c r="C63" s="628">
        <v>3696.7593459235904</v>
      </c>
      <c r="D63" s="628">
        <v>6128.2</v>
      </c>
      <c r="E63" s="628">
        <v>6829.4068000799998</v>
      </c>
      <c r="F63" s="628">
        <v>4598.2767978000002</v>
      </c>
      <c r="G63" s="629">
        <v>3.1117309003333178</v>
      </c>
    </row>
    <row r="64" spans="1:82" ht="15.75" hidden="1" customHeight="1">
      <c r="A64" s="627" t="s">
        <v>23</v>
      </c>
      <c r="B64" s="628">
        <v>3842.2920691327045</v>
      </c>
      <c r="C64" s="628">
        <v>3494.7082214072943</v>
      </c>
      <c r="D64" s="628">
        <v>6243.7</v>
      </c>
      <c r="E64" s="628">
        <v>7337.0002905399997</v>
      </c>
      <c r="F64" s="628">
        <v>4933.15039075</v>
      </c>
      <c r="G64" s="629">
        <v>3.7512945144951337</v>
      </c>
    </row>
    <row r="65" spans="1:7" s="6" customFormat="1" ht="14.25" hidden="1" customHeight="1">
      <c r="A65" s="627" t="s">
        <v>24</v>
      </c>
      <c r="B65" s="628">
        <v>4144.1876290580358</v>
      </c>
      <c r="C65" s="628">
        <v>3393.1324747419662</v>
      </c>
      <c r="D65" s="628">
        <v>6438.3</v>
      </c>
      <c r="E65" s="628">
        <v>7537.3201038000007</v>
      </c>
      <c r="F65" s="628">
        <v>5211.7479659500004</v>
      </c>
      <c r="G65" s="629">
        <v>4.4163877743854849</v>
      </c>
    </row>
    <row r="66" spans="1:7" s="6" customFormat="1" ht="16.5" hidden="1" customHeight="1">
      <c r="A66" s="627" t="s">
        <v>25</v>
      </c>
      <c r="B66" s="628">
        <v>3962.0719948913643</v>
      </c>
      <c r="C66" s="628">
        <v>3674.5599309386384</v>
      </c>
      <c r="D66" s="628">
        <v>6560.3</v>
      </c>
      <c r="E66" s="628">
        <v>7636.6319258300009</v>
      </c>
      <c r="F66" s="628">
        <v>5365.0975741000002</v>
      </c>
      <c r="G66" s="629">
        <v>4.8259886502331488</v>
      </c>
    </row>
    <row r="67" spans="1:7" s="6" customFormat="1" ht="16.5" hidden="1" customHeight="1">
      <c r="A67" s="627" t="s">
        <v>26</v>
      </c>
      <c r="B67" s="628">
        <v>3870.2094703189027</v>
      </c>
      <c r="C67" s="628">
        <v>3779.5303113011018</v>
      </c>
      <c r="D67" s="628">
        <v>6687.5</v>
      </c>
      <c r="E67" s="628">
        <v>7649.73978162</v>
      </c>
      <c r="F67" s="628">
        <v>5514.4881937399996</v>
      </c>
      <c r="G67" s="629">
        <v>5.5073832662251814</v>
      </c>
    </row>
    <row r="68" spans="1:7" ht="18.75" hidden="1" customHeight="1">
      <c r="A68" s="627" t="s">
        <v>27</v>
      </c>
      <c r="B68" s="628">
        <v>3915.4523760223565</v>
      </c>
      <c r="C68" s="628">
        <v>3692.5677385876447</v>
      </c>
      <c r="D68" s="628">
        <v>6794.1</v>
      </c>
      <c r="E68" s="628">
        <v>7608.0201146099998</v>
      </c>
      <c r="F68" s="628">
        <v>5443.8339595699999</v>
      </c>
      <c r="G68" s="629">
        <v>5.9778458053063899</v>
      </c>
    </row>
    <row r="69" spans="1:7" s="6" customFormat="1" ht="16.5" hidden="1" customHeight="1">
      <c r="A69" s="627" t="s">
        <v>28</v>
      </c>
      <c r="B69" s="628">
        <v>3544.2965664101239</v>
      </c>
      <c r="C69" s="628">
        <v>4174.3551066098735</v>
      </c>
      <c r="D69" s="628">
        <v>6958.4</v>
      </c>
      <c r="E69" s="628">
        <v>7718.6516730200001</v>
      </c>
      <c r="F69" s="628">
        <v>5512.8204870700001</v>
      </c>
      <c r="G69" s="629">
        <v>6.2872716572749683</v>
      </c>
    </row>
    <row r="70" spans="1:7" s="6" customFormat="1" ht="16.5" hidden="1" customHeight="1">
      <c r="A70" s="627" t="s">
        <v>29</v>
      </c>
      <c r="B70" s="623">
        <v>4036.0885673581779</v>
      </c>
      <c r="C70" s="623">
        <v>4458.1136025118212</v>
      </c>
      <c r="D70" s="623">
        <v>7224.9</v>
      </c>
      <c r="E70" s="623">
        <v>8494.2021698699991</v>
      </c>
      <c r="F70" s="623">
        <v>6081.0003026699997</v>
      </c>
      <c r="G70" s="624">
        <v>6.6004272327328879</v>
      </c>
    </row>
    <row r="71" spans="1:7" s="6" customFormat="1" ht="16.5" customHeight="1">
      <c r="A71" s="40" t="s">
        <v>43</v>
      </c>
      <c r="B71" s="621">
        <v>3529.3299135213997</v>
      </c>
      <c r="C71" s="621">
        <v>4939.8527167585999</v>
      </c>
      <c r="D71" s="621">
        <v>8556.4</v>
      </c>
      <c r="E71" s="621">
        <v>8469.18263028</v>
      </c>
      <c r="F71" s="621">
        <v>6169.2249880700001</v>
      </c>
      <c r="G71" s="622"/>
    </row>
    <row r="72" spans="1:7" ht="18.75" hidden="1" customHeight="1">
      <c r="A72" s="332" t="s">
        <v>18</v>
      </c>
      <c r="B72" s="623">
        <v>4094.828060680517</v>
      </c>
      <c r="C72" s="623">
        <v>3914.4301659494859</v>
      </c>
      <c r="D72" s="623">
        <v>7255.2</v>
      </c>
      <c r="E72" s="623">
        <v>8009.2582266299996</v>
      </c>
      <c r="F72" s="623">
        <v>5594.6607752999998</v>
      </c>
      <c r="G72" s="624">
        <v>0.68981840990941135</v>
      </c>
    </row>
    <row r="73" spans="1:7" ht="15.75" hidden="1" customHeight="1">
      <c r="A73" s="332" t="s">
        <v>19</v>
      </c>
      <c r="B73" s="623">
        <v>3787.356214899678</v>
      </c>
      <c r="C73" s="623">
        <v>3541.033001920322</v>
      </c>
      <c r="D73" s="623">
        <v>6770.2</v>
      </c>
      <c r="E73" s="623">
        <v>7328.38921682</v>
      </c>
      <c r="F73" s="623">
        <v>5264.8158648999997</v>
      </c>
      <c r="G73" s="624">
        <v>0.73303608312867441</v>
      </c>
    </row>
    <row r="74" spans="1:7" ht="15" hidden="1" customHeight="1">
      <c r="A74" s="332" t="s">
        <v>20</v>
      </c>
      <c r="B74" s="623">
        <v>3189.0613707546263</v>
      </c>
      <c r="C74" s="623">
        <v>3208.3223166553739</v>
      </c>
      <c r="D74" s="623">
        <v>6299.8</v>
      </c>
      <c r="E74" s="623">
        <v>6397.3836874099998</v>
      </c>
      <c r="F74" s="623">
        <v>4740.8666567799992</v>
      </c>
      <c r="G74" s="624">
        <v>1.4220606669791966</v>
      </c>
    </row>
    <row r="75" spans="1:7" ht="17.25" hidden="1" customHeight="1">
      <c r="A75" s="332" t="s">
        <v>21</v>
      </c>
      <c r="B75" s="623">
        <v>3217.4189168434937</v>
      </c>
      <c r="C75" s="623">
        <v>3285.0097464865057</v>
      </c>
      <c r="D75" s="623">
        <v>6381.1</v>
      </c>
      <c r="E75" s="623">
        <v>6502.4286633299998</v>
      </c>
      <c r="F75" s="623">
        <v>4732.2624489400005</v>
      </c>
      <c r="G75" s="624">
        <v>1.900993467092057</v>
      </c>
    </row>
    <row r="76" spans="1:7" ht="17.25" hidden="1" customHeight="1">
      <c r="A76" s="332" t="s">
        <v>22</v>
      </c>
      <c r="B76" s="623">
        <v>3245.4877517428868</v>
      </c>
      <c r="C76" s="623">
        <v>3366.4842491071126</v>
      </c>
      <c r="D76" s="623">
        <v>6487.6</v>
      </c>
      <c r="E76" s="623">
        <v>6611.9720008499989</v>
      </c>
      <c r="F76" s="623">
        <v>4811.1753836499993</v>
      </c>
      <c r="G76" s="624">
        <v>2.362437261926857</v>
      </c>
    </row>
    <row r="77" spans="1:7" ht="17.25" hidden="1" customHeight="1">
      <c r="A77" s="332" t="s">
        <v>23</v>
      </c>
      <c r="B77" s="623">
        <v>3348.0183800322197</v>
      </c>
      <c r="C77" s="623">
        <v>3345.90775259778</v>
      </c>
      <c r="D77" s="623">
        <v>6569</v>
      </c>
      <c r="E77" s="623">
        <v>6693.9261326299993</v>
      </c>
      <c r="F77" s="623">
        <v>4872.0269019699999</v>
      </c>
      <c r="G77" s="624">
        <v>2.9325987494491832</v>
      </c>
    </row>
    <row r="78" spans="1:7" ht="17.25" hidden="1" customHeight="1">
      <c r="A78" s="332" t="s">
        <v>24</v>
      </c>
      <c r="B78" s="623">
        <v>3426.4139952291048</v>
      </c>
      <c r="C78" s="623">
        <v>4155.9721593008981</v>
      </c>
      <c r="D78" s="623">
        <v>7322.8</v>
      </c>
      <c r="E78" s="623">
        <v>7582.3861545300006</v>
      </c>
      <c r="F78" s="623">
        <v>5091.55427401</v>
      </c>
      <c r="G78" s="624">
        <v>3.4049524107981552</v>
      </c>
    </row>
    <row r="79" spans="1:7" ht="19.5" hidden="1" customHeight="1">
      <c r="A79" s="332" t="s">
        <v>25</v>
      </c>
      <c r="B79" s="623">
        <v>3316.7335057105502</v>
      </c>
      <c r="C79" s="623">
        <v>4252.3173844294488</v>
      </c>
      <c r="D79" s="623">
        <v>7733.7</v>
      </c>
      <c r="E79" s="623">
        <v>7569.0508901399999</v>
      </c>
      <c r="F79" s="623">
        <v>5333.4637649400001</v>
      </c>
      <c r="G79" s="624">
        <v>3.8676554129044614</v>
      </c>
    </row>
    <row r="80" spans="1:7" ht="16.5" hidden="1" customHeight="1">
      <c r="A80" s="332" t="s">
        <v>26</v>
      </c>
      <c r="B80" s="623">
        <v>3193.8457408628246</v>
      </c>
      <c r="C80" s="623">
        <v>4264.5089945971758</v>
      </c>
      <c r="D80" s="623">
        <v>7906.4</v>
      </c>
      <c r="E80" s="623">
        <v>7458.3547354599996</v>
      </c>
      <c r="F80" s="623">
        <v>5222.3727558999999</v>
      </c>
      <c r="G80" s="624">
        <v>4.4859111164619803</v>
      </c>
    </row>
    <row r="81" spans="1:7" ht="17.25" hidden="1" customHeight="1">
      <c r="A81" s="332" t="s">
        <v>27</v>
      </c>
      <c r="B81" s="623">
        <v>3676.8798485942398</v>
      </c>
      <c r="C81" s="623">
        <v>3998.7418354157576</v>
      </c>
      <c r="D81" s="623">
        <v>8128.2</v>
      </c>
      <c r="E81" s="623">
        <v>7675.6216840100005</v>
      </c>
      <c r="F81" s="623">
        <v>5388.5222151300004</v>
      </c>
      <c r="G81" s="624">
        <v>4.9452333935227388</v>
      </c>
    </row>
    <row r="82" spans="1:7" ht="15.75" hidden="1" customHeight="1">
      <c r="A82" s="332" t="s">
        <v>28</v>
      </c>
      <c r="B82" s="623">
        <v>3707.3092519136003</v>
      </c>
      <c r="C82" s="623">
        <v>4197.5760347863998</v>
      </c>
      <c r="D82" s="623">
        <v>8253.7999999999993</v>
      </c>
      <c r="E82" s="623">
        <v>7904.8852866999987</v>
      </c>
      <c r="F82" s="623">
        <v>5575.5593386</v>
      </c>
      <c r="G82" s="624">
        <v>5.3186053988703579</v>
      </c>
    </row>
    <row r="83" spans="1:7" ht="18" hidden="1" customHeight="1">
      <c r="A83" s="332" t="s">
        <v>29</v>
      </c>
      <c r="B83" s="623">
        <v>3529.3299135213997</v>
      </c>
      <c r="C83" s="623">
        <v>4939.8527167585999</v>
      </c>
      <c r="D83" s="623">
        <v>8556.4</v>
      </c>
      <c r="E83" s="623">
        <v>8469.18263028</v>
      </c>
      <c r="F83" s="623">
        <v>6169.2249880700001</v>
      </c>
      <c r="G83" s="624">
        <v>5.605031436990549</v>
      </c>
    </row>
    <row r="84" spans="1:7" ht="17.25" customHeight="1">
      <c r="A84" s="40" t="s">
        <v>48</v>
      </c>
      <c r="B84" s="621">
        <v>4638.2789533463601</v>
      </c>
      <c r="C84" s="621">
        <v>5889.2101490436416</v>
      </c>
      <c r="D84" s="621">
        <v>9388.0786196000026</v>
      </c>
      <c r="E84" s="621">
        <v>10527.48910239</v>
      </c>
      <c r="F84" s="621">
        <v>8297.46906709</v>
      </c>
      <c r="G84" s="622"/>
    </row>
    <row r="85" spans="1:7" ht="15" hidden="1" customHeight="1">
      <c r="A85" s="332" t="s">
        <v>18</v>
      </c>
      <c r="B85" s="623">
        <v>3668.1501651784997</v>
      </c>
      <c r="C85" s="623">
        <v>4475.6204525714975</v>
      </c>
      <c r="D85" s="623">
        <v>8613.4</v>
      </c>
      <c r="E85" s="623">
        <v>8143.7706177500004</v>
      </c>
      <c r="F85" s="623">
        <v>5837.6964127600004</v>
      </c>
      <c r="G85" s="624">
        <v>5.4516333487503639</v>
      </c>
    </row>
    <row r="86" spans="1:7" ht="14.25" hidden="1" customHeight="1">
      <c r="A86" s="332" t="s">
        <v>19</v>
      </c>
      <c r="B86" s="623">
        <v>3547.8373440769988</v>
      </c>
      <c r="C86" s="623">
        <v>4584.7193941429996</v>
      </c>
      <c r="D86" s="623">
        <v>8550.5</v>
      </c>
      <c r="E86" s="623">
        <v>8132.5567382199988</v>
      </c>
      <c r="F86" s="623">
        <v>5853.1111007499994</v>
      </c>
      <c r="G86" s="624">
        <v>6.2817993883583059</v>
      </c>
    </row>
    <row r="87" spans="1:7" ht="15.75" hidden="1" customHeight="1">
      <c r="A87" s="332" t="s">
        <v>20</v>
      </c>
      <c r="B87" s="623">
        <v>4003.4407711724007</v>
      </c>
      <c r="C87" s="623">
        <v>4669.9762340275984</v>
      </c>
      <c r="D87" s="623">
        <v>8658.5</v>
      </c>
      <c r="E87" s="623">
        <v>8673.4170052000009</v>
      </c>
      <c r="F87" s="623">
        <v>6182.5589487400002</v>
      </c>
      <c r="G87" s="624">
        <v>6.1796655128910167</v>
      </c>
    </row>
    <row r="88" spans="1:7" ht="16.5" hidden="1" customHeight="1">
      <c r="A88" s="332" t="s">
        <v>21</v>
      </c>
      <c r="B88" s="623">
        <v>3891.044689624101</v>
      </c>
      <c r="C88" s="623">
        <v>4844.4220380058996</v>
      </c>
      <c r="D88" s="623">
        <v>8797.5</v>
      </c>
      <c r="E88" s="623">
        <v>8735.4667276299988</v>
      </c>
      <c r="F88" s="623">
        <v>6347.7163216399995</v>
      </c>
      <c r="G88" s="624">
        <v>6.1368212108322693</v>
      </c>
    </row>
    <row r="89" spans="1:7" ht="17.25" hidden="1" customHeight="1">
      <c r="A89" s="332" t="s">
        <v>22</v>
      </c>
      <c r="B89" s="623">
        <v>3823.2081689596812</v>
      </c>
      <c r="C89" s="623">
        <v>5106.558011780322</v>
      </c>
      <c r="D89" s="623">
        <v>8945.5</v>
      </c>
      <c r="E89" s="623">
        <v>8929.76618074</v>
      </c>
      <c r="F89" s="623">
        <v>6453.9733412699998</v>
      </c>
      <c r="G89" s="624">
        <v>6.1483359157111872</v>
      </c>
    </row>
    <row r="90" spans="1:7" ht="19.5" hidden="1" customHeight="1">
      <c r="A90" s="332" t="s">
        <v>23</v>
      </c>
      <c r="B90" s="623">
        <v>3682.3204846679605</v>
      </c>
      <c r="C90" s="623">
        <v>5400.1562917620377</v>
      </c>
      <c r="D90" s="623">
        <v>9033.5</v>
      </c>
      <c r="E90" s="623">
        <v>9082.4767764299995</v>
      </c>
      <c r="F90" s="623">
        <v>6629.4488834099993</v>
      </c>
      <c r="G90" s="624">
        <v>5.9371888858720245</v>
      </c>
    </row>
    <row r="91" spans="1:7" ht="18" hidden="1" customHeight="1">
      <c r="A91" s="332" t="s">
        <v>24</v>
      </c>
      <c r="B91" s="623">
        <v>3854.6548589143995</v>
      </c>
      <c r="C91" s="623">
        <v>5199.8102829856016</v>
      </c>
      <c r="D91" s="623">
        <v>8852.5</v>
      </c>
      <c r="E91" s="623">
        <v>9054.4651419000002</v>
      </c>
      <c r="F91" s="623">
        <v>6892.0023660900006</v>
      </c>
      <c r="G91" s="624">
        <v>5.7594022054556016</v>
      </c>
    </row>
    <row r="92" spans="1:7" ht="17.25" hidden="1" customHeight="1">
      <c r="A92" s="332" t="s">
        <v>25</v>
      </c>
      <c r="B92" s="623">
        <v>4026.5998572004796</v>
      </c>
      <c r="C92" s="623">
        <v>5288.4060610195193</v>
      </c>
      <c r="D92" s="623">
        <v>9011.2999999999993</v>
      </c>
      <c r="E92" s="623">
        <v>9315.0059182199984</v>
      </c>
      <c r="F92" s="623">
        <v>7046.6076046599992</v>
      </c>
      <c r="G92" s="624">
        <v>5.5749439445973934</v>
      </c>
    </row>
    <row r="93" spans="1:7" ht="17.25" hidden="1" customHeight="1">
      <c r="A93" s="332" t="s">
        <v>26</v>
      </c>
      <c r="B93" s="623">
        <v>4070.8463910498099</v>
      </c>
      <c r="C93" s="623">
        <v>5319.1216225301914</v>
      </c>
      <c r="D93" s="623">
        <v>9160.7000000000007</v>
      </c>
      <c r="E93" s="623">
        <v>9389.968013579999</v>
      </c>
      <c r="F93" s="623">
        <v>7156.0729733199987</v>
      </c>
      <c r="G93" s="624">
        <v>5.4606978661561465</v>
      </c>
    </row>
    <row r="94" spans="1:7" ht="16.5" hidden="1" customHeight="1">
      <c r="A94" s="332" t="s">
        <v>27</v>
      </c>
      <c r="B94" s="623">
        <v>4046.5815493722507</v>
      </c>
      <c r="C94" s="623">
        <v>5573.3372700677555</v>
      </c>
      <c r="D94" s="623">
        <v>9257</v>
      </c>
      <c r="E94" s="623">
        <v>9619.9188194400012</v>
      </c>
      <c r="F94" s="623">
        <v>7314.5376940000006</v>
      </c>
      <c r="G94" s="624">
        <v>5.3317930138765455</v>
      </c>
    </row>
    <row r="95" spans="1:7" ht="14.25" hidden="1" customHeight="1">
      <c r="A95" s="332" t="s">
        <v>28</v>
      </c>
      <c r="B95" s="623">
        <v>4253.3071951301599</v>
      </c>
      <c r="C95" s="623">
        <v>5367.4674216098392</v>
      </c>
      <c r="D95" s="623">
        <v>9352.5</v>
      </c>
      <c r="E95" s="623">
        <v>9620.7746167400001</v>
      </c>
      <c r="F95" s="623">
        <v>7417.6583926100002</v>
      </c>
      <c r="G95" s="624">
        <v>5.3790797686614455</v>
      </c>
    </row>
    <row r="96" spans="1:7" ht="16.5" hidden="1" customHeight="1">
      <c r="A96" s="332" t="s">
        <v>29</v>
      </c>
      <c r="B96" s="623">
        <v>4638.2789533463601</v>
      </c>
      <c r="C96" s="623">
        <v>5889.2101490436416</v>
      </c>
      <c r="D96" s="623">
        <v>9388.0786196000026</v>
      </c>
      <c r="E96" s="623">
        <v>10527.48910239</v>
      </c>
      <c r="F96" s="623">
        <v>8297.46906709</v>
      </c>
      <c r="G96" s="624">
        <v>5.0105091895149139</v>
      </c>
    </row>
    <row r="97" spans="1:7" ht="13.5" customHeight="1">
      <c r="A97" s="40" t="s">
        <v>1030</v>
      </c>
      <c r="B97" s="621">
        <v>7849.8831809402491</v>
      </c>
      <c r="C97" s="621">
        <v>6053.2924071797524</v>
      </c>
      <c r="D97" s="621">
        <v>11814.156175560001</v>
      </c>
      <c r="E97" s="621">
        <v>13903.175588120001</v>
      </c>
      <c r="F97" s="621">
        <v>10997.158822920001</v>
      </c>
      <c r="G97" s="622"/>
    </row>
    <row r="98" spans="1:7" ht="16.5" hidden="1" customHeight="1">
      <c r="A98" s="332" t="s">
        <v>18</v>
      </c>
      <c r="B98" s="623">
        <v>5059.3703026452013</v>
      </c>
      <c r="C98" s="623">
        <v>5047.8902188148004</v>
      </c>
      <c r="D98" s="623">
        <v>9385.0613247399997</v>
      </c>
      <c r="E98" s="623">
        <v>10107.260521460001</v>
      </c>
      <c r="F98" s="623">
        <v>7763.8045956900005</v>
      </c>
      <c r="G98" s="624">
        <v>5.3208480383317447</v>
      </c>
    </row>
    <row r="99" spans="1:7" ht="15" hidden="1" customHeight="1">
      <c r="A99" s="332" t="s">
        <v>19</v>
      </c>
      <c r="B99" s="623">
        <v>4993.7096705192007</v>
      </c>
      <c r="C99" s="623">
        <v>5278.896107180798</v>
      </c>
      <c r="D99" s="623">
        <v>9403.6249008399973</v>
      </c>
      <c r="E99" s="623">
        <v>10272.605777700001</v>
      </c>
      <c r="F99" s="623">
        <v>7907.6871624700007</v>
      </c>
      <c r="G99" s="624">
        <v>5.0923783148070871</v>
      </c>
    </row>
    <row r="100" spans="1:7" ht="16.5" hidden="1" customHeight="1">
      <c r="A100" s="332" t="s">
        <v>20</v>
      </c>
      <c r="B100" s="623">
        <v>5201.6591942505493</v>
      </c>
      <c r="C100" s="623">
        <v>5555.7410697094501</v>
      </c>
      <c r="D100" s="623">
        <v>8598.9848898</v>
      </c>
      <c r="E100" s="623">
        <v>10757.400264010001</v>
      </c>
      <c r="F100" s="623">
        <v>8115.4929009299995</v>
      </c>
      <c r="G100" s="624">
        <v>5.1363933214219708</v>
      </c>
    </row>
    <row r="101" spans="1:7" ht="16.5" hidden="1" customHeight="1">
      <c r="A101" s="332" t="s">
        <v>21</v>
      </c>
      <c r="B101" s="623">
        <v>5607.7632550175222</v>
      </c>
      <c r="C101" s="623">
        <v>5152.8061162224822</v>
      </c>
      <c r="D101" s="623">
        <v>10354.34255773</v>
      </c>
      <c r="E101" s="623">
        <v>10760.569371239999</v>
      </c>
      <c r="F101" s="623">
        <v>8176.43909859</v>
      </c>
      <c r="G101" s="624">
        <v>5.0321290543515484</v>
      </c>
    </row>
    <row r="102" spans="1:7" ht="14.25" hidden="1" customHeight="1">
      <c r="A102" s="332" t="s">
        <v>22</v>
      </c>
      <c r="B102" s="623">
        <v>5530.0868574797987</v>
      </c>
      <c r="C102" s="623">
        <v>5526.046390690195</v>
      </c>
      <c r="D102" s="623">
        <v>10542.867697859994</v>
      </c>
      <c r="E102" s="623">
        <v>11056.133248170001</v>
      </c>
      <c r="F102" s="623">
        <v>8392.0020107100008</v>
      </c>
      <c r="G102" s="624">
        <v>5.0323879885605338</v>
      </c>
    </row>
    <row r="103" spans="1:7" ht="14.25" hidden="1" customHeight="1">
      <c r="A103" s="332" t="s">
        <v>23</v>
      </c>
      <c r="B103" s="623">
        <v>5226.8616327624595</v>
      </c>
      <c r="C103" s="623">
        <v>6185.6545389375387</v>
      </c>
      <c r="D103" s="623">
        <v>10708.556130879999</v>
      </c>
      <c r="E103" s="623">
        <v>11412.516171699999</v>
      </c>
      <c r="F103" s="623">
        <v>8735.36012544</v>
      </c>
      <c r="G103" s="624">
        <v>5.1552304416512129</v>
      </c>
    </row>
    <row r="104" spans="1:7" ht="14.25" hidden="1" customHeight="1">
      <c r="A104" s="332" t="s">
        <v>24</v>
      </c>
      <c r="B104" s="623">
        <v>5605.0630788195194</v>
      </c>
      <c r="C104" s="623">
        <v>6316.1646247204781</v>
      </c>
      <c r="D104" s="623">
        <v>10910.089063099998</v>
      </c>
      <c r="E104" s="623">
        <v>11921.22770354</v>
      </c>
      <c r="F104" s="623">
        <v>9351.3794538900001</v>
      </c>
      <c r="G104" s="624">
        <v>4.8583634536005302</v>
      </c>
    </row>
    <row r="105" spans="1:7" ht="14.25" hidden="1" customHeight="1">
      <c r="A105" s="332" t="s">
        <v>25</v>
      </c>
      <c r="B105" s="623">
        <v>4966.9644559154995</v>
      </c>
      <c r="C105" s="623">
        <v>7369.2815616044973</v>
      </c>
      <c r="D105" s="623">
        <v>11328.251774179998</v>
      </c>
      <c r="E105" s="623">
        <v>12336.246017520003</v>
      </c>
      <c r="F105" s="623">
        <v>9569.8319123600013</v>
      </c>
      <c r="G105" s="624">
        <v>4.8384710234278669</v>
      </c>
    </row>
    <row r="106" spans="1:7" ht="14.25" hidden="1" customHeight="1">
      <c r="A106" s="332" t="s">
        <v>26</v>
      </c>
      <c r="B106" s="623">
        <v>4996.0327912871089</v>
      </c>
      <c r="C106" s="623">
        <v>7656.139593962891</v>
      </c>
      <c r="D106" s="623">
        <v>11487.75340066</v>
      </c>
      <c r="E106" s="623">
        <v>12652.172385250002</v>
      </c>
      <c r="F106" s="623">
        <v>9630.2770908400016</v>
      </c>
      <c r="G106" s="624">
        <v>4.7880959056311854</v>
      </c>
    </row>
    <row r="107" spans="1:7" ht="14.25" hidden="1" customHeight="1">
      <c r="A107" s="332" t="s">
        <v>27</v>
      </c>
      <c r="B107" s="623">
        <v>5449.4394000178991</v>
      </c>
      <c r="C107" s="623">
        <v>7202.781769612101</v>
      </c>
      <c r="D107" s="623">
        <v>11600.475687729999</v>
      </c>
      <c r="E107" s="623">
        <v>12652.22116963</v>
      </c>
      <c r="F107" s="623">
        <v>9748.6448836399995</v>
      </c>
      <c r="G107" s="624">
        <v>5.0087192007057419</v>
      </c>
    </row>
    <row r="108" spans="1:7" ht="14.25" hidden="1" customHeight="1">
      <c r="A108" s="332" t="s">
        <v>28</v>
      </c>
      <c r="B108" s="623">
        <v>5247.1810448815995</v>
      </c>
      <c r="C108" s="623">
        <v>7583.5584755884047</v>
      </c>
      <c r="D108" s="623">
        <v>11677.472621020004</v>
      </c>
      <c r="E108" s="623">
        <v>12830.739520470001</v>
      </c>
      <c r="F108" s="623">
        <v>9991.944854450001</v>
      </c>
      <c r="G108" s="624">
        <v>4.9651017324032471</v>
      </c>
    </row>
    <row r="109" spans="1:7" ht="14.25" hidden="1" customHeight="1">
      <c r="A109" s="332" t="s">
        <v>29</v>
      </c>
      <c r="B109" s="623">
        <v>7849.8831809402491</v>
      </c>
      <c r="C109" s="623">
        <v>6053.2924071797524</v>
      </c>
      <c r="D109" s="623">
        <v>11814.156175560001</v>
      </c>
      <c r="E109" s="623">
        <v>13903.175588120001</v>
      </c>
      <c r="F109" s="623">
        <v>10997.158822920001</v>
      </c>
      <c r="G109" s="624">
        <v>4.5528861892117991</v>
      </c>
    </row>
    <row r="110" spans="1:7" ht="13.5" customHeight="1">
      <c r="A110" s="40" t="s">
        <v>1301</v>
      </c>
      <c r="B110" s="621">
        <v>8283.1419850940001</v>
      </c>
      <c r="C110" s="621">
        <v>8492.1598212959962</v>
      </c>
      <c r="D110" s="621">
        <v>15603.110140220002</v>
      </c>
      <c r="E110" s="621">
        <v>16775.301806390002</v>
      </c>
      <c r="F110" s="621">
        <v>13806.376126880001</v>
      </c>
      <c r="G110" s="622"/>
    </row>
    <row r="111" spans="1:7" ht="16.5" hidden="1" customHeight="1">
      <c r="A111" s="332" t="s">
        <v>18</v>
      </c>
      <c r="B111" s="623">
        <v>8179.2003237670415</v>
      </c>
      <c r="C111" s="623">
        <v>5295.426421032962</v>
      </c>
      <c r="D111" s="623">
        <v>11960.857928580001</v>
      </c>
      <c r="E111" s="623">
        <v>13474.6267448</v>
      </c>
      <c r="F111" s="623">
        <v>10550.646729730001</v>
      </c>
      <c r="G111" s="624">
        <v>4.6532329914886361</v>
      </c>
    </row>
    <row r="112" spans="1:7" ht="16.5" hidden="1" customHeight="1">
      <c r="A112" s="332" t="s">
        <v>19</v>
      </c>
      <c r="B112" s="623">
        <v>8320.9053566173188</v>
      </c>
      <c r="C112" s="623">
        <v>5478.2565195426796</v>
      </c>
      <c r="D112" s="623">
        <v>12101.508401289999</v>
      </c>
      <c r="E112" s="623">
        <v>13799.16187616</v>
      </c>
      <c r="F112" s="623">
        <v>10694.32494869</v>
      </c>
      <c r="G112" s="624">
        <v>4.4894382989068946</v>
      </c>
    </row>
    <row r="113" spans="1:7" ht="16.5" hidden="1" customHeight="1">
      <c r="A113" s="332" t="s">
        <v>20</v>
      </c>
      <c r="B113" s="623">
        <v>8374.4350423209999</v>
      </c>
      <c r="C113" s="623">
        <v>5945.4477897390016</v>
      </c>
      <c r="D113" s="623">
        <v>12123.262548840001</v>
      </c>
      <c r="E113" s="623">
        <v>14319.88283205</v>
      </c>
      <c r="F113" s="623">
        <v>11263.437944789999</v>
      </c>
      <c r="G113" s="624">
        <v>4.364259459843387</v>
      </c>
    </row>
    <row r="114" spans="1:7" s="6" customFormat="1" ht="16.5" hidden="1" customHeight="1">
      <c r="A114" s="332" t="s">
        <v>21</v>
      </c>
      <c r="B114" s="623">
        <v>9022.7760185473235</v>
      </c>
      <c r="C114" s="623">
        <v>5323.4255901326833</v>
      </c>
      <c r="D114" s="623">
        <v>12291.642298090002</v>
      </c>
      <c r="E114" s="623">
        <v>14346.201608679999</v>
      </c>
      <c r="F114" s="623">
        <v>11202.396400419999</v>
      </c>
      <c r="G114" s="624">
        <v>4.4521709633649937</v>
      </c>
    </row>
    <row r="115" spans="1:7" s="6" customFormat="1" ht="16.5" hidden="1" customHeight="1">
      <c r="A115" s="332" t="s">
        <v>22</v>
      </c>
      <c r="B115" s="623">
        <v>8503.9337522758015</v>
      </c>
      <c r="C115" s="623">
        <v>6075.5504954642056</v>
      </c>
      <c r="D115" s="623">
        <v>12453.759248170005</v>
      </c>
      <c r="E115" s="623">
        <v>14579.48424774</v>
      </c>
      <c r="F115" s="623">
        <v>11456.70347266</v>
      </c>
      <c r="G115" s="624">
        <v>4.3681688444316418</v>
      </c>
    </row>
    <row r="116" spans="1:7" s="6" customFormat="1" ht="16.5" hidden="1" customHeight="1">
      <c r="A116" s="332" t="s">
        <v>23</v>
      </c>
      <c r="B116" s="623">
        <v>8130.6310187444815</v>
      </c>
      <c r="C116" s="623">
        <v>6396.851249085521</v>
      </c>
      <c r="D116" s="623">
        <v>12791.04749839</v>
      </c>
      <c r="E116" s="623">
        <v>14527.482267830001</v>
      </c>
      <c r="F116" s="623">
        <v>11753.663751780001</v>
      </c>
      <c r="G116" s="624">
        <v>4.4005377030211763</v>
      </c>
    </row>
    <row r="117" spans="1:7" s="6" customFormat="1" ht="16.5" hidden="1" customHeight="1">
      <c r="A117" s="332" t="s">
        <v>24</v>
      </c>
      <c r="B117" s="623">
        <v>8419.5579046270013</v>
      </c>
      <c r="C117" s="623">
        <v>6283.4852380130023</v>
      </c>
      <c r="D117" s="623">
        <v>12753.53298939</v>
      </c>
      <c r="E117" s="623">
        <v>14703.043142640003</v>
      </c>
      <c r="F117" s="623">
        <v>11971.003045320002</v>
      </c>
      <c r="G117" s="624">
        <v>4.4082365717149781</v>
      </c>
    </row>
    <row r="118" spans="1:7" s="6" customFormat="1" ht="16.5" hidden="1" customHeight="1">
      <c r="A118" s="332" t="s">
        <v>25</v>
      </c>
      <c r="B118" s="623">
        <v>8337.3287172766995</v>
      </c>
      <c r="C118" s="623">
        <v>6665.6634768433023</v>
      </c>
      <c r="D118" s="623">
        <v>13125.689057630003</v>
      </c>
      <c r="E118" s="623">
        <v>15002.992194119999</v>
      </c>
      <c r="F118" s="623">
        <v>12218.2895424</v>
      </c>
      <c r="G118" s="624">
        <v>4.3135788121097001</v>
      </c>
    </row>
    <row r="119" spans="1:7" s="6" customFormat="1" ht="16.5" hidden="1" customHeight="1">
      <c r="A119" s="332" t="s">
        <v>26</v>
      </c>
      <c r="B119" s="623">
        <v>8492.1448392023995</v>
      </c>
      <c r="C119" s="623">
        <v>6851.1854589375989</v>
      </c>
      <c r="D119" s="623">
        <v>13553.82171255</v>
      </c>
      <c r="E119" s="623">
        <v>15343.330298140001</v>
      </c>
      <c r="F119" s="623">
        <v>12402.361989680001</v>
      </c>
      <c r="G119" s="624">
        <v>4.2745057408243561</v>
      </c>
    </row>
    <row r="120" spans="1:7" s="6" customFormat="1" ht="16.5" hidden="1" customHeight="1">
      <c r="A120" s="332" t="s">
        <v>27</v>
      </c>
      <c r="B120" s="623">
        <v>8815.5726432672018</v>
      </c>
      <c r="C120" s="623">
        <v>6790.9985671728</v>
      </c>
      <c r="D120" s="623">
        <v>13827.021194729998</v>
      </c>
      <c r="E120" s="623">
        <v>15606.571210440001</v>
      </c>
      <c r="F120" s="623">
        <v>12563.57153646</v>
      </c>
      <c r="G120" s="624">
        <v>4.7822916998312586</v>
      </c>
    </row>
    <row r="121" spans="1:7" s="6" customFormat="1" ht="16.5" hidden="1" customHeight="1">
      <c r="A121" s="332" t="s">
        <v>28</v>
      </c>
      <c r="B121" s="623">
        <v>8896.8298966765487</v>
      </c>
      <c r="C121" s="623">
        <v>6890.9140451234489</v>
      </c>
      <c r="D121" s="623">
        <v>14367.090263119999</v>
      </c>
      <c r="E121" s="623">
        <v>15787.743941799999</v>
      </c>
      <c r="F121" s="623">
        <v>12649.589319520001</v>
      </c>
      <c r="G121" s="624">
        <v>4.1558823994434606</v>
      </c>
    </row>
    <row r="122" spans="1:7" s="6" customFormat="1" ht="16.5" hidden="1" customHeight="1">
      <c r="A122" s="332" t="s">
        <v>29</v>
      </c>
      <c r="B122" s="623">
        <v>8283.1419850940001</v>
      </c>
      <c r="C122" s="623">
        <v>8492.1598212959962</v>
      </c>
      <c r="D122" s="623">
        <v>15603.110140220002</v>
      </c>
      <c r="E122" s="623">
        <v>16775.301806390002</v>
      </c>
      <c r="F122" s="623">
        <v>13806.376126880001</v>
      </c>
      <c r="G122" s="624">
        <v>3.9108674238034538</v>
      </c>
    </row>
    <row r="123" spans="1:7" ht="13.5" customHeight="1">
      <c r="A123" s="40" t="s">
        <v>1423</v>
      </c>
      <c r="B123" s="621">
        <v>9975.526182756601</v>
      </c>
      <c r="C123" s="621">
        <v>9127.7610041334046</v>
      </c>
      <c r="D123" s="621">
        <v>16582.112609380005</v>
      </c>
      <c r="E123" s="621">
        <v>19289.435054590002</v>
      </c>
      <c r="F123" s="621">
        <v>16434.781617190001</v>
      </c>
      <c r="G123" s="622"/>
    </row>
    <row r="124" spans="1:7" ht="16.5" hidden="1" customHeight="1">
      <c r="A124" s="332" t="s">
        <v>18</v>
      </c>
      <c r="B124" s="623">
        <v>8753.8249211743969</v>
      </c>
      <c r="C124" s="623">
        <v>7865.4690825056005</v>
      </c>
      <c r="D124" s="623">
        <v>14419.78952009</v>
      </c>
      <c r="E124" s="623">
        <v>16619.294003679996</v>
      </c>
      <c r="F124" s="623">
        <v>13685.938089679998</v>
      </c>
      <c r="G124" s="624">
        <v>3.9231216485252571</v>
      </c>
    </row>
    <row r="125" spans="1:7" ht="16.5" hidden="1" customHeight="1">
      <c r="A125" s="332" t="s">
        <v>19</v>
      </c>
      <c r="B125" s="623">
        <v>8577.0188716651992</v>
      </c>
      <c r="C125" s="623">
        <v>8188.0517459047987</v>
      </c>
      <c r="D125" s="623">
        <v>13634.921192759999</v>
      </c>
      <c r="E125" s="623">
        <v>16765.07061757</v>
      </c>
      <c r="F125" s="623">
        <v>13905.86568132</v>
      </c>
      <c r="G125" s="624">
        <v>3.6004662454964391</v>
      </c>
    </row>
    <row r="126" spans="1:7" ht="16.5" hidden="1" customHeight="1">
      <c r="A126" s="332" t="s">
        <v>20</v>
      </c>
      <c r="B126" s="623">
        <v>9156.4418342964018</v>
      </c>
      <c r="C126" s="623">
        <v>8288.7049269435993</v>
      </c>
      <c r="D126" s="623">
        <v>13678.840231869999</v>
      </c>
      <c r="E126" s="623">
        <v>17445.146761240001</v>
      </c>
      <c r="F126" s="623">
        <v>14184.517696760002</v>
      </c>
      <c r="G126" s="624">
        <v>3.6510229749883782</v>
      </c>
    </row>
    <row r="127" spans="1:7" ht="16.5" hidden="1" customHeight="1">
      <c r="A127" s="332" t="s">
        <v>21</v>
      </c>
      <c r="B127" s="623">
        <v>9176.8903917599982</v>
      </c>
      <c r="C127" s="623">
        <v>8303.4849263099968</v>
      </c>
      <c r="D127" s="623">
        <v>14364.643777299996</v>
      </c>
      <c r="E127" s="623">
        <v>17480.375318070004</v>
      </c>
      <c r="F127" s="623">
        <v>14369.789669550002</v>
      </c>
      <c r="G127" s="624">
        <v>3.5972342802995771</v>
      </c>
    </row>
    <row r="128" spans="1:7" ht="16.5" hidden="1" customHeight="1">
      <c r="A128" s="332" t="s">
        <v>22</v>
      </c>
      <c r="B128" s="623">
        <v>9218.9531737847992</v>
      </c>
      <c r="C128" s="623">
        <v>8414.8986516652021</v>
      </c>
      <c r="D128" s="623">
        <v>14752.904465990003</v>
      </c>
      <c r="E128" s="623">
        <v>17633.851825450001</v>
      </c>
      <c r="F128" s="623">
        <v>14515.321340959999</v>
      </c>
      <c r="G128" s="624">
        <v>3.6572597156494666</v>
      </c>
    </row>
    <row r="129" spans="1:7" ht="16.5" hidden="1" customHeight="1">
      <c r="A129" s="332" t="s">
        <v>23</v>
      </c>
      <c r="B129" s="623">
        <v>8793.607174044253</v>
      </c>
      <c r="C129" s="623">
        <v>8712.6722171757519</v>
      </c>
      <c r="D129" s="623">
        <v>15071.089690870003</v>
      </c>
      <c r="E129" s="623">
        <v>17506.27939122</v>
      </c>
      <c r="F129" s="623">
        <v>14682.522197119999</v>
      </c>
      <c r="G129" s="624">
        <v>3.7053579262200218</v>
      </c>
    </row>
    <row r="130" spans="1:7" ht="16.5" hidden="1" customHeight="1">
      <c r="A130" s="332" t="s">
        <v>24</v>
      </c>
      <c r="B130" s="623">
        <v>9284.6306146360002</v>
      </c>
      <c r="C130" s="623">
        <v>8669.4924534340007</v>
      </c>
      <c r="D130" s="623">
        <v>15521.622974330001</v>
      </c>
      <c r="E130" s="623">
        <v>17954.123068069999</v>
      </c>
      <c r="F130" s="623">
        <v>14916.31385235</v>
      </c>
      <c r="G130" s="624">
        <v>3.7117615349235469</v>
      </c>
    </row>
    <row r="131" spans="1:7" ht="16.5" hidden="1" customHeight="1">
      <c r="A131" s="332" t="s">
        <v>25</v>
      </c>
      <c r="B131" s="623">
        <v>9155.66704560168</v>
      </c>
      <c r="C131" s="623">
        <v>8847.1074589683176</v>
      </c>
      <c r="D131" s="623">
        <v>15681.06523186</v>
      </c>
      <c r="E131" s="623">
        <v>18002.774504569999</v>
      </c>
      <c r="F131" s="623">
        <v>15163.179898129998</v>
      </c>
      <c r="G131" s="624">
        <v>3.7017103521222618</v>
      </c>
    </row>
    <row r="132" spans="1:7" ht="16.5" hidden="1" customHeight="1">
      <c r="A132" s="332" t="s">
        <v>26</v>
      </c>
      <c r="B132" s="623">
        <v>9262.2368177244007</v>
      </c>
      <c r="C132" s="623">
        <v>8947.9169661155975</v>
      </c>
      <c r="D132" s="623">
        <v>16024.718345569998</v>
      </c>
      <c r="E132" s="623">
        <v>18210.15378384</v>
      </c>
      <c r="F132" s="623">
        <v>15264.92949411</v>
      </c>
      <c r="G132" s="624">
        <v>3.7338746540117214</v>
      </c>
    </row>
    <row r="133" spans="1:7" ht="16.5" hidden="1" customHeight="1">
      <c r="A133" s="332" t="s">
        <v>27</v>
      </c>
      <c r="B133" s="623">
        <v>9884.5211664189974</v>
      </c>
      <c r="C133" s="623">
        <v>8565.0180041710009</v>
      </c>
      <c r="D133" s="623">
        <v>16190.7225745</v>
      </c>
      <c r="E133" s="623">
        <v>18449.53917059</v>
      </c>
      <c r="F133" s="623">
        <v>15495.52054265</v>
      </c>
      <c r="G133" s="624">
        <v>3.6834838715420637</v>
      </c>
    </row>
    <row r="134" spans="1:7" ht="16.5" hidden="1" customHeight="1">
      <c r="A134" s="332" t="s">
        <v>28</v>
      </c>
      <c r="B134" s="623">
        <v>9943.594772619761</v>
      </c>
      <c r="C134" s="623">
        <v>8912.7867856502417</v>
      </c>
      <c r="D134" s="623">
        <v>16484.559871459998</v>
      </c>
      <c r="E134" s="623">
        <v>18856.381558270001</v>
      </c>
      <c r="F134" s="623">
        <v>15673.90127194</v>
      </c>
      <c r="G134" s="624">
        <v>3.6242476594960049</v>
      </c>
    </row>
    <row r="135" spans="1:7" ht="16.5" hidden="1" customHeight="1">
      <c r="A135" s="332" t="s">
        <v>29</v>
      </c>
      <c r="B135" s="623">
        <v>9975.526182756601</v>
      </c>
      <c r="C135" s="623">
        <v>9313.9088718334042</v>
      </c>
      <c r="D135" s="623">
        <v>16582.112609380005</v>
      </c>
      <c r="E135" s="623">
        <v>19289.435054590002</v>
      </c>
      <c r="F135" s="623">
        <v>16434.781617190001</v>
      </c>
      <c r="G135" s="624">
        <v>3.5113457144839675</v>
      </c>
    </row>
    <row r="136" spans="1:7" ht="13.5" customHeight="1">
      <c r="A136" s="40" t="s">
        <v>1634</v>
      </c>
      <c r="B136" s="623"/>
      <c r="C136" s="623"/>
      <c r="D136" s="623"/>
      <c r="E136" s="623"/>
      <c r="F136" s="623"/>
      <c r="G136" s="624"/>
    </row>
    <row r="137" spans="1:7" ht="16.5" customHeight="1">
      <c r="A137" s="40" t="s">
        <v>18</v>
      </c>
      <c r="B137" s="623">
        <v>10313.828678065041</v>
      </c>
      <c r="C137" s="623">
        <v>8731.0219437849628</v>
      </c>
      <c r="D137" s="623">
        <v>16663.613278920002</v>
      </c>
      <c r="E137" s="623">
        <v>19044.850621850001</v>
      </c>
      <c r="F137" s="623">
        <v>15982.879134549999</v>
      </c>
      <c r="G137" s="624">
        <v>3.272752021688409</v>
      </c>
    </row>
    <row r="138" spans="1:7" ht="16.5" customHeight="1">
      <c r="A138" s="40" t="s">
        <v>19</v>
      </c>
      <c r="B138" s="623">
        <v>10730.386405456722</v>
      </c>
      <c r="C138" s="623">
        <v>8543.1733030732776</v>
      </c>
      <c r="D138" s="623">
        <v>16933.433028599997</v>
      </c>
      <c r="E138" s="623">
        <v>19273.559708530003</v>
      </c>
      <c r="F138" s="623">
        <v>16124.661814100004</v>
      </c>
      <c r="G138" s="624">
        <v>3.148866040440053</v>
      </c>
    </row>
    <row r="139" spans="1:7" ht="16.5" customHeight="1">
      <c r="A139" s="40" t="s">
        <v>20</v>
      </c>
      <c r="B139" s="623">
        <v>11792.215780226838</v>
      </c>
      <c r="C139" s="623">
        <v>7584.8011703231596</v>
      </c>
      <c r="D139" s="623">
        <v>17313.647154999999</v>
      </c>
      <c r="E139" s="623">
        <v>19377.016950549998</v>
      </c>
      <c r="F139" s="623">
        <v>16132.314188839999</v>
      </c>
      <c r="G139" s="624">
        <v>3.2607101116583466</v>
      </c>
    </row>
    <row r="140" spans="1:7" ht="16.5" customHeight="1">
      <c r="A140" s="40" t="s">
        <v>21</v>
      </c>
      <c r="B140" s="623">
        <v>12216.608476437083</v>
      </c>
      <c r="C140" s="623">
        <v>7575.9506153929215</v>
      </c>
      <c r="D140" s="623">
        <v>17716.84290394</v>
      </c>
      <c r="E140" s="623">
        <v>19792.55909183</v>
      </c>
      <c r="F140" s="623">
        <v>16489.676849340001</v>
      </c>
      <c r="G140" s="624">
        <v>3.3123086946477134</v>
      </c>
    </row>
    <row r="141" spans="1:7" ht="16.5" customHeight="1">
      <c r="A141" s="40" t="s">
        <v>22</v>
      </c>
      <c r="B141" s="623">
        <v>12112.184756759523</v>
      </c>
      <c r="C141" s="623">
        <v>7856.3767399104836</v>
      </c>
      <c r="D141" s="623">
        <v>18123.072748740004</v>
      </c>
      <c r="E141" s="623">
        <v>19968.561496670001</v>
      </c>
      <c r="F141" s="623">
        <v>16695.74778433</v>
      </c>
      <c r="G141" s="624">
        <v>3.3701695022495821</v>
      </c>
    </row>
    <row r="142" spans="1:7" ht="16.5" customHeight="1">
      <c r="A142" s="40" t="s">
        <v>23</v>
      </c>
      <c r="B142" s="623">
        <v>12068.196271351564</v>
      </c>
      <c r="C142" s="623">
        <v>8501.0502020184431</v>
      </c>
      <c r="D142" s="623">
        <v>18209.982750170002</v>
      </c>
      <c r="E142" s="623">
        <v>20569.24647337</v>
      </c>
      <c r="F142" s="623">
        <v>17005.082993600001</v>
      </c>
      <c r="G142" s="624">
        <v>3.3805186379646202</v>
      </c>
    </row>
    <row r="143" spans="1:7" ht="16.5" customHeight="1">
      <c r="A143" s="40" t="s">
        <v>24</v>
      </c>
      <c r="B143" s="623">
        <v>12429.804703018724</v>
      </c>
      <c r="C143" s="623">
        <v>8795.5950047212791</v>
      </c>
      <c r="D143" s="623">
        <v>18477.874276729999</v>
      </c>
      <c r="E143" s="623">
        <v>21225.399707740002</v>
      </c>
      <c r="F143" s="623">
        <v>17435.081794850001</v>
      </c>
      <c r="G143" s="624">
        <v>3.3425022426458524</v>
      </c>
    </row>
    <row r="144" spans="1:7" ht="16.5" customHeight="1">
      <c r="A144" s="40" t="s">
        <v>25</v>
      </c>
      <c r="B144" s="623">
        <v>12073.92507237732</v>
      </c>
      <c r="C144" s="623">
        <v>9232.470557712677</v>
      </c>
      <c r="D144" s="623">
        <v>18777.822485639997</v>
      </c>
      <c r="E144" s="623">
        <v>21306.395630089999</v>
      </c>
      <c r="F144" s="623">
        <v>17452.391032289997</v>
      </c>
      <c r="G144" s="624">
        <v>3.3667249313454222</v>
      </c>
    </row>
    <row r="145" spans="1:7" ht="16.5" customHeight="1">
      <c r="A145" s="40" t="s">
        <v>26</v>
      </c>
      <c r="B145" s="623">
        <v>11912.041999287285</v>
      </c>
      <c r="C145" s="623">
        <v>9221.0862821627234</v>
      </c>
      <c r="D145" s="623">
        <v>19082.944819290002</v>
      </c>
      <c r="E145" s="623">
        <v>21133.128281450001</v>
      </c>
      <c r="F145" s="623">
        <v>17367.805316220001</v>
      </c>
      <c r="G145" s="624">
        <v>3.3890580259458272</v>
      </c>
    </row>
    <row r="146" spans="1:7" ht="16.5" customHeight="1">
      <c r="A146" s="40" t="s">
        <v>27</v>
      </c>
      <c r="B146" s="623">
        <v>12189.504669240039</v>
      </c>
      <c r="C146" s="623">
        <v>9182.6088926099637</v>
      </c>
      <c r="D146" s="623">
        <v>19307.721907270003</v>
      </c>
      <c r="E146" s="623">
        <v>21372.113561850005</v>
      </c>
      <c r="F146" s="623">
        <v>17370.041469000003</v>
      </c>
      <c r="G146" s="624">
        <v>3.400696544416522</v>
      </c>
    </row>
    <row r="147" spans="1:7" ht="16.5" customHeight="1">
      <c r="A147" s="40" t="s">
        <v>28</v>
      </c>
      <c r="B147" s="623">
        <v>11986.022929026241</v>
      </c>
      <c r="C147" s="623">
        <v>9703.7364830537572</v>
      </c>
      <c r="D147" s="623">
        <v>19758.176670529996</v>
      </c>
      <c r="E147" s="623">
        <v>21689.759412079999</v>
      </c>
      <c r="F147" s="623">
        <v>17525.152211059998</v>
      </c>
      <c r="G147" s="624">
        <v>3.3454448380196884</v>
      </c>
    </row>
    <row r="148" spans="1:7" ht="16.5" customHeight="1">
      <c r="A148" s="40" t="s">
        <v>29</v>
      </c>
      <c r="B148" s="623">
        <v>10477.630813157359</v>
      </c>
      <c r="C148" s="623">
        <v>11088.726110782638</v>
      </c>
      <c r="D148" s="623">
        <v>20041.87220582</v>
      </c>
      <c r="E148" s="623">
        <v>21566.356923939999</v>
      </c>
      <c r="F148" s="623">
        <v>17435.832346269999</v>
      </c>
      <c r="G148" s="624">
        <v>3.3825629215009609</v>
      </c>
    </row>
    <row r="149" spans="1:7" ht="16.5" customHeight="1">
      <c r="A149" s="40" t="s">
        <v>1829</v>
      </c>
      <c r="B149" s="623"/>
      <c r="C149" s="623"/>
      <c r="D149" s="623"/>
      <c r="E149" s="623"/>
      <c r="F149" s="623"/>
      <c r="G149" s="624"/>
    </row>
    <row r="150" spans="1:7" ht="16.5" customHeight="1">
      <c r="A150" s="40" t="s">
        <v>18</v>
      </c>
      <c r="B150" s="623">
        <v>9805.7262237300019</v>
      </c>
      <c r="C150" s="623">
        <v>10762.770555879999</v>
      </c>
      <c r="D150" s="623">
        <v>19899.446903470001</v>
      </c>
      <c r="E150" s="623">
        <v>20568.496779610003</v>
      </c>
      <c r="F150" s="623">
        <v>16236.448099690002</v>
      </c>
      <c r="G150" s="624">
        <v>2.6841092172635999</v>
      </c>
    </row>
    <row r="151" spans="1:7" ht="16.5" customHeight="1">
      <c r="A151" s="40" t="s">
        <v>19</v>
      </c>
      <c r="B151" s="623">
        <v>10926.39392425</v>
      </c>
      <c r="C151" s="623">
        <v>9188.7745882199979</v>
      </c>
      <c r="D151" s="623">
        <v>22155.680821059996</v>
      </c>
      <c r="E151" s="623">
        <v>20115.168512470002</v>
      </c>
      <c r="F151" s="623">
        <v>13607.043731039999</v>
      </c>
      <c r="G151" s="624">
        <v>3.1367283624315809</v>
      </c>
    </row>
    <row r="152" spans="1:7" ht="16.5" customHeight="1">
      <c r="A152" s="40" t="s">
        <v>20</v>
      </c>
      <c r="B152" s="623">
        <v>9368.00387013</v>
      </c>
      <c r="C152" s="623">
        <v>10139.384984620006</v>
      </c>
      <c r="D152" s="623">
        <v>22099.479051470007</v>
      </c>
      <c r="E152" s="623">
        <v>19507.388854749999</v>
      </c>
      <c r="F152" s="623">
        <v>12493.102293259999</v>
      </c>
      <c r="G152" s="624">
        <v>3.690036223018109</v>
      </c>
    </row>
    <row r="153" spans="1:7" ht="16.5" customHeight="1">
      <c r="A153" s="40" t="s">
        <v>21</v>
      </c>
      <c r="B153" s="623">
        <v>8845.1355185200009</v>
      </c>
      <c r="C153" s="623">
        <v>10137.745574610002</v>
      </c>
      <c r="D153" s="623">
        <v>22082.80706562</v>
      </c>
      <c r="E153" s="623">
        <v>18982.881093129999</v>
      </c>
      <c r="F153" s="623">
        <v>11004.003724679998</v>
      </c>
      <c r="G153" s="624">
        <v>4.5362580065331279</v>
      </c>
    </row>
    <row r="154" spans="1:7" ht="16.5" customHeight="1">
      <c r="A154" s="40" t="s">
        <v>22</v>
      </c>
      <c r="B154" s="623">
        <v>8801.645188460001</v>
      </c>
      <c r="C154" s="623">
        <v>10165.164992949998</v>
      </c>
      <c r="D154" s="623">
        <v>22074.494394220001</v>
      </c>
      <c r="E154" s="623">
        <v>18966.810181410001</v>
      </c>
      <c r="F154" s="623">
        <v>11051.43324894</v>
      </c>
      <c r="G154" s="624">
        <v>4.6352648426767065</v>
      </c>
    </row>
    <row r="155" spans="1:7" ht="16.5" customHeight="1">
      <c r="A155" s="40" t="s">
        <v>23</v>
      </c>
      <c r="B155" s="623">
        <v>8676.7089770900002</v>
      </c>
      <c r="C155" s="623">
        <v>10172.653723980002</v>
      </c>
      <c r="D155" s="623">
        <v>22042.853342460003</v>
      </c>
      <c r="E155" s="623">
        <v>18849.36270107</v>
      </c>
      <c r="F155" s="623">
        <v>10991.807172730001</v>
      </c>
      <c r="G155" s="624">
        <v>4.7790321622748442</v>
      </c>
    </row>
    <row r="156" spans="1:7" ht="16.5" customHeight="1">
      <c r="A156" s="40" t="s">
        <v>24</v>
      </c>
      <c r="B156" s="623">
        <v>8888.991460119998</v>
      </c>
      <c r="C156" s="623">
        <v>9966.4036213800027</v>
      </c>
      <c r="D156" s="623">
        <v>21909.448119130004</v>
      </c>
      <c r="E156" s="623">
        <v>18855.395081499999</v>
      </c>
      <c r="F156" s="623">
        <v>10853.4799398</v>
      </c>
      <c r="G156" s="624">
        <v>5.0634187919940974</v>
      </c>
    </row>
    <row r="157" spans="1:7" ht="16.5" customHeight="1">
      <c r="A157" s="40" t="s">
        <v>25</v>
      </c>
      <c r="B157" s="623">
        <v>8488.722814900002</v>
      </c>
      <c r="C157" s="623">
        <v>9245.5467057100032</v>
      </c>
      <c r="D157" s="623">
        <v>21877.230808510005</v>
      </c>
      <c r="E157" s="623">
        <v>17734.26952061</v>
      </c>
      <c r="F157" s="623">
        <v>9545.6573157900002</v>
      </c>
      <c r="G157" s="624">
        <v>5.6613597379624263</v>
      </c>
    </row>
    <row r="158" spans="1:7" ht="16.5" customHeight="1">
      <c r="A158" s="40" t="s">
        <v>26</v>
      </c>
      <c r="B158" s="623">
        <v>8349.6931199899936</v>
      </c>
      <c r="C158" s="623">
        <v>9334.3310063300032</v>
      </c>
      <c r="D158" s="623">
        <v>21203.703947240003</v>
      </c>
      <c r="E158" s="623">
        <v>17684.024126320001</v>
      </c>
      <c r="F158" s="623">
        <v>9368.9163284799997</v>
      </c>
      <c r="G158" s="624">
        <v>5.7891291548620485</v>
      </c>
    </row>
    <row r="159" spans="1:7" ht="16.5" customHeight="1">
      <c r="A159" s="40" t="s">
        <v>27</v>
      </c>
      <c r="B159" s="623">
        <v>8717.5732322799995</v>
      </c>
      <c r="C159" s="623">
        <v>8651.9128977800046</v>
      </c>
      <c r="D159" s="623">
        <v>20910.811603430007</v>
      </c>
      <c r="E159" s="623">
        <v>17369.486130060002</v>
      </c>
      <c r="F159" s="623">
        <v>9363.6434162200003</v>
      </c>
      <c r="G159" s="624">
        <v>5.8867854690532475</v>
      </c>
    </row>
    <row r="160" spans="1:7" ht="16.5" customHeight="1">
      <c r="A160" s="40" t="s">
        <v>28</v>
      </c>
      <c r="B160" s="623">
        <v>8766.7500764899996</v>
      </c>
      <c r="C160" s="623">
        <v>8677.7290508000042</v>
      </c>
      <c r="D160" s="623">
        <v>21248.51733812</v>
      </c>
      <c r="E160" s="623">
        <v>17444.47912729</v>
      </c>
      <c r="F160" s="623">
        <v>9050.0356780599996</v>
      </c>
      <c r="G160" s="624">
        <v>6.0340294514604427</v>
      </c>
    </row>
    <row r="161" spans="1:9" ht="16.5" customHeight="1">
      <c r="A161" s="40" t="s">
        <v>29</v>
      </c>
      <c r="B161" s="623">
        <v>10680.57673565</v>
      </c>
      <c r="C161" s="623">
        <v>10606.32995677</v>
      </c>
      <c r="D161" s="623">
        <v>24627.246070779998</v>
      </c>
      <c r="E161" s="623">
        <v>21286.906692420001</v>
      </c>
      <c r="F161" s="623">
        <v>8678.2990421599989</v>
      </c>
      <c r="G161" s="624">
        <v>6.2629899863962208</v>
      </c>
    </row>
    <row r="162" spans="1:9" ht="16.5" customHeight="1">
      <c r="A162" s="40" t="s">
        <v>1852</v>
      </c>
      <c r="B162" s="623"/>
      <c r="C162" s="623"/>
      <c r="D162" s="623"/>
      <c r="E162" s="623"/>
      <c r="F162" s="623"/>
      <c r="G162" s="624"/>
    </row>
    <row r="163" spans="1:9" ht="16.5" customHeight="1">
      <c r="A163" s="40" t="s">
        <v>18</v>
      </c>
      <c r="B163" s="623">
        <v>10181.611797529999</v>
      </c>
      <c r="C163" s="623">
        <v>9748.5779503600061</v>
      </c>
      <c r="D163" s="623">
        <v>24204.942155520006</v>
      </c>
      <c r="E163" s="623">
        <v>19930.189747889999</v>
      </c>
      <c r="F163" s="623">
        <v>8001.7370589799993</v>
      </c>
      <c r="G163" s="624">
        <v>6.0154938415504251</v>
      </c>
      <c r="I163" s="281"/>
    </row>
    <row r="164" spans="1:9" ht="16.5" customHeight="1">
      <c r="A164" s="40" t="s">
        <v>19</v>
      </c>
      <c r="B164" s="623">
        <v>10029.378411110001</v>
      </c>
      <c r="C164" s="623">
        <v>9569.4649208600076</v>
      </c>
      <c r="D164" s="623">
        <v>23355.908324403506</v>
      </c>
      <c r="E164" s="623">
        <v>19598.843331969998</v>
      </c>
      <c r="F164" s="623">
        <v>8686.374386129999</v>
      </c>
      <c r="G164" s="624">
        <v>5.4490168044768907</v>
      </c>
    </row>
    <row r="165" spans="1:9" ht="16.5" customHeight="1">
      <c r="A165" s="40" t="s">
        <v>20</v>
      </c>
      <c r="B165" s="623">
        <v>11909.642779999996</v>
      </c>
      <c r="C165" s="623">
        <v>8725.4731387399952</v>
      </c>
      <c r="D165" s="623">
        <v>22629.552759573737</v>
      </c>
      <c r="E165" s="623">
        <v>20635.115918739997</v>
      </c>
      <c r="F165" s="623">
        <v>8943.0222278000001</v>
      </c>
      <c r="G165" s="624">
        <v>5.6306244933025704</v>
      </c>
    </row>
    <row r="166" spans="1:9" ht="16.5" customHeight="1">
      <c r="A166" s="40" t="s">
        <v>21</v>
      </c>
      <c r="B166" s="623">
        <v>11689.993301909999</v>
      </c>
      <c r="C166" s="623">
        <v>8875.7390559199976</v>
      </c>
      <c r="D166" s="623">
        <v>21736.177713950001</v>
      </c>
      <c r="E166" s="623">
        <v>20565.732357829998</v>
      </c>
      <c r="F166" s="623">
        <v>9205.7599008199995</v>
      </c>
      <c r="G166" s="624">
        <v>5.4969606578043058</v>
      </c>
    </row>
    <row r="167" spans="1:9" ht="16.5" customHeight="1">
      <c r="A167" s="40" t="s">
        <v>22</v>
      </c>
      <c r="B167" s="623">
        <v>8691.5180625699959</v>
      </c>
      <c r="C167" s="623">
        <v>11938.220276070002</v>
      </c>
      <c r="D167" s="623">
        <v>21206.458284820001</v>
      </c>
      <c r="E167" s="623">
        <v>20629.73833864</v>
      </c>
      <c r="F167" s="623">
        <v>9600.709636919999</v>
      </c>
      <c r="G167" s="624">
        <v>5.3778024700852871</v>
      </c>
    </row>
    <row r="168" spans="1:9" ht="16.5" customHeight="1">
      <c r="A168" s="40" t="s">
        <v>23</v>
      </c>
      <c r="B168" s="623">
        <v>9375.8426324999982</v>
      </c>
      <c r="C168" s="623">
        <v>11475.642199420003</v>
      </c>
      <c r="D168" s="623">
        <v>21203.648283040002</v>
      </c>
      <c r="E168" s="623">
        <v>20851.484831909998</v>
      </c>
      <c r="F168" s="623">
        <v>9806.5437926800005</v>
      </c>
      <c r="G168" s="624">
        <v>5.5069962610385943</v>
      </c>
    </row>
    <row r="169" spans="1:9" ht="16.5" customHeight="1">
      <c r="A169" s="40" t="s">
        <v>24</v>
      </c>
      <c r="B169" s="623">
        <v>8552.6384638200016</v>
      </c>
      <c r="C169" s="623">
        <v>12549.255828089999</v>
      </c>
      <c r="D169" s="623">
        <v>19363.994178419998</v>
      </c>
      <c r="E169" s="623">
        <v>21101.894291910001</v>
      </c>
      <c r="F169" s="623">
        <v>10096.59923992</v>
      </c>
      <c r="G169" s="624">
        <v>5.4540457610705966</v>
      </c>
    </row>
    <row r="170" spans="1:9" ht="16.5" customHeight="1">
      <c r="A170" s="40" t="s">
        <v>25</v>
      </c>
      <c r="B170" s="623">
        <v>8842.8224372700006</v>
      </c>
      <c r="C170" s="623">
        <v>12311.232067360002</v>
      </c>
      <c r="D170" s="623">
        <v>19567.956046391038</v>
      </c>
      <c r="E170" s="623">
        <v>21154.054504630003</v>
      </c>
      <c r="F170" s="623">
        <v>9861.4011032900016</v>
      </c>
      <c r="G170" s="624">
        <v>5.7843403186358087</v>
      </c>
    </row>
    <row r="171" spans="1:9" ht="16.5" customHeight="1">
      <c r="A171" s="40" t="s">
        <v>26</v>
      </c>
      <c r="B171" s="623">
        <v>8401.6128056299985</v>
      </c>
      <c r="C171" s="623">
        <v>11732.53741148</v>
      </c>
      <c r="D171" s="623">
        <v>19489.634150261038</v>
      </c>
      <c r="E171" s="623">
        <v>20134.15021711</v>
      </c>
      <c r="F171" s="623">
        <v>9966.4070786500015</v>
      </c>
      <c r="G171" s="624">
        <v>5.8110276059997688</v>
      </c>
    </row>
    <row r="172" spans="1:9" ht="16.5" customHeight="1">
      <c r="A172" s="40" t="s">
        <v>27</v>
      </c>
      <c r="B172" s="623">
        <v>8163.6268637900002</v>
      </c>
      <c r="C172" s="623">
        <v>11958.957116480002</v>
      </c>
      <c r="D172" s="623">
        <v>19057.325024561036</v>
      </c>
      <c r="E172" s="623">
        <v>20122.583980269999</v>
      </c>
      <c r="F172" s="623">
        <v>10679.03181364</v>
      </c>
      <c r="G172" s="624">
        <v>5.5312205292388166</v>
      </c>
    </row>
    <row r="173" spans="1:9" ht="16.5" customHeight="1">
      <c r="A173" s="40" t="s">
        <v>28</v>
      </c>
      <c r="B173" s="623">
        <v>7502.1303790200018</v>
      </c>
      <c r="C173" s="623">
        <v>12769.745173680003</v>
      </c>
      <c r="D173" s="623">
        <v>19799.13768470104</v>
      </c>
      <c r="E173" s="623">
        <v>20271.875552699999</v>
      </c>
      <c r="F173" s="623">
        <v>10942.423036390001</v>
      </c>
      <c r="G173" s="624">
        <v>5.4267289282168099</v>
      </c>
    </row>
    <row r="174" spans="1:9" ht="16.5" customHeight="1">
      <c r="A174" s="40" t="s">
        <v>29</v>
      </c>
      <c r="B174" s="623">
        <v>7591.6417212400011</v>
      </c>
      <c r="C174" s="623">
        <v>13297.958496220001</v>
      </c>
      <c r="D174" s="623">
        <v>17661.766609731036</v>
      </c>
      <c r="E174" s="623">
        <v>20889.60021746</v>
      </c>
      <c r="F174" s="623">
        <v>11546.34558836</v>
      </c>
      <c r="G174" s="624">
        <v>5.1953840755012797</v>
      </c>
    </row>
    <row r="175" spans="1:9" ht="16.5" customHeight="1">
      <c r="A175" s="40" t="s">
        <v>1915</v>
      </c>
      <c r="B175" s="623"/>
      <c r="C175" s="623"/>
      <c r="D175" s="623"/>
      <c r="E175" s="623"/>
      <c r="F175" s="623"/>
      <c r="G175" s="624"/>
    </row>
    <row r="176" spans="1:9" ht="16.5" customHeight="1">
      <c r="A176" s="40" t="s">
        <v>18</v>
      </c>
      <c r="B176" s="623">
        <v>9686.2611908000017</v>
      </c>
      <c r="C176" s="623">
        <v>11348.592694390001</v>
      </c>
      <c r="D176" s="623">
        <v>16055.80105774104</v>
      </c>
      <c r="E176" s="623">
        <v>21034.853885190001</v>
      </c>
      <c r="F176" s="623">
        <v>10749.334211820002</v>
      </c>
      <c r="G176" s="624">
        <v>5.8419618148022607</v>
      </c>
    </row>
    <row r="177" spans="1:7" ht="16.5" customHeight="1">
      <c r="A177" s="40" t="s">
        <v>19</v>
      </c>
      <c r="B177" s="623">
        <v>7579.4802593500017</v>
      </c>
      <c r="C177" s="623">
        <v>12571.724120029996</v>
      </c>
      <c r="D177" s="623">
        <v>15349.225691871037</v>
      </c>
      <c r="E177" s="623">
        <v>20151.204379379997</v>
      </c>
      <c r="F177" s="623">
        <v>10764.027273759999</v>
      </c>
      <c r="G177" s="624">
        <v>5.5978676444724416</v>
      </c>
    </row>
    <row r="178" spans="1:7" ht="16.5" customHeight="1">
      <c r="A178" s="40" t="s">
        <v>20</v>
      </c>
      <c r="B178" s="623">
        <v>8259.7188025500054</v>
      </c>
      <c r="C178" s="623">
        <v>11643.207625820003</v>
      </c>
      <c r="D178" s="623">
        <v>14953.03136745104</v>
      </c>
      <c r="E178" s="623">
        <v>19902.926428370003</v>
      </c>
      <c r="F178" s="623">
        <v>10981.981760760002</v>
      </c>
      <c r="G178" s="624">
        <v>5.5471590945152105</v>
      </c>
    </row>
    <row r="179" spans="1:7" ht="16.5" customHeight="1">
      <c r="A179" s="40" t="s">
        <v>21</v>
      </c>
      <c r="B179" s="623">
        <v>8656.3365086799986</v>
      </c>
      <c r="C179" s="623">
        <v>12425.470219749994</v>
      </c>
      <c r="D179" s="623">
        <v>15051.610971511036</v>
      </c>
      <c r="E179" s="623">
        <v>21081.806728430001</v>
      </c>
      <c r="F179" s="623">
        <v>11610.051899549999</v>
      </c>
      <c r="G179" s="624">
        <v>5.2040594239153943</v>
      </c>
    </row>
    <row r="180" spans="1:7" ht="16.5" customHeight="1">
      <c r="A180" s="40" t="s">
        <v>22</v>
      </c>
      <c r="B180" s="623">
        <v>9246.3859576599989</v>
      </c>
      <c r="C180" s="623">
        <v>11609.979976169992</v>
      </c>
      <c r="D180" s="623">
        <v>14254.772286781041</v>
      </c>
      <c r="E180" s="623">
        <v>20856.365933830002</v>
      </c>
      <c r="F180" s="623">
        <v>11568.538726760002</v>
      </c>
      <c r="G180" s="624">
        <v>5.2567468922699323</v>
      </c>
    </row>
    <row r="181" spans="1:7" ht="16.5" customHeight="1">
      <c r="A181" s="40" t="s">
        <v>23</v>
      </c>
      <c r="B181" s="623">
        <v>9423.3952125599972</v>
      </c>
      <c r="C181" s="623">
        <v>11549.609276900004</v>
      </c>
      <c r="D181" s="623">
        <v>13329.53336102104</v>
      </c>
      <c r="E181" s="623">
        <v>20973.004489459996</v>
      </c>
      <c r="F181" s="623">
        <v>11435.887373869999</v>
      </c>
      <c r="G181" s="624">
        <v>5.47584966104895</v>
      </c>
    </row>
    <row r="182" spans="1:7" ht="16.5" customHeight="1">
      <c r="A182" s="40" t="s">
        <v>24</v>
      </c>
      <c r="B182" s="623">
        <v>9715.0228328499998</v>
      </c>
      <c r="C182" s="623">
        <v>11109.361999189996</v>
      </c>
      <c r="D182" s="623">
        <v>12094.787673261037</v>
      </c>
      <c r="E182" s="623">
        <v>20824.384832039999</v>
      </c>
      <c r="F182" s="623">
        <v>11338.46891634</v>
      </c>
      <c r="G182" s="624">
        <v>5.6916830574513746</v>
      </c>
    </row>
    <row r="183" spans="1:7" ht="16.5" customHeight="1">
      <c r="A183" s="40" t="s">
        <v>25</v>
      </c>
      <c r="B183" s="623">
        <v>10145.448565560002</v>
      </c>
      <c r="C183" s="623">
        <v>10410.854755249993</v>
      </c>
      <c r="D183" s="623">
        <v>11728.830825641035</v>
      </c>
      <c r="E183" s="623">
        <v>20556.303320809995</v>
      </c>
      <c r="F183" s="623">
        <v>11137.546011989998</v>
      </c>
      <c r="G183" s="624">
        <v>5.887275341391323</v>
      </c>
    </row>
    <row r="184" spans="1:7">
      <c r="A184" s="40" t="s">
        <v>26</v>
      </c>
      <c r="B184" s="623">
        <v>13649.886896820004</v>
      </c>
      <c r="C184" s="623">
        <v>7483.8322918499998</v>
      </c>
      <c r="D184" s="623">
        <v>11862.255660601038</v>
      </c>
      <c r="E184" s="623">
        <v>21133.719188670002</v>
      </c>
      <c r="F184" s="623">
        <v>11464.497166829999</v>
      </c>
      <c r="G184" s="624">
        <v>5.8228807621100884</v>
      </c>
    </row>
    <row r="185" spans="1:7" ht="16.5" customHeight="1">
      <c r="A185" s="40" t="s">
        <v>27</v>
      </c>
      <c r="B185" s="623">
        <v>14490.233194789998</v>
      </c>
      <c r="C185" s="623">
        <v>6959.3879467099996</v>
      </c>
      <c r="D185" s="623">
        <v>11674.205142721039</v>
      </c>
      <c r="E185" s="623">
        <v>21449.6211415</v>
      </c>
      <c r="F185" s="623">
        <v>11546.72964532</v>
      </c>
      <c r="G185" s="624">
        <v>5.8698698317121316</v>
      </c>
    </row>
    <row r="186" spans="1:7" ht="16.5" customHeight="1">
      <c r="A186" s="40" t="s">
        <v>28</v>
      </c>
      <c r="B186" s="623">
        <v>12879.959697359996</v>
      </c>
      <c r="C186" s="623">
        <v>8637.9607756900004</v>
      </c>
      <c r="D186" s="623">
        <v>11817.19033116</v>
      </c>
      <c r="E186" s="623">
        <v>21517.920473049999</v>
      </c>
      <c r="F186" s="623">
        <v>12044.7137398</v>
      </c>
      <c r="G186" s="624">
        <v>5.7124690575333714</v>
      </c>
    </row>
    <row r="187" spans="1:7" ht="16.5" customHeight="1">
      <c r="A187" s="40" t="s">
        <v>29</v>
      </c>
      <c r="B187" s="623">
        <v>15051.31524702</v>
      </c>
      <c r="C187" s="623">
        <v>7720.7552040000028</v>
      </c>
      <c r="D187" s="623">
        <v>11363.186676810003</v>
      </c>
      <c r="E187" s="623">
        <v>22772.070451020001</v>
      </c>
      <c r="F187" s="623">
        <v>12466.432601680001</v>
      </c>
      <c r="G187" s="624">
        <v>5.6259157884949751</v>
      </c>
    </row>
    <row r="188" spans="1:7" ht="16.5" customHeight="1">
      <c r="A188" s="40" t="s">
        <v>2051</v>
      </c>
      <c r="B188" s="621"/>
      <c r="C188" s="621"/>
      <c r="D188" s="621"/>
      <c r="E188" s="621"/>
      <c r="F188" s="621"/>
      <c r="G188" s="622"/>
    </row>
    <row r="189" spans="1:7" ht="16.5" customHeight="1">
      <c r="A189" s="40" t="s">
        <v>18</v>
      </c>
      <c r="B189" s="623">
        <v>15215.15271205</v>
      </c>
      <c r="C189" s="623">
        <v>7540.2460617299976</v>
      </c>
      <c r="D189" s="623">
        <v>11439.614230220001</v>
      </c>
      <c r="E189" s="623">
        <v>22755.398773779998</v>
      </c>
      <c r="F189" s="623">
        <v>12272.674945000001</v>
      </c>
      <c r="G189" s="624">
        <v>5.9150918870849303</v>
      </c>
    </row>
    <row r="190" spans="1:7" ht="16.5" customHeight="1">
      <c r="A190" s="40" t="s">
        <v>19</v>
      </c>
      <c r="B190" s="623">
        <v>15209.074641149999</v>
      </c>
      <c r="C190" s="623">
        <v>7659.0022269400033</v>
      </c>
      <c r="D190" s="623">
        <v>11216.25471754</v>
      </c>
      <c r="E190" s="623">
        <v>22868.07686809</v>
      </c>
      <c r="F190" s="623">
        <v>12744.878943899999</v>
      </c>
      <c r="G190" s="624">
        <v>5.4334764814022973</v>
      </c>
    </row>
    <row r="191" spans="1:7" ht="16.5" customHeight="1">
      <c r="A191" s="40" t="s">
        <v>20</v>
      </c>
      <c r="B191" s="623">
        <v>14827.697943479998</v>
      </c>
      <c r="C191" s="623">
        <v>7631.8016116400031</v>
      </c>
      <c r="D191" s="623">
        <v>10921.316064299999</v>
      </c>
      <c r="E191" s="623">
        <v>22459.499555119997</v>
      </c>
      <c r="F191" s="623">
        <v>13005.875008679999</v>
      </c>
      <c r="G191" s="624">
        <v>5.2853345087603332</v>
      </c>
    </row>
    <row r="192" spans="1:7" ht="16.5" customHeight="1">
      <c r="A192" s="40" t="s">
        <v>21</v>
      </c>
      <c r="B192" s="623">
        <v>15207.835717920001</v>
      </c>
      <c r="C192" s="623">
        <v>6912.1456042400068</v>
      </c>
      <c r="D192" s="623">
        <v>11295.221409450003</v>
      </c>
      <c r="E192" s="623">
        <v>22119.981322159998</v>
      </c>
      <c r="F192" s="623">
        <v>12425.141375929999</v>
      </c>
      <c r="G192" s="624">
        <v>5.5457719083572545</v>
      </c>
    </row>
    <row r="193" spans="1:7" ht="16.5" customHeight="1">
      <c r="A193" s="40" t="s">
        <v>22</v>
      </c>
      <c r="B193" s="623">
        <v>14685.559832260002</v>
      </c>
      <c r="C193" s="623">
        <v>7459.5814682800055</v>
      </c>
      <c r="D193" s="623">
        <v>11567.469745009997</v>
      </c>
      <c r="E193" s="623">
        <v>22145.141300540003</v>
      </c>
      <c r="F193" s="623">
        <v>12599.04958142</v>
      </c>
      <c r="G193" s="624">
        <v>5.5802304408485455</v>
      </c>
    </row>
    <row r="194" spans="1:7" ht="16.5" customHeight="1">
      <c r="A194" s="40" t="s">
        <v>23</v>
      </c>
      <c r="B194" s="623">
        <v>14866.660805050002</v>
      </c>
      <c r="C194" s="623">
        <v>7816.9508409700011</v>
      </c>
      <c r="D194" s="623">
        <v>11601.38508041</v>
      </c>
      <c r="E194" s="623">
        <v>22683.611646020006</v>
      </c>
      <c r="F194" s="623">
        <v>12984.69515177</v>
      </c>
      <c r="G194" s="624">
        <v>5.7004187726278852</v>
      </c>
    </row>
    <row r="195" spans="1:7" ht="16.5" customHeight="1">
      <c r="A195" s="40" t="s">
        <v>24</v>
      </c>
      <c r="B195" s="623">
        <v>14898.302429340003</v>
      </c>
      <c r="C195" s="623">
        <v>7829.6722971600011</v>
      </c>
      <c r="D195" s="623">
        <v>11658.179657479999</v>
      </c>
      <c r="E195" s="623">
        <v>22727.974726499997</v>
      </c>
      <c r="F195" s="623">
        <v>13347.24488812</v>
      </c>
      <c r="G195" s="624">
        <v>5.5842792637665681</v>
      </c>
    </row>
    <row r="196" spans="1:7" ht="16.5" customHeight="1">
      <c r="A196" s="40" t="s">
        <v>25</v>
      </c>
      <c r="B196" s="623">
        <v>14742.815107280003</v>
      </c>
      <c r="C196" s="623">
        <v>7688.7912995700081</v>
      </c>
      <c r="D196" s="623">
        <v>11908.097342610003</v>
      </c>
      <c r="E196" s="623">
        <v>22431.606406849998</v>
      </c>
      <c r="F196" s="623">
        <v>12875.444561080003</v>
      </c>
      <c r="G196" s="624">
        <v>5.8858433695623225</v>
      </c>
    </row>
    <row r="197" spans="1:7" ht="16.5" customHeight="1">
      <c r="A197" s="40" t="s">
        <v>26</v>
      </c>
      <c r="B197" s="623">
        <v>14925.815097000002</v>
      </c>
      <c r="C197" s="623">
        <v>8220.5482064299977</v>
      </c>
      <c r="D197" s="623">
        <v>11994.595670209999</v>
      </c>
      <c r="E197" s="623">
        <v>23146.363303429996</v>
      </c>
      <c r="F197" s="623">
        <v>13498.862857829999</v>
      </c>
      <c r="G197" s="624">
        <v>5.7053595904927432</v>
      </c>
    </row>
    <row r="198" spans="1:7" ht="16.5" customHeight="1">
      <c r="A198" s="40" t="s">
        <v>27</v>
      </c>
      <c r="B198" s="623">
        <v>15278.428414849997</v>
      </c>
      <c r="C198" s="623">
        <v>8312.2667972200034</v>
      </c>
      <c r="D198" s="623">
        <v>12155.465655079997</v>
      </c>
      <c r="E198" s="623">
        <v>23590.695212070001</v>
      </c>
      <c r="F198" s="623">
        <v>13995.88495462</v>
      </c>
      <c r="G198" s="624">
        <v>5.5930439735545372</v>
      </c>
    </row>
    <row r="199" spans="1:7" ht="16.5" customHeight="1">
      <c r="A199" s="40" t="s">
        <v>28</v>
      </c>
      <c r="B199" s="623">
        <v>15623.576645599996</v>
      </c>
      <c r="C199" s="623">
        <v>8103.9560301999991</v>
      </c>
      <c r="D199" s="623">
        <v>12613.941619519996</v>
      </c>
      <c r="E199" s="623">
        <v>23727.532675800001</v>
      </c>
      <c r="F199" s="623">
        <v>14130.015342300001</v>
      </c>
      <c r="G199" s="624">
        <v>5.5921267209873013</v>
      </c>
    </row>
    <row r="200" spans="1:7" ht="16.5" customHeight="1">
      <c r="A200" s="40" t="s">
        <v>29</v>
      </c>
      <c r="B200" s="623">
        <v>14951.341600259995</v>
      </c>
      <c r="C200" s="623">
        <v>9109.0515746599976</v>
      </c>
      <c r="D200" s="623">
        <v>13057.835329099997</v>
      </c>
      <c r="E200" s="623">
        <v>24060.393174920002</v>
      </c>
      <c r="F200" s="623">
        <v>14643.622398930002</v>
      </c>
      <c r="G200" s="624">
        <v>5.4492869200062639</v>
      </c>
    </row>
    <row r="201" spans="1:7" ht="16.5" customHeight="1">
      <c r="A201" s="40" t="s">
        <v>2144</v>
      </c>
      <c r="B201" s="623"/>
      <c r="C201" s="623"/>
      <c r="D201" s="623"/>
      <c r="E201" s="623"/>
      <c r="F201" s="623"/>
      <c r="G201" s="624"/>
    </row>
    <row r="202" spans="1:7" ht="16.5" customHeight="1">
      <c r="A202" s="40" t="s">
        <v>18</v>
      </c>
      <c r="B202" s="623">
        <v>15436.09738542</v>
      </c>
      <c r="C202" s="623">
        <v>8243.1699539799993</v>
      </c>
      <c r="D202" s="623">
        <v>12703.17767779</v>
      </c>
      <c r="E202" s="623">
        <v>23679.267339400001</v>
      </c>
      <c r="F202" s="623">
        <v>13961.6501642</v>
      </c>
      <c r="G202" s="624">
        <v>5.0963889771748274</v>
      </c>
    </row>
    <row r="203" spans="1:7" ht="16.5" customHeight="1">
      <c r="A203" s="40" t="s">
        <v>19</v>
      </c>
      <c r="B203" s="623">
        <v>16412.663800009996</v>
      </c>
      <c r="C203" s="623">
        <v>8147.605019550002</v>
      </c>
      <c r="D203" s="623">
        <v>12778.940305229999</v>
      </c>
      <c r="E203" s="623">
        <v>24560.268819559999</v>
      </c>
      <c r="F203" s="623">
        <v>14392.6817524</v>
      </c>
      <c r="G203" s="624">
        <v>4.7876414684504267</v>
      </c>
    </row>
    <row r="204" spans="1:7" ht="16.5" customHeight="1">
      <c r="A204" s="40" t="s">
        <v>20</v>
      </c>
      <c r="B204" s="623">
        <v>16294.604472880001</v>
      </c>
      <c r="C204" s="623">
        <v>7904.114186490001</v>
      </c>
      <c r="D204" s="623">
        <v>12776.212547229999</v>
      </c>
      <c r="E204" s="623">
        <v>24198.718659369999</v>
      </c>
      <c r="F204" s="623">
        <v>14293.507187650001</v>
      </c>
      <c r="G204" s="624">
        <v>5.0685111112964716</v>
      </c>
    </row>
    <row r="205" spans="1:7" ht="16.5" customHeight="1">
      <c r="A205" s="40" t="s">
        <v>21</v>
      </c>
      <c r="B205" s="623">
        <v>16354.029426420002</v>
      </c>
      <c r="C205" s="623">
        <v>8119.345586970001</v>
      </c>
      <c r="D205" s="623">
        <v>12746.491232320001</v>
      </c>
      <c r="E205" s="623">
        <v>24473.375013390003</v>
      </c>
      <c r="F205" s="623">
        <v>14965.257296850003</v>
      </c>
      <c r="G205" s="624">
        <v>4.7737368347844757</v>
      </c>
    </row>
    <row r="206" spans="1:7" ht="16.5" customHeight="1">
      <c r="A206" s="40" t="s">
        <v>22</v>
      </c>
      <c r="B206" s="623">
        <v>16144.320443900002</v>
      </c>
      <c r="C206" s="623">
        <v>8689.707201660005</v>
      </c>
      <c r="D206" s="623">
        <v>12764.291382460002</v>
      </c>
      <c r="E206" s="623">
        <v>24834.027645559996</v>
      </c>
      <c r="F206" s="623">
        <v>15491.78615055</v>
      </c>
      <c r="G206" s="624">
        <v>4.7419244808896321</v>
      </c>
    </row>
    <row r="207" spans="1:7" ht="16.5" customHeight="1">
      <c r="A207" s="40" t="s">
        <v>23</v>
      </c>
      <c r="B207" s="623">
        <v>15922.972550980003</v>
      </c>
      <c r="C207" s="623">
        <v>9361.1948192100062</v>
      </c>
      <c r="D207" s="623">
        <v>13104.776029759998</v>
      </c>
      <c r="E207" s="623">
        <v>25284.16737019</v>
      </c>
      <c r="F207" s="623">
        <v>15834.294932270001</v>
      </c>
      <c r="G207" s="624">
        <v>4.7776298422878227</v>
      </c>
    </row>
    <row r="208" spans="1:7" ht="16.5" customHeight="1">
      <c r="A208" s="40" t="s">
        <v>24</v>
      </c>
      <c r="B208" s="623">
        <v>16082.351295590004</v>
      </c>
      <c r="C208" s="623">
        <v>9559.9255516899993</v>
      </c>
      <c r="D208" s="623">
        <v>13371.491012979996</v>
      </c>
      <c r="E208" s="623">
        <v>25642.276847279998</v>
      </c>
      <c r="F208" s="623">
        <v>16182.182113769999</v>
      </c>
      <c r="G208" s="624">
        <v>4.7113299964116084</v>
      </c>
    </row>
    <row r="209" spans="1:7" ht="16.5" customHeight="1">
      <c r="A209" s="40" t="s">
        <v>25</v>
      </c>
      <c r="B209" s="623">
        <v>16474.534192860006</v>
      </c>
      <c r="C209" s="623">
        <v>9008.1436978899965</v>
      </c>
      <c r="D209" s="623">
        <v>13594.453350999996</v>
      </c>
      <c r="E209" s="623">
        <v>25482.677890749997</v>
      </c>
      <c r="F209" s="623">
        <v>15948.621320620001</v>
      </c>
      <c r="G209" s="624">
        <v>4.7849621898874775</v>
      </c>
    </row>
    <row r="210" spans="1:7" ht="16.5" customHeight="1">
      <c r="A210" s="40" t="s">
        <v>26</v>
      </c>
      <c r="B210" s="623">
        <v>16841.025754920003</v>
      </c>
      <c r="C210" s="623">
        <v>9709.6121694800004</v>
      </c>
      <c r="D210" s="623">
        <v>13944.7088059</v>
      </c>
      <c r="E210" s="623">
        <v>26550.637924399998</v>
      </c>
      <c r="F210" s="623">
        <v>16217.440250410002</v>
      </c>
      <c r="G210" s="624">
        <v>4.806693625074149</v>
      </c>
    </row>
    <row r="211" spans="1:7" ht="16.5" customHeight="1">
      <c r="A211" s="40" t="s">
        <v>27</v>
      </c>
      <c r="B211" s="623">
        <v>17194.459753770003</v>
      </c>
      <c r="C211" s="623">
        <v>9252.4802077999993</v>
      </c>
      <c r="D211" s="623">
        <v>14176.468375749999</v>
      </c>
      <c r="E211" s="623">
        <v>26446.939961569999</v>
      </c>
      <c r="F211" s="623">
        <v>16339.016886419999</v>
      </c>
      <c r="G211" s="624">
        <v>4.8043355696169749</v>
      </c>
    </row>
    <row r="212" spans="1:7" ht="16.5" customHeight="1">
      <c r="A212" s="40" t="s">
        <v>28</v>
      </c>
      <c r="B212" s="623">
        <v>16611.147235610006</v>
      </c>
      <c r="C212" s="623">
        <v>10131.010045580004</v>
      </c>
      <c r="D212" s="623">
        <v>14828.83944168</v>
      </c>
      <c r="E212" s="623">
        <v>26742.157281189997</v>
      </c>
      <c r="F212" s="623">
        <v>16663.40605034</v>
      </c>
      <c r="G212" s="624">
        <v>4.7694407153395666</v>
      </c>
    </row>
    <row r="213" spans="1:7" ht="16.5" customHeight="1">
      <c r="A213" s="40" t="s">
        <v>29</v>
      </c>
      <c r="B213" s="623">
        <v>16923.436541439994</v>
      </c>
      <c r="C213" s="623">
        <v>11942.869630390003</v>
      </c>
      <c r="D213" s="623">
        <v>15036.395868329997</v>
      </c>
      <c r="E213" s="623">
        <v>28866.306171830001</v>
      </c>
      <c r="F213" s="623">
        <v>18238.611014260001</v>
      </c>
      <c r="G213" s="624">
        <v>4.4784660375802234</v>
      </c>
    </row>
    <row r="214" spans="1:7" ht="16.5" customHeight="1">
      <c r="A214" s="40" t="s">
        <v>2375</v>
      </c>
      <c r="B214" s="623"/>
      <c r="C214" s="623"/>
      <c r="D214" s="623"/>
      <c r="E214" s="623"/>
      <c r="F214" s="623"/>
      <c r="G214" s="624"/>
    </row>
    <row r="215" spans="1:7" ht="16.5" customHeight="1">
      <c r="A215" s="40" t="s">
        <v>18</v>
      </c>
      <c r="B215" s="623">
        <v>17461.082540930005</v>
      </c>
      <c r="C215" s="623">
        <v>11069.35546377</v>
      </c>
      <c r="D215" s="623">
        <v>15174.153975789997</v>
      </c>
      <c r="E215" s="623">
        <v>28530.438004700001</v>
      </c>
      <c r="F215" s="623">
        <v>17946.08479271</v>
      </c>
      <c r="G215" s="624">
        <v>4.3598590391026883</v>
      </c>
    </row>
    <row r="216" spans="1:7" ht="16.5" customHeight="1">
      <c r="A216" s="40" t="s">
        <v>19</v>
      </c>
      <c r="B216" s="623">
        <v>16935.301778849996</v>
      </c>
      <c r="C216" s="623">
        <v>11681.391002660001</v>
      </c>
      <c r="D216" s="623">
        <v>15453.481209539999</v>
      </c>
      <c r="E216" s="623">
        <v>28616.692781509999</v>
      </c>
      <c r="F216" s="623">
        <v>18299.3697938</v>
      </c>
      <c r="G216" s="624">
        <v>4.1240764491009561</v>
      </c>
    </row>
    <row r="217" spans="1:7" ht="16.5" customHeight="1">
      <c r="A217" s="40" t="s">
        <v>20</v>
      </c>
      <c r="B217" s="623">
        <v>17405.766731319996</v>
      </c>
      <c r="C217" s="623">
        <v>9315.4246295400044</v>
      </c>
      <c r="D217" s="623">
        <v>15339.275539660002</v>
      </c>
      <c r="E217" s="623">
        <v>26721.191360860001</v>
      </c>
      <c r="F217" s="623">
        <v>16442.773718979999</v>
      </c>
      <c r="G217" s="624">
        <v>4.4569366003867916</v>
      </c>
    </row>
    <row r="218" spans="1:7" ht="16.5" customHeight="1">
      <c r="A218" s="40" t="s">
        <v>21</v>
      </c>
      <c r="B218" s="623">
        <v>17442.282064709994</v>
      </c>
      <c r="C218" s="623">
        <v>8849.5218228400045</v>
      </c>
      <c r="D218" s="623">
        <v>15072.395578970001</v>
      </c>
      <c r="E218" s="623">
        <v>26291.803887549999</v>
      </c>
      <c r="F218" s="623">
        <v>16484.154980579999</v>
      </c>
      <c r="G218" s="624">
        <v>4.076733085752358</v>
      </c>
    </row>
    <row r="219" spans="1:7" ht="16.5" customHeight="1">
      <c r="A219" s="40" t="s">
        <v>22</v>
      </c>
      <c r="B219" s="623">
        <v>17340.418617129999</v>
      </c>
      <c r="C219" s="623">
        <v>9289.8043930899948</v>
      </c>
      <c r="D219" s="623">
        <v>14523.218296129999</v>
      </c>
      <c r="E219" s="623">
        <v>26630.223010220001</v>
      </c>
      <c r="F219" s="623">
        <v>17021.310660290001</v>
      </c>
      <c r="G219" s="624">
        <v>3.8746581456775053</v>
      </c>
    </row>
    <row r="220" spans="1:7" ht="16.5" customHeight="1">
      <c r="A220" s="40" t="s">
        <v>23</v>
      </c>
      <c r="B220" s="623">
        <v>16389.94843484</v>
      </c>
      <c r="C220" s="623">
        <v>9823.5611701899961</v>
      </c>
      <c r="D220" s="623">
        <v>14373.889682129999</v>
      </c>
      <c r="E220" s="623">
        <v>26213.509605029998</v>
      </c>
      <c r="F220" s="623">
        <v>17169.070671429999</v>
      </c>
      <c r="G220" s="624">
        <v>3.937767005205588</v>
      </c>
    </row>
    <row r="221" spans="1:7" ht="16.5" customHeight="1">
      <c r="A221" s="40" t="s">
        <v>24</v>
      </c>
      <c r="B221" s="623">
        <v>16346.638948270001</v>
      </c>
      <c r="C221" s="623">
        <v>10365.167312649999</v>
      </c>
      <c r="D221" s="623">
        <v>14714.01681705</v>
      </c>
      <c r="E221" s="623">
        <v>26711.806260919999</v>
      </c>
      <c r="F221" s="623">
        <v>17927.599440489998</v>
      </c>
      <c r="G221" s="624">
        <v>3.8257213536964993</v>
      </c>
    </row>
    <row r="222" spans="1:7" ht="16.5" customHeight="1">
      <c r="A222" s="40" t="s">
        <v>25</v>
      </c>
      <c r="B222" s="623">
        <v>16420.152464160001</v>
      </c>
      <c r="C222" s="623">
        <v>10503.255776259994</v>
      </c>
      <c r="D222" s="623">
        <v>14835.452325189999</v>
      </c>
      <c r="E222" s="623">
        <v>26923.408240420002</v>
      </c>
      <c r="F222" s="623">
        <v>18109.264225810002</v>
      </c>
      <c r="G222" s="624">
        <v>3.8070983525514408</v>
      </c>
    </row>
    <row r="223" spans="1:7" ht="16.5" customHeight="1">
      <c r="A223" s="40" t="s">
        <v>26</v>
      </c>
      <c r="B223" s="623">
        <v>15472.272472590004</v>
      </c>
      <c r="C223" s="623">
        <v>11311.003160490003</v>
      </c>
      <c r="D223" s="623">
        <v>14944.390646930002</v>
      </c>
      <c r="E223" s="623">
        <v>26783.27563308</v>
      </c>
      <c r="F223" s="623">
        <v>18427.77644216</v>
      </c>
      <c r="G223" s="624">
        <v>3.767790444925843</v>
      </c>
    </row>
    <row r="224" spans="1:7" ht="16.5" customHeight="1">
      <c r="A224" s="40" t="s">
        <v>27</v>
      </c>
      <c r="B224" s="623">
        <v>15614.192489770001</v>
      </c>
      <c r="C224" s="623">
        <v>11333.686743449998</v>
      </c>
      <c r="D224" s="623">
        <v>15302.399984839998</v>
      </c>
      <c r="E224" s="623">
        <v>26947.879233220003</v>
      </c>
      <c r="F224" s="623">
        <v>18573.56709312</v>
      </c>
      <c r="G224" s="624">
        <v>3.7775942363806809</v>
      </c>
    </row>
    <row r="225" spans="1:7" ht="16.5" customHeight="1">
      <c r="A225" s="40" t="s">
        <v>28</v>
      </c>
      <c r="B225" s="623">
        <v>17371.823992289996</v>
      </c>
      <c r="C225" s="623">
        <v>9775.2789636100006</v>
      </c>
      <c r="D225" s="623">
        <v>15140.635196690002</v>
      </c>
      <c r="E225" s="623">
        <v>27147.102955900002</v>
      </c>
      <c r="F225" s="623">
        <v>18613.844544650001</v>
      </c>
      <c r="G225" s="624">
        <v>3.7924440309486314</v>
      </c>
    </row>
    <row r="226" spans="1:7" ht="16.5" customHeight="1">
      <c r="A226" s="40" t="s">
        <v>29</v>
      </c>
      <c r="B226" s="623">
        <v>18435.934671379997</v>
      </c>
      <c r="C226" s="623">
        <v>10749.872900919996</v>
      </c>
      <c r="D226" s="623">
        <v>14933.871500879997</v>
      </c>
      <c r="E226" s="623">
        <v>29185.8075723</v>
      </c>
      <c r="F226" s="623">
        <v>20305.478031890001</v>
      </c>
      <c r="G226" s="624">
        <v>3.5671260674702827</v>
      </c>
    </row>
    <row r="227" spans="1:7" ht="16.5" customHeight="1">
      <c r="A227" s="40" t="s">
        <v>2537</v>
      </c>
      <c r="B227" s="623"/>
      <c r="C227" s="623"/>
      <c r="D227" s="623"/>
      <c r="E227" s="623"/>
      <c r="F227" s="623"/>
      <c r="G227" s="624"/>
    </row>
    <row r="228" spans="1:7" ht="16.5" customHeight="1">
      <c r="A228" s="40" t="s">
        <v>18</v>
      </c>
      <c r="B228" s="623">
        <v>18629.755840289999</v>
      </c>
      <c r="C228" s="623">
        <v>9482.522564750001</v>
      </c>
      <c r="D228" s="623">
        <v>14877.395116979997</v>
      </c>
      <c r="E228" s="623">
        <v>28112.278405040001</v>
      </c>
      <c r="F228" s="623">
        <v>19488.342999029999</v>
      </c>
      <c r="G228" s="624">
        <v>3.852641551092213</v>
      </c>
    </row>
    <row r="229" spans="1:7" ht="16.5" customHeight="1">
      <c r="A229" s="40" t="s">
        <v>19</v>
      </c>
      <c r="B229" s="623">
        <v>18655.831137790003</v>
      </c>
      <c r="C229" s="623">
        <v>9922.2023884100036</v>
      </c>
      <c r="D229" s="623">
        <v>14940.178832529999</v>
      </c>
      <c r="E229" s="623">
        <v>28578.033526200001</v>
      </c>
      <c r="F229" s="623">
        <v>19587.868783219998</v>
      </c>
      <c r="G229" s="624">
        <v>3.6815643803871434</v>
      </c>
    </row>
    <row r="230" spans="1:7" ht="16.5" customHeight="1">
      <c r="A230" s="40" t="s">
        <v>20</v>
      </c>
      <c r="B230" s="623">
        <v>18731.7518734</v>
      </c>
      <c r="C230" s="623">
        <v>10567.742744940004</v>
      </c>
      <c r="D230" s="623">
        <v>14973.671767880001</v>
      </c>
      <c r="E230" s="623">
        <v>29299.494618340002</v>
      </c>
      <c r="F230" s="623">
        <v>20319.899299190001</v>
      </c>
      <c r="G230" s="624">
        <v>3.7247231832008647</v>
      </c>
    </row>
    <row r="231" spans="1:7" ht="16.5" customHeight="1">
      <c r="A231" s="40" t="s">
        <v>21</v>
      </c>
      <c r="B231" s="623">
        <v>18641.517583209999</v>
      </c>
      <c r="C231" s="623">
        <v>11112.358257790002</v>
      </c>
      <c r="D231" s="623">
        <v>15250.671643320004</v>
      </c>
      <c r="E231" s="623">
        <v>29753.875841000001</v>
      </c>
      <c r="F231" s="623">
        <v>20889.349868739999</v>
      </c>
      <c r="G231" s="624">
        <v>3.6016343482564328</v>
      </c>
    </row>
    <row r="232" spans="1:7" ht="16.5" customHeight="1">
      <c r="A232" s="40" t="s">
        <v>22</v>
      </c>
      <c r="B232" s="623">
        <v>18878.328296079999</v>
      </c>
      <c r="C232" s="623">
        <v>11578.641411040002</v>
      </c>
      <c r="D232" s="623">
        <v>15323.944778999999</v>
      </c>
      <c r="E232" s="623">
        <v>30456.969707119999</v>
      </c>
      <c r="F232" s="623">
        <v>21612.49612172</v>
      </c>
      <c r="G232" s="624">
        <v>3.5015853594044404</v>
      </c>
    </row>
    <row r="233" spans="1:7" ht="16.5" customHeight="1">
      <c r="A233" s="40" t="s">
        <v>23</v>
      </c>
      <c r="B233" s="623">
        <v>17913.220910579999</v>
      </c>
      <c r="C233" s="623">
        <v>12380.715167719998</v>
      </c>
      <c r="D233" s="623">
        <v>15573.909282170001</v>
      </c>
      <c r="E233" s="623">
        <v>30293.936078300005</v>
      </c>
      <c r="F233" s="623">
        <v>21480.734456600003</v>
      </c>
      <c r="G233" s="624">
        <v>3.7163533752204669</v>
      </c>
    </row>
    <row r="234" spans="1:7" ht="16.5" customHeight="1">
      <c r="A234" s="40" t="s">
        <v>24</v>
      </c>
      <c r="B234" s="623">
        <v>18590.749985130002</v>
      </c>
      <c r="C234" s="623">
        <v>12916.566683020004</v>
      </c>
      <c r="D234" s="623">
        <v>15633.965863520005</v>
      </c>
      <c r="E234" s="623">
        <v>31507.316668149997</v>
      </c>
      <c r="F234" s="623">
        <v>21840.937861349998</v>
      </c>
      <c r="G234" s="624">
        <v>3.709597372998422</v>
      </c>
    </row>
    <row r="235" spans="1:7" ht="16.5" customHeight="1">
      <c r="A235" s="40" t="s">
        <v>25</v>
      </c>
      <c r="B235" s="623">
        <v>18028.229270430002</v>
      </c>
      <c r="C235" s="623">
        <v>13260.928285479999</v>
      </c>
      <c r="D235" s="623">
        <v>15866.601328869998</v>
      </c>
      <c r="E235" s="623">
        <v>31289.157555909998</v>
      </c>
      <c r="F235" s="623">
        <v>21946.90603559</v>
      </c>
      <c r="G235" s="624">
        <v>3.7406320447570556</v>
      </c>
    </row>
    <row r="236" spans="1:7" ht="16.5" customHeight="1">
      <c r="A236" s="40" t="s">
        <v>26</v>
      </c>
      <c r="B236" s="623">
        <v>18583.587132689998</v>
      </c>
      <c r="C236" s="623">
        <v>13628.549177099998</v>
      </c>
      <c r="D236" s="623">
        <v>16176.23063507</v>
      </c>
      <c r="E236" s="623">
        <v>32212.136309789996</v>
      </c>
      <c r="F236" s="623">
        <v>22407.213064969998</v>
      </c>
      <c r="G236" s="624">
        <v>3.7414975744751584</v>
      </c>
    </row>
    <row r="237" spans="1:7" ht="16.5" customHeight="1">
      <c r="A237" s="40" t="s">
        <v>27</v>
      </c>
      <c r="B237" s="623">
        <v>18807.258126690002</v>
      </c>
      <c r="C237" s="623">
        <v>13655.549796100006</v>
      </c>
      <c r="D237" s="623">
        <v>16637.722099530001</v>
      </c>
      <c r="E237" s="623">
        <v>32462.807922790002</v>
      </c>
      <c r="F237" s="623">
        <v>22578.347080029998</v>
      </c>
      <c r="G237" s="624">
        <v>3.8048312259307271</v>
      </c>
    </row>
    <row r="238" spans="1:7" ht="16.5" customHeight="1">
      <c r="A238" s="40" t="s">
        <v>28</v>
      </c>
      <c r="B238" s="623">
        <v>19212.29293517</v>
      </c>
      <c r="C238" s="623">
        <v>13819.00268611</v>
      </c>
      <c r="D238" s="623">
        <v>16903.345898200001</v>
      </c>
      <c r="E238" s="623">
        <v>33031.295621280005</v>
      </c>
      <c r="F238" s="623">
        <v>22743.662187120004</v>
      </c>
      <c r="G238" s="624">
        <v>3.870242627809501</v>
      </c>
    </row>
    <row r="239" spans="1:7" ht="16.5" customHeight="1">
      <c r="A239" s="40" t="s">
        <v>29</v>
      </c>
      <c r="B239" s="623">
        <v>20171.006019230001</v>
      </c>
      <c r="C239" s="623">
        <v>14475.635467280003</v>
      </c>
      <c r="D239" s="623">
        <v>17432.947822030004</v>
      </c>
      <c r="E239" s="623">
        <v>34646.641486510001</v>
      </c>
      <c r="F239" s="623">
        <v>23874.89363441</v>
      </c>
      <c r="G239" s="624">
        <v>3.889345076124973</v>
      </c>
    </row>
    <row r="240" spans="1:7" ht="16.5" customHeight="1">
      <c r="A240" s="40" t="s">
        <v>2827</v>
      </c>
      <c r="B240" s="623"/>
      <c r="C240" s="623"/>
      <c r="D240" s="623"/>
      <c r="E240" s="623"/>
      <c r="F240" s="623"/>
      <c r="G240" s="624"/>
    </row>
    <row r="241" spans="1:7" ht="16.5" customHeight="1">
      <c r="A241" s="40" t="s">
        <v>18</v>
      </c>
      <c r="B241" s="623">
        <v>20644.00900419</v>
      </c>
      <c r="C241" s="623">
        <v>14003.592208620003</v>
      </c>
      <c r="D241" s="623">
        <v>17664.256217129998</v>
      </c>
      <c r="E241" s="623">
        <v>34647.601212809997</v>
      </c>
      <c r="F241" s="623">
        <v>23113.733211639999</v>
      </c>
      <c r="G241" s="624">
        <v>4.8062854659953782</v>
      </c>
    </row>
    <row r="242" spans="1:7" ht="16.5" customHeight="1">
      <c r="A242" s="40" t="s">
        <v>19</v>
      </c>
      <c r="B242" s="623">
        <v>20806.759282540002</v>
      </c>
      <c r="C242" s="623">
        <v>13077.34499216</v>
      </c>
      <c r="D242" s="623">
        <v>18108.422533050001</v>
      </c>
      <c r="E242" s="623">
        <v>33884.104274700003</v>
      </c>
      <c r="F242" s="623">
        <v>23010.41155588</v>
      </c>
      <c r="G242" s="624">
        <v>4.9999627221182941</v>
      </c>
    </row>
    <row r="243" spans="1:7" ht="16.5" customHeight="1">
      <c r="A243" s="40" t="s">
        <v>20</v>
      </c>
      <c r="B243" s="623">
        <v>21167.649971120001</v>
      </c>
      <c r="C243" s="623">
        <v>13742.878801230007</v>
      </c>
      <c r="D243" s="623">
        <v>18431.213404970007</v>
      </c>
      <c r="E243" s="623">
        <v>34910.528772350001</v>
      </c>
      <c r="F243" s="623">
        <v>23597.13338761</v>
      </c>
      <c r="G243" s="624">
        <v>5.0916354129305113</v>
      </c>
    </row>
    <row r="244" spans="1:7" ht="16.5" customHeight="1">
      <c r="A244" s="40" t="s">
        <v>21</v>
      </c>
      <c r="B244" s="623">
        <v>21284.639338749999</v>
      </c>
      <c r="C244" s="623">
        <v>14354.179341939996</v>
      </c>
      <c r="D244" s="623">
        <v>18778.023275389998</v>
      </c>
      <c r="E244" s="623">
        <v>35638.818680690005</v>
      </c>
      <c r="F244" s="623">
        <v>24214.973517330003</v>
      </c>
      <c r="G244" s="624">
        <v>4.9004554935843769</v>
      </c>
    </row>
    <row r="245" spans="1:7" ht="16.5" customHeight="1">
      <c r="A245" s="40" t="s">
        <v>22</v>
      </c>
      <c r="B245" s="623">
        <v>20984.274289159999</v>
      </c>
      <c r="C245" s="623">
        <v>16016.839450910004</v>
      </c>
      <c r="D245" s="623">
        <v>19105.334922900001</v>
      </c>
      <c r="E245" s="623">
        <v>37001.113740070003</v>
      </c>
      <c r="F245" s="623">
        <v>25371.124111100002</v>
      </c>
      <c r="G245" s="624">
        <v>4.8118482833241307</v>
      </c>
    </row>
    <row r="246" spans="1:7" ht="16.5" customHeight="1">
      <c r="A246" s="40" t="s">
        <v>23</v>
      </c>
      <c r="B246" s="623">
        <v>21843.776461989994</v>
      </c>
      <c r="C246" s="623">
        <v>16446.592322800003</v>
      </c>
      <c r="D246" s="623">
        <v>19447.286774370004</v>
      </c>
      <c r="E246" s="623">
        <v>38290.368884790005</v>
      </c>
      <c r="F246" s="623">
        <v>26164.281564559999</v>
      </c>
      <c r="G246" s="624">
        <v>4.843580347784382</v>
      </c>
    </row>
    <row r="247" spans="1:7" ht="16.5" customHeight="1">
      <c r="A247" s="40" t="s">
        <v>24</v>
      </c>
      <c r="B247" s="623">
        <v>22007.304013479999</v>
      </c>
      <c r="C247" s="623">
        <v>16250.072628029999</v>
      </c>
      <c r="D247" s="623">
        <v>19647.958738629997</v>
      </c>
      <c r="E247" s="623">
        <v>38257.376641509996</v>
      </c>
      <c r="F247" s="623">
        <v>26265.92058921</v>
      </c>
      <c r="G247" s="624">
        <v>4.8398532070572857</v>
      </c>
    </row>
    <row r="248" spans="1:7" ht="16.5" customHeight="1">
      <c r="A248" s="40" t="s">
        <v>25</v>
      </c>
      <c r="B248" s="623">
        <v>22153.519507969999</v>
      </c>
      <c r="C248" s="623">
        <v>16911.346218070001</v>
      </c>
      <c r="D248" s="623">
        <v>19828.250462769996</v>
      </c>
      <c r="E248" s="623">
        <v>39064.86572604</v>
      </c>
      <c r="F248" s="623">
        <v>26973.767824449998</v>
      </c>
      <c r="G248" s="624">
        <v>4.7201637097429154</v>
      </c>
    </row>
    <row r="249" spans="1:7" ht="16.5" customHeight="1">
      <c r="A249" s="40" t="s">
        <v>26</v>
      </c>
      <c r="B249" s="623">
        <v>22267.239252699997</v>
      </c>
      <c r="C249" s="623">
        <v>17883.182544539992</v>
      </c>
      <c r="D249" s="623">
        <v>20352.808314019992</v>
      </c>
      <c r="E249" s="623">
        <v>40150.42179724</v>
      </c>
      <c r="F249" s="623">
        <v>27698.74506401</v>
      </c>
      <c r="G249" s="624">
        <v>4.7211669589289373</v>
      </c>
    </row>
    <row r="250" spans="1:7" ht="16.5" customHeight="1">
      <c r="A250" s="40" t="s">
        <v>27</v>
      </c>
      <c r="B250" s="623">
        <v>24658.507956729998</v>
      </c>
      <c r="C250" s="623">
        <v>16519.659770829992</v>
      </c>
      <c r="D250" s="623">
        <v>20638.016606299996</v>
      </c>
      <c r="E250" s="623">
        <v>41178.167727560001</v>
      </c>
      <c r="F250" s="623">
        <v>28702.123430260002</v>
      </c>
      <c r="G250" s="624">
        <v>4.641950632110186</v>
      </c>
    </row>
    <row r="251" spans="1:7" ht="16.5" customHeight="1">
      <c r="A251" s="40" t="s">
        <v>28</v>
      </c>
      <c r="B251" s="623">
        <v>22692.495799500008</v>
      </c>
      <c r="C251" s="623">
        <v>19039.985192260003</v>
      </c>
      <c r="D251" s="623">
        <v>21105.466911740001</v>
      </c>
      <c r="E251" s="623">
        <v>41732.48099176</v>
      </c>
      <c r="F251" s="623">
        <v>28664.181435909999</v>
      </c>
      <c r="G251" s="624">
        <v>4.6220167692195337</v>
      </c>
    </row>
    <row r="252" spans="1:7" ht="16.5" customHeight="1">
      <c r="A252" s="40" t="s">
        <v>29</v>
      </c>
      <c r="B252" s="623">
        <v>25030.791140590009</v>
      </c>
      <c r="C252" s="623">
        <v>17794.138854120007</v>
      </c>
      <c r="D252" s="623">
        <v>20472.839225040007</v>
      </c>
      <c r="E252" s="623">
        <v>42824.929994710001</v>
      </c>
      <c r="F252" s="623">
        <v>29565.60384879</v>
      </c>
      <c r="G252" s="624">
        <v>4.526401716144111</v>
      </c>
    </row>
    <row r="253" spans="1:7" ht="16.5" customHeight="1">
      <c r="A253" s="40" t="s">
        <v>3518</v>
      </c>
      <c r="B253" s="623"/>
      <c r="C253" s="623"/>
      <c r="D253" s="623"/>
      <c r="E253" s="623"/>
      <c r="F253" s="623"/>
      <c r="G253" s="624"/>
    </row>
    <row r="254" spans="1:7" ht="16.5" customHeight="1">
      <c r="A254" s="40" t="s">
        <v>18</v>
      </c>
      <c r="B254" s="623">
        <v>25868.055113970007</v>
      </c>
      <c r="C254" s="623">
        <v>16146.762710270003</v>
      </c>
      <c r="D254" s="623">
        <v>21288.890944710001</v>
      </c>
      <c r="E254" s="623">
        <v>42014.817824240003</v>
      </c>
      <c r="F254" s="623">
        <v>28914.779509910004</v>
      </c>
      <c r="G254" s="624">
        <v>4.0215558261527251</v>
      </c>
    </row>
    <row r="255" spans="1:7" ht="16.5" customHeight="1">
      <c r="A255" s="40" t="s">
        <v>19</v>
      </c>
      <c r="B255" s="623">
        <v>23298.165353230008</v>
      </c>
      <c r="C255" s="623">
        <v>18434.834957210001</v>
      </c>
      <c r="D255" s="623">
        <v>21116.176848379997</v>
      </c>
      <c r="E255" s="623">
        <v>41733.000310440002</v>
      </c>
      <c r="F255" s="623">
        <v>29018.297662320001</v>
      </c>
      <c r="G255" s="624">
        <v>4.0965531949297675</v>
      </c>
    </row>
    <row r="256" spans="1:7" ht="16.5" customHeight="1">
      <c r="A256" s="40" t="s">
        <v>20</v>
      </c>
      <c r="B256" s="623">
        <v>21484.841118709999</v>
      </c>
      <c r="C256" s="623">
        <v>19593.412260490004</v>
      </c>
      <c r="D256" s="623">
        <v>21403.629193590001</v>
      </c>
      <c r="E256" s="623">
        <v>41078.253379200003</v>
      </c>
      <c r="F256" s="623">
        <v>29693.952624060003</v>
      </c>
      <c r="G256" s="624">
        <v>4.0830670653714654</v>
      </c>
    </row>
    <row r="257" spans="1:7" ht="16.5" customHeight="1">
      <c r="A257" s="40" t="s">
        <v>21</v>
      </c>
      <c r="B257" s="623">
        <v>23585.935239589991</v>
      </c>
      <c r="C257" s="623">
        <v>17591.534631979994</v>
      </c>
      <c r="D257" s="623">
        <v>21520.688835459991</v>
      </c>
      <c r="E257" s="623">
        <v>41177.46987157</v>
      </c>
      <c r="F257" s="623">
        <v>30189.143619710001</v>
      </c>
      <c r="G257" s="624">
        <v>3.9735973140251781</v>
      </c>
    </row>
    <row r="258" spans="1:7" ht="16.5" customHeight="1">
      <c r="A258" s="40" t="s">
        <v>22</v>
      </c>
      <c r="B258" s="623">
        <v>22451.585595700002</v>
      </c>
      <c r="C258" s="623">
        <v>18920.234159929994</v>
      </c>
      <c r="D258" s="623">
        <v>21471.025684899989</v>
      </c>
      <c r="E258" s="623">
        <v>41371.81975563</v>
      </c>
      <c r="F258" s="623">
        <v>30368.844427370001</v>
      </c>
      <c r="G258" s="624">
        <v>3.9182893601561086</v>
      </c>
    </row>
    <row r="259" spans="1:7" ht="16.5" customHeight="1">
      <c r="A259" s="40" t="s">
        <v>23</v>
      </c>
      <c r="B259" s="623">
        <v>20991.644776169993</v>
      </c>
      <c r="C259" s="623">
        <v>20248.293868329998</v>
      </c>
      <c r="D259" s="623">
        <v>22335.133190169996</v>
      </c>
      <c r="E259" s="623">
        <v>41239.938644499998</v>
      </c>
      <c r="F259" s="623">
        <v>31403.953318119999</v>
      </c>
      <c r="G259" s="624">
        <v>3.840414573868689</v>
      </c>
    </row>
    <row r="260" spans="1:7" ht="16.5" customHeight="1">
      <c r="A260" s="40" t="s">
        <v>24</v>
      </c>
      <c r="B260" s="623">
        <v>20638.096375329991</v>
      </c>
      <c r="C260" s="623">
        <v>20432.483649409998</v>
      </c>
      <c r="D260" s="623">
        <v>22513.200543559997</v>
      </c>
      <c r="E260" s="623">
        <v>41070.580024739997</v>
      </c>
      <c r="F260" s="623">
        <v>31713.095934369998</v>
      </c>
      <c r="G260" s="624">
        <v>3.8040454136838817</v>
      </c>
    </row>
    <row r="261" spans="1:7" ht="16.5" customHeight="1">
      <c r="A261" s="40" t="s">
        <v>25</v>
      </c>
      <c r="B261" s="623">
        <v>21126.532039799993</v>
      </c>
      <c r="C261" s="623">
        <v>19983.770695990006</v>
      </c>
      <c r="D261" s="623">
        <v>22719.850545200003</v>
      </c>
      <c r="E261" s="623">
        <v>41110.302735789999</v>
      </c>
      <c r="F261" s="623">
        <v>32027.483827459997</v>
      </c>
      <c r="G261" s="624">
        <v>3.7512968751229026</v>
      </c>
    </row>
    <row r="262" spans="1:7" ht="16.5" customHeight="1">
      <c r="A262" s="1492" t="s">
        <v>26</v>
      </c>
      <c r="B262" s="1490">
        <v>20621.750711860001</v>
      </c>
      <c r="C262" s="1490">
        <v>21402.317896349996</v>
      </c>
      <c r="D262" s="1490">
        <v>23087.726836369999</v>
      </c>
      <c r="E262" s="1490">
        <v>42024.06860821</v>
      </c>
      <c r="F262" s="1490">
        <v>33180.734471010001</v>
      </c>
      <c r="G262" s="1491">
        <v>3.6492059402459525</v>
      </c>
    </row>
    <row r="263" spans="1:7" ht="16.5" customHeight="1">
      <c r="A263" s="1492" t="s">
        <v>27</v>
      </c>
      <c r="B263" s="1490">
        <v>22371.923932239999</v>
      </c>
      <c r="C263" s="1490">
        <v>20522.285646640001</v>
      </c>
      <c r="D263" s="1490">
        <v>22961.073278830001</v>
      </c>
      <c r="E263" s="1490">
        <v>42894.209578879992</v>
      </c>
      <c r="F263" s="1490">
        <v>33433.653526879993</v>
      </c>
      <c r="G263" s="1491">
        <v>3.6208941359839844</v>
      </c>
    </row>
    <row r="264" spans="1:7" ht="16.5" customHeight="1">
      <c r="A264" s="1492" t="s">
        <v>28</v>
      </c>
      <c r="B264" s="1490">
        <v>23021.823576949999</v>
      </c>
      <c r="C264" s="1490">
        <v>20339.941090730001</v>
      </c>
      <c r="D264" s="1490">
        <v>23286.30599253</v>
      </c>
      <c r="E264" s="1490">
        <v>43361.764667709998</v>
      </c>
      <c r="F264" s="1490">
        <v>34199.027360200002</v>
      </c>
      <c r="G264" s="1491">
        <v>3.515659793134021</v>
      </c>
    </row>
    <row r="265" spans="1:7" ht="16.5" customHeight="1">
      <c r="A265" s="1492" t="s">
        <v>29</v>
      </c>
      <c r="B265" s="1490">
        <v>25216.533737230002</v>
      </c>
      <c r="C265" s="1490">
        <v>19856.920698250004</v>
      </c>
      <c r="D265" s="1490">
        <v>23505.793842999999</v>
      </c>
      <c r="E265" s="1490">
        <v>45073.454435480002</v>
      </c>
      <c r="F265" s="1490">
        <v>35371.828297100001</v>
      </c>
      <c r="G265" s="1491">
        <v>3.4774990697917851</v>
      </c>
    </row>
    <row r="266" spans="1:7" ht="16.5" customHeight="1">
      <c r="A266" s="1492" t="s">
        <v>3989</v>
      </c>
      <c r="B266" s="1490"/>
      <c r="C266" s="1490"/>
      <c r="D266" s="1490"/>
      <c r="E266" s="1490"/>
      <c r="F266" s="1490"/>
      <c r="G266" s="1491"/>
    </row>
    <row r="267" spans="1:7" ht="16.5" customHeight="1">
      <c r="A267" s="1492" t="s">
        <v>18</v>
      </c>
      <c r="B267" s="1490">
        <v>24559.443468530004</v>
      </c>
      <c r="C267" s="1490">
        <v>20339.217273909999</v>
      </c>
      <c r="D267" s="1490">
        <v>23979.402651959997</v>
      </c>
      <c r="E267" s="1490">
        <v>44898.660742440006</v>
      </c>
      <c r="F267" s="1490">
        <v>34235.278261960004</v>
      </c>
      <c r="G267" s="1491">
        <v>3.2005581833330452</v>
      </c>
    </row>
    <row r="268" spans="1:7" ht="16.5" customHeight="1">
      <c r="A268" s="1492" t="s">
        <v>19</v>
      </c>
      <c r="B268" s="1490">
        <v>24688.383061890007</v>
      </c>
      <c r="C268" s="1490">
        <v>20074.220093179996</v>
      </c>
      <c r="D268" s="1490">
        <v>24395.710689939995</v>
      </c>
      <c r="E268" s="1490">
        <v>44762.603155070006</v>
      </c>
      <c r="F268" s="1490">
        <v>34263.958200840003</v>
      </c>
      <c r="G268" s="1491">
        <v>3.2530217129808272</v>
      </c>
    </row>
    <row r="269" spans="1:7" ht="16.5" customHeight="1">
      <c r="A269" s="1492" t="s">
        <v>20</v>
      </c>
      <c r="B269" s="1490">
        <v>25532.34104336</v>
      </c>
      <c r="C269" s="1490">
        <v>19297.972344409995</v>
      </c>
      <c r="D269" s="1490">
        <v>24565.355564489997</v>
      </c>
      <c r="E269" s="1490">
        <v>44830.313387770002</v>
      </c>
      <c r="F269" s="1490">
        <v>34453.60653723</v>
      </c>
      <c r="G269" s="1491">
        <v>3.3780846679790661</v>
      </c>
    </row>
    <row r="270" spans="1:7" ht="16.5" customHeight="1">
      <c r="A270" s="1492" t="s">
        <v>21</v>
      </c>
      <c r="B270" s="1490">
        <v>26281.27450592001</v>
      </c>
      <c r="C270" s="1490">
        <v>18995.971190810003</v>
      </c>
      <c r="D270" s="1490">
        <v>25042.42226499</v>
      </c>
      <c r="E270" s="1490">
        <v>45277.245696729995</v>
      </c>
      <c r="F270" s="1490">
        <v>34268.325425639996</v>
      </c>
      <c r="G270" s="1491">
        <v>3.3426115392932352</v>
      </c>
    </row>
    <row r="271" spans="1:7" ht="16.5" customHeight="1">
      <c r="A271" s="1492" t="s">
        <v>22</v>
      </c>
      <c r="B271" s="1490">
        <v>25162.177145440004</v>
      </c>
      <c r="C271" s="1490">
        <v>19685.414133419996</v>
      </c>
      <c r="D271" s="1490">
        <v>25449.952293029997</v>
      </c>
      <c r="E271" s="1490">
        <v>44847.591278860004</v>
      </c>
      <c r="F271" s="1490">
        <v>34409.422908100001</v>
      </c>
      <c r="G271" s="1491">
        <v>3.3497335979112619</v>
      </c>
    </row>
    <row r="272" spans="1:7" ht="16.5" customHeight="1">
      <c r="A272" s="1492" t="s">
        <v>23</v>
      </c>
      <c r="B272" s="1490">
        <v>24772.441914570005</v>
      </c>
      <c r="C272" s="1490">
        <v>20289.874317440001</v>
      </c>
      <c r="D272" s="1490">
        <v>25785.013632470007</v>
      </c>
      <c r="E272" s="1490">
        <v>45062.316232010002</v>
      </c>
      <c r="F272" s="1490">
        <v>35127.500930790004</v>
      </c>
      <c r="G272" s="1491">
        <v>3.3888206347084093</v>
      </c>
    </row>
    <row r="273" spans="1:13" ht="16.5" customHeight="1">
      <c r="A273" s="1492" t="s">
        <v>24</v>
      </c>
      <c r="B273" s="1490">
        <v>24884.496230970006</v>
      </c>
      <c r="C273" s="1490">
        <v>20036.241992980002</v>
      </c>
      <c r="D273" s="1490">
        <v>25954.730567039998</v>
      </c>
      <c r="E273" s="1490">
        <v>44920.738223950008</v>
      </c>
      <c r="F273" s="1490">
        <v>35452.560310510009</v>
      </c>
      <c r="G273" s="1491">
        <v>3.4111096735859903</v>
      </c>
    </row>
    <row r="274" spans="1:13" ht="16.5" customHeight="1">
      <c r="A274" s="1492" t="s">
        <v>25</v>
      </c>
      <c r="B274" s="1490">
        <v>25373.403856425335</v>
      </c>
      <c r="C274" s="1490">
        <v>19647.934270374673</v>
      </c>
      <c r="D274" s="1490">
        <v>26160.352005145294</v>
      </c>
      <c r="E274" s="1490">
        <v>45021.338126800008</v>
      </c>
      <c r="F274" s="1490">
        <v>35273.357112380007</v>
      </c>
      <c r="G274" s="1491">
        <v>3.4428378793970156</v>
      </c>
    </row>
    <row r="275" spans="1:13" ht="16.5" customHeight="1">
      <c r="A275" s="1492" t="s">
        <v>26</v>
      </c>
      <c r="B275" s="1490">
        <v>25487.462569676474</v>
      </c>
      <c r="C275" s="1490">
        <v>20098.997175993522</v>
      </c>
      <c r="D275" s="1490">
        <v>26704.28693854493</v>
      </c>
      <c r="E275" s="1490">
        <v>45586.459745669999</v>
      </c>
      <c r="F275" s="1490">
        <v>35772.72729391</v>
      </c>
      <c r="G275" s="1491">
        <v>3.4599728907932019</v>
      </c>
    </row>
    <row r="276" spans="1:13" ht="16.5" customHeight="1">
      <c r="A276" s="1492" t="s">
        <v>27</v>
      </c>
      <c r="B276" s="1490">
        <v>26286.867557450649</v>
      </c>
      <c r="C276" s="1490">
        <v>18165.763777059354</v>
      </c>
      <c r="D276" s="1490">
        <v>26885.704399570845</v>
      </c>
      <c r="E276" s="1490">
        <v>44452.631334509999</v>
      </c>
      <c r="F276" s="1490">
        <v>34624.966100289996</v>
      </c>
      <c r="G276" s="1491">
        <v>3.5868615622690765</v>
      </c>
    </row>
    <row r="277" spans="1:13" ht="16.5" customHeight="1">
      <c r="A277" s="1492" t="s">
        <v>28</v>
      </c>
      <c r="B277" s="1490">
        <v>27186.921005491386</v>
      </c>
      <c r="C277" s="1490">
        <v>17504.915756198614</v>
      </c>
      <c r="D277" s="1490">
        <v>27092.107084653653</v>
      </c>
      <c r="E277" s="1490">
        <v>44691.83676169</v>
      </c>
      <c r="F277" s="1490">
        <v>34639.020912669999</v>
      </c>
      <c r="G277" s="1491">
        <v>3.5676758968322209</v>
      </c>
    </row>
    <row r="278" spans="1:13" ht="16.5" customHeight="1">
      <c r="A278" s="1492" t="s">
        <v>29</v>
      </c>
      <c r="B278" s="1490">
        <v>26603.759150867496</v>
      </c>
      <c r="C278" s="1490">
        <v>19891.089172762495</v>
      </c>
      <c r="D278" s="1490">
        <v>27234.28993079592</v>
      </c>
      <c r="E278" s="1490">
        <v>46494.848323629994</v>
      </c>
      <c r="F278" s="1490">
        <v>36651.984366730001</v>
      </c>
      <c r="G278" s="1491">
        <v>3.4469347890118471</v>
      </c>
    </row>
    <row r="279" spans="1:13" ht="16.5" customHeight="1">
      <c r="A279" s="1492" t="s">
        <v>4222</v>
      </c>
      <c r="B279" s="1490"/>
      <c r="C279" s="1490"/>
      <c r="D279" s="1490"/>
      <c r="E279" s="1490"/>
      <c r="F279" s="1490"/>
      <c r="G279" s="1491"/>
    </row>
    <row r="280" spans="1:13" ht="16.5" customHeight="1">
      <c r="A280" s="1492" t="s">
        <v>18</v>
      </c>
      <c r="B280" s="1490">
        <v>28317.706443196843</v>
      </c>
      <c r="C280" s="1490">
        <v>17246.55393498316</v>
      </c>
      <c r="D280" s="1490">
        <v>27219.348685858917</v>
      </c>
      <c r="E280" s="1490">
        <v>45564.260378179999</v>
      </c>
      <c r="F280" s="1490">
        <v>34752.165367709997</v>
      </c>
      <c r="G280" s="1491">
        <v>3.2562690354007393</v>
      </c>
    </row>
    <row r="281" spans="1:13" ht="16.5" customHeight="1">
      <c r="A281" s="1492" t="s">
        <v>19</v>
      </c>
      <c r="B281" s="1490">
        <v>28543.549321486746</v>
      </c>
      <c r="C281" s="1490">
        <v>18131.119792483256</v>
      </c>
      <c r="D281" s="1490">
        <v>27315.963145143411</v>
      </c>
      <c r="E281" s="1490">
        <v>46674.669113970005</v>
      </c>
      <c r="F281" s="1490">
        <v>35436.529078170002</v>
      </c>
      <c r="G281" s="1491">
        <v>3.229244030857819</v>
      </c>
    </row>
    <row r="282" spans="1:13" ht="16.5" customHeight="1">
      <c r="A282" s="1492" t="s">
        <v>20</v>
      </c>
      <c r="B282" s="1490">
        <v>28259.027714914591</v>
      </c>
      <c r="C282" s="1490">
        <v>18471.818722215419</v>
      </c>
      <c r="D282" s="1490">
        <v>27633.610587143692</v>
      </c>
      <c r="E282" s="1490">
        <v>46730.846437129992</v>
      </c>
      <c r="F282" s="1490">
        <v>35559.117870169997</v>
      </c>
      <c r="G282" s="1491">
        <v>3.3626143493370177</v>
      </c>
    </row>
    <row r="283" spans="1:13" ht="16.5" customHeight="1">
      <c r="A283" s="1492" t="s">
        <v>21</v>
      </c>
      <c r="B283" s="1490">
        <v>28924.81621485934</v>
      </c>
      <c r="C283" s="1490">
        <v>18282.871314670669</v>
      </c>
      <c r="D283" s="1490">
        <v>27803.202181655983</v>
      </c>
      <c r="E283" s="1490">
        <v>47207.687529529998</v>
      </c>
      <c r="F283" s="1490">
        <v>35438.831222859997</v>
      </c>
      <c r="G283" s="1491">
        <v>3.3273501391303446</v>
      </c>
    </row>
    <row r="284" spans="1:13" ht="16.149999999999999" customHeight="1">
      <c r="A284" s="1493" t="s">
        <v>22</v>
      </c>
      <c r="B284" s="1494">
        <v>29791.157823620077</v>
      </c>
      <c r="C284" s="1494">
        <v>18514.856948809913</v>
      </c>
      <c r="D284" s="1494">
        <v>28141.505057382998</v>
      </c>
      <c r="E284" s="1494">
        <v>48306.014772430004</v>
      </c>
      <c r="F284" s="1494">
        <v>35768.5371227</v>
      </c>
      <c r="G284" s="1495">
        <v>3.3615800273724954</v>
      </c>
    </row>
    <row r="285" spans="1:13" s="780" customFormat="1" ht="30" customHeight="1">
      <c r="A285" s="2335" t="s">
        <v>2691</v>
      </c>
      <c r="B285" s="2336"/>
      <c r="C285" s="2336"/>
      <c r="D285" s="2336"/>
      <c r="E285" s="2336"/>
      <c r="F285" s="2336"/>
      <c r="G285" s="2336"/>
      <c r="H285" s="779"/>
      <c r="I285" s="779"/>
      <c r="J285" s="779"/>
      <c r="K285" s="779"/>
      <c r="L285" s="779"/>
      <c r="M285" s="779"/>
    </row>
    <row r="286" spans="1:13" s="6" customFormat="1">
      <c r="A286" s="2337"/>
      <c r="B286" s="2337"/>
      <c r="C286" s="2337"/>
    </row>
    <row r="287" spans="1:13" s="6" customFormat="1">
      <c r="A287" s="2334"/>
      <c r="B287" s="2334"/>
      <c r="C287" s="2334"/>
      <c r="G287" s="243"/>
    </row>
    <row r="288" spans="1:13" s="6" customFormat="1"/>
    <row r="289" s="6" customFormat="1"/>
  </sheetData>
  <mergeCells count="6">
    <mergeCell ref="A287:C287"/>
    <mergeCell ref="A285:G285"/>
    <mergeCell ref="A286:C286"/>
    <mergeCell ref="A2:G2"/>
    <mergeCell ref="A3:G3"/>
    <mergeCell ref="A5:G5"/>
  </mergeCells>
  <pageMargins left="1.27" right="0.7" top="0.35" bottom="0.48" header="0.3" footer="0.3"/>
  <pageSetup scale="26" orientation="portrait" r:id="rId1"/>
  <ignoredErrors>
    <ignoredError sqref="A184:A237"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3">
    <tabColor rgb="FF92D050"/>
  </sheetPr>
  <dimension ref="A1:H285"/>
  <sheetViews>
    <sheetView showGridLines="0" view="pageBreakPreview" zoomScale="115" zoomScaleSheetLayoutView="115" workbookViewId="0">
      <pane ySplit="7" topLeftCell="A269" activePane="bottomLeft" state="frozen"/>
      <selection activeCell="B39" sqref="B39"/>
      <selection pane="bottomLeft" activeCell="H287" sqref="H287"/>
    </sheetView>
  </sheetViews>
  <sheetFormatPr defaultColWidth="9.140625" defaultRowHeight="12.75"/>
  <cols>
    <col min="1" max="1" width="8.42578125" style="1460" customWidth="1"/>
    <col min="2" max="5" width="19.5703125" style="1460" customWidth="1"/>
    <col min="6" max="6" width="19.5703125" style="30" customWidth="1"/>
    <col min="7" max="7" width="9.140625" style="1460" customWidth="1"/>
    <col min="8" max="16384" width="9.140625" style="1460"/>
  </cols>
  <sheetData>
    <row r="1" spans="1:8" ht="7.5" customHeight="1"/>
    <row r="2" spans="1:8" ht="19.5" customHeight="1">
      <c r="A2" s="2341" t="s">
        <v>3844</v>
      </c>
      <c r="B2" s="2341"/>
      <c r="C2" s="2341"/>
      <c r="D2" s="2341"/>
      <c r="E2" s="2341"/>
      <c r="F2" s="2341"/>
    </row>
    <row r="3" spans="1:8" ht="19.5" customHeight="1">
      <c r="A3" s="2342" t="s">
        <v>3845</v>
      </c>
      <c r="B3" s="2342"/>
      <c r="C3" s="2342"/>
      <c r="D3" s="2342"/>
      <c r="E3" s="2342"/>
      <c r="F3" s="2342"/>
    </row>
    <row r="4" spans="1:8">
      <c r="A4" s="1461"/>
      <c r="B4" s="1461"/>
      <c r="C4" s="1461"/>
      <c r="D4" s="1461"/>
      <c r="E4" s="1461"/>
      <c r="F4" s="1461"/>
    </row>
    <row r="5" spans="1:8">
      <c r="A5" s="2340" t="s">
        <v>8</v>
      </c>
      <c r="B5" s="2340"/>
      <c r="C5" s="2340"/>
      <c r="D5" s="2340"/>
      <c r="E5" s="2340"/>
      <c r="F5" s="2340"/>
    </row>
    <row r="6" spans="1:8" s="94" customFormat="1" ht="47.25" customHeight="1">
      <c r="A6" s="1457" t="s">
        <v>182</v>
      </c>
      <c r="B6" s="1457" t="s">
        <v>3846</v>
      </c>
      <c r="C6" s="1462" t="s">
        <v>3847</v>
      </c>
      <c r="D6" s="1457" t="s">
        <v>3848</v>
      </c>
      <c r="E6" s="1457" t="s">
        <v>3849</v>
      </c>
      <c r="F6" s="1457" t="s">
        <v>3850</v>
      </c>
    </row>
    <row r="7" spans="1:8" ht="47.25" customHeight="1">
      <c r="A7" s="1458" t="s">
        <v>289</v>
      </c>
      <c r="B7" s="1458" t="s">
        <v>3851</v>
      </c>
      <c r="C7" s="1463" t="s">
        <v>3852</v>
      </c>
      <c r="D7" s="1458" t="s">
        <v>3853</v>
      </c>
      <c r="E7" s="1458" t="s">
        <v>3854</v>
      </c>
      <c r="F7" s="1458" t="s">
        <v>3855</v>
      </c>
    </row>
    <row r="8" spans="1:8" hidden="1">
      <c r="A8" s="1464">
        <v>1995</v>
      </c>
      <c r="B8" s="1465">
        <v>250</v>
      </c>
      <c r="C8" s="1465">
        <v>60.88</v>
      </c>
      <c r="D8" s="1465">
        <v>49.58</v>
      </c>
      <c r="E8" s="1466">
        <v>180.12</v>
      </c>
      <c r="F8" s="1467">
        <v>147.26</v>
      </c>
      <c r="G8" s="1468"/>
      <c r="H8" s="1468"/>
    </row>
    <row r="9" spans="1:8" hidden="1">
      <c r="A9" s="1464">
        <v>1996</v>
      </c>
      <c r="B9" s="1466">
        <v>268</v>
      </c>
      <c r="C9" s="1466">
        <v>72.900000000000006</v>
      </c>
      <c r="D9" s="1466">
        <v>152.36000000000001</v>
      </c>
      <c r="E9" s="1466">
        <v>212.38</v>
      </c>
      <c r="F9" s="1467">
        <v>197.38</v>
      </c>
      <c r="G9" s="1468"/>
      <c r="H9" s="1468"/>
    </row>
    <row r="10" spans="1:8" hidden="1">
      <c r="A10" s="1464">
        <v>1997</v>
      </c>
      <c r="B10" s="1466">
        <v>550.20000000000005</v>
      </c>
      <c r="C10" s="1466">
        <v>32.64</v>
      </c>
      <c r="D10" s="1466">
        <v>155.76</v>
      </c>
      <c r="E10" s="1466">
        <v>284.45999999999998</v>
      </c>
      <c r="F10" s="1467">
        <v>267.86</v>
      </c>
      <c r="G10" s="1468"/>
      <c r="H10" s="1468"/>
    </row>
    <row r="11" spans="1:8" hidden="1">
      <c r="A11" s="1464">
        <v>1998</v>
      </c>
      <c r="B11" s="1466">
        <v>521.29999999999995</v>
      </c>
      <c r="C11" s="1466">
        <v>46.44</v>
      </c>
      <c r="D11" s="1466">
        <v>133.4</v>
      </c>
      <c r="E11" s="1466">
        <v>228.04</v>
      </c>
      <c r="F11" s="1467">
        <v>211.42</v>
      </c>
      <c r="G11" s="1468"/>
      <c r="H11" s="1468"/>
    </row>
    <row r="12" spans="1:8" hidden="1">
      <c r="A12" s="1464">
        <v>1999</v>
      </c>
      <c r="B12" s="1466">
        <v>726.9</v>
      </c>
      <c r="C12" s="1466">
        <v>73.12</v>
      </c>
      <c r="D12" s="1466">
        <v>134.72</v>
      </c>
      <c r="E12" s="1466">
        <v>264.94</v>
      </c>
      <c r="F12" s="1467">
        <v>251.32</v>
      </c>
      <c r="G12" s="1468"/>
      <c r="H12" s="1468"/>
    </row>
    <row r="13" spans="1:8" hidden="1">
      <c r="A13" s="1464">
        <v>2000</v>
      </c>
      <c r="B13" s="1466">
        <v>691.4</v>
      </c>
      <c r="C13" s="1466">
        <v>89.78</v>
      </c>
      <c r="D13" s="1466">
        <v>140.22</v>
      </c>
      <c r="E13" s="1466">
        <v>353.08</v>
      </c>
      <c r="F13" s="1467">
        <v>308.39999999999998</v>
      </c>
      <c r="G13" s="1468"/>
      <c r="H13" s="1468"/>
    </row>
    <row r="14" spans="1:8" hidden="1">
      <c r="A14" s="1464">
        <v>2001</v>
      </c>
      <c r="B14" s="1466">
        <v>698.4</v>
      </c>
      <c r="C14" s="1466">
        <v>-139.58874511884201</v>
      </c>
      <c r="D14" s="1466">
        <v>20.199011821302001</v>
      </c>
      <c r="E14" s="1466">
        <v>359.48</v>
      </c>
      <c r="F14" s="1467">
        <v>336.86</v>
      </c>
      <c r="G14" s="1468"/>
      <c r="H14" s="1468"/>
    </row>
    <row r="15" spans="1:8" hidden="1">
      <c r="A15" s="1464">
        <v>2002</v>
      </c>
      <c r="B15" s="1466">
        <v>681.71</v>
      </c>
      <c r="C15" s="1466">
        <v>21.991962001619996</v>
      </c>
      <c r="D15" s="1466">
        <v>17.28</v>
      </c>
      <c r="E15" s="1466">
        <v>409.92</v>
      </c>
      <c r="F15" s="1467">
        <v>374.38</v>
      </c>
      <c r="G15" s="1468"/>
      <c r="H15" s="1468"/>
    </row>
    <row r="16" spans="1:8" hidden="1">
      <c r="A16" s="1464">
        <v>2003</v>
      </c>
      <c r="B16" s="1466">
        <v>757.1</v>
      </c>
      <c r="C16" s="1466">
        <v>12.445196676278</v>
      </c>
      <c r="D16" s="1466">
        <v>39.096577698252005</v>
      </c>
      <c r="E16" s="1466">
        <v>506.12</v>
      </c>
      <c r="F16" s="1467">
        <v>463.2</v>
      </c>
      <c r="G16" s="1468"/>
      <c r="H16" s="1468"/>
    </row>
    <row r="17" spans="1:8" hidden="1">
      <c r="A17" s="1464">
        <v>2004</v>
      </c>
      <c r="B17" s="1466">
        <v>876.86</v>
      </c>
      <c r="C17" s="1466">
        <v>20.190830154036011</v>
      </c>
      <c r="D17" s="1466">
        <v>43.136173873040008</v>
      </c>
      <c r="E17" s="1466">
        <v>833.62</v>
      </c>
      <c r="F17" s="1467">
        <v>640.04</v>
      </c>
      <c r="G17" s="1468"/>
      <c r="H17" s="1468"/>
    </row>
    <row r="18" spans="1:8" ht="15" hidden="1" customHeight="1">
      <c r="A18" s="1464">
        <v>2005</v>
      </c>
      <c r="B18" s="1466">
        <v>961.71</v>
      </c>
      <c r="C18" s="1466">
        <v>-51.834081518653996</v>
      </c>
      <c r="D18" s="1466">
        <v>41.85877699319802</v>
      </c>
      <c r="E18" s="1466">
        <v>885.82</v>
      </c>
      <c r="F18" s="1467">
        <v>687.76</v>
      </c>
    </row>
    <row r="19" spans="1:8" ht="12.75" hidden="1" customHeight="1">
      <c r="A19" s="1464" t="s">
        <v>18</v>
      </c>
      <c r="B19" s="1466">
        <v>876.56</v>
      </c>
      <c r="C19" s="1466">
        <v>-42.266091558507995</v>
      </c>
      <c r="D19" s="1466">
        <v>38.929472279694004</v>
      </c>
      <c r="E19" s="1466">
        <v>638.04</v>
      </c>
      <c r="F19" s="1467">
        <v>571.1</v>
      </c>
    </row>
    <row r="20" spans="1:8" ht="12.75" hidden="1" customHeight="1">
      <c r="A20" s="1464" t="s">
        <v>19</v>
      </c>
      <c r="B20" s="1466">
        <v>884.77</v>
      </c>
      <c r="C20" s="1466">
        <v>-38.534742968880003</v>
      </c>
      <c r="D20" s="1466">
        <v>40.527083865599991</v>
      </c>
      <c r="E20" s="1466">
        <v>646.4</v>
      </c>
      <c r="F20" s="1467">
        <v>582.24</v>
      </c>
    </row>
    <row r="21" spans="1:8" ht="12.75" hidden="1" customHeight="1">
      <c r="A21" s="1464" t="s">
        <v>20</v>
      </c>
      <c r="B21" s="1466">
        <v>891.34</v>
      </c>
      <c r="C21" s="1466">
        <v>-66.55234814181</v>
      </c>
      <c r="D21" s="1466">
        <v>38.31116792555801</v>
      </c>
      <c r="E21" s="1466">
        <v>650.14</v>
      </c>
      <c r="F21" s="1467">
        <v>561.9</v>
      </c>
    </row>
    <row r="22" spans="1:8" ht="12.75" hidden="1" customHeight="1">
      <c r="A22" s="1464" t="s">
        <v>21</v>
      </c>
      <c r="B22" s="1466">
        <v>930.95</v>
      </c>
      <c r="C22" s="1466">
        <v>-88.947985050589935</v>
      </c>
      <c r="D22" s="1466">
        <v>48.743863181230004</v>
      </c>
      <c r="E22" s="1466">
        <v>647.62</v>
      </c>
      <c r="F22" s="1467">
        <v>584.26</v>
      </c>
    </row>
    <row r="23" spans="1:8" ht="12.75" hidden="1" customHeight="1">
      <c r="A23" s="1464" t="s">
        <v>22</v>
      </c>
      <c r="B23" s="1466">
        <v>942.52</v>
      </c>
      <c r="C23" s="1466">
        <v>-85.793463804361991</v>
      </c>
      <c r="D23" s="1466">
        <v>54.410660861124001</v>
      </c>
      <c r="E23" s="1466">
        <v>684.48</v>
      </c>
      <c r="F23" s="1467">
        <v>613.48</v>
      </c>
    </row>
    <row r="24" spans="1:8" ht="12.75" hidden="1" customHeight="1">
      <c r="A24" s="1464" t="s">
        <v>23</v>
      </c>
      <c r="B24" s="1466">
        <v>989.37</v>
      </c>
      <c r="C24" s="1466">
        <v>-88.21250159697199</v>
      </c>
      <c r="D24" s="1466">
        <v>59.260763175258006</v>
      </c>
      <c r="E24" s="1466">
        <v>745.34</v>
      </c>
      <c r="F24" s="1467">
        <v>670.96</v>
      </c>
    </row>
    <row r="25" spans="1:8" ht="12.75" hidden="1" customHeight="1">
      <c r="A25" s="1464" t="s">
        <v>24</v>
      </c>
      <c r="B25" s="1466">
        <v>948.59</v>
      </c>
      <c r="C25" s="1466">
        <v>-12.35910988391802</v>
      </c>
      <c r="D25" s="1466">
        <v>53.837094099824007</v>
      </c>
      <c r="E25" s="1466">
        <v>794.8</v>
      </c>
      <c r="F25" s="1467">
        <v>719.62</v>
      </c>
    </row>
    <row r="26" spans="1:8" ht="12.75" hidden="1" customHeight="1">
      <c r="A26" s="1464" t="s">
        <v>25</v>
      </c>
      <c r="B26" s="1466">
        <v>975.93</v>
      </c>
      <c r="C26" s="1466">
        <v>-14.921094714659981</v>
      </c>
      <c r="D26" s="1466">
        <v>47.184107424152003</v>
      </c>
      <c r="E26" s="1466">
        <v>813</v>
      </c>
      <c r="F26" s="1467">
        <v>733.08</v>
      </c>
    </row>
    <row r="27" spans="1:8" ht="12.75" hidden="1" customHeight="1">
      <c r="A27" s="1464" t="s">
        <v>26</v>
      </c>
      <c r="B27" s="1466">
        <v>1025.81</v>
      </c>
      <c r="C27" s="1466">
        <v>-58.154580164374011</v>
      </c>
      <c r="D27" s="1466">
        <v>42.277631570652005</v>
      </c>
      <c r="E27" s="1466">
        <v>822.78</v>
      </c>
      <c r="F27" s="1467">
        <v>733.82</v>
      </c>
    </row>
    <row r="28" spans="1:8" ht="12.75" hidden="1" customHeight="1">
      <c r="A28" s="1464" t="s">
        <v>27</v>
      </c>
      <c r="B28" s="1466">
        <v>990.96</v>
      </c>
      <c r="C28" s="1466">
        <v>-49.741837992209994</v>
      </c>
      <c r="D28" s="1466">
        <v>42.599513627127997</v>
      </c>
      <c r="E28" s="1466">
        <v>793.78</v>
      </c>
      <c r="F28" s="1467">
        <v>709.4</v>
      </c>
    </row>
    <row r="29" spans="1:8" ht="12.75" hidden="1" customHeight="1">
      <c r="A29" s="1464" t="s">
        <v>28</v>
      </c>
      <c r="B29" s="1466">
        <v>990.93</v>
      </c>
      <c r="C29" s="1466">
        <v>-114.31044674374199</v>
      </c>
      <c r="D29" s="1466">
        <v>39.648521401656012</v>
      </c>
      <c r="E29" s="1466">
        <v>734.78</v>
      </c>
      <c r="F29" s="1467">
        <v>648.74</v>
      </c>
    </row>
    <row r="30" spans="1:8" ht="12.75" hidden="1" customHeight="1">
      <c r="A30" s="1464" t="s">
        <v>29</v>
      </c>
      <c r="B30" s="1466">
        <v>961.71</v>
      </c>
      <c r="C30" s="1466">
        <v>-51.834081518653996</v>
      </c>
      <c r="D30" s="1466">
        <v>41.85877699319802</v>
      </c>
      <c r="E30" s="1466">
        <v>885.82</v>
      </c>
      <c r="F30" s="1467">
        <v>687.76</v>
      </c>
    </row>
    <row r="31" spans="1:8">
      <c r="A31" s="1469">
        <v>2006</v>
      </c>
      <c r="B31" s="1470">
        <v>1967.33</v>
      </c>
      <c r="C31" s="1470">
        <v>25.4</v>
      </c>
      <c r="D31" s="1470">
        <v>-19.075273459999991</v>
      </c>
      <c r="E31" s="1470">
        <v>2044.6</v>
      </c>
      <c r="F31" s="1471">
        <v>1599.5</v>
      </c>
    </row>
    <row r="32" spans="1:8" ht="12.75" hidden="1" customHeight="1">
      <c r="A32" s="440" t="s">
        <v>18</v>
      </c>
      <c r="B32" s="455">
        <v>941.81</v>
      </c>
      <c r="C32" s="455">
        <v>-122.16774437000001</v>
      </c>
      <c r="D32" s="455">
        <v>43.604475560000004</v>
      </c>
      <c r="E32" s="455">
        <v>690.96</v>
      </c>
      <c r="F32" s="1472">
        <v>604.02</v>
      </c>
    </row>
    <row r="33" spans="1:6" ht="12.75" hidden="1" customHeight="1">
      <c r="A33" s="440" t="s">
        <v>19</v>
      </c>
      <c r="B33" s="455">
        <v>939.66</v>
      </c>
      <c r="C33" s="455">
        <v>-80.295672270000011</v>
      </c>
      <c r="D33" s="455">
        <v>41.883703860000018</v>
      </c>
      <c r="E33" s="455">
        <v>757.04</v>
      </c>
      <c r="F33" s="1472">
        <v>645.20000000000005</v>
      </c>
    </row>
    <row r="34" spans="1:6" ht="12.75" hidden="1" customHeight="1">
      <c r="A34" s="440" t="s">
        <v>20</v>
      </c>
      <c r="B34" s="455">
        <v>1026.56</v>
      </c>
      <c r="C34" s="455">
        <v>-88.032961770000014</v>
      </c>
      <c r="D34" s="455">
        <v>41.837376859999999</v>
      </c>
      <c r="E34" s="455">
        <v>826.18</v>
      </c>
      <c r="F34" s="1472">
        <v>712.38</v>
      </c>
    </row>
    <row r="35" spans="1:6" ht="12.75" hidden="1" customHeight="1">
      <c r="A35" s="440" t="s">
        <v>21</v>
      </c>
      <c r="B35" s="455">
        <v>1306.28</v>
      </c>
      <c r="C35" s="455">
        <v>-300.98824904999992</v>
      </c>
      <c r="D35" s="455">
        <v>38.512252720000014</v>
      </c>
      <c r="E35" s="455">
        <v>857.64</v>
      </c>
      <c r="F35" s="1472">
        <v>742.14</v>
      </c>
    </row>
    <row r="36" spans="1:6" ht="12.75" hidden="1" customHeight="1">
      <c r="A36" s="440" t="s">
        <v>22</v>
      </c>
      <c r="B36" s="455">
        <v>1357.57</v>
      </c>
      <c r="C36" s="455">
        <v>-270.81661683999994</v>
      </c>
      <c r="D36" s="455">
        <v>41.434133400000007</v>
      </c>
      <c r="E36" s="455">
        <v>932.8</v>
      </c>
      <c r="F36" s="1472">
        <v>808.6</v>
      </c>
    </row>
    <row r="37" spans="1:6" ht="12.75" hidden="1" customHeight="1">
      <c r="A37" s="440" t="s">
        <v>23</v>
      </c>
      <c r="B37" s="455">
        <v>1444.63</v>
      </c>
      <c r="C37" s="455">
        <v>-185.1</v>
      </c>
      <c r="D37" s="455">
        <v>28.93067648000001</v>
      </c>
      <c r="E37" s="455">
        <v>1083.7</v>
      </c>
      <c r="F37" s="1472">
        <v>963.1</v>
      </c>
    </row>
    <row r="38" spans="1:6" ht="12.75" hidden="1" customHeight="1">
      <c r="A38" s="440" t="s">
        <v>24</v>
      </c>
      <c r="B38" s="455">
        <v>1811.93</v>
      </c>
      <c r="C38" s="455">
        <v>-401.6</v>
      </c>
      <c r="D38" s="455">
        <v>28.740283510000005</v>
      </c>
      <c r="E38" s="455">
        <v>1202.0999999999999</v>
      </c>
      <c r="F38" s="1472">
        <v>1073.3</v>
      </c>
    </row>
    <row r="39" spans="1:6" ht="12.75" hidden="1" customHeight="1">
      <c r="A39" s="440" t="s">
        <v>25</v>
      </c>
      <c r="B39" s="455">
        <v>1397.1</v>
      </c>
      <c r="C39" s="455">
        <v>-10.6</v>
      </c>
      <c r="D39" s="455">
        <v>0.63103229000000072</v>
      </c>
      <c r="E39" s="455">
        <v>1295.5</v>
      </c>
      <c r="F39" s="1472">
        <v>1159.7</v>
      </c>
    </row>
    <row r="40" spans="1:6" ht="12.75" hidden="1" customHeight="1">
      <c r="A40" s="440" t="s">
        <v>26</v>
      </c>
      <c r="B40" s="455">
        <v>1522.32</v>
      </c>
      <c r="C40" s="455">
        <v>-71.8</v>
      </c>
      <c r="D40" s="455">
        <v>14.909655930000014</v>
      </c>
      <c r="E40" s="455">
        <v>1325.1</v>
      </c>
      <c r="F40" s="1472">
        <v>1193.4000000000001</v>
      </c>
    </row>
    <row r="41" spans="1:6" ht="12.75" hidden="1" customHeight="1">
      <c r="A41" s="440" t="s">
        <v>27</v>
      </c>
      <c r="B41" s="455">
        <v>1600.11</v>
      </c>
      <c r="C41" s="455">
        <v>-412.1</v>
      </c>
      <c r="D41" s="455">
        <v>16.885257010000011</v>
      </c>
      <c r="E41" s="455">
        <v>1465.3</v>
      </c>
      <c r="F41" s="1472">
        <v>1333.7</v>
      </c>
    </row>
    <row r="42" spans="1:6" ht="12.75" hidden="1" customHeight="1">
      <c r="A42" s="440" t="s">
        <v>28</v>
      </c>
      <c r="B42" s="455">
        <v>1721.62</v>
      </c>
      <c r="C42" s="455">
        <v>-9.4</v>
      </c>
      <c r="D42" s="455">
        <v>18.972823840000018</v>
      </c>
      <c r="E42" s="455">
        <v>1546.9</v>
      </c>
      <c r="F42" s="1472">
        <v>1413</v>
      </c>
    </row>
    <row r="43" spans="1:6" ht="12.75" hidden="1" customHeight="1">
      <c r="A43" s="440" t="s">
        <v>29</v>
      </c>
      <c r="B43" s="455">
        <v>1967.33</v>
      </c>
      <c r="C43" s="455">
        <v>25.4</v>
      </c>
      <c r="D43" s="455">
        <v>-19.075273459999991</v>
      </c>
      <c r="E43" s="455">
        <v>2044.6</v>
      </c>
      <c r="F43" s="1472">
        <v>1599.5</v>
      </c>
    </row>
    <row r="44" spans="1:6">
      <c r="A44" s="440" t="s">
        <v>121</v>
      </c>
      <c r="B44" s="455">
        <v>4015.26</v>
      </c>
      <c r="C44" s="455">
        <v>93.1</v>
      </c>
      <c r="D44" s="455">
        <v>-154.43452151</v>
      </c>
      <c r="E44" s="455">
        <v>3440.8</v>
      </c>
      <c r="F44" s="1472">
        <v>3220.8</v>
      </c>
    </row>
    <row r="45" spans="1:6" hidden="1">
      <c r="A45" s="440" t="s">
        <v>18</v>
      </c>
      <c r="B45" s="455">
        <v>1961.74</v>
      </c>
      <c r="C45" s="455">
        <v>-373</v>
      </c>
      <c r="D45" s="455">
        <v>-2.8152636999999903</v>
      </c>
      <c r="E45" s="455">
        <v>1596.8</v>
      </c>
      <c r="F45" s="1472">
        <v>1460.3</v>
      </c>
    </row>
    <row r="46" spans="1:6" hidden="1">
      <c r="A46" s="440" t="s">
        <v>19</v>
      </c>
      <c r="B46" s="455">
        <v>1935.93</v>
      </c>
      <c r="C46" s="455">
        <v>-43.1</v>
      </c>
      <c r="D46" s="455">
        <v>10.432424970000014</v>
      </c>
      <c r="E46" s="455">
        <v>1698.8</v>
      </c>
      <c r="F46" s="1472">
        <v>1563.7</v>
      </c>
    </row>
    <row r="47" spans="1:6" hidden="1">
      <c r="A47" s="440" t="s">
        <v>20</v>
      </c>
      <c r="B47" s="455">
        <v>2007.62</v>
      </c>
      <c r="C47" s="455">
        <v>-65.099999999999994</v>
      </c>
      <c r="D47" s="455">
        <v>23.914148060000002</v>
      </c>
      <c r="E47" s="455">
        <v>1798.4</v>
      </c>
      <c r="F47" s="1472">
        <v>1662.5</v>
      </c>
    </row>
    <row r="48" spans="1:6" hidden="1">
      <c r="A48" s="440" t="s">
        <v>21</v>
      </c>
      <c r="B48" s="455">
        <v>2035.39</v>
      </c>
      <c r="C48" s="455">
        <v>-398.91891887000008</v>
      </c>
      <c r="D48" s="455">
        <v>-22.90566777999998</v>
      </c>
      <c r="E48" s="455">
        <v>1819.5</v>
      </c>
      <c r="F48" s="1472">
        <v>1685.8</v>
      </c>
    </row>
    <row r="49" spans="1:6" hidden="1">
      <c r="A49" s="440" t="s">
        <v>22</v>
      </c>
      <c r="B49" s="455">
        <v>2177.64</v>
      </c>
      <c r="C49" s="455">
        <v>-4.9000000000000004</v>
      </c>
      <c r="D49" s="455">
        <v>-57.65890661000001</v>
      </c>
      <c r="E49" s="455">
        <v>1907.8</v>
      </c>
      <c r="F49" s="1472">
        <v>1779</v>
      </c>
    </row>
    <row r="50" spans="1:6" hidden="1">
      <c r="A50" s="440" t="s">
        <v>23</v>
      </c>
      <c r="B50" s="455">
        <v>2477.1</v>
      </c>
      <c r="C50" s="455">
        <v>2.1</v>
      </c>
      <c r="D50" s="455">
        <v>-28.4102897</v>
      </c>
      <c r="E50" s="455">
        <v>2226</v>
      </c>
      <c r="F50" s="1472">
        <v>2032.4</v>
      </c>
    </row>
    <row r="51" spans="1:6" hidden="1">
      <c r="A51" s="440" t="s">
        <v>24</v>
      </c>
      <c r="B51" s="455">
        <v>2814.29</v>
      </c>
      <c r="C51" s="455">
        <v>-452.8</v>
      </c>
      <c r="D51" s="455">
        <v>-106.40486285</v>
      </c>
      <c r="E51" s="455">
        <v>2388.1</v>
      </c>
      <c r="F51" s="1472">
        <v>2245.9</v>
      </c>
    </row>
    <row r="52" spans="1:6" hidden="1">
      <c r="A52" s="440" t="s">
        <v>25</v>
      </c>
      <c r="B52" s="455">
        <v>2979.52</v>
      </c>
      <c r="C52" s="455">
        <v>-18.899999999999999</v>
      </c>
      <c r="D52" s="455">
        <v>-67.531915239999975</v>
      </c>
      <c r="E52" s="455">
        <v>2541.3000000000002</v>
      </c>
      <c r="F52" s="1472">
        <v>2392.3000000000002</v>
      </c>
    </row>
    <row r="53" spans="1:6" hidden="1">
      <c r="A53" s="440" t="s">
        <v>26</v>
      </c>
      <c r="B53" s="455">
        <v>3135.65</v>
      </c>
      <c r="C53" s="455">
        <v>-44.8</v>
      </c>
      <c r="D53" s="455">
        <v>-86.565789079999988</v>
      </c>
      <c r="E53" s="455">
        <v>2632.9</v>
      </c>
      <c r="F53" s="1472">
        <v>2480.6</v>
      </c>
    </row>
    <row r="54" spans="1:6" hidden="1">
      <c r="A54" s="440" t="s">
        <v>27</v>
      </c>
      <c r="B54" s="455">
        <v>3237.42</v>
      </c>
      <c r="C54" s="455">
        <v>-580</v>
      </c>
      <c r="D54" s="455">
        <v>-106.37440273000001</v>
      </c>
      <c r="E54" s="455">
        <v>2690.7</v>
      </c>
      <c r="F54" s="1472">
        <v>2520.5</v>
      </c>
    </row>
    <row r="55" spans="1:6" hidden="1">
      <c r="A55" s="440" t="s">
        <v>28</v>
      </c>
      <c r="B55" s="455">
        <v>3370.9</v>
      </c>
      <c r="C55" s="455">
        <v>-508.3</v>
      </c>
      <c r="D55" s="455">
        <v>-102.38862255999997</v>
      </c>
      <c r="E55" s="455">
        <v>2785.1</v>
      </c>
      <c r="F55" s="1472">
        <v>2612.5</v>
      </c>
    </row>
    <row r="56" spans="1:6" hidden="1">
      <c r="A56" s="440" t="s">
        <v>29</v>
      </c>
      <c r="B56" s="455">
        <v>4015.26</v>
      </c>
      <c r="C56" s="455">
        <v>93.1</v>
      </c>
      <c r="D56" s="455">
        <v>-154.43452151</v>
      </c>
      <c r="E56" s="455">
        <v>3440.8</v>
      </c>
      <c r="F56" s="1472">
        <v>3220.8</v>
      </c>
    </row>
    <row r="57" spans="1:6" ht="14.25" customHeight="1">
      <c r="A57" s="440" t="s">
        <v>114</v>
      </c>
      <c r="B57" s="455">
        <v>6136.99</v>
      </c>
      <c r="C57" s="455">
        <v>-476.1</v>
      </c>
      <c r="D57" s="455">
        <v>54.075419130000014</v>
      </c>
      <c r="E57" s="455">
        <v>4963.8999999999996</v>
      </c>
      <c r="F57" s="1472">
        <v>4781.3</v>
      </c>
    </row>
    <row r="58" spans="1:6" ht="14.25" hidden="1" customHeight="1">
      <c r="A58" s="631" t="s">
        <v>18</v>
      </c>
      <c r="B58" s="455">
        <v>3928.51</v>
      </c>
      <c r="C58" s="455">
        <v>-847.9</v>
      </c>
      <c r="D58" s="455">
        <v>-142.28263827000001</v>
      </c>
      <c r="E58" s="455">
        <v>3074.5</v>
      </c>
      <c r="F58" s="1472">
        <v>2895.6</v>
      </c>
    </row>
    <row r="59" spans="1:6" hidden="1">
      <c r="A59" s="631" t="s">
        <v>19</v>
      </c>
      <c r="B59" s="455">
        <v>4013.59</v>
      </c>
      <c r="C59" s="455">
        <v>-289.8</v>
      </c>
      <c r="D59" s="455">
        <v>-94.136231139999978</v>
      </c>
      <c r="E59" s="455">
        <v>3194.3</v>
      </c>
      <c r="F59" s="1472">
        <v>3022</v>
      </c>
    </row>
    <row r="60" spans="1:6" ht="13.5" hidden="1" customHeight="1">
      <c r="A60" s="631" t="s">
        <v>20</v>
      </c>
      <c r="B60" s="455">
        <v>4260.71</v>
      </c>
      <c r="C60" s="455">
        <v>-276.3</v>
      </c>
      <c r="D60" s="455">
        <v>-59.304956680000004</v>
      </c>
      <c r="E60" s="455">
        <v>3468</v>
      </c>
      <c r="F60" s="1472">
        <v>3246.4</v>
      </c>
    </row>
    <row r="61" spans="1:6" hidden="1">
      <c r="A61" s="631" t="s">
        <v>21</v>
      </c>
      <c r="B61" s="455">
        <v>4306.6400000000003</v>
      </c>
      <c r="C61" s="455">
        <v>-966</v>
      </c>
      <c r="D61" s="455">
        <v>-70.568276089999998</v>
      </c>
      <c r="E61" s="455">
        <v>3463.4</v>
      </c>
      <c r="F61" s="1472">
        <v>3291.2</v>
      </c>
    </row>
    <row r="62" spans="1:6" s="12" customFormat="1" hidden="1">
      <c r="A62" s="631" t="s">
        <v>22</v>
      </c>
      <c r="B62" s="455">
        <v>4323.43</v>
      </c>
      <c r="C62" s="455">
        <v>-196.2</v>
      </c>
      <c r="D62" s="455">
        <v>-0.65509246999998805</v>
      </c>
      <c r="E62" s="455">
        <v>3489.1</v>
      </c>
      <c r="F62" s="1472">
        <v>3321.2</v>
      </c>
    </row>
    <row r="63" spans="1:6" ht="15.75" hidden="1" customHeight="1">
      <c r="A63" s="631" t="s">
        <v>23</v>
      </c>
      <c r="B63" s="455">
        <v>5225.1899999999996</v>
      </c>
      <c r="C63" s="455">
        <v>-459.9</v>
      </c>
      <c r="D63" s="455">
        <v>-23.496919709999997</v>
      </c>
      <c r="E63" s="455">
        <v>3959</v>
      </c>
      <c r="F63" s="1472">
        <v>3748.5</v>
      </c>
    </row>
    <row r="64" spans="1:6" s="12" customFormat="1" hidden="1">
      <c r="A64" s="631" t="s">
        <v>24</v>
      </c>
      <c r="B64" s="455">
        <v>5223.68</v>
      </c>
      <c r="C64" s="455">
        <v>-904.4</v>
      </c>
      <c r="D64" s="455">
        <v>-21.665553179999989</v>
      </c>
      <c r="E64" s="455">
        <v>4072</v>
      </c>
      <c r="F64" s="1472">
        <v>3873</v>
      </c>
    </row>
    <row r="65" spans="1:6" ht="15.75" hidden="1" customHeight="1">
      <c r="A65" s="631" t="s">
        <v>25</v>
      </c>
      <c r="B65" s="455">
        <v>5338.1980000000003</v>
      </c>
      <c r="C65" s="455">
        <v>-622.6</v>
      </c>
      <c r="D65" s="455">
        <v>76.798452769999997</v>
      </c>
      <c r="E65" s="455">
        <v>4315.2</v>
      </c>
      <c r="F65" s="1472">
        <v>4046.7</v>
      </c>
    </row>
    <row r="66" spans="1:6" ht="18.75" hidden="1" customHeight="1">
      <c r="A66" s="631" t="s">
        <v>26</v>
      </c>
      <c r="B66" s="455">
        <v>5438.61</v>
      </c>
      <c r="C66" s="455">
        <v>-438.8</v>
      </c>
      <c r="D66" s="455">
        <v>22.665929800000001</v>
      </c>
      <c r="E66" s="455">
        <v>4453.3999999999996</v>
      </c>
      <c r="F66" s="455">
        <v>4172.6000000000004</v>
      </c>
    </row>
    <row r="67" spans="1:6" ht="14.25" hidden="1" customHeight="1">
      <c r="A67" s="631" t="s">
        <v>27</v>
      </c>
      <c r="B67" s="455">
        <v>5316.04</v>
      </c>
      <c r="C67" s="455">
        <v>-862.5</v>
      </c>
      <c r="D67" s="455">
        <v>-20.649522649999994</v>
      </c>
      <c r="E67" s="455">
        <v>4265.6000000000004</v>
      </c>
      <c r="F67" s="1472">
        <v>4082</v>
      </c>
    </row>
    <row r="68" spans="1:6" ht="15.75" hidden="1" customHeight="1">
      <c r="A68" s="631" t="s">
        <v>28</v>
      </c>
      <c r="B68" s="455">
        <v>5348.57</v>
      </c>
      <c r="C68" s="455">
        <v>-614.1</v>
      </c>
      <c r="D68" s="455">
        <v>-0.33802315999999166</v>
      </c>
      <c r="E68" s="455">
        <v>4382.3</v>
      </c>
      <c r="F68" s="1472">
        <v>4212.5</v>
      </c>
    </row>
    <row r="69" spans="1:6" ht="14.25" hidden="1" customHeight="1">
      <c r="A69" s="631" t="s">
        <v>29</v>
      </c>
      <c r="B69" s="455">
        <v>6136.99</v>
      </c>
      <c r="C69" s="455">
        <v>-476.1</v>
      </c>
      <c r="D69" s="455">
        <v>54.075419130000014</v>
      </c>
      <c r="E69" s="455">
        <v>4963.8999999999996</v>
      </c>
      <c r="F69" s="1472">
        <v>4781.3</v>
      </c>
    </row>
    <row r="70" spans="1:6" ht="16.5" customHeight="1">
      <c r="A70" s="440" t="s">
        <v>43</v>
      </c>
      <c r="B70" s="455">
        <v>5161.67</v>
      </c>
      <c r="C70" s="455">
        <v>-591.1</v>
      </c>
      <c r="D70" s="455">
        <v>1472.8</v>
      </c>
      <c r="E70" s="455">
        <v>4907.7</v>
      </c>
      <c r="F70" s="1472">
        <v>4861</v>
      </c>
    </row>
    <row r="71" spans="1:6" ht="18" hidden="1" customHeight="1">
      <c r="A71" s="440" t="s">
        <v>18</v>
      </c>
      <c r="B71" s="632">
        <v>5975.93</v>
      </c>
      <c r="C71" s="632">
        <v>-1083.8</v>
      </c>
      <c r="D71" s="632">
        <v>100.9</v>
      </c>
      <c r="E71" s="632">
        <v>4452</v>
      </c>
      <c r="F71" s="1473">
        <v>4300.2</v>
      </c>
    </row>
    <row r="72" spans="1:6" ht="16.5" hidden="1" customHeight="1">
      <c r="A72" s="440" t="s">
        <v>19</v>
      </c>
      <c r="B72" s="632">
        <v>5635.96</v>
      </c>
      <c r="C72" s="632">
        <v>-1129.3</v>
      </c>
      <c r="D72" s="632">
        <v>204.8</v>
      </c>
      <c r="E72" s="632">
        <v>4215.3999999999996</v>
      </c>
      <c r="F72" s="1473">
        <v>4127.8</v>
      </c>
    </row>
    <row r="73" spans="1:6" ht="16.5" hidden="1" customHeight="1">
      <c r="A73" s="440" t="s">
        <v>20</v>
      </c>
      <c r="B73" s="632">
        <v>4961.83</v>
      </c>
      <c r="C73" s="632">
        <v>-938.6</v>
      </c>
      <c r="D73" s="632">
        <v>224.8</v>
      </c>
      <c r="E73" s="632">
        <v>3751.8</v>
      </c>
      <c r="F73" s="1473">
        <v>3702.1</v>
      </c>
    </row>
    <row r="74" spans="1:6" ht="18.75" hidden="1" customHeight="1">
      <c r="A74" s="440" t="s">
        <v>21</v>
      </c>
      <c r="B74" s="632">
        <v>4906.6400000000003</v>
      </c>
      <c r="C74" s="632">
        <v>-1026.2</v>
      </c>
      <c r="D74" s="632">
        <v>334.5</v>
      </c>
      <c r="E74" s="632">
        <v>3742.3</v>
      </c>
      <c r="F74" s="1473">
        <v>3679.6</v>
      </c>
    </row>
    <row r="75" spans="1:6" ht="17.25" hidden="1" customHeight="1">
      <c r="A75" s="440" t="s">
        <v>22</v>
      </c>
      <c r="B75" s="632">
        <v>5026.01</v>
      </c>
      <c r="C75" s="632">
        <v>-866.2</v>
      </c>
      <c r="D75" s="632">
        <v>360.9</v>
      </c>
      <c r="E75" s="632">
        <v>3880.5</v>
      </c>
      <c r="F75" s="1473">
        <v>3820.5</v>
      </c>
    </row>
    <row r="76" spans="1:6" ht="18.75" hidden="1" customHeight="1">
      <c r="A76" s="440" t="s">
        <v>23</v>
      </c>
      <c r="B76" s="632">
        <v>5077.1499999999996</v>
      </c>
      <c r="C76" s="632">
        <v>-602.79999999999995</v>
      </c>
      <c r="D76" s="632">
        <v>389.8</v>
      </c>
      <c r="E76" s="632">
        <v>3935.6</v>
      </c>
      <c r="F76" s="1473">
        <v>3888.9</v>
      </c>
    </row>
    <row r="77" spans="1:6" ht="15.75" hidden="1" customHeight="1">
      <c r="A77" s="440" t="s">
        <v>24</v>
      </c>
      <c r="B77" s="632">
        <v>4787.03</v>
      </c>
      <c r="C77" s="632">
        <v>-501.9</v>
      </c>
      <c r="D77" s="632">
        <v>801.3</v>
      </c>
      <c r="E77" s="632">
        <v>4177.7</v>
      </c>
      <c r="F77" s="1473">
        <v>4129.1000000000004</v>
      </c>
    </row>
    <row r="78" spans="1:6" ht="18" hidden="1" customHeight="1">
      <c r="A78" s="440" t="s">
        <v>25</v>
      </c>
      <c r="B78" s="632">
        <v>5001.21</v>
      </c>
      <c r="C78" s="632">
        <v>-787</v>
      </c>
      <c r="D78" s="632">
        <v>1128.5999999999999</v>
      </c>
      <c r="E78" s="632">
        <v>4233.8999999999996</v>
      </c>
      <c r="F78" s="1473">
        <v>4172</v>
      </c>
    </row>
    <row r="79" spans="1:6" ht="16.5" hidden="1" customHeight="1">
      <c r="A79" s="440" t="s">
        <v>26</v>
      </c>
      <c r="B79" s="632">
        <v>5103.6499999999996</v>
      </c>
      <c r="C79" s="632">
        <v>-902.5</v>
      </c>
      <c r="D79" s="632">
        <v>1255.7</v>
      </c>
      <c r="E79" s="632">
        <v>4180.6000000000004</v>
      </c>
      <c r="F79" s="1473">
        <v>4170.3999999999996</v>
      </c>
    </row>
    <row r="80" spans="1:6" ht="17.25" hidden="1" customHeight="1">
      <c r="A80" s="440" t="s">
        <v>27</v>
      </c>
      <c r="B80" s="632">
        <v>5092.88</v>
      </c>
      <c r="C80" s="632">
        <v>-1206.2</v>
      </c>
      <c r="D80" s="632">
        <v>1341.8</v>
      </c>
      <c r="E80" s="632">
        <v>4214</v>
      </c>
      <c r="F80" s="1473">
        <v>4193.5</v>
      </c>
    </row>
    <row r="81" spans="1:6" ht="18" hidden="1" customHeight="1">
      <c r="A81" s="440" t="s">
        <v>28</v>
      </c>
      <c r="B81" s="632">
        <v>5181.1040000000003</v>
      </c>
      <c r="C81" s="632">
        <v>-1115</v>
      </c>
      <c r="D81" s="632">
        <v>1339.9</v>
      </c>
      <c r="E81" s="632">
        <v>4360.6000000000004</v>
      </c>
      <c r="F81" s="1473">
        <v>4337.1000000000004</v>
      </c>
    </row>
    <row r="82" spans="1:6" ht="20.25" hidden="1" customHeight="1">
      <c r="A82" s="440" t="s">
        <v>29</v>
      </c>
      <c r="B82" s="632">
        <v>5161.67</v>
      </c>
      <c r="C82" s="632">
        <v>-591.1</v>
      </c>
      <c r="D82" s="632">
        <v>1472.8</v>
      </c>
      <c r="E82" s="632">
        <v>4907.7</v>
      </c>
      <c r="F82" s="1473">
        <v>4861</v>
      </c>
    </row>
    <row r="83" spans="1:6" ht="16.5" customHeight="1">
      <c r="A83" s="440" t="s">
        <v>48</v>
      </c>
      <c r="B83" s="455">
        <v>6407.6</v>
      </c>
      <c r="C83" s="455">
        <v>-828.5</v>
      </c>
      <c r="D83" s="455">
        <v>1930.8</v>
      </c>
      <c r="E83" s="455">
        <v>6520.9</v>
      </c>
      <c r="F83" s="1472">
        <v>6397.1</v>
      </c>
    </row>
    <row r="84" spans="1:6" ht="14.25" hidden="1" customHeight="1">
      <c r="A84" s="440" t="s">
        <v>18</v>
      </c>
      <c r="B84" s="632">
        <v>5139.5200000000004</v>
      </c>
      <c r="C84" s="632">
        <v>-1197.7</v>
      </c>
      <c r="D84" s="632">
        <v>1543.2</v>
      </c>
      <c r="E84" s="632">
        <v>4594.2</v>
      </c>
      <c r="F84" s="1473">
        <v>4559.1000000000004</v>
      </c>
    </row>
    <row r="85" spans="1:6" ht="16.5" hidden="1" customHeight="1">
      <c r="A85" s="440" t="s">
        <v>19</v>
      </c>
      <c r="B85" s="632">
        <v>5074.45</v>
      </c>
      <c r="C85" s="632">
        <v>-1103.0999999999999</v>
      </c>
      <c r="D85" s="632">
        <v>1571.7</v>
      </c>
      <c r="E85" s="632">
        <v>4677.8</v>
      </c>
      <c r="F85" s="1473">
        <v>4658.1000000000004</v>
      </c>
    </row>
    <row r="86" spans="1:6" ht="15" hidden="1" customHeight="1">
      <c r="A86" s="440" t="s">
        <v>20</v>
      </c>
      <c r="B86" s="632">
        <v>5509.95</v>
      </c>
      <c r="C86" s="632">
        <v>-1097.5</v>
      </c>
      <c r="D86" s="632">
        <v>1440.9</v>
      </c>
      <c r="E86" s="632">
        <v>4916.7</v>
      </c>
      <c r="F86" s="1473">
        <v>4902</v>
      </c>
    </row>
    <row r="87" spans="1:6" ht="15.75" hidden="1" customHeight="1">
      <c r="A87" s="440" t="s">
        <v>21</v>
      </c>
      <c r="B87" s="632">
        <v>5501.73</v>
      </c>
      <c r="C87" s="632">
        <v>-1206.9000000000001</v>
      </c>
      <c r="D87" s="632">
        <v>1453.4</v>
      </c>
      <c r="E87" s="632">
        <v>4967.8</v>
      </c>
      <c r="F87" s="1473">
        <v>4956.1000000000004</v>
      </c>
    </row>
    <row r="88" spans="1:6" ht="15" hidden="1" customHeight="1">
      <c r="A88" s="440" t="s">
        <v>22</v>
      </c>
      <c r="B88" s="632">
        <v>5360.95</v>
      </c>
      <c r="C88" s="632">
        <v>-1025.5</v>
      </c>
      <c r="D88" s="632">
        <v>1444.2</v>
      </c>
      <c r="E88" s="632">
        <v>5048</v>
      </c>
      <c r="F88" s="1473">
        <v>5012.6000000000004</v>
      </c>
    </row>
    <row r="89" spans="1:6" ht="14.25" hidden="1" customHeight="1">
      <c r="A89" s="440" t="s">
        <v>23</v>
      </c>
      <c r="B89" s="632">
        <v>5470.74</v>
      </c>
      <c r="C89" s="632">
        <v>-929.3</v>
      </c>
      <c r="D89" s="632">
        <v>1595.2</v>
      </c>
      <c r="E89" s="632">
        <v>5137.3</v>
      </c>
      <c r="F89" s="1473">
        <v>5116.3999999999996</v>
      </c>
    </row>
    <row r="90" spans="1:6" ht="14.25" hidden="1" customHeight="1">
      <c r="A90" s="440" t="s">
        <v>24</v>
      </c>
      <c r="B90" s="632">
        <v>5658.49</v>
      </c>
      <c r="C90" s="632">
        <v>-929.7</v>
      </c>
      <c r="D90" s="632">
        <v>1446.9</v>
      </c>
      <c r="E90" s="632">
        <v>5311.8</v>
      </c>
      <c r="F90" s="1473">
        <v>5299.4</v>
      </c>
    </row>
    <row r="91" spans="1:6" ht="15" hidden="1" customHeight="1">
      <c r="A91" s="440" t="s">
        <v>25</v>
      </c>
      <c r="B91" s="632">
        <v>5899.71</v>
      </c>
      <c r="C91" s="632">
        <v>-1078.0999999999999</v>
      </c>
      <c r="D91" s="632">
        <v>1497</v>
      </c>
      <c r="E91" s="632">
        <v>5385.2</v>
      </c>
      <c r="F91" s="1473">
        <v>5373.5</v>
      </c>
    </row>
    <row r="92" spans="1:6" ht="15.75" hidden="1" customHeight="1">
      <c r="A92" s="440" t="s">
        <v>26</v>
      </c>
      <c r="B92" s="632">
        <v>6057.63</v>
      </c>
      <c r="C92" s="632">
        <v>-1089.0999999999999</v>
      </c>
      <c r="D92" s="632">
        <v>1689</v>
      </c>
      <c r="E92" s="632">
        <v>5516.1</v>
      </c>
      <c r="F92" s="1473">
        <v>5504.6</v>
      </c>
    </row>
    <row r="93" spans="1:6" ht="15" hidden="1" customHeight="1">
      <c r="A93" s="440" t="s">
        <v>27</v>
      </c>
      <c r="B93" s="632">
        <v>6127.9</v>
      </c>
      <c r="C93" s="632">
        <v>-1235.3</v>
      </c>
      <c r="D93" s="632">
        <v>1821.4</v>
      </c>
      <c r="E93" s="632">
        <v>5660.9</v>
      </c>
      <c r="F93" s="1473">
        <v>5646.3</v>
      </c>
    </row>
    <row r="94" spans="1:6" ht="13.5" hidden="1" customHeight="1">
      <c r="A94" s="440" t="s">
        <v>28</v>
      </c>
      <c r="B94" s="632">
        <v>6079.3</v>
      </c>
      <c r="C94" s="632">
        <v>-1331.6</v>
      </c>
      <c r="D94" s="632">
        <v>1799.5</v>
      </c>
      <c r="E94" s="632">
        <v>5622.9</v>
      </c>
      <c r="F94" s="1473">
        <v>5605.5</v>
      </c>
    </row>
    <row r="95" spans="1:6" ht="15" hidden="1" customHeight="1">
      <c r="A95" s="440" t="s">
        <v>29</v>
      </c>
      <c r="B95" s="632">
        <v>6407.6</v>
      </c>
      <c r="C95" s="632">
        <v>-828.5</v>
      </c>
      <c r="D95" s="632">
        <v>1930.8</v>
      </c>
      <c r="E95" s="632">
        <v>6520.9</v>
      </c>
      <c r="F95" s="1473">
        <v>6397.1</v>
      </c>
    </row>
    <row r="96" spans="1:6" ht="12.75" customHeight="1">
      <c r="A96" s="440" t="s">
        <v>1030</v>
      </c>
      <c r="B96" s="455">
        <v>10481.5</v>
      </c>
      <c r="C96" s="455">
        <v>-2083.1999999999998</v>
      </c>
      <c r="D96" s="455">
        <v>515.5</v>
      </c>
      <c r="E96" s="455">
        <v>8489.4</v>
      </c>
      <c r="F96" s="1472">
        <v>8275.2999999999993</v>
      </c>
    </row>
    <row r="97" spans="1:6" ht="15" hidden="1" customHeight="1">
      <c r="A97" s="440" t="s">
        <v>18</v>
      </c>
      <c r="B97" s="632">
        <v>6566.9</v>
      </c>
      <c r="C97" s="632">
        <v>-1577.6</v>
      </c>
      <c r="D97" s="632">
        <v>648.6</v>
      </c>
      <c r="E97" s="632">
        <v>6015.6</v>
      </c>
      <c r="F97" s="1473">
        <v>5960.9435422899996</v>
      </c>
    </row>
    <row r="98" spans="1:6" ht="13.5" hidden="1" customHeight="1">
      <c r="A98" s="440" t="s">
        <v>19</v>
      </c>
      <c r="B98" s="632">
        <v>6705.2</v>
      </c>
      <c r="C98" s="632">
        <v>-1412.8</v>
      </c>
      <c r="D98" s="632">
        <v>607.79999999999995</v>
      </c>
      <c r="E98" s="632">
        <v>6120.5</v>
      </c>
      <c r="F98" s="1473">
        <v>6099.5</v>
      </c>
    </row>
    <row r="99" spans="1:6" ht="15" hidden="1" customHeight="1">
      <c r="A99" s="440" t="s">
        <v>20</v>
      </c>
      <c r="B99" s="632">
        <v>6718.4</v>
      </c>
      <c r="C99" s="632">
        <v>-1349.9</v>
      </c>
      <c r="D99" s="632">
        <v>621.29999999999995</v>
      </c>
      <c r="E99" s="632">
        <v>6282.9</v>
      </c>
      <c r="F99" s="1473">
        <v>6269</v>
      </c>
    </row>
    <row r="100" spans="1:6" ht="15" hidden="1" customHeight="1">
      <c r="A100" s="440" t="s">
        <v>21</v>
      </c>
      <c r="B100" s="632">
        <v>6949.2</v>
      </c>
      <c r="C100" s="632">
        <v>-1797.4</v>
      </c>
      <c r="D100" s="632">
        <v>498.9</v>
      </c>
      <c r="E100" s="632">
        <v>6191.6</v>
      </c>
      <c r="F100" s="1473">
        <v>6167.3</v>
      </c>
    </row>
    <row r="101" spans="1:6" ht="15" hidden="1" customHeight="1">
      <c r="A101" s="440" t="s">
        <v>22</v>
      </c>
      <c r="B101" s="632">
        <v>6898.8</v>
      </c>
      <c r="C101" s="632">
        <v>-1664.2</v>
      </c>
      <c r="D101" s="632">
        <v>447.7</v>
      </c>
      <c r="E101" s="632">
        <v>6294.4</v>
      </c>
      <c r="F101" s="1473">
        <v>6244.9</v>
      </c>
    </row>
    <row r="102" spans="1:6" ht="15" hidden="1" customHeight="1">
      <c r="A102" s="440" t="s">
        <v>23</v>
      </c>
      <c r="B102" s="632">
        <v>6947.5</v>
      </c>
      <c r="C102" s="632">
        <v>-1088.5999999999999</v>
      </c>
      <c r="D102" s="632">
        <v>599.1</v>
      </c>
      <c r="E102" s="632">
        <v>6552.4</v>
      </c>
      <c r="F102" s="1473">
        <v>6497.7</v>
      </c>
    </row>
    <row r="103" spans="1:6" ht="15" hidden="1" customHeight="1">
      <c r="A103" s="440" t="s">
        <v>24</v>
      </c>
      <c r="B103" s="632">
        <v>7073.8</v>
      </c>
      <c r="C103" s="632">
        <v>-1085.3</v>
      </c>
      <c r="D103" s="632">
        <v>503.1</v>
      </c>
      <c r="E103" s="632">
        <v>6940.6</v>
      </c>
      <c r="F103" s="1473">
        <v>6858.1</v>
      </c>
    </row>
    <row r="104" spans="1:6" ht="15" hidden="1" customHeight="1">
      <c r="A104" s="440" t="s">
        <v>25</v>
      </c>
      <c r="B104" s="632">
        <v>7114.2</v>
      </c>
      <c r="C104" s="632">
        <v>-424.6</v>
      </c>
      <c r="D104" s="632">
        <v>570.9</v>
      </c>
      <c r="E104" s="632">
        <v>7202.8</v>
      </c>
      <c r="F104" s="1473">
        <v>7119.3</v>
      </c>
    </row>
    <row r="105" spans="1:6" ht="15" hidden="1" customHeight="1">
      <c r="A105" s="440" t="s">
        <v>26</v>
      </c>
      <c r="B105" s="632">
        <v>6943.3</v>
      </c>
      <c r="C105" s="632">
        <v>-333.5</v>
      </c>
      <c r="D105" s="632">
        <v>640.1</v>
      </c>
      <c r="E105" s="632">
        <v>7281.5</v>
      </c>
      <c r="F105" s="1473">
        <v>7206.5</v>
      </c>
    </row>
    <row r="106" spans="1:6" ht="15" hidden="1" customHeight="1">
      <c r="A106" s="440" t="s">
        <v>27</v>
      </c>
      <c r="B106" s="632">
        <v>7074.3</v>
      </c>
      <c r="C106" s="632">
        <v>-804.1</v>
      </c>
      <c r="D106" s="632">
        <v>656.3</v>
      </c>
      <c r="E106" s="632">
        <v>7270.4</v>
      </c>
      <c r="F106" s="1473">
        <v>7189.7</v>
      </c>
    </row>
    <row r="107" spans="1:6" ht="15" hidden="1" customHeight="1">
      <c r="A107" s="440" t="s">
        <v>28</v>
      </c>
      <c r="B107" s="632">
        <v>7027.6</v>
      </c>
      <c r="C107" s="632">
        <v>-500.6</v>
      </c>
      <c r="D107" s="632">
        <v>658.1</v>
      </c>
      <c r="E107" s="632">
        <v>7494.4</v>
      </c>
      <c r="F107" s="1473">
        <v>7417.4</v>
      </c>
    </row>
    <row r="108" spans="1:6" ht="15" hidden="1" customHeight="1">
      <c r="A108" s="440" t="s">
        <v>29</v>
      </c>
      <c r="B108" s="632">
        <v>10481.5</v>
      </c>
      <c r="C108" s="632">
        <v>-2083.1999999999998</v>
      </c>
      <c r="D108" s="632">
        <v>515.5</v>
      </c>
      <c r="E108" s="632">
        <v>8489.4</v>
      </c>
      <c r="F108" s="1473">
        <v>8275.2999999999993</v>
      </c>
    </row>
    <row r="109" spans="1:6" ht="12.75" customHeight="1">
      <c r="A109" s="440" t="s">
        <v>1301</v>
      </c>
      <c r="B109" s="632"/>
      <c r="C109" s="632"/>
      <c r="D109" s="632"/>
      <c r="E109" s="632"/>
      <c r="F109" s="1473"/>
    </row>
    <row r="110" spans="1:6" ht="15" customHeight="1">
      <c r="A110" s="440" t="s">
        <v>18</v>
      </c>
      <c r="B110" s="632">
        <v>10583.8</v>
      </c>
      <c r="C110" s="632">
        <v>-3042.6</v>
      </c>
      <c r="D110" s="632">
        <v>494.4</v>
      </c>
      <c r="E110" s="632">
        <v>7686.7</v>
      </c>
      <c r="F110" s="1473">
        <v>7601.5</v>
      </c>
    </row>
    <row r="111" spans="1:6" ht="15" customHeight="1">
      <c r="A111" s="440" t="s">
        <v>19</v>
      </c>
      <c r="B111" s="632">
        <v>10769.7</v>
      </c>
      <c r="C111" s="632">
        <v>-2864.6</v>
      </c>
      <c r="D111" s="632">
        <v>533.20000000000005</v>
      </c>
      <c r="E111" s="632">
        <v>7908.7</v>
      </c>
      <c r="F111" s="1473">
        <v>7825.2</v>
      </c>
    </row>
    <row r="112" spans="1:6" ht="15" customHeight="1">
      <c r="A112" s="440" t="s">
        <v>20</v>
      </c>
      <c r="B112" s="632">
        <v>10822.6</v>
      </c>
      <c r="C112" s="632">
        <v>-2285.3000000000002</v>
      </c>
      <c r="D112" s="632">
        <v>551.9</v>
      </c>
      <c r="E112" s="632">
        <v>8468.2999999999993</v>
      </c>
      <c r="F112" s="1473">
        <v>8347.7000000000007</v>
      </c>
    </row>
    <row r="113" spans="1:6" ht="15" customHeight="1">
      <c r="A113" s="440" t="s">
        <v>21</v>
      </c>
      <c r="B113" s="1474">
        <v>10951.7</v>
      </c>
      <c r="C113" s="1474">
        <v>-2981.4</v>
      </c>
      <c r="D113" s="1474">
        <v>559.4</v>
      </c>
      <c r="E113" s="1474">
        <v>8223</v>
      </c>
      <c r="F113" s="1473">
        <v>8145.9</v>
      </c>
    </row>
    <row r="114" spans="1:6" ht="15" customHeight="1">
      <c r="A114" s="440" t="s">
        <v>22</v>
      </c>
      <c r="B114" s="1474">
        <v>10891.9</v>
      </c>
      <c r="C114" s="1474">
        <v>-2512</v>
      </c>
      <c r="D114" s="1474">
        <v>606.79999999999995</v>
      </c>
      <c r="E114" s="1474">
        <v>8457.9</v>
      </c>
      <c r="F114" s="1473">
        <v>8373.1</v>
      </c>
    </row>
    <row r="115" spans="1:6" ht="15" customHeight="1">
      <c r="A115" s="440" t="s">
        <v>23</v>
      </c>
      <c r="B115" s="1474">
        <v>11046.3</v>
      </c>
      <c r="C115" s="1474">
        <v>-2368.5</v>
      </c>
      <c r="D115" s="1474">
        <v>650.4</v>
      </c>
      <c r="E115" s="1474">
        <v>8730.4</v>
      </c>
      <c r="F115" s="1473">
        <v>8654.4</v>
      </c>
    </row>
    <row r="116" spans="1:6" ht="15" customHeight="1">
      <c r="A116" s="440" t="s">
        <v>24</v>
      </c>
      <c r="B116" s="1474">
        <v>11122.7</v>
      </c>
      <c r="C116" s="1474">
        <v>-2492.6</v>
      </c>
      <c r="D116" s="1474">
        <v>722.7</v>
      </c>
      <c r="E116" s="1474">
        <v>9039.6</v>
      </c>
      <c r="F116" s="1473">
        <v>8940.2000000000007</v>
      </c>
    </row>
    <row r="117" spans="1:6" ht="15" customHeight="1">
      <c r="A117" s="440" t="s">
        <v>25</v>
      </c>
      <c r="B117" s="1474">
        <v>11279.3</v>
      </c>
      <c r="C117" s="1474">
        <v>-2505.1</v>
      </c>
      <c r="D117" s="1474">
        <v>798.8</v>
      </c>
      <c r="E117" s="1474">
        <v>9195.7000000000007</v>
      </c>
      <c r="F117" s="1473">
        <v>9076.4</v>
      </c>
    </row>
    <row r="118" spans="1:6" ht="15" customHeight="1">
      <c r="A118" s="440" t="s">
        <v>26</v>
      </c>
      <c r="B118" s="1474">
        <v>11506.5</v>
      </c>
      <c r="C118" s="1474">
        <v>-2447.9</v>
      </c>
      <c r="D118" s="1474">
        <v>795.2</v>
      </c>
      <c r="E118" s="1474">
        <v>9399.7000000000007</v>
      </c>
      <c r="F118" s="1473">
        <v>9299.7999999999993</v>
      </c>
    </row>
    <row r="119" spans="1:6" ht="15" customHeight="1">
      <c r="A119" s="440" t="s">
        <v>27</v>
      </c>
      <c r="B119" s="1474">
        <v>11743.2</v>
      </c>
      <c r="C119" s="1474">
        <v>-2845.4</v>
      </c>
      <c r="D119" s="1474">
        <v>794.2</v>
      </c>
      <c r="E119" s="1474">
        <v>9365.1</v>
      </c>
      <c r="F119" s="1473">
        <v>9291.2999999999993</v>
      </c>
    </row>
    <row r="120" spans="1:6" ht="15" customHeight="1">
      <c r="A120" s="440" t="s">
        <v>28</v>
      </c>
      <c r="B120" s="1474">
        <v>11686</v>
      </c>
      <c r="C120" s="1474">
        <v>-2910</v>
      </c>
      <c r="D120" s="1474">
        <v>731.20000420999997</v>
      </c>
      <c r="E120" s="1474">
        <v>9427.2999999999993</v>
      </c>
      <c r="F120" s="1473">
        <v>9346</v>
      </c>
    </row>
    <row r="121" spans="1:6" ht="15" customHeight="1">
      <c r="A121" s="440" t="s">
        <v>29</v>
      </c>
      <c r="B121" s="1474">
        <v>11694.8</v>
      </c>
      <c r="C121" s="1474">
        <v>-1933.9</v>
      </c>
      <c r="D121" s="1474">
        <v>852</v>
      </c>
      <c r="E121" s="1474">
        <v>10660.3</v>
      </c>
      <c r="F121" s="1473">
        <v>10515</v>
      </c>
    </row>
    <row r="122" spans="1:6" ht="12.75" customHeight="1">
      <c r="A122" s="440" t="s">
        <v>1423</v>
      </c>
      <c r="B122" s="632"/>
      <c r="C122" s="632"/>
      <c r="D122" s="632"/>
      <c r="E122" s="632"/>
      <c r="F122" s="1473"/>
    </row>
    <row r="123" spans="1:6" ht="15" customHeight="1">
      <c r="A123" s="440" t="s">
        <v>18</v>
      </c>
      <c r="B123" s="632">
        <v>11964</v>
      </c>
      <c r="C123" s="632">
        <v>-3167.4</v>
      </c>
      <c r="D123" s="632">
        <v>897.87505942000018</v>
      </c>
      <c r="E123" s="632">
        <v>9938.8954381399981</v>
      </c>
      <c r="F123" s="1473">
        <v>9842.5224666099984</v>
      </c>
    </row>
    <row r="124" spans="1:6" ht="15" customHeight="1">
      <c r="A124" s="440" t="s">
        <v>19</v>
      </c>
      <c r="B124" s="632">
        <v>11948.3</v>
      </c>
      <c r="C124" s="632">
        <v>-2655.5</v>
      </c>
      <c r="D124" s="632">
        <v>988.38018140000042</v>
      </c>
      <c r="E124" s="632">
        <v>10117.00896714</v>
      </c>
      <c r="F124" s="1473">
        <v>10042.278477350001</v>
      </c>
    </row>
    <row r="125" spans="1:6" ht="15" customHeight="1">
      <c r="A125" s="440" t="s">
        <v>20</v>
      </c>
      <c r="B125" s="632">
        <v>12332.6</v>
      </c>
      <c r="C125" s="632">
        <v>-2641.9</v>
      </c>
      <c r="D125" s="632">
        <v>1024.4047944899999</v>
      </c>
      <c r="E125" s="632">
        <v>10281.538850699999</v>
      </c>
      <c r="F125" s="1473">
        <v>10196.195094999999</v>
      </c>
    </row>
    <row r="126" spans="1:6" ht="15" customHeight="1">
      <c r="A126" s="440" t="s">
        <v>21</v>
      </c>
      <c r="B126" s="632">
        <v>12499.9</v>
      </c>
      <c r="C126" s="632">
        <v>-3006.2</v>
      </c>
      <c r="D126" s="632">
        <v>994.05148968000049</v>
      </c>
      <c r="E126" s="632">
        <v>10191.12480883</v>
      </c>
      <c r="F126" s="1473">
        <v>10094.551942800001</v>
      </c>
    </row>
    <row r="127" spans="1:6" ht="15" customHeight="1">
      <c r="A127" s="440" t="s">
        <v>22</v>
      </c>
      <c r="B127" s="632">
        <v>12572.3</v>
      </c>
      <c r="C127" s="632">
        <v>-3273</v>
      </c>
      <c r="D127" s="632">
        <v>1207.6276752900003</v>
      </c>
      <c r="E127" s="632">
        <v>10201.401611349998</v>
      </c>
      <c r="F127" s="1473">
        <v>10122.983837369999</v>
      </c>
    </row>
    <row r="128" spans="1:6" ht="15" customHeight="1">
      <c r="A128" s="440" t="s">
        <v>23</v>
      </c>
      <c r="B128" s="632">
        <v>12720.4</v>
      </c>
      <c r="C128" s="632">
        <v>-3242.4</v>
      </c>
      <c r="D128" s="632">
        <v>1284.6458706300004</v>
      </c>
      <c r="E128" s="632">
        <v>10331.388455559998</v>
      </c>
      <c r="F128" s="1473">
        <v>10266.594539619999</v>
      </c>
    </row>
    <row r="129" spans="1:6" ht="15" customHeight="1">
      <c r="A129" s="440" t="s">
        <v>24</v>
      </c>
      <c r="B129" s="632">
        <v>12880.3</v>
      </c>
      <c r="C129" s="632">
        <v>-3518.6</v>
      </c>
      <c r="D129" s="632">
        <v>1310.0206117700006</v>
      </c>
      <c r="E129" s="632">
        <v>10529.225237050001</v>
      </c>
      <c r="F129" s="1473">
        <v>10428.005373100001</v>
      </c>
    </row>
    <row r="130" spans="1:6" ht="15" customHeight="1">
      <c r="A130" s="440" t="s">
        <v>25</v>
      </c>
      <c r="B130" s="632">
        <v>12958.9</v>
      </c>
      <c r="C130" s="632">
        <v>-3514.1</v>
      </c>
      <c r="D130" s="632">
        <v>1424.1010539399999</v>
      </c>
      <c r="E130" s="632">
        <v>10688.93542118</v>
      </c>
      <c r="F130" s="1473">
        <v>10617.02397176</v>
      </c>
    </row>
    <row r="131" spans="1:6" ht="15" customHeight="1">
      <c r="A131" s="440" t="s">
        <v>26</v>
      </c>
      <c r="B131" s="632">
        <v>13262.7</v>
      </c>
      <c r="C131" s="632">
        <v>-3692.1</v>
      </c>
      <c r="D131" s="632">
        <v>1441.3250712100005</v>
      </c>
      <c r="E131" s="632">
        <v>10697.737923710001</v>
      </c>
      <c r="F131" s="1473">
        <v>10616.446083440002</v>
      </c>
    </row>
    <row r="132" spans="1:6" ht="15" customHeight="1">
      <c r="A132" s="440" t="s">
        <v>27</v>
      </c>
      <c r="B132" s="632">
        <v>13584.1</v>
      </c>
      <c r="C132" s="632">
        <v>-4084.8</v>
      </c>
      <c r="D132" s="632">
        <v>1435.11725828</v>
      </c>
      <c r="E132" s="632">
        <v>10823.582633259999</v>
      </c>
      <c r="F132" s="1473">
        <v>10732.614357859999</v>
      </c>
    </row>
    <row r="133" spans="1:6" ht="15" customHeight="1">
      <c r="A133" s="440" t="s">
        <v>28</v>
      </c>
      <c r="B133" s="632">
        <v>13742.5</v>
      </c>
      <c r="C133" s="632">
        <v>-4018</v>
      </c>
      <c r="D133" s="632">
        <v>1393.7650887600005</v>
      </c>
      <c r="E133" s="632">
        <v>10899.871209200001</v>
      </c>
      <c r="F133" s="1473">
        <v>10792.02597456</v>
      </c>
    </row>
    <row r="134" spans="1:6" ht="15" customHeight="1">
      <c r="A134" s="440" t="s">
        <v>29</v>
      </c>
      <c r="B134" s="632">
        <v>14152</v>
      </c>
      <c r="C134" s="632">
        <v>-3289.9</v>
      </c>
      <c r="D134" s="632">
        <v>1439.4479640800002</v>
      </c>
      <c r="E134" s="632">
        <v>11793.1</v>
      </c>
      <c r="F134" s="1473">
        <v>11642</v>
      </c>
    </row>
    <row r="135" spans="1:6" ht="12.75" customHeight="1">
      <c r="A135" s="440" t="s">
        <v>1634</v>
      </c>
      <c r="B135" s="632"/>
      <c r="C135" s="632"/>
      <c r="D135" s="632"/>
      <c r="E135" s="632"/>
      <c r="F135" s="1473"/>
    </row>
    <row r="136" spans="1:6" ht="15" customHeight="1">
      <c r="A136" s="440" t="s">
        <v>18</v>
      </c>
      <c r="B136" s="632">
        <v>14219.3</v>
      </c>
      <c r="C136" s="632">
        <v>-4260.95</v>
      </c>
      <c r="D136" s="632">
        <v>1408.2830303400006</v>
      </c>
      <c r="E136" s="632">
        <v>11142.6</v>
      </c>
      <c r="F136" s="1473">
        <v>11038.1</v>
      </c>
    </row>
    <row r="137" spans="1:6" ht="15" customHeight="1">
      <c r="A137" s="440" t="s">
        <v>19</v>
      </c>
      <c r="B137" s="632">
        <v>14444.8</v>
      </c>
      <c r="C137" s="632">
        <v>-4235.1000000000004</v>
      </c>
      <c r="D137" s="632">
        <v>1383.2</v>
      </c>
      <c r="E137" s="632">
        <v>11244.6</v>
      </c>
      <c r="F137" s="1473">
        <v>11136.5</v>
      </c>
    </row>
    <row r="138" spans="1:6" ht="15" customHeight="1">
      <c r="A138" s="440" t="s">
        <v>20</v>
      </c>
      <c r="B138" s="632">
        <v>14715.7</v>
      </c>
      <c r="C138" s="632">
        <v>-5229.1000000000004</v>
      </c>
      <c r="D138" s="632">
        <v>1334.6</v>
      </c>
      <c r="E138" s="632">
        <v>11205.6</v>
      </c>
      <c r="F138" s="1473">
        <v>11107.1</v>
      </c>
    </row>
    <row r="139" spans="1:6" ht="15" customHeight="1">
      <c r="A139" s="440" t="s">
        <v>21</v>
      </c>
      <c r="B139" s="632">
        <v>14871.1</v>
      </c>
      <c r="C139" s="632">
        <v>-5454.7</v>
      </c>
      <c r="D139" s="632">
        <v>1328.6</v>
      </c>
      <c r="E139" s="632">
        <v>11229.3</v>
      </c>
      <c r="F139" s="1473">
        <v>11105</v>
      </c>
    </row>
    <row r="140" spans="1:6" ht="15" customHeight="1">
      <c r="A140" s="440" t="s">
        <v>22</v>
      </c>
      <c r="B140" s="632">
        <v>15091.3</v>
      </c>
      <c r="C140" s="632">
        <v>-5494.8</v>
      </c>
      <c r="D140" s="632">
        <v>1392.4</v>
      </c>
      <c r="E140" s="632">
        <v>11366.4</v>
      </c>
      <c r="F140" s="1473">
        <v>11272.2</v>
      </c>
    </row>
    <row r="141" spans="1:6" ht="15" customHeight="1">
      <c r="A141" s="440" t="s">
        <v>23</v>
      </c>
      <c r="B141" s="632">
        <v>15163.2</v>
      </c>
      <c r="C141" s="632">
        <v>-5234.8</v>
      </c>
      <c r="D141" s="632">
        <v>1458.7</v>
      </c>
      <c r="E141" s="632">
        <v>11580.6</v>
      </c>
      <c r="F141" s="1473">
        <v>11485.2</v>
      </c>
    </row>
    <row r="142" spans="1:6" ht="15" customHeight="1">
      <c r="A142" s="440" t="s">
        <v>24</v>
      </c>
      <c r="B142" s="632">
        <v>15193.4</v>
      </c>
      <c r="C142" s="632">
        <v>-5038.2</v>
      </c>
      <c r="D142" s="632">
        <v>1471.5</v>
      </c>
      <c r="E142" s="632">
        <v>11858.1</v>
      </c>
      <c r="F142" s="1473">
        <v>11736.5</v>
      </c>
    </row>
    <row r="143" spans="1:6" ht="15" customHeight="1">
      <c r="A143" s="440" t="s">
        <v>25</v>
      </c>
      <c r="B143" s="632">
        <v>15190.9</v>
      </c>
      <c r="C143" s="632">
        <v>-4980</v>
      </c>
      <c r="D143" s="632">
        <v>1471.6</v>
      </c>
      <c r="E143" s="632">
        <v>11863.4</v>
      </c>
      <c r="F143" s="1473">
        <v>11743.6</v>
      </c>
    </row>
    <row r="144" spans="1:6" ht="15" customHeight="1">
      <c r="A144" s="440" t="s">
        <v>26</v>
      </c>
      <c r="B144" s="632">
        <v>15042.4</v>
      </c>
      <c r="C144" s="632">
        <v>-5232</v>
      </c>
      <c r="D144" s="632">
        <v>1482.8</v>
      </c>
      <c r="E144" s="632">
        <v>11646.2</v>
      </c>
      <c r="F144" s="1473">
        <v>11546.5</v>
      </c>
    </row>
    <row r="145" spans="1:6" ht="15" customHeight="1">
      <c r="A145" s="440" t="s">
        <v>27</v>
      </c>
      <c r="B145" s="632">
        <v>15033.6</v>
      </c>
      <c r="C145" s="632">
        <v>-5537</v>
      </c>
      <c r="D145" s="632">
        <v>1443.3</v>
      </c>
      <c r="E145" s="632">
        <v>11587.4</v>
      </c>
      <c r="F145" s="1473">
        <v>11478</v>
      </c>
    </row>
    <row r="146" spans="1:6" ht="15" customHeight="1">
      <c r="A146" s="440" t="s">
        <v>28</v>
      </c>
      <c r="B146" s="632">
        <v>14996.3</v>
      </c>
      <c r="C146" s="632">
        <v>-5393.1</v>
      </c>
      <c r="D146" s="632">
        <v>1504.3</v>
      </c>
      <c r="E146" s="632">
        <v>11601.1</v>
      </c>
      <c r="F146" s="1473">
        <v>11519.673289699998</v>
      </c>
    </row>
    <row r="147" spans="1:6" ht="15" customHeight="1">
      <c r="A147" s="440" t="s">
        <v>29</v>
      </c>
      <c r="B147" s="632">
        <v>13758.27</v>
      </c>
      <c r="C147" s="632">
        <v>-4192.5940071099994</v>
      </c>
      <c r="D147" s="632">
        <v>1482.3477654399999</v>
      </c>
      <c r="E147" s="632">
        <v>11866.942363640001</v>
      </c>
      <c r="F147" s="1473">
        <v>11541.85058185</v>
      </c>
    </row>
    <row r="148" spans="1:6" ht="15" customHeight="1">
      <c r="A148" s="440" t="s">
        <v>1829</v>
      </c>
      <c r="B148" s="632"/>
      <c r="C148" s="632"/>
      <c r="D148" s="632"/>
      <c r="E148" s="632"/>
      <c r="F148" s="632"/>
    </row>
    <row r="149" spans="1:6" ht="15" customHeight="1">
      <c r="A149" s="440" t="s">
        <v>18</v>
      </c>
      <c r="B149" s="632">
        <v>12680.8</v>
      </c>
      <c r="C149" s="632">
        <v>-4975.7651899000002</v>
      </c>
      <c r="D149" s="632">
        <v>1697.27247375</v>
      </c>
      <c r="E149" s="632">
        <v>10760.302754689999</v>
      </c>
      <c r="F149" s="1473">
        <v>10550.98263348</v>
      </c>
    </row>
    <row r="150" spans="1:6" ht="15" customHeight="1">
      <c r="A150" s="440" t="s">
        <v>19</v>
      </c>
      <c r="B150" s="632">
        <v>11004.43</v>
      </c>
      <c r="C150" s="632">
        <v>-5798.7434746999998</v>
      </c>
      <c r="D150" s="632">
        <v>1909.1907807100006</v>
      </c>
      <c r="E150" s="632">
        <v>9736.0533009599985</v>
      </c>
      <c r="F150" s="1473">
        <v>9109.8742473199982</v>
      </c>
    </row>
    <row r="151" spans="1:6" ht="15" customHeight="1">
      <c r="A151" s="440" t="s">
        <v>20</v>
      </c>
      <c r="B151" s="632">
        <v>9472.1299999999992</v>
      </c>
      <c r="C151" s="632">
        <v>-4776.898226620001</v>
      </c>
      <c r="D151" s="632">
        <v>2089.4379742000001</v>
      </c>
      <c r="E151" s="632">
        <v>8919.1828803299995</v>
      </c>
      <c r="F151" s="1473">
        <v>8339.4258388500002</v>
      </c>
    </row>
    <row r="152" spans="1:6" ht="15" customHeight="1">
      <c r="A152" s="440" t="s">
        <v>21</v>
      </c>
      <c r="B152" s="632">
        <v>8387.92</v>
      </c>
      <c r="C152" s="632">
        <v>-4641.9943332100011</v>
      </c>
      <c r="D152" s="632">
        <v>2266.4213900399996</v>
      </c>
      <c r="E152" s="632">
        <v>7870.1980502399992</v>
      </c>
      <c r="F152" s="1473">
        <v>7418.6134919299993</v>
      </c>
    </row>
    <row r="153" spans="1:6" ht="15" customHeight="1">
      <c r="A153" s="440" t="s">
        <v>22</v>
      </c>
      <c r="B153" s="632">
        <v>8430.7800000000007</v>
      </c>
      <c r="C153" s="632">
        <v>-4480.6492558899999</v>
      </c>
      <c r="D153" s="632">
        <v>2244.4379572500002</v>
      </c>
      <c r="E153" s="632">
        <v>7983.6680595399994</v>
      </c>
      <c r="F153" s="1473">
        <v>7597.2826965399991</v>
      </c>
    </row>
    <row r="154" spans="1:6" ht="15" customHeight="1">
      <c r="A154" s="440" t="s">
        <v>23</v>
      </c>
      <c r="B154" s="632">
        <v>8520.15</v>
      </c>
      <c r="C154" s="632">
        <v>-4455.2760769400002</v>
      </c>
      <c r="D154" s="632">
        <v>2179.8588592499996</v>
      </c>
      <c r="E154" s="632">
        <v>7805.9569541199999</v>
      </c>
      <c r="F154" s="1473">
        <v>7487.0474245200003</v>
      </c>
    </row>
    <row r="155" spans="1:6" ht="15" customHeight="1">
      <c r="A155" s="440" t="s">
        <v>24</v>
      </c>
      <c r="B155" s="632">
        <v>8501.51</v>
      </c>
      <c r="C155" s="632">
        <v>-4604.2718522199993</v>
      </c>
      <c r="D155" s="632">
        <v>2394.4539659100005</v>
      </c>
      <c r="E155" s="632">
        <v>7793.4260408500004</v>
      </c>
      <c r="F155" s="1473">
        <v>7467.4627806899998</v>
      </c>
    </row>
    <row r="156" spans="1:6" ht="15" customHeight="1">
      <c r="A156" s="440" t="s">
        <v>25</v>
      </c>
      <c r="B156" s="632">
        <v>7315.44</v>
      </c>
      <c r="C156" s="632">
        <v>-5306.15157301</v>
      </c>
      <c r="D156" s="632">
        <v>2951.3969358500008</v>
      </c>
      <c r="E156" s="632">
        <v>6886.2807920499999</v>
      </c>
      <c r="F156" s="1473">
        <v>6352.0686349199996</v>
      </c>
    </row>
    <row r="157" spans="1:6" ht="15" customHeight="1">
      <c r="A157" s="440" t="s">
        <v>26</v>
      </c>
      <c r="B157" s="632">
        <v>7014.74</v>
      </c>
      <c r="C157" s="632">
        <v>-5382.2579440200007</v>
      </c>
      <c r="D157" s="632">
        <v>3859.6111284399999</v>
      </c>
      <c r="E157" s="632">
        <v>7434.2946894699999</v>
      </c>
      <c r="F157" s="1473">
        <v>7050.4451382899997</v>
      </c>
    </row>
    <row r="158" spans="1:6" ht="15" customHeight="1">
      <c r="A158" s="440" t="s">
        <v>27</v>
      </c>
      <c r="B158" s="632">
        <v>6834.56</v>
      </c>
      <c r="C158" s="632">
        <v>-6475.3689597400007</v>
      </c>
      <c r="D158" s="632">
        <v>4822.4878872599993</v>
      </c>
      <c r="E158" s="632">
        <v>7355.3705613900001</v>
      </c>
      <c r="F158" s="1473">
        <v>7055.8749215899998</v>
      </c>
    </row>
    <row r="159" spans="1:6" ht="14.25" customHeight="1">
      <c r="A159" s="440" t="s">
        <v>28</v>
      </c>
      <c r="B159" s="632">
        <v>6245.64</v>
      </c>
      <c r="C159" s="632">
        <v>-6242.9908215800006</v>
      </c>
      <c r="D159" s="632">
        <v>4901.3927343400001</v>
      </c>
      <c r="E159" s="632">
        <v>7002.2079040099998</v>
      </c>
      <c r="F159" s="1473">
        <v>6730.5800266299993</v>
      </c>
    </row>
    <row r="160" spans="1:6" ht="14.25" customHeight="1">
      <c r="A160" s="440" t="s">
        <v>29</v>
      </c>
      <c r="B160" s="632">
        <v>5016.6899999999996</v>
      </c>
      <c r="C160" s="632">
        <v>-5651.23827093</v>
      </c>
      <c r="D160" s="632">
        <v>5374.9700775599995</v>
      </c>
      <c r="E160" s="632">
        <v>7560.6734860699999</v>
      </c>
      <c r="F160" s="1473">
        <v>6901.8423380800004</v>
      </c>
    </row>
    <row r="161" spans="1:6" ht="14.25" customHeight="1">
      <c r="A161" s="440" t="s">
        <v>1852</v>
      </c>
      <c r="B161" s="632"/>
      <c r="C161" s="632"/>
      <c r="D161" s="632"/>
      <c r="E161" s="632"/>
      <c r="F161" s="1473"/>
    </row>
    <row r="162" spans="1:6" ht="14.25" customHeight="1">
      <c r="A162" s="440" t="s">
        <v>18</v>
      </c>
      <c r="B162" s="632">
        <v>4398.5200000000004</v>
      </c>
      <c r="C162" s="632">
        <v>-6542.7097631800007</v>
      </c>
      <c r="D162" s="632">
        <v>5880.5604253099991</v>
      </c>
      <c r="E162" s="632">
        <v>6681.8523943</v>
      </c>
      <c r="F162" s="1473">
        <v>5786.8521675800002</v>
      </c>
    </row>
    <row r="163" spans="1:6" ht="14.25" customHeight="1">
      <c r="A163" s="440" t="s">
        <v>19</v>
      </c>
      <c r="B163" s="632">
        <v>4026.25</v>
      </c>
      <c r="C163" s="632">
        <v>-6081.6141112800005</v>
      </c>
      <c r="D163" s="632">
        <v>6425.2714593865003</v>
      </c>
      <c r="E163" s="632">
        <v>7318.4052416199993</v>
      </c>
      <c r="F163" s="1473">
        <v>6388.5472950699987</v>
      </c>
    </row>
    <row r="164" spans="1:6" ht="14.25" customHeight="1">
      <c r="A164" s="440" t="s">
        <v>20</v>
      </c>
      <c r="B164" s="632">
        <v>4065.8</v>
      </c>
      <c r="C164" s="632">
        <v>-5899.3786624499999</v>
      </c>
      <c r="D164" s="632">
        <v>6422.8676134262623</v>
      </c>
      <c r="E164" s="632">
        <v>7401.9125061799996</v>
      </c>
      <c r="F164" s="1473">
        <v>6535.8084241099996</v>
      </c>
    </row>
    <row r="165" spans="1:6" ht="14.25" customHeight="1">
      <c r="A165" s="440" t="s">
        <v>21</v>
      </c>
      <c r="B165" s="632">
        <v>4120.63</v>
      </c>
      <c r="C165" s="632">
        <v>-5755.6470949300001</v>
      </c>
      <c r="D165" s="632">
        <v>6307.4261621799997</v>
      </c>
      <c r="E165" s="632">
        <v>7472.7052993199995</v>
      </c>
      <c r="F165" s="1473">
        <v>6726.0725825299996</v>
      </c>
    </row>
    <row r="166" spans="1:6" ht="14.25" customHeight="1">
      <c r="A166" s="440" t="s">
        <v>22</v>
      </c>
      <c r="B166" s="632">
        <v>4284.26</v>
      </c>
      <c r="C166" s="632">
        <v>-5758.9402841400015</v>
      </c>
      <c r="D166" s="632">
        <v>6945.6664337500006</v>
      </c>
      <c r="E166" s="632">
        <v>8343.5829335300004</v>
      </c>
      <c r="F166" s="1473">
        <v>7641.6268355399998</v>
      </c>
    </row>
    <row r="167" spans="1:6" ht="14.25" customHeight="1">
      <c r="A167" s="440" t="s">
        <v>23</v>
      </c>
      <c r="B167" s="632">
        <v>4283.9399999999996</v>
      </c>
      <c r="C167" s="632">
        <v>-5933.6050098099995</v>
      </c>
      <c r="D167" s="632">
        <v>6919.0878051199988</v>
      </c>
      <c r="E167" s="632">
        <v>8337.9684701599999</v>
      </c>
      <c r="F167" s="1473">
        <v>7689.3512139399991</v>
      </c>
    </row>
    <row r="168" spans="1:6" ht="14.25" customHeight="1">
      <c r="A168" s="440" t="s">
        <v>24</v>
      </c>
      <c r="B168" s="632">
        <v>4162.88</v>
      </c>
      <c r="C168" s="632">
        <v>-6234.5640553000003</v>
      </c>
      <c r="D168" s="632">
        <v>7093.0593390200011</v>
      </c>
      <c r="E168" s="632">
        <v>8623.2592612000008</v>
      </c>
      <c r="F168" s="1473">
        <v>7638.1249938200008</v>
      </c>
    </row>
    <row r="169" spans="1:6" ht="14.25" customHeight="1">
      <c r="A169" s="440" t="s">
        <v>25</v>
      </c>
      <c r="B169" s="632">
        <v>4192.5200000000004</v>
      </c>
      <c r="C169" s="632">
        <v>-6637.9299187800007</v>
      </c>
      <c r="D169" s="632">
        <v>7254.0840388089628</v>
      </c>
      <c r="E169" s="632">
        <v>8477.8879030800017</v>
      </c>
      <c r="F169" s="1473">
        <v>7412.1772067400007</v>
      </c>
    </row>
    <row r="170" spans="1:6" ht="14.25" customHeight="1">
      <c r="A170" s="440" t="s">
        <v>26</v>
      </c>
      <c r="B170" s="632">
        <v>4132.67</v>
      </c>
      <c r="C170" s="632">
        <v>-7144.3582126400015</v>
      </c>
      <c r="D170" s="632">
        <v>7243.508882718962</v>
      </c>
      <c r="E170" s="632">
        <v>7985.9435525199997</v>
      </c>
      <c r="F170" s="1473">
        <v>6810.3119202299995</v>
      </c>
    </row>
    <row r="171" spans="1:6" ht="14.25" customHeight="1">
      <c r="A171" s="440" t="s">
        <v>27</v>
      </c>
      <c r="B171" s="632">
        <v>4005.48</v>
      </c>
      <c r="C171" s="632">
        <v>-6594.8051028899999</v>
      </c>
      <c r="D171" s="632">
        <v>7507.0025445089614</v>
      </c>
      <c r="E171" s="632">
        <v>8792.8452389400009</v>
      </c>
      <c r="F171" s="1473">
        <v>7448.9083649700005</v>
      </c>
    </row>
    <row r="172" spans="1:6" ht="14.25" customHeight="1">
      <c r="A172" s="440" t="s">
        <v>28</v>
      </c>
      <c r="B172" s="632">
        <v>4010.95</v>
      </c>
      <c r="C172" s="632">
        <v>-6094.4799778200004</v>
      </c>
      <c r="D172" s="632">
        <v>7322.2467782089643</v>
      </c>
      <c r="E172" s="632">
        <v>9055.768697380001</v>
      </c>
      <c r="F172" s="1473">
        <v>7702.215091080001</v>
      </c>
    </row>
    <row r="173" spans="1:6" ht="14.25" customHeight="1">
      <c r="A173" s="440" t="s">
        <v>29</v>
      </c>
      <c r="B173" s="632">
        <v>3974.37</v>
      </c>
      <c r="C173" s="632">
        <v>-3663.9285512200008</v>
      </c>
      <c r="D173" s="632">
        <v>7046.8426651189602</v>
      </c>
      <c r="E173" s="632">
        <v>9232.7881355600002</v>
      </c>
      <c r="F173" s="1473">
        <v>7860.4837056300003</v>
      </c>
    </row>
    <row r="174" spans="1:6" ht="14.25" customHeight="1">
      <c r="A174" s="440" t="s">
        <v>1915</v>
      </c>
      <c r="B174" s="632"/>
      <c r="C174" s="632"/>
      <c r="D174" s="632"/>
      <c r="E174" s="632"/>
      <c r="F174" s="1473"/>
    </row>
    <row r="175" spans="1:6" ht="14.25" customHeight="1">
      <c r="A175" s="440" t="s">
        <v>18</v>
      </c>
      <c r="B175" s="632">
        <v>4327.17</v>
      </c>
      <c r="C175" s="632">
        <v>-3437.0982505699994</v>
      </c>
      <c r="D175" s="632">
        <v>6833.2550431589616</v>
      </c>
      <c r="E175" s="632">
        <v>8731.8619273800032</v>
      </c>
      <c r="F175" s="1473">
        <v>7331.6690958400013</v>
      </c>
    </row>
    <row r="176" spans="1:6" ht="14.25" customHeight="1">
      <c r="A176" s="440" t="s">
        <v>19</v>
      </c>
      <c r="B176" s="632">
        <v>4369.28</v>
      </c>
      <c r="C176" s="632">
        <v>-2505.4754732099996</v>
      </c>
      <c r="D176" s="632">
        <v>6383.9072480789619</v>
      </c>
      <c r="E176" s="632">
        <v>8336.4134713400017</v>
      </c>
      <c r="F176" s="1473">
        <v>6986.960843580001</v>
      </c>
    </row>
    <row r="177" spans="1:6" ht="14.25" customHeight="1">
      <c r="A177" s="440" t="s">
        <v>20</v>
      </c>
      <c r="B177" s="632">
        <v>4432.72</v>
      </c>
      <c r="C177" s="632">
        <v>-2044.7378705600001</v>
      </c>
      <c r="D177" s="632">
        <v>6571.4732768389586</v>
      </c>
      <c r="E177" s="632">
        <v>9557.3477016000015</v>
      </c>
      <c r="F177" s="1473">
        <v>7277.5359397400016</v>
      </c>
    </row>
    <row r="178" spans="1:6" ht="14.25" customHeight="1">
      <c r="A178" s="440" t="s">
        <v>21</v>
      </c>
      <c r="B178" s="632">
        <v>4619.3</v>
      </c>
      <c r="C178" s="632">
        <v>-1581.3920804700003</v>
      </c>
      <c r="D178" s="632">
        <v>6586.1940043789618</v>
      </c>
      <c r="E178" s="632">
        <v>10363.75818338</v>
      </c>
      <c r="F178" s="1473">
        <v>7628.1178079899992</v>
      </c>
    </row>
    <row r="179" spans="1:6" ht="14.25" customHeight="1">
      <c r="A179" s="440" t="s">
        <v>22</v>
      </c>
      <c r="B179" s="632">
        <v>4825.4189999999999</v>
      </c>
      <c r="C179" s="632">
        <v>-1598.5441601999999</v>
      </c>
      <c r="D179" s="632">
        <v>6450.5691342889595</v>
      </c>
      <c r="E179" s="632">
        <v>10088.03619836</v>
      </c>
      <c r="F179" s="1473">
        <v>7788.6733876100006</v>
      </c>
    </row>
    <row r="180" spans="1:6" ht="14.25" customHeight="1">
      <c r="A180" s="440" t="s">
        <v>23</v>
      </c>
      <c r="B180" s="632">
        <v>4964.0600907293865</v>
      </c>
      <c r="C180" s="632">
        <v>-1555.1911793099998</v>
      </c>
      <c r="D180" s="632">
        <v>6847.8876676189611</v>
      </c>
      <c r="E180" s="632">
        <v>10525.852064319999</v>
      </c>
      <c r="F180" s="1473">
        <v>8274.47549703</v>
      </c>
    </row>
    <row r="181" spans="1:6" ht="14.25" customHeight="1">
      <c r="A181" s="440" t="s">
        <v>24</v>
      </c>
      <c r="B181" s="632">
        <v>5033.0514360755251</v>
      </c>
      <c r="C181" s="632">
        <v>-2074.9427606499999</v>
      </c>
      <c r="D181" s="632">
        <v>7117.3713263589616</v>
      </c>
      <c r="E181" s="632">
        <v>10718.18429874</v>
      </c>
      <c r="F181" s="1473">
        <v>8332.8540120800008</v>
      </c>
    </row>
    <row r="182" spans="1:6" ht="14.25" customHeight="1">
      <c r="A182" s="440" t="s">
        <v>25</v>
      </c>
      <c r="B182" s="632">
        <v>5101.2079581848066</v>
      </c>
      <c r="C182" s="632">
        <v>-1800.7639583999999</v>
      </c>
      <c r="D182" s="632">
        <v>7012.4600890289603</v>
      </c>
      <c r="E182" s="632">
        <v>10660.60308101</v>
      </c>
      <c r="F182" s="1473">
        <v>8468.4398282700004</v>
      </c>
    </row>
    <row r="183" spans="1:6" ht="14.25" customHeight="1">
      <c r="A183" s="440" t="s">
        <v>26</v>
      </c>
      <c r="B183" s="632">
        <v>5167.459476965988</v>
      </c>
      <c r="C183" s="632">
        <v>-1640.1744250300001</v>
      </c>
      <c r="D183" s="632">
        <v>7036.8140077689604</v>
      </c>
      <c r="E183" s="632">
        <v>10032.272046389999</v>
      </c>
      <c r="F183" s="1473">
        <v>8671.2016743799995</v>
      </c>
    </row>
    <row r="184" spans="1:6" ht="14.25" customHeight="1">
      <c r="A184" s="440" t="s">
        <v>27</v>
      </c>
      <c r="B184" s="632">
        <v>5200.6554885443002</v>
      </c>
      <c r="C184" s="632">
        <v>-4161.7151650600008</v>
      </c>
      <c r="D184" s="632">
        <v>6985.8785573389614</v>
      </c>
      <c r="E184" s="632">
        <v>9829.0430620700008</v>
      </c>
      <c r="F184" s="1473">
        <v>8531.6469131100021</v>
      </c>
    </row>
    <row r="185" spans="1:6" ht="14.25" customHeight="1">
      <c r="A185" s="440" t="s">
        <v>28</v>
      </c>
      <c r="B185" s="632">
        <v>5254.2423316823606</v>
      </c>
      <c r="C185" s="632">
        <v>-2991.2841644499995</v>
      </c>
      <c r="D185" s="632">
        <v>6549.0005966299996</v>
      </c>
      <c r="E185" s="632">
        <v>10001.93815468</v>
      </c>
      <c r="F185" s="1473">
        <v>8686.8413463500001</v>
      </c>
    </row>
    <row r="186" spans="1:6" ht="14.25" customHeight="1">
      <c r="A186" s="440" t="s">
        <v>29</v>
      </c>
      <c r="B186" s="632">
        <v>5334.5998997171873</v>
      </c>
      <c r="C186" s="632">
        <v>-1480.0310585399998</v>
      </c>
      <c r="D186" s="632">
        <v>5718.4878603800007</v>
      </c>
      <c r="E186" s="632">
        <v>9872.6132871700011</v>
      </c>
      <c r="F186" s="1473">
        <v>8543.2044720300019</v>
      </c>
    </row>
    <row r="187" spans="1:6" ht="14.25" customHeight="1">
      <c r="A187" s="440" t="s">
        <v>2051</v>
      </c>
      <c r="B187" s="455"/>
      <c r="C187" s="455"/>
      <c r="D187" s="455"/>
      <c r="E187" s="455"/>
      <c r="F187" s="1472"/>
    </row>
    <row r="188" spans="1:6" ht="14.25" customHeight="1">
      <c r="A188" s="440" t="s">
        <v>18</v>
      </c>
      <c r="B188" s="632">
        <v>5381.2068722227705</v>
      </c>
      <c r="C188" s="632">
        <v>-2012.5200456499999</v>
      </c>
      <c r="D188" s="632">
        <v>6262.2027275399996</v>
      </c>
      <c r="E188" s="632">
        <v>9829.3884574200001</v>
      </c>
      <c r="F188" s="1473">
        <v>8761.5609664799995</v>
      </c>
    </row>
    <row r="189" spans="1:6" ht="14.25" customHeight="1">
      <c r="A189" s="440" t="s">
        <v>19</v>
      </c>
      <c r="B189" s="632">
        <v>5387.3180298026346</v>
      </c>
      <c r="C189" s="632">
        <v>-1360.9036155200001</v>
      </c>
      <c r="D189" s="632">
        <v>6344.72667052</v>
      </c>
      <c r="E189" s="632">
        <v>10248.502778329999</v>
      </c>
      <c r="F189" s="1473">
        <v>9180.5560188300005</v>
      </c>
    </row>
    <row r="190" spans="1:6" ht="14.25" customHeight="1">
      <c r="A190" s="440" t="s">
        <v>20</v>
      </c>
      <c r="B190" s="632">
        <v>5507.9970343947225</v>
      </c>
      <c r="C190" s="632">
        <v>-1316.6213811299999</v>
      </c>
      <c r="D190" s="632">
        <v>6391.8596595100016</v>
      </c>
      <c r="E190" s="632">
        <v>10782.977859649998</v>
      </c>
      <c r="F190" s="1473">
        <v>9471.0484987299988</v>
      </c>
    </row>
    <row r="191" spans="1:6" ht="14.25" customHeight="1">
      <c r="A191" s="440" t="s">
        <v>21</v>
      </c>
      <c r="B191" s="632">
        <v>5465.7915155104338</v>
      </c>
      <c r="C191" s="632">
        <v>-2197.5238495500003</v>
      </c>
      <c r="D191" s="632">
        <v>6093.8135672800017</v>
      </c>
      <c r="E191" s="632">
        <v>9684.2921908099997</v>
      </c>
      <c r="F191" s="1473">
        <v>8412.9733237500004</v>
      </c>
    </row>
    <row r="192" spans="1:6" ht="14.25" customHeight="1">
      <c r="A192" s="440" t="s">
        <v>22</v>
      </c>
      <c r="B192" s="632">
        <v>5471.3750945429711</v>
      </c>
      <c r="C192" s="632">
        <v>-2183.3685772199997</v>
      </c>
      <c r="D192" s="632">
        <v>6014.0223240800024</v>
      </c>
      <c r="E192" s="632">
        <v>9731.5376101399997</v>
      </c>
      <c r="F192" s="1473">
        <v>8404.4068456700006</v>
      </c>
    </row>
    <row r="193" spans="1:6" ht="14.25" customHeight="1">
      <c r="A193" s="440" t="s">
        <v>23</v>
      </c>
      <c r="B193" s="632">
        <v>5512.6635748421659</v>
      </c>
      <c r="C193" s="632">
        <v>-1924.3872799899998</v>
      </c>
      <c r="D193" s="632">
        <v>6005.9190182399998</v>
      </c>
      <c r="E193" s="632">
        <v>9674.4502738600004</v>
      </c>
      <c r="F193" s="1473">
        <v>8588.03503705</v>
      </c>
    </row>
    <row r="194" spans="1:6" ht="14.25" customHeight="1">
      <c r="A194" s="440" t="s">
        <v>24</v>
      </c>
      <c r="B194" s="632">
        <v>5546.9300035058022</v>
      </c>
      <c r="C194" s="632">
        <v>-1881.63452504</v>
      </c>
      <c r="D194" s="632">
        <v>6050.7393597700002</v>
      </c>
      <c r="E194" s="632">
        <v>10079.05528153</v>
      </c>
      <c r="F194" s="1473">
        <v>8888.8569364699997</v>
      </c>
    </row>
    <row r="195" spans="1:6" ht="14.25" customHeight="1">
      <c r="A195" s="440" t="s">
        <v>25</v>
      </c>
      <c r="B195" s="632">
        <v>5503.4769034956043</v>
      </c>
      <c r="C195" s="632">
        <v>-2368.8353860500001</v>
      </c>
      <c r="D195" s="632">
        <v>6036.3878105900003</v>
      </c>
      <c r="E195" s="632">
        <v>9329.3632530899995</v>
      </c>
      <c r="F195" s="1473">
        <v>8318.2212724799992</v>
      </c>
    </row>
    <row r="196" spans="1:6" ht="14.25" customHeight="1">
      <c r="A196" s="440" t="s">
        <v>26</v>
      </c>
      <c r="B196" s="632">
        <v>5534.5485068348689</v>
      </c>
      <c r="C196" s="632">
        <v>-1722.0524434199997</v>
      </c>
      <c r="D196" s="632">
        <v>5977.5587336900007</v>
      </c>
      <c r="E196" s="632">
        <v>9754.0301530100005</v>
      </c>
      <c r="F196" s="1473">
        <v>8871.45735565</v>
      </c>
    </row>
    <row r="197" spans="1:6" ht="14.25" customHeight="1">
      <c r="A197" s="440" t="s">
        <v>27</v>
      </c>
      <c r="B197" s="632">
        <v>5536.3774238938713</v>
      </c>
      <c r="C197" s="632">
        <v>-1662.5644128700001</v>
      </c>
      <c r="D197" s="632">
        <v>5970.1748995100006</v>
      </c>
      <c r="E197" s="632">
        <v>10059.50504419</v>
      </c>
      <c r="F197" s="1473">
        <v>9153.3159421199998</v>
      </c>
    </row>
    <row r="198" spans="1:6" ht="14.25" customHeight="1">
      <c r="A198" s="440" t="s">
        <v>28</v>
      </c>
      <c r="B198" s="632">
        <v>5590.9317330487975</v>
      </c>
      <c r="C198" s="632">
        <v>-1885.50014397</v>
      </c>
      <c r="D198" s="632">
        <v>6063.2200216800002</v>
      </c>
      <c r="E198" s="632">
        <v>9716.6719579600012</v>
      </c>
      <c r="F198" s="1473">
        <v>8985.1594870900008</v>
      </c>
    </row>
    <row r="199" spans="1:6" ht="14.25" customHeight="1">
      <c r="A199" s="440" t="s">
        <v>29</v>
      </c>
      <c r="B199" s="632">
        <v>5625.7434993212628</v>
      </c>
      <c r="C199" s="632">
        <v>-1579.6651132099998</v>
      </c>
      <c r="D199" s="632">
        <v>6245.507101279999</v>
      </c>
      <c r="E199" s="632">
        <v>10643.679051069999</v>
      </c>
      <c r="F199" s="1473">
        <v>9545.7262990999989</v>
      </c>
    </row>
    <row r="200" spans="1:6" ht="14.25" customHeight="1">
      <c r="A200" s="440" t="s">
        <v>2144</v>
      </c>
      <c r="B200" s="632"/>
      <c r="C200" s="632"/>
      <c r="D200" s="632"/>
      <c r="E200" s="632"/>
      <c r="F200" s="1473"/>
    </row>
    <row r="201" spans="1:6" ht="14.25" customHeight="1">
      <c r="A201" s="440" t="s">
        <v>18</v>
      </c>
      <c r="B201" s="632">
        <v>5655.9450825125223</v>
      </c>
      <c r="C201" s="632">
        <v>-2632.0862208100002</v>
      </c>
      <c r="D201" s="632">
        <v>6137.0319445300011</v>
      </c>
      <c r="E201" s="632">
        <v>9356.9150563700023</v>
      </c>
      <c r="F201" s="1473">
        <v>8709.2276391800006</v>
      </c>
    </row>
    <row r="202" spans="1:6" ht="14.25" customHeight="1">
      <c r="A202" s="440" t="s">
        <v>19</v>
      </c>
      <c r="B202" s="632">
        <v>5761.9179299361012</v>
      </c>
      <c r="C202" s="632">
        <v>-2390.5609332600002</v>
      </c>
      <c r="D202" s="632">
        <v>6134.8454063600002</v>
      </c>
      <c r="E202" s="632">
        <v>9776.3184573999988</v>
      </c>
      <c r="F202" s="1473">
        <v>9014.1419027799984</v>
      </c>
    </row>
    <row r="203" spans="1:6" ht="14.25" customHeight="1">
      <c r="A203" s="440" t="s">
        <v>20</v>
      </c>
      <c r="B203" s="632">
        <v>5778.5601883884683</v>
      </c>
      <c r="C203" s="632">
        <v>-2387.2078326400001</v>
      </c>
      <c r="D203" s="632">
        <v>6196.2807710200013</v>
      </c>
      <c r="E203" s="632">
        <v>9734.8745247399984</v>
      </c>
      <c r="F203" s="1473">
        <v>8946.2544290799979</v>
      </c>
    </row>
    <row r="204" spans="1:6" ht="14.25" customHeight="1">
      <c r="A204" s="440" t="s">
        <v>21</v>
      </c>
      <c r="B204" s="632">
        <v>5788.957906991237</v>
      </c>
      <c r="C204" s="632">
        <v>-2348.1688947300008</v>
      </c>
      <c r="D204" s="632">
        <v>6469.1268623900014</v>
      </c>
      <c r="E204" s="632">
        <v>10012.380729480003</v>
      </c>
      <c r="F204" s="1473">
        <v>9495.0742352800025</v>
      </c>
    </row>
    <row r="205" spans="1:6" ht="14.25" customHeight="1">
      <c r="A205" s="440" t="s">
        <v>22</v>
      </c>
      <c r="B205" s="632">
        <v>5870.9274834049766</v>
      </c>
      <c r="C205" s="632">
        <v>-1898.7200413600003</v>
      </c>
      <c r="D205" s="632">
        <v>6649.7448511300008</v>
      </c>
      <c r="E205" s="632">
        <v>11095.957607389997</v>
      </c>
      <c r="F205" s="1473">
        <v>10172.390385009998</v>
      </c>
    </row>
    <row r="206" spans="1:6" ht="14.25" customHeight="1">
      <c r="A206" s="440" t="s">
        <v>23</v>
      </c>
      <c r="B206" s="632">
        <v>5939.4335888851701</v>
      </c>
      <c r="C206" s="632">
        <v>-3722.7660032799999</v>
      </c>
      <c r="D206" s="632">
        <v>6757.2977631899994</v>
      </c>
      <c r="E206" s="632">
        <v>11255.612272279999</v>
      </c>
      <c r="F206" s="1473">
        <v>10376.906186889999</v>
      </c>
    </row>
    <row r="207" spans="1:6" ht="14.25" customHeight="1">
      <c r="A207" s="440" t="s">
        <v>24</v>
      </c>
      <c r="B207" s="632">
        <v>5962.8047662763875</v>
      </c>
      <c r="C207" s="632">
        <v>-3521.7220473499997</v>
      </c>
      <c r="D207" s="632">
        <v>6658.029172110002</v>
      </c>
      <c r="E207" s="632">
        <v>11668.047325330002</v>
      </c>
      <c r="F207" s="1473">
        <v>10574.283058750001</v>
      </c>
    </row>
    <row r="208" spans="1:6" ht="15" customHeight="1">
      <c r="A208" s="440" t="s">
        <v>25</v>
      </c>
      <c r="B208" s="632">
        <v>6004.2869922898417</v>
      </c>
      <c r="C208" s="632">
        <v>-3998.8050769400006</v>
      </c>
      <c r="D208" s="632">
        <v>6669.6903233800003</v>
      </c>
      <c r="E208" s="632">
        <v>11416.972533090004</v>
      </c>
      <c r="F208" s="1473">
        <v>10157.646670730002</v>
      </c>
    </row>
    <row r="209" spans="1:6" ht="15" customHeight="1">
      <c r="A209" s="440" t="s">
        <v>26</v>
      </c>
      <c r="B209" s="632">
        <v>6034.1087713265779</v>
      </c>
      <c r="C209" s="632">
        <v>-3922.0600097400002</v>
      </c>
      <c r="D209" s="632">
        <v>6671.2393342900004</v>
      </c>
      <c r="E209" s="632">
        <v>11498.2638658</v>
      </c>
      <c r="F209" s="1473">
        <v>10217.26660046</v>
      </c>
    </row>
    <row r="210" spans="1:6" ht="15" customHeight="1">
      <c r="A210" s="440" t="s">
        <v>27</v>
      </c>
      <c r="B210" s="632">
        <v>6144.6723368055236</v>
      </c>
      <c r="C210" s="632">
        <v>-4549.3311883899987</v>
      </c>
      <c r="D210" s="632">
        <v>6689.6457160400005</v>
      </c>
      <c r="E210" s="632">
        <v>11427.484053389999</v>
      </c>
      <c r="F210" s="1473">
        <v>10298.833747049997</v>
      </c>
    </row>
    <row r="211" spans="1:6" ht="15" customHeight="1">
      <c r="A211" s="440" t="s">
        <v>28</v>
      </c>
      <c r="B211" s="632">
        <v>6183.1162897687436</v>
      </c>
      <c r="C211" s="632">
        <v>-4203.8082333100001</v>
      </c>
      <c r="D211" s="632">
        <v>6835.4547701200008</v>
      </c>
      <c r="E211" s="632">
        <v>11622.7870291</v>
      </c>
      <c r="F211" s="1473">
        <v>10674.527353169999</v>
      </c>
    </row>
    <row r="212" spans="1:6" ht="15" customHeight="1">
      <c r="A212" s="440" t="s">
        <v>29</v>
      </c>
      <c r="B212" s="632">
        <v>6258.0206035702868</v>
      </c>
      <c r="C212" s="632">
        <v>-2708.6279168599999</v>
      </c>
      <c r="D212" s="632">
        <v>7063.5436390000013</v>
      </c>
      <c r="E212" s="632">
        <v>13125.27651143</v>
      </c>
      <c r="F212" s="1473">
        <v>12152.50801965</v>
      </c>
    </row>
    <row r="213" spans="1:6" ht="15" customHeight="1">
      <c r="A213" s="440" t="s">
        <v>2375</v>
      </c>
      <c r="B213" s="632"/>
      <c r="C213" s="632"/>
      <c r="D213" s="632"/>
      <c r="E213" s="632"/>
      <c r="F213" s="1473"/>
    </row>
    <row r="214" spans="1:6" ht="15" customHeight="1">
      <c r="A214" s="440" t="s">
        <v>18</v>
      </c>
      <c r="B214" s="632">
        <v>6340.7729967071782</v>
      </c>
      <c r="C214" s="632">
        <v>-3287.0138509499993</v>
      </c>
      <c r="D214" s="632">
        <v>6709.1017183400018</v>
      </c>
      <c r="E214" s="632">
        <v>12602.824915190002</v>
      </c>
      <c r="F214" s="1473">
        <v>11543.405625900001</v>
      </c>
    </row>
    <row r="215" spans="1:6" ht="15" customHeight="1">
      <c r="A215" s="440" t="s">
        <v>19</v>
      </c>
      <c r="B215" s="632">
        <v>6400.8807681514218</v>
      </c>
      <c r="C215" s="632">
        <v>-3162.4534499199999</v>
      </c>
      <c r="D215" s="632">
        <v>6782.756077510001</v>
      </c>
      <c r="E215" s="632">
        <v>13348.45337465</v>
      </c>
      <c r="F215" s="1473">
        <v>12112.34670455</v>
      </c>
    </row>
    <row r="216" spans="1:6" ht="15" customHeight="1">
      <c r="A216" s="440" t="s">
        <v>20</v>
      </c>
      <c r="B216" s="632">
        <v>6393.8471483803569</v>
      </c>
      <c r="C216" s="632">
        <v>-5419.3984246500004</v>
      </c>
      <c r="D216" s="632">
        <v>7233.0431053200009</v>
      </c>
      <c r="E216" s="632">
        <v>11360.740389489998</v>
      </c>
      <c r="F216" s="1473">
        <v>10066.898366729998</v>
      </c>
    </row>
    <row r="217" spans="1:6" ht="15" customHeight="1">
      <c r="A217" s="440" t="s">
        <v>21</v>
      </c>
      <c r="B217" s="632">
        <v>6401.7439822555543</v>
      </c>
      <c r="C217" s="632">
        <v>-5590.8061241599999</v>
      </c>
      <c r="D217" s="632">
        <v>7135.3754791000001</v>
      </c>
      <c r="E217" s="632">
        <v>11773.892088780001</v>
      </c>
      <c r="F217" s="1473">
        <v>10065.709438690001</v>
      </c>
    </row>
    <row r="218" spans="1:6" ht="15" customHeight="1">
      <c r="A218" s="440" t="s">
        <v>22</v>
      </c>
      <c r="B218" s="632">
        <v>6414.3893862143032</v>
      </c>
      <c r="C218" s="632">
        <v>-5110.02644384</v>
      </c>
      <c r="D218" s="632">
        <v>7578.2025643600009</v>
      </c>
      <c r="E218" s="632">
        <v>12480.829736399999</v>
      </c>
      <c r="F218" s="1473">
        <v>10921.206972239999</v>
      </c>
    </row>
    <row r="219" spans="1:6" ht="15" customHeight="1">
      <c r="A219" s="440" t="s">
        <v>23</v>
      </c>
      <c r="B219" s="632">
        <v>6436.3122981789302</v>
      </c>
      <c r="C219" s="632">
        <v>-4235.5488188700001</v>
      </c>
      <c r="D219" s="632">
        <v>7380.5318115800001</v>
      </c>
      <c r="E219" s="632">
        <v>12754.724676150001</v>
      </c>
      <c r="F219" s="1473">
        <v>11251.77431065</v>
      </c>
    </row>
    <row r="220" spans="1:6" ht="15" customHeight="1">
      <c r="A220" s="440" t="s">
        <v>24</v>
      </c>
      <c r="B220" s="632">
        <v>6468.6836759924481</v>
      </c>
      <c r="C220" s="632">
        <v>-3904.2695486899993</v>
      </c>
      <c r="D220" s="632">
        <v>7335.5055478800004</v>
      </c>
      <c r="E220" s="632">
        <v>12771.147726130002</v>
      </c>
      <c r="F220" s="1473">
        <v>11676.935499960002</v>
      </c>
    </row>
    <row r="221" spans="1:6" ht="15" customHeight="1">
      <c r="A221" s="440" t="s">
        <v>25</v>
      </c>
      <c r="B221" s="632">
        <v>6483.8689124108132</v>
      </c>
      <c r="C221" s="632">
        <v>-3471.8620452799996</v>
      </c>
      <c r="D221" s="632">
        <v>7273.2242030200014</v>
      </c>
      <c r="E221" s="632">
        <v>13012.733262090003</v>
      </c>
      <c r="F221" s="1473">
        <v>11907.489257140003</v>
      </c>
    </row>
    <row r="222" spans="1:6" ht="15" customHeight="1">
      <c r="A222" s="440" t="s">
        <v>26</v>
      </c>
      <c r="B222" s="632">
        <v>6491.3905920541256</v>
      </c>
      <c r="C222" s="632">
        <v>-2979.2559676599999</v>
      </c>
      <c r="D222" s="632">
        <v>7201.7986901900003</v>
      </c>
      <c r="E222" s="632">
        <v>13233.603302260002</v>
      </c>
      <c r="F222" s="1473">
        <v>12230.095657750002</v>
      </c>
    </row>
    <row r="223" spans="1:6" ht="15" customHeight="1">
      <c r="A223" s="440" t="s">
        <v>27</v>
      </c>
      <c r="B223" s="632">
        <v>6467.7717844155541</v>
      </c>
      <c r="C223" s="632">
        <v>-3995.3252026900004</v>
      </c>
      <c r="D223" s="632">
        <v>7055.5868399400006</v>
      </c>
      <c r="E223" s="632">
        <v>13477.575708620003</v>
      </c>
      <c r="F223" s="632">
        <v>12103.611000920002</v>
      </c>
    </row>
    <row r="224" spans="1:6" ht="15" customHeight="1">
      <c r="A224" s="440" t="s">
        <v>28</v>
      </c>
      <c r="B224" s="632">
        <v>6411.455882902359</v>
      </c>
      <c r="C224" s="632">
        <v>-5778.4019707999987</v>
      </c>
      <c r="D224" s="632">
        <v>7069.2307145700006</v>
      </c>
      <c r="E224" s="632">
        <v>13241.241082749999</v>
      </c>
      <c r="F224" s="632">
        <v>11803.62807689</v>
      </c>
    </row>
    <row r="225" spans="1:6" ht="15" customHeight="1">
      <c r="A225" s="440" t="s">
        <v>29</v>
      </c>
      <c r="B225" s="632">
        <v>6369.4441464616193</v>
      </c>
      <c r="C225" s="632">
        <v>-4624.8777174899997</v>
      </c>
      <c r="D225" s="632">
        <v>7247.4852294600005</v>
      </c>
      <c r="E225" s="632">
        <v>15052.883723020001</v>
      </c>
      <c r="F225" s="632">
        <v>13564.16827113</v>
      </c>
    </row>
    <row r="226" spans="1:6" ht="15" customHeight="1">
      <c r="A226" s="440" t="s">
        <v>2537</v>
      </c>
      <c r="B226" s="632"/>
      <c r="C226" s="632"/>
      <c r="D226" s="632"/>
      <c r="E226" s="632"/>
      <c r="F226" s="632"/>
    </row>
    <row r="227" spans="1:6" ht="15" customHeight="1">
      <c r="A227" s="440" t="s">
        <v>18</v>
      </c>
      <c r="B227" s="632">
        <v>6365.2239446115764</v>
      </c>
      <c r="C227" s="632">
        <v>-5686.6431226799996</v>
      </c>
      <c r="D227" s="632">
        <v>7176.0321009200015</v>
      </c>
      <c r="E227" s="632">
        <v>14109.267730200003</v>
      </c>
      <c r="F227" s="632">
        <v>12782.042175830002</v>
      </c>
    </row>
    <row r="228" spans="1:6" ht="15" customHeight="1">
      <c r="A228" s="440" t="s">
        <v>19</v>
      </c>
      <c r="B228" s="632">
        <v>6367.6196156170399</v>
      </c>
      <c r="C228" s="632">
        <v>-5365.1246469100006</v>
      </c>
      <c r="D228" s="632">
        <v>7160.0462225800002</v>
      </c>
      <c r="E228" s="632">
        <v>14148.474008169998</v>
      </c>
      <c r="F228" s="1473">
        <v>12862.995351079999</v>
      </c>
    </row>
    <row r="229" spans="1:6" ht="15" customHeight="1">
      <c r="A229" s="440" t="s">
        <v>20</v>
      </c>
      <c r="B229" s="632">
        <v>6356.2219111099384</v>
      </c>
      <c r="C229" s="632">
        <v>-5063.72947346</v>
      </c>
      <c r="D229" s="632">
        <v>7344.3984332100017</v>
      </c>
      <c r="E229" s="632">
        <v>14820.991516580003</v>
      </c>
      <c r="F229" s="1473">
        <v>13314.967326430002</v>
      </c>
    </row>
    <row r="230" spans="1:6" ht="15" customHeight="1">
      <c r="A230" s="440" t="s">
        <v>21</v>
      </c>
      <c r="B230" s="632">
        <v>6367.61768075076</v>
      </c>
      <c r="C230" s="632">
        <v>-5161.56357862</v>
      </c>
      <c r="D230" s="632">
        <v>7476.923160639999</v>
      </c>
      <c r="E230" s="632">
        <v>14692.819125990001</v>
      </c>
      <c r="F230" s="1473">
        <v>13281.584169410002</v>
      </c>
    </row>
    <row r="231" spans="1:6" ht="15" customHeight="1">
      <c r="A231" s="440" t="s">
        <v>22</v>
      </c>
      <c r="B231" s="632">
        <v>6460.3514766113285</v>
      </c>
      <c r="C231" s="632">
        <v>-4916.160488030001</v>
      </c>
      <c r="D231" s="632">
        <v>7617.4630409200017</v>
      </c>
      <c r="E231" s="632">
        <v>15189.946663819999</v>
      </c>
      <c r="F231" s="1473">
        <v>13856.76540126</v>
      </c>
    </row>
    <row r="232" spans="1:6" ht="15" customHeight="1">
      <c r="A232" s="440" t="s">
        <v>23</v>
      </c>
      <c r="B232" s="632">
        <v>6455.2589645242306</v>
      </c>
      <c r="C232" s="632">
        <v>-4488.5164425100002</v>
      </c>
      <c r="D232" s="632">
        <v>7707.6243373399993</v>
      </c>
      <c r="E232" s="632">
        <v>15181.921383729999</v>
      </c>
      <c r="F232" s="1473">
        <v>13802.977317270001</v>
      </c>
    </row>
    <row r="233" spans="1:6" ht="15" customHeight="1">
      <c r="A233" s="440" t="s">
        <v>24</v>
      </c>
      <c r="B233" s="632">
        <v>6496.5122216975496</v>
      </c>
      <c r="C233" s="632">
        <v>-4763.9436396600004</v>
      </c>
      <c r="D233" s="632">
        <v>7985.5146329300005</v>
      </c>
      <c r="E233" s="632">
        <v>15643.82057193</v>
      </c>
      <c r="F233" s="1473">
        <v>14213.38429102</v>
      </c>
    </row>
    <row r="234" spans="1:6" ht="15" customHeight="1">
      <c r="A234" s="440" t="s">
        <v>25</v>
      </c>
      <c r="B234" s="632">
        <v>7042.5534806167352</v>
      </c>
      <c r="C234" s="632">
        <v>-4671.2393571499997</v>
      </c>
      <c r="D234" s="632">
        <v>7973.3876551199992</v>
      </c>
      <c r="E234" s="632">
        <v>15460.227133350001</v>
      </c>
      <c r="F234" s="1473">
        <v>14172.33178405</v>
      </c>
    </row>
    <row r="235" spans="1:6" ht="15" customHeight="1">
      <c r="A235" s="440" t="s">
        <v>26</v>
      </c>
      <c r="B235" s="632">
        <v>7033.8460781342592</v>
      </c>
      <c r="C235" s="632">
        <v>-4425.93041816</v>
      </c>
      <c r="D235" s="632">
        <v>7966.7005941000007</v>
      </c>
      <c r="E235" s="632">
        <v>15724.71971781</v>
      </c>
      <c r="F235" s="1473">
        <v>14498.74134884</v>
      </c>
    </row>
    <row r="236" spans="1:6" ht="15" customHeight="1">
      <c r="A236" s="440" t="s">
        <v>27</v>
      </c>
      <c r="B236" s="632">
        <v>7041.1274565992717</v>
      </c>
      <c r="C236" s="632">
        <v>-4657.1851116900007</v>
      </c>
      <c r="D236" s="632">
        <v>8044.584765730001</v>
      </c>
      <c r="E236" s="632">
        <v>16065.780464840003</v>
      </c>
      <c r="F236" s="1473">
        <v>14621.233465130003</v>
      </c>
    </row>
    <row r="237" spans="1:6" ht="15" customHeight="1">
      <c r="A237" s="440" t="s">
        <v>28</v>
      </c>
      <c r="B237" s="632">
        <v>7018.6619981789727</v>
      </c>
      <c r="C237" s="632">
        <v>-4713.0293249899996</v>
      </c>
      <c r="D237" s="632">
        <v>7989.4385309900008</v>
      </c>
      <c r="E237" s="632">
        <v>15487.161826160002</v>
      </c>
      <c r="F237" s="1473">
        <v>14279.102331930002</v>
      </c>
    </row>
    <row r="238" spans="1:6" ht="15" customHeight="1">
      <c r="A238" s="440" t="s">
        <v>29</v>
      </c>
      <c r="B238" s="632">
        <v>7074.9986620290329</v>
      </c>
      <c r="C238" s="632">
        <v>-3678.7917116100002</v>
      </c>
      <c r="D238" s="632">
        <v>10377.256796000001</v>
      </c>
      <c r="E238" s="632">
        <v>19761.4066164</v>
      </c>
      <c r="F238" s="1473">
        <v>17937.554502260002</v>
      </c>
    </row>
    <row r="239" spans="1:6" ht="15" customHeight="1">
      <c r="A239" s="440" t="s">
        <v>2827</v>
      </c>
      <c r="B239" s="632"/>
      <c r="C239" s="632"/>
      <c r="D239" s="632"/>
      <c r="E239" s="632"/>
      <c r="F239" s="1473"/>
    </row>
    <row r="240" spans="1:6" ht="15" customHeight="1">
      <c r="A240" s="440" t="s">
        <v>18</v>
      </c>
      <c r="B240" s="632">
        <v>7074.1164971587641</v>
      </c>
      <c r="C240" s="632">
        <v>-5550.7281721899999</v>
      </c>
      <c r="D240" s="632">
        <v>7769.2752748100011</v>
      </c>
      <c r="E240" s="632">
        <v>15421.207929630002</v>
      </c>
      <c r="F240" s="1473">
        <v>14044.248861950002</v>
      </c>
    </row>
    <row r="241" spans="1:6" ht="15" customHeight="1">
      <c r="A241" s="440" t="s">
        <v>19</v>
      </c>
      <c r="B241" s="632">
        <v>7159.9415331700329</v>
      </c>
      <c r="C241" s="632">
        <v>-5596.7439958600007</v>
      </c>
      <c r="D241" s="632">
        <v>7394.290647079999</v>
      </c>
      <c r="E241" s="632">
        <v>15368.86442881</v>
      </c>
      <c r="F241" s="1473">
        <v>13945.622092490001</v>
      </c>
    </row>
    <row r="242" spans="1:6" ht="15" customHeight="1">
      <c r="A242" s="440" t="s">
        <v>20</v>
      </c>
      <c r="B242" s="632">
        <v>7138.4432596318493</v>
      </c>
      <c r="C242" s="632">
        <v>-5195.5820095700001</v>
      </c>
      <c r="D242" s="632">
        <v>7457.9275879099996</v>
      </c>
      <c r="E242" s="632">
        <v>16403.964037680002</v>
      </c>
      <c r="F242" s="1473">
        <v>14359.583505760002</v>
      </c>
    </row>
    <row r="243" spans="1:6" ht="15" customHeight="1">
      <c r="A243" s="440" t="s">
        <v>21</v>
      </c>
      <c r="B243" s="632">
        <v>7087.7539344771021</v>
      </c>
      <c r="C243" s="632">
        <v>-5378.4392237499997</v>
      </c>
      <c r="D243" s="632">
        <v>7569.0245239100004</v>
      </c>
      <c r="E243" s="632">
        <v>16012.793593580001</v>
      </c>
      <c r="F243" s="1473">
        <v>14564.534771010003</v>
      </c>
    </row>
    <row r="244" spans="1:6" ht="15" customHeight="1">
      <c r="A244" s="440" t="s">
        <v>22</v>
      </c>
      <c r="B244" s="632">
        <v>7230.7002711399946</v>
      </c>
      <c r="C244" s="632">
        <v>-4721.1143639700003</v>
      </c>
      <c r="D244" s="632">
        <v>7558.7193815199989</v>
      </c>
      <c r="E244" s="632">
        <v>17025.012353530001</v>
      </c>
      <c r="F244" s="1473">
        <v>14883.586254350002</v>
      </c>
    </row>
    <row r="245" spans="1:6" ht="15" customHeight="1">
      <c r="A245" s="440" t="s">
        <v>23</v>
      </c>
      <c r="B245" s="632">
        <v>7371.9023554278556</v>
      </c>
      <c r="C245" s="632">
        <v>-4194.7042865000003</v>
      </c>
      <c r="D245" s="632">
        <v>7620.6238561700011</v>
      </c>
      <c r="E245" s="632">
        <v>17530.809179430002</v>
      </c>
      <c r="F245" s="1473">
        <v>15652.816622270002</v>
      </c>
    </row>
    <row r="246" spans="1:6" ht="15" customHeight="1">
      <c r="A246" s="440" t="s">
        <v>24</v>
      </c>
      <c r="B246" s="632">
        <v>7407.2260309142139</v>
      </c>
      <c r="C246" s="632">
        <v>-4525.2426090199997</v>
      </c>
      <c r="D246" s="632">
        <v>8432.5998922600011</v>
      </c>
      <c r="E246" s="632">
        <v>18015.001649310001</v>
      </c>
      <c r="F246" s="1473">
        <v>16120.4379274</v>
      </c>
    </row>
    <row r="247" spans="1:6" ht="15" customHeight="1">
      <c r="A247" s="440" t="s">
        <v>25</v>
      </c>
      <c r="B247" s="632">
        <v>7503.5704006588585</v>
      </c>
      <c r="C247" s="632">
        <v>-3983.4663426900006</v>
      </c>
      <c r="D247" s="632">
        <v>7983.3315921000003</v>
      </c>
      <c r="E247" s="632">
        <v>17855.30838563</v>
      </c>
      <c r="F247" s="1473">
        <v>16204.82873126</v>
      </c>
    </row>
    <row r="248" spans="1:6" ht="15" customHeight="1">
      <c r="A248" s="440" t="s">
        <v>26</v>
      </c>
      <c r="B248" s="632">
        <v>7667.3034434579577</v>
      </c>
      <c r="C248" s="632">
        <v>-3804.66978715</v>
      </c>
      <c r="D248" s="632">
        <v>7565.5794774799997</v>
      </c>
      <c r="E248" s="632">
        <v>17703.294185750001</v>
      </c>
      <c r="F248" s="1473">
        <v>16144.852498050001</v>
      </c>
    </row>
    <row r="249" spans="1:6" ht="15" customHeight="1">
      <c r="A249" s="440" t="s">
        <v>27</v>
      </c>
      <c r="B249" s="632">
        <v>7803.0407141027363</v>
      </c>
      <c r="C249" s="632">
        <v>-5615.8449982399998</v>
      </c>
      <c r="D249" s="632">
        <v>7284.0996847800006</v>
      </c>
      <c r="E249" s="632">
        <v>18408.423289830003</v>
      </c>
      <c r="F249" s="1473">
        <v>16670.989240350005</v>
      </c>
    </row>
    <row r="250" spans="1:6" ht="15" customHeight="1">
      <c r="A250" s="440" t="s">
        <v>28</v>
      </c>
      <c r="B250" s="632">
        <v>7969.2328116736553</v>
      </c>
      <c r="C250" s="632">
        <v>-3318.5968028500001</v>
      </c>
      <c r="D250" s="632">
        <v>7054.2474867400015</v>
      </c>
      <c r="E250" s="632">
        <v>18753.574553070001</v>
      </c>
      <c r="F250" s="1473">
        <v>16708.172107660001</v>
      </c>
    </row>
    <row r="251" spans="1:6" ht="15" customHeight="1">
      <c r="A251" s="440" t="s">
        <v>29</v>
      </c>
      <c r="B251" s="632">
        <v>8995.6599256680947</v>
      </c>
      <c r="C251" s="632">
        <v>-3975.8979470100003</v>
      </c>
      <c r="D251" s="632">
        <v>7439.7436596900025</v>
      </c>
      <c r="E251" s="632">
        <v>20900.260452980005</v>
      </c>
      <c r="F251" s="1473">
        <v>17460.274460720004</v>
      </c>
    </row>
    <row r="252" spans="1:6" ht="15" customHeight="1">
      <c r="A252" s="440" t="s">
        <v>3518</v>
      </c>
      <c r="B252" s="632"/>
      <c r="C252" s="632"/>
      <c r="D252" s="632"/>
      <c r="E252" s="632"/>
      <c r="F252" s="1473"/>
    </row>
    <row r="253" spans="1:6" ht="15" customHeight="1">
      <c r="A253" s="440" t="s">
        <v>18</v>
      </c>
      <c r="B253" s="632">
        <v>9061.4186246267673</v>
      </c>
      <c r="C253" s="632">
        <v>-6395.5264805099996</v>
      </c>
      <c r="D253" s="632">
        <v>7398.0067534700011</v>
      </c>
      <c r="E253" s="632">
        <v>18626.765334310003</v>
      </c>
      <c r="F253" s="1473">
        <v>16884.882542810003</v>
      </c>
    </row>
    <row r="254" spans="1:6" ht="15" customHeight="1">
      <c r="A254" s="440" t="s">
        <v>19</v>
      </c>
      <c r="B254" s="632">
        <v>9043.7945346232045</v>
      </c>
      <c r="C254" s="632">
        <v>-3911.0864986299998</v>
      </c>
      <c r="D254" s="632">
        <v>7225.250141290001</v>
      </c>
      <c r="E254" s="632">
        <v>18911.679152650006</v>
      </c>
      <c r="F254" s="1473">
        <v>17248.685680310005</v>
      </c>
    </row>
    <row r="255" spans="1:6" ht="15" customHeight="1">
      <c r="A255" s="440" t="s">
        <v>20</v>
      </c>
      <c r="B255" s="632">
        <v>9132.9696203952972</v>
      </c>
      <c r="C255" s="632">
        <v>-3386.1758224199998</v>
      </c>
      <c r="D255" s="632">
        <v>7330.9293727400018</v>
      </c>
      <c r="E255" s="632">
        <v>19438.388410329997</v>
      </c>
      <c r="F255" s="1473">
        <v>17688.949252909999</v>
      </c>
    </row>
    <row r="256" spans="1:6" ht="15" customHeight="1">
      <c r="A256" s="440" t="s">
        <v>21</v>
      </c>
      <c r="B256" s="632">
        <v>9189.1734194612563</v>
      </c>
      <c r="C256" s="632">
        <v>-5002.6237481099997</v>
      </c>
      <c r="D256" s="632">
        <v>7447.0475746000011</v>
      </c>
      <c r="E256" s="632">
        <v>19024.700017860003</v>
      </c>
      <c r="F256" s="1473">
        <v>17609.946463520002</v>
      </c>
    </row>
    <row r="257" spans="1:6" ht="15" customHeight="1">
      <c r="A257" s="440" t="s">
        <v>22</v>
      </c>
      <c r="B257" s="632">
        <v>9175.6953275939704</v>
      </c>
      <c r="C257" s="632">
        <v>-3499.743418779999</v>
      </c>
      <c r="D257" s="632">
        <v>7174.5069328100017</v>
      </c>
      <c r="E257" s="632">
        <v>19116.760338709999</v>
      </c>
      <c r="F257" s="1473">
        <v>17350.46711112</v>
      </c>
    </row>
    <row r="258" spans="1:6" ht="15" customHeight="1">
      <c r="A258" s="440" t="s">
        <v>23</v>
      </c>
      <c r="B258" s="632">
        <v>9195.9375092697155</v>
      </c>
      <c r="C258" s="632">
        <v>-2819.0936198099998</v>
      </c>
      <c r="D258" s="632">
        <v>7551.3787672899998</v>
      </c>
      <c r="E258" s="632">
        <v>19963.433359180006</v>
      </c>
      <c r="F258" s="1473">
        <v>18401.718879660006</v>
      </c>
    </row>
    <row r="259" spans="1:6" ht="15" customHeight="1">
      <c r="A259" s="440" t="s">
        <v>24</v>
      </c>
      <c r="B259" s="632">
        <v>9243.980611007044</v>
      </c>
      <c r="C259" s="632">
        <v>-2483.9864068499996</v>
      </c>
      <c r="D259" s="632">
        <v>6808.8231565200022</v>
      </c>
      <c r="E259" s="632">
        <v>19566.763979630003</v>
      </c>
      <c r="F259" s="1473">
        <v>18262.643928190002</v>
      </c>
    </row>
    <row r="260" spans="1:6" ht="15" customHeight="1">
      <c r="A260" s="440" t="s">
        <v>25</v>
      </c>
      <c r="B260" s="632">
        <v>9364.3780010023911</v>
      </c>
      <c r="C260" s="632">
        <v>-3077.4013341000004</v>
      </c>
      <c r="D260" s="632">
        <v>6614.8793767499992</v>
      </c>
      <c r="E260" s="632">
        <v>19816.583937430001</v>
      </c>
      <c r="F260" s="1473">
        <v>18116.87461454</v>
      </c>
    </row>
    <row r="261" spans="1:6" ht="15" customHeight="1">
      <c r="A261" s="1496" t="s">
        <v>26</v>
      </c>
      <c r="B261" s="1497">
        <v>9775.339752447635</v>
      </c>
      <c r="C261" s="1497">
        <v>-2829.4028629499999</v>
      </c>
      <c r="D261" s="1497">
        <v>6006.2833440400009</v>
      </c>
      <c r="E261" s="1497">
        <v>19432.514785309999</v>
      </c>
      <c r="F261" s="1498">
        <v>17896.178054439999</v>
      </c>
    </row>
    <row r="262" spans="1:6" ht="15" customHeight="1">
      <c r="A262" s="1496" t="s">
        <v>27</v>
      </c>
      <c r="B262" s="1497">
        <v>10508.115744740609</v>
      </c>
      <c r="C262" s="1497">
        <v>-3551.1388759000001</v>
      </c>
      <c r="D262" s="1497">
        <v>5807.1684552400002</v>
      </c>
      <c r="E262" s="1497">
        <v>19955.28193134</v>
      </c>
      <c r="F262" s="1498">
        <v>18401.99067264</v>
      </c>
    </row>
    <row r="263" spans="1:6" ht="15" customHeight="1">
      <c r="A263" s="1496" t="s">
        <v>28</v>
      </c>
      <c r="B263" s="1497">
        <v>10615.905396279366</v>
      </c>
      <c r="C263" s="1497">
        <v>-4263.8929406899997</v>
      </c>
      <c r="D263" s="1497">
        <v>5482.2620358900003</v>
      </c>
      <c r="E263" s="1497">
        <v>19752.470663329997</v>
      </c>
      <c r="F263" s="1498">
        <v>18334.378930759998</v>
      </c>
    </row>
    <row r="264" spans="1:6" ht="15" customHeight="1">
      <c r="A264" s="1496" t="s">
        <v>29</v>
      </c>
      <c r="B264" s="1497">
        <v>11612.954205166468</v>
      </c>
      <c r="C264" s="1497">
        <v>-3205.0042044599995</v>
      </c>
      <c r="D264" s="1497">
        <v>6557.4268872899993</v>
      </c>
      <c r="E264" s="1497">
        <v>23884.63747682</v>
      </c>
      <c r="F264" s="1498">
        <v>20875.191369710003</v>
      </c>
    </row>
    <row r="265" spans="1:6" ht="15" customHeight="1">
      <c r="A265" s="1496" t="s">
        <v>3989</v>
      </c>
      <c r="B265" s="1497"/>
      <c r="C265" s="1497"/>
      <c r="D265" s="1497"/>
      <c r="E265" s="1497"/>
      <c r="F265" s="1498"/>
    </row>
    <row r="266" spans="1:6" ht="15" customHeight="1">
      <c r="A266" s="1496" t="s">
        <v>18</v>
      </c>
      <c r="B266" s="1497">
        <v>11637.045374008969</v>
      </c>
      <c r="C266" s="1497">
        <v>-3930.7708726500005</v>
      </c>
      <c r="D266" s="1497">
        <v>6893.9515966200006</v>
      </c>
      <c r="E266" s="1497">
        <v>22781.832874150001</v>
      </c>
      <c r="F266" s="1498">
        <v>20271.14124787</v>
      </c>
    </row>
    <row r="267" spans="1:6" ht="15" customHeight="1">
      <c r="A267" s="1496" t="s">
        <v>19</v>
      </c>
      <c r="B267" s="1497">
        <v>11650.322749046125</v>
      </c>
      <c r="C267" s="1497">
        <v>-4162.1633163699998</v>
      </c>
      <c r="D267" s="1497">
        <v>6938.1763717800022</v>
      </c>
      <c r="E267" s="1497">
        <v>23030.41038677</v>
      </c>
      <c r="F267" s="1498">
        <v>20131.75628383</v>
      </c>
    </row>
    <row r="268" spans="1:6" ht="15" customHeight="1">
      <c r="A268" s="1496" t="s">
        <v>20</v>
      </c>
      <c r="B268" s="1497">
        <v>11654.375663775209</v>
      </c>
      <c r="C268" s="1497">
        <v>-4336.0972200300002</v>
      </c>
      <c r="D268" s="1497">
        <v>7635.2835488799992</v>
      </c>
      <c r="E268" s="1497">
        <v>23966.717804100001</v>
      </c>
      <c r="F268" s="1498">
        <v>20396.378195500001</v>
      </c>
    </row>
    <row r="269" spans="1:6" ht="15" customHeight="1">
      <c r="A269" s="1496" t="s">
        <v>21</v>
      </c>
      <c r="B269" s="1497">
        <v>11660.7606919142</v>
      </c>
      <c r="C269" s="1497">
        <v>-5991.6178125900005</v>
      </c>
      <c r="D269" s="1497">
        <v>8310.2467675999997</v>
      </c>
      <c r="E269" s="1497">
        <v>22898.340120140001</v>
      </c>
      <c r="F269" s="1498">
        <v>19995.864733509999</v>
      </c>
    </row>
    <row r="270" spans="1:6" ht="15" customHeight="1">
      <c r="A270" s="1496" t="s">
        <v>22</v>
      </c>
      <c r="B270" s="1497">
        <v>11713.707460050991</v>
      </c>
      <c r="C270" s="1497">
        <v>-5703.0530645500003</v>
      </c>
      <c r="D270" s="1497">
        <v>8270.0869144899989</v>
      </c>
      <c r="E270" s="1497">
        <v>22581.131786770005</v>
      </c>
      <c r="F270" s="1498">
        <v>19948.032343850005</v>
      </c>
    </row>
    <row r="271" spans="1:6" ht="15" customHeight="1">
      <c r="A271" s="1496" t="s">
        <v>23</v>
      </c>
      <c r="B271" s="1497">
        <v>11737.639278279668</v>
      </c>
      <c r="C271" s="1497">
        <v>-5498.9555882700006</v>
      </c>
      <c r="D271" s="1497">
        <v>8552.1985389399997</v>
      </c>
      <c r="E271" s="1497">
        <v>23250.641038410002</v>
      </c>
      <c r="F271" s="1498">
        <v>20401.02812454</v>
      </c>
    </row>
    <row r="272" spans="1:6" ht="15" customHeight="1">
      <c r="A272" s="1496" t="s">
        <v>24</v>
      </c>
      <c r="B272" s="1497">
        <v>11765.655644892719</v>
      </c>
      <c r="C272" s="1497">
        <v>-5997.7600216200008</v>
      </c>
      <c r="D272" s="1497">
        <v>9318.1121273099998</v>
      </c>
      <c r="E272" s="1497">
        <v>23392.01512091</v>
      </c>
      <c r="F272" s="1498">
        <v>20731.47916151</v>
      </c>
    </row>
    <row r="273" spans="1:6" ht="15" customHeight="1">
      <c r="A273" s="1496" t="s">
        <v>25</v>
      </c>
      <c r="B273" s="1497">
        <v>11783.502659017446</v>
      </c>
      <c r="C273" s="1497">
        <v>-6057.2638356700008</v>
      </c>
      <c r="D273" s="1497">
        <v>9419.8330064299989</v>
      </c>
      <c r="E273" s="1497">
        <v>23205.413315220001</v>
      </c>
      <c r="F273" s="1498">
        <v>20549.979732190004</v>
      </c>
    </row>
    <row r="274" spans="1:6" ht="15" customHeight="1">
      <c r="A274" s="1496" t="s">
        <v>26</v>
      </c>
      <c r="B274" s="1497">
        <v>11795.756150092047</v>
      </c>
      <c r="C274" s="1497">
        <v>-5787.9582897400005</v>
      </c>
      <c r="D274" s="1497">
        <v>9616.1923217799995</v>
      </c>
      <c r="E274" s="1497">
        <v>23490.306349900002</v>
      </c>
      <c r="F274" s="1498">
        <v>20897.415117020002</v>
      </c>
    </row>
    <row r="275" spans="1:6" ht="15" customHeight="1">
      <c r="A275" s="1496" t="s">
        <v>27</v>
      </c>
      <c r="B275" s="1497">
        <v>11371.705831574733</v>
      </c>
      <c r="C275" s="1497">
        <v>-8456.2468911199994</v>
      </c>
      <c r="D275" s="1497">
        <v>10353.863988430001</v>
      </c>
      <c r="E275" s="1497">
        <v>22705.601071549998</v>
      </c>
      <c r="F275" s="1498">
        <v>20474.897506489997</v>
      </c>
    </row>
    <row r="276" spans="1:6" ht="15" customHeight="1">
      <c r="A276" s="1496" t="s">
        <v>28</v>
      </c>
      <c r="B276" s="1497">
        <v>10967.777208517122</v>
      </c>
      <c r="C276" s="1497">
        <v>-8927.4909727199993</v>
      </c>
      <c r="D276" s="1497">
        <v>10222.560912049998</v>
      </c>
      <c r="E276" s="1497">
        <v>23074.21479111</v>
      </c>
      <c r="F276" s="1498">
        <v>20576.83058166</v>
      </c>
    </row>
    <row r="277" spans="1:6" ht="15" customHeight="1">
      <c r="A277" s="1496" t="s">
        <v>29</v>
      </c>
      <c r="B277" s="1497">
        <v>10959.492945433205</v>
      </c>
      <c r="C277" s="1497">
        <v>-7601.0522956799996</v>
      </c>
      <c r="D277" s="1497">
        <v>9429.5415706500007</v>
      </c>
      <c r="E277" s="1497">
        <v>23717.918324089995</v>
      </c>
      <c r="F277" s="1498">
        <v>20916.522813409996</v>
      </c>
    </row>
    <row r="278" spans="1:6" ht="15" customHeight="1">
      <c r="A278" s="1496" t="s">
        <v>4222</v>
      </c>
      <c r="B278" s="1497"/>
      <c r="C278" s="1497"/>
      <c r="D278" s="1497"/>
      <c r="E278" s="1497"/>
      <c r="F278" s="1498"/>
    </row>
    <row r="279" spans="1:6" ht="15" customHeight="1">
      <c r="A279" s="1496" t="s">
        <v>18</v>
      </c>
      <c r="B279" s="1497">
        <v>10988.472546699591</v>
      </c>
      <c r="C279" s="1497">
        <v>-9855.2629054999998</v>
      </c>
      <c r="D279" s="1497">
        <v>10868.05867556</v>
      </c>
      <c r="E279" s="1497">
        <v>22441.515983489997</v>
      </c>
      <c r="F279" s="1498">
        <v>20124.054502159997</v>
      </c>
    </row>
    <row r="280" spans="1:6" ht="15" customHeight="1">
      <c r="A280" s="1496" t="s">
        <v>19</v>
      </c>
      <c r="B280" s="1497">
        <v>10991.814138455109</v>
      </c>
      <c r="C280" s="1497">
        <v>-8922.8289491800006</v>
      </c>
      <c r="D280" s="1497">
        <v>9887.6609110099998</v>
      </c>
      <c r="E280" s="1497">
        <v>22402.38915155</v>
      </c>
      <c r="F280" s="1498">
        <v>19841.950489480001</v>
      </c>
    </row>
    <row r="281" spans="1:6" ht="15" customHeight="1">
      <c r="A281" s="1496" t="s">
        <v>20</v>
      </c>
      <c r="B281" s="1497">
        <v>11026.511500749295</v>
      </c>
      <c r="C281" s="1497">
        <v>-8629.0262346300005</v>
      </c>
      <c r="D281" s="1497">
        <v>11411.70286711</v>
      </c>
      <c r="E281" s="1497">
        <v>23703.218129779998</v>
      </c>
      <c r="F281" s="1498">
        <v>21498.137739949998</v>
      </c>
    </row>
    <row r="282" spans="1:6" ht="15" customHeight="1">
      <c r="A282" s="1496" t="s">
        <v>21</v>
      </c>
      <c r="B282" s="1497">
        <v>11062.532702823944</v>
      </c>
      <c r="C282" s="1497">
        <v>-7782.1693591999992</v>
      </c>
      <c r="D282" s="1497">
        <v>9459.3551078599994</v>
      </c>
      <c r="E282" s="1497">
        <v>22939.986270530004</v>
      </c>
      <c r="F282" s="1498">
        <v>20719.279020810005</v>
      </c>
    </row>
    <row r="283" spans="1:6" ht="15" customHeight="1">
      <c r="A283" s="1499" t="s">
        <v>22</v>
      </c>
      <c r="B283" s="1500">
        <v>11094.622833133466</v>
      </c>
      <c r="C283" s="1500">
        <v>-7049.70836676</v>
      </c>
      <c r="D283" s="1500">
        <v>8938.0947749000024</v>
      </c>
      <c r="E283" s="1500">
        <v>23105.795536869999</v>
      </c>
      <c r="F283" s="1501">
        <v>20629.666031459998</v>
      </c>
    </row>
    <row r="284" spans="1:6" s="778" customFormat="1" ht="30" customHeight="1">
      <c r="A284" s="2315" t="s">
        <v>2690</v>
      </c>
      <c r="B284" s="2315"/>
      <c r="C284" s="2315"/>
      <c r="D284" s="2315"/>
      <c r="E284" s="2315"/>
      <c r="F284" s="2343"/>
    </row>
    <row r="285" spans="1:6" ht="14.25" customHeight="1">
      <c r="A285" s="1475"/>
      <c r="B285" s="96"/>
      <c r="C285" s="96"/>
      <c r="D285" s="96"/>
      <c r="E285" s="96"/>
      <c r="F285" s="28"/>
    </row>
  </sheetData>
  <mergeCells count="4">
    <mergeCell ref="A2:F2"/>
    <mergeCell ref="A3:F3"/>
    <mergeCell ref="A5:F5"/>
    <mergeCell ref="A284:F284"/>
  </mergeCells>
  <pageMargins left="0.75" right="0.17" top="0.49" bottom="0.3" header="0.17" footer="0.17"/>
  <pageSetup scale="25"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rgb="FF92D050"/>
  </sheetPr>
  <dimension ref="A1:CD285"/>
  <sheetViews>
    <sheetView showGridLines="0" view="pageBreakPreview" zoomScale="115" zoomScaleSheetLayoutView="115" workbookViewId="0">
      <pane ySplit="15" topLeftCell="A272" activePane="bottomLeft" state="frozen"/>
      <selection activeCell="B39" sqref="B39"/>
      <selection pane="bottomLeft" activeCell="I290" sqref="I290"/>
    </sheetView>
  </sheetViews>
  <sheetFormatPr defaultColWidth="9.140625" defaultRowHeight="12.75"/>
  <cols>
    <col min="1" max="1" width="7.7109375" style="30" customWidth="1"/>
    <col min="2" max="7" width="17.140625" style="30" customWidth="1"/>
    <col min="8" max="8" width="17.85546875" style="30" customWidth="1"/>
    <col min="9" max="9" width="14.5703125" style="30" customWidth="1"/>
    <col min="10" max="10" width="17.7109375" style="30" customWidth="1"/>
    <col min="11" max="79" width="9.140625" style="30"/>
    <col min="80" max="80" width="0" style="30" hidden="1" customWidth="1"/>
    <col min="81" max="16384" width="9.140625" style="30"/>
  </cols>
  <sheetData>
    <row r="1" spans="1:82" ht="8.25" customHeight="1"/>
    <row r="2" spans="1:82" ht="18" customHeight="1">
      <c r="A2" s="2341" t="s">
        <v>2761</v>
      </c>
      <c r="B2" s="2341"/>
      <c r="C2" s="2341"/>
      <c r="D2" s="2341"/>
      <c r="E2" s="2341"/>
      <c r="F2" s="2341"/>
      <c r="G2" s="2341"/>
    </row>
    <row r="3" spans="1:82" ht="22.5" customHeight="1">
      <c r="A3" s="2349" t="s">
        <v>2727</v>
      </c>
      <c r="B3" s="2349"/>
      <c r="C3" s="2349"/>
      <c r="D3" s="2349"/>
      <c r="E3" s="2349"/>
      <c r="F3" s="2349"/>
      <c r="G3" s="2349"/>
    </row>
    <row r="4" spans="1:82">
      <c r="A4" s="535"/>
      <c r="B4" s="535"/>
      <c r="C4" s="535"/>
      <c r="D4" s="535"/>
      <c r="E4" s="535"/>
      <c r="F4" s="535"/>
      <c r="G4" s="535"/>
    </row>
    <row r="5" spans="1:82">
      <c r="A5" s="2340" t="s">
        <v>8</v>
      </c>
      <c r="B5" s="2340"/>
      <c r="C5" s="2340"/>
      <c r="D5" s="2340"/>
      <c r="E5" s="2340"/>
      <c r="F5" s="2340"/>
      <c r="G5" s="2340"/>
    </row>
    <row r="6" spans="1:82" s="44" customFormat="1" ht="21.75" customHeight="1">
      <c r="A6" s="2352" t="s">
        <v>182</v>
      </c>
      <c r="B6" s="2352" t="s">
        <v>116</v>
      </c>
      <c r="C6" s="2350" t="s">
        <v>122</v>
      </c>
      <c r="D6" s="2351"/>
      <c r="E6" s="2352" t="s">
        <v>2060</v>
      </c>
      <c r="F6" s="2352" t="s">
        <v>1320</v>
      </c>
      <c r="G6" s="2352" t="s">
        <v>1321</v>
      </c>
    </row>
    <row r="7" spans="1:82" s="44" customFormat="1" ht="30" customHeight="1">
      <c r="A7" s="2353"/>
      <c r="B7" s="2353"/>
      <c r="C7" s="633" t="s">
        <v>124</v>
      </c>
      <c r="D7" s="633" t="s">
        <v>2762</v>
      </c>
      <c r="E7" s="2353"/>
      <c r="F7" s="2353"/>
      <c r="G7" s="2353"/>
      <c r="CC7" s="44" t="s">
        <v>2062</v>
      </c>
      <c r="CD7" s="321" t="s">
        <v>2063</v>
      </c>
    </row>
    <row r="8" spans="1:82" ht="21.75" customHeight="1">
      <c r="A8" s="2344" t="s">
        <v>289</v>
      </c>
      <c r="B8" s="2344" t="s">
        <v>118</v>
      </c>
      <c r="C8" s="2347" t="s">
        <v>106</v>
      </c>
      <c r="D8" s="2348"/>
      <c r="E8" s="2344" t="s">
        <v>2818</v>
      </c>
      <c r="F8" s="2344" t="s">
        <v>1869</v>
      </c>
      <c r="G8" s="2344" t="s">
        <v>2018</v>
      </c>
      <c r="CD8" s="327"/>
    </row>
    <row r="9" spans="1:82" ht="23.25" customHeight="1">
      <c r="A9" s="2345"/>
      <c r="B9" s="2345"/>
      <c r="C9" s="634" t="s">
        <v>2796</v>
      </c>
      <c r="D9" s="634" t="s">
        <v>2763</v>
      </c>
      <c r="E9" s="2345"/>
      <c r="F9" s="2345"/>
      <c r="G9" s="2345"/>
      <c r="CC9" s="30" t="e">
        <f>#REF!+CC10</f>
        <v>#REF!</v>
      </c>
      <c r="CD9" s="327" t="e">
        <f>BY9+BZ9+CA9+CC9</f>
        <v>#REF!</v>
      </c>
    </row>
    <row r="10" spans="1:82" hidden="1">
      <c r="A10" s="31">
        <v>2000</v>
      </c>
      <c r="B10" s="447">
        <v>264.66000000000003</v>
      </c>
      <c r="C10" s="447">
        <v>350.7</v>
      </c>
      <c r="D10" s="447">
        <v>-86.56</v>
      </c>
      <c r="E10" s="447">
        <v>424.18</v>
      </c>
      <c r="F10" s="447">
        <v>55.46</v>
      </c>
      <c r="G10" s="448">
        <v>461.26</v>
      </c>
      <c r="CC10" s="30">
        <f>CC12+CC13</f>
        <v>-2648</v>
      </c>
      <c r="CD10" s="327">
        <f t="shared" ref="CD10:CD49" si="0">BY10+BZ10+CA10+CC10</f>
        <v>-2648</v>
      </c>
    </row>
    <row r="11" spans="1:82" ht="0.75" hidden="1" customHeight="1">
      <c r="A11" s="13"/>
      <c r="B11" s="28">
        <v>0</v>
      </c>
      <c r="C11" s="28">
        <v>0</v>
      </c>
      <c r="D11" s="28">
        <v>0</v>
      </c>
      <c r="E11" s="28">
        <v>0</v>
      </c>
      <c r="F11" s="28">
        <v>0</v>
      </c>
      <c r="G11" s="29">
        <v>0</v>
      </c>
      <c r="CD11" s="327"/>
    </row>
    <row r="12" spans="1:82" hidden="1">
      <c r="A12" s="13">
        <f>A10+1</f>
        <v>2001</v>
      </c>
      <c r="B12" s="28">
        <v>96.03</v>
      </c>
      <c r="C12" s="28">
        <v>182.09</v>
      </c>
      <c r="D12" s="28">
        <v>-87.9</v>
      </c>
      <c r="E12" s="28">
        <v>365.13</v>
      </c>
      <c r="F12" s="28">
        <v>55.845064331846004</v>
      </c>
      <c r="G12" s="29">
        <v>336.6</v>
      </c>
      <c r="CC12" s="30">
        <v>-367</v>
      </c>
      <c r="CD12" s="327">
        <f t="shared" si="0"/>
        <v>-367</v>
      </c>
    </row>
    <row r="13" spans="1:82" hidden="1">
      <c r="A13" s="13">
        <f>A12+1</f>
        <v>2002</v>
      </c>
      <c r="B13" s="28">
        <v>98.9</v>
      </c>
      <c r="C13" s="28">
        <v>204.44</v>
      </c>
      <c r="D13" s="28">
        <v>-105.88</v>
      </c>
      <c r="E13" s="28">
        <v>427.22</v>
      </c>
      <c r="F13" s="28">
        <v>70.12</v>
      </c>
      <c r="G13" s="29">
        <v>380.73416869058201</v>
      </c>
      <c r="CC13" s="30">
        <v>-2281</v>
      </c>
      <c r="CD13" s="327">
        <f t="shared" si="0"/>
        <v>-2281</v>
      </c>
    </row>
    <row r="14" spans="1:82" hidden="1">
      <c r="A14" s="13">
        <f>A13+1</f>
        <v>2003</v>
      </c>
      <c r="B14" s="28">
        <v>114.81</v>
      </c>
      <c r="C14" s="28">
        <v>220.33</v>
      </c>
      <c r="D14" s="28">
        <v>-106.99</v>
      </c>
      <c r="E14" s="28">
        <v>593.97</v>
      </c>
      <c r="F14" s="28">
        <v>110.86</v>
      </c>
      <c r="G14" s="29">
        <v>501.02</v>
      </c>
      <c r="CD14" s="327"/>
    </row>
    <row r="15" spans="1:82" hidden="1">
      <c r="A15" s="13">
        <f>A14+1</f>
        <v>2004</v>
      </c>
      <c r="B15" s="28">
        <v>111.2</v>
      </c>
      <c r="C15" s="28">
        <v>199.77</v>
      </c>
      <c r="D15" s="28">
        <v>-86.55</v>
      </c>
      <c r="E15" s="28">
        <v>946.99</v>
      </c>
      <c r="F15" s="28">
        <v>207.87</v>
      </c>
      <c r="G15" s="29">
        <v>820.21</v>
      </c>
      <c r="CC15" s="30">
        <f>CC17+CC18</f>
        <v>-797</v>
      </c>
      <c r="CD15" s="327">
        <f t="shared" si="0"/>
        <v>-797</v>
      </c>
    </row>
    <row r="16" spans="1:82">
      <c r="A16" s="505">
        <v>2005</v>
      </c>
      <c r="B16" s="635">
        <v>105.86702456825405</v>
      </c>
      <c r="C16" s="635">
        <v>266.95066591038801</v>
      </c>
      <c r="D16" s="635">
        <v>-158.78541888091996</v>
      </c>
      <c r="E16" s="635">
        <v>1451.1272220204778</v>
      </c>
      <c r="F16" s="635">
        <v>249.03745754959803</v>
      </c>
      <c r="G16" s="635">
        <v>1042.2409198601101</v>
      </c>
      <c r="CD16" s="327"/>
    </row>
    <row r="17" spans="1:82" hidden="1">
      <c r="A17" s="40" t="s">
        <v>18</v>
      </c>
      <c r="B17" s="636">
        <v>226.31779738259198</v>
      </c>
      <c r="C17" s="636">
        <v>309.81536375124199</v>
      </c>
      <c r="D17" s="636">
        <v>-82.025807652004019</v>
      </c>
      <c r="E17" s="636">
        <v>944.26154165850596</v>
      </c>
      <c r="F17" s="636">
        <v>191.09764153841598</v>
      </c>
      <c r="G17" s="636">
        <v>826.35612751968597</v>
      </c>
      <c r="CC17" s="30">
        <v>-644</v>
      </c>
      <c r="CD17" s="327">
        <f t="shared" si="0"/>
        <v>-644</v>
      </c>
    </row>
    <row r="18" spans="1:82" hidden="1">
      <c r="A18" s="40" t="s">
        <v>19</v>
      </c>
      <c r="B18" s="636">
        <v>175.19358431000794</v>
      </c>
      <c r="C18" s="636">
        <v>258.00327424580598</v>
      </c>
      <c r="D18" s="636">
        <v>-81.322175700354009</v>
      </c>
      <c r="E18" s="636">
        <v>998.0141753036819</v>
      </c>
      <c r="F18" s="636">
        <v>198.99057707903197</v>
      </c>
      <c r="G18" s="636">
        <v>803.06896940306399</v>
      </c>
      <c r="CC18" s="30">
        <v>-153</v>
      </c>
      <c r="CD18" s="327">
        <f t="shared" si="0"/>
        <v>-153</v>
      </c>
    </row>
    <row r="19" spans="1:82" hidden="1">
      <c r="A19" s="40" t="s">
        <v>20</v>
      </c>
      <c r="B19" s="636">
        <v>141.369108762742</v>
      </c>
      <c r="C19" s="636">
        <v>226.25620282140201</v>
      </c>
      <c r="D19" s="636">
        <v>-83.177875314668015</v>
      </c>
      <c r="E19" s="636">
        <v>1054.8051885356522</v>
      </c>
      <c r="F19" s="636">
        <v>197.42766988909599</v>
      </c>
      <c r="G19" s="636">
        <v>808.98229762122787</v>
      </c>
      <c r="CD19" s="327"/>
    </row>
    <row r="20" spans="1:82" hidden="1">
      <c r="A20" s="40" t="s">
        <v>21</v>
      </c>
      <c r="B20" s="636">
        <v>241.71439015857604</v>
      </c>
      <c r="C20" s="636">
        <v>328.44628926722402</v>
      </c>
      <c r="D20" s="636">
        <v>-84.761384582609992</v>
      </c>
      <c r="E20" s="636">
        <v>1082.3312021329684</v>
      </c>
      <c r="F20" s="636">
        <v>210.88235612576202</v>
      </c>
      <c r="G20" s="636">
        <v>903.53430830811192</v>
      </c>
      <c r="CD20" s="327"/>
    </row>
    <row r="21" spans="1:82" hidden="1">
      <c r="A21" s="40" t="s">
        <v>22</v>
      </c>
      <c r="B21" s="636">
        <v>261.91530561403005</v>
      </c>
      <c r="C21" s="636">
        <v>354.62884856109804</v>
      </c>
      <c r="D21" s="636">
        <v>-90.635807685405993</v>
      </c>
      <c r="E21" s="636">
        <v>1098.8270172421767</v>
      </c>
      <c r="F21" s="636">
        <v>233.42076834517405</v>
      </c>
      <c r="G21" s="636">
        <v>926.61505651463415</v>
      </c>
      <c r="CD21" s="327"/>
    </row>
    <row r="22" spans="1:82" hidden="1">
      <c r="A22" s="40" t="s">
        <v>23</v>
      </c>
      <c r="B22" s="636">
        <v>273.887678374676</v>
      </c>
      <c r="C22" s="636">
        <v>371.23311050735799</v>
      </c>
      <c r="D22" s="636">
        <v>-95.094934800614013</v>
      </c>
      <c r="E22" s="636">
        <v>1100.59549698551</v>
      </c>
      <c r="F22" s="636">
        <v>240.71974991018004</v>
      </c>
      <c r="G22" s="636">
        <v>917.04530742237603</v>
      </c>
      <c r="CC22" s="30">
        <v>-31</v>
      </c>
      <c r="CD22" s="327">
        <f t="shared" si="0"/>
        <v>-31</v>
      </c>
    </row>
    <row r="23" spans="1:82" hidden="1">
      <c r="A23" s="40" t="s">
        <v>24</v>
      </c>
      <c r="B23" s="636">
        <v>287.94173326069807</v>
      </c>
      <c r="C23" s="636">
        <v>384.39139838503405</v>
      </c>
      <c r="D23" s="636">
        <v>-93.629800017072</v>
      </c>
      <c r="E23" s="636">
        <v>1136.4297556521899</v>
      </c>
      <c r="F23" s="636">
        <v>248.309655161352</v>
      </c>
      <c r="G23" s="636">
        <v>963.07478651931194</v>
      </c>
      <c r="CC23" s="30">
        <v>-440</v>
      </c>
      <c r="CD23" s="327">
        <f t="shared" si="0"/>
        <v>-440</v>
      </c>
    </row>
    <row r="24" spans="1:82" hidden="1">
      <c r="A24" s="40" t="s">
        <v>25</v>
      </c>
      <c r="B24" s="636">
        <v>254.40039895022991</v>
      </c>
      <c r="C24" s="636">
        <v>350.29725286513593</v>
      </c>
      <c r="D24" s="636">
        <v>-92.888435669553999</v>
      </c>
      <c r="E24" s="636">
        <v>1226.2619454779642</v>
      </c>
      <c r="F24" s="636">
        <v>259.31174310221002</v>
      </c>
      <c r="G24" s="636">
        <v>1000.6352719449479</v>
      </c>
      <c r="CD24" s="327"/>
    </row>
    <row r="25" spans="1:82" hidden="1">
      <c r="A25" s="40" t="s">
        <v>26</v>
      </c>
      <c r="B25" s="636">
        <v>274.91288724710199</v>
      </c>
      <c r="C25" s="636">
        <v>425.64806629671199</v>
      </c>
      <c r="D25" s="636">
        <v>-147.28264562891798</v>
      </c>
      <c r="E25" s="636">
        <v>1260.9014057023458</v>
      </c>
      <c r="F25" s="636">
        <v>240.11795367972002</v>
      </c>
      <c r="G25" s="636">
        <v>1030.1332059215802</v>
      </c>
      <c r="CC25" s="30">
        <f>CC27+CC28</f>
        <v>-498</v>
      </c>
      <c r="CD25" s="327">
        <f>BY25+BZ25+CA25+CC25</f>
        <v>-498</v>
      </c>
    </row>
    <row r="26" spans="1:82" hidden="1">
      <c r="A26" s="40" t="s">
        <v>27</v>
      </c>
      <c r="B26" s="636">
        <v>288.61470354677215</v>
      </c>
      <c r="C26" s="636">
        <v>437.4458615041321</v>
      </c>
      <c r="D26" s="636">
        <v>-146.69159752805598</v>
      </c>
      <c r="E26" s="636">
        <v>1338.37008769158</v>
      </c>
      <c r="F26" s="636">
        <v>231.61050531635203</v>
      </c>
      <c r="G26" s="636">
        <v>1067.275877347648</v>
      </c>
      <c r="CD26" s="327"/>
    </row>
    <row r="27" spans="1:82" hidden="1">
      <c r="A27" s="40" t="s">
        <v>28</v>
      </c>
      <c r="B27" s="636">
        <v>257.058623413536</v>
      </c>
      <c r="C27" s="636">
        <v>411.16556567462601</v>
      </c>
      <c r="D27" s="636">
        <v>-151.70716688019399</v>
      </c>
      <c r="E27" s="636">
        <v>1393.2799725213758</v>
      </c>
      <c r="F27" s="636">
        <v>243.68546632667801</v>
      </c>
      <c r="G27" s="636">
        <v>1032.0131630380961</v>
      </c>
      <c r="CC27" s="30">
        <v>-521</v>
      </c>
      <c r="CD27" s="327">
        <f>BY27+BZ27+CA27+CC27</f>
        <v>-521</v>
      </c>
    </row>
    <row r="28" spans="1:82" hidden="1">
      <c r="A28" s="40" t="s">
        <v>29</v>
      </c>
      <c r="B28" s="636">
        <v>105.86702456825405</v>
      </c>
      <c r="C28" s="636">
        <v>266.95066591038801</v>
      </c>
      <c r="D28" s="636">
        <v>-158.78541888091996</v>
      </c>
      <c r="E28" s="636">
        <v>1451.1272220204778</v>
      </c>
      <c r="F28" s="636">
        <v>249.03745754959803</v>
      </c>
      <c r="G28" s="636">
        <v>1042.2409198601101</v>
      </c>
      <c r="CC28" s="30">
        <v>23</v>
      </c>
      <c r="CD28" s="327">
        <f>BY28+BZ28+CA28+CC28</f>
        <v>23</v>
      </c>
    </row>
    <row r="29" spans="1:82" ht="0.75" customHeight="1">
      <c r="A29" s="40"/>
      <c r="B29" s="636">
        <v>0</v>
      </c>
      <c r="C29" s="636">
        <v>0</v>
      </c>
      <c r="D29" s="636">
        <v>0</v>
      </c>
      <c r="E29" s="636">
        <v>0</v>
      </c>
      <c r="F29" s="636">
        <v>0</v>
      </c>
      <c r="G29" s="636">
        <v>0</v>
      </c>
      <c r="CD29" s="327"/>
    </row>
    <row r="30" spans="1:82">
      <c r="A30" s="116">
        <v>2006</v>
      </c>
      <c r="B30" s="636">
        <v>-113.29190724000001</v>
      </c>
      <c r="C30" s="636">
        <v>304.16222184999998</v>
      </c>
      <c r="D30" s="636">
        <v>-409.54046516</v>
      </c>
      <c r="E30" s="636">
        <v>2367.8748952299993</v>
      </c>
      <c r="F30" s="636">
        <v>823.71840786000007</v>
      </c>
      <c r="G30" s="636">
        <v>1299.5078479000001</v>
      </c>
      <c r="CC30" s="30">
        <v>433</v>
      </c>
      <c r="CD30" s="327">
        <f t="shared" si="0"/>
        <v>433</v>
      </c>
    </row>
    <row r="31" spans="1:82" hidden="1">
      <c r="A31" s="40" t="s">
        <v>18</v>
      </c>
      <c r="B31" s="636">
        <v>300.56181778999996</v>
      </c>
      <c r="C31" s="636">
        <v>461.09300507999995</v>
      </c>
      <c r="D31" s="636">
        <v>-157.95570436</v>
      </c>
      <c r="E31" s="636">
        <v>1404.5400549499998</v>
      </c>
      <c r="F31" s="636">
        <v>241.62172978000001</v>
      </c>
      <c r="G31" s="636">
        <v>1071.1860089099998</v>
      </c>
      <c r="CC31" s="30">
        <v>-931</v>
      </c>
      <c r="CD31" s="327">
        <f t="shared" si="0"/>
        <v>-931</v>
      </c>
    </row>
    <row r="32" spans="1:82" hidden="1">
      <c r="A32" s="40" t="s">
        <v>19</v>
      </c>
      <c r="B32" s="636">
        <v>325.34679913999997</v>
      </c>
      <c r="C32" s="636">
        <v>498.97467079999996</v>
      </c>
      <c r="D32" s="636">
        <v>-171.18699480999999</v>
      </c>
      <c r="E32" s="636">
        <v>1363.5740406399998</v>
      </c>
      <c r="F32" s="636">
        <v>291.81017402999993</v>
      </c>
      <c r="G32" s="636">
        <v>1081.4832858499999</v>
      </c>
      <c r="CD32" s="327"/>
    </row>
    <row r="33" spans="1:82" hidden="1">
      <c r="A33" s="40" t="s">
        <v>20</v>
      </c>
      <c r="B33" s="636">
        <v>342.83050071999992</v>
      </c>
      <c r="C33" s="636">
        <v>515.35390431999997</v>
      </c>
      <c r="D33" s="636">
        <v>-169.94028131000002</v>
      </c>
      <c r="E33" s="636">
        <v>1398.3771504899998</v>
      </c>
      <c r="F33" s="636">
        <v>321.78490283999997</v>
      </c>
      <c r="G33" s="636">
        <v>1085.1807814200001</v>
      </c>
      <c r="CC33" s="30">
        <v>204</v>
      </c>
      <c r="CD33" s="327">
        <f t="shared" si="0"/>
        <v>204</v>
      </c>
    </row>
    <row r="34" spans="1:82" hidden="1">
      <c r="A34" s="40" t="s">
        <v>21</v>
      </c>
      <c r="B34" s="636">
        <v>288.06934340000004</v>
      </c>
      <c r="C34" s="636">
        <v>466.35962813999998</v>
      </c>
      <c r="D34" s="636">
        <v>-174.76835029</v>
      </c>
      <c r="E34" s="636">
        <v>1504.1838813400004</v>
      </c>
      <c r="F34" s="636">
        <v>351.61407830999997</v>
      </c>
      <c r="G34" s="636">
        <v>1139.8948581500003</v>
      </c>
      <c r="CC34" s="30">
        <v>200</v>
      </c>
      <c r="CD34" s="327">
        <f t="shared" si="0"/>
        <v>200</v>
      </c>
    </row>
    <row r="35" spans="1:82" hidden="1">
      <c r="A35" s="40" t="s">
        <v>22</v>
      </c>
      <c r="B35" s="636">
        <v>312.35846918000004</v>
      </c>
      <c r="C35" s="636">
        <v>493.13203035000004</v>
      </c>
      <c r="D35" s="636">
        <v>-176.67265043999998</v>
      </c>
      <c r="E35" s="636">
        <v>1577.3447361799999</v>
      </c>
      <c r="F35" s="636">
        <v>356.86671254999999</v>
      </c>
      <c r="G35" s="636">
        <v>1167.14121688</v>
      </c>
      <c r="CD35" s="327"/>
    </row>
    <row r="36" spans="1:82" hidden="1">
      <c r="A36" s="40" t="s">
        <v>23</v>
      </c>
      <c r="B36" s="636">
        <v>305.57490925000008</v>
      </c>
      <c r="C36" s="636">
        <v>495.81780132000006</v>
      </c>
      <c r="D36" s="636">
        <v>-183.86065114000002</v>
      </c>
      <c r="E36" s="636">
        <v>1676.5183650199997</v>
      </c>
      <c r="F36" s="636">
        <v>403.11003255999998</v>
      </c>
      <c r="G36" s="636">
        <v>1218.2087914399999</v>
      </c>
      <c r="CC36" s="30">
        <v>295</v>
      </c>
      <c r="CD36" s="327">
        <f t="shared" si="0"/>
        <v>295</v>
      </c>
    </row>
    <row r="37" spans="1:82" hidden="1">
      <c r="A37" s="40" t="s">
        <v>24</v>
      </c>
      <c r="B37" s="636">
        <v>271.79204826</v>
      </c>
      <c r="C37" s="636">
        <v>465.90912352999999</v>
      </c>
      <c r="D37" s="636">
        <v>-188.71756236999997</v>
      </c>
      <c r="E37" s="636">
        <v>1784.5363579100001</v>
      </c>
      <c r="F37" s="636">
        <v>428.25928491999997</v>
      </c>
      <c r="G37" s="636">
        <v>1252.4950059900002</v>
      </c>
      <c r="CC37" s="30">
        <v>-95</v>
      </c>
      <c r="CD37" s="327">
        <f t="shared" si="0"/>
        <v>-95</v>
      </c>
    </row>
    <row r="38" spans="1:82" hidden="1">
      <c r="A38" s="40" t="s">
        <v>25</v>
      </c>
      <c r="B38" s="636">
        <v>251.47519954000001</v>
      </c>
      <c r="C38" s="636">
        <v>398.5411805</v>
      </c>
      <c r="D38" s="636">
        <v>-142.57577545000001</v>
      </c>
      <c r="E38" s="636">
        <v>1912.4597789200002</v>
      </c>
      <c r="F38" s="636">
        <v>492.44084806000001</v>
      </c>
      <c r="G38" s="636">
        <v>1248.2196395699998</v>
      </c>
      <c r="CD38" s="327"/>
    </row>
    <row r="39" spans="1:82" hidden="1">
      <c r="A39" s="40" t="s">
        <v>26</v>
      </c>
      <c r="B39" s="636">
        <v>228.55438325000009</v>
      </c>
      <c r="C39" s="636">
        <v>393.62743569000003</v>
      </c>
      <c r="D39" s="636">
        <v>-159.19948818999995</v>
      </c>
      <c r="E39" s="636">
        <v>2032.1994047699995</v>
      </c>
      <c r="F39" s="636">
        <v>528.56351084000005</v>
      </c>
      <c r="G39" s="636">
        <v>1268.7703315000003</v>
      </c>
      <c r="CC39" s="30">
        <v>0</v>
      </c>
      <c r="CD39" s="327">
        <f t="shared" si="0"/>
        <v>0</v>
      </c>
    </row>
    <row r="40" spans="1:82" hidden="1">
      <c r="A40" s="40" t="s">
        <v>27</v>
      </c>
      <c r="B40" s="636">
        <v>131.76616706000001</v>
      </c>
      <c r="C40" s="636">
        <v>304.66298760999996</v>
      </c>
      <c r="D40" s="636">
        <v>-168.16147842999996</v>
      </c>
      <c r="E40" s="636">
        <v>2169.7224147499992</v>
      </c>
      <c r="F40" s="636">
        <v>615.94271600000002</v>
      </c>
      <c r="G40" s="636">
        <v>1236.7731743899999</v>
      </c>
      <c r="CD40" s="327"/>
    </row>
    <row r="41" spans="1:82" hidden="1">
      <c r="A41" s="40" t="s">
        <v>28</v>
      </c>
      <c r="B41" s="636">
        <v>84.369812489999958</v>
      </c>
      <c r="C41" s="636">
        <v>371.79685331999997</v>
      </c>
      <c r="D41" s="636">
        <v>-281.41349485000001</v>
      </c>
      <c r="E41" s="636">
        <v>2249.2650426099995</v>
      </c>
      <c r="F41" s="636">
        <v>705.40156724000008</v>
      </c>
      <c r="G41" s="636">
        <v>1220.2695201599997</v>
      </c>
      <c r="CC41" s="30">
        <f>CC42-CC46</f>
        <v>481</v>
      </c>
      <c r="CD41" s="327">
        <f t="shared" si="0"/>
        <v>481</v>
      </c>
    </row>
    <row r="42" spans="1:82" hidden="1">
      <c r="A42" s="40" t="s">
        <v>29</v>
      </c>
      <c r="B42" s="636">
        <v>-113.29190724000001</v>
      </c>
      <c r="C42" s="636">
        <v>304.16222184999998</v>
      </c>
      <c r="D42" s="636">
        <v>-409.54046516</v>
      </c>
      <c r="E42" s="636">
        <v>2367.8748952299993</v>
      </c>
      <c r="F42" s="636">
        <v>823.71840786000007</v>
      </c>
      <c r="G42" s="636">
        <v>1299.5078479000001</v>
      </c>
      <c r="CC42" s="30">
        <f>CC44+CC45</f>
        <v>965</v>
      </c>
      <c r="CD42" s="327">
        <f t="shared" si="0"/>
        <v>965</v>
      </c>
    </row>
    <row r="43" spans="1:82">
      <c r="A43" s="40" t="s">
        <v>121</v>
      </c>
      <c r="B43" s="636">
        <v>-655.7</v>
      </c>
      <c r="C43" s="636">
        <v>503.7</v>
      </c>
      <c r="D43" s="636">
        <v>-971.6</v>
      </c>
      <c r="E43" s="636">
        <v>4642.6000000000004</v>
      </c>
      <c r="F43" s="636">
        <v>1687.8</v>
      </c>
      <c r="G43" s="636">
        <v>1495.6</v>
      </c>
      <c r="CD43" s="327"/>
    </row>
    <row r="44" spans="1:82" hidden="1">
      <c r="A44" s="40" t="s">
        <v>18</v>
      </c>
      <c r="B44" s="636">
        <v>105.32</v>
      </c>
      <c r="C44" s="636">
        <v>419.6</v>
      </c>
      <c r="D44" s="636">
        <v>-306.49446628000004</v>
      </c>
      <c r="E44" s="636">
        <v>2518.956833409999</v>
      </c>
      <c r="F44" s="636">
        <v>740.10036146000004</v>
      </c>
      <c r="G44" s="636">
        <v>1301.7295723499999</v>
      </c>
      <c r="CC44" s="30">
        <v>954</v>
      </c>
      <c r="CD44" s="327">
        <f t="shared" si="0"/>
        <v>954</v>
      </c>
    </row>
    <row r="45" spans="1:82" hidden="1">
      <c r="A45" s="40" t="s">
        <v>19</v>
      </c>
      <c r="B45" s="636">
        <v>-19.7</v>
      </c>
      <c r="C45" s="636">
        <v>356.5</v>
      </c>
      <c r="D45" s="636">
        <v>-361.68408433000008</v>
      </c>
      <c r="E45" s="636">
        <v>2692.0418313599998</v>
      </c>
      <c r="F45" s="636">
        <v>790.45572708999998</v>
      </c>
      <c r="G45" s="636">
        <v>1269.69737321</v>
      </c>
      <c r="CC45" s="30">
        <v>11</v>
      </c>
      <c r="CD45" s="327">
        <f t="shared" si="0"/>
        <v>11</v>
      </c>
    </row>
    <row r="46" spans="1:82" hidden="1">
      <c r="A46" s="40" t="s">
        <v>20</v>
      </c>
      <c r="B46" s="636">
        <v>-76.7</v>
      </c>
      <c r="C46" s="636">
        <v>351.9</v>
      </c>
      <c r="D46" s="636">
        <v>-414.38195938000007</v>
      </c>
      <c r="E46" s="636">
        <v>2904.9610948799996</v>
      </c>
      <c r="F46" s="636">
        <v>858.09695017000001</v>
      </c>
      <c r="G46" s="636">
        <v>1248.40497282</v>
      </c>
      <c r="CC46" s="30">
        <f>CC48+CC49+CC50+CC51</f>
        <v>484</v>
      </c>
      <c r="CD46" s="327">
        <f t="shared" si="0"/>
        <v>484</v>
      </c>
    </row>
    <row r="47" spans="1:82" hidden="1">
      <c r="A47" s="40" t="s">
        <v>21</v>
      </c>
      <c r="B47" s="636">
        <v>-162.80000000000001</v>
      </c>
      <c r="C47" s="636">
        <v>342.45540765999999</v>
      </c>
      <c r="D47" s="636">
        <v>-443.13814659999997</v>
      </c>
      <c r="E47" s="636">
        <v>3110.3781674399997</v>
      </c>
      <c r="F47" s="636">
        <v>913.93312748000005</v>
      </c>
      <c r="G47" s="636">
        <v>1204.62775175</v>
      </c>
      <c r="CD47" s="327"/>
    </row>
    <row r="48" spans="1:82" hidden="1">
      <c r="A48" s="40" t="s">
        <v>22</v>
      </c>
      <c r="B48" s="636">
        <v>-180.3</v>
      </c>
      <c r="C48" s="636">
        <v>478.8</v>
      </c>
      <c r="D48" s="636">
        <v>-595.97926332000009</v>
      </c>
      <c r="E48" s="636">
        <v>3328.3245033399999</v>
      </c>
      <c r="F48" s="636">
        <v>987.05192137000017</v>
      </c>
      <c r="G48" s="636">
        <v>1261.7552767300001</v>
      </c>
      <c r="CC48" s="30">
        <v>1214</v>
      </c>
      <c r="CD48" s="327">
        <f t="shared" si="0"/>
        <v>1214</v>
      </c>
    </row>
    <row r="49" spans="1:82" hidden="1">
      <c r="A49" s="40" t="s">
        <v>23</v>
      </c>
      <c r="B49" s="636">
        <v>-153.19999999999999</v>
      </c>
      <c r="C49" s="636">
        <v>587.4</v>
      </c>
      <c r="D49" s="636">
        <v>-674.94249806000016</v>
      </c>
      <c r="E49" s="636">
        <v>3460.87982087</v>
      </c>
      <c r="F49" s="636">
        <v>1015.9529375599999</v>
      </c>
      <c r="G49" s="636">
        <v>1301.5009319100002</v>
      </c>
      <c r="CC49" s="30">
        <v>-745</v>
      </c>
      <c r="CD49" s="327">
        <f t="shared" si="0"/>
        <v>-745</v>
      </c>
    </row>
    <row r="50" spans="1:82" hidden="1">
      <c r="A50" s="40" t="s">
        <v>24</v>
      </c>
      <c r="B50" s="636">
        <v>-193.6</v>
      </c>
      <c r="C50" s="636">
        <v>598.6</v>
      </c>
      <c r="D50" s="636">
        <v>-686.21575077</v>
      </c>
      <c r="E50" s="636">
        <v>3451.1911663699989</v>
      </c>
      <c r="F50" s="636">
        <v>1146.07180498</v>
      </c>
      <c r="G50" s="636">
        <v>1316.3587498499999</v>
      </c>
      <c r="CC50" s="30">
        <v>0</v>
      </c>
      <c r="CD50" s="327">
        <f>BY50+BZ50+CA50+CC50</f>
        <v>0</v>
      </c>
    </row>
    <row r="51" spans="1:82" hidden="1">
      <c r="A51" s="40" t="s">
        <v>25</v>
      </c>
      <c r="B51" s="636">
        <v>-144.6</v>
      </c>
      <c r="C51" s="636">
        <v>661.35094558000003</v>
      </c>
      <c r="D51" s="636">
        <v>-701.51570378000008</v>
      </c>
      <c r="E51" s="636">
        <v>3584.5360302999998</v>
      </c>
      <c r="F51" s="636">
        <v>1321.36731175</v>
      </c>
      <c r="G51" s="636">
        <v>1376.28813242</v>
      </c>
      <c r="CC51" s="30">
        <v>15</v>
      </c>
      <c r="CD51" s="327">
        <f>BY51+BZ51+CA51+CC51</f>
        <v>15</v>
      </c>
    </row>
    <row r="52" spans="1:82" hidden="1">
      <c r="A52" s="40" t="s">
        <v>26</v>
      </c>
      <c r="B52" s="636">
        <v>-56.5</v>
      </c>
      <c r="C52" s="636">
        <v>806.5</v>
      </c>
      <c r="D52" s="636">
        <v>-756.0998976300001</v>
      </c>
      <c r="E52" s="636">
        <v>3769.8690415999999</v>
      </c>
      <c r="F52" s="636">
        <v>1364.9740055100001</v>
      </c>
      <c r="G52" s="636">
        <v>1527.6685013100002</v>
      </c>
      <c r="CC52" s="30">
        <v>-372</v>
      </c>
      <c r="CD52" s="327">
        <f>BY52+BZ52+CA52+CC52</f>
        <v>-372</v>
      </c>
    </row>
    <row r="53" spans="1:82" hidden="1">
      <c r="A53" s="40" t="s">
        <v>27</v>
      </c>
      <c r="B53" s="636">
        <v>-182.8</v>
      </c>
      <c r="C53" s="636">
        <v>744.34</v>
      </c>
      <c r="D53" s="636">
        <v>-781.95586589000004</v>
      </c>
      <c r="E53" s="636">
        <v>4074.5613771900003</v>
      </c>
      <c r="F53" s="636">
        <v>1387.0520770999997</v>
      </c>
      <c r="G53" s="636">
        <v>1614.7346729399999</v>
      </c>
      <c r="CC53" s="30">
        <v>-231</v>
      </c>
      <c r="CD53" s="327">
        <f>BY53+BZ53+CA53+CC53</f>
        <v>-231</v>
      </c>
    </row>
    <row r="54" spans="1:82" hidden="1">
      <c r="A54" s="40" t="s">
        <v>28</v>
      </c>
      <c r="B54" s="636">
        <v>-365.4</v>
      </c>
      <c r="C54" s="636">
        <v>526.57806665999999</v>
      </c>
      <c r="D54" s="636">
        <v>-752.90667431999998</v>
      </c>
      <c r="E54" s="636">
        <v>4384.4518599799994</v>
      </c>
      <c r="F54" s="636">
        <v>1513.8522416599999</v>
      </c>
      <c r="G54" s="636">
        <v>1541.96969631</v>
      </c>
      <c r="CD54" s="327"/>
    </row>
    <row r="55" spans="1:82" hidden="1">
      <c r="A55" s="40" t="s">
        <v>29</v>
      </c>
      <c r="B55" s="636">
        <v>-655.7</v>
      </c>
      <c r="C55" s="636">
        <v>503.7</v>
      </c>
      <c r="D55" s="636">
        <v>-971.6</v>
      </c>
      <c r="E55" s="636">
        <v>4642.6000000000004</v>
      </c>
      <c r="F55" s="636">
        <v>1687.8</v>
      </c>
      <c r="G55" s="636">
        <v>1495.6</v>
      </c>
      <c r="CC55" s="30" t="e">
        <f>#REF!+CC39-CC41+CC52-CC53</f>
        <v>#REF!</v>
      </c>
      <c r="CD55" s="327" t="e">
        <f>BY55+BZ55+CA55+CC55</f>
        <v>#REF!</v>
      </c>
    </row>
    <row r="56" spans="1:82" ht="16.5" customHeight="1">
      <c r="A56" s="40" t="s">
        <v>114</v>
      </c>
      <c r="B56" s="636">
        <v>-1076.56758969</v>
      </c>
      <c r="C56" s="636">
        <v>1179.7</v>
      </c>
      <c r="D56" s="636">
        <v>-2048.5</v>
      </c>
      <c r="E56" s="636">
        <v>7223.1</v>
      </c>
      <c r="F56" s="636">
        <v>1934.8</v>
      </c>
      <c r="G56" s="636">
        <v>2413.1999999999998</v>
      </c>
    </row>
    <row r="57" spans="1:82" hidden="1">
      <c r="A57" s="40" t="s">
        <v>18</v>
      </c>
      <c r="B57" s="623">
        <v>-568.5</v>
      </c>
      <c r="C57" s="623">
        <v>608.29999999999995</v>
      </c>
      <c r="D57" s="623">
        <v>-975</v>
      </c>
      <c r="E57" s="623">
        <v>4800.2</v>
      </c>
      <c r="F57" s="623">
        <v>1571.3</v>
      </c>
      <c r="G57" s="623">
        <v>1554.4</v>
      </c>
    </row>
    <row r="58" spans="1:82" ht="15" hidden="1" customHeight="1">
      <c r="A58" s="40" t="s">
        <v>19</v>
      </c>
      <c r="B58" s="623">
        <v>-106.3</v>
      </c>
      <c r="C58" s="623">
        <v>1083.3</v>
      </c>
      <c r="D58" s="623">
        <v>-964.6</v>
      </c>
      <c r="E58" s="623">
        <v>4856</v>
      </c>
      <c r="F58" s="623">
        <v>1680.1</v>
      </c>
      <c r="G58" s="623">
        <v>1948.6</v>
      </c>
    </row>
    <row r="59" spans="1:82" ht="15.75" hidden="1" customHeight="1">
      <c r="A59" s="40" t="s">
        <v>20</v>
      </c>
      <c r="B59" s="623">
        <v>-281</v>
      </c>
      <c r="C59" s="623">
        <v>919.5</v>
      </c>
      <c r="D59" s="623">
        <v>-980.6</v>
      </c>
      <c r="E59" s="623">
        <v>4967.3999999999996</v>
      </c>
      <c r="F59" s="623">
        <v>1693</v>
      </c>
      <c r="G59" s="623">
        <v>1913</v>
      </c>
    </row>
    <row r="60" spans="1:82" ht="15.75" hidden="1" customHeight="1">
      <c r="A60" s="40" t="s">
        <v>21</v>
      </c>
      <c r="B60" s="623">
        <v>-247.8</v>
      </c>
      <c r="C60" s="623">
        <v>1002.9</v>
      </c>
      <c r="D60" s="623">
        <v>-1020.8</v>
      </c>
      <c r="E60" s="623">
        <v>5259.3</v>
      </c>
      <c r="F60" s="623">
        <v>1693</v>
      </c>
      <c r="G60" s="623">
        <v>1986.8</v>
      </c>
    </row>
    <row r="61" spans="1:82" s="6" customFormat="1" hidden="1">
      <c r="A61" s="40" t="s">
        <v>22</v>
      </c>
      <c r="B61" s="623">
        <v>-581.9</v>
      </c>
      <c r="C61" s="623">
        <v>861.4</v>
      </c>
      <c r="D61" s="623">
        <v>-1208.8</v>
      </c>
      <c r="E61" s="623">
        <v>6126.5</v>
      </c>
      <c r="F61" s="623">
        <v>1625.9</v>
      </c>
      <c r="G61" s="623">
        <v>2231.1</v>
      </c>
    </row>
    <row r="62" spans="1:82" ht="15" hidden="1" customHeight="1">
      <c r="A62" s="40" t="s">
        <v>23</v>
      </c>
      <c r="B62" s="623">
        <v>-593.5</v>
      </c>
      <c r="C62" s="623">
        <v>921.8</v>
      </c>
      <c r="D62" s="623">
        <v>-1262.2</v>
      </c>
      <c r="E62" s="623">
        <v>6241.9</v>
      </c>
      <c r="F62" s="623">
        <v>1738.5</v>
      </c>
      <c r="G62" s="623">
        <v>2403.8000000000002</v>
      </c>
    </row>
    <row r="63" spans="1:82" ht="15" hidden="1" customHeight="1">
      <c r="A63" s="40" t="s">
        <v>24</v>
      </c>
      <c r="B63" s="623">
        <v>-825.3</v>
      </c>
      <c r="C63" s="623">
        <v>896.9</v>
      </c>
      <c r="D63" s="623">
        <v>-1393.5</v>
      </c>
      <c r="E63" s="623">
        <v>6436.5</v>
      </c>
      <c r="F63" s="623">
        <v>1722.1</v>
      </c>
      <c r="G63" s="623">
        <v>2325.6</v>
      </c>
    </row>
    <row r="64" spans="1:82" s="6" customFormat="1" ht="15" hidden="1" customHeight="1">
      <c r="A64" s="40" t="s">
        <v>25</v>
      </c>
      <c r="B64" s="623">
        <v>-795.6</v>
      </c>
      <c r="C64" s="623">
        <v>1132.7</v>
      </c>
      <c r="D64" s="623">
        <v>-1598.3</v>
      </c>
      <c r="E64" s="623">
        <v>6558.4</v>
      </c>
      <c r="F64" s="623">
        <v>1814.4</v>
      </c>
      <c r="G64" s="623">
        <v>2271.5</v>
      </c>
    </row>
    <row r="65" spans="1:7" ht="16.5" hidden="1" customHeight="1">
      <c r="A65" s="40" t="s">
        <v>26</v>
      </c>
      <c r="B65" s="623">
        <v>-869</v>
      </c>
      <c r="C65" s="623">
        <v>1458.1</v>
      </c>
      <c r="D65" s="623">
        <v>-2001</v>
      </c>
      <c r="E65" s="623">
        <v>6685.6</v>
      </c>
      <c r="F65" s="623">
        <v>1880.9</v>
      </c>
      <c r="G65" s="623">
        <v>2135.3000000000002</v>
      </c>
    </row>
    <row r="66" spans="1:7" ht="15" hidden="1" customHeight="1">
      <c r="A66" s="40" t="s">
        <v>27</v>
      </c>
      <c r="B66" s="623">
        <v>-900</v>
      </c>
      <c r="C66" s="623">
        <v>1542.9</v>
      </c>
      <c r="D66" s="623">
        <v>-2155.1999999999998</v>
      </c>
      <c r="E66" s="623">
        <v>6792.3</v>
      </c>
      <c r="F66" s="623">
        <v>1806.1</v>
      </c>
      <c r="G66" s="623">
        <v>2164.1999999999998</v>
      </c>
    </row>
    <row r="67" spans="1:7" ht="15" hidden="1" customHeight="1">
      <c r="A67" s="40" t="s">
        <v>28</v>
      </c>
      <c r="B67" s="623">
        <v>-1111.7</v>
      </c>
      <c r="C67" s="623">
        <v>1198.4000000000001</v>
      </c>
      <c r="D67" s="623">
        <v>-2044.7</v>
      </c>
      <c r="E67" s="623">
        <v>6956.6</v>
      </c>
      <c r="F67" s="623">
        <v>1843.9</v>
      </c>
      <c r="G67" s="623">
        <v>2205.8000000000002</v>
      </c>
    </row>
    <row r="68" spans="1:7" ht="15" hidden="1" customHeight="1">
      <c r="A68" s="40" t="s">
        <v>29</v>
      </c>
      <c r="B68" s="623">
        <v>-1076.56758969</v>
      </c>
      <c r="C68" s="623">
        <v>1179.7</v>
      </c>
      <c r="D68" s="623">
        <v>-2048.5</v>
      </c>
      <c r="E68" s="623">
        <v>7223.1</v>
      </c>
      <c r="F68" s="623">
        <v>1934.8</v>
      </c>
      <c r="G68" s="623">
        <v>2413.1999999999998</v>
      </c>
    </row>
    <row r="69" spans="1:7" ht="16.5" customHeight="1">
      <c r="A69" s="40" t="s">
        <v>43</v>
      </c>
      <c r="B69" s="636">
        <v>-727.8</v>
      </c>
      <c r="C69" s="636">
        <v>1273.7</v>
      </c>
      <c r="D69" s="636">
        <v>-1932.3</v>
      </c>
      <c r="E69" s="636">
        <v>8554.7000000000007</v>
      </c>
      <c r="F69" s="636">
        <v>1991.5</v>
      </c>
      <c r="G69" s="636">
        <v>2300</v>
      </c>
    </row>
    <row r="70" spans="1:7" ht="19.5" hidden="1" customHeight="1">
      <c r="A70" s="40" t="s">
        <v>18</v>
      </c>
      <c r="B70" s="623">
        <v>-976.8</v>
      </c>
      <c r="C70" s="623">
        <v>1263.7</v>
      </c>
      <c r="D70" s="623">
        <v>-2034.5</v>
      </c>
      <c r="E70" s="623">
        <v>7253.4</v>
      </c>
      <c r="F70" s="623">
        <v>1697.6</v>
      </c>
      <c r="G70" s="623">
        <v>2414.6</v>
      </c>
    </row>
    <row r="71" spans="1:7" ht="17.25" hidden="1" customHeight="1">
      <c r="A71" s="40" t="s">
        <v>19</v>
      </c>
      <c r="B71" s="623">
        <v>-964.6</v>
      </c>
      <c r="C71" s="623">
        <v>1195.5999999999999</v>
      </c>
      <c r="D71" s="623">
        <v>-1969.9</v>
      </c>
      <c r="E71" s="623">
        <v>6768.4</v>
      </c>
      <c r="F71" s="623">
        <v>1594.2</v>
      </c>
      <c r="G71" s="623">
        <v>2063.6</v>
      </c>
    </row>
    <row r="72" spans="1:7" ht="16.5" hidden="1" customHeight="1">
      <c r="A72" s="40" t="s">
        <v>20</v>
      </c>
      <c r="B72" s="623">
        <v>-941.1</v>
      </c>
      <c r="C72" s="623">
        <v>1101.8</v>
      </c>
      <c r="D72" s="623">
        <v>-1908.6</v>
      </c>
      <c r="E72" s="623">
        <v>6298.1</v>
      </c>
      <c r="F72" s="623">
        <v>1434.6</v>
      </c>
      <c r="G72" s="623">
        <v>1656.5</v>
      </c>
    </row>
    <row r="73" spans="1:7" ht="16.5" hidden="1" customHeight="1">
      <c r="A73" s="40" t="s">
        <v>21</v>
      </c>
      <c r="B73" s="623">
        <v>-888.3</v>
      </c>
      <c r="C73" s="623">
        <v>1142.4000000000001</v>
      </c>
      <c r="D73" s="623">
        <v>-1938.1</v>
      </c>
      <c r="E73" s="623">
        <v>6379.4</v>
      </c>
      <c r="F73" s="623">
        <v>1433.7</v>
      </c>
      <c r="G73" s="623">
        <v>1770.2</v>
      </c>
    </row>
    <row r="74" spans="1:7" ht="22.5" hidden="1" customHeight="1">
      <c r="A74" s="40" t="s">
        <v>22</v>
      </c>
      <c r="B74" s="623">
        <v>-887.6</v>
      </c>
      <c r="C74" s="623">
        <v>1120.4000000000001</v>
      </c>
      <c r="D74" s="623">
        <v>-1928.5</v>
      </c>
      <c r="E74" s="623">
        <v>6485.9</v>
      </c>
      <c r="F74" s="623">
        <v>1410.4</v>
      </c>
      <c r="G74" s="623">
        <v>1800.8</v>
      </c>
    </row>
    <row r="75" spans="1:7" ht="16.5" hidden="1" customHeight="1">
      <c r="A75" s="40" t="s">
        <v>23</v>
      </c>
      <c r="B75" s="623">
        <v>-827.2</v>
      </c>
      <c r="C75" s="623">
        <v>1088.8</v>
      </c>
      <c r="D75" s="623">
        <v>-1845.2</v>
      </c>
      <c r="E75" s="623">
        <v>6567.3</v>
      </c>
      <c r="F75" s="623">
        <v>1381.7</v>
      </c>
      <c r="G75" s="623">
        <v>1821.9</v>
      </c>
    </row>
    <row r="76" spans="1:7" ht="16.5" hidden="1" customHeight="1">
      <c r="A76" s="40" t="s">
        <v>24</v>
      </c>
      <c r="B76" s="623">
        <v>-482.4</v>
      </c>
      <c r="C76" s="623">
        <v>1424.6</v>
      </c>
      <c r="D76" s="623">
        <v>-1843.2</v>
      </c>
      <c r="E76" s="623">
        <v>7321.1</v>
      </c>
      <c r="F76" s="623">
        <v>1429.3</v>
      </c>
      <c r="G76" s="623">
        <v>2490.8000000000002</v>
      </c>
    </row>
    <row r="77" spans="1:7" ht="19.5" hidden="1" customHeight="1">
      <c r="A77" s="40" t="s">
        <v>25</v>
      </c>
      <c r="B77" s="623">
        <v>-612.70000000000005</v>
      </c>
      <c r="C77" s="623">
        <v>1266</v>
      </c>
      <c r="D77" s="623">
        <v>-1812.6</v>
      </c>
      <c r="E77" s="623">
        <v>7732.1</v>
      </c>
      <c r="F77" s="623">
        <v>1676.1</v>
      </c>
      <c r="G77" s="623">
        <v>2235.6</v>
      </c>
    </row>
    <row r="78" spans="1:7" ht="16.5" hidden="1" customHeight="1">
      <c r="A78" s="40" t="s">
        <v>26</v>
      </c>
      <c r="B78" s="623">
        <v>-693</v>
      </c>
      <c r="C78" s="623">
        <v>1167</v>
      </c>
      <c r="D78" s="623">
        <v>-1796.8</v>
      </c>
      <c r="E78" s="623">
        <v>7904.8</v>
      </c>
      <c r="F78" s="623">
        <v>1599.5</v>
      </c>
      <c r="G78" s="623">
        <v>2236</v>
      </c>
    </row>
    <row r="79" spans="1:7" ht="18" hidden="1" customHeight="1">
      <c r="A79" s="40" t="s">
        <v>27</v>
      </c>
      <c r="B79" s="623">
        <v>-690.8</v>
      </c>
      <c r="C79" s="623">
        <v>1182.2</v>
      </c>
      <c r="D79" s="623">
        <v>-1803.6</v>
      </c>
      <c r="E79" s="623">
        <v>8126.6</v>
      </c>
      <c r="F79" s="623">
        <v>1713.7</v>
      </c>
      <c r="G79" s="623">
        <v>2287.1</v>
      </c>
    </row>
    <row r="80" spans="1:7" ht="16.5" hidden="1" customHeight="1">
      <c r="A80" s="40" t="s">
        <v>28</v>
      </c>
      <c r="B80" s="623">
        <v>-755.5</v>
      </c>
      <c r="C80" s="623">
        <v>1140.5</v>
      </c>
      <c r="D80" s="623">
        <v>-1828.5</v>
      </c>
      <c r="E80" s="623">
        <v>8252.2000000000007</v>
      </c>
      <c r="F80" s="623">
        <v>1764</v>
      </c>
      <c r="G80" s="623">
        <v>2329.3000000000002</v>
      </c>
    </row>
    <row r="81" spans="1:7" ht="15.75" hidden="1" customHeight="1">
      <c r="A81" s="40" t="s">
        <v>29</v>
      </c>
      <c r="B81" s="623">
        <v>-727.8</v>
      </c>
      <c r="C81" s="623">
        <v>1273.7</v>
      </c>
      <c r="D81" s="623">
        <v>-1932.3</v>
      </c>
      <c r="E81" s="623">
        <v>8554.7000000000007</v>
      </c>
      <c r="F81" s="623">
        <v>1991.5</v>
      </c>
      <c r="G81" s="623">
        <v>2300</v>
      </c>
    </row>
    <row r="82" spans="1:7" ht="17.25" customHeight="1">
      <c r="A82" s="40" t="s">
        <v>48</v>
      </c>
      <c r="B82" s="623"/>
      <c r="C82" s="623"/>
      <c r="D82" s="623"/>
      <c r="E82" s="623"/>
      <c r="F82" s="623"/>
      <c r="G82" s="623"/>
    </row>
    <row r="83" spans="1:7" ht="15.75" customHeight="1">
      <c r="A83" s="40" t="s">
        <v>18</v>
      </c>
      <c r="B83" s="623">
        <v>-771.9</v>
      </c>
      <c r="C83" s="623">
        <v>1276.5</v>
      </c>
      <c r="D83" s="623">
        <v>-1976.9</v>
      </c>
      <c r="E83" s="623">
        <v>8611.7000000000007</v>
      </c>
      <c r="F83" s="623">
        <v>1862.4</v>
      </c>
      <c r="G83" s="623">
        <v>2306.1</v>
      </c>
    </row>
    <row r="84" spans="1:7" ht="17.25" customHeight="1">
      <c r="A84" s="40" t="s">
        <v>19</v>
      </c>
      <c r="B84" s="623">
        <v>-808.6</v>
      </c>
      <c r="C84" s="623">
        <v>1338</v>
      </c>
      <c r="D84" s="623">
        <v>-2066.8000000000002</v>
      </c>
      <c r="E84" s="623">
        <v>8548.9</v>
      </c>
      <c r="F84" s="623">
        <v>1762.4</v>
      </c>
      <c r="G84" s="623">
        <v>2279.4</v>
      </c>
    </row>
    <row r="85" spans="1:7" ht="15" customHeight="1">
      <c r="A85" s="40" t="s">
        <v>20</v>
      </c>
      <c r="B85" s="623">
        <v>-698.6</v>
      </c>
      <c r="C85" s="623">
        <v>1613.5</v>
      </c>
      <c r="D85" s="623">
        <v>-2233.5</v>
      </c>
      <c r="E85" s="623">
        <v>8656.7999999999993</v>
      </c>
      <c r="F85" s="623">
        <v>1863.2</v>
      </c>
      <c r="G85" s="623">
        <v>2490.9</v>
      </c>
    </row>
    <row r="86" spans="1:7" ht="16.5" customHeight="1">
      <c r="A86" s="40" t="s">
        <v>21</v>
      </c>
      <c r="B86" s="623">
        <v>-947.9</v>
      </c>
      <c r="C86" s="623">
        <v>1518.3</v>
      </c>
      <c r="D86" s="623">
        <v>-2381.4</v>
      </c>
      <c r="E86" s="623">
        <v>8795.9</v>
      </c>
      <c r="F86" s="623">
        <v>1904.1</v>
      </c>
      <c r="G86" s="623">
        <v>2387.8000000000002</v>
      </c>
    </row>
    <row r="87" spans="1:7" ht="15.75" customHeight="1">
      <c r="A87" s="40" t="s">
        <v>22</v>
      </c>
      <c r="B87" s="623">
        <v>-813.4</v>
      </c>
      <c r="C87" s="623">
        <v>1386.5</v>
      </c>
      <c r="D87" s="623">
        <v>-2117.4</v>
      </c>
      <c r="E87" s="623">
        <v>8943.9</v>
      </c>
      <c r="F87" s="623">
        <v>1901.3</v>
      </c>
      <c r="G87" s="623">
        <v>2475.8000000000002</v>
      </c>
    </row>
    <row r="88" spans="1:7" ht="18" customHeight="1">
      <c r="A88" s="40" t="s">
        <v>23</v>
      </c>
      <c r="B88" s="623">
        <v>-800.6</v>
      </c>
      <c r="C88" s="623">
        <v>1453.4</v>
      </c>
      <c r="D88" s="623">
        <v>-2170.1</v>
      </c>
      <c r="E88" s="623">
        <v>9031.7000000000007</v>
      </c>
      <c r="F88" s="623">
        <v>2035.8</v>
      </c>
      <c r="G88" s="623">
        <v>2453</v>
      </c>
    </row>
    <row r="89" spans="1:7" ht="16.5" customHeight="1">
      <c r="A89" s="40" t="s">
        <v>24</v>
      </c>
      <c r="B89" s="623">
        <v>-1053.4000000000001</v>
      </c>
      <c r="C89" s="623">
        <v>1297.4000000000001</v>
      </c>
      <c r="D89" s="623">
        <v>-2266.5</v>
      </c>
      <c r="E89" s="623">
        <v>8850.7000000000007</v>
      </c>
      <c r="F89" s="623">
        <v>2075.5</v>
      </c>
      <c r="G89" s="623">
        <v>2162.5</v>
      </c>
    </row>
    <row r="90" spans="1:7" ht="19.5" customHeight="1">
      <c r="A90" s="40" t="s">
        <v>25</v>
      </c>
      <c r="B90" s="623">
        <v>-1008.7</v>
      </c>
      <c r="C90" s="623">
        <v>1286.2</v>
      </c>
      <c r="D90" s="623">
        <v>-2209.6999999999998</v>
      </c>
      <c r="E90" s="623">
        <v>9009.5</v>
      </c>
      <c r="F90" s="623">
        <v>2191.5</v>
      </c>
      <c r="G90" s="623">
        <v>2268.4</v>
      </c>
    </row>
    <row r="91" spans="1:7" ht="15.75" customHeight="1">
      <c r="A91" s="40" t="s">
        <v>26</v>
      </c>
      <c r="B91" s="623">
        <v>-1027.0999999999999</v>
      </c>
      <c r="C91" s="623">
        <v>1357.8</v>
      </c>
      <c r="D91" s="623">
        <v>-2295.4</v>
      </c>
      <c r="E91" s="623">
        <v>9159</v>
      </c>
      <c r="F91" s="623">
        <v>2255.1999999999998</v>
      </c>
      <c r="G91" s="623">
        <v>2233.9</v>
      </c>
    </row>
    <row r="92" spans="1:7" ht="15.75" customHeight="1">
      <c r="A92" s="40" t="s">
        <v>27</v>
      </c>
      <c r="B92" s="623">
        <v>-1235.3</v>
      </c>
      <c r="C92" s="623">
        <v>1289.5</v>
      </c>
      <c r="D92" s="623">
        <v>-2504</v>
      </c>
      <c r="E92" s="623">
        <v>9255.2999999999993</v>
      </c>
      <c r="F92" s="623">
        <v>2368.1999999999998</v>
      </c>
      <c r="G92" s="623">
        <v>2305.4</v>
      </c>
    </row>
    <row r="93" spans="1:7" ht="14.25" customHeight="1">
      <c r="A93" s="40" t="s">
        <v>28</v>
      </c>
      <c r="B93" s="623">
        <v>-1006.9</v>
      </c>
      <c r="C93" s="623">
        <v>1532.1</v>
      </c>
      <c r="D93" s="623">
        <v>-2469.1</v>
      </c>
      <c r="E93" s="623">
        <v>9350.7999999999993</v>
      </c>
      <c r="F93" s="623">
        <v>2421.9</v>
      </c>
      <c r="G93" s="623">
        <v>2203.1</v>
      </c>
    </row>
    <row r="94" spans="1:7" ht="15.75" customHeight="1">
      <c r="A94" s="40" t="s">
        <v>29</v>
      </c>
      <c r="B94" s="623">
        <v>-850</v>
      </c>
      <c r="C94" s="623">
        <v>1691.9</v>
      </c>
      <c r="D94" s="623">
        <v>-2470.4</v>
      </c>
      <c r="E94" s="623">
        <v>9386.2999999999993</v>
      </c>
      <c r="F94" s="623">
        <v>2839.5</v>
      </c>
      <c r="G94" s="623">
        <v>2230</v>
      </c>
    </row>
    <row r="95" spans="1:7" ht="14.25" customHeight="1">
      <c r="A95" s="40" t="s">
        <v>1030</v>
      </c>
      <c r="B95" s="623"/>
      <c r="C95" s="623"/>
      <c r="D95" s="623"/>
      <c r="E95" s="623"/>
      <c r="F95" s="623"/>
      <c r="G95" s="623"/>
    </row>
    <row r="96" spans="1:7" ht="15.75" customHeight="1">
      <c r="A96" s="40" t="s">
        <v>18</v>
      </c>
      <c r="B96" s="623">
        <v>-717.5</v>
      </c>
      <c r="C96" s="623">
        <v>1833.7</v>
      </c>
      <c r="D96" s="623">
        <v>-2484.6999999999998</v>
      </c>
      <c r="E96" s="623">
        <v>9383.2999999999993</v>
      </c>
      <c r="F96" s="623">
        <v>2494.6999999999998</v>
      </c>
      <c r="G96" s="623">
        <v>2343.5</v>
      </c>
    </row>
    <row r="97" spans="1:7" ht="14.25" customHeight="1">
      <c r="A97" s="40" t="s">
        <v>19</v>
      </c>
      <c r="B97" s="623">
        <v>-764.6</v>
      </c>
      <c r="C97" s="623">
        <v>1793.3</v>
      </c>
      <c r="D97" s="623">
        <v>-2501.3000000000002</v>
      </c>
      <c r="E97" s="623">
        <v>9401.9</v>
      </c>
      <c r="F97" s="623">
        <v>2540.6</v>
      </c>
      <c r="G97" s="623">
        <v>2364.9</v>
      </c>
    </row>
    <row r="98" spans="1:7" ht="15.75" customHeight="1">
      <c r="A98" s="40" t="s">
        <v>20</v>
      </c>
      <c r="B98" s="623">
        <v>-624.29999999999995</v>
      </c>
      <c r="C98" s="623">
        <v>1954.4</v>
      </c>
      <c r="D98" s="623">
        <v>-2531.1999999999998</v>
      </c>
      <c r="E98" s="623">
        <v>8597.2999999999993</v>
      </c>
      <c r="F98" s="623">
        <v>2682.9</v>
      </c>
      <c r="G98" s="623">
        <v>2641.9</v>
      </c>
    </row>
    <row r="99" spans="1:7" ht="15.75" customHeight="1">
      <c r="A99" s="40" t="s">
        <v>21</v>
      </c>
      <c r="B99" s="623">
        <v>-719.3</v>
      </c>
      <c r="C99" s="623">
        <v>1827.8</v>
      </c>
      <c r="D99" s="623">
        <v>-2503.1999999999998</v>
      </c>
      <c r="E99" s="623">
        <v>8894.0219791599993</v>
      </c>
      <c r="F99" s="623">
        <v>2710.9</v>
      </c>
      <c r="G99" s="623">
        <v>2584.1</v>
      </c>
    </row>
    <row r="100" spans="1:7" ht="15.75" customHeight="1">
      <c r="A100" s="40" t="s">
        <v>22</v>
      </c>
      <c r="B100" s="623">
        <v>-702</v>
      </c>
      <c r="C100" s="623">
        <v>1811</v>
      </c>
      <c r="D100" s="623">
        <v>-2468</v>
      </c>
      <c r="E100" s="623">
        <v>9040.0538178499937</v>
      </c>
      <c r="F100" s="623">
        <v>2773.9</v>
      </c>
      <c r="G100" s="623">
        <v>2664.1</v>
      </c>
    </row>
    <row r="101" spans="1:7" ht="15.75" customHeight="1">
      <c r="A101" s="40" t="s">
        <v>23</v>
      </c>
      <c r="B101" s="623">
        <v>-553.29999999999995</v>
      </c>
      <c r="C101" s="623">
        <v>1893.6</v>
      </c>
      <c r="D101" s="623">
        <v>-2404.9</v>
      </c>
      <c r="E101" s="623">
        <v>9231.0705042799982</v>
      </c>
      <c r="F101" s="623">
        <v>2873.9</v>
      </c>
      <c r="G101" s="623">
        <v>2677.2</v>
      </c>
    </row>
    <row r="102" spans="1:7" ht="15.75" customHeight="1">
      <c r="A102" s="40" t="s">
        <v>24</v>
      </c>
      <c r="B102" s="623">
        <v>-636.1</v>
      </c>
      <c r="C102" s="623">
        <v>1833.3</v>
      </c>
      <c r="D102" s="623">
        <v>-2428.9</v>
      </c>
      <c r="E102" s="623">
        <v>9425.6461800399975</v>
      </c>
      <c r="F102" s="623">
        <v>3141.5</v>
      </c>
      <c r="G102" s="623">
        <v>2569.8000000000002</v>
      </c>
    </row>
    <row r="103" spans="1:7" ht="15.75" customHeight="1">
      <c r="A103" s="40" t="s">
        <v>25</v>
      </c>
      <c r="B103" s="623">
        <v>-837.1</v>
      </c>
      <c r="C103" s="623">
        <v>1686.2</v>
      </c>
      <c r="D103" s="623">
        <v>-2487.8000000000002</v>
      </c>
      <c r="E103" s="623">
        <v>9843.7767524999981</v>
      </c>
      <c r="F103" s="623">
        <v>3064.3</v>
      </c>
      <c r="G103" s="623">
        <v>2766.4</v>
      </c>
    </row>
    <row r="104" spans="1:7" ht="15.75" customHeight="1">
      <c r="A104" s="40" t="s">
        <v>26</v>
      </c>
      <c r="B104" s="623">
        <v>-577.70000000000005</v>
      </c>
      <c r="C104" s="623">
        <v>1875.8</v>
      </c>
      <c r="D104" s="623">
        <v>-2426.8000000000002</v>
      </c>
      <c r="E104" s="623">
        <v>9997.8195771700011</v>
      </c>
      <c r="F104" s="623">
        <v>3152.8</v>
      </c>
      <c r="G104" s="623">
        <v>3021.9</v>
      </c>
    </row>
    <row r="105" spans="1:7" ht="15.75" customHeight="1">
      <c r="A105" s="40" t="s">
        <v>27</v>
      </c>
      <c r="B105" s="623">
        <v>-647.70000000000005</v>
      </c>
      <c r="C105" s="623">
        <v>1741.7</v>
      </c>
      <c r="D105" s="623">
        <v>-2372</v>
      </c>
      <c r="E105" s="623">
        <v>10110.52391462</v>
      </c>
      <c r="F105" s="623">
        <v>3231.9</v>
      </c>
      <c r="G105" s="623">
        <v>2903.6</v>
      </c>
    </row>
    <row r="106" spans="1:7" ht="15.75" customHeight="1">
      <c r="A106" s="40" t="s">
        <v>28</v>
      </c>
      <c r="B106" s="623">
        <v>-663.7</v>
      </c>
      <c r="C106" s="623">
        <v>1689</v>
      </c>
      <c r="D106" s="623">
        <v>-2343.5</v>
      </c>
      <c r="E106" s="623">
        <v>10187.593105730004</v>
      </c>
      <c r="F106" s="623">
        <v>3448.3</v>
      </c>
      <c r="G106" s="623">
        <v>2838.8</v>
      </c>
    </row>
    <row r="107" spans="1:7" ht="15.75" customHeight="1">
      <c r="A107" s="40" t="s">
        <v>29</v>
      </c>
      <c r="B107" s="623">
        <v>-698.5</v>
      </c>
      <c r="C107" s="623">
        <v>1762.6</v>
      </c>
      <c r="D107" s="623">
        <v>-2432.3000000000002</v>
      </c>
      <c r="E107" s="623">
        <v>10294.254034680001</v>
      </c>
      <c r="F107" s="623">
        <v>3834.5</v>
      </c>
      <c r="G107" s="623">
        <v>2906</v>
      </c>
    </row>
    <row r="108" spans="1:7" ht="14.25" customHeight="1">
      <c r="A108" s="40" t="s">
        <v>1301</v>
      </c>
      <c r="B108" s="623"/>
      <c r="C108" s="623"/>
      <c r="D108" s="623"/>
      <c r="E108" s="623"/>
      <c r="F108" s="623"/>
      <c r="G108" s="623"/>
    </row>
    <row r="109" spans="1:7" ht="15.75" customHeight="1">
      <c r="A109" s="40" t="s">
        <v>18</v>
      </c>
      <c r="B109" s="623">
        <v>-608.4</v>
      </c>
      <c r="C109" s="623">
        <v>1860.8</v>
      </c>
      <c r="D109" s="623">
        <v>-2440.5</v>
      </c>
      <c r="E109" s="623">
        <v>10341</v>
      </c>
      <c r="F109" s="623">
        <v>3734.9</v>
      </c>
      <c r="G109" s="623">
        <v>2924</v>
      </c>
    </row>
    <row r="110" spans="1:7" ht="15.75" customHeight="1">
      <c r="A110" s="40" t="s">
        <v>19</v>
      </c>
      <c r="B110" s="623">
        <v>-512.79999999999995</v>
      </c>
      <c r="C110" s="623">
        <v>1992.2</v>
      </c>
      <c r="D110" s="623">
        <v>-2469</v>
      </c>
      <c r="E110" s="623">
        <v>10481.6</v>
      </c>
      <c r="F110" s="623">
        <v>3770.3</v>
      </c>
      <c r="G110" s="623">
        <v>3104.8</v>
      </c>
    </row>
    <row r="111" spans="1:7" ht="15.75" customHeight="1">
      <c r="A111" s="40" t="s">
        <v>20</v>
      </c>
      <c r="B111" s="623">
        <v>-419.1</v>
      </c>
      <c r="C111" s="623">
        <v>2152.6</v>
      </c>
      <c r="D111" s="623">
        <v>-2531.4</v>
      </c>
      <c r="E111" s="623">
        <v>10503.5</v>
      </c>
      <c r="F111" s="623">
        <v>4009.1</v>
      </c>
      <c r="G111" s="623">
        <v>3056.4</v>
      </c>
    </row>
    <row r="112" spans="1:7" ht="15.75" customHeight="1">
      <c r="A112" s="40" t="s">
        <v>21</v>
      </c>
      <c r="B112" s="623">
        <v>-269.10000000000002</v>
      </c>
      <c r="C112" s="623">
        <v>2280.6999999999998</v>
      </c>
      <c r="D112" s="623">
        <v>-2509.9</v>
      </c>
      <c r="E112" s="623">
        <v>10726.9</v>
      </c>
      <c r="F112" s="623">
        <v>3874.1</v>
      </c>
      <c r="G112" s="623">
        <v>3143.8</v>
      </c>
    </row>
    <row r="113" spans="1:7" ht="15.75" customHeight="1">
      <c r="A113" s="40" t="s">
        <v>22</v>
      </c>
      <c r="B113" s="623">
        <v>-323.8</v>
      </c>
      <c r="C113" s="623">
        <v>2147.3000000000002</v>
      </c>
      <c r="D113" s="623">
        <v>-2422.6</v>
      </c>
      <c r="E113" s="623">
        <v>10904.4</v>
      </c>
      <c r="F113" s="623">
        <v>3931</v>
      </c>
      <c r="G113" s="623">
        <v>3122.8</v>
      </c>
    </row>
    <row r="114" spans="1:7" ht="15.75" customHeight="1">
      <c r="A114" s="40" t="s">
        <v>23</v>
      </c>
      <c r="B114" s="623">
        <v>-710.2</v>
      </c>
      <c r="C114" s="623">
        <v>1807.6</v>
      </c>
      <c r="D114" s="623">
        <v>-2469.1</v>
      </c>
      <c r="E114" s="623">
        <v>11111.7</v>
      </c>
      <c r="F114" s="623">
        <v>3983.1</v>
      </c>
      <c r="G114" s="623">
        <v>2773.8</v>
      </c>
    </row>
    <row r="115" spans="1:7" ht="15.75" customHeight="1">
      <c r="A115" s="40" t="s">
        <v>24</v>
      </c>
      <c r="B115" s="623">
        <v>-735.6</v>
      </c>
      <c r="C115" s="623">
        <v>1833.3</v>
      </c>
      <c r="D115" s="623">
        <v>-2527</v>
      </c>
      <c r="E115" s="623">
        <v>11074.2</v>
      </c>
      <c r="F115" s="623">
        <v>3940.9</v>
      </c>
      <c r="G115" s="623">
        <v>2732</v>
      </c>
    </row>
    <row r="116" spans="1:7" ht="15.75" customHeight="1">
      <c r="A116" s="40" t="s">
        <v>25</v>
      </c>
      <c r="B116" s="623">
        <v>-942.3</v>
      </c>
      <c r="C116" s="623">
        <v>1800.4</v>
      </c>
      <c r="D116" s="623">
        <v>-2705.5</v>
      </c>
      <c r="E116" s="623">
        <v>11446.4</v>
      </c>
      <c r="F116" s="623">
        <v>4066</v>
      </c>
      <c r="G116" s="623">
        <v>2784.7</v>
      </c>
    </row>
    <row r="117" spans="1:7" ht="15.75" customHeight="1">
      <c r="A117" s="40" t="s">
        <v>26</v>
      </c>
      <c r="B117" s="623">
        <v>-900.2</v>
      </c>
      <c r="C117" s="623">
        <v>1978.3</v>
      </c>
      <c r="D117" s="623">
        <v>-2837.7</v>
      </c>
      <c r="E117" s="623">
        <v>11736.1</v>
      </c>
      <c r="F117" s="623">
        <v>4070.8</v>
      </c>
      <c r="G117" s="623">
        <v>2941</v>
      </c>
    </row>
    <row r="118" spans="1:7" ht="15.75" customHeight="1">
      <c r="A118" s="40" t="s">
        <v>27</v>
      </c>
      <c r="B118" s="623">
        <v>-924.6</v>
      </c>
      <c r="C118" s="623">
        <v>1968.8</v>
      </c>
      <c r="D118" s="623">
        <v>-2845.3</v>
      </c>
      <c r="E118" s="623">
        <v>12009.3</v>
      </c>
      <c r="F118" s="623">
        <v>4129.2</v>
      </c>
      <c r="G118" s="623">
        <v>3043</v>
      </c>
    </row>
    <row r="119" spans="1:7" ht="15.75" customHeight="1">
      <c r="A119" s="40" t="s">
        <v>28</v>
      </c>
      <c r="B119" s="623">
        <v>-847.8</v>
      </c>
      <c r="C119" s="623">
        <v>2095.6999999999998</v>
      </c>
      <c r="D119" s="623">
        <v>-2886.6</v>
      </c>
      <c r="E119" s="623">
        <v>12125.6</v>
      </c>
      <c r="F119" s="623">
        <v>4244</v>
      </c>
      <c r="G119" s="623">
        <v>3138.2</v>
      </c>
    </row>
    <row r="120" spans="1:7" ht="16.5" customHeight="1">
      <c r="A120" s="40" t="s">
        <v>29</v>
      </c>
      <c r="B120" s="623">
        <v>-1127.5999999999999</v>
      </c>
      <c r="C120" s="623">
        <v>2016.1</v>
      </c>
      <c r="D120" s="623">
        <v>-3073.6</v>
      </c>
      <c r="E120" s="623">
        <v>12656.3</v>
      </c>
      <c r="F120" s="623">
        <v>4535.6000000000004</v>
      </c>
      <c r="G120" s="623">
        <v>2968.9</v>
      </c>
    </row>
    <row r="121" spans="1:7" ht="14.25" customHeight="1">
      <c r="A121" s="40" t="s">
        <v>1423</v>
      </c>
      <c r="B121" s="623"/>
      <c r="C121" s="623"/>
      <c r="D121" s="623"/>
      <c r="E121" s="623"/>
      <c r="F121" s="623"/>
      <c r="G121" s="623"/>
    </row>
    <row r="122" spans="1:7" ht="15.75" customHeight="1">
      <c r="A122" s="40" t="s">
        <v>18</v>
      </c>
      <c r="B122" s="623">
        <v>-944.65710389000049</v>
      </c>
      <c r="C122" s="623">
        <v>2260.6321377300001</v>
      </c>
      <c r="D122" s="623">
        <v>-3123.7624453200006</v>
      </c>
      <c r="E122" s="623">
        <v>11945.563360509999</v>
      </c>
      <c r="F122" s="623">
        <v>4853.2337141300004</v>
      </c>
      <c r="G122" s="623">
        <v>2933.3503328599991</v>
      </c>
    </row>
    <row r="123" spans="1:7" ht="15.75" customHeight="1">
      <c r="A123" s="40" t="s">
        <v>19</v>
      </c>
      <c r="B123" s="623">
        <v>-1082.4762255299993</v>
      </c>
      <c r="C123" s="623">
        <v>2109.7419257999995</v>
      </c>
      <c r="D123" s="623">
        <v>-3131.859896949999</v>
      </c>
      <c r="E123" s="623">
        <v>11662.74066824</v>
      </c>
      <c r="F123" s="623">
        <v>5028.6653282799998</v>
      </c>
      <c r="G123" s="623">
        <v>2859.2012412199997</v>
      </c>
    </row>
    <row r="124" spans="1:7" ht="15.75" customHeight="1">
      <c r="A124" s="40" t="s">
        <v>20</v>
      </c>
      <c r="B124" s="623">
        <v>-696.03735523999967</v>
      </c>
      <c r="C124" s="623">
        <v>2488.1553495100002</v>
      </c>
      <c r="D124" s="623">
        <v>-3160.0316176699998</v>
      </c>
      <c r="E124" s="623">
        <v>11824.586201279999</v>
      </c>
      <c r="F124" s="623">
        <v>5165.0559255000007</v>
      </c>
      <c r="G124" s="623">
        <v>3260.62540399</v>
      </c>
    </row>
    <row r="125" spans="1:7" ht="15.75" customHeight="1">
      <c r="A125" s="40" t="s">
        <v>21</v>
      </c>
      <c r="B125" s="623">
        <v>-938.09110560000067</v>
      </c>
      <c r="C125" s="623">
        <v>2500.5469764799991</v>
      </c>
      <c r="D125" s="623">
        <v>-3417.4628642899997</v>
      </c>
      <c r="E125" s="623">
        <v>12385.504662919997</v>
      </c>
      <c r="F125" s="623">
        <v>5359.9754641899999</v>
      </c>
      <c r="G125" s="623">
        <v>3110.5819696300005</v>
      </c>
    </row>
    <row r="126" spans="1:7" ht="15.75" customHeight="1">
      <c r="A126" s="40" t="s">
        <v>22</v>
      </c>
      <c r="B126" s="623">
        <v>-942.88069798000083</v>
      </c>
      <c r="C126" s="623">
        <v>2525.7198820299991</v>
      </c>
      <c r="D126" s="623">
        <v>-3452.1512838399999</v>
      </c>
      <c r="E126" s="623">
        <v>12773.734028130004</v>
      </c>
      <c r="F126" s="623">
        <v>5382.6573775300003</v>
      </c>
      <c r="G126" s="623">
        <v>3118.5272214800002</v>
      </c>
    </row>
    <row r="127" spans="1:7" ht="15.75" customHeight="1">
      <c r="A127" s="40" t="s">
        <v>23</v>
      </c>
      <c r="B127" s="623">
        <v>-1380.1772533399985</v>
      </c>
      <c r="C127" s="623">
        <v>2279.8448922100006</v>
      </c>
      <c r="D127" s="623">
        <v>-3635.2836770499989</v>
      </c>
      <c r="E127" s="623">
        <v>13065.307436250005</v>
      </c>
      <c r="F127" s="623">
        <v>5435.9288016399996</v>
      </c>
      <c r="G127" s="623">
        <v>2823.7570112899998</v>
      </c>
    </row>
    <row r="128" spans="1:7" ht="15.75" customHeight="1">
      <c r="A128" s="40" t="s">
        <v>24</v>
      </c>
      <c r="B128" s="623">
        <v>-1344.8221988299995</v>
      </c>
      <c r="C128" s="623">
        <v>2464.5090043800005</v>
      </c>
      <c r="D128" s="623">
        <v>-3779.7908834</v>
      </c>
      <c r="E128" s="623">
        <v>13495.457277020001</v>
      </c>
      <c r="F128" s="623">
        <v>5436.6099973199998</v>
      </c>
      <c r="G128" s="623">
        <v>3037.80903291</v>
      </c>
    </row>
    <row r="129" spans="1:7" ht="15.75" customHeight="1">
      <c r="A129" s="40" t="s">
        <v>25</v>
      </c>
      <c r="B129" s="623">
        <v>-1520.593770720001</v>
      </c>
      <c r="C129" s="623">
        <v>2327.2204362699995</v>
      </c>
      <c r="D129" s="623">
        <v>-3784.1297370700004</v>
      </c>
      <c r="E129" s="623">
        <v>13626.724067990001</v>
      </c>
      <c r="F129" s="623">
        <v>5623.55217937</v>
      </c>
      <c r="G129" s="623">
        <v>2839.59442365</v>
      </c>
    </row>
    <row r="130" spans="1:7" ht="15.75" customHeight="1">
      <c r="A130" s="40" t="s">
        <v>26</v>
      </c>
      <c r="B130" s="623">
        <v>-1657.2634479099991</v>
      </c>
      <c r="C130" s="623">
        <v>2362.7929914500005</v>
      </c>
      <c r="D130" s="623">
        <v>-3978.5795170799997</v>
      </c>
      <c r="E130" s="623">
        <v>13935.324584949998</v>
      </c>
      <c r="F130" s="623">
        <v>5681.635409909999</v>
      </c>
      <c r="G130" s="623">
        <v>2945.224106919999</v>
      </c>
    </row>
    <row r="131" spans="1:7" ht="15.75" customHeight="1">
      <c r="A131" s="40" t="s">
        <v>27</v>
      </c>
      <c r="B131" s="623">
        <v>-1614.895307849999</v>
      </c>
      <c r="C131" s="623">
        <v>2461.6373334800005</v>
      </c>
      <c r="D131" s="623">
        <v>-4065.4660971299995</v>
      </c>
      <c r="E131" s="623">
        <v>14101.343214799999</v>
      </c>
      <c r="F131" s="623">
        <v>5746.0127448499998</v>
      </c>
      <c r="G131" s="623">
        <v>2954.0184568899999</v>
      </c>
    </row>
    <row r="132" spans="1:7" ht="15.75" customHeight="1">
      <c r="A132" s="40" t="s">
        <v>28</v>
      </c>
      <c r="B132" s="623">
        <v>-1566.5065488999999</v>
      </c>
      <c r="C132" s="623">
        <v>2727.6770678300013</v>
      </c>
      <c r="D132" s="623">
        <v>-4279.5094020200013</v>
      </c>
      <c r="E132" s="623">
        <v>14395.256042209998</v>
      </c>
      <c r="F132" s="623">
        <v>5797.7447458200004</v>
      </c>
      <c r="G132" s="623">
        <v>3182.4801153099997</v>
      </c>
    </row>
    <row r="133" spans="1:7" ht="15.75" customHeight="1">
      <c r="A133" s="40" t="s">
        <v>29</v>
      </c>
      <c r="B133" s="623">
        <v>-1745.1803926300004</v>
      </c>
      <c r="C133" s="623">
        <v>2533.6659378000008</v>
      </c>
      <c r="D133" s="623">
        <v>-4273.9113712500011</v>
      </c>
      <c r="E133" s="623">
        <v>14492.746447270001</v>
      </c>
      <c r="F133" s="623">
        <v>5965.5</v>
      </c>
      <c r="G133" s="623">
        <v>2854.6532663499997</v>
      </c>
    </row>
    <row r="134" spans="1:7" ht="14.25" customHeight="1">
      <c r="A134" s="40" t="s">
        <v>1634</v>
      </c>
      <c r="B134" s="623"/>
      <c r="C134" s="623"/>
      <c r="D134" s="623"/>
      <c r="E134" s="623"/>
      <c r="F134" s="623"/>
      <c r="G134" s="623"/>
    </row>
    <row r="135" spans="1:7" ht="15.75" customHeight="1">
      <c r="A135" s="40" t="s">
        <v>18</v>
      </c>
      <c r="B135" s="623">
        <v>-1688.4085730400016</v>
      </c>
      <c r="C135" s="623">
        <v>2592.6959930799994</v>
      </c>
      <c r="D135" s="623">
        <v>-4309.5825529400008</v>
      </c>
      <c r="E135" s="623">
        <v>14574.457826710002</v>
      </c>
      <c r="F135" s="623">
        <v>6057.2</v>
      </c>
      <c r="G135" s="623">
        <v>3061.9712525700002</v>
      </c>
    </row>
    <row r="136" spans="1:7" ht="15.75" customHeight="1">
      <c r="A136" s="40" t="s">
        <v>19</v>
      </c>
      <c r="B136" s="623">
        <v>-1578.7788008299972</v>
      </c>
      <c r="C136" s="623">
        <v>2799.8457317000011</v>
      </c>
      <c r="D136" s="623">
        <v>-4394.0847328799982</v>
      </c>
      <c r="E136" s="623">
        <v>14847.818625059999</v>
      </c>
      <c r="F136" s="623">
        <v>6159.4</v>
      </c>
      <c r="G136" s="623">
        <v>3148.8977077200002</v>
      </c>
    </row>
    <row r="137" spans="1:7" ht="15.75" customHeight="1">
      <c r="A137" s="40" t="s">
        <v>20</v>
      </c>
      <c r="B137" s="623">
        <v>-1516.66153571</v>
      </c>
      <c r="C137" s="623">
        <v>3040.8001508699995</v>
      </c>
      <c r="D137" s="623">
        <v>-4601.9514019399994</v>
      </c>
      <c r="E137" s="623">
        <v>15228.109717359999</v>
      </c>
      <c r="F137" s="623">
        <v>6169.2</v>
      </c>
      <c r="G137" s="623">
        <v>3244.7</v>
      </c>
    </row>
    <row r="138" spans="1:7" ht="15" customHeight="1">
      <c r="A138" s="40" t="s">
        <v>21</v>
      </c>
      <c r="B138" s="623">
        <v>-1329.4354866599995</v>
      </c>
      <c r="C138" s="623">
        <v>3143.7564729400005</v>
      </c>
      <c r="D138" s="623">
        <v>-4518.7582734699999</v>
      </c>
      <c r="E138" s="623">
        <v>15634.964043069998</v>
      </c>
      <c r="F138" s="623">
        <v>6429.3</v>
      </c>
      <c r="G138" s="623">
        <v>3302.9</v>
      </c>
    </row>
    <row r="139" spans="1:7" ht="15" customHeight="1">
      <c r="A139" s="40" t="s">
        <v>22</v>
      </c>
      <c r="B139" s="623">
        <v>-1624.9730067699988</v>
      </c>
      <c r="C139" s="623">
        <v>2911.7056099800006</v>
      </c>
      <c r="D139" s="623">
        <v>-4581.6950293399996</v>
      </c>
      <c r="E139" s="623">
        <v>16036.175753710004</v>
      </c>
      <c r="F139" s="623">
        <v>6472.7</v>
      </c>
      <c r="G139" s="623">
        <v>3272.7</v>
      </c>
    </row>
    <row r="140" spans="1:7" ht="15.75" customHeight="1">
      <c r="A140" s="40" t="s">
        <v>23</v>
      </c>
      <c r="B140" s="623">
        <v>-1444.185092939998</v>
      </c>
      <c r="C140" s="623">
        <v>3148.5938187200004</v>
      </c>
      <c r="D140" s="623">
        <v>-4630.0607184699984</v>
      </c>
      <c r="E140" s="623">
        <v>16123.148630310001</v>
      </c>
      <c r="F140" s="623">
        <v>6658.2</v>
      </c>
      <c r="G140" s="623">
        <v>3564.1</v>
      </c>
    </row>
    <row r="141" spans="1:7" ht="15.75" customHeight="1">
      <c r="A141" s="40" t="s">
        <v>24</v>
      </c>
      <c r="B141" s="623">
        <v>-1197.6603928099985</v>
      </c>
      <c r="C141" s="623">
        <v>3447.0984273899999</v>
      </c>
      <c r="D141" s="623">
        <v>-4695.8332580199985</v>
      </c>
      <c r="E141" s="623">
        <v>16417.850723740001</v>
      </c>
      <c r="F141" s="623">
        <v>6914.8</v>
      </c>
      <c r="G141" s="623">
        <v>3790.1</v>
      </c>
    </row>
    <row r="142" spans="1:7" ht="15.75" customHeight="1">
      <c r="A142" s="40" t="s">
        <v>25</v>
      </c>
      <c r="B142" s="623">
        <v>-1392.3962583499992</v>
      </c>
      <c r="C142" s="623">
        <v>3279.0771909100008</v>
      </c>
      <c r="D142" s="623">
        <v>-4713.4586376500001</v>
      </c>
      <c r="E142" s="623">
        <v>16744.60105311</v>
      </c>
      <c r="F142" s="623">
        <v>6951.4</v>
      </c>
      <c r="G142" s="623">
        <v>3854</v>
      </c>
    </row>
    <row r="143" spans="1:7" ht="15.75" customHeight="1">
      <c r="A143" s="40" t="s">
        <v>26</v>
      </c>
      <c r="B143" s="623">
        <v>-1557.9819082699994</v>
      </c>
      <c r="C143" s="623">
        <v>3132.0428804200001</v>
      </c>
      <c r="D143" s="623">
        <v>-4726.6059430799996</v>
      </c>
      <c r="E143" s="623">
        <v>17049.983864400001</v>
      </c>
      <c r="F143" s="623">
        <v>6967.2</v>
      </c>
      <c r="G143" s="623">
        <v>3765.3</v>
      </c>
    </row>
    <row r="144" spans="1:7" ht="15.75" customHeight="1">
      <c r="A144" s="40" t="s">
        <v>27</v>
      </c>
      <c r="B144" s="623">
        <v>-1515.1296545099983</v>
      </c>
      <c r="C144" s="623">
        <v>3293.2285732900004</v>
      </c>
      <c r="D144" s="623">
        <v>-4841.7042201799986</v>
      </c>
      <c r="E144" s="623">
        <v>17274.514971250002</v>
      </c>
      <c r="F144" s="623">
        <v>7034.7</v>
      </c>
      <c r="G144" s="623">
        <v>4002.1</v>
      </c>
    </row>
    <row r="145" spans="1:7" ht="15.75" customHeight="1">
      <c r="A145" s="40" t="s">
        <v>28</v>
      </c>
      <c r="B145" s="623">
        <v>-1287.8813396199996</v>
      </c>
      <c r="C145" s="623">
        <v>3665.3361290700009</v>
      </c>
      <c r="D145" s="623">
        <v>-4992.1725760300005</v>
      </c>
      <c r="E145" s="623">
        <v>17613.637115399997</v>
      </c>
      <c r="F145" s="623">
        <v>7189.4</v>
      </c>
      <c r="G145" s="623">
        <v>4164.3999999999996</v>
      </c>
    </row>
    <row r="146" spans="1:7" ht="15.75" customHeight="1">
      <c r="A146" s="40" t="s">
        <v>29</v>
      </c>
      <c r="B146" s="623">
        <v>-1805.627924840001</v>
      </c>
      <c r="C146" s="623">
        <v>3387.8689363599992</v>
      </c>
      <c r="D146" s="623">
        <v>-5242.3597403200001</v>
      </c>
      <c r="E146" s="623">
        <v>17896.836451949999</v>
      </c>
      <c r="F146" s="623">
        <v>7275.8</v>
      </c>
      <c r="G146" s="623">
        <v>4130.3</v>
      </c>
    </row>
    <row r="147" spans="1:7" ht="15.75" customHeight="1">
      <c r="A147" s="40" t="s">
        <v>1829</v>
      </c>
      <c r="B147" s="623"/>
      <c r="C147" s="623"/>
      <c r="D147" s="623"/>
      <c r="E147" s="623"/>
      <c r="F147" s="623"/>
      <c r="G147" s="623"/>
    </row>
    <row r="148" spans="1:7" ht="15.75" customHeight="1">
      <c r="A148" s="40" t="s">
        <v>18</v>
      </c>
      <c r="B148" s="623">
        <v>-1734.9105736299989</v>
      </c>
      <c r="C148" s="623">
        <v>3331.4081178500001</v>
      </c>
      <c r="D148" s="623">
        <v>-5138.7804128699991</v>
      </c>
      <c r="E148" s="623">
        <v>17758.091581010001</v>
      </c>
      <c r="F148" s="623">
        <v>6878.6093533100011</v>
      </c>
      <c r="G148" s="623">
        <v>4331.4927708200003</v>
      </c>
    </row>
    <row r="149" spans="1:7" ht="15.75" customHeight="1">
      <c r="A149" s="40" t="s">
        <v>19</v>
      </c>
      <c r="B149" s="623">
        <v>-3126.6945520600002</v>
      </c>
      <c r="C149" s="623">
        <v>4482.9042680099992</v>
      </c>
      <c r="D149" s="623">
        <v>-7736.2115726699994</v>
      </c>
      <c r="E149" s="623">
        <v>19834.382163069997</v>
      </c>
      <c r="F149" s="623">
        <v>5643.3262629000001</v>
      </c>
      <c r="G149" s="623">
        <v>6507.5951672600004</v>
      </c>
    </row>
    <row r="150" spans="1:7" ht="15.75" customHeight="1">
      <c r="A150" s="40" t="s">
        <v>20</v>
      </c>
      <c r="B150" s="623">
        <v>-2602.0168227900012</v>
      </c>
      <c r="C150" s="623">
        <v>4861.5508183599995</v>
      </c>
      <c r="D150" s="623">
        <v>-7599.7060326200008</v>
      </c>
      <c r="E150" s="623">
        <v>19729.008490550004</v>
      </c>
      <c r="F150" s="623">
        <v>5092.5902491500001</v>
      </c>
      <c r="G150" s="623">
        <v>7013.8795153299998</v>
      </c>
    </row>
    <row r="151" spans="1:7" ht="15.75" customHeight="1">
      <c r="A151" s="40" t="s">
        <v>21</v>
      </c>
      <c r="B151" s="623">
        <v>-1920.4881913500001</v>
      </c>
      <c r="C151" s="623">
        <v>5312.3738378399994</v>
      </c>
      <c r="D151" s="623">
        <v>-7381.4556557099995</v>
      </c>
      <c r="E151" s="623">
        <v>19717.097326090003</v>
      </c>
      <c r="F151" s="623">
        <v>4580.33506433</v>
      </c>
      <c r="G151" s="623">
        <v>7978.6870730800019</v>
      </c>
    </row>
    <row r="152" spans="1:7" ht="15.75" customHeight="1">
      <c r="A152" s="40" t="s">
        <v>22</v>
      </c>
      <c r="B152" s="623">
        <v>-2076.6141507299994</v>
      </c>
      <c r="C152" s="623">
        <v>5043.8532094800003</v>
      </c>
      <c r="D152" s="623">
        <v>-7246.7848869299996</v>
      </c>
      <c r="E152" s="623">
        <v>19708.305113650003</v>
      </c>
      <c r="F152" s="623">
        <v>4554.1832718900005</v>
      </c>
      <c r="G152" s="623">
        <v>7914.9119722200012</v>
      </c>
    </row>
    <row r="153" spans="1:7" ht="15.75" customHeight="1">
      <c r="A153" s="40" t="s">
        <v>23</v>
      </c>
      <c r="B153" s="623">
        <v>-2029.2156772999967</v>
      </c>
      <c r="C153" s="623">
        <v>4769.0458894500016</v>
      </c>
      <c r="D153" s="623">
        <v>-6926.2751237099983</v>
      </c>
      <c r="E153" s="623">
        <v>19622.373254300004</v>
      </c>
      <c r="F153" s="623">
        <v>4633.2296602300003</v>
      </c>
      <c r="G153" s="623">
        <v>7857.3233085800002</v>
      </c>
    </row>
    <row r="154" spans="1:7" ht="15.75" customHeight="1">
      <c r="A154" s="40" t="s">
        <v>24</v>
      </c>
      <c r="B154" s="623">
        <v>-1765.6060138800028</v>
      </c>
      <c r="C154" s="623">
        <v>4952.4026302699986</v>
      </c>
      <c r="D154" s="623">
        <v>-6823.8239818500015</v>
      </c>
      <c r="E154" s="623">
        <v>19493.113326610001</v>
      </c>
      <c r="F154" s="623">
        <v>4477.2368837800004</v>
      </c>
      <c r="G154" s="623">
        <v>8001.6960249400008</v>
      </c>
    </row>
    <row r="155" spans="1:7" ht="15.75" customHeight="1">
      <c r="A155" s="40" t="s">
        <v>25</v>
      </c>
      <c r="B155" s="623">
        <v>-1491.4169188600008</v>
      </c>
      <c r="C155" s="623">
        <v>4904.7459070099985</v>
      </c>
      <c r="D155" s="623">
        <v>-6524.4099915499992</v>
      </c>
      <c r="E155" s="623">
        <v>19309.197680590005</v>
      </c>
      <c r="F155" s="623">
        <v>4038.7197275000003</v>
      </c>
      <c r="G155" s="623">
        <v>8187.6833754799982</v>
      </c>
    </row>
    <row r="156" spans="1:7" ht="15.75" customHeight="1">
      <c r="A156" s="40" t="s">
        <v>26</v>
      </c>
      <c r="B156" s="623">
        <v>-1272.8679303300039</v>
      </c>
      <c r="C156" s="623">
        <v>4913.3011684099984</v>
      </c>
      <c r="D156" s="623">
        <v>-6311.4061940400024</v>
      </c>
      <c r="E156" s="623">
        <v>18387.245349370001</v>
      </c>
      <c r="F156" s="623">
        <v>3906.7503737700004</v>
      </c>
      <c r="G156" s="623">
        <v>8315.0105631900005</v>
      </c>
    </row>
    <row r="157" spans="1:7" ht="15.75" customHeight="1">
      <c r="A157" s="40" t="s">
        <v>27</v>
      </c>
      <c r="B157" s="623">
        <v>-992.19873984000026</v>
      </c>
      <c r="C157" s="623">
        <v>5039.6943665700001</v>
      </c>
      <c r="D157" s="623">
        <v>-6168.5911537000002</v>
      </c>
      <c r="E157" s="623">
        <v>17896.998184970009</v>
      </c>
      <c r="F157" s="623">
        <v>3924.6269119800004</v>
      </c>
      <c r="G157" s="623">
        <v>8004.8093400300004</v>
      </c>
    </row>
    <row r="158" spans="1:7" ht="15.75" customHeight="1">
      <c r="A158" s="40" t="s">
        <v>28</v>
      </c>
      <c r="B158" s="623">
        <v>-293.08665185999877</v>
      </c>
      <c r="C158" s="623">
        <v>5678.4673300900013</v>
      </c>
      <c r="D158" s="623">
        <v>-6097.48196921</v>
      </c>
      <c r="E158" s="623">
        <v>18062.559156980002</v>
      </c>
      <c r="F158" s="623">
        <v>3867.9456453000003</v>
      </c>
      <c r="G158" s="623">
        <v>8393.2747569000003</v>
      </c>
    </row>
    <row r="159" spans="1:7" ht="15.75" customHeight="1">
      <c r="A159" s="40" t="s">
        <v>29</v>
      </c>
      <c r="B159" s="623">
        <v>-381.84403809999827</v>
      </c>
      <c r="C159" s="623">
        <v>7650.5044214100017</v>
      </c>
      <c r="D159" s="623">
        <v>-8246.8994961699991</v>
      </c>
      <c r="E159" s="623">
        <v>20827.609560839999</v>
      </c>
      <c r="F159" s="623">
        <v>3895.8029514899999</v>
      </c>
      <c r="G159" s="623">
        <v>12608.498140200001</v>
      </c>
    </row>
    <row r="160" spans="1:7" ht="15.75" customHeight="1">
      <c r="A160" s="40" t="s">
        <v>1852</v>
      </c>
      <c r="B160" s="623"/>
      <c r="C160" s="623"/>
      <c r="D160" s="623"/>
      <c r="E160" s="623"/>
      <c r="F160" s="623"/>
      <c r="G160" s="623"/>
    </row>
    <row r="161" spans="1:7" ht="15.75" customHeight="1">
      <c r="A161" s="40" t="s">
        <v>18</v>
      </c>
      <c r="B161" s="623">
        <v>-201.29676440000105</v>
      </c>
      <c r="C161" s="623">
        <v>8009.4738433199991</v>
      </c>
      <c r="D161" s="623">
        <v>-8435.529301980001</v>
      </c>
      <c r="E161" s="623">
        <v>20305.450031090004</v>
      </c>
      <c r="F161" s="623">
        <v>3511.1933166999997</v>
      </c>
      <c r="G161" s="623">
        <v>11927.89790858</v>
      </c>
    </row>
    <row r="162" spans="1:7" ht="15.75" customHeight="1">
      <c r="A162" s="40" t="s">
        <v>19</v>
      </c>
      <c r="B162" s="623">
        <v>125.040998990002</v>
      </c>
      <c r="C162" s="623">
        <v>7350.3548348999993</v>
      </c>
      <c r="D162" s="623">
        <v>-7435.2672752699982</v>
      </c>
      <c r="E162" s="623">
        <v>19471.240562290004</v>
      </c>
      <c r="F162" s="623">
        <v>3717.2535188799998</v>
      </c>
      <c r="G162" s="623">
        <v>10910.386912459999</v>
      </c>
    </row>
    <row r="163" spans="1:7" ht="15.75" customHeight="1">
      <c r="A163" s="40" t="s">
        <v>20</v>
      </c>
      <c r="B163" s="623">
        <v>1891.6467564899963</v>
      </c>
      <c r="C163" s="623">
        <v>9127.5267238299984</v>
      </c>
      <c r="D163" s="623">
        <v>-7460.9849965100002</v>
      </c>
      <c r="E163" s="623">
        <v>18744.457143940002</v>
      </c>
      <c r="F163" s="623">
        <v>3901.8021862799997</v>
      </c>
      <c r="G163" s="623">
        <v>11692.052892049998</v>
      </c>
    </row>
    <row r="164" spans="1:7" ht="15.75" customHeight="1">
      <c r="A164" s="40" t="s">
        <v>21</v>
      </c>
      <c r="B164" s="623">
        <v>2011.6968336899999</v>
      </c>
      <c r="C164" s="623">
        <v>8557.8764045200005</v>
      </c>
      <c r="D164" s="623">
        <v>-6769.0439159300004</v>
      </c>
      <c r="E164" s="623">
        <v>17867.812120589999</v>
      </c>
      <c r="F164" s="623">
        <v>3894.8058592900002</v>
      </c>
      <c r="G164" s="623">
        <v>11359.940588299998</v>
      </c>
    </row>
    <row r="165" spans="1:7" ht="15.75" customHeight="1">
      <c r="A165" s="40" t="s">
        <v>22</v>
      </c>
      <c r="B165" s="623">
        <v>-1055.5446197900001</v>
      </c>
      <c r="C165" s="623">
        <v>5515.0281591300009</v>
      </c>
      <c r="D165" s="623">
        <v>-6722.6995824500009</v>
      </c>
      <c r="E165" s="623">
        <v>17302.279477950004</v>
      </c>
      <c r="F165" s="623">
        <v>4000.7744460499998</v>
      </c>
      <c r="G165" s="623">
        <v>11028.99703251</v>
      </c>
    </row>
    <row r="166" spans="1:7" ht="15.75" customHeight="1">
      <c r="A166" s="40" t="s">
        <v>23</v>
      </c>
      <c r="B166" s="623">
        <v>-1611.2116951100008</v>
      </c>
      <c r="C166" s="623">
        <v>4857.2781757499997</v>
      </c>
      <c r="D166" s="623">
        <v>-6654.2448096400012</v>
      </c>
      <c r="E166" s="623">
        <v>17268.505833039999</v>
      </c>
      <c r="F166" s="623">
        <v>4119.4479135299998</v>
      </c>
      <c r="G166" s="623">
        <v>11044.102895419999</v>
      </c>
    </row>
    <row r="167" spans="1:7" ht="15.75" customHeight="1">
      <c r="A167" s="40" t="s">
        <v>24</v>
      </c>
      <c r="B167" s="623">
        <v>-2102.9249831799984</v>
      </c>
      <c r="C167" s="623">
        <v>4496.1093418900009</v>
      </c>
      <c r="D167" s="623">
        <v>-6469.2430958799996</v>
      </c>
      <c r="E167" s="623">
        <v>15371.013200289999</v>
      </c>
      <c r="F167" s="623">
        <v>4248.29960381</v>
      </c>
      <c r="G167" s="623">
        <v>11003.235107749999</v>
      </c>
    </row>
    <row r="168" spans="1:7" ht="15.75" customHeight="1">
      <c r="A168" s="40" t="s">
        <v>25</v>
      </c>
      <c r="B168" s="623">
        <v>-2424.1354821</v>
      </c>
      <c r="C168" s="623">
        <v>4199.4177083400009</v>
      </c>
      <c r="D168" s="623">
        <v>-6488.6791796800007</v>
      </c>
      <c r="E168" s="623">
        <v>15602.968396580001</v>
      </c>
      <c r="F168" s="623">
        <v>4083.9524868300005</v>
      </c>
      <c r="G168" s="623">
        <v>11292.190008039999</v>
      </c>
    </row>
    <row r="169" spans="1:7" ht="15.75" customHeight="1">
      <c r="A169" s="40" t="s">
        <v>26</v>
      </c>
      <c r="B169" s="623">
        <v>-2628.491758350001</v>
      </c>
      <c r="C169" s="623">
        <v>3870.9183966799992</v>
      </c>
      <c r="D169" s="623">
        <v>-6357.9543645399999</v>
      </c>
      <c r="E169" s="623">
        <v>15539.344503199998</v>
      </c>
      <c r="F169" s="623">
        <v>4273.2557033600006</v>
      </c>
      <c r="G169" s="623">
        <v>10162.649538350001</v>
      </c>
    </row>
    <row r="170" spans="1:7" ht="15.75" customHeight="1">
      <c r="A170" s="40" t="s">
        <v>27</v>
      </c>
      <c r="B170" s="623">
        <v>-2692.2694512399994</v>
      </c>
      <c r="C170" s="623">
        <v>3649.7367286499998</v>
      </c>
      <c r="D170" s="623">
        <v>-6228.9924568299994</v>
      </c>
      <c r="E170" s="623">
        <v>15093.7118677</v>
      </c>
      <c r="F170" s="623">
        <v>4925.6839826599999</v>
      </c>
      <c r="G170" s="623">
        <v>9436.6169671300013</v>
      </c>
    </row>
    <row r="171" spans="1:7" ht="15.75" customHeight="1">
      <c r="A171" s="40" t="s">
        <v>28</v>
      </c>
      <c r="B171" s="623">
        <v>-3690.0380614799988</v>
      </c>
      <c r="C171" s="623">
        <v>3468.3682532299999</v>
      </c>
      <c r="D171" s="623">
        <v>-7039.124039979999</v>
      </c>
      <c r="E171" s="623">
        <v>15754.771128140001</v>
      </c>
      <c r="F171" s="623">
        <v>5106.9937883799994</v>
      </c>
      <c r="G171" s="623">
        <v>9323.2716604599991</v>
      </c>
    </row>
    <row r="172" spans="1:7" ht="15.75" customHeight="1">
      <c r="A172" s="40" t="s">
        <v>29</v>
      </c>
      <c r="B172" s="623">
        <v>-3916.39505715</v>
      </c>
      <c r="C172" s="623">
        <v>3422.4178004700002</v>
      </c>
      <c r="D172" s="623">
        <v>-7224.7670952300005</v>
      </c>
      <c r="E172" s="623">
        <v>15800.215137819996</v>
      </c>
      <c r="F172" s="623">
        <v>5163.1114129699999</v>
      </c>
      <c r="G172" s="623">
        <v>9336.2985531200011</v>
      </c>
    </row>
    <row r="173" spans="1:7" ht="15.75" customHeight="1">
      <c r="A173" s="40" t="s">
        <v>1915</v>
      </c>
      <c r="B173" s="623"/>
      <c r="C173" s="623"/>
      <c r="D173" s="623"/>
      <c r="E173" s="623"/>
      <c r="F173" s="623"/>
      <c r="G173" s="623"/>
    </row>
    <row r="174" spans="1:7" ht="15.75" customHeight="1">
      <c r="A174" s="40" t="s">
        <v>18</v>
      </c>
      <c r="B174" s="623">
        <v>-4190.7273737799978</v>
      </c>
      <c r="C174" s="623">
        <v>4012.9918495600023</v>
      </c>
      <c r="D174" s="623">
        <v>-8071.69103025</v>
      </c>
      <c r="E174" s="623">
        <v>16043.619452580002</v>
      </c>
      <c r="F174" s="623">
        <v>4818.7237495099998</v>
      </c>
      <c r="G174" s="623">
        <v>10276.775721460001</v>
      </c>
    </row>
    <row r="175" spans="1:7" ht="15.75" customHeight="1">
      <c r="A175" s="40" t="s">
        <v>19</v>
      </c>
      <c r="B175" s="623">
        <v>-3747.6469263699992</v>
      </c>
      <c r="C175" s="623">
        <v>3876.0289500799995</v>
      </c>
      <c r="D175" s="623">
        <v>-7511.3404605699989</v>
      </c>
      <c r="E175" s="623">
        <v>15336.818752289999</v>
      </c>
      <c r="F175" s="623">
        <v>4761.22743472</v>
      </c>
      <c r="G175" s="623">
        <v>9368.3620170199974</v>
      </c>
    </row>
    <row r="176" spans="1:7" ht="15.75" customHeight="1">
      <c r="A176" s="40" t="s">
        <v>20</v>
      </c>
      <c r="B176" s="623">
        <v>-4269.2662993600006</v>
      </c>
      <c r="C176" s="623">
        <v>3158.9824006499998</v>
      </c>
      <c r="D176" s="623">
        <v>-7310.9127355299997</v>
      </c>
      <c r="E176" s="623">
        <v>14940.71427762</v>
      </c>
      <c r="F176" s="623">
        <v>4821.3437977499998</v>
      </c>
      <c r="G176" s="623">
        <v>8901.0899751700017</v>
      </c>
    </row>
    <row r="177" spans="1:7" ht="15.75" customHeight="1">
      <c r="A177" s="40" t="s">
        <v>21</v>
      </c>
      <c r="B177" s="623">
        <v>-3796.3410458200001</v>
      </c>
      <c r="C177" s="623">
        <v>3438.2212839399995</v>
      </c>
      <c r="D177" s="623">
        <v>-7099.2776468599995</v>
      </c>
      <c r="E177" s="623">
        <v>15039.261344029997</v>
      </c>
      <c r="F177" s="623">
        <v>5244.3741332299996</v>
      </c>
      <c r="G177" s="623">
        <v>9444.2084124400026</v>
      </c>
    </row>
    <row r="178" spans="1:7" ht="15.75" customHeight="1">
      <c r="A178" s="40" t="s">
        <v>22</v>
      </c>
      <c r="B178" s="623">
        <v>-3161.3523634200001</v>
      </c>
      <c r="C178" s="623">
        <v>3813.4490577900006</v>
      </c>
      <c r="D178" s="623">
        <v>-6829.2161124700006</v>
      </c>
      <c r="E178" s="623">
        <v>14242.480911970002</v>
      </c>
      <c r="F178" s="623">
        <v>5007.6715363500007</v>
      </c>
      <c r="G178" s="623">
        <v>9263.0317598600013</v>
      </c>
    </row>
    <row r="179" spans="1:7" ht="15.75" customHeight="1">
      <c r="A179" s="40" t="s">
        <v>23</v>
      </c>
      <c r="B179" s="623">
        <v>-2986.0455763100003</v>
      </c>
      <c r="C179" s="623">
        <v>3970.3809256999994</v>
      </c>
      <c r="D179" s="623">
        <v>-6800.3995295999994</v>
      </c>
      <c r="E179" s="623">
        <v>13317.323353000002</v>
      </c>
      <c r="F179" s="623">
        <v>4647.7829626000002</v>
      </c>
      <c r="G179" s="623">
        <v>9517.867993089998</v>
      </c>
    </row>
    <row r="180" spans="1:7" ht="15.75" customHeight="1">
      <c r="A180" s="40" t="s">
        <v>24</v>
      </c>
      <c r="B180" s="623">
        <v>-3075.5598461400023</v>
      </c>
      <c r="C180" s="623">
        <v>3965.188330089999</v>
      </c>
      <c r="D180" s="623">
        <v>-6891.034180040001</v>
      </c>
      <c r="E180" s="623">
        <v>12082.472976659998</v>
      </c>
      <c r="F180" s="623">
        <v>4386.4365797899991</v>
      </c>
      <c r="G180" s="623">
        <v>9473.8703593300015</v>
      </c>
    </row>
    <row r="181" spans="1:7" ht="15.75" customHeight="1">
      <c r="A181" s="40" t="s">
        <v>25</v>
      </c>
      <c r="B181" s="623">
        <v>-2617.4671310099998</v>
      </c>
      <c r="C181" s="623">
        <v>3949.8266741799989</v>
      </c>
      <c r="D181" s="623">
        <v>-6428.2612694399986</v>
      </c>
      <c r="E181" s="623">
        <v>11716.552248449996</v>
      </c>
      <c r="F181" s="623">
        <v>4111.6456231299999</v>
      </c>
      <c r="G181" s="623">
        <v>9404.3639945199975</v>
      </c>
    </row>
    <row r="182" spans="1:7">
      <c r="A182" s="40" t="s">
        <v>26</v>
      </c>
      <c r="B182" s="623">
        <v>2404.3261412699994</v>
      </c>
      <c r="C182" s="623">
        <v>5268.1987389199994</v>
      </c>
      <c r="D182" s="623">
        <v>-2706.5493657600005</v>
      </c>
      <c r="E182" s="623">
        <v>11849.985710969999</v>
      </c>
      <c r="F182" s="623">
        <v>4344.3152026299995</v>
      </c>
      <c r="G182" s="623">
        <v>9653.3214406800016</v>
      </c>
    </row>
    <row r="183" spans="1:7" ht="15.75" customHeight="1">
      <c r="A183" s="40" t="s">
        <v>27</v>
      </c>
      <c r="B183" s="623">
        <v>2853.9399167100005</v>
      </c>
      <c r="C183" s="623">
        <v>5565.8885082200004</v>
      </c>
      <c r="D183" s="624">
        <v>-2550.2686528999998</v>
      </c>
      <c r="E183" s="623">
        <v>11661.937746970001</v>
      </c>
      <c r="F183" s="623">
        <v>4437.48570612</v>
      </c>
      <c r="G183" s="623">
        <v>9872.9580160499991</v>
      </c>
    </row>
    <row r="184" spans="1:7" ht="15.75" customHeight="1">
      <c r="A184" s="40" t="s">
        <v>28</v>
      </c>
      <c r="B184" s="623">
        <v>2194.6230655900004</v>
      </c>
      <c r="C184" s="623">
        <v>4868.7511328500004</v>
      </c>
      <c r="D184" s="624">
        <v>-2501.0180724800002</v>
      </c>
      <c r="E184" s="623">
        <v>11817.19033116</v>
      </c>
      <c r="F184" s="623">
        <v>4869.4568190199998</v>
      </c>
      <c r="G184" s="623">
        <v>9442.0783191299997</v>
      </c>
    </row>
    <row r="185" spans="1:7" ht="15.75" customHeight="1">
      <c r="A185" s="40" t="s">
        <v>29</v>
      </c>
      <c r="B185" s="623">
        <v>3409.9475811299994</v>
      </c>
      <c r="C185" s="623">
        <v>5873.9608721199993</v>
      </c>
      <c r="D185" s="624">
        <v>-2308.2827902499998</v>
      </c>
      <c r="E185" s="623">
        <v>11363.186676810003</v>
      </c>
      <c r="F185" s="623">
        <v>4943.7074549300005</v>
      </c>
      <c r="G185" s="623">
        <v>10301.494560519999</v>
      </c>
    </row>
    <row r="186" spans="1:7" ht="15.75" customHeight="1">
      <c r="A186" s="40" t="s">
        <v>2051</v>
      </c>
      <c r="B186" s="621"/>
      <c r="C186" s="621"/>
      <c r="D186" s="622"/>
      <c r="E186" s="621"/>
      <c r="F186" s="621"/>
      <c r="G186" s="621"/>
    </row>
    <row r="187" spans="1:7" ht="15.75" customHeight="1">
      <c r="A187" s="40" t="s">
        <v>18</v>
      </c>
      <c r="B187" s="623">
        <v>4212.3980666200005</v>
      </c>
      <c r="C187" s="623">
        <v>6639.0149916400005</v>
      </c>
      <c r="D187" s="624">
        <v>-2267.2078620900002</v>
      </c>
      <c r="E187" s="623">
        <v>11439.614230220001</v>
      </c>
      <c r="F187" s="623">
        <v>4848.8496793300001</v>
      </c>
      <c r="G187" s="623">
        <v>10470.961439159997</v>
      </c>
    </row>
    <row r="188" spans="1:7" ht="15.75" customHeight="1">
      <c r="A188" s="40" t="s">
        <v>19</v>
      </c>
      <c r="B188" s="623">
        <v>4047.0057169799998</v>
      </c>
      <c r="C188" s="623">
        <v>6472.2573729199994</v>
      </c>
      <c r="D188" s="624">
        <v>-2252.9045289299997</v>
      </c>
      <c r="E188" s="623">
        <v>11216.25471754</v>
      </c>
      <c r="F188" s="623">
        <v>5368.2276504900001</v>
      </c>
      <c r="G188" s="623">
        <v>10115.466074649999</v>
      </c>
    </row>
    <row r="189" spans="1:7" ht="15.75" customHeight="1">
      <c r="A189" s="40" t="s">
        <v>20</v>
      </c>
      <c r="B189" s="623">
        <v>3778.2984616699996</v>
      </c>
      <c r="C189" s="623">
        <v>5871.7940358699998</v>
      </c>
      <c r="D189" s="624">
        <v>-1892.2933891800003</v>
      </c>
      <c r="E189" s="623">
        <v>10921.316064299999</v>
      </c>
      <c r="F189" s="623">
        <v>5563.3513415199996</v>
      </c>
      <c r="G189" s="623">
        <v>9438.9916115300002</v>
      </c>
    </row>
    <row r="190" spans="1:7" ht="15.75" customHeight="1">
      <c r="A190" s="40" t="s">
        <v>21</v>
      </c>
      <c r="B190" s="623">
        <v>3592.7303806800005</v>
      </c>
      <c r="C190" s="623">
        <v>5680.1377143700001</v>
      </c>
      <c r="D190" s="624">
        <v>-1899.7644729699998</v>
      </c>
      <c r="E190" s="623">
        <v>11295.221409450003</v>
      </c>
      <c r="F190" s="623">
        <v>5490.7905435599996</v>
      </c>
      <c r="G190" s="623">
        <v>9681.7691543999972</v>
      </c>
    </row>
    <row r="191" spans="1:7" ht="15.75" customHeight="1">
      <c r="A191" s="40" t="s">
        <v>22</v>
      </c>
      <c r="B191" s="623">
        <v>3479.15590716</v>
      </c>
      <c r="C191" s="623">
        <v>5528.1117789500004</v>
      </c>
      <c r="D191" s="624">
        <v>-1863.8404007500003</v>
      </c>
      <c r="E191" s="623">
        <v>11567.469745009997</v>
      </c>
      <c r="F191" s="623">
        <v>5537.7048556199998</v>
      </c>
      <c r="G191" s="623">
        <v>9536.4588787200009</v>
      </c>
    </row>
    <row r="192" spans="1:7" ht="15.75" customHeight="1">
      <c r="A192" s="40" t="s">
        <v>23</v>
      </c>
      <c r="B192" s="623">
        <v>3943.2377465100003</v>
      </c>
      <c r="C192" s="623">
        <v>5848.0983816900007</v>
      </c>
      <c r="D192" s="624">
        <v>-1823.8675312300004</v>
      </c>
      <c r="E192" s="623">
        <v>11601.38508041</v>
      </c>
      <c r="F192" s="623">
        <v>5802.4542867</v>
      </c>
      <c r="G192" s="623">
        <v>9689.4353700600041</v>
      </c>
    </row>
    <row r="193" spans="1:7" ht="15.75" customHeight="1">
      <c r="A193" s="40" t="s">
        <v>24</v>
      </c>
      <c r="B193" s="623">
        <v>3847.09795519</v>
      </c>
      <c r="C193" s="623">
        <v>5800.5630324600006</v>
      </c>
      <c r="D193" s="624">
        <v>-1884.34041443</v>
      </c>
      <c r="E193" s="623">
        <v>11658.179657479999</v>
      </c>
      <c r="F193" s="623">
        <v>5948.8214082900004</v>
      </c>
      <c r="G193" s="623">
        <v>9368.212829879998</v>
      </c>
    </row>
    <row r="194" spans="1:7" ht="15.75" customHeight="1">
      <c r="A194" s="40" t="s">
        <v>25</v>
      </c>
      <c r="B194" s="623">
        <v>3842.6586807200019</v>
      </c>
      <c r="C194" s="623">
        <v>5763.1412269300017</v>
      </c>
      <c r="D194" s="624">
        <v>-1841.6169257200002</v>
      </c>
      <c r="E194" s="623">
        <v>11908.097342610003</v>
      </c>
      <c r="F194" s="623">
        <v>5955.0833541700013</v>
      </c>
      <c r="G194" s="623">
        <v>9540.559715829997</v>
      </c>
    </row>
    <row r="195" spans="1:7" ht="15.75" customHeight="1">
      <c r="A195" s="40" t="s">
        <v>26</v>
      </c>
      <c r="B195" s="623">
        <v>4276.1929900800014</v>
      </c>
      <c r="C195" s="623">
        <v>6337.8485085200018</v>
      </c>
      <c r="D195" s="624">
        <v>-1927.2737078</v>
      </c>
      <c r="E195" s="623">
        <v>11994.595670209999</v>
      </c>
      <c r="F195" s="623">
        <v>6600.2890993000001</v>
      </c>
      <c r="G195" s="623">
        <v>9626.6787994699971</v>
      </c>
    </row>
    <row r="196" spans="1:7" ht="15.75" customHeight="1">
      <c r="A196" s="40" t="s">
        <v>27</v>
      </c>
      <c r="B196" s="623">
        <v>4392.9443522199972</v>
      </c>
      <c r="C196" s="623">
        <v>6474.4377781199973</v>
      </c>
      <c r="D196" s="624">
        <v>-1932.5671330300002</v>
      </c>
      <c r="E196" s="623">
        <v>12155.465655079997</v>
      </c>
      <c r="F196" s="623">
        <v>6859.5087426600003</v>
      </c>
      <c r="G196" s="623">
        <v>9575.5026535100005</v>
      </c>
    </row>
    <row r="197" spans="1:7" ht="15.75" customHeight="1">
      <c r="A197" s="40" t="s">
        <v>28</v>
      </c>
      <c r="B197" s="623">
        <v>4728.6409499799984</v>
      </c>
      <c r="C197" s="623">
        <v>6822.3521505399985</v>
      </c>
      <c r="D197" s="624">
        <v>-1848.8306502300002</v>
      </c>
      <c r="E197" s="623">
        <v>12613.941619519996</v>
      </c>
      <c r="F197" s="623">
        <v>6807.1593996399997</v>
      </c>
      <c r="G197" s="623">
        <v>9580.0733562099977</v>
      </c>
    </row>
    <row r="198" spans="1:7" ht="15.75" customHeight="1">
      <c r="A198" s="40" t="s">
        <v>29</v>
      </c>
      <c r="B198" s="623">
        <v>3913.7503538499982</v>
      </c>
      <c r="C198" s="623">
        <v>5906.3006015799992</v>
      </c>
      <c r="D198" s="624">
        <v>-1828.1432298000009</v>
      </c>
      <c r="E198" s="623">
        <v>13057.835329099997</v>
      </c>
      <c r="F198" s="623">
        <v>7023.7769741900011</v>
      </c>
      <c r="G198" s="623">
        <v>9399.4873166699999</v>
      </c>
    </row>
    <row r="199" spans="1:7" ht="15.75" customHeight="1">
      <c r="A199" s="40" t="s">
        <v>2144</v>
      </c>
      <c r="B199" s="623"/>
      <c r="C199" s="623"/>
      <c r="D199" s="624"/>
      <c r="E199" s="623"/>
      <c r="F199" s="623"/>
      <c r="G199" s="623"/>
    </row>
    <row r="200" spans="1:7" ht="15.75" customHeight="1">
      <c r="A200" s="40" t="s">
        <v>18</v>
      </c>
      <c r="B200" s="623">
        <v>4557.3518622100009</v>
      </c>
      <c r="C200" s="623">
        <v>6755.4658210500011</v>
      </c>
      <c r="D200" s="623">
        <v>-1913.0635694300001</v>
      </c>
      <c r="E200" s="623">
        <v>12703.17767779</v>
      </c>
      <c r="F200" s="623">
        <v>6652.1843596799999</v>
      </c>
      <c r="G200" s="623">
        <v>9699.7572804800002</v>
      </c>
    </row>
    <row r="201" spans="1:7" ht="15.75" customHeight="1">
      <c r="A201" s="40" t="s">
        <v>19</v>
      </c>
      <c r="B201" s="623">
        <v>5219.7417752099982</v>
      </c>
      <c r="C201" s="623">
        <v>7170.7939403899991</v>
      </c>
      <c r="D201" s="623">
        <v>-1668.7878568700003</v>
      </c>
      <c r="E201" s="623">
        <v>12778.940305229999</v>
      </c>
      <c r="F201" s="623">
        <v>7048.9731638899993</v>
      </c>
      <c r="G201" s="623">
        <v>10152.496141309999</v>
      </c>
    </row>
    <row r="202" spans="1:7" ht="15.75" customHeight="1">
      <c r="A202" s="40" t="s">
        <v>20</v>
      </c>
      <c r="B202" s="623">
        <v>5201.6067936199988</v>
      </c>
      <c r="C202" s="623">
        <v>7077.9326326799992</v>
      </c>
      <c r="D202" s="623">
        <v>-1604.9484858400003</v>
      </c>
      <c r="E202" s="623">
        <v>12776.212547229999</v>
      </c>
      <c r="F202" s="623">
        <v>6744.58795138</v>
      </c>
      <c r="G202" s="623">
        <v>9903.7391661199981</v>
      </c>
    </row>
    <row r="203" spans="1:7" ht="15.75" customHeight="1">
      <c r="A203" s="40" t="s">
        <v>21</v>
      </c>
      <c r="B203" s="623">
        <v>5423.7092575900006</v>
      </c>
      <c r="C203" s="623">
        <v>7243.9871081600004</v>
      </c>
      <c r="D203" s="623">
        <v>-1550.7764948700001</v>
      </c>
      <c r="E203" s="623">
        <v>12746.491232320001</v>
      </c>
      <c r="F203" s="623">
        <v>7169.6070604500001</v>
      </c>
      <c r="G203" s="623">
        <v>9503.7525963400021</v>
      </c>
    </row>
    <row r="204" spans="1:7" ht="15.75" customHeight="1">
      <c r="A204" s="40" t="s">
        <v>22</v>
      </c>
      <c r="B204" s="623">
        <v>4814.2465802100014</v>
      </c>
      <c r="C204" s="623">
        <v>6590.330177740002</v>
      </c>
      <c r="D204" s="623">
        <v>-1507.5744686800006</v>
      </c>
      <c r="E204" s="623">
        <v>12764.291382460002</v>
      </c>
      <c r="F204" s="623">
        <v>7325.3737062600012</v>
      </c>
      <c r="G204" s="623">
        <v>9338.1097441399979</v>
      </c>
    </row>
    <row r="205" spans="1:7" ht="15.75" customHeight="1">
      <c r="A205" s="40" t="s">
        <v>23</v>
      </c>
      <c r="B205" s="623">
        <v>4719.0804133299989</v>
      </c>
      <c r="C205" s="623">
        <v>6482.3758083299981</v>
      </c>
      <c r="D205" s="623">
        <v>-1500.58060383</v>
      </c>
      <c r="E205" s="623">
        <v>13104.776029759998</v>
      </c>
      <c r="F205" s="623">
        <v>7444.3974589499994</v>
      </c>
      <c r="G205" s="623">
        <v>9445.285199599999</v>
      </c>
    </row>
    <row r="206" spans="1:7" ht="15.75" customHeight="1">
      <c r="A206" s="40" t="s">
        <v>24</v>
      </c>
      <c r="B206" s="623">
        <v>4495.9455179200004</v>
      </c>
      <c r="C206" s="623">
        <v>6291.915756970001</v>
      </c>
      <c r="D206" s="623">
        <v>-1471.2185664900003</v>
      </c>
      <c r="E206" s="623">
        <v>13371.491012979996</v>
      </c>
      <c r="F206" s="623">
        <v>7555.3907524399992</v>
      </c>
      <c r="G206" s="623">
        <v>9455.7014128599985</v>
      </c>
    </row>
    <row r="207" spans="1:7" ht="15.75" customHeight="1">
      <c r="A207" s="40" t="s">
        <v>25</v>
      </c>
      <c r="B207" s="623">
        <v>4510.9740653500003</v>
      </c>
      <c r="C207" s="623">
        <v>6368.0289655600009</v>
      </c>
      <c r="D207" s="623">
        <v>-1521.62287952</v>
      </c>
      <c r="E207" s="623">
        <v>13594.453350999996</v>
      </c>
      <c r="F207" s="623">
        <v>7387.61448827</v>
      </c>
      <c r="G207" s="623">
        <v>9530.3416567799977</v>
      </c>
    </row>
    <row r="208" spans="1:7" ht="15.75" customHeight="1">
      <c r="A208" s="40" t="s">
        <v>26</v>
      </c>
      <c r="B208" s="623">
        <v>5120.3525167600019</v>
      </c>
      <c r="C208" s="623">
        <v>6951.9588518500013</v>
      </c>
      <c r="D208" s="623">
        <v>-1480.1283389999999</v>
      </c>
      <c r="E208" s="623">
        <v>13944.7088059</v>
      </c>
      <c r="F208" s="623">
        <v>7625.5622652600014</v>
      </c>
      <c r="G208" s="623">
        <v>10332.835772319999</v>
      </c>
    </row>
    <row r="209" spans="1:7" ht="15.75" customHeight="1">
      <c r="A209" s="40" t="s">
        <v>27</v>
      </c>
      <c r="B209" s="623">
        <v>4988.581153430001</v>
      </c>
      <c r="C209" s="623">
        <v>6929.3245333500017</v>
      </c>
      <c r="D209" s="623">
        <v>-1607.1634390500003</v>
      </c>
      <c r="E209" s="623">
        <v>14176.468375749999</v>
      </c>
      <c r="F209" s="623">
        <v>7631.2049409800002</v>
      </c>
      <c r="G209" s="623">
        <v>10105.603013419999</v>
      </c>
    </row>
    <row r="210" spans="1:7" ht="15.75" customHeight="1">
      <c r="A210" s="40" t="s">
        <v>28</v>
      </c>
      <c r="B210" s="623">
        <v>4585.3430808400017</v>
      </c>
      <c r="C210" s="623">
        <v>6541.1472255900017</v>
      </c>
      <c r="D210" s="623">
        <v>-1666.1490139699999</v>
      </c>
      <c r="E210" s="623">
        <v>14828.83944168</v>
      </c>
      <c r="F210" s="623">
        <v>7821.9288620699999</v>
      </c>
      <c r="G210" s="623">
        <v>10077.374918279998</v>
      </c>
    </row>
    <row r="211" spans="1:7" ht="15.75" customHeight="1">
      <c r="A211" s="40" t="s">
        <v>29</v>
      </c>
      <c r="B211" s="623">
        <v>5231.8161922599993</v>
      </c>
      <c r="C211" s="623">
        <v>7157.0633727299992</v>
      </c>
      <c r="D211" s="623">
        <v>-1645.6228599599997</v>
      </c>
      <c r="E211" s="623">
        <v>15036.395868329997</v>
      </c>
      <c r="F211" s="623">
        <v>8726.4736178599996</v>
      </c>
      <c r="G211" s="623">
        <v>10627.634302310002</v>
      </c>
    </row>
    <row r="212" spans="1:7" ht="15.75" customHeight="1">
      <c r="A212" s="40" t="s">
        <v>2375</v>
      </c>
      <c r="B212" s="623"/>
      <c r="C212" s="623"/>
      <c r="D212" s="623"/>
      <c r="E212" s="623"/>
      <c r="F212" s="623"/>
      <c r="G212" s="623"/>
    </row>
    <row r="213" spans="1:7" ht="15.75" customHeight="1">
      <c r="A213" s="40" t="s">
        <v>18</v>
      </c>
      <c r="B213" s="623">
        <v>5196.687645840002</v>
      </c>
      <c r="C213" s="623">
        <v>7100.2470081000029</v>
      </c>
      <c r="D213" s="623">
        <v>-1604.11451276</v>
      </c>
      <c r="E213" s="623">
        <v>15174.153975789997</v>
      </c>
      <c r="F213" s="623">
        <v>8667.2788304299993</v>
      </c>
      <c r="G213" s="623">
        <v>10584.281511939998</v>
      </c>
    </row>
    <row r="214" spans="1:7" ht="15.75" customHeight="1">
      <c r="A214" s="40" t="s">
        <v>19</v>
      </c>
      <c r="B214" s="623">
        <v>4257.8960412700008</v>
      </c>
      <c r="C214" s="623">
        <v>6773.3073282100004</v>
      </c>
      <c r="D214" s="623">
        <v>-2079.5708070699998</v>
      </c>
      <c r="E214" s="623">
        <v>15453.481209539999</v>
      </c>
      <c r="F214" s="623">
        <v>8707.8784319799997</v>
      </c>
      <c r="G214" s="623">
        <v>10316.76741115</v>
      </c>
    </row>
    <row r="215" spans="1:7" ht="15.75" customHeight="1">
      <c r="A215" s="40" t="s">
        <v>20</v>
      </c>
      <c r="B215" s="623">
        <v>4584.2866505800002</v>
      </c>
      <c r="C215" s="623">
        <v>6701.80481676</v>
      </c>
      <c r="D215" s="623">
        <v>-1715.0402947599998</v>
      </c>
      <c r="E215" s="623">
        <v>15339.275539660002</v>
      </c>
      <c r="F215" s="623">
        <v>7902.6352148499991</v>
      </c>
      <c r="G215" s="623">
        <v>10277.916557160001</v>
      </c>
    </row>
    <row r="216" spans="1:7" ht="15.75" customHeight="1">
      <c r="A216" s="40" t="s">
        <v>21</v>
      </c>
      <c r="B216" s="623">
        <v>4095.7904446199982</v>
      </c>
      <c r="C216" s="623">
        <v>6081.3215812699982</v>
      </c>
      <c r="D216" s="623">
        <v>-1626.5729479200002</v>
      </c>
      <c r="E216" s="623">
        <v>15072.395578970001</v>
      </c>
      <c r="F216" s="623">
        <v>7769.3979194599979</v>
      </c>
      <c r="G216" s="623">
        <v>9807.2294133699997</v>
      </c>
    </row>
    <row r="217" spans="1:7" ht="15.75" customHeight="1">
      <c r="A217" s="40" t="s">
        <v>22</v>
      </c>
      <c r="B217" s="623">
        <v>4387.4734276299969</v>
      </c>
      <c r="C217" s="623">
        <v>6307.6649473199977</v>
      </c>
      <c r="D217" s="623">
        <v>-1599.5317552299998</v>
      </c>
      <c r="E217" s="623">
        <v>14523.218296129999</v>
      </c>
      <c r="F217" s="623">
        <v>8002.5380318799998</v>
      </c>
      <c r="G217" s="623">
        <v>9608.9109846299998</v>
      </c>
    </row>
    <row r="218" spans="1:7" ht="15.75" customHeight="1">
      <c r="A218" s="40" t="s">
        <v>23</v>
      </c>
      <c r="B218" s="623">
        <v>3911.7932920700005</v>
      </c>
      <c r="C218" s="623">
        <v>5642.77274261</v>
      </c>
      <c r="D218" s="623">
        <v>-1471.8138194000001</v>
      </c>
      <c r="E218" s="623">
        <v>14373.889682129999</v>
      </c>
      <c r="F218" s="623">
        <v>7912.4456502499997</v>
      </c>
      <c r="G218" s="623">
        <v>9044.3843893499998</v>
      </c>
    </row>
    <row r="219" spans="1:7" ht="15.75" customHeight="1">
      <c r="A219" s="40" t="s">
        <v>24</v>
      </c>
      <c r="B219" s="623">
        <v>3927.633543240001</v>
      </c>
      <c r="C219" s="623">
        <v>5622.768467070001</v>
      </c>
      <c r="D219" s="623">
        <v>-1419.4901462799999</v>
      </c>
      <c r="E219" s="623">
        <v>14714.01681705</v>
      </c>
      <c r="F219" s="623">
        <v>8194.4520252999991</v>
      </c>
      <c r="G219" s="623">
        <v>8784.2039442000005</v>
      </c>
    </row>
    <row r="220" spans="1:7" ht="15.75" customHeight="1">
      <c r="A220" s="40" t="s">
        <v>25</v>
      </c>
      <c r="B220" s="623">
        <v>4332.8828499999991</v>
      </c>
      <c r="C220" s="623">
        <v>5907.3873607399983</v>
      </c>
      <c r="D220" s="623">
        <v>-1318.1248724999998</v>
      </c>
      <c r="E220" s="623">
        <v>14835.452325189999</v>
      </c>
      <c r="F220" s="623">
        <v>8249.6216460399992</v>
      </c>
      <c r="G220" s="623">
        <v>8814.1426492499977</v>
      </c>
    </row>
    <row r="221" spans="1:7" ht="15.75" customHeight="1">
      <c r="A221" s="40" t="s">
        <v>26</v>
      </c>
      <c r="B221" s="623">
        <v>3591.7786087200002</v>
      </c>
      <c r="C221" s="623">
        <v>5096.4072644300004</v>
      </c>
      <c r="D221" s="623">
        <v>-1265.9736000099999</v>
      </c>
      <c r="E221" s="623">
        <v>14944.390646930002</v>
      </c>
      <c r="F221" s="623">
        <v>8555.3152490100001</v>
      </c>
      <c r="G221" s="623">
        <v>8355.4466016200004</v>
      </c>
    </row>
    <row r="222" spans="1:7" ht="15.75" customHeight="1">
      <c r="A222" s="40" t="s">
        <v>27</v>
      </c>
      <c r="B222" s="623">
        <v>3321.4977545299994</v>
      </c>
      <c r="C222" s="623">
        <v>4769.6523357499991</v>
      </c>
      <c r="D222" s="623">
        <v>-1230.1588439099999</v>
      </c>
      <c r="E222" s="623">
        <v>15302.399984839998</v>
      </c>
      <c r="F222" s="623">
        <v>8578.8494595699995</v>
      </c>
      <c r="G222" s="623">
        <v>8374.3006490700009</v>
      </c>
    </row>
    <row r="223" spans="1:7" ht="15.75" customHeight="1">
      <c r="A223" s="40" t="s">
        <v>28</v>
      </c>
      <c r="B223" s="623">
        <v>3589.9628707099996</v>
      </c>
      <c r="C223" s="623">
        <v>5027.4888536899998</v>
      </c>
      <c r="D223" s="623">
        <v>-1239.5303766400002</v>
      </c>
      <c r="E223" s="623">
        <v>15140.635196690002</v>
      </c>
      <c r="F223" s="623">
        <v>8442.7713959200009</v>
      </c>
      <c r="G223" s="623">
        <v>8533.2469202200009</v>
      </c>
    </row>
    <row r="224" spans="1:7" ht="15.75" customHeight="1">
      <c r="A224" s="40" t="s">
        <v>29</v>
      </c>
      <c r="B224" s="623">
        <v>4065.3819619800011</v>
      </c>
      <c r="C224" s="623">
        <v>5510.7906626700005</v>
      </c>
      <c r="D224" s="623">
        <v>-1220.7485675299999</v>
      </c>
      <c r="E224" s="623">
        <v>14933.871500879997</v>
      </c>
      <c r="F224" s="623">
        <v>9523.0317705399993</v>
      </c>
      <c r="G224" s="623">
        <v>8880.3237868100005</v>
      </c>
    </row>
    <row r="225" spans="1:7" ht="15.75" customHeight="1">
      <c r="A225" s="40" t="s">
        <v>2537</v>
      </c>
      <c r="B225" s="623"/>
      <c r="C225" s="623"/>
      <c r="D225" s="623"/>
      <c r="E225" s="623"/>
      <c r="F225" s="623"/>
      <c r="G225" s="623"/>
    </row>
    <row r="226" spans="1:7" ht="15.75" customHeight="1">
      <c r="A226" s="40" t="s">
        <v>18</v>
      </c>
      <c r="B226" s="623">
        <v>4191.8326471599985</v>
      </c>
      <c r="C226" s="623">
        <v>5675.9762252299988</v>
      </c>
      <c r="D226" s="623">
        <v>-1226.35395599</v>
      </c>
      <c r="E226" s="623">
        <v>14877.395116979997</v>
      </c>
      <c r="F226" s="623">
        <v>9151.1887685000002</v>
      </c>
      <c r="G226" s="623">
        <v>8623.9286387899992</v>
      </c>
    </row>
    <row r="227" spans="1:7" ht="15.75" customHeight="1">
      <c r="A227" s="40" t="s">
        <v>19</v>
      </c>
      <c r="B227" s="623">
        <v>4465.357434210001</v>
      </c>
      <c r="C227" s="623">
        <v>5849.8943403600006</v>
      </c>
      <c r="D227" s="623">
        <v>-1127.3335383100002</v>
      </c>
      <c r="E227" s="623">
        <v>14940.178832529999</v>
      </c>
      <c r="F227" s="623">
        <v>9122.2604139999985</v>
      </c>
      <c r="G227" s="623">
        <v>8990.1640575100009</v>
      </c>
    </row>
    <row r="228" spans="1:7" ht="15.75" customHeight="1">
      <c r="A228" s="40" t="s">
        <v>20</v>
      </c>
      <c r="B228" s="623">
        <v>4430.0668034999999</v>
      </c>
      <c r="C228" s="623">
        <v>5789.7991215100001</v>
      </c>
      <c r="D228" s="623">
        <v>-1094.52842556</v>
      </c>
      <c r="E228" s="623">
        <v>14973.671767880001</v>
      </c>
      <c r="F228" s="623">
        <v>9722.3021522000017</v>
      </c>
      <c r="G228" s="623">
        <v>8979.5857085899988</v>
      </c>
    </row>
    <row r="229" spans="1:7" ht="15.75" customHeight="1">
      <c r="A229" s="40" t="s">
        <v>21</v>
      </c>
      <c r="B229" s="623">
        <v>4438.0162638099982</v>
      </c>
      <c r="C229" s="623">
        <v>5780.8076527699986</v>
      </c>
      <c r="D229" s="623">
        <v>-1079.5003357100002</v>
      </c>
      <c r="E229" s="623">
        <v>15250.671643320004</v>
      </c>
      <c r="F229" s="623">
        <v>10326.086361130001</v>
      </c>
      <c r="G229" s="623">
        <v>8864.5251719500011</v>
      </c>
    </row>
    <row r="230" spans="1:7" ht="15.75" customHeight="1">
      <c r="A230" s="40" t="s">
        <v>22</v>
      </c>
      <c r="B230" s="623">
        <v>4623.3441563300012</v>
      </c>
      <c r="C230" s="623">
        <v>6055.5837866400007</v>
      </c>
      <c r="D230" s="623">
        <v>-1165.1373327800002</v>
      </c>
      <c r="E230" s="623">
        <v>15323.944778999999</v>
      </c>
      <c r="F230" s="623">
        <v>10947.416958760001</v>
      </c>
      <c r="G230" s="623">
        <v>8844.4727850899999</v>
      </c>
    </row>
    <row r="231" spans="1:7" ht="15.75" customHeight="1">
      <c r="A231" s="40" t="s">
        <v>23</v>
      </c>
      <c r="B231" s="623">
        <v>4093.5859992100031</v>
      </c>
      <c r="C231" s="623">
        <v>5494.2637564800025</v>
      </c>
      <c r="D231" s="623">
        <v>-1137.57432862</v>
      </c>
      <c r="E231" s="623">
        <v>15573.909282170001</v>
      </c>
      <c r="F231" s="623">
        <v>10734.663759840001</v>
      </c>
      <c r="G231" s="623">
        <v>8813.1533143600027</v>
      </c>
    </row>
    <row r="232" spans="1:7" ht="15.75" customHeight="1">
      <c r="A232" s="40" t="s">
        <v>24</v>
      </c>
      <c r="B232" s="623">
        <v>4533.756460470001</v>
      </c>
      <c r="C232" s="623">
        <v>5950.412689310001</v>
      </c>
      <c r="D232" s="623">
        <v>-1084.1605924199998</v>
      </c>
      <c r="E232" s="623">
        <v>15633.965863520005</v>
      </c>
      <c r="F232" s="623">
        <v>10782.785901339999</v>
      </c>
      <c r="G232" s="623">
        <v>9666.3776239099989</v>
      </c>
    </row>
    <row r="233" spans="1:7" ht="15.75" customHeight="1">
      <c r="A233" s="40" t="s">
        <v>25</v>
      </c>
      <c r="B233" s="623">
        <v>4230.2118402600008</v>
      </c>
      <c r="C233" s="623">
        <v>5663.4586897000008</v>
      </c>
      <c r="D233" s="623">
        <v>-1033.3976133699998</v>
      </c>
      <c r="E233" s="623">
        <v>15866.601328869998</v>
      </c>
      <c r="F233" s="623">
        <v>10948.186968370001</v>
      </c>
      <c r="G233" s="623">
        <v>9342.2503374299977</v>
      </c>
    </row>
    <row r="234" spans="1:7" ht="15.75" customHeight="1">
      <c r="A234" s="40" t="s">
        <v>26</v>
      </c>
      <c r="B234" s="623">
        <v>4762.2584204800014</v>
      </c>
      <c r="C234" s="623">
        <v>6273.721866750001</v>
      </c>
      <c r="D234" s="623">
        <v>-1117.6306915</v>
      </c>
      <c r="E234" s="623">
        <v>16176.23063507</v>
      </c>
      <c r="F234" s="623">
        <v>11357.60595739</v>
      </c>
      <c r="G234" s="623">
        <v>9804.8834209100005</v>
      </c>
    </row>
    <row r="235" spans="1:7" ht="15.75" customHeight="1">
      <c r="A235" s="40" t="s">
        <v>27</v>
      </c>
      <c r="B235" s="623">
        <v>4481.1597063400013</v>
      </c>
      <c r="C235" s="623">
        <v>5999.9271634900015</v>
      </c>
      <c r="D235" s="623">
        <v>-1113.1853218700001</v>
      </c>
      <c r="E235" s="623">
        <v>16637.722099530001</v>
      </c>
      <c r="F235" s="623">
        <v>11487.619885659999</v>
      </c>
      <c r="G235" s="623">
        <v>9884.4046074100006</v>
      </c>
    </row>
    <row r="236" spans="1:7" ht="15.75" customHeight="1">
      <c r="A236" s="40" t="s">
        <v>28</v>
      </c>
      <c r="B236" s="623">
        <v>5424.9355472999996</v>
      </c>
      <c r="C236" s="623">
        <v>6838.8724776199997</v>
      </c>
      <c r="D236" s="623">
        <v>-1021.8394985100001</v>
      </c>
      <c r="E236" s="623">
        <v>16903.345898200001</v>
      </c>
      <c r="F236" s="623">
        <v>11880.248749730001</v>
      </c>
      <c r="G236" s="623">
        <v>10287.63274843</v>
      </c>
    </row>
    <row r="237" spans="1:7" ht="15.75" customHeight="1">
      <c r="A237" s="40" t="s">
        <v>29</v>
      </c>
      <c r="B237" s="623">
        <v>5806.4240869600007</v>
      </c>
      <c r="C237" s="623">
        <v>7356.1658316200001</v>
      </c>
      <c r="D237" s="623">
        <v>-1063.24557622</v>
      </c>
      <c r="E237" s="623">
        <v>17432.947822030004</v>
      </c>
      <c r="F237" s="623">
        <v>12922.64351949</v>
      </c>
      <c r="G237" s="623">
        <v>10771.74716637</v>
      </c>
    </row>
    <row r="238" spans="1:7" ht="15.75" customHeight="1">
      <c r="A238" s="40" t="s">
        <v>2827</v>
      </c>
      <c r="B238" s="623"/>
      <c r="C238" s="623"/>
      <c r="D238" s="623"/>
      <c r="E238" s="623"/>
      <c r="F238" s="623"/>
      <c r="G238" s="623"/>
    </row>
    <row r="239" spans="1:7" ht="15.75" customHeight="1">
      <c r="A239" s="40" t="s">
        <v>18</v>
      </c>
      <c r="B239" s="623">
        <v>6137.7596728999988</v>
      </c>
      <c r="C239" s="623">
        <v>7657.1123233699991</v>
      </c>
      <c r="D239" s="623">
        <v>-1065.88950075</v>
      </c>
      <c r="E239" s="623">
        <v>17664.256217129998</v>
      </c>
      <c r="F239" s="623">
        <v>12774.936393629998</v>
      </c>
      <c r="G239" s="623">
        <v>11531.95160244</v>
      </c>
    </row>
    <row r="240" spans="1:7" ht="15.75" customHeight="1">
      <c r="A240" s="40" t="s">
        <v>19</v>
      </c>
      <c r="B240" s="623">
        <v>5748.1481050500024</v>
      </c>
      <c r="C240" s="623">
        <v>7461.501525810002</v>
      </c>
      <c r="D240" s="623">
        <v>-1257.9097359399998</v>
      </c>
      <c r="E240" s="623">
        <v>18108.422533050001</v>
      </c>
      <c r="F240" s="623">
        <v>12506.95964146</v>
      </c>
      <c r="G240" s="623">
        <v>10873.690736420003</v>
      </c>
    </row>
    <row r="241" spans="1:7" ht="15.75" customHeight="1">
      <c r="A241" s="40" t="s">
        <v>20</v>
      </c>
      <c r="B241" s="623">
        <v>5627.4933916700029</v>
      </c>
      <c r="C241" s="623">
        <v>7551.1496887500025</v>
      </c>
      <c r="D241" s="623">
        <v>-1409.7123251300002</v>
      </c>
      <c r="E241" s="623">
        <v>18431.213404970007</v>
      </c>
      <c r="F241" s="623">
        <v>13068.204833439999</v>
      </c>
      <c r="G241" s="623">
        <v>11313.393402340003</v>
      </c>
    </row>
    <row r="242" spans="1:7" ht="15.75" customHeight="1">
      <c r="A242" s="40" t="s">
        <v>21</v>
      </c>
      <c r="B242" s="623">
        <v>6331.6471631000004</v>
      </c>
      <c r="C242" s="623">
        <v>8290.7865563699997</v>
      </c>
      <c r="D242" s="623">
        <v>-1416.4237457199999</v>
      </c>
      <c r="E242" s="623">
        <v>18778.023275389998</v>
      </c>
      <c r="F242" s="623">
        <v>13352.83359423</v>
      </c>
      <c r="G242" s="623">
        <v>11421.928799060001</v>
      </c>
    </row>
    <row r="243" spans="1:7" ht="15.75" customHeight="1">
      <c r="A243" s="40" t="s">
        <v>22</v>
      </c>
      <c r="B243" s="623">
        <v>6247.7618802300003</v>
      </c>
      <c r="C243" s="623">
        <v>8274.17402081</v>
      </c>
      <c r="D243" s="623">
        <v>-1482.6513110799997</v>
      </c>
      <c r="E243" s="623">
        <v>19105.334922900001</v>
      </c>
      <c r="F243" s="623">
        <v>14114.45901653</v>
      </c>
      <c r="G243" s="623">
        <v>11629.988329289999</v>
      </c>
    </row>
    <row r="244" spans="1:7" ht="15.75" customHeight="1">
      <c r="A244" s="40" t="s">
        <v>23</v>
      </c>
      <c r="B244" s="623">
        <v>6656.7361235599983</v>
      </c>
      <c r="C244" s="623">
        <v>8759.5343765099988</v>
      </c>
      <c r="D244" s="623">
        <v>-1581.0903788800001</v>
      </c>
      <c r="E244" s="623">
        <v>19447.286774370004</v>
      </c>
      <c r="F244" s="623">
        <v>14446.128739329999</v>
      </c>
      <c r="G244" s="623">
        <v>12126.086020550003</v>
      </c>
    </row>
    <row r="245" spans="1:7" ht="15.75" customHeight="1">
      <c r="A245" s="40" t="s">
        <v>24</v>
      </c>
      <c r="B245" s="623">
        <v>6926.3784694000005</v>
      </c>
      <c r="C245" s="623">
        <v>9026.0548391299999</v>
      </c>
      <c r="D245" s="623">
        <v>-1624.4809430300002</v>
      </c>
      <c r="E245" s="623">
        <v>19647.958738629997</v>
      </c>
      <c r="F245" s="623">
        <v>14113.43569029</v>
      </c>
      <c r="G245" s="623">
        <v>11989.539702620001</v>
      </c>
    </row>
    <row r="246" spans="1:7" ht="15.75" customHeight="1">
      <c r="A246" s="40" t="s">
        <v>25</v>
      </c>
      <c r="B246" s="623">
        <v>6843.0038521500019</v>
      </c>
      <c r="C246" s="623">
        <v>9052.4252467900023</v>
      </c>
      <c r="D246" s="623">
        <v>-1686.48953011</v>
      </c>
      <c r="E246" s="623">
        <v>19828.250462769996</v>
      </c>
      <c r="F246" s="623">
        <v>14798.166153359998</v>
      </c>
      <c r="G246" s="623">
        <v>12091.095377910002</v>
      </c>
    </row>
    <row r="247" spans="1:7" ht="15.75" customHeight="1">
      <c r="A247" s="40" t="s">
        <v>26</v>
      </c>
      <c r="B247" s="623">
        <v>7029.4426297299988</v>
      </c>
      <c r="C247" s="623">
        <v>9346.6963265300001</v>
      </c>
      <c r="D247" s="623">
        <v>-1807.5861182900003</v>
      </c>
      <c r="E247" s="623">
        <v>20352.808314019992</v>
      </c>
      <c r="F247" s="623">
        <v>15390.747202359998</v>
      </c>
      <c r="G247" s="623">
        <v>12451.67459205</v>
      </c>
    </row>
    <row r="248" spans="1:7" ht="15.75" customHeight="1">
      <c r="A248" s="40" t="s">
        <v>27</v>
      </c>
      <c r="B248" s="623">
        <v>6654.2222445300004</v>
      </c>
      <c r="C248" s="623">
        <v>9081.4307249800004</v>
      </c>
      <c r="D248" s="623">
        <v>-1844.8756565200003</v>
      </c>
      <c r="E248" s="623">
        <v>20638.016606299996</v>
      </c>
      <c r="F248" s="623">
        <v>16029.904932810001</v>
      </c>
      <c r="G248" s="623">
        <v>12474.129656120002</v>
      </c>
    </row>
    <row r="249" spans="1:7" ht="15.75" customHeight="1">
      <c r="A249" s="40" t="s">
        <v>28</v>
      </c>
      <c r="B249" s="623">
        <v>6465.0405708800035</v>
      </c>
      <c r="C249" s="623">
        <v>8845.4109318300034</v>
      </c>
      <c r="D249" s="623">
        <v>-1769.2911849800003</v>
      </c>
      <c r="E249" s="623">
        <v>21105.466911740001</v>
      </c>
      <c r="F249" s="623">
        <v>15937.333966119999</v>
      </c>
      <c r="G249" s="623">
        <v>13068.296860040002</v>
      </c>
    </row>
    <row r="250" spans="1:7" ht="15.75" customHeight="1">
      <c r="A250" s="40" t="s">
        <v>29</v>
      </c>
      <c r="B250" s="623">
        <v>6427.7297985000014</v>
      </c>
      <c r="C250" s="623">
        <v>8802.8654382700006</v>
      </c>
      <c r="D250" s="623">
        <v>-1761.9476733299998</v>
      </c>
      <c r="E250" s="623">
        <v>20472.839225040007</v>
      </c>
      <c r="F250" s="623">
        <v>16251.92880792</v>
      </c>
      <c r="G250" s="623">
        <v>13259.326033890002</v>
      </c>
    </row>
    <row r="251" spans="1:7" ht="15.75" customHeight="1">
      <c r="A251" s="40" t="s">
        <v>3518</v>
      </c>
      <c r="B251" s="623"/>
      <c r="C251" s="623"/>
      <c r="D251" s="623"/>
      <c r="E251" s="623"/>
      <c r="F251" s="623"/>
      <c r="G251" s="623"/>
    </row>
    <row r="252" spans="1:7" ht="15.75" customHeight="1">
      <c r="A252" s="40" t="s">
        <v>18</v>
      </c>
      <c r="B252" s="623">
        <v>6870.4038068700011</v>
      </c>
      <c r="C252" s="623">
        <v>9280.3083577100006</v>
      </c>
      <c r="D252" s="623">
        <v>-1815.0200415199999</v>
      </c>
      <c r="E252" s="623">
        <v>21288.890944710001</v>
      </c>
      <c r="F252" s="623">
        <v>15656.682615970001</v>
      </c>
      <c r="G252" s="623">
        <v>13098.125702299996</v>
      </c>
    </row>
    <row r="253" spans="1:7" ht="15.75" customHeight="1">
      <c r="A253" s="40" t="s">
        <v>19</v>
      </c>
      <c r="B253" s="623">
        <v>6364.5668408699985</v>
      </c>
      <c r="C253" s="623">
        <v>9082.9587362899983</v>
      </c>
      <c r="D253" s="623">
        <v>-2087.7765365599998</v>
      </c>
      <c r="E253" s="623">
        <v>21116.176848379997</v>
      </c>
      <c r="F253" s="623">
        <v>15438.993411279998</v>
      </c>
      <c r="G253" s="623">
        <v>12714.27263159</v>
      </c>
    </row>
    <row r="254" spans="1:7" ht="15.75" customHeight="1">
      <c r="A254" s="40" t="s">
        <v>20</v>
      </c>
      <c r="B254" s="623">
        <v>4630.2659166499989</v>
      </c>
      <c r="C254" s="623">
        <v>7455.4698765599996</v>
      </c>
      <c r="D254" s="623">
        <v>-2152.0668421199998</v>
      </c>
      <c r="E254" s="623">
        <v>21403.629193590001</v>
      </c>
      <c r="F254" s="623">
        <v>16004.873711070002</v>
      </c>
      <c r="G254" s="623">
        <v>11384.296746960001</v>
      </c>
    </row>
    <row r="255" spans="1:7" ht="15.75" customHeight="1">
      <c r="A255" s="40" t="s">
        <v>21</v>
      </c>
      <c r="B255" s="623">
        <v>5467.665318289999</v>
      </c>
      <c r="C255" s="623">
        <v>8683.169084879999</v>
      </c>
      <c r="D255" s="623">
        <v>-2543.9890756399996</v>
      </c>
      <c r="E255" s="623">
        <v>21520.688835459991</v>
      </c>
      <c r="F255" s="623">
        <v>16283.53410683</v>
      </c>
      <c r="G255" s="623">
        <v>10986.40940368</v>
      </c>
    </row>
    <row r="256" spans="1:7" ht="15.75" customHeight="1">
      <c r="A256" s="40" t="s">
        <v>22</v>
      </c>
      <c r="B256" s="623">
        <v>5445.1955113499998</v>
      </c>
      <c r="C256" s="623">
        <v>8723.2978415400012</v>
      </c>
      <c r="D256" s="623">
        <v>-2555.0728779600008</v>
      </c>
      <c r="E256" s="623">
        <v>21471.025684899989</v>
      </c>
      <c r="F256" s="623">
        <v>16389.915054519999</v>
      </c>
      <c r="G256" s="623">
        <v>11002.97143908</v>
      </c>
    </row>
    <row r="257" spans="1:7" ht="15.75" customHeight="1">
      <c r="A257" s="40" t="s">
        <v>23</v>
      </c>
      <c r="B257" s="623">
        <v>4251.2573894599991</v>
      </c>
      <c r="C257" s="623">
        <v>7568.7598715200002</v>
      </c>
      <c r="D257" s="623">
        <v>-2569.79178116</v>
      </c>
      <c r="E257" s="623">
        <v>22335.133190169996</v>
      </c>
      <c r="F257" s="623">
        <v>16861.469248489997</v>
      </c>
      <c r="G257" s="623">
        <v>9835.9814372399997</v>
      </c>
    </row>
    <row r="258" spans="1:7" ht="15.75" customHeight="1">
      <c r="A258" s="40" t="s">
        <v>24</v>
      </c>
      <c r="B258" s="623">
        <v>3597.1391804699992</v>
      </c>
      <c r="C258" s="623">
        <v>6735.2438901599999</v>
      </c>
      <c r="D258" s="623">
        <v>-2331.2165324799998</v>
      </c>
      <c r="E258" s="623">
        <v>22513.200543559997</v>
      </c>
      <c r="F258" s="623">
        <v>16983.56178684</v>
      </c>
      <c r="G258" s="623">
        <v>9355.5675312299991</v>
      </c>
    </row>
    <row r="259" spans="1:7" ht="15.75" customHeight="1">
      <c r="A259" s="40" t="s">
        <v>25</v>
      </c>
      <c r="B259" s="623">
        <v>3037.535828569999</v>
      </c>
      <c r="C259" s="623">
        <v>6152.3340265299994</v>
      </c>
      <c r="D259" s="623">
        <v>-2353.0502440500004</v>
      </c>
      <c r="E259" s="623">
        <v>22719.850545200003</v>
      </c>
      <c r="F259" s="623">
        <v>17422.495845680001</v>
      </c>
      <c r="G259" s="623">
        <v>9082.8117849399987</v>
      </c>
    </row>
    <row r="260" spans="1:7" ht="15.75" customHeight="1">
      <c r="A260" s="1503" t="s">
        <v>26</v>
      </c>
      <c r="B260" s="1502">
        <v>2879.3142490599989</v>
      </c>
      <c r="C260" s="1502">
        <v>6048.5899231899994</v>
      </c>
      <c r="D260" s="1502">
        <v>-2364.4109169300004</v>
      </c>
      <c r="E260" s="1502">
        <v>23087.726836369999</v>
      </c>
      <c r="F260" s="1502">
        <v>18438.66185524</v>
      </c>
      <c r="G260" s="1502">
        <v>8843.329898330001</v>
      </c>
    </row>
    <row r="261" spans="1:7" ht="15.75" customHeight="1">
      <c r="A261" s="1503" t="s">
        <v>27</v>
      </c>
      <c r="B261" s="1502">
        <v>3155.1445346100013</v>
      </c>
      <c r="C261" s="1502">
        <v>6320.7827869600005</v>
      </c>
      <c r="D261" s="1502">
        <v>-2328.8096229699995</v>
      </c>
      <c r="E261" s="1502">
        <v>22961.073278830001</v>
      </c>
      <c r="F261" s="1502">
        <v>18492.134779239997</v>
      </c>
      <c r="G261" s="1502">
        <v>9458.639313130001</v>
      </c>
    </row>
    <row r="262" spans="1:7" ht="15.75" customHeight="1">
      <c r="A262" s="1503" t="s">
        <v>28</v>
      </c>
      <c r="B262" s="1502">
        <v>2825.8880662700012</v>
      </c>
      <c r="C262" s="1502">
        <v>5886.6510849700007</v>
      </c>
      <c r="D262" s="1502">
        <v>-2227.14281957</v>
      </c>
      <c r="E262" s="1502">
        <v>23286.30599253</v>
      </c>
      <c r="F262" s="1502">
        <v>19081.098897309999</v>
      </c>
      <c r="G262" s="1502">
        <v>9162.3474958899969</v>
      </c>
    </row>
    <row r="263" spans="1:7" ht="15.75" customHeight="1">
      <c r="A263" s="1503" t="s">
        <v>29</v>
      </c>
      <c r="B263" s="1502">
        <v>2672.8708134400008</v>
      </c>
      <c r="C263" s="1502">
        <v>6281.7434747700008</v>
      </c>
      <c r="D263" s="1502">
        <v>-2598.1537920499995</v>
      </c>
      <c r="E263" s="1502">
        <v>23489.571247119999</v>
      </c>
      <c r="F263" s="1502">
        <v>19453.203078050003</v>
      </c>
      <c r="G263" s="1502">
        <v>9701.6225689100011</v>
      </c>
    </row>
    <row r="264" spans="1:7" ht="15.75" customHeight="1">
      <c r="A264" s="1503" t="s">
        <v>3989</v>
      </c>
      <c r="B264" s="1502"/>
      <c r="C264" s="1502"/>
      <c r="D264" s="1502"/>
      <c r="E264" s="1502"/>
      <c r="F264" s="1502"/>
      <c r="G264" s="1502"/>
    </row>
    <row r="265" spans="1:7" ht="15.75" customHeight="1">
      <c r="A265" s="1503" t="s">
        <v>18</v>
      </c>
      <c r="B265" s="1502">
        <v>2885.6390079699991</v>
      </c>
      <c r="C265" s="1502">
        <v>6382.5893970899997</v>
      </c>
      <c r="D265" s="1502">
        <v>-2496.1450008700003</v>
      </c>
      <c r="E265" s="1502">
        <v>23979.402651959997</v>
      </c>
      <c r="F265" s="1502">
        <v>18818.605601449999</v>
      </c>
      <c r="G265" s="1502">
        <v>10661.465875510001</v>
      </c>
    </row>
    <row r="266" spans="1:7" ht="15.75" customHeight="1">
      <c r="A266" s="1503" t="s">
        <v>19</v>
      </c>
      <c r="B266" s="1502">
        <v>2531.3146955300017</v>
      </c>
      <c r="C266" s="1502">
        <v>5636.8101454300022</v>
      </c>
      <c r="D266" s="1502">
        <v>-2120.53756337</v>
      </c>
      <c r="E266" s="1502">
        <v>24395.710689939995</v>
      </c>
      <c r="F266" s="1502">
        <v>19018.336162079999</v>
      </c>
      <c r="G266" s="1502">
        <v>10498.637445010001</v>
      </c>
    </row>
    <row r="267" spans="1:7" ht="15.75" customHeight="1">
      <c r="A267" s="1503" t="s">
        <v>20</v>
      </c>
      <c r="B267" s="1502">
        <v>2722.5354007900019</v>
      </c>
      <c r="C267" s="1502">
        <v>5989.2335392200021</v>
      </c>
      <c r="D267" s="1502">
        <v>-2408.7865536400004</v>
      </c>
      <c r="E267" s="1502">
        <v>24565.355564489997</v>
      </c>
      <c r="F267" s="1502">
        <v>19017.70378181</v>
      </c>
      <c r="G267" s="1502">
        <v>10376.65241608</v>
      </c>
    </row>
    <row r="268" spans="1:7" ht="15.75" customHeight="1">
      <c r="A268" s="1503" t="s">
        <v>21</v>
      </c>
      <c r="B268" s="1502">
        <v>3863.8817207300035</v>
      </c>
      <c r="C268" s="1502">
        <v>7150.0077065000032</v>
      </c>
      <c r="D268" s="1502">
        <v>-2417.5933474400003</v>
      </c>
      <c r="E268" s="1502">
        <v>25042.42226499</v>
      </c>
      <c r="F268" s="1502">
        <v>18970.19203853</v>
      </c>
      <c r="G268" s="1502">
        <v>11007.004201650001</v>
      </c>
    </row>
    <row r="269" spans="1:7" ht="15.75" customHeight="1">
      <c r="A269" s="1503" t="s">
        <v>22</v>
      </c>
      <c r="B269" s="1502">
        <v>3430.6665952899984</v>
      </c>
      <c r="C269" s="1502">
        <v>6577.3144637999985</v>
      </c>
      <c r="D269" s="1502">
        <v>-2273.1376452500008</v>
      </c>
      <c r="E269" s="1502">
        <v>25449.952293029997</v>
      </c>
      <c r="F269" s="1502">
        <v>18979.2086203</v>
      </c>
      <c r="G269" s="1502">
        <v>10438.161188820002</v>
      </c>
    </row>
    <row r="270" spans="1:7" ht="15.75" customHeight="1">
      <c r="A270" s="1503" t="s">
        <v>23</v>
      </c>
      <c r="B270" s="1502">
        <v>2774.9401531000021</v>
      </c>
      <c r="C270" s="1502">
        <v>6305.835174220002</v>
      </c>
      <c r="D270" s="1502">
        <v>-2574.2449505999998</v>
      </c>
      <c r="E270" s="1502">
        <v>25785.013632470007</v>
      </c>
      <c r="F270" s="1502">
        <v>19536.85609782</v>
      </c>
      <c r="G270" s="1502">
        <v>9934.8117318099994</v>
      </c>
    </row>
    <row r="271" spans="1:7" ht="15.75" customHeight="1">
      <c r="A271" s="1503" t="s">
        <v>24</v>
      </c>
      <c r="B271" s="1502">
        <v>2782.1155156300019</v>
      </c>
      <c r="C271" s="1502">
        <v>6191.0935811300023</v>
      </c>
      <c r="D271" s="1502">
        <v>-2519.3069927000006</v>
      </c>
      <c r="E271" s="1502">
        <v>25954.730567039998</v>
      </c>
      <c r="F271" s="1502">
        <v>19551.283973370002</v>
      </c>
      <c r="G271" s="1502">
        <v>9466.2616060299988</v>
      </c>
    </row>
    <row r="272" spans="1:7" ht="15.75" customHeight="1">
      <c r="A272" s="1503" t="s">
        <v>25</v>
      </c>
      <c r="B272" s="1502">
        <v>3485.7361115253348</v>
      </c>
      <c r="C272" s="1502">
        <v>6711.9543293603292</v>
      </c>
      <c r="D272" s="1502">
        <v>-2548.8668709549947</v>
      </c>
      <c r="E272" s="1502">
        <v>26160.352005145294</v>
      </c>
      <c r="F272" s="1502">
        <v>19376.879313869998</v>
      </c>
      <c r="G272" s="1502">
        <v>9747.9723258700014</v>
      </c>
    </row>
    <row r="273" spans="1:10" ht="15.75" customHeight="1">
      <c r="A273" s="1503" t="s">
        <v>26</v>
      </c>
      <c r="B273" s="1502">
        <v>3358.8987816464746</v>
      </c>
      <c r="C273" s="1502">
        <v>6689.6601356175333</v>
      </c>
      <c r="D273" s="1502">
        <v>-2619.3430171618397</v>
      </c>
      <c r="E273" s="1502">
        <v>26704.28693854493</v>
      </c>
      <c r="F273" s="1502">
        <v>19859.72854769</v>
      </c>
      <c r="G273" s="1502">
        <v>9813.7227865099994</v>
      </c>
    </row>
    <row r="274" spans="1:10" ht="15.75" customHeight="1">
      <c r="A274" s="1503" t="s">
        <v>27</v>
      </c>
      <c r="B274" s="1502">
        <v>3341.7792923606476</v>
      </c>
      <c r="C274" s="1502">
        <v>6718.1029022607154</v>
      </c>
      <c r="D274" s="1502">
        <v>-2634.7682059690683</v>
      </c>
      <c r="E274" s="1502">
        <v>26885.704399570845</v>
      </c>
      <c r="F274" s="1502">
        <v>18876.432501889998</v>
      </c>
      <c r="G274" s="1502">
        <v>9825.7487416300028</v>
      </c>
    </row>
    <row r="275" spans="1:10" ht="15.75" customHeight="1">
      <c r="A275" s="1503" t="s">
        <v>28</v>
      </c>
      <c r="B275" s="1502">
        <v>3274.5394817113906</v>
      </c>
      <c r="C275" s="1502">
        <v>6799.0571979522992</v>
      </c>
      <c r="D275" s="1502">
        <v>-2674.0400532609087</v>
      </c>
      <c r="E275" s="1502">
        <v>27092.107084653653</v>
      </c>
      <c r="F275" s="1502">
        <v>19025.009256099998</v>
      </c>
      <c r="G275" s="1502">
        <v>10052.812278219999</v>
      </c>
    </row>
    <row r="276" spans="1:10" ht="15.75" customHeight="1">
      <c r="A276" s="1503" t="s">
        <v>29</v>
      </c>
      <c r="B276" s="1502">
        <v>2777.6572268674995</v>
      </c>
      <c r="C276" s="1502">
        <v>6572.0470841884799</v>
      </c>
      <c r="D276" s="1502">
        <v>-2585.4770984199999</v>
      </c>
      <c r="E276" s="1502">
        <v>27234.28993079592</v>
      </c>
      <c r="F276" s="1502">
        <v>20790.518069099999</v>
      </c>
      <c r="G276" s="1502">
        <v>9842.8603842499979</v>
      </c>
    </row>
    <row r="277" spans="1:10" ht="15.75" customHeight="1">
      <c r="A277" s="1503" t="s">
        <v>4222</v>
      </c>
      <c r="B277" s="1502"/>
      <c r="C277" s="1502"/>
      <c r="D277" s="1502"/>
      <c r="E277" s="1502"/>
      <c r="F277" s="1502"/>
      <c r="G277" s="1502"/>
    </row>
    <row r="278" spans="1:10" ht="15.75" customHeight="1">
      <c r="A278" s="1503" t="s">
        <v>18</v>
      </c>
      <c r="B278" s="1502">
        <v>4730.9446944168358</v>
      </c>
      <c r="C278" s="1502">
        <v>8486.8834875360244</v>
      </c>
      <c r="D278" s="1502">
        <v>-2623.6274602094259</v>
      </c>
      <c r="E278" s="1502">
        <v>27219.348685858917</v>
      </c>
      <c r="F278" s="1502">
        <v>19466.689896390002</v>
      </c>
      <c r="G278" s="1502">
        <v>10810.177519659999</v>
      </c>
    </row>
    <row r="279" spans="1:10" ht="15.75" customHeight="1">
      <c r="A279" s="1503" t="s">
        <v>19</v>
      </c>
      <c r="B279" s="1502">
        <v>4908.6066850667457</v>
      </c>
      <c r="C279" s="1502">
        <v>8679.4598993771742</v>
      </c>
      <c r="D279" s="1502">
        <v>-2607.2726040889543</v>
      </c>
      <c r="E279" s="1502">
        <v>27315.963145143411</v>
      </c>
      <c r="F279" s="1502">
        <v>19886.21689956</v>
      </c>
      <c r="G279" s="1502">
        <v>11233.031912790002</v>
      </c>
    </row>
    <row r="280" spans="1:10" ht="15.75" customHeight="1">
      <c r="A280" s="1503" t="s">
        <v>20</v>
      </c>
      <c r="B280" s="1502">
        <v>5145.8258167245849</v>
      </c>
      <c r="C280" s="1502">
        <v>8965.6511774421087</v>
      </c>
      <c r="D280" s="1502">
        <v>-2683.3278280643417</v>
      </c>
      <c r="E280" s="1502">
        <v>27633.610587143692</v>
      </c>
      <c r="F280" s="1502">
        <v>19483.79074837</v>
      </c>
      <c r="G280" s="1502">
        <v>11171.723995569999</v>
      </c>
    </row>
    <row r="281" spans="1:10" ht="15.75" customHeight="1">
      <c r="A281" s="1503" t="s">
        <v>21</v>
      </c>
      <c r="B281" s="1502">
        <v>5168.7360188993407</v>
      </c>
      <c r="C281" s="1502">
        <v>8778.4219058033468</v>
      </c>
      <c r="D281" s="1502">
        <v>-2369.6600273841782</v>
      </c>
      <c r="E281" s="1502">
        <v>27803.202181655983</v>
      </c>
      <c r="F281" s="1502">
        <v>19392.341444809997</v>
      </c>
      <c r="G281" s="1502">
        <v>11766.940221449999</v>
      </c>
    </row>
    <row r="282" spans="1:10" ht="13.9" customHeight="1">
      <c r="A282" s="1504" t="s">
        <v>22</v>
      </c>
      <c r="B282" s="1505">
        <v>6340.3282932900756</v>
      </c>
      <c r="C282" s="1505">
        <v>10286.809677506319</v>
      </c>
      <c r="D282" s="1505">
        <v>-2716.2396193294171</v>
      </c>
      <c r="E282" s="1505">
        <v>28141.505057382998</v>
      </c>
      <c r="F282" s="1505">
        <v>19591.109957510002</v>
      </c>
      <c r="G282" s="1505">
        <v>12537.272225590001</v>
      </c>
    </row>
    <row r="283" spans="1:10" s="782" customFormat="1" ht="12.75" customHeight="1">
      <c r="A283" s="2346" t="s">
        <v>4206</v>
      </c>
      <c r="B283" s="2346"/>
      <c r="C283" s="2346"/>
      <c r="D283" s="2346"/>
      <c r="E283" s="2346"/>
      <c r="F283" s="2346"/>
      <c r="G283" s="2346"/>
      <c r="H283" s="781"/>
      <c r="I283" s="781"/>
      <c r="J283" s="781"/>
    </row>
    <row r="284" spans="1:10" s="782" customFormat="1" ht="12.75" customHeight="1">
      <c r="A284" s="2346" t="s">
        <v>2693</v>
      </c>
      <c r="B284" s="2346"/>
      <c r="C284" s="2346"/>
      <c r="D284" s="2346"/>
      <c r="E284" s="2346"/>
      <c r="F284" s="2346"/>
      <c r="G284" s="2346"/>
      <c r="H284" s="783"/>
      <c r="I284" s="784"/>
      <c r="J284" s="784"/>
    </row>
    <row r="285" spans="1:10" s="782" customFormat="1" ht="12.75" customHeight="1">
      <c r="A285" s="2346" t="s">
        <v>2694</v>
      </c>
      <c r="B285" s="2346"/>
      <c r="C285" s="2346"/>
      <c r="D285" s="2346"/>
      <c r="E285" s="2346"/>
      <c r="F285" s="2346"/>
      <c r="G285" s="2346"/>
      <c r="H285" s="784"/>
      <c r="I285" s="784"/>
      <c r="J285" s="784"/>
    </row>
  </sheetData>
  <mergeCells count="18">
    <mergeCell ref="A2:G2"/>
    <mergeCell ref="A3:G3"/>
    <mergeCell ref="A5:G5"/>
    <mergeCell ref="C6:D6"/>
    <mergeCell ref="B6:B7"/>
    <mergeCell ref="A6:A7"/>
    <mergeCell ref="E6:E7"/>
    <mergeCell ref="F6:F7"/>
    <mergeCell ref="G6:G7"/>
    <mergeCell ref="B8:B9"/>
    <mergeCell ref="A8:A9"/>
    <mergeCell ref="A283:G283"/>
    <mergeCell ref="A284:G284"/>
    <mergeCell ref="A285:G285"/>
    <mergeCell ref="C8:D8"/>
    <mergeCell ref="G8:G9"/>
    <mergeCell ref="F8:F9"/>
    <mergeCell ref="E8:E9"/>
  </mergeCells>
  <pageMargins left="0.39" right="0.17" top="0.49" bottom="0.17" header="0.17" footer="0.17"/>
  <pageSetup scale="21" orientation="portrait" r:id="rId1"/>
  <ignoredErrors>
    <ignoredError sqref="A191:A235" numberStoredAsText="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tabColor rgb="FF92D050"/>
  </sheetPr>
  <dimension ref="A2:CE302"/>
  <sheetViews>
    <sheetView showGridLines="0" view="pageBreakPreview" zoomScale="85" zoomScaleSheetLayoutView="85" workbookViewId="0">
      <pane ySplit="39" topLeftCell="A279" activePane="bottomLeft" state="frozen"/>
      <selection activeCell="B39" sqref="B39"/>
      <selection pane="bottomLeft" activeCell="J299" sqref="J299"/>
    </sheetView>
  </sheetViews>
  <sheetFormatPr defaultColWidth="8.85546875" defaultRowHeight="12.95" customHeight="1"/>
  <cols>
    <col min="1" max="1" width="10.7109375" style="47" customWidth="1"/>
    <col min="2" max="2" width="15" style="9" customWidth="1"/>
    <col min="3" max="4" width="16.7109375" style="9" customWidth="1"/>
    <col min="5" max="6" width="21.42578125" style="9" customWidth="1"/>
    <col min="7" max="8" width="16.7109375" style="9" customWidth="1"/>
    <col min="9" max="10" width="19.42578125" style="9" customWidth="1"/>
    <col min="11" max="11" width="17.85546875" style="9" hidden="1" customWidth="1"/>
    <col min="12" max="12" width="11.7109375" style="9" hidden="1" customWidth="1"/>
    <col min="13" max="13" width="13.7109375" style="9" hidden="1" customWidth="1"/>
    <col min="14" max="14" width="8.85546875" style="9" customWidth="1"/>
    <col min="15" max="15" width="13.7109375" style="9" bestFit="1" customWidth="1"/>
    <col min="16" max="80" width="8.85546875" style="9"/>
    <col min="81" max="81" width="0" style="9" hidden="1" customWidth="1"/>
    <col min="82" max="16384" width="8.85546875" style="9"/>
  </cols>
  <sheetData>
    <row r="2" spans="1:83" s="457" customFormat="1" ht="22.5" customHeight="1">
      <c r="A2" s="2358" t="s">
        <v>2728</v>
      </c>
      <c r="B2" s="2358"/>
      <c r="C2" s="2358"/>
      <c r="D2" s="2358"/>
      <c r="E2" s="2358"/>
      <c r="F2" s="2358"/>
      <c r="G2" s="2358"/>
      <c r="H2" s="2358"/>
      <c r="I2" s="2358"/>
      <c r="J2" s="2358"/>
      <c r="K2" s="456"/>
    </row>
    <row r="3" spans="1:83" s="457" customFormat="1" ht="29.25" customHeight="1">
      <c r="A3" s="2359" t="s">
        <v>2729</v>
      </c>
      <c r="B3" s="2359"/>
      <c r="C3" s="2359"/>
      <c r="D3" s="2359"/>
      <c r="E3" s="2359"/>
      <c r="F3" s="2359"/>
      <c r="G3" s="2359"/>
      <c r="H3" s="2359"/>
      <c r="I3" s="2359"/>
      <c r="J3" s="2359"/>
    </row>
    <row r="4" spans="1:83" s="508" customFormat="1" ht="17.25" customHeight="1">
      <c r="A4" s="536"/>
      <c r="B4" s="536"/>
      <c r="C4" s="536"/>
      <c r="D4" s="536"/>
      <c r="E4" s="536"/>
      <c r="F4" s="536"/>
      <c r="G4" s="536"/>
      <c r="H4" s="536"/>
      <c r="I4" s="536"/>
      <c r="J4" s="536"/>
    </row>
    <row r="5" spans="1:83" s="457" customFormat="1" ht="17.25" customHeight="1">
      <c r="A5" s="2360" t="s">
        <v>8</v>
      </c>
      <c r="B5" s="2360"/>
      <c r="C5" s="2360"/>
      <c r="D5" s="2360"/>
      <c r="E5" s="2360"/>
      <c r="F5" s="2360"/>
      <c r="G5" s="2360"/>
      <c r="H5" s="2360"/>
      <c r="I5" s="2360"/>
      <c r="J5" s="2360"/>
      <c r="K5" s="439"/>
    </row>
    <row r="6" spans="1:83" ht="15.75" customHeight="1">
      <c r="A6" s="2357" t="s">
        <v>182</v>
      </c>
      <c r="B6" s="2357" t="s">
        <v>1150</v>
      </c>
      <c r="C6" s="2357" t="s">
        <v>122</v>
      </c>
      <c r="D6" s="2357"/>
      <c r="E6" s="2357"/>
      <c r="F6" s="2357"/>
      <c r="G6" s="2357"/>
      <c r="H6" s="2357"/>
      <c r="I6" s="2357" t="s">
        <v>125</v>
      </c>
      <c r="J6" s="2357"/>
      <c r="K6" s="47"/>
      <c r="CD6" s="303" t="s">
        <v>2062</v>
      </c>
      <c r="CE6" s="325" t="s">
        <v>2063</v>
      </c>
    </row>
    <row r="7" spans="1:83" ht="15.75">
      <c r="A7" s="2357"/>
      <c r="B7" s="2357"/>
      <c r="C7" s="2357" t="s">
        <v>1151</v>
      </c>
      <c r="D7" s="2357" t="s">
        <v>123</v>
      </c>
      <c r="E7" s="2357"/>
      <c r="F7" s="2357"/>
      <c r="G7" s="2357"/>
      <c r="H7" s="2357" t="s">
        <v>1234</v>
      </c>
      <c r="I7" s="2357" t="s">
        <v>126</v>
      </c>
      <c r="J7" s="2357" t="s">
        <v>127</v>
      </c>
      <c r="K7" s="47"/>
      <c r="BZ7" s="9">
        <f>BZ9+BZ21+BZ31+BZ39</f>
        <v>0</v>
      </c>
      <c r="CD7" s="9">
        <f>CD9+CD21+CD31+CD39</f>
        <v>622</v>
      </c>
      <c r="CE7" s="326">
        <f>BZ7+CA7+CB7+CD7</f>
        <v>622</v>
      </c>
    </row>
    <row r="8" spans="1:83" ht="15.75">
      <c r="A8" s="2357"/>
      <c r="B8" s="2357"/>
      <c r="C8" s="2357"/>
      <c r="D8" s="2357" t="s">
        <v>128</v>
      </c>
      <c r="E8" s="2357" t="s">
        <v>122</v>
      </c>
      <c r="F8" s="2357"/>
      <c r="G8" s="2357" t="s">
        <v>1232</v>
      </c>
      <c r="H8" s="2357"/>
      <c r="I8" s="2357"/>
      <c r="J8" s="2357"/>
      <c r="K8" s="47"/>
      <c r="CE8" s="326"/>
    </row>
    <row r="9" spans="1:83" ht="15.75">
      <c r="A9" s="2357"/>
      <c r="B9" s="2357"/>
      <c r="C9" s="2357"/>
      <c r="D9" s="2357"/>
      <c r="E9" s="2357" t="s">
        <v>129</v>
      </c>
      <c r="F9" s="2357" t="s">
        <v>1229</v>
      </c>
      <c r="G9" s="2357"/>
      <c r="H9" s="2357"/>
      <c r="I9" s="2357"/>
      <c r="J9" s="2357"/>
      <c r="K9" s="47"/>
      <c r="CD9" s="9">
        <f>CD11+CD16</f>
        <v>1713</v>
      </c>
      <c r="CE9" s="326">
        <f>BZ9+CA9+CB9+CD9</f>
        <v>1713</v>
      </c>
    </row>
    <row r="10" spans="1:83" ht="30.75" customHeight="1">
      <c r="A10" s="2357"/>
      <c r="B10" s="2357"/>
      <c r="C10" s="2357"/>
      <c r="D10" s="2357"/>
      <c r="E10" s="2357"/>
      <c r="F10" s="2357"/>
      <c r="G10" s="2357"/>
      <c r="H10" s="2357"/>
      <c r="I10" s="2357"/>
      <c r="J10" s="2357"/>
      <c r="K10" s="47"/>
      <c r="CE10" s="326"/>
    </row>
    <row r="11" spans="1:83" ht="15.75">
      <c r="A11" s="2355" t="s">
        <v>289</v>
      </c>
      <c r="B11" s="2355" t="s">
        <v>130</v>
      </c>
      <c r="C11" s="2355" t="s">
        <v>131</v>
      </c>
      <c r="D11" s="2355"/>
      <c r="E11" s="2355"/>
      <c r="F11" s="2355"/>
      <c r="G11" s="2355"/>
      <c r="H11" s="2355"/>
      <c r="I11" s="2355" t="s">
        <v>132</v>
      </c>
      <c r="J11" s="2355"/>
      <c r="CD11" s="9">
        <f>CD13+CD14</f>
        <v>4361</v>
      </c>
      <c r="CE11" s="326">
        <f>BZ11+CA11+CB11+CD11</f>
        <v>4361</v>
      </c>
    </row>
    <row r="12" spans="1:83" ht="15.75">
      <c r="A12" s="2356"/>
      <c r="B12" s="2355"/>
      <c r="C12" s="2355" t="s">
        <v>133</v>
      </c>
      <c r="D12" s="2355" t="s">
        <v>131</v>
      </c>
      <c r="E12" s="2355"/>
      <c r="F12" s="2355"/>
      <c r="G12" s="2355"/>
      <c r="H12" s="2355" t="s">
        <v>1233</v>
      </c>
      <c r="I12" s="2355" t="s">
        <v>2765</v>
      </c>
      <c r="J12" s="2355" t="s">
        <v>2764</v>
      </c>
      <c r="CE12" s="326"/>
    </row>
    <row r="13" spans="1:83" ht="15.75">
      <c r="A13" s="2356"/>
      <c r="B13" s="2355"/>
      <c r="C13" s="2355"/>
      <c r="D13" s="2355" t="s">
        <v>134</v>
      </c>
      <c r="E13" s="2355" t="s">
        <v>106</v>
      </c>
      <c r="F13" s="2355"/>
      <c r="G13" s="2355" t="s">
        <v>1231</v>
      </c>
      <c r="H13" s="2355"/>
      <c r="I13" s="2355"/>
      <c r="J13" s="2355"/>
      <c r="CD13" s="9">
        <v>3917</v>
      </c>
      <c r="CE13" s="326">
        <f>BZ13+CA13+CB13+CD13</f>
        <v>3917</v>
      </c>
    </row>
    <row r="14" spans="1:83" ht="15.75">
      <c r="A14" s="2356"/>
      <c r="B14" s="2355"/>
      <c r="C14" s="2355"/>
      <c r="D14" s="2355"/>
      <c r="E14" s="2355" t="s">
        <v>135</v>
      </c>
      <c r="F14" s="2355" t="s">
        <v>1230</v>
      </c>
      <c r="G14" s="2355"/>
      <c r="H14" s="2355"/>
      <c r="I14" s="2355"/>
      <c r="J14" s="2355"/>
      <c r="CD14" s="9">
        <v>444</v>
      </c>
      <c r="CE14" s="326">
        <f t="shared" ref="CE14:CE55" si="0">BZ14+CA14+CB14+CD14</f>
        <v>444</v>
      </c>
    </row>
    <row r="15" spans="1:83" ht="27" customHeight="1">
      <c r="A15" s="2356"/>
      <c r="B15" s="2355"/>
      <c r="C15" s="2355"/>
      <c r="D15" s="2355"/>
      <c r="E15" s="2355"/>
      <c r="F15" s="2355"/>
      <c r="G15" s="2355"/>
      <c r="H15" s="2355"/>
      <c r="I15" s="2355"/>
      <c r="J15" s="2355"/>
      <c r="CE15" s="326"/>
    </row>
    <row r="16" spans="1:83" ht="15.75" hidden="1">
      <c r="A16" s="449">
        <v>1995</v>
      </c>
      <c r="B16" s="11">
        <f>1299.6/5</f>
        <v>259.91999999999996</v>
      </c>
      <c r="C16" s="11">
        <f>957.6/5</f>
        <v>191.52</v>
      </c>
      <c r="D16" s="11">
        <f>925/5</f>
        <v>185</v>
      </c>
      <c r="E16" s="8">
        <f>602.4/5</f>
        <v>120.47999999999999</v>
      </c>
      <c r="F16" s="8">
        <f>+D16-E16</f>
        <v>64.52000000000001</v>
      </c>
      <c r="G16" s="8">
        <f>+C16-D16</f>
        <v>6.5200000000000102</v>
      </c>
      <c r="H16" s="8">
        <f>+B16-C16</f>
        <v>68.399999999999949</v>
      </c>
      <c r="I16" s="48">
        <v>1.44</v>
      </c>
      <c r="J16" s="52">
        <v>1.3</v>
      </c>
      <c r="K16" s="48"/>
      <c r="CD16" s="9">
        <f>CD18+CD19</f>
        <v>-2648</v>
      </c>
      <c r="CE16" s="326">
        <f t="shared" si="0"/>
        <v>-2648</v>
      </c>
    </row>
    <row r="17" spans="1:83" ht="15.75" hidden="1">
      <c r="A17" s="449">
        <f>A16+1</f>
        <v>1996</v>
      </c>
      <c r="B17" s="11">
        <f>1545.1/5</f>
        <v>309.02</v>
      </c>
      <c r="C17" s="11">
        <f>1204.2/5</f>
        <v>240.84</v>
      </c>
      <c r="D17" s="11">
        <f>1173.7/5</f>
        <v>234.74</v>
      </c>
      <c r="E17" s="8">
        <f>865.4/5</f>
        <v>173.07999999999998</v>
      </c>
      <c r="F17" s="8">
        <f>+D17-E17</f>
        <v>61.660000000000025</v>
      </c>
      <c r="G17" s="8">
        <f>+C17-D17</f>
        <v>6.0999999999999943</v>
      </c>
      <c r="H17" s="8">
        <f>+B17-C17</f>
        <v>68.179999999999978</v>
      </c>
      <c r="I17" s="48">
        <v>1.46</v>
      </c>
      <c r="J17" s="52">
        <v>1.22</v>
      </c>
      <c r="K17" s="48"/>
      <c r="CE17" s="326"/>
    </row>
    <row r="18" spans="1:83" ht="15.75" hidden="1">
      <c r="A18" s="449">
        <f>A17+1</f>
        <v>1997</v>
      </c>
      <c r="B18" s="11">
        <f>2063.7/5</f>
        <v>412.73999999999995</v>
      </c>
      <c r="C18" s="11">
        <f>1556.3/5</f>
        <v>311.26</v>
      </c>
      <c r="D18" s="11">
        <f>1537.9/5</f>
        <v>307.58000000000004</v>
      </c>
      <c r="E18" s="9">
        <f>1170.5/5</f>
        <v>234.1</v>
      </c>
      <c r="F18" s="8">
        <f>+D18-E18</f>
        <v>73.480000000000047</v>
      </c>
      <c r="G18" s="8">
        <f>+C18-D18</f>
        <v>3.67999999999995</v>
      </c>
      <c r="H18" s="8">
        <f>+B18-C18</f>
        <v>101.47999999999996</v>
      </c>
      <c r="I18" s="48">
        <v>1.45</v>
      </c>
      <c r="J18" s="52">
        <v>1.1169884446996339</v>
      </c>
      <c r="K18" s="48"/>
      <c r="CD18" s="9">
        <v>-367</v>
      </c>
      <c r="CE18" s="326">
        <f t="shared" si="0"/>
        <v>-367</v>
      </c>
    </row>
    <row r="19" spans="1:83" ht="15.75" hidden="1">
      <c r="A19" s="449">
        <f>A18+1</f>
        <v>1998</v>
      </c>
      <c r="B19" s="11">
        <f>1712.9/5</f>
        <v>342.58000000000004</v>
      </c>
      <c r="C19" s="457">
        <f>1218.5/5</f>
        <v>243.7</v>
      </c>
      <c r="D19" s="457">
        <f>1202.5/5</f>
        <v>240.5</v>
      </c>
      <c r="E19" s="8">
        <v>185.2</v>
      </c>
      <c r="F19" s="8">
        <f>+D19-E19</f>
        <v>55.300000000000011</v>
      </c>
      <c r="G19" s="8">
        <f>+C19-D19</f>
        <v>3.1999999999999886</v>
      </c>
      <c r="H19" s="8">
        <f>+B19-C19</f>
        <v>98.880000000000052</v>
      </c>
      <c r="I19" s="48">
        <v>1.5</v>
      </c>
      <c r="J19" s="52">
        <v>1.1499999999999999</v>
      </c>
      <c r="K19" s="48"/>
      <c r="CD19" s="9">
        <v>-2281</v>
      </c>
      <c r="CE19" s="326">
        <f t="shared" si="0"/>
        <v>-2281</v>
      </c>
    </row>
    <row r="20" spans="1:83" ht="15.75" hidden="1">
      <c r="A20" s="449">
        <f>A19+1</f>
        <v>1999</v>
      </c>
      <c r="B20" s="8">
        <v>418.5</v>
      </c>
      <c r="C20" s="9">
        <v>280.89999999999998</v>
      </c>
      <c r="D20" s="8">
        <v>278</v>
      </c>
      <c r="E20" s="9">
        <v>227.2</v>
      </c>
      <c r="F20" s="8">
        <f>+D20-E20</f>
        <v>50.800000000000011</v>
      </c>
      <c r="G20" s="8">
        <f>+C20-D20</f>
        <v>2.8999999999999773</v>
      </c>
      <c r="H20" s="8">
        <f>+B20-C20</f>
        <v>137.60000000000002</v>
      </c>
      <c r="I20" s="48">
        <v>1.5796029289650486</v>
      </c>
      <c r="J20" s="52">
        <v>1.1200000000000001</v>
      </c>
      <c r="K20" s="48"/>
      <c r="CE20" s="326"/>
    </row>
    <row r="21" spans="1:83" ht="15.75" hidden="1">
      <c r="A21" s="449"/>
      <c r="E21" s="8"/>
      <c r="F21" s="8"/>
      <c r="G21" s="8"/>
      <c r="H21" s="8"/>
      <c r="I21" s="48"/>
      <c r="J21" s="52"/>
      <c r="K21" s="48"/>
      <c r="CD21" s="9">
        <f>CD23+CD24</f>
        <v>-797</v>
      </c>
      <c r="CE21" s="326">
        <f t="shared" si="0"/>
        <v>-797</v>
      </c>
    </row>
    <row r="22" spans="1:83" ht="15.75" hidden="1">
      <c r="A22" s="449">
        <f>A20+1</f>
        <v>2000</v>
      </c>
      <c r="B22" s="9">
        <v>781.36</v>
      </c>
      <c r="C22" s="9">
        <v>325.8</v>
      </c>
      <c r="D22" s="9">
        <v>315.5</v>
      </c>
      <c r="E22" s="8">
        <v>270</v>
      </c>
      <c r="F22" s="8">
        <f>+D22-E22</f>
        <v>45.5</v>
      </c>
      <c r="G22" s="8">
        <f>+C22-D22</f>
        <v>10.300000000000011</v>
      </c>
      <c r="H22" s="8">
        <f>+B22-C22</f>
        <v>455.56</v>
      </c>
      <c r="I22" s="48">
        <v>2.2129828933952647</v>
      </c>
      <c r="J22" s="52">
        <v>1.056420233463035</v>
      </c>
      <c r="K22" s="48"/>
      <c r="CE22" s="326"/>
    </row>
    <row r="23" spans="1:83" ht="15.75" hidden="1">
      <c r="A23" s="449">
        <f>A22+1</f>
        <v>2001</v>
      </c>
      <c r="B23" s="8">
        <v>687.31689665169006</v>
      </c>
      <c r="C23" s="8">
        <v>350.72034710799807</v>
      </c>
      <c r="D23" s="8">
        <v>338.62053305583208</v>
      </c>
      <c r="E23" s="8">
        <v>293.79736867848004</v>
      </c>
      <c r="F23" s="8">
        <f>+D23-E23</f>
        <v>44.823164377352043</v>
      </c>
      <c r="G23" s="8">
        <f>+C23-D23</f>
        <v>12.099814052165982</v>
      </c>
      <c r="H23" s="8">
        <f>+B23-C23</f>
        <v>336.59654954369199</v>
      </c>
      <c r="I23" s="48">
        <v>1.92</v>
      </c>
      <c r="J23" s="52">
        <v>1.0445674163989052</v>
      </c>
      <c r="K23" s="48"/>
      <c r="CD23" s="9">
        <v>-644</v>
      </c>
      <c r="CE23" s="326">
        <f t="shared" si="0"/>
        <v>-644</v>
      </c>
    </row>
    <row r="24" spans="1:83" ht="15.75" hidden="1">
      <c r="A24" s="449">
        <f>A23+1</f>
        <v>2002</v>
      </c>
      <c r="B24" s="8">
        <v>785.75896751412006</v>
      </c>
      <c r="C24" s="8">
        <v>405.02479882353805</v>
      </c>
      <c r="D24" s="8">
        <v>393.45344481966401</v>
      </c>
      <c r="E24" s="8">
        <v>333.74568082834202</v>
      </c>
      <c r="F24" s="8">
        <f>+D24-E24</f>
        <v>59.707763991321997</v>
      </c>
      <c r="G24" s="8">
        <f>+C24-D24</f>
        <v>11.571354003874035</v>
      </c>
      <c r="H24" s="8">
        <f>+B24-C24</f>
        <v>380.73416869058201</v>
      </c>
      <c r="I24" s="48">
        <v>1.92</v>
      </c>
      <c r="J24" s="52">
        <v>1.0823227736524388</v>
      </c>
      <c r="K24" s="48"/>
      <c r="CD24" s="9">
        <v>-153</v>
      </c>
      <c r="CE24" s="326">
        <f t="shared" si="0"/>
        <v>-153</v>
      </c>
    </row>
    <row r="25" spans="1:83" ht="15.75" hidden="1">
      <c r="A25" s="449">
        <f>A24+1</f>
        <v>2003</v>
      </c>
      <c r="B25" s="8">
        <v>1020.0667327168321</v>
      </c>
      <c r="C25" s="8">
        <v>519.04552047792811</v>
      </c>
      <c r="D25" s="8">
        <v>499.81892348548007</v>
      </c>
      <c r="E25" s="8">
        <v>408.17522567792406</v>
      </c>
      <c r="F25" s="8">
        <f>+D25-E25</f>
        <v>91.643697807556009</v>
      </c>
      <c r="G25" s="8">
        <f>+C25-D25</f>
        <v>19.226596992448037</v>
      </c>
      <c r="H25" s="8">
        <f>+B25-C25</f>
        <v>501.02121223890401</v>
      </c>
      <c r="I25" s="48">
        <v>2.0099999999999998</v>
      </c>
      <c r="J25" s="52">
        <v>1.1191709844559585</v>
      </c>
      <c r="K25" s="48"/>
      <c r="CE25" s="326"/>
    </row>
    <row r="26" spans="1:83" ht="15.75" hidden="1">
      <c r="A26" s="449">
        <f>A25+1</f>
        <v>2004</v>
      </c>
      <c r="B26" s="8">
        <v>1505.8783612854038</v>
      </c>
      <c r="C26" s="8">
        <v>685.66962160337198</v>
      </c>
      <c r="D26" s="8">
        <v>652.89988348548616</v>
      </c>
      <c r="E26" s="8">
        <v>477.793861111502</v>
      </c>
      <c r="F26" s="8">
        <f>+D26-E26</f>
        <v>175.10602237398416</v>
      </c>
      <c r="G26" s="8">
        <f>+C26-D26</f>
        <v>32.769738117885822</v>
      </c>
      <c r="H26" s="8">
        <f>+B26-C26</f>
        <v>820.20873968203182</v>
      </c>
      <c r="I26" s="48">
        <v>1.8</v>
      </c>
      <c r="J26" s="52">
        <v>1.0680582463596027</v>
      </c>
      <c r="K26" s="48"/>
      <c r="CE26" s="326"/>
    </row>
    <row r="27" spans="1:83" ht="15.75" hidden="1">
      <c r="A27" s="51">
        <v>2005</v>
      </c>
      <c r="B27" s="450">
        <v>1838.6913451086161</v>
      </c>
      <c r="C27" s="450">
        <v>796.45042524850601</v>
      </c>
      <c r="D27" s="450">
        <v>750.21738680547401</v>
      </c>
      <c r="E27" s="450">
        <v>547.40912764457403</v>
      </c>
      <c r="F27" s="450">
        <f>+F39</f>
        <v>202.80825916089998</v>
      </c>
      <c r="G27" s="450">
        <f>+G39</f>
        <v>46.233038443032001</v>
      </c>
      <c r="H27" s="450">
        <f>+H39</f>
        <v>1042.2409198601101</v>
      </c>
      <c r="I27" s="451">
        <f>+I39</f>
        <v>2.1</v>
      </c>
      <c r="J27" s="452">
        <f>+J39</f>
        <v>1.2</v>
      </c>
      <c r="K27" s="135"/>
      <c r="CE27" s="326"/>
    </row>
    <row r="28" spans="1:83" ht="15.75" hidden="1">
      <c r="A28" s="139" t="s">
        <v>18</v>
      </c>
      <c r="B28" s="134">
        <v>1444.7701291448498</v>
      </c>
      <c r="C28" s="134">
        <v>618.41400162516391</v>
      </c>
      <c r="D28" s="134">
        <v>587.31444198508586</v>
      </c>
      <c r="E28" s="134">
        <v>427.30582480154192</v>
      </c>
      <c r="F28" s="134">
        <f t="shared" ref="F28:F39" si="1">+D28-E28</f>
        <v>160.00861718354395</v>
      </c>
      <c r="G28" s="134">
        <f t="shared" ref="G28:G39" si="2">+C28-D28</f>
        <v>31.099559640078041</v>
      </c>
      <c r="H28" s="8">
        <f t="shared" ref="H28:H39" si="3">+B28-C28</f>
        <v>826.35612751968586</v>
      </c>
      <c r="I28" s="135">
        <v>2.2565356403987211</v>
      </c>
      <c r="J28" s="136">
        <v>1.077254421292243</v>
      </c>
      <c r="K28" s="135"/>
      <c r="CD28" s="9">
        <v>-31</v>
      </c>
      <c r="CE28" s="326">
        <f t="shared" si="0"/>
        <v>-31</v>
      </c>
    </row>
    <row r="29" spans="1:83" ht="15.75" hidden="1">
      <c r="A29" s="139" t="s">
        <v>19</v>
      </c>
      <c r="B29" s="134">
        <v>1442.8653603744719</v>
      </c>
      <c r="C29" s="134">
        <v>639.79639097140785</v>
      </c>
      <c r="D29" s="134">
        <v>609.16003285551199</v>
      </c>
      <c r="E29" s="134">
        <v>440.79863884778791</v>
      </c>
      <c r="F29" s="134">
        <f t="shared" si="1"/>
        <v>168.36139400772407</v>
      </c>
      <c r="G29" s="134">
        <f t="shared" si="2"/>
        <v>30.63635811589586</v>
      </c>
      <c r="H29" s="8">
        <f t="shared" si="3"/>
        <v>803.0689694030641</v>
      </c>
      <c r="I29" s="135">
        <v>2.221194306930693</v>
      </c>
      <c r="J29" s="136">
        <v>1.0904094531464688</v>
      </c>
      <c r="K29" s="135"/>
      <c r="CD29" s="9">
        <v>-440</v>
      </c>
      <c r="CE29" s="326">
        <f t="shared" si="0"/>
        <v>-440</v>
      </c>
    </row>
    <row r="30" spans="1:83" ht="15.75" hidden="1">
      <c r="A30" s="139" t="s">
        <v>20</v>
      </c>
      <c r="B30" s="134">
        <v>1448.7999708670638</v>
      </c>
      <c r="C30" s="134">
        <v>639.81767324583598</v>
      </c>
      <c r="D30" s="134">
        <v>607.92106516805609</v>
      </c>
      <c r="E30" s="134">
        <v>442.38544158775005</v>
      </c>
      <c r="F30" s="134">
        <f t="shared" si="1"/>
        <v>165.53562358030604</v>
      </c>
      <c r="G30" s="134">
        <f t="shared" si="2"/>
        <v>31.896608077779888</v>
      </c>
      <c r="H30" s="8">
        <f t="shared" si="3"/>
        <v>808.98229762122787</v>
      </c>
      <c r="I30" s="135">
        <v>2.2169071276955732</v>
      </c>
      <c r="J30" s="136">
        <v>1.1299163552233493</v>
      </c>
      <c r="K30" s="135"/>
      <c r="CE30" s="326"/>
    </row>
    <row r="31" spans="1:83" ht="15.75" hidden="1">
      <c r="A31" s="139" t="s">
        <v>21</v>
      </c>
      <c r="B31" s="134">
        <v>1584.7816406961019</v>
      </c>
      <c r="C31" s="134">
        <v>681.24733238799013</v>
      </c>
      <c r="D31" s="134">
        <v>650.60310643722414</v>
      </c>
      <c r="E31" s="134">
        <v>470.36183574431209</v>
      </c>
      <c r="F31" s="134">
        <f t="shared" si="1"/>
        <v>180.24127069291205</v>
      </c>
      <c r="G31" s="134">
        <f t="shared" si="2"/>
        <v>30.644225950765986</v>
      </c>
      <c r="H31" s="8">
        <f t="shared" si="3"/>
        <v>903.5343083081118</v>
      </c>
      <c r="I31" s="135">
        <v>2.4387758253296687</v>
      </c>
      <c r="J31" s="136">
        <v>1.1576352993530279</v>
      </c>
      <c r="K31" s="135"/>
      <c r="CD31" s="9">
        <f>CD33+CD34</f>
        <v>-498</v>
      </c>
      <c r="CE31" s="326">
        <f>BZ31+CA31+CB31+CD31</f>
        <v>-498</v>
      </c>
    </row>
    <row r="32" spans="1:83" ht="15.75" hidden="1">
      <c r="A32" s="139" t="s">
        <v>22</v>
      </c>
      <c r="B32" s="134">
        <v>1657.9126178150323</v>
      </c>
      <c r="C32" s="134">
        <v>731.29756130039812</v>
      </c>
      <c r="D32" s="134">
        <v>694.09723835849411</v>
      </c>
      <c r="E32" s="134">
        <v>497.87348272811806</v>
      </c>
      <c r="F32" s="134">
        <f t="shared" si="1"/>
        <v>196.22375563037605</v>
      </c>
      <c r="G32" s="134">
        <f t="shared" si="2"/>
        <v>37.200322941904005</v>
      </c>
      <c r="H32" s="8">
        <f t="shared" si="3"/>
        <v>926.61505651463415</v>
      </c>
      <c r="I32" s="135">
        <v>2.4146213183730714</v>
      </c>
      <c r="J32" s="136">
        <v>1.1839994783856034</v>
      </c>
      <c r="K32" s="135"/>
      <c r="CE32" s="326"/>
    </row>
    <row r="33" spans="1:83" ht="15.75" hidden="1">
      <c r="A33" s="139" t="s">
        <v>23</v>
      </c>
      <c r="B33" s="134">
        <v>1692.4861674859758</v>
      </c>
      <c r="C33" s="134">
        <v>775.44086006359987</v>
      </c>
      <c r="D33" s="134">
        <v>733.40829549368391</v>
      </c>
      <c r="E33" s="134">
        <v>534.71676655785586</v>
      </c>
      <c r="F33" s="134">
        <f t="shared" si="1"/>
        <v>198.69152893582805</v>
      </c>
      <c r="G33" s="134">
        <f t="shared" si="2"/>
        <v>42.032564569915962</v>
      </c>
      <c r="H33" s="8">
        <f>+B33-C33</f>
        <v>917.04530742237591</v>
      </c>
      <c r="I33" s="135">
        <v>2.2649797407894385</v>
      </c>
      <c r="J33" s="136">
        <v>1.1479968999642303</v>
      </c>
      <c r="K33" s="135"/>
      <c r="CD33" s="9">
        <v>-521</v>
      </c>
      <c r="CE33" s="326">
        <f>BZ33+CA33+CB33+CD33</f>
        <v>-521</v>
      </c>
    </row>
    <row r="34" spans="1:83" ht="15.75" hidden="1">
      <c r="A34" s="139" t="s">
        <v>24</v>
      </c>
      <c r="B34" s="134">
        <v>1774.5345469430581</v>
      </c>
      <c r="C34" s="134">
        <v>811.45976042374605</v>
      </c>
      <c r="D34" s="134">
        <v>769.21611068230607</v>
      </c>
      <c r="E34" s="134">
        <v>563.146593101706</v>
      </c>
      <c r="F34" s="134">
        <f t="shared" si="1"/>
        <v>206.06951758060006</v>
      </c>
      <c r="G34" s="134">
        <f t="shared" si="2"/>
        <v>42.243649741439981</v>
      </c>
      <c r="H34" s="8">
        <f t="shared" si="3"/>
        <v>963.07478651931206</v>
      </c>
      <c r="I34" s="135">
        <v>2.2274031202818318</v>
      </c>
      <c r="J34" s="136">
        <v>1.1209805174953447</v>
      </c>
      <c r="K34" s="135"/>
      <c r="CD34" s="9">
        <v>23</v>
      </c>
      <c r="CE34" s="326">
        <f>BZ34+CA34+CB34+CD34</f>
        <v>23</v>
      </c>
    </row>
    <row r="35" spans="1:83" ht="15.75" hidden="1">
      <c r="A35" s="139" t="s">
        <v>25</v>
      </c>
      <c r="B35" s="134">
        <v>1832.6803633093282</v>
      </c>
      <c r="C35" s="134">
        <v>832.04509136438014</v>
      </c>
      <c r="D35" s="134">
        <v>785.40322368143416</v>
      </c>
      <c r="E35" s="134">
        <v>572.72885636344608</v>
      </c>
      <c r="F35" s="134">
        <f t="shared" si="1"/>
        <v>212.67436731798807</v>
      </c>
      <c r="G35" s="134">
        <f t="shared" si="2"/>
        <v>46.641867682945986</v>
      </c>
      <c r="H35" s="8">
        <f t="shared" si="3"/>
        <v>1000.635271944948</v>
      </c>
      <c r="I35" s="135">
        <v>2.2506273062730626</v>
      </c>
      <c r="J35" s="136">
        <v>1.1294265291646204</v>
      </c>
      <c r="K35" s="135"/>
      <c r="CE35" s="326"/>
    </row>
    <row r="36" spans="1:83" ht="15.75" hidden="1">
      <c r="A36" s="139" t="s">
        <v>26</v>
      </c>
      <c r="B36" s="134">
        <v>1873.5409652113781</v>
      </c>
      <c r="C36" s="134">
        <v>843.40775928979792</v>
      </c>
      <c r="D36" s="134">
        <v>796.46969348898995</v>
      </c>
      <c r="E36" s="134">
        <v>603.28436740658992</v>
      </c>
      <c r="F36" s="134">
        <f t="shared" si="1"/>
        <v>193.18532608240002</v>
      </c>
      <c r="G36" s="134">
        <f t="shared" si="2"/>
        <v>46.938065800807976</v>
      </c>
      <c r="H36" s="8">
        <f t="shared" si="3"/>
        <v>1030.1332059215802</v>
      </c>
      <c r="I36" s="135">
        <v>2.2723692846204333</v>
      </c>
      <c r="J36" s="136">
        <v>1.1429778419775967</v>
      </c>
      <c r="K36" s="135"/>
      <c r="CD36" s="9">
        <v>433</v>
      </c>
      <c r="CE36" s="326">
        <f t="shared" si="0"/>
        <v>433</v>
      </c>
    </row>
    <row r="37" spans="1:83" ht="15.75" hidden="1">
      <c r="A37" s="139" t="s">
        <v>27</v>
      </c>
      <c r="B37" s="134">
        <v>1864.1828485782862</v>
      </c>
      <c r="C37" s="134">
        <v>796.90697123063808</v>
      </c>
      <c r="D37" s="134">
        <v>751.21286477372803</v>
      </c>
      <c r="E37" s="134">
        <v>565.28997535496808</v>
      </c>
      <c r="F37" s="134">
        <f t="shared" si="1"/>
        <v>185.92288941875995</v>
      </c>
      <c r="G37" s="134">
        <f t="shared" si="2"/>
        <v>45.694106456910049</v>
      </c>
      <c r="H37" s="8">
        <f t="shared" si="3"/>
        <v>1067.275877347648</v>
      </c>
      <c r="I37" s="135">
        <v>2.344982236891834</v>
      </c>
      <c r="J37" s="136">
        <v>1.1175359458697491</v>
      </c>
      <c r="K37" s="135"/>
      <c r="CD37" s="9">
        <v>-931</v>
      </c>
      <c r="CE37" s="326">
        <f t="shared" si="0"/>
        <v>-931</v>
      </c>
    </row>
    <row r="38" spans="1:83" ht="15.75" hidden="1">
      <c r="A38" s="139" t="s">
        <v>28</v>
      </c>
      <c r="B38" s="134">
        <v>1805.4560168182061</v>
      </c>
      <c r="C38" s="134">
        <v>773.44285378011011</v>
      </c>
      <c r="D38" s="134">
        <v>725.52213571271807</v>
      </c>
      <c r="E38" s="134">
        <v>529.74980950519614</v>
      </c>
      <c r="F38" s="134">
        <f t="shared" si="1"/>
        <v>195.77232620752193</v>
      </c>
      <c r="G38" s="134">
        <f t="shared" si="2"/>
        <v>47.920718067392045</v>
      </c>
      <c r="H38" s="8">
        <f t="shared" si="3"/>
        <v>1032.0131630380961</v>
      </c>
      <c r="I38" s="135">
        <v>2.45012112469038</v>
      </c>
      <c r="J38" s="136">
        <v>1.1843265406788499</v>
      </c>
      <c r="K38" s="135"/>
      <c r="CE38" s="326"/>
    </row>
    <row r="39" spans="1:83" ht="15.75" hidden="1">
      <c r="A39" s="139" t="s">
        <v>29</v>
      </c>
      <c r="B39" s="134">
        <v>1838.6913451086161</v>
      </c>
      <c r="C39" s="134">
        <v>796.45042524850601</v>
      </c>
      <c r="D39" s="134">
        <v>750.21738680547401</v>
      </c>
      <c r="E39" s="134">
        <v>547.40912764457403</v>
      </c>
      <c r="F39" s="134">
        <f t="shared" si="1"/>
        <v>202.80825916089998</v>
      </c>
      <c r="G39" s="134">
        <f t="shared" si="2"/>
        <v>46.233038443032001</v>
      </c>
      <c r="H39" s="8">
        <f t="shared" si="3"/>
        <v>1042.2409198601101</v>
      </c>
      <c r="I39" s="135">
        <v>2.1</v>
      </c>
      <c r="J39" s="136">
        <v>1.2</v>
      </c>
      <c r="K39" s="135"/>
      <c r="CD39" s="9">
        <v>204</v>
      </c>
      <c r="CE39" s="326">
        <f t="shared" si="0"/>
        <v>204</v>
      </c>
    </row>
    <row r="40" spans="1:83" ht="15.75">
      <c r="A40" s="637">
        <v>2006</v>
      </c>
      <c r="B40" s="638">
        <v>3434.9590645600001</v>
      </c>
      <c r="C40" s="638">
        <v>2135.4512166600002</v>
      </c>
      <c r="D40" s="638">
        <v>1839.56814044</v>
      </c>
      <c r="E40" s="638">
        <v>1311.3468033600002</v>
      </c>
      <c r="F40" s="638">
        <f>+F52</f>
        <v>528.22133707999978</v>
      </c>
      <c r="G40" s="638">
        <f>+G52</f>
        <v>295.88307622000025</v>
      </c>
      <c r="H40" s="638">
        <f>+H52</f>
        <v>1299.5078478999999</v>
      </c>
      <c r="I40" s="639">
        <f>+I52</f>
        <v>1.68</v>
      </c>
      <c r="J40" s="639">
        <f>+J52</f>
        <v>1.33</v>
      </c>
      <c r="K40" s="135"/>
      <c r="CD40" s="9">
        <v>200</v>
      </c>
      <c r="CE40" s="326">
        <f t="shared" si="0"/>
        <v>200</v>
      </c>
    </row>
    <row r="41" spans="1:83" ht="15.75" hidden="1">
      <c r="A41" s="640" t="s">
        <v>18</v>
      </c>
      <c r="B41" s="638">
        <v>1779.0438476300001</v>
      </c>
      <c r="C41" s="638">
        <v>707.85783872000013</v>
      </c>
      <c r="D41" s="638">
        <v>661.10696098000017</v>
      </c>
      <c r="E41" s="638">
        <v>466.22478698000009</v>
      </c>
      <c r="F41" s="638">
        <f t="shared" ref="F41:F52" si="4">+D41-E41</f>
        <v>194.88217400000008</v>
      </c>
      <c r="G41" s="638">
        <f t="shared" ref="G41:G52" si="5">+C41-D41</f>
        <v>46.750877739999964</v>
      </c>
      <c r="H41" s="641">
        <f t="shared" ref="H41:H52" si="6">+B41-C41</f>
        <v>1071.1860089100001</v>
      </c>
      <c r="I41" s="639">
        <v>2.58</v>
      </c>
      <c r="J41" s="642">
        <v>1.17</v>
      </c>
      <c r="K41" s="133"/>
      <c r="CE41" s="326"/>
    </row>
    <row r="42" spans="1:83" ht="15.75" hidden="1">
      <c r="A42" s="640" t="s">
        <v>19</v>
      </c>
      <c r="B42" s="638">
        <v>1845.7093345899998</v>
      </c>
      <c r="C42" s="638">
        <v>764.2260487399999</v>
      </c>
      <c r="D42" s="638">
        <v>711.21089476999987</v>
      </c>
      <c r="E42" s="638">
        <v>472.40871401999999</v>
      </c>
      <c r="F42" s="638">
        <f t="shared" si="4"/>
        <v>238.80218074999988</v>
      </c>
      <c r="G42" s="638">
        <f t="shared" si="5"/>
        <v>53.015153970000028</v>
      </c>
      <c r="H42" s="641">
        <f t="shared" si="6"/>
        <v>1081.4832858499999</v>
      </c>
      <c r="I42" s="639">
        <v>2.44</v>
      </c>
      <c r="J42" s="642">
        <v>1.19</v>
      </c>
      <c r="K42" s="133"/>
      <c r="CD42" s="9">
        <v>295</v>
      </c>
      <c r="CE42" s="326">
        <f t="shared" si="0"/>
        <v>295</v>
      </c>
    </row>
    <row r="43" spans="1:83" ht="15.75" hidden="1">
      <c r="A43" s="640" t="s">
        <v>20</v>
      </c>
      <c r="B43" s="638">
        <v>1926.5032717600002</v>
      </c>
      <c r="C43" s="638">
        <v>841.32249034000006</v>
      </c>
      <c r="D43" s="643">
        <v>783.16418420000014</v>
      </c>
      <c r="E43" s="638">
        <v>519.53356327000006</v>
      </c>
      <c r="F43" s="638">
        <f t="shared" si="4"/>
        <v>263.63062093000008</v>
      </c>
      <c r="G43" s="638">
        <f t="shared" si="5"/>
        <v>58.158306139999922</v>
      </c>
      <c r="H43" s="641">
        <f t="shared" si="6"/>
        <v>1085.1807814200001</v>
      </c>
      <c r="I43" s="642">
        <v>2.33</v>
      </c>
      <c r="J43" s="642">
        <v>1.18</v>
      </c>
      <c r="K43" s="133"/>
      <c r="CD43" s="9">
        <v>-95</v>
      </c>
      <c r="CE43" s="326">
        <f t="shared" si="0"/>
        <v>-95</v>
      </c>
    </row>
    <row r="44" spans="1:83" ht="15.75" hidden="1">
      <c r="A44" s="640" t="s">
        <v>21</v>
      </c>
      <c r="B44" s="638">
        <v>2055.5574526100004</v>
      </c>
      <c r="C44" s="638">
        <v>915.66259446000004</v>
      </c>
      <c r="D44" s="643">
        <v>848.85440532999996</v>
      </c>
      <c r="E44" s="638">
        <v>564.04256186999999</v>
      </c>
      <c r="F44" s="638">
        <f t="shared" si="4"/>
        <v>284.81184345999998</v>
      </c>
      <c r="G44" s="638">
        <f t="shared" si="5"/>
        <v>66.808189130000073</v>
      </c>
      <c r="H44" s="641">
        <f t="shared" si="6"/>
        <v>1139.8948581500003</v>
      </c>
      <c r="I44" s="639">
        <v>2.4</v>
      </c>
      <c r="J44" s="639">
        <v>1.2350000000000001</v>
      </c>
      <c r="K44" s="135"/>
      <c r="CE44" s="326"/>
    </row>
    <row r="45" spans="1:83" ht="15.75" hidden="1">
      <c r="A45" s="640" t="s">
        <v>22</v>
      </c>
      <c r="B45" s="638">
        <v>2153.3551943900002</v>
      </c>
      <c r="C45" s="638">
        <v>986.21397751000006</v>
      </c>
      <c r="D45" s="643">
        <v>910.18533269</v>
      </c>
      <c r="E45" s="638">
        <v>629.3409680100001</v>
      </c>
      <c r="F45" s="638">
        <f t="shared" si="4"/>
        <v>280.8443646799999</v>
      </c>
      <c r="G45" s="638">
        <f t="shared" si="5"/>
        <v>76.028644820000068</v>
      </c>
      <c r="H45" s="641">
        <f t="shared" si="6"/>
        <v>1167.1412168800002</v>
      </c>
      <c r="I45" s="639">
        <v>2.31</v>
      </c>
      <c r="J45" s="642">
        <v>1.22</v>
      </c>
      <c r="K45" s="133"/>
      <c r="CD45" s="9">
        <v>0</v>
      </c>
      <c r="CE45" s="326">
        <f t="shared" si="0"/>
        <v>0</v>
      </c>
    </row>
    <row r="46" spans="1:83" ht="15.75" hidden="1">
      <c r="A46" s="640" t="s">
        <v>23</v>
      </c>
      <c r="B46" s="638">
        <v>2349.45600582</v>
      </c>
      <c r="C46" s="638">
        <v>1131.2472143800001</v>
      </c>
      <c r="D46" s="643">
        <v>1028.3768966599998</v>
      </c>
      <c r="E46" s="638">
        <v>728.08926222000002</v>
      </c>
      <c r="F46" s="638">
        <f t="shared" si="4"/>
        <v>300.28763443999981</v>
      </c>
      <c r="G46" s="638">
        <f t="shared" si="5"/>
        <v>102.87031772000023</v>
      </c>
      <c r="H46" s="641">
        <f t="shared" si="6"/>
        <v>1218.2087914399999</v>
      </c>
      <c r="I46" s="639">
        <v>2.17</v>
      </c>
      <c r="J46" s="642">
        <v>1.18</v>
      </c>
      <c r="K46" s="133"/>
      <c r="CE46" s="326"/>
    </row>
    <row r="47" spans="1:83" ht="15.75" hidden="1">
      <c r="A47" s="640" t="s">
        <v>24</v>
      </c>
      <c r="B47" s="638">
        <v>2546.10319785</v>
      </c>
      <c r="C47" s="638">
        <v>1293.6081918599998</v>
      </c>
      <c r="D47" s="643">
        <v>1171.8001929499999</v>
      </c>
      <c r="E47" s="638">
        <v>861.72473530999991</v>
      </c>
      <c r="F47" s="638">
        <f t="shared" si="4"/>
        <v>310.07545763999997</v>
      </c>
      <c r="G47" s="638">
        <f t="shared" si="5"/>
        <v>121.80799890999992</v>
      </c>
      <c r="H47" s="641">
        <f t="shared" si="6"/>
        <v>1252.4950059900002</v>
      </c>
      <c r="I47" s="639">
        <v>2.12</v>
      </c>
      <c r="J47" s="642">
        <v>1.21</v>
      </c>
      <c r="K47" s="133"/>
      <c r="CD47" s="9">
        <f>CD48-CD52</f>
        <v>481</v>
      </c>
      <c r="CE47" s="326">
        <f t="shared" si="0"/>
        <v>481</v>
      </c>
    </row>
    <row r="48" spans="1:83" ht="15.75" hidden="1">
      <c r="A48" s="640" t="s">
        <v>25</v>
      </c>
      <c r="B48" s="638">
        <v>2659.6957829799999</v>
      </c>
      <c r="C48" s="638">
        <v>1411.4761434100001</v>
      </c>
      <c r="D48" s="643">
        <v>1268.1629514400001</v>
      </c>
      <c r="E48" s="638">
        <v>915.02635529000008</v>
      </c>
      <c r="F48" s="638">
        <f t="shared" si="4"/>
        <v>353.13659615000006</v>
      </c>
      <c r="G48" s="638">
        <f t="shared" si="5"/>
        <v>143.31319196999993</v>
      </c>
      <c r="H48" s="641">
        <f t="shared" si="6"/>
        <v>1248.2196395699998</v>
      </c>
      <c r="I48" s="639">
        <v>2.06</v>
      </c>
      <c r="J48" s="642">
        <v>1.22</v>
      </c>
      <c r="K48" s="133"/>
      <c r="CD48" s="9">
        <f>CD50+CD51</f>
        <v>965</v>
      </c>
      <c r="CE48" s="326">
        <f t="shared" si="0"/>
        <v>965</v>
      </c>
    </row>
    <row r="49" spans="1:83" ht="15.75" hidden="1">
      <c r="A49" s="640" t="s">
        <v>26</v>
      </c>
      <c r="B49" s="638">
        <v>2798.1588578800006</v>
      </c>
      <c r="C49" s="638">
        <v>1529.3885263800003</v>
      </c>
      <c r="D49" s="643">
        <v>1354.76533591</v>
      </c>
      <c r="E49" s="638">
        <v>996.81828699000005</v>
      </c>
      <c r="F49" s="638">
        <f t="shared" si="4"/>
        <v>357.94704891999993</v>
      </c>
      <c r="G49" s="638">
        <f t="shared" si="5"/>
        <v>174.62319047000028</v>
      </c>
      <c r="H49" s="641">
        <f t="shared" si="6"/>
        <v>1268.7703315000003</v>
      </c>
      <c r="I49" s="639">
        <v>2.12</v>
      </c>
      <c r="J49" s="642">
        <v>1.28</v>
      </c>
      <c r="K49" s="133"/>
      <c r="CE49" s="326"/>
    </row>
    <row r="50" spans="1:83" ht="15.75" hidden="1">
      <c r="A50" s="640" t="s">
        <v>27</v>
      </c>
      <c r="B50" s="638">
        <v>2951.16587265</v>
      </c>
      <c r="C50" s="638">
        <v>1714.3926982600001</v>
      </c>
      <c r="D50" s="643">
        <v>1505.60137822</v>
      </c>
      <c r="E50" s="638">
        <v>1096.2854915800001</v>
      </c>
      <c r="F50" s="638">
        <f t="shared" si="4"/>
        <v>409.31588663999992</v>
      </c>
      <c r="G50" s="638">
        <f t="shared" si="5"/>
        <v>208.79132004000007</v>
      </c>
      <c r="H50" s="641">
        <f t="shared" si="6"/>
        <v>1236.7731743899999</v>
      </c>
      <c r="I50" s="639">
        <v>2.02</v>
      </c>
      <c r="J50" s="642">
        <v>1.29</v>
      </c>
      <c r="K50" s="133"/>
      <c r="CD50" s="9">
        <v>954</v>
      </c>
      <c r="CE50" s="326">
        <f t="shared" si="0"/>
        <v>954</v>
      </c>
    </row>
    <row r="51" spans="1:83" ht="15.75" hidden="1">
      <c r="A51" s="640" t="s">
        <v>28</v>
      </c>
      <c r="B51" s="638">
        <v>3040.6547447599996</v>
      </c>
      <c r="C51" s="638">
        <v>1820.3852246000001</v>
      </c>
      <c r="D51" s="643">
        <v>1593.2180773</v>
      </c>
      <c r="E51" s="638">
        <v>1114.50949109</v>
      </c>
      <c r="F51" s="638">
        <f t="shared" si="4"/>
        <v>478.70858621000002</v>
      </c>
      <c r="G51" s="638">
        <f t="shared" si="5"/>
        <v>227.16714730000012</v>
      </c>
      <c r="H51" s="641">
        <f t="shared" si="6"/>
        <v>1220.2695201599995</v>
      </c>
      <c r="I51" s="639">
        <v>1.97</v>
      </c>
      <c r="J51" s="642">
        <v>1.29</v>
      </c>
      <c r="K51" s="133"/>
      <c r="CD51" s="9">
        <v>11</v>
      </c>
      <c r="CE51" s="326">
        <f t="shared" si="0"/>
        <v>11</v>
      </c>
    </row>
    <row r="52" spans="1:83" ht="15.75" hidden="1">
      <c r="A52" s="640" t="s">
        <v>29</v>
      </c>
      <c r="B52" s="638">
        <v>3434.9590645600001</v>
      </c>
      <c r="C52" s="638">
        <v>2135.4512166600002</v>
      </c>
      <c r="D52" s="643">
        <v>1839.56814044</v>
      </c>
      <c r="E52" s="638">
        <v>1311.3468033600002</v>
      </c>
      <c r="F52" s="638">
        <f t="shared" si="4"/>
        <v>528.22133707999978</v>
      </c>
      <c r="G52" s="638">
        <f t="shared" si="5"/>
        <v>295.88307622000025</v>
      </c>
      <c r="H52" s="641">
        <f t="shared" si="6"/>
        <v>1299.5078478999999</v>
      </c>
      <c r="I52" s="639">
        <v>1.68</v>
      </c>
      <c r="J52" s="642">
        <v>1.33</v>
      </c>
      <c r="K52" s="133"/>
      <c r="CD52" s="9">
        <f>CD54+CD55+CD56+CD57</f>
        <v>484</v>
      </c>
      <c r="CE52" s="326">
        <f t="shared" si="0"/>
        <v>484</v>
      </c>
    </row>
    <row r="53" spans="1:83" ht="15.75">
      <c r="A53" s="637">
        <v>2007</v>
      </c>
      <c r="B53" s="638">
        <v>5897.2552108999998</v>
      </c>
      <c r="C53" s="638">
        <v>4401.6104359399997</v>
      </c>
      <c r="D53" s="638">
        <v>3621.7123201999998</v>
      </c>
      <c r="E53" s="638">
        <v>2713.50601646</v>
      </c>
      <c r="F53" s="638">
        <f>+F65</f>
        <v>908.20630373999984</v>
      </c>
      <c r="G53" s="638">
        <f>+G65</f>
        <v>779.89811573999987</v>
      </c>
      <c r="H53" s="638">
        <f>+H65</f>
        <v>1495.6447749600002</v>
      </c>
      <c r="I53" s="639">
        <f>+I65</f>
        <v>1.7139197892641245</v>
      </c>
      <c r="J53" s="639">
        <f>+J65</f>
        <v>1.3666202297379531</v>
      </c>
      <c r="K53" s="135"/>
      <c r="CE53" s="326"/>
    </row>
    <row r="54" spans="1:83" ht="15.75" hidden="1">
      <c r="A54" s="640" t="s">
        <v>18</v>
      </c>
      <c r="B54" s="643">
        <v>3252.4747547500001</v>
      </c>
      <c r="C54" s="643">
        <v>1950.7451824</v>
      </c>
      <c r="D54" s="643">
        <v>1684.7088636399999</v>
      </c>
      <c r="E54" s="643">
        <v>1210.1969983199999</v>
      </c>
      <c r="F54" s="638">
        <f t="shared" ref="F54:F65" si="7">+D54-E54</f>
        <v>474.51186531999997</v>
      </c>
      <c r="G54" s="638">
        <f t="shared" ref="G54:G65" si="8">+C54-D54</f>
        <v>266.03631876000009</v>
      </c>
      <c r="H54" s="641">
        <f t="shared" ref="H54:H65" si="9">+B54-C54</f>
        <v>1301.7295723500001</v>
      </c>
      <c r="I54" s="639">
        <f>B54/1596.8</f>
        <v>2.0368704626440381</v>
      </c>
      <c r="J54" s="639">
        <f>C54/1460.3</f>
        <v>1.3358523470519756</v>
      </c>
      <c r="K54" s="135"/>
      <c r="CD54" s="9">
        <v>1214</v>
      </c>
      <c r="CE54" s="326">
        <f t="shared" si="0"/>
        <v>1214</v>
      </c>
    </row>
    <row r="55" spans="1:83" ht="15.75" hidden="1">
      <c r="A55" s="640" t="s">
        <v>19</v>
      </c>
      <c r="B55" s="643">
        <v>3348.4689976199998</v>
      </c>
      <c r="C55" s="643">
        <v>2078.7716244099997</v>
      </c>
      <c r="D55" s="643">
        <v>1787.5188286800001</v>
      </c>
      <c r="E55" s="643">
        <v>1287.6298033999999</v>
      </c>
      <c r="F55" s="638">
        <f t="shared" si="7"/>
        <v>499.88902528000017</v>
      </c>
      <c r="G55" s="638">
        <f t="shared" si="8"/>
        <v>291.25279572999966</v>
      </c>
      <c r="H55" s="641">
        <f t="shared" si="9"/>
        <v>1269.69737321</v>
      </c>
      <c r="I55" s="639">
        <f>B55/1698.8</f>
        <v>1.9710789955380268</v>
      </c>
      <c r="J55" s="639">
        <f>C55/1563.7</f>
        <v>1.3293928659013876</v>
      </c>
      <c r="K55" s="135"/>
      <c r="CD55" s="9">
        <v>-745</v>
      </c>
      <c r="CE55" s="326">
        <f t="shared" si="0"/>
        <v>-745</v>
      </c>
    </row>
    <row r="56" spans="1:83" ht="15.75" hidden="1">
      <c r="A56" s="640" t="s">
        <v>20</v>
      </c>
      <c r="B56" s="643">
        <v>3464.4332316299997</v>
      </c>
      <c r="C56" s="643">
        <v>2216.0282588099999</v>
      </c>
      <c r="D56" s="643">
        <v>1874.2666101700001</v>
      </c>
      <c r="E56" s="643">
        <v>1357.2281392</v>
      </c>
      <c r="F56" s="638">
        <f t="shared" si="7"/>
        <v>517.03847097000016</v>
      </c>
      <c r="G56" s="638">
        <f t="shared" si="8"/>
        <v>341.76164863999975</v>
      </c>
      <c r="H56" s="641">
        <f t="shared" si="9"/>
        <v>1248.4049728199998</v>
      </c>
      <c r="I56" s="639">
        <f>B56/1798.4</f>
        <v>1.9263974820006671</v>
      </c>
      <c r="J56" s="639">
        <f>C56/1662.5</f>
        <v>1.3329493286075187</v>
      </c>
      <c r="K56" s="135"/>
      <c r="CD56" s="9">
        <v>0</v>
      </c>
      <c r="CE56" s="326">
        <f>BZ56+CA56+CB56+CD56</f>
        <v>0</v>
      </c>
    </row>
    <row r="57" spans="1:83" ht="15.75" hidden="1">
      <c r="A57" s="640" t="s">
        <v>21</v>
      </c>
      <c r="B57" s="643">
        <v>3545.2632317200005</v>
      </c>
      <c r="C57" s="643">
        <v>2340.6354799700002</v>
      </c>
      <c r="D57" s="643">
        <v>1952.6528580300001</v>
      </c>
      <c r="E57" s="643">
        <v>1426.10882416</v>
      </c>
      <c r="F57" s="638">
        <f t="shared" si="7"/>
        <v>526.54403387000002</v>
      </c>
      <c r="G57" s="638">
        <f t="shared" si="8"/>
        <v>387.98262194000017</v>
      </c>
      <c r="H57" s="641">
        <f t="shared" si="9"/>
        <v>1204.6277517500002</v>
      </c>
      <c r="I57" s="639">
        <f>B57/1819.5</f>
        <v>1.9484821279032705</v>
      </c>
      <c r="J57" s="639">
        <f>C57/1685.8</f>
        <v>1.3884419741191127</v>
      </c>
      <c r="K57" s="135"/>
      <c r="CD57" s="9">
        <v>15</v>
      </c>
      <c r="CE57" s="326">
        <f>BZ57+CA57+CB57+CD57</f>
        <v>15</v>
      </c>
    </row>
    <row r="58" spans="1:83" ht="15.75" hidden="1">
      <c r="A58" s="640" t="s">
        <v>22</v>
      </c>
      <c r="B58" s="643">
        <v>3784.9686775000009</v>
      </c>
      <c r="C58" s="643">
        <v>2523.2134007700006</v>
      </c>
      <c r="D58" s="643">
        <v>2066.6299545500001</v>
      </c>
      <c r="E58" s="643">
        <v>1534.8437348000002</v>
      </c>
      <c r="F58" s="638">
        <f t="shared" si="7"/>
        <v>531.78621974999987</v>
      </c>
      <c r="G58" s="638">
        <f t="shared" si="8"/>
        <v>456.5834462200005</v>
      </c>
      <c r="H58" s="641">
        <f t="shared" si="9"/>
        <v>1261.7552767300003</v>
      </c>
      <c r="I58" s="639">
        <f>B58/1907.8</f>
        <v>1.9839441647447327</v>
      </c>
      <c r="J58" s="639">
        <f>C58/1779</f>
        <v>1.4183324343844861</v>
      </c>
      <c r="K58" s="135"/>
      <c r="CD58" s="9">
        <v>-372</v>
      </c>
      <c r="CE58" s="326">
        <f>BZ58+CA58+CB58+CD58</f>
        <v>-372</v>
      </c>
    </row>
    <row r="59" spans="1:83" ht="15.75" hidden="1">
      <c r="A59" s="640" t="s">
        <v>23</v>
      </c>
      <c r="B59" s="643">
        <v>4041.23745418</v>
      </c>
      <c r="C59" s="643">
        <v>2739.73652227</v>
      </c>
      <c r="D59" s="643">
        <v>2263.82087899</v>
      </c>
      <c r="E59" s="643">
        <v>1722.58105131</v>
      </c>
      <c r="F59" s="638">
        <f t="shared" si="7"/>
        <v>541.23982767999996</v>
      </c>
      <c r="G59" s="638">
        <f t="shared" si="8"/>
        <v>475.91564328000004</v>
      </c>
      <c r="H59" s="641">
        <f t="shared" si="9"/>
        <v>1301.50093191</v>
      </c>
      <c r="I59" s="639">
        <f>B59/2226</f>
        <v>1.8154705544384546</v>
      </c>
      <c r="J59" s="639">
        <f>C59/2032.4</f>
        <v>1.3480301723430426</v>
      </c>
      <c r="K59" s="135"/>
      <c r="CD59" s="9">
        <v>-231</v>
      </c>
      <c r="CE59" s="326">
        <f>BZ59+CA59+CB59+CD59</f>
        <v>-231</v>
      </c>
    </row>
    <row r="60" spans="1:83" ht="15.75" hidden="1">
      <c r="A60" s="640" t="s">
        <v>24</v>
      </c>
      <c r="B60" s="643">
        <v>4341.1953782099999</v>
      </c>
      <c r="C60" s="643">
        <v>3024.8366283599998</v>
      </c>
      <c r="D60" s="643">
        <v>2454.6423128800002</v>
      </c>
      <c r="E60" s="643">
        <v>1877.8959955</v>
      </c>
      <c r="F60" s="638">
        <f t="shared" si="7"/>
        <v>576.74631738000016</v>
      </c>
      <c r="G60" s="638">
        <f t="shared" si="8"/>
        <v>570.19431547999966</v>
      </c>
      <c r="H60" s="641">
        <f t="shared" si="9"/>
        <v>1316.3587498500001</v>
      </c>
      <c r="I60" s="639">
        <f>B60/2388.1</f>
        <v>1.8178448884929441</v>
      </c>
      <c r="J60" s="639">
        <f>C60/2245.9</f>
        <v>1.3468260511866066</v>
      </c>
      <c r="K60" s="135"/>
      <c r="CE60" s="326"/>
    </row>
    <row r="61" spans="1:83" ht="15.75" hidden="1">
      <c r="A61" s="640" t="s">
        <v>25</v>
      </c>
      <c r="B61" s="643">
        <v>4636.0965322399998</v>
      </c>
      <c r="C61" s="643">
        <v>3259.80839982</v>
      </c>
      <c r="D61" s="643">
        <v>2631.5413941099996</v>
      </c>
      <c r="E61" s="643">
        <v>1936.2161557699999</v>
      </c>
      <c r="F61" s="638">
        <f t="shared" si="7"/>
        <v>695.32523833999971</v>
      </c>
      <c r="G61" s="638">
        <f t="shared" si="8"/>
        <v>628.26700571000038</v>
      </c>
      <c r="H61" s="641">
        <f t="shared" si="9"/>
        <v>1376.2881324199998</v>
      </c>
      <c r="I61" s="639">
        <f>B61/2541.3</f>
        <v>1.8243011577696453</v>
      </c>
      <c r="J61" s="639">
        <f>C61/2392.3</f>
        <v>1.3626252559545207</v>
      </c>
      <c r="K61" s="135"/>
      <c r="CD61" s="9">
        <f>CD7+CD45-CD47+CD58-CD59</f>
        <v>0</v>
      </c>
      <c r="CE61" s="326">
        <f>BZ61+CA61+CB61+CD61</f>
        <v>0</v>
      </c>
    </row>
    <row r="62" spans="1:83" ht="15.75" hidden="1">
      <c r="A62" s="640" t="s">
        <v>26</v>
      </c>
      <c r="B62" s="643">
        <v>4945.0476432100004</v>
      </c>
      <c r="C62" s="643">
        <v>3417.3791418999999</v>
      </c>
      <c r="D62" s="643">
        <v>2765.3386028700002</v>
      </c>
      <c r="E62" s="643">
        <v>2051.98892123</v>
      </c>
      <c r="F62" s="638">
        <f t="shared" si="7"/>
        <v>713.3496816400002</v>
      </c>
      <c r="G62" s="638">
        <f t="shared" si="8"/>
        <v>652.04053902999976</v>
      </c>
      <c r="H62" s="641">
        <f t="shared" si="9"/>
        <v>1527.6685013100005</v>
      </c>
      <c r="I62" s="639">
        <f>B62/2632.9</f>
        <v>1.8781752604390596</v>
      </c>
      <c r="J62" s="639">
        <f>C62/2480.6</f>
        <v>1.3776421599209869</v>
      </c>
      <c r="K62" s="135"/>
    </row>
    <row r="63" spans="1:83" ht="15.75" hidden="1">
      <c r="A63" s="640" t="s">
        <v>27</v>
      </c>
      <c r="B63" s="643">
        <v>5144.8155211899993</v>
      </c>
      <c r="C63" s="643">
        <v>3530.0808482499997</v>
      </c>
      <c r="D63" s="643">
        <v>2831.8089585200005</v>
      </c>
      <c r="E63" s="643">
        <v>2142.5386467900003</v>
      </c>
      <c r="F63" s="638">
        <f t="shared" si="7"/>
        <v>689.27031173000023</v>
      </c>
      <c r="G63" s="638">
        <f t="shared" si="8"/>
        <v>698.2718897299992</v>
      </c>
      <c r="H63" s="641">
        <f t="shared" si="9"/>
        <v>1614.7346729399997</v>
      </c>
      <c r="I63" s="639">
        <f>B63/2690.7</f>
        <v>1.9120732601887984</v>
      </c>
      <c r="J63" s="639">
        <f>C63/2520.5</f>
        <v>1.400547846954969</v>
      </c>
      <c r="K63" s="135"/>
    </row>
    <row r="64" spans="1:83" ht="15.75" hidden="1">
      <c r="A64" s="640" t="s">
        <v>28</v>
      </c>
      <c r="B64" s="643">
        <v>5311.6822035799996</v>
      </c>
      <c r="C64" s="643">
        <v>3769.7125072700001</v>
      </c>
      <c r="D64" s="643">
        <v>3098.6645389199998</v>
      </c>
      <c r="E64" s="643">
        <v>2255.5180723399999</v>
      </c>
      <c r="F64" s="638">
        <f t="shared" si="7"/>
        <v>843.14646657999992</v>
      </c>
      <c r="G64" s="638">
        <f t="shared" si="8"/>
        <v>671.04796835000025</v>
      </c>
      <c r="H64" s="641">
        <f t="shared" si="9"/>
        <v>1541.9696963099996</v>
      </c>
      <c r="I64" s="639">
        <f>B64/2785.1</f>
        <v>1.9071782713654806</v>
      </c>
      <c r="J64" s="639">
        <f>C64/2612.5</f>
        <v>1.4429521558928229</v>
      </c>
      <c r="K64" s="135"/>
    </row>
    <row r="65" spans="1:11" ht="15.75" hidden="1">
      <c r="A65" s="640" t="s">
        <v>29</v>
      </c>
      <c r="B65" s="643">
        <v>5897.2552108999998</v>
      </c>
      <c r="C65" s="643">
        <v>4401.6104359399997</v>
      </c>
      <c r="D65" s="643">
        <v>3621.7123201999998</v>
      </c>
      <c r="E65" s="643">
        <v>2713.50601646</v>
      </c>
      <c r="F65" s="638">
        <f t="shared" si="7"/>
        <v>908.20630373999984</v>
      </c>
      <c r="G65" s="638">
        <f t="shared" si="8"/>
        <v>779.89811573999987</v>
      </c>
      <c r="H65" s="641">
        <f t="shared" si="9"/>
        <v>1495.6447749600002</v>
      </c>
      <c r="I65" s="639">
        <f>B65/3440.8</f>
        <v>1.7139197892641245</v>
      </c>
      <c r="J65" s="639">
        <f>C65/3220.8</f>
        <v>1.3666202297379531</v>
      </c>
      <c r="K65" s="135"/>
    </row>
    <row r="66" spans="1:11" ht="15.75">
      <c r="A66" s="640" t="s">
        <v>114</v>
      </c>
      <c r="B66" s="643">
        <v>8494.2021698699991</v>
      </c>
      <c r="C66" s="643">
        <v>6081.0003026699997</v>
      </c>
      <c r="D66" s="643">
        <v>5104.9499915000006</v>
      </c>
      <c r="E66" s="643">
        <v>4145.6740853499996</v>
      </c>
      <c r="F66" s="643">
        <f>+F78</f>
        <v>959.27590615000099</v>
      </c>
      <c r="G66" s="643">
        <f>+G78</f>
        <v>976.05031116999908</v>
      </c>
      <c r="H66" s="643">
        <f>+H78</f>
        <v>2413.2018671999995</v>
      </c>
      <c r="I66" s="644">
        <f>+I78</f>
        <v>1.7111952637784806</v>
      </c>
      <c r="J66" s="644">
        <f>+J78</f>
        <v>1.2718299003764666</v>
      </c>
      <c r="K66" s="138"/>
    </row>
    <row r="67" spans="1:11" ht="15.75" hidden="1">
      <c r="A67" s="640" t="s">
        <v>18</v>
      </c>
      <c r="B67" s="643">
        <v>5650.3491603600005</v>
      </c>
      <c r="C67" s="643">
        <v>4095.9496440200001</v>
      </c>
      <c r="D67" s="643">
        <v>3269.40837358</v>
      </c>
      <c r="E67" s="643">
        <v>2524.0448842800001</v>
      </c>
      <c r="F67" s="638">
        <f t="shared" ref="F67:F132" si="10">+D67-E67</f>
        <v>745.36348929999986</v>
      </c>
      <c r="G67" s="638">
        <f t="shared" ref="G67:G132" si="11">+C67-D67</f>
        <v>826.54127044000006</v>
      </c>
      <c r="H67" s="641">
        <f t="shared" ref="H67:H78" si="12">+B67-C67</f>
        <v>1554.3995163400004</v>
      </c>
      <c r="I67" s="639">
        <f>B67/3074.5</f>
        <v>1.8378107530850547</v>
      </c>
      <c r="J67" s="639">
        <f>C67/2895.6</f>
        <v>1.4145426315858545</v>
      </c>
      <c r="K67" s="135"/>
    </row>
    <row r="68" spans="1:11" ht="15.75" hidden="1">
      <c r="A68" s="640" t="s">
        <v>19</v>
      </c>
      <c r="B68" s="643">
        <v>6194.9602687000006</v>
      </c>
      <c r="C68" s="643">
        <v>4246.36731977</v>
      </c>
      <c r="D68" s="643">
        <v>3367.0258847700002</v>
      </c>
      <c r="E68" s="643">
        <v>2565.1752142199998</v>
      </c>
      <c r="F68" s="638">
        <f t="shared" si="10"/>
        <v>801.85067055000036</v>
      </c>
      <c r="G68" s="638">
        <f t="shared" si="11"/>
        <v>879.34143499999982</v>
      </c>
      <c r="H68" s="641">
        <f t="shared" si="12"/>
        <v>1948.5929489300006</v>
      </c>
      <c r="I68" s="639">
        <f>B68/3194.3</f>
        <v>1.9393796038881759</v>
      </c>
      <c r="J68" s="639">
        <f>C68/3022</f>
        <v>1.4051513301687624</v>
      </c>
      <c r="K68" s="135"/>
    </row>
    <row r="69" spans="1:11" ht="15.75" hidden="1">
      <c r="A69" s="640" t="s">
        <v>20</v>
      </c>
      <c r="B69" s="643">
        <v>6341.2531672499999</v>
      </c>
      <c r="C69" s="643">
        <v>4428.2279845800003</v>
      </c>
      <c r="D69" s="643">
        <v>3542.3869198499997</v>
      </c>
      <c r="E69" s="643">
        <v>2734.54678031</v>
      </c>
      <c r="F69" s="638">
        <f t="shared" si="10"/>
        <v>807.84013953999965</v>
      </c>
      <c r="G69" s="638">
        <f t="shared" si="11"/>
        <v>885.84106473000065</v>
      </c>
      <c r="H69" s="641">
        <f t="shared" si="12"/>
        <v>1913.0251826699996</v>
      </c>
      <c r="I69" s="639">
        <f>B69/3468</f>
        <v>1.8285043734861592</v>
      </c>
      <c r="J69" s="639">
        <f>C69/3246.4</f>
        <v>1.3640426270884674</v>
      </c>
      <c r="K69" s="135"/>
    </row>
    <row r="70" spans="1:11" ht="15.75" hidden="1">
      <c r="A70" s="640" t="s">
        <v>21</v>
      </c>
      <c r="B70" s="643">
        <v>6549.9193878199994</v>
      </c>
      <c r="C70" s="643">
        <v>4563.1478739799995</v>
      </c>
      <c r="D70" s="643">
        <v>3663.7250187499999</v>
      </c>
      <c r="E70" s="643">
        <v>2867.4752949899998</v>
      </c>
      <c r="F70" s="638">
        <f t="shared" si="10"/>
        <v>796.24972376000005</v>
      </c>
      <c r="G70" s="638">
        <f t="shared" si="11"/>
        <v>899.42285522999964</v>
      </c>
      <c r="H70" s="641">
        <f t="shared" si="12"/>
        <v>1986.7715138399999</v>
      </c>
      <c r="I70" s="639">
        <f>B70/3463.4</f>
        <v>1.8911818986602758</v>
      </c>
      <c r="J70" s="639">
        <f>C70/3291.2</f>
        <v>1.3864693345831307</v>
      </c>
      <c r="K70" s="135"/>
    </row>
    <row r="71" spans="1:11" ht="15.75" hidden="1">
      <c r="A71" s="640" t="s">
        <v>22</v>
      </c>
      <c r="B71" s="643">
        <v>6829.4068000799998</v>
      </c>
      <c r="C71" s="643">
        <v>4598.2767978000002</v>
      </c>
      <c r="D71" s="643">
        <v>3676.01546856</v>
      </c>
      <c r="E71" s="643">
        <v>2971.5302289900001</v>
      </c>
      <c r="F71" s="638">
        <f t="shared" si="10"/>
        <v>704.48523956999998</v>
      </c>
      <c r="G71" s="638">
        <f t="shared" si="11"/>
        <v>922.26132924000012</v>
      </c>
      <c r="H71" s="641">
        <f t="shared" si="12"/>
        <v>2231.1300022799996</v>
      </c>
      <c r="I71" s="639">
        <f>B71/3489.14817723</f>
        <v>1.957327821342858</v>
      </c>
      <c r="J71" s="639">
        <f>C71/3321.22264669</f>
        <v>1.3845132612180453</v>
      </c>
      <c r="K71" s="135"/>
    </row>
    <row r="72" spans="1:11" ht="15.75" hidden="1">
      <c r="A72" s="640" t="s">
        <v>23</v>
      </c>
      <c r="B72" s="643">
        <v>7337.0002905399997</v>
      </c>
      <c r="C72" s="643">
        <v>4933.15039075</v>
      </c>
      <c r="D72" s="643">
        <v>4078.9378283299998</v>
      </c>
      <c r="E72" s="643">
        <v>3193.76416595</v>
      </c>
      <c r="F72" s="638">
        <f t="shared" si="10"/>
        <v>885.17366237999977</v>
      </c>
      <c r="G72" s="638">
        <f t="shared" si="11"/>
        <v>854.21256242000027</v>
      </c>
      <c r="H72" s="641">
        <f t="shared" si="12"/>
        <v>2403.8498997899997</v>
      </c>
      <c r="I72" s="639">
        <f>B72/3959</f>
        <v>1.8532458425208385</v>
      </c>
      <c r="J72" s="639">
        <f>C72/3748.5</f>
        <v>1.3160331841403228</v>
      </c>
      <c r="K72" s="135"/>
    </row>
    <row r="73" spans="1:11" ht="15.75" hidden="1">
      <c r="A73" s="640" t="s">
        <v>24</v>
      </c>
      <c r="B73" s="643">
        <v>7537.3201038000007</v>
      </c>
      <c r="C73" s="643">
        <v>5211.7479659500004</v>
      </c>
      <c r="D73" s="643">
        <v>4282.1702753899999</v>
      </c>
      <c r="E73" s="643">
        <v>3488.2886821000002</v>
      </c>
      <c r="F73" s="638">
        <f t="shared" si="10"/>
        <v>793.88159328999973</v>
      </c>
      <c r="G73" s="638">
        <f t="shared" si="11"/>
        <v>929.57769056000052</v>
      </c>
      <c r="H73" s="641">
        <f t="shared" si="12"/>
        <v>2325.5721378500002</v>
      </c>
      <c r="I73" s="639">
        <f>B73/4072.04521858</f>
        <v>1.8509912584979615</v>
      </c>
      <c r="J73" s="639">
        <f>C73/3872.98985217</f>
        <v>1.3456652779582954</v>
      </c>
      <c r="K73" s="135"/>
    </row>
    <row r="74" spans="1:11" ht="15.75" hidden="1">
      <c r="A74" s="640" t="s">
        <v>25</v>
      </c>
      <c r="B74" s="643">
        <v>7636.6319258300009</v>
      </c>
      <c r="C74" s="643">
        <v>5365.0975741000002</v>
      </c>
      <c r="D74" s="643">
        <v>4403.9727454499998</v>
      </c>
      <c r="E74" s="643">
        <v>3548.55950411</v>
      </c>
      <c r="F74" s="638">
        <f t="shared" si="10"/>
        <v>855.41324133999979</v>
      </c>
      <c r="G74" s="638">
        <f t="shared" si="11"/>
        <v>961.12482865000038</v>
      </c>
      <c r="H74" s="641">
        <f t="shared" si="12"/>
        <v>2271.5343517300007</v>
      </c>
      <c r="I74" s="639">
        <f>B74/4315.17811333</f>
        <v>1.7697141868234154</v>
      </c>
      <c r="J74" s="639">
        <f>C74/4046.66093017</f>
        <v>1.3258085287305286</v>
      </c>
      <c r="K74" s="135"/>
    </row>
    <row r="75" spans="1:11" ht="15.75" hidden="1">
      <c r="A75" s="640" t="s">
        <v>26</v>
      </c>
      <c r="B75" s="643">
        <v>7649.73978162</v>
      </c>
      <c r="C75" s="643">
        <v>5514.4881937399996</v>
      </c>
      <c r="D75" s="643">
        <v>4572.6124263699994</v>
      </c>
      <c r="E75" s="643">
        <v>3632.2613440599998</v>
      </c>
      <c r="F75" s="638">
        <f t="shared" si="10"/>
        <v>940.35108230999958</v>
      </c>
      <c r="G75" s="638">
        <f t="shared" si="11"/>
        <v>941.87576737000018</v>
      </c>
      <c r="H75" s="641">
        <f t="shared" si="12"/>
        <v>2135.2515878800004</v>
      </c>
      <c r="I75" s="639">
        <f>B75/4453.4</f>
        <v>1.7177302244622088</v>
      </c>
      <c r="J75" s="639">
        <f>C75/4172.6</f>
        <v>1.3215952149115657</v>
      </c>
      <c r="K75" s="135"/>
    </row>
    <row r="76" spans="1:11" ht="15.75" hidden="1">
      <c r="A76" s="640" t="s">
        <v>27</v>
      </c>
      <c r="B76" s="643">
        <v>7608.0201146099998</v>
      </c>
      <c r="C76" s="643">
        <v>5443.8339595699999</v>
      </c>
      <c r="D76" s="643">
        <v>4484.6821775400003</v>
      </c>
      <c r="E76" s="643">
        <v>3636.4445339100002</v>
      </c>
      <c r="F76" s="638">
        <f t="shared" si="10"/>
        <v>848.23764363000009</v>
      </c>
      <c r="G76" s="638">
        <f t="shared" si="11"/>
        <v>959.15178202999959</v>
      </c>
      <c r="H76" s="641">
        <f t="shared" si="12"/>
        <v>2164.1861550399999</v>
      </c>
      <c r="I76" s="639">
        <f>B76/4265.6</f>
        <v>1.7835756082637846</v>
      </c>
      <c r="J76" s="639">
        <f>C76/4082</f>
        <v>1.3336192943581577</v>
      </c>
      <c r="K76" s="135"/>
    </row>
    <row r="77" spans="1:11" ht="15.75" hidden="1">
      <c r="A77" s="640" t="s">
        <v>28</v>
      </c>
      <c r="B77" s="643">
        <v>7718.6516730200001</v>
      </c>
      <c r="C77" s="643">
        <v>5512.8204870700001</v>
      </c>
      <c r="D77" s="643">
        <v>4547.8808505199995</v>
      </c>
      <c r="E77" s="643">
        <v>3668.4928589800002</v>
      </c>
      <c r="F77" s="638">
        <f t="shared" si="10"/>
        <v>879.38799153999935</v>
      </c>
      <c r="G77" s="638">
        <f t="shared" si="11"/>
        <v>964.93963655000061</v>
      </c>
      <c r="H77" s="641">
        <f t="shared" si="12"/>
        <v>2205.83118595</v>
      </c>
      <c r="I77" s="639">
        <f>B77/4382.3</f>
        <v>1.7613243440704651</v>
      </c>
      <c r="J77" s="639">
        <f>C77/4212.5</f>
        <v>1.3086814212629081</v>
      </c>
      <c r="K77" s="135"/>
    </row>
    <row r="78" spans="1:11" ht="15.75" hidden="1">
      <c r="A78" s="640" t="s">
        <v>29</v>
      </c>
      <c r="B78" s="643">
        <v>8494.2021698699991</v>
      </c>
      <c r="C78" s="643">
        <v>6081.0003026699997</v>
      </c>
      <c r="D78" s="643">
        <v>5104.9499915000006</v>
      </c>
      <c r="E78" s="643">
        <v>4145.6740853499996</v>
      </c>
      <c r="F78" s="638">
        <f t="shared" si="10"/>
        <v>959.27590615000099</v>
      </c>
      <c r="G78" s="638">
        <f t="shared" si="11"/>
        <v>976.05031116999908</v>
      </c>
      <c r="H78" s="641">
        <f t="shared" si="12"/>
        <v>2413.2018671999995</v>
      </c>
      <c r="I78" s="639">
        <f>B78/4963.9</f>
        <v>1.7111952637784806</v>
      </c>
      <c r="J78" s="639">
        <f>C78/4781.3</f>
        <v>1.2718299003764666</v>
      </c>
      <c r="K78" s="135"/>
    </row>
    <row r="79" spans="1:11" ht="15.75">
      <c r="A79" s="640" t="s">
        <v>43</v>
      </c>
      <c r="B79" s="643">
        <v>8469.18263028</v>
      </c>
      <c r="C79" s="643">
        <v>6169.2249880700001</v>
      </c>
      <c r="D79" s="643">
        <v>5231.2792583800001</v>
      </c>
      <c r="E79" s="643">
        <v>4174.7663068100001</v>
      </c>
      <c r="F79" s="643">
        <f>+F91</f>
        <v>1056.51295157</v>
      </c>
      <c r="G79" s="643">
        <f>+G91</f>
        <v>937.94572969000001</v>
      </c>
      <c r="H79" s="643">
        <f>+H91</f>
        <v>2299.9576422099999</v>
      </c>
      <c r="I79" s="644">
        <f>+I91</f>
        <v>1.7256868059830488</v>
      </c>
      <c r="J79" s="644">
        <f>+J91</f>
        <v>1.2691384628867959</v>
      </c>
      <c r="K79" s="138"/>
    </row>
    <row r="80" spans="1:11" ht="15.75" hidden="1">
      <c r="A80" s="640" t="s">
        <v>18</v>
      </c>
      <c r="B80" s="645">
        <v>8009.2582266299996</v>
      </c>
      <c r="C80" s="645">
        <v>5594.6607752999998</v>
      </c>
      <c r="D80" s="645">
        <v>4685.4993014499996</v>
      </c>
      <c r="E80" s="645">
        <v>3896.0596741599998</v>
      </c>
      <c r="F80" s="641">
        <f t="shared" si="10"/>
        <v>789.43962728999986</v>
      </c>
      <c r="G80" s="641">
        <f t="shared" si="11"/>
        <v>909.16147385000022</v>
      </c>
      <c r="H80" s="641">
        <f t="shared" ref="H80:H91" si="13">+B80-C80</f>
        <v>2414.5974513299998</v>
      </c>
      <c r="I80" s="646">
        <v>1.7990451594655925</v>
      </c>
      <c r="J80" s="646">
        <v>1.301043146556518</v>
      </c>
      <c r="K80" s="48"/>
    </row>
    <row r="81" spans="1:11" ht="15.75" hidden="1">
      <c r="A81" s="640" t="s">
        <v>19</v>
      </c>
      <c r="B81" s="645">
        <v>7328.38921682</v>
      </c>
      <c r="C81" s="645">
        <v>5264.8158648999997</v>
      </c>
      <c r="D81" s="645">
        <v>4486.0894968900002</v>
      </c>
      <c r="E81" s="645">
        <v>3666.8999512700002</v>
      </c>
      <c r="F81" s="641">
        <f t="shared" si="10"/>
        <v>819.18954561999999</v>
      </c>
      <c r="G81" s="641">
        <f t="shared" si="11"/>
        <v>778.72636800999953</v>
      </c>
      <c r="H81" s="641">
        <f t="shared" si="13"/>
        <v>2063.5733519200003</v>
      </c>
      <c r="I81" s="646">
        <v>1.7384663379392344</v>
      </c>
      <c r="J81" s="646">
        <v>1.2754526504594517</v>
      </c>
      <c r="K81" s="48"/>
    </row>
    <row r="82" spans="1:11" ht="15.75" hidden="1">
      <c r="A82" s="640" t="s">
        <v>20</v>
      </c>
      <c r="B82" s="645">
        <v>6397.3836874099998</v>
      </c>
      <c r="C82" s="645">
        <v>4740.8666567799992</v>
      </c>
      <c r="D82" s="645">
        <v>4051.9325383399996</v>
      </c>
      <c r="E82" s="645">
        <v>3304.1378418699996</v>
      </c>
      <c r="F82" s="641">
        <f t="shared" si="10"/>
        <v>747.79469646999996</v>
      </c>
      <c r="G82" s="641">
        <f t="shared" si="11"/>
        <v>688.93411843999957</v>
      </c>
      <c r="H82" s="641">
        <f t="shared" si="13"/>
        <v>1656.5170306300006</v>
      </c>
      <c r="I82" s="646">
        <v>1.7051548590010126</v>
      </c>
      <c r="J82" s="646">
        <v>1.2805974987169444</v>
      </c>
      <c r="K82" s="48"/>
    </row>
    <row r="83" spans="1:11" ht="15.75" hidden="1">
      <c r="A83" s="640" t="s">
        <v>21</v>
      </c>
      <c r="B83" s="645">
        <v>6502.4286633299998</v>
      </c>
      <c r="C83" s="645">
        <v>4732.2624489400005</v>
      </c>
      <c r="D83" s="645">
        <v>4073.9599859900004</v>
      </c>
      <c r="E83" s="645">
        <v>3297.0655940900001</v>
      </c>
      <c r="F83" s="641">
        <f t="shared" si="10"/>
        <v>776.8943919000003</v>
      </c>
      <c r="G83" s="641">
        <f t="shared" si="11"/>
        <v>658.30246295000006</v>
      </c>
      <c r="H83" s="641">
        <f t="shared" si="13"/>
        <v>1770.1662143899994</v>
      </c>
      <c r="I83" s="646">
        <v>1.7375410843598855</v>
      </c>
      <c r="J83" s="646">
        <v>1.2860908794434178</v>
      </c>
      <c r="K83" s="48"/>
    </row>
    <row r="84" spans="1:11" ht="15.75" hidden="1">
      <c r="A84" s="647" t="s">
        <v>22</v>
      </c>
      <c r="B84" s="648">
        <v>6611.9720008499989</v>
      </c>
      <c r="C84" s="648">
        <v>4811.1753836499993</v>
      </c>
      <c r="D84" s="648">
        <v>4138.5047339299999</v>
      </c>
      <c r="E84" s="648">
        <v>3396.6899968799999</v>
      </c>
      <c r="F84" s="641">
        <f t="shared" si="10"/>
        <v>741.81473705000008</v>
      </c>
      <c r="G84" s="641">
        <f t="shared" si="11"/>
        <v>672.67064971999935</v>
      </c>
      <c r="H84" s="641">
        <f t="shared" si="13"/>
        <v>1800.7966171999997</v>
      </c>
      <c r="I84" s="649">
        <v>1.7039041360649401</v>
      </c>
      <c r="J84" s="649">
        <v>1.2593116084282161</v>
      </c>
      <c r="K84" s="427"/>
    </row>
    <row r="85" spans="1:11" ht="15.75" hidden="1">
      <c r="A85" s="640" t="s">
        <v>23</v>
      </c>
      <c r="B85" s="645">
        <v>6693.9261326299993</v>
      </c>
      <c r="C85" s="645">
        <v>4872.0269019699999</v>
      </c>
      <c r="D85" s="645">
        <v>4188.4217330499996</v>
      </c>
      <c r="E85" s="645">
        <v>3486.3568428899998</v>
      </c>
      <c r="F85" s="641">
        <f t="shared" si="10"/>
        <v>702.06489015999978</v>
      </c>
      <c r="G85" s="641">
        <f t="shared" si="11"/>
        <v>683.60516892000032</v>
      </c>
      <c r="H85" s="641">
        <f t="shared" si="13"/>
        <v>1821.8992306599994</v>
      </c>
      <c r="I85" s="646">
        <v>1.7008654671790833</v>
      </c>
      <c r="J85" s="646">
        <v>1.2528033382113193</v>
      </c>
      <c r="K85" s="48"/>
    </row>
    <row r="86" spans="1:11" s="7" customFormat="1" ht="15.75" hidden="1">
      <c r="A86" s="647" t="s">
        <v>24</v>
      </c>
      <c r="B86" s="648">
        <v>7582.3861545300006</v>
      </c>
      <c r="C86" s="648">
        <v>5091.55427401</v>
      </c>
      <c r="D86" s="648">
        <v>4356.1868993100006</v>
      </c>
      <c r="E86" s="648">
        <v>3657.4841615200003</v>
      </c>
      <c r="F86" s="641">
        <f t="shared" si="10"/>
        <v>698.70273779000036</v>
      </c>
      <c r="G86" s="641">
        <f t="shared" si="11"/>
        <v>735.36737469999935</v>
      </c>
      <c r="H86" s="641">
        <f t="shared" si="13"/>
        <v>2490.8318805200006</v>
      </c>
      <c r="I86" s="649">
        <v>1.8149699595471191</v>
      </c>
      <c r="J86" s="649">
        <v>1.233101644426146</v>
      </c>
      <c r="K86" s="427"/>
    </row>
    <row r="87" spans="1:11" s="7" customFormat="1" ht="15.75" hidden="1">
      <c r="A87" s="647" t="s">
        <v>25</v>
      </c>
      <c r="B87" s="648">
        <v>7569.0508901399999</v>
      </c>
      <c r="C87" s="648">
        <v>5333.4637649400001</v>
      </c>
      <c r="D87" s="648">
        <v>4541.0178756200003</v>
      </c>
      <c r="E87" s="648">
        <v>3651.87011497</v>
      </c>
      <c r="F87" s="641">
        <f t="shared" si="10"/>
        <v>889.14776065000024</v>
      </c>
      <c r="G87" s="641">
        <f t="shared" si="11"/>
        <v>792.44588931999988</v>
      </c>
      <c r="H87" s="641">
        <f t="shared" si="13"/>
        <v>2235.5871251999997</v>
      </c>
      <c r="I87" s="649">
        <v>1.7877254753631404</v>
      </c>
      <c r="J87" s="649">
        <v>1.2783949580393097</v>
      </c>
      <c r="K87" s="427"/>
    </row>
    <row r="88" spans="1:11" ht="15.75" hidden="1">
      <c r="A88" s="647" t="s">
        <v>26</v>
      </c>
      <c r="B88" s="641">
        <v>7458.3547354599996</v>
      </c>
      <c r="C88" s="641">
        <v>5222.3727558999999</v>
      </c>
      <c r="D88" s="641">
        <v>4441.7321645299999</v>
      </c>
      <c r="E88" s="641">
        <v>3620.0601578599999</v>
      </c>
      <c r="F88" s="641">
        <f t="shared" si="10"/>
        <v>821.67200666999997</v>
      </c>
      <c r="G88" s="641">
        <f t="shared" si="11"/>
        <v>780.64059137000004</v>
      </c>
      <c r="H88" s="641">
        <f t="shared" si="13"/>
        <v>2235.9819795599997</v>
      </c>
      <c r="I88" s="646">
        <v>1.7840350416470323</v>
      </c>
      <c r="J88" s="646">
        <v>1.2522564558780156</v>
      </c>
      <c r="K88" s="48"/>
    </row>
    <row r="89" spans="1:11" ht="15.75" hidden="1">
      <c r="A89" s="647" t="s">
        <v>27</v>
      </c>
      <c r="B89" s="641">
        <v>7675.6216840100005</v>
      </c>
      <c r="C89" s="641">
        <v>5388.5222151300004</v>
      </c>
      <c r="D89" s="641">
        <v>4530.5438588400002</v>
      </c>
      <c r="E89" s="641">
        <v>3670.3036857800003</v>
      </c>
      <c r="F89" s="641">
        <f t="shared" si="10"/>
        <v>860.24017305999996</v>
      </c>
      <c r="G89" s="641">
        <f t="shared" si="11"/>
        <v>857.97835629000019</v>
      </c>
      <c r="H89" s="641">
        <f t="shared" si="13"/>
        <v>2287.0994688800001</v>
      </c>
      <c r="I89" s="646">
        <v>1.8214389407357163</v>
      </c>
      <c r="J89" s="646">
        <v>1.284982690948653</v>
      </c>
      <c r="K89" s="48"/>
    </row>
    <row r="90" spans="1:11" ht="15.75" hidden="1">
      <c r="A90" s="640" t="s">
        <v>28</v>
      </c>
      <c r="B90" s="645">
        <v>7904.8852866999987</v>
      </c>
      <c r="C90" s="645">
        <v>5575.5593386</v>
      </c>
      <c r="D90" s="645">
        <v>4694.5699221099994</v>
      </c>
      <c r="E90" s="645">
        <v>3805.7037065799996</v>
      </c>
      <c r="F90" s="641">
        <f t="shared" si="10"/>
        <v>888.86621552999986</v>
      </c>
      <c r="G90" s="641">
        <f t="shared" si="11"/>
        <v>880.98941649000062</v>
      </c>
      <c r="H90" s="641">
        <f t="shared" si="13"/>
        <v>2329.3259480999986</v>
      </c>
      <c r="I90" s="646">
        <v>1.81279982466648</v>
      </c>
      <c r="J90" s="646">
        <v>1.2855564752599749</v>
      </c>
      <c r="K90" s="48"/>
    </row>
    <row r="91" spans="1:11" ht="15.75" hidden="1">
      <c r="A91" s="640" t="s">
        <v>29</v>
      </c>
      <c r="B91" s="645">
        <v>8469.18263028</v>
      </c>
      <c r="C91" s="645">
        <v>6169.2249880700001</v>
      </c>
      <c r="D91" s="645">
        <v>5231.2792583800001</v>
      </c>
      <c r="E91" s="645">
        <v>4174.7663068100001</v>
      </c>
      <c r="F91" s="641">
        <f t="shared" si="10"/>
        <v>1056.51295157</v>
      </c>
      <c r="G91" s="641">
        <f t="shared" si="11"/>
        <v>937.94572969000001</v>
      </c>
      <c r="H91" s="641">
        <f t="shared" si="13"/>
        <v>2299.9576422099999</v>
      </c>
      <c r="I91" s="646">
        <v>1.7256868059830488</v>
      </c>
      <c r="J91" s="646">
        <v>1.2691384628867959</v>
      </c>
      <c r="K91" s="48"/>
    </row>
    <row r="92" spans="1:11" ht="15.75">
      <c r="A92" s="647" t="s">
        <v>48</v>
      </c>
      <c r="B92" s="650">
        <v>10527.48910239</v>
      </c>
      <c r="C92" s="650">
        <v>8297.46906709</v>
      </c>
      <c r="D92" s="650">
        <v>6838.3537267299989</v>
      </c>
      <c r="E92" s="650">
        <v>5455.7837350199998</v>
      </c>
      <c r="F92" s="650">
        <v>1382.5699917099992</v>
      </c>
      <c r="G92" s="650">
        <v>1459.115340360001</v>
      </c>
      <c r="H92" s="650">
        <v>2230.0200353</v>
      </c>
      <c r="I92" s="651">
        <v>1.6144200063892737</v>
      </c>
      <c r="J92" s="651">
        <v>1.2970602237978386</v>
      </c>
      <c r="K92" s="429"/>
    </row>
    <row r="93" spans="1:11" ht="15.75" hidden="1">
      <c r="A93" s="647" t="s">
        <v>18</v>
      </c>
      <c r="B93" s="648">
        <v>8143.7706177500004</v>
      </c>
      <c r="C93" s="648">
        <v>5837.6964127600004</v>
      </c>
      <c r="D93" s="648">
        <v>4848.347930580001</v>
      </c>
      <c r="E93" s="648">
        <v>3972.7692841200001</v>
      </c>
      <c r="F93" s="641">
        <f t="shared" si="10"/>
        <v>875.57864646000098</v>
      </c>
      <c r="G93" s="641">
        <f t="shared" si="11"/>
        <v>989.34848217999934</v>
      </c>
      <c r="H93" s="641">
        <f t="shared" ref="H93:H104" si="14">+B93-C93</f>
        <v>2306.07420499</v>
      </c>
      <c r="I93" s="649">
        <v>1.7726129858431543</v>
      </c>
      <c r="J93" s="649">
        <v>1.2804520090473794</v>
      </c>
      <c r="K93" s="427"/>
    </row>
    <row r="94" spans="1:11" ht="15.75" hidden="1">
      <c r="A94" s="647" t="s">
        <v>19</v>
      </c>
      <c r="B94" s="648">
        <v>8132.5567382199988</v>
      </c>
      <c r="C94" s="648">
        <v>5853.1111007499994</v>
      </c>
      <c r="D94" s="648">
        <v>4970.4537853399997</v>
      </c>
      <c r="E94" s="648">
        <v>4083.8688414499998</v>
      </c>
      <c r="F94" s="641">
        <f t="shared" si="10"/>
        <v>886.58494388999998</v>
      </c>
      <c r="G94" s="641">
        <f t="shared" si="11"/>
        <v>882.65731540999968</v>
      </c>
      <c r="H94" s="641">
        <f t="shared" si="14"/>
        <v>2279.4456374699994</v>
      </c>
      <c r="I94" s="649">
        <v>1.7385562403620247</v>
      </c>
      <c r="J94" s="649">
        <v>1.2565393620508165</v>
      </c>
      <c r="K94" s="427"/>
    </row>
    <row r="95" spans="1:11" ht="15.75" hidden="1">
      <c r="A95" s="647" t="s">
        <v>20</v>
      </c>
      <c r="B95" s="648">
        <v>8673.4170052000009</v>
      </c>
      <c r="C95" s="648">
        <v>6182.5589487400002</v>
      </c>
      <c r="D95" s="648">
        <v>5177.4952226300002</v>
      </c>
      <c r="E95" s="648">
        <v>4312.13321894</v>
      </c>
      <c r="F95" s="641">
        <f t="shared" si="10"/>
        <v>865.36200369000017</v>
      </c>
      <c r="G95" s="641">
        <f t="shared" si="11"/>
        <v>1005.0637261100001</v>
      </c>
      <c r="H95" s="641">
        <f t="shared" si="14"/>
        <v>2490.8580564600006</v>
      </c>
      <c r="I95" s="649">
        <v>1.7640777740366431</v>
      </c>
      <c r="J95" s="649">
        <v>1.2612310929447965</v>
      </c>
      <c r="K95" s="427"/>
    </row>
    <row r="96" spans="1:11" ht="15.75" hidden="1">
      <c r="A96" s="647" t="s">
        <v>21</v>
      </c>
      <c r="B96" s="648">
        <v>8735.4667276299988</v>
      </c>
      <c r="C96" s="648">
        <v>6347.7163216399995</v>
      </c>
      <c r="D96" s="648">
        <v>5318.9574413299997</v>
      </c>
      <c r="E96" s="648">
        <v>4434.3171367899995</v>
      </c>
      <c r="F96" s="641">
        <f t="shared" si="10"/>
        <v>884.64030454000022</v>
      </c>
      <c r="G96" s="641">
        <f t="shared" si="11"/>
        <v>1028.7588803099998</v>
      </c>
      <c r="H96" s="641">
        <f t="shared" si="14"/>
        <v>2387.7504059899993</v>
      </c>
      <c r="I96" s="649">
        <v>1.7584212627728233</v>
      </c>
      <c r="J96" s="649">
        <v>1.2807876363030206</v>
      </c>
      <c r="K96" s="427"/>
    </row>
    <row r="97" spans="1:14" ht="15.75" hidden="1">
      <c r="A97" s="647" t="s">
        <v>22</v>
      </c>
      <c r="B97" s="648">
        <v>8929.76618074</v>
      </c>
      <c r="C97" s="648">
        <v>6453.9733412699998</v>
      </c>
      <c r="D97" s="648">
        <v>5415.6387429600009</v>
      </c>
      <c r="E97" s="648">
        <v>4543.4686922600004</v>
      </c>
      <c r="F97" s="641">
        <f t="shared" si="10"/>
        <v>872.1700507000005</v>
      </c>
      <c r="G97" s="641">
        <f t="shared" si="11"/>
        <v>1038.3345983099989</v>
      </c>
      <c r="H97" s="641">
        <f t="shared" si="14"/>
        <v>2475.7928394700002</v>
      </c>
      <c r="I97" s="649">
        <v>1.7689669790696818</v>
      </c>
      <c r="J97" s="649">
        <v>1.2875403278119288</v>
      </c>
      <c r="K97" s="427"/>
    </row>
    <row r="98" spans="1:14" ht="15.75" hidden="1">
      <c r="A98" s="647" t="s">
        <v>23</v>
      </c>
      <c r="B98" s="648">
        <v>9082.4767764299995</v>
      </c>
      <c r="C98" s="648">
        <v>6629.4488834099993</v>
      </c>
      <c r="D98" s="648">
        <v>5522.228011279999</v>
      </c>
      <c r="E98" s="648">
        <v>4587.3126537899989</v>
      </c>
      <c r="F98" s="641">
        <f t="shared" si="10"/>
        <v>934.91535749000013</v>
      </c>
      <c r="G98" s="641">
        <f t="shared" si="11"/>
        <v>1107.2208721300003</v>
      </c>
      <c r="H98" s="641">
        <f t="shared" si="14"/>
        <v>2453.0278930200002</v>
      </c>
      <c r="I98" s="649">
        <v>1.7679447607429613</v>
      </c>
      <c r="J98" s="649">
        <v>1.2957368582073303</v>
      </c>
      <c r="K98" s="427"/>
    </row>
    <row r="99" spans="1:14" ht="15.75" hidden="1">
      <c r="A99" s="647" t="s">
        <v>24</v>
      </c>
      <c r="B99" s="648">
        <v>9054.4651419000002</v>
      </c>
      <c r="C99" s="648">
        <v>6892.0023660900006</v>
      </c>
      <c r="D99" s="648">
        <v>5741.26512447</v>
      </c>
      <c r="E99" s="648">
        <v>4811.4484944200003</v>
      </c>
      <c r="F99" s="641">
        <f t="shared" si="10"/>
        <v>929.81663004999973</v>
      </c>
      <c r="G99" s="641">
        <f t="shared" si="11"/>
        <v>1150.7372416200005</v>
      </c>
      <c r="H99" s="641">
        <f t="shared" si="14"/>
        <v>2162.4627758099996</v>
      </c>
      <c r="I99" s="649">
        <v>1.7046010768477728</v>
      </c>
      <c r="J99" s="649">
        <v>1.3005245876891725</v>
      </c>
      <c r="K99" s="427"/>
    </row>
    <row r="100" spans="1:14" ht="15.75" hidden="1">
      <c r="A100" s="647" t="s">
        <v>25</v>
      </c>
      <c r="B100" s="648">
        <v>9315.0059182199984</v>
      </c>
      <c r="C100" s="648">
        <v>7046.6076046599992</v>
      </c>
      <c r="D100" s="648">
        <v>5790.0133649699992</v>
      </c>
      <c r="E100" s="648">
        <v>4850.8000458299994</v>
      </c>
      <c r="F100" s="641">
        <f t="shared" si="10"/>
        <v>939.21331913999984</v>
      </c>
      <c r="G100" s="641">
        <f t="shared" si="11"/>
        <v>1256.59423969</v>
      </c>
      <c r="H100" s="641">
        <f t="shared" si="14"/>
        <v>2268.3983135599992</v>
      </c>
      <c r="I100" s="649">
        <v>1.7297488067256579</v>
      </c>
      <c r="J100" s="649">
        <v>1.3113717116942596</v>
      </c>
      <c r="K100" s="427"/>
    </row>
    <row r="101" spans="1:14" ht="15.75" hidden="1">
      <c r="A101" s="647" t="s">
        <v>26</v>
      </c>
      <c r="B101" s="648">
        <v>9389.968013579999</v>
      </c>
      <c r="C101" s="648">
        <v>7156.0729733199987</v>
      </c>
      <c r="D101" s="648">
        <v>5884.0097125099992</v>
      </c>
      <c r="E101" s="648">
        <v>4897.4012645999992</v>
      </c>
      <c r="F101" s="641">
        <f t="shared" si="10"/>
        <v>986.60844791</v>
      </c>
      <c r="G101" s="641">
        <f t="shared" si="11"/>
        <v>1272.0632608099995</v>
      </c>
      <c r="H101" s="641">
        <f t="shared" si="14"/>
        <v>2233.8950402600003</v>
      </c>
      <c r="I101" s="649">
        <v>1.7022979460261123</v>
      </c>
      <c r="J101" s="649">
        <v>1.3000133142599655</v>
      </c>
      <c r="K101" s="427"/>
    </row>
    <row r="102" spans="1:14" ht="15.75" hidden="1">
      <c r="A102" s="647" t="s">
        <v>27</v>
      </c>
      <c r="B102" s="648">
        <v>9619.9188194400012</v>
      </c>
      <c r="C102" s="648">
        <v>7314.5376940000006</v>
      </c>
      <c r="D102" s="648">
        <v>5992.1865162500008</v>
      </c>
      <c r="E102" s="648">
        <v>4942.5934275</v>
      </c>
      <c r="F102" s="641">
        <f t="shared" si="10"/>
        <v>1049.5930887500008</v>
      </c>
      <c r="G102" s="641">
        <f t="shared" si="11"/>
        <v>1322.3511777499998</v>
      </c>
      <c r="H102" s="641">
        <f t="shared" si="14"/>
        <v>2305.3811254400007</v>
      </c>
      <c r="I102" s="649">
        <v>1.6993659449658796</v>
      </c>
      <c r="J102" s="649">
        <v>1.2954592707345145</v>
      </c>
      <c r="K102" s="427"/>
    </row>
    <row r="103" spans="1:14" ht="15.75" hidden="1">
      <c r="A103" s="647" t="s">
        <v>28</v>
      </c>
      <c r="B103" s="648">
        <v>9620.7746167400001</v>
      </c>
      <c r="C103" s="648">
        <v>7417.6583926100002</v>
      </c>
      <c r="D103" s="648">
        <v>5946.4804628800011</v>
      </c>
      <c r="E103" s="648">
        <v>4994.3238582200001</v>
      </c>
      <c r="F103" s="641">
        <f t="shared" si="10"/>
        <v>952.15660466000099</v>
      </c>
      <c r="G103" s="641">
        <f t="shared" si="11"/>
        <v>1471.1779297299991</v>
      </c>
      <c r="H103" s="641">
        <f t="shared" si="14"/>
        <v>2203.1162241299999</v>
      </c>
      <c r="I103" s="649">
        <v>1.7110129253076456</v>
      </c>
      <c r="J103" s="649">
        <v>1.3232798627129729</v>
      </c>
      <c r="K103" s="427"/>
    </row>
    <row r="104" spans="1:14" ht="15.75" hidden="1">
      <c r="A104" s="647" t="s">
        <v>29</v>
      </c>
      <c r="B104" s="648">
        <v>10527.48910239</v>
      </c>
      <c r="C104" s="648">
        <v>8297.46906709</v>
      </c>
      <c r="D104" s="648">
        <v>6838.3537267299989</v>
      </c>
      <c r="E104" s="648">
        <v>5455.7837350199998</v>
      </c>
      <c r="F104" s="641">
        <f t="shared" si="10"/>
        <v>1382.5699917099992</v>
      </c>
      <c r="G104" s="641">
        <f t="shared" si="11"/>
        <v>1459.115340360001</v>
      </c>
      <c r="H104" s="641">
        <f t="shared" si="14"/>
        <v>2230.0200353</v>
      </c>
      <c r="I104" s="649">
        <v>1.6144200063892737</v>
      </c>
      <c r="J104" s="649">
        <v>1.2970602237978386</v>
      </c>
      <c r="K104" s="427"/>
    </row>
    <row r="105" spans="1:14" ht="15.75">
      <c r="A105" s="647" t="s">
        <v>1030</v>
      </c>
      <c r="B105" s="652">
        <v>13903.175588120001</v>
      </c>
      <c r="C105" s="652">
        <v>10997.158822920001</v>
      </c>
      <c r="D105" s="652">
        <v>8796.0136600800015</v>
      </c>
      <c r="E105" s="652">
        <v>7158.1555464000012</v>
      </c>
      <c r="F105" s="653">
        <v>1637.8600000000006</v>
      </c>
      <c r="G105" s="653">
        <v>2201.1499999999996</v>
      </c>
      <c r="H105" s="653">
        <v>2906.0167652</v>
      </c>
      <c r="I105" s="654">
        <v>1.6377422401306216</v>
      </c>
      <c r="J105" s="654">
        <v>1.3289385404996497</v>
      </c>
      <c r="K105" s="430"/>
    </row>
    <row r="106" spans="1:14" ht="15.75" hidden="1">
      <c r="A106" s="647" t="s">
        <v>18</v>
      </c>
      <c r="B106" s="648">
        <v>10107.260521460001</v>
      </c>
      <c r="C106" s="648">
        <v>7763.8045956900005</v>
      </c>
      <c r="D106" s="648">
        <v>6294.9026814899998</v>
      </c>
      <c r="E106" s="648">
        <v>5266.8241358200003</v>
      </c>
      <c r="F106" s="641">
        <f t="shared" si="10"/>
        <v>1028.0785456699996</v>
      </c>
      <c r="G106" s="641">
        <f t="shared" si="11"/>
        <v>1468.9019142000006</v>
      </c>
      <c r="H106" s="641">
        <f t="shared" ref="H106:H117" si="15">+B106-C106</f>
        <v>2343.4559257700002</v>
      </c>
      <c r="I106" s="649">
        <v>1.6802706294479797</v>
      </c>
      <c r="J106" s="649">
        <v>1.302515061942485</v>
      </c>
      <c r="K106" s="427"/>
    </row>
    <row r="107" spans="1:14" ht="15.75" hidden="1">
      <c r="A107" s="647" t="s">
        <v>19</v>
      </c>
      <c r="B107" s="648">
        <v>10272.605777700001</v>
      </c>
      <c r="C107" s="648">
        <v>7907.6871624700007</v>
      </c>
      <c r="D107" s="648">
        <v>6481.7030081900002</v>
      </c>
      <c r="E107" s="648">
        <v>5363.0863719600002</v>
      </c>
      <c r="F107" s="641">
        <f t="shared" si="10"/>
        <v>1118.61663623</v>
      </c>
      <c r="G107" s="641">
        <f t="shared" si="11"/>
        <v>1425.9841542800004</v>
      </c>
      <c r="H107" s="641">
        <f t="shared" si="15"/>
        <v>2364.9186152299999</v>
      </c>
      <c r="I107" s="649">
        <v>1.6783976910372174</v>
      </c>
      <c r="J107" s="649">
        <v>1.2964408994156833</v>
      </c>
      <c r="K107" s="427"/>
    </row>
    <row r="108" spans="1:14" ht="15.75" hidden="1">
      <c r="A108" s="647" t="s">
        <v>20</v>
      </c>
      <c r="B108" s="648">
        <v>10757.400264010001</v>
      </c>
      <c r="C108" s="648">
        <v>8115.4929009299995</v>
      </c>
      <c r="D108" s="648">
        <v>6618.4061489300002</v>
      </c>
      <c r="E108" s="648">
        <v>5427.0536122099993</v>
      </c>
      <c r="F108" s="641">
        <f t="shared" si="10"/>
        <v>1191.3525367200009</v>
      </c>
      <c r="G108" s="641">
        <f t="shared" si="11"/>
        <v>1497.0867519999993</v>
      </c>
      <c r="H108" s="641">
        <f t="shared" si="15"/>
        <v>2641.9073630800012</v>
      </c>
      <c r="I108" s="649">
        <v>1.7121601821226011</v>
      </c>
      <c r="J108" s="649">
        <v>1.2945481505147456</v>
      </c>
      <c r="K108" s="427"/>
    </row>
    <row r="109" spans="1:14" ht="15.75" hidden="1">
      <c r="A109" s="640" t="s">
        <v>21</v>
      </c>
      <c r="B109" s="645">
        <v>10760.569371239999</v>
      </c>
      <c r="C109" s="645">
        <v>8176.43909859</v>
      </c>
      <c r="D109" s="645">
        <v>6635.0757591900001</v>
      </c>
      <c r="E109" s="645">
        <v>5457.8029094800004</v>
      </c>
      <c r="F109" s="641">
        <f t="shared" si="10"/>
        <v>1177.2728497099997</v>
      </c>
      <c r="G109" s="641">
        <f t="shared" si="11"/>
        <v>1541.3633393999999</v>
      </c>
      <c r="H109" s="641">
        <f t="shared" si="15"/>
        <v>2584.1302726499989</v>
      </c>
      <c r="I109" s="646">
        <f>B109/6191.62829426</f>
        <v>1.7379223783856135</v>
      </c>
      <c r="J109" s="646">
        <f>C109/6167.31288611</f>
        <v>1.3257701124593413</v>
      </c>
      <c r="K109" s="48"/>
      <c r="N109" s="226"/>
    </row>
    <row r="110" spans="1:14" ht="15.75" hidden="1">
      <c r="A110" s="640" t="s">
        <v>22</v>
      </c>
      <c r="B110" s="645">
        <v>11056.133248170001</v>
      </c>
      <c r="C110" s="645">
        <v>8392.0020107100008</v>
      </c>
      <c r="D110" s="645">
        <v>6809.2636371099998</v>
      </c>
      <c r="E110" s="645">
        <v>5610.2920020700003</v>
      </c>
      <c r="F110" s="641">
        <f t="shared" si="10"/>
        <v>1198.9716350399995</v>
      </c>
      <c r="G110" s="641">
        <f t="shared" si="11"/>
        <v>1582.7383736000011</v>
      </c>
      <c r="H110" s="641">
        <f t="shared" si="15"/>
        <v>2664.1312374600002</v>
      </c>
      <c r="I110" s="646">
        <f>B110/6294.42259615</f>
        <v>1.7564968159164456</v>
      </c>
      <c r="J110" s="646">
        <f>C110/6244.92660615</f>
        <v>1.3438111510302719</v>
      </c>
      <c r="K110" s="48"/>
    </row>
    <row r="111" spans="1:14" ht="15.75" hidden="1">
      <c r="A111" s="640" t="s">
        <v>23</v>
      </c>
      <c r="B111" s="645">
        <v>11412.516171699999</v>
      </c>
      <c r="C111" s="645">
        <v>8735.36012544</v>
      </c>
      <c r="D111" s="645">
        <v>7102.8384054399994</v>
      </c>
      <c r="E111" s="645">
        <v>5851.6340985999996</v>
      </c>
      <c r="F111" s="641">
        <f t="shared" si="10"/>
        <v>1251.2043068399998</v>
      </c>
      <c r="G111" s="641">
        <f t="shared" si="11"/>
        <v>1632.5217200000006</v>
      </c>
      <c r="H111" s="641">
        <f t="shared" si="15"/>
        <v>2677.1560462599991</v>
      </c>
      <c r="I111" s="646">
        <f>B111/6552.35453481</f>
        <v>1.7417427752222401</v>
      </c>
      <c r="J111" s="646">
        <f>C111/6497.69278658</f>
        <v>1.3443787529446702</v>
      </c>
      <c r="K111" s="48"/>
    </row>
    <row r="112" spans="1:14" ht="15.75" hidden="1">
      <c r="A112" s="640" t="s">
        <v>24</v>
      </c>
      <c r="B112" s="645">
        <v>11921.22770354</v>
      </c>
      <c r="C112" s="645">
        <v>9351.3794538900001</v>
      </c>
      <c r="D112" s="645">
        <v>7660.5257831799991</v>
      </c>
      <c r="E112" s="645">
        <v>6198.9877103499994</v>
      </c>
      <c r="F112" s="641">
        <f t="shared" si="10"/>
        <v>1461.5380728299997</v>
      </c>
      <c r="G112" s="641">
        <f t="shared" si="11"/>
        <v>1690.8536707100011</v>
      </c>
      <c r="H112" s="641">
        <f t="shared" si="15"/>
        <v>2569.8482496500001</v>
      </c>
      <c r="I112" s="646">
        <f>B112/6940.64675124</f>
        <v>1.7175960873401575</v>
      </c>
      <c r="J112" s="646">
        <f>C112/6858.11207583</f>
        <v>1.3635501068649791</v>
      </c>
      <c r="K112" s="48"/>
    </row>
    <row r="113" spans="1:11" ht="15.75" hidden="1">
      <c r="A113" s="640" t="s">
        <v>25</v>
      </c>
      <c r="B113" s="645">
        <v>12336.246017520003</v>
      </c>
      <c r="C113" s="645">
        <v>9569.8319123600013</v>
      </c>
      <c r="D113" s="645">
        <v>7870.5156765500005</v>
      </c>
      <c r="E113" s="645">
        <v>6493.7353910200009</v>
      </c>
      <c r="F113" s="641">
        <f t="shared" si="10"/>
        <v>1376.7802855299997</v>
      </c>
      <c r="G113" s="641">
        <f t="shared" si="11"/>
        <v>1699.3162358100008</v>
      </c>
      <c r="H113" s="641">
        <f t="shared" si="15"/>
        <v>2766.4141051600018</v>
      </c>
      <c r="I113" s="646">
        <f>B113/7202.82493406</f>
        <v>1.7126955230003709</v>
      </c>
      <c r="J113" s="646">
        <f>C113/7119.32928233</f>
        <v>1.3442041423919089</v>
      </c>
      <c r="K113" s="48"/>
    </row>
    <row r="114" spans="1:11" ht="15.75" hidden="1">
      <c r="A114" s="640" t="s">
        <v>26</v>
      </c>
      <c r="B114" s="645">
        <v>12652.172385250002</v>
      </c>
      <c r="C114" s="645">
        <v>9630.2770908400016</v>
      </c>
      <c r="D114" s="645">
        <v>7798.2984794500007</v>
      </c>
      <c r="E114" s="645">
        <v>6465.9048142400006</v>
      </c>
      <c r="F114" s="641">
        <f t="shared" si="10"/>
        <v>1332.3936652100001</v>
      </c>
      <c r="G114" s="641">
        <f t="shared" si="11"/>
        <v>1831.9786113900009</v>
      </c>
      <c r="H114" s="641">
        <f t="shared" si="15"/>
        <v>3021.8952944100001</v>
      </c>
      <c r="I114" s="646">
        <f>B114/7281.48469652</f>
        <v>1.7375814016744118</v>
      </c>
      <c r="J114" s="646">
        <f>C114/7206.52797317</f>
        <v>1.3363268867745539</v>
      </c>
      <c r="K114" s="48"/>
    </row>
    <row r="115" spans="1:11" ht="15.75" hidden="1">
      <c r="A115" s="640" t="s">
        <v>27</v>
      </c>
      <c r="B115" s="645">
        <v>12652.22116963</v>
      </c>
      <c r="C115" s="645">
        <v>9748.6448836399995</v>
      </c>
      <c r="D115" s="645">
        <v>7825.4983056599995</v>
      </c>
      <c r="E115" s="645">
        <v>6505.2744384799998</v>
      </c>
      <c r="F115" s="641">
        <f t="shared" si="10"/>
        <v>1320.2238671799996</v>
      </c>
      <c r="G115" s="641">
        <f t="shared" si="11"/>
        <v>1923.1465779800001</v>
      </c>
      <c r="H115" s="641">
        <f t="shared" si="15"/>
        <v>2903.5762859900005</v>
      </c>
      <c r="I115" s="646">
        <f>B115/7270.39415221</f>
        <v>1.7402386864794768</v>
      </c>
      <c r="J115" s="646">
        <f>C115/7189.74913467</f>
        <v>1.3559089060048894</v>
      </c>
      <c r="K115" s="48"/>
    </row>
    <row r="116" spans="1:11" ht="15.75" hidden="1">
      <c r="A116" s="640" t="s">
        <v>28</v>
      </c>
      <c r="B116" s="645">
        <v>12830.739520470001</v>
      </c>
      <c r="C116" s="645">
        <v>9991.944854450001</v>
      </c>
      <c r="D116" s="645">
        <v>8022.57158936</v>
      </c>
      <c r="E116" s="645">
        <v>6529.3823573</v>
      </c>
      <c r="F116" s="641">
        <f t="shared" si="10"/>
        <v>1493.18923206</v>
      </c>
      <c r="G116" s="641">
        <f t="shared" si="11"/>
        <v>1969.373265090001</v>
      </c>
      <c r="H116" s="641">
        <f t="shared" si="15"/>
        <v>2838.7946660199996</v>
      </c>
      <c r="I116" s="646">
        <f>B116/7494.35987203</f>
        <v>1.7120527622854245</v>
      </c>
      <c r="J116" s="646">
        <f>C116/7417.40260057</f>
        <v>1.3470948514621759</v>
      </c>
      <c r="K116" s="48"/>
    </row>
    <row r="117" spans="1:11" ht="15.75" hidden="1">
      <c r="A117" s="640" t="s">
        <v>29</v>
      </c>
      <c r="B117" s="645">
        <v>13903.175588120001</v>
      </c>
      <c r="C117" s="645">
        <v>10997.158822920001</v>
      </c>
      <c r="D117" s="645">
        <v>8796.0136600800015</v>
      </c>
      <c r="E117" s="645">
        <v>7158.1555464000012</v>
      </c>
      <c r="F117" s="641">
        <f t="shared" si="10"/>
        <v>1637.8581136800003</v>
      </c>
      <c r="G117" s="641">
        <f t="shared" si="11"/>
        <v>2201.1451628399991</v>
      </c>
      <c r="H117" s="641">
        <f t="shared" si="15"/>
        <v>2906.0167652</v>
      </c>
      <c r="I117" s="646">
        <f>B117/8489.40062686</f>
        <v>1.6377099160724151</v>
      </c>
      <c r="J117" s="646">
        <f>C117/8275.34883281</f>
        <v>1.3289057712369301</v>
      </c>
      <c r="K117" s="48"/>
    </row>
    <row r="118" spans="1:11" ht="15.75">
      <c r="A118" s="647" t="s">
        <v>1301</v>
      </c>
      <c r="B118" s="650">
        <v>16775.301806390002</v>
      </c>
      <c r="C118" s="650">
        <v>13806.376126880001</v>
      </c>
      <c r="D118" s="650">
        <v>11122.107094140001</v>
      </c>
      <c r="E118" s="650">
        <v>9256.6355256300012</v>
      </c>
      <c r="F118" s="655">
        <f>+D118-E118</f>
        <v>1865.47156851</v>
      </c>
      <c r="G118" s="655">
        <f>+C118-D118</f>
        <v>2684.2690327399996</v>
      </c>
      <c r="H118" s="655">
        <v>2968.92567951</v>
      </c>
      <c r="I118" s="656">
        <f>B118/10660.29095014</f>
        <v>1.5736251369546057</v>
      </c>
      <c r="J118" s="656">
        <f>C118/10514.97205168</f>
        <v>1.3130207155114715</v>
      </c>
      <c r="K118" s="431"/>
    </row>
    <row r="119" spans="1:11" ht="15.75" hidden="1">
      <c r="A119" s="647" t="s">
        <v>18</v>
      </c>
      <c r="B119" s="648">
        <v>13474.6267448</v>
      </c>
      <c r="C119" s="648">
        <v>10550.646729730001</v>
      </c>
      <c r="D119" s="648">
        <v>8326.303340020002</v>
      </c>
      <c r="E119" s="648">
        <v>6810.7901250100012</v>
      </c>
      <c r="F119" s="641">
        <f t="shared" si="10"/>
        <v>1515.5132150100007</v>
      </c>
      <c r="G119" s="641">
        <f t="shared" si="11"/>
        <v>2224.3433897099985</v>
      </c>
      <c r="H119" s="641">
        <f t="shared" ref="H119:H130" si="16">+B119-C119</f>
        <v>2923.9800150699994</v>
      </c>
      <c r="I119" s="649">
        <f>B119/7686.68382912</f>
        <v>1.7529830866404486</v>
      </c>
      <c r="J119" s="649">
        <f>C119/7601.48872794</f>
        <v>1.3879711076792218</v>
      </c>
      <c r="K119" s="427"/>
    </row>
    <row r="120" spans="1:11" ht="15.75" hidden="1">
      <c r="A120" s="647" t="s">
        <v>19</v>
      </c>
      <c r="B120" s="648">
        <v>13799.16187616</v>
      </c>
      <c r="C120" s="648">
        <v>10694.32494869</v>
      </c>
      <c r="D120" s="648">
        <v>8375.6163805699998</v>
      </c>
      <c r="E120" s="648">
        <v>6911.1925890399998</v>
      </c>
      <c r="F120" s="641">
        <f t="shared" si="10"/>
        <v>1464.42379153</v>
      </c>
      <c r="G120" s="641">
        <f t="shared" si="11"/>
        <v>2318.7085681200006</v>
      </c>
      <c r="H120" s="641">
        <f t="shared" si="16"/>
        <v>3104.8369274699999</v>
      </c>
      <c r="I120" s="649">
        <f>B120/7908.65826857</f>
        <v>1.7448170609418796</v>
      </c>
      <c r="J120" s="649">
        <f>C120/7825.1689925</f>
        <v>1.366657379404832</v>
      </c>
      <c r="K120" s="427"/>
    </row>
    <row r="121" spans="1:11" ht="15.75">
      <c r="A121" s="647" t="s">
        <v>20</v>
      </c>
      <c r="B121" s="648">
        <v>14319.88283205</v>
      </c>
      <c r="C121" s="648">
        <v>11263.437944789999</v>
      </c>
      <c r="D121" s="648">
        <v>9009.9064602899998</v>
      </c>
      <c r="E121" s="648">
        <v>7241.3228480300004</v>
      </c>
      <c r="F121" s="641">
        <f t="shared" si="10"/>
        <v>1768.5836122599994</v>
      </c>
      <c r="G121" s="641">
        <f t="shared" si="11"/>
        <v>2253.5314844999994</v>
      </c>
      <c r="H121" s="641">
        <f t="shared" si="16"/>
        <v>3056.4448872600005</v>
      </c>
      <c r="I121" s="649">
        <f>B121/8468.33373691</f>
        <v>1.6909917909394019</v>
      </c>
      <c r="J121" s="649">
        <f>C121/8347.67178633</f>
        <v>1.349290944001273</v>
      </c>
      <c r="K121" s="427"/>
    </row>
    <row r="122" spans="1:11" ht="18.75" hidden="1" customHeight="1">
      <c r="A122" s="647" t="s">
        <v>21</v>
      </c>
      <c r="B122" s="648">
        <v>14346.201608679999</v>
      </c>
      <c r="C122" s="648">
        <v>11202.396400419999</v>
      </c>
      <c r="D122" s="648">
        <v>8987.9618849499984</v>
      </c>
      <c r="E122" s="648">
        <v>7312.7794083499994</v>
      </c>
      <c r="F122" s="641">
        <f t="shared" si="10"/>
        <v>1675.1824765999991</v>
      </c>
      <c r="G122" s="641">
        <f t="shared" si="11"/>
        <v>2214.4345154700004</v>
      </c>
      <c r="H122" s="641">
        <f t="shared" si="16"/>
        <v>3143.8052082600007</v>
      </c>
      <c r="I122" s="649">
        <f>B122/8223.02870273</f>
        <v>1.7446371802055294</v>
      </c>
      <c r="J122" s="649">
        <f>C122/8145.87800788</f>
        <v>1.3752227064514402</v>
      </c>
      <c r="K122" s="427"/>
    </row>
    <row r="123" spans="1:11" ht="15.75" hidden="1">
      <c r="A123" s="647" t="s">
        <v>22</v>
      </c>
      <c r="B123" s="648">
        <v>14579.48424774</v>
      </c>
      <c r="C123" s="648">
        <v>11456.70347266</v>
      </c>
      <c r="D123" s="648">
        <v>9210.4648230599996</v>
      </c>
      <c r="E123" s="648">
        <v>7509.9198136299992</v>
      </c>
      <c r="F123" s="641">
        <f t="shared" si="10"/>
        <v>1700.5450094300004</v>
      </c>
      <c r="G123" s="641">
        <f t="shared" si="11"/>
        <v>2246.2386495999999</v>
      </c>
      <c r="H123" s="641">
        <f t="shared" si="16"/>
        <v>3122.7807750800002</v>
      </c>
      <c r="I123" s="649">
        <f>B123/8457.87975694</f>
        <v>1.7237753038256427</v>
      </c>
      <c r="J123" s="649">
        <f>C123/8373.10387126</f>
        <v>1.3682743757645484</v>
      </c>
      <c r="K123" s="427"/>
    </row>
    <row r="124" spans="1:11" ht="15.75">
      <c r="A124" s="647" t="s">
        <v>23</v>
      </c>
      <c r="B124" s="648">
        <v>14527.482267830001</v>
      </c>
      <c r="C124" s="648">
        <v>11753.663751780001</v>
      </c>
      <c r="D124" s="648">
        <v>9475.3794250899991</v>
      </c>
      <c r="E124" s="648">
        <v>7751.8143008900006</v>
      </c>
      <c r="F124" s="641">
        <f t="shared" si="10"/>
        <v>1723.5651241999985</v>
      </c>
      <c r="G124" s="641">
        <f t="shared" si="11"/>
        <v>2278.2843266900018</v>
      </c>
      <c r="H124" s="641">
        <f t="shared" si="16"/>
        <v>2773.8185160499997</v>
      </c>
      <c r="I124" s="649">
        <f>B124/8730.4</f>
        <v>1.6640110725545223</v>
      </c>
      <c r="J124" s="649">
        <f>C124/8654.4</f>
        <v>1.3581142253397118</v>
      </c>
      <c r="K124" s="427"/>
    </row>
    <row r="125" spans="1:11" ht="15.75" hidden="1">
      <c r="A125" s="647" t="s">
        <v>24</v>
      </c>
      <c r="B125" s="648">
        <v>14703.043142640003</v>
      </c>
      <c r="C125" s="648">
        <v>11971.003045320002</v>
      </c>
      <c r="D125" s="648">
        <v>9688.9205505299997</v>
      </c>
      <c r="E125" s="648">
        <v>8012.34845881</v>
      </c>
      <c r="F125" s="641">
        <f t="shared" si="10"/>
        <v>1676.5720917199997</v>
      </c>
      <c r="G125" s="641">
        <f t="shared" si="11"/>
        <v>2282.0824947900019</v>
      </c>
      <c r="H125" s="641">
        <f t="shared" si="16"/>
        <v>2732.0400973200012</v>
      </c>
      <c r="I125" s="649">
        <f>B125/9039.62873754</f>
        <v>1.6265096244031385</v>
      </c>
      <c r="J125" s="649">
        <f>C125/8940.15190669</f>
        <v>1.339015619674425</v>
      </c>
      <c r="K125" s="427"/>
    </row>
    <row r="126" spans="1:11" ht="15.75" hidden="1">
      <c r="A126" s="647" t="s">
        <v>25</v>
      </c>
      <c r="B126" s="648">
        <v>15002.992194119999</v>
      </c>
      <c r="C126" s="648">
        <v>12218.2895424</v>
      </c>
      <c r="D126" s="648">
        <v>9931.3003141499994</v>
      </c>
      <c r="E126" s="648">
        <v>8134.5739681499999</v>
      </c>
      <c r="F126" s="641">
        <f t="shared" si="10"/>
        <v>1796.7263459999995</v>
      </c>
      <c r="G126" s="641">
        <f t="shared" si="11"/>
        <v>2286.9892282500005</v>
      </c>
      <c r="H126" s="641">
        <f t="shared" si="16"/>
        <v>2784.7026517199993</v>
      </c>
      <c r="I126" s="649">
        <f>B126/9195.7436029</f>
        <v>1.6315148444752858</v>
      </c>
      <c r="J126" s="649">
        <f>C126/9076.35693192</f>
        <v>1.3461667091815614</v>
      </c>
      <c r="K126" s="427"/>
    </row>
    <row r="127" spans="1:11" ht="15.75">
      <c r="A127" s="647" t="s">
        <v>26</v>
      </c>
      <c r="B127" s="648">
        <v>15343.330298140001</v>
      </c>
      <c r="C127" s="648">
        <v>12402.361989680001</v>
      </c>
      <c r="D127" s="648">
        <v>10069.71359757</v>
      </c>
      <c r="E127" s="648">
        <v>8315.4327345600013</v>
      </c>
      <c r="F127" s="641">
        <f t="shared" si="10"/>
        <v>1754.2808630099989</v>
      </c>
      <c r="G127" s="641">
        <f t="shared" si="11"/>
        <v>2332.6483921100007</v>
      </c>
      <c r="H127" s="641">
        <f t="shared" si="16"/>
        <v>2940.9683084600001</v>
      </c>
      <c r="I127" s="649">
        <f>B127/9399.71039137</f>
        <v>1.6323194714836022</v>
      </c>
      <c r="J127" s="649">
        <f>C127/9299.77625118</f>
        <v>1.3336193962845431</v>
      </c>
      <c r="K127" s="427"/>
    </row>
    <row r="128" spans="1:11" ht="15.75" hidden="1">
      <c r="A128" s="647" t="s">
        <v>27</v>
      </c>
      <c r="B128" s="648">
        <v>15606.571210440001</v>
      </c>
      <c r="C128" s="648">
        <v>12563.57153646</v>
      </c>
      <c r="D128" s="648">
        <v>10114.95929513</v>
      </c>
      <c r="E128" s="648">
        <v>8415.5411511500006</v>
      </c>
      <c r="F128" s="641">
        <f t="shared" si="10"/>
        <v>1699.4181439799995</v>
      </c>
      <c r="G128" s="641">
        <f t="shared" si="11"/>
        <v>2448.61224133</v>
      </c>
      <c r="H128" s="641">
        <f t="shared" si="16"/>
        <v>3042.9996739800008</v>
      </c>
      <c r="I128" s="649">
        <f>B128/9365.06754874</f>
        <v>1.6664664861429375</v>
      </c>
      <c r="J128" s="649">
        <f>C128/9291.34120768</f>
        <v>1.3521806223277273</v>
      </c>
      <c r="K128" s="427"/>
    </row>
    <row r="129" spans="1:15" ht="15.75" hidden="1">
      <c r="A129" s="647" t="s">
        <v>28</v>
      </c>
      <c r="B129" s="648">
        <v>15787.743941799999</v>
      </c>
      <c r="C129" s="648">
        <v>12649.589319520001</v>
      </c>
      <c r="D129" s="648">
        <v>10122.484978250002</v>
      </c>
      <c r="E129" s="648">
        <v>8383.5896026300015</v>
      </c>
      <c r="F129" s="641">
        <f t="shared" si="10"/>
        <v>1738.8953756200008</v>
      </c>
      <c r="G129" s="641">
        <f t="shared" si="11"/>
        <v>2527.1043412699983</v>
      </c>
      <c r="H129" s="641">
        <f t="shared" si="16"/>
        <v>3138.1546222799989</v>
      </c>
      <c r="I129" s="649">
        <f>B129/9427.26449336</f>
        <v>1.6746898268230344</v>
      </c>
      <c r="J129" s="649">
        <f>C129/9345.97705817</f>
        <v>1.3534796031263605</v>
      </c>
      <c r="K129" s="427"/>
    </row>
    <row r="130" spans="1:15" ht="15" customHeight="1">
      <c r="A130" s="647" t="s">
        <v>29</v>
      </c>
      <c r="B130" s="648">
        <v>16775.301806390002</v>
      </c>
      <c r="C130" s="648">
        <v>13806.376126880001</v>
      </c>
      <c r="D130" s="648">
        <v>11122.107094140001</v>
      </c>
      <c r="E130" s="648">
        <v>9256.6355256300012</v>
      </c>
      <c r="F130" s="641">
        <f t="shared" si="10"/>
        <v>1865.47156851</v>
      </c>
      <c r="G130" s="641">
        <f t="shared" si="11"/>
        <v>2684.2690327399996</v>
      </c>
      <c r="H130" s="641">
        <f t="shared" si="16"/>
        <v>2968.9256795100009</v>
      </c>
      <c r="I130" s="649">
        <f>B130/10660.29095014</f>
        <v>1.5736251369546057</v>
      </c>
      <c r="J130" s="649">
        <f>C130/10514.97205168</f>
        <v>1.3130207155114715</v>
      </c>
      <c r="K130" s="427"/>
    </row>
    <row r="131" spans="1:15" ht="15.75">
      <c r="A131" s="647" t="s">
        <v>1423</v>
      </c>
      <c r="B131" s="650">
        <v>19289.435054590002</v>
      </c>
      <c r="C131" s="650">
        <v>16434.781617190001</v>
      </c>
      <c r="D131" s="650">
        <v>12736.891463010001</v>
      </c>
      <c r="E131" s="650">
        <v>10458.65191457</v>
      </c>
      <c r="F131" s="655">
        <f>+D131-E131</f>
        <v>2278.2395484400004</v>
      </c>
      <c r="G131" s="655">
        <f>+C131-D131</f>
        <v>3697.8901541800005</v>
      </c>
      <c r="H131" s="655">
        <v>2854.6534373999998</v>
      </c>
      <c r="I131" s="656">
        <f>B131/11793.1140687</f>
        <v>1.6356523766513817</v>
      </c>
      <c r="J131" s="656">
        <f>C131/11641.99818107</f>
        <v>1.4116804831590777</v>
      </c>
      <c r="K131" s="431"/>
      <c r="O131" s="971"/>
    </row>
    <row r="132" spans="1:15" ht="15.75">
      <c r="A132" s="647" t="s">
        <v>18</v>
      </c>
      <c r="B132" s="648">
        <v>16619.294003679996</v>
      </c>
      <c r="C132" s="657">
        <v>13685.938089679998</v>
      </c>
      <c r="D132" s="657">
        <v>10644.165181889997</v>
      </c>
      <c r="E132" s="648">
        <v>8817.6326269999972</v>
      </c>
      <c r="F132" s="641">
        <f t="shared" si="10"/>
        <v>1826.53255489</v>
      </c>
      <c r="G132" s="641">
        <f t="shared" si="11"/>
        <v>3041.7729077900003</v>
      </c>
      <c r="H132" s="641">
        <f t="shared" ref="H132:H143" si="17">+B132-C132</f>
        <v>2933.3559139999979</v>
      </c>
      <c r="I132" s="649">
        <v>1.6721464700455222</v>
      </c>
      <c r="J132" s="649">
        <v>1.3904910200478435</v>
      </c>
      <c r="K132" s="427"/>
    </row>
    <row r="133" spans="1:15" ht="15.75">
      <c r="A133" s="647" t="s">
        <v>19</v>
      </c>
      <c r="B133" s="648">
        <v>16765.07061757</v>
      </c>
      <c r="C133" s="657">
        <v>13905.86568132</v>
      </c>
      <c r="D133" s="657">
        <v>10857.353180279999</v>
      </c>
      <c r="E133" s="648">
        <v>8857.5871575799993</v>
      </c>
      <c r="F133" s="641">
        <f t="shared" ref="F133:F143" si="18">+D133-E133</f>
        <v>1999.7660226999997</v>
      </c>
      <c r="G133" s="641">
        <f t="shared" ref="G133:G143" si="19">+C133-D133</f>
        <v>3048.5125010400006</v>
      </c>
      <c r="H133" s="641">
        <f t="shared" si="17"/>
        <v>2859.2049362500002</v>
      </c>
      <c r="I133" s="649">
        <v>1.6571170565070443</v>
      </c>
      <c r="J133" s="649">
        <v>1.3847324051629002</v>
      </c>
      <c r="K133" s="427"/>
    </row>
    <row r="134" spans="1:15" ht="15.75">
      <c r="A134" s="647" t="s">
        <v>20</v>
      </c>
      <c r="B134" s="648">
        <v>17445.146761240001</v>
      </c>
      <c r="C134" s="657">
        <v>14184.51769676</v>
      </c>
      <c r="D134" s="657">
        <v>11100.924572399999</v>
      </c>
      <c r="E134" s="648">
        <v>8999.1675183099997</v>
      </c>
      <c r="F134" s="641">
        <f t="shared" si="18"/>
        <v>2101.7570540899997</v>
      </c>
      <c r="G134" s="641">
        <f t="shared" si="19"/>
        <v>3083.5931243600007</v>
      </c>
      <c r="H134" s="641">
        <f t="shared" si="17"/>
        <v>3260.629064480001</v>
      </c>
      <c r="I134" s="649">
        <v>1.6967448825795475</v>
      </c>
      <c r="J134" s="649">
        <v>1.3911580330283637</v>
      </c>
      <c r="K134" s="427"/>
    </row>
    <row r="135" spans="1:15" ht="15.75">
      <c r="A135" s="647" t="s">
        <v>21</v>
      </c>
      <c r="B135" s="648">
        <v>17480.375318070004</v>
      </c>
      <c r="C135" s="657">
        <v>14369.789669550002</v>
      </c>
      <c r="D135" s="657">
        <v>11226.771211430001</v>
      </c>
      <c r="E135" s="648">
        <v>8983.8684096800007</v>
      </c>
      <c r="F135" s="641">
        <f t="shared" si="18"/>
        <v>2242.9028017500004</v>
      </c>
      <c r="G135" s="641">
        <f t="shared" si="19"/>
        <v>3143.018458120001</v>
      </c>
      <c r="H135" s="641">
        <f t="shared" si="17"/>
        <v>3110.585648520002</v>
      </c>
      <c r="I135" s="649">
        <v>1.7152550949082357</v>
      </c>
      <c r="J135" s="649">
        <v>1.4235192453333125</v>
      </c>
      <c r="K135" s="427"/>
    </row>
    <row r="136" spans="1:15" ht="15.75">
      <c r="A136" s="647" t="s">
        <v>22</v>
      </c>
      <c r="B136" s="648">
        <v>17633.851825450001</v>
      </c>
      <c r="C136" s="657">
        <v>14515.321340959999</v>
      </c>
      <c r="D136" s="657">
        <v>11292.06201098</v>
      </c>
      <c r="E136" s="648">
        <v>9098.2413375800006</v>
      </c>
      <c r="F136" s="641">
        <f t="shared" si="18"/>
        <v>2193.8206733999996</v>
      </c>
      <c r="G136" s="641">
        <f t="shared" si="19"/>
        <v>3223.2593299799992</v>
      </c>
      <c r="H136" s="641">
        <f t="shared" si="17"/>
        <v>3118.530484490002</v>
      </c>
      <c r="I136" s="649">
        <v>1.7285712322473208</v>
      </c>
      <c r="J136" s="649">
        <v>1.4338973268459452</v>
      </c>
      <c r="K136" s="427"/>
    </row>
    <row r="137" spans="1:15" ht="15.75">
      <c r="A137" s="647" t="s">
        <v>23</v>
      </c>
      <c r="B137" s="648">
        <v>17506.27939122</v>
      </c>
      <c r="C137" s="657">
        <v>14682.522197119999</v>
      </c>
      <c r="D137" s="657">
        <v>11470.314637539999</v>
      </c>
      <c r="E137" s="648">
        <v>9219.7418899999993</v>
      </c>
      <c r="F137" s="641">
        <f t="shared" si="18"/>
        <v>2250.5727475399999</v>
      </c>
      <c r="G137" s="641">
        <f t="shared" si="19"/>
        <v>3212.2075595799997</v>
      </c>
      <c r="H137" s="641">
        <f t="shared" si="17"/>
        <v>2823.7571941000006</v>
      </c>
      <c r="I137" s="649">
        <v>1.6944744665427538</v>
      </c>
      <c r="J137" s="649">
        <v>1.4301251335412597</v>
      </c>
      <c r="K137" s="427"/>
    </row>
    <row r="138" spans="1:15" ht="15.75">
      <c r="A138" s="647" t="s">
        <v>24</v>
      </c>
      <c r="B138" s="648">
        <v>17954.123068069999</v>
      </c>
      <c r="C138" s="657">
        <v>14916.31385235</v>
      </c>
      <c r="D138" s="657">
        <v>11630.12138758</v>
      </c>
      <c r="E138" s="648">
        <v>9455.0916630200009</v>
      </c>
      <c r="F138" s="641">
        <f t="shared" si="18"/>
        <v>2175.0297245599995</v>
      </c>
      <c r="G138" s="641">
        <f t="shared" si="19"/>
        <v>3286.1924647699998</v>
      </c>
      <c r="H138" s="641">
        <f t="shared" si="17"/>
        <v>3037.809215719999</v>
      </c>
      <c r="I138" s="649">
        <v>1.7051700634523843</v>
      </c>
      <c r="J138" s="649">
        <v>1.4304087105605003</v>
      </c>
      <c r="K138" s="427"/>
    </row>
    <row r="139" spans="1:15" ht="15.75">
      <c r="A139" s="647" t="s">
        <v>25</v>
      </c>
      <c r="B139" s="648">
        <v>18002.774504569999</v>
      </c>
      <c r="C139" s="657">
        <v>15163.179898129998</v>
      </c>
      <c r="D139" s="657">
        <v>11796.888803509999</v>
      </c>
      <c r="E139" s="648">
        <v>9516.862094189999</v>
      </c>
      <c r="F139" s="641">
        <f t="shared" si="18"/>
        <v>2280.02670932</v>
      </c>
      <c r="G139" s="641">
        <f t="shared" si="19"/>
        <v>3366.2910946199991</v>
      </c>
      <c r="H139" s="641">
        <f t="shared" si="17"/>
        <v>2839.5946064400014</v>
      </c>
      <c r="I139" s="649">
        <v>1.6842434995282807</v>
      </c>
      <c r="J139" s="649">
        <v>1.4281949480694616</v>
      </c>
      <c r="K139" s="427"/>
    </row>
    <row r="140" spans="1:15" ht="15.75">
      <c r="A140" s="647" t="s">
        <v>26</v>
      </c>
      <c r="B140" s="648">
        <v>18210.15378384</v>
      </c>
      <c r="C140" s="657">
        <v>15264.929494110002</v>
      </c>
      <c r="D140" s="657">
        <v>11817.306639800001</v>
      </c>
      <c r="E140" s="648">
        <v>9559.9543512400014</v>
      </c>
      <c r="F140" s="641">
        <f t="shared" si="18"/>
        <v>2257.3522885599996</v>
      </c>
      <c r="G140" s="641">
        <f t="shared" si="19"/>
        <v>3447.6228543100005</v>
      </c>
      <c r="H140" s="641">
        <f t="shared" si="17"/>
        <v>2945.2242897299984</v>
      </c>
      <c r="I140" s="649">
        <v>1.7022428598223125</v>
      </c>
      <c r="J140" s="649">
        <v>1.4378567166476752</v>
      </c>
      <c r="K140" s="427"/>
    </row>
    <row r="141" spans="1:15" ht="15.75">
      <c r="A141" s="647" t="s">
        <v>27</v>
      </c>
      <c r="B141" s="648">
        <v>18449.53917059</v>
      </c>
      <c r="C141" s="657">
        <v>15495.52054265</v>
      </c>
      <c r="D141" s="657">
        <v>11932.93009342</v>
      </c>
      <c r="E141" s="648">
        <v>9724.3504852099995</v>
      </c>
      <c r="F141" s="641">
        <f t="shared" si="18"/>
        <v>2208.5796082100005</v>
      </c>
      <c r="G141" s="641">
        <f t="shared" si="19"/>
        <v>3562.5904492299996</v>
      </c>
      <c r="H141" s="641">
        <f t="shared" si="17"/>
        <v>2954.0186279400004</v>
      </c>
      <c r="I141" s="649">
        <v>1.704568537878717</v>
      </c>
      <c r="J141" s="649">
        <v>1.443778575123204</v>
      </c>
      <c r="K141" s="427"/>
    </row>
    <row r="142" spans="1:15" ht="15.75">
      <c r="A142" s="647" t="s">
        <v>28</v>
      </c>
      <c r="B142" s="648">
        <v>18856.381558270001</v>
      </c>
      <c r="C142" s="657">
        <v>15673.90127194</v>
      </c>
      <c r="D142" s="657">
        <v>12078.14012874</v>
      </c>
      <c r="E142" s="648">
        <v>9849.35826094</v>
      </c>
      <c r="F142" s="641">
        <f t="shared" si="18"/>
        <v>2228.7818678000003</v>
      </c>
      <c r="G142" s="641">
        <f t="shared" si="19"/>
        <v>3595.7611431999994</v>
      </c>
      <c r="H142" s="641">
        <f t="shared" si="17"/>
        <v>3182.480286330001</v>
      </c>
      <c r="I142" s="649">
        <v>1.7299629583019163</v>
      </c>
      <c r="J142" s="649">
        <v>1.4523588556446883</v>
      </c>
      <c r="K142" s="427"/>
    </row>
    <row r="143" spans="1:15" ht="15.75">
      <c r="A143" s="647" t="s">
        <v>29</v>
      </c>
      <c r="B143" s="648">
        <v>19289.435054590002</v>
      </c>
      <c r="C143" s="648">
        <v>16434.781617190001</v>
      </c>
      <c r="D143" s="648">
        <v>12736.891463010001</v>
      </c>
      <c r="E143" s="648">
        <v>10458.65191457</v>
      </c>
      <c r="F143" s="641">
        <f t="shared" si="18"/>
        <v>2278.2395484400004</v>
      </c>
      <c r="G143" s="641">
        <f t="shared" si="19"/>
        <v>3697.8901541800005</v>
      </c>
      <c r="H143" s="641">
        <f t="shared" si="17"/>
        <v>2854.6534374000003</v>
      </c>
      <c r="I143" s="649">
        <f>B143/11793.1140687</f>
        <v>1.6356523766513817</v>
      </c>
      <c r="J143" s="649">
        <f>C143/11641.99818107</f>
        <v>1.4116804831590777</v>
      </c>
      <c r="K143" s="427"/>
    </row>
    <row r="144" spans="1:15" ht="15.75">
      <c r="A144" s="647" t="s">
        <v>1634</v>
      </c>
      <c r="B144" s="650">
        <v>21566.356923940002</v>
      </c>
      <c r="C144" s="650">
        <v>17435.832346269999</v>
      </c>
      <c r="D144" s="650">
        <v>12830.41682493</v>
      </c>
      <c r="E144" s="650">
        <v>10152.446650559999</v>
      </c>
      <c r="F144" s="655">
        <v>2677.9699999999993</v>
      </c>
      <c r="G144" s="655">
        <v>4605.4100000000017</v>
      </c>
      <c r="H144" s="658">
        <v>4130.5245776700003</v>
      </c>
      <c r="I144" s="656">
        <v>1.8173476654002096</v>
      </c>
      <c r="J144" s="656">
        <v>1.5106615595438837</v>
      </c>
      <c r="K144" s="431"/>
    </row>
    <row r="145" spans="1:11" ht="15.75">
      <c r="A145" s="647" t="s">
        <v>18</v>
      </c>
      <c r="B145" s="648">
        <v>19044.850621850001</v>
      </c>
      <c r="C145" s="648">
        <v>15982.879134549999</v>
      </c>
      <c r="D145" s="648">
        <v>12277.29921642</v>
      </c>
      <c r="E145" s="648">
        <v>9911.72793533</v>
      </c>
      <c r="F145" s="641">
        <f t="shared" ref="F145:F156" si="20">+D145-E145</f>
        <v>2365.5712810900004</v>
      </c>
      <c r="G145" s="641">
        <f t="shared" ref="G145:G156" si="21">+C145-D145</f>
        <v>3705.579918129999</v>
      </c>
      <c r="H145" s="641">
        <f t="shared" ref="H145:H156" si="22">+B145-C145</f>
        <v>3061.9714873000012</v>
      </c>
      <c r="I145" s="649">
        <f>B145/11142.59848311</f>
        <v>1.709192936523583</v>
      </c>
      <c r="J145" s="649">
        <f>C145/11038.06426639</f>
        <v>1.4479784452076943</v>
      </c>
      <c r="K145" s="427"/>
    </row>
    <row r="146" spans="1:11" ht="15.75">
      <c r="A146" s="647" t="s">
        <v>19</v>
      </c>
      <c r="B146" s="648">
        <v>19273.559708530003</v>
      </c>
      <c r="C146" s="648">
        <v>16124.661814100004</v>
      </c>
      <c r="D146" s="648">
        <v>12351.349887760003</v>
      </c>
      <c r="E146" s="648">
        <v>9956.127637800002</v>
      </c>
      <c r="F146" s="641">
        <f t="shared" si="20"/>
        <v>2395.2222499600011</v>
      </c>
      <c r="G146" s="641">
        <f t="shared" si="21"/>
        <v>3773.3119263400004</v>
      </c>
      <c r="H146" s="641">
        <f t="shared" si="22"/>
        <v>3148.8978944299997</v>
      </c>
      <c r="I146" s="649">
        <f>B146/11244.6306704</f>
        <v>1.714023365770927</v>
      </c>
      <c r="J146" s="649">
        <f>C146/11136.51575325</f>
        <v>1.4479090382819508</v>
      </c>
      <c r="K146" s="427"/>
    </row>
    <row r="147" spans="1:11" ht="15.75">
      <c r="A147" s="647" t="s">
        <v>20</v>
      </c>
      <c r="B147" s="648">
        <v>19377.016950549998</v>
      </c>
      <c r="C147" s="648">
        <v>16132.314188839999</v>
      </c>
      <c r="D147" s="648">
        <v>12300.490689139999</v>
      </c>
      <c r="E147" s="648">
        <v>9953.6108843599995</v>
      </c>
      <c r="F147" s="641">
        <f t="shared" si="20"/>
        <v>2346.8798047799992</v>
      </c>
      <c r="G147" s="641">
        <f t="shared" si="21"/>
        <v>3831.8234997</v>
      </c>
      <c r="H147" s="641">
        <f t="shared" si="22"/>
        <v>3244.7027617099993</v>
      </c>
      <c r="I147" s="649">
        <f>B147/11205.61089896</f>
        <v>1.7292245041587506</v>
      </c>
      <c r="J147" s="649">
        <f>C147/11107.08954202</f>
        <v>1.4524339727170401</v>
      </c>
      <c r="K147" s="427"/>
    </row>
    <row r="148" spans="1:11" ht="15.75">
      <c r="A148" s="647" t="s">
        <v>21</v>
      </c>
      <c r="B148" s="648">
        <v>19792.55909183</v>
      </c>
      <c r="C148" s="648">
        <v>16489.676849340001</v>
      </c>
      <c r="D148" s="648">
        <v>12437.767307470001</v>
      </c>
      <c r="E148" s="648">
        <v>10050.696633380001</v>
      </c>
      <c r="F148" s="641">
        <f t="shared" si="20"/>
        <v>2387.0706740900005</v>
      </c>
      <c r="G148" s="641">
        <f t="shared" si="21"/>
        <v>4051.9095418699999</v>
      </c>
      <c r="H148" s="641">
        <f t="shared" si="22"/>
        <v>3302.882242489999</v>
      </c>
      <c r="I148" s="649">
        <f>B148/11229.34687211</f>
        <v>1.7625743791910284</v>
      </c>
      <c r="J148" s="649">
        <f>C148/11105.02279736</f>
        <v>1.4848845563162731</v>
      </c>
      <c r="K148" s="427"/>
    </row>
    <row r="149" spans="1:11" ht="15.75">
      <c r="A149" s="647" t="s">
        <v>22</v>
      </c>
      <c r="B149" s="648">
        <v>19968.561496670001</v>
      </c>
      <c r="C149" s="648">
        <v>16695.74778433</v>
      </c>
      <c r="D149" s="648">
        <v>12545.777494470001</v>
      </c>
      <c r="E149" s="648">
        <v>10207.237598310001</v>
      </c>
      <c r="F149" s="641">
        <f t="shared" si="20"/>
        <v>2338.5398961600004</v>
      </c>
      <c r="G149" s="641">
        <f t="shared" si="21"/>
        <v>4149.970289859999</v>
      </c>
      <c r="H149" s="641">
        <f t="shared" si="22"/>
        <v>3272.8137123400011</v>
      </c>
      <c r="I149" s="649">
        <f>B149/11366.36131737</f>
        <v>1.7568121353096682</v>
      </c>
      <c r="J149" s="649">
        <f>C149/11272.23210588</f>
        <v>1.4811394608899953</v>
      </c>
      <c r="K149" s="427"/>
    </row>
    <row r="150" spans="1:11" ht="15.75">
      <c r="A150" s="647" t="s">
        <v>23</v>
      </c>
      <c r="B150" s="648">
        <v>20569.24647337</v>
      </c>
      <c r="C150" s="648">
        <v>17005.082993600001</v>
      </c>
      <c r="D150" s="648">
        <v>12710.57592689</v>
      </c>
      <c r="E150" s="648">
        <v>10335.523382650001</v>
      </c>
      <c r="F150" s="641">
        <f t="shared" si="20"/>
        <v>2375.0525442399994</v>
      </c>
      <c r="G150" s="641">
        <f t="shared" si="21"/>
        <v>4294.5070667100008</v>
      </c>
      <c r="H150" s="641">
        <f t="shared" si="22"/>
        <v>3564.163479769999</v>
      </c>
      <c r="I150" s="649">
        <f>B150/11858.05569204</f>
        <v>1.7346221849149852</v>
      </c>
      <c r="J150" s="649">
        <f>C150/11485.24218352</f>
        <v>1.4806029095320548</v>
      </c>
      <c r="K150" s="427"/>
    </row>
    <row r="151" spans="1:11" ht="15.75">
      <c r="A151" s="647" t="s">
        <v>24</v>
      </c>
      <c r="B151" s="648">
        <v>21225.399707740002</v>
      </c>
      <c r="C151" s="648">
        <v>17435.081794850001</v>
      </c>
      <c r="D151" s="648">
        <v>13036.8409484</v>
      </c>
      <c r="E151" s="648">
        <v>10508.858571300001</v>
      </c>
      <c r="F151" s="641">
        <f t="shared" si="20"/>
        <v>2527.9823770999992</v>
      </c>
      <c r="G151" s="641">
        <f t="shared" si="21"/>
        <v>4398.2408464500004</v>
      </c>
      <c r="H151" s="641">
        <f t="shared" si="22"/>
        <v>3790.317912890001</v>
      </c>
      <c r="I151" s="649">
        <f>B151/11580.61769406</f>
        <v>1.8328383052164015</v>
      </c>
      <c r="J151" s="649">
        <f>C151/11736.47385006</f>
        <v>1.4855468531343312</v>
      </c>
      <c r="K151" s="427"/>
    </row>
    <row r="152" spans="1:11" ht="15.75">
      <c r="A152" s="647" t="s">
        <v>25</v>
      </c>
      <c r="B152" s="648">
        <v>21306.395630089995</v>
      </c>
      <c r="C152" s="648">
        <v>17452.391032289997</v>
      </c>
      <c r="D152" s="648">
        <v>13000.9073837</v>
      </c>
      <c r="E152" s="648">
        <v>10488.02765717</v>
      </c>
      <c r="F152" s="641">
        <f t="shared" si="20"/>
        <v>2512.87972653</v>
      </c>
      <c r="G152" s="641">
        <f t="shared" si="21"/>
        <v>4451.4836485899978</v>
      </c>
      <c r="H152" s="641">
        <f t="shared" si="22"/>
        <v>3854.004597799998</v>
      </c>
      <c r="I152" s="649">
        <f>B152/11863.35000979</f>
        <v>1.7959847439810261</v>
      </c>
      <c r="J152" s="649">
        <f>C152/11743.63784422</f>
        <v>1.486114546769657</v>
      </c>
      <c r="K152" s="427"/>
    </row>
    <row r="153" spans="1:11" ht="15.75">
      <c r="A153" s="647" t="s">
        <v>26</v>
      </c>
      <c r="B153" s="648">
        <v>21133.128281450001</v>
      </c>
      <c r="C153" s="648">
        <v>17367.805316220001</v>
      </c>
      <c r="D153" s="648">
        <v>12834.779973070001</v>
      </c>
      <c r="E153" s="648">
        <v>10389.98032319</v>
      </c>
      <c r="F153" s="641">
        <f t="shared" si="20"/>
        <v>2444.7996498800003</v>
      </c>
      <c r="G153" s="641">
        <f t="shared" si="21"/>
        <v>4533.0253431500005</v>
      </c>
      <c r="H153" s="641">
        <f t="shared" si="22"/>
        <v>3765.3229652299997</v>
      </c>
      <c r="I153" s="649">
        <f>B153/11646.15601325</f>
        <v>1.8146011660333707</v>
      </c>
      <c r="J153" s="649">
        <f>C153/11546.46619261</f>
        <v>1.5041662987188054</v>
      </c>
      <c r="K153" s="427"/>
    </row>
    <row r="154" spans="1:11" ht="15.75">
      <c r="A154" s="647" t="s">
        <v>27</v>
      </c>
      <c r="B154" s="648">
        <v>21372.113561850001</v>
      </c>
      <c r="C154" s="648">
        <v>17370.041469</v>
      </c>
      <c r="D154" s="648">
        <v>12680.79816133</v>
      </c>
      <c r="E154" s="648">
        <v>10306.39262545</v>
      </c>
      <c r="F154" s="641">
        <f t="shared" si="20"/>
        <v>2374.4055358799997</v>
      </c>
      <c r="G154" s="641">
        <f t="shared" si="21"/>
        <v>4689.2433076699999</v>
      </c>
      <c r="H154" s="641">
        <f t="shared" si="22"/>
        <v>4002.0720928500014</v>
      </c>
      <c r="I154" s="649">
        <f>B154/11587.41070091</f>
        <v>1.8444253089408122</v>
      </c>
      <c r="J154" s="649">
        <f>C154/11478.00247364</f>
        <v>1.5133331351767403</v>
      </c>
      <c r="K154" s="427"/>
    </row>
    <row r="155" spans="1:11" ht="15.75">
      <c r="A155" s="647" t="s">
        <v>28</v>
      </c>
      <c r="B155" s="648">
        <v>21689.759412079999</v>
      </c>
      <c r="C155" s="648">
        <v>17525.152211060002</v>
      </c>
      <c r="D155" s="648">
        <v>12775.71631613</v>
      </c>
      <c r="E155" s="648">
        <v>10318.27858138</v>
      </c>
      <c r="F155" s="641">
        <f t="shared" si="20"/>
        <v>2457.4377347499994</v>
      </c>
      <c r="G155" s="641">
        <f t="shared" si="21"/>
        <v>4749.4358949300022</v>
      </c>
      <c r="H155" s="641">
        <f t="shared" si="22"/>
        <v>4164.6072010199969</v>
      </c>
      <c r="I155" s="649">
        <f>B155/11519.6732897</f>
        <v>1.8828450136231991</v>
      </c>
      <c r="J155" s="649">
        <f>C155/11601.09950925</f>
        <v>1.5106457967269851</v>
      </c>
      <c r="K155" s="427"/>
    </row>
    <row r="156" spans="1:11" ht="15.75">
      <c r="A156" s="647" t="s">
        <v>29</v>
      </c>
      <c r="B156" s="648">
        <v>21566.356923940002</v>
      </c>
      <c r="C156" s="648">
        <v>17435.832346269999</v>
      </c>
      <c r="D156" s="648">
        <v>12830.41682493</v>
      </c>
      <c r="E156" s="648">
        <v>10152.446650559999</v>
      </c>
      <c r="F156" s="641">
        <f t="shared" si="20"/>
        <v>2677.9701743700007</v>
      </c>
      <c r="G156" s="641">
        <f t="shared" si="21"/>
        <v>4605.415521339999</v>
      </c>
      <c r="H156" s="641">
        <f t="shared" si="22"/>
        <v>4130.5245776700031</v>
      </c>
      <c r="I156" s="649">
        <v>1.8173476654002096</v>
      </c>
      <c r="J156" s="649">
        <v>1.5106615595438837</v>
      </c>
      <c r="K156" s="427"/>
    </row>
    <row r="157" spans="1:11" ht="15.75">
      <c r="A157" s="647" t="s">
        <v>1829</v>
      </c>
      <c r="B157" s="650">
        <v>21286.906692420001</v>
      </c>
      <c r="C157" s="650">
        <v>8678.2990421600007</v>
      </c>
      <c r="D157" s="650">
        <v>6897.1760663599998</v>
      </c>
      <c r="E157" s="651">
        <v>4775.9298388499992</v>
      </c>
      <c r="F157" s="655">
        <v>2121.2462275099997</v>
      </c>
      <c r="G157" s="655">
        <v>1781.1229757999999</v>
      </c>
      <c r="H157" s="658">
        <v>12608.607650260003</v>
      </c>
      <c r="I157" s="658">
        <v>2.8196678929672037</v>
      </c>
      <c r="J157" s="658">
        <v>1.2479435709648579</v>
      </c>
      <c r="K157" s="432"/>
    </row>
    <row r="158" spans="1:11" ht="15.75">
      <c r="A158" s="647" t="s">
        <v>18</v>
      </c>
      <c r="B158" s="648">
        <v>20568.496779610003</v>
      </c>
      <c r="C158" s="648">
        <v>16236.448099690002</v>
      </c>
      <c r="D158" s="648">
        <v>11753.456382330001</v>
      </c>
      <c r="E158" s="648">
        <v>9347.9318318300011</v>
      </c>
      <c r="F158" s="641">
        <f t="shared" ref="F158:F169" si="23">+D158-E158</f>
        <v>2405.5245505000003</v>
      </c>
      <c r="G158" s="641">
        <f t="shared" ref="G158:G169" si="24">+C158-D158</f>
        <v>4482.9917173600006</v>
      </c>
      <c r="H158" s="641">
        <f t="shared" ref="H158:H169" si="25">+B158-C158</f>
        <v>4332.0486799200007</v>
      </c>
      <c r="I158" s="659">
        <f>B158/10760.3</f>
        <v>1.9115170375928183</v>
      </c>
      <c r="J158" s="659">
        <f>C158/10551</f>
        <v>1.5388539569415223</v>
      </c>
      <c r="K158" s="433"/>
    </row>
    <row r="159" spans="1:11" ht="15.75">
      <c r="A159" s="647" t="s">
        <v>19</v>
      </c>
      <c r="B159" s="648">
        <v>20106.168512470002</v>
      </c>
      <c r="C159" s="648">
        <v>13607.043731040001</v>
      </c>
      <c r="D159" s="648">
        <v>10108.17085468</v>
      </c>
      <c r="E159" s="648">
        <v>7957.7273295299992</v>
      </c>
      <c r="F159" s="641">
        <f t="shared" si="23"/>
        <v>2150.4435251500008</v>
      </c>
      <c r="G159" s="641">
        <f t="shared" si="24"/>
        <v>3498.8728763600011</v>
      </c>
      <c r="H159" s="641">
        <f t="shared" si="25"/>
        <v>6499.1247814300004</v>
      </c>
      <c r="I159" s="659">
        <f>B159/9736.1</f>
        <v>2.065115242496482</v>
      </c>
      <c r="J159" s="659">
        <f>C159/9109.9</f>
        <v>1.4936545660259719</v>
      </c>
      <c r="K159" s="433"/>
    </row>
    <row r="160" spans="1:11" ht="15.75">
      <c r="A160" s="647" t="s">
        <v>20</v>
      </c>
      <c r="B160" s="648">
        <v>19507.388854750003</v>
      </c>
      <c r="C160" s="648">
        <v>12493.102293259999</v>
      </c>
      <c r="D160" s="648">
        <v>9292.7423492199996</v>
      </c>
      <c r="E160" s="648">
        <v>7396.5971371999995</v>
      </c>
      <c r="F160" s="641">
        <f t="shared" si="23"/>
        <v>1896.1452120200001</v>
      </c>
      <c r="G160" s="641">
        <f t="shared" si="24"/>
        <v>3200.3599440399994</v>
      </c>
      <c r="H160" s="641">
        <f t="shared" si="25"/>
        <v>7014.2865614900038</v>
      </c>
      <c r="I160" s="659">
        <f>B160/8919.2</f>
        <v>2.1871231561967441</v>
      </c>
      <c r="J160" s="659">
        <f>C160/8339.4</f>
        <v>1.4980816717341774</v>
      </c>
      <c r="K160" s="433"/>
    </row>
    <row r="161" spans="1:11" ht="15.75">
      <c r="A161" s="647" t="s">
        <v>21</v>
      </c>
      <c r="B161" s="648">
        <v>18982.881093129996</v>
      </c>
      <c r="C161" s="648">
        <v>11004.003724679998</v>
      </c>
      <c r="D161" s="648">
        <v>8267.5681553599989</v>
      </c>
      <c r="E161" s="648">
        <v>6420.892682409999</v>
      </c>
      <c r="F161" s="641">
        <f t="shared" si="23"/>
        <v>1846.6754729499999</v>
      </c>
      <c r="G161" s="641">
        <f t="shared" si="24"/>
        <v>2736.4355693199996</v>
      </c>
      <c r="H161" s="641">
        <f t="shared" si="25"/>
        <v>7978.8773684499974</v>
      </c>
      <c r="I161" s="659">
        <v>2.4119946125892611</v>
      </c>
      <c r="J161" s="659">
        <v>1.4832987356104925</v>
      </c>
      <c r="K161" s="433"/>
    </row>
    <row r="162" spans="1:11" ht="15.75">
      <c r="A162" s="647" t="s">
        <v>22</v>
      </c>
      <c r="B162" s="648">
        <v>18966.810181410001</v>
      </c>
      <c r="C162" s="648">
        <v>11051.433248939999</v>
      </c>
      <c r="D162" s="648">
        <v>8363.1685384399989</v>
      </c>
      <c r="E162" s="648">
        <v>6492.6838619899991</v>
      </c>
      <c r="F162" s="641">
        <f t="shared" si="23"/>
        <v>1870.4846764499998</v>
      </c>
      <c r="G162" s="641">
        <f t="shared" si="24"/>
        <v>2688.2647104999996</v>
      </c>
      <c r="H162" s="641">
        <f t="shared" si="25"/>
        <v>7915.3769324700024</v>
      </c>
      <c r="I162" s="659">
        <v>2.3756917218833373</v>
      </c>
      <c r="J162" s="659">
        <v>1.4546527055664513</v>
      </c>
      <c r="K162" s="433"/>
    </row>
    <row r="163" spans="1:11" ht="15.75">
      <c r="A163" s="647" t="s">
        <v>23</v>
      </c>
      <c r="B163" s="648">
        <v>18849.36270107</v>
      </c>
      <c r="C163" s="648">
        <v>10991.807172729999</v>
      </c>
      <c r="D163" s="648">
        <v>8300.96849974</v>
      </c>
      <c r="E163" s="648">
        <v>6355.5817395400009</v>
      </c>
      <c r="F163" s="641">
        <f t="shared" si="23"/>
        <v>1945.3867601999991</v>
      </c>
      <c r="G163" s="641">
        <f t="shared" si="24"/>
        <v>2690.8386729899994</v>
      </c>
      <c r="H163" s="641">
        <f t="shared" si="25"/>
        <v>7857.5555283400008</v>
      </c>
      <c r="I163" s="659">
        <f>B163/7805.95695412</f>
        <v>2.4147407949926332</v>
      </c>
      <c r="J163" s="659">
        <f>C163/7487.04742452</f>
        <v>1.4681097299760582</v>
      </c>
      <c r="K163" s="433"/>
    </row>
    <row r="164" spans="1:11" ht="15.75">
      <c r="A164" s="647" t="s">
        <v>24</v>
      </c>
      <c r="B164" s="648">
        <v>18855.395081499999</v>
      </c>
      <c r="C164" s="648">
        <v>10853.4799398</v>
      </c>
      <c r="D164" s="648">
        <v>8213.610996129999</v>
      </c>
      <c r="E164" s="648">
        <v>6374.5305801599998</v>
      </c>
      <c r="F164" s="641">
        <f t="shared" si="23"/>
        <v>1839.0804159699992</v>
      </c>
      <c r="G164" s="641">
        <f t="shared" si="24"/>
        <v>2639.8689436700006</v>
      </c>
      <c r="H164" s="641">
        <f t="shared" si="25"/>
        <v>8001.9151416999994</v>
      </c>
      <c r="I164" s="659">
        <v>2.4193974489098391</v>
      </c>
      <c r="J164" s="659">
        <v>1.4534360945013147</v>
      </c>
      <c r="K164" s="433"/>
    </row>
    <row r="165" spans="1:11" ht="15.75">
      <c r="A165" s="647" t="s">
        <v>25</v>
      </c>
      <c r="B165" s="648">
        <v>17734.26952061</v>
      </c>
      <c r="C165" s="648">
        <v>9545.6573157900002</v>
      </c>
      <c r="D165" s="648">
        <v>7089.4702486599999</v>
      </c>
      <c r="E165" s="648">
        <v>5502.7975276999996</v>
      </c>
      <c r="F165" s="641">
        <f t="shared" si="23"/>
        <v>1586.6727209600003</v>
      </c>
      <c r="G165" s="641">
        <f t="shared" si="24"/>
        <v>2456.1870671300003</v>
      </c>
      <c r="H165" s="641">
        <f t="shared" si="25"/>
        <v>8188.6122048199995</v>
      </c>
      <c r="I165" s="659">
        <v>2.5753044431594585</v>
      </c>
      <c r="J165" s="659">
        <v>1.5027635663937096</v>
      </c>
      <c r="K165" s="433"/>
    </row>
    <row r="166" spans="1:11" ht="15.75">
      <c r="A166" s="647" t="s">
        <v>26</v>
      </c>
      <c r="B166" s="648">
        <v>17684.024126320001</v>
      </c>
      <c r="C166" s="648">
        <v>9368.9163284799997</v>
      </c>
      <c r="D166" s="648">
        <v>7189.0388596799994</v>
      </c>
      <c r="E166" s="648">
        <v>5456.9277923699992</v>
      </c>
      <c r="F166" s="641">
        <f t="shared" si="23"/>
        <v>1732.1110673100002</v>
      </c>
      <c r="G166" s="641">
        <f t="shared" si="24"/>
        <v>2179.8774688000003</v>
      </c>
      <c r="H166" s="641">
        <f t="shared" si="25"/>
        <v>8315.1077978400008</v>
      </c>
      <c r="I166" s="659">
        <v>2.3787092797675209</v>
      </c>
      <c r="J166" s="659">
        <v>1.3288404247504946</v>
      </c>
      <c r="K166" s="433"/>
    </row>
    <row r="167" spans="1:11" ht="15.75">
      <c r="A167" s="647" t="s">
        <v>27</v>
      </c>
      <c r="B167" s="648">
        <v>17369.486130060002</v>
      </c>
      <c r="C167" s="648">
        <v>9363.6434162200003</v>
      </c>
      <c r="D167" s="648">
        <v>7214.6952885000001</v>
      </c>
      <c r="E167" s="648">
        <v>5429.3218914600002</v>
      </c>
      <c r="F167" s="641">
        <f t="shared" si="23"/>
        <v>1785.3733970399999</v>
      </c>
      <c r="G167" s="641">
        <f t="shared" si="24"/>
        <v>2148.9481277200002</v>
      </c>
      <c r="H167" s="641">
        <f t="shared" si="25"/>
        <v>8005.842713840002</v>
      </c>
      <c r="I167" s="659">
        <v>2.3614700728936815</v>
      </c>
      <c r="J167" s="659">
        <v>1.3270714194309137</v>
      </c>
      <c r="K167" s="433"/>
    </row>
    <row r="168" spans="1:11" ht="15.75">
      <c r="A168" s="647" t="s">
        <v>28</v>
      </c>
      <c r="B168" s="648">
        <v>17444.479127290004</v>
      </c>
      <c r="C168" s="648">
        <v>9050.0356780599996</v>
      </c>
      <c r="D168" s="648">
        <v>6980.3385701999996</v>
      </c>
      <c r="E168" s="648">
        <v>5176.8949734799999</v>
      </c>
      <c r="F168" s="641">
        <f t="shared" si="23"/>
        <v>1803.4435967199997</v>
      </c>
      <c r="G168" s="641">
        <f t="shared" si="24"/>
        <v>2069.69710786</v>
      </c>
      <c r="H168" s="641">
        <f t="shared" si="25"/>
        <v>8394.4434492300043</v>
      </c>
      <c r="I168" s="659">
        <v>2.4912826591881054</v>
      </c>
      <c r="J168" s="659">
        <v>1.3446145268688459</v>
      </c>
      <c r="K168" s="433"/>
    </row>
    <row r="169" spans="1:11" ht="15.75">
      <c r="A169" s="647" t="s">
        <v>29</v>
      </c>
      <c r="B169" s="648">
        <v>21286.906692420001</v>
      </c>
      <c r="C169" s="648">
        <v>8678.2990421600007</v>
      </c>
      <c r="D169" s="648">
        <v>6897.1760663599998</v>
      </c>
      <c r="E169" s="648">
        <v>4775.9298388499992</v>
      </c>
      <c r="F169" s="641">
        <f t="shared" si="23"/>
        <v>2121.2462275100006</v>
      </c>
      <c r="G169" s="641">
        <f t="shared" si="24"/>
        <v>1781.1229758000009</v>
      </c>
      <c r="H169" s="641">
        <f t="shared" si="25"/>
        <v>12608.607650260001</v>
      </c>
      <c r="I169" s="659">
        <v>2.8196678929672037</v>
      </c>
      <c r="J169" s="659">
        <v>1.2479435709648579</v>
      </c>
      <c r="K169" s="433"/>
    </row>
    <row r="170" spans="1:11" ht="15.75">
      <c r="A170" s="647" t="s">
        <v>1852</v>
      </c>
      <c r="B170" s="650">
        <v>20889.60021746</v>
      </c>
      <c r="C170" s="650">
        <v>11546.345588359998</v>
      </c>
      <c r="D170" s="650">
        <v>8960.3194293800007</v>
      </c>
      <c r="E170" s="650">
        <v>6376.8612587300004</v>
      </c>
      <c r="F170" s="655">
        <v>2583.4581706500003</v>
      </c>
      <c r="G170" s="655">
        <v>2586.0261589799975</v>
      </c>
      <c r="H170" s="658">
        <v>9343.2546291000017</v>
      </c>
      <c r="I170" s="660">
        <v>2.262545171702131</v>
      </c>
      <c r="J170" s="660">
        <v>1.4689103140166848</v>
      </c>
      <c r="K170" s="434"/>
    </row>
    <row r="171" spans="1:11" ht="15.75">
      <c r="A171" s="647" t="s">
        <v>18</v>
      </c>
      <c r="B171" s="648">
        <v>19930.189747889999</v>
      </c>
      <c r="C171" s="648">
        <v>8001.7370589800003</v>
      </c>
      <c r="D171" s="648">
        <v>6273.7305376800005</v>
      </c>
      <c r="E171" s="648">
        <v>4485.0199975200003</v>
      </c>
      <c r="F171" s="641">
        <f t="shared" ref="F171:F182" si="26">+D171-E171</f>
        <v>1788.7105401600002</v>
      </c>
      <c r="G171" s="641">
        <f t="shared" ref="G171:G182" si="27">+C171-D171</f>
        <v>1728.0065212999998</v>
      </c>
      <c r="H171" s="641">
        <f t="shared" ref="H171:H182" si="28">+B171-C171</f>
        <v>11928.452688909998</v>
      </c>
      <c r="I171" s="659">
        <v>2.9878829273078433</v>
      </c>
      <c r="J171" s="659">
        <v>1.3714792706997698</v>
      </c>
      <c r="K171" s="433"/>
    </row>
    <row r="172" spans="1:11" ht="15.75">
      <c r="A172" s="647" t="s">
        <v>19</v>
      </c>
      <c r="B172" s="648">
        <v>19598.843331969998</v>
      </c>
      <c r="C172" s="648">
        <v>8686.374386129999</v>
      </c>
      <c r="D172" s="648">
        <v>6793.208220819999</v>
      </c>
      <c r="E172" s="648">
        <v>4960.2093008299989</v>
      </c>
      <c r="F172" s="641">
        <f t="shared" si="26"/>
        <v>1832.9989199900001</v>
      </c>
      <c r="G172" s="641">
        <f t="shared" si="27"/>
        <v>1893.16616531</v>
      </c>
      <c r="H172" s="641">
        <f t="shared" si="28"/>
        <v>10912.468945839999</v>
      </c>
      <c r="I172" s="659">
        <v>2.6780210558047215</v>
      </c>
      <c r="J172" s="659">
        <v>1.3596791234265759</v>
      </c>
      <c r="K172" s="433"/>
    </row>
    <row r="173" spans="1:11" ht="15.75">
      <c r="A173" s="647" t="s">
        <v>20</v>
      </c>
      <c r="B173" s="648">
        <v>20635.115918739997</v>
      </c>
      <c r="C173" s="648">
        <v>8943.0222277999983</v>
      </c>
      <c r="D173" s="648">
        <v>7054.626238339999</v>
      </c>
      <c r="E173" s="648">
        <v>5034.9219722600001</v>
      </c>
      <c r="F173" s="641">
        <f t="shared" si="26"/>
        <v>2019.7042660799989</v>
      </c>
      <c r="G173" s="641">
        <f t="shared" si="27"/>
        <v>1888.3959894599993</v>
      </c>
      <c r="H173" s="641">
        <f t="shared" si="28"/>
        <v>11692.093690939999</v>
      </c>
      <c r="I173" s="659">
        <v>2.7878086780290015</v>
      </c>
      <c r="J173" s="659">
        <v>1.3683115610931937</v>
      </c>
      <c r="K173" s="433"/>
    </row>
    <row r="174" spans="1:11" ht="15.75">
      <c r="A174" s="647" t="s">
        <v>21</v>
      </c>
      <c r="B174" s="648">
        <v>20565.732357829998</v>
      </c>
      <c r="C174" s="648">
        <v>9205.7599008200013</v>
      </c>
      <c r="D174" s="648">
        <v>7413.6629222600004</v>
      </c>
      <c r="E174" s="648">
        <v>5303.4540515999997</v>
      </c>
      <c r="F174" s="641">
        <f t="shared" si="26"/>
        <v>2110.2088706600007</v>
      </c>
      <c r="G174" s="641">
        <f t="shared" si="27"/>
        <v>1792.0969785600009</v>
      </c>
      <c r="H174" s="641">
        <f t="shared" si="28"/>
        <v>11359.972457009997</v>
      </c>
      <c r="I174" s="659">
        <v>2.7521133958944479</v>
      </c>
      <c r="J174" s="659">
        <v>1.3686679392563545</v>
      </c>
      <c r="K174" s="433"/>
    </row>
    <row r="175" spans="1:11" ht="15.75">
      <c r="A175" s="647" t="s">
        <v>22</v>
      </c>
      <c r="B175" s="648">
        <v>20629.738338640003</v>
      </c>
      <c r="C175" s="648">
        <v>9600.7096369200008</v>
      </c>
      <c r="D175" s="648">
        <v>7747.2930034299998</v>
      </c>
      <c r="E175" s="648">
        <v>5578.3520348499997</v>
      </c>
      <c r="F175" s="641">
        <f t="shared" si="26"/>
        <v>2168.9409685800001</v>
      </c>
      <c r="G175" s="641">
        <f t="shared" si="27"/>
        <v>1853.416633490001</v>
      </c>
      <c r="H175" s="641">
        <f t="shared" si="28"/>
        <v>11029.028701720003</v>
      </c>
      <c r="I175" s="659">
        <v>2.47252751042195</v>
      </c>
      <c r="J175" s="659">
        <v>1.2563698599189137</v>
      </c>
      <c r="K175" s="433"/>
    </row>
    <row r="176" spans="1:11" ht="15.75">
      <c r="A176" s="647" t="s">
        <v>23</v>
      </c>
      <c r="B176" s="648">
        <v>20851.484831909998</v>
      </c>
      <c r="C176" s="648">
        <v>9806.5437926799987</v>
      </c>
      <c r="D176" s="648">
        <v>8017.5761419299988</v>
      </c>
      <c r="E176" s="648">
        <v>5670.8826329499989</v>
      </c>
      <c r="F176" s="641">
        <f t="shared" si="26"/>
        <v>2346.6935089799999</v>
      </c>
      <c r="G176" s="641">
        <f t="shared" si="27"/>
        <v>1788.9676507499998</v>
      </c>
      <c r="H176" s="641">
        <f t="shared" si="28"/>
        <v>11044.94103923</v>
      </c>
      <c r="I176" s="659">
        <v>2.5007872009271188</v>
      </c>
      <c r="J176" s="659">
        <v>1.2753408603448557</v>
      </c>
      <c r="K176" s="433"/>
    </row>
    <row r="177" spans="1:11" ht="15.75">
      <c r="A177" s="647" t="s">
        <v>24</v>
      </c>
      <c r="B177" s="648">
        <v>21101.894291910001</v>
      </c>
      <c r="C177" s="648">
        <v>10096.59923992</v>
      </c>
      <c r="D177" s="648">
        <v>8401.8279695199999</v>
      </c>
      <c r="E177" s="648">
        <v>5839.5343421199996</v>
      </c>
      <c r="F177" s="641">
        <f t="shared" si="26"/>
        <v>2562.2936274000003</v>
      </c>
      <c r="G177" s="641">
        <f t="shared" si="27"/>
        <v>1694.7712704000005</v>
      </c>
      <c r="H177" s="641">
        <f t="shared" si="28"/>
        <v>11005.295051990001</v>
      </c>
      <c r="I177" s="659">
        <v>2.4470903231284145</v>
      </c>
      <c r="J177" s="659">
        <v>1.3218688157223337</v>
      </c>
      <c r="K177" s="433"/>
    </row>
    <row r="178" spans="1:11" ht="15.75">
      <c r="A178" s="647" t="s">
        <v>25</v>
      </c>
      <c r="B178" s="648">
        <v>21154.054504629999</v>
      </c>
      <c r="C178" s="648">
        <v>9861.4011032899998</v>
      </c>
      <c r="D178" s="648">
        <v>8159.2362568600001</v>
      </c>
      <c r="E178" s="648">
        <v>5763.4195158299999</v>
      </c>
      <c r="F178" s="641">
        <f t="shared" si="26"/>
        <v>2395.8167410300002</v>
      </c>
      <c r="G178" s="641">
        <f t="shared" si="27"/>
        <v>1702.1648464299997</v>
      </c>
      <c r="H178" s="641">
        <f t="shared" si="28"/>
        <v>11292.65340134</v>
      </c>
      <c r="I178" s="659">
        <v>2.4952033745273718</v>
      </c>
      <c r="J178" s="659">
        <v>1.3304324530075842</v>
      </c>
      <c r="K178" s="433"/>
    </row>
    <row r="179" spans="1:11" ht="15.75">
      <c r="A179" s="647" t="s">
        <v>26</v>
      </c>
      <c r="B179" s="648">
        <v>20134.15021711</v>
      </c>
      <c r="C179" s="648">
        <v>9966.4070786499997</v>
      </c>
      <c r="D179" s="648">
        <v>8346.1160196000001</v>
      </c>
      <c r="E179" s="648">
        <v>5682.6459268299996</v>
      </c>
      <c r="F179" s="641">
        <f t="shared" si="26"/>
        <v>2663.4700927700005</v>
      </c>
      <c r="G179" s="641">
        <f t="shared" si="27"/>
        <v>1620.2910590499996</v>
      </c>
      <c r="H179" s="641">
        <f t="shared" si="28"/>
        <v>10167.74313846</v>
      </c>
      <c r="I179" s="659">
        <v>2.5211986642150226</v>
      </c>
      <c r="J179" s="659">
        <v>1.4634288701292566</v>
      </c>
      <c r="K179" s="433"/>
    </row>
    <row r="180" spans="1:11" ht="15.75">
      <c r="A180" s="647" t="s">
        <v>27</v>
      </c>
      <c r="B180" s="648">
        <v>20122.583980270003</v>
      </c>
      <c r="C180" s="648">
        <v>10679.031813640002</v>
      </c>
      <c r="D180" s="648">
        <v>8157.7111382000003</v>
      </c>
      <c r="E180" s="648">
        <v>5742.2880397099998</v>
      </c>
      <c r="F180" s="641">
        <f t="shared" si="26"/>
        <v>2415.4230984900005</v>
      </c>
      <c r="G180" s="641">
        <f t="shared" si="27"/>
        <v>2521.3206754400017</v>
      </c>
      <c r="H180" s="641">
        <f t="shared" si="28"/>
        <v>9443.552166630001</v>
      </c>
      <c r="I180" s="659">
        <v>2.2885179294587275</v>
      </c>
      <c r="J180" s="659">
        <v>1.4336371573397666</v>
      </c>
      <c r="K180" s="433"/>
    </row>
    <row r="181" spans="1:11" ht="15.75">
      <c r="A181" s="647" t="s">
        <v>28</v>
      </c>
      <c r="B181" s="648">
        <v>20271.875552699999</v>
      </c>
      <c r="C181" s="648">
        <v>10942.423036389999</v>
      </c>
      <c r="D181" s="648">
        <v>8387.0036374700012</v>
      </c>
      <c r="E181" s="648">
        <v>5833.5362335000009</v>
      </c>
      <c r="F181" s="641">
        <f t="shared" si="26"/>
        <v>2553.4674039700003</v>
      </c>
      <c r="G181" s="641">
        <f t="shared" si="27"/>
        <v>2555.4193989199975</v>
      </c>
      <c r="H181" s="641">
        <f t="shared" si="28"/>
        <v>9329.4525163100006</v>
      </c>
      <c r="I181" s="659">
        <v>2.2385593349535338</v>
      </c>
      <c r="J181" s="659">
        <v>1.420685206397639</v>
      </c>
      <c r="K181" s="433"/>
    </row>
    <row r="182" spans="1:11" ht="15.75">
      <c r="A182" s="647" t="s">
        <v>29</v>
      </c>
      <c r="B182" s="648">
        <v>20889.60021746</v>
      </c>
      <c r="C182" s="648">
        <v>11546.345588359998</v>
      </c>
      <c r="D182" s="648">
        <v>8960.3194293800007</v>
      </c>
      <c r="E182" s="648">
        <v>6376.8612587300004</v>
      </c>
      <c r="F182" s="641">
        <f t="shared" si="26"/>
        <v>2583.4581706500003</v>
      </c>
      <c r="G182" s="641">
        <f t="shared" si="27"/>
        <v>2586.0261589799975</v>
      </c>
      <c r="H182" s="641">
        <f t="shared" si="28"/>
        <v>9343.2546291000017</v>
      </c>
      <c r="I182" s="649">
        <v>2.262545171702131</v>
      </c>
      <c r="J182" s="649">
        <v>1.4689103140166848</v>
      </c>
      <c r="K182" s="427"/>
    </row>
    <row r="183" spans="1:11" ht="15.75">
      <c r="A183" s="647" t="s">
        <v>1915</v>
      </c>
      <c r="B183" s="650">
        <v>22772.070451020001</v>
      </c>
      <c r="C183" s="650">
        <v>12466.432601679999</v>
      </c>
      <c r="D183" s="650">
        <v>10544.24328447</v>
      </c>
      <c r="E183" s="650">
        <v>7490.3292875799998</v>
      </c>
      <c r="F183" s="655">
        <v>3053.9139968899999</v>
      </c>
      <c r="G183" s="655">
        <v>1922.1893172100008</v>
      </c>
      <c r="H183" s="658">
        <v>10305.637849340001</v>
      </c>
      <c r="I183" s="660">
        <v>2.3065899360824305</v>
      </c>
      <c r="J183" s="660">
        <v>1.4592220802503841</v>
      </c>
      <c r="K183" s="434"/>
    </row>
    <row r="184" spans="1:11" ht="15.75">
      <c r="A184" s="647" t="s">
        <v>18</v>
      </c>
      <c r="B184" s="648">
        <v>21034.853885190001</v>
      </c>
      <c r="C184" s="648">
        <v>10749.334211820002</v>
      </c>
      <c r="D184" s="648">
        <v>8185.5091272900008</v>
      </c>
      <c r="E184" s="648">
        <v>5922.8646124000006</v>
      </c>
      <c r="F184" s="641">
        <f t="shared" ref="F184:F195" si="29">+D184-E184</f>
        <v>2262.6445148900002</v>
      </c>
      <c r="G184" s="641">
        <f t="shared" ref="G184:G195" si="30">+C184-D184</f>
        <v>2563.8250845300008</v>
      </c>
      <c r="H184" s="641">
        <f t="shared" ref="H184:H195" si="31">+B184-C184</f>
        <v>10285.51967337</v>
      </c>
      <c r="I184" s="659">
        <v>2.4089769238370815</v>
      </c>
      <c r="J184" s="659">
        <v>1.4661510320916127</v>
      </c>
      <c r="K184" s="433"/>
    </row>
    <row r="185" spans="1:11" ht="15.75">
      <c r="A185" s="647" t="s">
        <v>19</v>
      </c>
      <c r="B185" s="648">
        <v>20151.20437938</v>
      </c>
      <c r="C185" s="648">
        <v>10764.027273760001</v>
      </c>
      <c r="D185" s="648">
        <v>8240.1815955700004</v>
      </c>
      <c r="E185" s="648">
        <v>5993.1957093400006</v>
      </c>
      <c r="F185" s="641">
        <f t="shared" si="29"/>
        <v>2246.9858862299998</v>
      </c>
      <c r="G185" s="641">
        <f t="shared" si="30"/>
        <v>2523.8456781900004</v>
      </c>
      <c r="H185" s="641">
        <f t="shared" si="31"/>
        <v>9387.1771056199996</v>
      </c>
      <c r="I185" s="659">
        <v>2.4172510694987022</v>
      </c>
      <c r="J185" s="659">
        <v>1.5405878914650819</v>
      </c>
      <c r="K185" s="433"/>
    </row>
    <row r="186" spans="1:11" ht="15.75">
      <c r="A186" s="647" t="s">
        <v>20</v>
      </c>
      <c r="B186" s="648">
        <v>19902.926428369996</v>
      </c>
      <c r="C186" s="648">
        <v>10981.98176076</v>
      </c>
      <c r="D186" s="648">
        <v>8410.8354666600007</v>
      </c>
      <c r="E186" s="648">
        <v>6145.2257449200006</v>
      </c>
      <c r="F186" s="641">
        <f t="shared" si="29"/>
        <v>2265.6097217400002</v>
      </c>
      <c r="G186" s="641">
        <f t="shared" si="30"/>
        <v>2571.1462940999991</v>
      </c>
      <c r="H186" s="641">
        <f t="shared" si="31"/>
        <v>8920.944667609996</v>
      </c>
      <c r="I186" s="659">
        <v>2.0824738253519901</v>
      </c>
      <c r="J186" s="659">
        <v>1.5090247374514991</v>
      </c>
      <c r="K186" s="433"/>
    </row>
    <row r="187" spans="1:11" ht="15.75">
      <c r="A187" s="647" t="s">
        <v>21</v>
      </c>
      <c r="B187" s="648">
        <v>21081.806728429998</v>
      </c>
      <c r="C187" s="648">
        <v>11610.051899549999</v>
      </c>
      <c r="D187" s="648">
        <v>8955.4247405699989</v>
      </c>
      <c r="E187" s="648">
        <v>6348.5955752299997</v>
      </c>
      <c r="F187" s="641">
        <f t="shared" si="29"/>
        <v>2606.8291653399992</v>
      </c>
      <c r="G187" s="641">
        <f t="shared" si="30"/>
        <v>2654.6271589799999</v>
      </c>
      <c r="H187" s="641">
        <f t="shared" si="31"/>
        <v>9471.754828879999</v>
      </c>
      <c r="I187" s="659">
        <v>2.034185510256131</v>
      </c>
      <c r="J187" s="659">
        <v>1.5220074193648607</v>
      </c>
      <c r="K187" s="433"/>
    </row>
    <row r="188" spans="1:11" ht="15.75">
      <c r="A188" s="647" t="s">
        <v>22</v>
      </c>
      <c r="B188" s="648">
        <v>20856.365933829999</v>
      </c>
      <c r="C188" s="648">
        <v>11568.538726760002</v>
      </c>
      <c r="D188" s="648">
        <v>8930.5077434800005</v>
      </c>
      <c r="E188" s="648">
        <v>6538.2719209699999</v>
      </c>
      <c r="F188" s="641">
        <f t="shared" si="29"/>
        <v>2392.2358225100006</v>
      </c>
      <c r="G188" s="641">
        <f t="shared" si="30"/>
        <v>2638.0309832800012</v>
      </c>
      <c r="H188" s="641">
        <f t="shared" si="31"/>
        <v>9287.8272070699968</v>
      </c>
      <c r="I188" s="659">
        <v>2.0674356756591137</v>
      </c>
      <c r="J188" s="659">
        <v>1.4853028431212567</v>
      </c>
      <c r="K188" s="433"/>
    </row>
    <row r="189" spans="1:11" ht="15.75">
      <c r="A189" s="647" t="s">
        <v>23</v>
      </c>
      <c r="B189" s="648">
        <v>20973.00448946</v>
      </c>
      <c r="C189" s="648">
        <v>11435.887373869999</v>
      </c>
      <c r="D189" s="648">
        <v>9263.3680122499991</v>
      </c>
      <c r="E189" s="648">
        <v>6774.4474925899995</v>
      </c>
      <c r="F189" s="641">
        <f t="shared" si="29"/>
        <v>2488.9205196599996</v>
      </c>
      <c r="G189" s="641">
        <f t="shared" si="30"/>
        <v>2172.5193616199995</v>
      </c>
      <c r="H189" s="641">
        <f t="shared" si="31"/>
        <v>9537.117115590001</v>
      </c>
      <c r="I189" s="659">
        <v>1.9925232048959938</v>
      </c>
      <c r="J189" s="659">
        <v>1.382067948352103</v>
      </c>
      <c r="K189" s="433"/>
    </row>
    <row r="190" spans="1:11" ht="15.75">
      <c r="A190" s="647" t="s">
        <v>24</v>
      </c>
      <c r="B190" s="648">
        <v>20824.384832039999</v>
      </c>
      <c r="C190" s="648">
        <v>11338.46891634</v>
      </c>
      <c r="D190" s="648">
        <v>9288.6927007600007</v>
      </c>
      <c r="E190" s="648">
        <v>6937.0088353600004</v>
      </c>
      <c r="F190" s="641">
        <f t="shared" si="29"/>
        <v>2351.6838654000003</v>
      </c>
      <c r="G190" s="641">
        <f t="shared" si="30"/>
        <v>2049.7762155799992</v>
      </c>
      <c r="H190" s="641">
        <f t="shared" si="31"/>
        <v>9485.9159156999995</v>
      </c>
      <c r="I190" s="659">
        <v>1.9429022912479734</v>
      </c>
      <c r="J190" s="659">
        <v>1.3606945351379982</v>
      </c>
      <c r="K190" s="433"/>
    </row>
    <row r="191" spans="1:11" ht="15.75">
      <c r="A191" s="647" t="s">
        <v>25</v>
      </c>
      <c r="B191" s="648">
        <v>20556.303320810002</v>
      </c>
      <c r="C191" s="648">
        <v>11137.54601199</v>
      </c>
      <c r="D191" s="648">
        <v>9402.3546518900002</v>
      </c>
      <c r="E191" s="648">
        <v>7001.1362198799998</v>
      </c>
      <c r="F191" s="641">
        <f t="shared" si="29"/>
        <v>2401.2184320100005</v>
      </c>
      <c r="G191" s="641">
        <f t="shared" si="30"/>
        <v>1735.1913600999997</v>
      </c>
      <c r="H191" s="641">
        <f t="shared" si="31"/>
        <v>9418.7573088200024</v>
      </c>
      <c r="I191" s="659">
        <v>1.9282495713049725</v>
      </c>
      <c r="J191" s="659">
        <v>1.3151827535940901</v>
      </c>
      <c r="K191" s="433"/>
    </row>
    <row r="192" spans="1:11" ht="15.75">
      <c r="A192" s="647" t="s">
        <v>26</v>
      </c>
      <c r="B192" s="648">
        <v>21133.719188669998</v>
      </c>
      <c r="C192" s="648">
        <v>11464.497166829999</v>
      </c>
      <c r="D192" s="648">
        <v>9800.7255201099979</v>
      </c>
      <c r="E192" s="648">
        <v>7092.301789789999</v>
      </c>
      <c r="F192" s="641">
        <f t="shared" si="29"/>
        <v>2708.4237303199989</v>
      </c>
      <c r="G192" s="641">
        <f t="shared" si="30"/>
        <v>1663.7716467200007</v>
      </c>
      <c r="H192" s="641">
        <f t="shared" si="31"/>
        <v>9669.2220218399998</v>
      </c>
      <c r="I192" s="659">
        <v>2.106573574853837</v>
      </c>
      <c r="J192" s="659">
        <v>1.3221347625558166</v>
      </c>
      <c r="K192" s="433"/>
    </row>
    <row r="193" spans="1:11" ht="15.75">
      <c r="A193" s="647" t="s">
        <v>27</v>
      </c>
      <c r="B193" s="648">
        <v>21449.6211415</v>
      </c>
      <c r="C193" s="648">
        <v>11546.72964532</v>
      </c>
      <c r="D193" s="648">
        <v>9718.6465609300012</v>
      </c>
      <c r="E193" s="648">
        <v>7089.7548597200011</v>
      </c>
      <c r="F193" s="641">
        <f t="shared" si="29"/>
        <v>2628.8917012100001</v>
      </c>
      <c r="G193" s="641">
        <f t="shared" si="30"/>
        <v>1828.0830843899985</v>
      </c>
      <c r="H193" s="641">
        <f t="shared" si="31"/>
        <v>9902.8914961800001</v>
      </c>
      <c r="I193" s="659">
        <v>2.1822695257357738</v>
      </c>
      <c r="J193" s="659">
        <v>1.3533998491635806</v>
      </c>
      <c r="K193" s="433"/>
    </row>
    <row r="194" spans="1:11" ht="15.75">
      <c r="A194" s="647" t="s">
        <v>28</v>
      </c>
      <c r="B194" s="648">
        <v>21517.920473049999</v>
      </c>
      <c r="C194" s="648">
        <v>12044.713739800001</v>
      </c>
      <c r="D194" s="648">
        <v>10104.986625630001</v>
      </c>
      <c r="E194" s="648">
        <v>7149.3576378600001</v>
      </c>
      <c r="F194" s="641">
        <f t="shared" si="29"/>
        <v>2955.628987770001</v>
      </c>
      <c r="G194" s="641">
        <f t="shared" si="30"/>
        <v>1939.7271141700003</v>
      </c>
      <c r="H194" s="641">
        <f t="shared" si="31"/>
        <v>9473.2067332499973</v>
      </c>
      <c r="I194" s="659">
        <v>2.1513750775375038</v>
      </c>
      <c r="J194" s="659">
        <v>1.3865469921193967</v>
      </c>
      <c r="K194" s="433"/>
    </row>
    <row r="195" spans="1:11" ht="15.75">
      <c r="A195" s="647" t="s">
        <v>29</v>
      </c>
      <c r="B195" s="648">
        <v>22772.070451020001</v>
      </c>
      <c r="C195" s="648">
        <v>12466.432601679999</v>
      </c>
      <c r="D195" s="648">
        <v>10544.24328447</v>
      </c>
      <c r="E195" s="648">
        <v>7490.3292875799998</v>
      </c>
      <c r="F195" s="641">
        <f t="shared" si="29"/>
        <v>3053.9139968899999</v>
      </c>
      <c r="G195" s="641">
        <f t="shared" si="30"/>
        <v>1922.189317209999</v>
      </c>
      <c r="H195" s="641">
        <f t="shared" si="31"/>
        <v>10305.637849340003</v>
      </c>
      <c r="I195" s="659">
        <v>2.3065899360824305</v>
      </c>
      <c r="J195" s="659">
        <v>1.4592220802503841</v>
      </c>
      <c r="K195" s="433"/>
    </row>
    <row r="196" spans="1:11" ht="15.75">
      <c r="A196" s="647" t="s">
        <v>2051</v>
      </c>
      <c r="B196" s="650">
        <v>24060.393174919998</v>
      </c>
      <c r="C196" s="650">
        <v>14643.622398929998</v>
      </c>
      <c r="D196" s="650">
        <v>12274.634531</v>
      </c>
      <c r="E196" s="650">
        <v>7601.3712782100001</v>
      </c>
      <c r="F196" s="655">
        <v>4673.2632527899996</v>
      </c>
      <c r="G196" s="655">
        <v>2368.98786793</v>
      </c>
      <c r="H196" s="658">
        <v>9416.7707759899986</v>
      </c>
      <c r="I196" s="660">
        <v>2.3317880221202123</v>
      </c>
      <c r="J196" s="660">
        <v>1.5340501015947468</v>
      </c>
      <c r="K196" s="434"/>
    </row>
    <row r="197" spans="1:11" ht="15.75">
      <c r="A197" s="647" t="s">
        <v>18</v>
      </c>
      <c r="B197" s="648">
        <v>22755.398773780002</v>
      </c>
      <c r="C197" s="648">
        <v>12272.674945000001</v>
      </c>
      <c r="D197" s="648">
        <v>10192.185682630001</v>
      </c>
      <c r="E197" s="648">
        <v>7381.4869843100005</v>
      </c>
      <c r="F197" s="641">
        <f t="shared" ref="F197:F208" si="32">+D197-E197</f>
        <v>2810.6986983200004</v>
      </c>
      <c r="G197" s="641">
        <f t="shared" ref="G197:G208" si="33">+C197-D197</f>
        <v>2080.4892623699998</v>
      </c>
      <c r="H197" s="641">
        <f t="shared" ref="H197:H208" si="34">+B197-C197</f>
        <v>10482.723828780001</v>
      </c>
      <c r="I197" s="649">
        <v>2.3150370821495443</v>
      </c>
      <c r="J197" s="649">
        <v>1.4007406890111056</v>
      </c>
      <c r="K197" s="427"/>
    </row>
    <row r="198" spans="1:11" ht="15.75">
      <c r="A198" s="647" t="s">
        <v>19</v>
      </c>
      <c r="B198" s="648">
        <v>22868.076868089996</v>
      </c>
      <c r="C198" s="648">
        <v>12744.878943899997</v>
      </c>
      <c r="D198" s="648">
        <v>10434.352877309999</v>
      </c>
      <c r="E198" s="648">
        <v>7311.6928763799997</v>
      </c>
      <c r="F198" s="641">
        <f t="shared" si="32"/>
        <v>3122.6600009299991</v>
      </c>
      <c r="G198" s="641">
        <f t="shared" si="33"/>
        <v>2310.5260665899987</v>
      </c>
      <c r="H198" s="641">
        <f t="shared" si="34"/>
        <v>10123.197924189999</v>
      </c>
      <c r="I198" s="649">
        <v>2.2313578249150234</v>
      </c>
      <c r="J198" s="649">
        <v>1.3882469556047923</v>
      </c>
      <c r="K198" s="427"/>
    </row>
    <row r="199" spans="1:11" ht="15.75">
      <c r="A199" s="647" t="s">
        <v>20</v>
      </c>
      <c r="B199" s="648">
        <v>22459.499555119997</v>
      </c>
      <c r="C199" s="648">
        <v>13005.875008679997</v>
      </c>
      <c r="D199" s="648">
        <v>10691.735644159999</v>
      </c>
      <c r="E199" s="648">
        <v>7404.1666002099992</v>
      </c>
      <c r="F199" s="641">
        <f t="shared" si="32"/>
        <v>3287.5690439499995</v>
      </c>
      <c r="G199" s="641">
        <f t="shared" si="33"/>
        <v>2314.1393645199987</v>
      </c>
      <c r="H199" s="641">
        <f t="shared" si="34"/>
        <v>9453.6245464399999</v>
      </c>
      <c r="I199" s="649">
        <v>2.0828661476866839</v>
      </c>
      <c r="J199" s="649">
        <v>1.3732244123154893</v>
      </c>
      <c r="K199" s="427"/>
    </row>
    <row r="200" spans="1:11" ht="15.75">
      <c r="A200" s="647" t="s">
        <v>21</v>
      </c>
      <c r="B200" s="648">
        <v>22119.981322159998</v>
      </c>
      <c r="C200" s="648">
        <v>12425.141375929999</v>
      </c>
      <c r="D200" s="648">
        <v>10201.029013769999</v>
      </c>
      <c r="E200" s="648">
        <v>6919.2920401500005</v>
      </c>
      <c r="F200" s="641">
        <f t="shared" si="32"/>
        <v>3281.7369736199989</v>
      </c>
      <c r="G200" s="641">
        <f t="shared" si="33"/>
        <v>2224.11236216</v>
      </c>
      <c r="H200" s="641">
        <f t="shared" si="34"/>
        <v>9694.8399462299985</v>
      </c>
      <c r="I200" s="649">
        <v>2.2841092447779472</v>
      </c>
      <c r="J200" s="649">
        <v>1.4769025049507249</v>
      </c>
      <c r="K200" s="427"/>
    </row>
    <row r="201" spans="1:11" ht="15.75">
      <c r="A201" s="647" t="s">
        <v>22</v>
      </c>
      <c r="B201" s="648">
        <v>22145.141300539995</v>
      </c>
      <c r="C201" s="648">
        <v>12599.049581419999</v>
      </c>
      <c r="D201" s="648">
        <v>10273.594519849999</v>
      </c>
      <c r="E201" s="648">
        <v>7053.4999614500002</v>
      </c>
      <c r="F201" s="641">
        <f t="shared" si="32"/>
        <v>3220.0945583999992</v>
      </c>
      <c r="G201" s="641">
        <f t="shared" si="33"/>
        <v>2325.4550615699991</v>
      </c>
      <c r="H201" s="641">
        <f t="shared" si="34"/>
        <v>9546.0917191199969</v>
      </c>
      <c r="I201" s="649">
        <v>2.2756056923075918</v>
      </c>
      <c r="J201" s="649">
        <v>1.4991005186655266</v>
      </c>
      <c r="K201" s="427"/>
    </row>
    <row r="202" spans="1:11" ht="15.75">
      <c r="A202" s="647" t="s">
        <v>23</v>
      </c>
      <c r="B202" s="648">
        <v>22683.611646019999</v>
      </c>
      <c r="C202" s="648">
        <v>12984.69515177</v>
      </c>
      <c r="D202" s="648">
        <v>10656.116442300001</v>
      </c>
      <c r="E202" s="648">
        <v>7173.8074000100005</v>
      </c>
      <c r="F202" s="641">
        <f t="shared" si="32"/>
        <v>3482.3090422900004</v>
      </c>
      <c r="G202" s="641">
        <f t="shared" si="33"/>
        <v>2328.578709469999</v>
      </c>
      <c r="H202" s="641">
        <f t="shared" si="34"/>
        <v>9698.9164942499992</v>
      </c>
      <c r="I202" s="649">
        <v>2.34469256690587</v>
      </c>
      <c r="J202" s="649">
        <v>1.5119518138610506</v>
      </c>
      <c r="K202" s="427"/>
    </row>
    <row r="203" spans="1:11" ht="15.75">
      <c r="A203" s="647" t="s">
        <v>24</v>
      </c>
      <c r="B203" s="648">
        <v>22727.974726500001</v>
      </c>
      <c r="C203" s="648">
        <v>13347.24488812</v>
      </c>
      <c r="D203" s="648">
        <v>11036.893226119999</v>
      </c>
      <c r="E203" s="648">
        <v>7381.3978546199996</v>
      </c>
      <c r="F203" s="641">
        <f t="shared" si="32"/>
        <v>3655.4953714999992</v>
      </c>
      <c r="G203" s="641">
        <f t="shared" si="33"/>
        <v>2310.3516620000009</v>
      </c>
      <c r="H203" s="641">
        <f t="shared" si="34"/>
        <v>9380.7298383800007</v>
      </c>
      <c r="I203" s="649">
        <v>2.2549707379965773</v>
      </c>
      <c r="J203" s="649">
        <v>1.5015704475293923</v>
      </c>
      <c r="K203" s="427"/>
    </row>
    <row r="204" spans="1:11" ht="15.75">
      <c r="A204" s="647" t="s">
        <v>25</v>
      </c>
      <c r="B204" s="648">
        <v>22431.606406850002</v>
      </c>
      <c r="C204" s="648">
        <v>12875.444561079999</v>
      </c>
      <c r="D204" s="648">
        <v>10601.76435963</v>
      </c>
      <c r="E204" s="648">
        <v>6905.6102707400005</v>
      </c>
      <c r="F204" s="641">
        <f t="shared" si="32"/>
        <v>3696.1540888899999</v>
      </c>
      <c r="G204" s="641">
        <f t="shared" si="33"/>
        <v>2273.680201449999</v>
      </c>
      <c r="H204" s="641">
        <f t="shared" si="34"/>
        <v>9556.1618457700024</v>
      </c>
      <c r="I204" s="649">
        <v>2.4044091540138477</v>
      </c>
      <c r="J204" s="649">
        <v>1.5478603104340489</v>
      </c>
      <c r="K204" s="427"/>
    </row>
    <row r="205" spans="1:11" ht="15.75">
      <c r="A205" s="647" t="s">
        <v>26</v>
      </c>
      <c r="B205" s="648">
        <v>23146.36330343</v>
      </c>
      <c r="C205" s="648">
        <v>13498.862857830001</v>
      </c>
      <c r="D205" s="648">
        <v>11108.12272182</v>
      </c>
      <c r="E205" s="648">
        <v>6878.3513826299995</v>
      </c>
      <c r="F205" s="641">
        <f t="shared" si="32"/>
        <v>4229.7713391900006</v>
      </c>
      <c r="G205" s="641">
        <f t="shared" si="33"/>
        <v>2390.7401360100012</v>
      </c>
      <c r="H205" s="641">
        <f t="shared" si="34"/>
        <v>9647.5004455999988</v>
      </c>
      <c r="I205" s="649">
        <v>2.3730051004904116</v>
      </c>
      <c r="J205" s="649">
        <v>1.5216060131577962</v>
      </c>
      <c r="K205" s="427"/>
    </row>
    <row r="206" spans="1:11" ht="15.75">
      <c r="A206" s="647" t="s">
        <v>27</v>
      </c>
      <c r="B206" s="648">
        <v>23590.695212070001</v>
      </c>
      <c r="C206" s="648">
        <v>13995.88495462</v>
      </c>
      <c r="D206" s="648">
        <v>11613.439098450001</v>
      </c>
      <c r="E206" s="648">
        <v>7122.6943297500002</v>
      </c>
      <c r="F206" s="641">
        <f t="shared" si="32"/>
        <v>4490.7447687000003</v>
      </c>
      <c r="G206" s="641">
        <f t="shared" si="33"/>
        <v>2382.4458561699994</v>
      </c>
      <c r="H206" s="641">
        <f t="shared" si="34"/>
        <v>9594.8102574500008</v>
      </c>
      <c r="I206" s="649">
        <v>2.3451149046040904</v>
      </c>
      <c r="J206" s="649">
        <v>1.5290507880555482</v>
      </c>
      <c r="K206" s="427"/>
    </row>
    <row r="207" spans="1:11" ht="15.75">
      <c r="A207" s="647" t="s">
        <v>28</v>
      </c>
      <c r="B207" s="648">
        <v>23727.532675800001</v>
      </c>
      <c r="C207" s="648">
        <v>14130.015342300001</v>
      </c>
      <c r="D207" s="648">
        <v>11747.181728110001</v>
      </c>
      <c r="E207" s="648">
        <v>7309.0843174500005</v>
      </c>
      <c r="F207" s="641">
        <f t="shared" si="32"/>
        <v>4438.0974106600006</v>
      </c>
      <c r="G207" s="641">
        <f t="shared" si="33"/>
        <v>2382.8336141899999</v>
      </c>
      <c r="H207" s="641">
        <f t="shared" si="34"/>
        <v>9597.5173334999999</v>
      </c>
      <c r="I207" s="649">
        <v>2.441940283510565</v>
      </c>
      <c r="J207" s="649">
        <v>1.5725948284615536</v>
      </c>
      <c r="K207" s="427"/>
    </row>
    <row r="208" spans="1:11" ht="15.75">
      <c r="A208" s="647" t="s">
        <v>29</v>
      </c>
      <c r="B208" s="648">
        <v>24060.393174919998</v>
      </c>
      <c r="C208" s="648">
        <v>14643.622398929998</v>
      </c>
      <c r="D208" s="648">
        <v>12274.634531</v>
      </c>
      <c r="E208" s="648">
        <v>7601.3712782100001</v>
      </c>
      <c r="F208" s="641">
        <f t="shared" si="32"/>
        <v>4673.2632527899996</v>
      </c>
      <c r="G208" s="641">
        <f t="shared" si="33"/>
        <v>2368.9878679299982</v>
      </c>
      <c r="H208" s="641">
        <f t="shared" si="34"/>
        <v>9416.7707759900004</v>
      </c>
      <c r="I208" s="649">
        <v>2.3317880221202123</v>
      </c>
      <c r="J208" s="649">
        <v>1.5340501015947468</v>
      </c>
      <c r="K208" s="427"/>
    </row>
    <row r="209" spans="1:11" ht="15.75">
      <c r="A209" s="647" t="s">
        <v>2144</v>
      </c>
      <c r="B209" s="650">
        <v>28866.306171830001</v>
      </c>
      <c r="C209" s="650">
        <v>18238.611014260001</v>
      </c>
      <c r="D209" s="650">
        <v>15397.917067630002</v>
      </c>
      <c r="E209" s="650">
        <v>9501.0686436600008</v>
      </c>
      <c r="F209" s="655">
        <v>5896.848423970001</v>
      </c>
      <c r="G209" s="655">
        <v>2840.6939466299991</v>
      </c>
      <c r="H209" s="658">
        <v>10627.69515757</v>
      </c>
      <c r="I209" s="660">
        <v>2.1992912794402542</v>
      </c>
      <c r="J209" s="660">
        <v>1.5008104487377483</v>
      </c>
      <c r="K209" s="434"/>
    </row>
    <row r="210" spans="1:11" ht="15.75">
      <c r="A210" s="647" t="s">
        <v>18</v>
      </c>
      <c r="B210" s="648">
        <v>23679.267339400001</v>
      </c>
      <c r="C210" s="648">
        <v>13961.6501642</v>
      </c>
      <c r="D210" s="648">
        <v>11567.361000409999</v>
      </c>
      <c r="E210" s="648">
        <v>7294.8560352599998</v>
      </c>
      <c r="F210" s="641">
        <f t="shared" ref="F210:F221" si="35">+D210-E210</f>
        <v>4272.5049651499994</v>
      </c>
      <c r="G210" s="641">
        <f t="shared" ref="G210:G221" si="36">+C210-D210</f>
        <v>2394.2891637900011</v>
      </c>
      <c r="H210" s="641">
        <f t="shared" ref="H210:H221" si="37">+B210-C210</f>
        <v>9717.6171752000009</v>
      </c>
      <c r="I210" s="649">
        <v>2.5306703327695192</v>
      </c>
      <c r="J210" s="649">
        <v>1.603087063816204</v>
      </c>
      <c r="K210" s="427"/>
    </row>
    <row r="211" spans="1:11" ht="15.75">
      <c r="A211" s="647" t="s">
        <v>19</v>
      </c>
      <c r="B211" s="648">
        <v>24560.268819559999</v>
      </c>
      <c r="C211" s="648">
        <v>14392.6817524</v>
      </c>
      <c r="D211" s="648">
        <v>11963.61943205</v>
      </c>
      <c r="E211" s="648">
        <v>7328.5128599899999</v>
      </c>
      <c r="F211" s="641">
        <f t="shared" si="35"/>
        <v>4635.10657206</v>
      </c>
      <c r="G211" s="641">
        <f t="shared" si="36"/>
        <v>2429.0623203499999</v>
      </c>
      <c r="H211" s="641">
        <f t="shared" si="37"/>
        <v>10167.587067159999</v>
      </c>
      <c r="I211" s="649">
        <v>2.5122206203266186</v>
      </c>
      <c r="J211" s="649">
        <v>1.5966779653159484</v>
      </c>
      <c r="K211" s="427"/>
    </row>
    <row r="212" spans="1:11" ht="15.75">
      <c r="A212" s="647" t="s">
        <v>20</v>
      </c>
      <c r="B212" s="648">
        <v>24198.718659370003</v>
      </c>
      <c r="C212" s="648">
        <v>14293.507187650001</v>
      </c>
      <c r="D212" s="648">
        <v>11726.32872705</v>
      </c>
      <c r="E212" s="648">
        <v>7535.0246510699999</v>
      </c>
      <c r="F212" s="641">
        <f t="shared" si="35"/>
        <v>4191.3040759800006</v>
      </c>
      <c r="G212" s="641">
        <f t="shared" si="36"/>
        <v>2567.1784606000001</v>
      </c>
      <c r="H212" s="641">
        <f t="shared" si="37"/>
        <v>9905.211471720002</v>
      </c>
      <c r="I212" s="649">
        <v>2.4857761235516596</v>
      </c>
      <c r="J212" s="649">
        <v>1.5977085495342764</v>
      </c>
      <c r="K212" s="427"/>
    </row>
    <row r="213" spans="1:11" ht="15.75">
      <c r="A213" s="647" t="s">
        <v>21</v>
      </c>
      <c r="B213" s="648">
        <v>24473.375013390003</v>
      </c>
      <c r="C213" s="648">
        <v>14965.257296850001</v>
      </c>
      <c r="D213" s="648">
        <v>12340.278256290001</v>
      </c>
      <c r="E213" s="648">
        <v>7780.8048372400017</v>
      </c>
      <c r="F213" s="641">
        <f t="shared" si="35"/>
        <v>4559.4734190499994</v>
      </c>
      <c r="G213" s="641">
        <f t="shared" si="36"/>
        <v>2624.9790405599997</v>
      </c>
      <c r="H213" s="641">
        <f t="shared" si="37"/>
        <v>9508.1177165400022</v>
      </c>
      <c r="I213" s="649">
        <v>2.4443112656844637</v>
      </c>
      <c r="J213" s="649">
        <v>1.5761074559317214</v>
      </c>
      <c r="K213" s="427"/>
    </row>
    <row r="214" spans="1:11" ht="15.75">
      <c r="A214" s="647" t="s">
        <v>22</v>
      </c>
      <c r="B214" s="648">
        <v>24834.027645559996</v>
      </c>
      <c r="C214" s="648">
        <v>15491.786150549997</v>
      </c>
      <c r="D214" s="648">
        <v>12917.208396639999</v>
      </c>
      <c r="E214" s="648">
        <v>8151.1907722199985</v>
      </c>
      <c r="F214" s="641">
        <f t="shared" si="35"/>
        <v>4766.0176244200002</v>
      </c>
      <c r="G214" s="641">
        <f t="shared" si="36"/>
        <v>2574.5777539099981</v>
      </c>
      <c r="H214" s="641">
        <f t="shared" si="37"/>
        <v>9342.2414950099992</v>
      </c>
      <c r="I214" s="649">
        <v>2.2381148634724717</v>
      </c>
      <c r="J214" s="649">
        <v>1.5229248548481431</v>
      </c>
      <c r="K214" s="427"/>
    </row>
    <row r="215" spans="1:11" ht="15.75">
      <c r="A215" s="647" t="s">
        <v>23</v>
      </c>
      <c r="B215" s="648">
        <v>25284.16737019</v>
      </c>
      <c r="C215" s="648">
        <v>15834.294932270001</v>
      </c>
      <c r="D215" s="648">
        <v>13250.512669520002</v>
      </c>
      <c r="E215" s="648">
        <v>8376.2610829100013</v>
      </c>
      <c r="F215" s="641">
        <f t="shared" si="35"/>
        <v>4874.2515866100002</v>
      </c>
      <c r="G215" s="641">
        <f t="shared" si="36"/>
        <v>2583.7822627499991</v>
      </c>
      <c r="H215" s="641">
        <f t="shared" si="37"/>
        <v>9449.8724379199994</v>
      </c>
      <c r="I215" s="649">
        <v>2.2463609049912932</v>
      </c>
      <c r="J215" s="649">
        <v>1.5259167469659474</v>
      </c>
      <c r="K215" s="427"/>
    </row>
    <row r="216" spans="1:11" ht="15.75">
      <c r="A216" s="647" t="s">
        <v>24</v>
      </c>
      <c r="B216" s="648">
        <v>25642.276847279998</v>
      </c>
      <c r="C216" s="648">
        <v>16182.182113769999</v>
      </c>
      <c r="D216" s="648">
        <v>13520.414786329999</v>
      </c>
      <c r="E216" s="648">
        <v>8576.7865155399995</v>
      </c>
      <c r="F216" s="641">
        <f t="shared" si="35"/>
        <v>4943.6282707899991</v>
      </c>
      <c r="G216" s="641">
        <f t="shared" si="36"/>
        <v>2661.7673274400004</v>
      </c>
      <c r="H216" s="641">
        <f t="shared" si="37"/>
        <v>9460.0947335099991</v>
      </c>
      <c r="I216" s="649">
        <v>2.197649369454779</v>
      </c>
      <c r="J216" s="649">
        <v>1.5303337374139589</v>
      </c>
      <c r="K216" s="427"/>
    </row>
    <row r="217" spans="1:11" ht="15.75">
      <c r="A217" s="647" t="s">
        <v>25</v>
      </c>
      <c r="B217" s="648">
        <v>25482.677890749997</v>
      </c>
      <c r="C217" s="648">
        <v>15948.621320619997</v>
      </c>
      <c r="D217" s="648">
        <v>13227.429159179999</v>
      </c>
      <c r="E217" s="648">
        <v>8542.6512433400003</v>
      </c>
      <c r="F217" s="641">
        <f t="shared" si="35"/>
        <v>4684.777915839999</v>
      </c>
      <c r="G217" s="641">
        <f t="shared" si="36"/>
        <v>2721.192161439998</v>
      </c>
      <c r="H217" s="641">
        <f t="shared" si="37"/>
        <v>9534.0565701300002</v>
      </c>
      <c r="I217" s="649">
        <v>2.2319995793011782</v>
      </c>
      <c r="J217" s="649">
        <v>1.5701098726516163</v>
      </c>
      <c r="K217" s="427"/>
    </row>
    <row r="218" spans="1:11" ht="15.75">
      <c r="A218" s="647" t="s">
        <v>26</v>
      </c>
      <c r="B218" s="648">
        <v>26550.637924399998</v>
      </c>
      <c r="C218" s="648">
        <v>16217.44025041</v>
      </c>
      <c r="D218" s="648">
        <v>13485.831445190001</v>
      </c>
      <c r="E218" s="648">
        <v>8578.7292310600005</v>
      </c>
      <c r="F218" s="641">
        <f t="shared" si="35"/>
        <v>4907.10221413</v>
      </c>
      <c r="G218" s="641">
        <f t="shared" si="36"/>
        <v>2731.6088052199993</v>
      </c>
      <c r="H218" s="641">
        <f t="shared" si="37"/>
        <v>10333.197673989998</v>
      </c>
      <c r="I218" s="649">
        <v>2.3090997244698142</v>
      </c>
      <c r="J218" s="649">
        <v>1.5872582056026474</v>
      </c>
      <c r="K218" s="427"/>
    </row>
    <row r="219" spans="1:11" ht="15.75">
      <c r="A219" s="647" t="s">
        <v>27</v>
      </c>
      <c r="B219" s="648">
        <v>26446.939961569999</v>
      </c>
      <c r="C219" s="648">
        <v>16339.016886419999</v>
      </c>
      <c r="D219" s="648">
        <v>13579.861621929998</v>
      </c>
      <c r="E219" s="648">
        <v>8693.8154654499995</v>
      </c>
      <c r="F219" s="641">
        <f t="shared" si="35"/>
        <v>4886.0461564799989</v>
      </c>
      <c r="G219" s="641">
        <f t="shared" si="36"/>
        <v>2759.1552644900003</v>
      </c>
      <c r="H219" s="641">
        <f t="shared" si="37"/>
        <v>10107.92307515</v>
      </c>
      <c r="I219" s="649">
        <v>2.3143274440820094</v>
      </c>
      <c r="J219" s="649">
        <v>1.5864919550818222</v>
      </c>
      <c r="K219" s="427"/>
    </row>
    <row r="220" spans="1:11" ht="15.75">
      <c r="A220" s="647" t="s">
        <v>28</v>
      </c>
      <c r="B220" s="648">
        <v>26742.157281190001</v>
      </c>
      <c r="C220" s="648">
        <v>16663.40605034</v>
      </c>
      <c r="D220" s="648">
        <v>13917.7641602</v>
      </c>
      <c r="E220" s="648">
        <v>8827.3702125399996</v>
      </c>
      <c r="F220" s="641">
        <f t="shared" si="35"/>
        <v>5090.3939476600008</v>
      </c>
      <c r="G220" s="641">
        <f t="shared" si="36"/>
        <v>2745.6418901399993</v>
      </c>
      <c r="H220" s="641">
        <f t="shared" si="37"/>
        <v>10078.751230850001</v>
      </c>
      <c r="I220" s="649">
        <v>2.3008386210842198</v>
      </c>
      <c r="J220" s="649">
        <v>1.561043922510676</v>
      </c>
      <c r="K220" s="427"/>
    </row>
    <row r="221" spans="1:11" ht="15.75">
      <c r="A221" s="647" t="s">
        <v>29</v>
      </c>
      <c r="B221" s="648">
        <v>28866.306171830001</v>
      </c>
      <c r="C221" s="648">
        <v>18238.611014260001</v>
      </c>
      <c r="D221" s="648">
        <v>15397.917067630002</v>
      </c>
      <c r="E221" s="648">
        <v>9501.0686436600008</v>
      </c>
      <c r="F221" s="641">
        <f t="shared" si="35"/>
        <v>5896.848423970001</v>
      </c>
      <c r="G221" s="641">
        <f t="shared" si="36"/>
        <v>2840.6939466299991</v>
      </c>
      <c r="H221" s="641">
        <f t="shared" si="37"/>
        <v>10627.69515757</v>
      </c>
      <c r="I221" s="649">
        <v>2.1992912794402542</v>
      </c>
      <c r="J221" s="649">
        <v>1.5008104487377483</v>
      </c>
      <c r="K221" s="427"/>
    </row>
    <row r="222" spans="1:11" ht="15.75">
      <c r="A222" s="647" t="s">
        <v>2375</v>
      </c>
      <c r="B222" s="650">
        <v>29185.8075723</v>
      </c>
      <c r="C222" s="650">
        <v>20305.478031890001</v>
      </c>
      <c r="D222" s="650">
        <v>17864.586730620002</v>
      </c>
      <c r="E222" s="650">
        <v>10773.38561295</v>
      </c>
      <c r="F222" s="655">
        <v>7091.2011176700016</v>
      </c>
      <c r="G222" s="655">
        <v>2440.8913012699995</v>
      </c>
      <c r="H222" s="658">
        <v>8880.329540409999</v>
      </c>
      <c r="I222" s="656">
        <v>1.9388848083418642</v>
      </c>
      <c r="J222" s="656">
        <v>1.4969939642453578</v>
      </c>
      <c r="K222" s="427"/>
    </row>
    <row r="223" spans="1:11" ht="15.75">
      <c r="A223" s="647" t="s">
        <v>18</v>
      </c>
      <c r="B223" s="648">
        <v>28530.438004700001</v>
      </c>
      <c r="C223" s="648">
        <v>17946.084792710004</v>
      </c>
      <c r="D223" s="648">
        <v>15095.747673960002</v>
      </c>
      <c r="E223" s="648">
        <v>9266.6770643600012</v>
      </c>
      <c r="F223" s="641">
        <f t="shared" ref="F223:F234" si="38">+D223-E223</f>
        <v>5829.0706096000013</v>
      </c>
      <c r="G223" s="641">
        <f t="shared" ref="G223:G236" si="39">+C223-D223</f>
        <v>2850.3371187500015</v>
      </c>
      <c r="H223" s="641">
        <f t="shared" ref="H223:H234" si="40">+B223-C223</f>
        <v>10584.353211989997</v>
      </c>
      <c r="I223" s="649">
        <v>2.2638129305686601</v>
      </c>
      <c r="J223" s="649">
        <v>1.5546611956911813</v>
      </c>
      <c r="K223" s="427"/>
    </row>
    <row r="224" spans="1:11" ht="15.75">
      <c r="A224" s="647" t="s">
        <v>19</v>
      </c>
      <c r="B224" s="648">
        <v>28616.692781510006</v>
      </c>
      <c r="C224" s="648">
        <v>18299.369793800004</v>
      </c>
      <c r="D224" s="648">
        <v>15398.179885100002</v>
      </c>
      <c r="E224" s="648">
        <v>9579.1853838200004</v>
      </c>
      <c r="F224" s="641">
        <f t="shared" si="38"/>
        <v>5818.9945012800017</v>
      </c>
      <c r="G224" s="641">
        <f t="shared" si="39"/>
        <v>2901.189908700002</v>
      </c>
      <c r="H224" s="641">
        <f t="shared" si="40"/>
        <v>10317.322987710002</v>
      </c>
      <c r="I224" s="649">
        <v>2.1438208591158481</v>
      </c>
      <c r="J224" s="649">
        <v>1.5108030045842273</v>
      </c>
      <c r="K224" s="427"/>
    </row>
    <row r="225" spans="1:13" ht="15.75">
      <c r="A225" s="647" t="s">
        <v>20</v>
      </c>
      <c r="B225" s="648">
        <v>26721.191360860001</v>
      </c>
      <c r="C225" s="648">
        <v>16442.773718979999</v>
      </c>
      <c r="D225" s="648">
        <v>13835.413800359998</v>
      </c>
      <c r="E225" s="648">
        <v>8530.7902558099995</v>
      </c>
      <c r="F225" s="641">
        <f t="shared" si="38"/>
        <v>5304.6235445499988</v>
      </c>
      <c r="G225" s="641">
        <f t="shared" si="39"/>
        <v>2607.3599186200008</v>
      </c>
      <c r="H225" s="641">
        <f t="shared" si="40"/>
        <v>10278.417641880002</v>
      </c>
      <c r="I225" s="649">
        <v>2.3520642532752709</v>
      </c>
      <c r="J225" s="649">
        <v>1.6333505236649228</v>
      </c>
      <c r="K225" s="427"/>
    </row>
    <row r="226" spans="1:13" ht="15.75">
      <c r="A226" s="647" t="s">
        <v>21</v>
      </c>
      <c r="B226" s="648">
        <v>26291.803887550002</v>
      </c>
      <c r="C226" s="648">
        <v>16484.154980580002</v>
      </c>
      <c r="D226" s="648">
        <v>14104.232106200001</v>
      </c>
      <c r="E226" s="648">
        <v>8705.0063684699999</v>
      </c>
      <c r="F226" s="641">
        <f t="shared" si="38"/>
        <v>5399.2257377300011</v>
      </c>
      <c r="G226" s="641">
        <f t="shared" si="39"/>
        <v>2379.9228743800013</v>
      </c>
      <c r="H226" s="641">
        <f t="shared" si="40"/>
        <v>9807.6489069700001</v>
      </c>
      <c r="I226" s="649">
        <v>2.2330596959186444</v>
      </c>
      <c r="J226" s="649">
        <v>1.6376545618552376</v>
      </c>
      <c r="K226" s="282"/>
    </row>
    <row r="227" spans="1:13" ht="15.75">
      <c r="A227" s="647" t="s">
        <v>22</v>
      </c>
      <c r="B227" s="648">
        <v>26630.223010220001</v>
      </c>
      <c r="C227" s="648">
        <v>17021.310660290001</v>
      </c>
      <c r="D227" s="648">
        <v>14796.009574129999</v>
      </c>
      <c r="E227" s="648">
        <v>9009.7746494900002</v>
      </c>
      <c r="F227" s="641">
        <f t="shared" si="38"/>
        <v>5786.234924639999</v>
      </c>
      <c r="G227" s="641">
        <f t="shared" si="39"/>
        <v>2225.3010861600014</v>
      </c>
      <c r="H227" s="641">
        <f t="shared" si="40"/>
        <v>9608.9123499300003</v>
      </c>
      <c r="I227" s="649">
        <v>2.1336901129701085</v>
      </c>
      <c r="J227" s="649">
        <v>1.5585558174618896</v>
      </c>
      <c r="K227" s="427"/>
    </row>
    <row r="228" spans="1:13" ht="15.75">
      <c r="A228" s="647" t="s">
        <v>23</v>
      </c>
      <c r="B228" s="648">
        <v>26213.509605029998</v>
      </c>
      <c r="C228" s="648">
        <v>17169.070671429996</v>
      </c>
      <c r="D228" s="648">
        <v>14942.896773009998</v>
      </c>
      <c r="E228" s="648">
        <v>9246.6252634299999</v>
      </c>
      <c r="F228" s="641">
        <f t="shared" si="38"/>
        <v>5696.2715095799977</v>
      </c>
      <c r="G228" s="641">
        <f t="shared" si="39"/>
        <v>2226.1738984199983</v>
      </c>
      <c r="H228" s="641">
        <f t="shared" si="40"/>
        <v>9044.4389336000022</v>
      </c>
      <c r="I228" s="649">
        <v>2.0551999569262764</v>
      </c>
      <c r="J228" s="649">
        <v>1.5258989557921698</v>
      </c>
      <c r="K228" s="427"/>
    </row>
    <row r="229" spans="1:13" ht="15.75">
      <c r="A229" s="647" t="s">
        <v>24</v>
      </c>
      <c r="B229" s="648">
        <v>26711.806260920002</v>
      </c>
      <c r="C229" s="648">
        <v>17927.599440490001</v>
      </c>
      <c r="D229" s="648">
        <v>15575.276604620001</v>
      </c>
      <c r="E229" s="648">
        <v>9722.9362969900012</v>
      </c>
      <c r="F229" s="641">
        <f t="shared" si="38"/>
        <v>5852.3403076300001</v>
      </c>
      <c r="G229" s="641">
        <f t="shared" si="39"/>
        <v>2352.3228358699998</v>
      </c>
      <c r="H229" s="641">
        <f t="shared" si="40"/>
        <v>8784.2068204300012</v>
      </c>
      <c r="I229" s="649">
        <v>2.0915744484160306</v>
      </c>
      <c r="J229" s="649">
        <v>1.5353000314638554</v>
      </c>
      <c r="K229" s="427"/>
    </row>
    <row r="230" spans="1:13" ht="15.75">
      <c r="A230" s="647" t="s">
        <v>25</v>
      </c>
      <c r="B230" s="648">
        <v>26923.408240420002</v>
      </c>
      <c r="C230" s="648">
        <v>18109.264225810002</v>
      </c>
      <c r="D230" s="648">
        <v>15699.041465110004</v>
      </c>
      <c r="E230" s="648">
        <v>9848.237784490002</v>
      </c>
      <c r="F230" s="641">
        <f t="shared" si="38"/>
        <v>5850.8036806200016</v>
      </c>
      <c r="G230" s="641">
        <f t="shared" si="39"/>
        <v>2410.2227606999986</v>
      </c>
      <c r="H230" s="641">
        <f t="shared" si="40"/>
        <v>8814.1440146099994</v>
      </c>
      <c r="I230" s="649">
        <v>2.0690048507223282</v>
      </c>
      <c r="J230" s="649">
        <v>1.5208297765165963</v>
      </c>
      <c r="K230" s="427"/>
    </row>
    <row r="231" spans="1:13" ht="15.75">
      <c r="A231" s="647" t="s">
        <v>26</v>
      </c>
      <c r="B231" s="648">
        <v>26783.275633080004</v>
      </c>
      <c r="C231" s="648">
        <v>18427.776442160004</v>
      </c>
      <c r="D231" s="648">
        <v>15925.502069640002</v>
      </c>
      <c r="E231" s="648">
        <v>9865.6260706300018</v>
      </c>
      <c r="F231" s="641">
        <f t="shared" si="38"/>
        <v>6059.8759990100007</v>
      </c>
      <c r="G231" s="641">
        <f t="shared" si="39"/>
        <v>2502.2743725200016</v>
      </c>
      <c r="H231" s="641">
        <f t="shared" si="40"/>
        <v>8355.4991909199998</v>
      </c>
      <c r="I231" s="649">
        <v>2.023883822216888</v>
      </c>
      <c r="J231" s="649">
        <v>1.5067565256926374</v>
      </c>
      <c r="K231" s="282"/>
    </row>
    <row r="232" spans="1:13" ht="15.75">
      <c r="A232" s="647" t="s">
        <v>27</v>
      </c>
      <c r="B232" s="648">
        <v>26947.879233219999</v>
      </c>
      <c r="C232" s="648">
        <v>18573.567093120004</v>
      </c>
      <c r="D232" s="648">
        <v>16171.274612620004</v>
      </c>
      <c r="E232" s="648">
        <v>9988.0682326200022</v>
      </c>
      <c r="F232" s="641">
        <f t="shared" si="38"/>
        <v>6183.2063800000014</v>
      </c>
      <c r="G232" s="641">
        <f t="shared" si="39"/>
        <v>2402.2924805000002</v>
      </c>
      <c r="H232" s="641">
        <f t="shared" si="40"/>
        <v>8374.3121400999953</v>
      </c>
      <c r="I232" s="649">
        <v>1.9994604234339151</v>
      </c>
      <c r="J232" s="649">
        <v>1.5345475901124233</v>
      </c>
      <c r="K232" s="427"/>
    </row>
    <row r="233" spans="1:13" ht="15.75">
      <c r="A233" s="647" t="s">
        <v>28</v>
      </c>
      <c r="B233" s="648">
        <v>27147.102955900002</v>
      </c>
      <c r="C233" s="648">
        <v>18613.844544650001</v>
      </c>
      <c r="D233" s="648">
        <v>16232.407969469999</v>
      </c>
      <c r="E233" s="648">
        <v>10164.55864732</v>
      </c>
      <c r="F233" s="641">
        <f t="shared" si="38"/>
        <v>6067.8493221499994</v>
      </c>
      <c r="G233" s="641">
        <f t="shared" si="39"/>
        <v>2381.4365751800015</v>
      </c>
      <c r="H233" s="641">
        <f t="shared" si="40"/>
        <v>8533.2584112500008</v>
      </c>
      <c r="I233" s="649">
        <v>2.0501932399120681</v>
      </c>
      <c r="J233" s="649">
        <v>1.5769595944058536</v>
      </c>
      <c r="K233" s="427"/>
    </row>
    <row r="234" spans="1:13" ht="15.75">
      <c r="A234" s="647" t="s">
        <v>29</v>
      </c>
      <c r="B234" s="648">
        <v>29185.8075723</v>
      </c>
      <c r="C234" s="648">
        <v>20305.478031890001</v>
      </c>
      <c r="D234" s="648">
        <v>17864.586730620002</v>
      </c>
      <c r="E234" s="648">
        <v>10773.38561295</v>
      </c>
      <c r="F234" s="641">
        <f t="shared" si="38"/>
        <v>7091.2011176700016</v>
      </c>
      <c r="G234" s="641">
        <f t="shared" si="39"/>
        <v>2440.8913012699995</v>
      </c>
      <c r="H234" s="641">
        <f t="shared" si="40"/>
        <v>8880.329540409999</v>
      </c>
      <c r="I234" s="649">
        <v>1.9388848083418642</v>
      </c>
      <c r="J234" s="649">
        <v>1.4969939642453578</v>
      </c>
      <c r="K234" s="427"/>
    </row>
    <row r="235" spans="1:13" ht="15.75">
      <c r="A235" s="647" t="s">
        <v>2537</v>
      </c>
      <c r="B235" s="650">
        <v>34646.641486510001</v>
      </c>
      <c r="C235" s="650">
        <v>23874.89363441</v>
      </c>
      <c r="D235" s="650">
        <v>20572.53776404</v>
      </c>
      <c r="E235" s="650">
        <v>10940.841220230001</v>
      </c>
      <c r="F235" s="655">
        <v>9631.6965438099996</v>
      </c>
      <c r="G235" s="655">
        <v>3302.35587037</v>
      </c>
      <c r="H235" s="658">
        <v>10771.747852100001</v>
      </c>
      <c r="I235" s="656">
        <v>1.7532477398525235</v>
      </c>
      <c r="J235" s="656">
        <v>1.3310004789895935</v>
      </c>
      <c r="K235" s="428"/>
      <c r="L235" s="8"/>
      <c r="M235" s="8"/>
    </row>
    <row r="236" spans="1:13" ht="15.75">
      <c r="A236" s="647" t="s">
        <v>18</v>
      </c>
      <c r="B236" s="648">
        <v>28112.278405040001</v>
      </c>
      <c r="C236" s="648">
        <v>19488.342999029999</v>
      </c>
      <c r="D236" s="648">
        <v>16944.07643614</v>
      </c>
      <c r="E236" s="648">
        <v>10329.90163409</v>
      </c>
      <c r="F236" s="641">
        <f t="shared" ref="F236" si="41">+D236-E236</f>
        <v>6614.1748020499999</v>
      </c>
      <c r="G236" s="641">
        <f t="shared" si="39"/>
        <v>2544.2665628899995</v>
      </c>
      <c r="H236" s="641">
        <f t="shared" ref="H236:H241" si="42">+B236-C236</f>
        <v>8623.9354060100013</v>
      </c>
      <c r="I236" s="649">
        <v>1.9924689886539917</v>
      </c>
      <c r="J236" s="649">
        <v>1.5246658343751338</v>
      </c>
      <c r="K236" s="428">
        <f>C236/M236</f>
        <v>1.5246658343751338</v>
      </c>
      <c r="L236" s="8">
        <f>'2.5'!B229</f>
        <v>14109.267730200003</v>
      </c>
      <c r="M236" s="8">
        <f>'2.5'!C229</f>
        <v>12782.042175830002</v>
      </c>
    </row>
    <row r="237" spans="1:13" ht="15.75">
      <c r="A237" s="647" t="s">
        <v>19</v>
      </c>
      <c r="B237" s="648">
        <v>28578.033526200001</v>
      </c>
      <c r="C237" s="648">
        <v>19587.868783220001</v>
      </c>
      <c r="D237" s="648">
        <v>16988.62193601</v>
      </c>
      <c r="E237" s="648">
        <v>10457.955805019999</v>
      </c>
      <c r="F237" s="641">
        <f t="shared" ref="F237" si="43">+D237-E237</f>
        <v>6530.666130990001</v>
      </c>
      <c r="G237" s="641">
        <f t="shared" ref="G237" si="44">+C237-D237</f>
        <v>2599.2468472100009</v>
      </c>
      <c r="H237" s="641">
        <f t="shared" si="42"/>
        <v>8990.1647429799996</v>
      </c>
      <c r="I237" s="649">
        <f t="shared" ref="I237:I247" si="45">B237/L237</f>
        <v>2.0198668428621835</v>
      </c>
      <c r="J237" s="649">
        <f t="shared" ref="J237:J247" si="46">C237/M237</f>
        <v>1.5228077324598714</v>
      </c>
      <c r="K237" s="427"/>
      <c r="L237" s="8">
        <f>'2.5'!B230</f>
        <v>14148.474008169998</v>
      </c>
      <c r="M237" s="8">
        <f>'2.5'!C230</f>
        <v>12862.995351079999</v>
      </c>
    </row>
    <row r="238" spans="1:13" ht="15.75">
      <c r="A238" s="647" t="s">
        <v>20</v>
      </c>
      <c r="B238" s="648">
        <v>29299.494618340002</v>
      </c>
      <c r="C238" s="648">
        <v>20319.899299190001</v>
      </c>
      <c r="D238" s="648">
        <v>17633.320740970001</v>
      </c>
      <c r="E238" s="648">
        <v>10589.623156830001</v>
      </c>
      <c r="F238" s="641">
        <f t="shared" ref="F238" si="47">+D238-E238</f>
        <v>7043.6975841399999</v>
      </c>
      <c r="G238" s="641">
        <f t="shared" ref="G238" si="48">+C238-D238</f>
        <v>2686.5785582200006</v>
      </c>
      <c r="H238" s="641">
        <f t="shared" si="42"/>
        <v>8979.5953191500012</v>
      </c>
      <c r="I238" s="649">
        <f t="shared" si="45"/>
        <v>1.976891666496343</v>
      </c>
      <c r="J238" s="649">
        <f t="shared" si="46"/>
        <v>1.5260945671909625</v>
      </c>
      <c r="K238" s="427"/>
      <c r="L238" s="8">
        <f>'2.5'!B231</f>
        <v>14820.991516580003</v>
      </c>
      <c r="M238" s="8">
        <f>'2.5'!C231</f>
        <v>13314.967326430002</v>
      </c>
    </row>
    <row r="239" spans="1:13" ht="15.75">
      <c r="A239" s="647" t="s">
        <v>21</v>
      </c>
      <c r="B239" s="648">
        <v>29753.875841000001</v>
      </c>
      <c r="C239" s="648">
        <v>20889.349868739999</v>
      </c>
      <c r="D239" s="648">
        <v>18075.243998049998</v>
      </c>
      <c r="E239" s="648">
        <v>10555.483952099999</v>
      </c>
      <c r="F239" s="641">
        <f t="shared" ref="F239" si="49">+D239-E239</f>
        <v>7519.760045949999</v>
      </c>
      <c r="G239" s="641">
        <f t="shared" ref="G239" si="50">+C239-D239</f>
        <v>2814.1058706900003</v>
      </c>
      <c r="H239" s="641">
        <f t="shared" si="42"/>
        <v>8864.5259722600022</v>
      </c>
      <c r="I239" s="649">
        <f t="shared" si="45"/>
        <v>2.0250624189859265</v>
      </c>
      <c r="J239" s="649">
        <f t="shared" si="46"/>
        <v>1.5728055932403093</v>
      </c>
      <c r="K239" s="427"/>
      <c r="L239" s="8">
        <f>'2.5'!B232</f>
        <v>14692.819125990001</v>
      </c>
      <c r="M239" s="8">
        <f>'2.5'!C232</f>
        <v>13281.584169410002</v>
      </c>
    </row>
    <row r="240" spans="1:13" ht="15.75">
      <c r="A240" s="647" t="s">
        <v>22</v>
      </c>
      <c r="B240" s="648">
        <v>30456.969707119999</v>
      </c>
      <c r="C240" s="648">
        <v>21612.49612172</v>
      </c>
      <c r="D240" s="648">
        <v>18735.663815849999</v>
      </c>
      <c r="E240" s="648">
        <v>10654.934174459999</v>
      </c>
      <c r="F240" s="641">
        <f t="shared" ref="F240:F241" si="51">+D240-E240</f>
        <v>8080.7296413900003</v>
      </c>
      <c r="G240" s="641">
        <f t="shared" ref="G240" si="52">+C240-D240</f>
        <v>2876.8323058700007</v>
      </c>
      <c r="H240" s="641">
        <f t="shared" si="42"/>
        <v>8844.4735853999991</v>
      </c>
      <c r="I240" s="649">
        <f t="shared" si="45"/>
        <v>2.0050741705146065</v>
      </c>
      <c r="J240" s="649">
        <f t="shared" si="46"/>
        <v>1.5597071535724181</v>
      </c>
      <c r="K240" s="427"/>
      <c r="L240" s="8">
        <f>'2.5'!B233</f>
        <v>15189.946663819999</v>
      </c>
      <c r="M240" s="8">
        <f>'2.5'!C233</f>
        <v>13856.76540126</v>
      </c>
    </row>
    <row r="241" spans="1:13" ht="15.75">
      <c r="A241" s="647" t="s">
        <v>23</v>
      </c>
      <c r="B241" s="648">
        <v>30293.936078300005</v>
      </c>
      <c r="C241" s="648">
        <v>21480.734456599999</v>
      </c>
      <c r="D241" s="648">
        <v>18542.401700269998</v>
      </c>
      <c r="E241" s="648">
        <v>10737.548461589999</v>
      </c>
      <c r="F241" s="641">
        <f t="shared" si="51"/>
        <v>7804.8532386799998</v>
      </c>
      <c r="G241" s="641">
        <f t="shared" ref="G241" si="53">+C241-D241</f>
        <v>2938.3327563300008</v>
      </c>
      <c r="H241" s="641">
        <f t="shared" si="42"/>
        <v>8813.2016217000055</v>
      </c>
      <c r="I241" s="649">
        <f t="shared" si="45"/>
        <v>1.9953953990807178</v>
      </c>
      <c r="J241" s="649">
        <f t="shared" si="46"/>
        <v>1.5562392057055507</v>
      </c>
      <c r="K241" s="427"/>
      <c r="L241" s="8">
        <f>'2.5'!B234</f>
        <v>15181.921383729999</v>
      </c>
      <c r="M241" s="8">
        <f>'2.5'!C234</f>
        <v>13802.977317270001</v>
      </c>
    </row>
    <row r="242" spans="1:13" ht="15.75">
      <c r="A242" s="647" t="s">
        <v>24</v>
      </c>
      <c r="B242" s="648">
        <v>31507.316668150001</v>
      </c>
      <c r="C242" s="648">
        <v>21840.937861350001</v>
      </c>
      <c r="D242" s="648">
        <v>18791.42961444</v>
      </c>
      <c r="E242" s="648">
        <v>11049.627339399998</v>
      </c>
      <c r="F242" s="641">
        <f t="shared" ref="F242" si="54">+D242-E242</f>
        <v>7741.8022750400014</v>
      </c>
      <c r="G242" s="641">
        <f t="shared" ref="G242" si="55">+C242-D242</f>
        <v>3049.5082469100016</v>
      </c>
      <c r="H242" s="641">
        <f t="shared" ref="H242" si="56">+B242-C242</f>
        <v>9666.3788067999994</v>
      </c>
      <c r="I242" s="649">
        <f t="shared" si="45"/>
        <v>2.0140423193477539</v>
      </c>
      <c r="J242" s="649">
        <f t="shared" si="46"/>
        <v>1.5366458412827888</v>
      </c>
      <c r="K242" s="427"/>
      <c r="L242" s="8">
        <f>'2.5'!B235</f>
        <v>15643.82057193</v>
      </c>
      <c r="M242" s="8">
        <f>'2.5'!C235</f>
        <v>14213.38429102</v>
      </c>
    </row>
    <row r="243" spans="1:13" ht="15.75">
      <c r="A243" s="647" t="s">
        <v>25</v>
      </c>
      <c r="B243" s="648">
        <v>31289.157555910002</v>
      </c>
      <c r="C243" s="648">
        <v>21946.90603559</v>
      </c>
      <c r="D243" s="648">
        <v>18944.11376144</v>
      </c>
      <c r="E243" s="648">
        <v>10989.504211420001</v>
      </c>
      <c r="F243" s="641">
        <f t="shared" ref="F243" si="57">+D243-E243</f>
        <v>7954.609550019999</v>
      </c>
      <c r="G243" s="641">
        <f t="shared" ref="G243" si="58">+C243-D243</f>
        <v>3002.7922741500006</v>
      </c>
      <c r="H243" s="641">
        <f t="shared" ref="H243" si="59">+B243-C243</f>
        <v>9342.2515203200019</v>
      </c>
      <c r="I243" s="649">
        <f t="shared" si="45"/>
        <v>2.0238485040374763</v>
      </c>
      <c r="J243" s="649">
        <f t="shared" si="46"/>
        <v>1.548574106929232</v>
      </c>
      <c r="K243" s="427"/>
      <c r="L243" s="8">
        <f>'2.5'!B236</f>
        <v>15460.227133350001</v>
      </c>
      <c r="M243" s="8">
        <f>'2.5'!C236</f>
        <v>14172.33178405</v>
      </c>
    </row>
    <row r="244" spans="1:13" ht="15.75">
      <c r="A244" s="647" t="s">
        <v>26</v>
      </c>
      <c r="B244" s="648">
        <v>32212.136309789996</v>
      </c>
      <c r="C244" s="648">
        <v>22407.213064970001</v>
      </c>
      <c r="D244" s="648">
        <v>19265.41110012</v>
      </c>
      <c r="E244" s="648">
        <v>11039.448140099999</v>
      </c>
      <c r="F244" s="641">
        <f t="shared" ref="F244:F245" si="60">+D244-E244</f>
        <v>8225.9629600200005</v>
      </c>
      <c r="G244" s="641">
        <f t="shared" ref="G244:G245" si="61">+C244-D244</f>
        <v>3141.8019648500012</v>
      </c>
      <c r="H244" s="641">
        <f t="shared" ref="H244:H245" si="62">+B244-C244</f>
        <v>9804.9232448199946</v>
      </c>
      <c r="I244" s="649">
        <f t="shared" si="45"/>
        <v>2.0485030504744803</v>
      </c>
      <c r="J244" s="649">
        <f t="shared" si="46"/>
        <v>1.5454591902739705</v>
      </c>
      <c r="K244" s="427"/>
      <c r="L244" s="8">
        <f>'2.5'!B237</f>
        <v>15724.71971781</v>
      </c>
      <c r="M244" s="8">
        <f>'2.5'!C237</f>
        <v>14498.74134884</v>
      </c>
    </row>
    <row r="245" spans="1:13" ht="15.75">
      <c r="A245" s="647" t="s">
        <v>27</v>
      </c>
      <c r="B245" s="648">
        <v>32462.807922790002</v>
      </c>
      <c r="C245" s="648">
        <v>22578.347080030002</v>
      </c>
      <c r="D245" s="648">
        <v>19392.333370760003</v>
      </c>
      <c r="E245" s="648">
        <v>11080.009622400003</v>
      </c>
      <c r="F245" s="641">
        <f t="shared" si="60"/>
        <v>8312.3237483600005</v>
      </c>
      <c r="G245" s="641">
        <f t="shared" si="61"/>
        <v>3186.0137092699988</v>
      </c>
      <c r="H245" s="641">
        <f t="shared" si="62"/>
        <v>9884.4608427599997</v>
      </c>
      <c r="I245" s="649">
        <f t="shared" si="45"/>
        <v>2.0206181700188752</v>
      </c>
      <c r="J245" s="649">
        <f t="shared" si="46"/>
        <v>1.5442163025354065</v>
      </c>
      <c r="K245" s="427"/>
      <c r="L245" s="8">
        <f>'2.5'!B238</f>
        <v>16065.780464840003</v>
      </c>
      <c r="M245" s="8">
        <f>'2.5'!C238</f>
        <v>14621.233465130003</v>
      </c>
    </row>
    <row r="246" spans="1:13" ht="15.75">
      <c r="A246" s="647" t="s">
        <v>28</v>
      </c>
      <c r="B246" s="648">
        <v>33031.295621280005</v>
      </c>
      <c r="C246" s="648">
        <v>22743.669427119996</v>
      </c>
      <c r="D246" s="648">
        <v>19513.868746059998</v>
      </c>
      <c r="E246" s="648">
        <v>10852.38754025</v>
      </c>
      <c r="F246" s="641">
        <f t="shared" ref="F246" si="63">+D246-E246</f>
        <v>8661.4812058099978</v>
      </c>
      <c r="G246" s="641">
        <f t="shared" ref="G246" si="64">+C246-D246</f>
        <v>3229.8006810599982</v>
      </c>
      <c r="H246" s="641">
        <f t="shared" ref="H246" si="65">+B246-C246</f>
        <v>10287.62619416001</v>
      </c>
      <c r="I246" s="649">
        <f t="shared" si="45"/>
        <v>2.1328178779332885</v>
      </c>
      <c r="J246" s="649">
        <f t="shared" si="46"/>
        <v>1.5927940635499249</v>
      </c>
      <c r="K246" s="427"/>
      <c r="L246" s="8">
        <f>'2.5'!B239</f>
        <v>15487.161826160002</v>
      </c>
      <c r="M246" s="8">
        <f>'2.5'!C239</f>
        <v>14279.102331930002</v>
      </c>
    </row>
    <row r="247" spans="1:13" ht="15.75">
      <c r="A247" s="647" t="s">
        <v>29</v>
      </c>
      <c r="B247" s="648">
        <v>34646.641486510001</v>
      </c>
      <c r="C247" s="648">
        <v>23874.89363441</v>
      </c>
      <c r="D247" s="648">
        <v>20572.53776404</v>
      </c>
      <c r="E247" s="648">
        <v>10940.841220230001</v>
      </c>
      <c r="F247" s="641">
        <f t="shared" ref="F247:F273" si="66">+D247-E247</f>
        <v>9631.6965438099996</v>
      </c>
      <c r="G247" s="641">
        <f t="shared" ref="G247:G273" si="67">+C247-D247</f>
        <v>3302.35587037</v>
      </c>
      <c r="H247" s="641">
        <f t="shared" ref="H247:H260" si="68">+B247-C247</f>
        <v>10771.747852100001</v>
      </c>
      <c r="I247" s="649">
        <f t="shared" si="45"/>
        <v>1.7532477398525235</v>
      </c>
      <c r="J247" s="649">
        <f t="shared" si="46"/>
        <v>1.3310004789895935</v>
      </c>
      <c r="K247" s="427"/>
      <c r="L247" s="8">
        <f>'2.5'!B240</f>
        <v>19761.4066164</v>
      </c>
      <c r="M247" s="8">
        <f>'2.5'!C240</f>
        <v>17937.554502260002</v>
      </c>
    </row>
    <row r="248" spans="1:13" ht="15.75">
      <c r="A248" s="647" t="s">
        <v>2827</v>
      </c>
      <c r="B248" s="650">
        <v>42824.929994710001</v>
      </c>
      <c r="C248" s="650">
        <v>29565.60384879</v>
      </c>
      <c r="D248" s="650">
        <v>25365.805405030005</v>
      </c>
      <c r="E248" s="650">
        <v>13297.493267379999</v>
      </c>
      <c r="F248" s="1326">
        <f t="shared" si="66"/>
        <v>12068.312137650006</v>
      </c>
      <c r="G248" s="1326">
        <f t="shared" si="67"/>
        <v>4199.7984437599953</v>
      </c>
      <c r="H248" s="1326">
        <f t="shared" si="68"/>
        <v>13259.32614592</v>
      </c>
      <c r="I248" s="656">
        <v>2.0490141781273299</v>
      </c>
      <c r="J248" s="656">
        <v>1.6933069359993795</v>
      </c>
      <c r="K248" s="427"/>
      <c r="L248" s="8"/>
      <c r="M248" s="8"/>
    </row>
    <row r="249" spans="1:13" ht="15.75">
      <c r="A249" s="647" t="s">
        <v>18</v>
      </c>
      <c r="B249" s="648">
        <v>34647.601212809997</v>
      </c>
      <c r="C249" s="648">
        <v>23113.733211639999</v>
      </c>
      <c r="D249" s="648">
        <v>19761.854880719999</v>
      </c>
      <c r="E249" s="648">
        <v>10284.268519800002</v>
      </c>
      <c r="F249" s="641">
        <f t="shared" si="66"/>
        <v>9477.5863609199969</v>
      </c>
      <c r="G249" s="641">
        <f t="shared" si="67"/>
        <v>3351.8783309200007</v>
      </c>
      <c r="H249" s="641">
        <f t="shared" si="68"/>
        <v>11533.868001169998</v>
      </c>
      <c r="I249" s="649">
        <f t="shared" ref="I249:I258" si="69">B249/L249</f>
        <v>2.2467501489451283</v>
      </c>
      <c r="J249" s="649">
        <f t="shared" ref="J249:J258" si="70">C249/M249</f>
        <v>1.6457792395193094</v>
      </c>
      <c r="K249" s="427"/>
      <c r="L249" s="8">
        <f>'2.5'!B242</f>
        <v>15421.207929630002</v>
      </c>
      <c r="M249" s="8">
        <f>'2.5'!C242</f>
        <v>14044.248861950002</v>
      </c>
    </row>
    <row r="250" spans="1:13" ht="15.75">
      <c r="A250" s="647" t="s">
        <v>19</v>
      </c>
      <c r="B250" s="648">
        <v>33884.104274700003</v>
      </c>
      <c r="C250" s="648">
        <v>23010.41155588</v>
      </c>
      <c r="D250" s="648">
        <v>19632.115868050001</v>
      </c>
      <c r="E250" s="648">
        <v>10482.60273024</v>
      </c>
      <c r="F250" s="641">
        <f t="shared" si="66"/>
        <v>9149.5131378100014</v>
      </c>
      <c r="G250" s="641">
        <f t="shared" si="67"/>
        <v>3378.2956878299992</v>
      </c>
      <c r="H250" s="641">
        <f t="shared" si="68"/>
        <v>10873.692718820002</v>
      </c>
      <c r="I250" s="649">
        <f t="shared" si="69"/>
        <v>2.2047240010252094</v>
      </c>
      <c r="J250" s="649">
        <f t="shared" si="70"/>
        <v>1.6500096878626571</v>
      </c>
      <c r="K250" s="427"/>
      <c r="L250" s="8">
        <v>15368.86442881</v>
      </c>
      <c r="M250" s="8">
        <v>13945.622092490001</v>
      </c>
    </row>
    <row r="251" spans="1:13" ht="15.75">
      <c r="A251" s="647" t="s">
        <v>20</v>
      </c>
      <c r="B251" s="648">
        <v>34910.528772350001</v>
      </c>
      <c r="C251" s="648">
        <v>23597.133387610003</v>
      </c>
      <c r="D251" s="648">
        <v>20249.671750380003</v>
      </c>
      <c r="E251" s="648">
        <v>10525.19638263</v>
      </c>
      <c r="F251" s="641">
        <f t="shared" si="66"/>
        <v>9724.475367750003</v>
      </c>
      <c r="G251" s="641">
        <f t="shared" si="67"/>
        <v>3347.4616372300006</v>
      </c>
      <c r="H251" s="641">
        <f t="shared" si="68"/>
        <v>11313.395384739997</v>
      </c>
      <c r="I251" s="649">
        <f t="shared" si="69"/>
        <v>2.1281763781096026</v>
      </c>
      <c r="J251" s="649">
        <f t="shared" si="70"/>
        <v>1.6433020761461905</v>
      </c>
      <c r="K251" s="427"/>
      <c r="L251" s="8">
        <v>16403.964037680002</v>
      </c>
      <c r="M251" s="8">
        <v>14359.583505760002</v>
      </c>
    </row>
    <row r="252" spans="1:13" ht="15.75">
      <c r="A252" s="647" t="s">
        <v>21</v>
      </c>
      <c r="B252" s="648">
        <v>35638.818680690005</v>
      </c>
      <c r="C252" s="648">
        <v>24214.973517330007</v>
      </c>
      <c r="D252" s="648">
        <v>20796.869242420005</v>
      </c>
      <c r="E252" s="648">
        <v>10835.501029360003</v>
      </c>
      <c r="F252" s="641">
        <f t="shared" si="66"/>
        <v>9961.3682130600027</v>
      </c>
      <c r="G252" s="641">
        <f t="shared" si="67"/>
        <v>3418.1042749100015</v>
      </c>
      <c r="H252" s="641">
        <f t="shared" si="68"/>
        <v>11423.845163359998</v>
      </c>
      <c r="I252" s="649">
        <f t="shared" si="69"/>
        <v>2.2256465414616131</v>
      </c>
      <c r="J252" s="649">
        <f t="shared" si="70"/>
        <v>1.6625984899654147</v>
      </c>
      <c r="K252" s="427"/>
      <c r="L252" s="8">
        <v>16012.793593580001</v>
      </c>
      <c r="M252" s="8">
        <v>14564.534771010003</v>
      </c>
    </row>
    <row r="253" spans="1:13" ht="15.75">
      <c r="A253" s="647" t="s">
        <v>22</v>
      </c>
      <c r="B253" s="648">
        <v>37001.113740070003</v>
      </c>
      <c r="C253" s="648">
        <v>25371.124111100002</v>
      </c>
      <c r="D253" s="648">
        <v>21888.373005880003</v>
      </c>
      <c r="E253" s="648">
        <v>11252.010695250001</v>
      </c>
      <c r="F253" s="641">
        <f t="shared" si="66"/>
        <v>10636.362310630002</v>
      </c>
      <c r="G253" s="641">
        <f t="shared" si="67"/>
        <v>3482.7511052199989</v>
      </c>
      <c r="H253" s="641">
        <f t="shared" si="68"/>
        <v>11629.989628970001</v>
      </c>
      <c r="I253" s="649">
        <f t="shared" si="69"/>
        <v>2.1733384371024034</v>
      </c>
      <c r="J253" s="649">
        <f t="shared" si="70"/>
        <v>1.7046378256910242</v>
      </c>
      <c r="K253" s="427"/>
      <c r="L253" s="8">
        <v>17025.012353530001</v>
      </c>
      <c r="M253" s="8">
        <v>14883.586254350002</v>
      </c>
    </row>
    <row r="254" spans="1:13" ht="15.75">
      <c r="A254" s="647" t="s">
        <v>23</v>
      </c>
      <c r="B254" s="648">
        <v>38290.368884790005</v>
      </c>
      <c r="C254" s="648">
        <v>26164.281564559999</v>
      </c>
      <c r="D254" s="648">
        <v>22549.767804349998</v>
      </c>
      <c r="E254" s="648">
        <v>11712.44285928</v>
      </c>
      <c r="F254" s="641">
        <f t="shared" si="66"/>
        <v>10837.324945069999</v>
      </c>
      <c r="G254" s="641">
        <f t="shared" si="67"/>
        <v>3614.5137602100003</v>
      </c>
      <c r="H254" s="641">
        <f t="shared" si="68"/>
        <v>12126.087320230006</v>
      </c>
      <c r="I254" s="649">
        <f t="shared" si="69"/>
        <v>2.1841757840658316</v>
      </c>
      <c r="J254" s="649">
        <f t="shared" si="70"/>
        <v>1.671538241068693</v>
      </c>
      <c r="K254" s="427"/>
      <c r="L254" s="8">
        <v>17530.809179430002</v>
      </c>
      <c r="M254" s="8">
        <v>15652.816622270002</v>
      </c>
    </row>
    <row r="255" spans="1:13" ht="15.75">
      <c r="A255" s="647" t="s">
        <v>24</v>
      </c>
      <c r="B255" s="648">
        <v>38257.376641509996</v>
      </c>
      <c r="C255" s="648">
        <v>26265.92058921</v>
      </c>
      <c r="D255" s="648">
        <v>22448.756854389998</v>
      </c>
      <c r="E255" s="648">
        <v>12146.521917949998</v>
      </c>
      <c r="F255" s="641">
        <f t="shared" si="66"/>
        <v>10302.23493644</v>
      </c>
      <c r="G255" s="641">
        <f t="shared" si="67"/>
        <v>3817.163734820002</v>
      </c>
      <c r="H255" s="641">
        <f t="shared" si="68"/>
        <v>11991.456052299996</v>
      </c>
      <c r="I255" s="649">
        <f t="shared" si="69"/>
        <v>2.1236399188992197</v>
      </c>
      <c r="J255" s="649">
        <f t="shared" si="70"/>
        <v>1.6293552760477843</v>
      </c>
      <c r="K255" s="427"/>
      <c r="L255" s="8">
        <v>18015.001649310001</v>
      </c>
      <c r="M255" s="8">
        <v>16120.4379274</v>
      </c>
    </row>
    <row r="256" spans="1:13" ht="15.75">
      <c r="A256" s="647" t="s">
        <v>25</v>
      </c>
      <c r="B256" s="648">
        <v>39064.86572604</v>
      </c>
      <c r="C256" s="648">
        <v>26973.767824449998</v>
      </c>
      <c r="D256" s="648">
        <v>23066.441070699999</v>
      </c>
      <c r="E256" s="648">
        <v>12169.26614639</v>
      </c>
      <c r="F256" s="641">
        <f t="shared" si="66"/>
        <v>10897.174924309998</v>
      </c>
      <c r="G256" s="641">
        <f t="shared" si="67"/>
        <v>3907.3267537499996</v>
      </c>
      <c r="H256" s="641">
        <f t="shared" si="68"/>
        <v>12091.097901590001</v>
      </c>
      <c r="I256" s="649">
        <f t="shared" si="69"/>
        <v>2.187857240117987</v>
      </c>
      <c r="J256" s="649">
        <f t="shared" si="70"/>
        <v>1.6645512440632049</v>
      </c>
      <c r="K256" s="427"/>
      <c r="L256" s="8">
        <v>17855.30838563</v>
      </c>
      <c r="M256" s="8">
        <v>16204.82873126</v>
      </c>
    </row>
    <row r="257" spans="1:13" ht="15.75">
      <c r="A257" s="647" t="s">
        <v>26</v>
      </c>
      <c r="B257" s="648">
        <v>40150.421797239993</v>
      </c>
      <c r="C257" s="648">
        <v>27698.745064009996</v>
      </c>
      <c r="D257" s="648">
        <v>23717.158577019996</v>
      </c>
      <c r="E257" s="648">
        <v>12301.510788199999</v>
      </c>
      <c r="F257" s="641">
        <f t="shared" si="66"/>
        <v>11415.647788819997</v>
      </c>
      <c r="G257" s="641">
        <f t="shared" si="67"/>
        <v>3981.5864869899997</v>
      </c>
      <c r="H257" s="641">
        <f t="shared" si="68"/>
        <v>12451.676733229997</v>
      </c>
      <c r="I257" s="649">
        <f t="shared" si="69"/>
        <v>2.267963316655409</v>
      </c>
      <c r="J257" s="649">
        <f t="shared" si="70"/>
        <v>1.7156394006916751</v>
      </c>
      <c r="K257" s="427"/>
      <c r="L257" s="8">
        <v>17703.294185750001</v>
      </c>
      <c r="M257" s="8">
        <v>16144.852498050001</v>
      </c>
    </row>
    <row r="258" spans="1:13" ht="15.75">
      <c r="A258" s="647" t="s">
        <v>27</v>
      </c>
      <c r="B258" s="648">
        <v>41178.167727560001</v>
      </c>
      <c r="C258" s="648">
        <v>28702.123430259999</v>
      </c>
      <c r="D258" s="648">
        <v>24636.848113879998</v>
      </c>
      <c r="E258" s="648">
        <v>12542.762842100001</v>
      </c>
      <c r="F258" s="641">
        <f t="shared" si="66"/>
        <v>12094.085271779997</v>
      </c>
      <c r="G258" s="641">
        <f t="shared" si="67"/>
        <v>4065.2753163800007</v>
      </c>
      <c r="H258" s="641">
        <f t="shared" si="68"/>
        <v>12476.044297300003</v>
      </c>
      <c r="I258" s="649">
        <f t="shared" si="69"/>
        <v>2.2369198643052428</v>
      </c>
      <c r="J258" s="649">
        <f t="shared" si="70"/>
        <v>1.7216808802677508</v>
      </c>
      <c r="K258" s="427"/>
      <c r="L258" s="8">
        <v>18408.423289830003</v>
      </c>
      <c r="M258" s="8">
        <v>16670.989240350005</v>
      </c>
    </row>
    <row r="259" spans="1:13" ht="15.75">
      <c r="A259" s="647" t="s">
        <v>28</v>
      </c>
      <c r="B259" s="648">
        <v>41732.480991759992</v>
      </c>
      <c r="C259" s="648">
        <v>28664.181435909999</v>
      </c>
      <c r="D259" s="648">
        <v>24532.729245579998</v>
      </c>
      <c r="E259" s="648">
        <v>12726.75383118</v>
      </c>
      <c r="F259" s="641">
        <f t="shared" si="66"/>
        <v>11805.975414399998</v>
      </c>
      <c r="G259" s="641">
        <f t="shared" si="67"/>
        <v>4131.452190330001</v>
      </c>
      <c r="H259" s="641">
        <f t="shared" si="68"/>
        <v>13068.299555849993</v>
      </c>
      <c r="I259" s="649">
        <v>2.2253080805295489</v>
      </c>
      <c r="J259" s="649">
        <v>1.7155785355340376</v>
      </c>
      <c r="K259" s="427"/>
      <c r="L259" s="8">
        <v>18753.574553070001</v>
      </c>
      <c r="M259" s="8">
        <v>16708.172107660001</v>
      </c>
    </row>
    <row r="260" spans="1:13" ht="15.75">
      <c r="A260" s="647" t="s">
        <v>29</v>
      </c>
      <c r="B260" s="648">
        <v>42824.929994710001</v>
      </c>
      <c r="C260" s="648">
        <v>29565.603848790008</v>
      </c>
      <c r="D260" s="648">
        <v>25365.805405030005</v>
      </c>
      <c r="E260" s="648">
        <v>13297.493267379999</v>
      </c>
      <c r="F260" s="641">
        <f t="shared" si="66"/>
        <v>12068.312137650006</v>
      </c>
      <c r="G260" s="641">
        <f t="shared" si="67"/>
        <v>4199.7984437600026</v>
      </c>
      <c r="H260" s="641">
        <f t="shared" si="68"/>
        <v>13259.326145919993</v>
      </c>
      <c r="I260" s="649">
        <f>B260/L260</f>
        <v>2.0490141781273317</v>
      </c>
      <c r="J260" s="649">
        <f>C260/M260</f>
        <v>1.6933069359993795</v>
      </c>
      <c r="K260" s="427"/>
      <c r="L260" s="8">
        <v>20900.260452980005</v>
      </c>
      <c r="M260" s="8">
        <v>17460.274460720004</v>
      </c>
    </row>
    <row r="261" spans="1:13" ht="15.75">
      <c r="A261" s="647" t="s">
        <v>3518</v>
      </c>
      <c r="B261" s="650">
        <v>45073.454435480002</v>
      </c>
      <c r="C261" s="650">
        <v>35371.828297100001</v>
      </c>
      <c r="D261" s="650">
        <v>29678.599827820002</v>
      </c>
      <c r="E261" s="650">
        <v>15873.293199200001</v>
      </c>
      <c r="F261" s="1326">
        <v>13805.306628620001</v>
      </c>
      <c r="G261" s="1326">
        <v>5693.2284692799985</v>
      </c>
      <c r="H261" s="1326">
        <v>9701.6261383800011</v>
      </c>
      <c r="I261" s="656">
        <v>1.8871316124945883</v>
      </c>
      <c r="J261" s="656">
        <v>1.6944433069209934</v>
      </c>
      <c r="K261" s="427"/>
      <c r="L261" s="8"/>
      <c r="M261" s="8"/>
    </row>
    <row r="262" spans="1:13" ht="15.75">
      <c r="A262" s="647" t="s">
        <v>18</v>
      </c>
      <c r="B262" s="648">
        <v>42014.817824240003</v>
      </c>
      <c r="C262" s="648">
        <v>28914.779509910004</v>
      </c>
      <c r="D262" s="648">
        <v>24707.252560940004</v>
      </c>
      <c r="E262" s="648">
        <v>13257.987665800001</v>
      </c>
      <c r="F262" s="641">
        <f t="shared" si="66"/>
        <v>11449.264895140002</v>
      </c>
      <c r="G262" s="641">
        <f t="shared" si="67"/>
        <v>4207.5269489700004</v>
      </c>
      <c r="H262" s="641">
        <f t="shared" ref="H262:H273" si="71">+B262-C262</f>
        <v>13100.038314329999</v>
      </c>
      <c r="I262" s="649">
        <f t="shared" ref="I262:I273" si="72">B262/L262</f>
        <v>2.2556153508226053</v>
      </c>
      <c r="J262" s="649">
        <f t="shared" ref="J262:J273" si="73">C262/M262</f>
        <v>1.7124655404975042</v>
      </c>
      <c r="K262" s="427"/>
      <c r="L262" s="8">
        <v>18626.765334310003</v>
      </c>
      <c r="M262" s="8">
        <v>16884.882542810003</v>
      </c>
    </row>
    <row r="263" spans="1:13" ht="15.75">
      <c r="A263" s="647" t="s">
        <v>19</v>
      </c>
      <c r="B263" s="648">
        <v>41733.000310439995</v>
      </c>
      <c r="C263" s="648">
        <v>29018.297662320001</v>
      </c>
      <c r="D263" s="648">
        <v>24680.764874619999</v>
      </c>
      <c r="E263" s="648">
        <v>13578.954223320001</v>
      </c>
      <c r="F263" s="641">
        <f t="shared" si="66"/>
        <v>11101.810651299998</v>
      </c>
      <c r="G263" s="641">
        <f t="shared" si="67"/>
        <v>4337.5327877000018</v>
      </c>
      <c r="H263" s="641">
        <f t="shared" si="71"/>
        <v>12714.702648119994</v>
      </c>
      <c r="I263" s="649">
        <f t="shared" si="72"/>
        <v>2.2067316166683244</v>
      </c>
      <c r="J263" s="649">
        <f t="shared" si="73"/>
        <v>1.682348336571837</v>
      </c>
      <c r="K263" s="427"/>
      <c r="L263" s="8">
        <v>18911.679152650006</v>
      </c>
      <c r="M263" s="8">
        <v>17248.685680310005</v>
      </c>
    </row>
    <row r="264" spans="1:13" ht="15.75">
      <c r="A264" s="647" t="s">
        <v>20</v>
      </c>
      <c r="B264" s="648">
        <v>41078.253379200003</v>
      </c>
      <c r="C264" s="648">
        <v>29693.952624060003</v>
      </c>
      <c r="D264" s="648">
        <v>25305.375001060002</v>
      </c>
      <c r="E264" s="648">
        <v>13688.942531370001</v>
      </c>
      <c r="F264" s="641">
        <f t="shared" si="66"/>
        <v>11616.43246969</v>
      </c>
      <c r="G264" s="641">
        <f t="shared" si="67"/>
        <v>4388.577623000001</v>
      </c>
      <c r="H264" s="641">
        <f t="shared" si="71"/>
        <v>11384.300755140001</v>
      </c>
      <c r="I264" s="649">
        <f t="shared" si="72"/>
        <v>2.1132540677791014</v>
      </c>
      <c r="J264" s="649">
        <f t="shared" si="73"/>
        <v>1.6786724976993797</v>
      </c>
      <c r="K264" s="427"/>
      <c r="L264" s="8">
        <v>19438.388410329997</v>
      </c>
      <c r="M264" s="8">
        <v>17688.949252909999</v>
      </c>
    </row>
    <row r="265" spans="1:13" ht="15.75">
      <c r="A265" s="647" t="s">
        <v>21</v>
      </c>
      <c r="B265" s="648">
        <v>41177.46987157</v>
      </c>
      <c r="C265" s="648">
        <v>30189.143619710001</v>
      </c>
      <c r="D265" s="648">
        <v>25721.310296610001</v>
      </c>
      <c r="E265" s="648">
        <v>13905.476173270001</v>
      </c>
      <c r="F265" s="641">
        <f t="shared" si="66"/>
        <v>11815.834123340001</v>
      </c>
      <c r="G265" s="641">
        <f t="shared" si="67"/>
        <v>4467.8333230999997</v>
      </c>
      <c r="H265" s="641">
        <f t="shared" si="71"/>
        <v>10988.326251859999</v>
      </c>
      <c r="I265" s="649">
        <f t="shared" si="72"/>
        <v>2.1644215064055374</v>
      </c>
      <c r="J265" s="649">
        <f t="shared" si="73"/>
        <v>1.714323418429949</v>
      </c>
      <c r="K265" s="427"/>
      <c r="L265" s="8">
        <v>19024.700017860003</v>
      </c>
      <c r="M265" s="8">
        <v>17609.946463520002</v>
      </c>
    </row>
    <row r="266" spans="1:13" ht="15.75">
      <c r="A266" s="647" t="s">
        <v>22</v>
      </c>
      <c r="B266" s="648">
        <v>41371.81975563</v>
      </c>
      <c r="C266" s="648">
        <v>30368.844427370001</v>
      </c>
      <c r="D266" s="648">
        <v>25737.90202809</v>
      </c>
      <c r="E266" s="648">
        <v>13978.7521244</v>
      </c>
      <c r="F266" s="641">
        <f t="shared" si="66"/>
        <v>11759.14990369</v>
      </c>
      <c r="G266" s="641">
        <f t="shared" si="67"/>
        <v>4630.9423992800002</v>
      </c>
      <c r="H266" s="641">
        <f t="shared" si="71"/>
        <v>11002.97532826</v>
      </c>
      <c r="I266" s="649">
        <f t="shared" si="72"/>
        <v>2.1641647968905686</v>
      </c>
      <c r="J266" s="649">
        <f t="shared" si="73"/>
        <v>1.7503185495165405</v>
      </c>
      <c r="K266" s="427"/>
      <c r="L266" s="8">
        <v>19116.760338709999</v>
      </c>
      <c r="M266" s="8">
        <v>17350.46711112</v>
      </c>
    </row>
    <row r="267" spans="1:13" ht="15.75">
      <c r="A267" s="647" t="s">
        <v>23</v>
      </c>
      <c r="B267" s="648">
        <v>41239.938644500005</v>
      </c>
      <c r="C267" s="648">
        <v>31403.953318120006</v>
      </c>
      <c r="D267" s="648">
        <v>26609.587875230005</v>
      </c>
      <c r="E267" s="648">
        <v>14534.687712530002</v>
      </c>
      <c r="F267" s="641">
        <f t="shared" si="66"/>
        <v>12074.900162700003</v>
      </c>
      <c r="G267" s="641">
        <f t="shared" si="67"/>
        <v>4794.3654428900008</v>
      </c>
      <c r="H267" s="641">
        <f t="shared" si="71"/>
        <v>9835.9853263799996</v>
      </c>
      <c r="I267" s="649">
        <f t="shared" si="72"/>
        <v>2.0657738527494414</v>
      </c>
      <c r="J267" s="649">
        <f t="shared" si="73"/>
        <v>1.7065771694203946</v>
      </c>
      <c r="K267" s="427"/>
      <c r="L267" s="8">
        <v>19963.433359180006</v>
      </c>
      <c r="M267" s="8">
        <v>18401.718879660006</v>
      </c>
    </row>
    <row r="268" spans="1:13" ht="15.75">
      <c r="A268" s="647" t="s">
        <v>24</v>
      </c>
      <c r="B268" s="648">
        <v>41070.580024740004</v>
      </c>
      <c r="C268" s="648">
        <v>31713.095934370001</v>
      </c>
      <c r="D268" s="648">
        <v>26824.884184800001</v>
      </c>
      <c r="E268" s="648">
        <v>14725.274609399999</v>
      </c>
      <c r="F268" s="641">
        <f t="shared" si="66"/>
        <v>12099.609575400002</v>
      </c>
      <c r="G268" s="641">
        <f t="shared" si="67"/>
        <v>4888.2117495700004</v>
      </c>
      <c r="H268" s="641">
        <f t="shared" si="71"/>
        <v>9357.4840903700024</v>
      </c>
      <c r="I268" s="649">
        <f t="shared" si="72"/>
        <v>2.0989970578423991</v>
      </c>
      <c r="J268" s="649">
        <f t="shared" si="73"/>
        <v>1.7365008078276136</v>
      </c>
      <c r="K268" s="427"/>
      <c r="L268" s="8">
        <v>19566.763979630003</v>
      </c>
      <c r="M268" s="8">
        <v>18262.643928190002</v>
      </c>
    </row>
    <row r="269" spans="1:13" ht="15.75">
      <c r="A269" s="647" t="s">
        <v>25</v>
      </c>
      <c r="B269" s="648">
        <v>41110.302735789999</v>
      </c>
      <c r="C269" s="648">
        <v>32027.483827460001</v>
      </c>
      <c r="D269" s="648">
        <v>26955.835413550001</v>
      </c>
      <c r="E269" s="648">
        <v>14604.80832387</v>
      </c>
      <c r="F269" s="641">
        <f t="shared" si="66"/>
        <v>12351.027089680001</v>
      </c>
      <c r="G269" s="641">
        <f t="shared" si="67"/>
        <v>5071.6484139099994</v>
      </c>
      <c r="H269" s="641">
        <f t="shared" si="71"/>
        <v>9082.8189083299985</v>
      </c>
      <c r="I269" s="649">
        <f t="shared" si="72"/>
        <v>2.0745403378096845</v>
      </c>
      <c r="J269" s="649">
        <f t="shared" si="73"/>
        <v>1.767826101846276</v>
      </c>
      <c r="K269" s="427"/>
      <c r="L269" s="8">
        <v>19816.583937430001</v>
      </c>
      <c r="M269" s="8">
        <v>18116.87461454</v>
      </c>
    </row>
    <row r="270" spans="1:13" ht="15.75">
      <c r="A270" s="647" t="s">
        <v>26</v>
      </c>
      <c r="B270" s="648">
        <v>42024.068608210007</v>
      </c>
      <c r="C270" s="648">
        <v>33180.734471010008</v>
      </c>
      <c r="D270" s="648">
        <v>27879.462798890003</v>
      </c>
      <c r="E270" s="648">
        <v>14741.89901487</v>
      </c>
      <c r="F270" s="641">
        <f t="shared" si="66"/>
        <v>13137.563784020003</v>
      </c>
      <c r="G270" s="641">
        <f t="shared" si="67"/>
        <v>5301.271672120005</v>
      </c>
      <c r="H270" s="641">
        <f t="shared" si="71"/>
        <v>8843.3341371999995</v>
      </c>
      <c r="I270" s="649">
        <f t="shared" si="72"/>
        <v>2.1625646022911087</v>
      </c>
      <c r="J270" s="649">
        <f t="shared" si="73"/>
        <v>1.8540681909888546</v>
      </c>
      <c r="K270" s="427"/>
      <c r="L270" s="8">
        <v>19432.514785309999</v>
      </c>
      <c r="M270" s="8">
        <v>17896.178054439999</v>
      </c>
    </row>
    <row r="271" spans="1:13" ht="15.75">
      <c r="A271" s="647" t="s">
        <v>27</v>
      </c>
      <c r="B271" s="648">
        <v>42894.20957888</v>
      </c>
      <c r="C271" s="648">
        <v>33433.65352688</v>
      </c>
      <c r="D271" s="648">
        <v>28076.588598260001</v>
      </c>
      <c r="E271" s="648">
        <v>14941.352366700001</v>
      </c>
      <c r="F271" s="641">
        <f t="shared" si="66"/>
        <v>13135.23623156</v>
      </c>
      <c r="G271" s="641">
        <f t="shared" si="67"/>
        <v>5357.0649286199987</v>
      </c>
      <c r="H271" s="641">
        <f t="shared" si="71"/>
        <v>9460.5560519999999</v>
      </c>
      <c r="I271" s="649">
        <f t="shared" si="72"/>
        <v>2.1495165904679179</v>
      </c>
      <c r="J271" s="649">
        <f t="shared" si="73"/>
        <v>1.8168498246545146</v>
      </c>
      <c r="K271" s="427"/>
      <c r="L271" s="8">
        <v>19955.28193134</v>
      </c>
      <c r="M271" s="8">
        <v>18401.99067264</v>
      </c>
    </row>
    <row r="272" spans="1:13" ht="15.75">
      <c r="A272" s="647" t="s">
        <v>28</v>
      </c>
      <c r="B272" s="648">
        <v>43361.764667709998</v>
      </c>
      <c r="C272" s="648">
        <v>34199.027360200002</v>
      </c>
      <c r="D272" s="648">
        <v>28673.838069500001</v>
      </c>
      <c r="E272" s="648">
        <v>15117.740253280002</v>
      </c>
      <c r="F272" s="641">
        <f t="shared" si="66"/>
        <v>13556.097816219999</v>
      </c>
      <c r="G272" s="641">
        <f t="shared" si="67"/>
        <v>5525.1892907000001</v>
      </c>
      <c r="H272" s="641">
        <f t="shared" si="71"/>
        <v>9162.7373075099968</v>
      </c>
      <c r="I272" s="649">
        <f t="shared" si="72"/>
        <v>2.1952577683464227</v>
      </c>
      <c r="J272" s="649">
        <f t="shared" si="73"/>
        <v>1.8652951097690866</v>
      </c>
      <c r="K272" s="427"/>
      <c r="L272" s="8">
        <v>19752.470663329997</v>
      </c>
      <c r="M272" s="8">
        <v>18334.378930759998</v>
      </c>
    </row>
    <row r="273" spans="1:13" ht="15.75">
      <c r="A273" s="647" t="s">
        <v>29</v>
      </c>
      <c r="B273" s="648">
        <v>45073.454435480002</v>
      </c>
      <c r="C273" s="648">
        <v>35371.828297100001</v>
      </c>
      <c r="D273" s="648">
        <v>29678.599827820002</v>
      </c>
      <c r="E273" s="648">
        <v>15873.293199200001</v>
      </c>
      <c r="F273" s="641">
        <f t="shared" si="66"/>
        <v>13805.306628620001</v>
      </c>
      <c r="G273" s="641">
        <f t="shared" si="67"/>
        <v>5693.2284692799985</v>
      </c>
      <c r="H273" s="641">
        <f t="shared" si="71"/>
        <v>9701.6261383800011</v>
      </c>
      <c r="I273" s="649">
        <f t="shared" si="72"/>
        <v>1.8871316124945883</v>
      </c>
      <c r="J273" s="649">
        <f t="shared" si="73"/>
        <v>1.6944433069209934</v>
      </c>
      <c r="K273" s="427"/>
      <c r="L273" s="8">
        <v>23884.63747682</v>
      </c>
      <c r="M273" s="8">
        <v>20875.191369710003</v>
      </c>
    </row>
    <row r="274" spans="1:13" ht="15.75">
      <c r="A274" s="647" t="s">
        <v>3989</v>
      </c>
      <c r="B274" s="650">
        <v>46494.848323629994</v>
      </c>
      <c r="C274" s="650">
        <v>36651.984366729994</v>
      </c>
      <c r="D274" s="650">
        <v>29647.168054999995</v>
      </c>
      <c r="E274" s="650">
        <v>15857.864183669997</v>
      </c>
      <c r="F274" s="1326">
        <v>13789.303871329997</v>
      </c>
      <c r="G274" s="1326">
        <v>7004.8163117299991</v>
      </c>
      <c r="H274" s="1326">
        <v>9842.8639569000006</v>
      </c>
      <c r="I274" s="656">
        <v>1.9603258468263529</v>
      </c>
      <c r="J274" s="656">
        <v>1.7522981565191937</v>
      </c>
      <c r="K274" s="427"/>
      <c r="L274" s="8"/>
      <c r="M274" s="8"/>
    </row>
    <row r="275" spans="1:13" ht="15.75">
      <c r="A275" s="647" t="s">
        <v>18</v>
      </c>
      <c r="B275" s="648">
        <v>44898.660742440006</v>
      </c>
      <c r="C275" s="648">
        <v>34235.278261960004</v>
      </c>
      <c r="D275" s="648">
        <v>28785.707060780001</v>
      </c>
      <c r="E275" s="648">
        <v>15416.519995090002</v>
      </c>
      <c r="F275" s="641">
        <f t="shared" ref="F275:F279" si="74">+D275-E275</f>
        <v>13369.187065689999</v>
      </c>
      <c r="G275" s="641">
        <f t="shared" ref="G275:G279" si="75">+C275-D275</f>
        <v>5449.5712011800024</v>
      </c>
      <c r="H275" s="641">
        <f t="shared" ref="H275:H279" si="76">+B275-C275</f>
        <v>10663.382480480002</v>
      </c>
      <c r="I275" s="649">
        <f>B275/L275</f>
        <v>1.9708098549605919</v>
      </c>
      <c r="J275" s="649">
        <f>C275/M275</f>
        <v>1.6888678265984305</v>
      </c>
      <c r="K275" s="427"/>
      <c r="L275" s="8">
        <v>22781.832874150001</v>
      </c>
      <c r="M275" s="8">
        <v>20271.14124787</v>
      </c>
    </row>
    <row r="276" spans="1:13" ht="15.75">
      <c r="A276" s="647" t="s">
        <v>19</v>
      </c>
      <c r="B276" s="648">
        <v>44762.603155069999</v>
      </c>
      <c r="C276" s="648">
        <v>34263.958200839996</v>
      </c>
      <c r="D276" s="648">
        <v>28643.007836739998</v>
      </c>
      <c r="E276" s="648">
        <v>15245.458378809999</v>
      </c>
      <c r="F276" s="641">
        <f t="shared" si="74"/>
        <v>13397.549457929999</v>
      </c>
      <c r="G276" s="641">
        <f t="shared" si="75"/>
        <v>5620.9503640999974</v>
      </c>
      <c r="H276" s="641">
        <f t="shared" si="76"/>
        <v>10498.644954230003</v>
      </c>
      <c r="I276" s="649">
        <f t="shared" ref="I276:I280" si="77">B276/L276</f>
        <v>1.9436302872303235</v>
      </c>
      <c r="J276" s="649">
        <f t="shared" ref="J276:J280" si="78">C276/M276</f>
        <v>1.7019855455115509</v>
      </c>
      <c r="K276" s="427"/>
      <c r="L276" s="8">
        <v>23030.41038677</v>
      </c>
      <c r="M276" s="8">
        <v>20131.75628383</v>
      </c>
    </row>
    <row r="277" spans="1:13" ht="15.75">
      <c r="A277" s="647" t="s">
        <v>20</v>
      </c>
      <c r="B277" s="648">
        <v>44830.313387769987</v>
      </c>
      <c r="C277" s="648">
        <v>34453.606537229993</v>
      </c>
      <c r="D277" s="648">
        <v>28698.957398339997</v>
      </c>
      <c r="E277" s="648">
        <v>15435.81402706</v>
      </c>
      <c r="F277" s="641">
        <f t="shared" si="74"/>
        <v>13263.143371279997</v>
      </c>
      <c r="G277" s="641">
        <f t="shared" si="75"/>
        <v>5754.6491388899958</v>
      </c>
      <c r="H277" s="641">
        <f t="shared" si="76"/>
        <v>10376.706850539995</v>
      </c>
      <c r="I277" s="649">
        <f t="shared" si="77"/>
        <v>1.8705236884835703</v>
      </c>
      <c r="J277" s="649">
        <f t="shared" si="78"/>
        <v>1.6892021812397753</v>
      </c>
      <c r="K277" s="427"/>
      <c r="L277" s="8">
        <v>23966.717804100001</v>
      </c>
      <c r="M277" s="8">
        <v>20396.378195500001</v>
      </c>
    </row>
    <row r="278" spans="1:13" ht="15.75">
      <c r="A278" s="647" t="s">
        <v>21</v>
      </c>
      <c r="B278" s="648">
        <v>45277.245696730002</v>
      </c>
      <c r="C278" s="648">
        <v>34268.325425640003</v>
      </c>
      <c r="D278" s="648">
        <v>28315.79526708</v>
      </c>
      <c r="E278" s="648">
        <v>15298.011487789998</v>
      </c>
      <c r="F278" s="641">
        <f t="shared" si="74"/>
        <v>13017.783779290003</v>
      </c>
      <c r="G278" s="641">
        <f t="shared" si="75"/>
        <v>5952.5301585600027</v>
      </c>
      <c r="H278" s="641">
        <f t="shared" si="76"/>
        <v>11008.920271089999</v>
      </c>
      <c r="I278" s="649">
        <f t="shared" si="77"/>
        <v>1.9773156245900489</v>
      </c>
      <c r="J278" s="649">
        <f t="shared" si="78"/>
        <v>1.7137706161920345</v>
      </c>
      <c r="K278" s="427"/>
      <c r="L278" s="8">
        <v>22898.340120140001</v>
      </c>
      <c r="M278" s="8">
        <v>19995.864733509999</v>
      </c>
    </row>
    <row r="279" spans="1:13" ht="15.75">
      <c r="A279" s="647" t="s">
        <v>22</v>
      </c>
      <c r="B279" s="648">
        <v>44847.591278859996</v>
      </c>
      <c r="C279" s="648">
        <v>34409.422908099994</v>
      </c>
      <c r="D279" s="648">
        <v>28055.807422309997</v>
      </c>
      <c r="E279" s="648">
        <v>15430.076936330002</v>
      </c>
      <c r="F279" s="641">
        <f t="shared" si="74"/>
        <v>12625.730485979995</v>
      </c>
      <c r="G279" s="641">
        <f t="shared" si="75"/>
        <v>6353.6154857899965</v>
      </c>
      <c r="H279" s="641">
        <f t="shared" si="76"/>
        <v>10438.168370760002</v>
      </c>
      <c r="I279" s="649">
        <f t="shared" si="77"/>
        <v>1.9860648129752125</v>
      </c>
      <c r="J279" s="649">
        <f t="shared" si="78"/>
        <v>1.7249532342325706</v>
      </c>
      <c r="K279" s="427"/>
      <c r="L279" s="8">
        <v>22581.131786770005</v>
      </c>
      <c r="M279" s="8">
        <v>19948.032343850005</v>
      </c>
    </row>
    <row r="280" spans="1:13" ht="15.75">
      <c r="A280" s="647" t="s">
        <v>23</v>
      </c>
      <c r="B280" s="648">
        <v>45062.316232010002</v>
      </c>
      <c r="C280" s="648">
        <v>35127.500930790004</v>
      </c>
      <c r="D280" s="648">
        <v>28556.171880630005</v>
      </c>
      <c r="E280" s="648">
        <v>15590.511889710002</v>
      </c>
      <c r="F280" s="641">
        <f t="shared" ref="F280:F292" si="79">+D280-E280</f>
        <v>12965.659990920003</v>
      </c>
      <c r="G280" s="641">
        <f t="shared" ref="G280:G286" si="80">+C280-D280</f>
        <v>6571.3290501599986</v>
      </c>
      <c r="H280" s="641">
        <f t="shared" ref="H280:H292" si="81">+B280-C280</f>
        <v>9934.8153012199982</v>
      </c>
      <c r="I280" s="649">
        <f t="shared" si="77"/>
        <v>1.9381107023056769</v>
      </c>
      <c r="J280" s="649">
        <f t="shared" si="78"/>
        <v>1.7218495419128321</v>
      </c>
      <c r="K280" s="427"/>
      <c r="L280" s="8">
        <v>23250.641038410002</v>
      </c>
      <c r="M280" s="8">
        <v>20401.02812454</v>
      </c>
    </row>
    <row r="281" spans="1:13" ht="15.75">
      <c r="A281" s="647" t="s">
        <v>24</v>
      </c>
      <c r="B281" s="648">
        <v>44920.73822395</v>
      </c>
      <c r="C281" s="648">
        <v>35452.560310510002</v>
      </c>
      <c r="D281" s="648">
        <v>28648.212403360005</v>
      </c>
      <c r="E281" s="648">
        <v>15901.152510210004</v>
      </c>
      <c r="F281" s="641">
        <f t="shared" si="79"/>
        <v>12747.059893150001</v>
      </c>
      <c r="G281" s="641">
        <f t="shared" si="80"/>
        <v>6804.3479071499969</v>
      </c>
      <c r="H281" s="641">
        <f t="shared" si="81"/>
        <v>9468.1779134399985</v>
      </c>
      <c r="I281" s="649">
        <f t="shared" ref="I281:I286" si="82">B281/L281</f>
        <v>1.9203449549669445</v>
      </c>
      <c r="J281" s="649">
        <f t="shared" ref="J281:J286" si="83">C281/M281</f>
        <v>1.7100834935276163</v>
      </c>
      <c r="K281" s="427"/>
      <c r="L281" s="8">
        <v>23392.01512091</v>
      </c>
      <c r="M281" s="8">
        <v>20731.47916151</v>
      </c>
    </row>
    <row r="282" spans="1:13" ht="15.75">
      <c r="A282" s="647" t="s">
        <v>25</v>
      </c>
      <c r="B282" s="648">
        <v>45021.338126799994</v>
      </c>
      <c r="C282" s="648">
        <v>35273.357112379999</v>
      </c>
      <c r="D282" s="648">
        <v>28306.431263720002</v>
      </c>
      <c r="E282" s="648">
        <v>15896.400670950003</v>
      </c>
      <c r="F282" s="641">
        <f t="shared" si="79"/>
        <v>12410.030592769999</v>
      </c>
      <c r="G282" s="641">
        <f t="shared" si="80"/>
        <v>6966.9258486599974</v>
      </c>
      <c r="H282" s="641">
        <f t="shared" si="81"/>
        <v>9747.9810144199946</v>
      </c>
      <c r="I282" s="649">
        <f t="shared" si="82"/>
        <v>1.9401222255873949</v>
      </c>
      <c r="J282" s="649">
        <f t="shared" si="83"/>
        <v>1.7164667591923182</v>
      </c>
      <c r="K282" s="427"/>
      <c r="L282" s="8">
        <v>23205.413315220001</v>
      </c>
      <c r="M282" s="8">
        <v>20549.979732190004</v>
      </c>
    </row>
    <row r="283" spans="1:13" ht="15.75">
      <c r="A283" s="647" t="s">
        <v>26</v>
      </c>
      <c r="B283" s="648">
        <v>45586.459745669999</v>
      </c>
      <c r="C283" s="648">
        <v>35772.72729391</v>
      </c>
      <c r="D283" s="648">
        <v>28692.306231510003</v>
      </c>
      <c r="E283" s="648">
        <v>15831.35940189</v>
      </c>
      <c r="F283" s="641">
        <f t="shared" si="79"/>
        <v>12860.946829620003</v>
      </c>
      <c r="G283" s="641">
        <f t="shared" si="80"/>
        <v>7080.421062399997</v>
      </c>
      <c r="H283" s="641">
        <f t="shared" si="81"/>
        <v>9813.7324517599991</v>
      </c>
      <c r="I283" s="649">
        <f t="shared" si="82"/>
        <v>1.9406498606972855</v>
      </c>
      <c r="J283" s="649">
        <f t="shared" si="83"/>
        <v>1.7118254623163764</v>
      </c>
      <c r="K283" s="427"/>
      <c r="L283" s="8">
        <v>23490.306349900002</v>
      </c>
      <c r="M283" s="8">
        <v>20897.415117020002</v>
      </c>
    </row>
    <row r="284" spans="1:13" ht="15.75">
      <c r="A284" s="647" t="s">
        <v>27</v>
      </c>
      <c r="B284" s="648">
        <v>44452.631334509992</v>
      </c>
      <c r="C284" s="648">
        <v>34624.966100289996</v>
      </c>
      <c r="D284" s="648">
        <v>27426.390885779998</v>
      </c>
      <c r="E284" s="648">
        <v>15748.481850729999</v>
      </c>
      <c r="F284" s="641">
        <f t="shared" si="79"/>
        <v>11677.909035049999</v>
      </c>
      <c r="G284" s="641">
        <f t="shared" si="80"/>
        <v>7198.5752145099977</v>
      </c>
      <c r="H284" s="641">
        <f t="shared" si="81"/>
        <v>9827.6652342199959</v>
      </c>
      <c r="I284" s="649">
        <f t="shared" si="82"/>
        <v>1.9577826279265036</v>
      </c>
      <c r="J284" s="649">
        <f t="shared" si="83"/>
        <v>1.6910935006788095</v>
      </c>
      <c r="K284" s="427"/>
      <c r="L284" s="8">
        <v>22705.601071549998</v>
      </c>
      <c r="M284" s="8">
        <v>20474.897506489997</v>
      </c>
    </row>
    <row r="285" spans="1:13" ht="15.75">
      <c r="A285" s="647" t="s">
        <v>28</v>
      </c>
      <c r="B285" s="648">
        <v>44691.836761690007</v>
      </c>
      <c r="C285" s="648">
        <v>34639.020912670007</v>
      </c>
      <c r="D285" s="648">
        <v>27704.862173300004</v>
      </c>
      <c r="E285" s="648">
        <v>15613.937850850001</v>
      </c>
      <c r="F285" s="641">
        <f t="shared" si="79"/>
        <v>12090.924322450002</v>
      </c>
      <c r="G285" s="641">
        <f t="shared" si="80"/>
        <v>6934.1587393700029</v>
      </c>
      <c r="H285" s="641">
        <f t="shared" si="81"/>
        <v>10052.81584902</v>
      </c>
      <c r="I285" s="649">
        <f t="shared" si="82"/>
        <v>1.9368735693189791</v>
      </c>
      <c r="J285" s="649">
        <f t="shared" si="83"/>
        <v>1.6833992375649702</v>
      </c>
      <c r="K285" s="427"/>
      <c r="L285" s="8">
        <v>23074.21479111</v>
      </c>
      <c r="M285" s="8">
        <v>20576.83058166</v>
      </c>
    </row>
    <row r="286" spans="1:13" ht="15.75">
      <c r="A286" s="647" t="s">
        <v>29</v>
      </c>
      <c r="B286" s="648">
        <v>46494.848323629994</v>
      </c>
      <c r="C286" s="648">
        <v>36651.984366729994</v>
      </c>
      <c r="D286" s="648">
        <v>29647.168054999995</v>
      </c>
      <c r="E286" s="648">
        <v>15857.864183669997</v>
      </c>
      <c r="F286" s="641">
        <f t="shared" si="79"/>
        <v>13789.303871329997</v>
      </c>
      <c r="G286" s="641">
        <f t="shared" si="80"/>
        <v>7004.8163117299991</v>
      </c>
      <c r="H286" s="641">
        <f t="shared" si="81"/>
        <v>9842.8639569000006</v>
      </c>
      <c r="I286" s="649">
        <f t="shared" si="82"/>
        <v>1.9603258468263529</v>
      </c>
      <c r="J286" s="649">
        <f t="shared" si="83"/>
        <v>1.7522981565191937</v>
      </c>
      <c r="K286" s="427"/>
      <c r="L286" s="8">
        <v>23717.918324089995</v>
      </c>
      <c r="M286" s="8">
        <v>20916.522813409996</v>
      </c>
    </row>
    <row r="287" spans="1:13" ht="15.75">
      <c r="A287" s="647" t="s">
        <v>4222</v>
      </c>
      <c r="B287" s="648"/>
      <c r="C287" s="648"/>
      <c r="D287" s="648"/>
      <c r="E287" s="648"/>
      <c r="F287" s="641"/>
      <c r="G287" s="641"/>
      <c r="H287" s="641"/>
      <c r="I287" s="649"/>
      <c r="J287" s="649"/>
      <c r="K287" s="427"/>
      <c r="L287" s="8"/>
      <c r="M287" s="8"/>
    </row>
    <row r="288" spans="1:13" ht="15.75">
      <c r="A288" s="647" t="s">
        <v>18</v>
      </c>
      <c r="B288" s="648">
        <v>45564.260378179999</v>
      </c>
      <c r="C288" s="648">
        <v>34752.165367709997</v>
      </c>
      <c r="D288" s="648">
        <v>27630.412175099998</v>
      </c>
      <c r="E288" s="648">
        <v>15285.339712069997</v>
      </c>
      <c r="F288" s="641">
        <v>12345.072463030001</v>
      </c>
      <c r="G288" s="641">
        <v>7121.7531926099982</v>
      </c>
      <c r="H288" s="641">
        <v>10812.095010470002</v>
      </c>
      <c r="I288" s="649">
        <f t="shared" ref="I288:J292" si="84">B288/L288</f>
        <v>2.0303557215876671</v>
      </c>
      <c r="J288" s="649">
        <f t="shared" si="84"/>
        <v>1.7268968022313747</v>
      </c>
      <c r="K288" s="427"/>
      <c r="L288" s="8">
        <v>22441.515983489997</v>
      </c>
      <c r="M288" s="8">
        <v>20124.054502159997</v>
      </c>
    </row>
    <row r="289" spans="1:13" ht="15.75">
      <c r="A289" s="647" t="s">
        <v>19</v>
      </c>
      <c r="B289" s="648">
        <v>46674.669113970005</v>
      </c>
      <c r="C289" s="648">
        <v>35436.529078170002</v>
      </c>
      <c r="D289" s="648">
        <v>28155.676911490002</v>
      </c>
      <c r="E289" s="648">
        <v>15550.150610370003</v>
      </c>
      <c r="F289" s="641">
        <v>12605.526301119999</v>
      </c>
      <c r="G289" s="641">
        <v>7280.8521666800007</v>
      </c>
      <c r="H289" s="641">
        <v>11238.140035800003</v>
      </c>
      <c r="I289" s="649">
        <f t="shared" si="84"/>
        <v>2.0834683657274398</v>
      </c>
      <c r="J289" s="649">
        <f t="shared" si="84"/>
        <v>1.7859397994646791</v>
      </c>
      <c r="K289" s="427"/>
      <c r="L289" s="8">
        <v>22402.38915155</v>
      </c>
      <c r="M289" s="8">
        <v>19841.950489480001</v>
      </c>
    </row>
    <row r="290" spans="1:13" ht="15.75">
      <c r="A290" s="647" t="s">
        <v>20</v>
      </c>
      <c r="B290" s="648">
        <v>46730.846437129992</v>
      </c>
      <c r="C290" s="648">
        <v>35559.117870169997</v>
      </c>
      <c r="D290" s="648">
        <v>28311.982693869999</v>
      </c>
      <c r="E290" s="648">
        <v>16075.196253899998</v>
      </c>
      <c r="F290" s="641">
        <v>12236.786439970001</v>
      </c>
      <c r="G290" s="641">
        <v>7247.1351762999984</v>
      </c>
      <c r="H290" s="641">
        <v>11171.728566959995</v>
      </c>
      <c r="I290" s="649">
        <f t="shared" si="84"/>
        <v>1.9714979704978872</v>
      </c>
      <c r="J290" s="649">
        <f t="shared" si="84"/>
        <v>1.654055728003383</v>
      </c>
      <c r="K290" s="427"/>
      <c r="L290" s="8">
        <v>23703.218129779998</v>
      </c>
      <c r="M290" s="8">
        <v>21498.137739949998</v>
      </c>
    </row>
    <row r="291" spans="1:13" ht="15.75">
      <c r="A291" s="647" t="s">
        <v>21</v>
      </c>
      <c r="B291" s="648">
        <v>47207.687529530005</v>
      </c>
      <c r="C291" s="648">
        <v>35438.831222860004</v>
      </c>
      <c r="D291" s="648">
        <v>28061.612857020002</v>
      </c>
      <c r="E291" s="648">
        <v>16046.342656510002</v>
      </c>
      <c r="F291" s="641">
        <v>12015.27020051</v>
      </c>
      <c r="G291" s="641">
        <v>7377.2183658400027</v>
      </c>
      <c r="H291" s="641">
        <v>11768.856306670001</v>
      </c>
      <c r="I291" s="649">
        <f t="shared" si="84"/>
        <v>2.0578777586356125</v>
      </c>
      <c r="J291" s="649">
        <f t="shared" si="84"/>
        <v>1.7104278188090423</v>
      </c>
      <c r="K291" s="427"/>
      <c r="L291" s="8">
        <v>22939.986270530004</v>
      </c>
      <c r="M291" s="8">
        <v>20719.279020810005</v>
      </c>
    </row>
    <row r="292" spans="1:13" ht="15.75">
      <c r="A292" s="661" t="s">
        <v>22</v>
      </c>
      <c r="B292" s="662">
        <v>48306.014772430004</v>
      </c>
      <c r="C292" s="662">
        <v>35768.5371227</v>
      </c>
      <c r="D292" s="662">
        <v>28351.534752879998</v>
      </c>
      <c r="E292" s="662">
        <v>16177.269858599999</v>
      </c>
      <c r="F292" s="663">
        <f t="shared" si="79"/>
        <v>12174.264894279999</v>
      </c>
      <c r="G292" s="663">
        <f>+C292-D292</f>
        <v>7417.0023698200021</v>
      </c>
      <c r="H292" s="663">
        <f t="shared" si="81"/>
        <v>12537.477649730004</v>
      </c>
      <c r="I292" s="664">
        <f t="shared" si="84"/>
        <v>2.0906449507591258</v>
      </c>
      <c r="J292" s="664">
        <f t="shared" si="84"/>
        <v>1.7338398531587182</v>
      </c>
      <c r="K292" s="427"/>
      <c r="L292" s="8">
        <v>23105.795536869999</v>
      </c>
      <c r="M292" s="8">
        <v>20629.666031459998</v>
      </c>
    </row>
    <row r="293" spans="1:13" s="786" customFormat="1" ht="20.25" customHeight="1">
      <c r="A293" s="2354" t="s">
        <v>2797</v>
      </c>
      <c r="B293" s="2354"/>
      <c r="C293" s="2354"/>
      <c r="D293" s="2354"/>
      <c r="E293" s="2354"/>
      <c r="F293" s="2354"/>
      <c r="G293" s="2354"/>
      <c r="H293" s="2354"/>
      <c r="I293" s="2354"/>
      <c r="J293" s="2354"/>
      <c r="K293" s="785"/>
    </row>
    <row r="294" spans="1:13" s="786" customFormat="1" ht="20.25" customHeight="1">
      <c r="A294" s="2354" t="s">
        <v>2798</v>
      </c>
      <c r="B294" s="2354"/>
      <c r="C294" s="2354"/>
      <c r="D294" s="2354"/>
      <c r="E294" s="2354"/>
      <c r="F294" s="2354"/>
      <c r="G294" s="2354"/>
      <c r="H294" s="2354"/>
      <c r="I294" s="2354"/>
      <c r="J294" s="2354"/>
      <c r="K294" s="787"/>
    </row>
    <row r="295" spans="1:13" ht="12.95" customHeight="1">
      <c r="H295" s="8"/>
    </row>
    <row r="296" spans="1:13" ht="12.95" customHeight="1">
      <c r="B296" s="8"/>
      <c r="C296" s="8"/>
      <c r="D296" s="8"/>
      <c r="E296" s="8"/>
    </row>
    <row r="297" spans="1:13" ht="12.95" customHeight="1">
      <c r="C297" s="2151"/>
      <c r="D297" s="2151"/>
      <c r="E297" s="2151"/>
    </row>
    <row r="302" spans="1:13" ht="12.95" customHeight="1">
      <c r="C302" s="2151"/>
      <c r="D302" s="2151"/>
      <c r="E302" s="2151"/>
    </row>
  </sheetData>
  <mergeCells count="33">
    <mergeCell ref="E8:F8"/>
    <mergeCell ref="E14:E15"/>
    <mergeCell ref="A2:J2"/>
    <mergeCell ref="A3:J3"/>
    <mergeCell ref="A5:J5"/>
    <mergeCell ref="A6:A10"/>
    <mergeCell ref="B6:B10"/>
    <mergeCell ref="C6:H6"/>
    <mergeCell ref="I6:J6"/>
    <mergeCell ref="C7:C10"/>
    <mergeCell ref="D7:G7"/>
    <mergeCell ref="H7:H10"/>
    <mergeCell ref="I7:I10"/>
    <mergeCell ref="J7:J10"/>
    <mergeCell ref="D8:D10"/>
    <mergeCell ref="G8:G10"/>
    <mergeCell ref="F9:F10"/>
    <mergeCell ref="A293:J293"/>
    <mergeCell ref="G13:G15"/>
    <mergeCell ref="E9:E10"/>
    <mergeCell ref="F14:F15"/>
    <mergeCell ref="A294:J294"/>
    <mergeCell ref="A11:A15"/>
    <mergeCell ref="B11:B15"/>
    <mergeCell ref="C11:H11"/>
    <mergeCell ref="I11:J11"/>
    <mergeCell ref="C12:C15"/>
    <mergeCell ref="D12:G12"/>
    <mergeCell ref="H12:H15"/>
    <mergeCell ref="I12:I15"/>
    <mergeCell ref="J12:J15"/>
    <mergeCell ref="D13:D15"/>
    <mergeCell ref="E13:F13"/>
  </mergeCells>
  <pageMargins left="0.92" right="0.7" top="0.17" bottom="0.17" header="0.17" footer="0.17"/>
  <pageSetup scale="19" orientation="landscape" r:id="rId1"/>
  <ignoredErrors>
    <ignoredError sqref="A29:A245"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tabColor rgb="FF92D050"/>
  </sheetPr>
  <dimension ref="A1:CB286"/>
  <sheetViews>
    <sheetView showGridLines="0" view="pageBreakPreview" zoomScale="130" zoomScaleSheetLayoutView="130" workbookViewId="0">
      <pane ySplit="32" topLeftCell="A276" activePane="bottomLeft" state="frozen"/>
      <selection activeCell="B39" sqref="B39"/>
      <selection pane="bottomLeft" activeCell="F290" sqref="F290"/>
    </sheetView>
  </sheetViews>
  <sheetFormatPr defaultColWidth="9.140625" defaultRowHeight="12.75"/>
  <cols>
    <col min="1" max="1" width="7.5703125" style="18" customWidth="1"/>
    <col min="2" max="3" width="13.140625" style="18" customWidth="1"/>
    <col min="4" max="4" width="15.140625" style="18" customWidth="1"/>
    <col min="5" max="6" width="13.140625" style="18" customWidth="1"/>
    <col min="7" max="7" width="20.7109375" style="18" customWidth="1"/>
    <col min="8" max="8" width="9.7109375" style="18" customWidth="1"/>
    <col min="9" max="9" width="9.28515625" style="18" customWidth="1"/>
    <col min="10" max="11" width="9.140625" style="18" customWidth="1"/>
    <col min="12" max="77" width="9.140625" style="18"/>
    <col min="78" max="78" width="0" style="18" hidden="1" customWidth="1"/>
    <col min="79" max="16384" width="9.140625" style="18"/>
  </cols>
  <sheetData>
    <row r="1" spans="1:80" ht="5.25" customHeight="1"/>
    <row r="2" spans="1:80" ht="19.5" customHeight="1">
      <c r="A2" s="2367" t="s">
        <v>2799</v>
      </c>
      <c r="B2" s="2367"/>
      <c r="C2" s="2367"/>
      <c r="D2" s="2367"/>
      <c r="E2" s="2367"/>
      <c r="F2" s="2367"/>
      <c r="G2" s="2367"/>
    </row>
    <row r="3" spans="1:80" s="182" customFormat="1" ht="19.5" customHeight="1">
      <c r="A3" s="2368" t="s">
        <v>2730</v>
      </c>
      <c r="B3" s="2368"/>
      <c r="C3" s="2368"/>
      <c r="D3" s="2368"/>
      <c r="E3" s="2368"/>
      <c r="F3" s="2368"/>
      <c r="G3" s="2368"/>
    </row>
    <row r="4" spans="1:80" s="182" customFormat="1" ht="12" customHeight="1">
      <c r="A4" s="537"/>
      <c r="B4" s="537"/>
      <c r="C4" s="537"/>
      <c r="D4" s="537"/>
      <c r="E4" s="537"/>
      <c r="F4" s="537"/>
      <c r="G4" s="537"/>
    </row>
    <row r="5" spans="1:80" s="182" customFormat="1" ht="12" customHeight="1">
      <c r="A5" s="2340" t="s">
        <v>8</v>
      </c>
      <c r="B5" s="2340"/>
      <c r="C5" s="2340"/>
      <c r="D5" s="2340"/>
      <c r="E5" s="2340"/>
      <c r="F5" s="2340"/>
      <c r="G5" s="2340"/>
    </row>
    <row r="6" spans="1:80" s="41" customFormat="1" ht="12.75" customHeight="1">
      <c r="A6" s="2320" t="s">
        <v>182</v>
      </c>
      <c r="B6" s="2320" t="s">
        <v>136</v>
      </c>
      <c r="C6" s="2320" t="s">
        <v>2766</v>
      </c>
      <c r="D6" s="2320" t="s">
        <v>138</v>
      </c>
      <c r="E6" s="2320" t="s">
        <v>1868</v>
      </c>
      <c r="F6" s="1249" t="s">
        <v>144</v>
      </c>
      <c r="G6" s="2320" t="s">
        <v>137</v>
      </c>
      <c r="H6" s="13"/>
      <c r="CA6" s="44" t="s">
        <v>2062</v>
      </c>
      <c r="CB6" s="321" t="s">
        <v>2063</v>
      </c>
    </row>
    <row r="7" spans="1:80" s="41" customFormat="1" ht="36" customHeight="1">
      <c r="A7" s="2321"/>
      <c r="B7" s="2321"/>
      <c r="C7" s="2321"/>
      <c r="D7" s="2321"/>
      <c r="E7" s="2321"/>
      <c r="F7" s="557" t="s">
        <v>139</v>
      </c>
      <c r="G7" s="2321"/>
      <c r="H7" s="13"/>
      <c r="BW7" s="41">
        <f>BW8+BW20+BW30+BW38</f>
        <v>0</v>
      </c>
      <c r="CA7" s="41">
        <f>CA8+CA20+CA30+CA38</f>
        <v>622</v>
      </c>
      <c r="CB7" s="322">
        <f>BW7+BX7+BY7+CA7</f>
        <v>622</v>
      </c>
    </row>
    <row r="8" spans="1:80" s="183" customFormat="1" ht="12" customHeight="1">
      <c r="A8" s="2324" t="s">
        <v>289</v>
      </c>
      <c r="B8" s="2369" t="s">
        <v>2767</v>
      </c>
      <c r="C8" s="2369" t="s">
        <v>2768</v>
      </c>
      <c r="D8" s="2324" t="s">
        <v>141</v>
      </c>
      <c r="E8" s="2362" t="s">
        <v>1867</v>
      </c>
      <c r="F8" s="1250" t="s">
        <v>149</v>
      </c>
      <c r="G8" s="2324" t="s">
        <v>140</v>
      </c>
      <c r="H8" s="2363"/>
      <c r="I8" s="2361"/>
      <c r="CA8" s="183">
        <f>CA10+CA15</f>
        <v>1713</v>
      </c>
      <c r="CB8" s="323">
        <f>BW8+BX8+BY8+CA8</f>
        <v>1713</v>
      </c>
    </row>
    <row r="9" spans="1:80" s="183" customFormat="1" ht="36" customHeight="1">
      <c r="A9" s="2325"/>
      <c r="B9" s="2325"/>
      <c r="C9" s="2325"/>
      <c r="D9" s="2325"/>
      <c r="E9" s="2345"/>
      <c r="F9" s="558" t="s">
        <v>142</v>
      </c>
      <c r="G9" s="2325"/>
      <c r="H9" s="2363"/>
      <c r="I9" s="2361"/>
      <c r="CB9" s="323"/>
    </row>
    <row r="10" spans="1:80" hidden="1">
      <c r="A10" s="117">
        <v>1995</v>
      </c>
      <c r="B10" s="453">
        <v>180.12</v>
      </c>
      <c r="C10" s="453">
        <v>147.26</v>
      </c>
      <c r="D10" s="453">
        <v>121.28</v>
      </c>
      <c r="E10" s="453">
        <v>58.84</v>
      </c>
      <c r="F10" s="453">
        <v>9.6199999999999992</v>
      </c>
      <c r="G10" s="454">
        <f t="shared" ref="G10:G32" si="0">D10*100/B10</f>
        <v>67.332889184987778</v>
      </c>
      <c r="H10" s="127"/>
      <c r="CA10" s="18">
        <f>CA12+CA13</f>
        <v>4361</v>
      </c>
      <c r="CB10" s="324">
        <f>BW10+BX10+BY10+CA10</f>
        <v>4361</v>
      </c>
    </row>
    <row r="11" spans="1:80" hidden="1">
      <c r="A11" s="121">
        <f>A10+1</f>
        <v>1996</v>
      </c>
      <c r="B11" s="126">
        <v>212.38</v>
      </c>
      <c r="C11" s="126">
        <v>197.38</v>
      </c>
      <c r="D11" s="126">
        <v>174.46</v>
      </c>
      <c r="E11" s="126">
        <v>38.020000000000003</v>
      </c>
      <c r="F11" s="126">
        <v>3.66</v>
      </c>
      <c r="G11" s="184">
        <f t="shared" si="0"/>
        <v>82.1452114135041</v>
      </c>
      <c r="H11" s="127"/>
      <c r="CB11" s="324"/>
    </row>
    <row r="12" spans="1:80" hidden="1">
      <c r="A12" s="121">
        <f t="shared" ref="A12:A19" si="1">A11+1</f>
        <v>1997</v>
      </c>
      <c r="B12" s="126">
        <v>284.45999999999998</v>
      </c>
      <c r="C12" s="126">
        <v>278.66000000000003</v>
      </c>
      <c r="D12" s="126">
        <v>241.82</v>
      </c>
      <c r="E12" s="126">
        <v>42.62</v>
      </c>
      <c r="F12" s="126">
        <v>4.68</v>
      </c>
      <c r="G12" s="184">
        <f t="shared" si="0"/>
        <v>85.01019475497435</v>
      </c>
      <c r="H12" s="127"/>
      <c r="CA12" s="18">
        <v>3917</v>
      </c>
      <c r="CB12" s="324">
        <f>BW12+BX12+BY12+CA12</f>
        <v>3917</v>
      </c>
    </row>
    <row r="13" spans="1:80" hidden="1">
      <c r="A13" s="121">
        <f t="shared" si="1"/>
        <v>1998</v>
      </c>
      <c r="B13" s="126">
        <v>228.04</v>
      </c>
      <c r="C13" s="126">
        <v>211.42</v>
      </c>
      <c r="D13" s="126">
        <v>193.9</v>
      </c>
      <c r="E13" s="126">
        <v>34.14</v>
      </c>
      <c r="F13" s="126">
        <v>2.86</v>
      </c>
      <c r="G13" s="184">
        <f t="shared" si="0"/>
        <v>85.02894229082618</v>
      </c>
      <c r="H13" s="127"/>
      <c r="CA13" s="18">
        <v>444</v>
      </c>
      <c r="CB13" s="324">
        <f t="shared" ref="CB13:CB54" si="2">BW13+BX13+BY13+CA13</f>
        <v>444</v>
      </c>
    </row>
    <row r="14" spans="1:80" hidden="1">
      <c r="A14" s="121">
        <f t="shared" si="1"/>
        <v>1999</v>
      </c>
      <c r="B14" s="126">
        <v>264.94</v>
      </c>
      <c r="C14" s="126">
        <v>251.32</v>
      </c>
      <c r="D14" s="126">
        <v>236.9</v>
      </c>
      <c r="E14" s="126">
        <v>28.04</v>
      </c>
      <c r="F14" s="126">
        <v>0.96</v>
      </c>
      <c r="G14" s="184">
        <f t="shared" si="0"/>
        <v>89.416471653959391</v>
      </c>
      <c r="H14" s="127"/>
      <c r="CB14" s="324"/>
    </row>
    <row r="15" spans="1:80" hidden="1">
      <c r="A15" s="121">
        <f>A14+1</f>
        <v>2000</v>
      </c>
      <c r="B15" s="126">
        <v>353.08</v>
      </c>
      <c r="C15" s="126">
        <v>308.39999999999998</v>
      </c>
      <c r="D15" s="126">
        <v>284</v>
      </c>
      <c r="E15" s="126">
        <v>69.08</v>
      </c>
      <c r="F15" s="126">
        <v>0.8</v>
      </c>
      <c r="G15" s="184">
        <f t="shared" si="0"/>
        <v>80.435028888637135</v>
      </c>
      <c r="H15" s="127"/>
      <c r="CA15" s="18">
        <f>CA17+CA18</f>
        <v>-2648</v>
      </c>
      <c r="CB15" s="324">
        <f t="shared" si="2"/>
        <v>-2648</v>
      </c>
    </row>
    <row r="16" spans="1:80" hidden="1">
      <c r="A16" s="121">
        <f>A15+1</f>
        <v>2001</v>
      </c>
      <c r="B16" s="126">
        <v>359.48</v>
      </c>
      <c r="C16" s="126">
        <v>336.12</v>
      </c>
      <c r="D16" s="126">
        <v>306.74</v>
      </c>
      <c r="E16" s="126">
        <v>51.66</v>
      </c>
      <c r="F16" s="126">
        <v>23.677651845711999</v>
      </c>
      <c r="G16" s="184">
        <f t="shared" si="0"/>
        <v>85.328808278624678</v>
      </c>
      <c r="H16" s="127"/>
      <c r="CB16" s="324"/>
    </row>
    <row r="17" spans="1:80" hidden="1">
      <c r="A17" s="121">
        <f t="shared" si="1"/>
        <v>2002</v>
      </c>
      <c r="B17" s="126">
        <v>409.92</v>
      </c>
      <c r="C17" s="126">
        <v>374.38</v>
      </c>
      <c r="D17" s="126">
        <v>351.3</v>
      </c>
      <c r="E17" s="126">
        <v>57.46</v>
      </c>
      <c r="F17" s="126">
        <v>37.801172282212001</v>
      </c>
      <c r="G17" s="184">
        <f t="shared" si="0"/>
        <v>85.699648711943794</v>
      </c>
      <c r="H17" s="127"/>
      <c r="CA17" s="18">
        <v>-367</v>
      </c>
      <c r="CB17" s="324">
        <f t="shared" si="2"/>
        <v>-367</v>
      </c>
    </row>
    <row r="18" spans="1:80" hidden="1">
      <c r="A18" s="121">
        <f t="shared" si="1"/>
        <v>2003</v>
      </c>
      <c r="B18" s="126">
        <v>506.12</v>
      </c>
      <c r="C18" s="126">
        <v>463.2</v>
      </c>
      <c r="D18" s="126">
        <v>433.7</v>
      </c>
      <c r="E18" s="126">
        <v>72.400000000000006</v>
      </c>
      <c r="F18" s="126">
        <v>35.829919390211998</v>
      </c>
      <c r="G18" s="184">
        <f t="shared" si="0"/>
        <v>85.691140441002133</v>
      </c>
      <c r="H18" s="127"/>
      <c r="CA18" s="18">
        <v>-2281</v>
      </c>
      <c r="CB18" s="324">
        <f t="shared" si="2"/>
        <v>-2281</v>
      </c>
    </row>
    <row r="19" spans="1:80" hidden="1">
      <c r="A19" s="121">
        <f t="shared" si="1"/>
        <v>2004</v>
      </c>
      <c r="B19" s="126">
        <v>833.62</v>
      </c>
      <c r="C19" s="126">
        <v>640.04</v>
      </c>
      <c r="D19" s="126">
        <v>526.20000000000005</v>
      </c>
      <c r="E19" s="126">
        <v>307.39999999999998</v>
      </c>
      <c r="F19" s="126">
        <v>69.464292473963994</v>
      </c>
      <c r="G19" s="184">
        <f t="shared" si="0"/>
        <v>63.122285933638835</v>
      </c>
      <c r="H19" s="127"/>
      <c r="CB19" s="324"/>
    </row>
    <row r="20" spans="1:80" ht="13.5" hidden="1" customHeight="1">
      <c r="A20" s="121">
        <v>2005</v>
      </c>
      <c r="B20" s="185">
        <v>885.82</v>
      </c>
      <c r="C20" s="185">
        <v>687.76</v>
      </c>
      <c r="D20" s="126">
        <v>594.08000000000004</v>
      </c>
      <c r="E20" s="126">
        <v>291.7</v>
      </c>
      <c r="F20" s="126">
        <v>83.866874915644004</v>
      </c>
      <c r="G20" s="184">
        <f t="shared" si="0"/>
        <v>67.06554378993475</v>
      </c>
      <c r="H20" s="186">
        <v>83.86</v>
      </c>
      <c r="I20" s="18">
        <v>25.53</v>
      </c>
      <c r="CA20" s="18">
        <f>CA22+CA23</f>
        <v>-797</v>
      </c>
      <c r="CB20" s="324">
        <f t="shared" si="2"/>
        <v>-797</v>
      </c>
    </row>
    <row r="21" spans="1:80" hidden="1">
      <c r="A21" s="119" t="s">
        <v>18</v>
      </c>
      <c r="B21" s="185">
        <v>638.04</v>
      </c>
      <c r="C21" s="185">
        <v>571.1</v>
      </c>
      <c r="D21" s="126">
        <v>485.1</v>
      </c>
      <c r="E21" s="126">
        <v>152.91999999999999</v>
      </c>
      <c r="F21" s="126">
        <v>65.865375615851988</v>
      </c>
      <c r="G21" s="184">
        <f t="shared" si="0"/>
        <v>76.029716005266138</v>
      </c>
      <c r="H21" s="186"/>
      <c r="CB21" s="324"/>
    </row>
    <row r="22" spans="1:80" hidden="1">
      <c r="A22" s="119" t="s">
        <v>19</v>
      </c>
      <c r="B22" s="185">
        <v>646.4</v>
      </c>
      <c r="C22" s="185">
        <v>582.24</v>
      </c>
      <c r="D22" s="126">
        <v>490.94</v>
      </c>
      <c r="E22" s="126">
        <v>155.44</v>
      </c>
      <c r="F22" s="126">
        <v>63.126025947326596</v>
      </c>
      <c r="G22" s="184">
        <f t="shared" si="0"/>
        <v>75.949876237623769</v>
      </c>
      <c r="H22" s="186"/>
      <c r="CA22" s="18">
        <v>-644</v>
      </c>
      <c r="CB22" s="324">
        <f t="shared" si="2"/>
        <v>-644</v>
      </c>
    </row>
    <row r="23" spans="1:80" hidden="1">
      <c r="A23" s="119" t="s">
        <v>20</v>
      </c>
      <c r="B23" s="185">
        <v>650.14</v>
      </c>
      <c r="C23" s="185">
        <v>561.9</v>
      </c>
      <c r="D23" s="126">
        <v>499.26</v>
      </c>
      <c r="E23" s="126">
        <v>150.86000000000001</v>
      </c>
      <c r="F23" s="126">
        <v>60.599741348599999</v>
      </c>
      <c r="G23" s="184">
        <f t="shared" si="0"/>
        <v>76.792690805057376</v>
      </c>
      <c r="H23" s="186"/>
      <c r="CA23" s="18">
        <v>-153</v>
      </c>
      <c r="CB23" s="324">
        <f t="shared" si="2"/>
        <v>-153</v>
      </c>
    </row>
    <row r="24" spans="1:80" hidden="1">
      <c r="A24" s="119" t="s">
        <v>21</v>
      </c>
      <c r="B24" s="185">
        <v>647.62</v>
      </c>
      <c r="C24" s="185">
        <v>584.26</v>
      </c>
      <c r="D24" s="126">
        <v>514.05999999999995</v>
      </c>
      <c r="E24" s="126">
        <v>133.56</v>
      </c>
      <c r="F24" s="126">
        <v>63.080844025105513</v>
      </c>
      <c r="G24" s="184">
        <f t="shared" si="0"/>
        <v>79.376795034124939</v>
      </c>
      <c r="H24" s="186"/>
      <c r="CB24" s="324"/>
    </row>
    <row r="25" spans="1:80" hidden="1">
      <c r="A25" s="119" t="s">
        <v>22</v>
      </c>
      <c r="B25" s="185">
        <v>684.48</v>
      </c>
      <c r="C25" s="185">
        <v>613.48</v>
      </c>
      <c r="D25" s="126">
        <v>548.88</v>
      </c>
      <c r="E25" s="126">
        <v>135.58000000000001</v>
      </c>
      <c r="F25" s="126">
        <v>70.212258458720001</v>
      </c>
      <c r="G25" s="184">
        <f t="shared" si="0"/>
        <v>80.189340813464227</v>
      </c>
      <c r="H25" s="186"/>
      <c r="CB25" s="324"/>
    </row>
    <row r="26" spans="1:80" hidden="1">
      <c r="A26" s="119" t="s">
        <v>23</v>
      </c>
      <c r="B26" s="185">
        <v>745.34</v>
      </c>
      <c r="C26" s="185">
        <v>670.96</v>
      </c>
      <c r="D26" s="126">
        <v>597.52</v>
      </c>
      <c r="E26" s="126">
        <v>147.80000000000001</v>
      </c>
      <c r="F26" s="126">
        <v>72.957527415908004</v>
      </c>
      <c r="G26" s="184">
        <f t="shared" si="0"/>
        <v>80.167440362787445</v>
      </c>
      <c r="H26" s="186"/>
      <c r="CB26" s="324"/>
    </row>
    <row r="27" spans="1:80" hidden="1">
      <c r="A27" s="119" t="s">
        <v>24</v>
      </c>
      <c r="B27" s="185">
        <v>794.8</v>
      </c>
      <c r="C27" s="185">
        <v>719.62</v>
      </c>
      <c r="D27" s="126">
        <v>626.96</v>
      </c>
      <c r="E27" s="126">
        <v>167.84</v>
      </c>
      <c r="F27" s="126">
        <v>74.484374637931978</v>
      </c>
      <c r="G27" s="184">
        <f t="shared" si="0"/>
        <v>78.882737795671872</v>
      </c>
      <c r="H27" s="186"/>
      <c r="CA27" s="18">
        <v>-31</v>
      </c>
      <c r="CB27" s="324">
        <f t="shared" si="2"/>
        <v>-31</v>
      </c>
    </row>
    <row r="28" spans="1:80" hidden="1">
      <c r="A28" s="119" t="s">
        <v>25</v>
      </c>
      <c r="B28" s="185">
        <v>813</v>
      </c>
      <c r="C28" s="185">
        <v>733.08</v>
      </c>
      <c r="D28" s="126">
        <v>637.67999999999995</v>
      </c>
      <c r="E28" s="126">
        <v>175.32</v>
      </c>
      <c r="F28" s="126">
        <v>79.165375298447998</v>
      </c>
      <c r="G28" s="184">
        <f t="shared" si="0"/>
        <v>78.435424354243537</v>
      </c>
      <c r="H28" s="186"/>
      <c r="CA28" s="18">
        <v>-440</v>
      </c>
      <c r="CB28" s="324">
        <f t="shared" si="2"/>
        <v>-440</v>
      </c>
    </row>
    <row r="29" spans="1:80" hidden="1">
      <c r="A29" s="119" t="s">
        <v>26</v>
      </c>
      <c r="B29" s="185">
        <v>822.78</v>
      </c>
      <c r="C29" s="185">
        <v>733.82</v>
      </c>
      <c r="D29" s="126">
        <v>655.74</v>
      </c>
      <c r="E29" s="126">
        <v>167.04</v>
      </c>
      <c r="F29" s="126">
        <v>84.806742949711989</v>
      </c>
      <c r="G29" s="184">
        <f t="shared" si="0"/>
        <v>79.698096696565301</v>
      </c>
      <c r="H29" s="186"/>
      <c r="CB29" s="324"/>
    </row>
    <row r="30" spans="1:80" hidden="1">
      <c r="A30" s="119" t="s">
        <v>27</v>
      </c>
      <c r="B30" s="185">
        <v>793.78</v>
      </c>
      <c r="C30" s="185">
        <v>709.4</v>
      </c>
      <c r="D30" s="126">
        <v>639.20000000000005</v>
      </c>
      <c r="E30" s="126">
        <v>154.56</v>
      </c>
      <c r="F30" s="126">
        <v>84.381368413608016</v>
      </c>
      <c r="G30" s="184">
        <f t="shared" si="0"/>
        <v>80.526090352490627</v>
      </c>
      <c r="H30" s="186"/>
      <c r="CA30" s="18">
        <f>CA32+CA33</f>
        <v>-498</v>
      </c>
      <c r="CB30" s="324">
        <f>BW30+BX30+BY30+CA30</f>
        <v>-498</v>
      </c>
    </row>
    <row r="31" spans="1:80" hidden="1">
      <c r="A31" s="119" t="s">
        <v>28</v>
      </c>
      <c r="B31" s="185">
        <v>734.78</v>
      </c>
      <c r="C31" s="185">
        <v>648.74</v>
      </c>
      <c r="D31" s="126">
        <v>593.82000000000005</v>
      </c>
      <c r="E31" s="126">
        <v>140.96</v>
      </c>
      <c r="F31" s="126">
        <v>83.704652027567988</v>
      </c>
      <c r="G31" s="184">
        <f t="shared" si="0"/>
        <v>80.816026565774806</v>
      </c>
      <c r="H31" s="186"/>
      <c r="CB31" s="324"/>
    </row>
    <row r="32" spans="1:80" hidden="1">
      <c r="A32" s="119" t="s">
        <v>29</v>
      </c>
      <c r="B32" s="185">
        <v>885.82</v>
      </c>
      <c r="C32" s="185">
        <v>687.76</v>
      </c>
      <c r="D32" s="126">
        <v>594.08000000000004</v>
      </c>
      <c r="E32" s="126">
        <v>291.72000000000003</v>
      </c>
      <c r="F32" s="126">
        <v>83.866874915644004</v>
      </c>
      <c r="G32" s="184">
        <f t="shared" si="0"/>
        <v>67.06554378993475</v>
      </c>
      <c r="H32" s="186"/>
      <c r="CA32" s="18">
        <v>-521</v>
      </c>
      <c r="CB32" s="324">
        <f>BW32+BX32+BY32+CA32</f>
        <v>-521</v>
      </c>
    </row>
    <row r="33" spans="1:80">
      <c r="A33" s="115">
        <v>2006</v>
      </c>
      <c r="B33" s="272">
        <v>2044.6</v>
      </c>
      <c r="C33" s="272">
        <v>1599.5</v>
      </c>
      <c r="D33" s="272">
        <v>1449.3</v>
      </c>
      <c r="E33" s="272">
        <v>594.9</v>
      </c>
      <c r="F33" s="272">
        <v>210.6</v>
      </c>
      <c r="G33" s="272">
        <v>70.884280543871668</v>
      </c>
      <c r="H33" s="186"/>
      <c r="CA33" s="18">
        <v>23</v>
      </c>
      <c r="CB33" s="324">
        <f>BW33+BX33+BY33+CA33</f>
        <v>23</v>
      </c>
    </row>
    <row r="34" spans="1:80" ht="15" hidden="1">
      <c r="A34" s="40" t="s">
        <v>18</v>
      </c>
      <c r="B34" s="271">
        <v>690.96</v>
      </c>
      <c r="C34" s="271">
        <v>604.02</v>
      </c>
      <c r="D34" s="271">
        <v>528.29999999999995</v>
      </c>
      <c r="E34" s="271">
        <v>162.66</v>
      </c>
      <c r="F34" s="271">
        <v>84.757518522400005</v>
      </c>
      <c r="G34" s="271">
        <f t="shared" ref="G34:G45" si="3">D34*100/B34</f>
        <v>76.458839874956567</v>
      </c>
      <c r="H34" s="187">
        <v>84.8</v>
      </c>
      <c r="I34" s="188">
        <v>26.02</v>
      </c>
      <c r="CB34" s="324"/>
    </row>
    <row r="35" spans="1:80" ht="15" hidden="1">
      <c r="A35" s="40" t="s">
        <v>19</v>
      </c>
      <c r="B35" s="271">
        <v>757.04</v>
      </c>
      <c r="C35" s="271">
        <v>645.20000000000005</v>
      </c>
      <c r="D35" s="271">
        <v>547.1</v>
      </c>
      <c r="E35" s="271">
        <v>209.92</v>
      </c>
      <c r="F35" s="271">
        <v>110.1569167</v>
      </c>
      <c r="G35" s="271">
        <f t="shared" si="3"/>
        <v>72.268308147521935</v>
      </c>
      <c r="H35" s="187">
        <v>110.2</v>
      </c>
      <c r="I35" s="188">
        <v>28.02</v>
      </c>
      <c r="CA35" s="18">
        <v>433</v>
      </c>
      <c r="CB35" s="324">
        <f t="shared" si="2"/>
        <v>433</v>
      </c>
    </row>
    <row r="36" spans="1:80" ht="15" hidden="1">
      <c r="A36" s="40" t="s">
        <v>20</v>
      </c>
      <c r="B36" s="271">
        <v>826.18</v>
      </c>
      <c r="C36" s="271">
        <v>712.38</v>
      </c>
      <c r="D36" s="271">
        <v>601.55999999999995</v>
      </c>
      <c r="E36" s="271">
        <v>224.62</v>
      </c>
      <c r="F36" s="271">
        <v>143.21556368500001</v>
      </c>
      <c r="G36" s="271">
        <f t="shared" si="3"/>
        <v>72.812220097315347</v>
      </c>
      <c r="H36" s="187">
        <v>110.2</v>
      </c>
      <c r="I36" s="188">
        <v>32.96</v>
      </c>
      <c r="CA36" s="18">
        <v>-931</v>
      </c>
      <c r="CB36" s="324">
        <f t="shared" si="2"/>
        <v>-931</v>
      </c>
    </row>
    <row r="37" spans="1:80" ht="15" hidden="1">
      <c r="A37" s="40" t="s">
        <v>21</v>
      </c>
      <c r="B37" s="271">
        <v>857.64</v>
      </c>
      <c r="C37" s="271">
        <v>742.14</v>
      </c>
      <c r="D37" s="271">
        <v>646.64</v>
      </c>
      <c r="E37" s="271">
        <v>211</v>
      </c>
      <c r="F37" s="271">
        <f t="shared" ref="F37:F84" si="4">H37+I37</f>
        <v>150.05000000000001</v>
      </c>
      <c r="G37" s="271">
        <f t="shared" si="3"/>
        <v>75.39760272375355</v>
      </c>
      <c r="H37" s="187">
        <v>114</v>
      </c>
      <c r="I37" s="188">
        <v>36.049999999999997</v>
      </c>
      <c r="CB37" s="324"/>
    </row>
    <row r="38" spans="1:80" ht="15" hidden="1">
      <c r="A38" s="40" t="s">
        <v>22</v>
      </c>
      <c r="B38" s="116">
        <v>932.8</v>
      </c>
      <c r="C38" s="116">
        <v>808.6</v>
      </c>
      <c r="D38" s="116">
        <v>725.6</v>
      </c>
      <c r="E38" s="116">
        <v>207.1</v>
      </c>
      <c r="F38" s="271">
        <f t="shared" si="4"/>
        <v>159.23000000000002</v>
      </c>
      <c r="G38" s="271">
        <f t="shared" si="3"/>
        <v>77.78730703259005</v>
      </c>
      <c r="H38" s="187">
        <v>121.7</v>
      </c>
      <c r="I38" s="188">
        <v>37.53</v>
      </c>
      <c r="CA38" s="18">
        <v>204</v>
      </c>
      <c r="CB38" s="324">
        <f t="shared" si="2"/>
        <v>204</v>
      </c>
    </row>
    <row r="39" spans="1:80" ht="15" hidden="1">
      <c r="A39" s="40" t="s">
        <v>23</v>
      </c>
      <c r="B39" s="116">
        <v>1083.7</v>
      </c>
      <c r="C39" s="116">
        <v>963.1</v>
      </c>
      <c r="D39" s="116">
        <v>824.2</v>
      </c>
      <c r="E39" s="116">
        <v>259.5</v>
      </c>
      <c r="F39" s="271">
        <f t="shared" si="4"/>
        <v>160.69999999999999</v>
      </c>
      <c r="G39" s="271">
        <f t="shared" si="3"/>
        <v>76.054258558641692</v>
      </c>
      <c r="H39" s="187">
        <v>119.9</v>
      </c>
      <c r="I39" s="188">
        <v>40.799999999999997</v>
      </c>
      <c r="CA39" s="18">
        <v>200</v>
      </c>
      <c r="CB39" s="324">
        <f t="shared" si="2"/>
        <v>200</v>
      </c>
    </row>
    <row r="40" spans="1:80" ht="15" hidden="1">
      <c r="A40" s="40" t="s">
        <v>24</v>
      </c>
      <c r="B40" s="116">
        <v>1202.0999999999999</v>
      </c>
      <c r="C40" s="116">
        <v>1073.3</v>
      </c>
      <c r="D40" s="116">
        <v>952.1</v>
      </c>
      <c r="E40" s="116">
        <v>246.4</v>
      </c>
      <c r="F40" s="271">
        <f t="shared" si="4"/>
        <v>172.4</v>
      </c>
      <c r="G40" s="271">
        <f t="shared" si="3"/>
        <v>79.203061309375272</v>
      </c>
      <c r="H40" s="187">
        <v>127.7</v>
      </c>
      <c r="I40" s="188">
        <v>44.7</v>
      </c>
      <c r="CB40" s="324"/>
    </row>
    <row r="41" spans="1:80" ht="15" hidden="1">
      <c r="A41" s="40" t="s">
        <v>25</v>
      </c>
      <c r="B41" s="116">
        <v>1295.5</v>
      </c>
      <c r="C41" s="116">
        <v>1159.7</v>
      </c>
      <c r="D41" s="116">
        <v>1016.9</v>
      </c>
      <c r="E41" s="116">
        <v>274.60000000000002</v>
      </c>
      <c r="F41" s="271">
        <f t="shared" si="4"/>
        <v>177.4</v>
      </c>
      <c r="G41" s="271">
        <f t="shared" si="3"/>
        <v>78.494789656503286</v>
      </c>
      <c r="H41" s="187">
        <v>126.9</v>
      </c>
      <c r="I41" s="188">
        <v>50.5</v>
      </c>
      <c r="CA41" s="18">
        <v>295</v>
      </c>
      <c r="CB41" s="324">
        <f t="shared" si="2"/>
        <v>295</v>
      </c>
    </row>
    <row r="42" spans="1:80" ht="15" hidden="1">
      <c r="A42" s="40" t="s">
        <v>26</v>
      </c>
      <c r="B42" s="116">
        <v>1325.1</v>
      </c>
      <c r="C42" s="116">
        <v>1193.4000000000001</v>
      </c>
      <c r="D42" s="271">
        <v>1102</v>
      </c>
      <c r="E42" s="116">
        <v>219.1</v>
      </c>
      <c r="F42" s="271">
        <f t="shared" si="4"/>
        <v>183.89999999999998</v>
      </c>
      <c r="G42" s="271">
        <f t="shared" si="3"/>
        <v>83.163534827560184</v>
      </c>
      <c r="H42" s="187">
        <v>130.19999999999999</v>
      </c>
      <c r="I42" s="188">
        <v>53.7</v>
      </c>
      <c r="CA42" s="18">
        <v>-95</v>
      </c>
      <c r="CB42" s="324">
        <f t="shared" si="2"/>
        <v>-95</v>
      </c>
    </row>
    <row r="43" spans="1:80" ht="15" hidden="1">
      <c r="A43" s="40" t="s">
        <v>27</v>
      </c>
      <c r="B43" s="116">
        <v>1465.3</v>
      </c>
      <c r="C43" s="116">
        <v>1333.7</v>
      </c>
      <c r="D43" s="116">
        <v>1202.4000000000001</v>
      </c>
      <c r="E43" s="116">
        <v>260.8</v>
      </c>
      <c r="F43" s="271">
        <f t="shared" si="4"/>
        <v>187.4</v>
      </c>
      <c r="G43" s="271">
        <f t="shared" si="3"/>
        <v>82.058281580563715</v>
      </c>
      <c r="H43" s="187">
        <v>128.9</v>
      </c>
      <c r="I43" s="188">
        <v>58.5</v>
      </c>
      <c r="CB43" s="324"/>
    </row>
    <row r="44" spans="1:80" ht="15" hidden="1">
      <c r="A44" s="40" t="s">
        <v>28</v>
      </c>
      <c r="B44" s="116">
        <v>1546.9</v>
      </c>
      <c r="C44" s="271">
        <v>1413</v>
      </c>
      <c r="D44" s="116">
        <v>1230.0999999999999</v>
      </c>
      <c r="E44" s="116">
        <v>316.39999999999998</v>
      </c>
      <c r="F44" s="271">
        <v>194.19941679999999</v>
      </c>
      <c r="G44" s="271">
        <f t="shared" si="3"/>
        <v>79.52033098454973</v>
      </c>
      <c r="H44" s="187">
        <v>127.3</v>
      </c>
      <c r="I44" s="188">
        <v>66.8</v>
      </c>
      <c r="CA44" s="18">
        <v>0</v>
      </c>
      <c r="CB44" s="324">
        <f t="shared" si="2"/>
        <v>0</v>
      </c>
    </row>
    <row r="45" spans="1:80" ht="15" hidden="1">
      <c r="A45" s="40" t="s">
        <v>29</v>
      </c>
      <c r="B45" s="116">
        <v>2044.6</v>
      </c>
      <c r="C45" s="116">
        <v>1599.5</v>
      </c>
      <c r="D45" s="116">
        <v>1449.3</v>
      </c>
      <c r="E45" s="116">
        <v>594.9</v>
      </c>
      <c r="F45" s="271">
        <f t="shared" si="4"/>
        <v>210.6</v>
      </c>
      <c r="G45" s="271">
        <f t="shared" si="3"/>
        <v>70.884280543871668</v>
      </c>
      <c r="H45" s="187">
        <v>132.19999999999999</v>
      </c>
      <c r="I45" s="188">
        <v>78.400000000000006</v>
      </c>
      <c r="CB45" s="324"/>
    </row>
    <row r="46" spans="1:80" ht="15">
      <c r="A46" s="40" t="s">
        <v>121</v>
      </c>
      <c r="B46" s="116">
        <v>3440.8</v>
      </c>
      <c r="C46" s="116">
        <v>3220.8</v>
      </c>
      <c r="D46" s="116">
        <v>2911.2</v>
      </c>
      <c r="E46" s="116">
        <v>529.29999999999995</v>
      </c>
      <c r="F46" s="271">
        <v>334.8</v>
      </c>
      <c r="G46" s="271">
        <v>84.608230644036269</v>
      </c>
      <c r="H46" s="187"/>
      <c r="I46" s="188"/>
      <c r="CA46" s="18">
        <f>CA47-CA51</f>
        <v>481</v>
      </c>
      <c r="CB46" s="324">
        <f t="shared" si="2"/>
        <v>481</v>
      </c>
    </row>
    <row r="47" spans="1:80" ht="15" hidden="1">
      <c r="A47" s="40" t="s">
        <v>18</v>
      </c>
      <c r="B47" s="271">
        <v>1596.8</v>
      </c>
      <c r="C47" s="271">
        <v>1460.3</v>
      </c>
      <c r="D47" s="271">
        <v>1324.4</v>
      </c>
      <c r="E47" s="271">
        <v>271.89999999999998</v>
      </c>
      <c r="F47" s="271">
        <f t="shared" si="4"/>
        <v>216.2</v>
      </c>
      <c r="G47" s="271">
        <f t="shared" ref="G47:G58" si="5">D47*100/B47</f>
        <v>82.940881763527059</v>
      </c>
      <c r="H47" s="187">
        <v>133.6</v>
      </c>
      <c r="I47" s="188">
        <v>82.6</v>
      </c>
      <c r="CA47" s="18">
        <f>CA49+CA50</f>
        <v>965</v>
      </c>
      <c r="CB47" s="324">
        <f t="shared" si="2"/>
        <v>965</v>
      </c>
    </row>
    <row r="48" spans="1:80" ht="15" hidden="1">
      <c r="A48" s="40" t="s">
        <v>19</v>
      </c>
      <c r="B48" s="271">
        <v>1698.8</v>
      </c>
      <c r="C48" s="271">
        <v>1563.7</v>
      </c>
      <c r="D48" s="271">
        <v>1388.6</v>
      </c>
      <c r="E48" s="271">
        <v>309.5</v>
      </c>
      <c r="F48" s="271">
        <f t="shared" si="4"/>
        <v>209.3</v>
      </c>
      <c r="G48" s="271">
        <f t="shared" si="5"/>
        <v>81.740051801271491</v>
      </c>
      <c r="H48" s="187">
        <v>132</v>
      </c>
      <c r="I48" s="188">
        <v>77.3</v>
      </c>
      <c r="CB48" s="324"/>
    </row>
    <row r="49" spans="1:80" ht="15" hidden="1">
      <c r="A49" s="40" t="s">
        <v>20</v>
      </c>
      <c r="B49" s="271">
        <v>1798.4</v>
      </c>
      <c r="C49" s="271">
        <v>1662.5</v>
      </c>
      <c r="D49" s="271">
        <v>1482.8</v>
      </c>
      <c r="E49" s="271">
        <v>314.89999999999998</v>
      </c>
      <c r="F49" s="271">
        <f t="shared" si="4"/>
        <v>222.2</v>
      </c>
      <c r="G49" s="271">
        <f t="shared" si="5"/>
        <v>82.45106761565836</v>
      </c>
      <c r="H49" s="187">
        <v>131.9</v>
      </c>
      <c r="I49" s="188">
        <v>90.3</v>
      </c>
      <c r="CA49" s="18">
        <v>954</v>
      </c>
      <c r="CB49" s="324">
        <f t="shared" si="2"/>
        <v>954</v>
      </c>
    </row>
    <row r="50" spans="1:80" ht="15" hidden="1">
      <c r="A50" s="40" t="s">
        <v>21</v>
      </c>
      <c r="B50" s="271">
        <v>1819.5</v>
      </c>
      <c r="C50" s="271">
        <v>1685.8</v>
      </c>
      <c r="D50" s="271">
        <v>1546.4</v>
      </c>
      <c r="E50" s="271">
        <v>272.5</v>
      </c>
      <c r="F50" s="271">
        <f t="shared" si="4"/>
        <v>225.5</v>
      </c>
      <c r="G50" s="271">
        <f t="shared" si="5"/>
        <v>84.990381973069518</v>
      </c>
      <c r="H50" s="187">
        <v>127.5</v>
      </c>
      <c r="I50" s="188">
        <v>98</v>
      </c>
      <c r="CA50" s="18">
        <v>11</v>
      </c>
      <c r="CB50" s="324">
        <f t="shared" si="2"/>
        <v>11</v>
      </c>
    </row>
    <row r="51" spans="1:80" ht="15" hidden="1">
      <c r="A51" s="40" t="s">
        <v>22</v>
      </c>
      <c r="B51" s="271">
        <v>1907.8</v>
      </c>
      <c r="C51" s="271">
        <v>1779</v>
      </c>
      <c r="D51" s="271">
        <v>1660.3</v>
      </c>
      <c r="E51" s="271">
        <v>246.2</v>
      </c>
      <c r="F51" s="271">
        <f t="shared" si="4"/>
        <v>229.8</v>
      </c>
      <c r="G51" s="271">
        <f t="shared" si="5"/>
        <v>87.026942027466191</v>
      </c>
      <c r="H51" s="187">
        <v>126</v>
      </c>
      <c r="I51" s="188">
        <v>103.8</v>
      </c>
      <c r="CA51" s="18">
        <f>CA53+CA54+CA55+CA56</f>
        <v>484</v>
      </c>
      <c r="CB51" s="324">
        <f t="shared" si="2"/>
        <v>484</v>
      </c>
    </row>
    <row r="52" spans="1:80" ht="15" hidden="1">
      <c r="A52" s="40" t="s">
        <v>23</v>
      </c>
      <c r="B52" s="271">
        <v>2226</v>
      </c>
      <c r="C52" s="271">
        <v>2032.4</v>
      </c>
      <c r="D52" s="271">
        <v>1854.9</v>
      </c>
      <c r="E52" s="271">
        <v>369.9</v>
      </c>
      <c r="F52" s="271">
        <f t="shared" si="4"/>
        <v>238.6</v>
      </c>
      <c r="G52" s="271">
        <f t="shared" si="5"/>
        <v>83.328840970350399</v>
      </c>
      <c r="H52" s="187">
        <v>129.19999999999999</v>
      </c>
      <c r="I52" s="188">
        <v>109.4</v>
      </c>
      <c r="CB52" s="324"/>
    </row>
    <row r="53" spans="1:80" ht="15" hidden="1">
      <c r="A53" s="40" t="s">
        <v>24</v>
      </c>
      <c r="B53" s="271">
        <v>2388.1</v>
      </c>
      <c r="C53" s="271">
        <v>2245.9</v>
      </c>
      <c r="D53" s="271">
        <v>2009.3</v>
      </c>
      <c r="E53" s="271">
        <v>378</v>
      </c>
      <c r="F53" s="271">
        <f t="shared" si="4"/>
        <v>246.3</v>
      </c>
      <c r="G53" s="271">
        <f t="shared" si="5"/>
        <v>84.138017670951811</v>
      </c>
      <c r="H53" s="187">
        <v>137.9</v>
      </c>
      <c r="I53" s="188">
        <v>108.4</v>
      </c>
      <c r="CA53" s="18">
        <v>1214</v>
      </c>
      <c r="CB53" s="324">
        <f t="shared" si="2"/>
        <v>1214</v>
      </c>
    </row>
    <row r="54" spans="1:80" ht="15" hidden="1">
      <c r="A54" s="40" t="s">
        <v>25</v>
      </c>
      <c r="B54" s="271">
        <v>2541.3000000000002</v>
      </c>
      <c r="C54" s="271">
        <v>2392.3000000000002</v>
      </c>
      <c r="D54" s="271">
        <v>2059.9</v>
      </c>
      <c r="E54" s="271">
        <v>479.1</v>
      </c>
      <c r="F54" s="271">
        <v>249.45809219999998</v>
      </c>
      <c r="G54" s="271">
        <f t="shared" si="5"/>
        <v>81.056939361743986</v>
      </c>
      <c r="H54" s="187">
        <v>141.9</v>
      </c>
      <c r="I54" s="188">
        <v>111.8</v>
      </c>
      <c r="CA54" s="18">
        <v>-745</v>
      </c>
      <c r="CB54" s="324">
        <f t="shared" si="2"/>
        <v>-745</v>
      </c>
    </row>
    <row r="55" spans="1:80" ht="15" hidden="1">
      <c r="A55" s="40" t="s">
        <v>26</v>
      </c>
      <c r="B55" s="271">
        <v>2632.9</v>
      </c>
      <c r="C55" s="271">
        <v>2480.6</v>
      </c>
      <c r="D55" s="271">
        <v>2189.6999999999998</v>
      </c>
      <c r="E55" s="271">
        <v>442.8</v>
      </c>
      <c r="F55" s="271">
        <v>263.55651039999998</v>
      </c>
      <c r="G55" s="271">
        <f t="shared" si="5"/>
        <v>83.166850241178921</v>
      </c>
      <c r="H55" s="187">
        <v>147.6</v>
      </c>
      <c r="I55" s="188">
        <v>125.9</v>
      </c>
      <c r="CA55" s="18">
        <v>0</v>
      </c>
      <c r="CB55" s="324">
        <f>BW55+BX55+BY55+CA55</f>
        <v>0</v>
      </c>
    </row>
    <row r="56" spans="1:80" ht="15" hidden="1">
      <c r="A56" s="40" t="s">
        <v>27</v>
      </c>
      <c r="B56" s="271">
        <v>2690.7</v>
      </c>
      <c r="C56" s="271">
        <v>2520.5</v>
      </c>
      <c r="D56" s="271">
        <v>2289</v>
      </c>
      <c r="E56" s="271">
        <v>401.2</v>
      </c>
      <c r="F56" s="271">
        <f t="shared" si="4"/>
        <v>304.8</v>
      </c>
      <c r="G56" s="271">
        <f t="shared" si="5"/>
        <v>85.070799420225228</v>
      </c>
      <c r="H56" s="187">
        <v>166.8</v>
      </c>
      <c r="I56" s="188">
        <v>138</v>
      </c>
      <c r="CA56" s="18">
        <v>15</v>
      </c>
      <c r="CB56" s="324">
        <f>BW56+BX56+BY56+CA56</f>
        <v>15</v>
      </c>
    </row>
    <row r="57" spans="1:80" ht="15" hidden="1">
      <c r="A57" s="40" t="s">
        <v>28</v>
      </c>
      <c r="B57" s="271">
        <v>2785.1</v>
      </c>
      <c r="C57" s="271">
        <v>2612.5</v>
      </c>
      <c r="D57" s="271">
        <v>2409</v>
      </c>
      <c r="E57" s="271">
        <v>375.8</v>
      </c>
      <c r="F57" s="271">
        <f t="shared" si="4"/>
        <v>312.39999999999998</v>
      </c>
      <c r="G57" s="271">
        <f t="shared" si="5"/>
        <v>86.495996553086073</v>
      </c>
      <c r="H57" s="187">
        <v>167.5</v>
      </c>
      <c r="I57" s="188">
        <v>144.9</v>
      </c>
      <c r="CA57" s="18">
        <v>-372</v>
      </c>
      <c r="CB57" s="324">
        <f>BW57+BX57+BY57+CA57</f>
        <v>-372</v>
      </c>
    </row>
    <row r="58" spans="1:80" ht="15" hidden="1">
      <c r="A58" s="40" t="s">
        <v>29</v>
      </c>
      <c r="B58" s="271">
        <v>3440.8</v>
      </c>
      <c r="C58" s="271">
        <v>3220.8</v>
      </c>
      <c r="D58" s="271">
        <v>2911.2</v>
      </c>
      <c r="E58" s="271">
        <v>529.29999999999995</v>
      </c>
      <c r="F58" s="271">
        <f t="shared" si="4"/>
        <v>334.8</v>
      </c>
      <c r="G58" s="271">
        <f t="shared" si="5"/>
        <v>84.608230644036269</v>
      </c>
      <c r="H58" s="187">
        <v>179.8</v>
      </c>
      <c r="I58" s="188">
        <v>155</v>
      </c>
      <c r="CA58" s="18">
        <v>-231</v>
      </c>
      <c r="CB58" s="324">
        <f>BW58+BX58+BY58+CA58</f>
        <v>-231</v>
      </c>
    </row>
    <row r="59" spans="1:80" ht="15">
      <c r="A59" s="40" t="s">
        <v>114</v>
      </c>
      <c r="B59" s="271">
        <v>4963.8999999999996</v>
      </c>
      <c r="C59" s="271">
        <v>4781.3</v>
      </c>
      <c r="D59" s="271">
        <v>4425.8</v>
      </c>
      <c r="E59" s="271">
        <v>537.5</v>
      </c>
      <c r="F59" s="271">
        <v>223.90902680000002</v>
      </c>
      <c r="G59" s="271">
        <v>89.159733274240025</v>
      </c>
      <c r="H59" s="187"/>
      <c r="I59" s="188"/>
      <c r="CB59" s="324"/>
    </row>
    <row r="60" spans="1:80" ht="12.75" hidden="1" customHeight="1">
      <c r="A60" s="40" t="s">
        <v>18</v>
      </c>
      <c r="B60" s="665">
        <v>3074.5</v>
      </c>
      <c r="C60" s="665">
        <v>2895.6</v>
      </c>
      <c r="D60" s="665">
        <v>2701.5</v>
      </c>
      <c r="E60" s="665">
        <v>372.3</v>
      </c>
      <c r="F60" s="665">
        <f t="shared" si="4"/>
        <v>342.6</v>
      </c>
      <c r="G60" s="665">
        <f t="shared" ref="G60:G71" si="6">D60*100/B60</f>
        <v>87.867946007480896</v>
      </c>
      <c r="H60" s="187">
        <v>176.3</v>
      </c>
      <c r="I60" s="188">
        <v>166.3</v>
      </c>
      <c r="CA60" s="18">
        <f>CA7+CA44-CA46+CA57-CA58</f>
        <v>0</v>
      </c>
      <c r="CB60" s="324">
        <f>BW60+BX60+BY60+CA60</f>
        <v>0</v>
      </c>
    </row>
    <row r="61" spans="1:80" ht="15" hidden="1">
      <c r="A61" s="40" t="s">
        <v>19</v>
      </c>
      <c r="B61" s="665">
        <v>3194.3</v>
      </c>
      <c r="C61" s="665">
        <v>3022</v>
      </c>
      <c r="D61" s="665">
        <v>2735.7</v>
      </c>
      <c r="E61" s="665">
        <v>457.5</v>
      </c>
      <c r="F61" s="665">
        <f t="shared" si="4"/>
        <v>333.6</v>
      </c>
      <c r="G61" s="665">
        <f t="shared" si="6"/>
        <v>85.643176908868924</v>
      </c>
      <c r="H61" s="187">
        <v>170.5</v>
      </c>
      <c r="I61" s="188">
        <v>163.1</v>
      </c>
    </row>
    <row r="62" spans="1:80" ht="15" hidden="1">
      <c r="A62" s="40" t="s">
        <v>20</v>
      </c>
      <c r="B62" s="665">
        <v>3468</v>
      </c>
      <c r="C62" s="665">
        <v>3246.4</v>
      </c>
      <c r="D62" s="665">
        <v>2949.2</v>
      </c>
      <c r="E62" s="665">
        <v>518</v>
      </c>
      <c r="F62" s="665">
        <f t="shared" si="4"/>
        <v>378.7</v>
      </c>
      <c r="G62" s="665">
        <f t="shared" si="6"/>
        <v>85.040369088812</v>
      </c>
      <c r="H62" s="187">
        <v>212.1</v>
      </c>
      <c r="I62" s="18">
        <v>166.6</v>
      </c>
    </row>
    <row r="63" spans="1:80" hidden="1">
      <c r="A63" s="40" t="s">
        <v>21</v>
      </c>
      <c r="B63" s="665">
        <v>3463.4</v>
      </c>
      <c r="C63" s="665">
        <v>3291.2</v>
      </c>
      <c r="D63" s="665">
        <v>3070</v>
      </c>
      <c r="E63" s="665">
        <v>390.8</v>
      </c>
      <c r="F63" s="665">
        <f t="shared" si="4"/>
        <v>341.79999999999995</v>
      </c>
      <c r="G63" s="665">
        <f t="shared" si="6"/>
        <v>88.64121961078709</v>
      </c>
      <c r="H63" s="186">
        <v>170.2</v>
      </c>
      <c r="I63" s="18">
        <v>171.6</v>
      </c>
    </row>
    <row r="64" spans="1:80" s="79" customFormat="1" hidden="1">
      <c r="A64" s="40" t="s">
        <v>22</v>
      </c>
      <c r="B64" s="665">
        <v>3489.1</v>
      </c>
      <c r="C64" s="665">
        <v>3321.2</v>
      </c>
      <c r="D64" s="665">
        <v>3160.8</v>
      </c>
      <c r="E64" s="665">
        <v>327.53356411000004</v>
      </c>
      <c r="F64" s="665">
        <v>337.7664934</v>
      </c>
      <c r="G64" s="665">
        <f t="shared" si="6"/>
        <v>90.590696741279984</v>
      </c>
      <c r="H64" s="126">
        <v>165.7</v>
      </c>
      <c r="I64" s="126">
        <v>172</v>
      </c>
    </row>
    <row r="65" spans="1:14" hidden="1">
      <c r="A65" s="40" t="s">
        <v>23</v>
      </c>
      <c r="B65" s="665">
        <v>3959</v>
      </c>
      <c r="C65" s="665">
        <v>3748.5</v>
      </c>
      <c r="D65" s="665">
        <v>3412</v>
      </c>
      <c r="E65" s="665">
        <v>546</v>
      </c>
      <c r="F65" s="665">
        <f t="shared" si="4"/>
        <v>379.8</v>
      </c>
      <c r="G65" s="665">
        <f t="shared" si="6"/>
        <v>86.183379641323569</v>
      </c>
      <c r="H65" s="189">
        <v>208.5</v>
      </c>
      <c r="I65" s="18">
        <v>171.3</v>
      </c>
    </row>
    <row r="66" spans="1:14" hidden="1">
      <c r="A66" s="40" t="s">
        <v>24</v>
      </c>
      <c r="B66" s="665">
        <v>4072</v>
      </c>
      <c r="C66" s="665">
        <v>3873</v>
      </c>
      <c r="D66" s="665">
        <v>3690.2</v>
      </c>
      <c r="E66" s="665">
        <v>380.5</v>
      </c>
      <c r="F66" s="665">
        <f t="shared" si="4"/>
        <v>364.8</v>
      </c>
      <c r="G66" s="665">
        <f t="shared" si="6"/>
        <v>90.623772102161098</v>
      </c>
      <c r="H66" s="189">
        <v>191.3</v>
      </c>
      <c r="I66" s="18">
        <v>173.5</v>
      </c>
    </row>
    <row r="67" spans="1:14" ht="14.25" hidden="1" customHeight="1">
      <c r="A67" s="40" t="s">
        <v>25</v>
      </c>
      <c r="B67" s="665">
        <v>4315.2</v>
      </c>
      <c r="C67" s="665">
        <v>4046.7</v>
      </c>
      <c r="D67" s="665">
        <v>3760.3</v>
      </c>
      <c r="E67" s="665">
        <v>552.79999999999995</v>
      </c>
      <c r="F67" s="665">
        <f t="shared" si="4"/>
        <v>476.90000000000003</v>
      </c>
      <c r="G67" s="665">
        <f t="shared" si="6"/>
        <v>87.140804597701148</v>
      </c>
      <c r="H67" s="126">
        <v>256.60000000000002</v>
      </c>
      <c r="I67" s="79">
        <v>220.3</v>
      </c>
      <c r="J67" s="79"/>
      <c r="K67" s="79"/>
      <c r="L67" s="79"/>
      <c r="M67" s="79"/>
      <c r="N67" s="79"/>
    </row>
    <row r="68" spans="1:14" ht="15.75" hidden="1" customHeight="1">
      <c r="A68" s="40" t="s">
        <v>26</v>
      </c>
      <c r="B68" s="665">
        <v>4453.3999999999996</v>
      </c>
      <c r="C68" s="665">
        <v>4172.6000000000004</v>
      </c>
      <c r="D68" s="665">
        <v>3857.1</v>
      </c>
      <c r="E68" s="665">
        <v>595</v>
      </c>
      <c r="F68" s="665">
        <v>489.63989670000001</v>
      </c>
      <c r="G68" s="665">
        <f t="shared" si="6"/>
        <v>86.610230385772681</v>
      </c>
      <c r="H68" s="126">
        <v>256.60000000000002</v>
      </c>
      <c r="I68" s="79">
        <v>232.8</v>
      </c>
      <c r="J68" s="79"/>
      <c r="K68" s="79"/>
      <c r="L68" s="79"/>
      <c r="M68" s="79"/>
      <c r="N68" s="79"/>
    </row>
    <row r="69" spans="1:14" ht="15.75" hidden="1" customHeight="1">
      <c r="A69" s="40" t="s">
        <v>27</v>
      </c>
      <c r="B69" s="665">
        <v>4265.6000000000004</v>
      </c>
      <c r="C69" s="665">
        <v>4082</v>
      </c>
      <c r="D69" s="665">
        <v>3858.9</v>
      </c>
      <c r="E69" s="665">
        <v>405.4</v>
      </c>
      <c r="F69" s="665">
        <v>311.68815119999999</v>
      </c>
      <c r="G69" s="665">
        <f t="shared" si="6"/>
        <v>90.465585146286557</v>
      </c>
      <c r="H69" s="126">
        <v>145.19999999999999</v>
      </c>
      <c r="I69" s="79">
        <v>166.5</v>
      </c>
      <c r="J69" s="79"/>
      <c r="K69" s="79"/>
      <c r="L69" s="79"/>
      <c r="M69" s="79"/>
      <c r="N69" s="79"/>
    </row>
    <row r="70" spans="1:14" ht="15.75" hidden="1" customHeight="1">
      <c r="A70" s="40" t="s">
        <v>28</v>
      </c>
      <c r="B70" s="665">
        <v>4382.3</v>
      </c>
      <c r="C70" s="665">
        <v>4212.5</v>
      </c>
      <c r="D70" s="665">
        <v>3938.5</v>
      </c>
      <c r="E70" s="665">
        <v>443.4</v>
      </c>
      <c r="F70" s="665">
        <v>303.2587906</v>
      </c>
      <c r="G70" s="665">
        <f t="shared" si="6"/>
        <v>89.872897793396163</v>
      </c>
      <c r="H70" s="126">
        <v>138.9</v>
      </c>
      <c r="I70" s="79">
        <v>164.3</v>
      </c>
      <c r="J70" s="79"/>
      <c r="K70" s="79"/>
      <c r="L70" s="79"/>
      <c r="M70" s="79"/>
      <c r="N70" s="79"/>
    </row>
    <row r="71" spans="1:14" ht="18.75" hidden="1" customHeight="1">
      <c r="A71" s="40" t="s">
        <v>29</v>
      </c>
      <c r="B71" s="665">
        <v>4963.8999999999996</v>
      </c>
      <c r="C71" s="665">
        <v>4781.3</v>
      </c>
      <c r="D71" s="665">
        <v>4425.8</v>
      </c>
      <c r="E71" s="665">
        <v>537.5</v>
      </c>
      <c r="F71" s="665">
        <v>223.90902680000002</v>
      </c>
      <c r="G71" s="665">
        <f t="shared" si="6"/>
        <v>89.159733274240025</v>
      </c>
      <c r="H71" s="126">
        <v>123.5</v>
      </c>
      <c r="I71" s="79">
        <v>108</v>
      </c>
      <c r="J71" s="79"/>
      <c r="K71" s="79"/>
      <c r="L71" s="79"/>
      <c r="M71" s="79"/>
      <c r="N71" s="79"/>
    </row>
    <row r="72" spans="1:14" ht="15.75" customHeight="1">
      <c r="A72" s="40" t="s">
        <v>43</v>
      </c>
      <c r="B72" s="500">
        <v>4907.7</v>
      </c>
      <c r="C72" s="500">
        <v>4861</v>
      </c>
      <c r="D72" s="500">
        <v>4512.7</v>
      </c>
      <c r="E72" s="500">
        <v>392</v>
      </c>
      <c r="F72" s="500">
        <v>20.399999999999999</v>
      </c>
      <c r="G72" s="500">
        <v>91.951423273631235</v>
      </c>
      <c r="H72" s="126"/>
      <c r="I72" s="79"/>
      <c r="J72" s="79"/>
      <c r="K72" s="79"/>
      <c r="L72" s="79"/>
      <c r="M72" s="79"/>
      <c r="N72" s="79"/>
    </row>
    <row r="73" spans="1:14" ht="14.25" hidden="1" customHeight="1">
      <c r="A73" s="40" t="s">
        <v>18</v>
      </c>
      <c r="B73" s="500">
        <v>4452</v>
      </c>
      <c r="C73" s="500">
        <v>4300.2</v>
      </c>
      <c r="D73" s="500">
        <v>4134.8</v>
      </c>
      <c r="E73" s="500">
        <v>316.10000000000002</v>
      </c>
      <c r="F73" s="500">
        <v>206.76007239999998</v>
      </c>
      <c r="G73" s="500">
        <f>D73*100/B73</f>
        <v>92.875112309074566</v>
      </c>
      <c r="H73" s="126">
        <v>98.8</v>
      </c>
      <c r="I73" s="79">
        <v>109.8</v>
      </c>
      <c r="J73" s="79"/>
      <c r="K73" s="79"/>
      <c r="L73" s="79"/>
      <c r="M73" s="79"/>
      <c r="N73" s="79"/>
    </row>
    <row r="74" spans="1:14" ht="15.75" hidden="1" customHeight="1">
      <c r="A74" s="40" t="s">
        <v>19</v>
      </c>
      <c r="B74" s="500">
        <v>4215.3999999999996</v>
      </c>
      <c r="C74" s="500">
        <v>4127.8</v>
      </c>
      <c r="D74" s="500">
        <v>3926</v>
      </c>
      <c r="E74" s="500">
        <v>285.7</v>
      </c>
      <c r="F74" s="500">
        <f t="shared" si="4"/>
        <v>102.80000000000001</v>
      </c>
      <c r="G74" s="500">
        <f>D74*100/B74</f>
        <v>93.134696588698588</v>
      </c>
      <c r="H74" s="126">
        <v>50.2</v>
      </c>
      <c r="I74" s="79">
        <v>52.6</v>
      </c>
      <c r="J74" s="79"/>
      <c r="K74" s="79"/>
      <c r="L74" s="79"/>
      <c r="M74" s="79"/>
      <c r="N74" s="79"/>
    </row>
    <row r="75" spans="1:14" ht="18" hidden="1" customHeight="1">
      <c r="A75" s="40" t="s">
        <v>20</v>
      </c>
      <c r="B75" s="500">
        <v>3751.8</v>
      </c>
      <c r="C75" s="500">
        <v>3702.1</v>
      </c>
      <c r="D75" s="500">
        <v>3571.6</v>
      </c>
      <c r="E75" s="500">
        <v>178</v>
      </c>
      <c r="F75" s="500">
        <f t="shared" si="4"/>
        <v>17.600000000000001</v>
      </c>
      <c r="G75" s="500">
        <f t="shared" ref="G75:G84" si="7">D75*100/B75</f>
        <v>95.19697212004904</v>
      </c>
      <c r="H75" s="126">
        <v>9.6</v>
      </c>
      <c r="I75" s="126">
        <v>8</v>
      </c>
      <c r="J75" s="79"/>
      <c r="K75" s="79"/>
      <c r="L75" s="79"/>
      <c r="M75" s="79"/>
      <c r="N75" s="79"/>
    </row>
    <row r="76" spans="1:14" ht="16.5" hidden="1" customHeight="1">
      <c r="A76" s="40" t="s">
        <v>21</v>
      </c>
      <c r="B76" s="500">
        <v>3742.3</v>
      </c>
      <c r="C76" s="500">
        <v>3679.6</v>
      </c>
      <c r="D76" s="500">
        <v>3528.8</v>
      </c>
      <c r="E76" s="500">
        <v>211.9</v>
      </c>
      <c r="F76" s="500">
        <f t="shared" si="4"/>
        <v>16.8</v>
      </c>
      <c r="G76" s="500">
        <f t="shared" si="7"/>
        <v>94.294952302060224</v>
      </c>
      <c r="H76" s="126">
        <v>9.3000000000000007</v>
      </c>
      <c r="I76" s="79">
        <v>7.5</v>
      </c>
      <c r="J76" s="79"/>
      <c r="K76" s="79"/>
      <c r="L76" s="79"/>
      <c r="M76" s="79"/>
      <c r="N76" s="79"/>
    </row>
    <row r="77" spans="1:14" ht="15.75" hidden="1" customHeight="1">
      <c r="A77" s="40" t="s">
        <v>22</v>
      </c>
      <c r="B77" s="500">
        <v>3880.5</v>
      </c>
      <c r="C77" s="500">
        <v>3820.5</v>
      </c>
      <c r="D77" s="500">
        <v>3633</v>
      </c>
      <c r="E77" s="500">
        <v>243.4</v>
      </c>
      <c r="F77" s="500">
        <f t="shared" si="4"/>
        <v>12.4</v>
      </c>
      <c r="G77" s="500">
        <f t="shared" si="7"/>
        <v>93.621955933513718</v>
      </c>
      <c r="H77" s="79">
        <v>5.5</v>
      </c>
      <c r="I77" s="79">
        <v>6.9</v>
      </c>
      <c r="J77" s="79"/>
      <c r="K77" s="79"/>
      <c r="L77" s="79"/>
      <c r="M77" s="79"/>
      <c r="N77" s="79"/>
    </row>
    <row r="78" spans="1:14" ht="16.5" hidden="1" customHeight="1">
      <c r="A78" s="40" t="s">
        <v>23</v>
      </c>
      <c r="B78" s="500">
        <v>3935.6</v>
      </c>
      <c r="C78" s="500">
        <v>3888.9</v>
      </c>
      <c r="D78" s="500">
        <v>3726.1</v>
      </c>
      <c r="E78" s="500">
        <v>205.5</v>
      </c>
      <c r="F78" s="500">
        <f t="shared" si="4"/>
        <v>12.1</v>
      </c>
      <c r="G78" s="500">
        <f t="shared" si="7"/>
        <v>94.676796422400656</v>
      </c>
      <c r="H78" s="126">
        <v>5.0999999999999996</v>
      </c>
      <c r="I78" s="126">
        <v>7</v>
      </c>
      <c r="J78" s="79"/>
      <c r="K78" s="79"/>
      <c r="L78" s="79"/>
      <c r="M78" s="79"/>
      <c r="N78" s="79"/>
    </row>
    <row r="79" spans="1:14" ht="17.25" hidden="1" customHeight="1">
      <c r="A79" s="40" t="s">
        <v>24</v>
      </c>
      <c r="B79" s="500">
        <v>4177.7</v>
      </c>
      <c r="C79" s="500">
        <v>4129.1000000000004</v>
      </c>
      <c r="D79" s="500">
        <v>3868.9</v>
      </c>
      <c r="E79" s="500">
        <v>304</v>
      </c>
      <c r="F79" s="500">
        <f t="shared" si="4"/>
        <v>12.100000000000001</v>
      </c>
      <c r="G79" s="500">
        <f t="shared" si="7"/>
        <v>92.60837302822128</v>
      </c>
      <c r="H79" s="79">
        <v>5.4</v>
      </c>
      <c r="I79" s="79">
        <v>6.7</v>
      </c>
      <c r="J79" s="79"/>
      <c r="K79" s="79"/>
      <c r="L79" s="79"/>
      <c r="M79" s="79"/>
      <c r="N79" s="79"/>
    </row>
    <row r="80" spans="1:14" ht="18" hidden="1" customHeight="1">
      <c r="A80" s="40" t="s">
        <v>25</v>
      </c>
      <c r="B80" s="500">
        <v>4233.8999999999996</v>
      </c>
      <c r="C80" s="500">
        <v>4172</v>
      </c>
      <c r="D80" s="500">
        <v>3890.9</v>
      </c>
      <c r="E80" s="500">
        <v>337.5</v>
      </c>
      <c r="F80" s="500">
        <f t="shared" si="4"/>
        <v>12.2</v>
      </c>
      <c r="G80" s="500">
        <f t="shared" si="7"/>
        <v>91.898722218285755</v>
      </c>
      <c r="H80" s="79">
        <v>5.4</v>
      </c>
      <c r="I80" s="79">
        <v>6.8</v>
      </c>
      <c r="J80" s="79"/>
      <c r="K80" s="79"/>
      <c r="L80" s="79"/>
      <c r="M80" s="79"/>
      <c r="N80" s="79"/>
    </row>
    <row r="81" spans="1:14" ht="17.25" hidden="1" customHeight="1">
      <c r="A81" s="40" t="s">
        <v>26</v>
      </c>
      <c r="B81" s="500">
        <v>4180.6000000000004</v>
      </c>
      <c r="C81" s="500">
        <v>4170.3999999999996</v>
      </c>
      <c r="D81" s="500">
        <v>3887.6</v>
      </c>
      <c r="E81" s="500">
        <v>290.3</v>
      </c>
      <c r="F81" s="500">
        <f t="shared" si="4"/>
        <v>13.9</v>
      </c>
      <c r="G81" s="500">
        <f t="shared" si="7"/>
        <v>92.991436635889571</v>
      </c>
      <c r="H81" s="126">
        <v>6</v>
      </c>
      <c r="I81" s="79">
        <v>7.9</v>
      </c>
      <c r="J81" s="79"/>
      <c r="K81" s="79"/>
      <c r="L81" s="79"/>
      <c r="M81" s="79"/>
      <c r="N81" s="79"/>
    </row>
    <row r="82" spans="1:14" ht="18.75" hidden="1" customHeight="1">
      <c r="A82" s="40" t="s">
        <v>27</v>
      </c>
      <c r="B82" s="500">
        <v>4214</v>
      </c>
      <c r="C82" s="500">
        <v>4193.5</v>
      </c>
      <c r="D82" s="500">
        <v>3920.6</v>
      </c>
      <c r="E82" s="500">
        <v>289</v>
      </c>
      <c r="F82" s="500">
        <f t="shared" si="4"/>
        <v>13.8</v>
      </c>
      <c r="G82" s="500">
        <f t="shared" si="7"/>
        <v>93.037494067394405</v>
      </c>
      <c r="H82" s="126">
        <v>6.2</v>
      </c>
      <c r="I82" s="79">
        <v>7.6</v>
      </c>
      <c r="J82" s="79"/>
      <c r="K82" s="79"/>
      <c r="L82" s="79"/>
      <c r="M82" s="79"/>
      <c r="N82" s="79"/>
    </row>
    <row r="83" spans="1:14" ht="17.25" hidden="1" customHeight="1">
      <c r="A83" s="40" t="s">
        <v>28</v>
      </c>
      <c r="B83" s="500">
        <v>4360.6000000000004</v>
      </c>
      <c r="C83" s="500">
        <v>4337.1000000000004</v>
      </c>
      <c r="D83" s="500">
        <v>4106.2</v>
      </c>
      <c r="E83" s="500">
        <v>248.5</v>
      </c>
      <c r="F83" s="500">
        <f t="shared" si="4"/>
        <v>17.899999999999999</v>
      </c>
      <c r="G83" s="500">
        <f t="shared" si="7"/>
        <v>94.165940466908211</v>
      </c>
      <c r="H83" s="79">
        <v>10.5</v>
      </c>
      <c r="I83" s="79">
        <v>7.4</v>
      </c>
      <c r="J83" s="79"/>
      <c r="K83" s="79"/>
      <c r="L83" s="79"/>
      <c r="M83" s="79"/>
      <c r="N83" s="79"/>
    </row>
    <row r="84" spans="1:14" ht="18.75" hidden="1" customHeight="1">
      <c r="A84" s="40" t="s">
        <v>29</v>
      </c>
      <c r="B84" s="500">
        <v>4907.7</v>
      </c>
      <c r="C84" s="500">
        <v>4861</v>
      </c>
      <c r="D84" s="500">
        <v>4512.7</v>
      </c>
      <c r="E84" s="500">
        <v>392</v>
      </c>
      <c r="F84" s="500">
        <f t="shared" si="4"/>
        <v>20.399999999999999</v>
      </c>
      <c r="G84" s="500">
        <f t="shared" si="7"/>
        <v>91.951423273631235</v>
      </c>
      <c r="H84" s="79">
        <v>12.6</v>
      </c>
      <c r="I84" s="79">
        <v>7.8</v>
      </c>
      <c r="J84" s="79"/>
      <c r="K84" s="79"/>
      <c r="L84" s="79"/>
      <c r="M84" s="79"/>
      <c r="N84" s="79"/>
    </row>
    <row r="85" spans="1:14" ht="15" customHeight="1">
      <c r="A85" s="40" t="s">
        <v>48</v>
      </c>
      <c r="B85" s="500">
        <v>6520.9</v>
      </c>
      <c r="C85" s="500">
        <v>6397.1</v>
      </c>
      <c r="D85" s="500">
        <v>5793.2</v>
      </c>
      <c r="E85" s="500">
        <v>725.5</v>
      </c>
      <c r="F85" s="500">
        <v>20.9</v>
      </c>
      <c r="G85" s="500">
        <v>88.840497477342083</v>
      </c>
      <c r="H85" s="79"/>
      <c r="I85" s="79"/>
      <c r="J85" s="79"/>
      <c r="K85" s="79"/>
      <c r="L85" s="79"/>
      <c r="M85" s="79"/>
      <c r="N85" s="79"/>
    </row>
    <row r="86" spans="1:14" ht="18.75" hidden="1" customHeight="1">
      <c r="A86" s="40" t="s">
        <v>18</v>
      </c>
      <c r="B86" s="500">
        <v>4594.2</v>
      </c>
      <c r="C86" s="500">
        <v>4559.1000000000004</v>
      </c>
      <c r="D86" s="500">
        <v>4256.1000000000004</v>
      </c>
      <c r="E86" s="500">
        <v>335.5</v>
      </c>
      <c r="F86" s="500">
        <v>13.4</v>
      </c>
      <c r="G86" s="500">
        <v>92.640720908972199</v>
      </c>
      <c r="H86" s="79">
        <v>5.9</v>
      </c>
      <c r="I86" s="79">
        <v>7.5</v>
      </c>
      <c r="J86" s="79"/>
      <c r="K86" s="79"/>
      <c r="L86" s="79"/>
      <c r="M86" s="79"/>
      <c r="N86" s="79"/>
    </row>
    <row r="87" spans="1:14" ht="15.75" hidden="1" customHeight="1">
      <c r="A87" s="40" t="s">
        <v>19</v>
      </c>
      <c r="B87" s="500">
        <v>4677.8</v>
      </c>
      <c r="C87" s="500">
        <v>4658.1000000000004</v>
      </c>
      <c r="D87" s="500">
        <v>4359.1000000000004</v>
      </c>
      <c r="E87" s="500">
        <v>311.8</v>
      </c>
      <c r="F87" s="500">
        <v>14.4</v>
      </c>
      <c r="G87" s="500">
        <v>93.186968232930013</v>
      </c>
      <c r="H87" s="79">
        <v>6.7</v>
      </c>
      <c r="I87" s="79">
        <v>7.7</v>
      </c>
      <c r="J87" s="79"/>
      <c r="K87" s="79"/>
      <c r="L87" s="79"/>
      <c r="M87" s="79"/>
      <c r="N87" s="79"/>
    </row>
    <row r="88" spans="1:14" ht="17.25" hidden="1" customHeight="1">
      <c r="A88" s="40" t="s">
        <v>20</v>
      </c>
      <c r="B88" s="500">
        <v>4916.7</v>
      </c>
      <c r="C88" s="500">
        <v>4902</v>
      </c>
      <c r="D88" s="500">
        <v>4608.1000000000004</v>
      </c>
      <c r="E88" s="500">
        <v>301.39999999999998</v>
      </c>
      <c r="F88" s="500">
        <v>15.3</v>
      </c>
      <c r="G88" s="500">
        <v>93.723432383509277</v>
      </c>
      <c r="H88" s="79">
        <v>6.9</v>
      </c>
      <c r="I88" s="79">
        <v>8.4</v>
      </c>
      <c r="J88" s="79"/>
      <c r="K88" s="79"/>
      <c r="L88" s="79"/>
      <c r="M88" s="79"/>
      <c r="N88" s="79"/>
    </row>
    <row r="89" spans="1:14" ht="16.5" hidden="1" customHeight="1">
      <c r="A89" s="40" t="s">
        <v>21</v>
      </c>
      <c r="B89" s="500">
        <v>4967.8</v>
      </c>
      <c r="C89" s="500">
        <v>4956.1000000000004</v>
      </c>
      <c r="D89" s="500">
        <v>4704.1000000000004</v>
      </c>
      <c r="E89" s="500">
        <v>254.4</v>
      </c>
      <c r="F89" s="500">
        <v>13.4</v>
      </c>
      <c r="G89" s="500">
        <v>94.691815290470643</v>
      </c>
      <c r="H89" s="126">
        <v>7</v>
      </c>
      <c r="I89" s="79">
        <v>6.4</v>
      </c>
      <c r="J89" s="79"/>
      <c r="K89" s="79"/>
      <c r="L89" s="79"/>
      <c r="M89" s="79"/>
      <c r="N89" s="79"/>
    </row>
    <row r="90" spans="1:14" ht="15" hidden="1" customHeight="1">
      <c r="A90" s="40" t="s">
        <v>22</v>
      </c>
      <c r="B90" s="500">
        <v>5048</v>
      </c>
      <c r="C90" s="500">
        <v>5012.6000000000004</v>
      </c>
      <c r="D90" s="500">
        <v>4803.5</v>
      </c>
      <c r="E90" s="500">
        <v>235.3</v>
      </c>
      <c r="F90" s="500">
        <v>12.9</v>
      </c>
      <c r="G90" s="500">
        <v>95.156497622820922</v>
      </c>
      <c r="H90" s="126">
        <v>6.4</v>
      </c>
      <c r="I90" s="79">
        <v>6.5</v>
      </c>
      <c r="J90" s="79"/>
      <c r="K90" s="79"/>
      <c r="L90" s="79"/>
      <c r="M90" s="79"/>
      <c r="N90" s="79"/>
    </row>
    <row r="91" spans="1:14" ht="17.25" hidden="1" customHeight="1">
      <c r="A91" s="40" t="s">
        <v>23</v>
      </c>
      <c r="B91" s="500">
        <v>5137.3</v>
      </c>
      <c r="C91" s="500">
        <v>5116.3999999999996</v>
      </c>
      <c r="D91" s="500">
        <v>4855.2</v>
      </c>
      <c r="E91" s="500">
        <v>275.8</v>
      </c>
      <c r="F91" s="500">
        <v>13</v>
      </c>
      <c r="G91" s="500">
        <v>94.508788663305623</v>
      </c>
      <c r="H91" s="126">
        <v>6.5</v>
      </c>
      <c r="I91" s="79">
        <v>6.5</v>
      </c>
      <c r="J91" s="79"/>
      <c r="K91" s="79"/>
      <c r="L91" s="79"/>
      <c r="M91" s="79"/>
      <c r="N91" s="79"/>
    </row>
    <row r="92" spans="1:14" ht="15" hidden="1" customHeight="1">
      <c r="A92" s="40" t="s">
        <v>24</v>
      </c>
      <c r="B92" s="500">
        <v>5311.8</v>
      </c>
      <c r="C92" s="500">
        <v>5299.4</v>
      </c>
      <c r="D92" s="500">
        <v>5086.6000000000004</v>
      </c>
      <c r="E92" s="500">
        <v>220.1</v>
      </c>
      <c r="F92" s="500">
        <v>14.399999999999999</v>
      </c>
      <c r="G92" s="500">
        <v>95.760382544523523</v>
      </c>
      <c r="H92" s="126">
        <v>7.3</v>
      </c>
      <c r="I92" s="79">
        <v>7.1</v>
      </c>
      <c r="J92" s="79"/>
      <c r="K92" s="79"/>
      <c r="L92" s="79"/>
      <c r="M92" s="79"/>
      <c r="N92" s="79"/>
    </row>
    <row r="93" spans="1:14" ht="16.5" hidden="1" customHeight="1">
      <c r="A93" s="40" t="s">
        <v>25</v>
      </c>
      <c r="B93" s="500">
        <v>5385.2</v>
      </c>
      <c r="C93" s="500">
        <v>5373.5</v>
      </c>
      <c r="D93" s="500">
        <v>5131.8999999999996</v>
      </c>
      <c r="E93" s="500">
        <v>249</v>
      </c>
      <c r="F93" s="500">
        <v>13.2</v>
      </c>
      <c r="G93" s="500">
        <v>95.296367822922079</v>
      </c>
      <c r="H93" s="126">
        <v>6.2</v>
      </c>
      <c r="I93" s="126">
        <v>7</v>
      </c>
      <c r="J93" s="79"/>
      <c r="K93" s="79"/>
      <c r="L93" s="79"/>
      <c r="M93" s="79"/>
      <c r="N93" s="79"/>
    </row>
    <row r="94" spans="1:14" ht="14.25" hidden="1" customHeight="1">
      <c r="A94" s="40" t="s">
        <v>26</v>
      </c>
      <c r="B94" s="500">
        <v>5516.1</v>
      </c>
      <c r="C94" s="500">
        <v>5504.6</v>
      </c>
      <c r="D94" s="500">
        <v>5197.8</v>
      </c>
      <c r="E94" s="500">
        <v>314.8</v>
      </c>
      <c r="F94" s="500">
        <v>13.6</v>
      </c>
      <c r="G94" s="500">
        <v>94.229618752379395</v>
      </c>
      <c r="H94" s="126">
        <v>6.6</v>
      </c>
      <c r="I94" s="126">
        <v>7</v>
      </c>
      <c r="J94" s="79"/>
      <c r="K94" s="79"/>
      <c r="L94" s="79"/>
      <c r="M94" s="79"/>
      <c r="N94" s="79"/>
    </row>
    <row r="95" spans="1:14" ht="15" hidden="1" customHeight="1">
      <c r="A95" s="40" t="s">
        <v>27</v>
      </c>
      <c r="B95" s="500">
        <v>5660.9</v>
      </c>
      <c r="C95" s="500">
        <v>5646.3</v>
      </c>
      <c r="D95" s="500">
        <v>5251.3</v>
      </c>
      <c r="E95" s="500">
        <v>405.8</v>
      </c>
      <c r="F95" s="500">
        <v>14.8</v>
      </c>
      <c r="G95" s="500">
        <v>92.764401420268868</v>
      </c>
      <c r="H95" s="126">
        <v>7.6</v>
      </c>
      <c r="I95" s="126">
        <v>7.2</v>
      </c>
      <c r="J95" s="79"/>
      <c r="K95" s="79"/>
      <c r="L95" s="79"/>
      <c r="M95" s="79"/>
      <c r="N95" s="79"/>
    </row>
    <row r="96" spans="1:14" ht="17.25" hidden="1" customHeight="1">
      <c r="A96" s="40" t="s">
        <v>28</v>
      </c>
      <c r="B96" s="500">
        <v>5622.9</v>
      </c>
      <c r="C96" s="500">
        <v>5605.5</v>
      </c>
      <c r="D96" s="500">
        <v>5292.6</v>
      </c>
      <c r="E96" s="500">
        <v>328.8</v>
      </c>
      <c r="F96" s="500">
        <v>15</v>
      </c>
      <c r="G96" s="500">
        <v>94.125806967934707</v>
      </c>
      <c r="H96" s="126">
        <v>7.2</v>
      </c>
      <c r="I96" s="126">
        <v>7.8</v>
      </c>
      <c r="J96" s="79"/>
      <c r="K96" s="79"/>
      <c r="L96" s="79"/>
      <c r="M96" s="79"/>
      <c r="N96" s="79"/>
    </row>
    <row r="97" spans="1:14" ht="15" hidden="1" customHeight="1">
      <c r="A97" s="40" t="s">
        <v>29</v>
      </c>
      <c r="B97" s="500">
        <v>6520.9</v>
      </c>
      <c r="C97" s="500">
        <v>6397.1</v>
      </c>
      <c r="D97" s="500">
        <v>5793.2</v>
      </c>
      <c r="E97" s="500">
        <v>725.5</v>
      </c>
      <c r="F97" s="500">
        <v>20.9</v>
      </c>
      <c r="G97" s="500">
        <v>88.840497477342083</v>
      </c>
      <c r="H97" s="126">
        <v>12.8</v>
      </c>
      <c r="I97" s="126">
        <v>8.1</v>
      </c>
      <c r="J97" s="79"/>
      <c r="K97" s="79"/>
      <c r="L97" s="79"/>
      <c r="M97" s="79"/>
      <c r="N97" s="79"/>
    </row>
    <row r="98" spans="1:14" ht="14.25" customHeight="1">
      <c r="A98" s="40" t="s">
        <v>1030</v>
      </c>
      <c r="B98" s="500">
        <v>8489.4</v>
      </c>
      <c r="C98" s="500">
        <v>8275.2999999999993</v>
      </c>
      <c r="D98" s="500">
        <v>7658.5</v>
      </c>
      <c r="E98" s="500">
        <v>826.4</v>
      </c>
      <c r="F98" s="500">
        <v>100.8</v>
      </c>
      <c r="G98" s="500">
        <v>90.212500294484897</v>
      </c>
      <c r="H98" s="126"/>
      <c r="I98" s="126"/>
      <c r="J98" s="79"/>
      <c r="K98" s="79"/>
      <c r="L98" s="79"/>
      <c r="M98" s="79"/>
      <c r="N98" s="79"/>
    </row>
    <row r="99" spans="1:14" ht="15" hidden="1" customHeight="1">
      <c r="A99" s="40" t="s">
        <v>18</v>
      </c>
      <c r="B99" s="665">
        <v>6015.5754722599995</v>
      </c>
      <c r="C99" s="665">
        <v>5960.9435422899996</v>
      </c>
      <c r="D99" s="665">
        <v>5563.5</v>
      </c>
      <c r="E99" s="665">
        <v>449.8</v>
      </c>
      <c r="F99" s="665">
        <v>20.896174600000002</v>
      </c>
      <c r="G99" s="665">
        <v>92.489152660715177</v>
      </c>
      <c r="H99" s="126">
        <v>21</v>
      </c>
      <c r="I99" s="126">
        <v>8.4</v>
      </c>
      <c r="J99" s="79"/>
      <c r="K99" s="79"/>
      <c r="L99" s="79"/>
      <c r="M99" s="79"/>
      <c r="N99" s="79"/>
    </row>
    <row r="100" spans="1:14" ht="14.25" hidden="1" customHeight="1">
      <c r="A100" s="40" t="s">
        <v>19</v>
      </c>
      <c r="B100" s="665">
        <v>6120.5</v>
      </c>
      <c r="C100" s="665">
        <v>6099.5</v>
      </c>
      <c r="D100" s="665">
        <v>5685.1</v>
      </c>
      <c r="E100" s="665">
        <v>431.4</v>
      </c>
      <c r="F100" s="665">
        <v>18.7</v>
      </c>
      <c r="G100" s="665">
        <v>92.88620210767094</v>
      </c>
      <c r="H100" s="126">
        <v>9.6999999999999993</v>
      </c>
      <c r="I100" s="126">
        <v>9</v>
      </c>
      <c r="J100" s="79"/>
      <c r="K100" s="79"/>
      <c r="L100" s="79"/>
      <c r="M100" s="79"/>
      <c r="N100" s="79"/>
    </row>
    <row r="101" spans="1:14" ht="15" hidden="1" customHeight="1">
      <c r="A101" s="40" t="s">
        <v>20</v>
      </c>
      <c r="B101" s="665">
        <v>6282.9</v>
      </c>
      <c r="C101" s="665">
        <v>6269</v>
      </c>
      <c r="D101" s="665">
        <v>5749.7</v>
      </c>
      <c r="E101" s="665">
        <v>527.6</v>
      </c>
      <c r="F101" s="665">
        <v>18.8</v>
      </c>
      <c r="G101" s="665">
        <v>91.513473077718899</v>
      </c>
      <c r="H101" s="126">
        <v>10</v>
      </c>
      <c r="I101" s="126">
        <v>8.8000000000000007</v>
      </c>
      <c r="J101" s="79"/>
      <c r="K101" s="79"/>
      <c r="L101" s="79"/>
      <c r="M101" s="79"/>
      <c r="N101" s="79"/>
    </row>
    <row r="102" spans="1:14" ht="15" hidden="1" customHeight="1">
      <c r="A102" s="40" t="s">
        <v>21</v>
      </c>
      <c r="B102" s="665">
        <v>6191.6</v>
      </c>
      <c r="C102" s="665">
        <v>6167.3</v>
      </c>
      <c r="D102" s="665">
        <v>5769.5</v>
      </c>
      <c r="E102" s="665">
        <v>414.3</v>
      </c>
      <c r="F102" s="665">
        <v>25.9</v>
      </c>
      <c r="G102" s="665">
        <v>93.182699140771362</v>
      </c>
      <c r="H102" s="126">
        <v>16.3</v>
      </c>
      <c r="I102" s="126">
        <v>9.6</v>
      </c>
      <c r="J102" s="79"/>
      <c r="K102" s="79"/>
      <c r="L102" s="79"/>
      <c r="M102" s="79"/>
      <c r="N102" s="79"/>
    </row>
    <row r="103" spans="1:14" ht="15" hidden="1" customHeight="1">
      <c r="A103" s="40" t="s">
        <v>22</v>
      </c>
      <c r="B103" s="665">
        <v>6294.4</v>
      </c>
      <c r="C103" s="665">
        <v>6244.9</v>
      </c>
      <c r="D103" s="665">
        <v>5949.5</v>
      </c>
      <c r="E103" s="665">
        <v>337.1</v>
      </c>
      <c r="F103" s="665">
        <v>75.3</v>
      </c>
      <c r="G103" s="665">
        <v>94.520526182003053</v>
      </c>
      <c r="H103" s="126">
        <v>38.4</v>
      </c>
      <c r="I103" s="126">
        <v>36.9</v>
      </c>
      <c r="J103" s="79"/>
      <c r="K103" s="79"/>
      <c r="L103" s="79"/>
      <c r="M103" s="79"/>
      <c r="N103" s="79"/>
    </row>
    <row r="104" spans="1:14" ht="15" hidden="1" customHeight="1">
      <c r="A104" s="40" t="s">
        <v>23</v>
      </c>
      <c r="B104" s="665">
        <v>6552.4</v>
      </c>
      <c r="C104" s="665">
        <v>6497.7</v>
      </c>
      <c r="D104" s="665">
        <v>6198.3</v>
      </c>
      <c r="E104" s="665">
        <v>344.2</v>
      </c>
      <c r="F104" s="665">
        <v>76.599999999999994</v>
      </c>
      <c r="G104" s="665">
        <v>94.595873267810276</v>
      </c>
      <c r="H104" s="126">
        <v>39</v>
      </c>
      <c r="I104" s="126">
        <v>37.6</v>
      </c>
      <c r="J104" s="79"/>
      <c r="K104" s="79"/>
      <c r="L104" s="79"/>
      <c r="M104" s="79"/>
      <c r="N104" s="79"/>
    </row>
    <row r="105" spans="1:14" ht="15" hidden="1" customHeight="1">
      <c r="A105" s="40" t="s">
        <v>24</v>
      </c>
      <c r="B105" s="665">
        <v>6940.6</v>
      </c>
      <c r="C105" s="665">
        <v>6858.1</v>
      </c>
      <c r="D105" s="665">
        <v>6521.2</v>
      </c>
      <c r="E105" s="665">
        <v>408.5</v>
      </c>
      <c r="F105" s="665">
        <v>95</v>
      </c>
      <c r="G105" s="665">
        <v>93.957294758378239</v>
      </c>
      <c r="H105" s="126">
        <v>58.3</v>
      </c>
      <c r="I105" s="126">
        <v>36.700000000000003</v>
      </c>
      <c r="J105" s="79"/>
      <c r="K105" s="79"/>
      <c r="L105" s="79"/>
      <c r="M105" s="79"/>
      <c r="N105" s="79"/>
    </row>
    <row r="106" spans="1:14" ht="15" hidden="1" customHeight="1">
      <c r="A106" s="40" t="s">
        <v>25</v>
      </c>
      <c r="B106" s="665">
        <v>7202.8</v>
      </c>
      <c r="C106" s="665">
        <v>7119.3</v>
      </c>
      <c r="D106" s="665">
        <v>6883.8</v>
      </c>
      <c r="E106" s="665">
        <v>307.3</v>
      </c>
      <c r="F106" s="665">
        <v>95.1</v>
      </c>
      <c r="G106" s="665">
        <v>95.571166768478918</v>
      </c>
      <c r="H106" s="126">
        <v>59.6</v>
      </c>
      <c r="I106" s="126">
        <v>35.5</v>
      </c>
      <c r="J106" s="79"/>
      <c r="K106" s="79"/>
      <c r="L106" s="79"/>
      <c r="M106" s="79"/>
      <c r="N106" s="79"/>
    </row>
    <row r="107" spans="1:14" ht="15" hidden="1" customHeight="1">
      <c r="A107" s="40" t="s">
        <v>26</v>
      </c>
      <c r="B107" s="665">
        <v>7281.5</v>
      </c>
      <c r="C107" s="665">
        <v>7206.5</v>
      </c>
      <c r="D107" s="665">
        <v>6818.6</v>
      </c>
      <c r="E107" s="665">
        <v>451.2</v>
      </c>
      <c r="F107" s="665">
        <v>96.5</v>
      </c>
      <c r="G107" s="665">
        <v>93.64279338048479</v>
      </c>
      <c r="H107" s="126">
        <v>58.5</v>
      </c>
      <c r="I107" s="126">
        <v>38</v>
      </c>
      <c r="J107" s="79"/>
      <c r="K107" s="79"/>
      <c r="L107" s="79"/>
      <c r="M107" s="79"/>
      <c r="N107" s="79"/>
    </row>
    <row r="108" spans="1:14" ht="15" hidden="1" customHeight="1">
      <c r="A108" s="40" t="s">
        <v>27</v>
      </c>
      <c r="B108" s="665">
        <v>7270.4</v>
      </c>
      <c r="C108" s="665">
        <v>7189.7</v>
      </c>
      <c r="D108" s="665">
        <v>6849.3</v>
      </c>
      <c r="E108" s="665">
        <v>409.6</v>
      </c>
      <c r="F108" s="665">
        <v>108.1</v>
      </c>
      <c r="G108" s="665">
        <v>94.208021566901408</v>
      </c>
      <c r="H108" s="126">
        <v>66.599999999999994</v>
      </c>
      <c r="I108" s="126">
        <v>41.5</v>
      </c>
      <c r="J108" s="79"/>
      <c r="K108" s="79"/>
      <c r="L108" s="79"/>
      <c r="M108" s="79"/>
      <c r="N108" s="79"/>
    </row>
    <row r="109" spans="1:14" ht="15" hidden="1" customHeight="1">
      <c r="A109" s="40" t="s">
        <v>28</v>
      </c>
      <c r="B109" s="665">
        <v>7494.4</v>
      </c>
      <c r="C109" s="665">
        <v>7417.4</v>
      </c>
      <c r="D109" s="665">
        <v>6937.2</v>
      </c>
      <c r="E109" s="665">
        <v>542.9</v>
      </c>
      <c r="F109" s="665">
        <v>101.19999999999999</v>
      </c>
      <c r="G109" s="665">
        <v>92.565115286080271</v>
      </c>
      <c r="H109" s="126">
        <v>60.3</v>
      </c>
      <c r="I109" s="126">
        <v>40.9</v>
      </c>
      <c r="J109" s="79"/>
      <c r="K109" s="79"/>
      <c r="L109" s="79"/>
      <c r="M109" s="79"/>
      <c r="N109" s="79"/>
    </row>
    <row r="110" spans="1:14" ht="15" hidden="1" customHeight="1">
      <c r="A110" s="40" t="s">
        <v>29</v>
      </c>
      <c r="B110" s="665">
        <v>8489.4</v>
      </c>
      <c r="C110" s="665">
        <v>8275.2999999999993</v>
      </c>
      <c r="D110" s="665">
        <v>7658.5</v>
      </c>
      <c r="E110" s="665">
        <v>826.4</v>
      </c>
      <c r="F110" s="665">
        <v>100.8</v>
      </c>
      <c r="G110" s="665">
        <v>90.212500294484897</v>
      </c>
      <c r="H110" s="126">
        <v>58.8</v>
      </c>
      <c r="I110" s="126">
        <v>42</v>
      </c>
      <c r="J110" s="79"/>
      <c r="K110" s="79"/>
      <c r="L110" s="79"/>
      <c r="M110" s="79"/>
      <c r="N110" s="79"/>
    </row>
    <row r="111" spans="1:14" ht="14.25" customHeight="1">
      <c r="A111" s="40" t="s">
        <v>1301</v>
      </c>
      <c r="B111" s="666">
        <v>10660.3</v>
      </c>
      <c r="C111" s="666">
        <v>10515</v>
      </c>
      <c r="D111" s="666">
        <v>9777.5</v>
      </c>
      <c r="E111" s="666">
        <v>868.6</v>
      </c>
      <c r="F111" s="666">
        <v>106.3496748</v>
      </c>
      <c r="G111" s="666">
        <v>91.718807163025431</v>
      </c>
      <c r="H111" s="126"/>
      <c r="I111" s="126"/>
      <c r="J111" s="79"/>
      <c r="K111" s="79"/>
      <c r="L111" s="79"/>
      <c r="M111" s="79"/>
      <c r="N111" s="79"/>
    </row>
    <row r="112" spans="1:14" ht="15" hidden="1" customHeight="1">
      <c r="A112" s="40" t="s">
        <v>18</v>
      </c>
      <c r="B112" s="665">
        <v>7686.7</v>
      </c>
      <c r="C112" s="665">
        <v>7601.5</v>
      </c>
      <c r="D112" s="665">
        <v>7222.3</v>
      </c>
      <c r="E112" s="665">
        <v>459.4</v>
      </c>
      <c r="F112" s="665">
        <v>106.4</v>
      </c>
      <c r="G112" s="665">
        <v>93.95839567044375</v>
      </c>
      <c r="H112" s="126">
        <v>67.400000000000006</v>
      </c>
      <c r="I112" s="126">
        <v>39</v>
      </c>
      <c r="J112" s="79"/>
      <c r="K112" s="79"/>
      <c r="L112" s="79"/>
      <c r="M112" s="79"/>
      <c r="N112" s="79"/>
    </row>
    <row r="113" spans="1:14" ht="15" hidden="1" customHeight="1">
      <c r="A113" s="40" t="s">
        <v>19</v>
      </c>
      <c r="B113" s="665">
        <v>7908.7</v>
      </c>
      <c r="C113" s="665">
        <v>7825.2</v>
      </c>
      <c r="D113" s="665">
        <v>7323.9</v>
      </c>
      <c r="E113" s="665">
        <v>571.9</v>
      </c>
      <c r="F113" s="665">
        <v>158.39999999999998</v>
      </c>
      <c r="G113" s="665">
        <v>92.605611541719881</v>
      </c>
      <c r="H113" s="126">
        <v>66.8</v>
      </c>
      <c r="I113" s="126">
        <v>91.6</v>
      </c>
      <c r="J113" s="79"/>
      <c r="K113" s="79"/>
      <c r="L113" s="79"/>
      <c r="M113" s="79"/>
      <c r="N113" s="79"/>
    </row>
    <row r="114" spans="1:14" ht="15" hidden="1" customHeight="1">
      <c r="A114" s="40" t="s">
        <v>20</v>
      </c>
      <c r="B114" s="665">
        <v>8468.2999999999993</v>
      </c>
      <c r="C114" s="665">
        <v>8347.7000000000007</v>
      </c>
      <c r="D114" s="665">
        <v>7650.1</v>
      </c>
      <c r="E114" s="665">
        <v>805.1</v>
      </c>
      <c r="F114" s="665">
        <v>163.5</v>
      </c>
      <c r="G114" s="665">
        <v>90.338084385295758</v>
      </c>
      <c r="H114" s="126">
        <v>66.900000000000006</v>
      </c>
      <c r="I114" s="126">
        <v>96.6</v>
      </c>
      <c r="J114" s="79"/>
      <c r="K114" s="79"/>
      <c r="L114" s="79"/>
      <c r="M114" s="79"/>
      <c r="N114" s="79"/>
    </row>
    <row r="115" spans="1:14" ht="15" hidden="1" customHeight="1">
      <c r="A115" s="40" t="s">
        <v>21</v>
      </c>
      <c r="B115" s="667">
        <v>8223</v>
      </c>
      <c r="C115" s="667">
        <v>8145.9</v>
      </c>
      <c r="D115" s="667">
        <v>7710.8</v>
      </c>
      <c r="E115" s="667">
        <v>496.6</v>
      </c>
      <c r="F115" s="667">
        <v>132.69652170000001</v>
      </c>
      <c r="G115" s="667">
        <v>93.771129757995865</v>
      </c>
      <c r="H115" s="126">
        <v>64.8</v>
      </c>
      <c r="I115" s="126">
        <v>67.8</v>
      </c>
      <c r="J115" s="79"/>
      <c r="K115" s="79"/>
      <c r="L115" s="79"/>
      <c r="M115" s="79"/>
      <c r="N115" s="79"/>
    </row>
    <row r="116" spans="1:14" ht="15" hidden="1" customHeight="1">
      <c r="A116" s="40" t="s">
        <v>22</v>
      </c>
      <c r="B116" s="667">
        <v>8457.9</v>
      </c>
      <c r="C116" s="667">
        <v>8373.1</v>
      </c>
      <c r="D116" s="667">
        <v>7971.9</v>
      </c>
      <c r="E116" s="667">
        <v>470.1</v>
      </c>
      <c r="F116" s="667">
        <v>131.5</v>
      </c>
      <c r="G116" s="667">
        <v>94.253892810272063</v>
      </c>
      <c r="H116" s="126">
        <v>59.1</v>
      </c>
      <c r="I116" s="126">
        <v>72.400000000000006</v>
      </c>
      <c r="J116" s="79"/>
      <c r="K116" s="79"/>
      <c r="L116" s="79"/>
      <c r="M116" s="79"/>
      <c r="N116" s="79"/>
    </row>
    <row r="117" spans="1:14" ht="15" hidden="1" customHeight="1">
      <c r="A117" s="40" t="s">
        <v>23</v>
      </c>
      <c r="B117" s="667">
        <v>8730.4</v>
      </c>
      <c r="C117" s="667">
        <v>8654.4</v>
      </c>
      <c r="D117" s="667">
        <v>8183.9</v>
      </c>
      <c r="E117" s="667">
        <v>527.79999999999995</v>
      </c>
      <c r="F117" s="667">
        <v>138.5</v>
      </c>
      <c r="G117" s="667">
        <v>93.740263905433892</v>
      </c>
      <c r="H117" s="126">
        <v>63.1</v>
      </c>
      <c r="I117" s="126">
        <v>75.400000000000006</v>
      </c>
      <c r="J117" s="79"/>
      <c r="K117" s="79"/>
      <c r="L117" s="79"/>
      <c r="M117" s="79"/>
      <c r="N117" s="79"/>
    </row>
    <row r="118" spans="1:14" ht="15" hidden="1" customHeight="1">
      <c r="A118" s="40" t="s">
        <v>24</v>
      </c>
      <c r="B118" s="667">
        <v>9039.6</v>
      </c>
      <c r="C118" s="667">
        <v>8940.2000000000007</v>
      </c>
      <c r="D118" s="667">
        <v>8458.1</v>
      </c>
      <c r="E118" s="667">
        <v>563.70000000000005</v>
      </c>
      <c r="F118" s="667">
        <v>138</v>
      </c>
      <c r="G118" s="667">
        <v>93.567193238638879</v>
      </c>
      <c r="H118" s="126">
        <v>62.8</v>
      </c>
      <c r="I118" s="126">
        <v>75.2</v>
      </c>
      <c r="J118" s="79"/>
      <c r="K118" s="79"/>
      <c r="L118" s="79"/>
      <c r="M118" s="79"/>
      <c r="N118" s="79"/>
    </row>
    <row r="119" spans="1:14" ht="15" hidden="1" customHeight="1">
      <c r="A119" s="40" t="s">
        <v>25</v>
      </c>
      <c r="B119" s="667">
        <v>9195.7000000000007</v>
      </c>
      <c r="C119" s="667">
        <v>9076.4</v>
      </c>
      <c r="D119" s="667">
        <v>8617.5</v>
      </c>
      <c r="E119" s="667">
        <v>560.5</v>
      </c>
      <c r="F119" s="667">
        <v>138.4</v>
      </c>
      <c r="G119" s="667">
        <v>93.712278564981446</v>
      </c>
      <c r="H119" s="126">
        <v>65.5</v>
      </c>
      <c r="I119" s="126">
        <v>72.900000000000006</v>
      </c>
      <c r="J119" s="79"/>
      <c r="K119" s="79"/>
      <c r="L119" s="79"/>
      <c r="M119" s="79"/>
      <c r="N119" s="79"/>
    </row>
    <row r="120" spans="1:14" ht="15" hidden="1" customHeight="1">
      <c r="A120" s="40" t="s">
        <v>26</v>
      </c>
      <c r="B120" s="667">
        <v>9399.7000000000007</v>
      </c>
      <c r="C120" s="667">
        <v>9299.7999999999993</v>
      </c>
      <c r="D120" s="667">
        <v>8793.7000000000007</v>
      </c>
      <c r="E120" s="667">
        <v>589.9</v>
      </c>
      <c r="F120" s="667">
        <v>146.10000000000002</v>
      </c>
      <c r="G120" s="667">
        <v>93.552985733587249</v>
      </c>
      <c r="H120" s="126">
        <v>66.400000000000006</v>
      </c>
      <c r="I120" s="126">
        <v>79.7</v>
      </c>
      <c r="J120" s="79"/>
      <c r="K120" s="79"/>
      <c r="L120" s="79"/>
      <c r="M120" s="79"/>
      <c r="N120" s="79"/>
    </row>
    <row r="121" spans="1:14" ht="15" hidden="1" customHeight="1">
      <c r="A121" s="40" t="s">
        <v>27</v>
      </c>
      <c r="B121" s="667">
        <v>9365.1</v>
      </c>
      <c r="C121" s="667">
        <v>9291.2999999999993</v>
      </c>
      <c r="D121" s="667">
        <v>8887.5</v>
      </c>
      <c r="E121" s="667">
        <v>458.8</v>
      </c>
      <c r="F121" s="667">
        <v>130.19999999999999</v>
      </c>
      <c r="G121" s="667">
        <v>94.900214626645734</v>
      </c>
      <c r="H121" s="126">
        <v>56.3</v>
      </c>
      <c r="I121" s="126">
        <v>73.900000000000006</v>
      </c>
      <c r="J121" s="79"/>
      <c r="K121" s="79"/>
      <c r="L121" s="79"/>
      <c r="M121" s="79"/>
      <c r="N121" s="79"/>
    </row>
    <row r="122" spans="1:14" ht="15" hidden="1" customHeight="1">
      <c r="A122" s="40" t="s">
        <v>28</v>
      </c>
      <c r="B122" s="667">
        <v>9427.2999999999993</v>
      </c>
      <c r="C122" s="667">
        <v>9346</v>
      </c>
      <c r="D122" s="667">
        <v>8826.2999999999993</v>
      </c>
      <c r="E122" s="667">
        <v>579</v>
      </c>
      <c r="F122" s="667">
        <v>125.19999999999999</v>
      </c>
      <c r="G122" s="667">
        <v>93.624897902899022</v>
      </c>
      <c r="H122" s="126">
        <v>43.6</v>
      </c>
      <c r="I122" s="126">
        <v>81.599999999999994</v>
      </c>
      <c r="J122" s="79"/>
      <c r="K122" s="79"/>
      <c r="L122" s="79"/>
      <c r="M122" s="79"/>
      <c r="N122" s="79"/>
    </row>
    <row r="123" spans="1:14" ht="15" hidden="1" customHeight="1">
      <c r="A123" s="40" t="s">
        <v>29</v>
      </c>
      <c r="B123" s="667">
        <v>10660.3</v>
      </c>
      <c r="C123" s="667">
        <v>10515</v>
      </c>
      <c r="D123" s="667">
        <v>9777.5</v>
      </c>
      <c r="E123" s="667">
        <v>868.6</v>
      </c>
      <c r="F123" s="667">
        <v>106.3496748</v>
      </c>
      <c r="G123" s="667">
        <v>91.718807163025431</v>
      </c>
      <c r="H123" s="126"/>
      <c r="I123" s="126"/>
      <c r="J123" s="79"/>
      <c r="K123" s="79"/>
      <c r="L123" s="79"/>
      <c r="M123" s="79"/>
      <c r="N123" s="79"/>
    </row>
    <row r="124" spans="1:14" ht="14.25" customHeight="1">
      <c r="A124" s="40" t="s">
        <v>1423</v>
      </c>
      <c r="B124" s="500">
        <v>11793.1</v>
      </c>
      <c r="C124" s="500">
        <v>11642</v>
      </c>
      <c r="D124" s="500">
        <v>11033.3</v>
      </c>
      <c r="E124" s="500">
        <v>749.2</v>
      </c>
      <c r="F124" s="500">
        <v>157</v>
      </c>
      <c r="G124" s="500">
        <v>93.557249578143143</v>
      </c>
      <c r="H124" s="126"/>
      <c r="I124" s="126"/>
      <c r="J124" s="79"/>
      <c r="K124" s="79"/>
      <c r="L124" s="79"/>
      <c r="M124" s="79"/>
      <c r="N124" s="79"/>
    </row>
    <row r="125" spans="1:14" ht="15" hidden="1" customHeight="1">
      <c r="A125" s="40" t="s">
        <v>18</v>
      </c>
      <c r="B125" s="665">
        <v>9938.8954381399981</v>
      </c>
      <c r="C125" s="665">
        <v>9842.5224666099984</v>
      </c>
      <c r="D125" s="665">
        <v>9360.6</v>
      </c>
      <c r="E125" s="665">
        <v>563.20000000000005</v>
      </c>
      <c r="F125" s="665">
        <v>127.2</v>
      </c>
      <c r="G125" s="665">
        <v>94.185239221210438</v>
      </c>
      <c r="H125" s="126">
        <v>40.200000000000003</v>
      </c>
      <c r="I125" s="126">
        <v>87</v>
      </c>
      <c r="J125" s="79"/>
      <c r="K125" s="79"/>
      <c r="L125" s="79"/>
      <c r="M125" s="79"/>
      <c r="N125" s="79"/>
    </row>
    <row r="126" spans="1:14" ht="15" hidden="1" customHeight="1">
      <c r="A126" s="40" t="s">
        <v>19</v>
      </c>
      <c r="B126" s="665">
        <v>10117.00896714</v>
      </c>
      <c r="C126" s="665">
        <v>10042.278477350001</v>
      </c>
      <c r="D126" s="665">
        <v>9440.7999999999993</v>
      </c>
      <c r="E126" s="665">
        <v>656.56517364000001</v>
      </c>
      <c r="F126" s="665">
        <v>132.5</v>
      </c>
      <c r="G126" s="665">
        <v>93.318045231693816</v>
      </c>
      <c r="H126" s="126">
        <v>38.4</v>
      </c>
      <c r="I126" s="126">
        <v>94.1</v>
      </c>
      <c r="J126" s="79"/>
      <c r="K126" s="79"/>
      <c r="L126" s="79"/>
      <c r="M126" s="79"/>
      <c r="N126" s="79"/>
    </row>
    <row r="127" spans="1:14" ht="15" hidden="1" customHeight="1">
      <c r="A127" s="40" t="s">
        <v>20</v>
      </c>
      <c r="B127" s="665">
        <v>10281.538850699999</v>
      </c>
      <c r="C127" s="665">
        <v>10196.195094999999</v>
      </c>
      <c r="D127" s="665">
        <v>9604.7000000000007</v>
      </c>
      <c r="E127" s="665">
        <v>656.57494804999988</v>
      </c>
      <c r="F127" s="665">
        <v>136.5</v>
      </c>
      <c r="G127" s="665">
        <v>93.427298548694623</v>
      </c>
      <c r="H127" s="126">
        <v>36.799999999999997</v>
      </c>
      <c r="I127" s="126">
        <v>99.7</v>
      </c>
      <c r="J127" s="79"/>
      <c r="K127" s="79"/>
      <c r="L127" s="79"/>
      <c r="M127" s="79"/>
      <c r="N127" s="79"/>
    </row>
    <row r="128" spans="1:14" ht="15" hidden="1" customHeight="1">
      <c r="A128" s="40" t="s">
        <v>21</v>
      </c>
      <c r="B128" s="665">
        <v>10191.12480883</v>
      </c>
      <c r="C128" s="665">
        <v>10094.551942800001</v>
      </c>
      <c r="D128" s="665">
        <v>9518.6</v>
      </c>
      <c r="E128" s="665">
        <v>646.5</v>
      </c>
      <c r="F128" s="665">
        <v>169.5</v>
      </c>
      <c r="G128" s="665">
        <v>93.403854456961184</v>
      </c>
      <c r="H128" s="126">
        <v>39.1</v>
      </c>
      <c r="I128" s="126">
        <v>130.4</v>
      </c>
      <c r="J128" s="79"/>
      <c r="K128" s="79"/>
      <c r="L128" s="79"/>
      <c r="M128" s="79"/>
      <c r="N128" s="79"/>
    </row>
    <row r="129" spans="1:14" ht="15" hidden="1" customHeight="1">
      <c r="A129" s="40" t="s">
        <v>22</v>
      </c>
      <c r="B129" s="665">
        <v>10201.401611349998</v>
      </c>
      <c r="C129" s="665">
        <v>10122.983837369999</v>
      </c>
      <c r="D129" s="665">
        <v>9608.4</v>
      </c>
      <c r="E129" s="665">
        <v>558.6</v>
      </c>
      <c r="F129" s="665">
        <v>137.30000000000001</v>
      </c>
      <c r="G129" s="665">
        <v>94.27671536642562</v>
      </c>
      <c r="H129" s="126">
        <v>35.200000000000003</v>
      </c>
      <c r="I129" s="126">
        <v>102.1</v>
      </c>
      <c r="J129" s="79"/>
      <c r="K129" s="79"/>
      <c r="L129" s="79"/>
      <c r="M129" s="79"/>
      <c r="N129" s="79"/>
    </row>
    <row r="130" spans="1:14" ht="15" hidden="1" customHeight="1">
      <c r="A130" s="40" t="s">
        <v>23</v>
      </c>
      <c r="B130" s="665">
        <v>10331.388455559998</v>
      </c>
      <c r="C130" s="665">
        <v>10266.594539619999</v>
      </c>
      <c r="D130" s="665">
        <v>9765.2000000000007</v>
      </c>
      <c r="E130" s="665">
        <v>539.29999999999995</v>
      </c>
      <c r="F130" s="665">
        <v>140.9</v>
      </c>
      <c r="G130" s="665">
        <v>94.533344950096335</v>
      </c>
      <c r="H130" s="126">
        <v>38.200000000000003</v>
      </c>
      <c r="I130" s="126">
        <v>102.7</v>
      </c>
      <c r="J130" s="79"/>
      <c r="K130" s="79"/>
      <c r="L130" s="79"/>
      <c r="M130" s="79"/>
      <c r="N130" s="79"/>
    </row>
    <row r="131" spans="1:14" ht="15" hidden="1" customHeight="1">
      <c r="A131" s="40" t="s">
        <v>24</v>
      </c>
      <c r="B131" s="665">
        <v>10529.225237050001</v>
      </c>
      <c r="C131" s="665">
        <v>10428.005373100001</v>
      </c>
      <c r="D131" s="665">
        <v>9924.7999999999993</v>
      </c>
      <c r="E131" s="665">
        <v>579.79999999999995</v>
      </c>
      <c r="F131" s="665">
        <v>142.1</v>
      </c>
      <c r="G131" s="665">
        <v>94.263353848491747</v>
      </c>
      <c r="H131" s="126">
        <v>43.1</v>
      </c>
      <c r="I131" s="126">
        <v>99</v>
      </c>
      <c r="J131" s="79"/>
      <c r="K131" s="79"/>
      <c r="L131" s="79"/>
      <c r="M131" s="79"/>
      <c r="N131" s="79"/>
    </row>
    <row r="132" spans="1:14" ht="15" hidden="1" customHeight="1">
      <c r="A132" s="40" t="s">
        <v>25</v>
      </c>
      <c r="B132" s="665">
        <v>10688.93542118</v>
      </c>
      <c r="C132" s="665">
        <v>10617.02397176</v>
      </c>
      <c r="D132" s="665">
        <v>10105.200000000001</v>
      </c>
      <c r="E132" s="665">
        <v>561</v>
      </c>
      <c r="F132" s="665">
        <v>139.39999999999998</v>
      </c>
      <c r="G132" s="665">
        <v>94.540079335379104</v>
      </c>
      <c r="H132" s="126">
        <v>39.299999999999997</v>
      </c>
      <c r="I132" s="126">
        <v>100.1</v>
      </c>
      <c r="J132" s="79"/>
      <c r="K132" s="79"/>
      <c r="L132" s="79"/>
      <c r="M132" s="79"/>
      <c r="N132" s="79"/>
    </row>
    <row r="133" spans="1:14" ht="15" hidden="1" customHeight="1">
      <c r="A133" s="40" t="s">
        <v>26</v>
      </c>
      <c r="B133" s="665">
        <v>10697.737923710001</v>
      </c>
      <c r="C133" s="665">
        <v>10616.446083440002</v>
      </c>
      <c r="D133" s="665">
        <v>10137.6</v>
      </c>
      <c r="E133" s="665">
        <v>536.79999999999995</v>
      </c>
      <c r="F133" s="665">
        <v>152.6</v>
      </c>
      <c r="G133" s="665">
        <v>94.768724526044195</v>
      </c>
      <c r="H133" s="126">
        <v>45.8</v>
      </c>
      <c r="I133" s="126">
        <v>106.8</v>
      </c>
      <c r="J133" s="79"/>
      <c r="K133" s="79"/>
      <c r="L133" s="79"/>
      <c r="M133" s="79"/>
      <c r="N133" s="79"/>
    </row>
    <row r="134" spans="1:14" ht="15" hidden="1" customHeight="1">
      <c r="A134" s="40" t="s">
        <v>27</v>
      </c>
      <c r="B134" s="665">
        <v>10823.582633259999</v>
      </c>
      <c r="C134" s="665">
        <v>10732.614357859999</v>
      </c>
      <c r="D134" s="665">
        <v>10216.5</v>
      </c>
      <c r="E134" s="665">
        <v>582</v>
      </c>
      <c r="F134" s="665">
        <v>162.30000000000001</v>
      </c>
      <c r="G134" s="665">
        <v>94.394448961490127</v>
      </c>
      <c r="H134" s="126">
        <v>54.1</v>
      </c>
      <c r="I134" s="126">
        <v>108.2</v>
      </c>
      <c r="J134" s="79"/>
      <c r="K134" s="79"/>
      <c r="L134" s="79"/>
      <c r="M134" s="79"/>
      <c r="N134" s="79"/>
    </row>
    <row r="135" spans="1:14" ht="15" hidden="1" customHeight="1">
      <c r="A135" s="40" t="s">
        <v>28</v>
      </c>
      <c r="B135" s="665">
        <v>10899.871209200001</v>
      </c>
      <c r="C135" s="665">
        <v>10792.02597456</v>
      </c>
      <c r="D135" s="665">
        <v>10372.799999999999</v>
      </c>
      <c r="E135" s="665">
        <v>500.3</v>
      </c>
      <c r="F135" s="665">
        <v>143.69999999999999</v>
      </c>
      <c r="G135" s="665">
        <v>95.201732809574494</v>
      </c>
      <c r="H135" s="126">
        <v>42.6</v>
      </c>
      <c r="I135" s="126">
        <v>101.1</v>
      </c>
      <c r="J135" s="79"/>
      <c r="K135" s="79"/>
      <c r="L135" s="79"/>
      <c r="M135" s="79"/>
      <c r="N135" s="79"/>
    </row>
    <row r="136" spans="1:14" ht="15" hidden="1" customHeight="1">
      <c r="A136" s="40" t="s">
        <v>29</v>
      </c>
      <c r="B136" s="665">
        <v>11793.1</v>
      </c>
      <c r="C136" s="665">
        <v>11642</v>
      </c>
      <c r="D136" s="665">
        <v>11033.3</v>
      </c>
      <c r="E136" s="665">
        <v>749.2</v>
      </c>
      <c r="F136" s="665">
        <v>157</v>
      </c>
      <c r="G136" s="665">
        <v>93.557249578143143</v>
      </c>
      <c r="H136" s="126">
        <v>44.7</v>
      </c>
      <c r="I136" s="126">
        <v>112.3</v>
      </c>
      <c r="J136" s="79"/>
      <c r="K136" s="79"/>
      <c r="L136" s="79"/>
      <c r="M136" s="79"/>
      <c r="N136" s="79"/>
    </row>
    <row r="137" spans="1:14" ht="14.25" customHeight="1">
      <c r="A137" s="40" t="s">
        <v>1634</v>
      </c>
      <c r="B137" s="500">
        <v>11866.9</v>
      </c>
      <c r="C137" s="500">
        <v>11541.9</v>
      </c>
      <c r="D137" s="500">
        <v>10845.9</v>
      </c>
      <c r="E137" s="500">
        <v>1013.1</v>
      </c>
      <c r="F137" s="500">
        <v>228</v>
      </c>
      <c r="G137" s="500">
        <v>91.396236590853547</v>
      </c>
      <c r="H137" s="126"/>
      <c r="I137" s="126"/>
      <c r="J137" s="79"/>
      <c r="K137" s="79"/>
      <c r="L137" s="79"/>
      <c r="M137" s="79"/>
      <c r="N137" s="79"/>
    </row>
    <row r="138" spans="1:14" ht="15" hidden="1" customHeight="1">
      <c r="A138" s="40" t="s">
        <v>18</v>
      </c>
      <c r="B138" s="665">
        <v>11142.6</v>
      </c>
      <c r="C138" s="665">
        <v>11038.1</v>
      </c>
      <c r="D138" s="665">
        <v>10530.2</v>
      </c>
      <c r="E138" s="665">
        <v>598.4</v>
      </c>
      <c r="F138" s="665">
        <v>162</v>
      </c>
      <c r="G138" s="665">
        <v>94.503975732773313</v>
      </c>
      <c r="H138" s="126">
        <v>44.6</v>
      </c>
      <c r="I138" s="126">
        <v>117.4</v>
      </c>
      <c r="J138" s="79"/>
      <c r="K138" s="79"/>
      <c r="L138" s="79"/>
      <c r="M138" s="79"/>
      <c r="N138" s="79"/>
    </row>
    <row r="139" spans="1:14" ht="15" hidden="1" customHeight="1">
      <c r="A139" s="40" t="s">
        <v>19</v>
      </c>
      <c r="B139" s="665">
        <v>11244.6</v>
      </c>
      <c r="C139" s="665">
        <v>11136.5</v>
      </c>
      <c r="D139" s="665">
        <v>10617.8</v>
      </c>
      <c r="E139" s="665">
        <v>617.70000000000005</v>
      </c>
      <c r="F139" s="665">
        <v>158.30000000000001</v>
      </c>
      <c r="G139" s="665">
        <v>94.425768813474903</v>
      </c>
      <c r="H139" s="126">
        <v>44.8</v>
      </c>
      <c r="I139" s="126">
        <v>113.5</v>
      </c>
      <c r="J139" s="79"/>
      <c r="K139" s="79"/>
      <c r="L139" s="79"/>
      <c r="M139" s="79"/>
      <c r="N139" s="79"/>
    </row>
    <row r="140" spans="1:14" ht="15" hidden="1" customHeight="1">
      <c r="A140" s="40" t="s">
        <v>20</v>
      </c>
      <c r="B140" s="665">
        <v>11205.6</v>
      </c>
      <c r="C140" s="665">
        <v>11107.1</v>
      </c>
      <c r="D140" s="665">
        <v>10676.7</v>
      </c>
      <c r="E140" s="665">
        <v>519.4</v>
      </c>
      <c r="F140" s="665">
        <v>165.1</v>
      </c>
      <c r="G140" s="665">
        <v>95.28003855215249</v>
      </c>
      <c r="H140" s="126">
        <v>48.8</v>
      </c>
      <c r="I140" s="126">
        <v>116.3</v>
      </c>
      <c r="J140" s="79"/>
      <c r="K140" s="79"/>
      <c r="L140" s="79"/>
      <c r="M140" s="79"/>
      <c r="N140" s="79"/>
    </row>
    <row r="141" spans="1:14" ht="15" hidden="1" customHeight="1">
      <c r="A141" s="40" t="s">
        <v>21</v>
      </c>
      <c r="B141" s="665">
        <v>11229.3</v>
      </c>
      <c r="C141" s="665">
        <v>11105</v>
      </c>
      <c r="D141" s="665">
        <v>10607.4</v>
      </c>
      <c r="E141" s="665">
        <v>612.29999999999995</v>
      </c>
      <c r="F141" s="665">
        <v>170.3</v>
      </c>
      <c r="G141" s="665">
        <v>94.461809729903024</v>
      </c>
      <c r="H141" s="126">
        <v>60.8</v>
      </c>
      <c r="I141" s="126">
        <v>109.5</v>
      </c>
      <c r="J141" s="79"/>
      <c r="K141" s="79"/>
      <c r="L141" s="79"/>
      <c r="M141" s="79"/>
      <c r="N141" s="79"/>
    </row>
    <row r="142" spans="1:14" ht="15" hidden="1" customHeight="1">
      <c r="A142" s="40" t="s">
        <v>22</v>
      </c>
      <c r="B142" s="665">
        <v>11366.4</v>
      </c>
      <c r="C142" s="665">
        <v>11272.2</v>
      </c>
      <c r="D142" s="665">
        <v>10750.5</v>
      </c>
      <c r="E142" s="665">
        <v>599.9</v>
      </c>
      <c r="F142" s="665">
        <v>179.2</v>
      </c>
      <c r="G142" s="665">
        <v>94.581397804054063</v>
      </c>
      <c r="H142" s="126">
        <v>66.400000000000006</v>
      </c>
      <c r="I142" s="126">
        <v>112.8</v>
      </c>
      <c r="J142" s="79"/>
      <c r="K142" s="79"/>
      <c r="L142" s="79"/>
      <c r="M142" s="79"/>
      <c r="N142" s="79"/>
    </row>
    <row r="143" spans="1:14" ht="15" hidden="1" customHeight="1">
      <c r="A143" s="40" t="s">
        <v>23</v>
      </c>
      <c r="B143" s="665">
        <v>11580.6</v>
      </c>
      <c r="C143" s="665">
        <v>11485.2</v>
      </c>
      <c r="D143" s="665">
        <v>10905.9</v>
      </c>
      <c r="E143" s="665">
        <v>663.3</v>
      </c>
      <c r="F143" s="665">
        <v>133.19999999999999</v>
      </c>
      <c r="G143" s="665">
        <v>94.173877001191642</v>
      </c>
      <c r="H143" s="126">
        <v>57.8</v>
      </c>
      <c r="I143" s="126">
        <v>75.400000000000006</v>
      </c>
      <c r="J143" s="79"/>
      <c r="K143" s="79"/>
      <c r="L143" s="79"/>
      <c r="M143" s="79"/>
      <c r="N143" s="79"/>
    </row>
    <row r="144" spans="1:14" ht="18" hidden="1" customHeight="1">
      <c r="A144" s="40" t="s">
        <v>24</v>
      </c>
      <c r="B144" s="665">
        <v>11858.1</v>
      </c>
      <c r="C144" s="665">
        <v>11736.5</v>
      </c>
      <c r="D144" s="665">
        <v>11144.4</v>
      </c>
      <c r="E144" s="665">
        <v>702.1</v>
      </c>
      <c r="F144" s="665">
        <v>190.5</v>
      </c>
      <c r="G144" s="665">
        <v>93.981329218002884</v>
      </c>
      <c r="H144" s="79">
        <v>70</v>
      </c>
      <c r="I144" s="79">
        <v>120.5</v>
      </c>
      <c r="J144" s="79"/>
      <c r="K144" s="79"/>
      <c r="L144" s="79"/>
      <c r="M144" s="79"/>
      <c r="N144" s="79"/>
    </row>
    <row r="145" spans="1:14" ht="18" hidden="1" customHeight="1">
      <c r="A145" s="40" t="s">
        <v>25</v>
      </c>
      <c r="B145" s="665">
        <v>11863.4</v>
      </c>
      <c r="C145" s="665">
        <v>11743.6</v>
      </c>
      <c r="D145" s="665">
        <v>11134.4</v>
      </c>
      <c r="E145" s="665">
        <v>716</v>
      </c>
      <c r="F145" s="665">
        <v>183.4</v>
      </c>
      <c r="G145" s="665">
        <v>93.85504998567022</v>
      </c>
      <c r="H145" s="79">
        <v>64.2</v>
      </c>
      <c r="I145" s="79">
        <v>119.2</v>
      </c>
      <c r="J145" s="79"/>
      <c r="K145" s="79"/>
      <c r="L145" s="79"/>
      <c r="M145" s="79"/>
      <c r="N145" s="79"/>
    </row>
    <row r="146" spans="1:14" ht="18" hidden="1" customHeight="1">
      <c r="A146" s="40" t="s">
        <v>26</v>
      </c>
      <c r="B146" s="665">
        <v>11646.2</v>
      </c>
      <c r="C146" s="665">
        <v>11546.5</v>
      </c>
      <c r="D146" s="665">
        <v>11042.3</v>
      </c>
      <c r="E146" s="665">
        <v>593.20000000000005</v>
      </c>
      <c r="F146" s="665">
        <v>118.5</v>
      </c>
      <c r="G146" s="665">
        <v>94.814617643523206</v>
      </c>
      <c r="H146" s="79">
        <v>49.1</v>
      </c>
      <c r="I146" s="79">
        <v>69.400000000000006</v>
      </c>
      <c r="J146" s="79"/>
      <c r="K146" s="79"/>
      <c r="L146" s="79"/>
      <c r="M146" s="79"/>
      <c r="N146" s="79"/>
    </row>
    <row r="147" spans="1:14" ht="18" hidden="1" customHeight="1">
      <c r="A147" s="40" t="s">
        <v>27</v>
      </c>
      <c r="B147" s="665">
        <v>11587.4</v>
      </c>
      <c r="C147" s="665">
        <v>11478</v>
      </c>
      <c r="D147" s="665">
        <v>10993.9</v>
      </c>
      <c r="E147" s="665">
        <v>564.5</v>
      </c>
      <c r="F147" s="665">
        <v>130</v>
      </c>
      <c r="G147" s="665">
        <v>94.878057200062145</v>
      </c>
      <c r="H147" s="79">
        <v>58.2</v>
      </c>
      <c r="I147" s="79">
        <v>71.8</v>
      </c>
      <c r="J147" s="79"/>
      <c r="K147" s="79"/>
      <c r="L147" s="79"/>
      <c r="M147" s="79"/>
      <c r="N147" s="79"/>
    </row>
    <row r="148" spans="1:14" ht="18" hidden="1" customHeight="1">
      <c r="A148" s="40" t="s">
        <v>28</v>
      </c>
      <c r="B148" s="665">
        <v>11601.1</v>
      </c>
      <c r="C148" s="665">
        <v>11519.7</v>
      </c>
      <c r="D148" s="665">
        <v>10955.7</v>
      </c>
      <c r="E148" s="665">
        <v>627.70000000000005</v>
      </c>
      <c r="F148" s="665">
        <v>115.10000000000001</v>
      </c>
      <c r="G148" s="665">
        <v>94.436734447595498</v>
      </c>
      <c r="H148" s="79">
        <v>44.7</v>
      </c>
      <c r="I148" s="79">
        <v>70.400000000000006</v>
      </c>
      <c r="J148" s="79"/>
      <c r="K148" s="79"/>
      <c r="L148" s="79"/>
      <c r="M148" s="79"/>
      <c r="N148" s="79"/>
    </row>
    <row r="149" spans="1:14" ht="18" hidden="1" customHeight="1">
      <c r="A149" s="40" t="s">
        <v>29</v>
      </c>
      <c r="B149" s="665">
        <v>11866.9</v>
      </c>
      <c r="C149" s="665">
        <v>11541.9</v>
      </c>
      <c r="D149" s="665">
        <v>10845.9</v>
      </c>
      <c r="E149" s="665">
        <v>1013.1</v>
      </c>
      <c r="F149" s="665">
        <v>228</v>
      </c>
      <c r="G149" s="665">
        <v>91.396236590853547</v>
      </c>
      <c r="H149" s="79">
        <v>139.19999999999999</v>
      </c>
      <c r="I149" s="79">
        <v>88.8</v>
      </c>
      <c r="J149" s="79"/>
      <c r="K149" s="79"/>
      <c r="L149" s="79"/>
      <c r="M149" s="79"/>
      <c r="N149" s="79"/>
    </row>
    <row r="150" spans="1:14" ht="18" customHeight="1">
      <c r="A150" s="40" t="s">
        <v>1829</v>
      </c>
      <c r="B150" s="500">
        <v>7560.6734860699999</v>
      </c>
      <c r="C150" s="500">
        <v>6901.8423380799995</v>
      </c>
      <c r="D150" s="500">
        <v>5416.7508947899996</v>
      </c>
      <c r="E150" s="500">
        <v>2137.2468294</v>
      </c>
      <c r="F150" s="500">
        <v>47.384</v>
      </c>
      <c r="G150" s="500">
        <v>71.643761693584253</v>
      </c>
      <c r="H150" s="79"/>
      <c r="I150" s="79"/>
      <c r="J150" s="79"/>
      <c r="K150" s="79"/>
      <c r="L150" s="79"/>
      <c r="M150" s="79"/>
      <c r="N150" s="79"/>
    </row>
    <row r="151" spans="1:14" ht="18" hidden="1" customHeight="1">
      <c r="A151" s="40" t="s">
        <v>18</v>
      </c>
      <c r="B151" s="665">
        <v>10760.302754689999</v>
      </c>
      <c r="C151" s="665">
        <v>10550.98263348</v>
      </c>
      <c r="D151" s="665">
        <v>10145.295551970001</v>
      </c>
      <c r="E151" s="665">
        <v>604.54437906999999</v>
      </c>
      <c r="F151" s="665">
        <f>H151+I151</f>
        <v>0</v>
      </c>
      <c r="G151" s="665">
        <f>D151*100/B151</f>
        <v>94.284480495198508</v>
      </c>
      <c r="H151" s="225"/>
      <c r="I151" s="225"/>
      <c r="J151" s="79"/>
      <c r="K151" s="79"/>
      <c r="L151" s="79"/>
      <c r="M151" s="79"/>
      <c r="N151" s="79"/>
    </row>
    <row r="152" spans="1:14" ht="18" hidden="1" customHeight="1">
      <c r="A152" s="40" t="s">
        <v>19</v>
      </c>
      <c r="B152" s="665">
        <v>9736.0533009599985</v>
      </c>
      <c r="C152" s="665">
        <v>9109.8742473199982</v>
      </c>
      <c r="D152" s="665">
        <v>8701.1223736899992</v>
      </c>
      <c r="E152" s="665">
        <v>1028.4111744900001</v>
      </c>
      <c r="F152" s="665">
        <v>155.14499999999998</v>
      </c>
      <c r="G152" s="665">
        <v>89.370118514368116</v>
      </c>
      <c r="H152" s="225"/>
      <c r="I152" s="225"/>
      <c r="J152" s="79"/>
      <c r="K152" s="79"/>
      <c r="L152" s="79"/>
      <c r="M152" s="79"/>
      <c r="N152" s="79"/>
    </row>
    <row r="153" spans="1:14" ht="18" hidden="1" customHeight="1">
      <c r="A153" s="40" t="s">
        <v>20</v>
      </c>
      <c r="B153" s="665">
        <v>8919.1828803299995</v>
      </c>
      <c r="C153" s="665">
        <v>8339.4258388500002</v>
      </c>
      <c r="D153" s="665">
        <v>8055.4742089399997</v>
      </c>
      <c r="E153" s="665">
        <v>859.38671832</v>
      </c>
      <c r="F153" s="665">
        <v>165.524</v>
      </c>
      <c r="G153" s="665">
        <v>90.316280280620916</v>
      </c>
      <c r="H153" s="225"/>
      <c r="I153" s="225"/>
      <c r="J153" s="79"/>
      <c r="K153" s="79"/>
      <c r="L153" s="79"/>
      <c r="M153" s="79"/>
      <c r="N153" s="79"/>
    </row>
    <row r="154" spans="1:14" ht="18" hidden="1" customHeight="1">
      <c r="A154" s="40" t="s">
        <v>21</v>
      </c>
      <c r="B154" s="665">
        <v>7870.1980502399992</v>
      </c>
      <c r="C154" s="665">
        <v>7418.6134919299993</v>
      </c>
      <c r="D154" s="665">
        <v>7008.894394599999</v>
      </c>
      <c r="E154" s="665">
        <v>858.33738232999997</v>
      </c>
      <c r="F154" s="665">
        <v>60.143999999999998</v>
      </c>
      <c r="G154" s="665">
        <v>89.056137467674844</v>
      </c>
      <c r="H154" s="225"/>
      <c r="I154" s="225"/>
      <c r="J154" s="79"/>
      <c r="K154" s="79"/>
      <c r="L154" s="79"/>
      <c r="M154" s="79"/>
      <c r="N154" s="79"/>
    </row>
    <row r="155" spans="1:14" ht="18" hidden="1" customHeight="1">
      <c r="A155" s="40" t="s">
        <v>22</v>
      </c>
      <c r="B155" s="665">
        <v>7983.6680595399994</v>
      </c>
      <c r="C155" s="665">
        <v>7597.2826965399991</v>
      </c>
      <c r="D155" s="665">
        <v>7129.4125273699992</v>
      </c>
      <c r="E155" s="665">
        <v>849.22445685999992</v>
      </c>
      <c r="F155" s="665">
        <v>49.918999999999997</v>
      </c>
      <c r="G155" s="665">
        <v>89.299961799523757</v>
      </c>
      <c r="H155" s="225"/>
      <c r="I155" s="225"/>
      <c r="J155" s="79"/>
      <c r="K155" s="79"/>
      <c r="L155" s="79"/>
      <c r="M155" s="79"/>
      <c r="N155" s="79"/>
    </row>
    <row r="156" spans="1:14" ht="18" hidden="1" customHeight="1">
      <c r="A156" s="40" t="s">
        <v>23</v>
      </c>
      <c r="B156" s="665">
        <v>7805.9569541199999</v>
      </c>
      <c r="C156" s="665">
        <v>7487.0474245200003</v>
      </c>
      <c r="D156" s="665">
        <v>7084.4067262200006</v>
      </c>
      <c r="E156" s="665">
        <v>718.32223518000001</v>
      </c>
      <c r="F156" s="665">
        <v>62.841000000000001</v>
      </c>
      <c r="G156" s="665">
        <v>90.756415489593962</v>
      </c>
      <c r="H156" s="225"/>
      <c r="I156" s="225"/>
      <c r="J156" s="79"/>
      <c r="K156" s="79"/>
      <c r="L156" s="79"/>
      <c r="M156" s="79"/>
      <c r="N156" s="79"/>
    </row>
    <row r="157" spans="1:14" ht="18" hidden="1" customHeight="1">
      <c r="A157" s="40" t="s">
        <v>24</v>
      </c>
      <c r="B157" s="665">
        <v>7793.4260408499986</v>
      </c>
      <c r="C157" s="665">
        <v>7467.4627806899989</v>
      </c>
      <c r="D157" s="665">
        <v>7013.6752276299994</v>
      </c>
      <c r="E157" s="665">
        <v>777.81922059999999</v>
      </c>
      <c r="F157" s="665">
        <v>47.674000000000007</v>
      </c>
      <c r="G157" s="665">
        <v>89.994762134998666</v>
      </c>
      <c r="H157" s="225"/>
      <c r="I157" s="225"/>
      <c r="J157" s="79"/>
      <c r="K157" s="79"/>
      <c r="L157" s="79"/>
      <c r="M157" s="79"/>
      <c r="N157" s="79"/>
    </row>
    <row r="158" spans="1:14" ht="18" hidden="1" customHeight="1">
      <c r="A158" s="40" t="s">
        <v>25</v>
      </c>
      <c r="B158" s="665">
        <v>6886.2807920499999</v>
      </c>
      <c r="C158" s="665">
        <v>6352.0686349199996</v>
      </c>
      <c r="D158" s="665">
        <v>6118.5081162399993</v>
      </c>
      <c r="E158" s="665">
        <v>762.70378588000005</v>
      </c>
      <c r="F158" s="665">
        <v>57.058000000000007</v>
      </c>
      <c r="G158" s="665">
        <v>88.850691701442528</v>
      </c>
      <c r="H158" s="225"/>
      <c r="I158" s="225"/>
      <c r="J158" s="79"/>
      <c r="K158" s="79"/>
      <c r="L158" s="79"/>
      <c r="M158" s="79"/>
      <c r="N158" s="79"/>
    </row>
    <row r="159" spans="1:14" ht="18" hidden="1" customHeight="1">
      <c r="A159" s="40" t="s">
        <v>26</v>
      </c>
      <c r="B159" s="665">
        <v>7434.2946894699999</v>
      </c>
      <c r="C159" s="665">
        <v>7050.4451382899997</v>
      </c>
      <c r="D159" s="665">
        <v>6050.0254289899995</v>
      </c>
      <c r="E159" s="665">
        <v>1378.93386349</v>
      </c>
      <c r="F159" s="665">
        <v>47.332999999999998</v>
      </c>
      <c r="G159" s="665">
        <v>81.379951719687796</v>
      </c>
      <c r="H159" s="225"/>
      <c r="I159" s="225"/>
      <c r="J159" s="79"/>
      <c r="K159" s="79"/>
      <c r="L159" s="79"/>
      <c r="M159" s="79"/>
      <c r="N159" s="79"/>
    </row>
    <row r="160" spans="1:14" ht="18" hidden="1" customHeight="1">
      <c r="A160" s="40" t="s">
        <v>27</v>
      </c>
      <c r="B160" s="665">
        <v>7355.3705613900001</v>
      </c>
      <c r="C160" s="665">
        <v>7055.8749215899998</v>
      </c>
      <c r="D160" s="665">
        <v>5994.91554851</v>
      </c>
      <c r="E160" s="665">
        <v>1349.7270262899999</v>
      </c>
      <c r="F160" s="665">
        <v>45.860999999999997</v>
      </c>
      <c r="G160" s="665">
        <v>81.503922861190219</v>
      </c>
      <c r="H160" s="225"/>
      <c r="I160" s="225"/>
      <c r="J160" s="79"/>
      <c r="K160" s="79"/>
      <c r="L160" s="79"/>
      <c r="M160" s="79"/>
      <c r="N160" s="79"/>
    </row>
    <row r="161" spans="1:14" ht="18" hidden="1" customHeight="1">
      <c r="A161" s="40" t="s">
        <v>28</v>
      </c>
      <c r="B161" s="665">
        <v>7002.2079040099998</v>
      </c>
      <c r="C161" s="665">
        <v>6730.5800266299993</v>
      </c>
      <c r="D161" s="665">
        <v>5738.1171962999997</v>
      </c>
      <c r="E161" s="665">
        <v>1257.7269561000001</v>
      </c>
      <c r="F161" s="665">
        <v>43.741</v>
      </c>
      <c r="G161" s="665">
        <v>81.94725542230637</v>
      </c>
      <c r="H161" s="225"/>
      <c r="I161" s="225"/>
      <c r="J161" s="79"/>
      <c r="K161" s="79"/>
      <c r="L161" s="79"/>
      <c r="M161" s="79"/>
      <c r="N161" s="79"/>
    </row>
    <row r="162" spans="1:14" ht="18" hidden="1" customHeight="1">
      <c r="A162" s="40" t="s">
        <v>29</v>
      </c>
      <c r="B162" s="665">
        <v>7560.6734860699999</v>
      </c>
      <c r="C162" s="665">
        <v>6901.8423380799995</v>
      </c>
      <c r="D162" s="665">
        <v>5416.7508947899996</v>
      </c>
      <c r="E162" s="665">
        <v>2137.2468294</v>
      </c>
      <c r="F162" s="665">
        <v>47.384</v>
      </c>
      <c r="G162" s="665">
        <v>71.643761693584253</v>
      </c>
      <c r="H162" s="225"/>
      <c r="I162" s="225"/>
      <c r="J162" s="79"/>
      <c r="K162" s="79"/>
      <c r="L162" s="79"/>
      <c r="M162" s="79"/>
      <c r="N162" s="79"/>
    </row>
    <row r="163" spans="1:14" ht="16.5" customHeight="1">
      <c r="A163" s="40" t="s">
        <v>1852</v>
      </c>
      <c r="B163" s="500">
        <v>9232.7881355600002</v>
      </c>
      <c r="C163" s="500">
        <v>7860.4837056300003</v>
      </c>
      <c r="D163" s="500">
        <v>6960.7782469500007</v>
      </c>
      <c r="E163" s="500">
        <v>2258.6808959700002</v>
      </c>
      <c r="F163" s="500">
        <v>147.708</v>
      </c>
      <c r="G163" s="500">
        <v>75.391941683797839</v>
      </c>
      <c r="H163" s="225"/>
      <c r="I163" s="225"/>
      <c r="J163" s="79"/>
      <c r="K163" s="79"/>
      <c r="L163" s="79"/>
      <c r="M163" s="79"/>
      <c r="N163" s="79"/>
    </row>
    <row r="164" spans="1:14" ht="16.5" customHeight="1">
      <c r="A164" s="40" t="s">
        <v>18</v>
      </c>
      <c r="B164" s="665">
        <v>6681.8523943</v>
      </c>
      <c r="C164" s="665">
        <v>5786.8521675800002</v>
      </c>
      <c r="D164" s="665">
        <v>4954.6986693200006</v>
      </c>
      <c r="E164" s="665">
        <v>1721.07519989</v>
      </c>
      <c r="F164" s="665">
        <v>96.173000000000002</v>
      </c>
      <c r="G164" s="665">
        <v>74.151573200668722</v>
      </c>
      <c r="H164" s="225"/>
      <c r="I164" s="225"/>
      <c r="J164" s="79"/>
      <c r="K164" s="79"/>
      <c r="L164" s="79"/>
      <c r="M164" s="79"/>
      <c r="N164" s="79"/>
    </row>
    <row r="165" spans="1:14" ht="16.5" customHeight="1">
      <c r="A165" s="40" t="s">
        <v>19</v>
      </c>
      <c r="B165" s="665">
        <v>7318.4052416199993</v>
      </c>
      <c r="C165" s="665">
        <v>6388.5472950699987</v>
      </c>
      <c r="D165" s="665">
        <v>5499.0821602699989</v>
      </c>
      <c r="E165" s="665">
        <v>1808.3294815499999</v>
      </c>
      <c r="F165" s="665">
        <v>113.24299999999999</v>
      </c>
      <c r="G165" s="665">
        <v>75.140443562711539</v>
      </c>
      <c r="H165" s="225"/>
      <c r="I165" s="225"/>
      <c r="J165" s="79"/>
      <c r="K165" s="79"/>
      <c r="L165" s="79"/>
      <c r="M165" s="79"/>
      <c r="N165" s="79"/>
    </row>
    <row r="166" spans="1:14" ht="16.5" customHeight="1">
      <c r="A166" s="40" t="s">
        <v>20</v>
      </c>
      <c r="B166" s="665">
        <v>7401.9125061799996</v>
      </c>
      <c r="C166" s="665">
        <v>6535.8084241099996</v>
      </c>
      <c r="D166" s="665">
        <v>5613.5217606599999</v>
      </c>
      <c r="E166" s="665">
        <v>1782.0518773700001</v>
      </c>
      <c r="F166" s="665">
        <v>106.666</v>
      </c>
      <c r="G166" s="665">
        <v>75.838801876854973</v>
      </c>
      <c r="H166" s="225"/>
      <c r="I166" s="225"/>
      <c r="J166" s="79"/>
      <c r="K166" s="79"/>
      <c r="L166" s="79"/>
      <c r="M166" s="79"/>
      <c r="N166" s="79"/>
    </row>
    <row r="167" spans="1:14" ht="16.5" customHeight="1">
      <c r="A167" s="40" t="s">
        <v>21</v>
      </c>
      <c r="B167" s="665">
        <v>7472.7052993199995</v>
      </c>
      <c r="C167" s="665">
        <v>6726.0725825299996</v>
      </c>
      <c r="D167" s="665">
        <v>5834.5716874399996</v>
      </c>
      <c r="E167" s="665">
        <v>1630.6017532400001</v>
      </c>
      <c r="F167" s="665">
        <v>107.657</v>
      </c>
      <c r="G167" s="665">
        <v>78.078439517358362</v>
      </c>
      <c r="H167" s="225"/>
      <c r="I167" s="225"/>
      <c r="J167" s="79"/>
      <c r="K167" s="79"/>
      <c r="L167" s="79"/>
      <c r="M167" s="79"/>
      <c r="N167" s="79"/>
    </row>
    <row r="168" spans="1:14" ht="16.5" customHeight="1">
      <c r="A168" s="40" t="s">
        <v>22</v>
      </c>
      <c r="B168" s="665">
        <v>8343.5829335300004</v>
      </c>
      <c r="C168" s="665">
        <v>7641.6268355399998</v>
      </c>
      <c r="D168" s="665">
        <v>6244.3332581199993</v>
      </c>
      <c r="E168" s="665">
        <v>2077.6348501800003</v>
      </c>
      <c r="F168" s="665">
        <v>107.991</v>
      </c>
      <c r="G168" s="665">
        <v>74.839949550044793</v>
      </c>
      <c r="H168" s="225"/>
      <c r="I168" s="225"/>
      <c r="J168" s="79"/>
      <c r="K168" s="79"/>
      <c r="L168" s="79"/>
      <c r="M168" s="79"/>
      <c r="N168" s="79"/>
    </row>
    <row r="169" spans="1:14" ht="16.5" customHeight="1">
      <c r="A169" s="40" t="s">
        <v>23</v>
      </c>
      <c r="B169" s="665">
        <v>8337.9684701599999</v>
      </c>
      <c r="C169" s="665">
        <v>7689.3512139399991</v>
      </c>
      <c r="D169" s="665">
        <v>6306.9578185899991</v>
      </c>
      <c r="E169" s="665">
        <v>2013.95926156</v>
      </c>
      <c r="F169" s="665">
        <v>142.97900000000001</v>
      </c>
      <c r="G169" s="665">
        <v>75.641420822846698</v>
      </c>
      <c r="H169" s="225"/>
      <c r="I169" s="225"/>
      <c r="J169" s="79"/>
      <c r="K169" s="79"/>
      <c r="L169" s="79"/>
      <c r="M169" s="79"/>
      <c r="N169" s="79"/>
    </row>
    <row r="170" spans="1:14" ht="16.5" customHeight="1">
      <c r="A170" s="40" t="s">
        <v>24</v>
      </c>
      <c r="B170" s="665">
        <v>8623.2592612000008</v>
      </c>
      <c r="C170" s="665">
        <v>7638.1249938200008</v>
      </c>
      <c r="D170" s="665">
        <v>6442.4021686999995</v>
      </c>
      <c r="E170" s="665">
        <v>2170.0318542699997</v>
      </c>
      <c r="F170" s="665">
        <v>131.10400000000001</v>
      </c>
      <c r="G170" s="665">
        <v>74.709596146405133</v>
      </c>
      <c r="H170" s="225"/>
      <c r="I170" s="225"/>
      <c r="J170" s="79"/>
      <c r="K170" s="79"/>
      <c r="L170" s="79"/>
      <c r="M170" s="79"/>
      <c r="N170" s="79"/>
    </row>
    <row r="171" spans="1:14" ht="16.5" customHeight="1">
      <c r="A171" s="40" t="s">
        <v>25</v>
      </c>
      <c r="B171" s="665">
        <v>8477.8879030800017</v>
      </c>
      <c r="C171" s="665">
        <v>7412.1772067400007</v>
      </c>
      <c r="D171" s="665">
        <v>6326.0632323700002</v>
      </c>
      <c r="E171" s="665">
        <v>2137.3321767799998</v>
      </c>
      <c r="F171" s="665">
        <v>158.75299999999999</v>
      </c>
      <c r="G171" s="665">
        <v>74.618387323471836</v>
      </c>
      <c r="H171" s="225"/>
      <c r="I171" s="225"/>
      <c r="J171" s="79"/>
      <c r="K171" s="79"/>
      <c r="L171" s="79"/>
      <c r="M171" s="79"/>
      <c r="N171" s="79"/>
    </row>
    <row r="172" spans="1:14" ht="16.5" customHeight="1">
      <c r="A172" s="40" t="s">
        <v>26</v>
      </c>
      <c r="B172" s="665">
        <v>7985.9435525199997</v>
      </c>
      <c r="C172" s="665">
        <v>6810.3119202299995</v>
      </c>
      <c r="D172" s="665">
        <v>6194.0429283099993</v>
      </c>
      <c r="E172" s="665">
        <v>1776.30157564</v>
      </c>
      <c r="F172" s="665">
        <v>161.87100000000001</v>
      </c>
      <c r="G172" s="665">
        <v>77.561817054860626</v>
      </c>
      <c r="H172" s="181"/>
      <c r="I172" s="181"/>
      <c r="J172" s="181"/>
      <c r="K172" s="181"/>
      <c r="L172" s="181"/>
      <c r="M172" s="181"/>
      <c r="N172" s="181"/>
    </row>
    <row r="173" spans="1:14" ht="16.5" customHeight="1">
      <c r="A173" s="40" t="s">
        <v>27</v>
      </c>
      <c r="B173" s="665">
        <v>8792.8452389400009</v>
      </c>
      <c r="C173" s="665">
        <v>7448.9083649700005</v>
      </c>
      <c r="D173" s="665">
        <v>6290.8613980099999</v>
      </c>
      <c r="E173" s="665">
        <v>2483.9888501599999</v>
      </c>
      <c r="F173" s="665">
        <v>157.56700000000001</v>
      </c>
      <c r="G173" s="665">
        <v>71.545230548927293</v>
      </c>
      <c r="H173" s="181"/>
      <c r="I173" s="181"/>
      <c r="J173" s="181"/>
      <c r="K173" s="181"/>
      <c r="L173" s="181"/>
      <c r="M173" s="181"/>
      <c r="N173" s="181"/>
    </row>
    <row r="174" spans="1:14" ht="16.5" customHeight="1">
      <c r="A174" s="40" t="s">
        <v>28</v>
      </c>
      <c r="B174" s="665">
        <v>9055.768697380001</v>
      </c>
      <c r="C174" s="665">
        <v>7702.215091080001</v>
      </c>
      <c r="D174" s="665">
        <v>6332.203030820001</v>
      </c>
      <c r="E174" s="665">
        <v>2715.4917962</v>
      </c>
      <c r="F174" s="665">
        <v>146.97800000000001</v>
      </c>
      <c r="G174" s="665">
        <v>69.924522615645245</v>
      </c>
      <c r="H174" s="181"/>
      <c r="I174" s="181"/>
      <c r="J174" s="181"/>
      <c r="K174" s="181"/>
      <c r="L174" s="181"/>
      <c r="M174" s="181"/>
      <c r="N174" s="181"/>
    </row>
    <row r="175" spans="1:14" ht="16.5" customHeight="1">
      <c r="A175" s="40" t="s">
        <v>29</v>
      </c>
      <c r="B175" s="665">
        <v>9232.7881355600002</v>
      </c>
      <c r="C175" s="665">
        <v>7860.4837056300003</v>
      </c>
      <c r="D175" s="665">
        <v>6960.7782469500007</v>
      </c>
      <c r="E175" s="665">
        <v>2258.6808959700002</v>
      </c>
      <c r="F175" s="665">
        <v>147.708</v>
      </c>
      <c r="G175" s="665">
        <v>75.391941683797839</v>
      </c>
      <c r="H175" s="181"/>
      <c r="I175" s="181"/>
      <c r="J175" s="181"/>
      <c r="K175" s="181"/>
      <c r="L175" s="181"/>
      <c r="M175" s="181"/>
      <c r="N175" s="181"/>
    </row>
    <row r="176" spans="1:14" ht="16.5" customHeight="1">
      <c r="A176" s="40" t="s">
        <v>1915</v>
      </c>
      <c r="B176" s="500">
        <v>9872.6132871700011</v>
      </c>
      <c r="C176" s="500">
        <v>8543.2044720300019</v>
      </c>
      <c r="D176" s="500">
        <v>8140.2378426499999</v>
      </c>
      <c r="E176" s="500">
        <v>1695.8362965299998</v>
      </c>
      <c r="F176" s="500">
        <v>141.2157501867097</v>
      </c>
      <c r="G176" s="500">
        <v>82.452716478104975</v>
      </c>
      <c r="H176" s="181"/>
      <c r="I176" s="181"/>
      <c r="J176" s="181"/>
      <c r="K176" s="181"/>
      <c r="L176" s="181"/>
      <c r="M176" s="181"/>
      <c r="N176" s="181"/>
    </row>
    <row r="177" spans="1:14" ht="16.5" customHeight="1">
      <c r="A177" s="40" t="s">
        <v>18</v>
      </c>
      <c r="B177" s="665">
        <v>8731.8619273800032</v>
      </c>
      <c r="C177" s="665">
        <v>7331.6690958400013</v>
      </c>
      <c r="D177" s="665">
        <v>6541.0499213400008</v>
      </c>
      <c r="E177" s="665">
        <v>2174.3222042200005</v>
      </c>
      <c r="F177" s="665">
        <v>148.02500000000001</v>
      </c>
      <c r="G177" s="665">
        <v>74.910139163213316</v>
      </c>
      <c r="H177" s="181"/>
      <c r="I177" s="181"/>
      <c r="J177" s="181"/>
      <c r="K177" s="181"/>
      <c r="L177" s="181"/>
      <c r="M177" s="181"/>
      <c r="N177" s="181"/>
    </row>
    <row r="178" spans="1:14" ht="16.5" customHeight="1">
      <c r="A178" s="40" t="s">
        <v>19</v>
      </c>
      <c r="B178" s="665">
        <v>8336.4134713400017</v>
      </c>
      <c r="C178" s="665">
        <v>6986.960843580001</v>
      </c>
      <c r="D178" s="665">
        <v>6534.3201266200003</v>
      </c>
      <c r="E178" s="665">
        <v>1773.6741264200002</v>
      </c>
      <c r="F178" s="665">
        <v>148.86099999999999</v>
      </c>
      <c r="G178" s="665">
        <v>78.382869912637247</v>
      </c>
    </row>
    <row r="179" spans="1:14" ht="16.5" customHeight="1">
      <c r="A179" s="40" t="s">
        <v>20</v>
      </c>
      <c r="B179" s="665">
        <v>9557.3477016000015</v>
      </c>
      <c r="C179" s="665">
        <v>7277.5359397400016</v>
      </c>
      <c r="D179" s="665">
        <v>6661.8412195800011</v>
      </c>
      <c r="E179" s="665">
        <v>2860.2395714900003</v>
      </c>
      <c r="F179" s="665">
        <v>140.74600000000001</v>
      </c>
      <c r="G179" s="665">
        <v>69.703870023110468</v>
      </c>
    </row>
    <row r="180" spans="1:14" ht="16.5" customHeight="1">
      <c r="A180" s="40" t="s">
        <v>21</v>
      </c>
      <c r="B180" s="665">
        <v>10363.75818338</v>
      </c>
      <c r="C180" s="665">
        <v>7628.1178079899992</v>
      </c>
      <c r="D180" s="665">
        <v>6829.6581519900001</v>
      </c>
      <c r="E180" s="665">
        <v>3489.47142386</v>
      </c>
      <c r="F180" s="665">
        <v>138.239</v>
      </c>
      <c r="G180" s="665">
        <v>65.899435621167683</v>
      </c>
    </row>
    <row r="181" spans="1:14" ht="16.5" customHeight="1">
      <c r="A181" s="40" t="s">
        <v>22</v>
      </c>
      <c r="B181" s="665">
        <v>10088.03619836</v>
      </c>
      <c r="C181" s="665">
        <v>7788.6733876100006</v>
      </c>
      <c r="D181" s="665">
        <v>7056.81023448</v>
      </c>
      <c r="E181" s="665">
        <v>2983.8352472299998</v>
      </c>
      <c r="F181" s="665">
        <v>137.00684827213797</v>
      </c>
      <c r="G181" s="665">
        <v>69.95226916044588</v>
      </c>
    </row>
    <row r="182" spans="1:14" ht="16.5" customHeight="1">
      <c r="A182" s="40" t="s">
        <v>23</v>
      </c>
      <c r="B182" s="665">
        <v>10525.852064319999</v>
      </c>
      <c r="C182" s="665">
        <v>8274.47549703</v>
      </c>
      <c r="D182" s="665">
        <v>7353.0761847999993</v>
      </c>
      <c r="E182" s="665">
        <v>3139.8698383400001</v>
      </c>
      <c r="F182" s="665">
        <v>138.15100000000001</v>
      </c>
      <c r="G182" s="665">
        <v>69.857301241436645</v>
      </c>
    </row>
    <row r="183" spans="1:14" ht="16.5" customHeight="1">
      <c r="A183" s="40" t="s">
        <v>24</v>
      </c>
      <c r="B183" s="665">
        <v>10718.18429874</v>
      </c>
      <c r="C183" s="665">
        <v>8332.8540120800008</v>
      </c>
      <c r="D183" s="665">
        <v>7479.6131373600001</v>
      </c>
      <c r="E183" s="665">
        <v>3211.5021038199998</v>
      </c>
      <c r="F183" s="665">
        <v>142.83823538386901</v>
      </c>
      <c r="G183" s="665">
        <v>69.7843303388549</v>
      </c>
    </row>
    <row r="184" spans="1:14" ht="16.5" customHeight="1">
      <c r="A184" s="40" t="s">
        <v>25</v>
      </c>
      <c r="B184" s="665">
        <v>10660.60308101</v>
      </c>
      <c r="C184" s="665">
        <v>8468.4398282700004</v>
      </c>
      <c r="D184" s="665">
        <v>7592.91862124</v>
      </c>
      <c r="E184" s="665">
        <v>3028.5269764900004</v>
      </c>
      <c r="F184" s="665">
        <v>140.70274900000001</v>
      </c>
      <c r="G184" s="665">
        <v>71.224100208415564</v>
      </c>
    </row>
    <row r="185" spans="1:14" ht="16.5" customHeight="1">
      <c r="A185" s="40" t="s">
        <v>26</v>
      </c>
      <c r="B185" s="665">
        <v>10032.272046389999</v>
      </c>
      <c r="C185" s="665">
        <v>8671.2016743799995</v>
      </c>
      <c r="D185" s="665">
        <v>7707.8299925699994</v>
      </c>
      <c r="E185" s="665">
        <v>2280.6612982499996</v>
      </c>
      <c r="F185" s="665">
        <v>141.25235585309144</v>
      </c>
      <c r="G185" s="665">
        <v>76.830352655195156</v>
      </c>
    </row>
    <row r="186" spans="1:14" ht="16.5" customHeight="1">
      <c r="A186" s="40" t="s">
        <v>27</v>
      </c>
      <c r="B186" s="665">
        <v>9829.0430620700008</v>
      </c>
      <c r="C186" s="665">
        <v>8531.6469131100021</v>
      </c>
      <c r="D186" s="665">
        <v>7674.4135468400009</v>
      </c>
      <c r="E186" s="665">
        <v>2105.2069556199999</v>
      </c>
      <c r="F186" s="665">
        <v>140.15816288294369</v>
      </c>
      <c r="G186" s="665">
        <v>78.078949276917371</v>
      </c>
    </row>
    <row r="187" spans="1:14" ht="16.5" customHeight="1">
      <c r="A187" s="40" t="s">
        <v>28</v>
      </c>
      <c r="B187" s="665">
        <v>10001.93815468</v>
      </c>
      <c r="C187" s="665">
        <v>8686.8413463500001</v>
      </c>
      <c r="D187" s="665">
        <v>7759.3969475900003</v>
      </c>
      <c r="E187" s="665">
        <v>2185.5135100500001</v>
      </c>
      <c r="F187" s="665">
        <v>140.7947161531005</v>
      </c>
      <c r="G187" s="665">
        <v>77.578933478600902</v>
      </c>
    </row>
    <row r="188" spans="1:14" ht="16.5" customHeight="1">
      <c r="A188" s="40">
        <v>12</v>
      </c>
      <c r="B188" s="665">
        <v>9872.6132871700011</v>
      </c>
      <c r="C188" s="665">
        <v>8543.2044720300019</v>
      </c>
      <c r="D188" s="665">
        <v>8140.2378426499999</v>
      </c>
      <c r="E188" s="665">
        <v>1695.8362965299998</v>
      </c>
      <c r="F188" s="665">
        <v>141.2157501867097</v>
      </c>
      <c r="G188" s="665">
        <v>82.452716478104975</v>
      </c>
    </row>
    <row r="189" spans="1:14" ht="16.5" customHeight="1">
      <c r="A189" s="40" t="s">
        <v>2051</v>
      </c>
      <c r="B189" s="500">
        <v>10643.679051069999</v>
      </c>
      <c r="C189" s="500">
        <v>9545.7262990999989</v>
      </c>
      <c r="D189" s="500">
        <v>8364.1285379000001</v>
      </c>
      <c r="E189" s="500">
        <v>2243.7929073199989</v>
      </c>
      <c r="F189" s="500">
        <v>163.017611837608</v>
      </c>
      <c r="G189" s="500">
        <v>78.583058524854351</v>
      </c>
    </row>
    <row r="190" spans="1:14" ht="16.5" customHeight="1">
      <c r="A190" s="40" t="s">
        <v>18</v>
      </c>
      <c r="B190" s="665">
        <v>9829.3884574200001</v>
      </c>
      <c r="C190" s="665">
        <v>8761.5609664799995</v>
      </c>
      <c r="D190" s="665">
        <v>7956.3312852000008</v>
      </c>
      <c r="E190" s="665">
        <v>1818.9565012399999</v>
      </c>
      <c r="F190" s="665">
        <v>140.46836647361417</v>
      </c>
      <c r="G190" s="665">
        <v>80.94431631902728</v>
      </c>
    </row>
    <row r="191" spans="1:14" ht="16.5" customHeight="1">
      <c r="A191" s="40" t="s">
        <v>19</v>
      </c>
      <c r="B191" s="665">
        <v>10248.502778329999</v>
      </c>
      <c r="C191" s="665">
        <v>9180.5560188300005</v>
      </c>
      <c r="D191" s="665">
        <v>7929.4931649499995</v>
      </c>
      <c r="E191" s="665">
        <v>2246.3193468099998</v>
      </c>
      <c r="F191" s="665">
        <v>153.68657266541052</v>
      </c>
      <c r="G191" s="665">
        <v>77.372210716638122</v>
      </c>
    </row>
    <row r="192" spans="1:14" ht="16.5" customHeight="1">
      <c r="A192" s="40" t="s">
        <v>20</v>
      </c>
      <c r="B192" s="665">
        <v>10782.977859649998</v>
      </c>
      <c r="C192" s="665">
        <v>9471.0484987299988</v>
      </c>
      <c r="D192" s="665">
        <v>8110.534068599999</v>
      </c>
      <c r="E192" s="665">
        <v>2619.45378919</v>
      </c>
      <c r="F192" s="665">
        <v>154.49193097762225</v>
      </c>
      <c r="G192" s="665">
        <v>75.216087561022377</v>
      </c>
    </row>
    <row r="193" spans="1:7" ht="16.5" customHeight="1">
      <c r="A193" s="40" t="s">
        <v>21</v>
      </c>
      <c r="B193" s="665">
        <v>9684.2921908099997</v>
      </c>
      <c r="C193" s="665">
        <v>8412.9733237500004</v>
      </c>
      <c r="D193" s="665">
        <v>7551.3492722800002</v>
      </c>
      <c r="E193" s="665">
        <v>2104.8133344799999</v>
      </c>
      <c r="F193" s="665">
        <v>149.76033902622069</v>
      </c>
      <c r="G193" s="665">
        <v>77.975231679253994</v>
      </c>
    </row>
    <row r="194" spans="1:7" ht="16.5" customHeight="1">
      <c r="A194" s="40" t="s">
        <v>22</v>
      </c>
      <c r="B194" s="665">
        <v>9731.5376101399997</v>
      </c>
      <c r="C194" s="665">
        <v>8404.4068456700006</v>
      </c>
      <c r="D194" s="665">
        <v>7678.6819718500001</v>
      </c>
      <c r="E194" s="665">
        <v>2035.3780335399999</v>
      </c>
      <c r="F194" s="665">
        <v>147.73451496350054</v>
      </c>
      <c r="G194" s="665">
        <v>78.905125576959406</v>
      </c>
    </row>
    <row r="195" spans="1:7" ht="16.5" customHeight="1">
      <c r="A195" s="40" t="s">
        <v>23</v>
      </c>
      <c r="B195" s="665">
        <v>9674.4502738600004</v>
      </c>
      <c r="C195" s="665">
        <v>8588.03503705</v>
      </c>
      <c r="D195" s="665">
        <v>7814.48978317</v>
      </c>
      <c r="E195" s="665">
        <v>1842.0459014399999</v>
      </c>
      <c r="F195" s="665">
        <v>159.41554756833455</v>
      </c>
      <c r="G195" s="665">
        <v>80.774509785682156</v>
      </c>
    </row>
    <row r="196" spans="1:7" ht="16.5" customHeight="1">
      <c r="A196" s="40" t="s">
        <v>24</v>
      </c>
      <c r="B196" s="665">
        <v>10079.05528153</v>
      </c>
      <c r="C196" s="665">
        <v>8888.8569364699997</v>
      </c>
      <c r="D196" s="665">
        <v>7987.6448758400002</v>
      </c>
      <c r="E196" s="665">
        <v>2061.8677719799998</v>
      </c>
      <c r="F196" s="665">
        <v>149.44588546282597</v>
      </c>
      <c r="G196" s="665">
        <v>79.249936156987488</v>
      </c>
    </row>
    <row r="197" spans="1:7" ht="16.5" customHeight="1">
      <c r="A197" s="40" t="s">
        <v>25</v>
      </c>
      <c r="B197" s="665">
        <v>9329.3632530899995</v>
      </c>
      <c r="C197" s="665">
        <v>8318.2212724799992</v>
      </c>
      <c r="D197" s="665">
        <v>7509.5632074200003</v>
      </c>
      <c r="E197" s="665">
        <v>1789.4469795599998</v>
      </c>
      <c r="F197" s="665">
        <v>150.80149693818748</v>
      </c>
      <c r="G197" s="665">
        <v>80.493845117808448</v>
      </c>
    </row>
    <row r="198" spans="1:7" ht="16.5" customHeight="1">
      <c r="A198" s="40" t="s">
        <v>26</v>
      </c>
      <c r="B198" s="665">
        <v>9754.0301530100005</v>
      </c>
      <c r="C198" s="665">
        <v>8871.45735565</v>
      </c>
      <c r="D198" s="665">
        <v>7527.0656247799998</v>
      </c>
      <c r="E198" s="665">
        <v>2185.9205062000001</v>
      </c>
      <c r="F198" s="665">
        <v>152.61537979909329</v>
      </c>
      <c r="G198" s="665">
        <v>77.168775436450943</v>
      </c>
    </row>
    <row r="199" spans="1:7" ht="16.5" customHeight="1">
      <c r="A199" s="40" t="s">
        <v>27</v>
      </c>
      <c r="B199" s="665">
        <v>10059.50504419</v>
      </c>
      <c r="C199" s="665">
        <v>9153.3159421199998</v>
      </c>
      <c r="D199" s="665">
        <v>7758.5337813200003</v>
      </c>
      <c r="E199" s="665">
        <v>2267.9817767200002</v>
      </c>
      <c r="F199" s="665">
        <v>154.84192493417629</v>
      </c>
      <c r="G199" s="665">
        <v>77.126396847934814</v>
      </c>
    </row>
    <row r="200" spans="1:7" ht="16.5" customHeight="1">
      <c r="A200" s="40" t="s">
        <v>28</v>
      </c>
      <c r="B200" s="665">
        <v>9716.6719579600012</v>
      </c>
      <c r="C200" s="665">
        <v>8985.1594870900008</v>
      </c>
      <c r="D200" s="665">
        <v>7934.6306639300001</v>
      </c>
      <c r="E200" s="665">
        <v>1750.8256915300001</v>
      </c>
      <c r="F200" s="665">
        <v>159.31187833541691</v>
      </c>
      <c r="G200" s="665">
        <v>81.659962364272943</v>
      </c>
    </row>
    <row r="201" spans="1:7" ht="16.5" customHeight="1">
      <c r="A201" s="40" t="s">
        <v>29</v>
      </c>
      <c r="B201" s="665">
        <v>10643.679051069999</v>
      </c>
      <c r="C201" s="665">
        <v>9545.7262990999989</v>
      </c>
      <c r="D201" s="665">
        <v>8364.1285379000001</v>
      </c>
      <c r="E201" s="665">
        <v>2243.7929073199989</v>
      </c>
      <c r="F201" s="665">
        <v>163.017611837608</v>
      </c>
      <c r="G201" s="665">
        <v>78.583058524854351</v>
      </c>
    </row>
    <row r="202" spans="1:7" ht="16.5" customHeight="1">
      <c r="A202" s="40" t="s">
        <v>2144</v>
      </c>
      <c r="B202" s="500">
        <v>13125.27651143</v>
      </c>
      <c r="C202" s="500">
        <v>12152.50801965</v>
      </c>
      <c r="D202" s="500">
        <v>10405.51348281</v>
      </c>
      <c r="E202" s="500">
        <v>2708.6334206199999</v>
      </c>
      <c r="F202" s="500">
        <v>165.4383144547688</v>
      </c>
      <c r="G202" s="500">
        <v>79.27843252481938</v>
      </c>
    </row>
    <row r="203" spans="1:7" ht="16.5" customHeight="1">
      <c r="A203" s="40" t="s">
        <v>18</v>
      </c>
      <c r="B203" s="665">
        <v>9356.9150563700023</v>
      </c>
      <c r="C203" s="665">
        <v>8709.2276391800006</v>
      </c>
      <c r="D203" s="665">
        <v>7911.3744766899999</v>
      </c>
      <c r="E203" s="665">
        <v>1413.0709157000001</v>
      </c>
      <c r="F203" s="665">
        <v>159.6117144008999</v>
      </c>
      <c r="G203" s="665">
        <v>84.551098615607216</v>
      </c>
    </row>
    <row r="204" spans="1:7" ht="16.5" customHeight="1">
      <c r="A204" s="40" t="s">
        <v>19</v>
      </c>
      <c r="B204" s="665">
        <v>9776.3184573999988</v>
      </c>
      <c r="C204" s="665">
        <v>9014.1419027799984</v>
      </c>
      <c r="D204" s="665">
        <v>7959.1588936999997</v>
      </c>
      <c r="E204" s="665">
        <v>1786.8729093299999</v>
      </c>
      <c r="F204" s="665">
        <v>161.61597564477981</v>
      </c>
      <c r="G204" s="665">
        <v>81.412639414129004</v>
      </c>
    </row>
    <row r="205" spans="1:7" ht="16.5" customHeight="1">
      <c r="A205" s="40" t="s">
        <v>20</v>
      </c>
      <c r="B205" s="665">
        <v>9734.8745247399984</v>
      </c>
      <c r="C205" s="665">
        <v>8946.2544290799979</v>
      </c>
      <c r="D205" s="665">
        <v>8219.8755523500004</v>
      </c>
      <c r="E205" s="665">
        <v>1499.6320815899999</v>
      </c>
      <c r="F205" s="665">
        <v>163.33456210392248</v>
      </c>
      <c r="G205" s="665">
        <v>84.43740627021117</v>
      </c>
    </row>
    <row r="206" spans="1:7" ht="16.5" customHeight="1">
      <c r="A206" s="40" t="s">
        <v>21</v>
      </c>
      <c r="B206" s="665">
        <v>10012.380729480003</v>
      </c>
      <c r="C206" s="665">
        <v>9495.0742352800025</v>
      </c>
      <c r="D206" s="665">
        <v>8458.1571194600019</v>
      </c>
      <c r="E206" s="665">
        <v>1535.01309066</v>
      </c>
      <c r="F206" s="665">
        <v>165.86800707884674</v>
      </c>
      <c r="G206" s="665">
        <v>84.476982527803656</v>
      </c>
    </row>
    <row r="207" spans="1:7" ht="16.5" customHeight="1">
      <c r="A207" s="40" t="s">
        <v>22</v>
      </c>
      <c r="B207" s="665">
        <v>11095.957607389997</v>
      </c>
      <c r="C207" s="665">
        <v>10172.390385009998</v>
      </c>
      <c r="D207" s="665">
        <v>8845.1120775999989</v>
      </c>
      <c r="E207" s="665">
        <v>2231.4921068499998</v>
      </c>
      <c r="F207" s="665">
        <v>158.2584940534247</v>
      </c>
      <c r="G207" s="665">
        <v>79.714724862584944</v>
      </c>
    </row>
    <row r="208" spans="1:7" ht="16.5" customHeight="1">
      <c r="A208" s="40" t="s">
        <v>23</v>
      </c>
      <c r="B208" s="665">
        <v>11255.612272279999</v>
      </c>
      <c r="C208" s="665">
        <v>10376.906186889999</v>
      </c>
      <c r="D208" s="665">
        <v>9173.2529824800004</v>
      </c>
      <c r="E208" s="665">
        <v>2064.13566107</v>
      </c>
      <c r="F208" s="665">
        <v>156.65462258831155</v>
      </c>
      <c r="G208" s="665">
        <v>81.499369030964445</v>
      </c>
    </row>
    <row r="209" spans="1:10" ht="16.5" customHeight="1">
      <c r="A209" s="40" t="s">
        <v>24</v>
      </c>
      <c r="B209" s="665">
        <v>11668.047325330002</v>
      </c>
      <c r="C209" s="665">
        <v>10574.283058750001</v>
      </c>
      <c r="D209" s="665">
        <v>9310.1083104600002</v>
      </c>
      <c r="E209" s="665">
        <v>2303.5408484300001</v>
      </c>
      <c r="F209" s="665">
        <v>157.57632796849248</v>
      </c>
      <c r="G209" s="665">
        <v>79.791485677717603</v>
      </c>
    </row>
    <row r="210" spans="1:10" ht="16.5" customHeight="1">
      <c r="A210" s="40" t="s">
        <v>25</v>
      </c>
      <c r="B210" s="665">
        <v>11416.972533090004</v>
      </c>
      <c r="C210" s="665">
        <v>10157.646670730002</v>
      </c>
      <c r="D210" s="665">
        <v>9288.3708442200004</v>
      </c>
      <c r="E210" s="665">
        <v>2106.5311865100002</v>
      </c>
      <c r="F210" s="665">
        <v>157.78640039095245</v>
      </c>
      <c r="G210" s="665">
        <v>81.35581317463415</v>
      </c>
      <c r="I210" s="79"/>
    </row>
    <row r="211" spans="1:10" ht="16.5" customHeight="1">
      <c r="A211" s="40" t="s">
        <v>26</v>
      </c>
      <c r="B211" s="665">
        <v>11498.2638658</v>
      </c>
      <c r="C211" s="665">
        <v>10217.26660046</v>
      </c>
      <c r="D211" s="665">
        <v>9352.5613155999999</v>
      </c>
      <c r="E211" s="665">
        <v>2132.1918944399999</v>
      </c>
      <c r="F211" s="665">
        <v>159.77926480621088</v>
      </c>
      <c r="G211" s="665">
        <v>81.338899722225932</v>
      </c>
      <c r="I211" s="79"/>
    </row>
    <row r="212" spans="1:10" ht="16.5" customHeight="1">
      <c r="A212" s="40" t="s">
        <v>27</v>
      </c>
      <c r="B212" s="665">
        <v>11427.484053389999</v>
      </c>
      <c r="C212" s="665">
        <v>10298.833747049997</v>
      </c>
      <c r="D212" s="665">
        <v>9437.2516326299992</v>
      </c>
      <c r="E212" s="665">
        <v>1973.9158790399997</v>
      </c>
      <c r="F212" s="665">
        <v>163.27522512867449</v>
      </c>
      <c r="G212" s="665">
        <v>82.583809249161973</v>
      </c>
      <c r="I212" s="79"/>
    </row>
    <row r="213" spans="1:10" ht="16.5" customHeight="1">
      <c r="A213" s="40" t="s">
        <v>28</v>
      </c>
      <c r="B213" s="665">
        <v>11622.7870291</v>
      </c>
      <c r="C213" s="665">
        <v>10674.527353169999</v>
      </c>
      <c r="D213" s="665">
        <v>9614.2540054299989</v>
      </c>
      <c r="E213" s="665">
        <v>1993.04973537</v>
      </c>
      <c r="F213" s="665">
        <v>166.58173254854398</v>
      </c>
      <c r="G213" s="665">
        <v>82.719006907368836</v>
      </c>
      <c r="I213" s="79"/>
    </row>
    <row r="214" spans="1:10" ht="16.5" customHeight="1">
      <c r="A214" s="40">
        <v>12</v>
      </c>
      <c r="B214" s="665">
        <v>13125.27651143</v>
      </c>
      <c r="C214" s="665">
        <v>12152.50801965</v>
      </c>
      <c r="D214" s="665">
        <v>10405.51348281</v>
      </c>
      <c r="E214" s="665">
        <v>2708.6334206199999</v>
      </c>
      <c r="F214" s="665">
        <v>165.4383144547688</v>
      </c>
      <c r="G214" s="665">
        <v>79.27843252481938</v>
      </c>
    </row>
    <row r="215" spans="1:10" ht="16.5" customHeight="1">
      <c r="A215" s="40" t="s">
        <v>2375</v>
      </c>
      <c r="B215" s="500">
        <v>15052.883723020001</v>
      </c>
      <c r="C215" s="500">
        <v>13564.16827113</v>
      </c>
      <c r="D215" s="500">
        <v>11839.66407006</v>
      </c>
      <c r="E215" s="500">
        <v>3204.1532509600002</v>
      </c>
      <c r="F215" s="500">
        <v>149.52766110788184</v>
      </c>
      <c r="G215" s="500">
        <v>78.653793438621307</v>
      </c>
    </row>
    <row r="216" spans="1:10" ht="16.5" customHeight="1">
      <c r="A216" s="40" t="s">
        <v>18</v>
      </c>
      <c r="B216" s="665">
        <v>12602.824915190002</v>
      </c>
      <c r="C216" s="665">
        <v>11543.405625900001</v>
      </c>
      <c r="D216" s="665">
        <v>10040.935631120001</v>
      </c>
      <c r="E216" s="665">
        <v>2549.6886860999998</v>
      </c>
      <c r="F216" s="665">
        <v>164.7211627116138</v>
      </c>
      <c r="G216" s="665">
        <v>79.67210287129997</v>
      </c>
    </row>
    <row r="217" spans="1:10" ht="16.5" customHeight="1">
      <c r="A217" s="40" t="s">
        <v>19</v>
      </c>
      <c r="B217" s="665">
        <v>13348.45337465</v>
      </c>
      <c r="C217" s="665">
        <v>12112.34670455</v>
      </c>
      <c r="D217" s="665">
        <v>10367.48460813</v>
      </c>
      <c r="E217" s="665">
        <v>2968.1072119600003</v>
      </c>
      <c r="F217" s="665">
        <v>174.09087354200835</v>
      </c>
      <c r="G217" s="665">
        <v>77.668058741688029</v>
      </c>
    </row>
    <row r="218" spans="1:10" ht="16.5" customHeight="1">
      <c r="A218" s="40" t="s">
        <v>20</v>
      </c>
      <c r="B218" s="665">
        <v>11360.740389489998</v>
      </c>
      <c r="C218" s="665">
        <v>10066.898366729998</v>
      </c>
      <c r="D218" s="665">
        <v>9463.6018108600001</v>
      </c>
      <c r="E218" s="665">
        <v>1887.2892455899998</v>
      </c>
      <c r="F218" s="665">
        <v>173.64494497250675</v>
      </c>
      <c r="G218" s="665">
        <v>83.300924820136984</v>
      </c>
    </row>
    <row r="219" spans="1:10" ht="16.5" customHeight="1">
      <c r="A219" s="40" t="s">
        <v>21</v>
      </c>
      <c r="B219" s="665">
        <v>11773.892088780001</v>
      </c>
      <c r="C219" s="665">
        <v>10065.709438690001</v>
      </c>
      <c r="D219" s="665">
        <v>9473.3341701200006</v>
      </c>
      <c r="E219" s="665">
        <v>2290.3877324099999</v>
      </c>
      <c r="F219" s="665">
        <v>169.5350255895755</v>
      </c>
      <c r="G219" s="665">
        <v>80.460514659784167</v>
      </c>
      <c r="J219" s="419"/>
    </row>
    <row r="220" spans="1:10" ht="16.5" customHeight="1">
      <c r="A220" s="40" t="s">
        <v>22</v>
      </c>
      <c r="B220" s="665">
        <v>12480.829736399999</v>
      </c>
      <c r="C220" s="665">
        <v>10921.206972239999</v>
      </c>
      <c r="D220" s="665">
        <v>9940.6719927200011</v>
      </c>
      <c r="E220" s="665">
        <v>2531.1583994600001</v>
      </c>
      <c r="F220" s="665">
        <v>162.5292504852622</v>
      </c>
      <c r="G220" s="665">
        <v>79.64752506580794</v>
      </c>
      <c r="J220" s="419"/>
    </row>
    <row r="221" spans="1:10" ht="16.5" customHeight="1">
      <c r="A221" s="40" t="s">
        <v>23</v>
      </c>
      <c r="B221" s="665">
        <v>12754.724676150001</v>
      </c>
      <c r="C221" s="665">
        <v>11251.77431065</v>
      </c>
      <c r="D221" s="665">
        <v>10052.3843689</v>
      </c>
      <c r="E221" s="665">
        <v>2692.28600525</v>
      </c>
      <c r="F221" s="665">
        <v>156.68651731872654</v>
      </c>
      <c r="G221" s="665">
        <v>78.813025166250014</v>
      </c>
      <c r="J221" s="419"/>
    </row>
    <row r="222" spans="1:10" ht="16.5" customHeight="1">
      <c r="A222" s="40" t="s">
        <v>24</v>
      </c>
      <c r="B222" s="665">
        <v>12771.147726130002</v>
      </c>
      <c r="C222" s="665">
        <v>11676.935499960002</v>
      </c>
      <c r="D222" s="665">
        <v>10609.281695860001</v>
      </c>
      <c r="E222" s="665">
        <v>2151.6520358400003</v>
      </c>
      <c r="F222" s="665">
        <v>153.58201855584841</v>
      </c>
      <c r="G222" s="665">
        <v>83.072265103888938</v>
      </c>
      <c r="J222" s="419"/>
    </row>
    <row r="223" spans="1:10" ht="16.5" customHeight="1">
      <c r="A223" s="40" t="s">
        <v>25</v>
      </c>
      <c r="B223" s="665">
        <v>13012.733262090003</v>
      </c>
      <c r="C223" s="665">
        <v>11907.489257140003</v>
      </c>
      <c r="D223" s="665">
        <v>10641.862170380002</v>
      </c>
      <c r="E223" s="665">
        <v>2359.4649310699997</v>
      </c>
      <c r="F223" s="665">
        <v>152.66862463508733</v>
      </c>
      <c r="G223" s="665">
        <v>81.780375852188868</v>
      </c>
    </row>
    <row r="224" spans="1:10" ht="16.5" customHeight="1">
      <c r="A224" s="40" t="s">
        <v>26</v>
      </c>
      <c r="B224" s="665">
        <v>13233.603302260002</v>
      </c>
      <c r="C224" s="665">
        <v>12230.095657750002</v>
      </c>
      <c r="D224" s="665">
        <v>10612.487131270002</v>
      </c>
      <c r="E224" s="665">
        <v>2614.22845917</v>
      </c>
      <c r="F224" s="665">
        <v>153.23695998721689</v>
      </c>
      <c r="G224" s="665">
        <v>80.193480859877582</v>
      </c>
    </row>
    <row r="225" spans="1:7" ht="16.5" customHeight="1">
      <c r="A225" s="40" t="s">
        <v>27</v>
      </c>
      <c r="B225" s="665">
        <v>13477.575708620003</v>
      </c>
      <c r="C225" s="665">
        <v>12103.611000920002</v>
      </c>
      <c r="D225" s="665">
        <v>10783.850074320002</v>
      </c>
      <c r="E225" s="665">
        <v>2687.0647423400001</v>
      </c>
      <c r="F225" s="665">
        <v>149.07101182211034</v>
      </c>
      <c r="G225" s="665">
        <v>80.013277665528946</v>
      </c>
    </row>
    <row r="226" spans="1:7" ht="16.5" customHeight="1">
      <c r="A226" s="40" t="s">
        <v>28</v>
      </c>
      <c r="B226" s="665">
        <v>13241.241082749999</v>
      </c>
      <c r="C226" s="665">
        <v>11803.62807689</v>
      </c>
      <c r="D226" s="665">
        <v>10971.98495951</v>
      </c>
      <c r="E226" s="665">
        <v>2262.7301307999996</v>
      </c>
      <c r="F226" s="665">
        <v>148.60350487718406</v>
      </c>
      <c r="G226" s="665">
        <v>82.862209750139911</v>
      </c>
    </row>
    <row r="227" spans="1:7" ht="16.5" customHeight="1">
      <c r="A227" s="40" t="s">
        <v>29</v>
      </c>
      <c r="B227" s="665">
        <v>15052.883723020001</v>
      </c>
      <c r="C227" s="665">
        <v>13564.16827113</v>
      </c>
      <c r="D227" s="665">
        <v>11839.66407006</v>
      </c>
      <c r="E227" s="665">
        <v>3204.1532509600002</v>
      </c>
      <c r="F227" s="665">
        <v>149.52766110788184</v>
      </c>
      <c r="G227" s="665">
        <v>78.653793438621307</v>
      </c>
    </row>
    <row r="228" spans="1:7" ht="16.5" customHeight="1">
      <c r="A228" s="40" t="s">
        <v>2537</v>
      </c>
      <c r="B228" s="500">
        <v>19761.4066164</v>
      </c>
      <c r="C228" s="500">
        <v>17937.554502260002</v>
      </c>
      <c r="D228" s="500">
        <v>12310.017773940001</v>
      </c>
      <c r="E228" s="500">
        <v>7439.9792620400003</v>
      </c>
      <c r="F228" s="500">
        <v>173.39153088557433</v>
      </c>
      <c r="G228" s="500">
        <v>62.293226453444419</v>
      </c>
    </row>
    <row r="229" spans="1:7" ht="16.5" customHeight="1">
      <c r="A229" s="40" t="s">
        <v>18</v>
      </c>
      <c r="B229" s="665">
        <v>14109.267730200003</v>
      </c>
      <c r="C229" s="665">
        <v>12782.042175830002</v>
      </c>
      <c r="D229" s="665">
        <v>11314.13291088</v>
      </c>
      <c r="E229" s="665">
        <v>2787.8754556599997</v>
      </c>
      <c r="F229" s="665">
        <v>152.9551540279295</v>
      </c>
      <c r="G229" s="665">
        <v>80.189370045497171</v>
      </c>
    </row>
    <row r="230" spans="1:7" ht="16.5" customHeight="1">
      <c r="A230" s="40" t="s">
        <v>19</v>
      </c>
      <c r="B230" s="665">
        <v>14148.474008169998</v>
      </c>
      <c r="C230" s="665">
        <v>12862.995351079999</v>
      </c>
      <c r="D230" s="665">
        <v>11438.49952788</v>
      </c>
      <c r="E230" s="665">
        <v>2702.3212306199998</v>
      </c>
      <c r="F230" s="665">
        <v>156.20408505218728</v>
      </c>
      <c r="G230" s="665">
        <v>80.84617126394599</v>
      </c>
    </row>
    <row r="231" spans="1:7" ht="16.5" customHeight="1">
      <c r="A231" s="40" t="s">
        <v>20</v>
      </c>
      <c r="B231" s="665">
        <v>14820.991516580003</v>
      </c>
      <c r="C231" s="665">
        <v>13314.967326430002</v>
      </c>
      <c r="D231" s="665">
        <v>11830.953342660001</v>
      </c>
      <c r="E231" s="665">
        <v>2982.0545731999996</v>
      </c>
      <c r="F231" s="665">
        <v>156.96800918120084</v>
      </c>
      <c r="G231" s="665">
        <v>79.825653563224208</v>
      </c>
    </row>
    <row r="232" spans="1:7" ht="16.5" customHeight="1">
      <c r="A232" s="40" t="s">
        <v>21</v>
      </c>
      <c r="B232" s="665">
        <v>14692.819125990001</v>
      </c>
      <c r="C232" s="665">
        <v>13281.584169410002</v>
      </c>
      <c r="D232" s="665">
        <v>11514.10853698</v>
      </c>
      <c r="E232" s="665">
        <v>3170.9302331899999</v>
      </c>
      <c r="F232" s="665">
        <v>159.82384179160266</v>
      </c>
      <c r="G232" s="665">
        <v>78.365550125181855</v>
      </c>
    </row>
    <row r="233" spans="1:7" ht="16.5" customHeight="1">
      <c r="A233" s="40" t="s">
        <v>22</v>
      </c>
      <c r="B233" s="665">
        <v>15189.946663819999</v>
      </c>
      <c r="C233" s="665">
        <v>13856.76540126</v>
      </c>
      <c r="D233" s="665">
        <v>11635.154521029999</v>
      </c>
      <c r="E233" s="665">
        <v>3544.6463539799997</v>
      </c>
      <c r="F233" s="665">
        <v>161.19940037686155</v>
      </c>
      <c r="G233" s="665">
        <v>76.597731239853914</v>
      </c>
    </row>
    <row r="234" spans="1:7" ht="16.5" customHeight="1">
      <c r="A234" s="40" t="s">
        <v>23</v>
      </c>
      <c r="B234" s="665">
        <v>15181.921383729999</v>
      </c>
      <c r="C234" s="665">
        <v>13802.977317270001</v>
      </c>
      <c r="D234" s="665">
        <v>11741.455830019999</v>
      </c>
      <c r="E234" s="665">
        <v>3431.8950112000002</v>
      </c>
      <c r="F234" s="665">
        <v>163.20072939339002</v>
      </c>
      <c r="G234" s="665">
        <v>77.338404891247549</v>
      </c>
    </row>
    <row r="235" spans="1:7" ht="16.5" customHeight="1">
      <c r="A235" s="40" t="s">
        <v>24</v>
      </c>
      <c r="B235" s="665">
        <v>15643.82057193</v>
      </c>
      <c r="C235" s="665">
        <v>14213.38429102</v>
      </c>
      <c r="D235" s="665">
        <v>12077.340058829999</v>
      </c>
      <c r="E235" s="665">
        <v>3557.9547095999997</v>
      </c>
      <c r="F235" s="665">
        <v>158.94110958244659</v>
      </c>
      <c r="G235" s="665">
        <v>77.20198530338935</v>
      </c>
    </row>
    <row r="236" spans="1:7" ht="16.5" customHeight="1">
      <c r="A236" s="40" t="s">
        <v>25</v>
      </c>
      <c r="B236" s="665">
        <v>15460.227133350001</v>
      </c>
      <c r="C236" s="665">
        <v>14172.33178405</v>
      </c>
      <c r="D236" s="665">
        <v>11981.43251855</v>
      </c>
      <c r="E236" s="665">
        <v>3469.5785761099996</v>
      </c>
      <c r="F236" s="665">
        <v>161.10042285753255</v>
      </c>
      <c r="G236" s="665">
        <v>77.498424927433788</v>
      </c>
    </row>
    <row r="237" spans="1:7" ht="16.5" customHeight="1">
      <c r="A237" s="40" t="s">
        <v>26</v>
      </c>
      <c r="B237" s="665">
        <v>15724.71971781</v>
      </c>
      <c r="C237" s="665">
        <v>14498.74134884</v>
      </c>
      <c r="D237" s="665">
        <v>12095.8236449</v>
      </c>
      <c r="E237" s="665">
        <v>3618.6972815199997</v>
      </c>
      <c r="F237" s="665">
        <v>164.86249422723412</v>
      </c>
      <c r="G237" s="665">
        <v>76.922348136991786</v>
      </c>
    </row>
    <row r="238" spans="1:7" ht="16.5" customHeight="1">
      <c r="A238" s="40" t="s">
        <v>27</v>
      </c>
      <c r="B238" s="665">
        <v>16065.780464840003</v>
      </c>
      <c r="C238" s="665">
        <v>14621.233465130003</v>
      </c>
      <c r="D238" s="665">
        <v>12177.918018450002</v>
      </c>
      <c r="E238" s="665">
        <v>3877.0886390699998</v>
      </c>
      <c r="F238" s="665">
        <v>165.64286091030823</v>
      </c>
      <c r="G238" s="665">
        <v>75.800351219172967</v>
      </c>
    </row>
    <row r="239" spans="1:7" ht="16.5" customHeight="1">
      <c r="A239" s="40" t="s">
        <v>28</v>
      </c>
      <c r="B239" s="665">
        <v>15487.161826160002</v>
      </c>
      <c r="C239" s="665">
        <v>14279.102331930002</v>
      </c>
      <c r="D239" s="665">
        <v>12004.699261040001</v>
      </c>
      <c r="E239" s="665">
        <v>3471.4287422500001</v>
      </c>
      <c r="F239" s="665">
        <v>169.39934763071784</v>
      </c>
      <c r="G239" s="665">
        <v>77.513875013318255</v>
      </c>
    </row>
    <row r="240" spans="1:7" ht="16.5" customHeight="1">
      <c r="A240" s="40" t="s">
        <v>29</v>
      </c>
      <c r="B240" s="665">
        <v>19761.4066164</v>
      </c>
      <c r="C240" s="665">
        <v>17937.554502260002</v>
      </c>
      <c r="D240" s="665">
        <v>12310.017773940001</v>
      </c>
      <c r="E240" s="665">
        <v>7439.9792620400003</v>
      </c>
      <c r="F240" s="665">
        <v>173.39153088557433</v>
      </c>
      <c r="G240" s="665">
        <v>62.293226453444419</v>
      </c>
    </row>
    <row r="241" spans="1:7" ht="16.5" customHeight="1">
      <c r="A241" s="40" t="s">
        <v>2827</v>
      </c>
      <c r="B241" s="500">
        <v>20900.260452980005</v>
      </c>
      <c r="C241" s="500">
        <v>17460.274460720004</v>
      </c>
      <c r="D241" s="500">
        <v>14714.36026879</v>
      </c>
      <c r="E241" s="500">
        <v>6169.71829867</v>
      </c>
      <c r="F241" s="500">
        <v>1389.205508179517</v>
      </c>
      <c r="G241" s="500">
        <v>70.402760300013369</v>
      </c>
    </row>
    <row r="242" spans="1:7" ht="16.5" customHeight="1">
      <c r="A242" s="40" t="s">
        <v>18</v>
      </c>
      <c r="B242" s="665">
        <v>15421.207929630002</v>
      </c>
      <c r="C242" s="665">
        <v>14044.248861950002</v>
      </c>
      <c r="D242" s="665">
        <v>11529.014941610001</v>
      </c>
      <c r="E242" s="665">
        <v>3835.7482910799999</v>
      </c>
      <c r="F242" s="665">
        <v>178.5376978326492</v>
      </c>
      <c r="G242" s="665">
        <v>74.760777458025061</v>
      </c>
    </row>
    <row r="243" spans="1:7" ht="16.5" customHeight="1">
      <c r="A243" s="40" t="s">
        <v>19</v>
      </c>
      <c r="B243" s="665">
        <v>15368.86442881</v>
      </c>
      <c r="C243" s="665">
        <v>13945.622092490001</v>
      </c>
      <c r="D243" s="665">
        <v>11565.98536855</v>
      </c>
      <c r="E243" s="665">
        <v>3782.0278936800005</v>
      </c>
      <c r="F243" s="665">
        <v>191.82273775979021</v>
      </c>
      <c r="G243" s="665">
        <v>75.255952852760942</v>
      </c>
    </row>
    <row r="244" spans="1:7" ht="16.5" customHeight="1">
      <c r="A244" s="40" t="s">
        <v>20</v>
      </c>
      <c r="B244" s="665">
        <v>16403.964037680002</v>
      </c>
      <c r="C244" s="665">
        <v>14359.583505760002</v>
      </c>
      <c r="D244" s="665">
        <v>11795.90849792</v>
      </c>
      <c r="E244" s="665">
        <v>4604.3213858199997</v>
      </c>
      <c r="F244" s="665">
        <v>184.64707187759799</v>
      </c>
      <c r="G244" s="665">
        <v>71.908890258627295</v>
      </c>
    </row>
    <row r="245" spans="1:7" ht="16.5" customHeight="1">
      <c r="A245" s="40" t="s">
        <v>21</v>
      </c>
      <c r="B245" s="665">
        <v>16012.793593580001</v>
      </c>
      <c r="C245" s="665">
        <v>14564.534771010003</v>
      </c>
      <c r="D245" s="665">
        <v>12020.648122730003</v>
      </c>
      <c r="E245" s="665">
        <v>3963.5902128100001</v>
      </c>
      <c r="F245" s="665">
        <v>193.6113773057657</v>
      </c>
      <c r="G245" s="665">
        <v>75.069025604310752</v>
      </c>
    </row>
    <row r="246" spans="1:7" ht="16.5" customHeight="1">
      <c r="A246" s="40" t="s">
        <v>22</v>
      </c>
      <c r="B246" s="665">
        <v>17025.012353530001</v>
      </c>
      <c r="C246" s="665">
        <v>14883.586254350002</v>
      </c>
      <c r="D246" s="665">
        <v>12461.379267320001</v>
      </c>
      <c r="E246" s="665">
        <v>4558.9773872099995</v>
      </c>
      <c r="F246" s="665">
        <v>198.48528042736314</v>
      </c>
      <c r="G246" s="665">
        <v>73.194538767757379</v>
      </c>
    </row>
    <row r="247" spans="1:7" ht="16.5" customHeight="1">
      <c r="A247" s="40" t="s">
        <v>23</v>
      </c>
      <c r="B247" s="665">
        <v>17530.809179430002</v>
      </c>
      <c r="C247" s="665">
        <v>15652.816622270002</v>
      </c>
      <c r="D247" s="665">
        <v>12893.752526169999</v>
      </c>
      <c r="E247" s="665">
        <v>4631.34538763</v>
      </c>
      <c r="F247" s="665">
        <v>198.23356646009154</v>
      </c>
      <c r="G247" s="665">
        <v>73.54910086694143</v>
      </c>
    </row>
    <row r="248" spans="1:7" ht="16.5" customHeight="1">
      <c r="A248" s="40" t="s">
        <v>24</v>
      </c>
      <c r="B248" s="665">
        <v>18015.001649310001</v>
      </c>
      <c r="C248" s="665">
        <v>16120.4379274</v>
      </c>
      <c r="D248" s="665">
        <v>13464.984708779999</v>
      </c>
      <c r="E248" s="665">
        <v>4542.1376098800001</v>
      </c>
      <c r="F248" s="665">
        <v>204.9784498108892</v>
      </c>
      <c r="G248" s="665">
        <v>74.743177774261966</v>
      </c>
    </row>
    <row r="249" spans="1:7" ht="16.5" customHeight="1">
      <c r="A249" s="40" t="s">
        <v>25</v>
      </c>
      <c r="B249" s="665">
        <v>17855.30838563</v>
      </c>
      <c r="C249" s="665">
        <v>16204.82873126</v>
      </c>
      <c r="D249" s="665">
        <v>13515.038482440001</v>
      </c>
      <c r="E249" s="665">
        <v>4333.93185481</v>
      </c>
      <c r="F249" s="665">
        <v>210.14611978827659</v>
      </c>
      <c r="G249" s="665">
        <v>75.691991370571557</v>
      </c>
    </row>
    <row r="250" spans="1:7" ht="16.5" customHeight="1">
      <c r="A250" s="40" t="s">
        <v>26</v>
      </c>
      <c r="B250" s="665">
        <v>17703.294185750001</v>
      </c>
      <c r="C250" s="665">
        <v>16144.852498050001</v>
      </c>
      <c r="D250" s="665">
        <v>13665.33717644</v>
      </c>
      <c r="E250" s="665">
        <v>4031.4677946799998</v>
      </c>
      <c r="F250" s="665">
        <v>1274.213578516597</v>
      </c>
      <c r="G250" s="665">
        <v>77.19092860943195</v>
      </c>
    </row>
    <row r="251" spans="1:7" ht="16.5" customHeight="1">
      <c r="A251" s="40" t="s">
        <v>27</v>
      </c>
      <c r="B251" s="665">
        <v>18408.423289830003</v>
      </c>
      <c r="C251" s="665">
        <v>16670.989240350005</v>
      </c>
      <c r="D251" s="665">
        <v>13943.88260565</v>
      </c>
      <c r="E251" s="665">
        <v>4333.1703876499996</v>
      </c>
      <c r="F251" s="665">
        <v>1306.0471953716381</v>
      </c>
      <c r="G251" s="665">
        <v>75.747294518990657</v>
      </c>
    </row>
    <row r="252" spans="1:7" ht="16.5" customHeight="1">
      <c r="A252" s="40" t="s">
        <v>28</v>
      </c>
      <c r="B252" s="665">
        <v>18753.574553070001</v>
      </c>
      <c r="C252" s="665">
        <v>16708.172107660001</v>
      </c>
      <c r="D252" s="665">
        <v>14163.746711739999</v>
      </c>
      <c r="E252" s="665">
        <v>4589.7315069099996</v>
      </c>
      <c r="F252" s="665">
        <v>1341.5602575064609</v>
      </c>
      <c r="G252" s="665">
        <v>75.525584051502136</v>
      </c>
    </row>
    <row r="253" spans="1:7" ht="16.5" customHeight="1">
      <c r="A253" s="40" t="s">
        <v>29</v>
      </c>
      <c r="B253" s="665">
        <v>20900.260452980005</v>
      </c>
      <c r="C253" s="665">
        <v>17460.274460720004</v>
      </c>
      <c r="D253" s="665">
        <v>14714.36026879</v>
      </c>
      <c r="E253" s="665">
        <v>6169.71829867</v>
      </c>
      <c r="F253" s="665">
        <v>1389.205508179517</v>
      </c>
      <c r="G253" s="665">
        <v>70.402760300013369</v>
      </c>
    </row>
    <row r="254" spans="1:7" ht="16.5" customHeight="1">
      <c r="A254" s="40" t="s">
        <v>3518</v>
      </c>
      <c r="B254" s="500">
        <v>23884.63747682</v>
      </c>
      <c r="C254" s="500">
        <v>20875.191369710003</v>
      </c>
      <c r="D254" s="500">
        <v>17318.194900760001</v>
      </c>
      <c r="E254" s="500">
        <v>6521.1069867400001</v>
      </c>
      <c r="F254" s="500">
        <v>5050.8181405949999</v>
      </c>
      <c r="G254" s="500">
        <v>72.507673258877304</v>
      </c>
    </row>
    <row r="255" spans="1:7" ht="16.5" customHeight="1">
      <c r="A255" s="40" t="s">
        <v>18</v>
      </c>
      <c r="B255" s="665">
        <v>18626.765334310003</v>
      </c>
      <c r="C255" s="665">
        <v>16884.882542810003</v>
      </c>
      <c r="D255" s="665">
        <v>14557.325995390001</v>
      </c>
      <c r="E255" s="665">
        <v>4067.41749875</v>
      </c>
      <c r="F255" s="665">
        <v>1419.2240900694069</v>
      </c>
      <c r="G255" s="665">
        <v>78.152732018241494</v>
      </c>
    </row>
    <row r="256" spans="1:7" ht="16.5" customHeight="1">
      <c r="A256" s="40" t="s">
        <v>19</v>
      </c>
      <c r="B256" s="665">
        <v>18911.679152650006</v>
      </c>
      <c r="C256" s="665">
        <v>17248.685680310005</v>
      </c>
      <c r="D256" s="665">
        <v>14830.11180986</v>
      </c>
      <c r="E256" s="665">
        <v>4080.7872985399999</v>
      </c>
      <c r="F256" s="665">
        <v>2389.41453967394</v>
      </c>
      <c r="G256" s="665">
        <v>78.417742233015446</v>
      </c>
    </row>
    <row r="257" spans="1:11" ht="16.5" customHeight="1">
      <c r="A257" s="40" t="s">
        <v>20</v>
      </c>
      <c r="B257" s="665">
        <v>19438.388410329997</v>
      </c>
      <c r="C257" s="665">
        <v>17688.949252909999</v>
      </c>
      <c r="D257" s="665">
        <v>15169.034821840001</v>
      </c>
      <c r="E257" s="665">
        <v>4269.2131986900004</v>
      </c>
      <c r="F257" s="665">
        <v>2351.5082657693501</v>
      </c>
      <c r="G257" s="665">
        <v>78.03648379501891</v>
      </c>
    </row>
    <row r="258" spans="1:11" ht="16.5" customHeight="1">
      <c r="A258" s="40" t="s">
        <v>21</v>
      </c>
      <c r="B258" s="665">
        <v>19024.700017860003</v>
      </c>
      <c r="C258" s="665">
        <v>17609.946463520002</v>
      </c>
      <c r="D258" s="665">
        <v>15238.47677551</v>
      </c>
      <c r="E258" s="665">
        <v>3784.1730545600003</v>
      </c>
      <c r="F258" s="665">
        <v>2239.5127650115201</v>
      </c>
      <c r="G258" s="665">
        <v>80.098381373711149</v>
      </c>
    </row>
    <row r="259" spans="1:11" ht="16.5" customHeight="1">
      <c r="A259" s="40" t="s">
        <v>22</v>
      </c>
      <c r="B259" s="665">
        <v>19116.760338709999</v>
      </c>
      <c r="C259" s="665">
        <v>17350.46711112</v>
      </c>
      <c r="D259" s="665">
        <v>15305.46074851</v>
      </c>
      <c r="E259" s="665">
        <v>3811.11845257</v>
      </c>
      <c r="F259" s="665">
        <v>2176.1299757623301</v>
      </c>
      <c r="G259" s="665">
        <v>80.063046652928918</v>
      </c>
    </row>
    <row r="260" spans="1:11" ht="16.5" customHeight="1">
      <c r="A260" s="40" t="s">
        <v>23</v>
      </c>
      <c r="B260" s="665">
        <v>19963.433359180006</v>
      </c>
      <c r="C260" s="665">
        <v>18401.718879660006</v>
      </c>
      <c r="D260" s="665">
        <v>15889.566620790001</v>
      </c>
      <c r="E260" s="665">
        <v>4066.0664921500002</v>
      </c>
      <c r="F260" s="665">
        <v>2316.7980048165</v>
      </c>
      <c r="G260" s="665">
        <v>79.59335618731798</v>
      </c>
    </row>
    <row r="261" spans="1:11" ht="16.5" customHeight="1">
      <c r="A261" s="40" t="s">
        <v>24</v>
      </c>
      <c r="B261" s="665">
        <v>19566.763979630003</v>
      </c>
      <c r="C261" s="665">
        <v>18262.643928190002</v>
      </c>
      <c r="D261" s="665">
        <v>16085.4533386</v>
      </c>
      <c r="E261" s="665">
        <v>3475.1345437600003</v>
      </c>
      <c r="F261" s="665">
        <v>2199.14351224136</v>
      </c>
      <c r="G261" s="665">
        <v>82.208040917475046</v>
      </c>
    </row>
    <row r="262" spans="1:11" ht="16.5" customHeight="1">
      <c r="A262" s="40" t="s">
        <v>25</v>
      </c>
      <c r="B262" s="665">
        <v>19816.583937430001</v>
      </c>
      <c r="C262" s="665">
        <v>18116.87461454</v>
      </c>
      <c r="D262" s="665">
        <v>15972.20565749</v>
      </c>
      <c r="E262" s="665">
        <v>3844.1914986400002</v>
      </c>
      <c r="F262" s="665">
        <v>2784.4137929198</v>
      </c>
      <c r="G262" s="665">
        <v>80.600196824647185</v>
      </c>
    </row>
    <row r="263" spans="1:11" ht="16.5" customHeight="1">
      <c r="A263" s="40" t="s">
        <v>26</v>
      </c>
      <c r="B263" s="665">
        <v>19432.514785309999</v>
      </c>
      <c r="C263" s="665">
        <v>17896.178054439999</v>
      </c>
      <c r="D263" s="665">
        <v>16157.726185949999</v>
      </c>
      <c r="E263" s="665">
        <v>3274.6107595899998</v>
      </c>
      <c r="F263" s="665">
        <v>2616.19069868222</v>
      </c>
      <c r="G263" s="665">
        <v>83.147890864667829</v>
      </c>
    </row>
    <row r="264" spans="1:11" ht="16.5" customHeight="1">
      <c r="A264" s="40" t="s">
        <v>27</v>
      </c>
      <c r="B264" s="665">
        <v>19955.28193134</v>
      </c>
      <c r="C264" s="665">
        <v>18401.99067264</v>
      </c>
      <c r="D264" s="665">
        <v>16343.182953660002</v>
      </c>
      <c r="E264" s="665">
        <v>3610.0158578699998</v>
      </c>
      <c r="F264" s="665">
        <v>2672.0249588786301</v>
      </c>
      <c r="G264" s="665">
        <v>81.899033097562224</v>
      </c>
    </row>
    <row r="265" spans="1:11" ht="16.5" customHeight="1">
      <c r="A265" s="40" t="s">
        <v>28</v>
      </c>
      <c r="B265" s="665">
        <v>19752.470663329997</v>
      </c>
      <c r="C265" s="665">
        <v>18334.378930759998</v>
      </c>
      <c r="D265" s="665">
        <v>16413.280041770002</v>
      </c>
      <c r="E265" s="665">
        <v>3338.6126003300005</v>
      </c>
      <c r="F265" s="665">
        <v>2711.91871579285</v>
      </c>
      <c r="G265" s="665">
        <v>83.09482049878892</v>
      </c>
    </row>
    <row r="266" spans="1:11" ht="16.5" customHeight="1">
      <c r="A266" s="40" t="s">
        <v>29</v>
      </c>
      <c r="B266" s="665">
        <v>23884.63747682</v>
      </c>
      <c r="C266" s="665">
        <v>20875.191369710003</v>
      </c>
      <c r="D266" s="665">
        <v>17318.194900760001</v>
      </c>
      <c r="E266" s="665">
        <v>6521.1069867400001</v>
      </c>
      <c r="F266" s="665">
        <v>5050.8181405949999</v>
      </c>
      <c r="G266" s="665">
        <v>72.507673258877304</v>
      </c>
    </row>
    <row r="267" spans="1:11" ht="16.5" customHeight="1">
      <c r="A267" s="40" t="s">
        <v>3989</v>
      </c>
      <c r="B267" s="500">
        <v>23717.918324089995</v>
      </c>
      <c r="C267" s="500">
        <v>20916.522813409996</v>
      </c>
      <c r="D267" s="500">
        <v>17449.094080469997</v>
      </c>
      <c r="E267" s="500">
        <v>6265.2185570100009</v>
      </c>
      <c r="F267" s="500">
        <v>4985.7296167349532</v>
      </c>
      <c r="G267" s="500">
        <v>73.569247697202712</v>
      </c>
    </row>
    <row r="268" spans="1:11" ht="16.5" customHeight="1">
      <c r="A268" s="40" t="s">
        <v>18</v>
      </c>
      <c r="B268" s="665">
        <v>22781.832874150001</v>
      </c>
      <c r="C268" s="665">
        <v>20271.14124787</v>
      </c>
      <c r="D268" s="665">
        <v>16986.574990470002</v>
      </c>
      <c r="E268" s="665">
        <v>5793.1886132899999</v>
      </c>
      <c r="F268" s="665">
        <v>4951.9881789248993</v>
      </c>
      <c r="G268" s="665">
        <v>74.561933117085857</v>
      </c>
    </row>
    <row r="269" spans="1:11" ht="16.5" customHeight="1">
      <c r="A269" s="40" t="s">
        <v>19</v>
      </c>
      <c r="B269" s="665">
        <v>23030.41038677</v>
      </c>
      <c r="C269" s="665">
        <v>20131.75628383</v>
      </c>
      <c r="D269" s="665">
        <v>16703.03475816</v>
      </c>
      <c r="E269" s="665">
        <v>6327.2044594399995</v>
      </c>
      <c r="F269" s="665">
        <v>5134.7011849339597</v>
      </c>
      <c r="G269" s="665">
        <v>72.525997051946547</v>
      </c>
    </row>
    <row r="270" spans="1:11" ht="16.5" customHeight="1">
      <c r="A270" s="40" t="s">
        <v>20</v>
      </c>
      <c r="B270" s="665">
        <v>23966.717804100001</v>
      </c>
      <c r="C270" s="665">
        <v>20396.378195500001</v>
      </c>
      <c r="D270" s="665">
        <v>17184.733663719999</v>
      </c>
      <c r="E270" s="665">
        <v>6781.8409775600003</v>
      </c>
      <c r="F270" s="665">
        <v>5400.8591426594703</v>
      </c>
      <c r="G270" s="665">
        <v>71.702490946758658</v>
      </c>
      <c r="K270" s="419"/>
    </row>
    <row r="271" spans="1:11" ht="16.5" customHeight="1">
      <c r="A271" s="40" t="s">
        <v>21</v>
      </c>
      <c r="B271" s="665">
        <v>22898.340120140001</v>
      </c>
      <c r="C271" s="665">
        <v>19995.864733509999</v>
      </c>
      <c r="D271" s="665">
        <v>16773.160720979999</v>
      </c>
      <c r="E271" s="665">
        <v>6123.1414304</v>
      </c>
      <c r="F271" s="665">
        <v>5269.6749666409596</v>
      </c>
      <c r="G271" s="665">
        <v>73.250552804163036</v>
      </c>
      <c r="K271" s="419"/>
    </row>
    <row r="272" spans="1:11" ht="16.5" customHeight="1">
      <c r="A272" s="40" t="s">
        <v>22</v>
      </c>
      <c r="B272" s="665">
        <v>22581.131786770005</v>
      </c>
      <c r="C272" s="665">
        <v>19948.032343850005</v>
      </c>
      <c r="D272" s="665">
        <v>16746.962134910002</v>
      </c>
      <c r="E272" s="665">
        <v>5834.0251184499994</v>
      </c>
      <c r="F272" s="665">
        <v>5026.1097623139103</v>
      </c>
      <c r="G272" s="665">
        <v>74.163519760873243</v>
      </c>
      <c r="K272" s="419"/>
    </row>
    <row r="273" spans="1:14" ht="16.5" customHeight="1">
      <c r="A273" s="40" t="s">
        <v>23</v>
      </c>
      <c r="B273" s="665">
        <v>23250.641038410002</v>
      </c>
      <c r="C273" s="665">
        <v>20401.02812454</v>
      </c>
      <c r="D273" s="665">
        <v>17252.756274840001</v>
      </c>
      <c r="E273" s="665">
        <v>5997.7482509000001</v>
      </c>
      <c r="F273" s="665">
        <v>5068.7952673591353</v>
      </c>
      <c r="G273" s="665">
        <v>74.203357431472483</v>
      </c>
      <c r="K273" s="419"/>
    </row>
    <row r="274" spans="1:14" ht="16.5" customHeight="1">
      <c r="A274" s="40" t="s">
        <v>24</v>
      </c>
      <c r="B274" s="665">
        <v>23392.01512091</v>
      </c>
      <c r="C274" s="665">
        <v>20731.47916151</v>
      </c>
      <c r="D274" s="665">
        <v>17364.615591570004</v>
      </c>
      <c r="E274" s="665">
        <v>6025.3593950000004</v>
      </c>
      <c r="F274" s="665">
        <v>5120.4584349379329</v>
      </c>
      <c r="G274" s="665">
        <v>74.233089803570891</v>
      </c>
      <c r="K274" s="419"/>
    </row>
    <row r="275" spans="1:14" ht="16.5" customHeight="1">
      <c r="A275" s="40" t="s">
        <v>25</v>
      </c>
      <c r="B275" s="665">
        <v>23205.413315220001</v>
      </c>
      <c r="C275" s="665">
        <v>20549.979732190004</v>
      </c>
      <c r="D275" s="665">
        <v>17409.196443920002</v>
      </c>
      <c r="E275" s="665">
        <v>5796.1310551900006</v>
      </c>
      <c r="F275" s="665">
        <v>5101.0065521245897</v>
      </c>
      <c r="G275" s="665">
        <v>75.02213473828381</v>
      </c>
      <c r="K275" s="419"/>
    </row>
    <row r="276" spans="1:14" ht="16.5" customHeight="1">
      <c r="A276" s="40" t="s">
        <v>26</v>
      </c>
      <c r="B276" s="665">
        <v>23490.306349900002</v>
      </c>
      <c r="C276" s="665">
        <v>20897.415117020002</v>
      </c>
      <c r="D276" s="665">
        <v>17245.701513510001</v>
      </c>
      <c r="E276" s="665">
        <v>6162.95582681</v>
      </c>
      <c r="F276" s="665">
        <v>5122.0509958343</v>
      </c>
      <c r="G276" s="665">
        <v>73.416247777387611</v>
      </c>
      <c r="K276" s="419"/>
    </row>
    <row r="277" spans="1:14" ht="16.5" customHeight="1">
      <c r="A277" s="40" t="s">
        <v>27</v>
      </c>
      <c r="B277" s="665">
        <v>22705.601071549998</v>
      </c>
      <c r="C277" s="665">
        <v>20474.897506489997</v>
      </c>
      <c r="D277" s="665">
        <v>17232.210383239999</v>
      </c>
      <c r="E277" s="665">
        <v>5471.4224480499997</v>
      </c>
      <c r="F277" s="665">
        <v>4601.0655163813872</v>
      </c>
      <c r="G277" s="665">
        <v>75.894094716707897</v>
      </c>
      <c r="I277" s="419"/>
      <c r="K277" s="419"/>
    </row>
    <row r="278" spans="1:14" ht="16.5" customHeight="1">
      <c r="A278" s="40" t="s">
        <v>28</v>
      </c>
      <c r="B278" s="665">
        <v>23074.21479111</v>
      </c>
      <c r="C278" s="665">
        <v>20576.83058166</v>
      </c>
      <c r="D278" s="665">
        <v>17260.93213832</v>
      </c>
      <c r="E278" s="665">
        <v>5813.2052762700005</v>
      </c>
      <c r="F278" s="665">
        <v>5117.8170848510772</v>
      </c>
      <c r="G278" s="665">
        <v>74.806151778435677</v>
      </c>
      <c r="I278" s="419"/>
      <c r="K278" s="419"/>
    </row>
    <row r="279" spans="1:14" ht="16.5" customHeight="1">
      <c r="A279" s="40" t="s">
        <v>29</v>
      </c>
      <c r="B279" s="665">
        <v>23717.918324089995</v>
      </c>
      <c r="C279" s="665">
        <v>20916.522813409996</v>
      </c>
      <c r="D279" s="665">
        <v>17449.094080469997</v>
      </c>
      <c r="E279" s="665">
        <v>6265.2185570100009</v>
      </c>
      <c r="F279" s="665">
        <v>4985.7296167349532</v>
      </c>
      <c r="G279" s="665">
        <v>73.569247697202712</v>
      </c>
      <c r="I279" s="419"/>
      <c r="K279" s="419"/>
    </row>
    <row r="280" spans="1:14" ht="16.5" customHeight="1">
      <c r="A280" s="40" t="s">
        <v>4222</v>
      </c>
      <c r="B280" s="665"/>
      <c r="C280" s="665"/>
      <c r="D280" s="665"/>
      <c r="E280" s="665"/>
      <c r="F280" s="665"/>
      <c r="G280" s="665"/>
    </row>
    <row r="281" spans="1:14" ht="16.5" customHeight="1">
      <c r="A281" s="40" t="s">
        <v>18</v>
      </c>
      <c r="B281" s="665">
        <v>22441.515983489997</v>
      </c>
      <c r="C281" s="665">
        <v>20124.054502159997</v>
      </c>
      <c r="D281" s="665">
        <v>16900.671132839998</v>
      </c>
      <c r="E281" s="665">
        <v>5538.7916005900006</v>
      </c>
      <c r="F281" s="665">
        <v>4834.8314323212671</v>
      </c>
      <c r="G281" s="665">
        <v>75.309846024990719</v>
      </c>
      <c r="H281" s="419"/>
      <c r="I281" s="419"/>
      <c r="J281" s="419"/>
    </row>
    <row r="282" spans="1:14" ht="16.5" customHeight="1">
      <c r="A282" s="40" t="s">
        <v>19</v>
      </c>
      <c r="B282" s="665">
        <v>22402.38915155</v>
      </c>
      <c r="C282" s="665">
        <v>19841.950489480001</v>
      </c>
      <c r="D282" s="665">
        <v>17032.865326180003</v>
      </c>
      <c r="E282" s="665">
        <v>5364.2541341199994</v>
      </c>
      <c r="F282" s="665">
        <v>5036.9716792512872</v>
      </c>
      <c r="G282" s="665">
        <v>76.031467942790883</v>
      </c>
      <c r="H282" s="419"/>
      <c r="I282" s="419"/>
      <c r="J282" s="419"/>
    </row>
    <row r="283" spans="1:14" ht="16.5" customHeight="1">
      <c r="A283" s="40" t="s">
        <v>20</v>
      </c>
      <c r="B283" s="665">
        <v>23703.218129779998</v>
      </c>
      <c r="C283" s="665">
        <v>21498.137739949998</v>
      </c>
      <c r="D283" s="665">
        <v>18159.257348979998</v>
      </c>
      <c r="E283" s="665">
        <v>5543.8253415100007</v>
      </c>
      <c r="F283" s="665">
        <v>5004.37</v>
      </c>
      <c r="G283" s="665">
        <v>76.610936327524499</v>
      </c>
      <c r="H283" s="419"/>
      <c r="I283" s="419"/>
      <c r="J283" s="419"/>
    </row>
    <row r="284" spans="1:14" ht="16.5" customHeight="1">
      <c r="A284" s="40" t="s">
        <v>21</v>
      </c>
      <c r="B284" s="665">
        <v>22939.986270530004</v>
      </c>
      <c r="C284" s="665">
        <v>20719.279020810005</v>
      </c>
      <c r="D284" s="665">
        <v>17748.962351720002</v>
      </c>
      <c r="E284" s="665">
        <v>5188.9607120500004</v>
      </c>
      <c r="F284" s="665">
        <v>5006.9671103454039</v>
      </c>
      <c r="G284" s="665">
        <v>77.371285851732694</v>
      </c>
      <c r="H284" s="419"/>
      <c r="I284" s="419"/>
      <c r="J284" s="419"/>
    </row>
    <row r="285" spans="1:14" ht="16.5" customHeight="1">
      <c r="A285" s="625" t="s">
        <v>22</v>
      </c>
      <c r="B285" s="668">
        <v>23105.795536869999</v>
      </c>
      <c r="C285" s="668">
        <v>20629.666031459998</v>
      </c>
      <c r="D285" s="668">
        <v>17645.878612119999</v>
      </c>
      <c r="E285" s="668">
        <v>5459.5541940200001</v>
      </c>
      <c r="F285" s="668">
        <v>4984.9745557298229</v>
      </c>
      <c r="G285" s="668">
        <v>76.369924523751678</v>
      </c>
      <c r="H285" s="419"/>
      <c r="I285" s="419"/>
      <c r="J285" s="419"/>
    </row>
    <row r="286" spans="1:14" s="778" customFormat="1" ht="27" customHeight="1">
      <c r="A286" s="2364" t="s">
        <v>2696</v>
      </c>
      <c r="B286" s="2365"/>
      <c r="C286" s="2365"/>
      <c r="D286" s="2365"/>
      <c r="E286" s="2365"/>
      <c r="F286" s="2365"/>
      <c r="G286" s="2366"/>
      <c r="H286" s="788"/>
      <c r="I286" s="788"/>
      <c r="J286" s="788"/>
      <c r="K286" s="788"/>
      <c r="L286" s="788"/>
      <c r="M286" s="788"/>
      <c r="N286" s="788"/>
    </row>
  </sheetData>
  <mergeCells count="18">
    <mergeCell ref="A286:G286"/>
    <mergeCell ref="A2:G2"/>
    <mergeCell ref="A3:G3"/>
    <mergeCell ref="A5:G5"/>
    <mergeCell ref="B8:B9"/>
    <mergeCell ref="A8:A9"/>
    <mergeCell ref="B6:B7"/>
    <mergeCell ref="A6:A7"/>
    <mergeCell ref="C8:C9"/>
    <mergeCell ref="E6:E7"/>
    <mergeCell ref="C6:C7"/>
    <mergeCell ref="D6:D7"/>
    <mergeCell ref="G6:G7"/>
    <mergeCell ref="I8:I9"/>
    <mergeCell ref="E8:E9"/>
    <mergeCell ref="D8:D9"/>
    <mergeCell ref="G8:G9"/>
    <mergeCell ref="H8:H9"/>
  </mergeCells>
  <pageMargins left="0.7" right="0.7" top="0.17" bottom="0.17" header="0.17" footer="0.17"/>
  <pageSetup scale="32" orientation="portrait" r:id="rId1"/>
  <ignoredErrors>
    <ignoredError sqref="A229:A238" numberStoredAsText="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rgb="FF92D050"/>
  </sheetPr>
  <dimension ref="A1:CD289"/>
  <sheetViews>
    <sheetView showGridLines="0" view="pageBreakPreview" zoomScaleSheetLayoutView="100" workbookViewId="0">
      <pane ySplit="17" topLeftCell="A273" activePane="bottomLeft" state="frozen"/>
      <selection activeCell="B39" sqref="B39"/>
      <selection pane="bottomLeft" activeCell="H290" sqref="H290"/>
    </sheetView>
  </sheetViews>
  <sheetFormatPr defaultColWidth="8.85546875" defaultRowHeight="15.75"/>
  <cols>
    <col min="1" max="1" width="9.85546875" style="142" customWidth="1"/>
    <col min="2" max="2" width="14" style="141" customWidth="1"/>
    <col min="3" max="3" width="13.28515625" style="141" customWidth="1"/>
    <col min="4" max="4" width="16.28515625" style="141" customWidth="1"/>
    <col min="5" max="5" width="13.42578125" style="141" customWidth="1"/>
    <col min="6" max="6" width="16.28515625" style="141" customWidth="1"/>
    <col min="7" max="7" width="13.28515625" style="141" customWidth="1"/>
    <col min="8" max="8" width="16.28515625" style="141" customWidth="1"/>
    <col min="9" max="9" width="14.28515625" style="141" customWidth="1"/>
    <col min="10" max="10" width="16.28515625" style="141" customWidth="1"/>
    <col min="11" max="11" width="13.28515625" style="141" customWidth="1"/>
    <col min="12" max="12" width="16.28515625" style="141" customWidth="1"/>
    <col min="13" max="13" width="12.7109375" style="141" customWidth="1"/>
    <col min="14" max="79" width="8.85546875" style="141"/>
    <col min="80" max="80" width="0" style="141" hidden="1" customWidth="1"/>
    <col min="81" max="16384" width="8.85546875" style="141"/>
  </cols>
  <sheetData>
    <row r="1" spans="1:82" ht="6" customHeight="1"/>
    <row r="2" spans="1:82" s="335" customFormat="1" ht="27" customHeight="1">
      <c r="A2" s="2374" t="s">
        <v>2732</v>
      </c>
      <c r="B2" s="2374"/>
      <c r="C2" s="2374"/>
      <c r="D2" s="2374"/>
      <c r="E2" s="2374"/>
      <c r="F2" s="2374"/>
      <c r="G2" s="2374"/>
      <c r="H2" s="2374"/>
      <c r="I2" s="2374"/>
      <c r="J2" s="2374"/>
      <c r="K2" s="2374"/>
      <c r="L2" s="2374"/>
    </row>
    <row r="3" spans="1:82" s="335" customFormat="1" ht="27" customHeight="1">
      <c r="A3" s="2375" t="s">
        <v>2731</v>
      </c>
      <c r="B3" s="2375"/>
      <c r="C3" s="2375"/>
      <c r="D3" s="2375"/>
      <c r="E3" s="2375"/>
      <c r="F3" s="2375"/>
      <c r="G3" s="2375"/>
      <c r="H3" s="2375"/>
      <c r="I3" s="2375"/>
      <c r="J3" s="2375"/>
      <c r="K3" s="2375"/>
      <c r="L3" s="2375"/>
    </row>
    <row r="4" spans="1:82" s="335" customFormat="1" ht="13.5" customHeight="1">
      <c r="A4" s="538"/>
      <c r="B4" s="538"/>
      <c r="C4" s="538"/>
      <c r="D4" s="538"/>
      <c r="E4" s="538"/>
      <c r="F4" s="538"/>
      <c r="G4" s="538"/>
      <c r="H4" s="538"/>
      <c r="I4" s="538"/>
      <c r="J4" s="538"/>
      <c r="K4" s="538"/>
      <c r="L4" s="538"/>
    </row>
    <row r="5" spans="1:82" s="335" customFormat="1" ht="13.5" customHeight="1">
      <c r="A5" s="517"/>
      <c r="B5" s="517"/>
      <c r="C5" s="517"/>
      <c r="D5" s="517"/>
      <c r="E5" s="517"/>
      <c r="F5" s="517"/>
      <c r="G5" s="517"/>
      <c r="H5" s="517"/>
      <c r="I5" s="517"/>
      <c r="J5" s="517"/>
      <c r="K5" s="517"/>
      <c r="L5" s="517"/>
    </row>
    <row r="6" spans="1:82" s="142" customFormat="1" ht="15.6" customHeight="1">
      <c r="A6" s="2357" t="s">
        <v>182</v>
      </c>
      <c r="B6" s="2372" t="s">
        <v>151</v>
      </c>
      <c r="C6" s="2357" t="s">
        <v>152</v>
      </c>
      <c r="D6" s="2357"/>
      <c r="E6" s="2357" t="s">
        <v>153</v>
      </c>
      <c r="F6" s="2357"/>
      <c r="G6" s="2357"/>
      <c r="H6" s="2357"/>
      <c r="I6" s="2357"/>
      <c r="J6" s="2357"/>
      <c r="K6" s="2357" t="s">
        <v>154</v>
      </c>
      <c r="L6" s="2357"/>
    </row>
    <row r="7" spans="1:82" s="142" customFormat="1" ht="39" customHeight="1">
      <c r="A7" s="2357"/>
      <c r="B7" s="2373"/>
      <c r="C7" s="2357"/>
      <c r="D7" s="2357"/>
      <c r="E7" s="2357" t="s">
        <v>155</v>
      </c>
      <c r="F7" s="2357"/>
      <c r="G7" s="2357" t="s">
        <v>156</v>
      </c>
      <c r="H7" s="2357"/>
      <c r="I7" s="2357" t="s">
        <v>157</v>
      </c>
      <c r="J7" s="2357"/>
      <c r="K7" s="2357"/>
      <c r="L7" s="2357"/>
      <c r="CC7" s="301" t="s">
        <v>2062</v>
      </c>
      <c r="CD7" s="316" t="s">
        <v>2063</v>
      </c>
    </row>
    <row r="8" spans="1:82" s="142" customFormat="1" ht="32.25" customHeight="1">
      <c r="A8" s="2357"/>
      <c r="B8" s="2373"/>
      <c r="C8" s="559" t="s">
        <v>8</v>
      </c>
      <c r="D8" s="559" t="s">
        <v>159</v>
      </c>
      <c r="E8" s="559" t="s">
        <v>8</v>
      </c>
      <c r="F8" s="559" t="s">
        <v>159</v>
      </c>
      <c r="G8" s="559" t="s">
        <v>8</v>
      </c>
      <c r="H8" s="559" t="s">
        <v>159</v>
      </c>
      <c r="I8" s="559" t="s">
        <v>8</v>
      </c>
      <c r="J8" s="559" t="s">
        <v>159</v>
      </c>
      <c r="K8" s="559" t="s">
        <v>8</v>
      </c>
      <c r="L8" s="559" t="s">
        <v>159</v>
      </c>
      <c r="BY8" s="142">
        <f>BY10+BY22+BY32+BY40</f>
        <v>0</v>
      </c>
      <c r="CC8" s="142">
        <f>CC10+CC22+CC32+CC40</f>
        <v>622</v>
      </c>
      <c r="CD8" s="319">
        <f>BY8+BZ8+CA8+CC8</f>
        <v>622</v>
      </c>
    </row>
    <row r="9" spans="1:82" ht="15.6" customHeight="1">
      <c r="A9" s="2355" t="s">
        <v>289</v>
      </c>
      <c r="B9" s="2355" t="s">
        <v>1159</v>
      </c>
      <c r="C9" s="2355" t="s">
        <v>160</v>
      </c>
      <c r="D9" s="2355"/>
      <c r="E9" s="2355" t="s">
        <v>161</v>
      </c>
      <c r="F9" s="2355"/>
      <c r="G9" s="2355"/>
      <c r="H9" s="2355"/>
      <c r="I9" s="2355"/>
      <c r="J9" s="2355"/>
      <c r="K9" s="2355" t="s">
        <v>1160</v>
      </c>
      <c r="L9" s="2355"/>
      <c r="CD9" s="320"/>
    </row>
    <row r="10" spans="1:82">
      <c r="A10" s="2355"/>
      <c r="B10" s="2355"/>
      <c r="C10" s="2355"/>
      <c r="D10" s="2355"/>
      <c r="E10" s="2355" t="s">
        <v>113</v>
      </c>
      <c r="F10" s="2355"/>
      <c r="G10" s="2355" t="s">
        <v>162</v>
      </c>
      <c r="H10" s="2355"/>
      <c r="I10" s="2355" t="s">
        <v>163</v>
      </c>
      <c r="J10" s="2355"/>
      <c r="K10" s="2355"/>
      <c r="L10" s="2355"/>
      <c r="CC10" s="141">
        <f>CC12+CC17</f>
        <v>1713</v>
      </c>
      <c r="CD10" s="320">
        <f>BY10+BZ10+CA10+CC10</f>
        <v>1713</v>
      </c>
    </row>
    <row r="11" spans="1:82" ht="32.25" customHeight="1">
      <c r="A11" s="2355"/>
      <c r="B11" s="2355"/>
      <c r="C11" s="560" t="s">
        <v>8</v>
      </c>
      <c r="D11" s="560" t="s">
        <v>164</v>
      </c>
      <c r="E11" s="560" t="s">
        <v>8</v>
      </c>
      <c r="F11" s="560" t="s">
        <v>164</v>
      </c>
      <c r="G11" s="560" t="s">
        <v>8</v>
      </c>
      <c r="H11" s="560" t="s">
        <v>164</v>
      </c>
      <c r="I11" s="560" t="s">
        <v>8</v>
      </c>
      <c r="J11" s="560" t="s">
        <v>164</v>
      </c>
      <c r="K11" s="560" t="s">
        <v>8</v>
      </c>
      <c r="L11" s="560" t="s">
        <v>164</v>
      </c>
      <c r="CD11" s="320"/>
    </row>
    <row r="12" spans="1:82" hidden="1">
      <c r="A12" s="49">
        <v>2000</v>
      </c>
      <c r="B12" s="50">
        <v>466.4</v>
      </c>
      <c r="C12" s="50">
        <v>305.48</v>
      </c>
      <c r="D12" s="11">
        <f>C12/B12*100</f>
        <v>65.497427101200685</v>
      </c>
      <c r="E12" s="50">
        <v>158.9</v>
      </c>
      <c r="F12" s="11">
        <f>E12/B12*100</f>
        <v>34.069468267581478</v>
      </c>
      <c r="G12" s="50">
        <v>63.4</v>
      </c>
      <c r="H12" s="11">
        <f>G12/B12*100</f>
        <v>13.593481989708406</v>
      </c>
      <c r="I12" s="50">
        <v>24.1</v>
      </c>
      <c r="J12" s="11">
        <f>I12/B12*100</f>
        <v>5.1672384219554033</v>
      </c>
      <c r="K12" s="50" t="s">
        <v>93</v>
      </c>
      <c r="L12" s="50" t="s">
        <v>93</v>
      </c>
      <c r="CC12" s="141">
        <f>CC14+CC15</f>
        <v>4361</v>
      </c>
      <c r="CD12" s="320">
        <f>BY12+BZ12+CA12+CC12</f>
        <v>4361</v>
      </c>
    </row>
    <row r="13" spans="1:82" hidden="1">
      <c r="A13" s="49">
        <v>2001</v>
      </c>
      <c r="B13" s="50">
        <v>486.2</v>
      </c>
      <c r="C13" s="50">
        <v>223.3</v>
      </c>
      <c r="D13" s="11">
        <f>C13/B13*100</f>
        <v>45.927601809954751</v>
      </c>
      <c r="E13" s="50">
        <v>172.1</v>
      </c>
      <c r="F13" s="11">
        <f>E13/B13*100</f>
        <v>35.396955985191283</v>
      </c>
      <c r="G13" s="50">
        <v>70.8</v>
      </c>
      <c r="H13" s="11">
        <f>G13/B13*100</f>
        <v>14.561908679555739</v>
      </c>
      <c r="I13" s="50">
        <v>26.5</v>
      </c>
      <c r="J13" s="11">
        <f>I13/B13*100</f>
        <v>5.4504319210201571</v>
      </c>
      <c r="K13" s="50">
        <v>90.89</v>
      </c>
      <c r="L13" s="11">
        <f>+K13/B13*100</f>
        <v>18.69395310571781</v>
      </c>
      <c r="CD13" s="320"/>
    </row>
    <row r="14" spans="1:82" hidden="1">
      <c r="A14" s="49">
        <v>2002</v>
      </c>
      <c r="B14" s="11">
        <f>2600.83634047766/5</f>
        <v>520.16726809553199</v>
      </c>
      <c r="C14" s="11">
        <v>248.14320000000001</v>
      </c>
      <c r="D14" s="11">
        <f>+C14/B14*100</f>
        <v>47.704501074917104</v>
      </c>
      <c r="E14" s="50">
        <v>202.6</v>
      </c>
      <c r="F14" s="11">
        <f>+E14/B14*100</f>
        <v>38.949009756375375</v>
      </c>
      <c r="G14" s="50">
        <v>63.3</v>
      </c>
      <c r="H14" s="11">
        <f>+G14/B14*100</f>
        <v>12.169162475708593</v>
      </c>
      <c r="I14" s="50">
        <v>23.2</v>
      </c>
      <c r="J14" s="11">
        <f>+I14/B14*100</f>
        <v>4.4601037825661827</v>
      </c>
      <c r="K14" s="50">
        <v>69.36</v>
      </c>
      <c r="L14" s="11">
        <f>+K14/B14*100</f>
        <v>13.334172343051312</v>
      </c>
      <c r="CC14" s="141">
        <v>3917</v>
      </c>
      <c r="CD14" s="320">
        <f>BY14+BZ14+CA14+CC14</f>
        <v>3917</v>
      </c>
    </row>
    <row r="15" spans="1:82" hidden="1">
      <c r="A15" s="49">
        <v>2003</v>
      </c>
      <c r="B15" s="11">
        <f>3351.5007119494/5</f>
        <v>670.30014238987997</v>
      </c>
      <c r="C15" s="11">
        <f>1456.008/5</f>
        <v>291.20159999999998</v>
      </c>
      <c r="D15" s="11">
        <f>+C15/B15*100</f>
        <v>43.443463843190209</v>
      </c>
      <c r="E15" s="11">
        <v>304.8</v>
      </c>
      <c r="F15" s="11">
        <f>+E15/B15*100</f>
        <v>45.47216697780636</v>
      </c>
      <c r="G15" s="11">
        <f>488.6/5</f>
        <v>97.72</v>
      </c>
      <c r="H15" s="11">
        <f>+G15/B15*100</f>
        <v>14.578543822412197</v>
      </c>
      <c r="I15" s="11">
        <f>105/5</f>
        <v>21</v>
      </c>
      <c r="J15" s="11">
        <f>+I15/B15*100</f>
        <v>3.1329248902031939</v>
      </c>
      <c r="K15" s="11">
        <f>371.5/5</f>
        <v>74.3</v>
      </c>
      <c r="L15" s="11">
        <f>+K15/B15*100</f>
        <v>11.084586635337967</v>
      </c>
      <c r="CC15" s="141">
        <v>444</v>
      </c>
      <c r="CD15" s="320">
        <f t="shared" ref="CD15:CD56" si="0">BY15+BZ15+CA15+CC15</f>
        <v>444</v>
      </c>
    </row>
    <row r="16" spans="1:82" hidden="1">
      <c r="A16" s="49">
        <v>2004</v>
      </c>
      <c r="B16" s="11">
        <v>989.46032019881397</v>
      </c>
      <c r="C16" s="11">
        <v>453.03339999999997</v>
      </c>
      <c r="D16" s="11">
        <f>+C16/B16*100</f>
        <v>45.785908818351722</v>
      </c>
      <c r="E16" s="11">
        <v>451.7</v>
      </c>
      <c r="F16" s="11">
        <f>+E16/B16*100</f>
        <v>45.65114848761587</v>
      </c>
      <c r="G16" s="11">
        <v>152.58000000000001</v>
      </c>
      <c r="H16" s="11">
        <f>+G16/B16*100</f>
        <v>15.420527421386826</v>
      </c>
      <c r="I16" s="11">
        <v>20.86</v>
      </c>
      <c r="J16" s="11">
        <f>+I16/B16*100</f>
        <v>2.1082199633643279</v>
      </c>
      <c r="K16" s="11">
        <v>84.82</v>
      </c>
      <c r="L16" s="11">
        <f>+K16/B16*100</f>
        <v>8.5723498222704837</v>
      </c>
      <c r="CD16" s="320"/>
    </row>
    <row r="17" spans="1:82" hidden="1">
      <c r="A17" s="49"/>
      <c r="B17" s="50"/>
      <c r="C17" s="11"/>
      <c r="D17" s="11"/>
      <c r="E17" s="11"/>
      <c r="F17" s="11"/>
      <c r="G17" s="50"/>
      <c r="H17" s="11"/>
      <c r="I17" s="50"/>
      <c r="J17" s="11"/>
      <c r="K17" s="50"/>
      <c r="L17" s="11"/>
      <c r="CC17" s="141">
        <f>CC19+CC20</f>
        <v>-2648</v>
      </c>
      <c r="CD17" s="320">
        <f t="shared" si="0"/>
        <v>-2648</v>
      </c>
    </row>
    <row r="18" spans="1:82">
      <c r="A18" s="669">
        <v>2005</v>
      </c>
      <c r="B18" s="670">
        <f>+B30</f>
        <v>1440.9632994538799</v>
      </c>
      <c r="C18" s="670">
        <f t="shared" ref="C18:L18" si="1">+C30</f>
        <v>748.273324</v>
      </c>
      <c r="D18" s="670">
        <f t="shared" si="1"/>
        <v>51.928687169450669</v>
      </c>
      <c r="E18" s="670">
        <f t="shared" si="1"/>
        <v>653.1</v>
      </c>
      <c r="F18" s="670">
        <f t="shared" si="1"/>
        <v>45.323846918760715</v>
      </c>
      <c r="G18" s="670">
        <f t="shared" si="1"/>
        <v>263.524</v>
      </c>
      <c r="H18" s="670">
        <f t="shared" si="1"/>
        <v>18.288043845382784</v>
      </c>
      <c r="I18" s="670">
        <f t="shared" si="1"/>
        <v>25.936</v>
      </c>
      <c r="J18" s="670">
        <f t="shared" si="1"/>
        <v>1.7999070489740894</v>
      </c>
      <c r="K18" s="670">
        <f t="shared" si="1"/>
        <v>39.6188</v>
      </c>
      <c r="L18" s="670">
        <f t="shared" si="1"/>
        <v>2.7494662782192569</v>
      </c>
      <c r="CD18" s="320"/>
    </row>
    <row r="19" spans="1:82" hidden="1">
      <c r="A19" s="671">
        <v>1</v>
      </c>
      <c r="B19" s="643">
        <v>970.37696426713205</v>
      </c>
      <c r="C19" s="643">
        <v>423.44979999999998</v>
      </c>
      <c r="D19" s="643">
        <f t="shared" ref="D19:D30" si="2">+C19/B19*100</f>
        <v>43.637659960302791</v>
      </c>
      <c r="E19" s="643">
        <v>462.2</v>
      </c>
      <c r="F19" s="643">
        <f t="shared" ref="F19:F30" si="3">+E19/B19*100</f>
        <v>47.630974046160723</v>
      </c>
      <c r="G19" s="643">
        <v>157.44</v>
      </c>
      <c r="H19" s="643">
        <f t="shared" ref="H19:H30" si="4">+G19/B19*100</f>
        <v>16.224622574269894</v>
      </c>
      <c r="I19" s="643">
        <v>21.64</v>
      </c>
      <c r="J19" s="643">
        <f t="shared" ref="J19:J30" si="5">+I19/B19*100</f>
        <v>2.2300611820833365</v>
      </c>
      <c r="K19" s="643">
        <v>84.82</v>
      </c>
      <c r="L19" s="643">
        <f t="shared" ref="L19:L30" si="6">+K19/B19*100</f>
        <v>8.7409329697000278</v>
      </c>
      <c r="CC19" s="141">
        <v>-367</v>
      </c>
      <c r="CD19" s="320">
        <f t="shared" si="0"/>
        <v>-367</v>
      </c>
    </row>
    <row r="20" spans="1:82" hidden="1">
      <c r="A20" s="671">
        <v>2</v>
      </c>
      <c r="B20" s="643">
        <v>1018.03088215995</v>
      </c>
      <c r="C20" s="643">
        <v>458.35755999999998</v>
      </c>
      <c r="D20" s="643">
        <f t="shared" si="2"/>
        <v>45.023934738355429</v>
      </c>
      <c r="E20" s="643">
        <v>474.84</v>
      </c>
      <c r="F20" s="643">
        <f t="shared" si="3"/>
        <v>46.642985819107452</v>
      </c>
      <c r="G20" s="643">
        <v>166.72</v>
      </c>
      <c r="H20" s="643">
        <f t="shared" si="4"/>
        <v>16.37671341033105</v>
      </c>
      <c r="I20" s="643">
        <v>22.28</v>
      </c>
      <c r="J20" s="643">
        <f t="shared" si="5"/>
        <v>2.1885387163038375</v>
      </c>
      <c r="K20" s="643">
        <v>84.82</v>
      </c>
      <c r="L20" s="643">
        <f t="shared" si="6"/>
        <v>8.3317708221225963</v>
      </c>
      <c r="CC20" s="141">
        <v>-2281</v>
      </c>
      <c r="CD20" s="320">
        <f t="shared" si="0"/>
        <v>-2281</v>
      </c>
    </row>
    <row r="21" spans="1:82" hidden="1">
      <c r="A21" s="671">
        <v>3</v>
      </c>
      <c r="B21" s="643">
        <v>1073.49730795293</v>
      </c>
      <c r="C21" s="643">
        <v>470.62920000000003</v>
      </c>
      <c r="D21" s="643">
        <f t="shared" si="2"/>
        <v>43.84074338271521</v>
      </c>
      <c r="E21" s="643">
        <v>517.26</v>
      </c>
      <c r="F21" s="643">
        <f t="shared" si="3"/>
        <v>48.184564243237062</v>
      </c>
      <c r="G21" s="643">
        <v>174.82</v>
      </c>
      <c r="H21" s="643">
        <f t="shared" si="4"/>
        <v>16.285089744041109</v>
      </c>
      <c r="I21" s="643">
        <v>24.74</v>
      </c>
      <c r="J21" s="643">
        <f t="shared" si="5"/>
        <v>2.3046168645897325</v>
      </c>
      <c r="K21" s="643">
        <v>85.6</v>
      </c>
      <c r="L21" s="643">
        <f t="shared" si="6"/>
        <v>7.9739370900922024</v>
      </c>
      <c r="CD21" s="320"/>
    </row>
    <row r="22" spans="1:82" hidden="1">
      <c r="A22" s="671">
        <v>4</v>
      </c>
      <c r="B22" s="643">
        <v>1098.39392782051</v>
      </c>
      <c r="C22" s="643">
        <v>495.50799999999998</v>
      </c>
      <c r="D22" s="643">
        <f t="shared" si="2"/>
        <v>45.112048368950155</v>
      </c>
      <c r="E22" s="643">
        <v>517.28</v>
      </c>
      <c r="F22" s="643">
        <f t="shared" si="3"/>
        <v>47.094215189846658</v>
      </c>
      <c r="G22" s="643">
        <v>184.7</v>
      </c>
      <c r="H22" s="643">
        <f t="shared" si="4"/>
        <v>16.815460767021108</v>
      </c>
      <c r="I22" s="643">
        <v>18.18</v>
      </c>
      <c r="J22" s="643">
        <f t="shared" si="5"/>
        <v>1.6551438914155048</v>
      </c>
      <c r="K22" s="643">
        <v>85.6</v>
      </c>
      <c r="L22" s="643">
        <f t="shared" si="6"/>
        <v>7.7931967604602415</v>
      </c>
      <c r="CC22" s="141">
        <f>CC24+CC25</f>
        <v>-797</v>
      </c>
      <c r="CD22" s="320">
        <f t="shared" si="0"/>
        <v>-797</v>
      </c>
    </row>
    <row r="23" spans="1:82" hidden="1">
      <c r="A23" s="671">
        <v>5</v>
      </c>
      <c r="B23" s="643">
        <v>1114.78937689698</v>
      </c>
      <c r="C23" s="643">
        <v>497.66460000000001</v>
      </c>
      <c r="D23" s="643">
        <f t="shared" si="2"/>
        <v>44.642029275992122</v>
      </c>
      <c r="E23" s="643">
        <v>531.52</v>
      </c>
      <c r="F23" s="643">
        <f t="shared" si="3"/>
        <v>47.678961695839597</v>
      </c>
      <c r="G23" s="643">
        <v>190.3</v>
      </c>
      <c r="H23" s="643">
        <f t="shared" si="4"/>
        <v>17.070489183320056</v>
      </c>
      <c r="I23" s="643">
        <v>19.18</v>
      </c>
      <c r="J23" s="643">
        <f t="shared" si="5"/>
        <v>1.7205043748611593</v>
      </c>
      <c r="K23" s="643">
        <v>85.6</v>
      </c>
      <c r="L23" s="643">
        <f t="shared" si="6"/>
        <v>7.6785805259705544</v>
      </c>
      <c r="CD23" s="320"/>
    </row>
    <row r="24" spans="1:82" hidden="1">
      <c r="A24" s="671">
        <v>6</v>
      </c>
      <c r="B24" s="643">
        <v>1079.6340253578201</v>
      </c>
      <c r="C24" s="643">
        <v>491.00819999999999</v>
      </c>
      <c r="D24" s="643">
        <f t="shared" si="2"/>
        <v>45.479133527425326</v>
      </c>
      <c r="E24" s="643">
        <v>547.70000000000005</v>
      </c>
      <c r="F24" s="643">
        <f t="shared" si="3"/>
        <v>50.730153657252266</v>
      </c>
      <c r="G24" s="643">
        <v>223.6</v>
      </c>
      <c r="H24" s="643">
        <f t="shared" si="4"/>
        <v>20.71072185094323</v>
      </c>
      <c r="I24" s="643">
        <v>20.239999999999998</v>
      </c>
      <c r="J24" s="643">
        <f t="shared" si="5"/>
        <v>1.8747093482249146</v>
      </c>
      <c r="K24" s="643">
        <v>40.9</v>
      </c>
      <c r="L24" s="643">
        <f t="shared" si="6"/>
        <v>3.7883207679050894</v>
      </c>
      <c r="CC24" s="141">
        <v>-644</v>
      </c>
      <c r="CD24" s="320">
        <f t="shared" si="0"/>
        <v>-644</v>
      </c>
    </row>
    <row r="25" spans="1:82" hidden="1">
      <c r="A25" s="671">
        <v>7</v>
      </c>
      <c r="B25" s="643">
        <v>1116.57347874425</v>
      </c>
      <c r="C25" s="643">
        <v>506.89679999999998</v>
      </c>
      <c r="D25" s="643">
        <f t="shared" si="2"/>
        <v>45.397531792540832</v>
      </c>
      <c r="E25" s="643">
        <v>568.75</v>
      </c>
      <c r="F25" s="643">
        <f t="shared" si="3"/>
        <v>50.937086616067795</v>
      </c>
      <c r="G25" s="643">
        <v>229.3</v>
      </c>
      <c r="H25" s="643">
        <f t="shared" si="4"/>
        <v>20.536042129343908</v>
      </c>
      <c r="I25" s="643">
        <v>19.8</v>
      </c>
      <c r="J25" s="643">
        <f t="shared" si="5"/>
        <v>1.7732823120846459</v>
      </c>
      <c r="K25" s="643">
        <v>40.94</v>
      </c>
      <c r="L25" s="643">
        <f t="shared" si="6"/>
        <v>3.6665746392295659</v>
      </c>
      <c r="CC25" s="141">
        <v>-153</v>
      </c>
      <c r="CD25" s="320">
        <f t="shared" si="0"/>
        <v>-153</v>
      </c>
    </row>
    <row r="26" spans="1:82" hidden="1">
      <c r="A26" s="671">
        <v>8</v>
      </c>
      <c r="B26" s="643">
        <v>1208.8811471966601</v>
      </c>
      <c r="C26" s="643">
        <v>580.3066</v>
      </c>
      <c r="D26" s="643">
        <f t="shared" si="2"/>
        <v>48.003610722667354</v>
      </c>
      <c r="E26" s="643">
        <v>587.65200000000004</v>
      </c>
      <c r="F26" s="643">
        <f t="shared" si="3"/>
        <v>48.611230422671248</v>
      </c>
      <c r="G26" s="643">
        <v>236.12</v>
      </c>
      <c r="H26" s="643">
        <f t="shared" si="4"/>
        <v>19.532110377231994</v>
      </c>
      <c r="I26" s="643">
        <v>20.76</v>
      </c>
      <c r="J26" s="643">
        <f t="shared" si="5"/>
        <v>1.7172904092467227</v>
      </c>
      <c r="K26" s="643">
        <v>40.94</v>
      </c>
      <c r="L26" s="643">
        <f t="shared" si="6"/>
        <v>3.3866025700655502</v>
      </c>
      <c r="CD26" s="320"/>
    </row>
    <row r="27" spans="1:82" hidden="1">
      <c r="A27" s="671">
        <v>9</v>
      </c>
      <c r="B27" s="643">
        <v>1245.13844420945</v>
      </c>
      <c r="C27" s="643">
        <v>596.98500000000001</v>
      </c>
      <c r="D27" s="643">
        <f t="shared" si="2"/>
        <v>47.945270887449901</v>
      </c>
      <c r="E27" s="643">
        <v>607.21199999999999</v>
      </c>
      <c r="F27" s="643">
        <f t="shared" si="3"/>
        <v>48.766625335829588</v>
      </c>
      <c r="G27" s="643">
        <v>242.62</v>
      </c>
      <c r="H27" s="643">
        <f t="shared" si="4"/>
        <v>19.485383422888507</v>
      </c>
      <c r="I27" s="643">
        <v>22.08</v>
      </c>
      <c r="J27" s="643">
        <f t="shared" si="5"/>
        <v>1.7732967850027954</v>
      </c>
      <c r="K27" s="643">
        <v>40.94</v>
      </c>
      <c r="L27" s="643">
        <f t="shared" si="6"/>
        <v>3.2879877888593492</v>
      </c>
      <c r="CD27" s="320"/>
    </row>
    <row r="28" spans="1:82" hidden="1">
      <c r="A28" s="671">
        <v>10</v>
      </c>
      <c r="B28" s="643">
        <v>1311.59635595949</v>
      </c>
      <c r="C28" s="643">
        <v>655.33280000000002</v>
      </c>
      <c r="D28" s="643">
        <f t="shared" si="2"/>
        <v>49.964518201226284</v>
      </c>
      <c r="E28" s="643">
        <v>616.65499999999997</v>
      </c>
      <c r="F28" s="643">
        <f t="shared" si="3"/>
        <v>47.015607903918728</v>
      </c>
      <c r="G28" s="643">
        <v>248.67</v>
      </c>
      <c r="H28" s="643">
        <f t="shared" si="4"/>
        <v>18.959339042848057</v>
      </c>
      <c r="I28" s="643">
        <v>23.722000000000001</v>
      </c>
      <c r="J28" s="643">
        <f t="shared" si="5"/>
        <v>1.8086357050486255</v>
      </c>
      <c r="K28" s="643">
        <v>39.6188</v>
      </c>
      <c r="L28" s="643">
        <f t="shared" si="6"/>
        <v>3.0206549309156259</v>
      </c>
      <c r="CD28" s="320"/>
    </row>
    <row r="29" spans="1:82" hidden="1">
      <c r="A29" s="671">
        <v>11</v>
      </c>
      <c r="B29" s="643">
        <v>1358.5165590987699</v>
      </c>
      <c r="C29" s="643">
        <v>684.62117599999999</v>
      </c>
      <c r="D29" s="643">
        <f t="shared" si="2"/>
        <v>50.394761213228989</v>
      </c>
      <c r="E29" s="643">
        <v>634.27600000000007</v>
      </c>
      <c r="F29" s="643">
        <f t="shared" si="3"/>
        <v>46.688867776538125</v>
      </c>
      <c r="G29" s="643">
        <v>255.18400000000003</v>
      </c>
      <c r="H29" s="643">
        <f t="shared" si="4"/>
        <v>18.784018368483284</v>
      </c>
      <c r="I29" s="643">
        <v>24.738999999999997</v>
      </c>
      <c r="J29" s="643">
        <f t="shared" si="5"/>
        <v>1.8210304345801769</v>
      </c>
      <c r="K29" s="643">
        <v>39.6188</v>
      </c>
      <c r="L29" s="643">
        <f t="shared" si="6"/>
        <v>2.9163280885058058</v>
      </c>
      <c r="CC29" s="141">
        <v>-31</v>
      </c>
      <c r="CD29" s="320">
        <f t="shared" si="0"/>
        <v>-31</v>
      </c>
    </row>
    <row r="30" spans="1:82" hidden="1">
      <c r="A30" s="671">
        <v>12</v>
      </c>
      <c r="B30" s="643">
        <v>1440.9632994538799</v>
      </c>
      <c r="C30" s="643">
        <v>748.273324</v>
      </c>
      <c r="D30" s="643">
        <f t="shared" si="2"/>
        <v>51.928687169450669</v>
      </c>
      <c r="E30" s="509">
        <v>653.1</v>
      </c>
      <c r="F30" s="643">
        <f t="shared" si="3"/>
        <v>45.323846918760715</v>
      </c>
      <c r="G30" s="643">
        <v>263.524</v>
      </c>
      <c r="H30" s="643">
        <f t="shared" si="4"/>
        <v>18.288043845382784</v>
      </c>
      <c r="I30" s="643">
        <v>25.936</v>
      </c>
      <c r="J30" s="643">
        <f t="shared" si="5"/>
        <v>1.7999070489740894</v>
      </c>
      <c r="K30" s="643">
        <v>39.6188</v>
      </c>
      <c r="L30" s="643">
        <f t="shared" si="6"/>
        <v>2.7494662782192569</v>
      </c>
      <c r="CC30" s="141">
        <v>-440</v>
      </c>
      <c r="CD30" s="320">
        <f t="shared" si="0"/>
        <v>-440</v>
      </c>
    </row>
    <row r="31" spans="1:82">
      <c r="A31" s="637">
        <v>2006</v>
      </c>
      <c r="B31" s="643">
        <f>+B43</f>
        <v>2362.721</v>
      </c>
      <c r="C31" s="643">
        <f t="shared" ref="C31:L31" si="7">+C43</f>
        <v>1068.3159999999998</v>
      </c>
      <c r="D31" s="643">
        <f t="shared" si="7"/>
        <v>45.215495185423919</v>
      </c>
      <c r="E31" s="643">
        <f t="shared" si="7"/>
        <v>1229.7260000000001</v>
      </c>
      <c r="F31" s="643">
        <f t="shared" si="7"/>
        <v>52.047025442276095</v>
      </c>
      <c r="G31" s="643">
        <f t="shared" si="7"/>
        <v>545.83000000000004</v>
      </c>
      <c r="H31" s="643">
        <f t="shared" si="7"/>
        <v>23.10175429092136</v>
      </c>
      <c r="I31" s="643">
        <f t="shared" si="7"/>
        <v>55.75</v>
      </c>
      <c r="J31" s="643">
        <f t="shared" si="7"/>
        <v>2.3595676340964507</v>
      </c>
      <c r="K31" s="643">
        <f t="shared" si="7"/>
        <v>64.679000000000002</v>
      </c>
      <c r="L31" s="643">
        <f t="shared" si="7"/>
        <v>2.7374793722999882</v>
      </c>
      <c r="CD31" s="320"/>
    </row>
    <row r="32" spans="1:82" hidden="1">
      <c r="A32" s="671">
        <v>1</v>
      </c>
      <c r="B32" s="643">
        <v>1380.3599047600001</v>
      </c>
      <c r="C32" s="643">
        <v>684.29769499999998</v>
      </c>
      <c r="D32" s="643">
        <f t="shared" ref="D32:D43" si="8">+C32/B32*100</f>
        <v>49.573860602606914</v>
      </c>
      <c r="E32" s="643">
        <v>656.45</v>
      </c>
      <c r="F32" s="643">
        <f t="shared" ref="F32:F51" si="9">+E32/B32*100</f>
        <v>47.556437834532403</v>
      </c>
      <c r="G32" s="643">
        <v>253.3</v>
      </c>
      <c r="H32" s="643">
        <f t="shared" ref="H32:H43" si="10">+G32/B32*100</f>
        <v>18.35028669889109</v>
      </c>
      <c r="I32" s="643">
        <v>25.02</v>
      </c>
      <c r="J32" s="643">
        <f t="shared" ref="J32:J51" si="11">+I32/B32*100</f>
        <v>1.8125707588087447</v>
      </c>
      <c r="K32" s="643">
        <v>48.29</v>
      </c>
      <c r="L32" s="643">
        <f t="shared" ref="L32:L51" si="12">+K32/B32*100</f>
        <v>3.4983629873251112</v>
      </c>
      <c r="CC32" s="141">
        <f>CC34+CC35</f>
        <v>-498</v>
      </c>
      <c r="CD32" s="320">
        <f>BY32+BZ32+CA32+CC32</f>
        <v>-498</v>
      </c>
    </row>
    <row r="33" spans="1:82" hidden="1">
      <c r="A33" s="671">
        <v>2</v>
      </c>
      <c r="B33" s="643">
        <v>1352.2</v>
      </c>
      <c r="C33" s="643">
        <v>629.49400000000003</v>
      </c>
      <c r="D33" s="643">
        <f t="shared" si="8"/>
        <v>46.553320514716759</v>
      </c>
      <c r="E33" s="643">
        <v>674.41600000000005</v>
      </c>
      <c r="F33" s="643">
        <f t="shared" si="9"/>
        <v>49.875462209732291</v>
      </c>
      <c r="G33" s="643">
        <v>262.76</v>
      </c>
      <c r="H33" s="643">
        <f t="shared" si="10"/>
        <v>19.432036680964355</v>
      </c>
      <c r="I33" s="643">
        <v>27.42</v>
      </c>
      <c r="J33" s="643">
        <f t="shared" si="11"/>
        <v>2.0278065374944534</v>
      </c>
      <c r="K33" s="643">
        <v>48.29</v>
      </c>
      <c r="L33" s="643">
        <f t="shared" si="12"/>
        <v>3.5712172755509539</v>
      </c>
      <c r="CD33" s="320"/>
    </row>
    <row r="34" spans="1:82" hidden="1">
      <c r="A34" s="671">
        <v>3</v>
      </c>
      <c r="B34" s="643">
        <v>1395.11</v>
      </c>
      <c r="C34" s="643">
        <v>643.13199999999995</v>
      </c>
      <c r="D34" s="643">
        <f t="shared" si="8"/>
        <v>46.099017281791397</v>
      </c>
      <c r="E34" s="643">
        <v>703.68299999999999</v>
      </c>
      <c r="F34" s="643">
        <f t="shared" si="9"/>
        <v>50.439248518038006</v>
      </c>
      <c r="G34" s="643">
        <v>271.08999999999997</v>
      </c>
      <c r="H34" s="643">
        <f t="shared" si="10"/>
        <v>19.43144268193906</v>
      </c>
      <c r="I34" s="643">
        <v>27.68</v>
      </c>
      <c r="J34" s="643">
        <f t="shared" si="11"/>
        <v>1.9840729404849797</v>
      </c>
      <c r="K34" s="643">
        <v>48.29</v>
      </c>
      <c r="L34" s="643">
        <f t="shared" si="12"/>
        <v>3.4613758054920405</v>
      </c>
      <c r="CC34" s="141">
        <v>-521</v>
      </c>
      <c r="CD34" s="320">
        <f>BY34+BZ34+CA34+CC34</f>
        <v>-521</v>
      </c>
    </row>
    <row r="35" spans="1:82" hidden="1">
      <c r="A35" s="671">
        <v>4</v>
      </c>
      <c r="B35" s="643">
        <v>1529.2349999999999</v>
      </c>
      <c r="C35" s="643">
        <v>741.30799999999999</v>
      </c>
      <c r="D35" s="643">
        <f t="shared" si="8"/>
        <v>48.475741138543135</v>
      </c>
      <c r="E35" s="643">
        <v>734.87900000000002</v>
      </c>
      <c r="F35" s="643">
        <f t="shared" si="9"/>
        <v>48.055334856970973</v>
      </c>
      <c r="G35" s="643">
        <v>292.20999999999998</v>
      </c>
      <c r="H35" s="643">
        <f t="shared" si="10"/>
        <v>19.108246933924477</v>
      </c>
      <c r="I35" s="643">
        <v>28.64</v>
      </c>
      <c r="J35" s="643">
        <f t="shared" si="11"/>
        <v>1.8728318407569797</v>
      </c>
      <c r="K35" s="643">
        <v>53.048000000000002</v>
      </c>
      <c r="L35" s="643">
        <f t="shared" si="12"/>
        <v>3.4689240044859035</v>
      </c>
      <c r="CC35" s="141">
        <v>23</v>
      </c>
      <c r="CD35" s="320">
        <f>BY35+BZ35+CA35+CC35</f>
        <v>23</v>
      </c>
    </row>
    <row r="36" spans="1:82" hidden="1">
      <c r="A36" s="671">
        <v>5</v>
      </c>
      <c r="B36" s="643">
        <v>1556.8</v>
      </c>
      <c r="C36" s="643">
        <v>725.5</v>
      </c>
      <c r="D36" s="643">
        <f t="shared" si="8"/>
        <v>46.602004110996923</v>
      </c>
      <c r="E36" s="643">
        <v>778.3</v>
      </c>
      <c r="F36" s="643">
        <f t="shared" si="9"/>
        <v>49.993576567317568</v>
      </c>
      <c r="G36" s="643">
        <v>342.9</v>
      </c>
      <c r="H36" s="643">
        <f t="shared" si="10"/>
        <v>22.025950668036998</v>
      </c>
      <c r="I36" s="643">
        <v>32.5</v>
      </c>
      <c r="J36" s="643">
        <f t="shared" si="11"/>
        <v>2.0876156217882835</v>
      </c>
      <c r="K36" s="643">
        <v>53.048000000000002</v>
      </c>
      <c r="L36" s="643">
        <f t="shared" si="12"/>
        <v>3.4075025693730736</v>
      </c>
      <c r="CD36" s="320"/>
    </row>
    <row r="37" spans="1:82" hidden="1">
      <c r="A37" s="671">
        <v>6</v>
      </c>
      <c r="B37" s="643">
        <v>1660.51</v>
      </c>
      <c r="C37" s="643">
        <f t="shared" ref="C37:C42" si="13">B37-E37-K37</f>
        <v>769.27800000000002</v>
      </c>
      <c r="D37" s="643">
        <f t="shared" si="8"/>
        <v>46.327814948419466</v>
      </c>
      <c r="E37" s="643">
        <v>838.18399999999997</v>
      </c>
      <c r="F37" s="643">
        <f t="shared" si="9"/>
        <v>50.477503899404397</v>
      </c>
      <c r="G37" s="643">
        <v>369.65</v>
      </c>
      <c r="H37" s="643">
        <f t="shared" si="10"/>
        <v>22.261232994682356</v>
      </c>
      <c r="I37" s="643">
        <v>34.17</v>
      </c>
      <c r="J37" s="643">
        <f t="shared" si="11"/>
        <v>2.0578015188104861</v>
      </c>
      <c r="K37" s="643">
        <v>53.048000000000002</v>
      </c>
      <c r="L37" s="643">
        <f t="shared" si="12"/>
        <v>3.1946811521761389</v>
      </c>
      <c r="CC37" s="141">
        <v>433</v>
      </c>
      <c r="CD37" s="320">
        <f t="shared" si="0"/>
        <v>433</v>
      </c>
    </row>
    <row r="38" spans="1:82" hidden="1">
      <c r="A38" s="671">
        <v>7</v>
      </c>
      <c r="B38" s="643">
        <v>1785</v>
      </c>
      <c r="C38" s="643">
        <f t="shared" si="13"/>
        <v>839.95300000000009</v>
      </c>
      <c r="D38" s="643">
        <f t="shared" si="8"/>
        <v>47.05619047619048</v>
      </c>
      <c r="E38" s="643">
        <v>885.86699999999996</v>
      </c>
      <c r="F38" s="643">
        <f t="shared" si="9"/>
        <v>49.628403361344539</v>
      </c>
      <c r="G38" s="643">
        <v>386.63</v>
      </c>
      <c r="H38" s="643">
        <f t="shared" si="10"/>
        <v>21.659943977591038</v>
      </c>
      <c r="I38" s="643">
        <v>34.950000000000003</v>
      </c>
      <c r="J38" s="643">
        <f t="shared" si="11"/>
        <v>1.9579831932773111</v>
      </c>
      <c r="K38" s="643">
        <v>59.18</v>
      </c>
      <c r="L38" s="643">
        <f t="shared" si="12"/>
        <v>3.3154061624649858</v>
      </c>
      <c r="CC38" s="141">
        <v>-931</v>
      </c>
      <c r="CD38" s="320">
        <f t="shared" si="0"/>
        <v>-931</v>
      </c>
    </row>
    <row r="39" spans="1:82" hidden="1">
      <c r="A39" s="671">
        <v>8</v>
      </c>
      <c r="B39" s="643">
        <v>1876.88</v>
      </c>
      <c r="C39" s="643">
        <f t="shared" si="13"/>
        <v>871.22000000000014</v>
      </c>
      <c r="D39" s="643">
        <f t="shared" si="8"/>
        <v>46.418524359575471</v>
      </c>
      <c r="E39" s="643">
        <v>946.48</v>
      </c>
      <c r="F39" s="643">
        <f t="shared" si="9"/>
        <v>50.428370487191508</v>
      </c>
      <c r="G39" s="643">
        <v>415.51</v>
      </c>
      <c r="H39" s="643">
        <f t="shared" si="10"/>
        <v>22.138335961808959</v>
      </c>
      <c r="I39" s="643">
        <v>38.659999999999997</v>
      </c>
      <c r="J39" s="643">
        <f t="shared" si="11"/>
        <v>2.059801372490516</v>
      </c>
      <c r="K39" s="643">
        <v>59.18</v>
      </c>
      <c r="L39" s="643">
        <f t="shared" si="12"/>
        <v>3.1531051532330245</v>
      </c>
      <c r="CD39" s="320"/>
    </row>
    <row r="40" spans="1:82" hidden="1">
      <c r="A40" s="671">
        <v>9</v>
      </c>
      <c r="B40" s="643">
        <v>2015.15</v>
      </c>
      <c r="C40" s="643">
        <f t="shared" si="13"/>
        <v>943.2600000000001</v>
      </c>
      <c r="D40" s="643">
        <f t="shared" si="8"/>
        <v>46.808426171749005</v>
      </c>
      <c r="E40" s="643">
        <v>1012.71</v>
      </c>
      <c r="F40" s="643">
        <f t="shared" si="9"/>
        <v>50.254819740465976</v>
      </c>
      <c r="G40" s="643">
        <v>445.83</v>
      </c>
      <c r="H40" s="643">
        <f t="shared" si="10"/>
        <v>22.123911371361931</v>
      </c>
      <c r="I40" s="643">
        <v>41.45</v>
      </c>
      <c r="J40" s="643">
        <f t="shared" si="11"/>
        <v>2.0569188397886013</v>
      </c>
      <c r="K40" s="643">
        <v>59.18</v>
      </c>
      <c r="L40" s="643">
        <f t="shared" si="12"/>
        <v>2.9367540877850282</v>
      </c>
      <c r="CC40" s="141">
        <v>204</v>
      </c>
      <c r="CD40" s="320">
        <f t="shared" si="0"/>
        <v>204</v>
      </c>
    </row>
    <row r="41" spans="1:82" hidden="1">
      <c r="A41" s="671">
        <v>10</v>
      </c>
      <c r="B41" s="643">
        <v>2159.9</v>
      </c>
      <c r="C41" s="643">
        <f t="shared" si="13"/>
        <v>1014.6800000000002</v>
      </c>
      <c r="D41" s="643">
        <f t="shared" si="8"/>
        <v>46.978100838001765</v>
      </c>
      <c r="E41" s="643">
        <v>1080.5409999999999</v>
      </c>
      <c r="F41" s="643">
        <f t="shared" si="9"/>
        <v>50.027362377887862</v>
      </c>
      <c r="G41" s="643">
        <v>486.03</v>
      </c>
      <c r="H41" s="643">
        <f t="shared" si="10"/>
        <v>22.502430668086486</v>
      </c>
      <c r="I41" s="643">
        <v>45.25</v>
      </c>
      <c r="J41" s="643">
        <f t="shared" si="11"/>
        <v>2.0950043983517754</v>
      </c>
      <c r="K41" s="643">
        <v>64.679000000000002</v>
      </c>
      <c r="L41" s="643">
        <f t="shared" si="12"/>
        <v>2.9945367841103754</v>
      </c>
      <c r="CC41" s="141">
        <v>200</v>
      </c>
      <c r="CD41" s="320">
        <f t="shared" si="0"/>
        <v>200</v>
      </c>
    </row>
    <row r="42" spans="1:82" hidden="1">
      <c r="A42" s="671">
        <v>11</v>
      </c>
      <c r="B42" s="643">
        <v>2242.0309999999999</v>
      </c>
      <c r="C42" s="643">
        <f t="shared" si="13"/>
        <v>1000.4019999999999</v>
      </c>
      <c r="D42" s="643">
        <f t="shared" si="8"/>
        <v>44.620346462649266</v>
      </c>
      <c r="E42" s="643">
        <v>1176.95</v>
      </c>
      <c r="F42" s="643">
        <f t="shared" si="9"/>
        <v>52.494813854045731</v>
      </c>
      <c r="G42" s="643">
        <v>519.91</v>
      </c>
      <c r="H42" s="643">
        <f t="shared" si="10"/>
        <v>23.189242254009869</v>
      </c>
      <c r="I42" s="643">
        <v>50.04</v>
      </c>
      <c r="J42" s="643">
        <f t="shared" si="11"/>
        <v>2.2319049112166605</v>
      </c>
      <c r="K42" s="643">
        <v>64.679000000000002</v>
      </c>
      <c r="L42" s="643">
        <f t="shared" si="12"/>
        <v>2.8848396833050032</v>
      </c>
      <c r="CD42" s="320"/>
    </row>
    <row r="43" spans="1:82" hidden="1">
      <c r="A43" s="671">
        <v>12</v>
      </c>
      <c r="B43" s="643">
        <v>2362.721</v>
      </c>
      <c r="C43" s="643">
        <f>B43-E43-K43</f>
        <v>1068.3159999999998</v>
      </c>
      <c r="D43" s="643">
        <f t="shared" si="8"/>
        <v>45.215495185423919</v>
      </c>
      <c r="E43" s="643">
        <v>1229.7260000000001</v>
      </c>
      <c r="F43" s="643">
        <f t="shared" si="9"/>
        <v>52.047025442276095</v>
      </c>
      <c r="G43" s="643">
        <v>545.83000000000004</v>
      </c>
      <c r="H43" s="643">
        <f t="shared" si="10"/>
        <v>23.10175429092136</v>
      </c>
      <c r="I43" s="643">
        <v>55.75</v>
      </c>
      <c r="J43" s="643">
        <f t="shared" si="11"/>
        <v>2.3595676340964507</v>
      </c>
      <c r="K43" s="643">
        <v>64.679000000000002</v>
      </c>
      <c r="L43" s="643">
        <f t="shared" si="12"/>
        <v>2.7374793722999882</v>
      </c>
      <c r="CC43" s="141">
        <v>295</v>
      </c>
      <c r="CD43" s="320">
        <f t="shared" si="0"/>
        <v>295</v>
      </c>
    </row>
    <row r="44" spans="1:82">
      <c r="A44" s="637">
        <v>2007</v>
      </c>
      <c r="B44" s="643">
        <f>+B56</f>
        <v>4681.7733614700001</v>
      </c>
      <c r="C44" s="643">
        <f t="shared" ref="C44:L44" si="14">+C56</f>
        <v>1990.7013100000001</v>
      </c>
      <c r="D44" s="643">
        <f t="shared" si="14"/>
        <v>42.520240863922396</v>
      </c>
      <c r="E44" s="643">
        <f t="shared" si="14"/>
        <v>2562.9523874699998</v>
      </c>
      <c r="F44" s="643">
        <f t="shared" si="14"/>
        <v>54.743196425579967</v>
      </c>
      <c r="G44" s="643">
        <f t="shared" si="14"/>
        <v>1437.6468533499997</v>
      </c>
      <c r="H44" s="643">
        <f t="shared" si="14"/>
        <v>30.707314138303399</v>
      </c>
      <c r="I44" s="643">
        <f t="shared" si="14"/>
        <v>216.18870413999997</v>
      </c>
      <c r="J44" s="643">
        <f t="shared" si="14"/>
        <v>4.6176670130849793</v>
      </c>
      <c r="K44" s="643">
        <f t="shared" si="14"/>
        <v>128.119664</v>
      </c>
      <c r="L44" s="643">
        <f t="shared" si="14"/>
        <v>2.7365627104976422</v>
      </c>
      <c r="CC44" s="141">
        <v>-95</v>
      </c>
      <c r="CD44" s="320">
        <f t="shared" si="0"/>
        <v>-95</v>
      </c>
    </row>
    <row r="45" spans="1:82" hidden="1">
      <c r="A45" s="671">
        <v>1</v>
      </c>
      <c r="B45" s="643">
        <v>2500.8557842800001</v>
      </c>
      <c r="C45" s="643">
        <f t="shared" ref="C45:C56" si="15">B45-E45-K45</f>
        <v>1149.02213127</v>
      </c>
      <c r="D45" s="643">
        <f t="shared" ref="D45:D56" si="16">+C45/B45*100</f>
        <v>45.945157593355795</v>
      </c>
      <c r="E45" s="643">
        <v>1271.42029501</v>
      </c>
      <c r="F45" s="643">
        <f t="shared" si="9"/>
        <v>50.839408773666797</v>
      </c>
      <c r="G45" s="643">
        <v>562.42999999999995</v>
      </c>
      <c r="H45" s="643">
        <f t="shared" ref="H45:H56" si="17">+G45/B45*100</f>
        <v>22.489501535248436</v>
      </c>
      <c r="I45" s="643">
        <v>58.34</v>
      </c>
      <c r="J45" s="643">
        <f t="shared" si="11"/>
        <v>2.3328014500762655</v>
      </c>
      <c r="K45" s="643">
        <v>80.413358000000002</v>
      </c>
      <c r="L45" s="643">
        <f t="shared" si="12"/>
        <v>3.215433632977406</v>
      </c>
      <c r="CD45" s="320"/>
    </row>
    <row r="46" spans="1:82" hidden="1">
      <c r="A46" s="671">
        <v>2</v>
      </c>
      <c r="B46" s="643">
        <v>2663.49710117</v>
      </c>
      <c r="C46" s="643">
        <f t="shared" si="15"/>
        <v>1256.8297731999999</v>
      </c>
      <c r="D46" s="643">
        <f t="shared" si="16"/>
        <v>47.187202593459162</v>
      </c>
      <c r="E46" s="643">
        <v>1326.2539699700001</v>
      </c>
      <c r="F46" s="643">
        <f t="shared" si="9"/>
        <v>49.793708030972276</v>
      </c>
      <c r="G46" s="643">
        <v>593.07000000000005</v>
      </c>
      <c r="H46" s="643">
        <f t="shared" si="17"/>
        <v>22.266590781701282</v>
      </c>
      <c r="I46" s="643">
        <v>63.81</v>
      </c>
      <c r="J46" s="643">
        <f t="shared" si="11"/>
        <v>2.3957225247953171</v>
      </c>
      <c r="K46" s="643">
        <v>80.413358000000002</v>
      </c>
      <c r="L46" s="643">
        <f t="shared" si="12"/>
        <v>3.0190893755685582</v>
      </c>
      <c r="CC46" s="141">
        <v>0</v>
      </c>
      <c r="CD46" s="320">
        <f t="shared" si="0"/>
        <v>0</v>
      </c>
    </row>
    <row r="47" spans="1:82" hidden="1">
      <c r="A47" s="671">
        <v>3</v>
      </c>
      <c r="B47" s="643">
        <v>2880.8536487800002</v>
      </c>
      <c r="C47" s="643">
        <f t="shared" si="15"/>
        <v>1401.4806140000001</v>
      </c>
      <c r="D47" s="643">
        <f t="shared" si="16"/>
        <v>48.648101738646346</v>
      </c>
      <c r="E47" s="643">
        <v>1398.9596767800001</v>
      </c>
      <c r="F47" s="643">
        <f t="shared" si="9"/>
        <v>48.560595133752777</v>
      </c>
      <c r="G47" s="643">
        <v>624.57000000000005</v>
      </c>
      <c r="H47" s="643">
        <f t="shared" si="17"/>
        <v>21.680032245459479</v>
      </c>
      <c r="I47" s="643">
        <v>68.790000000000006</v>
      </c>
      <c r="J47" s="643">
        <f t="shared" si="11"/>
        <v>2.3878338987866172</v>
      </c>
      <c r="K47" s="643">
        <v>80.413358000000002</v>
      </c>
      <c r="L47" s="643">
        <f t="shared" si="12"/>
        <v>2.7913031276008726</v>
      </c>
      <c r="CD47" s="320"/>
    </row>
    <row r="48" spans="1:82" hidden="1">
      <c r="A48" s="671">
        <v>4</v>
      </c>
      <c r="B48" s="643">
        <v>3091.2641826099998</v>
      </c>
      <c r="C48" s="643">
        <f t="shared" si="15"/>
        <v>1485.2448795099997</v>
      </c>
      <c r="D48" s="643">
        <f t="shared" si="16"/>
        <v>48.04652050980598</v>
      </c>
      <c r="E48" s="643">
        <v>1509.5071201000001</v>
      </c>
      <c r="F48" s="643">
        <f t="shared" si="9"/>
        <v>48.831385185121931</v>
      </c>
      <c r="G48" s="643">
        <v>664.96554585000001</v>
      </c>
      <c r="H48" s="643">
        <f t="shared" si="17"/>
        <v>21.511119935681453</v>
      </c>
      <c r="I48" s="643">
        <v>74.491120699999982</v>
      </c>
      <c r="J48" s="643">
        <f t="shared" si="11"/>
        <v>2.40973001010564</v>
      </c>
      <c r="K48" s="643">
        <v>96.512182999999993</v>
      </c>
      <c r="L48" s="643">
        <f t="shared" si="12"/>
        <v>3.1220943050720864</v>
      </c>
      <c r="CC48" s="141">
        <f>CC49-CC53</f>
        <v>481</v>
      </c>
      <c r="CD48" s="320">
        <f t="shared" si="0"/>
        <v>481</v>
      </c>
    </row>
    <row r="49" spans="1:82" hidden="1">
      <c r="A49" s="671">
        <v>5</v>
      </c>
      <c r="B49" s="643">
        <v>3315.4499153500001</v>
      </c>
      <c r="C49" s="643">
        <f t="shared" si="15"/>
        <v>1569.0301690000001</v>
      </c>
      <c r="D49" s="643">
        <f t="shared" si="16"/>
        <v>47.324803844438811</v>
      </c>
      <c r="E49" s="643">
        <v>1649.9075633499999</v>
      </c>
      <c r="F49" s="643">
        <f t="shared" si="9"/>
        <v>49.764213167908018</v>
      </c>
      <c r="G49" s="643">
        <v>708.62027383000009</v>
      </c>
      <c r="H49" s="643">
        <f t="shared" si="17"/>
        <v>21.37327638548247</v>
      </c>
      <c r="I49" s="643">
        <v>77.981396009999997</v>
      </c>
      <c r="J49" s="643">
        <f t="shared" si="11"/>
        <v>2.3520607459325102</v>
      </c>
      <c r="K49" s="643">
        <v>96.512182999999993</v>
      </c>
      <c r="L49" s="643">
        <f t="shared" si="12"/>
        <v>2.9109829876531719</v>
      </c>
      <c r="CC49" s="141">
        <f>CC51+CC52</f>
        <v>965</v>
      </c>
      <c r="CD49" s="320">
        <f t="shared" si="0"/>
        <v>965</v>
      </c>
    </row>
    <row r="50" spans="1:82" hidden="1">
      <c r="A50" s="671">
        <v>6</v>
      </c>
      <c r="B50" s="643">
        <v>3458.4920896200001</v>
      </c>
      <c r="C50" s="643">
        <f t="shared" si="15"/>
        <v>1573.4175890000001</v>
      </c>
      <c r="D50" s="643">
        <f t="shared" si="16"/>
        <v>45.494323775448578</v>
      </c>
      <c r="E50" s="643">
        <v>1788.5623176199999</v>
      </c>
      <c r="F50" s="643">
        <f t="shared" si="9"/>
        <v>51.71509060228955</v>
      </c>
      <c r="G50" s="643">
        <v>763.95995914999992</v>
      </c>
      <c r="H50" s="643">
        <f t="shared" si="17"/>
        <v>22.08939443414889</v>
      </c>
      <c r="I50" s="643">
        <v>81.70791921</v>
      </c>
      <c r="J50" s="643">
        <f t="shared" si="11"/>
        <v>2.3625301747900664</v>
      </c>
      <c r="K50" s="643">
        <v>96.512182999999993</v>
      </c>
      <c r="L50" s="643">
        <f t="shared" si="12"/>
        <v>2.7905856222618746</v>
      </c>
      <c r="CD50" s="320"/>
    </row>
    <row r="51" spans="1:82" hidden="1">
      <c r="A51" s="671">
        <v>7</v>
      </c>
      <c r="B51" s="643">
        <v>3443.9037720199999</v>
      </c>
      <c r="C51" s="643">
        <f t="shared" si="15"/>
        <v>1407.0802799999999</v>
      </c>
      <c r="D51" s="643">
        <f t="shared" si="16"/>
        <v>40.85713112636379</v>
      </c>
      <c r="E51" s="643">
        <v>1925.8696660200001</v>
      </c>
      <c r="F51" s="643">
        <f t="shared" si="9"/>
        <v>55.92112304840601</v>
      </c>
      <c r="G51" s="643">
        <v>820.42879941000001</v>
      </c>
      <c r="H51" s="643">
        <f t="shared" si="17"/>
        <v>23.822640053870689</v>
      </c>
      <c r="I51" s="643">
        <v>85.196252430000001</v>
      </c>
      <c r="J51" s="643">
        <f t="shared" si="11"/>
        <v>2.473827901992415</v>
      </c>
      <c r="K51" s="643">
        <v>110.95382600000001</v>
      </c>
      <c r="L51" s="643">
        <f t="shared" si="12"/>
        <v>3.221745825230208</v>
      </c>
      <c r="CC51" s="141">
        <v>954</v>
      </c>
      <c r="CD51" s="320">
        <f t="shared" si="0"/>
        <v>954</v>
      </c>
    </row>
    <row r="52" spans="1:82" hidden="1">
      <c r="A52" s="671">
        <v>8</v>
      </c>
      <c r="B52" s="643">
        <v>3573.0027270300002</v>
      </c>
      <c r="C52" s="643">
        <f t="shared" si="15"/>
        <v>1384.93599412</v>
      </c>
      <c r="D52" s="643">
        <f t="shared" si="16"/>
        <v>38.761123344319564</v>
      </c>
      <c r="E52" s="643">
        <v>2077.1129069100002</v>
      </c>
      <c r="F52" s="643">
        <f>+E52/B52*100</f>
        <v>58.133538247718221</v>
      </c>
      <c r="G52" s="643">
        <v>885.59553532999985</v>
      </c>
      <c r="H52" s="643">
        <f t="shared" si="17"/>
        <v>24.785750333477537</v>
      </c>
      <c r="I52" s="643">
        <v>90.869078280000011</v>
      </c>
      <c r="J52" s="643">
        <f>+I52/B52*100</f>
        <v>2.5432132360988553</v>
      </c>
      <c r="K52" s="643">
        <v>110.95382600000001</v>
      </c>
      <c r="L52" s="643">
        <f>+K52/B52*100</f>
        <v>3.1053384079622171</v>
      </c>
      <c r="CC52" s="141">
        <v>11</v>
      </c>
      <c r="CD52" s="320">
        <f t="shared" si="0"/>
        <v>11</v>
      </c>
    </row>
    <row r="53" spans="1:82" hidden="1">
      <c r="A53" s="671">
        <v>9</v>
      </c>
      <c r="B53" s="643">
        <v>3771.25162757</v>
      </c>
      <c r="C53" s="643">
        <f t="shared" si="15"/>
        <v>1478.2794400000002</v>
      </c>
      <c r="D53" s="643">
        <f t="shared" si="16"/>
        <v>39.198642413381663</v>
      </c>
      <c r="E53" s="643">
        <v>2182.0183615699998</v>
      </c>
      <c r="F53" s="643">
        <f>+E53/B53*100</f>
        <v>57.859262044945538</v>
      </c>
      <c r="G53" s="643">
        <v>944.36191806999977</v>
      </c>
      <c r="H53" s="643">
        <f t="shared" si="17"/>
        <v>25.041074193145207</v>
      </c>
      <c r="I53" s="643">
        <v>98.459150980000004</v>
      </c>
      <c r="J53" s="643">
        <f>+I53/B53*100</f>
        <v>2.6107817961603907</v>
      </c>
      <c r="K53" s="643">
        <v>110.95382600000001</v>
      </c>
      <c r="L53" s="643">
        <f>+K53/B53*100</f>
        <v>2.9420955416728032</v>
      </c>
      <c r="CC53" s="141">
        <f>CC55+CC56+CC57+CC58</f>
        <v>484</v>
      </c>
      <c r="CD53" s="320">
        <f t="shared" si="0"/>
        <v>484</v>
      </c>
    </row>
    <row r="54" spans="1:82" hidden="1">
      <c r="A54" s="671">
        <v>10</v>
      </c>
      <c r="B54" s="643">
        <v>4050.0154233600001</v>
      </c>
      <c r="C54" s="643">
        <f t="shared" si="15"/>
        <v>1586.955005</v>
      </c>
      <c r="D54" s="643">
        <f t="shared" si="16"/>
        <v>39.183924975856513</v>
      </c>
      <c r="E54" s="643">
        <v>2334.94075436</v>
      </c>
      <c r="F54" s="643">
        <f>+E54/B54*100</f>
        <v>57.652638577432171</v>
      </c>
      <c r="G54" s="643">
        <v>1007.1</v>
      </c>
      <c r="H54" s="643">
        <f t="shared" si="17"/>
        <v>24.86657196886631</v>
      </c>
      <c r="I54" s="643">
        <v>105.2</v>
      </c>
      <c r="J54" s="643">
        <f>+I54/B54*100</f>
        <v>2.5975209722219601</v>
      </c>
      <c r="K54" s="643">
        <v>128.119664</v>
      </c>
      <c r="L54" s="643">
        <f>+K54/B54*100</f>
        <v>3.1634364467113198</v>
      </c>
      <c r="CD54" s="320"/>
    </row>
    <row r="55" spans="1:82" hidden="1">
      <c r="A55" s="671">
        <v>11</v>
      </c>
      <c r="B55" s="643">
        <v>4340.2819493500001</v>
      </c>
      <c r="C55" s="643">
        <f t="shared" si="15"/>
        <v>1725.6668069999998</v>
      </c>
      <c r="D55" s="643">
        <f t="shared" si="16"/>
        <v>39.759325019390396</v>
      </c>
      <c r="E55" s="643">
        <v>2486.4954783500002</v>
      </c>
      <c r="F55" s="643">
        <f>+E55/B55*100</f>
        <v>57.288800759185179</v>
      </c>
      <c r="G55" s="643">
        <v>1378.9939727899998</v>
      </c>
      <c r="H55" s="643">
        <f t="shared" si="17"/>
        <v>31.77199059606065</v>
      </c>
      <c r="I55" s="643">
        <v>204.01737525999999</v>
      </c>
      <c r="J55" s="643">
        <f>+I55/B55*100</f>
        <v>4.7005558081440677</v>
      </c>
      <c r="K55" s="643">
        <v>128.119664</v>
      </c>
      <c r="L55" s="643">
        <f>+K55/B55*100</f>
        <v>2.9518742214244211</v>
      </c>
      <c r="CC55" s="141">
        <v>1214</v>
      </c>
      <c r="CD55" s="320">
        <f t="shared" si="0"/>
        <v>1214</v>
      </c>
    </row>
    <row r="56" spans="1:82" hidden="1">
      <c r="A56" s="671">
        <v>12</v>
      </c>
      <c r="B56" s="643">
        <v>4681.7733614700001</v>
      </c>
      <c r="C56" s="643">
        <f t="shared" si="15"/>
        <v>1990.7013100000001</v>
      </c>
      <c r="D56" s="643">
        <f t="shared" si="16"/>
        <v>42.520240863922396</v>
      </c>
      <c r="E56" s="643">
        <v>2562.9523874699998</v>
      </c>
      <c r="F56" s="643">
        <f>+E56/B56*100</f>
        <v>54.743196425579967</v>
      </c>
      <c r="G56" s="643">
        <v>1437.6468533499997</v>
      </c>
      <c r="H56" s="643">
        <f t="shared" si="17"/>
        <v>30.707314138303399</v>
      </c>
      <c r="I56" s="643">
        <v>216.18870413999997</v>
      </c>
      <c r="J56" s="643">
        <f>+I56/B56*100</f>
        <v>4.6176670130849793</v>
      </c>
      <c r="K56" s="643">
        <v>128.119664</v>
      </c>
      <c r="L56" s="643">
        <f>+K56/B56*100</f>
        <v>2.7365627104976422</v>
      </c>
      <c r="CC56" s="141">
        <v>-745</v>
      </c>
      <c r="CD56" s="320">
        <f t="shared" si="0"/>
        <v>-745</v>
      </c>
    </row>
    <row r="57" spans="1:82">
      <c r="A57" s="671">
        <v>2008</v>
      </c>
      <c r="B57" s="643">
        <f>+B69</f>
        <v>7191.2507889600001</v>
      </c>
      <c r="C57" s="643">
        <f t="shared" ref="C57:L57" si="18">+C69</f>
        <v>3027.474385</v>
      </c>
      <c r="D57" s="643">
        <f t="shared" si="18"/>
        <v>42.099413215400233</v>
      </c>
      <c r="E57" s="643">
        <f t="shared" si="18"/>
        <v>3989.00492596</v>
      </c>
      <c r="F57" s="643">
        <f t="shared" si="18"/>
        <v>55.470251880019482</v>
      </c>
      <c r="G57" s="643">
        <f t="shared" si="18"/>
        <v>2024.8969254599995</v>
      </c>
      <c r="H57" s="643">
        <f t="shared" si="18"/>
        <v>28.157784853903561</v>
      </c>
      <c r="I57" s="643">
        <f t="shared" si="18"/>
        <v>379.85306704999988</v>
      </c>
      <c r="J57" s="643">
        <f t="shared" si="18"/>
        <v>5.2821557500560248</v>
      </c>
      <c r="K57" s="643">
        <f t="shared" si="18"/>
        <v>174.771478</v>
      </c>
      <c r="L57" s="643">
        <f t="shared" si="18"/>
        <v>2.4303349045802851</v>
      </c>
      <c r="CC57" s="141">
        <v>0</v>
      </c>
      <c r="CD57" s="320">
        <f>BY57+BZ57+CA57+CC57</f>
        <v>0</v>
      </c>
    </row>
    <row r="58" spans="1:82" hidden="1">
      <c r="A58" s="671">
        <v>1</v>
      </c>
      <c r="B58" s="643">
        <v>4758.2469343599996</v>
      </c>
      <c r="C58" s="643">
        <f t="shared" ref="C58:C63" si="19">B58-E58-K58</f>
        <v>1972.0993569999994</v>
      </c>
      <c r="D58" s="643">
        <f t="shared" ref="D58:D63" si="20">+C58/B58*100</f>
        <v>41.445922925083615</v>
      </c>
      <c r="E58" s="643">
        <v>2658.0279133600002</v>
      </c>
      <c r="F58" s="643">
        <f t="shared" ref="F58:F63" si="21">+E58/B58*100</f>
        <v>55.861495841377852</v>
      </c>
      <c r="G58" s="643">
        <v>1492.8645488499999</v>
      </c>
      <c r="H58" s="643">
        <f t="shared" ref="H58:H63" si="22">+G58/B58*100</f>
        <v>31.374255465175754</v>
      </c>
      <c r="I58" s="643">
        <v>223.15237831999997</v>
      </c>
      <c r="J58" s="643">
        <f t="shared" ref="J58:J63" si="23">+I58/B58*100</f>
        <v>4.6898023872738479</v>
      </c>
      <c r="K58" s="643">
        <v>128.119664</v>
      </c>
      <c r="L58" s="643">
        <f t="shared" ref="L58:L63" si="24">+K58/B58*100</f>
        <v>2.6925812335385348</v>
      </c>
      <c r="CC58" s="141">
        <v>15</v>
      </c>
      <c r="CD58" s="320">
        <f>BY58+BZ58+CA58+CC58</f>
        <v>15</v>
      </c>
    </row>
    <row r="59" spans="1:82" hidden="1">
      <c r="A59" s="671">
        <v>2</v>
      </c>
      <c r="B59" s="643">
        <v>4812.1859055799996</v>
      </c>
      <c r="C59" s="643">
        <f t="shared" si="19"/>
        <v>1877.7479169999995</v>
      </c>
      <c r="D59" s="643">
        <f t="shared" si="20"/>
        <v>39.020685273664206</v>
      </c>
      <c r="E59" s="643">
        <v>2806.3183245800001</v>
      </c>
      <c r="F59" s="643">
        <f t="shared" si="21"/>
        <v>58.31691417669289</v>
      </c>
      <c r="G59" s="643">
        <v>1592.4532963700003</v>
      </c>
      <c r="H59" s="643">
        <f t="shared" si="22"/>
        <v>33.092098427109008</v>
      </c>
      <c r="I59" s="643">
        <v>236.62017796999999</v>
      </c>
      <c r="J59" s="643">
        <f t="shared" si="23"/>
        <v>4.9171038403904053</v>
      </c>
      <c r="K59" s="643">
        <v>128.119664</v>
      </c>
      <c r="L59" s="643">
        <f t="shared" si="24"/>
        <v>2.6624005496428982</v>
      </c>
      <c r="CC59" s="141">
        <v>-372</v>
      </c>
      <c r="CD59" s="320">
        <f>BY59+BZ59+CA59+CC59</f>
        <v>-372</v>
      </c>
    </row>
    <row r="60" spans="1:82" hidden="1">
      <c r="A60" s="671">
        <v>3</v>
      </c>
      <c r="B60" s="643">
        <v>4932.1251997099998</v>
      </c>
      <c r="C60" s="643">
        <f t="shared" si="19"/>
        <v>1913.4481779999999</v>
      </c>
      <c r="D60" s="643">
        <f t="shared" si="20"/>
        <v>38.795612449426613</v>
      </c>
      <c r="E60" s="643">
        <v>2890.5573577099999</v>
      </c>
      <c r="F60" s="643">
        <f t="shared" si="21"/>
        <v>58.606731189223652</v>
      </c>
      <c r="G60" s="643">
        <v>1633.3342302700005</v>
      </c>
      <c r="H60" s="643">
        <f t="shared" si="22"/>
        <v>33.116236188936114</v>
      </c>
      <c r="I60" s="643">
        <v>254.07300056000003</v>
      </c>
      <c r="J60" s="643">
        <f t="shared" si="23"/>
        <v>5.1513899236568257</v>
      </c>
      <c r="K60" s="643">
        <v>128.119664</v>
      </c>
      <c r="L60" s="643">
        <f t="shared" si="24"/>
        <v>2.5976563613497325</v>
      </c>
      <c r="CC60" s="141">
        <v>-231</v>
      </c>
      <c r="CD60" s="320">
        <f>BY60+BZ60+CA60+CC60</f>
        <v>-231</v>
      </c>
    </row>
    <row r="61" spans="1:82" hidden="1">
      <c r="A61" s="671">
        <v>4</v>
      </c>
      <c r="B61" s="643">
        <v>5216.6671280999999</v>
      </c>
      <c r="C61" s="643">
        <f t="shared" si="19"/>
        <v>2009.985913</v>
      </c>
      <c r="D61" s="643">
        <f t="shared" si="20"/>
        <v>38.530077991234066</v>
      </c>
      <c r="E61" s="643">
        <v>3065.5506700999999</v>
      </c>
      <c r="F61" s="643">
        <f t="shared" si="21"/>
        <v>58.764544388641617</v>
      </c>
      <c r="G61" s="643">
        <v>1669.1739465999999</v>
      </c>
      <c r="H61" s="643">
        <f t="shared" si="22"/>
        <v>31.996941833011721</v>
      </c>
      <c r="I61" s="643">
        <v>265.96987057000001</v>
      </c>
      <c r="J61" s="643">
        <f t="shared" si="23"/>
        <v>5.0984635216100287</v>
      </c>
      <c r="K61" s="643">
        <v>141.13054500000001</v>
      </c>
      <c r="L61" s="643">
        <f t="shared" si="24"/>
        <v>2.70537762012433</v>
      </c>
      <c r="CD61" s="320"/>
    </row>
    <row r="62" spans="1:82" hidden="1">
      <c r="A62" s="671">
        <v>5</v>
      </c>
      <c r="B62" s="643">
        <v>6063.9725886699998</v>
      </c>
      <c r="C62" s="643">
        <f t="shared" si="19"/>
        <v>2737.0322305899999</v>
      </c>
      <c r="D62" s="643">
        <f t="shared" si="20"/>
        <v>45.135959811294398</v>
      </c>
      <c r="E62" s="643">
        <v>3185.8098130799999</v>
      </c>
      <c r="F62" s="643">
        <f t="shared" si="21"/>
        <v>52.536678992124827</v>
      </c>
      <c r="G62" s="643">
        <v>1758.1016934100001</v>
      </c>
      <c r="H62" s="643">
        <f t="shared" si="22"/>
        <v>28.992573229880009</v>
      </c>
      <c r="I62" s="643">
        <v>275.01883701999998</v>
      </c>
      <c r="J62" s="643">
        <f t="shared" si="23"/>
        <v>4.5352915600879946</v>
      </c>
      <c r="K62" s="643">
        <v>141.13054500000001</v>
      </c>
      <c r="L62" s="643">
        <f t="shared" si="24"/>
        <v>2.3273611965807701</v>
      </c>
      <c r="CC62" s="141">
        <f>CC8+CC46-CC48+CC59-CC60</f>
        <v>0</v>
      </c>
      <c r="CD62" s="320">
        <f>BY62+BZ62+CA62+CC62</f>
        <v>0</v>
      </c>
    </row>
    <row r="63" spans="1:82" hidden="1">
      <c r="A63" s="671">
        <v>6</v>
      </c>
      <c r="B63" s="643">
        <v>6166.4525450000001</v>
      </c>
      <c r="C63" s="643">
        <f t="shared" si="19"/>
        <v>2753.279</v>
      </c>
      <c r="D63" s="643">
        <f t="shared" si="20"/>
        <v>44.649317900491518</v>
      </c>
      <c r="E63" s="643">
        <v>3272.0430000000001</v>
      </c>
      <c r="F63" s="643">
        <f t="shared" si="21"/>
        <v>53.061999198438656</v>
      </c>
      <c r="G63" s="643">
        <v>1850.2293975799996</v>
      </c>
      <c r="H63" s="643">
        <f t="shared" si="22"/>
        <v>30.004761799070966</v>
      </c>
      <c r="I63" s="643">
        <v>289.80153050999996</v>
      </c>
      <c r="J63" s="643">
        <f t="shared" si="23"/>
        <v>4.6996474617319857</v>
      </c>
      <c r="K63" s="643">
        <v>141.13054500000001</v>
      </c>
      <c r="L63" s="643">
        <f t="shared" si="24"/>
        <v>2.2886829010698242</v>
      </c>
    </row>
    <row r="64" spans="1:82" hidden="1">
      <c r="A64" s="671">
        <v>7</v>
      </c>
      <c r="B64" s="643">
        <v>6361.5450000000001</v>
      </c>
      <c r="C64" s="643">
        <v>2814.5376980000001</v>
      </c>
      <c r="D64" s="643">
        <v>44.242989682537811</v>
      </c>
      <c r="E64" s="643">
        <v>3387.2350000000001</v>
      </c>
      <c r="F64" s="643">
        <v>53.245477317224044</v>
      </c>
      <c r="G64" s="643">
        <v>1917.63004583</v>
      </c>
      <c r="H64" s="643">
        <v>30.14409307534569</v>
      </c>
      <c r="I64" s="643">
        <v>303.74657095999999</v>
      </c>
      <c r="J64" s="643">
        <v>4.7747295815717719</v>
      </c>
      <c r="K64" s="643">
        <v>159.772302</v>
      </c>
      <c r="L64" s="643">
        <v>2.5115330002381495</v>
      </c>
    </row>
    <row r="65" spans="1:12" hidden="1">
      <c r="A65" s="671">
        <v>8</v>
      </c>
      <c r="B65" s="643">
        <v>6455.0339999999997</v>
      </c>
      <c r="C65" s="643">
        <v>2800.6146979999999</v>
      </c>
      <c r="D65" s="643">
        <v>43.386521248377626</v>
      </c>
      <c r="E65" s="643">
        <v>3494.6469999999999</v>
      </c>
      <c r="F65" s="643">
        <v>54.13832057274989</v>
      </c>
      <c r="G65" s="643">
        <v>1980.3201329000001</v>
      </c>
      <c r="H65" s="643">
        <v>30.67869406884612</v>
      </c>
      <c r="I65" s="643">
        <v>315.55080291000002</v>
      </c>
      <c r="J65" s="643">
        <v>4.8884452492426842</v>
      </c>
      <c r="K65" s="643">
        <v>159.772302</v>
      </c>
      <c r="L65" s="643">
        <v>2.4751581788724892</v>
      </c>
    </row>
    <row r="66" spans="1:12" hidden="1">
      <c r="A66" s="671">
        <v>9</v>
      </c>
      <c r="B66" s="643">
        <v>6604.7275165600004</v>
      </c>
      <c r="C66" s="643">
        <v>2911.8742145600004</v>
      </c>
      <c r="D66" s="643">
        <v>44.08772666637757</v>
      </c>
      <c r="E66" s="643">
        <v>3533.0810000000001</v>
      </c>
      <c r="F66" s="643">
        <v>53.493213628291613</v>
      </c>
      <c r="G66" s="643">
        <v>1962.0086306799997</v>
      </c>
      <c r="H66" s="643">
        <v>29.706125283150065</v>
      </c>
      <c r="I66" s="643">
        <v>321.01343580999992</v>
      </c>
      <c r="J66" s="643">
        <v>4.8603585084339134</v>
      </c>
      <c r="K66" s="643">
        <v>159.772302</v>
      </c>
      <c r="L66" s="643">
        <v>2.4190597053308212</v>
      </c>
    </row>
    <row r="67" spans="1:12" hidden="1">
      <c r="A67" s="671">
        <v>10</v>
      </c>
      <c r="B67" s="643">
        <v>6697.4756245500002</v>
      </c>
      <c r="C67" s="643">
        <v>3002.065427</v>
      </c>
      <c r="D67" s="643">
        <v>44.823835058029154</v>
      </c>
      <c r="E67" s="643">
        <v>3520.6387195500001</v>
      </c>
      <c r="F67" s="643">
        <v>52.566652227070257</v>
      </c>
      <c r="G67" s="643">
        <v>1969.2729570399999</v>
      </c>
      <c r="H67" s="643">
        <v>29.403212007543729</v>
      </c>
      <c r="I67" s="643">
        <v>319.82520846</v>
      </c>
      <c r="J67" s="643">
        <v>4.775309779219822</v>
      </c>
      <c r="K67" s="643">
        <v>174.771478</v>
      </c>
      <c r="L67" s="643">
        <v>2.6095127149005908</v>
      </c>
    </row>
    <row r="68" spans="1:12" hidden="1">
      <c r="A68" s="671">
        <v>11</v>
      </c>
      <c r="B68" s="643">
        <v>6855.4556472699996</v>
      </c>
      <c r="C68" s="643">
        <v>2992.5602489999997</v>
      </c>
      <c r="D68" s="643">
        <v>43.65224432881724</v>
      </c>
      <c r="E68" s="643">
        <v>3688.1239202699999</v>
      </c>
      <c r="F68" s="643">
        <v>53.798377672222209</v>
      </c>
      <c r="G68" s="643">
        <v>1916.6272908800004</v>
      </c>
      <c r="H68" s="643">
        <v>27.957693689452217</v>
      </c>
      <c r="I68" s="643">
        <v>297.69103208000001</v>
      </c>
      <c r="J68" s="643">
        <v>4.342396003955586</v>
      </c>
      <c r="K68" s="643">
        <v>174.771478</v>
      </c>
      <c r="L68" s="643">
        <v>2.549377998960551</v>
      </c>
    </row>
    <row r="69" spans="1:12" hidden="1">
      <c r="A69" s="671">
        <v>12</v>
      </c>
      <c r="B69" s="643">
        <v>7191.2507889600001</v>
      </c>
      <c r="C69" s="643">
        <v>3027.474385</v>
      </c>
      <c r="D69" s="643">
        <v>42.099413215400233</v>
      </c>
      <c r="E69" s="643">
        <v>3989.00492596</v>
      </c>
      <c r="F69" s="643">
        <v>55.470251880019482</v>
      </c>
      <c r="G69" s="643">
        <v>2024.8969254599995</v>
      </c>
      <c r="H69" s="643">
        <v>28.157784853903561</v>
      </c>
      <c r="I69" s="644">
        <v>379.85306704999988</v>
      </c>
      <c r="J69" s="643">
        <v>5.2821557500560248</v>
      </c>
      <c r="K69" s="643">
        <v>174.771478</v>
      </c>
      <c r="L69" s="643">
        <v>2.4303349045802851</v>
      </c>
    </row>
    <row r="70" spans="1:12">
      <c r="A70" s="671">
        <v>2009</v>
      </c>
      <c r="B70" s="643">
        <f>+B82</f>
        <v>8407.4600296200006</v>
      </c>
      <c r="C70" s="643">
        <f t="shared" ref="C70:L70" si="25">+C82</f>
        <v>3911.7177701200003</v>
      </c>
      <c r="D70" s="643">
        <f t="shared" si="25"/>
        <v>46.526748344194054</v>
      </c>
      <c r="E70" s="643">
        <f t="shared" si="25"/>
        <v>4318.7270232000001</v>
      </c>
      <c r="F70" s="643">
        <f t="shared" si="25"/>
        <v>51.367797265581494</v>
      </c>
      <c r="G70" s="643">
        <f t="shared" si="25"/>
        <v>2074.3875668399996</v>
      </c>
      <c r="H70" s="643">
        <f t="shared" si="25"/>
        <v>24.673177862657738</v>
      </c>
      <c r="I70" s="643">
        <f t="shared" si="25"/>
        <v>386.61387504000004</v>
      </c>
      <c r="J70" s="643">
        <f t="shared" si="25"/>
        <v>4.5984622427931328</v>
      </c>
      <c r="K70" s="643">
        <f t="shared" si="25"/>
        <v>177.0152363</v>
      </c>
      <c r="L70" s="643">
        <f t="shared" si="25"/>
        <v>2.1054543902244482</v>
      </c>
    </row>
    <row r="71" spans="1:12" hidden="1">
      <c r="A71" s="671">
        <v>1</v>
      </c>
      <c r="B71" s="645">
        <v>7201.2873153199998</v>
      </c>
      <c r="C71" s="645">
        <v>3114.287617</v>
      </c>
      <c r="D71" s="645">
        <v>43.246262517184569</v>
      </c>
      <c r="E71" s="645">
        <v>3903.4864493199998</v>
      </c>
      <c r="F71" s="645">
        <v>54.205397985103765</v>
      </c>
      <c r="G71" s="645">
        <v>1975.7098319500003</v>
      </c>
      <c r="H71" s="645">
        <v>27.435509033876208</v>
      </c>
      <c r="I71" s="645">
        <v>379.91163437</v>
      </c>
      <c r="J71" s="645">
        <v>5.2756072315261884</v>
      </c>
      <c r="K71" s="645">
        <v>183.513249</v>
      </c>
      <c r="L71" s="645">
        <v>2.5483394977116718</v>
      </c>
    </row>
    <row r="72" spans="1:12" hidden="1">
      <c r="A72" s="671">
        <v>2</v>
      </c>
      <c r="B72" s="645">
        <v>6692.53476133</v>
      </c>
      <c r="C72" s="645">
        <v>2853.8074430000001</v>
      </c>
      <c r="D72" s="645">
        <v>42.64165289793528</v>
      </c>
      <c r="E72" s="645">
        <v>3655.2140693299998</v>
      </c>
      <c r="F72" s="645">
        <v>54.616288143172874</v>
      </c>
      <c r="G72" s="645">
        <v>2240.43658306</v>
      </c>
      <c r="H72" s="645">
        <v>33.476652164818347</v>
      </c>
      <c r="I72" s="645">
        <v>320.13812243000007</v>
      </c>
      <c r="J72" s="645">
        <v>4.7835107899593394</v>
      </c>
      <c r="K72" s="645">
        <v>183.513249</v>
      </c>
      <c r="L72" s="645">
        <v>2.7420589588918416</v>
      </c>
    </row>
    <row r="73" spans="1:12" hidden="1">
      <c r="A73" s="671">
        <v>3</v>
      </c>
      <c r="B73" s="645">
        <v>6221.28788678</v>
      </c>
      <c r="C73" s="645">
        <v>2376.5896779999998</v>
      </c>
      <c r="D73" s="645">
        <v>38.200927545085356</v>
      </c>
      <c r="E73" s="645">
        <v>3661.1849597800001</v>
      </c>
      <c r="F73" s="645">
        <v>58.849309442179631</v>
      </c>
      <c r="G73" s="645">
        <v>1923.1968078399998</v>
      </c>
      <c r="H73" s="645">
        <v>30.913162078975958</v>
      </c>
      <c r="I73" s="645">
        <v>330.51504509999995</v>
      </c>
      <c r="J73" s="645">
        <v>5.3126466917297277</v>
      </c>
      <c r="K73" s="645">
        <v>183.513249</v>
      </c>
      <c r="L73" s="645">
        <v>2.9497630127350107</v>
      </c>
    </row>
    <row r="74" spans="1:12" hidden="1">
      <c r="A74" s="671">
        <v>4</v>
      </c>
      <c r="B74" s="645">
        <v>6278.4440000000004</v>
      </c>
      <c r="C74" s="645">
        <v>2417.9910000000004</v>
      </c>
      <c r="D74" s="645">
        <v>38.51258369111838</v>
      </c>
      <c r="E74" s="645">
        <v>3684.3829999999998</v>
      </c>
      <c r="F74" s="645">
        <v>58.683059050936812</v>
      </c>
      <c r="G74" s="645">
        <v>1922.95866363</v>
      </c>
      <c r="H74" s="645">
        <v>30.627949594358089</v>
      </c>
      <c r="I74" s="645">
        <v>336.64509047000001</v>
      </c>
      <c r="J74" s="645">
        <v>5.3619191390414569</v>
      </c>
      <c r="K74" s="645">
        <v>176.07</v>
      </c>
      <c r="L74" s="645">
        <v>2.8043572579448028</v>
      </c>
    </row>
    <row r="75" spans="1:12" hidden="1">
      <c r="A75" s="671">
        <v>5</v>
      </c>
      <c r="B75" s="645">
        <v>6355.9960000000001</v>
      </c>
      <c r="C75" s="645">
        <v>2480.319</v>
      </c>
      <c r="D75" s="645">
        <v>39.023293910191256</v>
      </c>
      <c r="E75" s="645">
        <v>3699.607</v>
      </c>
      <c r="F75" s="645">
        <v>58.206565894629257</v>
      </c>
      <c r="G75" s="645">
        <v>1761</v>
      </c>
      <c r="H75" s="645">
        <v>27.706121904419074</v>
      </c>
      <c r="I75" s="645">
        <v>343.98</v>
      </c>
      <c r="J75" s="645">
        <v>5.4118976789790301</v>
      </c>
      <c r="K75" s="645">
        <v>176.07</v>
      </c>
      <c r="L75" s="645">
        <v>2.7701401951794806</v>
      </c>
    </row>
    <row r="76" spans="1:12" hidden="1">
      <c r="A76" s="671">
        <v>6</v>
      </c>
      <c r="B76" s="645">
        <v>6463.7888553100001</v>
      </c>
      <c r="C76" s="645">
        <v>2555.3876580000001</v>
      </c>
      <c r="D76" s="645">
        <v>39.533897458620579</v>
      </c>
      <c r="E76" s="645">
        <v>3732.3311973099999</v>
      </c>
      <c r="F76" s="645">
        <v>57.742158366511177</v>
      </c>
      <c r="G76" s="645">
        <v>1944.5124883200003</v>
      </c>
      <c r="H76" s="645">
        <v>30.083168430271112</v>
      </c>
      <c r="I76" s="645">
        <v>344.19363715000003</v>
      </c>
      <c r="J76" s="645">
        <v>5.3249517404524296</v>
      </c>
      <c r="K76" s="645">
        <v>176.07</v>
      </c>
      <c r="L76" s="645">
        <v>2.7239441748682518</v>
      </c>
    </row>
    <row r="77" spans="1:12" s="143" customFormat="1" hidden="1">
      <c r="A77" s="672">
        <v>7</v>
      </c>
      <c r="B77" s="10">
        <v>7229.1999974600003</v>
      </c>
      <c r="C77" s="10">
        <v>3298.7781050000003</v>
      </c>
      <c r="D77" s="10">
        <v>45.631302303976028</v>
      </c>
      <c r="E77" s="10">
        <v>3748.4564864600002</v>
      </c>
      <c r="F77" s="10">
        <v>51.851608584311279</v>
      </c>
      <c r="G77" s="10">
        <v>1974.68411664</v>
      </c>
      <c r="H77" s="10">
        <v>27.315389217808484</v>
      </c>
      <c r="I77" s="10">
        <v>350.69858863000002</v>
      </c>
      <c r="J77" s="10">
        <v>4.8511396662593231</v>
      </c>
      <c r="K77" s="10">
        <v>181.965406</v>
      </c>
      <c r="L77" s="10">
        <v>2.5170891117126937</v>
      </c>
    </row>
    <row r="78" spans="1:12" s="143" customFormat="1" hidden="1">
      <c r="A78" s="672">
        <v>8</v>
      </c>
      <c r="B78" s="10">
        <v>7629.8486843800001</v>
      </c>
      <c r="C78" s="10">
        <v>3632.7418500000003</v>
      </c>
      <c r="D78" s="10">
        <v>47.612239773994894</v>
      </c>
      <c r="E78" s="10">
        <v>3815.14142838</v>
      </c>
      <c r="F78" s="10">
        <v>50.002845222742678</v>
      </c>
      <c r="G78" s="10">
        <v>1995.2462021099998</v>
      </c>
      <c r="H78" s="10">
        <v>26.150534363737947</v>
      </c>
      <c r="I78" s="10">
        <v>347.78257830000007</v>
      </c>
      <c r="J78" s="10">
        <v>4.5581844763447075</v>
      </c>
      <c r="K78" s="10">
        <v>181.965406</v>
      </c>
      <c r="L78" s="10">
        <v>2.3849150032624333</v>
      </c>
    </row>
    <row r="79" spans="1:12" hidden="1">
      <c r="A79" s="672">
        <v>9</v>
      </c>
      <c r="B79" s="645">
        <v>7780.8130340600001</v>
      </c>
      <c r="C79" s="645">
        <v>3705.1037720000004</v>
      </c>
      <c r="D79" s="645">
        <v>47.618465522576507</v>
      </c>
      <c r="E79" s="645">
        <v>3893.7438560599999</v>
      </c>
      <c r="F79" s="645">
        <v>50.042891906223566</v>
      </c>
      <c r="G79" s="645">
        <v>2033.4195323100002</v>
      </c>
      <c r="H79" s="645">
        <v>26.133766785152645</v>
      </c>
      <c r="I79" s="645">
        <v>363.15107768000001</v>
      </c>
      <c r="J79" s="645">
        <v>4.6672638976200806</v>
      </c>
      <c r="K79" s="645">
        <v>181.965406</v>
      </c>
      <c r="L79" s="645">
        <v>2.3386425711999292</v>
      </c>
    </row>
    <row r="80" spans="1:12" hidden="1">
      <c r="A80" s="672">
        <v>10</v>
      </c>
      <c r="B80" s="645">
        <v>7963.7234947999996</v>
      </c>
      <c r="C80" s="645">
        <v>3764.8502552699993</v>
      </c>
      <c r="D80" s="645">
        <v>47.274999662259738</v>
      </c>
      <c r="E80" s="645">
        <v>4021.8580032300001</v>
      </c>
      <c r="F80" s="645">
        <v>50.502230594220357</v>
      </c>
      <c r="G80" s="645">
        <v>2040.1047268399998</v>
      </c>
      <c r="H80" s="645">
        <v>25.61747313517488</v>
      </c>
      <c r="I80" s="645">
        <v>372.88692522999997</v>
      </c>
      <c r="J80" s="645">
        <v>4.6823188358244803</v>
      </c>
      <c r="K80" s="645">
        <v>177.0152363</v>
      </c>
      <c r="L80" s="645">
        <v>2.2227697435199003</v>
      </c>
    </row>
    <row r="81" spans="1:13" hidden="1">
      <c r="A81" s="671">
        <v>11</v>
      </c>
      <c r="B81" s="645">
        <v>8064.5616917299994</v>
      </c>
      <c r="C81" s="645">
        <v>3827.6810721999991</v>
      </c>
      <c r="D81" s="645">
        <v>47.462977140161101</v>
      </c>
      <c r="E81" s="645">
        <v>4059.8653832300001</v>
      </c>
      <c r="F81" s="645">
        <v>50.342046330841363</v>
      </c>
      <c r="G81" s="645">
        <v>2049.49533006</v>
      </c>
      <c r="H81" s="645">
        <v>25.413598511642672</v>
      </c>
      <c r="I81" s="645">
        <v>374.59343258000001</v>
      </c>
      <c r="J81" s="645">
        <v>4.6449323211717246</v>
      </c>
      <c r="K81" s="645">
        <v>177.0152363</v>
      </c>
      <c r="L81" s="645">
        <v>2.1949765289975347</v>
      </c>
      <c r="M81" s="144"/>
    </row>
    <row r="82" spans="1:13" hidden="1">
      <c r="A82" s="671">
        <v>12</v>
      </c>
      <c r="B82" s="645">
        <v>8407.4600296200006</v>
      </c>
      <c r="C82" s="645">
        <v>3911.7177701200003</v>
      </c>
      <c r="D82" s="645">
        <v>46.526748344194054</v>
      </c>
      <c r="E82" s="645">
        <v>4318.7270232000001</v>
      </c>
      <c r="F82" s="645">
        <v>51.367797265581494</v>
      </c>
      <c r="G82" s="645">
        <v>2074.3875668399996</v>
      </c>
      <c r="H82" s="645">
        <v>24.673177862657738</v>
      </c>
      <c r="I82" s="645">
        <v>386.61387504000004</v>
      </c>
      <c r="J82" s="645">
        <v>4.5984622427931328</v>
      </c>
      <c r="K82" s="645">
        <v>177.0152363</v>
      </c>
      <c r="L82" s="645">
        <v>2.1054543902244482</v>
      </c>
      <c r="M82" s="144"/>
    </row>
    <row r="83" spans="1:13">
      <c r="A83" s="672">
        <v>2010</v>
      </c>
      <c r="B83" s="283">
        <v>9163.3597792399996</v>
      </c>
      <c r="C83" s="283">
        <v>3901.8549706899998</v>
      </c>
      <c r="D83" s="283">
        <v>42.58105176149283</v>
      </c>
      <c r="E83" s="283">
        <v>5069.9200005499997</v>
      </c>
      <c r="F83" s="283">
        <v>55.328177903001574</v>
      </c>
      <c r="G83" s="283">
        <v>2306.2661630700004</v>
      </c>
      <c r="H83" s="283">
        <v>25.168346748699634</v>
      </c>
      <c r="I83" s="283">
        <v>464.18420510999999</v>
      </c>
      <c r="J83" s="283">
        <v>5.0656551340658922</v>
      </c>
      <c r="K83" s="283">
        <v>191.58480800000001</v>
      </c>
      <c r="L83" s="283">
        <v>2.0907703355055851</v>
      </c>
      <c r="M83" s="144"/>
    </row>
    <row r="84" spans="1:13" hidden="1">
      <c r="A84" s="672">
        <v>1</v>
      </c>
      <c r="B84" s="283">
        <v>8431.1754328499992</v>
      </c>
      <c r="C84" s="283">
        <f t="shared" ref="C84:C90" si="26">B84-E84-K84</f>
        <v>3922.7993215999986</v>
      </c>
      <c r="D84" s="283">
        <f t="shared" ref="D84:D90" si="27">+C84/B84*100</f>
        <v>46.527312269126519</v>
      </c>
      <c r="E84" s="283">
        <v>4325.2067969500004</v>
      </c>
      <c r="F84" s="283">
        <f t="shared" ref="F84:F90" si="28">+E84/B84*100</f>
        <v>51.300163677034838</v>
      </c>
      <c r="G84" s="283">
        <v>2062.9233414799992</v>
      </c>
      <c r="H84" s="283">
        <f t="shared" ref="H84:H90" si="29">+G84/B84*100</f>
        <v>24.467802359352248</v>
      </c>
      <c r="I84" s="283">
        <v>396.53906537</v>
      </c>
      <c r="J84" s="283">
        <f t="shared" ref="J84:J90" si="30">+I84/B84*100</f>
        <v>4.7032477087949465</v>
      </c>
      <c r="K84" s="283">
        <v>183.1693143</v>
      </c>
      <c r="L84" s="283">
        <f t="shared" ref="L84:L90" si="31">+K84/B84*100</f>
        <v>2.1725240538386363</v>
      </c>
      <c r="M84" s="144"/>
    </row>
    <row r="85" spans="1:13" hidden="1">
      <c r="A85" s="672">
        <v>2</v>
      </c>
      <c r="B85" s="283">
        <v>8343.4665381899995</v>
      </c>
      <c r="C85" s="283">
        <f t="shared" si="26"/>
        <v>3941.7516635499996</v>
      </c>
      <c r="D85" s="283">
        <f t="shared" si="27"/>
        <v>47.243572506795338</v>
      </c>
      <c r="E85" s="283">
        <v>4218.5455603399996</v>
      </c>
      <c r="F85" s="283">
        <f t="shared" si="28"/>
        <v>50.561065248248184</v>
      </c>
      <c r="G85" s="283">
        <v>2066.6041981100002</v>
      </c>
      <c r="H85" s="283">
        <f t="shared" si="29"/>
        <v>24.769131495292381</v>
      </c>
      <c r="I85" s="283">
        <v>408.73403958</v>
      </c>
      <c r="J85" s="283">
        <f t="shared" si="30"/>
        <v>4.8988515470054157</v>
      </c>
      <c r="K85" s="283">
        <v>183.1693143</v>
      </c>
      <c r="L85" s="283">
        <f t="shared" si="31"/>
        <v>2.1953622449564718</v>
      </c>
      <c r="M85" s="144"/>
    </row>
    <row r="86" spans="1:13" hidden="1">
      <c r="A86" s="672">
        <v>3</v>
      </c>
      <c r="B86" s="283">
        <v>8485.212513729999</v>
      </c>
      <c r="C86" s="283">
        <f t="shared" si="26"/>
        <v>3923.3854515899984</v>
      </c>
      <c r="D86" s="283">
        <f t="shared" si="27"/>
        <v>46.237916201173903</v>
      </c>
      <c r="E86" s="283">
        <v>4378.6577478400004</v>
      </c>
      <c r="F86" s="283">
        <f t="shared" si="28"/>
        <v>51.603395209664512</v>
      </c>
      <c r="G86" s="283">
        <v>2088.6953865800001</v>
      </c>
      <c r="H86" s="283">
        <f t="shared" si="29"/>
        <v>24.615710958332077</v>
      </c>
      <c r="I86" s="283">
        <v>412.84957095000004</v>
      </c>
      <c r="J86" s="283">
        <f t="shared" si="30"/>
        <v>4.8655183388979877</v>
      </c>
      <c r="K86" s="283">
        <v>183.1693143</v>
      </c>
      <c r="L86" s="283">
        <f t="shared" si="31"/>
        <v>2.1586885891615806</v>
      </c>
      <c r="M86" s="144"/>
    </row>
    <row r="87" spans="1:13" hidden="1">
      <c r="A87" s="672">
        <v>4</v>
      </c>
      <c r="B87" s="283">
        <v>8605.4584439699993</v>
      </c>
      <c r="C87" s="283">
        <f t="shared" si="26"/>
        <v>3981.9968266699989</v>
      </c>
      <c r="D87" s="283">
        <f t="shared" si="27"/>
        <v>46.272919131464242</v>
      </c>
      <c r="E87" s="283">
        <v>4441.0331763000004</v>
      </c>
      <c r="F87" s="283">
        <f t="shared" si="28"/>
        <v>51.607165442904588</v>
      </c>
      <c r="G87" s="283">
        <v>2117.4881898199997</v>
      </c>
      <c r="H87" s="283">
        <f t="shared" si="29"/>
        <v>24.606337984279758</v>
      </c>
      <c r="I87" s="283">
        <v>419.37165761000006</v>
      </c>
      <c r="J87" s="283">
        <f t="shared" si="30"/>
        <v>4.873321512625064</v>
      </c>
      <c r="K87" s="283">
        <v>182.42844099999999</v>
      </c>
      <c r="L87" s="283">
        <f t="shared" si="31"/>
        <v>2.1199154256311692</v>
      </c>
      <c r="M87" s="144"/>
    </row>
    <row r="88" spans="1:13" hidden="1">
      <c r="A88" s="672">
        <v>5</v>
      </c>
      <c r="B88" s="283">
        <v>8733.4896446999992</v>
      </c>
      <c r="C88" s="283">
        <f t="shared" si="26"/>
        <v>4017.4354755199993</v>
      </c>
      <c r="D88" s="283">
        <f t="shared" si="27"/>
        <v>46.000346241413567</v>
      </c>
      <c r="E88" s="283">
        <v>4533.6257281799999</v>
      </c>
      <c r="F88" s="283">
        <f t="shared" si="28"/>
        <v>51.910815866499291</v>
      </c>
      <c r="G88" s="283">
        <v>2154.1776642899999</v>
      </c>
      <c r="H88" s="283">
        <f t="shared" si="29"/>
        <v>24.665714988249661</v>
      </c>
      <c r="I88" s="283">
        <v>435.28048030000002</v>
      </c>
      <c r="J88" s="283">
        <f t="shared" si="30"/>
        <v>4.9840384314665576</v>
      </c>
      <c r="K88" s="283">
        <v>182.42844099999999</v>
      </c>
      <c r="L88" s="283">
        <f t="shared" si="31"/>
        <v>2.0888378920871387</v>
      </c>
      <c r="M88" s="144"/>
    </row>
    <row r="89" spans="1:13" hidden="1">
      <c r="A89" s="672">
        <v>6</v>
      </c>
      <c r="B89" s="283">
        <v>8840.6992274799995</v>
      </c>
      <c r="C89" s="283">
        <f>B89-E89-K89</f>
        <v>4046.3802557799991</v>
      </c>
      <c r="D89" s="283">
        <f>+C89/B89*100</f>
        <v>45.769911990698965</v>
      </c>
      <c r="E89" s="283">
        <v>4611.8905307000005</v>
      </c>
      <c r="F89" s="283">
        <f>+E89/B89*100</f>
        <v>52.166581081783939</v>
      </c>
      <c r="G89" s="283">
        <v>2184.2852916700003</v>
      </c>
      <c r="H89" s="283">
        <f>+G89/B89*100</f>
        <v>24.707155344460471</v>
      </c>
      <c r="I89" s="283">
        <v>450.86469476000002</v>
      </c>
      <c r="J89" s="283">
        <f>+I89/B89*100</f>
        <v>5.0998759618306453</v>
      </c>
      <c r="K89" s="283">
        <v>182.42844099999999</v>
      </c>
      <c r="L89" s="283">
        <f>+K89/B89*100</f>
        <v>2.0635069275170936</v>
      </c>
      <c r="M89" s="144"/>
    </row>
    <row r="90" spans="1:13" hidden="1">
      <c r="A90" s="672">
        <v>7</v>
      </c>
      <c r="B90" s="283">
        <v>8656.2160000000003</v>
      </c>
      <c r="C90" s="283">
        <f t="shared" si="26"/>
        <v>3829.3103980000001</v>
      </c>
      <c r="D90" s="283">
        <f t="shared" si="27"/>
        <v>44.237694600042325</v>
      </c>
      <c r="E90" s="283">
        <v>4644.7159000000001</v>
      </c>
      <c r="F90" s="283">
        <f t="shared" si="28"/>
        <v>53.657578553954757</v>
      </c>
      <c r="G90" s="283">
        <v>2185.7800000000002</v>
      </c>
      <c r="H90" s="283">
        <f t="shared" si="29"/>
        <v>25.250987267415692</v>
      </c>
      <c r="I90" s="283">
        <v>453.95</v>
      </c>
      <c r="J90" s="283">
        <f t="shared" si="30"/>
        <v>5.2442083238218631</v>
      </c>
      <c r="K90" s="283">
        <v>182.18970200000001</v>
      </c>
      <c r="L90" s="283">
        <f t="shared" si="31"/>
        <v>2.1047268460029187</v>
      </c>
      <c r="M90" s="144"/>
    </row>
    <row r="91" spans="1:13" hidden="1">
      <c r="A91" s="672">
        <v>8</v>
      </c>
      <c r="B91" s="283">
        <v>8788.5652860400005</v>
      </c>
      <c r="C91" s="283">
        <f>B91-E91-K91</f>
        <v>3865.75118729</v>
      </c>
      <c r="D91" s="283">
        <f>+C91/B91*100</f>
        <v>43.986146333013714</v>
      </c>
      <c r="E91" s="283">
        <v>4740.6243967500004</v>
      </c>
      <c r="F91" s="283">
        <f>+E91/B91*100</f>
        <v>53.940822448917103</v>
      </c>
      <c r="G91" s="283">
        <v>2184.6271212900001</v>
      </c>
      <c r="H91" s="283">
        <f>+G91/B91*100</f>
        <v>24.857608155453111</v>
      </c>
      <c r="I91" s="283">
        <v>462.64373374000002</v>
      </c>
      <c r="J91" s="283">
        <f>+I91/B91*100</f>
        <v>5.2641553960448597</v>
      </c>
      <c r="K91" s="283">
        <v>182.18970200000001</v>
      </c>
      <c r="L91" s="283">
        <f>+K91/B91*100</f>
        <v>2.0730312180691786</v>
      </c>
      <c r="M91" s="144"/>
    </row>
    <row r="92" spans="1:13" hidden="1">
      <c r="A92" s="672">
        <v>9</v>
      </c>
      <c r="B92" s="283">
        <v>8936.6295108199993</v>
      </c>
      <c r="C92" s="283">
        <f>B92-E92-K92</f>
        <v>3930.8678217599995</v>
      </c>
      <c r="D92" s="283">
        <f>+C92/B92*100</f>
        <v>43.986021989618258</v>
      </c>
      <c r="E92" s="283">
        <v>4823.5719870599996</v>
      </c>
      <c r="F92" s="283">
        <f>+E92/B92*100</f>
        <v>53.975293271583801</v>
      </c>
      <c r="G92" s="283">
        <v>2219.3488730699996</v>
      </c>
      <c r="H92" s="283">
        <f>+G92/B92*100</f>
        <v>24.83429429834737</v>
      </c>
      <c r="I92" s="283">
        <v>470.52469735</v>
      </c>
      <c r="J92" s="283">
        <f>+I92/B92*100</f>
        <v>5.265124807740027</v>
      </c>
      <c r="K92" s="283">
        <v>182.18970200000001</v>
      </c>
      <c r="L92" s="283">
        <f>+K92/B92*100</f>
        <v>2.0386847387979365</v>
      </c>
      <c r="M92" s="144"/>
    </row>
    <row r="93" spans="1:13" hidden="1">
      <c r="A93" s="672">
        <v>10</v>
      </c>
      <c r="B93" s="283">
        <v>9065.2348196599996</v>
      </c>
      <c r="C93" s="283">
        <f>B93-E93-K93</f>
        <v>3938.5355519099999</v>
      </c>
      <c r="D93" s="283">
        <f>+C93/B93*100</f>
        <v>43.446591624614072</v>
      </c>
      <c r="E93" s="283">
        <v>4935.1144597499997</v>
      </c>
      <c r="F93" s="283">
        <f>+E93/B93*100</f>
        <v>54.440006882635785</v>
      </c>
      <c r="G93" s="283">
        <v>2278.11485266</v>
      </c>
      <c r="H93" s="283">
        <f>+G93/B93*100</f>
        <v>25.13023543217431</v>
      </c>
      <c r="I93" s="283">
        <v>471.38590097000008</v>
      </c>
      <c r="J93" s="283">
        <f>+I93/B93*100</f>
        <v>5.1999303972545068</v>
      </c>
      <c r="K93" s="283">
        <v>191.58480800000001</v>
      </c>
      <c r="L93" s="283">
        <f>+K93/B93*100</f>
        <v>2.1134014927501412</v>
      </c>
      <c r="M93" s="144"/>
    </row>
    <row r="94" spans="1:13" hidden="1">
      <c r="A94" s="672">
        <v>11</v>
      </c>
      <c r="B94" s="283">
        <v>9091.7448746400005</v>
      </c>
      <c r="C94" s="283">
        <f>B94-E94-K94</f>
        <v>3911.2637186900006</v>
      </c>
      <c r="D94" s="283">
        <f>+C94/B94*100</f>
        <v>43.019945814800174</v>
      </c>
      <c r="E94" s="283">
        <v>4988.8963479499998</v>
      </c>
      <c r="F94" s="283">
        <f>+E94/B94*100</f>
        <v>54.87281502878227</v>
      </c>
      <c r="G94" s="283">
        <v>2283.2681535000002</v>
      </c>
      <c r="H94" s="283">
        <f>+G94/B94*100</f>
        <v>25.113640835532237</v>
      </c>
      <c r="I94" s="283">
        <v>465.95960385000001</v>
      </c>
      <c r="J94" s="283">
        <f>+I94/B94*100</f>
        <v>5.1250844615066287</v>
      </c>
      <c r="K94" s="283">
        <v>191.58480800000001</v>
      </c>
      <c r="L94" s="283">
        <f>+K94/B94*100</f>
        <v>2.1072391564175526</v>
      </c>
      <c r="M94" s="144"/>
    </row>
    <row r="95" spans="1:13" ht="15.6" hidden="1" customHeight="1">
      <c r="A95" s="672">
        <v>12</v>
      </c>
      <c r="B95" s="283">
        <v>9163.3597792399996</v>
      </c>
      <c r="C95" s="283">
        <f>B95-E95-K95</f>
        <v>3901.8549706899998</v>
      </c>
      <c r="D95" s="283">
        <f>+C95/B95*100</f>
        <v>42.58105176149283</v>
      </c>
      <c r="E95" s="283">
        <v>5069.9200005499997</v>
      </c>
      <c r="F95" s="283">
        <f>+E95/B95*100</f>
        <v>55.328177903001574</v>
      </c>
      <c r="G95" s="283">
        <v>2306.2661630700004</v>
      </c>
      <c r="H95" s="283">
        <f>+G95/B95*100</f>
        <v>25.168346748699634</v>
      </c>
      <c r="I95" s="283">
        <v>464.18420510999999</v>
      </c>
      <c r="J95" s="283">
        <f>+I95/B95*100</f>
        <v>5.0656551340658922</v>
      </c>
      <c r="K95" s="283">
        <v>191.58480800000001</v>
      </c>
      <c r="L95" s="283">
        <f>+K95/B95*100</f>
        <v>2.0907703355055851</v>
      </c>
    </row>
    <row r="96" spans="1:13">
      <c r="A96" s="672">
        <v>2011</v>
      </c>
      <c r="B96" s="283">
        <v>9850.3003707400003</v>
      </c>
      <c r="C96" s="283">
        <v>3300.0444311000001</v>
      </c>
      <c r="D96" s="283">
        <v>33.501967522763834</v>
      </c>
      <c r="E96" s="283">
        <v>6298.76010864</v>
      </c>
      <c r="F96" s="283">
        <v>63.944853167627905</v>
      </c>
      <c r="G96" s="283">
        <v>3001.9660682050007</v>
      </c>
      <c r="H96" s="283">
        <v>30.4758835286104</v>
      </c>
      <c r="I96" s="283">
        <v>586.22559513499993</v>
      </c>
      <c r="J96" s="283">
        <v>5.9513474013073164</v>
      </c>
      <c r="K96" s="283">
        <v>251.49583100000001</v>
      </c>
      <c r="L96" s="283">
        <v>2.5531793096082658</v>
      </c>
    </row>
    <row r="97" spans="1:12" hidden="1">
      <c r="A97" s="672">
        <v>1</v>
      </c>
      <c r="B97" s="10">
        <f>+C97+E97+K97</f>
        <v>9149.7656655300016</v>
      </c>
      <c r="C97" s="10">
        <v>3921.4227739600001</v>
      </c>
      <c r="D97" s="10">
        <f t="shared" ref="D97:D102" si="32">+C97/B97*100</f>
        <v>42.858177108657692</v>
      </c>
      <c r="E97" s="10">
        <v>5019.4863855700005</v>
      </c>
      <c r="F97" s="10">
        <f t="shared" ref="F97:F102" si="33">+E97/B97*100</f>
        <v>54.859179667081079</v>
      </c>
      <c r="G97" s="10">
        <v>2303.7025583899999</v>
      </c>
      <c r="H97" s="10">
        <f t="shared" ref="H97:H102" si="34">+G97/B97*100</f>
        <v>25.177721950505905</v>
      </c>
      <c r="I97" s="10">
        <v>452.61935452</v>
      </c>
      <c r="J97" s="10">
        <f t="shared" ref="J97:J102" si="35">+I97/B97*100</f>
        <v>4.946786301043284</v>
      </c>
      <c r="K97" s="10">
        <v>208.85650600000002</v>
      </c>
      <c r="L97" s="10">
        <f t="shared" ref="L97:L102" si="36">+K97/B97*100</f>
        <v>2.2826432242612191</v>
      </c>
    </row>
    <row r="98" spans="1:12" hidden="1">
      <c r="A98" s="672">
        <v>2</v>
      </c>
      <c r="B98" s="10">
        <f>+C98+E98+K98</f>
        <v>9152.8044223100005</v>
      </c>
      <c r="C98" s="10">
        <v>3941.2755485500002</v>
      </c>
      <c r="D98" s="10">
        <f t="shared" si="32"/>
        <v>43.060851807814487</v>
      </c>
      <c r="E98" s="10">
        <v>5002.6723677600003</v>
      </c>
      <c r="F98" s="10">
        <f t="shared" si="33"/>
        <v>54.657262811887087</v>
      </c>
      <c r="G98" s="10">
        <v>2511.8289399499999</v>
      </c>
      <c r="H98" s="10">
        <f t="shared" si="34"/>
        <v>27.44327119923382</v>
      </c>
      <c r="I98" s="10">
        <v>495.16522669000005</v>
      </c>
      <c r="J98" s="10">
        <f t="shared" si="35"/>
        <v>5.4099836928999885</v>
      </c>
      <c r="K98" s="10">
        <v>208.856506</v>
      </c>
      <c r="L98" s="10">
        <f t="shared" si="36"/>
        <v>2.2818853802984291</v>
      </c>
    </row>
    <row r="99" spans="1:12" hidden="1">
      <c r="A99" s="672">
        <v>3</v>
      </c>
      <c r="B99" s="10">
        <f>+C99+E99+K99</f>
        <v>8365.9867119600003</v>
      </c>
      <c r="C99" s="10">
        <v>3020.5550350200001</v>
      </c>
      <c r="D99" s="10">
        <f t="shared" si="32"/>
        <v>36.105185664493348</v>
      </c>
      <c r="E99" s="10">
        <v>5136.5751709400001</v>
      </c>
      <c r="F99" s="10">
        <f t="shared" si="33"/>
        <v>61.398318546176526</v>
      </c>
      <c r="G99" s="10">
        <v>2498.8583513599997</v>
      </c>
      <c r="H99" s="10">
        <f t="shared" si="34"/>
        <v>29.869260344241717</v>
      </c>
      <c r="I99" s="10">
        <v>507.07663307999997</v>
      </c>
      <c r="J99" s="10">
        <f t="shared" si="35"/>
        <v>6.0611694775355556</v>
      </c>
      <c r="K99" s="10">
        <v>208.85650600000002</v>
      </c>
      <c r="L99" s="10">
        <f t="shared" si="36"/>
        <v>2.4964957893301354</v>
      </c>
    </row>
    <row r="100" spans="1:12" hidden="1">
      <c r="A100" s="672">
        <v>4</v>
      </c>
      <c r="B100" s="10">
        <f>+C100+E100+K100</f>
        <v>8569.6254799500002</v>
      </c>
      <c r="C100" s="10">
        <v>3071.54903534</v>
      </c>
      <c r="D100" s="10">
        <f t="shared" si="32"/>
        <v>35.842278551453347</v>
      </c>
      <c r="E100" s="10">
        <v>5279.0042403799998</v>
      </c>
      <c r="F100" s="10">
        <f t="shared" si="33"/>
        <v>61.601341304016941</v>
      </c>
      <c r="G100" s="10">
        <v>2558.8135245599992</v>
      </c>
      <c r="H100" s="10">
        <f t="shared" si="34"/>
        <v>29.85910563474156</v>
      </c>
      <c r="I100" s="10">
        <v>517.26029114999994</v>
      </c>
      <c r="J100" s="10">
        <f t="shared" si="35"/>
        <v>6.0359731281164217</v>
      </c>
      <c r="K100" s="10">
        <v>219.07220423000001</v>
      </c>
      <c r="L100" s="10">
        <f t="shared" si="36"/>
        <v>2.5563801445297023</v>
      </c>
    </row>
    <row r="101" spans="1:12" hidden="1">
      <c r="A101" s="672">
        <v>5</v>
      </c>
      <c r="B101" s="10">
        <f t="shared" ref="B101:B106" si="37">+C101+E101+K101</f>
        <v>8680.4269249299996</v>
      </c>
      <c r="C101" s="10">
        <v>3103.22113657</v>
      </c>
      <c r="D101" s="10">
        <f t="shared" si="32"/>
        <v>35.749637240279228</v>
      </c>
      <c r="E101" s="10">
        <v>5358.1335841299997</v>
      </c>
      <c r="F101" s="10">
        <f t="shared" si="33"/>
        <v>61.726613569449619</v>
      </c>
      <c r="G101" s="10">
        <v>2615.6153205099999</v>
      </c>
      <c r="H101" s="10">
        <f t="shared" si="34"/>
        <v>30.132335000689984</v>
      </c>
      <c r="I101" s="10">
        <v>522.26350820999994</v>
      </c>
      <c r="J101" s="10">
        <f t="shared" si="35"/>
        <v>6.0165647695284479</v>
      </c>
      <c r="K101" s="10">
        <v>219.07220423000001</v>
      </c>
      <c r="L101" s="10">
        <f t="shared" si="36"/>
        <v>2.5237491902711531</v>
      </c>
    </row>
    <row r="102" spans="1:12" hidden="1">
      <c r="A102" s="672">
        <v>6</v>
      </c>
      <c r="B102" s="10">
        <f t="shared" si="37"/>
        <v>8885.8892618499995</v>
      </c>
      <c r="C102" s="10">
        <v>3153.8894439300002</v>
      </c>
      <c r="D102" s="10">
        <f t="shared" si="32"/>
        <v>35.493233721363929</v>
      </c>
      <c r="E102" s="10">
        <v>5512.9276136899998</v>
      </c>
      <c r="F102" s="10">
        <f t="shared" si="33"/>
        <v>62.041372013927564</v>
      </c>
      <c r="G102" s="10">
        <v>2715.63766923</v>
      </c>
      <c r="H102" s="10">
        <f t="shared" si="34"/>
        <v>30.561236914003782</v>
      </c>
      <c r="I102" s="10">
        <v>531.2764009199999</v>
      </c>
      <c r="J102" s="10">
        <f t="shared" si="35"/>
        <v>5.9788771305190753</v>
      </c>
      <c r="K102" s="10">
        <v>219.07220423000001</v>
      </c>
      <c r="L102" s="10">
        <f t="shared" si="36"/>
        <v>2.4653942647085185</v>
      </c>
    </row>
    <row r="103" spans="1:12" hidden="1">
      <c r="A103" s="672">
        <v>7</v>
      </c>
      <c r="B103" s="10">
        <f t="shared" si="37"/>
        <v>9050.1703139700003</v>
      </c>
      <c r="C103" s="10">
        <v>3170.2912026700001</v>
      </c>
      <c r="D103" s="10">
        <f t="shared" ref="D103:D109" si="38">+C103/B103*100</f>
        <v>35.030182777624454</v>
      </c>
      <c r="E103" s="10">
        <v>5638.8410782999999</v>
      </c>
      <c r="F103" s="10">
        <f t="shared" ref="F103:F109" si="39">+E103/B103*100</f>
        <v>62.306463665062594</v>
      </c>
      <c r="G103" s="10">
        <v>2752.9903849599996</v>
      </c>
      <c r="H103" s="10">
        <f t="shared" ref="H103:H109" si="40">+G103/B103*100</f>
        <v>30.419210793308892</v>
      </c>
      <c r="I103" s="10">
        <v>540.28259676000005</v>
      </c>
      <c r="J103" s="10">
        <f t="shared" ref="J103:J109" si="41">+I103/B103*100</f>
        <v>5.9698610967134007</v>
      </c>
      <c r="K103" s="10">
        <v>241.03803300000001</v>
      </c>
      <c r="L103" s="10">
        <f t="shared" ref="L103:L109" si="42">+K103/B103*100</f>
        <v>2.6633535573129437</v>
      </c>
    </row>
    <row r="104" spans="1:12" hidden="1">
      <c r="A104" s="672">
        <v>8</v>
      </c>
      <c r="B104" s="10">
        <f t="shared" si="37"/>
        <v>9458.3536229800011</v>
      </c>
      <c r="C104" s="10">
        <v>3218.7447350100001</v>
      </c>
      <c r="D104" s="10">
        <f t="shared" si="38"/>
        <v>34.030708337968491</v>
      </c>
      <c r="E104" s="10">
        <v>5998.5708549700003</v>
      </c>
      <c r="F104" s="10">
        <f t="shared" si="39"/>
        <v>63.420877396631504</v>
      </c>
      <c r="G104" s="10">
        <v>2822.2134690899998</v>
      </c>
      <c r="H104" s="10">
        <f t="shared" si="40"/>
        <v>29.838316281949474</v>
      </c>
      <c r="I104" s="10">
        <v>543.56001016000005</v>
      </c>
      <c r="J104" s="10">
        <f t="shared" si="41"/>
        <v>5.746877647282794</v>
      </c>
      <c r="K104" s="10">
        <v>241.03803300000001</v>
      </c>
      <c r="L104" s="10">
        <f t="shared" si="42"/>
        <v>2.5484142653999995</v>
      </c>
    </row>
    <row r="105" spans="1:12" hidden="1">
      <c r="A105" s="672">
        <v>9</v>
      </c>
      <c r="B105" s="10">
        <f t="shared" si="37"/>
        <v>9597.6519703199992</v>
      </c>
      <c r="C105" s="10">
        <v>3215.5912394799998</v>
      </c>
      <c r="D105" s="10">
        <f t="shared" si="38"/>
        <v>33.503936686014121</v>
      </c>
      <c r="E105" s="10">
        <v>6141.0226978399996</v>
      </c>
      <c r="F105" s="10">
        <f t="shared" si="39"/>
        <v>63.984636209258682</v>
      </c>
      <c r="G105" s="10">
        <v>2876.5179329099992</v>
      </c>
      <c r="H105" s="10">
        <f t="shared" si="40"/>
        <v>29.971058981982363</v>
      </c>
      <c r="I105" s="10">
        <v>557.2900727</v>
      </c>
      <c r="J105" s="10">
        <f t="shared" si="41"/>
        <v>5.806525121179396</v>
      </c>
      <c r="K105" s="10">
        <v>241.03803300000001</v>
      </c>
      <c r="L105" s="10">
        <f t="shared" si="42"/>
        <v>2.5114271047271939</v>
      </c>
    </row>
    <row r="106" spans="1:12" hidden="1">
      <c r="A106" s="672">
        <v>10</v>
      </c>
      <c r="B106" s="10">
        <f t="shared" si="37"/>
        <v>9706.1501323600005</v>
      </c>
      <c r="C106" s="10">
        <v>3270.9263220799999</v>
      </c>
      <c r="D106" s="10">
        <f t="shared" si="38"/>
        <v>33.699523265922231</v>
      </c>
      <c r="E106" s="10">
        <v>6183.72797928</v>
      </c>
      <c r="F106" s="10">
        <f t="shared" si="39"/>
        <v>63.70937905301551</v>
      </c>
      <c r="G106" s="10">
        <v>2900.8982134824996</v>
      </c>
      <c r="H106" s="10">
        <f t="shared" si="40"/>
        <v>29.887217629273998</v>
      </c>
      <c r="I106" s="10">
        <v>563.97646214249994</v>
      </c>
      <c r="J106" s="10">
        <f t="shared" si="41"/>
        <v>5.8105062712992668</v>
      </c>
      <c r="K106" s="10">
        <v>251.49583100000001</v>
      </c>
      <c r="L106" s="10">
        <f t="shared" si="42"/>
        <v>2.5910976810622448</v>
      </c>
    </row>
    <row r="107" spans="1:12" hidden="1">
      <c r="A107" s="672">
        <v>11</v>
      </c>
      <c r="B107" s="10">
        <f>+C107+E107+K107</f>
        <v>9782.7863418199995</v>
      </c>
      <c r="C107" s="10">
        <v>3272.2835221300002</v>
      </c>
      <c r="D107" s="10">
        <f t="shared" si="38"/>
        <v>33.449401916726529</v>
      </c>
      <c r="E107" s="10">
        <v>6259.0069886900001</v>
      </c>
      <c r="F107" s="10">
        <f t="shared" si="39"/>
        <v>63.979798494971199</v>
      </c>
      <c r="G107" s="10">
        <v>2941.7016406700009</v>
      </c>
      <c r="H107" s="10">
        <f t="shared" si="40"/>
        <v>30.070181826364244</v>
      </c>
      <c r="I107" s="10">
        <v>566.2459839899999</v>
      </c>
      <c r="J107" s="10">
        <f t="shared" si="41"/>
        <v>5.7881871708613328</v>
      </c>
      <c r="K107" s="10">
        <v>251.49583100000001</v>
      </c>
      <c r="L107" s="10">
        <f t="shared" si="42"/>
        <v>2.5707995883022776</v>
      </c>
    </row>
    <row r="108" spans="1:12" hidden="1">
      <c r="A108" s="672">
        <v>12</v>
      </c>
      <c r="B108" s="10">
        <f>+C108+E108+K108</f>
        <v>9850.3003707400003</v>
      </c>
      <c r="C108" s="10">
        <v>3300.0444311000001</v>
      </c>
      <c r="D108" s="10">
        <f t="shared" si="38"/>
        <v>33.501967522763834</v>
      </c>
      <c r="E108" s="10">
        <v>6298.76010864</v>
      </c>
      <c r="F108" s="10">
        <f t="shared" si="39"/>
        <v>63.944853167627905</v>
      </c>
      <c r="G108" s="10">
        <v>3001.9660682050007</v>
      </c>
      <c r="H108" s="10">
        <f t="shared" si="40"/>
        <v>30.4758835286104</v>
      </c>
      <c r="I108" s="10">
        <v>586.22559513499993</v>
      </c>
      <c r="J108" s="10">
        <f t="shared" si="41"/>
        <v>5.9513474013073164</v>
      </c>
      <c r="K108" s="10">
        <v>251.49583100000001</v>
      </c>
      <c r="L108" s="10">
        <f t="shared" si="42"/>
        <v>2.5531793096082658</v>
      </c>
    </row>
    <row r="109" spans="1:12">
      <c r="A109" s="672">
        <v>2012</v>
      </c>
      <c r="B109" s="283">
        <f t="shared" ref="B109" si="43">+C109+E109+K109</f>
        <v>12243.721763699999</v>
      </c>
      <c r="C109" s="283">
        <v>4137.1396598700003</v>
      </c>
      <c r="D109" s="283">
        <f t="shared" si="38"/>
        <v>33.789886275721564</v>
      </c>
      <c r="E109" s="283">
        <v>7785.4661328299999</v>
      </c>
      <c r="F109" s="283">
        <f t="shared" si="39"/>
        <v>63.587414701894254</v>
      </c>
      <c r="G109" s="283">
        <v>3393.9917030785491</v>
      </c>
      <c r="H109" s="283">
        <f t="shared" si="40"/>
        <v>27.720261604939473</v>
      </c>
      <c r="I109" s="283">
        <v>759.27575881855</v>
      </c>
      <c r="J109" s="283">
        <f t="shared" si="41"/>
        <v>6.2013477067866676</v>
      </c>
      <c r="K109" s="283">
        <v>321.115971</v>
      </c>
      <c r="L109" s="283">
        <f t="shared" si="42"/>
        <v>2.6226990223841886</v>
      </c>
    </row>
    <row r="110" spans="1:12" hidden="1">
      <c r="A110" s="672">
        <v>1</v>
      </c>
      <c r="B110" s="10">
        <f>+C110+E110+K110</f>
        <v>9984.5625328200003</v>
      </c>
      <c r="C110" s="10">
        <v>3353.4214085200001</v>
      </c>
      <c r="D110" s="10">
        <f t="shared" ref="D110:D115" si="44">+C110/B110*100</f>
        <v>33.586062458891455</v>
      </c>
      <c r="E110" s="10">
        <v>6361.3041443000002</v>
      </c>
      <c r="F110" s="10">
        <f t="shared" ref="F110:F115" si="45">+E110/B110*100</f>
        <v>63.711395701012641</v>
      </c>
      <c r="G110" s="10">
        <v>3022.4392611999997</v>
      </c>
      <c r="H110" s="10">
        <f t="shared" ref="H110:H115" si="46">+G110/B110*100</f>
        <v>30.271123559645368</v>
      </c>
      <c r="I110" s="10">
        <v>576.93037689999983</v>
      </c>
      <c r="J110" s="10">
        <f t="shared" ref="J110:J115" si="47">+I110/B110*100</f>
        <v>5.7782238831554888</v>
      </c>
      <c r="K110" s="10">
        <v>269.83698000000004</v>
      </c>
      <c r="L110" s="10">
        <f t="shared" ref="L110:L115" si="48">+K110/B110*100</f>
        <v>2.7025418400959058</v>
      </c>
    </row>
    <row r="111" spans="1:12" hidden="1">
      <c r="A111" s="672">
        <v>2</v>
      </c>
      <c r="B111" s="10">
        <f t="shared" ref="B111:B121" si="49">+C111+E111+K111</f>
        <v>10106.91377657</v>
      </c>
      <c r="C111" s="10">
        <v>3396.4752936700002</v>
      </c>
      <c r="D111" s="10">
        <f t="shared" si="44"/>
        <v>33.60546422730706</v>
      </c>
      <c r="E111" s="10">
        <v>6440.6015029</v>
      </c>
      <c r="F111" s="10">
        <f t="shared" si="45"/>
        <v>63.724710087373062</v>
      </c>
      <c r="G111" s="10">
        <v>2941.1277830200002</v>
      </c>
      <c r="H111" s="10">
        <f t="shared" si="46"/>
        <v>29.100157061180905</v>
      </c>
      <c r="I111" s="10">
        <v>590.86427426999978</v>
      </c>
      <c r="J111" s="10">
        <f t="shared" si="47"/>
        <v>5.8461394579198869</v>
      </c>
      <c r="K111" s="10">
        <v>269.83698000000004</v>
      </c>
      <c r="L111" s="10">
        <f t="shared" si="48"/>
        <v>2.6698256853198865</v>
      </c>
    </row>
    <row r="112" spans="1:12" hidden="1">
      <c r="A112" s="672">
        <v>3</v>
      </c>
      <c r="B112" s="10">
        <f t="shared" si="49"/>
        <v>10163.207416879999</v>
      </c>
      <c r="C112" s="10">
        <v>3430.8989471300001</v>
      </c>
      <c r="D112" s="10">
        <f t="shared" si="44"/>
        <v>33.758033329435392</v>
      </c>
      <c r="E112" s="10">
        <v>6462.4714897499998</v>
      </c>
      <c r="F112" s="10">
        <f t="shared" si="45"/>
        <v>63.586929053681686</v>
      </c>
      <c r="G112" s="10">
        <v>3077.3752740999998</v>
      </c>
      <c r="H112" s="10">
        <f t="shared" si="46"/>
        <v>30.279567737531455</v>
      </c>
      <c r="I112" s="10">
        <v>600.95631922999985</v>
      </c>
      <c r="J112" s="10">
        <f t="shared" si="47"/>
        <v>5.9130577049118944</v>
      </c>
      <c r="K112" s="10">
        <v>269.83697999999998</v>
      </c>
      <c r="L112" s="10">
        <f t="shared" si="48"/>
        <v>2.6550376168829306</v>
      </c>
    </row>
    <row r="113" spans="1:12" hidden="1">
      <c r="A113" s="672">
        <v>4</v>
      </c>
      <c r="B113" s="10">
        <f t="shared" si="49"/>
        <v>10363.272338589999</v>
      </c>
      <c r="C113" s="10">
        <v>3560.5985937800001</v>
      </c>
      <c r="D113" s="10">
        <f t="shared" si="44"/>
        <v>34.357859925395402</v>
      </c>
      <c r="E113" s="10">
        <v>6524.5424448100002</v>
      </c>
      <c r="F113" s="10">
        <f t="shared" si="45"/>
        <v>62.958322734744542</v>
      </c>
      <c r="G113" s="10">
        <v>3118.85</v>
      </c>
      <c r="H113" s="10">
        <f t="shared" si="46"/>
        <v>30.095223768135991</v>
      </c>
      <c r="I113" s="10">
        <v>628.87</v>
      </c>
      <c r="J113" s="10">
        <f t="shared" si="47"/>
        <v>6.0682570085344532</v>
      </c>
      <c r="K113" s="10">
        <v>278.13130000000001</v>
      </c>
      <c r="L113" s="10">
        <f t="shared" si="48"/>
        <v>2.6838173398600644</v>
      </c>
    </row>
    <row r="114" spans="1:12" hidden="1">
      <c r="A114" s="672">
        <v>5</v>
      </c>
      <c r="B114" s="10">
        <f t="shared" si="49"/>
        <v>10511.52051213</v>
      </c>
      <c r="C114" s="10">
        <v>3570.3696697999999</v>
      </c>
      <c r="D114" s="10">
        <f t="shared" si="44"/>
        <v>33.966253176026186</v>
      </c>
      <c r="E114" s="10">
        <v>6663.01951233</v>
      </c>
      <c r="F114" s="10">
        <f t="shared" si="45"/>
        <v>63.387780146945083</v>
      </c>
      <c r="G114" s="10">
        <v>3156.6288060299999</v>
      </c>
      <c r="H114" s="10">
        <f t="shared" si="46"/>
        <v>30.030182620938035</v>
      </c>
      <c r="I114" s="10">
        <v>636.52221122999993</v>
      </c>
      <c r="J114" s="10">
        <f t="shared" si="47"/>
        <v>6.0554722839143125</v>
      </c>
      <c r="K114" s="10">
        <v>278.13132999999999</v>
      </c>
      <c r="L114" s="10">
        <f t="shared" si="48"/>
        <v>2.6459666770287344</v>
      </c>
    </row>
    <row r="115" spans="1:12" hidden="1">
      <c r="A115" s="672">
        <v>6</v>
      </c>
      <c r="B115" s="10">
        <f t="shared" si="49"/>
        <v>10734.81067669</v>
      </c>
      <c r="C115" s="10">
        <v>3697.0395606799998</v>
      </c>
      <c r="D115" s="10">
        <f t="shared" si="44"/>
        <v>34.439727648927246</v>
      </c>
      <c r="E115" s="10">
        <v>6759.6397860099996</v>
      </c>
      <c r="F115" s="10">
        <f t="shared" si="45"/>
        <v>62.969343285095412</v>
      </c>
      <c r="G115" s="10">
        <v>3072.2425172399999</v>
      </c>
      <c r="H115" s="10">
        <f t="shared" si="46"/>
        <v>28.619438290711457</v>
      </c>
      <c r="I115" s="10">
        <v>643.40683449999983</v>
      </c>
      <c r="J115" s="10">
        <f t="shared" si="47"/>
        <v>5.9936486434466829</v>
      </c>
      <c r="K115" s="10">
        <v>278.13132999999999</v>
      </c>
      <c r="L115" s="10">
        <f t="shared" si="48"/>
        <v>2.5909290659773401</v>
      </c>
    </row>
    <row r="116" spans="1:12" hidden="1">
      <c r="A116" s="672">
        <v>7</v>
      </c>
      <c r="B116" s="10">
        <f t="shared" si="49"/>
        <v>10726.412785960001</v>
      </c>
      <c r="C116" s="10">
        <v>3734.6016091900001</v>
      </c>
      <c r="D116" s="10">
        <f t="shared" ref="D116:D121" si="50">+C116/B116*100</f>
        <v>34.816873858129796</v>
      </c>
      <c r="E116" s="10">
        <v>6680.6571947700004</v>
      </c>
      <c r="F116" s="10">
        <f t="shared" ref="F116:F121" si="51">+E116/B116*100</f>
        <v>62.282305632638298</v>
      </c>
      <c r="G116" s="10">
        <v>3060.3690584400001</v>
      </c>
      <c r="H116" s="10">
        <f t="shared" ref="H116:H121" si="52">+G116/B116*100</f>
        <v>28.531151275902538</v>
      </c>
      <c r="I116" s="10">
        <v>660.87694880999993</v>
      </c>
      <c r="J116" s="10">
        <f t="shared" ref="J116:J121" si="53">+I116/B116*100</f>
        <v>6.1612112268794457</v>
      </c>
      <c r="K116" s="10">
        <v>311.15398200000004</v>
      </c>
      <c r="L116" s="10">
        <f t="shared" ref="L116:L121" si="54">+K116/B116*100</f>
        <v>2.9008205092318953</v>
      </c>
    </row>
    <row r="117" spans="1:12" hidden="1">
      <c r="A117" s="672">
        <v>8</v>
      </c>
      <c r="B117" s="10">
        <f t="shared" si="49"/>
        <v>11057.8023435</v>
      </c>
      <c r="C117" s="10">
        <v>3792.8978238200002</v>
      </c>
      <c r="D117" s="10">
        <f t="shared" si="50"/>
        <v>34.300647687463346</v>
      </c>
      <c r="E117" s="10">
        <v>6953.75053768</v>
      </c>
      <c r="F117" s="10">
        <f t="shared" si="51"/>
        <v>62.885466041700013</v>
      </c>
      <c r="G117" s="10">
        <v>3140.0001941800006</v>
      </c>
      <c r="H117" s="10">
        <f t="shared" si="52"/>
        <v>28.396240922372396</v>
      </c>
      <c r="I117" s="10">
        <v>673.54672918999995</v>
      </c>
      <c r="J117" s="10">
        <f t="shared" si="53"/>
        <v>6.0911445897378007</v>
      </c>
      <c r="K117" s="10">
        <v>311.15398200000004</v>
      </c>
      <c r="L117" s="10">
        <f t="shared" si="54"/>
        <v>2.8138862708366519</v>
      </c>
    </row>
    <row r="118" spans="1:12" hidden="1">
      <c r="A118" s="672">
        <v>9</v>
      </c>
      <c r="B118" s="10">
        <f t="shared" si="49"/>
        <v>11380.82251559</v>
      </c>
      <c r="C118" s="10">
        <v>3885.5878041199999</v>
      </c>
      <c r="D118" s="10">
        <f t="shared" si="50"/>
        <v>34.141537650704365</v>
      </c>
      <c r="E118" s="10">
        <v>7184.0807294699998</v>
      </c>
      <c r="F118" s="10">
        <f t="shared" si="51"/>
        <v>63.124442188856733</v>
      </c>
      <c r="G118" s="10">
        <v>3199.8205267000003</v>
      </c>
      <c r="H118" s="10">
        <f t="shared" si="52"/>
        <v>28.115898673551332</v>
      </c>
      <c r="I118" s="10">
        <v>686.26143812999999</v>
      </c>
      <c r="J118" s="10">
        <f t="shared" si="53"/>
        <v>6.0299810245694099</v>
      </c>
      <c r="K118" s="10">
        <v>311.15398200000004</v>
      </c>
      <c r="L118" s="10">
        <f t="shared" si="54"/>
        <v>2.7340201604388987</v>
      </c>
    </row>
    <row r="119" spans="1:12" hidden="1">
      <c r="A119" s="672">
        <v>10</v>
      </c>
      <c r="B119" s="10">
        <f t="shared" si="49"/>
        <v>11643.488717519998</v>
      </c>
      <c r="C119" s="10">
        <v>3954.4920864199999</v>
      </c>
      <c r="D119" s="10">
        <f t="shared" si="50"/>
        <v>33.963120353006069</v>
      </c>
      <c r="E119" s="10">
        <v>7367.8806600999997</v>
      </c>
      <c r="F119" s="10">
        <f t="shared" si="51"/>
        <v>63.278977966573912</v>
      </c>
      <c r="G119" s="10">
        <v>3270.34470676</v>
      </c>
      <c r="H119" s="10">
        <f t="shared" si="52"/>
        <v>28.087326626074717</v>
      </c>
      <c r="I119" s="10">
        <v>697.06237891000001</v>
      </c>
      <c r="J119" s="10">
        <f t="shared" si="53"/>
        <v>5.9867140839079251</v>
      </c>
      <c r="K119" s="10">
        <v>321.115971</v>
      </c>
      <c r="L119" s="10">
        <f t="shared" si="54"/>
        <v>2.7579016804200247</v>
      </c>
    </row>
    <row r="120" spans="1:12" hidden="1">
      <c r="A120" s="672">
        <v>11</v>
      </c>
      <c r="B120" s="10">
        <f t="shared" si="49"/>
        <v>11730.50687651</v>
      </c>
      <c r="C120" s="10">
        <v>3996.9803884399998</v>
      </c>
      <c r="D120" s="10">
        <f t="shared" si="50"/>
        <v>34.073381743152439</v>
      </c>
      <c r="E120" s="10">
        <v>7412.4105170700004</v>
      </c>
      <c r="F120" s="10">
        <f t="shared" si="51"/>
        <v>63.189174987085487</v>
      </c>
      <c r="G120" s="10">
        <v>3347.5757916999996</v>
      </c>
      <c r="H120" s="10">
        <f t="shared" si="52"/>
        <v>28.537349894090454</v>
      </c>
      <c r="I120" s="10">
        <v>728.16078690999996</v>
      </c>
      <c r="J120" s="10">
        <f t="shared" si="53"/>
        <v>6.207411108279735</v>
      </c>
      <c r="K120" s="10">
        <v>321.115971</v>
      </c>
      <c r="L120" s="10">
        <f t="shared" si="54"/>
        <v>2.7374432697620716</v>
      </c>
    </row>
    <row r="121" spans="1:12" hidden="1">
      <c r="A121" s="672">
        <v>12</v>
      </c>
      <c r="B121" s="10">
        <f t="shared" si="49"/>
        <v>12243.721763699999</v>
      </c>
      <c r="C121" s="10">
        <v>4137.1396598700003</v>
      </c>
      <c r="D121" s="10">
        <f t="shared" si="50"/>
        <v>33.789886275721564</v>
      </c>
      <c r="E121" s="10">
        <v>7785.4661328299999</v>
      </c>
      <c r="F121" s="10">
        <f t="shared" si="51"/>
        <v>63.587414701894254</v>
      </c>
      <c r="G121" s="10">
        <v>3393.9917030785491</v>
      </c>
      <c r="H121" s="10">
        <f t="shared" si="52"/>
        <v>27.720261604939473</v>
      </c>
      <c r="I121" s="10">
        <v>759.27575881855</v>
      </c>
      <c r="J121" s="10">
        <f t="shared" si="53"/>
        <v>6.2013477067866676</v>
      </c>
      <c r="K121" s="10">
        <v>321.115971</v>
      </c>
      <c r="L121" s="10">
        <f t="shared" si="54"/>
        <v>2.6226990223841886</v>
      </c>
    </row>
    <row r="122" spans="1:12">
      <c r="A122" s="672">
        <v>2013</v>
      </c>
      <c r="B122" s="283">
        <v>15422.937717560002</v>
      </c>
      <c r="C122" s="283">
        <v>5300.3902090399997</v>
      </c>
      <c r="D122" s="283">
        <v>34.366929998071413</v>
      </c>
      <c r="E122" s="283">
        <v>9689.4223595200019</v>
      </c>
      <c r="F122" s="283">
        <v>62.824751917969394</v>
      </c>
      <c r="G122" s="283">
        <v>4612.5328124099997</v>
      </c>
      <c r="H122" s="283">
        <v>29.90696647343869</v>
      </c>
      <c r="I122" s="283">
        <v>1034.7493456899999</v>
      </c>
      <c r="J122" s="283">
        <v>6.709158557463871</v>
      </c>
      <c r="K122" s="283">
        <v>433.12514900000002</v>
      </c>
      <c r="L122" s="283">
        <v>2.8083180839591884</v>
      </c>
    </row>
    <row r="123" spans="1:12">
      <c r="A123" s="672">
        <v>1</v>
      </c>
      <c r="B123" s="10">
        <f t="shared" ref="B123:B128" si="55">+C123+E123+K123</f>
        <v>12479.272292869999</v>
      </c>
      <c r="C123" s="10">
        <v>4206.3283653099998</v>
      </c>
      <c r="D123" s="10">
        <f t="shared" ref="D123:D128" si="56">+C123/B123*100</f>
        <v>33.706519631864076</v>
      </c>
      <c r="E123" s="10">
        <v>7925.2891625599996</v>
      </c>
      <c r="F123" s="10">
        <f t="shared" ref="F123:F128" si="57">+E123/B123*100</f>
        <v>63.507622692775875</v>
      </c>
      <c r="G123" s="10">
        <v>3541.5680367199998</v>
      </c>
      <c r="H123" s="10">
        <f t="shared" ref="H123:H128" si="58">+G123/B123*100</f>
        <v>28.379603823080824</v>
      </c>
      <c r="I123" s="10">
        <v>770.51050643999997</v>
      </c>
      <c r="J123" s="10">
        <f>+I123/B123*100</f>
        <v>6.1743224152599767</v>
      </c>
      <c r="K123" s="10">
        <v>347.654765</v>
      </c>
      <c r="L123" s="10">
        <f t="shared" ref="L123:L128" si="59">+K123/B123*100</f>
        <v>2.7858576753600586</v>
      </c>
    </row>
    <row r="124" spans="1:12">
      <c r="A124" s="672">
        <v>2</v>
      </c>
      <c r="B124" s="10">
        <f t="shared" si="55"/>
        <v>12207.917385979999</v>
      </c>
      <c r="C124" s="10">
        <v>4217.4409984799995</v>
      </c>
      <c r="D124" s="10">
        <f t="shared" si="56"/>
        <v>34.546768831540888</v>
      </c>
      <c r="E124" s="10">
        <v>7642.8216224999996</v>
      </c>
      <c r="F124" s="10">
        <f t="shared" si="57"/>
        <v>62.605450060444248</v>
      </c>
      <c r="G124" s="10">
        <v>3603.4586643299999</v>
      </c>
      <c r="H124" s="10">
        <f t="shared" si="58"/>
        <v>29.517390644110503</v>
      </c>
      <c r="I124" s="10">
        <v>790.16024533999996</v>
      </c>
      <c r="J124" s="10">
        <f>+I124/B124*100</f>
        <v>6.4725228747652546</v>
      </c>
      <c r="K124" s="10">
        <v>347.654765</v>
      </c>
      <c r="L124" s="10">
        <f t="shared" si="59"/>
        <v>2.8477811080148601</v>
      </c>
    </row>
    <row r="125" spans="1:12">
      <c r="A125" s="672">
        <v>3</v>
      </c>
      <c r="B125" s="10">
        <f t="shared" si="55"/>
        <v>12451.11375792</v>
      </c>
      <c r="C125" s="10">
        <v>4296.4936016800002</v>
      </c>
      <c r="D125" s="10">
        <f t="shared" si="56"/>
        <v>34.506901833958857</v>
      </c>
      <c r="E125" s="10">
        <v>7806.9653912399999</v>
      </c>
      <c r="F125" s="10">
        <f t="shared" si="57"/>
        <v>62.700940197209952</v>
      </c>
      <c r="G125" s="10">
        <v>3724.4867074200001</v>
      </c>
      <c r="H125" s="10">
        <f t="shared" si="58"/>
        <v>29.912879922496089</v>
      </c>
      <c r="I125" s="10">
        <v>808.40897232999998</v>
      </c>
      <c r="J125" s="10">
        <f>+I125/B125*100</f>
        <v>6.4926639339053587</v>
      </c>
      <c r="K125" s="10">
        <v>347.654765</v>
      </c>
      <c r="L125" s="10">
        <f t="shared" si="59"/>
        <v>2.7921579688311904</v>
      </c>
    </row>
    <row r="126" spans="1:12">
      <c r="A126" s="672">
        <v>4</v>
      </c>
      <c r="B126" s="10">
        <f t="shared" si="55"/>
        <v>13019.48671463</v>
      </c>
      <c r="C126" s="10">
        <v>4445.31613681</v>
      </c>
      <c r="D126" s="10">
        <f t="shared" si="56"/>
        <v>34.143559068383226</v>
      </c>
      <c r="E126" s="10">
        <v>8220.5139338200006</v>
      </c>
      <c r="F126" s="10">
        <f t="shared" si="57"/>
        <v>63.140076978477246</v>
      </c>
      <c r="G126" s="10">
        <v>3855.39926186</v>
      </c>
      <c r="H126" s="10">
        <f t="shared" si="58"/>
        <v>29.612528868190225</v>
      </c>
      <c r="I126" s="10">
        <v>836.25167277000003</v>
      </c>
      <c r="J126" s="10">
        <f>+I126/B126*100</f>
        <v>6.4230771235420816</v>
      </c>
      <c r="K126" s="10">
        <v>353.65664400000003</v>
      </c>
      <c r="L126" s="10">
        <f t="shared" si="59"/>
        <v>2.7163639531395347</v>
      </c>
    </row>
    <row r="127" spans="1:12">
      <c r="A127" s="672">
        <v>5</v>
      </c>
      <c r="B127" s="10">
        <f t="shared" si="55"/>
        <v>13406.32168666</v>
      </c>
      <c r="C127" s="10">
        <v>4570.5401277999999</v>
      </c>
      <c r="D127" s="10">
        <f t="shared" si="56"/>
        <v>34.092424712946652</v>
      </c>
      <c r="E127" s="10">
        <v>8482.12491486</v>
      </c>
      <c r="F127" s="10">
        <f t="shared" si="57"/>
        <v>63.269591116108778</v>
      </c>
      <c r="G127" s="10">
        <v>3977.69121718</v>
      </c>
      <c r="H127" s="10">
        <f t="shared" si="58"/>
        <v>29.670265343088204</v>
      </c>
      <c r="I127" s="10">
        <v>870.91028359999996</v>
      </c>
      <c r="J127" s="10">
        <f>+I127/B127*100</f>
        <v>6.4962657465291311</v>
      </c>
      <c r="K127" s="10">
        <v>353.65664400000003</v>
      </c>
      <c r="L127" s="10">
        <f t="shared" si="59"/>
        <v>2.6379841709445713</v>
      </c>
    </row>
    <row r="128" spans="1:12">
      <c r="A128" s="672">
        <v>6</v>
      </c>
      <c r="B128" s="10">
        <f t="shared" si="55"/>
        <v>13774.07890362</v>
      </c>
      <c r="C128" s="10">
        <v>4750.3589026600002</v>
      </c>
      <c r="D128" s="10">
        <f t="shared" si="56"/>
        <v>34.487670180338128</v>
      </c>
      <c r="E128" s="10">
        <v>8670.0633569599995</v>
      </c>
      <c r="F128" s="10">
        <f t="shared" si="57"/>
        <v>62.944777778798688</v>
      </c>
      <c r="G128" s="10">
        <v>4047.4960519900001</v>
      </c>
      <c r="H128" s="10">
        <f t="shared" si="58"/>
        <v>29.384876334099317</v>
      </c>
      <c r="I128" s="10">
        <v>889.59958317999997</v>
      </c>
      <c r="J128" s="10">
        <f t="shared" ref="J128:J134" si="60">+I128/B128*100</f>
        <v>6.4585050616067115</v>
      </c>
      <c r="K128" s="10">
        <v>353.65664400000003</v>
      </c>
      <c r="L128" s="10">
        <f t="shared" si="59"/>
        <v>2.56755204086318</v>
      </c>
    </row>
    <row r="129" spans="1:12">
      <c r="A129" s="672">
        <v>7</v>
      </c>
      <c r="B129" s="10">
        <f>+C129+E129+K129</f>
        <v>14199.279780229999</v>
      </c>
      <c r="C129" s="10">
        <v>4888.1331228099998</v>
      </c>
      <c r="D129" s="10">
        <f t="shared" ref="D129:D134" si="61">+C129/B129*100</f>
        <v>34.425218732684357</v>
      </c>
      <c r="E129" s="10">
        <v>8918.8279964199992</v>
      </c>
      <c r="F129" s="10">
        <f t="shared" ref="F129:F134" si="62">+E129/B129*100</f>
        <v>62.811833659605043</v>
      </c>
      <c r="G129" s="10">
        <v>4203.5553027699998</v>
      </c>
      <c r="H129" s="10">
        <f t="shared" ref="H129:H134" si="63">+G129/B129*100</f>
        <v>29.604003638428981</v>
      </c>
      <c r="I129" s="10">
        <v>919.91474614000003</v>
      </c>
      <c r="J129" s="10">
        <f t="shared" si="60"/>
        <v>6.4786014528766422</v>
      </c>
      <c r="K129" s="10">
        <v>392.31866100000002</v>
      </c>
      <c r="L129" s="10">
        <f t="shared" ref="L129:L134" si="64">+K129/B129*100</f>
        <v>2.7629476077106023</v>
      </c>
    </row>
    <row r="130" spans="1:12">
      <c r="A130" s="672">
        <v>8</v>
      </c>
      <c r="B130" s="10">
        <f>+C130+E130+K130</f>
        <v>14455.06697641</v>
      </c>
      <c r="C130" s="10">
        <v>5004.5208647400004</v>
      </c>
      <c r="D130" s="10">
        <f t="shared" si="61"/>
        <v>34.621222253118212</v>
      </c>
      <c r="E130" s="10">
        <v>9058.2274506699996</v>
      </c>
      <c r="F130" s="10">
        <f t="shared" si="62"/>
        <v>62.664721411893886</v>
      </c>
      <c r="G130" s="10">
        <v>4291.0825217499996</v>
      </c>
      <c r="H130" s="10">
        <f t="shared" si="63"/>
        <v>29.685663364637794</v>
      </c>
      <c r="I130" s="10">
        <v>937.05958865000002</v>
      </c>
      <c r="J130" s="10">
        <f t="shared" si="60"/>
        <v>6.4825682937286828</v>
      </c>
      <c r="K130" s="10">
        <v>392.31866100000002</v>
      </c>
      <c r="L130" s="10">
        <f t="shared" si="64"/>
        <v>2.7140563349879034</v>
      </c>
    </row>
    <row r="131" spans="1:12">
      <c r="A131" s="672">
        <v>9</v>
      </c>
      <c r="B131" s="10">
        <f t="shared" ref="B131:B142" si="65">+C131+E131+K131</f>
        <v>14793.329728139999</v>
      </c>
      <c r="C131" s="10">
        <v>5134.9996589800003</v>
      </c>
      <c r="D131" s="10">
        <f t="shared" si="61"/>
        <v>34.711587947723224</v>
      </c>
      <c r="E131" s="10">
        <v>9266.0114081600004</v>
      </c>
      <c r="F131" s="10">
        <f t="shared" si="62"/>
        <v>62.636415049507846</v>
      </c>
      <c r="G131" s="10">
        <v>4369.80416977</v>
      </c>
      <c r="H131" s="10">
        <f t="shared" si="63"/>
        <v>29.539016908801273</v>
      </c>
      <c r="I131" s="10">
        <v>969.72012930000005</v>
      </c>
      <c r="J131" s="10">
        <f t="shared" si="60"/>
        <v>6.5551173881792826</v>
      </c>
      <c r="K131" s="10">
        <v>392.31866100000002</v>
      </c>
      <c r="L131" s="10">
        <f t="shared" si="64"/>
        <v>2.6519970027689443</v>
      </c>
    </row>
    <row r="132" spans="1:12">
      <c r="A132" s="672">
        <v>10</v>
      </c>
      <c r="B132" s="10">
        <f t="shared" si="65"/>
        <v>14991.39518155</v>
      </c>
      <c r="C132" s="10">
        <v>5137.8369437499996</v>
      </c>
      <c r="D132" s="10">
        <f t="shared" si="61"/>
        <v>34.271906527240148</v>
      </c>
      <c r="E132" s="10">
        <v>9420.4330888000004</v>
      </c>
      <c r="F132" s="10">
        <f t="shared" si="62"/>
        <v>62.838935100542102</v>
      </c>
      <c r="G132" s="10">
        <v>4372.1328133099996</v>
      </c>
      <c r="H132" s="10">
        <f t="shared" si="63"/>
        <v>29.164282312368162</v>
      </c>
      <c r="I132" s="10">
        <v>969.74264840000001</v>
      </c>
      <c r="J132" s="10">
        <f t="shared" si="60"/>
        <v>6.4686617666744457</v>
      </c>
      <c r="K132" s="10">
        <v>433.12514900000002</v>
      </c>
      <c r="L132" s="10">
        <f t="shared" si="64"/>
        <v>2.8891583722177492</v>
      </c>
    </row>
    <row r="133" spans="1:12">
      <c r="A133" s="672">
        <v>11</v>
      </c>
      <c r="B133" s="10">
        <f t="shared" si="65"/>
        <v>15245.29202395</v>
      </c>
      <c r="C133" s="10">
        <v>5216.9800859400002</v>
      </c>
      <c r="D133" s="10">
        <f t="shared" si="61"/>
        <v>34.220269954450501</v>
      </c>
      <c r="E133" s="10">
        <v>9595.1867890100002</v>
      </c>
      <c r="F133" s="10">
        <f t="shared" si="62"/>
        <v>62.938688048324586</v>
      </c>
      <c r="G133" s="10">
        <v>4613.5585374800003</v>
      </c>
      <c r="H133" s="10">
        <f t="shared" si="63"/>
        <v>30.262185402760451</v>
      </c>
      <c r="I133" s="10">
        <v>1034.75047518</v>
      </c>
      <c r="J133" s="10">
        <f t="shared" si="60"/>
        <v>6.7873444047803808</v>
      </c>
      <c r="K133" s="10">
        <v>433.12514900000002</v>
      </c>
      <c r="L133" s="10">
        <f t="shared" si="64"/>
        <v>2.841041997224917</v>
      </c>
    </row>
    <row r="134" spans="1:12">
      <c r="A134" s="672">
        <v>12</v>
      </c>
      <c r="B134" s="10">
        <f t="shared" si="65"/>
        <v>15422.937717560002</v>
      </c>
      <c r="C134" s="10">
        <v>5300.3902090399997</v>
      </c>
      <c r="D134" s="10">
        <f t="shared" si="61"/>
        <v>34.366929998071413</v>
      </c>
      <c r="E134" s="10">
        <v>9689.4223595200019</v>
      </c>
      <c r="F134" s="10">
        <f t="shared" si="62"/>
        <v>62.824751917969394</v>
      </c>
      <c r="G134" s="10">
        <v>4612.5328124099997</v>
      </c>
      <c r="H134" s="10">
        <f t="shared" si="63"/>
        <v>29.90696647343869</v>
      </c>
      <c r="I134" s="10">
        <v>1034.7493456899999</v>
      </c>
      <c r="J134" s="10">
        <f t="shared" si="60"/>
        <v>6.709158557463871</v>
      </c>
      <c r="K134" s="10">
        <v>433.12514900000002</v>
      </c>
      <c r="L134" s="10">
        <f t="shared" si="64"/>
        <v>2.8083180839591884</v>
      </c>
    </row>
    <row r="135" spans="1:12">
      <c r="A135" s="672">
        <v>2014</v>
      </c>
      <c r="B135" s="283">
        <v>18542.609915010002</v>
      </c>
      <c r="C135" s="283">
        <v>6143.8378956299994</v>
      </c>
      <c r="D135" s="283">
        <f>+C135/B135*100</f>
        <v>33.133619936946644</v>
      </c>
      <c r="E135" s="283">
        <v>11873.60328738</v>
      </c>
      <c r="F135" s="283">
        <f>+E135/B135*100</f>
        <v>64.034153454139556</v>
      </c>
      <c r="G135" s="283">
        <f>5580052797.99/1000000</f>
        <v>5580.0527979899998</v>
      </c>
      <c r="H135" s="283">
        <f>+G135/B135*100</f>
        <v>30.093135883061528</v>
      </c>
      <c r="I135" s="673">
        <f>1388610429.99/1000000</f>
        <v>1388.6104299900001</v>
      </c>
      <c r="J135" s="283">
        <f>+I135/B135*100</f>
        <v>7.4887539367688367</v>
      </c>
      <c r="K135" s="283">
        <v>525.16873199999998</v>
      </c>
      <c r="L135" s="283">
        <f>+K135/B135*100</f>
        <v>2.83222660891379</v>
      </c>
    </row>
    <row r="136" spans="1:12">
      <c r="A136" s="672">
        <v>1</v>
      </c>
      <c r="B136" s="10">
        <f t="shared" si="65"/>
        <v>15484.635822389999</v>
      </c>
      <c r="C136" s="10">
        <v>5271.9943499999999</v>
      </c>
      <c r="D136" s="10">
        <f t="shared" ref="D136:D142" si="66">+C136/B136*100</f>
        <v>34.046615047781515</v>
      </c>
      <c r="E136" s="10">
        <v>9750.0806253899991</v>
      </c>
      <c r="F136" s="10">
        <f t="shared" ref="F136:F142" si="67">+E136/B136*100</f>
        <v>62.966160374865751</v>
      </c>
      <c r="G136" s="10">
        <v>4766.4069151399999</v>
      </c>
      <c r="H136" s="10">
        <f t="shared" ref="H136:H142" si="68">+G136/B136*100</f>
        <v>30.781524149557445</v>
      </c>
      <c r="I136" s="10">
        <v>1082.7243204599999</v>
      </c>
      <c r="J136" s="10">
        <f t="shared" ref="J136:J142" si="69">+I136/B136*100</f>
        <v>6.9922491744651527</v>
      </c>
      <c r="K136" s="10">
        <v>462.56084700000008</v>
      </c>
      <c r="L136" s="10">
        <f t="shared" ref="L136:L142" si="70">+K136/B136*100</f>
        <v>2.9872245773527366</v>
      </c>
    </row>
    <row r="137" spans="1:12">
      <c r="A137" s="672">
        <v>2</v>
      </c>
      <c r="B137" s="10">
        <f t="shared" si="65"/>
        <v>15616.299975900001</v>
      </c>
      <c r="C137" s="10">
        <v>5274.1656870699999</v>
      </c>
      <c r="D137" s="10">
        <f t="shared" si="66"/>
        <v>33.773465514938906</v>
      </c>
      <c r="E137" s="10">
        <v>9879.5734418299999</v>
      </c>
      <c r="F137" s="10">
        <f t="shared" si="67"/>
        <v>63.264495796550669</v>
      </c>
      <c r="G137" s="10">
        <v>4799.21768041</v>
      </c>
      <c r="H137" s="10">
        <f t="shared" si="68"/>
        <v>30.732104837998993</v>
      </c>
      <c r="I137" s="10">
        <v>1100.4611071700001</v>
      </c>
      <c r="J137" s="10">
        <f t="shared" si="69"/>
        <v>7.0468747966438707</v>
      </c>
      <c r="K137" s="10">
        <v>462.56084700000008</v>
      </c>
      <c r="L137" s="10">
        <f t="shared" si="70"/>
        <v>2.9620386885104115</v>
      </c>
    </row>
    <row r="138" spans="1:12">
      <c r="A138" s="672">
        <v>3</v>
      </c>
      <c r="B138" s="10">
        <f t="shared" si="65"/>
        <v>15889.52008421</v>
      </c>
      <c r="C138" s="10">
        <v>5416.1901998499998</v>
      </c>
      <c r="D138" s="10">
        <f t="shared" si="66"/>
        <v>34.086556240501352</v>
      </c>
      <c r="E138" s="10">
        <v>10010.76903736</v>
      </c>
      <c r="F138" s="10">
        <f t="shared" si="67"/>
        <v>63.002337290904521</v>
      </c>
      <c r="G138" s="10">
        <v>4839.1705808999995</v>
      </c>
      <c r="H138" s="10">
        <f t="shared" si="68"/>
        <v>30.455108494490414</v>
      </c>
      <c r="I138" s="10">
        <v>1125.37731373</v>
      </c>
      <c r="J138" s="10">
        <f t="shared" si="69"/>
        <v>7.0825129252854442</v>
      </c>
      <c r="K138" s="10">
        <v>462.56084700000008</v>
      </c>
      <c r="L138" s="10">
        <f t="shared" si="70"/>
        <v>2.9111064685941259</v>
      </c>
    </row>
    <row r="139" spans="1:12">
      <c r="A139" s="672">
        <v>4</v>
      </c>
      <c r="B139" s="10">
        <f t="shared" si="65"/>
        <v>16245.38347723</v>
      </c>
      <c r="C139" s="10">
        <v>5534.403880150001</v>
      </c>
      <c r="D139" s="10">
        <f t="shared" si="66"/>
        <v>34.067548407873424</v>
      </c>
      <c r="E139" s="10">
        <v>10241.156988079998</v>
      </c>
      <c r="F139" s="10">
        <f t="shared" si="67"/>
        <v>63.040413927035331</v>
      </c>
      <c r="G139" s="10">
        <v>4907.5328787099997</v>
      </c>
      <c r="H139" s="10">
        <f t="shared" si="68"/>
        <v>30.208784456141281</v>
      </c>
      <c r="I139" s="10">
        <v>1130.5799736500001</v>
      </c>
      <c r="J139" s="10">
        <f t="shared" si="69"/>
        <v>6.9593923420438406</v>
      </c>
      <c r="K139" s="10">
        <v>469.82260900000006</v>
      </c>
      <c r="L139" s="10">
        <f t="shared" si="70"/>
        <v>2.8920376650912365</v>
      </c>
    </row>
    <row r="140" spans="1:12">
      <c r="A140" s="672">
        <v>5</v>
      </c>
      <c r="B140" s="10">
        <f t="shared" si="65"/>
        <v>16595.366183030001</v>
      </c>
      <c r="C140" s="10">
        <v>5700.0429088700002</v>
      </c>
      <c r="D140" s="10">
        <f t="shared" si="66"/>
        <v>34.347195753346618</v>
      </c>
      <c r="E140" s="10">
        <v>10425.50066516</v>
      </c>
      <c r="F140" s="10">
        <f t="shared" si="67"/>
        <v>62.821757291627897</v>
      </c>
      <c r="G140" s="10">
        <v>5142.5345605599996</v>
      </c>
      <c r="H140" s="10">
        <f t="shared" si="68"/>
        <v>30.987773959568454</v>
      </c>
      <c r="I140" s="10">
        <v>1210.0142604499999</v>
      </c>
      <c r="J140" s="10">
        <f t="shared" si="69"/>
        <v>7.2912778609689841</v>
      </c>
      <c r="K140" s="10">
        <v>469.822609</v>
      </c>
      <c r="L140" s="10">
        <f t="shared" si="70"/>
        <v>2.8310469550254855</v>
      </c>
    </row>
    <row r="141" spans="1:12">
      <c r="A141" s="672">
        <v>6</v>
      </c>
      <c r="B141" s="10">
        <f t="shared" si="65"/>
        <v>16754.79692809</v>
      </c>
      <c r="C141" s="10">
        <v>5785.2405458900002</v>
      </c>
      <c r="D141" s="10">
        <f t="shared" si="66"/>
        <v>34.528861022426618</v>
      </c>
      <c r="E141" s="10">
        <v>10499.7337732</v>
      </c>
      <c r="F141" s="10">
        <f t="shared" si="67"/>
        <v>62.667030930090419</v>
      </c>
      <c r="G141" s="10">
        <v>5224.7</v>
      </c>
      <c r="H141" s="10">
        <f t="shared" si="68"/>
        <v>31.183308412652909</v>
      </c>
      <c r="I141" s="10">
        <v>1374</v>
      </c>
      <c r="J141" s="10">
        <f t="shared" si="69"/>
        <v>8.2006365454447323</v>
      </c>
      <c r="K141" s="10">
        <v>469.82260900000006</v>
      </c>
      <c r="L141" s="10">
        <f t="shared" si="70"/>
        <v>2.8041080474829636</v>
      </c>
    </row>
    <row r="142" spans="1:12">
      <c r="A142" s="672">
        <v>7</v>
      </c>
      <c r="B142" s="10">
        <f t="shared" si="65"/>
        <v>17034.049879449998</v>
      </c>
      <c r="C142" s="10">
        <v>5894.2695014000001</v>
      </c>
      <c r="D142" s="10">
        <f t="shared" si="66"/>
        <v>34.602866277331323</v>
      </c>
      <c r="E142" s="10">
        <v>10637.64786705</v>
      </c>
      <c r="F142" s="10">
        <f t="shared" si="67"/>
        <v>62.449317351614283</v>
      </c>
      <c r="G142" s="10">
        <v>5281.6885351600004</v>
      </c>
      <c r="H142" s="10">
        <f t="shared" si="68"/>
        <v>31.00665180939659</v>
      </c>
      <c r="I142" s="10">
        <v>1252.6253331400001</v>
      </c>
      <c r="J142" s="10">
        <f t="shared" si="69"/>
        <v>7.3536554254850239</v>
      </c>
      <c r="K142" s="10">
        <v>502.13251100000002</v>
      </c>
      <c r="L142" s="10">
        <f t="shared" si="70"/>
        <v>2.9478163710544041</v>
      </c>
    </row>
    <row r="143" spans="1:12">
      <c r="A143" s="672">
        <v>8</v>
      </c>
      <c r="B143" s="10">
        <v>17308.94879876</v>
      </c>
      <c r="C143" s="10">
        <v>5977.2145451200004</v>
      </c>
      <c r="D143" s="10">
        <f>+C143/B143*100</f>
        <v>34.532510406109715</v>
      </c>
      <c r="E143" s="10">
        <v>10829.601742639999</v>
      </c>
      <c r="F143" s="10">
        <f>+E143/B143*100</f>
        <v>62.5664901349516</v>
      </c>
      <c r="G143" s="10">
        <v>5279.84264876</v>
      </c>
      <c r="H143" s="10">
        <f>+G143/B143*100</f>
        <v>30.503543052471471</v>
      </c>
      <c r="I143" s="10">
        <v>1252.5016159199999</v>
      </c>
      <c r="J143" s="10">
        <f>+I143/B143*100</f>
        <v>7.2361506783689151</v>
      </c>
      <c r="K143" s="10">
        <v>502.13251100000002</v>
      </c>
      <c r="L143" s="10">
        <f>+K143/B143*100</f>
        <v>2.9009994589386756</v>
      </c>
    </row>
    <row r="144" spans="1:12">
      <c r="A144" s="672">
        <v>9</v>
      </c>
      <c r="B144" s="10">
        <v>17631.590882649998</v>
      </c>
      <c r="C144" s="10">
        <v>6061.6913152599991</v>
      </c>
      <c r="D144" s="10">
        <f>+C144/B144*100</f>
        <v>34.379718515502084</v>
      </c>
      <c r="E144" s="10">
        <v>11067.767056390001</v>
      </c>
      <c r="F144" s="10">
        <f>+E144/B144*100</f>
        <v>62.77236767829617</v>
      </c>
      <c r="G144" s="10">
        <v>5418.8705381399996</v>
      </c>
      <c r="H144" s="10">
        <f>+G144/B144*100</f>
        <v>30.733871799806373</v>
      </c>
      <c r="I144" s="10">
        <v>1296.7896851999999</v>
      </c>
      <c r="J144" s="10">
        <f>+I144/B144*100</f>
        <v>7.3549215940353907</v>
      </c>
      <c r="K144" s="10">
        <v>502.13251100000002</v>
      </c>
      <c r="L144" s="10">
        <f>+K144/B144*100</f>
        <v>2.8479138062017597</v>
      </c>
    </row>
    <row r="145" spans="1:12">
      <c r="A145" s="672">
        <v>10</v>
      </c>
      <c r="B145" s="10">
        <v>17841.51790323</v>
      </c>
      <c r="C145" s="10">
        <v>6065.3269245600004</v>
      </c>
      <c r="D145" s="10">
        <f>+C145/B145*100</f>
        <v>33.995576819514575</v>
      </c>
      <c r="E145" s="10">
        <v>11251.02224667</v>
      </c>
      <c r="F145" s="10">
        <f>+E145/B145*100</f>
        <v>63.060902708469293</v>
      </c>
      <c r="G145" s="10">
        <v>5445.4810208600002</v>
      </c>
      <c r="H145" s="10">
        <f>+G145/B145*100</f>
        <v>30.521399862923985</v>
      </c>
      <c r="I145" s="10">
        <v>1322.1305225200001</v>
      </c>
      <c r="J145" s="10">
        <f>+I145/B145*100</f>
        <v>7.4104150201292214</v>
      </c>
      <c r="K145" s="10">
        <v>525.16873199999998</v>
      </c>
      <c r="L145" s="10">
        <f>+K145/B145*100</f>
        <v>2.9435204720161408</v>
      </c>
    </row>
    <row r="146" spans="1:12">
      <c r="A146" s="672">
        <v>11</v>
      </c>
      <c r="B146" s="10">
        <v>18151.900000000001</v>
      </c>
      <c r="C146" s="10">
        <v>6137.9</v>
      </c>
      <c r="D146" s="10">
        <f>+C146/B146*100</f>
        <v>33.814091086883465</v>
      </c>
      <c r="E146" s="10">
        <f>B146-C146-K146</f>
        <v>11488.831268000002</v>
      </c>
      <c r="F146" s="10">
        <f>+E146/B146*100</f>
        <v>63.292720144998604</v>
      </c>
      <c r="G146" s="10">
        <f>5550640904.74/1000000</f>
        <v>5550.6409047400002</v>
      </c>
      <c r="H146" s="10">
        <f>+G146/B146*100</f>
        <v>30.578842461340134</v>
      </c>
      <c r="I146" s="674">
        <f>1343361254.33/1000000</f>
        <v>1343.3612543299998</v>
      </c>
      <c r="J146" s="10">
        <f>+I146/B146*100</f>
        <v>7.4006646925666164</v>
      </c>
      <c r="K146" s="10">
        <v>525.16873199999998</v>
      </c>
      <c r="L146" s="10">
        <f>+K146/B146*100</f>
        <v>2.8931887681179376</v>
      </c>
    </row>
    <row r="147" spans="1:12">
      <c r="A147" s="672">
        <v>12</v>
      </c>
      <c r="B147" s="10">
        <v>18542.609915010002</v>
      </c>
      <c r="C147" s="10">
        <v>6143.8378956299994</v>
      </c>
      <c r="D147" s="10">
        <f>+C147/B147*100</f>
        <v>33.133619936946644</v>
      </c>
      <c r="E147" s="10">
        <v>11873.60328738</v>
      </c>
      <c r="F147" s="10">
        <f>+E147/B147*100</f>
        <v>64.034153454139556</v>
      </c>
      <c r="G147" s="10">
        <f>5580052797.99/1000000</f>
        <v>5580.0527979899998</v>
      </c>
      <c r="H147" s="10">
        <f>+G147/B147*100</f>
        <v>30.093135883061528</v>
      </c>
      <c r="I147" s="674">
        <f>1388610429.99/1000000</f>
        <v>1388.6104299900001</v>
      </c>
      <c r="J147" s="10">
        <f>+I147/B147*100</f>
        <v>7.4887539367688367</v>
      </c>
      <c r="K147" s="10">
        <v>525.16873199999998</v>
      </c>
      <c r="L147" s="10">
        <f>+K147/B147*100</f>
        <v>2.83222660891379</v>
      </c>
    </row>
    <row r="148" spans="1:12">
      <c r="A148" s="672">
        <v>2015</v>
      </c>
      <c r="B148" s="283">
        <v>21730.445</v>
      </c>
      <c r="C148" s="283">
        <v>7289.2825999999995</v>
      </c>
      <c r="D148" s="283">
        <v>33.563355125550117</v>
      </c>
      <c r="E148" s="283">
        <v>13875.177699999998</v>
      </c>
      <c r="F148" s="283">
        <v>63.830579806447496</v>
      </c>
      <c r="G148" s="283">
        <v>6394.0649999999996</v>
      </c>
      <c r="H148" s="283">
        <v>29.441343665943382</v>
      </c>
      <c r="I148" s="283">
        <v>1564.5170000000001</v>
      </c>
      <c r="J148" s="283">
        <v>7.2037870538086093</v>
      </c>
      <c r="K148" s="283">
        <v>565.98467882809996</v>
      </c>
      <c r="L148" s="283">
        <v>2.6060650680023869</v>
      </c>
    </row>
    <row r="149" spans="1:12">
      <c r="A149" s="672">
        <v>1</v>
      </c>
      <c r="B149" s="10">
        <v>18579.8</v>
      </c>
      <c r="C149" s="10">
        <v>6391.08</v>
      </c>
      <c r="D149" s="10">
        <f>+C149/B149*100</f>
        <v>34.398002131346949</v>
      </c>
      <c r="E149" s="10">
        <f>11629</f>
        <v>11629</v>
      </c>
      <c r="F149" s="10">
        <f>+E149/B149*100</f>
        <v>62.589478896435914</v>
      </c>
      <c r="G149" s="10">
        <f>5834001912.48/1000000</f>
        <v>5834.0019124799992</v>
      </c>
      <c r="H149" s="10">
        <f>G149/B149*100</f>
        <v>31.399702432103677</v>
      </c>
      <c r="I149" s="675">
        <f>1397908618.21/1000000</f>
        <v>1397.90861821</v>
      </c>
      <c r="J149" s="675">
        <f>+I149/B149*100</f>
        <v>7.5238087504171203</v>
      </c>
      <c r="K149" s="10">
        <v>559.47699999999998</v>
      </c>
      <c r="L149" s="10">
        <f>K149/B149*100</f>
        <v>3.0112111002271282</v>
      </c>
    </row>
    <row r="150" spans="1:12">
      <c r="A150" s="672">
        <v>2</v>
      </c>
      <c r="B150" s="10">
        <v>20697.2</v>
      </c>
      <c r="C150" s="10">
        <v>7438.7</v>
      </c>
      <c r="D150" s="10">
        <f>+C150/B150*100</f>
        <v>35.940610324101804</v>
      </c>
      <c r="E150" s="10">
        <v>12699.1</v>
      </c>
      <c r="F150" s="10">
        <f>+E150/B150*100</f>
        <v>61.356608623388674</v>
      </c>
      <c r="G150" s="10">
        <v>6450.3</v>
      </c>
      <c r="H150" s="10">
        <f>G150/B150*100</f>
        <v>31.165085132288421</v>
      </c>
      <c r="I150" s="675">
        <v>1587.3</v>
      </c>
      <c r="J150" s="675">
        <f>+I150/B150*100</f>
        <v>7.6691533154243086</v>
      </c>
      <c r="K150" s="10">
        <v>559.47699999999998</v>
      </c>
      <c r="L150" s="10">
        <f>K150/B150*100</f>
        <v>2.7031530835088802</v>
      </c>
    </row>
    <row r="151" spans="1:12">
      <c r="A151" s="672">
        <v>3</v>
      </c>
      <c r="B151" s="10">
        <v>20632.326099999998</v>
      </c>
      <c r="C151" s="10">
        <v>7440.8326999999999</v>
      </c>
      <c r="D151" s="10">
        <f>+C151/B151*100</f>
        <v>36.063954514561495</v>
      </c>
      <c r="E151" s="10">
        <v>12632.016</v>
      </c>
      <c r="F151" s="10">
        <f>+E151/B151*100</f>
        <v>61.224390981296096</v>
      </c>
      <c r="G151" s="10">
        <v>6302.9660000000003</v>
      </c>
      <c r="H151" s="10">
        <f>G151/B151*100</f>
        <v>30.548984004280548</v>
      </c>
      <c r="I151" s="675">
        <v>1525.278</v>
      </c>
      <c r="J151" s="675">
        <f>+I151/B151*100</f>
        <v>7.3926613635677274</v>
      </c>
      <c r="K151" s="10">
        <v>559.47699999999998</v>
      </c>
      <c r="L151" s="10">
        <f>K151/B151*100</f>
        <v>2.7116525654371082</v>
      </c>
    </row>
    <row r="152" spans="1:12">
      <c r="A152" s="672">
        <v>4</v>
      </c>
      <c r="B152" s="10">
        <v>20595.455000000002</v>
      </c>
      <c r="C152" s="10">
        <v>7413.9790000000003</v>
      </c>
      <c r="D152" s="10">
        <v>35.998131626613734</v>
      </c>
      <c r="E152" s="10">
        <v>12590.89</v>
      </c>
      <c r="F152" s="10">
        <v>61.134313371566684</v>
      </c>
      <c r="G152" s="10">
        <v>6183.2569999999996</v>
      </c>
      <c r="H152" s="10">
        <v>30.022434561411725</v>
      </c>
      <c r="I152" s="675">
        <v>1483.883</v>
      </c>
      <c r="J152" s="675">
        <v>7.2049051599005693</v>
      </c>
      <c r="K152" s="10">
        <v>590.58000000000004</v>
      </c>
      <c r="L152" s="10">
        <v>2.8675258691784182</v>
      </c>
    </row>
    <row r="153" spans="1:12">
      <c r="A153" s="672">
        <v>5</v>
      </c>
      <c r="B153" s="10">
        <v>20468.142632049003</v>
      </c>
      <c r="C153" s="10">
        <v>7335.5918780500006</v>
      </c>
      <c r="D153" s="10">
        <v>35.83906957226268</v>
      </c>
      <c r="E153" s="10">
        <v>12541.966004920001</v>
      </c>
      <c r="F153" s="10">
        <v>61.27554527239711</v>
      </c>
      <c r="G153" s="10">
        <v>6053.5615775300002</v>
      </c>
      <c r="H153" s="10">
        <v>29.575529574683234</v>
      </c>
      <c r="I153" s="675">
        <v>1445.2608528599999</v>
      </c>
      <c r="J153" s="675">
        <v>7.0610259017689829</v>
      </c>
      <c r="K153" s="10">
        <v>590.58000000000004</v>
      </c>
      <c r="L153" s="10">
        <v>2.8853619530443875</v>
      </c>
    </row>
    <row r="154" spans="1:12">
      <c r="A154" s="672">
        <v>6</v>
      </c>
      <c r="B154" s="10">
        <v>20288.462762638999</v>
      </c>
      <c r="C154" s="10">
        <v>7228.7329122299989</v>
      </c>
      <c r="D154" s="10">
        <f>+C154/B154*100</f>
        <v>35.629771445974889</v>
      </c>
      <c r="E154" s="10">
        <v>12469.145101330001</v>
      </c>
      <c r="F154" s="10">
        <f>+E154/B154*100</f>
        <v>61.459289682073923</v>
      </c>
      <c r="G154" s="10">
        <v>5913.0540622999997</v>
      </c>
      <c r="H154" s="10">
        <f>G154/B154*100</f>
        <v>29.144909259408401</v>
      </c>
      <c r="I154" s="10">
        <v>1410.78098819</v>
      </c>
      <c r="J154" s="10">
        <f>+I154/B154*100</f>
        <v>6.9536120340666665</v>
      </c>
      <c r="K154" s="10">
        <v>590.58000000000004</v>
      </c>
      <c r="L154" s="10">
        <f>K154/B154*100</f>
        <v>2.9109154641698489</v>
      </c>
    </row>
    <row r="155" spans="1:12">
      <c r="A155" s="672">
        <v>7</v>
      </c>
      <c r="B155" s="10">
        <v>20187.489584469764</v>
      </c>
      <c r="C155" s="10">
        <v>7225.1091152999998</v>
      </c>
      <c r="D155" s="10">
        <v>35.79003265893089</v>
      </c>
      <c r="E155" s="10">
        <v>12376.33596835</v>
      </c>
      <c r="F155" s="10">
        <v>61.30695902808597</v>
      </c>
      <c r="G155" s="10">
        <v>5833.3701156200004</v>
      </c>
      <c r="H155" s="10">
        <v>28.89596594569942</v>
      </c>
      <c r="I155" s="10">
        <v>1401.2975434099999</v>
      </c>
      <c r="J155" s="10">
        <v>6.9414155610909551</v>
      </c>
      <c r="K155" s="10">
        <v>586.04450081976404</v>
      </c>
      <c r="L155" s="10">
        <v>2.9030083129831463</v>
      </c>
    </row>
    <row r="156" spans="1:12">
      <c r="A156" s="672">
        <v>8</v>
      </c>
      <c r="B156" s="10">
        <v>20095.83823182977</v>
      </c>
      <c r="C156" s="10">
        <v>7261.848637189999</v>
      </c>
      <c r="D156" s="10">
        <v>36.136082274428183</v>
      </c>
      <c r="E156" s="10">
        <v>12247.945093819999</v>
      </c>
      <c r="F156" s="10">
        <v>60.947669624551892</v>
      </c>
      <c r="G156" s="10">
        <v>5742.7150000000001</v>
      </c>
      <c r="H156" s="10">
        <v>28.57663827580042</v>
      </c>
      <c r="I156" s="10">
        <v>1373.4176722899999</v>
      </c>
      <c r="J156" s="10">
        <v>6.8343388140667134</v>
      </c>
      <c r="K156" s="10">
        <v>586.04450081976404</v>
      </c>
      <c r="L156" s="10">
        <v>2.9162481010198866</v>
      </c>
    </row>
    <row r="157" spans="1:12">
      <c r="A157" s="672">
        <v>9</v>
      </c>
      <c r="B157" s="10">
        <v>19113.5</v>
      </c>
      <c r="C157" s="10">
        <v>6384.75000912</v>
      </c>
      <c r="D157" s="10">
        <f>+C157/19113.5113147398*100</f>
        <v>33.404380304503547</v>
      </c>
      <c r="E157" s="10">
        <v>12142.7168048</v>
      </c>
      <c r="F157" s="10">
        <f>+E157/19113.5113147398*100</f>
        <v>63.529492853758796</v>
      </c>
      <c r="G157" s="10">
        <v>5689.5767175199999</v>
      </c>
      <c r="H157" s="10">
        <f>G157/19113.5113147398*100</f>
        <v>29.767302427222564</v>
      </c>
      <c r="I157" s="10">
        <v>1348.4778199100001</v>
      </c>
      <c r="J157" s="10">
        <f>+I157/19113.5113147398*100</f>
        <v>7.0551025277605168</v>
      </c>
      <c r="K157" s="10">
        <v>586.04450081976404</v>
      </c>
      <c r="L157" s="10">
        <f>K157/19113.5113147398*100</f>
        <v>3.0661268417374625</v>
      </c>
    </row>
    <row r="158" spans="1:12">
      <c r="A158" s="672">
        <v>10</v>
      </c>
      <c r="B158" s="10">
        <v>18566.400000000001</v>
      </c>
      <c r="C158" s="10">
        <v>5836.7451687900002</v>
      </c>
      <c r="D158" s="10">
        <v>34.388706024300546</v>
      </c>
      <c r="E158" s="10">
        <v>12163.685546459999</v>
      </c>
      <c r="F158" s="10">
        <v>65.514453319512072</v>
      </c>
      <c r="G158" s="10">
        <v>5568.6453546000002</v>
      </c>
      <c r="H158" s="10">
        <f>G158/18566.4*100</f>
        <v>29.993134665847982</v>
      </c>
      <c r="I158" s="10">
        <v>1309.3817220799999</v>
      </c>
      <c r="J158" s="10">
        <f>I158/18566.4*100</f>
        <v>7.0524265451568411</v>
      </c>
      <c r="K158" s="10">
        <v>565.98467882809996</v>
      </c>
      <c r="L158" s="10">
        <v>3.0484327039705525</v>
      </c>
    </row>
    <row r="159" spans="1:12">
      <c r="A159" s="672">
        <v>11</v>
      </c>
      <c r="B159" s="10" t="s">
        <v>1851</v>
      </c>
      <c r="C159" s="10">
        <v>6148.5836420200003</v>
      </c>
      <c r="D159" s="10">
        <v>32.8024180258532</v>
      </c>
      <c r="E159" s="10">
        <v>12029.699111010003</v>
      </c>
      <c r="F159" s="10">
        <v>64.177905341943969</v>
      </c>
      <c r="G159" s="10">
        <v>5540.5159000000003</v>
      </c>
      <c r="H159" s="10">
        <v>29.558403888115325</v>
      </c>
      <c r="I159" s="10">
        <v>1275.501</v>
      </c>
      <c r="J159" s="10">
        <v>6.8047406411549121</v>
      </c>
      <c r="K159" s="10">
        <v>565.98467882809996</v>
      </c>
      <c r="L159" s="10">
        <v>3.0195028826261847</v>
      </c>
    </row>
    <row r="160" spans="1:12">
      <c r="A160" s="672">
        <v>12</v>
      </c>
      <c r="B160" s="10">
        <v>21730.445</v>
      </c>
      <c r="C160" s="10">
        <v>7289.2825999999995</v>
      </c>
      <c r="D160" s="10">
        <v>33.563355125550117</v>
      </c>
      <c r="E160" s="10">
        <v>13875.177699999998</v>
      </c>
      <c r="F160" s="10">
        <v>63.830579806447496</v>
      </c>
      <c r="G160" s="10">
        <v>6394.0649999999996</v>
      </c>
      <c r="H160" s="10">
        <v>29.441343665943382</v>
      </c>
      <c r="I160" s="10">
        <v>1564.5170000000001</v>
      </c>
      <c r="J160" s="10">
        <v>7.2037870538086093</v>
      </c>
      <c r="K160" s="10">
        <v>565.98467882809996</v>
      </c>
      <c r="L160" s="10">
        <v>2.6060650680023869</v>
      </c>
    </row>
    <row r="161" spans="1:12">
      <c r="A161" s="672">
        <v>2016</v>
      </c>
      <c r="B161" s="283">
        <v>16444.561727330001</v>
      </c>
      <c r="C161" s="283">
        <v>5749.2115696199999</v>
      </c>
      <c r="D161" s="283">
        <v>34.961172361712208</v>
      </c>
      <c r="E161" s="283">
        <v>10221.976421360001</v>
      </c>
      <c r="F161" s="283">
        <v>62.160224096283521</v>
      </c>
      <c r="G161" s="283">
        <v>4328.8400243999986</v>
      </c>
      <c r="H161" s="283">
        <v>26.323839432009265</v>
      </c>
      <c r="I161" s="283">
        <v>1248.7765111199994</v>
      </c>
      <c r="J161" s="283">
        <v>7.5938570563701804</v>
      </c>
      <c r="K161" s="283">
        <v>473.37373634999994</v>
      </c>
      <c r="L161" s="283">
        <v>2.8786035420042695</v>
      </c>
    </row>
    <row r="162" spans="1:12">
      <c r="A162" s="672">
        <v>1</v>
      </c>
      <c r="B162" s="10">
        <v>21199.450080179002</v>
      </c>
      <c r="C162" s="10">
        <v>7707.0342162100005</v>
      </c>
      <c r="D162" s="10">
        <v>36.377678804134689</v>
      </c>
      <c r="E162" s="10">
        <v>12896.911554990002</v>
      </c>
      <c r="F162" s="10">
        <v>60.811503977362122</v>
      </c>
      <c r="G162" s="10">
        <v>5594.3507517999997</v>
      </c>
      <c r="H162" s="10">
        <v>26.405682011715182</v>
      </c>
      <c r="I162" s="10">
        <v>1545.84721517</v>
      </c>
      <c r="J162" s="10">
        <v>7.2964945913233601</v>
      </c>
      <c r="K162" s="10">
        <v>595.50430897899992</v>
      </c>
      <c r="L162" s="10">
        <v>2.8108172185031814</v>
      </c>
    </row>
    <row r="163" spans="1:12">
      <c r="A163" s="672">
        <v>2</v>
      </c>
      <c r="B163" s="10">
        <v>20327.413122969003</v>
      </c>
      <c r="C163" s="10">
        <v>7170.0655310799993</v>
      </c>
      <c r="D163" s="10">
        <v>35.272887345306955</v>
      </c>
      <c r="E163" s="10">
        <v>12561.84328291</v>
      </c>
      <c r="F163" s="10">
        <v>61.797549973123331</v>
      </c>
      <c r="G163" s="10">
        <v>5594.3507517999997</v>
      </c>
      <c r="H163" s="10">
        <v>27.521213437034202</v>
      </c>
      <c r="I163" s="10">
        <v>1545.84721517</v>
      </c>
      <c r="J163" s="10">
        <v>7.6047414681766208</v>
      </c>
      <c r="K163" s="10">
        <v>595.50430897899992</v>
      </c>
      <c r="L163" s="10">
        <v>2.9295626815696907</v>
      </c>
    </row>
    <row r="164" spans="1:12">
      <c r="A164" s="672">
        <v>3</v>
      </c>
      <c r="B164" s="10">
        <v>19686.956662109002</v>
      </c>
      <c r="C164" s="10">
        <v>6796.7561584599998</v>
      </c>
      <c r="D164" s="10">
        <v>34.524158685946354</v>
      </c>
      <c r="E164" s="10">
        <v>12294.696194669999</v>
      </c>
      <c r="F164" s="10">
        <v>62.450974041779126</v>
      </c>
      <c r="G164" s="10">
        <v>5255.2093577799997</v>
      </c>
      <c r="H164" s="10">
        <v>26.693863596980282</v>
      </c>
      <c r="I164" s="10">
        <v>1413.60334941</v>
      </c>
      <c r="J164" s="10">
        <v>7.1804056547283777</v>
      </c>
      <c r="K164" s="10">
        <v>595.50430897899992</v>
      </c>
      <c r="L164" s="10">
        <v>3.024867272274502</v>
      </c>
    </row>
    <row r="165" spans="1:12">
      <c r="A165" s="672">
        <v>4</v>
      </c>
      <c r="B165" s="10">
        <v>18758.68189168</v>
      </c>
      <c r="C165" s="10">
        <v>6168.6413917199998</v>
      </c>
      <c r="D165" s="10">
        <v>32.884194248509353</v>
      </c>
      <c r="E165" s="10">
        <v>12041.183481869999</v>
      </c>
      <c r="F165" s="10">
        <v>64.189923105474705</v>
      </c>
      <c r="G165" s="10">
        <v>5097.8565199900004</v>
      </c>
      <c r="H165" s="10">
        <v>27.175984695657334</v>
      </c>
      <c r="I165" s="10">
        <v>1343.06843789</v>
      </c>
      <c r="J165" s="10">
        <v>7.1597164749922459</v>
      </c>
      <c r="K165" s="10">
        <v>548.85701809000011</v>
      </c>
      <c r="L165" s="10">
        <v>2.9258826460159417</v>
      </c>
    </row>
    <row r="166" spans="1:12">
      <c r="A166" s="672">
        <v>5</v>
      </c>
      <c r="B166" s="10">
        <v>18197.110367269997</v>
      </c>
      <c r="C166" s="10">
        <v>5834.3229912400002</v>
      </c>
      <c r="D166" s="10">
        <v>32.061810218691818</v>
      </c>
      <c r="E166" s="10">
        <v>11813.93035794</v>
      </c>
      <c r="F166" s="10">
        <v>64.922012998222939</v>
      </c>
      <c r="G166" s="10">
        <v>4707.4520723599999</v>
      </c>
      <c r="H166" s="10">
        <v>25.86922856074445</v>
      </c>
      <c r="I166" s="10">
        <v>1303.5531551500001</v>
      </c>
      <c r="J166" s="10">
        <v>7.1635173323706347</v>
      </c>
      <c r="K166" s="10">
        <v>548.85701809000011</v>
      </c>
      <c r="L166" s="10">
        <v>3.0161767830852684</v>
      </c>
    </row>
    <row r="167" spans="1:12">
      <c r="A167" s="672">
        <v>6</v>
      </c>
      <c r="B167" s="10">
        <v>18434.217382689993</v>
      </c>
      <c r="C167" s="10">
        <v>5878.1800472599998</v>
      </c>
      <c r="D167" s="10">
        <v>31.887331722472251</v>
      </c>
      <c r="E167" s="10">
        <v>12007.180317339997</v>
      </c>
      <c r="F167" s="10">
        <v>65.135286560171096</v>
      </c>
      <c r="G167" s="10">
        <v>4706.5652199600017</v>
      </c>
      <c r="H167" s="10">
        <v>25.531679063194389</v>
      </c>
      <c r="I167" s="10">
        <v>1303.4706014400001</v>
      </c>
      <c r="J167" s="10">
        <v>7.070929968873962</v>
      </c>
      <c r="K167" s="10">
        <v>548.85701809000011</v>
      </c>
      <c r="L167" s="10">
        <v>2.9773817173566863</v>
      </c>
    </row>
    <row r="168" spans="1:12">
      <c r="A168" s="672">
        <v>7</v>
      </c>
      <c r="B168" s="10">
        <v>16713.351003940003</v>
      </c>
      <c r="C168" s="10">
        <v>5417.7973825300005</v>
      </c>
      <c r="D168" s="10">
        <v>32.415985168101898</v>
      </c>
      <c r="E168" s="10">
        <v>10784.524531000001</v>
      </c>
      <c r="F168" s="10">
        <v>64.526404839207046</v>
      </c>
      <c r="G168" s="10">
        <v>4370.1933948400001</v>
      </c>
      <c r="H168" s="10">
        <v>26.147918474336901</v>
      </c>
      <c r="I168" s="10">
        <v>1303.7071080999999</v>
      </c>
      <c r="J168" s="10">
        <v>7.8003932771630549</v>
      </c>
      <c r="K168" s="10">
        <v>511.02909040999998</v>
      </c>
      <c r="L168" s="10">
        <v>3.0576099926910532</v>
      </c>
    </row>
    <row r="169" spans="1:12">
      <c r="A169" s="672">
        <v>8</v>
      </c>
      <c r="B169" s="10">
        <v>16839.653401849999</v>
      </c>
      <c r="C169" s="10">
        <v>5512.5931063099997</v>
      </c>
      <c r="D169" s="10">
        <v>32.735787220563509</v>
      </c>
      <c r="E169" s="10">
        <v>10816.031205129999</v>
      </c>
      <c r="F169" s="10">
        <v>64.229535769077955</v>
      </c>
      <c r="G169" s="10">
        <v>4368.8197552599977</v>
      </c>
      <c r="H169" s="10">
        <v>25.943644153507584</v>
      </c>
      <c r="I169" s="10">
        <v>1312.10599237</v>
      </c>
      <c r="J169" s="10">
        <v>7.7917636489231574</v>
      </c>
      <c r="K169" s="10">
        <v>511.02909040999998</v>
      </c>
      <c r="L169" s="10">
        <v>3.0346770103585294</v>
      </c>
    </row>
    <row r="170" spans="1:12">
      <c r="A170" s="672">
        <v>9</v>
      </c>
      <c r="B170" s="10">
        <v>16785.056773860004</v>
      </c>
      <c r="C170" s="10">
        <v>5509.4845696799994</v>
      </c>
      <c r="D170" s="10">
        <v>32.823747002513123</v>
      </c>
      <c r="E170" s="10">
        <v>10764.543113770003</v>
      </c>
      <c r="F170" s="10">
        <v>64.131705116029323</v>
      </c>
      <c r="G170" s="10">
        <v>4306.7636263500008</v>
      </c>
      <c r="H170" s="10">
        <v>25.658320280793355</v>
      </c>
      <c r="I170" s="10">
        <v>1288.4180879400001</v>
      </c>
      <c r="J170" s="10">
        <v>7.6759829013298404</v>
      </c>
      <c r="K170" s="10">
        <v>511.02909040999998</v>
      </c>
      <c r="L170" s="10">
        <v>3.0445478814575395</v>
      </c>
    </row>
    <row r="171" spans="1:12">
      <c r="A171" s="672">
        <v>10</v>
      </c>
      <c r="B171" s="10">
        <v>15820.032012370004</v>
      </c>
      <c r="C171" s="10">
        <v>5528.7770955400001</v>
      </c>
      <c r="D171" s="10">
        <v>34.94795137719656</v>
      </c>
      <c r="E171" s="10">
        <v>9817.8811804800025</v>
      </c>
      <c r="F171" s="10">
        <v>62.059806028225495</v>
      </c>
      <c r="G171" s="10">
        <v>4249.3130204200006</v>
      </c>
      <c r="H171" s="10">
        <v>26.86033136404134</v>
      </c>
      <c r="I171" s="10">
        <v>1282.6680255100002</v>
      </c>
      <c r="J171" s="10">
        <v>8.1078725030837866</v>
      </c>
      <c r="K171" s="10">
        <v>473.37373634999994</v>
      </c>
      <c r="L171" s="10">
        <v>2.9922425945779341</v>
      </c>
    </row>
    <row r="172" spans="1:12">
      <c r="A172" s="672">
        <v>11</v>
      </c>
      <c r="B172" s="10">
        <v>16275.489472970001</v>
      </c>
      <c r="C172" s="10">
        <v>5681.815099129999</v>
      </c>
      <c r="D172" s="10">
        <v>34.910256361667287</v>
      </c>
      <c r="E172" s="10">
        <v>10120.300637490003</v>
      </c>
      <c r="F172" s="10">
        <v>62.181236725922076</v>
      </c>
      <c r="G172" s="10">
        <v>4308.3288178700004</v>
      </c>
      <c r="H172" s="10">
        <v>26.471270341977636</v>
      </c>
      <c r="I172" s="10">
        <v>1274.96081912</v>
      </c>
      <c r="J172" s="10">
        <v>7.8336250423523586</v>
      </c>
      <c r="K172" s="10">
        <v>473.37373634999994</v>
      </c>
      <c r="L172" s="10">
        <v>2.9085069124106488</v>
      </c>
    </row>
    <row r="173" spans="1:12">
      <c r="A173" s="672">
        <v>12</v>
      </c>
      <c r="B173" s="10">
        <v>16444.561727330001</v>
      </c>
      <c r="C173" s="10">
        <v>5749.2115696199999</v>
      </c>
      <c r="D173" s="10">
        <v>34.961172361712208</v>
      </c>
      <c r="E173" s="10">
        <v>10221.976421360001</v>
      </c>
      <c r="F173" s="10">
        <v>62.160224096283521</v>
      </c>
      <c r="G173" s="10">
        <v>4328.8400243999986</v>
      </c>
      <c r="H173" s="10">
        <v>26.323839432009265</v>
      </c>
      <c r="I173" s="10">
        <v>1248.7765111199994</v>
      </c>
      <c r="J173" s="10">
        <v>7.5938570563701804</v>
      </c>
      <c r="K173" s="10">
        <v>473.37373634999994</v>
      </c>
      <c r="L173" s="10">
        <v>2.8786035420042695</v>
      </c>
    </row>
    <row r="174" spans="1:12">
      <c r="A174" s="672">
        <v>2017</v>
      </c>
      <c r="B174" s="283">
        <v>11757.786958620001</v>
      </c>
      <c r="C174" s="283">
        <v>1916.1605169699999</v>
      </c>
      <c r="D174" s="283">
        <v>16.296948768621824</v>
      </c>
      <c r="E174" s="283">
        <v>9421.3959492000013</v>
      </c>
      <c r="F174" s="283">
        <v>80.128990109766207</v>
      </c>
      <c r="G174" s="283">
        <v>3456.2944338799994</v>
      </c>
      <c r="H174" s="283">
        <v>29.395790602806272</v>
      </c>
      <c r="I174" s="283">
        <v>1063.5623707</v>
      </c>
      <c r="J174" s="283">
        <v>9.0455999453219302</v>
      </c>
      <c r="K174" s="283">
        <v>420.23049245000004</v>
      </c>
      <c r="L174" s="283">
        <v>3.5740611216119711</v>
      </c>
    </row>
    <row r="175" spans="1:12">
      <c r="A175" s="672">
        <v>1</v>
      </c>
      <c r="B175" s="10">
        <v>16705.157127140879</v>
      </c>
      <c r="C175" s="10">
        <v>5769.4076438299999</v>
      </c>
      <c r="D175" s="10">
        <v>34.536685886398757</v>
      </c>
      <c r="E175" s="10">
        <v>10481.35095211</v>
      </c>
      <c r="F175" s="10">
        <v>62.743204821946527</v>
      </c>
      <c r="G175" s="10">
        <v>4425.1076102500001</v>
      </c>
      <c r="H175" s="10">
        <v>26.489470147278798</v>
      </c>
      <c r="I175" s="10">
        <v>1296.0952736200004</v>
      </c>
      <c r="J175" s="10">
        <v>7.7586535927533031</v>
      </c>
      <c r="K175" s="10">
        <v>454.39853120088111</v>
      </c>
      <c r="L175" s="10">
        <v>2.7201092916547283</v>
      </c>
    </row>
    <row r="176" spans="1:12">
      <c r="A176" s="672">
        <v>2</v>
      </c>
      <c r="B176" s="10">
        <v>15878.566380650882</v>
      </c>
      <c r="C176" s="10">
        <v>4311.4658067699993</v>
      </c>
      <c r="D176" s="10">
        <v>27.152739758822403</v>
      </c>
      <c r="E176" s="10">
        <v>11112.702042679999</v>
      </c>
      <c r="F176" s="10">
        <v>69.985550183054229</v>
      </c>
      <c r="G176" s="10">
        <v>4128.5768365599997</v>
      </c>
      <c r="H176" s="10">
        <v>26.000942009418132</v>
      </c>
      <c r="I176" s="10">
        <v>1188.5443008099999</v>
      </c>
      <c r="J176" s="10">
        <v>7.4852116514644695</v>
      </c>
      <c r="K176" s="10">
        <v>454.39853120088111</v>
      </c>
      <c r="L176" s="10">
        <v>2.861710058123363</v>
      </c>
    </row>
    <row r="177" spans="1:15">
      <c r="A177" s="672">
        <v>3</v>
      </c>
      <c r="B177" s="10">
        <v>15533.337990800879</v>
      </c>
      <c r="C177" s="10">
        <v>5286.1553586700002</v>
      </c>
      <c r="D177" s="10">
        <v>34.031032877804861</v>
      </c>
      <c r="E177" s="10">
        <v>9792.7841009299991</v>
      </c>
      <c r="F177" s="10">
        <v>63.043655566687995</v>
      </c>
      <c r="G177" s="10">
        <v>4057.4750497199998</v>
      </c>
      <c r="H177" s="10">
        <v>26.121076179008718</v>
      </c>
      <c r="I177" s="10">
        <v>1156.6071268200001</v>
      </c>
      <c r="J177" s="10">
        <v>7.4459663950205908</v>
      </c>
      <c r="K177" s="10">
        <v>454.39853120088111</v>
      </c>
      <c r="L177" s="10">
        <f>K177/B177*100</f>
        <v>2.9253115555071556</v>
      </c>
    </row>
    <row r="178" spans="1:15">
      <c r="A178" s="672">
        <v>4</v>
      </c>
      <c r="B178" s="10">
        <v>15453.511481964539</v>
      </c>
      <c r="C178" s="10">
        <v>5383.7175419199993</v>
      </c>
      <c r="D178" s="10">
        <v>34.838150204264061</v>
      </c>
      <c r="E178" s="10">
        <v>9670.6328498399998</v>
      </c>
      <c r="F178" s="10">
        <v>62.578869929506887</v>
      </c>
      <c r="G178" s="10">
        <v>3997.9841687800013</v>
      </c>
      <c r="H178" s="10">
        <v>25.871040206272617</v>
      </c>
      <c r="I178" s="10">
        <v>1136.65306401</v>
      </c>
      <c r="J178" s="10">
        <v>7.3553060437853448</v>
      </c>
      <c r="K178" s="10">
        <v>399.16109020453808</v>
      </c>
      <c r="L178" s="10">
        <f>K178/B178*100</f>
        <v>2.5829798662290471</v>
      </c>
    </row>
    <row r="179" spans="1:15">
      <c r="A179" s="672">
        <v>5</v>
      </c>
      <c r="B179" s="10">
        <v>14794.004973694538</v>
      </c>
      <c r="C179" s="10">
        <v>4765.6318295600004</v>
      </c>
      <c r="D179" s="10">
        <f>C179/B179*100</f>
        <v>32.213263670208633</v>
      </c>
      <c r="E179" s="10">
        <v>9629.2120539299995</v>
      </c>
      <c r="F179" s="10">
        <f>E179/B179*100</f>
        <v>65.088609007850536</v>
      </c>
      <c r="G179" s="10">
        <v>3941.3674639800006</v>
      </c>
      <c r="H179" s="10">
        <f>G179/B179*100</f>
        <v>26.641652960021379</v>
      </c>
      <c r="I179" s="10">
        <v>1114.2346238500002</v>
      </c>
      <c r="J179" s="10">
        <f>I179/B179*100</f>
        <v>7.5316631691772367</v>
      </c>
      <c r="K179" s="10">
        <v>399.16109020453808</v>
      </c>
      <c r="L179" s="10">
        <f>K179/B179*100</f>
        <v>2.698127321940833</v>
      </c>
      <c r="O179" s="227"/>
    </row>
    <row r="180" spans="1:15">
      <c r="A180" s="672">
        <v>6</v>
      </c>
      <c r="B180" s="10">
        <v>13881.99544171454</v>
      </c>
      <c r="C180" s="10">
        <v>3855.6910709700005</v>
      </c>
      <c r="D180" s="10">
        <v>27.774761108074468</v>
      </c>
      <c r="E180" s="10">
        <v>9627.14328054</v>
      </c>
      <c r="F180" s="10">
        <v>69.349851906816141</v>
      </c>
      <c r="G180" s="10">
        <v>3877.44597901</v>
      </c>
      <c r="H180" s="10">
        <v>27.931474227102211</v>
      </c>
      <c r="I180" s="10">
        <v>1097.3545581100002</v>
      </c>
      <c r="J180" s="10">
        <v>7.9048762313558854</v>
      </c>
      <c r="K180" s="10">
        <v>399.16109020453808</v>
      </c>
      <c r="L180" s="10">
        <v>2.8753869851093858</v>
      </c>
      <c r="O180" s="227"/>
    </row>
    <row r="181" spans="1:15">
      <c r="A181" s="672">
        <v>7</v>
      </c>
      <c r="B181" s="10">
        <v>12860.844876327879</v>
      </c>
      <c r="C181" s="10">
        <v>2895.7111484000002</v>
      </c>
      <c r="D181" s="10">
        <v>22.515714762487708</v>
      </c>
      <c r="E181" s="10">
        <v>9512.7918661399981</v>
      </c>
      <c r="F181" s="10">
        <v>73.96708348181366</v>
      </c>
      <c r="G181" s="10">
        <v>3829.1198198099996</v>
      </c>
      <c r="H181" s="10">
        <v>29.773470224013131</v>
      </c>
      <c r="I181" s="10">
        <v>1091.9311276499998</v>
      </c>
      <c r="J181" s="10">
        <v>8.4903529911930313</v>
      </c>
      <c r="K181" s="10">
        <v>452.34186178788082</v>
      </c>
      <c r="L181" s="10">
        <v>3.517201755698625</v>
      </c>
    </row>
    <row r="182" spans="1:15">
      <c r="A182" s="672">
        <v>8</v>
      </c>
      <c r="B182" s="10">
        <v>12376.603710087882</v>
      </c>
      <c r="C182" s="10">
        <v>2426.7057194399999</v>
      </c>
      <c r="D182" s="10">
        <v>19.607202236442689</v>
      </c>
      <c r="E182" s="10">
        <v>9497.5561288600002</v>
      </c>
      <c r="F182" s="10">
        <v>76.737983628891357</v>
      </c>
      <c r="G182" s="10">
        <v>3769.7020814500006</v>
      </c>
      <c r="H182" s="10">
        <v>30.458291868692573</v>
      </c>
      <c r="I182" s="10">
        <v>1086.5359578</v>
      </c>
      <c r="J182" s="10">
        <v>8.7789508596319514</v>
      </c>
      <c r="K182" s="10">
        <v>452.34186178788082</v>
      </c>
      <c r="L182" s="10">
        <v>3.654814134665938</v>
      </c>
    </row>
    <row r="183" spans="1:15">
      <c r="A183" s="672">
        <v>9</v>
      </c>
      <c r="B183" s="10">
        <v>12437.248015267882</v>
      </c>
      <c r="C183" s="10">
        <v>2347.91655614</v>
      </c>
      <c r="D183" s="10">
        <v>18.878103526260098</v>
      </c>
      <c r="E183" s="10">
        <v>9636.9895973400016</v>
      </c>
      <c r="F183" s="10">
        <v>77.484903296209083</v>
      </c>
      <c r="G183" s="10">
        <v>3778.5411907900016</v>
      </c>
      <c r="H183" s="10">
        <v>30.38084619806158</v>
      </c>
      <c r="I183" s="10">
        <v>1085.14156243</v>
      </c>
      <c r="J183" s="10">
        <v>8.7249330486767462</v>
      </c>
      <c r="K183" s="10">
        <v>452.34186178788082</v>
      </c>
      <c r="L183" s="10">
        <v>3.6369931775308251</v>
      </c>
    </row>
    <row r="184" spans="1:15">
      <c r="A184" s="672">
        <v>10</v>
      </c>
      <c r="B184" s="10">
        <v>12152.182179499998</v>
      </c>
      <c r="C184" s="10">
        <v>2144.8202990100003</v>
      </c>
      <c r="D184" s="10">
        <v>17.649672028684556</v>
      </c>
      <c r="E184" s="10">
        <v>9587.1288497700007</v>
      </c>
      <c r="F184" s="10">
        <v>78.892240983211323</v>
      </c>
      <c r="G184" s="10">
        <v>3772.1436409600001</v>
      </c>
      <c r="H184" s="10">
        <v>31.040874677828484</v>
      </c>
      <c r="I184" s="10">
        <v>1089.5049662700001</v>
      </c>
      <c r="J184" s="10">
        <v>8.965508829417729</v>
      </c>
      <c r="K184" s="10">
        <v>420.23303071999999</v>
      </c>
      <c r="L184" s="10">
        <v>3.4580869881041441</v>
      </c>
    </row>
    <row r="185" spans="1:15">
      <c r="A185" s="672">
        <v>11</v>
      </c>
      <c r="B185" s="10">
        <v>12226.17449557</v>
      </c>
      <c r="C185" s="10">
        <v>2190.5497410100002</v>
      </c>
      <c r="D185" s="10">
        <v>17.916885954831731</v>
      </c>
      <c r="E185" s="10">
        <v>9615.3917238400027</v>
      </c>
      <c r="F185" s="10">
        <v>78.645955260363891</v>
      </c>
      <c r="G185" s="10">
        <v>3767.2430932600018</v>
      </c>
      <c r="H185" s="10">
        <v>30.812934124447633</v>
      </c>
      <c r="I185" s="10">
        <v>1082.9896267400006</v>
      </c>
      <c r="J185" s="10">
        <v>8.8579598396244741</v>
      </c>
      <c r="K185" s="10">
        <v>420.23303071999999</v>
      </c>
      <c r="L185" s="10">
        <v>3.4371587848044061</v>
      </c>
    </row>
    <row r="186" spans="1:15">
      <c r="A186" s="672">
        <v>12</v>
      </c>
      <c r="B186" s="10">
        <v>11757.786958620001</v>
      </c>
      <c r="C186" s="10">
        <v>1916.1605169699999</v>
      </c>
      <c r="D186" s="10">
        <v>16.296948768621824</v>
      </c>
      <c r="E186" s="10">
        <v>9421.3959492000013</v>
      </c>
      <c r="F186" s="10">
        <v>80.128990109766207</v>
      </c>
      <c r="G186" s="10">
        <v>3456.2944338799994</v>
      </c>
      <c r="H186" s="10">
        <v>29.395790602806272</v>
      </c>
      <c r="I186" s="10">
        <v>1063.5623707</v>
      </c>
      <c r="J186" s="10">
        <v>9.0455999453219302</v>
      </c>
      <c r="K186" s="10">
        <v>420.23049245000004</v>
      </c>
      <c r="L186" s="10">
        <v>3.5740611216119711</v>
      </c>
    </row>
    <row r="187" spans="1:15">
      <c r="A187" s="672">
        <v>2018</v>
      </c>
      <c r="B187" s="283">
        <v>13020.303367349999</v>
      </c>
      <c r="C187" s="283">
        <v>2098.4319377200004</v>
      </c>
      <c r="D187" s="283">
        <f>C187/B187*100</f>
        <v>16.11661325021101</v>
      </c>
      <c r="E187" s="283">
        <v>10529.823984429999</v>
      </c>
      <c r="F187" s="283">
        <f>+E187/B187*100</f>
        <v>80.872339816864923</v>
      </c>
      <c r="G187" s="283">
        <v>3349.49688668</v>
      </c>
      <c r="H187" s="283">
        <f>+G187/B187*100</f>
        <v>25.725183140350421</v>
      </c>
      <c r="I187" s="283">
        <v>1071.32301628</v>
      </c>
      <c r="J187" s="283">
        <f>+I187/B187*100</f>
        <v>8.2280956599404078</v>
      </c>
      <c r="K187" s="283">
        <v>392.04744520000003</v>
      </c>
      <c r="L187" s="283">
        <f>K187/B187*100</f>
        <v>3.0110469329240583</v>
      </c>
    </row>
    <row r="188" spans="1:15">
      <c r="A188" s="672">
        <v>1</v>
      </c>
      <c r="B188" s="10">
        <v>11656.141583430008</v>
      </c>
      <c r="C188" s="10">
        <v>1861.9422102500002</v>
      </c>
      <c r="D188" s="10">
        <v>15.973915527046076</v>
      </c>
      <c r="E188" s="10">
        <v>9380.2687822099997</v>
      </c>
      <c r="F188" s="10">
        <v>80.474904281745225</v>
      </c>
      <c r="G188" s="10">
        <v>3304.1642406400001</v>
      </c>
      <c r="H188" s="10">
        <v>28.346981005593591</v>
      </c>
      <c r="I188" s="10">
        <v>1046.11326261</v>
      </c>
      <c r="J188" s="10">
        <v>8.9747817073286118</v>
      </c>
      <c r="K188" s="10">
        <v>413.93059097000787</v>
      </c>
      <c r="L188" s="10">
        <v>3.5511801912087115</v>
      </c>
    </row>
    <row r="189" spans="1:15">
      <c r="A189" s="672">
        <v>2</v>
      </c>
      <c r="B189" s="10">
        <v>11561.095831580007</v>
      </c>
      <c r="C189" s="10">
        <v>1814.18733815</v>
      </c>
      <c r="D189" s="10">
        <v>15.692174553163118</v>
      </c>
      <c r="E189" s="10">
        <v>9332.9779024599993</v>
      </c>
      <c r="F189" s="10">
        <v>80.727450394159561</v>
      </c>
      <c r="G189" s="10">
        <v>3261.6062491500002</v>
      </c>
      <c r="H189" s="10">
        <v>28.211912578742549</v>
      </c>
      <c r="I189" s="10">
        <v>1046.9560222900002</v>
      </c>
      <c r="J189" s="10">
        <v>9.0558545447755971</v>
      </c>
      <c r="K189" s="10">
        <v>413.93059097000787</v>
      </c>
      <c r="L189" s="10">
        <v>3.5803750526773177</v>
      </c>
    </row>
    <row r="190" spans="1:15">
      <c r="A190" s="672">
        <v>3</v>
      </c>
      <c r="B190" s="10">
        <v>11663.483887770006</v>
      </c>
      <c r="C190" s="10">
        <v>1798.8277420900001</v>
      </c>
      <c r="D190" s="10">
        <v>15.422730973000265</v>
      </c>
      <c r="E190" s="10">
        <v>9450.7255547099994</v>
      </c>
      <c r="F190" s="10">
        <v>81.028324346722499</v>
      </c>
      <c r="G190" s="10">
        <v>3263.1429521800001</v>
      </c>
      <c r="H190" s="10">
        <v>27.977429244804274</v>
      </c>
      <c r="I190" s="10">
        <v>1037.0182161800001</v>
      </c>
      <c r="J190" s="10">
        <v>8.8911531593693685</v>
      </c>
      <c r="K190" s="10">
        <v>413.93059097000798</v>
      </c>
      <c r="L190" s="10">
        <v>3.5489446802772511</v>
      </c>
    </row>
    <row r="191" spans="1:15">
      <c r="A191" s="672">
        <v>4</v>
      </c>
      <c r="B191" s="10">
        <v>11815.783021536998</v>
      </c>
      <c r="C191" s="10">
        <v>1768.8861537400003</v>
      </c>
      <c r="D191" s="10">
        <v>14.970536870182841</v>
      </c>
      <c r="E191" s="10">
        <v>9653.7149833499989</v>
      </c>
      <c r="F191" s="10">
        <v>81.701864072434887</v>
      </c>
      <c r="G191" s="10">
        <v>3266.42627154</v>
      </c>
      <c r="H191" s="10">
        <v>27.64460269443153</v>
      </c>
      <c r="I191" s="10">
        <v>1042.0550810499999</v>
      </c>
      <c r="J191" s="10">
        <v>8.8191792211367908</v>
      </c>
      <c r="K191" s="10">
        <v>393.18188444700002</v>
      </c>
      <c r="L191" s="10">
        <v>3.3275990573822751</v>
      </c>
    </row>
    <row r="192" spans="1:15">
      <c r="A192" s="672">
        <v>5</v>
      </c>
      <c r="B192" s="10">
        <v>11945.500793076999</v>
      </c>
      <c r="C192" s="10">
        <v>1789.08435089</v>
      </c>
      <c r="D192" s="10">
        <f>+C192/B192*100</f>
        <v>14.977056063876883</v>
      </c>
      <c r="E192" s="10">
        <v>9763.2345577399992</v>
      </c>
      <c r="F192" s="10">
        <f>+E192/B192*100</f>
        <v>81.731479716599836</v>
      </c>
      <c r="G192" s="10">
        <v>3276.1959363999986</v>
      </c>
      <c r="H192" s="10">
        <f>G192/B192*100</f>
        <v>27.426191610976364</v>
      </c>
      <c r="I192" s="10">
        <v>1037.1681990199991</v>
      </c>
      <c r="J192" s="10">
        <f>+I192/B192*100</f>
        <v>8.682500775698653</v>
      </c>
      <c r="K192" s="10">
        <v>393.18188444700002</v>
      </c>
      <c r="L192" s="10">
        <f>K192/B192*100</f>
        <v>3.2914642195232879</v>
      </c>
    </row>
    <row r="193" spans="1:12">
      <c r="A193" s="672">
        <v>6</v>
      </c>
      <c r="B193" s="10">
        <v>12105.576494017001</v>
      </c>
      <c r="C193" s="10">
        <v>1819.44127256</v>
      </c>
      <c r="D193" s="10">
        <v>15.029777999083574</v>
      </c>
      <c r="E193" s="10">
        <v>9892.9533370099998</v>
      </c>
      <c r="F193" s="10">
        <v>81.722281808713888</v>
      </c>
      <c r="G193" s="10">
        <v>3308.8732698099998</v>
      </c>
      <c r="H193" s="10">
        <f>G193/B193*100</f>
        <v>27.333462982497036</v>
      </c>
      <c r="I193" s="10">
        <v>1070.33044253</v>
      </c>
      <c r="J193" s="10">
        <v>8.8416313180871207</v>
      </c>
      <c r="K193" s="10">
        <v>393.18188444700002</v>
      </c>
      <c r="L193" s="10">
        <v>3.2479401922025293</v>
      </c>
    </row>
    <row r="194" spans="1:12">
      <c r="A194" s="672">
        <v>7</v>
      </c>
      <c r="B194" s="10">
        <v>12170.671456159998</v>
      </c>
      <c r="C194" s="10">
        <v>1820.4169568</v>
      </c>
      <c r="D194" s="10">
        <v>14.957407759771741</v>
      </c>
      <c r="E194" s="10">
        <v>9949.1913162699966</v>
      </c>
      <c r="F194" s="10">
        <v>81.747267207959723</v>
      </c>
      <c r="G194" s="10">
        <v>3312.7087121699983</v>
      </c>
      <c r="H194" s="10">
        <v>27.218783483743795</v>
      </c>
      <c r="I194" s="10">
        <v>1078.8537864999994</v>
      </c>
      <c r="J194" s="10">
        <v>8.8643735917623019</v>
      </c>
      <c r="K194" s="10">
        <v>401.06318309</v>
      </c>
      <c r="L194" s="10">
        <v>3.2953250322685208</v>
      </c>
    </row>
    <row r="195" spans="1:12">
      <c r="A195" s="672">
        <v>8</v>
      </c>
      <c r="B195" s="10">
        <v>12306.538666899998</v>
      </c>
      <c r="C195" s="10">
        <v>1812.7196651199999</v>
      </c>
      <c r="D195" s="10">
        <v>14.729727945320159</v>
      </c>
      <c r="E195" s="10">
        <v>10092.755818689999</v>
      </c>
      <c r="F195" s="10">
        <v>82.011328220466652</v>
      </c>
      <c r="G195" s="10">
        <v>3334.1298646999999</v>
      </c>
      <c r="H195" s="10">
        <v>27.092344605941609</v>
      </c>
      <c r="I195" s="10">
        <v>1082.19553045</v>
      </c>
      <c r="J195" s="10">
        <v>8.7936629440794967</v>
      </c>
      <c r="K195" s="10">
        <v>401.06318309</v>
      </c>
      <c r="L195" s="10">
        <v>3.2953250322685208</v>
      </c>
    </row>
    <row r="196" spans="1:12">
      <c r="A196" s="672">
        <v>9</v>
      </c>
      <c r="B196" s="10">
        <v>12302.424515589999</v>
      </c>
      <c r="C196" s="10">
        <v>1858.7851828299999</v>
      </c>
      <c r="D196" s="10">
        <v>15.109096426273471</v>
      </c>
      <c r="E196" s="10">
        <v>10042.57614967</v>
      </c>
      <c r="F196" s="10">
        <v>81.63086989027039</v>
      </c>
      <c r="G196" s="10">
        <v>3403.2840862299977</v>
      </c>
      <c r="H196" s="10">
        <v>27.66352341294397</v>
      </c>
      <c r="I196" s="10">
        <v>1089.5430063500003</v>
      </c>
      <c r="J196" s="10">
        <v>8.8563275065764397</v>
      </c>
      <c r="K196" s="10">
        <v>401.06318309</v>
      </c>
      <c r="L196" s="10">
        <v>3.2953250322685208</v>
      </c>
    </row>
    <row r="197" spans="1:12">
      <c r="A197" s="672">
        <v>10</v>
      </c>
      <c r="B197" s="10">
        <v>12281.298870979997</v>
      </c>
      <c r="C197" s="10">
        <v>1862.22789549</v>
      </c>
      <c r="D197" s="10">
        <v>15.163118453947385</v>
      </c>
      <c r="E197" s="10">
        <v>10027.023530289998</v>
      </c>
      <c r="F197" s="10">
        <v>81.644650420349905</v>
      </c>
      <c r="G197" s="10">
        <v>3351.0699679899999</v>
      </c>
      <c r="H197" s="10">
        <v>27.285957317661126</v>
      </c>
      <c r="I197" s="10">
        <v>1058.5187163799999</v>
      </c>
      <c r="J197" s="10">
        <v>8.6189476170246024</v>
      </c>
      <c r="K197" s="10">
        <v>392.04744520000003</v>
      </c>
      <c r="L197" s="10">
        <v>3.1922311257027185</v>
      </c>
    </row>
    <row r="198" spans="1:12">
      <c r="A198" s="672">
        <v>11</v>
      </c>
      <c r="B198" s="10">
        <v>12564.15074323</v>
      </c>
      <c r="C198" s="10">
        <v>1848.72663685</v>
      </c>
      <c r="D198" s="10">
        <v>14.714298440315657</v>
      </c>
      <c r="E198" s="10">
        <v>10323.37666118</v>
      </c>
      <c r="F198" s="10">
        <v>82.165335900180864</v>
      </c>
      <c r="G198" s="10">
        <v>3385.9334036999999</v>
      </c>
      <c r="H198" s="10">
        <v>26.949162525166759</v>
      </c>
      <c r="I198" s="10">
        <v>1088.7210055</v>
      </c>
      <c r="J198" s="10">
        <v>8.665297223424675</v>
      </c>
      <c r="K198" s="10">
        <v>392.04744520000003</v>
      </c>
      <c r="L198" s="10">
        <v>3.120365659503479</v>
      </c>
    </row>
    <row r="199" spans="1:12">
      <c r="A199" s="672">
        <v>12</v>
      </c>
      <c r="B199" s="10">
        <v>13020.303367349999</v>
      </c>
      <c r="C199" s="10">
        <v>2098.4319377200004</v>
      </c>
      <c r="D199" s="10">
        <v>16.11661325021101</v>
      </c>
      <c r="E199" s="10">
        <v>10529.823984429999</v>
      </c>
      <c r="F199" s="10">
        <v>80.872339816864923</v>
      </c>
      <c r="G199" s="10">
        <v>3349.49688668</v>
      </c>
      <c r="H199" s="10">
        <v>25.725183140350421</v>
      </c>
      <c r="I199" s="10">
        <v>1071.32301628</v>
      </c>
      <c r="J199" s="10">
        <v>8.2280956599404078</v>
      </c>
      <c r="K199" s="10">
        <v>392.04744520000003</v>
      </c>
      <c r="L199" s="10">
        <v>3.0110469329240583</v>
      </c>
    </row>
    <row r="200" spans="1:12">
      <c r="A200" s="672">
        <v>2019</v>
      </c>
      <c r="B200" s="283">
        <v>15298.183505950001</v>
      </c>
      <c r="C200" s="283">
        <v>2561.4975234800004</v>
      </c>
      <c r="D200" s="283">
        <v>16.74380178851786</v>
      </c>
      <c r="E200" s="283">
        <v>12339.43841615</v>
      </c>
      <c r="F200" s="283">
        <v>80.659500595941722</v>
      </c>
      <c r="G200" s="283">
        <v>3655.8446672099999</v>
      </c>
      <c r="H200" s="283">
        <v>23.897246792654261</v>
      </c>
      <c r="I200" s="283">
        <v>1107.3703516600001</v>
      </c>
      <c r="J200" s="283">
        <v>7.2385741171774081</v>
      </c>
      <c r="K200" s="283">
        <v>397.24756632000003</v>
      </c>
      <c r="L200" s="283">
        <v>2.5966976155404105</v>
      </c>
    </row>
    <row r="201" spans="1:12">
      <c r="A201" s="672">
        <v>1</v>
      </c>
      <c r="B201" s="10">
        <v>12884.653253691562</v>
      </c>
      <c r="C201" s="10">
        <v>2062.3951842399997</v>
      </c>
      <c r="D201" s="10">
        <v>16.006602146232428</v>
      </c>
      <c r="E201" s="10">
        <v>10478.590339089998</v>
      </c>
      <c r="F201" s="10">
        <v>81.326133755968897</v>
      </c>
      <c r="G201" s="10">
        <v>3345.4798601399998</v>
      </c>
      <c r="H201" s="10">
        <v>25.964842004432608</v>
      </c>
      <c r="I201" s="10">
        <v>1071.7069957900001</v>
      </c>
      <c r="J201" s="10">
        <v>8.3177014909807294</v>
      </c>
      <c r="K201" s="10">
        <v>343.66773036156223</v>
      </c>
      <c r="L201" s="10">
        <v>2.6672640977986624</v>
      </c>
    </row>
    <row r="202" spans="1:12">
      <c r="A202" s="672">
        <v>2</v>
      </c>
      <c r="B202" s="10">
        <v>12974.579268571561</v>
      </c>
      <c r="C202" s="10">
        <v>2080.16964551</v>
      </c>
      <c r="D202" s="10">
        <v>16.032655876162501</v>
      </c>
      <c r="E202" s="10">
        <v>10550.7418927</v>
      </c>
      <c r="F202" s="10">
        <v>81.318566670266961</v>
      </c>
      <c r="G202" s="10">
        <v>3357.6840052299999</v>
      </c>
      <c r="H202" s="10">
        <v>25.878943245299276</v>
      </c>
      <c r="I202" s="10">
        <v>1070.95347434</v>
      </c>
      <c r="J202" s="10">
        <v>8.2542443355691706</v>
      </c>
      <c r="K202" s="10">
        <v>343.66773036156223</v>
      </c>
      <c r="L202" s="10">
        <v>2.6487774535705495</v>
      </c>
    </row>
    <row r="203" spans="1:12">
      <c r="A203" s="672">
        <v>3</v>
      </c>
      <c r="B203" s="10">
        <v>13058.03385171156</v>
      </c>
      <c r="C203" s="10">
        <v>2103.6708775099996</v>
      </c>
      <c r="D203" s="10">
        <v>16.110165599197497</v>
      </c>
      <c r="E203" s="10">
        <v>10610.69524384</v>
      </c>
      <c r="F203" s="10">
        <v>81.257985423657189</v>
      </c>
      <c r="G203" s="10">
        <v>3338.5880311000001</v>
      </c>
      <c r="H203" s="10">
        <v>25.567310278203948</v>
      </c>
      <c r="I203" s="10">
        <v>1026.0748575</v>
      </c>
      <c r="J203" s="10">
        <v>7.8578051577459274</v>
      </c>
      <c r="K203" s="10">
        <v>343.66773036156223</v>
      </c>
      <c r="L203" s="10">
        <v>2.6318489771453346</v>
      </c>
    </row>
    <row r="204" spans="1:12">
      <c r="A204" s="672">
        <v>4</v>
      </c>
      <c r="B204" s="10">
        <v>13011.354034490003</v>
      </c>
      <c r="C204" s="10">
        <v>2131.9342955799998</v>
      </c>
      <c r="D204" s="10">
        <v>16.385183970313538</v>
      </c>
      <c r="E204" s="10">
        <v>10542.851391160002</v>
      </c>
      <c r="F204" s="10">
        <v>81.02808795466953</v>
      </c>
      <c r="G204" s="10">
        <v>3308.1869106700001</v>
      </c>
      <c r="H204" s="10">
        <v>25.425385412623342</v>
      </c>
      <c r="I204" s="10">
        <v>1044.11939297</v>
      </c>
      <c r="J204" s="10">
        <v>8.0246789857711036</v>
      </c>
      <c r="K204" s="10">
        <v>336.56834774999999</v>
      </c>
      <c r="L204" s="10">
        <v>2.5867280750169228</v>
      </c>
    </row>
    <row r="205" spans="1:12">
      <c r="A205" s="672">
        <v>5</v>
      </c>
      <c r="B205" s="10">
        <v>13197.974708330001</v>
      </c>
      <c r="C205" s="10">
        <v>2158.4102194699999</v>
      </c>
      <c r="D205" s="10">
        <v>16.354101800996052</v>
      </c>
      <c r="E205" s="10">
        <v>10702.996141110001</v>
      </c>
      <c r="F205" s="10">
        <v>81.095746716007298</v>
      </c>
      <c r="G205" s="10">
        <v>3324.3078276599999</v>
      </c>
      <c r="H205" s="10">
        <v>25.188014836563056</v>
      </c>
      <c r="I205" s="10">
        <v>1049.3712782099999</v>
      </c>
      <c r="J205" s="10">
        <v>7.9510023424100167</v>
      </c>
      <c r="K205" s="10">
        <v>336.56834774999999</v>
      </c>
      <c r="L205" s="10">
        <v>2.5501514829966476</v>
      </c>
    </row>
    <row r="206" spans="1:12">
      <c r="A206" s="672">
        <v>6</v>
      </c>
      <c r="B206" s="10">
        <v>13482.586430900001</v>
      </c>
      <c r="C206" s="10">
        <v>2181.8421619200008</v>
      </c>
      <c r="D206" s="10">
        <v>16.182667718113464</v>
      </c>
      <c r="E206" s="10">
        <v>10964.17592123</v>
      </c>
      <c r="F206" s="10">
        <v>81.321013422927564</v>
      </c>
      <c r="G206" s="10">
        <v>3343.0864201400004</v>
      </c>
      <c r="H206" s="10">
        <v>24.795586790959959</v>
      </c>
      <c r="I206" s="10">
        <v>1042.2599336500002</v>
      </c>
      <c r="J206" s="10">
        <v>7.7304153694227526</v>
      </c>
      <c r="K206" s="10">
        <v>336.56834774999999</v>
      </c>
      <c r="L206" s="10">
        <v>2.4963188589589711</v>
      </c>
    </row>
    <row r="207" spans="1:12">
      <c r="A207" s="672">
        <v>7</v>
      </c>
      <c r="B207" s="10">
        <v>13681.396710880001</v>
      </c>
      <c r="C207" s="10">
        <v>2202.8384778200002</v>
      </c>
      <c r="D207" s="10">
        <v>16.10097656234333</v>
      </c>
      <c r="E207" s="10">
        <v>11139.41266996</v>
      </c>
      <c r="F207" s="10">
        <v>81.420142295131953</v>
      </c>
      <c r="G207" s="10">
        <v>3358.30152387</v>
      </c>
      <c r="H207" s="10">
        <v>24.54648158253713</v>
      </c>
      <c r="I207" s="10">
        <v>1049.1553517500001</v>
      </c>
      <c r="J207" s="10">
        <v>7.6684813248319106</v>
      </c>
      <c r="K207" s="10">
        <v>339.1455631</v>
      </c>
      <c r="L207" s="10">
        <v>2.4788811425247079</v>
      </c>
    </row>
    <row r="208" spans="1:12">
      <c r="A208" s="672">
        <v>8</v>
      </c>
      <c r="B208" s="10">
        <v>13865.532789560002</v>
      </c>
      <c r="C208" s="10">
        <v>2220.0078059500001</v>
      </c>
      <c r="D208" s="10">
        <f>+C208/B208*100</f>
        <v>16.010980895170118</v>
      </c>
      <c r="E208" s="10">
        <v>11306.379420509998</v>
      </c>
      <c r="F208" s="10">
        <f>+E208/B208*100</f>
        <v>81.543057826260323</v>
      </c>
      <c r="G208" s="10">
        <v>3438.7670966699998</v>
      </c>
      <c r="H208" s="10">
        <f>+G208/B208*100</f>
        <v>24.800829141302135</v>
      </c>
      <c r="I208" s="10">
        <v>1068.62538445</v>
      </c>
      <c r="J208" s="10">
        <f>+I208/B208*100</f>
        <v>7.70706326737489</v>
      </c>
      <c r="K208" s="10">
        <v>339.1455631</v>
      </c>
      <c r="L208" s="10">
        <f>+K208/B208*100</f>
        <v>2.4459612785695355</v>
      </c>
    </row>
    <row r="209" spans="1:16">
      <c r="A209" s="672">
        <v>9</v>
      </c>
      <c r="B209" s="10">
        <v>14242.987622359999</v>
      </c>
      <c r="C209" s="10">
        <v>2419.8242963299999</v>
      </c>
      <c r="D209" s="10">
        <f>+C209/B209*100</f>
        <v>16.989583649789385</v>
      </c>
      <c r="E209" s="10">
        <v>11452.311012609998</v>
      </c>
      <c r="F209" s="10">
        <f>+E209/B209*100</f>
        <v>80.406662676804331</v>
      </c>
      <c r="G209" s="10">
        <v>3503.1888541200001</v>
      </c>
      <c r="H209" s="10">
        <f>+G209/B209*100</f>
        <v>24.59588498567787</v>
      </c>
      <c r="I209" s="10">
        <v>1092.2739223000001</v>
      </c>
      <c r="J209" s="10">
        <f>+I209/B209*100</f>
        <v>7.6688539740443522</v>
      </c>
      <c r="K209" s="10">
        <v>370.85231342000003</v>
      </c>
      <c r="L209" s="10">
        <f>+K209/B209*100</f>
        <v>2.6037536734062785</v>
      </c>
    </row>
    <row r="210" spans="1:16">
      <c r="A210" s="672">
        <v>10</v>
      </c>
      <c r="B210" s="10">
        <v>14445.834273409999</v>
      </c>
      <c r="C210" s="10">
        <v>2425.4248260300001</v>
      </c>
      <c r="D210" s="10">
        <f>+C210/B210*100</f>
        <v>16.789787146419123</v>
      </c>
      <c r="E210" s="10">
        <v>11649.557133959999</v>
      </c>
      <c r="F210" s="10">
        <f>+E210/B210*100</f>
        <v>80.64302077314413</v>
      </c>
      <c r="G210" s="10">
        <v>3571.7183132599998</v>
      </c>
      <c r="H210" s="10">
        <f>+G210/B210*100</f>
        <v>24.724901626722602</v>
      </c>
      <c r="I210" s="10">
        <v>1111.0145345400001</v>
      </c>
      <c r="J210" s="10">
        <f>+I210/B210*100</f>
        <v>7.690899075209594</v>
      </c>
      <c r="K210" s="10">
        <v>370.85231342000003</v>
      </c>
      <c r="L210" s="10">
        <f>+K210/B210*100</f>
        <v>2.5671920804367554</v>
      </c>
    </row>
    <row r="211" spans="1:16">
      <c r="A211" s="672">
        <v>11</v>
      </c>
      <c r="B211" s="10">
        <v>15116.424979360001</v>
      </c>
      <c r="C211" s="10">
        <v>2514.0373991500001</v>
      </c>
      <c r="D211" s="10">
        <f>+C211/B211*100</f>
        <v>16.631163800850217</v>
      </c>
      <c r="E211" s="10">
        <v>12231.535266789999</v>
      </c>
      <c r="F211" s="10">
        <f>+E211/B211*100</f>
        <v>80.915529190869947</v>
      </c>
      <c r="G211" s="10">
        <v>3657.2738204000002</v>
      </c>
      <c r="H211" s="10">
        <f>+G211/B211*100</f>
        <v>24.194039433223459</v>
      </c>
      <c r="I211" s="10">
        <v>1128.77820993</v>
      </c>
      <c r="J211" s="10">
        <f>+I211/B211*100</f>
        <v>7.467229926859269</v>
      </c>
      <c r="K211" s="10">
        <v>370.85231342000003</v>
      </c>
      <c r="L211" s="10">
        <f>+K211/B211*100</f>
        <v>2.4533070082798187</v>
      </c>
      <c r="N211" s="141" t="s">
        <v>2443</v>
      </c>
    </row>
    <row r="212" spans="1:16">
      <c r="A212" s="672">
        <v>12</v>
      </c>
      <c r="B212" s="10">
        <v>15298.183505950001</v>
      </c>
      <c r="C212" s="10">
        <v>2561.4975234800004</v>
      </c>
      <c r="D212" s="10">
        <f>+C212/B212*100</f>
        <v>16.74380178851786</v>
      </c>
      <c r="E212" s="10">
        <v>12339.43841615</v>
      </c>
      <c r="F212" s="10">
        <f>+E212/B212*100</f>
        <v>80.659500595941722</v>
      </c>
      <c r="G212" s="10">
        <v>3655.8446672099999</v>
      </c>
      <c r="H212" s="10">
        <f>+G212/B212*100</f>
        <v>23.897246792654261</v>
      </c>
      <c r="I212" s="10">
        <v>1107.3703516600001</v>
      </c>
      <c r="J212" s="10">
        <f>+I212/B212*100</f>
        <v>7.2385741171774081</v>
      </c>
      <c r="K212" s="10">
        <v>397.24756632000003</v>
      </c>
      <c r="L212" s="10">
        <f>+K212/B212*100</f>
        <v>2.5966976155404105</v>
      </c>
    </row>
    <row r="213" spans="1:16">
      <c r="A213" s="672">
        <v>2020</v>
      </c>
      <c r="B213" s="283">
        <v>14530.423128150002</v>
      </c>
      <c r="C213" s="283">
        <v>2776.4592247099999</v>
      </c>
      <c r="D213" s="283">
        <v>19.107903467250896</v>
      </c>
      <c r="E213" s="283">
        <v>11380.52024799</v>
      </c>
      <c r="F213" s="283">
        <v>78.322015454197967</v>
      </c>
      <c r="G213" s="283">
        <v>3112.3165906699992</v>
      </c>
      <c r="H213" s="283">
        <f t="shared" ref="H213" si="71">+G213/B213*100</f>
        <v>21.41931149025153</v>
      </c>
      <c r="I213" s="283">
        <v>968.15444204000016</v>
      </c>
      <c r="J213" s="10">
        <f>I213/B213*100</f>
        <v>6.6629473450389778</v>
      </c>
      <c r="K213" s="283">
        <v>373.44365544999994</v>
      </c>
      <c r="L213" s="283">
        <v>2.570081078551127</v>
      </c>
    </row>
    <row r="214" spans="1:16">
      <c r="A214" s="672">
        <v>1</v>
      </c>
      <c r="B214" s="10">
        <v>15513.610178430001</v>
      </c>
      <c r="C214" s="10">
        <v>2533.1936912099995</v>
      </c>
      <c r="D214" s="10">
        <f>+C214/B214*100</f>
        <v>16.328847135350426</v>
      </c>
      <c r="E214" s="10">
        <v>12583.168920900001</v>
      </c>
      <c r="F214" s="10">
        <f>+E214/B214*100</f>
        <v>81.110513775804023</v>
      </c>
      <c r="G214" s="10">
        <v>3663.5541104899999</v>
      </c>
      <c r="H214" s="10">
        <f>+G214/B214*100</f>
        <v>23.615097120229152</v>
      </c>
      <c r="I214" s="10">
        <v>1105.92625961</v>
      </c>
      <c r="J214" s="10">
        <f>I214/B214*100</f>
        <v>7.1287485433124447</v>
      </c>
      <c r="K214" s="10">
        <v>397.24756632000003</v>
      </c>
      <c r="L214" s="10">
        <f>+K214/B214*100</f>
        <v>2.560639088845547</v>
      </c>
      <c r="M214" s="421"/>
    </row>
    <row r="215" spans="1:16">
      <c r="A215" s="672">
        <v>2</v>
      </c>
      <c r="B215" s="10">
        <v>15696.359848159998</v>
      </c>
      <c r="C215" s="10">
        <v>2564.0359698399998</v>
      </c>
      <c r="D215" s="10">
        <f>+C215/B215*100</f>
        <v>16.335226731824502</v>
      </c>
      <c r="E215" s="10">
        <v>12735.076312000001</v>
      </c>
      <c r="F215" s="10">
        <f>+E215/B215*100</f>
        <v>81.13394720300623</v>
      </c>
      <c r="G215" s="10">
        <v>3711.3806702500001</v>
      </c>
      <c r="H215" s="10">
        <f>+G215/B215*100</f>
        <v>23.644849545705757</v>
      </c>
      <c r="I215" s="10">
        <v>1123.1838584</v>
      </c>
      <c r="J215" s="10">
        <f>I215/B215*100</f>
        <v>7.1556964115578996</v>
      </c>
      <c r="K215" s="10">
        <v>397.24756632000003</v>
      </c>
      <c r="L215" s="10">
        <f>+K215/B215*100</f>
        <v>2.5308260651692902</v>
      </c>
      <c r="M215" s="421"/>
    </row>
    <row r="216" spans="1:16">
      <c r="A216" s="672">
        <v>3</v>
      </c>
      <c r="B216" s="10">
        <v>15637.419790709999</v>
      </c>
      <c r="C216" s="10">
        <v>2606.4136449400003</v>
      </c>
      <c r="D216" s="10">
        <f>+C216/B216*100</f>
        <v>16.667798651082062</v>
      </c>
      <c r="E216" s="10">
        <v>12626.32068809</v>
      </c>
      <c r="F216" s="10">
        <f>+E216/B216*100</f>
        <v>80.744271478796918</v>
      </c>
      <c r="G216" s="10">
        <v>3670.5110727599999</v>
      </c>
      <c r="H216" s="10">
        <f>+G216/B216*100</f>
        <v>23.472613269233879</v>
      </c>
      <c r="I216" s="10">
        <v>1101.7030176200001</v>
      </c>
      <c r="J216" s="10">
        <f>I216/B216*100</f>
        <v>7.0452992396770497</v>
      </c>
      <c r="K216" s="10">
        <v>404.68545768000001</v>
      </c>
      <c r="L216" s="10">
        <f>+K216/B216*100</f>
        <v>2.5879298701210205</v>
      </c>
      <c r="M216" s="421"/>
    </row>
    <row r="217" spans="1:16">
      <c r="A217" s="672">
        <v>4</v>
      </c>
      <c r="B217" s="10">
        <v>15146.8</v>
      </c>
      <c r="C217" s="10">
        <v>2646.1417917800004</v>
      </c>
      <c r="D217" s="10">
        <v>17.469917345237828</v>
      </c>
      <c r="E217" s="10">
        <v>12096.020554609997</v>
      </c>
      <c r="F217" s="10">
        <v>79.858335615940916</v>
      </c>
      <c r="G217" s="10">
        <v>3562.16702326</v>
      </c>
      <c r="H217" s="10">
        <v>23.517546814610732</v>
      </c>
      <c r="I217" s="10">
        <v>1069.45571518</v>
      </c>
      <c r="J217" s="10">
        <v>7.0605826969003695</v>
      </c>
      <c r="K217" s="10">
        <v>404.68545768000001</v>
      </c>
      <c r="L217" s="10">
        <v>2.6717470388212381</v>
      </c>
      <c r="M217" s="421"/>
    </row>
    <row r="218" spans="1:16">
      <c r="A218" s="672">
        <v>5</v>
      </c>
      <c r="B218" s="10">
        <v>14765.7</v>
      </c>
      <c r="C218" s="10">
        <v>2571.1817626600005</v>
      </c>
      <c r="D218" s="10">
        <v>17.413206029243451</v>
      </c>
      <c r="E218" s="10">
        <v>11789.83963364</v>
      </c>
      <c r="F218" s="10">
        <v>79.846127400935956</v>
      </c>
      <c r="G218" s="10">
        <v>3276.5164252499999</v>
      </c>
      <c r="H218" s="10">
        <v>22.190051438468885</v>
      </c>
      <c r="I218" s="10">
        <v>1039.8275214800001</v>
      </c>
      <c r="J218" s="10">
        <v>7.0605826969003695</v>
      </c>
      <c r="K218" s="10">
        <v>404.68545768000001</v>
      </c>
      <c r="L218" s="10">
        <v>2.7407129880737116</v>
      </c>
      <c r="M218" s="421"/>
    </row>
    <row r="219" spans="1:16">
      <c r="A219" s="672">
        <v>6</v>
      </c>
      <c r="B219" s="10">
        <v>14550.65617651</v>
      </c>
      <c r="C219" s="10">
        <v>2585.6356958800002</v>
      </c>
      <c r="D219" s="10">
        <f t="shared" ref="D219:D224" si="72">+C219/B219*100</f>
        <v>17.769890680628876</v>
      </c>
      <c r="E219" s="10">
        <v>11584.156546160002</v>
      </c>
      <c r="F219" s="10">
        <f t="shared" ref="F219:F224" si="73">+E219/B219*100</f>
        <v>79.61260582090452</v>
      </c>
      <c r="G219" s="10">
        <v>3229.46978954</v>
      </c>
      <c r="H219" s="10">
        <f t="shared" ref="H219:H224" si="74">+G219/B219*100</f>
        <v>22.194667720576941</v>
      </c>
      <c r="I219" s="10">
        <v>1003.71028125</v>
      </c>
      <c r="J219" s="10">
        <f t="shared" ref="J219:J225" si="75">I219/B219*100</f>
        <v>6.8980413602951458</v>
      </c>
      <c r="K219" s="10">
        <v>380.86393447</v>
      </c>
      <c r="L219" s="10">
        <f t="shared" ref="L219:L224" si="76">+K219/B219*100</f>
        <v>2.6175034984666299</v>
      </c>
      <c r="M219" s="421"/>
      <c r="P219" s="141" t="s">
        <v>2442</v>
      </c>
    </row>
    <row r="220" spans="1:16">
      <c r="A220" s="672">
        <v>7</v>
      </c>
      <c r="B220" s="10">
        <v>14585.314835290001</v>
      </c>
      <c r="C220" s="10">
        <v>2604.0722798699999</v>
      </c>
      <c r="D220" s="10">
        <f t="shared" si="72"/>
        <v>17.854069722028203</v>
      </c>
      <c r="E220" s="10">
        <v>11600.378620949999</v>
      </c>
      <c r="F220" s="10">
        <f t="shared" si="73"/>
        <v>79.534646676821964</v>
      </c>
      <c r="G220" s="10">
        <v>3229.3591259200002</v>
      </c>
      <c r="H220" s="10">
        <f t="shared" si="74"/>
        <v>22.141168445033369</v>
      </c>
      <c r="I220" s="10">
        <v>995.05601667999997</v>
      </c>
      <c r="J220" s="10">
        <f t="shared" si="75"/>
        <v>6.8223142792393148</v>
      </c>
      <c r="K220" s="10">
        <v>380.86393447</v>
      </c>
      <c r="L220" s="10">
        <f t="shared" si="76"/>
        <v>2.6112836011498222</v>
      </c>
      <c r="M220" s="421"/>
    </row>
    <row r="221" spans="1:16">
      <c r="A221" s="672">
        <v>8</v>
      </c>
      <c r="B221" s="10">
        <v>14685.098078150002</v>
      </c>
      <c r="C221" s="10">
        <v>2614.8185397400002</v>
      </c>
      <c r="D221" s="10">
        <f t="shared" si="72"/>
        <v>17.80593173994933</v>
      </c>
      <c r="E221" s="10">
        <v>11689.41560394</v>
      </c>
      <c r="F221" s="10">
        <f t="shared" si="73"/>
        <v>79.600527975585763</v>
      </c>
      <c r="G221" s="10">
        <v>3268.7520583400001</v>
      </c>
      <c r="H221" s="10">
        <f t="shared" si="74"/>
        <v>22.258973286692481</v>
      </c>
      <c r="I221" s="10">
        <v>999.75369963000014</v>
      </c>
      <c r="J221" s="10">
        <f t="shared" si="75"/>
        <v>6.8079470379400222</v>
      </c>
      <c r="K221" s="10">
        <v>380.86393447</v>
      </c>
      <c r="L221" s="10">
        <f t="shared" si="76"/>
        <v>2.5935402844648925</v>
      </c>
      <c r="M221" s="421"/>
    </row>
    <row r="222" spans="1:16">
      <c r="A222" s="672">
        <v>9</v>
      </c>
      <c r="B222" s="10">
        <v>14873.658797600001</v>
      </c>
      <c r="C222" s="10">
        <v>2642.01865993</v>
      </c>
      <c r="D222" s="10">
        <f t="shared" si="72"/>
        <v>17.763071587713934</v>
      </c>
      <c r="E222" s="10">
        <v>11855.014649820001</v>
      </c>
      <c r="F222" s="10">
        <f t="shared" si="73"/>
        <v>79.704764047249185</v>
      </c>
      <c r="G222" s="10">
        <v>3304.7776120699991</v>
      </c>
      <c r="H222" s="10">
        <f t="shared" si="74"/>
        <v>22.218995722849677</v>
      </c>
      <c r="I222" s="10">
        <v>1007.6314920499999</v>
      </c>
      <c r="J222" s="10">
        <f t="shared" si="75"/>
        <v>6.7746040551406912</v>
      </c>
      <c r="K222" s="10">
        <v>376.6254878499999</v>
      </c>
      <c r="L222" s="10">
        <f t="shared" si="76"/>
        <v>2.5321643650368784</v>
      </c>
      <c r="M222" s="421"/>
    </row>
    <row r="223" spans="1:16">
      <c r="A223" s="672">
        <v>10</v>
      </c>
      <c r="B223" s="10">
        <v>14785.940748229999</v>
      </c>
      <c r="C223" s="10">
        <v>2667.4874315500001</v>
      </c>
      <c r="D223" s="10">
        <f t="shared" si="72"/>
        <v>18.040701481029</v>
      </c>
      <c r="E223" s="10">
        <v>11741.827828829999</v>
      </c>
      <c r="F223" s="10">
        <f t="shared" si="73"/>
        <v>79.412112010766677</v>
      </c>
      <c r="G223" s="10">
        <v>3204.4864094199993</v>
      </c>
      <c r="H223" s="10">
        <f t="shared" si="74"/>
        <v>21.672522999955909</v>
      </c>
      <c r="I223" s="10">
        <v>1001.4943415100001</v>
      </c>
      <c r="J223" s="10">
        <f t="shared" si="75"/>
        <v>6.7732879399634243</v>
      </c>
      <c r="K223" s="10">
        <v>376.6254878499999</v>
      </c>
      <c r="L223" s="10">
        <f t="shared" si="76"/>
        <v>2.5471865082043235</v>
      </c>
      <c r="M223" s="421"/>
    </row>
    <row r="224" spans="1:16">
      <c r="A224" s="672">
        <v>11</v>
      </c>
      <c r="B224" s="10">
        <v>14681.276736809999</v>
      </c>
      <c r="C224" s="10">
        <v>2840.1135545099996</v>
      </c>
      <c r="D224" s="10">
        <f t="shared" si="72"/>
        <v>19.345140108891577</v>
      </c>
      <c r="E224" s="10">
        <v>11464.53769445</v>
      </c>
      <c r="F224" s="10">
        <f t="shared" si="73"/>
        <v>78.089514283899092</v>
      </c>
      <c r="G224" s="10">
        <v>3141.9845566699996</v>
      </c>
      <c r="H224" s="10">
        <f t="shared" si="74"/>
        <v>21.401303258538682</v>
      </c>
      <c r="I224" s="10">
        <v>991.58079973999997</v>
      </c>
      <c r="J224" s="10">
        <f t="shared" si="75"/>
        <v>6.7540501927453906</v>
      </c>
      <c r="K224" s="10">
        <v>376.6254878499999</v>
      </c>
      <c r="L224" s="10">
        <f t="shared" si="76"/>
        <v>2.5653456072093253</v>
      </c>
      <c r="M224" s="421"/>
    </row>
    <row r="225" spans="1:13">
      <c r="A225" s="672">
        <v>12</v>
      </c>
      <c r="B225" s="10">
        <v>14530.423128150002</v>
      </c>
      <c r="C225" s="10">
        <v>2776.4592247099999</v>
      </c>
      <c r="D225" s="10">
        <f>+C225/B225*100</f>
        <v>19.107903467250896</v>
      </c>
      <c r="E225" s="10">
        <v>11380.52024799</v>
      </c>
      <c r="F225" s="10">
        <f>+E225/B225*100</f>
        <v>78.322015454197967</v>
      </c>
      <c r="G225" s="10">
        <v>3112.3165906699992</v>
      </c>
      <c r="H225" s="10">
        <f>+G225/B225*100</f>
        <v>21.41931149025153</v>
      </c>
      <c r="I225" s="10">
        <v>968.15444204000016</v>
      </c>
      <c r="J225" s="10">
        <f t="shared" si="75"/>
        <v>6.6629473450389778</v>
      </c>
      <c r="K225" s="10">
        <v>373.44365544999994</v>
      </c>
      <c r="L225" s="10">
        <f>+K225/B225*100</f>
        <v>2.570081078551127</v>
      </c>
      <c r="M225" s="421"/>
    </row>
    <row r="226" spans="1:13">
      <c r="A226" s="672">
        <v>2021</v>
      </c>
      <c r="B226" s="283">
        <v>17119.816266530001</v>
      </c>
      <c r="C226" s="283">
        <v>3333.0311863500001</v>
      </c>
      <c r="D226" s="283">
        <v>19.468849048726206</v>
      </c>
      <c r="E226" s="283">
        <v>13326.07414828</v>
      </c>
      <c r="F226" s="283">
        <v>77.840053542706912</v>
      </c>
      <c r="G226" s="283">
        <v>3979.9949230799998</v>
      </c>
      <c r="H226" s="283">
        <v>23.247883394993359</v>
      </c>
      <c r="I226" s="283">
        <v>1267.2848855899999</v>
      </c>
      <c r="J226" s="283">
        <v>7.4024444296613048</v>
      </c>
      <c r="K226" s="283">
        <v>460.71093189999999</v>
      </c>
      <c r="L226" s="283">
        <v>2.69109740856688</v>
      </c>
      <c r="M226" s="421"/>
    </row>
    <row r="227" spans="1:13">
      <c r="A227" s="637" t="s">
        <v>18</v>
      </c>
      <c r="B227" s="10">
        <v>14587.203226589998</v>
      </c>
      <c r="C227" s="10">
        <v>2789.3953263200001</v>
      </c>
      <c r="D227" s="10">
        <f>+C227/B227*100</f>
        <v>19.12220788996348</v>
      </c>
      <c r="E227" s="10">
        <v>11424.364244819997</v>
      </c>
      <c r="F227" s="10">
        <f>+E227/B227*100</f>
        <v>78.317714968112043</v>
      </c>
      <c r="G227" s="10">
        <v>3131.4316273300001</v>
      </c>
      <c r="H227" s="10">
        <f>+G227/B227*100</f>
        <v>21.466977450632424</v>
      </c>
      <c r="I227" s="10">
        <v>975.12999701000001</v>
      </c>
      <c r="J227" s="10">
        <f>I227/B227*100</f>
        <v>6.6848317793537237</v>
      </c>
      <c r="K227" s="10">
        <v>373.44365544999994</v>
      </c>
      <c r="L227" s="10">
        <f>+K227/B227*100</f>
        <v>2.5600771419244746</v>
      </c>
      <c r="M227" s="421"/>
    </row>
    <row r="228" spans="1:13">
      <c r="A228" s="637" t="s">
        <v>19</v>
      </c>
      <c r="B228" s="10">
        <v>14619.545503339999</v>
      </c>
      <c r="C228" s="10">
        <v>2803.47978913</v>
      </c>
      <c r="D228" s="10">
        <f t="shared" ref="D228:D242" si="77">+C228/B228*100</f>
        <v>19.176244490565821</v>
      </c>
      <c r="E228" s="10">
        <v>11442.62205876</v>
      </c>
      <c r="F228" s="10">
        <f t="shared" ref="F228:F242" si="78">+E228/B228*100</f>
        <v>78.269341930949935</v>
      </c>
      <c r="G228" s="10">
        <v>3131.18225592</v>
      </c>
      <c r="H228" s="10">
        <f t="shared" ref="H228:H242" si="79">+G228/B228*100</f>
        <v>21.417781115046608</v>
      </c>
      <c r="I228" s="10">
        <v>991.02437240999996</v>
      </c>
      <c r="J228" s="10">
        <f t="shared" ref="J228:J242" si="80">I228/B228*100</f>
        <v>6.778763212465047</v>
      </c>
      <c r="K228" s="10">
        <v>373.44365544999999</v>
      </c>
      <c r="L228" s="10">
        <f t="shared" ref="L228:L237" si="81">+K228/B228*100</f>
        <v>2.5544135784842465</v>
      </c>
      <c r="M228" s="421"/>
    </row>
    <row r="229" spans="1:13">
      <c r="A229" s="637" t="s">
        <v>20</v>
      </c>
      <c r="B229" s="10">
        <v>14728.03039973</v>
      </c>
      <c r="C229" s="10">
        <v>2825.7778725100002</v>
      </c>
      <c r="D229" s="10">
        <f t="shared" si="77"/>
        <v>19.186393535430259</v>
      </c>
      <c r="E229" s="10">
        <v>11526.576256939999</v>
      </c>
      <c r="F229" s="10">
        <f t="shared" si="78"/>
        <v>78.26284943811163</v>
      </c>
      <c r="G229" s="10">
        <v>3209.7196706999998</v>
      </c>
      <c r="H229" s="10">
        <f t="shared" si="79"/>
        <v>21.793271629578125</v>
      </c>
      <c r="I229" s="10">
        <v>1007.23152664</v>
      </c>
      <c r="J229" s="10">
        <f t="shared" si="80"/>
        <v>6.8388745765928416</v>
      </c>
      <c r="K229" s="10">
        <v>375.67627027999998</v>
      </c>
      <c r="L229" s="10">
        <f t="shared" si="81"/>
        <v>2.5507570264581139</v>
      </c>
      <c r="M229" s="421"/>
    </row>
    <row r="230" spans="1:13">
      <c r="A230" s="637" t="s">
        <v>21</v>
      </c>
      <c r="B230" s="10">
        <v>14987.49584865</v>
      </c>
      <c r="C230" s="10">
        <v>2848.1112294</v>
      </c>
      <c r="D230" s="10">
        <f t="shared" si="77"/>
        <v>19.00324949652309</v>
      </c>
      <c r="E230" s="10">
        <v>11763.70834897</v>
      </c>
      <c r="F230" s="10">
        <f t="shared" si="78"/>
        <v>78.490152509564282</v>
      </c>
      <c r="G230" s="10">
        <v>3313.3036553299999</v>
      </c>
      <c r="H230" s="10">
        <f t="shared" si="79"/>
        <v>22.10711975362079</v>
      </c>
      <c r="I230" s="10">
        <v>1040.9813359699999</v>
      </c>
      <c r="J230" s="10">
        <f t="shared" si="80"/>
        <v>6.9456655500175932</v>
      </c>
      <c r="K230" s="10">
        <v>375.67627027999998</v>
      </c>
      <c r="L230" s="10">
        <f t="shared" si="81"/>
        <v>2.5065979939126324</v>
      </c>
      <c r="M230" s="421"/>
    </row>
    <row r="231" spans="1:13">
      <c r="A231" s="637" t="s">
        <v>22</v>
      </c>
      <c r="B231" s="10">
        <v>15067.068306839999</v>
      </c>
      <c r="C231" s="10">
        <v>2872.28112667</v>
      </c>
      <c r="D231" s="10">
        <f t="shared" si="77"/>
        <v>19.063304606949121</v>
      </c>
      <c r="E231" s="10">
        <v>11819.11090989</v>
      </c>
      <c r="F231" s="10">
        <f t="shared" si="78"/>
        <v>78.443335287226887</v>
      </c>
      <c r="G231" s="10">
        <v>3380.8179891999998</v>
      </c>
      <c r="H231" s="10">
        <f t="shared" si="79"/>
        <v>22.438459296459214</v>
      </c>
      <c r="I231" s="10">
        <v>1066.40562884</v>
      </c>
      <c r="J231" s="10">
        <f t="shared" si="80"/>
        <v>7.0777247910655827</v>
      </c>
      <c r="K231" s="10">
        <v>375.67627027999998</v>
      </c>
      <c r="L231" s="10">
        <f t="shared" si="81"/>
        <v>2.4933601058239989</v>
      </c>
      <c r="M231" s="421"/>
    </row>
    <row r="232" spans="1:13">
      <c r="A232" s="637" t="s">
        <v>23</v>
      </c>
      <c r="B232" s="10">
        <v>15258.05819419</v>
      </c>
      <c r="C232" s="10">
        <v>2882.3496157599998</v>
      </c>
      <c r="D232" s="10">
        <f t="shared" si="77"/>
        <v>18.890671270722692</v>
      </c>
      <c r="E232" s="10">
        <v>11974.533029419999</v>
      </c>
      <c r="F232" s="10">
        <f t="shared" si="78"/>
        <v>78.480058714022277</v>
      </c>
      <c r="G232" s="10">
        <v>3477.66270123</v>
      </c>
      <c r="H232" s="10">
        <f t="shared" si="79"/>
        <v>22.792301988691015</v>
      </c>
      <c r="I232" s="10">
        <v>1085.7094265200001</v>
      </c>
      <c r="J232" s="10">
        <f t="shared" si="80"/>
        <v>7.1156461241799374</v>
      </c>
      <c r="K232" s="10">
        <v>401.17554901</v>
      </c>
      <c r="L232" s="10">
        <f t="shared" si="81"/>
        <v>2.6292700152550248</v>
      </c>
      <c r="M232" s="421"/>
    </row>
    <row r="233" spans="1:13">
      <c r="A233" s="637" t="s">
        <v>24</v>
      </c>
      <c r="B233" s="10">
        <v>15367.672983369999</v>
      </c>
      <c r="C233" s="10">
        <v>2873.4821044</v>
      </c>
      <c r="D233" s="10">
        <f t="shared" si="77"/>
        <v>18.698225212818588</v>
      </c>
      <c r="E233" s="10">
        <v>12093.015329960001</v>
      </c>
      <c r="F233" s="10">
        <f t="shared" si="78"/>
        <v>78.691258872090515</v>
      </c>
      <c r="G233" s="10">
        <v>3537.60169408</v>
      </c>
      <c r="H233" s="10">
        <f t="shared" si="79"/>
        <v>23.019761664034537</v>
      </c>
      <c r="I233" s="10">
        <v>1106.40669015</v>
      </c>
      <c r="J233" s="10">
        <f t="shared" si="80"/>
        <v>7.1995720584846445</v>
      </c>
      <c r="K233" s="10">
        <v>401.17554901</v>
      </c>
      <c r="L233" s="10">
        <f t="shared" si="81"/>
        <v>2.610515915090911</v>
      </c>
      <c r="M233" s="421"/>
    </row>
    <row r="234" spans="1:13">
      <c r="A234" s="637" t="s">
        <v>25</v>
      </c>
      <c r="B234" s="10">
        <v>15607.979105320001</v>
      </c>
      <c r="C234" s="10">
        <v>2899.8529999000002</v>
      </c>
      <c r="D234" s="10">
        <f t="shared" si="77"/>
        <v>18.579298321277104</v>
      </c>
      <c r="E234" s="10">
        <v>12306.95055641</v>
      </c>
      <c r="F234" s="10">
        <f t="shared" si="78"/>
        <v>78.850378215941859</v>
      </c>
      <c r="G234" s="10">
        <v>3597.6987565999998</v>
      </c>
      <c r="H234" s="10">
        <f t="shared" si="79"/>
        <v>23.050381681852198</v>
      </c>
      <c r="I234" s="10">
        <v>1125.3298164299999</v>
      </c>
      <c r="J234" s="10">
        <f t="shared" si="80"/>
        <v>7.2099649085667323</v>
      </c>
      <c r="K234" s="10">
        <v>401.17554901</v>
      </c>
      <c r="L234" s="10">
        <f t="shared" si="81"/>
        <v>2.5703234627810256</v>
      </c>
      <c r="M234" s="421"/>
    </row>
    <row r="235" spans="1:13">
      <c r="A235" s="676" t="s">
        <v>26</v>
      </c>
      <c r="B235" s="10">
        <v>15957.303832469999</v>
      </c>
      <c r="C235" s="10">
        <v>2978.2459024300001</v>
      </c>
      <c r="D235" s="10">
        <f t="shared" si="77"/>
        <v>18.663841546777164</v>
      </c>
      <c r="E235" s="10">
        <v>12560.457737139999</v>
      </c>
      <c r="F235" s="10">
        <f t="shared" si="78"/>
        <v>78.712907073824837</v>
      </c>
      <c r="G235" s="10">
        <v>3687.11022826</v>
      </c>
      <c r="H235" s="10">
        <f t="shared" si="79"/>
        <v>23.106097790514273</v>
      </c>
      <c r="I235" s="10">
        <v>1163.20757981</v>
      </c>
      <c r="J235" s="10">
        <f t="shared" si="80"/>
        <v>7.2894994794991588</v>
      </c>
      <c r="K235" s="10">
        <v>418.60019290000002</v>
      </c>
      <c r="L235" s="10">
        <f t="shared" si="81"/>
        <v>2.6232513793980052</v>
      </c>
      <c r="M235" s="421"/>
    </row>
    <row r="236" spans="1:13">
      <c r="A236" s="676" t="s">
        <v>27</v>
      </c>
      <c r="B236" s="10">
        <v>16415.890409920001</v>
      </c>
      <c r="C236" s="10">
        <v>3151.4153293300001</v>
      </c>
      <c r="D236" s="10">
        <f t="shared" si="77"/>
        <v>19.197346294573357</v>
      </c>
      <c r="E236" s="10">
        <v>12845.874887690001</v>
      </c>
      <c r="F236" s="10">
        <f t="shared" si="78"/>
        <v>78.252684240188003</v>
      </c>
      <c r="G236" s="10">
        <v>3783.84027793</v>
      </c>
      <c r="H236" s="10">
        <f t="shared" si="79"/>
        <v>23.049863171865802</v>
      </c>
      <c r="I236" s="10">
        <v>1178.2561068299999</v>
      </c>
      <c r="J236" s="10">
        <f t="shared" si="80"/>
        <v>7.1775339467299828</v>
      </c>
      <c r="K236" s="10">
        <v>418.60019290000002</v>
      </c>
      <c r="L236" s="10">
        <f t="shared" si="81"/>
        <v>2.5499694652386511</v>
      </c>
      <c r="M236" s="421"/>
    </row>
    <row r="237" spans="1:13">
      <c r="A237" s="676">
        <v>11</v>
      </c>
      <c r="B237" s="10">
        <v>16700.565043179999</v>
      </c>
      <c r="C237" s="10">
        <v>3238.6355149599999</v>
      </c>
      <c r="D237" s="10">
        <f t="shared" si="77"/>
        <v>19.392370896352158</v>
      </c>
      <c r="E237" s="10">
        <v>13043.329335320001</v>
      </c>
      <c r="F237" s="10">
        <f t="shared" si="78"/>
        <v>78.101125929547507</v>
      </c>
      <c r="G237" s="10">
        <v>3866.2888934100001</v>
      </c>
      <c r="H237" s="10">
        <f t="shared" si="79"/>
        <v>23.150647199142966</v>
      </c>
      <c r="I237" s="10">
        <v>1214.5765968400001</v>
      </c>
      <c r="J237" s="10">
        <f t="shared" si="80"/>
        <v>7.2726676833967137</v>
      </c>
      <c r="K237" s="10">
        <v>418.60019290000002</v>
      </c>
      <c r="L237" s="10">
        <f t="shared" si="81"/>
        <v>2.5065031741003492</v>
      </c>
      <c r="M237" s="421"/>
    </row>
    <row r="238" spans="1:13">
      <c r="A238" s="676">
        <v>12</v>
      </c>
      <c r="B238" s="10">
        <v>17119.816266530001</v>
      </c>
      <c r="C238" s="10">
        <v>3333.0311863500001</v>
      </c>
      <c r="D238" s="10">
        <f t="shared" si="77"/>
        <v>19.468849048726206</v>
      </c>
      <c r="E238" s="10">
        <v>13326.07414828</v>
      </c>
      <c r="F238" s="10">
        <f t="shared" si="78"/>
        <v>77.840053542706912</v>
      </c>
      <c r="G238" s="10">
        <v>3979.9949230799998</v>
      </c>
      <c r="H238" s="10">
        <f t="shared" si="79"/>
        <v>23.247883394993359</v>
      </c>
      <c r="I238" s="10">
        <v>1267.2848855899999</v>
      </c>
      <c r="J238" s="10">
        <f t="shared" si="80"/>
        <v>7.4024444296613048</v>
      </c>
      <c r="K238" s="10">
        <v>460.71093189999999</v>
      </c>
      <c r="L238" s="10">
        <f t="shared" ref="L238:L242" si="82">+K238/B238*100</f>
        <v>2.69109740856688</v>
      </c>
      <c r="M238" s="421"/>
    </row>
    <row r="239" spans="1:13">
      <c r="A239" s="676">
        <v>2022</v>
      </c>
      <c r="B239" s="283">
        <v>20183.981847880001</v>
      </c>
      <c r="C239" s="283">
        <v>3852.3065288100001</v>
      </c>
      <c r="D239" s="283">
        <v>19.085959142470308</v>
      </c>
      <c r="E239" s="283">
        <v>15742.05443876</v>
      </c>
      <c r="F239" s="283">
        <v>77.99280913648586</v>
      </c>
      <c r="G239" s="283">
        <v>5032.7265066099999</v>
      </c>
      <c r="H239" s="283">
        <v>24.934259971793455</v>
      </c>
      <c r="I239" s="283">
        <v>1685.3491156</v>
      </c>
      <c r="J239" s="283">
        <v>8.3499337658045825</v>
      </c>
      <c r="K239" s="283">
        <v>589.62088030999996</v>
      </c>
      <c r="L239" s="283">
        <v>2.9212317210438337</v>
      </c>
      <c r="M239" s="421"/>
    </row>
    <row r="240" spans="1:13">
      <c r="A240" s="676" t="s">
        <v>18</v>
      </c>
      <c r="B240" s="10">
        <v>17242.149871199999</v>
      </c>
      <c r="C240" s="10">
        <v>3394.9201904500001</v>
      </c>
      <c r="D240" s="10">
        <f t="shared" si="77"/>
        <v>19.689657124026173</v>
      </c>
      <c r="E240" s="10">
        <v>13386.51874885</v>
      </c>
      <c r="F240" s="10">
        <f t="shared" si="78"/>
        <v>77.638338889571074</v>
      </c>
      <c r="G240" s="10">
        <v>3985.9375180900001</v>
      </c>
      <c r="H240" s="10">
        <f t="shared" si="79"/>
        <v>23.117404429640253</v>
      </c>
      <c r="I240" s="10">
        <v>1281.7559525199999</v>
      </c>
      <c r="J240" s="10">
        <f t="shared" si="80"/>
        <v>7.4338522869526233</v>
      </c>
      <c r="K240" s="10">
        <v>460.71093189999999</v>
      </c>
      <c r="L240" s="10">
        <f t="shared" si="82"/>
        <v>2.6720039864027467</v>
      </c>
      <c r="M240" s="421"/>
    </row>
    <row r="241" spans="1:13">
      <c r="A241" s="676" t="s">
        <v>19</v>
      </c>
      <c r="B241" s="10">
        <v>17587.221785509999</v>
      </c>
      <c r="C241" s="10">
        <v>3464.2788388700001</v>
      </c>
      <c r="D241" s="10">
        <f t="shared" si="77"/>
        <v>19.697703714205716</v>
      </c>
      <c r="E241" s="10">
        <v>13662.232014740001</v>
      </c>
      <c r="F241" s="10">
        <f t="shared" si="78"/>
        <v>77.682718631525006</v>
      </c>
      <c r="G241" s="10">
        <v>4098.08217547</v>
      </c>
      <c r="H241" s="10">
        <f t="shared" si="79"/>
        <v>23.301475499935894</v>
      </c>
      <c r="I241" s="10">
        <v>1312.40652204</v>
      </c>
      <c r="J241" s="10">
        <f t="shared" si="80"/>
        <v>7.462273109680595</v>
      </c>
      <c r="K241" s="10">
        <v>460.71093189999999</v>
      </c>
      <c r="L241" s="10">
        <f t="shared" si="82"/>
        <v>2.6195776542692877</v>
      </c>
      <c r="M241" s="421"/>
    </row>
    <row r="242" spans="1:13">
      <c r="A242" s="676" t="s">
        <v>20</v>
      </c>
      <c r="B242" s="10">
        <v>18007.769891451</v>
      </c>
      <c r="C242" s="10">
        <v>3522.9666775400001</v>
      </c>
      <c r="D242" s="10">
        <f t="shared" si="77"/>
        <v>19.563592264761731</v>
      </c>
      <c r="E242" s="10">
        <v>14005.203834649999</v>
      </c>
      <c r="F242" s="10">
        <f t="shared" si="78"/>
        <v>77.773116377385648</v>
      </c>
      <c r="G242" s="10">
        <v>4207.5835177999998</v>
      </c>
      <c r="H242" s="10">
        <f t="shared" si="79"/>
        <v>23.365378073814156</v>
      </c>
      <c r="I242" s="10">
        <v>1343.5468350599999</v>
      </c>
      <c r="J242" s="10">
        <f t="shared" si="80"/>
        <v>7.4609284945263257</v>
      </c>
      <c r="K242" s="10">
        <v>479.59937926100002</v>
      </c>
      <c r="L242" s="10">
        <f t="shared" si="82"/>
        <v>2.6632913578526165</v>
      </c>
      <c r="M242" s="421"/>
    </row>
    <row r="243" spans="1:13">
      <c r="A243" s="676" t="s">
        <v>21</v>
      </c>
      <c r="B243" s="10">
        <v>18319.964781931001</v>
      </c>
      <c r="C243" s="10">
        <v>3597.0777886000001</v>
      </c>
      <c r="D243" s="10">
        <f t="shared" ref="D243:D264" si="83">+C243/B243*100</f>
        <v>19.634741831751782</v>
      </c>
      <c r="E243" s="10">
        <v>14243.287614069999</v>
      </c>
      <c r="F243" s="10">
        <f t="shared" ref="F243:F264" si="84">+E243/B243*100</f>
        <v>77.74735259381157</v>
      </c>
      <c r="G243" s="10">
        <v>4374.0961267399998</v>
      </c>
      <c r="H243" s="10">
        <f t="shared" ref="H243:H264" si="85">+G243/B243*100</f>
        <v>23.876116459864459</v>
      </c>
      <c r="I243" s="10">
        <v>1409.01627252</v>
      </c>
      <c r="J243" s="10">
        <f t="shared" ref="J243:J264" si="86">I243/B243*100</f>
        <v>7.6911516440780172</v>
      </c>
      <c r="K243" s="10">
        <v>479.59937926100002</v>
      </c>
      <c r="L243" s="10">
        <f t="shared" ref="L243:L264" si="87">+K243/B243*100</f>
        <v>2.6179055744366351</v>
      </c>
      <c r="M243" s="421"/>
    </row>
    <row r="244" spans="1:13">
      <c r="A244" s="676" t="s">
        <v>22</v>
      </c>
      <c r="B244" s="10">
        <v>18577.875236771</v>
      </c>
      <c r="C244" s="10">
        <v>3634.4052587699998</v>
      </c>
      <c r="D244" s="10">
        <f t="shared" si="83"/>
        <v>19.563083573607269</v>
      </c>
      <c r="E244" s="10">
        <v>14463.870598740001</v>
      </c>
      <c r="F244" s="10">
        <f t="shared" si="84"/>
        <v>77.855354363193314</v>
      </c>
      <c r="G244" s="10">
        <v>4465.9729231199999</v>
      </c>
      <c r="H244" s="10">
        <f t="shared" si="85"/>
        <v>24.039201825839289</v>
      </c>
      <c r="I244" s="10">
        <v>1446.04669816</v>
      </c>
      <c r="J244" s="10">
        <f t="shared" si="86"/>
        <v>7.7837033553646346</v>
      </c>
      <c r="K244" s="10">
        <v>479.59937926100002</v>
      </c>
      <c r="L244" s="10">
        <f t="shared" si="87"/>
        <v>2.5815620631994225</v>
      </c>
      <c r="M244" s="421"/>
    </row>
    <row r="245" spans="1:13">
      <c r="A245" s="676" t="s">
        <v>23</v>
      </c>
      <c r="B245" s="10">
        <v>18818.200924164601</v>
      </c>
      <c r="C245" s="10">
        <v>3727.5802884300001</v>
      </c>
      <c r="D245" s="10">
        <f t="shared" si="83"/>
        <v>19.80837755666316</v>
      </c>
      <c r="E245" s="10">
        <v>14592.42675764</v>
      </c>
      <c r="F245" s="10">
        <f t="shared" si="84"/>
        <v>77.544218049567903</v>
      </c>
      <c r="G245" s="10">
        <v>4572.9586865800002</v>
      </c>
      <c r="H245" s="10">
        <f t="shared" si="85"/>
        <v>24.300721971290187</v>
      </c>
      <c r="I245" s="10">
        <v>1485.04636772</v>
      </c>
      <c r="J245" s="10">
        <f t="shared" si="86"/>
        <v>7.8915427341039814</v>
      </c>
      <c r="K245" s="10">
        <v>498.1938780946</v>
      </c>
      <c r="L245" s="10">
        <f t="shared" si="87"/>
        <v>2.6474043937689351</v>
      </c>
      <c r="M245" s="421"/>
    </row>
    <row r="246" spans="1:13">
      <c r="A246" s="676" t="s">
        <v>24</v>
      </c>
      <c r="B246" s="10">
        <v>18985.634951354601</v>
      </c>
      <c r="C246" s="10">
        <v>3782.7626578999998</v>
      </c>
      <c r="D246" s="10">
        <f t="shared" si="83"/>
        <v>19.924341048336149</v>
      </c>
      <c r="E246" s="10">
        <v>14704.67841536</v>
      </c>
      <c r="F246" s="10">
        <f t="shared" si="84"/>
        <v>77.45160197716136</v>
      </c>
      <c r="G246" s="10">
        <v>4614.3749575399997</v>
      </c>
      <c r="H246" s="10">
        <f t="shared" si="85"/>
        <v>24.304559575505639</v>
      </c>
      <c r="I246" s="10">
        <v>1498.9806173899999</v>
      </c>
      <c r="J246" s="10">
        <f t="shared" si="86"/>
        <v>7.8953409840161788</v>
      </c>
      <c r="K246" s="10">
        <v>498.1938780946</v>
      </c>
      <c r="L246" s="10">
        <f t="shared" si="87"/>
        <v>2.6240569745024751</v>
      </c>
      <c r="M246" s="421"/>
    </row>
    <row r="247" spans="1:13">
      <c r="A247" s="676" t="s">
        <v>25</v>
      </c>
      <c r="B247" s="10">
        <v>19136.822267444601</v>
      </c>
      <c r="C247" s="10">
        <v>3809.8508272099998</v>
      </c>
      <c r="D247" s="10">
        <f t="shared" si="83"/>
        <v>19.908482056037517</v>
      </c>
      <c r="E247" s="10">
        <v>14828.77756214</v>
      </c>
      <c r="F247" s="10">
        <f t="shared" si="84"/>
        <v>77.488191899898609</v>
      </c>
      <c r="G247" s="10">
        <v>4700.73653818</v>
      </c>
      <c r="H247" s="10">
        <f t="shared" si="85"/>
        <v>24.563830256065309</v>
      </c>
      <c r="I247" s="10">
        <v>1528.00884817</v>
      </c>
      <c r="J247" s="10">
        <f t="shared" si="86"/>
        <v>7.984652973286142</v>
      </c>
      <c r="K247" s="10">
        <v>498.1938780946</v>
      </c>
      <c r="L247" s="10">
        <f t="shared" si="87"/>
        <v>2.6033260440638735</v>
      </c>
      <c r="M247" s="421"/>
    </row>
    <row r="248" spans="1:13">
      <c r="A248" s="676" t="s">
        <v>26</v>
      </c>
      <c r="B248" s="10">
        <v>19701.683635566002</v>
      </c>
      <c r="C248" s="10">
        <v>3821.0816505900002</v>
      </c>
      <c r="D248" s="10">
        <f t="shared" si="83"/>
        <v>19.394696013147232</v>
      </c>
      <c r="E248" s="10">
        <v>15336.09637221</v>
      </c>
      <c r="F248" s="10">
        <f t="shared" si="84"/>
        <v>77.841552305331277</v>
      </c>
      <c r="G248" s="10">
        <v>4816.3280684499996</v>
      </c>
      <c r="H248" s="10">
        <f t="shared" si="85"/>
        <v>24.446276559610553</v>
      </c>
      <c r="I248" s="10">
        <v>1579.1240245900001</v>
      </c>
      <c r="J248" s="10">
        <f t="shared" si="86"/>
        <v>8.015172986228059</v>
      </c>
      <c r="K248" s="10">
        <v>544.50561276600001</v>
      </c>
      <c r="L248" s="10">
        <f t="shared" si="87"/>
        <v>2.7637516815214922</v>
      </c>
      <c r="M248" s="421"/>
    </row>
    <row r="249" spans="1:13">
      <c r="A249" s="676">
        <v>10</v>
      </c>
      <c r="B249" s="10">
        <v>20015.293326605999</v>
      </c>
      <c r="C249" s="10">
        <v>3862.5014761399998</v>
      </c>
      <c r="D249" s="10">
        <f t="shared" si="83"/>
        <v>19.297751040229024</v>
      </c>
      <c r="E249" s="10">
        <v>15608.2862377</v>
      </c>
      <c r="F249" s="10">
        <f t="shared" si="84"/>
        <v>77.981801130799127</v>
      </c>
      <c r="G249" s="10">
        <v>4884.0380598600004</v>
      </c>
      <c r="H249" s="10">
        <f t="shared" si="85"/>
        <v>24.401531269930125</v>
      </c>
      <c r="I249" s="10">
        <v>1617.67267823</v>
      </c>
      <c r="J249" s="10">
        <f t="shared" si="86"/>
        <v>8.0821832177680584</v>
      </c>
      <c r="K249" s="10">
        <v>544.50561276600001</v>
      </c>
      <c r="L249" s="10">
        <f t="shared" si="87"/>
        <v>2.7204478289718477</v>
      </c>
      <c r="M249" s="421"/>
    </row>
    <row r="250" spans="1:13">
      <c r="A250" s="676">
        <v>11</v>
      </c>
      <c r="B250" s="10">
        <v>20218.690699965999</v>
      </c>
      <c r="C250" s="10">
        <v>3898.4181698699999</v>
      </c>
      <c r="D250" s="10">
        <f t="shared" si="83"/>
        <v>19.281259245320744</v>
      </c>
      <c r="E250" s="10">
        <v>15775.76691733</v>
      </c>
      <c r="F250" s="10">
        <f t="shared" si="84"/>
        <v>78.025660273622606</v>
      </c>
      <c r="G250" s="10">
        <v>4947.0336513800003</v>
      </c>
      <c r="H250" s="10">
        <f t="shared" si="85"/>
        <v>24.467626142519304</v>
      </c>
      <c r="I250" s="10">
        <v>1656.20730712</v>
      </c>
      <c r="J250" s="10">
        <f t="shared" si="86"/>
        <v>8.1914666567543133</v>
      </c>
      <c r="K250" s="10">
        <v>544.50561276600001</v>
      </c>
      <c r="L250" s="10">
        <f t="shared" si="87"/>
        <v>2.693080481056648</v>
      </c>
      <c r="M250" s="421"/>
    </row>
    <row r="251" spans="1:13">
      <c r="A251" s="676">
        <v>12</v>
      </c>
      <c r="B251" s="10">
        <v>20183.981847880001</v>
      </c>
      <c r="C251" s="10">
        <v>3852.3065288100001</v>
      </c>
      <c r="D251" s="10">
        <f t="shared" si="83"/>
        <v>19.085959142470308</v>
      </c>
      <c r="E251" s="10">
        <v>15742.05443876</v>
      </c>
      <c r="F251" s="10">
        <f t="shared" si="84"/>
        <v>77.99280913648586</v>
      </c>
      <c r="G251" s="10">
        <v>5032.7265066099999</v>
      </c>
      <c r="H251" s="10">
        <f t="shared" si="85"/>
        <v>24.934259971793455</v>
      </c>
      <c r="I251" s="10">
        <v>1685.3491156</v>
      </c>
      <c r="J251" s="10">
        <f t="shared" si="86"/>
        <v>8.3499337658045825</v>
      </c>
      <c r="K251" s="10">
        <v>589.62088030999996</v>
      </c>
      <c r="L251" s="10">
        <f t="shared" si="87"/>
        <v>2.9212317210438337</v>
      </c>
      <c r="M251" s="421"/>
    </row>
    <row r="252" spans="1:13">
      <c r="A252" s="676">
        <v>2023</v>
      </c>
      <c r="B252" s="283">
        <v>23979.124360810001</v>
      </c>
      <c r="C252" s="283">
        <v>5496.1708581800003</v>
      </c>
      <c r="D252" s="283">
        <v>22.920648708768539</v>
      </c>
      <c r="E252" s="283">
        <v>17686.789855669998</v>
      </c>
      <c r="F252" s="283">
        <v>73.759114759737415</v>
      </c>
      <c r="G252" s="283">
        <v>5913.4719193299998</v>
      </c>
      <c r="H252" s="283">
        <v>24.660916847299948</v>
      </c>
      <c r="I252" s="283">
        <v>2076.5305687700002</v>
      </c>
      <c r="J252" s="283">
        <v>8.6597431062318257</v>
      </c>
      <c r="K252" s="283">
        <v>796.16364696000005</v>
      </c>
      <c r="L252" s="283">
        <v>3.3202365314940385</v>
      </c>
      <c r="M252" s="421"/>
    </row>
    <row r="253" spans="1:13">
      <c r="A253" s="676" t="s">
        <v>18</v>
      </c>
      <c r="B253" s="10">
        <v>20259.212448210001</v>
      </c>
      <c r="C253" s="10">
        <v>3916.08524446</v>
      </c>
      <c r="D253" s="10">
        <f t="shared" si="83"/>
        <v>19.329898703964698</v>
      </c>
      <c r="E253" s="10">
        <v>15753.50632344</v>
      </c>
      <c r="F253" s="10">
        <f t="shared" si="84"/>
        <v>77.759717282751026</v>
      </c>
      <c r="G253" s="10">
        <v>5076.1485584299999</v>
      </c>
      <c r="H253" s="10">
        <f t="shared" si="85"/>
        <v>25.056001418645973</v>
      </c>
      <c r="I253" s="10">
        <v>1712.0055096799999</v>
      </c>
      <c r="J253" s="10">
        <f t="shared" si="86"/>
        <v>8.4505037599882797</v>
      </c>
      <c r="K253" s="10">
        <v>589.62088030999996</v>
      </c>
      <c r="L253" s="10">
        <f t="shared" si="87"/>
        <v>2.9103840132842667</v>
      </c>
      <c r="M253" s="421"/>
    </row>
    <row r="254" spans="1:13">
      <c r="A254" s="676" t="s">
        <v>19</v>
      </c>
      <c r="B254" s="10">
        <v>20347.050737609999</v>
      </c>
      <c r="C254" s="10">
        <v>3929.12535966</v>
      </c>
      <c r="D254" s="10">
        <f t="shared" si="83"/>
        <v>19.310539941777929</v>
      </c>
      <c r="E254" s="10">
        <v>15828.30449764</v>
      </c>
      <c r="F254" s="10">
        <f t="shared" si="84"/>
        <v>77.791640182931104</v>
      </c>
      <c r="G254" s="10">
        <v>5124.5646331899998</v>
      </c>
      <c r="H254" s="10">
        <f t="shared" si="85"/>
        <v>25.185785887473244</v>
      </c>
      <c r="I254" s="10">
        <v>1745.5419848700001</v>
      </c>
      <c r="J254" s="10">
        <f t="shared" si="86"/>
        <v>8.578845196682467</v>
      </c>
      <c r="K254" s="10">
        <v>589.62088030999996</v>
      </c>
      <c r="L254" s="10">
        <f t="shared" si="87"/>
        <v>2.8978198752909674</v>
      </c>
      <c r="M254" s="421"/>
    </row>
    <row r="255" spans="1:13">
      <c r="A255" s="676" t="s">
        <v>20</v>
      </c>
      <c r="B255" s="10">
        <v>20664.848433421801</v>
      </c>
      <c r="C255" s="10">
        <v>3962.3288102699998</v>
      </c>
      <c r="D255" s="10">
        <f t="shared" si="83"/>
        <v>19.17424569086905</v>
      </c>
      <c r="E255" s="10">
        <v>16076.26726192</v>
      </c>
      <c r="F255" s="10">
        <f t="shared" si="84"/>
        <v>77.795234326129545</v>
      </c>
      <c r="G255" s="10">
        <v>5204.7516808299997</v>
      </c>
      <c r="H255" s="10">
        <f t="shared" si="85"/>
        <v>25.186498210227466</v>
      </c>
      <c r="I255" s="10">
        <v>1764.64020807</v>
      </c>
      <c r="J255" s="10">
        <f t="shared" si="86"/>
        <v>8.5393329341627364</v>
      </c>
      <c r="K255" s="10">
        <v>626.25236123181901</v>
      </c>
      <c r="L255" s="10">
        <f t="shared" si="87"/>
        <v>3.0305199830014948</v>
      </c>
      <c r="M255" s="421"/>
    </row>
    <row r="256" spans="1:13">
      <c r="A256" s="676" t="s">
        <v>21</v>
      </c>
      <c r="B256" s="10">
        <v>21005.880584801798</v>
      </c>
      <c r="C256" s="10">
        <v>4072.1132760199998</v>
      </c>
      <c r="D256" s="10">
        <f t="shared" si="83"/>
        <v>19.385587095864292</v>
      </c>
      <c r="E256" s="10">
        <v>16307.51494755</v>
      </c>
      <c r="F256" s="10">
        <f t="shared" si="84"/>
        <v>77.633093655444441</v>
      </c>
      <c r="G256" s="10">
        <v>5335.2298686900003</v>
      </c>
      <c r="H256" s="10">
        <f t="shared" si="85"/>
        <v>25.39874416190937</v>
      </c>
      <c r="I256" s="10">
        <v>1816.8171001000001</v>
      </c>
      <c r="J256" s="10">
        <f t="shared" si="86"/>
        <v>8.6490880149747476</v>
      </c>
      <c r="K256" s="10">
        <v>626.25236123181901</v>
      </c>
      <c r="L256" s="10">
        <f t="shared" si="87"/>
        <v>2.9813192486913684</v>
      </c>
      <c r="M256" s="421"/>
    </row>
    <row r="257" spans="1:13">
      <c r="A257" s="676" t="s">
        <v>22</v>
      </c>
      <c r="B257" s="10">
        <v>21285.5233731218</v>
      </c>
      <c r="C257" s="10">
        <v>4229.3848292700004</v>
      </c>
      <c r="D257" s="10">
        <f t="shared" si="83"/>
        <v>19.869771370576856</v>
      </c>
      <c r="E257" s="10">
        <v>16429.886182620001</v>
      </c>
      <c r="F257" s="10">
        <f t="shared" si="84"/>
        <v>77.188077054129508</v>
      </c>
      <c r="G257" s="10">
        <v>5446.8537087100003</v>
      </c>
      <c r="H257" s="10">
        <f t="shared" si="85"/>
        <v>25.58947512461916</v>
      </c>
      <c r="I257" s="10">
        <v>1855.00953774</v>
      </c>
      <c r="J257" s="10">
        <f t="shared" si="86"/>
        <v>8.7148880730948104</v>
      </c>
      <c r="K257" s="10">
        <v>626.25236123181901</v>
      </c>
      <c r="L257" s="10">
        <f t="shared" si="87"/>
        <v>2.9421515752937344</v>
      </c>
      <c r="M257" s="421"/>
    </row>
    <row r="258" spans="1:13">
      <c r="A258" s="676" t="s">
        <v>23</v>
      </c>
      <c r="B258" s="10">
        <v>21966.172727879999</v>
      </c>
      <c r="C258" s="10">
        <v>4594.7721071799997</v>
      </c>
      <c r="D258" s="10">
        <f t="shared" si="83"/>
        <v>20.91749056196851</v>
      </c>
      <c r="E258" s="10">
        <v>16701.46442996</v>
      </c>
      <c r="F258" s="10">
        <f t="shared" si="84"/>
        <v>76.032655469207427</v>
      </c>
      <c r="G258" s="10">
        <v>5448.6690363600001</v>
      </c>
      <c r="H258" s="10">
        <f t="shared" si="85"/>
        <v>24.804817406559028</v>
      </c>
      <c r="I258" s="10">
        <v>1884.2063852399999</v>
      </c>
      <c r="J258" s="10">
        <f t="shared" si="86"/>
        <v>8.5777636759111857</v>
      </c>
      <c r="K258" s="10">
        <v>669.93619074000003</v>
      </c>
      <c r="L258" s="10">
        <f t="shared" si="87"/>
        <v>3.0498539688240767</v>
      </c>
      <c r="M258" s="421"/>
    </row>
    <row r="259" spans="1:13">
      <c r="A259" s="676" t="s">
        <v>24</v>
      </c>
      <c r="B259" s="10">
        <v>22041.926831839999</v>
      </c>
      <c r="C259" s="10">
        <v>4635.8696142999997</v>
      </c>
      <c r="D259" s="10">
        <f t="shared" si="83"/>
        <v>21.032052459240518</v>
      </c>
      <c r="E259" s="10">
        <v>16736.1210268</v>
      </c>
      <c r="F259" s="10">
        <f t="shared" si="84"/>
        <v>75.928575366761237</v>
      </c>
      <c r="G259" s="10">
        <v>5454.9411844099996</v>
      </c>
      <c r="H259" s="10">
        <f t="shared" si="85"/>
        <v>24.748023283201491</v>
      </c>
      <c r="I259" s="10">
        <v>1881.1759974300001</v>
      </c>
      <c r="J259" s="10">
        <f t="shared" si="86"/>
        <v>8.5345351691876772</v>
      </c>
      <c r="K259" s="10">
        <v>669.93619074000003</v>
      </c>
      <c r="L259" s="10">
        <f t="shared" si="87"/>
        <v>3.0393721739982551</v>
      </c>
      <c r="M259" s="421"/>
    </row>
    <row r="260" spans="1:13">
      <c r="A260" s="676" t="s">
        <v>25</v>
      </c>
      <c r="B260" s="10">
        <v>22484.122831910001</v>
      </c>
      <c r="C260" s="10">
        <v>4753.92157056</v>
      </c>
      <c r="D260" s="10">
        <f t="shared" si="83"/>
        <v>21.143460236808178</v>
      </c>
      <c r="E260" s="10">
        <v>17060.265070609999</v>
      </c>
      <c r="F260" s="10">
        <f t="shared" si="84"/>
        <v>75.876943023979862</v>
      </c>
      <c r="G260" s="10">
        <v>5579.5749236900001</v>
      </c>
      <c r="H260" s="10">
        <f t="shared" si="85"/>
        <v>24.815621963118502</v>
      </c>
      <c r="I260" s="10">
        <v>1935.2886947699999</v>
      </c>
      <c r="J260" s="10">
        <f t="shared" si="86"/>
        <v>8.607356885737131</v>
      </c>
      <c r="K260" s="10">
        <v>669.93619074000003</v>
      </c>
      <c r="L260" s="10">
        <f t="shared" si="87"/>
        <v>2.9795967392119502</v>
      </c>
      <c r="M260" s="421"/>
    </row>
    <row r="261" spans="1:13">
      <c r="A261" s="676" t="s">
        <v>26</v>
      </c>
      <c r="B261" s="10">
        <v>23018.645831869999</v>
      </c>
      <c r="C261" s="10">
        <v>4923.90447941</v>
      </c>
      <c r="D261" s="10">
        <f t="shared" si="83"/>
        <v>21.390938960417508</v>
      </c>
      <c r="E261" s="10">
        <v>17357.98031829</v>
      </c>
      <c r="F261" s="10">
        <f t="shared" si="84"/>
        <v>75.408346976942326</v>
      </c>
      <c r="G261" s="10">
        <v>5661.4652834099998</v>
      </c>
      <c r="H261" s="10">
        <f t="shared" si="85"/>
        <v>24.595127466497324</v>
      </c>
      <c r="I261" s="10">
        <v>1973.35690559</v>
      </c>
      <c r="J261" s="10">
        <f t="shared" si="86"/>
        <v>8.5728627131394006</v>
      </c>
      <c r="K261" s="10">
        <v>736.76103417000002</v>
      </c>
      <c r="L261" s="10">
        <f t="shared" si="87"/>
        <v>3.2007140626401767</v>
      </c>
      <c r="M261" s="421"/>
    </row>
    <row r="262" spans="1:13">
      <c r="A262" s="676">
        <v>10</v>
      </c>
      <c r="B262" s="10">
        <v>23196.472673640001</v>
      </c>
      <c r="C262" s="10">
        <v>5279.5777087899996</v>
      </c>
      <c r="D262" s="10">
        <f t="shared" si="83"/>
        <v>22.760260937386416</v>
      </c>
      <c r="E262" s="10">
        <v>17180.13393068</v>
      </c>
      <c r="F262" s="10">
        <f t="shared" si="84"/>
        <v>74.063562044082474</v>
      </c>
      <c r="G262" s="10">
        <v>5725.8682018500003</v>
      </c>
      <c r="H262" s="10">
        <f t="shared" si="85"/>
        <v>24.684219374253225</v>
      </c>
      <c r="I262" s="10">
        <v>1998.0030978899999</v>
      </c>
      <c r="J262" s="10">
        <f t="shared" si="86"/>
        <v>8.6133918979866699</v>
      </c>
      <c r="K262" s="10">
        <v>736.76103417000002</v>
      </c>
      <c r="L262" s="10">
        <f t="shared" si="87"/>
        <v>3.1761770185310989</v>
      </c>
      <c r="M262" s="421"/>
    </row>
    <row r="263" spans="1:13">
      <c r="A263" s="676">
        <v>11</v>
      </c>
      <c r="B263" s="10">
        <v>23617.991556720001</v>
      </c>
      <c r="C263" s="10">
        <v>5398.0052931999999</v>
      </c>
      <c r="D263" s="10">
        <f t="shared" si="83"/>
        <v>22.855479816039274</v>
      </c>
      <c r="E263" s="10">
        <v>17483.225229349999</v>
      </c>
      <c r="F263" s="10">
        <f t="shared" si="84"/>
        <v>74.025029551573013</v>
      </c>
      <c r="G263" s="10">
        <v>5834.8347111499997</v>
      </c>
      <c r="H263" s="10">
        <f t="shared" si="85"/>
        <v>24.705041904758495</v>
      </c>
      <c r="I263" s="10">
        <v>2029.61815572</v>
      </c>
      <c r="J263" s="10">
        <f t="shared" si="86"/>
        <v>8.5935256215404774</v>
      </c>
      <c r="K263" s="10">
        <v>736.76103417000002</v>
      </c>
      <c r="L263" s="10">
        <f t="shared" si="87"/>
        <v>3.1194906323877074</v>
      </c>
      <c r="M263" s="421"/>
    </row>
    <row r="264" spans="1:13">
      <c r="A264" s="676">
        <v>12</v>
      </c>
      <c r="B264" s="10">
        <v>23979.124360810001</v>
      </c>
      <c r="C264" s="10">
        <v>5496.1708581800003</v>
      </c>
      <c r="D264" s="10">
        <f t="shared" si="83"/>
        <v>22.920648708768539</v>
      </c>
      <c r="E264" s="10">
        <v>17686.789855669998</v>
      </c>
      <c r="F264" s="10">
        <f t="shared" si="84"/>
        <v>73.759114759737415</v>
      </c>
      <c r="G264" s="10">
        <v>5913.4719193299998</v>
      </c>
      <c r="H264" s="10">
        <f t="shared" si="85"/>
        <v>24.660916847299948</v>
      </c>
      <c r="I264" s="10">
        <v>2076.5305687700002</v>
      </c>
      <c r="J264" s="10">
        <f t="shared" si="86"/>
        <v>8.6597431062318257</v>
      </c>
      <c r="K264" s="10">
        <v>796.16364696000005</v>
      </c>
      <c r="L264" s="10">
        <f t="shared" si="87"/>
        <v>3.3202365314940385</v>
      </c>
      <c r="M264" s="421"/>
    </row>
    <row r="265" spans="1:13">
      <c r="A265" s="676">
        <v>2024</v>
      </c>
      <c r="B265" s="283">
        <v>29288.227327680001</v>
      </c>
      <c r="C265" s="283">
        <v>7150.69392229</v>
      </c>
      <c r="D265" s="283">
        <v>24.41490856475275</v>
      </c>
      <c r="E265" s="283">
        <v>20326.98035328</v>
      </c>
      <c r="F265" s="283">
        <v>69.403245631288797</v>
      </c>
      <c r="G265" s="283">
        <v>6973.8897340100002</v>
      </c>
      <c r="H265" s="283">
        <v>23.811238747860472</v>
      </c>
      <c r="I265" s="283">
        <v>2407.40743496</v>
      </c>
      <c r="J265" s="283">
        <v>8.2197102884570423</v>
      </c>
      <c r="K265" s="283">
        <v>1810.55305211</v>
      </c>
      <c r="L265" s="283">
        <v>6.1818458039584554</v>
      </c>
      <c r="M265" s="421"/>
    </row>
    <row r="266" spans="1:13">
      <c r="A266" s="676" t="s">
        <v>18</v>
      </c>
      <c r="B266" s="10">
        <v>24362.526631280001</v>
      </c>
      <c r="C266" s="10">
        <v>5780.0351815900003</v>
      </c>
      <c r="D266" s="10">
        <f t="shared" ref="D266" si="88">+C266/B266*100</f>
        <v>23.72510564716546</v>
      </c>
      <c r="E266" s="10">
        <v>17786.32780273</v>
      </c>
      <c r="F266" s="10">
        <f t="shared" ref="F266" si="89">+E266/B266*100</f>
        <v>73.006909635938328</v>
      </c>
      <c r="G266" s="10">
        <v>5912.9185379399996</v>
      </c>
      <c r="H266" s="10">
        <f t="shared" ref="H266" si="90">+G266/B266*100</f>
        <v>24.270547252468354</v>
      </c>
      <c r="I266" s="10">
        <v>2088.72399498</v>
      </c>
      <c r="J266" s="10">
        <f t="shared" ref="J266" si="91">I266/B266*100</f>
        <v>8.5735113873542392</v>
      </c>
      <c r="K266" s="10">
        <v>796.16364696000005</v>
      </c>
      <c r="L266" s="10">
        <f t="shared" ref="L266" si="92">+K266/B266*100</f>
        <v>3.2679847168962119</v>
      </c>
      <c r="M266" s="421"/>
    </row>
    <row r="267" spans="1:13">
      <c r="A267" s="676" t="s">
        <v>19</v>
      </c>
      <c r="B267" s="10">
        <v>24629.126192600001</v>
      </c>
      <c r="C267" s="10">
        <v>5873.3721692099998</v>
      </c>
      <c r="D267" s="10">
        <f t="shared" ref="D267" si="93">+C267/B267*100</f>
        <v>23.84726166604602</v>
      </c>
      <c r="E267" s="10">
        <v>17959.590376429998</v>
      </c>
      <c r="F267" s="10">
        <f t="shared" ref="F267" si="94">+E267/B267*100</f>
        <v>72.920128127915831</v>
      </c>
      <c r="G267" s="10">
        <v>5952.5158388600003</v>
      </c>
      <c r="H267" s="10">
        <f t="shared" ref="H267" si="95">+G267/B267*100</f>
        <v>24.168603434451022</v>
      </c>
      <c r="I267" s="10">
        <v>2118.5088017600001</v>
      </c>
      <c r="J267" s="10">
        <f t="shared" ref="J267" si="96">I267/B267*100</f>
        <v>8.6016401280063342</v>
      </c>
      <c r="K267" s="10">
        <v>796.16364696000005</v>
      </c>
      <c r="L267" s="10">
        <f t="shared" ref="L267" si="97">+K267/B267*100</f>
        <v>3.2326102060381388</v>
      </c>
      <c r="M267" s="421"/>
    </row>
    <row r="268" spans="1:13">
      <c r="A268" s="676" t="s">
        <v>20</v>
      </c>
      <c r="B268" s="10">
        <v>25442.69492468</v>
      </c>
      <c r="C268" s="10">
        <v>6015.9050565300004</v>
      </c>
      <c r="D268" s="10">
        <f t="shared" ref="D268:D269" si="98">+C268/B268*100</f>
        <v>23.644920769357785</v>
      </c>
      <c r="E268" s="10">
        <v>18086.707576519999</v>
      </c>
      <c r="F268" s="10">
        <f t="shared" ref="F268:F269" si="99">+E268/B268*100</f>
        <v>71.088018113110635</v>
      </c>
      <c r="G268" s="10">
        <v>5995.6244025799997</v>
      </c>
      <c r="H268" s="10">
        <f t="shared" ref="H268:H269" si="100">+G268/B268*100</f>
        <v>23.565209661670337</v>
      </c>
      <c r="I268" s="10">
        <v>2142.045541</v>
      </c>
      <c r="J268" s="10">
        <f t="shared" ref="J268:J269" si="101">I268/B268*100</f>
        <v>8.4190984773478785</v>
      </c>
      <c r="K268" s="10">
        <v>1340.0822916300001</v>
      </c>
      <c r="L268" s="10">
        <f t="shared" ref="L268:L269" si="102">+K268/B268*100</f>
        <v>5.2670611175315765</v>
      </c>
      <c r="M268" s="421"/>
    </row>
    <row r="269" spans="1:13">
      <c r="A269" s="676" t="s">
        <v>21</v>
      </c>
      <c r="B269" s="10">
        <v>25984.53292089</v>
      </c>
      <c r="C269" s="10">
        <v>6200.0871597900004</v>
      </c>
      <c r="D269" s="10">
        <f t="shared" si="98"/>
        <v>23.86068350224415</v>
      </c>
      <c r="E269" s="10">
        <v>18444.363469470001</v>
      </c>
      <c r="F269" s="10">
        <f t="shared" si="99"/>
        <v>70.982085864787052</v>
      </c>
      <c r="G269" s="10">
        <v>6116.7632710400003</v>
      </c>
      <c r="H269" s="10">
        <f t="shared" si="100"/>
        <v>23.540016246058791</v>
      </c>
      <c r="I269" s="10">
        <v>2172.1677206899999</v>
      </c>
      <c r="J269" s="10">
        <f t="shared" si="101"/>
        <v>8.3594641754892116</v>
      </c>
      <c r="K269" s="10">
        <v>1340.0822916300001</v>
      </c>
      <c r="L269" s="10">
        <f t="shared" si="102"/>
        <v>5.157230632968794</v>
      </c>
      <c r="M269" s="421"/>
    </row>
    <row r="270" spans="1:13">
      <c r="A270" s="676" t="s">
        <v>22</v>
      </c>
      <c r="B270" s="10">
        <v>26498.262998329999</v>
      </c>
      <c r="C270" s="10">
        <v>6449.2231738800001</v>
      </c>
      <c r="D270" s="10">
        <f t="shared" ref="D270:D279" si="103">+C270/B270*100</f>
        <v>24.338286529522517</v>
      </c>
      <c r="E270" s="10">
        <v>18708.957532820001</v>
      </c>
      <c r="F270" s="10">
        <f t="shared" ref="F270:F279" si="104">+E270/B270*100</f>
        <v>70.604467673972053</v>
      </c>
      <c r="G270" s="10">
        <v>6226.3398029500004</v>
      </c>
      <c r="H270" s="10">
        <f t="shared" ref="H270:H279" si="105">+G270/B270*100</f>
        <v>23.497162071877703</v>
      </c>
      <c r="I270" s="10">
        <v>2207.4186390099999</v>
      </c>
      <c r="J270" s="10">
        <f t="shared" ref="J270:J279" si="106">I270/B270*100</f>
        <v>8.3304276931250847</v>
      </c>
      <c r="K270" s="10">
        <v>1340.0822916300001</v>
      </c>
      <c r="L270" s="10">
        <f t="shared" ref="L270:L279" si="107">+K270/B270*100</f>
        <v>5.0572457965054394</v>
      </c>
      <c r="M270" s="421"/>
    </row>
    <row r="271" spans="1:13">
      <c r="A271" s="676" t="s">
        <v>23</v>
      </c>
      <c r="B271" s="10">
        <v>27003.267941400001</v>
      </c>
      <c r="C271" s="10">
        <v>6559.5036269299999</v>
      </c>
      <c r="D271" s="10">
        <f t="shared" si="103"/>
        <v>24.291517756905677</v>
      </c>
      <c r="E271" s="10">
        <v>18870.014055669999</v>
      </c>
      <c r="F271" s="10">
        <f t="shared" si="104"/>
        <v>69.880482971986808</v>
      </c>
      <c r="G271" s="10">
        <v>6316.0463767199999</v>
      </c>
      <c r="H271" s="10">
        <f t="shared" si="105"/>
        <v>23.389933360756558</v>
      </c>
      <c r="I271" s="10">
        <v>2246.1058034500002</v>
      </c>
      <c r="J271" s="10">
        <f t="shared" si="106"/>
        <v>8.3179036267917343</v>
      </c>
      <c r="K271" s="10">
        <v>1573.7502588</v>
      </c>
      <c r="L271" s="10">
        <f t="shared" si="107"/>
        <v>5.8279992711075099</v>
      </c>
      <c r="M271" s="421"/>
    </row>
    <row r="272" spans="1:13">
      <c r="A272" s="676" t="s">
        <v>24</v>
      </c>
      <c r="B272" s="10">
        <v>27268.459685689999</v>
      </c>
      <c r="C272" s="10">
        <v>6636.4421677099999</v>
      </c>
      <c r="D272" s="10">
        <f t="shared" si="103"/>
        <v>24.337429558563173</v>
      </c>
      <c r="E272" s="10">
        <v>19058.26725918</v>
      </c>
      <c r="F272" s="10">
        <f t="shared" si="104"/>
        <v>69.891249740011673</v>
      </c>
      <c r="G272" s="10">
        <v>6416.5224112899996</v>
      </c>
      <c r="H272" s="10">
        <f t="shared" si="105"/>
        <v>23.53093091890803</v>
      </c>
      <c r="I272" s="10">
        <v>2286.59891565</v>
      </c>
      <c r="J272" s="10">
        <f t="shared" si="106"/>
        <v>8.3855081732026342</v>
      </c>
      <c r="K272" s="10">
        <v>1573.7502588</v>
      </c>
      <c r="L272" s="10">
        <f t="shared" si="107"/>
        <v>5.7713207014251564</v>
      </c>
      <c r="M272" s="421"/>
    </row>
    <row r="273" spans="1:13">
      <c r="A273" s="676" t="s">
        <v>25</v>
      </c>
      <c r="B273" s="10">
        <v>27649.3614151</v>
      </c>
      <c r="C273" s="10">
        <v>6712.1019632400003</v>
      </c>
      <c r="D273" s="10">
        <f t="shared" si="103"/>
        <v>24.275793796721668</v>
      </c>
      <c r="E273" s="10">
        <v>19363.509193059999</v>
      </c>
      <c r="F273" s="10">
        <f t="shared" si="104"/>
        <v>70.032392077182323</v>
      </c>
      <c r="G273" s="10">
        <v>6538.6598741999996</v>
      </c>
      <c r="H273" s="10">
        <f t="shared" si="105"/>
        <v>23.648502314520275</v>
      </c>
      <c r="I273" s="10">
        <v>2317.3184516000001</v>
      </c>
      <c r="J273" s="10">
        <f t="shared" si="106"/>
        <v>8.3810921229249633</v>
      </c>
      <c r="K273" s="10">
        <v>1573.7502588</v>
      </c>
      <c r="L273" s="10">
        <f t="shared" si="107"/>
        <v>5.6918141260960047</v>
      </c>
      <c r="M273" s="421"/>
    </row>
    <row r="274" spans="1:13">
      <c r="A274" s="676" t="s">
        <v>26</v>
      </c>
      <c r="B274" s="10">
        <v>28404.620061260001</v>
      </c>
      <c r="C274" s="10">
        <v>6867.1601002400002</v>
      </c>
      <c r="D274" s="10">
        <f t="shared" si="103"/>
        <v>24.176208255662829</v>
      </c>
      <c r="E274" s="10">
        <v>19838.811636900002</v>
      </c>
      <c r="F274" s="10">
        <f t="shared" si="104"/>
        <v>69.843608519014893</v>
      </c>
      <c r="G274" s="10">
        <v>6647.3962377999997</v>
      </c>
      <c r="H274" s="10">
        <f t="shared" si="105"/>
        <v>23.402517701217679</v>
      </c>
      <c r="I274" s="10">
        <v>2348.3995059399999</v>
      </c>
      <c r="J274" s="10">
        <f t="shared" si="106"/>
        <v>8.2676673755016861</v>
      </c>
      <c r="K274" s="10">
        <v>1698.6483241200001</v>
      </c>
      <c r="L274" s="10">
        <f t="shared" si="107"/>
        <v>5.9801832253222891</v>
      </c>
      <c r="M274" s="421"/>
    </row>
    <row r="275" spans="1:13">
      <c r="A275" s="676">
        <v>10</v>
      </c>
      <c r="B275" s="10">
        <v>28779.170425889999</v>
      </c>
      <c r="C275" s="10">
        <v>7010.4756051799995</v>
      </c>
      <c r="D275" s="10">
        <f t="shared" si="103"/>
        <v>24.359547205270772</v>
      </c>
      <c r="E275" s="10">
        <v>20070.046496589999</v>
      </c>
      <c r="F275" s="10">
        <f t="shared" si="104"/>
        <v>69.738099464238928</v>
      </c>
      <c r="G275" s="10">
        <v>6776.7386330700001</v>
      </c>
      <c r="H275" s="10">
        <f t="shared" si="105"/>
        <v>23.547373092358441</v>
      </c>
      <c r="I275" s="10">
        <v>2373.2280009199999</v>
      </c>
      <c r="J275" s="10">
        <f t="shared" si="106"/>
        <v>8.2463391605792182</v>
      </c>
      <c r="K275" s="10">
        <v>1698.6483241200001</v>
      </c>
      <c r="L275" s="10">
        <f t="shared" si="107"/>
        <v>5.9023533304903077</v>
      </c>
      <c r="M275" s="421"/>
    </row>
    <row r="276" spans="1:13">
      <c r="A276" s="676">
        <v>11</v>
      </c>
      <c r="B276" s="10">
        <v>29066.795478110002</v>
      </c>
      <c r="C276" s="10">
        <v>7071.9924089200003</v>
      </c>
      <c r="D276" s="10">
        <f t="shared" si="103"/>
        <v>24.330141292134758</v>
      </c>
      <c r="E276" s="10">
        <v>20296.154745070002</v>
      </c>
      <c r="F276" s="10">
        <f t="shared" si="104"/>
        <v>69.825911013668133</v>
      </c>
      <c r="G276" s="10">
        <v>6879.3269566099998</v>
      </c>
      <c r="H276" s="10">
        <f t="shared" si="105"/>
        <v>23.667304370689131</v>
      </c>
      <c r="I276" s="10">
        <v>2384.7109165799998</v>
      </c>
      <c r="J276" s="10">
        <f t="shared" si="106"/>
        <v>8.2042443184901774</v>
      </c>
      <c r="K276" s="10">
        <v>1698.6483241200001</v>
      </c>
      <c r="L276" s="10">
        <f t="shared" si="107"/>
        <v>5.8439476941971131</v>
      </c>
      <c r="M276" s="421"/>
    </row>
    <row r="277" spans="1:13">
      <c r="A277" s="676">
        <v>12</v>
      </c>
      <c r="B277" s="10">
        <v>29288.227327680001</v>
      </c>
      <c r="C277" s="10">
        <v>7150.69392229</v>
      </c>
      <c r="D277" s="10">
        <f t="shared" si="103"/>
        <v>24.41490856475275</v>
      </c>
      <c r="E277" s="10">
        <v>20326.98035328</v>
      </c>
      <c r="F277" s="10">
        <f t="shared" si="104"/>
        <v>69.403245631288797</v>
      </c>
      <c r="G277" s="10">
        <v>6973.8897340100002</v>
      </c>
      <c r="H277" s="10">
        <f t="shared" si="105"/>
        <v>23.811238747860472</v>
      </c>
      <c r="I277" s="10">
        <v>2407.40743496</v>
      </c>
      <c r="J277" s="10">
        <f t="shared" si="106"/>
        <v>8.2197102884570423</v>
      </c>
      <c r="K277" s="10">
        <v>1810.55305211</v>
      </c>
      <c r="L277" s="10">
        <f t="shared" si="107"/>
        <v>6.1818458039584554</v>
      </c>
      <c r="M277" s="421"/>
    </row>
    <row r="278" spans="1:13">
      <c r="A278" s="676">
        <v>2025</v>
      </c>
      <c r="B278" s="10"/>
      <c r="C278" s="10"/>
      <c r="D278" s="10"/>
      <c r="E278" s="10"/>
      <c r="F278" s="10"/>
      <c r="G278" s="10"/>
      <c r="H278" s="10"/>
      <c r="I278" s="10"/>
      <c r="J278" s="10"/>
      <c r="K278" s="10"/>
      <c r="L278" s="10"/>
      <c r="M278" s="421"/>
    </row>
    <row r="279" spans="1:13">
      <c r="A279" s="676" t="s">
        <v>18</v>
      </c>
      <c r="B279" s="10">
        <v>29325.25269265</v>
      </c>
      <c r="C279" s="10">
        <v>7210.5509026600002</v>
      </c>
      <c r="D279" s="10">
        <f t="shared" si="103"/>
        <v>24.588196999466035</v>
      </c>
      <c r="E279" s="10">
        <v>20304.148737880001</v>
      </c>
      <c r="F279" s="10">
        <f t="shared" si="104"/>
        <v>69.237762247719616</v>
      </c>
      <c r="G279" s="10">
        <v>6966.1780079299997</v>
      </c>
      <c r="H279" s="10">
        <f t="shared" si="105"/>
        <v>23.754878025913769</v>
      </c>
      <c r="I279" s="10">
        <v>2409.5413844300001</v>
      </c>
      <c r="J279" s="10">
        <f t="shared" si="106"/>
        <v>8.2166091105292374</v>
      </c>
      <c r="K279" s="10">
        <v>1810.55305211</v>
      </c>
      <c r="L279" s="10">
        <f t="shared" si="107"/>
        <v>6.1740407528143555</v>
      </c>
      <c r="M279" s="421"/>
    </row>
    <row r="280" spans="1:13">
      <c r="A280" s="676" t="s">
        <v>19</v>
      </c>
      <c r="B280" s="10">
        <v>29402.91989112</v>
      </c>
      <c r="C280" s="10">
        <v>7210.1388391500004</v>
      </c>
      <c r="D280" s="10">
        <f t="shared" ref="D280" si="108">+C280/B280*100</f>
        <v>24.521846353523348</v>
      </c>
      <c r="E280" s="10">
        <v>20382.227999859999</v>
      </c>
      <c r="F280" s="10">
        <f t="shared" ref="F280" si="109">+E280/B280*100</f>
        <v>69.32042149329412</v>
      </c>
      <c r="G280" s="10">
        <v>7069.5771315900001</v>
      </c>
      <c r="H280" s="10">
        <f t="shared" ref="H280" si="110">+G280/B280*100</f>
        <v>24.043792785780738</v>
      </c>
      <c r="I280" s="10">
        <v>2435.8095728799999</v>
      </c>
      <c r="J280" s="10">
        <f t="shared" ref="J280" si="111">I280/B280*100</f>
        <v>8.284243816260032</v>
      </c>
      <c r="K280" s="10">
        <v>1810.55305211</v>
      </c>
      <c r="L280" s="10">
        <f t="shared" ref="L280" si="112">+K280/B280*100</f>
        <v>6.1577321531825362</v>
      </c>
      <c r="M280" s="421"/>
    </row>
    <row r="281" spans="1:13">
      <c r="A281" s="676" t="s">
        <v>20</v>
      </c>
      <c r="B281" s="10">
        <v>29679.37509813</v>
      </c>
      <c r="C281" s="10">
        <v>7275.3489831200004</v>
      </c>
      <c r="D281" s="10">
        <f t="shared" ref="D281:D283" si="113">+C281/B281*100</f>
        <v>24.513147460366831</v>
      </c>
      <c r="E281" s="10">
        <v>20601.769803660001</v>
      </c>
      <c r="F281" s="10">
        <f t="shared" ref="F281:F283" si="114">+E281/B281*100</f>
        <v>69.414432532840124</v>
      </c>
      <c r="G281" s="10">
        <v>7152.3542262999999</v>
      </c>
      <c r="H281" s="10">
        <f t="shared" ref="H281:H283" si="115">+G281/B281*100</f>
        <v>24.09873591560439</v>
      </c>
      <c r="I281" s="10">
        <v>2469.8359572899999</v>
      </c>
      <c r="J281" s="10">
        <f t="shared" ref="J281:J283" si="116">I281/B281*100</f>
        <v>8.3217249322935238</v>
      </c>
      <c r="K281" s="10">
        <v>1802.28639335</v>
      </c>
      <c r="L281" s="10">
        <f t="shared" ref="L281:L283" si="117">+K281/B281*100</f>
        <v>6.0725213633745145</v>
      </c>
      <c r="M281" s="421"/>
    </row>
    <row r="282" spans="1:13">
      <c r="A282" s="676" t="s">
        <v>21</v>
      </c>
      <c r="B282" s="10">
        <v>29898.773418969999</v>
      </c>
      <c r="C282" s="10">
        <v>7321.1910156900003</v>
      </c>
      <c r="D282" s="10">
        <f t="shared" si="113"/>
        <v>24.486593189287468</v>
      </c>
      <c r="E282" s="10">
        <v>20775.326091930001</v>
      </c>
      <c r="F282" s="10">
        <f t="shared" si="114"/>
        <v>69.485546449703492</v>
      </c>
      <c r="G282" s="10">
        <v>7252.6018670200001</v>
      </c>
      <c r="H282" s="10">
        <f t="shared" si="115"/>
        <v>24.257188632421997</v>
      </c>
      <c r="I282" s="10">
        <v>2524.7318043700002</v>
      </c>
      <c r="J282" s="10">
        <f t="shared" si="116"/>
        <v>8.4442654853798214</v>
      </c>
      <c r="K282" s="10">
        <v>1802.28639335</v>
      </c>
      <c r="L282" s="10">
        <f t="shared" si="117"/>
        <v>6.0279609738321103</v>
      </c>
      <c r="M282" s="421"/>
    </row>
    <row r="283" spans="1:13" ht="15" customHeight="1">
      <c r="A283" s="2181" t="s">
        <v>22</v>
      </c>
      <c r="B283" s="677">
        <v>30188.759704479999</v>
      </c>
      <c r="C283" s="677">
        <v>7406.1428833999998</v>
      </c>
      <c r="D283" s="677">
        <f t="shared" si="113"/>
        <v>24.532782916222065</v>
      </c>
      <c r="E283" s="677">
        <v>20980.360509729999</v>
      </c>
      <c r="F283" s="677">
        <f t="shared" si="114"/>
        <v>69.497258963628511</v>
      </c>
      <c r="G283" s="677">
        <v>7339.3264024600003</v>
      </c>
      <c r="H283" s="677">
        <f t="shared" si="115"/>
        <v>24.311453912996789</v>
      </c>
      <c r="I283" s="677">
        <v>2559.4632271</v>
      </c>
      <c r="J283" s="677">
        <f t="shared" si="116"/>
        <v>8.4781993435794476</v>
      </c>
      <c r="K283" s="677">
        <v>1802.28639335</v>
      </c>
      <c r="L283" s="677">
        <f t="shared" si="117"/>
        <v>5.9700577665088428</v>
      </c>
      <c r="M283" s="421"/>
    </row>
    <row r="284" spans="1:13" s="789" customFormat="1" ht="14.25" customHeight="1">
      <c r="A284" s="2371" t="s">
        <v>2711</v>
      </c>
      <c r="B284" s="2371"/>
      <c r="C284" s="2371"/>
      <c r="D284" s="2371"/>
      <c r="E284" s="2371"/>
      <c r="F284" s="2371"/>
      <c r="G284" s="2371"/>
      <c r="H284" s="2371"/>
      <c r="I284" s="2371"/>
      <c r="J284" s="2371"/>
      <c r="K284" s="2371"/>
      <c r="L284" s="2371"/>
    </row>
    <row r="285" spans="1:13" s="789" customFormat="1" ht="14.25" customHeight="1">
      <c r="A285" s="2370" t="s">
        <v>2702</v>
      </c>
      <c r="B285" s="2370"/>
      <c r="C285" s="2370"/>
      <c r="D285" s="2370"/>
      <c r="E285" s="2370"/>
      <c r="F285" s="2370"/>
      <c r="G285" s="2370"/>
      <c r="H285" s="2370"/>
      <c r="I285" s="2370"/>
      <c r="J285" s="2370"/>
      <c r="K285" s="2370"/>
      <c r="L285" s="2370"/>
    </row>
    <row r="286" spans="1:13">
      <c r="B286" s="1858"/>
      <c r="C286" s="227"/>
      <c r="K286" s="1858"/>
    </row>
    <row r="287" spans="1:13">
      <c r="E287" s="227"/>
    </row>
    <row r="288" spans="1:13">
      <c r="C288" s="227"/>
      <c r="E288" s="227"/>
    </row>
    <row r="289" spans="5:5">
      <c r="E289" s="141" t="s">
        <v>115</v>
      </c>
    </row>
  </sheetData>
  <mergeCells count="20">
    <mergeCell ref="A2:L2"/>
    <mergeCell ref="A3:L3"/>
    <mergeCell ref="A6:A8"/>
    <mergeCell ref="C6:D7"/>
    <mergeCell ref="E6:J6"/>
    <mergeCell ref="K6:L7"/>
    <mergeCell ref="G10:H10"/>
    <mergeCell ref="A285:L285"/>
    <mergeCell ref="E7:F7"/>
    <mergeCell ref="B9:B11"/>
    <mergeCell ref="G7:H7"/>
    <mergeCell ref="K9:L10"/>
    <mergeCell ref="C9:D10"/>
    <mergeCell ref="E9:J9"/>
    <mergeCell ref="A284:L284"/>
    <mergeCell ref="A9:A11"/>
    <mergeCell ref="B6:B8"/>
    <mergeCell ref="I10:J10"/>
    <mergeCell ref="I7:J7"/>
    <mergeCell ref="E10:F10"/>
  </mergeCells>
  <phoneticPr fontId="352" type="noConversion"/>
  <pageMargins left="0.35" right="0.4" top="0.24" bottom="0.75" header="0.3" footer="0.3"/>
  <pageSetup scale="18" orientation="landscape" r:id="rId1"/>
  <ignoredErrors>
    <ignoredError sqref="A227:A236"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tabColor rgb="FF92D050"/>
  </sheetPr>
  <dimension ref="A2:CD329"/>
  <sheetViews>
    <sheetView showGridLines="0" view="pageBreakPreview" zoomScale="115" zoomScaleSheetLayoutView="115" workbookViewId="0">
      <pane ySplit="13" topLeftCell="A271" activePane="bottomLeft" state="frozen"/>
      <selection activeCell="B39" sqref="B39"/>
      <selection pane="bottomLeft" activeCell="H292" sqref="H292"/>
    </sheetView>
  </sheetViews>
  <sheetFormatPr defaultColWidth="8.85546875" defaultRowHeight="12" customHeight="1"/>
  <cols>
    <col min="1" max="1" width="8" style="12" customWidth="1"/>
    <col min="2" max="2" width="12.7109375" style="12" customWidth="1"/>
    <col min="3" max="3" width="13.140625" style="12" customWidth="1"/>
    <col min="4" max="4" width="13" style="12" bestFit="1" customWidth="1"/>
    <col min="5" max="5" width="13.140625" style="12" customWidth="1"/>
    <col min="6" max="6" width="15.7109375" style="12" customWidth="1"/>
    <col min="7" max="7" width="13.140625" style="12" customWidth="1"/>
    <col min="8" max="8" width="15.28515625" style="12" customWidth="1"/>
    <col min="9" max="9" width="13.140625" style="12" customWidth="1"/>
    <col min="10" max="10" width="9.42578125" style="12" customWidth="1"/>
    <col min="11" max="11" width="13.140625" style="12" customWidth="1"/>
    <col min="12" max="12" width="12.85546875" style="12" customWidth="1"/>
    <col min="13" max="13" width="13.140625" style="12" customWidth="1"/>
    <col min="14" max="14" width="13" style="12" customWidth="1"/>
    <col min="15" max="15" width="13.140625" style="12" customWidth="1"/>
    <col min="16" max="79" width="8.85546875" style="12" customWidth="1"/>
    <col min="80" max="80" width="8.85546875" style="12" hidden="1" customWidth="1"/>
    <col min="81" max="252" width="8.85546875" style="12" customWidth="1"/>
    <col min="253" max="253" width="7.7109375" style="12" customWidth="1"/>
    <col min="254" max="254" width="12.7109375" style="12" customWidth="1"/>
    <col min="255" max="255" width="11" style="12" customWidth="1"/>
    <col min="256" max="16384" width="8.85546875" style="12"/>
  </cols>
  <sheetData>
    <row r="2" spans="1:82" ht="19.5" customHeight="1">
      <c r="A2" s="2377" t="s">
        <v>2733</v>
      </c>
      <c r="B2" s="2377"/>
      <c r="C2" s="2377"/>
      <c r="D2" s="2377"/>
      <c r="E2" s="2377"/>
      <c r="F2" s="2377"/>
      <c r="G2" s="2377"/>
      <c r="H2" s="2377"/>
      <c r="I2" s="2377"/>
      <c r="J2" s="2377"/>
      <c r="K2" s="2377"/>
      <c r="L2" s="2377"/>
      <c r="M2" s="2377"/>
      <c r="N2" s="2377"/>
      <c r="O2" s="2377"/>
    </row>
    <row r="3" spans="1:82" ht="22.5" customHeight="1">
      <c r="A3" s="2378" t="s">
        <v>2734</v>
      </c>
      <c r="B3" s="2378"/>
      <c r="C3" s="2378"/>
      <c r="D3" s="2378"/>
      <c r="E3" s="2378"/>
      <c r="F3" s="2378"/>
      <c r="G3" s="2378"/>
      <c r="H3" s="2378"/>
      <c r="I3" s="2378"/>
      <c r="J3" s="2378"/>
      <c r="K3" s="2378"/>
      <c r="L3" s="2378"/>
      <c r="M3" s="2378"/>
      <c r="N3" s="2378"/>
      <c r="O3" s="2378"/>
    </row>
    <row r="4" spans="1:82" ht="10.5" customHeight="1">
      <c r="A4" s="534"/>
      <c r="B4" s="534"/>
      <c r="C4" s="534"/>
      <c r="D4" s="534"/>
      <c r="E4" s="534"/>
      <c r="F4" s="534"/>
      <c r="G4" s="534"/>
      <c r="H4" s="534"/>
      <c r="I4" s="534"/>
      <c r="J4" s="534"/>
      <c r="K4" s="534"/>
      <c r="L4" s="534"/>
      <c r="M4" s="534"/>
      <c r="N4" s="534"/>
      <c r="O4" s="534"/>
    </row>
    <row r="5" spans="1:82" ht="10.5" customHeight="1">
      <c r="A5" s="2381" t="s">
        <v>8</v>
      </c>
      <c r="B5" s="2381"/>
      <c r="C5" s="2381"/>
      <c r="D5" s="2381"/>
      <c r="E5" s="2381"/>
      <c r="F5" s="2381"/>
      <c r="G5" s="2381"/>
      <c r="H5" s="2381"/>
      <c r="I5" s="2381"/>
      <c r="J5" s="2381"/>
      <c r="K5" s="2381"/>
      <c r="L5" s="2381"/>
      <c r="M5" s="2381"/>
      <c r="N5" s="2381"/>
      <c r="O5" s="2381"/>
    </row>
    <row r="6" spans="1:82" s="98" customFormat="1" ht="12.75">
      <c r="A6" s="2379" t="s">
        <v>182</v>
      </c>
      <c r="B6" s="2379" t="s">
        <v>145</v>
      </c>
      <c r="C6" s="2379" t="s">
        <v>144</v>
      </c>
      <c r="D6" s="2380" t="s">
        <v>2770</v>
      </c>
      <c r="E6" s="2380"/>
      <c r="F6" s="2380"/>
      <c r="G6" s="2380"/>
      <c r="H6" s="2380"/>
      <c r="I6" s="2380"/>
      <c r="J6" s="2380" t="s">
        <v>2769</v>
      </c>
      <c r="K6" s="2380"/>
      <c r="L6" s="2380"/>
      <c r="M6" s="2380"/>
      <c r="N6" s="2380"/>
      <c r="O6" s="2380"/>
      <c r="CC6" s="98" t="s">
        <v>2062</v>
      </c>
      <c r="CD6" s="307" t="s">
        <v>2063</v>
      </c>
    </row>
    <row r="7" spans="1:82" s="98" customFormat="1" ht="12.75">
      <c r="A7" s="2379"/>
      <c r="B7" s="2379"/>
      <c r="C7" s="2379"/>
      <c r="D7" s="2379" t="s">
        <v>143</v>
      </c>
      <c r="E7" s="561" t="s">
        <v>144</v>
      </c>
      <c r="F7" s="2379" t="s">
        <v>146</v>
      </c>
      <c r="G7" s="561" t="s">
        <v>144</v>
      </c>
      <c r="H7" s="2379" t="s">
        <v>147</v>
      </c>
      <c r="I7" s="561" t="s">
        <v>144</v>
      </c>
      <c r="J7" s="2379" t="s">
        <v>143</v>
      </c>
      <c r="K7" s="561" t="s">
        <v>144</v>
      </c>
      <c r="L7" s="2379" t="s">
        <v>146</v>
      </c>
      <c r="M7" s="561" t="s">
        <v>144</v>
      </c>
      <c r="N7" s="2379" t="s">
        <v>147</v>
      </c>
      <c r="O7" s="561" t="s">
        <v>144</v>
      </c>
      <c r="BY7" s="98">
        <f>BY9+BY21+BY31+BY39</f>
        <v>0</v>
      </c>
      <c r="CC7" s="98">
        <f>CC9+CC21+CC31+CC39</f>
        <v>622</v>
      </c>
      <c r="CD7" s="307">
        <f>BY7+BZ7+CA7+CC7</f>
        <v>622</v>
      </c>
    </row>
    <row r="8" spans="1:82" s="98" customFormat="1" ht="12.75">
      <c r="A8" s="2379"/>
      <c r="B8" s="2379"/>
      <c r="C8" s="2379" t="s">
        <v>148</v>
      </c>
      <c r="D8" s="2379"/>
      <c r="E8" s="2379" t="s">
        <v>148</v>
      </c>
      <c r="F8" s="2379"/>
      <c r="G8" s="2379" t="s">
        <v>148</v>
      </c>
      <c r="H8" s="2379"/>
      <c r="I8" s="2379" t="s">
        <v>148</v>
      </c>
      <c r="J8" s="2379"/>
      <c r="K8" s="2379" t="s">
        <v>148</v>
      </c>
      <c r="L8" s="2379"/>
      <c r="M8" s="2379" t="s">
        <v>148</v>
      </c>
      <c r="N8" s="2379"/>
      <c r="O8" s="2379" t="s">
        <v>148</v>
      </c>
      <c r="CD8" s="307"/>
    </row>
    <row r="9" spans="1:82" s="98" customFormat="1" ht="12.75">
      <c r="A9" s="2379"/>
      <c r="B9" s="2379"/>
      <c r="C9" s="2379"/>
      <c r="D9" s="2379"/>
      <c r="E9" s="2379"/>
      <c r="F9" s="2379"/>
      <c r="G9" s="2379"/>
      <c r="H9" s="2379"/>
      <c r="I9" s="2379"/>
      <c r="J9" s="2379"/>
      <c r="K9" s="2379"/>
      <c r="L9" s="2379"/>
      <c r="M9" s="2379"/>
      <c r="N9" s="2379"/>
      <c r="O9" s="2379"/>
      <c r="CC9" s="98">
        <f>CC11+CC16</f>
        <v>1713</v>
      </c>
      <c r="CD9" s="307">
        <f>BY9+BZ9+CA9+CC9</f>
        <v>1713</v>
      </c>
    </row>
    <row r="10" spans="1:82" ht="12.75">
      <c r="A10" s="2384" t="s">
        <v>289</v>
      </c>
      <c r="B10" s="2384" t="s">
        <v>1156</v>
      </c>
      <c r="C10" s="2384" t="s">
        <v>149</v>
      </c>
      <c r="D10" s="2382" t="s">
        <v>1198</v>
      </c>
      <c r="E10" s="2383"/>
      <c r="F10" s="2383"/>
      <c r="G10" s="2383"/>
      <c r="H10" s="2383"/>
      <c r="I10" s="2383"/>
      <c r="J10" s="2382" t="s">
        <v>1199</v>
      </c>
      <c r="K10" s="2383"/>
      <c r="L10" s="2383"/>
      <c r="M10" s="2383"/>
      <c r="N10" s="2383"/>
      <c r="O10" s="2383"/>
      <c r="CD10" s="228"/>
    </row>
    <row r="11" spans="1:82" ht="12.75">
      <c r="A11" s="2384"/>
      <c r="B11" s="2384"/>
      <c r="C11" s="2384"/>
      <c r="D11" s="2384" t="s">
        <v>1156</v>
      </c>
      <c r="E11" s="562" t="s">
        <v>149</v>
      </c>
      <c r="F11" s="2384" t="s">
        <v>1158</v>
      </c>
      <c r="G11" s="562" t="s">
        <v>149</v>
      </c>
      <c r="H11" s="2384" t="s">
        <v>1157</v>
      </c>
      <c r="I11" s="562" t="s">
        <v>149</v>
      </c>
      <c r="J11" s="2384" t="s">
        <v>1159</v>
      </c>
      <c r="K11" s="562" t="s">
        <v>149</v>
      </c>
      <c r="L11" s="2384" t="s">
        <v>1158</v>
      </c>
      <c r="M11" s="562" t="s">
        <v>149</v>
      </c>
      <c r="N11" s="2384" t="s">
        <v>1157</v>
      </c>
      <c r="O11" s="562" t="s">
        <v>149</v>
      </c>
      <c r="CC11" s="12">
        <f>CC13+CC14</f>
        <v>4361</v>
      </c>
      <c r="CD11" s="228">
        <f>BY11+BZ11+CA11+CC11</f>
        <v>4361</v>
      </c>
    </row>
    <row r="12" spans="1:82" ht="12.75">
      <c r="A12" s="2384"/>
      <c r="B12" s="2384"/>
      <c r="C12" s="2382" t="s">
        <v>150</v>
      </c>
      <c r="D12" s="2384"/>
      <c r="E12" s="2382" t="s">
        <v>150</v>
      </c>
      <c r="F12" s="2384"/>
      <c r="G12" s="2382" t="s">
        <v>150</v>
      </c>
      <c r="H12" s="2384"/>
      <c r="I12" s="2382" t="s">
        <v>150</v>
      </c>
      <c r="J12" s="2384"/>
      <c r="K12" s="2382" t="s">
        <v>150</v>
      </c>
      <c r="L12" s="2384"/>
      <c r="M12" s="2382" t="s">
        <v>150</v>
      </c>
      <c r="N12" s="2384"/>
      <c r="O12" s="2382" t="s">
        <v>150</v>
      </c>
      <c r="CD12" s="228"/>
    </row>
    <row r="13" spans="1:82" ht="12.75">
      <c r="A13" s="2384"/>
      <c r="B13" s="2384"/>
      <c r="C13" s="2382"/>
      <c r="D13" s="2384"/>
      <c r="E13" s="2382"/>
      <c r="F13" s="2384"/>
      <c r="G13" s="2382"/>
      <c r="H13" s="2384"/>
      <c r="I13" s="2382"/>
      <c r="J13" s="2384"/>
      <c r="K13" s="2382"/>
      <c r="L13" s="2384"/>
      <c r="M13" s="2382"/>
      <c r="N13" s="2384"/>
      <c r="O13" s="2382"/>
      <c r="CC13" s="12">
        <v>3917</v>
      </c>
      <c r="CD13" s="228">
        <f>BY13+BZ13+CA13+CC13</f>
        <v>3917</v>
      </c>
    </row>
    <row r="14" spans="1:82" ht="12.75" hidden="1">
      <c r="A14" s="190">
        <v>2001</v>
      </c>
      <c r="B14" s="131">
        <f t="shared" ref="B14:C17" si="0">D14+J14</f>
        <v>486.17399999999998</v>
      </c>
      <c r="C14" s="131">
        <f t="shared" si="0"/>
        <v>134.447</v>
      </c>
      <c r="D14" s="131">
        <f t="shared" ref="D14:E17" si="1">F14+H14</f>
        <v>176.78200000000001</v>
      </c>
      <c r="E14" s="131">
        <f t="shared" si="1"/>
        <v>95.16</v>
      </c>
      <c r="F14" s="131">
        <v>167.185</v>
      </c>
      <c r="G14" s="131">
        <v>93.468999999999994</v>
      </c>
      <c r="H14" s="131">
        <v>9.5969999999999995</v>
      </c>
      <c r="I14" s="131">
        <v>1.6910000000000001</v>
      </c>
      <c r="J14" s="131">
        <f t="shared" ref="J14:K17" si="2">L14+N14</f>
        <v>309.392</v>
      </c>
      <c r="K14" s="131">
        <f t="shared" si="2"/>
        <v>39.286999999999999</v>
      </c>
      <c r="L14" s="131">
        <v>186.7</v>
      </c>
      <c r="M14" s="131">
        <v>23.916</v>
      </c>
      <c r="N14" s="131">
        <v>122.69199999999999</v>
      </c>
      <c r="O14" s="140">
        <v>15.371</v>
      </c>
      <c r="CC14" s="12">
        <v>444</v>
      </c>
      <c r="CD14" s="228">
        <f t="shared" ref="CD14:CD55" si="3">BY14+BZ14+CA14+CC14</f>
        <v>444</v>
      </c>
    </row>
    <row r="15" spans="1:82" ht="12.75" hidden="1">
      <c r="A15" s="159">
        <v>2002</v>
      </c>
      <c r="B15" s="96">
        <f t="shared" si="0"/>
        <v>520.21400000000006</v>
      </c>
      <c r="C15" s="96">
        <f t="shared" si="0"/>
        <v>111.624</v>
      </c>
      <c r="D15" s="96">
        <f>F15+H15</f>
        <v>173.37800000000001</v>
      </c>
      <c r="E15" s="96">
        <f t="shared" si="1"/>
        <v>66.643000000000001</v>
      </c>
      <c r="F15" s="96">
        <v>153.95500000000001</v>
      </c>
      <c r="G15" s="96">
        <v>64.498000000000005</v>
      </c>
      <c r="H15" s="96">
        <v>19.422999999999998</v>
      </c>
      <c r="I15" s="96">
        <v>2.145</v>
      </c>
      <c r="J15" s="96">
        <f t="shared" si="2"/>
        <v>346.83600000000001</v>
      </c>
      <c r="K15" s="96">
        <f t="shared" si="2"/>
        <v>44.980999999999995</v>
      </c>
      <c r="L15" s="96">
        <v>220.827</v>
      </c>
      <c r="M15" s="96">
        <v>32.131999999999998</v>
      </c>
      <c r="N15" s="96">
        <v>126.009</v>
      </c>
      <c r="O15" s="95">
        <v>12.849</v>
      </c>
      <c r="CD15" s="228"/>
    </row>
    <row r="16" spans="1:82" ht="12.75" hidden="1">
      <c r="A16" s="159">
        <v>2003</v>
      </c>
      <c r="B16" s="96">
        <f t="shared" si="0"/>
        <v>670.298</v>
      </c>
      <c r="C16" s="96">
        <f t="shared" si="0"/>
        <v>124.44500000000001</v>
      </c>
      <c r="D16" s="96">
        <f t="shared" si="1"/>
        <v>227.191</v>
      </c>
      <c r="E16" s="96">
        <f t="shared" si="1"/>
        <v>73.510000000000005</v>
      </c>
      <c r="F16" s="96">
        <v>187.637</v>
      </c>
      <c r="G16" s="96">
        <v>70.994</v>
      </c>
      <c r="H16" s="96">
        <v>39.554000000000002</v>
      </c>
      <c r="I16" s="96">
        <v>2.516</v>
      </c>
      <c r="J16" s="96">
        <f t="shared" si="2"/>
        <v>443.10699999999997</v>
      </c>
      <c r="K16" s="96">
        <f t="shared" si="2"/>
        <v>50.935000000000002</v>
      </c>
      <c r="L16" s="96">
        <v>299.43599999999998</v>
      </c>
      <c r="M16" s="96">
        <v>37</v>
      </c>
      <c r="N16" s="96">
        <v>143.67099999999999</v>
      </c>
      <c r="O16" s="95">
        <v>13.935</v>
      </c>
      <c r="CC16" s="12">
        <f>CC18+CC19</f>
        <v>-2648</v>
      </c>
      <c r="CD16" s="228">
        <f t="shared" si="3"/>
        <v>-2648</v>
      </c>
    </row>
    <row r="17" spans="1:82" ht="12.75" hidden="1">
      <c r="A17" s="159">
        <v>2004</v>
      </c>
      <c r="B17" s="96">
        <f t="shared" si="0"/>
        <v>989.56</v>
      </c>
      <c r="C17" s="96">
        <f t="shared" si="0"/>
        <v>109.036</v>
      </c>
      <c r="D17" s="96">
        <f t="shared" si="1"/>
        <v>357.45400000000001</v>
      </c>
      <c r="E17" s="96">
        <f t="shared" si="1"/>
        <v>63.63</v>
      </c>
      <c r="F17" s="96">
        <v>285.76600000000002</v>
      </c>
      <c r="G17" s="96">
        <v>61.625</v>
      </c>
      <c r="H17" s="96">
        <v>71.688000000000002</v>
      </c>
      <c r="I17" s="96">
        <v>2.0049999999999999</v>
      </c>
      <c r="J17" s="96">
        <f t="shared" si="2"/>
        <v>632.10599999999999</v>
      </c>
      <c r="K17" s="96">
        <f t="shared" si="2"/>
        <v>45.405999999999999</v>
      </c>
      <c r="L17" s="96">
        <v>415.11099999999999</v>
      </c>
      <c r="M17" s="96">
        <v>32.396000000000001</v>
      </c>
      <c r="N17" s="96">
        <v>216.995</v>
      </c>
      <c r="O17" s="95">
        <v>13.01</v>
      </c>
      <c r="CD17" s="228"/>
    </row>
    <row r="18" spans="1:82" ht="12.75">
      <c r="A18" s="2182">
        <v>2005</v>
      </c>
      <c r="B18" s="2184">
        <f>+B30</f>
        <v>1440.9570000000001</v>
      </c>
      <c r="C18" s="2184">
        <f t="shared" ref="C18:O18" si="4">+C30</f>
        <v>68.198000000000008</v>
      </c>
      <c r="D18" s="2186">
        <f t="shared" si="4"/>
        <v>542.91200000000003</v>
      </c>
      <c r="E18" s="2186">
        <f t="shared" si="4"/>
        <v>20.576999999999998</v>
      </c>
      <c r="F18" s="2186">
        <f t="shared" si="4"/>
        <v>353.13400000000001</v>
      </c>
      <c r="G18" s="2186">
        <f t="shared" si="4"/>
        <v>15.805</v>
      </c>
      <c r="H18" s="2186">
        <f t="shared" si="4"/>
        <v>189.77799999999999</v>
      </c>
      <c r="I18" s="2186">
        <f t="shared" si="4"/>
        <v>4.7720000000000002</v>
      </c>
      <c r="J18" s="2186">
        <f t="shared" si="4"/>
        <v>898.04500000000007</v>
      </c>
      <c r="K18" s="2186">
        <f t="shared" si="4"/>
        <v>47.621000000000002</v>
      </c>
      <c r="L18" s="2186">
        <f t="shared" si="4"/>
        <v>560.11500000000001</v>
      </c>
      <c r="M18" s="2186">
        <f t="shared" si="4"/>
        <v>32.804000000000002</v>
      </c>
      <c r="N18" s="2186">
        <f t="shared" si="4"/>
        <v>337.93</v>
      </c>
      <c r="O18" s="2186">
        <f t="shared" si="4"/>
        <v>14.817</v>
      </c>
      <c r="CC18" s="12">
        <v>-367</v>
      </c>
      <c r="CD18" s="228">
        <f t="shared" si="3"/>
        <v>-367</v>
      </c>
    </row>
    <row r="19" spans="1:82" ht="12.75" hidden="1">
      <c r="A19" s="2183" t="s">
        <v>18</v>
      </c>
      <c r="B19" s="500">
        <f t="shared" ref="B19:C30" si="5">D19+J19</f>
        <v>970.375</v>
      </c>
      <c r="C19" s="500">
        <f t="shared" si="5"/>
        <v>106.82000000000001</v>
      </c>
      <c r="D19" s="237">
        <f t="shared" ref="D19:E30" si="6">F19+H19</f>
        <v>347.31099999999998</v>
      </c>
      <c r="E19" s="237">
        <f t="shared" si="6"/>
        <v>62.763000000000005</v>
      </c>
      <c r="F19" s="237">
        <v>276.77</v>
      </c>
      <c r="G19" s="237">
        <v>60.761000000000003</v>
      </c>
      <c r="H19" s="237">
        <v>70.540999999999997</v>
      </c>
      <c r="I19" s="237">
        <v>2.0019999999999998</v>
      </c>
      <c r="J19" s="237">
        <f t="shared" ref="J19:K30" si="7">L19+N19</f>
        <v>623.06399999999996</v>
      </c>
      <c r="K19" s="237">
        <f t="shared" si="7"/>
        <v>44.057000000000002</v>
      </c>
      <c r="L19" s="237">
        <v>399.27199999999999</v>
      </c>
      <c r="M19" s="237">
        <v>31.024999999999999</v>
      </c>
      <c r="N19" s="237">
        <v>223.792</v>
      </c>
      <c r="O19" s="237">
        <v>13.032</v>
      </c>
      <c r="CC19" s="12">
        <v>-2281</v>
      </c>
      <c r="CD19" s="228">
        <f t="shared" si="3"/>
        <v>-2281</v>
      </c>
    </row>
    <row r="20" spans="1:82" ht="12.75" hidden="1">
      <c r="A20" s="2183" t="s">
        <v>19</v>
      </c>
      <c r="B20" s="500">
        <f t="shared" si="5"/>
        <v>1018.03</v>
      </c>
      <c r="C20" s="500">
        <f t="shared" si="5"/>
        <v>106.595</v>
      </c>
      <c r="D20" s="237">
        <f t="shared" si="6"/>
        <v>368.05899999999997</v>
      </c>
      <c r="E20" s="237">
        <f t="shared" si="6"/>
        <v>62.99</v>
      </c>
      <c r="F20" s="237">
        <v>297.88799999999998</v>
      </c>
      <c r="G20" s="237">
        <v>60.969000000000001</v>
      </c>
      <c r="H20" s="237">
        <v>70.171000000000006</v>
      </c>
      <c r="I20" s="237">
        <v>2.0209999999999999</v>
      </c>
      <c r="J20" s="237">
        <f t="shared" si="7"/>
        <v>649.971</v>
      </c>
      <c r="K20" s="237">
        <f t="shared" si="7"/>
        <v>43.605000000000004</v>
      </c>
      <c r="L20" s="237">
        <v>414.69099999999997</v>
      </c>
      <c r="M20" s="237">
        <v>30.632000000000001</v>
      </c>
      <c r="N20" s="237">
        <v>235.28</v>
      </c>
      <c r="O20" s="237">
        <v>12.973000000000001</v>
      </c>
      <c r="CD20" s="228"/>
    </row>
    <row r="21" spans="1:82" ht="12.75" hidden="1">
      <c r="A21" s="2183" t="s">
        <v>20</v>
      </c>
      <c r="B21" s="500">
        <f t="shared" si="5"/>
        <v>1073.4949999999999</v>
      </c>
      <c r="C21" s="500">
        <f t="shared" si="5"/>
        <v>104.194</v>
      </c>
      <c r="D21" s="237">
        <f t="shared" si="6"/>
        <v>412.54300000000001</v>
      </c>
      <c r="E21" s="237">
        <f t="shared" si="6"/>
        <v>62.828000000000003</v>
      </c>
      <c r="F21" s="237">
        <v>311.22500000000002</v>
      </c>
      <c r="G21" s="237">
        <v>60.639000000000003</v>
      </c>
      <c r="H21" s="237">
        <v>101.318</v>
      </c>
      <c r="I21" s="237">
        <v>2.1890000000000001</v>
      </c>
      <c r="J21" s="237">
        <f t="shared" si="7"/>
        <v>660.952</v>
      </c>
      <c r="K21" s="237">
        <f t="shared" si="7"/>
        <v>41.366</v>
      </c>
      <c r="L21" s="237">
        <v>415.15199999999999</v>
      </c>
      <c r="M21" s="237">
        <v>28.405999999999999</v>
      </c>
      <c r="N21" s="237">
        <v>245.8</v>
      </c>
      <c r="O21" s="237">
        <v>12.96</v>
      </c>
      <c r="CC21" s="12">
        <f>CC23+CC24</f>
        <v>-797</v>
      </c>
      <c r="CD21" s="228">
        <f t="shared" si="3"/>
        <v>-797</v>
      </c>
    </row>
    <row r="22" spans="1:82" ht="12.75" hidden="1">
      <c r="A22" s="2183" t="s">
        <v>21</v>
      </c>
      <c r="B22" s="500">
        <f t="shared" si="5"/>
        <v>1098.393</v>
      </c>
      <c r="C22" s="500">
        <f t="shared" si="5"/>
        <v>105.131</v>
      </c>
      <c r="D22" s="237">
        <f t="shared" si="6"/>
        <v>428.851</v>
      </c>
      <c r="E22" s="237">
        <f t="shared" si="6"/>
        <v>62.686999999999998</v>
      </c>
      <c r="F22" s="237">
        <v>314.32299999999998</v>
      </c>
      <c r="G22" s="237">
        <v>60.753</v>
      </c>
      <c r="H22" s="237">
        <v>114.52800000000001</v>
      </c>
      <c r="I22" s="237">
        <v>1.9339999999999999</v>
      </c>
      <c r="J22" s="237">
        <f t="shared" si="7"/>
        <v>669.54199999999992</v>
      </c>
      <c r="K22" s="237">
        <f t="shared" si="7"/>
        <v>42.444000000000003</v>
      </c>
      <c r="L22" s="237">
        <v>417.23899999999998</v>
      </c>
      <c r="M22" s="237">
        <v>29.693000000000001</v>
      </c>
      <c r="N22" s="237">
        <v>252.303</v>
      </c>
      <c r="O22" s="237">
        <v>12.750999999999999</v>
      </c>
      <c r="CD22" s="228"/>
    </row>
    <row r="23" spans="1:82" ht="12.75" hidden="1">
      <c r="A23" s="2183" t="s">
        <v>22</v>
      </c>
      <c r="B23" s="500">
        <f t="shared" si="5"/>
        <v>1114.7669999999998</v>
      </c>
      <c r="C23" s="500">
        <f t="shared" si="5"/>
        <v>106.94799999999999</v>
      </c>
      <c r="D23" s="237">
        <f t="shared" si="6"/>
        <v>443.774</v>
      </c>
      <c r="E23" s="237">
        <f t="shared" si="6"/>
        <v>63.830999999999996</v>
      </c>
      <c r="F23" s="2187">
        <v>316.89800000000002</v>
      </c>
      <c r="G23" s="237">
        <v>61.655999999999999</v>
      </c>
      <c r="H23" s="237">
        <v>126.876</v>
      </c>
      <c r="I23" s="237">
        <v>2.1749999999999998</v>
      </c>
      <c r="J23" s="237">
        <f t="shared" si="7"/>
        <v>670.99299999999994</v>
      </c>
      <c r="K23" s="237">
        <f t="shared" si="7"/>
        <v>43.116999999999997</v>
      </c>
      <c r="L23" s="237">
        <v>415.779</v>
      </c>
      <c r="M23" s="237">
        <v>30.155999999999999</v>
      </c>
      <c r="N23" s="237">
        <v>255.214</v>
      </c>
      <c r="O23" s="237">
        <v>12.961</v>
      </c>
      <c r="CC23" s="12">
        <v>-644</v>
      </c>
      <c r="CD23" s="228">
        <f t="shared" si="3"/>
        <v>-644</v>
      </c>
    </row>
    <row r="24" spans="1:82" ht="12.75" hidden="1">
      <c r="A24" s="2183" t="s">
        <v>23</v>
      </c>
      <c r="B24" s="500">
        <f t="shared" si="5"/>
        <v>1079.6320000000001</v>
      </c>
      <c r="C24" s="500">
        <f t="shared" si="5"/>
        <v>59.224999999999994</v>
      </c>
      <c r="D24" s="237">
        <f t="shared" si="6"/>
        <v>417.98500000000001</v>
      </c>
      <c r="E24" s="237">
        <f t="shared" si="6"/>
        <v>14.773</v>
      </c>
      <c r="F24" s="237">
        <v>273.97800000000001</v>
      </c>
      <c r="G24" s="237">
        <v>12.275</v>
      </c>
      <c r="H24" s="237">
        <v>144.00700000000001</v>
      </c>
      <c r="I24" s="237">
        <v>2.4980000000000002</v>
      </c>
      <c r="J24" s="237">
        <f t="shared" si="7"/>
        <v>661.64699999999993</v>
      </c>
      <c r="K24" s="237">
        <f t="shared" si="7"/>
        <v>44.451999999999998</v>
      </c>
      <c r="L24" s="237">
        <v>400.77499999999998</v>
      </c>
      <c r="M24" s="237">
        <v>31.457999999999998</v>
      </c>
      <c r="N24" s="237">
        <v>260.87200000000001</v>
      </c>
      <c r="O24" s="237">
        <v>12.994</v>
      </c>
      <c r="CC24" s="12">
        <v>-153</v>
      </c>
      <c r="CD24" s="228">
        <f t="shared" si="3"/>
        <v>-153</v>
      </c>
    </row>
    <row r="25" spans="1:82" ht="12.75" hidden="1">
      <c r="A25" s="2183" t="s">
        <v>24</v>
      </c>
      <c r="B25" s="500">
        <f t="shared" si="5"/>
        <v>1116.5730000000001</v>
      </c>
      <c r="C25" s="500">
        <f t="shared" si="5"/>
        <v>55.78</v>
      </c>
      <c r="D25" s="237">
        <f t="shared" si="6"/>
        <v>426.85200000000003</v>
      </c>
      <c r="E25" s="237">
        <f t="shared" si="6"/>
        <v>11.387</v>
      </c>
      <c r="F25" s="237">
        <v>275.98700000000002</v>
      </c>
      <c r="G25" s="237">
        <v>9.8789999999999996</v>
      </c>
      <c r="H25" s="237">
        <v>150.86500000000001</v>
      </c>
      <c r="I25" s="237">
        <v>1.508</v>
      </c>
      <c r="J25" s="237">
        <f t="shared" si="7"/>
        <v>689.721</v>
      </c>
      <c r="K25" s="237">
        <f t="shared" si="7"/>
        <v>44.393000000000001</v>
      </c>
      <c r="L25" s="237">
        <v>421.65300000000002</v>
      </c>
      <c r="M25" s="237">
        <v>31.530999999999999</v>
      </c>
      <c r="N25" s="237">
        <v>268.06799999999998</v>
      </c>
      <c r="O25" s="237">
        <v>12.862</v>
      </c>
      <c r="CD25" s="228"/>
    </row>
    <row r="26" spans="1:82" ht="12.75" hidden="1">
      <c r="A26" s="2183" t="s">
        <v>25</v>
      </c>
      <c r="B26" s="500">
        <f t="shared" si="5"/>
        <v>1208.8809999999999</v>
      </c>
      <c r="C26" s="500">
        <f t="shared" si="5"/>
        <v>57.463999999999999</v>
      </c>
      <c r="D26" s="237">
        <f t="shared" si="6"/>
        <v>446.84299999999996</v>
      </c>
      <c r="E26" s="237">
        <f t="shared" si="6"/>
        <v>13.077999999999999</v>
      </c>
      <c r="F26" s="237">
        <v>289.25</v>
      </c>
      <c r="G26" s="237">
        <v>11.484</v>
      </c>
      <c r="H26" s="237">
        <v>157.59299999999999</v>
      </c>
      <c r="I26" s="237">
        <v>1.5940000000000001</v>
      </c>
      <c r="J26" s="237">
        <f t="shared" si="7"/>
        <v>762.03800000000001</v>
      </c>
      <c r="K26" s="237">
        <f t="shared" si="7"/>
        <v>44.385999999999996</v>
      </c>
      <c r="L26" s="237">
        <v>488.07499999999999</v>
      </c>
      <c r="M26" s="237">
        <v>31.617999999999999</v>
      </c>
      <c r="N26" s="237">
        <v>273.96300000000002</v>
      </c>
      <c r="O26" s="237">
        <v>12.768000000000001</v>
      </c>
      <c r="CD26" s="228"/>
    </row>
    <row r="27" spans="1:82" ht="12.75" hidden="1">
      <c r="A27" s="2183" t="s">
        <v>26</v>
      </c>
      <c r="B27" s="500">
        <f t="shared" si="5"/>
        <v>1245.1379999999999</v>
      </c>
      <c r="C27" s="500">
        <f t="shared" si="5"/>
        <v>63.194000000000003</v>
      </c>
      <c r="D27" s="237">
        <f t="shared" si="6"/>
        <v>486.56099999999998</v>
      </c>
      <c r="E27" s="237">
        <f t="shared" si="6"/>
        <v>14.804</v>
      </c>
      <c r="F27" s="237">
        <v>313.44099999999997</v>
      </c>
      <c r="G27" s="237">
        <v>13.26</v>
      </c>
      <c r="H27" s="237">
        <v>173.12</v>
      </c>
      <c r="I27" s="237">
        <v>1.544</v>
      </c>
      <c r="J27" s="237">
        <f t="shared" si="7"/>
        <v>758.577</v>
      </c>
      <c r="K27" s="237">
        <f t="shared" si="7"/>
        <v>48.39</v>
      </c>
      <c r="L27" s="237">
        <v>466.05399999999997</v>
      </c>
      <c r="M27" s="237">
        <v>33.673999999999999</v>
      </c>
      <c r="N27" s="237">
        <v>292.52300000000002</v>
      </c>
      <c r="O27" s="237">
        <v>14.715999999999999</v>
      </c>
      <c r="CD27" s="228"/>
    </row>
    <row r="28" spans="1:82" ht="12.75" hidden="1">
      <c r="A28" s="2183" t="s">
        <v>27</v>
      </c>
      <c r="B28" s="500">
        <f t="shared" si="5"/>
        <v>1311.596</v>
      </c>
      <c r="C28" s="500">
        <f t="shared" si="5"/>
        <v>67.349999999999994</v>
      </c>
      <c r="D28" s="237">
        <f t="shared" si="6"/>
        <v>516.98299999999995</v>
      </c>
      <c r="E28" s="237">
        <f t="shared" si="6"/>
        <v>18.119</v>
      </c>
      <c r="F28" s="237">
        <v>334.24</v>
      </c>
      <c r="G28" s="237">
        <v>13.493</v>
      </c>
      <c r="H28" s="237">
        <v>182.74299999999999</v>
      </c>
      <c r="I28" s="237">
        <v>4.6260000000000003</v>
      </c>
      <c r="J28" s="237">
        <f t="shared" si="7"/>
        <v>794.61300000000006</v>
      </c>
      <c r="K28" s="237">
        <f t="shared" si="7"/>
        <v>49.230999999999995</v>
      </c>
      <c r="L28" s="237">
        <v>491.43799999999999</v>
      </c>
      <c r="M28" s="237">
        <v>34.406999999999996</v>
      </c>
      <c r="N28" s="237">
        <v>303.17500000000001</v>
      </c>
      <c r="O28" s="237">
        <v>14.824</v>
      </c>
      <c r="CC28" s="12">
        <v>-31</v>
      </c>
      <c r="CD28" s="228">
        <f t="shared" si="3"/>
        <v>-31</v>
      </c>
    </row>
    <row r="29" spans="1:82" ht="12.75" hidden="1">
      <c r="A29" s="2183" t="s">
        <v>28</v>
      </c>
      <c r="B29" s="500">
        <f t="shared" si="5"/>
        <v>1358.5160000000001</v>
      </c>
      <c r="C29" s="500">
        <f t="shared" si="5"/>
        <v>68.878</v>
      </c>
      <c r="D29" s="237">
        <f t="shared" si="6"/>
        <v>530.76</v>
      </c>
      <c r="E29" s="237">
        <f t="shared" si="6"/>
        <v>19.605</v>
      </c>
      <c r="F29" s="237">
        <v>346.32900000000001</v>
      </c>
      <c r="G29" s="237">
        <v>14.916</v>
      </c>
      <c r="H29" s="237">
        <v>184.43100000000001</v>
      </c>
      <c r="I29" s="237">
        <v>4.6890000000000001</v>
      </c>
      <c r="J29" s="237">
        <f t="shared" si="7"/>
        <v>827.75600000000009</v>
      </c>
      <c r="K29" s="237">
        <f t="shared" si="7"/>
        <v>49.272999999999996</v>
      </c>
      <c r="L29" s="237">
        <v>520.23900000000003</v>
      </c>
      <c r="M29" s="237">
        <v>34.354999999999997</v>
      </c>
      <c r="N29" s="237">
        <v>307.517</v>
      </c>
      <c r="O29" s="237">
        <v>14.917999999999999</v>
      </c>
      <c r="CC29" s="12">
        <v>-440</v>
      </c>
      <c r="CD29" s="228">
        <f t="shared" si="3"/>
        <v>-440</v>
      </c>
    </row>
    <row r="30" spans="1:82" ht="12.75" hidden="1">
      <c r="A30" s="2183" t="s">
        <v>29</v>
      </c>
      <c r="B30" s="500">
        <f t="shared" si="5"/>
        <v>1440.9570000000001</v>
      </c>
      <c r="C30" s="500">
        <f t="shared" si="5"/>
        <v>68.198000000000008</v>
      </c>
      <c r="D30" s="237">
        <f t="shared" si="6"/>
        <v>542.91200000000003</v>
      </c>
      <c r="E30" s="237">
        <f t="shared" si="6"/>
        <v>20.576999999999998</v>
      </c>
      <c r="F30" s="237">
        <v>353.13400000000001</v>
      </c>
      <c r="G30" s="237">
        <v>15.805</v>
      </c>
      <c r="H30" s="237">
        <v>189.77799999999999</v>
      </c>
      <c r="I30" s="237">
        <v>4.7720000000000002</v>
      </c>
      <c r="J30" s="237">
        <f t="shared" si="7"/>
        <v>898.04500000000007</v>
      </c>
      <c r="K30" s="237">
        <f t="shared" si="7"/>
        <v>47.621000000000002</v>
      </c>
      <c r="L30" s="237">
        <v>560.11500000000001</v>
      </c>
      <c r="M30" s="237">
        <v>32.804000000000002</v>
      </c>
      <c r="N30" s="237">
        <v>337.93</v>
      </c>
      <c r="O30" s="237">
        <v>14.817</v>
      </c>
      <c r="CD30" s="228"/>
    </row>
    <row r="31" spans="1:82" ht="12.75" hidden="1">
      <c r="A31" s="2183"/>
      <c r="B31" s="500"/>
      <c r="C31" s="500"/>
      <c r="D31" s="237"/>
      <c r="E31" s="237"/>
      <c r="F31" s="237"/>
      <c r="G31" s="237"/>
      <c r="H31" s="237"/>
      <c r="I31" s="237"/>
      <c r="J31" s="237"/>
      <c r="K31" s="237"/>
      <c r="L31" s="237"/>
      <c r="M31" s="237"/>
      <c r="N31" s="237"/>
      <c r="O31" s="237"/>
      <c r="CC31" s="12">
        <f>CC33+CC34</f>
        <v>-498</v>
      </c>
      <c r="CD31" s="228">
        <f>BY31+BZ31+CA31+CC31</f>
        <v>-498</v>
      </c>
    </row>
    <row r="32" spans="1:82" ht="12.75">
      <c r="A32" s="377">
        <v>2006</v>
      </c>
      <c r="B32" s="500">
        <f>+B44</f>
        <v>2362.6930000000002</v>
      </c>
      <c r="C32" s="500">
        <f t="shared" ref="C32:O32" si="8">+C44</f>
        <v>77.655000000000001</v>
      </c>
      <c r="D32" s="237">
        <f t="shared" si="8"/>
        <v>1170.4929999999999</v>
      </c>
      <c r="E32" s="237">
        <f t="shared" si="8"/>
        <v>23.056000000000001</v>
      </c>
      <c r="F32" s="237">
        <f t="shared" si="8"/>
        <v>597.36</v>
      </c>
      <c r="G32" s="237">
        <f t="shared" si="8"/>
        <v>18.57</v>
      </c>
      <c r="H32" s="237">
        <f t="shared" si="8"/>
        <v>573.13300000000004</v>
      </c>
      <c r="I32" s="237">
        <f t="shared" si="8"/>
        <v>4.4859999999999998</v>
      </c>
      <c r="J32" s="237">
        <f t="shared" si="8"/>
        <v>1192.2</v>
      </c>
      <c r="K32" s="237">
        <f t="shared" si="8"/>
        <v>54.598999999999997</v>
      </c>
      <c r="L32" s="237">
        <f t="shared" si="8"/>
        <v>544.6</v>
      </c>
      <c r="M32" s="237">
        <f t="shared" si="8"/>
        <v>34.662999999999997</v>
      </c>
      <c r="N32" s="237">
        <f t="shared" si="8"/>
        <v>647.6</v>
      </c>
      <c r="O32" s="237">
        <f t="shared" si="8"/>
        <v>19.936</v>
      </c>
      <c r="CD32" s="228"/>
    </row>
    <row r="33" spans="1:82" ht="12.75" hidden="1">
      <c r="A33" s="2183" t="s">
        <v>18</v>
      </c>
      <c r="B33" s="500">
        <f t="shared" ref="B33:C43" si="9">D33+J33</f>
        <v>1380.3589999999999</v>
      </c>
      <c r="C33" s="500">
        <f t="shared" si="9"/>
        <v>68.902000000000001</v>
      </c>
      <c r="D33" s="237">
        <f t="shared" ref="D33:E43" si="10">F33+H33</f>
        <v>543.23400000000004</v>
      </c>
      <c r="E33" s="237">
        <f t="shared" si="10"/>
        <v>21.103999999999999</v>
      </c>
      <c r="F33" s="237">
        <v>347.07100000000003</v>
      </c>
      <c r="G33" s="237">
        <v>16.117999999999999</v>
      </c>
      <c r="H33" s="237">
        <v>196.16300000000001</v>
      </c>
      <c r="I33" s="237">
        <v>4.9859999999999998</v>
      </c>
      <c r="J33" s="237">
        <f t="shared" ref="J33:K43" si="11">L33+N33</f>
        <v>837.125</v>
      </c>
      <c r="K33" s="237">
        <f t="shared" si="11"/>
        <v>47.798000000000002</v>
      </c>
      <c r="L33" s="237">
        <v>494.40899999999999</v>
      </c>
      <c r="M33" s="237">
        <v>33.978000000000002</v>
      </c>
      <c r="N33" s="237">
        <v>342.71600000000001</v>
      </c>
      <c r="O33" s="237">
        <v>13.82</v>
      </c>
      <c r="CC33" s="12">
        <v>-521</v>
      </c>
      <c r="CD33" s="228">
        <f>BY33+BZ33+CA33+CC33</f>
        <v>-521</v>
      </c>
    </row>
    <row r="34" spans="1:82" ht="12.75" hidden="1">
      <c r="A34" s="2183" t="s">
        <v>19</v>
      </c>
      <c r="B34" s="500">
        <f t="shared" si="9"/>
        <v>1352.0030000000002</v>
      </c>
      <c r="C34" s="500">
        <f t="shared" si="9"/>
        <v>66.677999999999997</v>
      </c>
      <c r="D34" s="237">
        <f t="shared" si="10"/>
        <v>554.89099999999996</v>
      </c>
      <c r="E34" s="237">
        <f t="shared" si="10"/>
        <v>19.98</v>
      </c>
      <c r="F34" s="237">
        <v>352.346</v>
      </c>
      <c r="G34" s="237">
        <v>15.289</v>
      </c>
      <c r="H34" s="237">
        <v>202.54499999999999</v>
      </c>
      <c r="I34" s="237">
        <v>4.6909999999999998</v>
      </c>
      <c r="J34" s="237">
        <f t="shared" si="11"/>
        <v>797.11200000000008</v>
      </c>
      <c r="K34" s="237">
        <f t="shared" si="11"/>
        <v>46.698</v>
      </c>
      <c r="L34" s="237">
        <v>444.75700000000001</v>
      </c>
      <c r="M34" s="237">
        <v>33.207999999999998</v>
      </c>
      <c r="N34" s="237">
        <v>352.35500000000002</v>
      </c>
      <c r="O34" s="237">
        <v>13.49</v>
      </c>
      <c r="CC34" s="12">
        <v>23</v>
      </c>
      <c r="CD34" s="228">
        <f>BY34+BZ34+CA34+CC34</f>
        <v>23</v>
      </c>
    </row>
    <row r="35" spans="1:82" ht="12.75" hidden="1">
      <c r="A35" s="2183" t="s">
        <v>20</v>
      </c>
      <c r="B35" s="500">
        <f t="shared" si="9"/>
        <v>1395.1109999999999</v>
      </c>
      <c r="C35" s="500">
        <f t="shared" si="9"/>
        <v>66.701999999999998</v>
      </c>
      <c r="D35" s="237">
        <f t="shared" si="10"/>
        <v>568.23099999999999</v>
      </c>
      <c r="E35" s="237">
        <f t="shared" si="10"/>
        <v>19.89</v>
      </c>
      <c r="F35" s="237">
        <v>328.529</v>
      </c>
      <c r="G35" s="237">
        <v>14.988</v>
      </c>
      <c r="H35" s="237">
        <v>239.702</v>
      </c>
      <c r="I35" s="237">
        <v>4.9020000000000001</v>
      </c>
      <c r="J35" s="237">
        <f t="shared" si="11"/>
        <v>826.88</v>
      </c>
      <c r="K35" s="237">
        <f t="shared" si="11"/>
        <v>46.811999999999998</v>
      </c>
      <c r="L35" s="237">
        <v>462.78</v>
      </c>
      <c r="M35" s="237">
        <v>33.357999999999997</v>
      </c>
      <c r="N35" s="237">
        <v>364.1</v>
      </c>
      <c r="O35" s="237">
        <v>13.454000000000001</v>
      </c>
      <c r="CD35" s="228"/>
    </row>
    <row r="36" spans="1:82" ht="12.75" hidden="1">
      <c r="A36" s="2183" t="s">
        <v>21</v>
      </c>
      <c r="B36" s="500">
        <f t="shared" si="9"/>
        <v>1529.2350000000001</v>
      </c>
      <c r="C36" s="500">
        <f t="shared" si="9"/>
        <v>64.657000000000011</v>
      </c>
      <c r="D36" s="237">
        <f t="shared" si="10"/>
        <v>632.38900000000001</v>
      </c>
      <c r="E36" s="237">
        <f t="shared" si="10"/>
        <v>19.149000000000001</v>
      </c>
      <c r="F36" s="237">
        <v>381.56799999999998</v>
      </c>
      <c r="G36" s="237">
        <v>14.653</v>
      </c>
      <c r="H36" s="237">
        <v>250.821</v>
      </c>
      <c r="I36" s="237">
        <v>4.4960000000000004</v>
      </c>
      <c r="J36" s="237">
        <f t="shared" si="11"/>
        <v>896.846</v>
      </c>
      <c r="K36" s="237">
        <f t="shared" si="11"/>
        <v>45.508000000000003</v>
      </c>
      <c r="L36" s="237">
        <v>478.90899999999999</v>
      </c>
      <c r="M36" s="237">
        <v>32.084000000000003</v>
      </c>
      <c r="N36" s="237">
        <v>417.93700000000001</v>
      </c>
      <c r="O36" s="237">
        <v>13.423999999999999</v>
      </c>
      <c r="CC36" s="12">
        <v>433</v>
      </c>
      <c r="CD36" s="228">
        <f t="shared" si="3"/>
        <v>433</v>
      </c>
    </row>
    <row r="37" spans="1:82" ht="12.75" hidden="1">
      <c r="A37" s="2183" t="s">
        <v>22</v>
      </c>
      <c r="B37" s="500">
        <f t="shared" si="9"/>
        <v>1556.8329444199999</v>
      </c>
      <c r="C37" s="500">
        <f t="shared" si="9"/>
        <v>64.430258479999992</v>
      </c>
      <c r="D37" s="237">
        <f t="shared" si="10"/>
        <v>621.58799999999997</v>
      </c>
      <c r="E37" s="237">
        <f t="shared" si="10"/>
        <v>20.477</v>
      </c>
      <c r="F37" s="237">
        <v>353.60500000000002</v>
      </c>
      <c r="G37" s="237">
        <v>15.901</v>
      </c>
      <c r="H37" s="237">
        <v>267.983</v>
      </c>
      <c r="I37" s="237">
        <v>4.5759999999999996</v>
      </c>
      <c r="J37" s="237">
        <f t="shared" si="11"/>
        <v>935.24494441999991</v>
      </c>
      <c r="K37" s="237">
        <f t="shared" si="11"/>
        <v>43.953258479999995</v>
      </c>
      <c r="L37" s="237">
        <v>498.32</v>
      </c>
      <c r="M37" s="237">
        <v>32.622999999999998</v>
      </c>
      <c r="N37" s="237">
        <v>436.92494441999997</v>
      </c>
      <c r="O37" s="237">
        <v>11.330258479999999</v>
      </c>
      <c r="CC37" s="12">
        <v>-931</v>
      </c>
      <c r="CD37" s="228">
        <f t="shared" si="3"/>
        <v>-931</v>
      </c>
    </row>
    <row r="38" spans="1:82" ht="12.75" hidden="1">
      <c r="A38" s="2183" t="s">
        <v>23</v>
      </c>
      <c r="B38" s="500">
        <f t="shared" si="9"/>
        <v>1660.3340000000001</v>
      </c>
      <c r="C38" s="500">
        <f t="shared" si="9"/>
        <v>63.100999999999999</v>
      </c>
      <c r="D38" s="237">
        <f t="shared" si="10"/>
        <v>685.76600000000008</v>
      </c>
      <c r="E38" s="237">
        <f t="shared" si="10"/>
        <v>19.617000000000001</v>
      </c>
      <c r="F38" s="237">
        <v>369.08199999999999</v>
      </c>
      <c r="G38" s="237">
        <v>15.035</v>
      </c>
      <c r="H38" s="237">
        <v>316.68400000000003</v>
      </c>
      <c r="I38" s="237">
        <v>4.5819999999999999</v>
      </c>
      <c r="J38" s="237">
        <f t="shared" si="11"/>
        <v>974.56799999999998</v>
      </c>
      <c r="K38" s="237">
        <f t="shared" si="11"/>
        <v>43.483999999999995</v>
      </c>
      <c r="L38" s="237">
        <v>508.90800000000002</v>
      </c>
      <c r="M38" s="237">
        <v>32.036999999999999</v>
      </c>
      <c r="N38" s="237">
        <v>465.66</v>
      </c>
      <c r="O38" s="237">
        <v>11.446999999999999</v>
      </c>
      <c r="CD38" s="228"/>
    </row>
    <row r="39" spans="1:82" ht="12.75" hidden="1">
      <c r="A39" s="2183" t="s">
        <v>24</v>
      </c>
      <c r="B39" s="500">
        <f t="shared" si="9"/>
        <v>1785.0259999999998</v>
      </c>
      <c r="C39" s="500">
        <f t="shared" si="9"/>
        <v>63.511000000000003</v>
      </c>
      <c r="D39" s="237">
        <f t="shared" si="10"/>
        <v>762.94499999999994</v>
      </c>
      <c r="E39" s="237">
        <f t="shared" si="10"/>
        <v>19.088000000000001</v>
      </c>
      <c r="F39" s="237">
        <v>413.565</v>
      </c>
      <c r="G39" s="237">
        <v>14.738</v>
      </c>
      <c r="H39" s="237">
        <v>349.38</v>
      </c>
      <c r="I39" s="237">
        <v>4.3499999999999996</v>
      </c>
      <c r="J39" s="237">
        <f t="shared" si="11"/>
        <v>1022.0809999999999</v>
      </c>
      <c r="K39" s="237">
        <f t="shared" si="11"/>
        <v>44.423000000000002</v>
      </c>
      <c r="L39" s="237">
        <v>531.14599999999996</v>
      </c>
      <c r="M39" s="237">
        <v>32.78</v>
      </c>
      <c r="N39" s="237">
        <v>490.935</v>
      </c>
      <c r="O39" s="237">
        <v>11.643000000000001</v>
      </c>
      <c r="CC39" s="12">
        <v>204</v>
      </c>
      <c r="CD39" s="228">
        <f t="shared" si="3"/>
        <v>204</v>
      </c>
    </row>
    <row r="40" spans="1:82" ht="12.75" hidden="1">
      <c r="A40" s="2183" t="s">
        <v>25</v>
      </c>
      <c r="B40" s="500">
        <f>D40+J40</f>
        <v>1876.864</v>
      </c>
      <c r="C40" s="500">
        <f t="shared" si="9"/>
        <v>63.52</v>
      </c>
      <c r="D40" s="237">
        <f t="shared" si="10"/>
        <v>799.37</v>
      </c>
      <c r="E40" s="237">
        <f t="shared" si="10"/>
        <v>19.53</v>
      </c>
      <c r="F40" s="237">
        <v>415.44</v>
      </c>
      <c r="G40" s="237">
        <v>15.1</v>
      </c>
      <c r="H40" s="237">
        <v>383.93</v>
      </c>
      <c r="I40" s="237">
        <v>4.43</v>
      </c>
      <c r="J40" s="237">
        <f t="shared" si="11"/>
        <v>1077.4940000000001</v>
      </c>
      <c r="K40" s="237">
        <f t="shared" si="11"/>
        <v>43.99</v>
      </c>
      <c r="L40" s="237">
        <v>524.14400000000001</v>
      </c>
      <c r="M40" s="237">
        <v>32.270000000000003</v>
      </c>
      <c r="N40" s="237">
        <v>553.35</v>
      </c>
      <c r="O40" s="237">
        <v>11.72</v>
      </c>
      <c r="CC40" s="12">
        <v>200</v>
      </c>
      <c r="CD40" s="228">
        <f t="shared" si="3"/>
        <v>200</v>
      </c>
    </row>
    <row r="41" spans="1:82" ht="12.75" hidden="1">
      <c r="A41" s="2183" t="s">
        <v>26</v>
      </c>
      <c r="B41" s="500">
        <f>D41+J41</f>
        <v>2015.1299999999999</v>
      </c>
      <c r="C41" s="500">
        <f t="shared" si="9"/>
        <v>68.183000000000007</v>
      </c>
      <c r="D41" s="237">
        <f t="shared" si="10"/>
        <v>883.28</v>
      </c>
      <c r="E41" s="237">
        <f t="shared" si="10"/>
        <v>21.87</v>
      </c>
      <c r="F41" s="237">
        <v>459.91</v>
      </c>
      <c r="G41" s="237">
        <v>17.28</v>
      </c>
      <c r="H41" s="237">
        <v>423.37</v>
      </c>
      <c r="I41" s="237">
        <v>4.59</v>
      </c>
      <c r="J41" s="237">
        <f t="shared" si="11"/>
        <v>1131.8499999999999</v>
      </c>
      <c r="K41" s="237">
        <f t="shared" si="11"/>
        <v>46.313000000000002</v>
      </c>
      <c r="L41" s="237">
        <v>545.14</v>
      </c>
      <c r="M41" s="237">
        <v>34.237000000000002</v>
      </c>
      <c r="N41" s="237">
        <v>586.71</v>
      </c>
      <c r="O41" s="237">
        <v>12.076000000000001</v>
      </c>
      <c r="CD41" s="228"/>
    </row>
    <row r="42" spans="1:82" ht="12.75" hidden="1">
      <c r="A42" s="2183" t="s">
        <v>27</v>
      </c>
      <c r="B42" s="500">
        <f>D42+J42</f>
        <v>2159.9029999999998</v>
      </c>
      <c r="C42" s="500">
        <f t="shared" si="9"/>
        <v>78.814000000000007</v>
      </c>
      <c r="D42" s="237">
        <f t="shared" si="10"/>
        <v>977.41699999999992</v>
      </c>
      <c r="E42" s="237">
        <f t="shared" si="10"/>
        <v>23.134</v>
      </c>
      <c r="F42" s="237">
        <v>520.94799999999998</v>
      </c>
      <c r="G42" s="237">
        <v>18.803000000000001</v>
      </c>
      <c r="H42" s="237">
        <v>456.46899999999999</v>
      </c>
      <c r="I42" s="237">
        <v>4.3310000000000004</v>
      </c>
      <c r="J42" s="237">
        <f t="shared" si="11"/>
        <v>1182.4859999999999</v>
      </c>
      <c r="K42" s="237">
        <f t="shared" si="11"/>
        <v>55.680000000000007</v>
      </c>
      <c r="L42" s="237">
        <v>572.13300000000004</v>
      </c>
      <c r="M42" s="237">
        <v>35.377000000000002</v>
      </c>
      <c r="N42" s="237">
        <v>610.35299999999995</v>
      </c>
      <c r="O42" s="237">
        <v>20.303000000000001</v>
      </c>
      <c r="CC42" s="12">
        <v>295</v>
      </c>
      <c r="CD42" s="228">
        <f t="shared" si="3"/>
        <v>295</v>
      </c>
    </row>
    <row r="43" spans="1:82" ht="12.75" hidden="1">
      <c r="A43" s="2183" t="s">
        <v>28</v>
      </c>
      <c r="B43" s="500">
        <f>D43+J43</f>
        <v>2242.0330000000004</v>
      </c>
      <c r="C43" s="500">
        <f t="shared" si="9"/>
        <v>80.212000000000003</v>
      </c>
      <c r="D43" s="237">
        <f t="shared" si="10"/>
        <v>1037.9660000000001</v>
      </c>
      <c r="E43" s="237">
        <f t="shared" si="10"/>
        <v>23.096</v>
      </c>
      <c r="F43" s="237">
        <v>553.94000000000005</v>
      </c>
      <c r="G43" s="237">
        <v>18.59</v>
      </c>
      <c r="H43" s="237">
        <v>484.02600000000001</v>
      </c>
      <c r="I43" s="237">
        <v>4.5060000000000002</v>
      </c>
      <c r="J43" s="237">
        <f t="shared" si="11"/>
        <v>1204.067</v>
      </c>
      <c r="K43" s="237">
        <f t="shared" si="11"/>
        <v>57.116</v>
      </c>
      <c r="L43" s="237">
        <v>564.4</v>
      </c>
      <c r="M43" s="237">
        <v>36.950000000000003</v>
      </c>
      <c r="N43" s="237">
        <v>639.66700000000003</v>
      </c>
      <c r="O43" s="237">
        <v>20.166</v>
      </c>
      <c r="CC43" s="12">
        <v>-95</v>
      </c>
      <c r="CD43" s="228">
        <f t="shared" si="3"/>
        <v>-95</v>
      </c>
    </row>
    <row r="44" spans="1:82" ht="12.75" hidden="1">
      <c r="A44" s="2183" t="s">
        <v>29</v>
      </c>
      <c r="B44" s="500">
        <f>D44+J44</f>
        <v>2362.6930000000002</v>
      </c>
      <c r="C44" s="500">
        <f>E44+K44</f>
        <v>77.655000000000001</v>
      </c>
      <c r="D44" s="237">
        <f>F44+H44</f>
        <v>1170.4929999999999</v>
      </c>
      <c r="E44" s="237">
        <f>G44+I44</f>
        <v>23.056000000000001</v>
      </c>
      <c r="F44" s="237">
        <v>597.36</v>
      </c>
      <c r="G44" s="237">
        <v>18.57</v>
      </c>
      <c r="H44" s="237">
        <v>573.13300000000004</v>
      </c>
      <c r="I44" s="237">
        <v>4.4859999999999998</v>
      </c>
      <c r="J44" s="237">
        <f>L44+N44</f>
        <v>1192.2</v>
      </c>
      <c r="K44" s="237">
        <f>M44+O44</f>
        <v>54.598999999999997</v>
      </c>
      <c r="L44" s="237">
        <v>544.6</v>
      </c>
      <c r="M44" s="237">
        <v>34.662999999999997</v>
      </c>
      <c r="N44" s="237">
        <v>647.6</v>
      </c>
      <c r="O44" s="237">
        <v>19.936</v>
      </c>
      <c r="CD44" s="228"/>
    </row>
    <row r="45" spans="1:82" ht="12.75" hidden="1">
      <c r="A45" s="2183"/>
      <c r="B45" s="500"/>
      <c r="C45" s="500"/>
      <c r="D45" s="237"/>
      <c r="E45" s="237"/>
      <c r="F45" s="237"/>
      <c r="G45" s="237"/>
      <c r="H45" s="237"/>
      <c r="I45" s="237"/>
      <c r="J45" s="237"/>
      <c r="K45" s="237"/>
      <c r="L45" s="237"/>
      <c r="M45" s="237"/>
      <c r="N45" s="237"/>
      <c r="O45" s="237"/>
      <c r="CC45" s="12">
        <v>0</v>
      </c>
      <c r="CD45" s="228">
        <f t="shared" si="3"/>
        <v>0</v>
      </c>
    </row>
    <row r="46" spans="1:82" ht="12.75">
      <c r="A46" s="377">
        <v>2007</v>
      </c>
      <c r="B46" s="500">
        <f>+B58</f>
        <v>4681.7733614700001</v>
      </c>
      <c r="C46" s="500">
        <f t="shared" ref="C46:O46" si="12">+C58</f>
        <v>100.26732249</v>
      </c>
      <c r="D46" s="237">
        <f t="shared" si="12"/>
        <v>2513.70177728</v>
      </c>
      <c r="E46" s="237">
        <f t="shared" si="12"/>
        <v>44.94659059</v>
      </c>
      <c r="F46" s="237">
        <f t="shared" si="12"/>
        <v>1066.4238625</v>
      </c>
      <c r="G46" s="237">
        <f t="shared" si="12"/>
        <v>35.695748559999998</v>
      </c>
      <c r="H46" s="237">
        <f t="shared" si="12"/>
        <v>1447.2779147799999</v>
      </c>
      <c r="I46" s="237">
        <f t="shared" si="12"/>
        <v>9.2508420299999994</v>
      </c>
      <c r="J46" s="237">
        <f t="shared" si="12"/>
        <v>2168.0715841900001</v>
      </c>
      <c r="K46" s="237">
        <f t="shared" si="12"/>
        <v>55.320731899999998</v>
      </c>
      <c r="L46" s="237">
        <f t="shared" si="12"/>
        <v>583.11922074999995</v>
      </c>
      <c r="M46" s="237">
        <f t="shared" si="12"/>
        <v>33.836045069999997</v>
      </c>
      <c r="N46" s="237">
        <f t="shared" si="12"/>
        <v>1584.95236344</v>
      </c>
      <c r="O46" s="237">
        <f t="shared" si="12"/>
        <v>21.484686830000001</v>
      </c>
      <c r="CD46" s="228"/>
    </row>
    <row r="47" spans="1:82" ht="12.75" hidden="1">
      <c r="A47" s="2183" t="s">
        <v>18</v>
      </c>
      <c r="B47" s="2185">
        <f t="shared" ref="B47:C57" si="13">D47+J47</f>
        <v>2500.8557842800001</v>
      </c>
      <c r="C47" s="97">
        <f t="shared" si="13"/>
        <v>104.03176047000001</v>
      </c>
      <c r="D47" s="97">
        <f t="shared" ref="D47:E58" si="14">F47+H47</f>
        <v>1207.85978727</v>
      </c>
      <c r="E47" s="97">
        <f t="shared" si="14"/>
        <v>25.756331160000002</v>
      </c>
      <c r="F47" s="97">
        <v>609.49943931999996</v>
      </c>
      <c r="G47" s="97">
        <v>21.860035150000002</v>
      </c>
      <c r="H47" s="97">
        <v>598.36034795</v>
      </c>
      <c r="I47" s="97">
        <v>3.8962960099999999</v>
      </c>
      <c r="J47" s="97">
        <f t="shared" ref="J47:K56" si="15">L47+N47</f>
        <v>1292.9959970099999</v>
      </c>
      <c r="K47" s="97">
        <f t="shared" si="15"/>
        <v>78.275429310000007</v>
      </c>
      <c r="L47" s="97">
        <v>618.34051072</v>
      </c>
      <c r="M47" s="97">
        <v>58.493118850000002</v>
      </c>
      <c r="N47" s="99">
        <v>674.65548629</v>
      </c>
      <c r="O47" s="99">
        <v>19.782310460000001</v>
      </c>
      <c r="CC47" s="12">
        <f>CC48-CC52</f>
        <v>481</v>
      </c>
      <c r="CD47" s="228">
        <f t="shared" si="3"/>
        <v>481</v>
      </c>
    </row>
    <row r="48" spans="1:82" ht="12.75" hidden="1">
      <c r="A48" s="2183" t="s">
        <v>19</v>
      </c>
      <c r="B48" s="2185">
        <f t="shared" si="13"/>
        <v>2663.49710117</v>
      </c>
      <c r="C48" s="97">
        <f t="shared" si="13"/>
        <v>129.88478082</v>
      </c>
      <c r="D48" s="97">
        <f t="shared" si="14"/>
        <v>1313.3975223399998</v>
      </c>
      <c r="E48" s="97">
        <f t="shared" si="14"/>
        <v>38.080660709999997</v>
      </c>
      <c r="F48" s="97">
        <v>680.20071729999995</v>
      </c>
      <c r="G48" s="97">
        <v>33.900263019999997</v>
      </c>
      <c r="H48" s="97">
        <v>633.19680503999996</v>
      </c>
      <c r="I48" s="97">
        <v>4.1803976900000004</v>
      </c>
      <c r="J48" s="97">
        <f t="shared" si="15"/>
        <v>1350.0995788299999</v>
      </c>
      <c r="K48" s="97">
        <f t="shared" si="15"/>
        <v>91.804120109999999</v>
      </c>
      <c r="L48" s="97">
        <v>618.88580824999997</v>
      </c>
      <c r="M48" s="97">
        <v>71.337631090000002</v>
      </c>
      <c r="N48" s="99">
        <v>731.21377057999996</v>
      </c>
      <c r="O48" s="99">
        <v>20.466489020000001</v>
      </c>
      <c r="CC48" s="12">
        <f>CC50+CC51</f>
        <v>965</v>
      </c>
      <c r="CD48" s="228">
        <f t="shared" si="3"/>
        <v>965</v>
      </c>
    </row>
    <row r="49" spans="1:82" ht="12.75" hidden="1">
      <c r="A49" s="2183" t="s">
        <v>20</v>
      </c>
      <c r="B49" s="2185">
        <f t="shared" si="13"/>
        <v>2880.8536487800002</v>
      </c>
      <c r="C49" s="97">
        <f t="shared" si="13"/>
        <v>130.48997767</v>
      </c>
      <c r="D49" s="97">
        <f t="shared" si="14"/>
        <v>1429.78933018</v>
      </c>
      <c r="E49" s="97">
        <f t="shared" si="14"/>
        <v>38.916336180000002</v>
      </c>
      <c r="F49" s="97">
        <v>703.72134679999999</v>
      </c>
      <c r="G49" s="97">
        <v>33.039883160000002</v>
      </c>
      <c r="H49" s="97">
        <v>726.06798337999999</v>
      </c>
      <c r="I49" s="97">
        <v>5.8764530199999996</v>
      </c>
      <c r="J49" s="97">
        <f t="shared" si="15"/>
        <v>1451.0643186</v>
      </c>
      <c r="K49" s="97">
        <f t="shared" si="15"/>
        <v>91.57364149</v>
      </c>
      <c r="L49" s="97">
        <v>561.46913816999995</v>
      </c>
      <c r="M49" s="97">
        <v>70.868136460000002</v>
      </c>
      <c r="N49" s="99">
        <v>889.59518043000003</v>
      </c>
      <c r="O49" s="99">
        <v>20.705505030000001</v>
      </c>
      <c r="CD49" s="228"/>
    </row>
    <row r="50" spans="1:82" ht="12.75" hidden="1">
      <c r="A50" s="2183" t="s">
        <v>21</v>
      </c>
      <c r="B50" s="2185">
        <f t="shared" si="13"/>
        <v>3091.2641826100003</v>
      </c>
      <c r="C50" s="97">
        <f t="shared" si="13"/>
        <v>129.09170431000001</v>
      </c>
      <c r="D50" s="97">
        <f t="shared" si="14"/>
        <v>1564.5252383900001</v>
      </c>
      <c r="E50" s="97">
        <f t="shared" si="14"/>
        <v>39.970433790000001</v>
      </c>
      <c r="F50" s="97">
        <v>786.36269514000003</v>
      </c>
      <c r="G50" s="97">
        <v>33.689409400000002</v>
      </c>
      <c r="H50" s="97">
        <v>778.16254325</v>
      </c>
      <c r="I50" s="97">
        <v>6.2810243899999998</v>
      </c>
      <c r="J50" s="97">
        <f t="shared" si="15"/>
        <v>1526.7389442200001</v>
      </c>
      <c r="K50" s="97">
        <f t="shared" si="15"/>
        <v>89.121270519999996</v>
      </c>
      <c r="L50" s="97">
        <v>567.63800263999997</v>
      </c>
      <c r="M50" s="97">
        <v>68.481148000000005</v>
      </c>
      <c r="N50" s="99">
        <v>959.10094158000004</v>
      </c>
      <c r="O50" s="99">
        <v>20.640122519999998</v>
      </c>
      <c r="CC50" s="12">
        <v>954</v>
      </c>
      <c r="CD50" s="228">
        <f t="shared" si="3"/>
        <v>954</v>
      </c>
    </row>
    <row r="51" spans="1:82" ht="12.75" hidden="1">
      <c r="A51" s="2183" t="s">
        <v>22</v>
      </c>
      <c r="B51" s="2185">
        <f t="shared" si="13"/>
        <v>3315.4499153500001</v>
      </c>
      <c r="C51" s="97">
        <f t="shared" si="13"/>
        <v>109.71650685</v>
      </c>
      <c r="D51" s="97">
        <f t="shared" si="14"/>
        <v>1700.66113341</v>
      </c>
      <c r="E51" s="97">
        <f t="shared" si="14"/>
        <v>43.641480100000003</v>
      </c>
      <c r="F51" s="97">
        <v>840.96081418000006</v>
      </c>
      <c r="G51" s="97">
        <v>36.756512010000002</v>
      </c>
      <c r="H51" s="97">
        <v>859.70031922999999</v>
      </c>
      <c r="I51" s="97">
        <v>6.8849680900000001</v>
      </c>
      <c r="J51" s="97">
        <f t="shared" si="15"/>
        <v>1614.78878194</v>
      </c>
      <c r="K51" s="97">
        <f t="shared" si="15"/>
        <v>66.075026750000006</v>
      </c>
      <c r="L51" s="97">
        <v>586.69029184999999</v>
      </c>
      <c r="M51" s="97">
        <v>45.257563070000003</v>
      </c>
      <c r="N51" s="99">
        <v>1028.09849009</v>
      </c>
      <c r="O51" s="99">
        <v>20.817463679999999</v>
      </c>
      <c r="CC51" s="12">
        <v>11</v>
      </c>
      <c r="CD51" s="228">
        <f t="shared" si="3"/>
        <v>11</v>
      </c>
    </row>
    <row r="52" spans="1:82" ht="12.75" hidden="1">
      <c r="A52" s="2183" t="s">
        <v>23</v>
      </c>
      <c r="B52" s="2185">
        <f t="shared" si="13"/>
        <v>3458.4920896200001</v>
      </c>
      <c r="C52" s="97">
        <f t="shared" si="13"/>
        <v>106.28669576999999</v>
      </c>
      <c r="D52" s="97">
        <f t="shared" si="14"/>
        <v>1820.6560213100001</v>
      </c>
      <c r="E52" s="97">
        <f t="shared" si="14"/>
        <v>42.403427190000002</v>
      </c>
      <c r="F52" s="97">
        <v>878.37206065999999</v>
      </c>
      <c r="G52" s="97">
        <v>34.81190411</v>
      </c>
      <c r="H52" s="97">
        <v>942.28396065000004</v>
      </c>
      <c r="I52" s="97">
        <v>7.59152308</v>
      </c>
      <c r="J52" s="97">
        <f t="shared" si="15"/>
        <v>1637.83606831</v>
      </c>
      <c r="K52" s="97">
        <f t="shared" si="15"/>
        <v>63.883268579999999</v>
      </c>
      <c r="L52" s="97">
        <v>549.61039925</v>
      </c>
      <c r="M52" s="97">
        <v>42.733137079999999</v>
      </c>
      <c r="N52" s="99">
        <v>1088.22566906</v>
      </c>
      <c r="O52" s="99">
        <v>21.150131500000001</v>
      </c>
      <c r="CC52" s="12">
        <f>CC54+CC55+CC56+CC57</f>
        <v>484</v>
      </c>
      <c r="CD52" s="228">
        <f t="shared" si="3"/>
        <v>484</v>
      </c>
    </row>
    <row r="53" spans="1:82" ht="12.75" hidden="1">
      <c r="A53" s="2183" t="s">
        <v>24</v>
      </c>
      <c r="B53" s="2185">
        <f t="shared" si="13"/>
        <v>3443.9037720199999</v>
      </c>
      <c r="C53" s="97">
        <f t="shared" si="13"/>
        <v>107.71368218999999</v>
      </c>
      <c r="D53" s="97">
        <f t="shared" si="14"/>
        <v>1838.23049614</v>
      </c>
      <c r="E53" s="97">
        <f t="shared" si="14"/>
        <v>44.215449159999999</v>
      </c>
      <c r="F53" s="97">
        <v>807.25287299000001</v>
      </c>
      <c r="G53" s="97">
        <v>35.53334838</v>
      </c>
      <c r="H53" s="97">
        <v>1030.97762315</v>
      </c>
      <c r="I53" s="97">
        <v>8.6821007800000007</v>
      </c>
      <c r="J53" s="97">
        <f t="shared" si="15"/>
        <v>1605.6732758799999</v>
      </c>
      <c r="K53" s="97">
        <f t="shared" si="15"/>
        <v>63.498233029999994</v>
      </c>
      <c r="L53" s="97">
        <v>527.74719088999996</v>
      </c>
      <c r="M53" s="97">
        <v>42.035959009999999</v>
      </c>
      <c r="N53" s="99">
        <v>1077.9260849899999</v>
      </c>
      <c r="O53" s="99">
        <v>21.462274019999999</v>
      </c>
      <c r="CD53" s="228"/>
    </row>
    <row r="54" spans="1:82" ht="12.75" hidden="1">
      <c r="A54" s="2183" t="s">
        <v>25</v>
      </c>
      <c r="B54" s="2185">
        <f t="shared" si="13"/>
        <v>3573.0027270299997</v>
      </c>
      <c r="C54" s="97">
        <f t="shared" si="13"/>
        <v>103.08589524</v>
      </c>
      <c r="D54" s="97">
        <f t="shared" si="14"/>
        <v>1979.26731178</v>
      </c>
      <c r="E54" s="97">
        <f t="shared" si="14"/>
        <v>41.428203920000001</v>
      </c>
      <c r="F54" s="97">
        <v>868.90736747000005</v>
      </c>
      <c r="G54" s="97">
        <v>31.938878190000001</v>
      </c>
      <c r="H54" s="97">
        <v>1110.3599443099999</v>
      </c>
      <c r="I54" s="97">
        <v>9.4893257299999991</v>
      </c>
      <c r="J54" s="97">
        <f t="shared" si="15"/>
        <v>1593.73541525</v>
      </c>
      <c r="K54" s="97">
        <f t="shared" si="15"/>
        <v>61.657691319999998</v>
      </c>
      <c r="L54" s="97">
        <v>540.18858597999997</v>
      </c>
      <c r="M54" s="97">
        <v>40.119622939999999</v>
      </c>
      <c r="N54" s="99">
        <v>1053.54682927</v>
      </c>
      <c r="O54" s="99">
        <v>21.538068379999999</v>
      </c>
      <c r="CC54" s="12">
        <v>1214</v>
      </c>
      <c r="CD54" s="228">
        <f t="shared" si="3"/>
        <v>1214</v>
      </c>
    </row>
    <row r="55" spans="1:82" ht="12.75" hidden="1">
      <c r="A55" s="2183" t="s">
        <v>26</v>
      </c>
      <c r="B55" s="2185">
        <f t="shared" si="13"/>
        <v>3771.25162757</v>
      </c>
      <c r="C55" s="97">
        <f t="shared" si="13"/>
        <v>96.306606109999905</v>
      </c>
      <c r="D55" s="97">
        <f t="shared" si="14"/>
        <v>2101.7462428399999</v>
      </c>
      <c r="E55" s="97">
        <f t="shared" si="14"/>
        <v>38.847426050000003</v>
      </c>
      <c r="F55" s="97">
        <v>905.94934911999997</v>
      </c>
      <c r="G55" s="97">
        <v>31.325000660000001</v>
      </c>
      <c r="H55" s="97">
        <v>1195.7968937200001</v>
      </c>
      <c r="I55" s="97">
        <v>7.5224253900000004</v>
      </c>
      <c r="J55" s="97">
        <f t="shared" si="15"/>
        <v>1669.5053847300001</v>
      </c>
      <c r="K55" s="97">
        <f t="shared" si="15"/>
        <v>57.459180059999902</v>
      </c>
      <c r="L55" s="97">
        <v>570.49333809999996</v>
      </c>
      <c r="M55" s="97">
        <v>36.1642611299999</v>
      </c>
      <c r="N55" s="99">
        <v>1099.01204663</v>
      </c>
      <c r="O55" s="99">
        <v>21.294918930000001</v>
      </c>
      <c r="CC55" s="12">
        <v>-745</v>
      </c>
      <c r="CD55" s="228">
        <f t="shared" si="3"/>
        <v>-745</v>
      </c>
    </row>
    <row r="56" spans="1:82" ht="12.75" hidden="1">
      <c r="A56" s="2183" t="s">
        <v>27</v>
      </c>
      <c r="B56" s="2185">
        <f t="shared" si="13"/>
        <v>4050.0154233600006</v>
      </c>
      <c r="C56" s="97">
        <f>E56+K56</f>
        <v>99.726926789999993</v>
      </c>
      <c r="D56" s="97">
        <f t="shared" si="14"/>
        <v>2183.2833227700003</v>
      </c>
      <c r="E56" s="97">
        <f t="shared" si="14"/>
        <v>42.94792459</v>
      </c>
      <c r="F56" s="97">
        <v>908.98237415000006</v>
      </c>
      <c r="G56" s="97">
        <v>34.965783020000003</v>
      </c>
      <c r="H56" s="97">
        <v>1274.3009486200001</v>
      </c>
      <c r="I56" s="97">
        <v>7.9821415699999996</v>
      </c>
      <c r="J56" s="97">
        <f t="shared" si="15"/>
        <v>1866.7321005900001</v>
      </c>
      <c r="K56" s="97">
        <f t="shared" si="15"/>
        <v>56.779002200000001</v>
      </c>
      <c r="L56" s="97">
        <v>587.28107178000005</v>
      </c>
      <c r="M56" s="97">
        <v>34.742478380000001</v>
      </c>
      <c r="N56" s="99">
        <v>1279.45102881</v>
      </c>
      <c r="O56" s="99">
        <v>22.036523819999999</v>
      </c>
      <c r="CC56" s="12">
        <v>0</v>
      </c>
      <c r="CD56" s="228">
        <f>BY56+BZ56+CA56+CC56</f>
        <v>0</v>
      </c>
    </row>
    <row r="57" spans="1:82" ht="12.75" hidden="1">
      <c r="A57" s="2183" t="s">
        <v>28</v>
      </c>
      <c r="B57" s="2185">
        <f t="shared" si="13"/>
        <v>4340.2819493499992</v>
      </c>
      <c r="C57" s="97">
        <f>E57+K57</f>
        <v>98.186749480000003</v>
      </c>
      <c r="D57" s="97">
        <f t="shared" si="14"/>
        <v>2323.2791536599998</v>
      </c>
      <c r="E57" s="97">
        <f t="shared" si="14"/>
        <v>40.930602820000004</v>
      </c>
      <c r="F57" s="97">
        <v>982.45195149999995</v>
      </c>
      <c r="G57" s="97">
        <v>32.388258</v>
      </c>
      <c r="H57" s="97">
        <v>1340.8272021600001</v>
      </c>
      <c r="I57" s="97">
        <v>8.5423448200000003</v>
      </c>
      <c r="J57" s="97">
        <f>L57+N57</f>
        <v>2017.0027956899999</v>
      </c>
      <c r="K57" s="97">
        <f>M57+O57</f>
        <v>57.256146659999999</v>
      </c>
      <c r="L57" s="97">
        <v>594.81931666000003</v>
      </c>
      <c r="M57" s="97">
        <v>35.481290399999999</v>
      </c>
      <c r="N57" s="99">
        <v>1422.1834790299999</v>
      </c>
      <c r="O57" s="99">
        <v>21.77485626</v>
      </c>
      <c r="CC57" s="12">
        <v>15</v>
      </c>
      <c r="CD57" s="228">
        <f>BY57+BZ57+CA57+CC57</f>
        <v>15</v>
      </c>
    </row>
    <row r="58" spans="1:82" ht="12.75" hidden="1">
      <c r="A58" s="331" t="s">
        <v>29</v>
      </c>
      <c r="B58" s="500">
        <f>D58+J58</f>
        <v>4681.7733614700001</v>
      </c>
      <c r="C58" s="246">
        <f>E58+K58</f>
        <v>100.26732249</v>
      </c>
      <c r="D58" s="246">
        <f t="shared" si="14"/>
        <v>2513.70177728</v>
      </c>
      <c r="E58" s="246">
        <f t="shared" si="14"/>
        <v>44.94659059</v>
      </c>
      <c r="F58" s="246">
        <v>1066.4238625</v>
      </c>
      <c r="G58" s="246">
        <v>35.695748559999998</v>
      </c>
      <c r="H58" s="246">
        <v>1447.2779147799999</v>
      </c>
      <c r="I58" s="246">
        <v>9.2508420299999994</v>
      </c>
      <c r="J58" s="246">
        <f>L58+N58</f>
        <v>2168.0715841900001</v>
      </c>
      <c r="K58" s="246">
        <f>M58+O58</f>
        <v>55.320731899999998</v>
      </c>
      <c r="L58" s="246">
        <v>583.11922074999995</v>
      </c>
      <c r="M58" s="246">
        <v>33.836045069999997</v>
      </c>
      <c r="N58" s="237">
        <v>1584.95236344</v>
      </c>
      <c r="O58" s="237">
        <v>21.484686830000001</v>
      </c>
      <c r="CC58" s="12">
        <v>-372</v>
      </c>
      <c r="CD58" s="228">
        <f>BY58+BZ58+CA58+CC58</f>
        <v>-372</v>
      </c>
    </row>
    <row r="59" spans="1:82" ht="12.75" hidden="1">
      <c r="A59" s="331"/>
      <c r="B59" s="500"/>
      <c r="C59" s="246"/>
      <c r="D59" s="246"/>
      <c r="E59" s="246"/>
      <c r="F59" s="246"/>
      <c r="G59" s="246"/>
      <c r="H59" s="246"/>
      <c r="I59" s="246"/>
      <c r="J59" s="246"/>
      <c r="K59" s="246"/>
      <c r="L59" s="246"/>
      <c r="M59" s="246"/>
      <c r="N59" s="237"/>
      <c r="O59" s="237"/>
      <c r="CC59" s="12">
        <v>-231</v>
      </c>
      <c r="CD59" s="228">
        <f>BY59+BZ59+CA59+CC59</f>
        <v>-231</v>
      </c>
    </row>
    <row r="60" spans="1:82" ht="12.75">
      <c r="A60" s="377">
        <v>2008</v>
      </c>
      <c r="B60" s="500">
        <f>+B72</f>
        <v>7191.2507889600001</v>
      </c>
      <c r="C60" s="237">
        <f t="shared" ref="C60:O60" si="16">+C72</f>
        <v>159.79559122000001</v>
      </c>
      <c r="D60" s="500">
        <f t="shared" si="16"/>
        <v>3672.89474685</v>
      </c>
      <c r="E60" s="500">
        <f t="shared" si="16"/>
        <v>93.198621410000001</v>
      </c>
      <c r="F60" s="500">
        <f t="shared" si="16"/>
        <v>1346.8910019299999</v>
      </c>
      <c r="G60" s="500">
        <f t="shared" si="16"/>
        <v>55.991019850000001</v>
      </c>
      <c r="H60" s="500">
        <f t="shared" si="16"/>
        <v>2326.0037449199999</v>
      </c>
      <c r="I60" s="500">
        <f t="shared" si="16"/>
        <v>37.207601560000001</v>
      </c>
      <c r="J60" s="500">
        <f t="shared" si="16"/>
        <v>3518.3560421099996</v>
      </c>
      <c r="K60" s="500">
        <f t="shared" si="16"/>
        <v>66.59696980999999</v>
      </c>
      <c r="L60" s="500">
        <f t="shared" si="16"/>
        <v>948.96527393999997</v>
      </c>
      <c r="M60" s="500">
        <f t="shared" si="16"/>
        <v>40.706334929999997</v>
      </c>
      <c r="N60" s="500">
        <f t="shared" si="16"/>
        <v>2569.3907681699998</v>
      </c>
      <c r="O60" s="237">
        <f t="shared" si="16"/>
        <v>25.89063488</v>
      </c>
      <c r="CD60" s="228"/>
    </row>
    <row r="61" spans="1:82" ht="12.75" hidden="1">
      <c r="A61" s="331" t="s">
        <v>18</v>
      </c>
      <c r="B61" s="500">
        <f t="shared" ref="B61:C72" si="17">D61+J61</f>
        <v>4758.2469343600005</v>
      </c>
      <c r="C61" s="500">
        <f t="shared" si="17"/>
        <v>99.579425850000007</v>
      </c>
      <c r="D61" s="500">
        <f t="shared" ref="D61:E70" si="18">F61+H61</f>
        <v>2546.9075938199999</v>
      </c>
      <c r="E61" s="500">
        <f t="shared" si="18"/>
        <v>42.433151000000002</v>
      </c>
      <c r="F61" s="500">
        <v>1042.6064011399999</v>
      </c>
      <c r="G61" s="500">
        <v>31.78955637</v>
      </c>
      <c r="H61" s="500">
        <v>1504.30119268</v>
      </c>
      <c r="I61" s="500">
        <v>10.643594630000001</v>
      </c>
      <c r="J61" s="500">
        <f t="shared" ref="J61:K70" si="19">L61+N61</f>
        <v>2211.3393405400002</v>
      </c>
      <c r="K61" s="500">
        <f t="shared" si="19"/>
        <v>57.146274849999998</v>
      </c>
      <c r="L61" s="500">
        <v>595.51169585000002</v>
      </c>
      <c r="M61" s="500">
        <v>34.47319194</v>
      </c>
      <c r="N61" s="500">
        <v>1615.8276446899999</v>
      </c>
      <c r="O61" s="500">
        <v>22.673082910000002</v>
      </c>
      <c r="CC61" s="12">
        <f>CC7+CC45-CC47+CC58-CC59</f>
        <v>0</v>
      </c>
      <c r="CD61" s="228">
        <f>BY61+BZ61+CA61+CC61</f>
        <v>0</v>
      </c>
    </row>
    <row r="62" spans="1:82" ht="12.75" hidden="1">
      <c r="A62" s="331" t="s">
        <v>19</v>
      </c>
      <c r="B62" s="500">
        <f t="shared" si="17"/>
        <v>4812.1859055799996</v>
      </c>
      <c r="C62" s="500">
        <f t="shared" si="17"/>
        <v>108.24244997</v>
      </c>
      <c r="D62" s="500">
        <f t="shared" si="18"/>
        <v>2653.1154218000001</v>
      </c>
      <c r="E62" s="500">
        <f t="shared" si="18"/>
        <v>49.466104229999999</v>
      </c>
      <c r="F62" s="500">
        <v>1108.68764622</v>
      </c>
      <c r="G62" s="500">
        <v>36.941597309999999</v>
      </c>
      <c r="H62" s="500">
        <v>1544.4277755799999</v>
      </c>
      <c r="I62" s="500">
        <v>12.52450692</v>
      </c>
      <c r="J62" s="500">
        <f t="shared" si="19"/>
        <v>2159.0704837799999</v>
      </c>
      <c r="K62" s="500">
        <f t="shared" si="19"/>
        <v>58.776345739999996</v>
      </c>
      <c r="L62" s="500">
        <v>614.69669904</v>
      </c>
      <c r="M62" s="500">
        <v>35.842498689999999</v>
      </c>
      <c r="N62" s="500">
        <v>1544.37378474</v>
      </c>
      <c r="O62" s="500">
        <v>22.933847050000001</v>
      </c>
    </row>
    <row r="63" spans="1:82" ht="12.75" hidden="1">
      <c r="A63" s="331" t="s">
        <v>20</v>
      </c>
      <c r="B63" s="500">
        <f t="shared" si="17"/>
        <v>4932.1251997100007</v>
      </c>
      <c r="C63" s="500">
        <f t="shared" si="17"/>
        <v>102.78926656</v>
      </c>
      <c r="D63" s="500">
        <f t="shared" si="18"/>
        <v>2763.2811403300002</v>
      </c>
      <c r="E63" s="500">
        <f t="shared" si="18"/>
        <v>44.984149930000001</v>
      </c>
      <c r="F63" s="500">
        <v>1106.3153144</v>
      </c>
      <c r="G63" s="500">
        <v>30.760468079999999</v>
      </c>
      <c r="H63" s="500">
        <v>1656.9658259299999</v>
      </c>
      <c r="I63" s="500">
        <v>14.22368185</v>
      </c>
      <c r="J63" s="500">
        <f t="shared" si="19"/>
        <v>2168.8440593800001</v>
      </c>
      <c r="K63" s="500">
        <f t="shared" si="19"/>
        <v>57.805116630000001</v>
      </c>
      <c r="L63" s="500">
        <v>612.92879736999998</v>
      </c>
      <c r="M63" s="500">
        <v>35.50611147</v>
      </c>
      <c r="N63" s="500">
        <v>1555.9152620100001</v>
      </c>
      <c r="O63" s="500">
        <v>22.29900516</v>
      </c>
    </row>
    <row r="64" spans="1:82" ht="12.75" hidden="1">
      <c r="A64" s="331" t="s">
        <v>21</v>
      </c>
      <c r="B64" s="500">
        <f t="shared" si="17"/>
        <v>5216.6671280999999</v>
      </c>
      <c r="C64" s="500">
        <f t="shared" si="17"/>
        <v>108.11394383999999</v>
      </c>
      <c r="D64" s="500">
        <f t="shared" si="18"/>
        <v>2967.8038667299998</v>
      </c>
      <c r="E64" s="500">
        <f t="shared" si="18"/>
        <v>50.019539039999998</v>
      </c>
      <c r="F64" s="500">
        <v>1219.31579141</v>
      </c>
      <c r="G64" s="500">
        <v>34.341788749999999</v>
      </c>
      <c r="H64" s="500">
        <v>1748.48807532</v>
      </c>
      <c r="I64" s="500">
        <v>15.677750290000001</v>
      </c>
      <c r="J64" s="500">
        <f t="shared" si="19"/>
        <v>2248.8632613700001</v>
      </c>
      <c r="K64" s="500">
        <f t="shared" si="19"/>
        <v>58.0944048</v>
      </c>
      <c r="L64" s="500">
        <v>615.33033164999995</v>
      </c>
      <c r="M64" s="500">
        <v>35.301565650000001</v>
      </c>
      <c r="N64" s="500">
        <v>1633.5329297200001</v>
      </c>
      <c r="O64" s="500">
        <v>22.792839149999999</v>
      </c>
    </row>
    <row r="65" spans="1:15" ht="12.75" hidden="1">
      <c r="A65" s="331" t="s">
        <v>22</v>
      </c>
      <c r="B65" s="500">
        <f t="shared" si="17"/>
        <v>6063.9725886700007</v>
      </c>
      <c r="C65" s="500">
        <f t="shared" si="17"/>
        <v>114.13362878</v>
      </c>
      <c r="D65" s="500">
        <f t="shared" si="18"/>
        <v>3135.3031295600003</v>
      </c>
      <c r="E65" s="500">
        <f t="shared" si="18"/>
        <v>56.954820589999997</v>
      </c>
      <c r="F65" s="500">
        <v>1246.8581863700001</v>
      </c>
      <c r="G65" s="500">
        <v>39.628800390000002</v>
      </c>
      <c r="H65" s="500">
        <v>1888.44494319</v>
      </c>
      <c r="I65" s="500">
        <v>17.326020199999999</v>
      </c>
      <c r="J65" s="500">
        <f t="shared" si="19"/>
        <v>2928.6694591100004</v>
      </c>
      <c r="K65" s="500">
        <f t="shared" si="19"/>
        <v>57.178808189999998</v>
      </c>
      <c r="L65" s="500">
        <v>618.67118245999995</v>
      </c>
      <c r="M65" s="500">
        <v>34.156726620000001</v>
      </c>
      <c r="N65" s="500">
        <v>2309.9982766500002</v>
      </c>
      <c r="O65" s="500">
        <v>23.022081570000001</v>
      </c>
    </row>
    <row r="66" spans="1:15" ht="12.75" hidden="1">
      <c r="A66" s="331" t="s">
        <v>23</v>
      </c>
      <c r="B66" s="500">
        <f t="shared" si="17"/>
        <v>6166.4532703000004</v>
      </c>
      <c r="C66" s="500">
        <f t="shared" si="17"/>
        <v>99.892589329999993</v>
      </c>
      <c r="D66" s="500">
        <f t="shared" si="18"/>
        <v>3278.6905256600003</v>
      </c>
      <c r="E66" s="500">
        <f t="shared" si="18"/>
        <v>48.24361743</v>
      </c>
      <c r="F66" s="500">
        <v>1263.1604646000001</v>
      </c>
      <c r="G66" s="500">
        <v>33.357679089999998</v>
      </c>
      <c r="H66" s="500">
        <v>2015.53006106</v>
      </c>
      <c r="I66" s="500">
        <v>14.885938339999999</v>
      </c>
      <c r="J66" s="500">
        <f t="shared" si="19"/>
        <v>2887.7627446400002</v>
      </c>
      <c r="K66" s="500">
        <f t="shared" si="19"/>
        <v>51.648971899999999</v>
      </c>
      <c r="L66" s="500">
        <v>585.25338438999995</v>
      </c>
      <c r="M66" s="500">
        <v>30.7342826</v>
      </c>
      <c r="N66" s="500">
        <v>2302.5093602500001</v>
      </c>
      <c r="O66" s="500">
        <v>20.914689299999999</v>
      </c>
    </row>
    <row r="67" spans="1:15" ht="12.75" hidden="1">
      <c r="A67" s="331" t="s">
        <v>24</v>
      </c>
      <c r="B67" s="500">
        <f t="shared" si="17"/>
        <v>6361.5449279599998</v>
      </c>
      <c r="C67" s="500">
        <f t="shared" si="17"/>
        <v>109.28017438000001</v>
      </c>
      <c r="D67" s="500">
        <f t="shared" si="18"/>
        <v>3448.6012749699998</v>
      </c>
      <c r="E67" s="500">
        <f t="shared" si="18"/>
        <v>55.787683130000005</v>
      </c>
      <c r="F67" s="500">
        <v>1339.6302089999999</v>
      </c>
      <c r="G67" s="500">
        <v>39.36447545</v>
      </c>
      <c r="H67" s="500">
        <v>2108.9710659699999</v>
      </c>
      <c r="I67" s="500">
        <v>16.423207680000001</v>
      </c>
      <c r="J67" s="500">
        <f t="shared" si="19"/>
        <v>2912.9436529899999</v>
      </c>
      <c r="K67" s="500">
        <f t="shared" si="19"/>
        <v>53.49249125</v>
      </c>
      <c r="L67" s="500">
        <v>591.01541699999996</v>
      </c>
      <c r="M67" s="500">
        <v>29.506099599999999</v>
      </c>
      <c r="N67" s="500">
        <v>2321.9282359899998</v>
      </c>
      <c r="O67" s="500">
        <v>23.986391650000002</v>
      </c>
    </row>
    <row r="68" spans="1:15" ht="12.75" hidden="1">
      <c r="A68" s="331" t="s">
        <v>25</v>
      </c>
      <c r="B68" s="500">
        <f t="shared" si="17"/>
        <v>6455.0337008500001</v>
      </c>
      <c r="C68" s="500">
        <f t="shared" si="17"/>
        <v>122.87884367000001</v>
      </c>
      <c r="D68" s="500">
        <f t="shared" si="18"/>
        <v>3526.2100869999999</v>
      </c>
      <c r="E68" s="500">
        <f t="shared" si="18"/>
        <v>67.700320480000002</v>
      </c>
      <c r="F68" s="500">
        <v>1362.18215577</v>
      </c>
      <c r="G68" s="500">
        <v>48.687316109999998</v>
      </c>
      <c r="H68" s="500">
        <v>2164.0279312299999</v>
      </c>
      <c r="I68" s="500">
        <v>19.013004370000001</v>
      </c>
      <c r="J68" s="500">
        <f t="shared" si="19"/>
        <v>2928.8236138500001</v>
      </c>
      <c r="K68" s="500">
        <f t="shared" si="19"/>
        <v>55.17852319</v>
      </c>
      <c r="L68" s="500">
        <v>617.63597505999996</v>
      </c>
      <c r="M68" s="500">
        <v>30.39619167</v>
      </c>
      <c r="N68" s="500">
        <v>2311.1876387900002</v>
      </c>
      <c r="O68" s="500">
        <v>24.78233152</v>
      </c>
    </row>
    <row r="69" spans="1:15" ht="12.75" hidden="1">
      <c r="A69" s="331" t="s">
        <v>26</v>
      </c>
      <c r="B69" s="500">
        <f t="shared" si="17"/>
        <v>6604.7275165600004</v>
      </c>
      <c r="C69" s="500">
        <f t="shared" si="17"/>
        <v>139.27907212</v>
      </c>
      <c r="D69" s="500">
        <f t="shared" si="18"/>
        <v>3648.09502432</v>
      </c>
      <c r="E69" s="500">
        <f t="shared" si="18"/>
        <v>72.195300579999994</v>
      </c>
      <c r="F69" s="500">
        <v>1410.19141954</v>
      </c>
      <c r="G69" s="500">
        <v>50.347783669999998</v>
      </c>
      <c r="H69" s="500">
        <v>2237.90360478</v>
      </c>
      <c r="I69" s="500">
        <v>21.84751691</v>
      </c>
      <c r="J69" s="500">
        <f t="shared" si="19"/>
        <v>2956.6324922399999</v>
      </c>
      <c r="K69" s="500">
        <f t="shared" si="19"/>
        <v>67.083771540000001</v>
      </c>
      <c r="L69" s="500">
        <v>628.92526644999998</v>
      </c>
      <c r="M69" s="500">
        <v>42.383606810000003</v>
      </c>
      <c r="N69" s="500">
        <v>2327.7072257899999</v>
      </c>
      <c r="O69" s="500">
        <v>24.700164730000001</v>
      </c>
    </row>
    <row r="70" spans="1:15" ht="12.75" hidden="1">
      <c r="A70" s="331" t="s">
        <v>27</v>
      </c>
      <c r="B70" s="500">
        <f t="shared" si="17"/>
        <v>6697.4756245499993</v>
      </c>
      <c r="C70" s="500">
        <f t="shared" si="17"/>
        <v>142.62396127</v>
      </c>
      <c r="D70" s="500">
        <f t="shared" si="18"/>
        <v>3612.2919727999997</v>
      </c>
      <c r="E70" s="500">
        <f t="shared" si="18"/>
        <v>70.029850859999996</v>
      </c>
      <c r="F70" s="500">
        <v>1363.61203946</v>
      </c>
      <c r="G70" s="500">
        <v>45.965200889999998</v>
      </c>
      <c r="H70" s="500">
        <v>2248.6799333399999</v>
      </c>
      <c r="I70" s="500">
        <v>24.064649970000001</v>
      </c>
      <c r="J70" s="500">
        <f t="shared" si="19"/>
        <v>3085.1836517500001</v>
      </c>
      <c r="K70" s="500">
        <f t="shared" si="19"/>
        <v>72.594110409999999</v>
      </c>
      <c r="L70" s="500">
        <v>718.64289448</v>
      </c>
      <c r="M70" s="500">
        <v>46.83966684</v>
      </c>
      <c r="N70" s="500">
        <v>2366.5407572700001</v>
      </c>
      <c r="O70" s="500">
        <v>25.754443569999999</v>
      </c>
    </row>
    <row r="71" spans="1:15" ht="12.75" hidden="1">
      <c r="A71" s="331" t="s">
        <v>28</v>
      </c>
      <c r="B71" s="500">
        <f t="shared" si="17"/>
        <v>6855.4556472700006</v>
      </c>
      <c r="C71" s="500">
        <f t="shared" si="17"/>
        <v>145.3081349599999</v>
      </c>
      <c r="D71" s="500">
        <f>F71+H71</f>
        <v>3552.4102552300001</v>
      </c>
      <c r="E71" s="500">
        <f>G71+I71</f>
        <v>83.076173370000006</v>
      </c>
      <c r="F71" s="500">
        <v>1291.84440647</v>
      </c>
      <c r="G71" s="500">
        <v>51.499284930000002</v>
      </c>
      <c r="H71" s="500">
        <v>2260.5658487599999</v>
      </c>
      <c r="I71" s="500">
        <v>31.576888440000001</v>
      </c>
      <c r="J71" s="500">
        <f>L71+N71</f>
        <v>3303.0453920400005</v>
      </c>
      <c r="K71" s="500">
        <f>M71+O71</f>
        <v>62.231961589999898</v>
      </c>
      <c r="L71" s="500">
        <v>821.18087476000005</v>
      </c>
      <c r="M71" s="500">
        <v>36.651625209999999</v>
      </c>
      <c r="N71" s="500">
        <v>2481.8645172800002</v>
      </c>
      <c r="O71" s="500">
        <v>25.580336379999899</v>
      </c>
    </row>
    <row r="72" spans="1:15" ht="12.75" hidden="1">
      <c r="A72" s="331" t="s">
        <v>29</v>
      </c>
      <c r="B72" s="500">
        <f t="shared" si="17"/>
        <v>7191.2507889600001</v>
      </c>
      <c r="C72" s="500">
        <f t="shared" si="17"/>
        <v>159.79559122000001</v>
      </c>
      <c r="D72" s="500">
        <f>F72+H72</f>
        <v>3672.89474685</v>
      </c>
      <c r="E72" s="500">
        <f>G72+I72</f>
        <v>93.198621410000001</v>
      </c>
      <c r="F72" s="500">
        <v>1346.8910019299999</v>
      </c>
      <c r="G72" s="500">
        <v>55.991019850000001</v>
      </c>
      <c r="H72" s="500">
        <v>2326.0037449199999</v>
      </c>
      <c r="I72" s="500">
        <v>37.207601560000001</v>
      </c>
      <c r="J72" s="500">
        <f>L72+N72</f>
        <v>3518.3560421099996</v>
      </c>
      <c r="K72" s="500">
        <f>M72+O72</f>
        <v>66.59696980999999</v>
      </c>
      <c r="L72" s="500">
        <v>948.96527393999997</v>
      </c>
      <c r="M72" s="500">
        <v>40.706334929999997</v>
      </c>
      <c r="N72" s="500">
        <v>2569.3907681699998</v>
      </c>
      <c r="O72" s="500">
        <v>25.89063488</v>
      </c>
    </row>
    <row r="73" spans="1:15" ht="12.75">
      <c r="A73" s="331" t="s">
        <v>43</v>
      </c>
      <c r="B73" s="500">
        <f>+B85</f>
        <v>8407.4600296200006</v>
      </c>
      <c r="C73" s="500">
        <f t="shared" ref="C73:O73" si="20">+C85</f>
        <v>303.52331758999998</v>
      </c>
      <c r="D73" s="500">
        <f t="shared" si="20"/>
        <v>4886.1981022700002</v>
      </c>
      <c r="E73" s="500">
        <f t="shared" si="20"/>
        <v>195.13151715999999</v>
      </c>
      <c r="F73" s="500">
        <f t="shared" si="20"/>
        <v>1452.7366927099999</v>
      </c>
      <c r="G73" s="500">
        <f t="shared" si="20"/>
        <v>92.069749439999995</v>
      </c>
      <c r="H73" s="500">
        <f t="shared" si="20"/>
        <v>3433.46140956</v>
      </c>
      <c r="I73" s="500">
        <f t="shared" si="20"/>
        <v>103.06176772000001</v>
      </c>
      <c r="J73" s="500">
        <f t="shared" si="20"/>
        <v>3521.26192735</v>
      </c>
      <c r="K73" s="500">
        <f t="shared" si="20"/>
        <v>108.39180043</v>
      </c>
      <c r="L73" s="500">
        <f t="shared" si="20"/>
        <v>907.21844865000003</v>
      </c>
      <c r="M73" s="500">
        <f t="shared" si="20"/>
        <v>66.135501680000004</v>
      </c>
      <c r="N73" s="500">
        <f t="shared" si="20"/>
        <v>2614.0434786999999</v>
      </c>
      <c r="O73" s="500">
        <f t="shared" si="20"/>
        <v>42.256298749999999</v>
      </c>
    </row>
    <row r="74" spans="1:15" ht="12.75" hidden="1">
      <c r="A74" s="331" t="s">
        <v>18</v>
      </c>
      <c r="B74" s="501">
        <f t="shared" ref="B74:C83" si="21">D74+J74</f>
        <v>7201.2873153199998</v>
      </c>
      <c r="C74" s="501">
        <f t="shared" si="21"/>
        <v>176.52751631000001</v>
      </c>
      <c r="D74" s="501">
        <f t="shared" ref="D74:E84" si="22">F74+H74</f>
        <v>3610.5896436100002</v>
      </c>
      <c r="E74" s="501">
        <f t="shared" si="22"/>
        <v>104.83367565</v>
      </c>
      <c r="F74" s="501">
        <v>1319.69853642</v>
      </c>
      <c r="G74" s="501">
        <v>63.273865800000003</v>
      </c>
      <c r="H74" s="501">
        <v>2290.8911071900002</v>
      </c>
      <c r="I74" s="501">
        <v>41.559809850000001</v>
      </c>
      <c r="J74" s="501">
        <f>L74+N74</f>
        <v>3590.6976717099997</v>
      </c>
      <c r="K74" s="501">
        <f t="shared" ref="K74:K83" si="23">M74+O74</f>
        <v>71.693840660000006</v>
      </c>
      <c r="L74" s="501">
        <v>969.92327141999999</v>
      </c>
      <c r="M74" s="501">
        <v>44.037169859999999</v>
      </c>
      <c r="N74" s="501">
        <v>2620.7744002899999</v>
      </c>
      <c r="O74" s="501">
        <v>27.656670800000001</v>
      </c>
    </row>
    <row r="75" spans="1:15" ht="12.75" hidden="1">
      <c r="A75" s="331" t="s">
        <v>19</v>
      </c>
      <c r="B75" s="501">
        <f t="shared" si="21"/>
        <v>6692.53476133</v>
      </c>
      <c r="C75" s="501">
        <f t="shared" si="21"/>
        <v>183.41390215000001</v>
      </c>
      <c r="D75" s="501">
        <f t="shared" si="22"/>
        <v>3553.5806159600002</v>
      </c>
      <c r="E75" s="501">
        <f t="shared" si="22"/>
        <v>108.4450075</v>
      </c>
      <c r="F75" s="501">
        <v>1271.77045228</v>
      </c>
      <c r="G75" s="501">
        <v>63.983731089999999</v>
      </c>
      <c r="H75" s="501">
        <v>2281.8101636800002</v>
      </c>
      <c r="I75" s="501">
        <v>44.461276410000004</v>
      </c>
      <c r="J75" s="501">
        <v>3138.9541453699999</v>
      </c>
      <c r="K75" s="501">
        <f t="shared" si="23"/>
        <v>74.96889465000001</v>
      </c>
      <c r="L75" s="501">
        <v>770.50758135000001</v>
      </c>
      <c r="M75" s="501">
        <v>46.304408440000003</v>
      </c>
      <c r="N75" s="501">
        <v>2368.4465640200001</v>
      </c>
      <c r="O75" s="501">
        <v>28.66448621</v>
      </c>
    </row>
    <row r="76" spans="1:15" ht="12.75" hidden="1">
      <c r="A76" s="331" t="s">
        <v>20</v>
      </c>
      <c r="B76" s="501">
        <f t="shared" si="21"/>
        <v>6221.2878867799991</v>
      </c>
      <c r="C76" s="501">
        <f t="shared" si="21"/>
        <v>195.86626412000001</v>
      </c>
      <c r="D76" s="501">
        <f t="shared" si="22"/>
        <v>3472.2304877399997</v>
      </c>
      <c r="E76" s="501">
        <f t="shared" si="22"/>
        <v>124.1653196</v>
      </c>
      <c r="F76" s="501">
        <v>1267.1236188299999</v>
      </c>
      <c r="G76" s="501">
        <v>74.319480110000001</v>
      </c>
      <c r="H76" s="501">
        <v>2205.1068689099998</v>
      </c>
      <c r="I76" s="501">
        <v>49.845839490000003</v>
      </c>
      <c r="J76" s="501">
        <v>2749.0573990399998</v>
      </c>
      <c r="K76" s="501">
        <f t="shared" si="23"/>
        <v>71.700944520000007</v>
      </c>
      <c r="L76" s="501">
        <v>803.06104772000003</v>
      </c>
      <c r="M76" s="501">
        <v>43.783841150000008</v>
      </c>
      <c r="N76" s="501">
        <v>1945.99635132</v>
      </c>
      <c r="O76" s="501">
        <v>27.917103369999992</v>
      </c>
    </row>
    <row r="77" spans="1:15" ht="12.75" hidden="1">
      <c r="A77" s="331" t="s">
        <v>21</v>
      </c>
      <c r="B77" s="501">
        <f t="shared" si="21"/>
        <v>6278.4443567199996</v>
      </c>
      <c r="C77" s="501">
        <f t="shared" si="21"/>
        <v>200.80396353</v>
      </c>
      <c r="D77" s="501">
        <f>F77+H77</f>
        <v>3477.1453540299999</v>
      </c>
      <c r="E77" s="501">
        <f>G77+I77</f>
        <v>122.71846779000001</v>
      </c>
      <c r="F77" s="501">
        <v>1265.9310301200001</v>
      </c>
      <c r="G77" s="501">
        <v>68.573703050000006</v>
      </c>
      <c r="H77" s="501">
        <v>2211.2143239100001</v>
      </c>
      <c r="I77" s="501">
        <v>54.144764739999999</v>
      </c>
      <c r="J77" s="501">
        <f t="shared" ref="J77:J84" si="24">L77+N77</f>
        <v>2801.2990026900002</v>
      </c>
      <c r="K77" s="501">
        <f t="shared" si="23"/>
        <v>78.085495739999999</v>
      </c>
      <c r="L77" s="501">
        <v>830.99839454000005</v>
      </c>
      <c r="M77" s="501">
        <v>47.553925659999997</v>
      </c>
      <c r="N77" s="501">
        <v>1970.30060815</v>
      </c>
      <c r="O77" s="501">
        <v>30.531570080000002</v>
      </c>
    </row>
    <row r="78" spans="1:15" ht="12.75" hidden="1">
      <c r="A78" s="331" t="s">
        <v>22</v>
      </c>
      <c r="B78" s="501">
        <f t="shared" si="21"/>
        <v>6355.9950000000008</v>
      </c>
      <c r="C78" s="501">
        <v>209.21199999999999</v>
      </c>
      <c r="D78" s="501">
        <f t="shared" si="22"/>
        <v>3446.4620000000004</v>
      </c>
      <c r="E78" s="501">
        <f t="shared" si="22"/>
        <v>131.91399999999999</v>
      </c>
      <c r="F78" s="501">
        <v>1238.606</v>
      </c>
      <c r="G78" s="501">
        <v>67.543000000000006</v>
      </c>
      <c r="H78" s="501">
        <v>2207.8560000000002</v>
      </c>
      <c r="I78" s="501">
        <v>64.370999999999995</v>
      </c>
      <c r="J78" s="501">
        <f t="shared" si="24"/>
        <v>2909.5329999999999</v>
      </c>
      <c r="K78" s="501">
        <f t="shared" si="23"/>
        <v>77.298000000000002</v>
      </c>
      <c r="L78" s="501">
        <v>874.68600000000004</v>
      </c>
      <c r="M78" s="501">
        <v>44.744999999999997</v>
      </c>
      <c r="N78" s="501">
        <v>2034.847</v>
      </c>
      <c r="O78" s="501">
        <v>32.552999999999997</v>
      </c>
    </row>
    <row r="79" spans="1:15" ht="12.75" hidden="1">
      <c r="A79" s="331" t="s">
        <v>23</v>
      </c>
      <c r="B79" s="501">
        <f t="shared" si="21"/>
        <v>6463.7888553100001</v>
      </c>
      <c r="C79" s="501">
        <v>242.75732969000001</v>
      </c>
      <c r="D79" s="501">
        <f t="shared" si="22"/>
        <v>3469.86105456</v>
      </c>
      <c r="E79" s="501">
        <f t="shared" si="22"/>
        <v>156.63998874000001</v>
      </c>
      <c r="F79" s="501">
        <v>1239.4289935500001</v>
      </c>
      <c r="G79" s="501">
        <v>77.138238830000006</v>
      </c>
      <c r="H79" s="501">
        <v>2230.4320610099999</v>
      </c>
      <c r="I79" s="501">
        <v>79.501749910000001</v>
      </c>
      <c r="J79" s="501">
        <f t="shared" si="24"/>
        <v>2993.9278007499997</v>
      </c>
      <c r="K79" s="501">
        <f t="shared" si="23"/>
        <v>86.117340949999999</v>
      </c>
      <c r="L79" s="501">
        <v>879.95478892000006</v>
      </c>
      <c r="M79" s="501">
        <v>50.723724470000001</v>
      </c>
      <c r="N79" s="501">
        <v>2113.9730118299999</v>
      </c>
      <c r="O79" s="501">
        <v>35.393616479999999</v>
      </c>
    </row>
    <row r="80" spans="1:15" ht="12.75" hidden="1">
      <c r="A80" s="331" t="s">
        <v>24</v>
      </c>
      <c r="B80" s="501">
        <f t="shared" si="21"/>
        <v>7229.1999974600003</v>
      </c>
      <c r="C80" s="501">
        <f t="shared" ref="C80:C85" si="25">+E80+K80</f>
        <v>262.43878831000001</v>
      </c>
      <c r="D80" s="501">
        <f t="shared" si="22"/>
        <v>3856.4756855999999</v>
      </c>
      <c r="E80" s="501">
        <f t="shared" si="22"/>
        <v>173.75265096999999</v>
      </c>
      <c r="F80" s="501">
        <v>1202.67554135</v>
      </c>
      <c r="G80" s="501">
        <v>86.446341110000006</v>
      </c>
      <c r="H80" s="501">
        <v>2653.8001442499999</v>
      </c>
      <c r="I80" s="501">
        <v>87.306309859999999</v>
      </c>
      <c r="J80" s="501">
        <f t="shared" si="24"/>
        <v>3372.7243118599999</v>
      </c>
      <c r="K80" s="501">
        <f t="shared" si="23"/>
        <v>88.686137340000002</v>
      </c>
      <c r="L80" s="501">
        <v>913.89950198999998</v>
      </c>
      <c r="M80" s="501">
        <v>54.810189860000001</v>
      </c>
      <c r="N80" s="501">
        <v>2458.8248098700001</v>
      </c>
      <c r="O80" s="501">
        <v>33.875947480000001</v>
      </c>
    </row>
    <row r="81" spans="1:15" ht="12.75" hidden="1">
      <c r="A81" s="331" t="s">
        <v>25</v>
      </c>
      <c r="B81" s="501">
        <f t="shared" si="21"/>
        <v>7629.8486843799992</v>
      </c>
      <c r="C81" s="501">
        <f t="shared" si="25"/>
        <v>274.92399977999997</v>
      </c>
      <c r="D81" s="501">
        <f t="shared" si="22"/>
        <v>4245.6556973999996</v>
      </c>
      <c r="E81" s="501">
        <f t="shared" si="22"/>
        <v>180.14971553999999</v>
      </c>
      <c r="F81" s="501">
        <v>1220.75213603</v>
      </c>
      <c r="G81" s="501">
        <v>91.932462319999999</v>
      </c>
      <c r="H81" s="501">
        <v>3024.9035613699998</v>
      </c>
      <c r="I81" s="501">
        <v>88.217253220000003</v>
      </c>
      <c r="J81" s="501">
        <f t="shared" si="24"/>
        <v>3384.1929869799997</v>
      </c>
      <c r="K81" s="501">
        <f t="shared" si="23"/>
        <v>94.77428424</v>
      </c>
      <c r="L81" s="501">
        <v>912.49400184000001</v>
      </c>
      <c r="M81" s="501">
        <v>59.542978769999998</v>
      </c>
      <c r="N81" s="501">
        <v>2471.6989851399999</v>
      </c>
      <c r="O81" s="501">
        <v>35.231305470000002</v>
      </c>
    </row>
    <row r="82" spans="1:15" ht="12.75" hidden="1">
      <c r="A82" s="331" t="s">
        <v>26</v>
      </c>
      <c r="B82" s="501">
        <f t="shared" si="21"/>
        <v>7780.8130340600001</v>
      </c>
      <c r="C82" s="501">
        <f t="shared" si="25"/>
        <v>309.36373753999999</v>
      </c>
      <c r="D82" s="501">
        <f t="shared" si="22"/>
        <v>4310.2353606899997</v>
      </c>
      <c r="E82" s="501">
        <f t="shared" si="22"/>
        <v>195.00176833</v>
      </c>
      <c r="F82" s="501">
        <v>1233.0757430399999</v>
      </c>
      <c r="G82" s="501">
        <v>104.92135708000001</v>
      </c>
      <c r="H82" s="501">
        <v>3077.1596176500002</v>
      </c>
      <c r="I82" s="501">
        <v>90.080411249999997</v>
      </c>
      <c r="J82" s="501">
        <f t="shared" si="24"/>
        <v>3470.57767337</v>
      </c>
      <c r="K82" s="501">
        <f t="shared" si="23"/>
        <v>114.36196921</v>
      </c>
      <c r="L82" s="501">
        <v>925.95097943999997</v>
      </c>
      <c r="M82" s="501">
        <v>76.805558509999997</v>
      </c>
      <c r="N82" s="501">
        <v>2544.6266939299999</v>
      </c>
      <c r="O82" s="501">
        <v>37.556410700000001</v>
      </c>
    </row>
    <row r="83" spans="1:15" ht="12.75" hidden="1">
      <c r="A83" s="331" t="s">
        <v>27</v>
      </c>
      <c r="B83" s="501">
        <f t="shared" si="21"/>
        <v>7963.7234948000005</v>
      </c>
      <c r="C83" s="501">
        <f t="shared" si="25"/>
        <v>290.01943205999999</v>
      </c>
      <c r="D83" s="501">
        <f t="shared" si="22"/>
        <v>4431.0267724699997</v>
      </c>
      <c r="E83" s="501">
        <f t="shared" si="22"/>
        <v>169.98255532000002</v>
      </c>
      <c r="F83" s="501">
        <v>1309.9614254799999</v>
      </c>
      <c r="G83" s="501">
        <v>82.425575789999996</v>
      </c>
      <c r="H83" s="501">
        <v>3121.0653469899999</v>
      </c>
      <c r="I83" s="501">
        <v>87.556979530000007</v>
      </c>
      <c r="J83" s="501">
        <f t="shared" si="24"/>
        <v>3532.6967223300003</v>
      </c>
      <c r="K83" s="501">
        <f t="shared" si="23"/>
        <v>120.03687674</v>
      </c>
      <c r="L83" s="501">
        <v>954.70809326000006</v>
      </c>
      <c r="M83" s="501">
        <v>82.331592760000007</v>
      </c>
      <c r="N83" s="501">
        <v>2577.9886290700001</v>
      </c>
      <c r="O83" s="501">
        <v>37.705283979999997</v>
      </c>
    </row>
    <row r="84" spans="1:15" ht="12.75" hidden="1">
      <c r="A84" s="331" t="s">
        <v>28</v>
      </c>
      <c r="B84" s="501">
        <f>D84+J84</f>
        <v>8064.5616917299994</v>
      </c>
      <c r="C84" s="501">
        <f t="shared" si="25"/>
        <v>272.89767503999997</v>
      </c>
      <c r="D84" s="501">
        <f t="shared" si="22"/>
        <v>4479.9237752999998</v>
      </c>
      <c r="E84" s="501">
        <f>G84+I84</f>
        <v>176.94820530999999</v>
      </c>
      <c r="F84" s="501">
        <v>1309.4257072400001</v>
      </c>
      <c r="G84" s="501">
        <v>81.890965440000002</v>
      </c>
      <c r="H84" s="501">
        <v>3170.4980680600002</v>
      </c>
      <c r="I84" s="501">
        <v>95.057239870000004</v>
      </c>
      <c r="J84" s="501">
        <f t="shared" si="24"/>
        <v>3584.6379164299997</v>
      </c>
      <c r="K84" s="501">
        <f>M84+O84</f>
        <v>95.949469730000004</v>
      </c>
      <c r="L84" s="501">
        <v>987.36144152999998</v>
      </c>
      <c r="M84" s="501">
        <v>57.371522130000002</v>
      </c>
      <c r="N84" s="501">
        <v>2597.2764748999998</v>
      </c>
      <c r="O84" s="501">
        <v>38.577947600000002</v>
      </c>
    </row>
    <row r="85" spans="1:15" ht="12.75" hidden="1">
      <c r="A85" s="331" t="s">
        <v>29</v>
      </c>
      <c r="B85" s="501">
        <f>D85+J85</f>
        <v>8407.4600296200006</v>
      </c>
      <c r="C85" s="501">
        <f t="shared" si="25"/>
        <v>303.52331758999998</v>
      </c>
      <c r="D85" s="501">
        <f>F85+H85</f>
        <v>4886.1981022700002</v>
      </c>
      <c r="E85" s="501">
        <f>G85+I85</f>
        <v>195.13151715999999</v>
      </c>
      <c r="F85" s="501">
        <v>1452.7366927099999</v>
      </c>
      <c r="G85" s="501">
        <v>92.069749439999995</v>
      </c>
      <c r="H85" s="501">
        <v>3433.46140956</v>
      </c>
      <c r="I85" s="501">
        <v>103.06176772000001</v>
      </c>
      <c r="J85" s="501">
        <f>L85+N85</f>
        <v>3521.26192735</v>
      </c>
      <c r="K85" s="501">
        <f>M85+O85</f>
        <v>108.39180043</v>
      </c>
      <c r="L85" s="501">
        <v>907.21844865000003</v>
      </c>
      <c r="M85" s="501">
        <v>66.135501680000004</v>
      </c>
      <c r="N85" s="501">
        <v>2614.0434786999999</v>
      </c>
      <c r="O85" s="501">
        <v>42.256298749999999</v>
      </c>
    </row>
    <row r="86" spans="1:15" ht="12.75">
      <c r="A86" s="331" t="s">
        <v>48</v>
      </c>
      <c r="B86" s="500">
        <v>9163.3597792400014</v>
      </c>
      <c r="C86" s="500">
        <v>492.87668797999993</v>
      </c>
      <c r="D86" s="500">
        <v>5865.2943068200011</v>
      </c>
      <c r="E86" s="500">
        <v>342.10889326999995</v>
      </c>
      <c r="F86" s="500">
        <v>1523.81092025</v>
      </c>
      <c r="G86" s="500">
        <v>156.84892257000001</v>
      </c>
      <c r="H86" s="500">
        <v>4341.4833865700011</v>
      </c>
      <c r="I86" s="500">
        <v>185.25997069999997</v>
      </c>
      <c r="J86" s="500">
        <v>3298.0654724200003</v>
      </c>
      <c r="K86" s="500">
        <v>150.76779470999998</v>
      </c>
      <c r="L86" s="500">
        <v>1043.30860082</v>
      </c>
      <c r="M86" s="500">
        <v>82.410484849999975</v>
      </c>
      <c r="N86" s="500">
        <v>2254.7568716000005</v>
      </c>
      <c r="O86" s="500">
        <v>68.357309860000001</v>
      </c>
    </row>
    <row r="87" spans="1:15" ht="12.75" hidden="1">
      <c r="A87" s="331" t="s">
        <v>18</v>
      </c>
      <c r="B87" s="500">
        <f t="shared" ref="B87:C92" si="26">D87+J87</f>
        <v>8431.1754328499992</v>
      </c>
      <c r="C87" s="500">
        <f t="shared" si="26"/>
        <v>331.42509939000001</v>
      </c>
      <c r="D87" s="500">
        <f t="shared" ref="D87:E96" si="27">F87+H87</f>
        <v>4923.2452812299998</v>
      </c>
      <c r="E87" s="500">
        <f t="shared" si="27"/>
        <v>210.99322375000003</v>
      </c>
      <c r="F87" s="500">
        <v>1462.77390107</v>
      </c>
      <c r="G87" s="500">
        <v>100.83808002000001</v>
      </c>
      <c r="H87" s="500">
        <v>3460.4713801600001</v>
      </c>
      <c r="I87" s="500">
        <v>110.15514373000001</v>
      </c>
      <c r="J87" s="500">
        <f t="shared" ref="J87:K96" si="28">L87+N87</f>
        <v>3507.9301516200003</v>
      </c>
      <c r="K87" s="500">
        <f t="shared" si="28"/>
        <v>120.43187564000002</v>
      </c>
      <c r="L87" s="500">
        <v>886.77092951999998</v>
      </c>
      <c r="M87" s="500">
        <v>68.304298220000007</v>
      </c>
      <c r="N87" s="500">
        <v>2621.1592221000001</v>
      </c>
      <c r="O87" s="500">
        <v>52.127577420000001</v>
      </c>
    </row>
    <row r="88" spans="1:15" ht="12.75" hidden="1">
      <c r="A88" s="331" t="s">
        <v>19</v>
      </c>
      <c r="B88" s="500">
        <f t="shared" si="26"/>
        <v>8343.4665381899995</v>
      </c>
      <c r="C88" s="500">
        <f t="shared" si="26"/>
        <v>358.36671996999996</v>
      </c>
      <c r="D88" s="500">
        <f t="shared" si="27"/>
        <v>4852.7135093699999</v>
      </c>
      <c r="E88" s="500">
        <f t="shared" si="27"/>
        <v>218.59607027999999</v>
      </c>
      <c r="F88" s="500">
        <v>1330.1786465800001</v>
      </c>
      <c r="G88" s="500">
        <v>99.661057020000001</v>
      </c>
      <c r="H88" s="500">
        <v>3522.5348627899998</v>
      </c>
      <c r="I88" s="500">
        <v>118.93501326000001</v>
      </c>
      <c r="J88" s="500">
        <f t="shared" si="28"/>
        <v>3490.7530288199996</v>
      </c>
      <c r="K88" s="500">
        <f t="shared" si="28"/>
        <v>139.77064969</v>
      </c>
      <c r="L88" s="500">
        <v>879.91907753999999</v>
      </c>
      <c r="M88" s="500">
        <v>77.999045319999993</v>
      </c>
      <c r="N88" s="500">
        <v>2610.8339512799998</v>
      </c>
      <c r="O88" s="500">
        <v>61.771604369999999</v>
      </c>
    </row>
    <row r="89" spans="1:15" ht="12.75" hidden="1">
      <c r="A89" s="331" t="s">
        <v>20</v>
      </c>
      <c r="B89" s="500">
        <f t="shared" si="26"/>
        <v>8485.212513729999</v>
      </c>
      <c r="C89" s="500">
        <f t="shared" si="26"/>
        <v>355.91081566000003</v>
      </c>
      <c r="D89" s="500">
        <f t="shared" si="27"/>
        <v>5044.30921855</v>
      </c>
      <c r="E89" s="500">
        <f t="shared" si="27"/>
        <v>223.65635245999999</v>
      </c>
      <c r="F89" s="500">
        <v>1391.84155994</v>
      </c>
      <c r="G89" s="500">
        <v>100.80256247</v>
      </c>
      <c r="H89" s="500">
        <v>3652.4676586099999</v>
      </c>
      <c r="I89" s="500">
        <v>122.85378999</v>
      </c>
      <c r="J89" s="500">
        <f t="shared" si="28"/>
        <v>3440.90329518</v>
      </c>
      <c r="K89" s="500">
        <f t="shared" si="28"/>
        <v>132.2544632</v>
      </c>
      <c r="L89" s="500">
        <v>897.14073584000005</v>
      </c>
      <c r="M89" s="500">
        <v>73.679884369999996</v>
      </c>
      <c r="N89" s="500">
        <v>2543.7625593399998</v>
      </c>
      <c r="O89" s="500">
        <v>58.57457883</v>
      </c>
    </row>
    <row r="90" spans="1:15" ht="12.75" hidden="1">
      <c r="A90" s="331" t="s">
        <v>21</v>
      </c>
      <c r="B90" s="500">
        <f t="shared" si="26"/>
        <v>8605.4584439699993</v>
      </c>
      <c r="C90" s="500">
        <f t="shared" si="26"/>
        <v>365.24831912000002</v>
      </c>
      <c r="D90" s="500">
        <f t="shared" si="27"/>
        <v>5126.0884319799998</v>
      </c>
      <c r="E90" s="500">
        <f t="shared" si="27"/>
        <v>231.87085711000003</v>
      </c>
      <c r="F90" s="500">
        <v>1417.8445892000002</v>
      </c>
      <c r="G90" s="500">
        <v>102.33495156000002</v>
      </c>
      <c r="H90" s="500">
        <v>3708.2438427799998</v>
      </c>
      <c r="I90" s="500">
        <v>129.53590555000002</v>
      </c>
      <c r="J90" s="500">
        <f t="shared" si="28"/>
        <v>3479.3700119899995</v>
      </c>
      <c r="K90" s="500">
        <f t="shared" si="28"/>
        <v>133.37746200999999</v>
      </c>
      <c r="L90" s="500">
        <v>896.32669306999992</v>
      </c>
      <c r="M90" s="500">
        <v>72.37199665</v>
      </c>
      <c r="N90" s="500">
        <v>2583.0433189199998</v>
      </c>
      <c r="O90" s="500">
        <v>61.005465360000002</v>
      </c>
    </row>
    <row r="91" spans="1:15" ht="12.75" hidden="1">
      <c r="A91" s="331" t="s">
        <v>22</v>
      </c>
      <c r="B91" s="500">
        <f t="shared" si="26"/>
        <v>8733.4896446999992</v>
      </c>
      <c r="C91" s="500">
        <f t="shared" si="26"/>
        <v>383.58905662000001</v>
      </c>
      <c r="D91" s="500">
        <f t="shared" si="27"/>
        <v>5223.3259211599998</v>
      </c>
      <c r="E91" s="500">
        <f t="shared" si="27"/>
        <v>242.14988371999999</v>
      </c>
      <c r="F91" s="500">
        <v>1424.11458429</v>
      </c>
      <c r="G91" s="500">
        <v>103.98742276</v>
      </c>
      <c r="H91" s="500">
        <v>3799.2113368700002</v>
      </c>
      <c r="I91" s="500">
        <v>138.16246096</v>
      </c>
      <c r="J91" s="500">
        <f t="shared" si="28"/>
        <v>3510.1637235400003</v>
      </c>
      <c r="K91" s="500">
        <f t="shared" si="28"/>
        <v>141.43917290000002</v>
      </c>
      <c r="L91" s="500">
        <v>920.8913824</v>
      </c>
      <c r="M91" s="500">
        <v>79.229082790000007</v>
      </c>
      <c r="N91" s="500">
        <v>2589.2723411400002</v>
      </c>
      <c r="O91" s="500">
        <v>62.210090110000003</v>
      </c>
    </row>
    <row r="92" spans="1:15" ht="12.75" hidden="1">
      <c r="A92" s="331" t="s">
        <v>23</v>
      </c>
      <c r="B92" s="500">
        <f t="shared" si="26"/>
        <v>8840.6992274799995</v>
      </c>
      <c r="C92" s="500">
        <f t="shared" si="26"/>
        <v>408.59221671999995</v>
      </c>
      <c r="D92" s="500">
        <f>F92+H92</f>
        <v>5311.30351668</v>
      </c>
      <c r="E92" s="500">
        <f>G92+I92</f>
        <v>266.91575949999998</v>
      </c>
      <c r="F92" s="500">
        <v>1390.8887382200005</v>
      </c>
      <c r="G92" s="500">
        <v>106.06446656000001</v>
      </c>
      <c r="H92" s="500">
        <v>3920.4147784599991</v>
      </c>
      <c r="I92" s="500">
        <v>160.85129293999995</v>
      </c>
      <c r="J92" s="500">
        <f>L92+N92</f>
        <v>3529.3957108</v>
      </c>
      <c r="K92" s="500">
        <f>M92+O92</f>
        <v>141.67645721999997</v>
      </c>
      <c r="L92" s="500">
        <v>956.90045928000006</v>
      </c>
      <c r="M92" s="500">
        <v>77.496031119999998</v>
      </c>
      <c r="N92" s="500">
        <v>2572.4952515199998</v>
      </c>
      <c r="O92" s="500">
        <v>64.180426099999991</v>
      </c>
    </row>
    <row r="93" spans="1:15" ht="12.75" hidden="1">
      <c r="A93" s="331" t="s">
        <v>24</v>
      </c>
      <c r="B93" s="500">
        <v>8656.2160000000003</v>
      </c>
      <c r="C93" s="500">
        <v>399.995</v>
      </c>
      <c r="D93" s="500">
        <f t="shared" si="27"/>
        <v>5357.58</v>
      </c>
      <c r="E93" s="500">
        <f t="shared" si="27"/>
        <v>258.95240000000001</v>
      </c>
      <c r="F93" s="500">
        <v>1390.67</v>
      </c>
      <c r="G93" s="500">
        <v>101.2629</v>
      </c>
      <c r="H93" s="500">
        <v>3966.91</v>
      </c>
      <c r="I93" s="500">
        <v>157.68950000000001</v>
      </c>
      <c r="J93" s="500">
        <f t="shared" si="28"/>
        <v>3293.636</v>
      </c>
      <c r="K93" s="500">
        <f t="shared" si="28"/>
        <v>141.042</v>
      </c>
      <c r="L93" s="500">
        <v>1010.7910000000001</v>
      </c>
      <c r="M93" s="500">
        <v>75.503</v>
      </c>
      <c r="N93" s="500">
        <v>2282.8449999999998</v>
      </c>
      <c r="O93" s="500">
        <v>65.539000000000001</v>
      </c>
    </row>
    <row r="94" spans="1:15" ht="12.75" hidden="1">
      <c r="A94" s="331" t="s">
        <v>25</v>
      </c>
      <c r="B94" s="500">
        <v>8788.5652860400005</v>
      </c>
      <c r="C94" s="500">
        <v>423.68329698000002</v>
      </c>
      <c r="D94" s="500">
        <f t="shared" si="27"/>
        <v>5448.6732444099998</v>
      </c>
      <c r="E94" s="500">
        <f t="shared" si="27"/>
        <v>284.66117152000004</v>
      </c>
      <c r="F94" s="500">
        <v>1424.3187801199999</v>
      </c>
      <c r="G94" s="500">
        <v>114.20943148000001</v>
      </c>
      <c r="H94" s="500">
        <v>4024.3544642900001</v>
      </c>
      <c r="I94" s="500">
        <v>170.45174004</v>
      </c>
      <c r="J94" s="500">
        <f t="shared" si="28"/>
        <v>3339.8920416299998</v>
      </c>
      <c r="K94" s="500">
        <f t="shared" si="28"/>
        <v>139.02212546000001</v>
      </c>
      <c r="L94" s="500">
        <v>1021.54448273</v>
      </c>
      <c r="M94" s="500">
        <v>74.212794990000006</v>
      </c>
      <c r="N94" s="500">
        <v>2318.3475589</v>
      </c>
      <c r="O94" s="500">
        <v>64.809330470000006</v>
      </c>
    </row>
    <row r="95" spans="1:15" ht="12.75" hidden="1">
      <c r="A95" s="331" t="s">
        <v>26</v>
      </c>
      <c r="B95" s="500">
        <f>D95+J95</f>
        <v>8936.6295108199993</v>
      </c>
      <c r="C95" s="500">
        <v>448.51428231</v>
      </c>
      <c r="D95" s="500">
        <f t="shared" si="27"/>
        <v>5562.0761444100008</v>
      </c>
      <c r="E95" s="500">
        <f t="shared" si="27"/>
        <v>301.42113802999995</v>
      </c>
      <c r="F95" s="500">
        <v>1448.0048032600002</v>
      </c>
      <c r="G95" s="500">
        <v>124.83487529999998</v>
      </c>
      <c r="H95" s="500">
        <v>4114.0713411500001</v>
      </c>
      <c r="I95" s="500">
        <v>176.58626272999999</v>
      </c>
      <c r="J95" s="500">
        <f t="shared" si="28"/>
        <v>3374.5533664099994</v>
      </c>
      <c r="K95" s="500">
        <f t="shared" si="28"/>
        <v>147.09314427999999</v>
      </c>
      <c r="L95" s="500">
        <v>1038.52730352</v>
      </c>
      <c r="M95" s="500">
        <v>78.960413599999995</v>
      </c>
      <c r="N95" s="500">
        <v>2336.0260628899996</v>
      </c>
      <c r="O95" s="500">
        <v>68.132730679999995</v>
      </c>
    </row>
    <row r="96" spans="1:15" ht="12.75" hidden="1">
      <c r="A96" s="331" t="s">
        <v>27</v>
      </c>
      <c r="B96" s="500">
        <f>D96+J96</f>
        <v>9065.2348196599996</v>
      </c>
      <c r="C96" s="500">
        <v>454.04449083999998</v>
      </c>
      <c r="D96" s="500">
        <f t="shared" si="27"/>
        <v>5680.473136829999</v>
      </c>
      <c r="E96" s="500">
        <f t="shared" si="27"/>
        <v>306.43030685999997</v>
      </c>
      <c r="F96" s="500">
        <v>1458.4576236799996</v>
      </c>
      <c r="G96" s="500">
        <v>128.30885957000001</v>
      </c>
      <c r="H96" s="500">
        <v>4222.0155131499996</v>
      </c>
      <c r="I96" s="500">
        <v>178.12144728999999</v>
      </c>
      <c r="J96" s="500">
        <f t="shared" si="28"/>
        <v>3384.7616828299997</v>
      </c>
      <c r="K96" s="500">
        <f t="shared" si="28"/>
        <v>147.61418398000001</v>
      </c>
      <c r="L96" s="500">
        <v>1058.4434223599999</v>
      </c>
      <c r="M96" s="500">
        <v>79.603050010000004</v>
      </c>
      <c r="N96" s="500">
        <v>2326.31826047</v>
      </c>
      <c r="O96" s="500">
        <v>68.011133969999989</v>
      </c>
    </row>
    <row r="97" spans="1:15" ht="12.75" hidden="1">
      <c r="A97" s="331" t="s">
        <v>28</v>
      </c>
      <c r="B97" s="500">
        <f>D97+J97</f>
        <v>9091.7448746400005</v>
      </c>
      <c r="C97" s="500">
        <f>+E97+K97</f>
        <v>458.08037351999997</v>
      </c>
      <c r="D97" s="500">
        <f>F97+H97</f>
        <v>5770.1788494699995</v>
      </c>
      <c r="E97" s="500">
        <f>G97+I97</f>
        <v>309.25708532999994</v>
      </c>
      <c r="F97" s="500">
        <v>1493.9749220899998</v>
      </c>
      <c r="G97" s="500">
        <v>130.58339618999997</v>
      </c>
      <c r="H97" s="500">
        <v>4276.2039273799992</v>
      </c>
      <c r="I97" s="500">
        <v>178.67368913999996</v>
      </c>
      <c r="J97" s="500">
        <f>L97+N97</f>
        <v>3321.5660251700001</v>
      </c>
      <c r="K97" s="500">
        <f>M97+O97</f>
        <v>148.82328819</v>
      </c>
      <c r="L97" s="500">
        <v>1051.95001742</v>
      </c>
      <c r="M97" s="500">
        <v>78.407537129999994</v>
      </c>
      <c r="N97" s="500">
        <v>2269.6160077499999</v>
      </c>
      <c r="O97" s="500">
        <v>70.415751060000005</v>
      </c>
    </row>
    <row r="98" spans="1:15" ht="12.75" hidden="1">
      <c r="A98" s="331" t="s">
        <v>29</v>
      </c>
      <c r="B98" s="500">
        <f>D98+J98</f>
        <v>9163.3597792400014</v>
      </c>
      <c r="C98" s="500">
        <f>+E98+K98</f>
        <v>492.87668797999993</v>
      </c>
      <c r="D98" s="500">
        <f>F98+H98</f>
        <v>5865.2943068200011</v>
      </c>
      <c r="E98" s="500">
        <f>G98+I98</f>
        <v>342.10889326999995</v>
      </c>
      <c r="F98" s="500">
        <v>1523.81092025</v>
      </c>
      <c r="G98" s="500">
        <v>156.84892257000001</v>
      </c>
      <c r="H98" s="500">
        <v>4341.4833865700011</v>
      </c>
      <c r="I98" s="500">
        <v>185.25997069999997</v>
      </c>
      <c r="J98" s="500">
        <f>L98+N98</f>
        <v>3298.0654724200003</v>
      </c>
      <c r="K98" s="500">
        <f>M98+O98</f>
        <v>150.76779470999998</v>
      </c>
      <c r="L98" s="500">
        <v>1043.30860082</v>
      </c>
      <c r="M98" s="500">
        <v>82.410484849999975</v>
      </c>
      <c r="N98" s="500">
        <v>2254.7568716000005</v>
      </c>
      <c r="O98" s="500">
        <v>68.357309860000001</v>
      </c>
    </row>
    <row r="99" spans="1:15" ht="12.75">
      <c r="A99" s="331" t="s">
        <v>1030</v>
      </c>
      <c r="B99" s="500">
        <v>9850.3003707400021</v>
      </c>
      <c r="C99" s="500">
        <v>633.80456287000004</v>
      </c>
      <c r="D99" s="500">
        <v>6326.5385144700012</v>
      </c>
      <c r="E99" s="500">
        <v>452.14121239000008</v>
      </c>
      <c r="F99" s="500">
        <v>1901.0288187400004</v>
      </c>
      <c r="G99" s="500">
        <v>233.81790409000001</v>
      </c>
      <c r="H99" s="500">
        <v>4425.5096957300011</v>
      </c>
      <c r="I99" s="500">
        <v>218.32330830000004</v>
      </c>
      <c r="J99" s="500">
        <v>3523.7618562700004</v>
      </c>
      <c r="K99" s="500">
        <v>181.66335047999999</v>
      </c>
      <c r="L99" s="500">
        <v>1050.1703003900002</v>
      </c>
      <c r="M99" s="500">
        <v>92.411289529999991</v>
      </c>
      <c r="N99" s="500">
        <v>2473.5915558800002</v>
      </c>
      <c r="O99" s="500">
        <v>89.252060950000001</v>
      </c>
    </row>
    <row r="100" spans="1:15" ht="12.75" hidden="1">
      <c r="A100" s="331" t="s">
        <v>18</v>
      </c>
      <c r="B100" s="501">
        <f t="shared" ref="B100:C102" si="29">D100+J100</f>
        <v>9149.7656655300016</v>
      </c>
      <c r="C100" s="501">
        <f t="shared" si="29"/>
        <v>496.97677403</v>
      </c>
      <c r="D100" s="501">
        <f t="shared" ref="D100:E102" si="30">F100+H100</f>
        <v>5876.8554155300008</v>
      </c>
      <c r="E100" s="501">
        <f t="shared" si="30"/>
        <v>337.99363398999998</v>
      </c>
      <c r="F100" s="501">
        <v>1521.0608483700003</v>
      </c>
      <c r="G100" s="501">
        <v>163.53275163999999</v>
      </c>
      <c r="H100" s="501">
        <v>4355.79456716</v>
      </c>
      <c r="I100" s="501">
        <v>174.46088234999999</v>
      </c>
      <c r="J100" s="501">
        <f t="shared" ref="J100:K102" si="31">L100+N100</f>
        <v>3272.9102499999999</v>
      </c>
      <c r="K100" s="501">
        <f t="shared" si="31"/>
        <v>158.98314004000002</v>
      </c>
      <c r="L100" s="501">
        <v>1030.23733793</v>
      </c>
      <c r="M100" s="501">
        <v>90.439909270000015</v>
      </c>
      <c r="N100" s="501">
        <v>2242.6729120699997</v>
      </c>
      <c r="O100" s="501">
        <v>68.543230770000008</v>
      </c>
    </row>
    <row r="101" spans="1:15" ht="12.75" hidden="1">
      <c r="A101" s="331" t="s">
        <v>19</v>
      </c>
      <c r="B101" s="501">
        <f t="shared" si="29"/>
        <v>9152.8044223100005</v>
      </c>
      <c r="C101" s="501">
        <f t="shared" si="29"/>
        <v>509.41080164000005</v>
      </c>
      <c r="D101" s="501">
        <f t="shared" si="30"/>
        <v>5888.6123619000009</v>
      </c>
      <c r="E101" s="501">
        <f t="shared" si="30"/>
        <v>345.29821598000001</v>
      </c>
      <c r="F101" s="501">
        <v>1477.46146619</v>
      </c>
      <c r="G101" s="501">
        <v>162.15388999999999</v>
      </c>
      <c r="H101" s="501">
        <v>4411.1508957100004</v>
      </c>
      <c r="I101" s="501">
        <v>183.14432597999999</v>
      </c>
      <c r="J101" s="501">
        <f t="shared" si="31"/>
        <v>3264.1920604099992</v>
      </c>
      <c r="K101" s="501">
        <f t="shared" si="31"/>
        <v>164.11258566000001</v>
      </c>
      <c r="L101" s="501">
        <v>1023.93320722</v>
      </c>
      <c r="M101" s="501">
        <v>96.079705560000008</v>
      </c>
      <c r="N101" s="501">
        <v>2240.2588531899992</v>
      </c>
      <c r="O101" s="501">
        <v>68.0328801</v>
      </c>
    </row>
    <row r="102" spans="1:15" ht="12.75" hidden="1">
      <c r="A102" s="331" t="s">
        <v>20</v>
      </c>
      <c r="B102" s="501">
        <f t="shared" si="29"/>
        <v>8365.9867119600003</v>
      </c>
      <c r="C102" s="501">
        <f t="shared" si="29"/>
        <v>539.92218613999989</v>
      </c>
      <c r="D102" s="501">
        <f t="shared" si="30"/>
        <v>5017.8658420000002</v>
      </c>
      <c r="E102" s="501">
        <f t="shared" si="30"/>
        <v>371.00768122999989</v>
      </c>
      <c r="F102" s="501">
        <v>1537.3566140099999</v>
      </c>
      <c r="G102" s="501">
        <v>181.68093388999995</v>
      </c>
      <c r="H102" s="501">
        <v>3480.50922799</v>
      </c>
      <c r="I102" s="501">
        <v>189.32674733999997</v>
      </c>
      <c r="J102" s="501">
        <f t="shared" si="31"/>
        <v>3348.1208699599997</v>
      </c>
      <c r="K102" s="501">
        <f t="shared" si="31"/>
        <v>168.91450491000003</v>
      </c>
      <c r="L102" s="501">
        <v>1099.7357182599999</v>
      </c>
      <c r="M102" s="501">
        <v>97.642378710000017</v>
      </c>
      <c r="N102" s="501">
        <v>2248.3851516999998</v>
      </c>
      <c r="O102" s="501">
        <v>71.272126200000017</v>
      </c>
    </row>
    <row r="103" spans="1:15" ht="12.75" hidden="1">
      <c r="A103" s="331" t="s">
        <v>21</v>
      </c>
      <c r="B103" s="501">
        <f t="shared" ref="B103:C105" si="32">D103+J103</f>
        <v>8569.625479950002</v>
      </c>
      <c r="C103" s="501">
        <f t="shared" si="32"/>
        <v>553.16266524000002</v>
      </c>
      <c r="D103" s="501">
        <f t="shared" ref="D103:E105" si="33">F103+H103</f>
        <v>5178.6961602300007</v>
      </c>
      <c r="E103" s="501">
        <f t="shared" si="33"/>
        <v>376.76540720000003</v>
      </c>
      <c r="F103" s="501">
        <v>1627.0852975200003</v>
      </c>
      <c r="G103" s="501">
        <v>182.81705453000004</v>
      </c>
      <c r="H103" s="501">
        <v>3551.6108627100002</v>
      </c>
      <c r="I103" s="501">
        <v>193.94835266999999</v>
      </c>
      <c r="J103" s="501">
        <f t="shared" ref="J103:K105" si="34">L103+N103</f>
        <v>3390.9293197200013</v>
      </c>
      <c r="K103" s="501">
        <f t="shared" si="34"/>
        <v>176.39725804</v>
      </c>
      <c r="L103" s="501">
        <v>1125.5794349</v>
      </c>
      <c r="M103" s="501">
        <v>100.78393094</v>
      </c>
      <c r="N103" s="501">
        <v>2265.3498848200011</v>
      </c>
      <c r="O103" s="501">
        <v>75.613327099999992</v>
      </c>
    </row>
    <row r="104" spans="1:15" ht="12.75" hidden="1">
      <c r="A104" s="331" t="s">
        <v>22</v>
      </c>
      <c r="B104" s="501">
        <f t="shared" si="32"/>
        <v>8680.4269249300014</v>
      </c>
      <c r="C104" s="501">
        <f t="shared" si="32"/>
        <v>551.82263233000003</v>
      </c>
      <c r="D104" s="501">
        <f t="shared" si="33"/>
        <v>5276.0389336499993</v>
      </c>
      <c r="E104" s="501">
        <f t="shared" si="33"/>
        <v>376.23776549000002</v>
      </c>
      <c r="F104" s="501">
        <v>1649.9613073500002</v>
      </c>
      <c r="G104" s="501">
        <v>182.17992809</v>
      </c>
      <c r="H104" s="501">
        <v>3626.0776262999989</v>
      </c>
      <c r="I104" s="501">
        <v>194.05783739999998</v>
      </c>
      <c r="J104" s="501">
        <f t="shared" si="34"/>
        <v>3404.3879912800012</v>
      </c>
      <c r="K104" s="501">
        <f t="shared" si="34"/>
        <v>175.58486683999996</v>
      </c>
      <c r="L104" s="501">
        <v>1171.9425042200003</v>
      </c>
      <c r="M104" s="501">
        <v>99.632511709999989</v>
      </c>
      <c r="N104" s="501">
        <v>2232.4454870600011</v>
      </c>
      <c r="O104" s="501">
        <v>75.952355129999987</v>
      </c>
    </row>
    <row r="105" spans="1:15" ht="12.75" hidden="1">
      <c r="A105" s="331" t="s">
        <v>23</v>
      </c>
      <c r="B105" s="501">
        <f t="shared" si="32"/>
        <v>8885.8892618499995</v>
      </c>
      <c r="C105" s="501">
        <f t="shared" si="32"/>
        <v>557.85969064999995</v>
      </c>
      <c r="D105" s="501">
        <f t="shared" si="33"/>
        <v>5464.8585656499999</v>
      </c>
      <c r="E105" s="501">
        <f t="shared" si="33"/>
        <v>383.27427196000002</v>
      </c>
      <c r="F105" s="501">
        <v>1724.02884838</v>
      </c>
      <c r="G105" s="501">
        <v>183.22703375</v>
      </c>
      <c r="H105" s="501">
        <v>3740.8297172699999</v>
      </c>
      <c r="I105" s="501">
        <v>200.04723821000002</v>
      </c>
      <c r="J105" s="501">
        <f t="shared" si="34"/>
        <v>3421.0306962</v>
      </c>
      <c r="K105" s="501">
        <f t="shared" si="34"/>
        <v>174.58541868999998</v>
      </c>
      <c r="L105" s="501">
        <v>1173.0402481499996</v>
      </c>
      <c r="M105" s="501">
        <v>98.192751869999995</v>
      </c>
      <c r="N105" s="501">
        <v>2247.9904480500004</v>
      </c>
      <c r="O105" s="501">
        <v>76.392666819999988</v>
      </c>
    </row>
    <row r="106" spans="1:15" ht="12.75" hidden="1">
      <c r="A106" s="331" t="s">
        <v>24</v>
      </c>
      <c r="B106" s="501">
        <f t="shared" ref="B106:C108" si="35">D106+J106</f>
        <v>9050.1703139700003</v>
      </c>
      <c r="C106" s="501">
        <f t="shared" si="35"/>
        <v>581.14177906999998</v>
      </c>
      <c r="D106" s="501">
        <f t="shared" ref="D106:E108" si="36">F106+H106</f>
        <v>5653.2882967799997</v>
      </c>
      <c r="E106" s="501">
        <f t="shared" si="36"/>
        <v>401.9138557</v>
      </c>
      <c r="F106" s="501">
        <v>1759.2014357799994</v>
      </c>
      <c r="G106" s="501">
        <v>192.20300341000001</v>
      </c>
      <c r="H106" s="501">
        <v>3894.0868610000007</v>
      </c>
      <c r="I106" s="501">
        <v>209.71085229000002</v>
      </c>
      <c r="J106" s="501">
        <f t="shared" ref="J106:K108" si="37">L106+N106</f>
        <v>3396.8820171899997</v>
      </c>
      <c r="K106" s="501">
        <f t="shared" si="37"/>
        <v>179.22792336999998</v>
      </c>
      <c r="L106" s="501">
        <v>1185.22084139</v>
      </c>
      <c r="M106" s="501">
        <v>101.41922487999997</v>
      </c>
      <c r="N106" s="501">
        <v>2211.6611757999999</v>
      </c>
      <c r="O106" s="501">
        <v>77.808698490000012</v>
      </c>
    </row>
    <row r="107" spans="1:15" ht="12.75" hidden="1">
      <c r="A107" s="331" t="s">
        <v>25</v>
      </c>
      <c r="B107" s="501">
        <f t="shared" si="35"/>
        <v>9458.3536229800011</v>
      </c>
      <c r="C107" s="501">
        <f t="shared" si="35"/>
        <v>592.54335994000007</v>
      </c>
      <c r="D107" s="501">
        <f t="shared" si="36"/>
        <v>5794.5581396099997</v>
      </c>
      <c r="E107" s="501">
        <f t="shared" si="36"/>
        <v>412.74201596</v>
      </c>
      <c r="F107" s="501">
        <v>1779.9598803199999</v>
      </c>
      <c r="G107" s="501">
        <v>204.30088148999999</v>
      </c>
      <c r="H107" s="501">
        <v>4014.5982592899995</v>
      </c>
      <c r="I107" s="501">
        <v>208.44113446999998</v>
      </c>
      <c r="J107" s="501">
        <f t="shared" si="37"/>
        <v>3663.7954833700005</v>
      </c>
      <c r="K107" s="501">
        <f t="shared" si="37"/>
        <v>179.80134398000001</v>
      </c>
      <c r="L107" s="501">
        <v>1221.3443412900003</v>
      </c>
      <c r="M107" s="501">
        <v>100.78183925</v>
      </c>
      <c r="N107" s="501">
        <v>2442.45114208</v>
      </c>
      <c r="O107" s="501">
        <v>79.019504729999994</v>
      </c>
    </row>
    <row r="108" spans="1:15" ht="12.75" hidden="1">
      <c r="A108" s="331" t="s">
        <v>26</v>
      </c>
      <c r="B108" s="501">
        <f t="shared" si="35"/>
        <v>9597.6519703199992</v>
      </c>
      <c r="C108" s="501">
        <f t="shared" si="35"/>
        <v>620.24163603</v>
      </c>
      <c r="D108" s="501">
        <f t="shared" si="36"/>
        <v>5949.6698833499995</v>
      </c>
      <c r="E108" s="501">
        <f t="shared" si="36"/>
        <v>433.27741323999999</v>
      </c>
      <c r="F108" s="501">
        <v>1856.0935624199997</v>
      </c>
      <c r="G108" s="501">
        <v>224.16248223999997</v>
      </c>
      <c r="H108" s="501">
        <v>4093.5763209299994</v>
      </c>
      <c r="I108" s="501">
        <v>209.11493099999998</v>
      </c>
      <c r="J108" s="501">
        <f t="shared" si="37"/>
        <v>3647.9820869699997</v>
      </c>
      <c r="K108" s="501">
        <f t="shared" si="37"/>
        <v>186.96422279000001</v>
      </c>
      <c r="L108" s="501">
        <v>1218.5356594200002</v>
      </c>
      <c r="M108" s="501">
        <v>97.893200940000014</v>
      </c>
      <c r="N108" s="501">
        <v>2429.4464275499995</v>
      </c>
      <c r="O108" s="501">
        <v>89.071021850000008</v>
      </c>
    </row>
    <row r="109" spans="1:15" ht="12.75" hidden="1">
      <c r="A109" s="331" t="s">
        <v>27</v>
      </c>
      <c r="B109" s="501">
        <f t="shared" ref="B109:C112" si="38">D109+J109</f>
        <v>9706.1501323599987</v>
      </c>
      <c r="C109" s="501">
        <f t="shared" si="38"/>
        <v>626.47045097</v>
      </c>
      <c r="D109" s="501">
        <f t="shared" ref="D109:E111" si="39">F109+H109</f>
        <v>6080.2291522899995</v>
      </c>
      <c r="E109" s="501">
        <f t="shared" si="39"/>
        <v>436.40281425000001</v>
      </c>
      <c r="F109" s="501">
        <v>1862.5809107800001</v>
      </c>
      <c r="G109" s="501">
        <v>218.52939634000001</v>
      </c>
      <c r="H109" s="501">
        <v>4217.6482415099999</v>
      </c>
      <c r="I109" s="501">
        <v>217.87341791000003</v>
      </c>
      <c r="J109" s="501">
        <f t="shared" ref="J109:K112" si="40">L109+N109</f>
        <v>3625.9209800699996</v>
      </c>
      <c r="K109" s="501">
        <f t="shared" si="40"/>
        <v>190.06763672</v>
      </c>
      <c r="L109" s="501">
        <v>1170.83075994</v>
      </c>
      <c r="M109" s="501">
        <v>98.958404939999994</v>
      </c>
      <c r="N109" s="501">
        <v>2455.0902201299996</v>
      </c>
      <c r="O109" s="501">
        <v>91.109231779999988</v>
      </c>
    </row>
    <row r="110" spans="1:15" ht="12.75" hidden="1">
      <c r="A110" s="331" t="s">
        <v>28</v>
      </c>
      <c r="B110" s="501">
        <f t="shared" si="38"/>
        <v>9782.7863418200013</v>
      </c>
      <c r="C110" s="501">
        <f t="shared" si="38"/>
        <v>636.67716684999994</v>
      </c>
      <c r="D110" s="501">
        <f t="shared" si="39"/>
        <v>6201.6395691100015</v>
      </c>
      <c r="E110" s="501">
        <f t="shared" si="39"/>
        <v>452.06186796999998</v>
      </c>
      <c r="F110" s="501">
        <v>1895.5024966700003</v>
      </c>
      <c r="G110" s="501">
        <v>231.14393423999996</v>
      </c>
      <c r="H110" s="501">
        <v>4306.1370724400012</v>
      </c>
      <c r="I110" s="501">
        <v>220.91793372999999</v>
      </c>
      <c r="J110" s="501">
        <f t="shared" si="40"/>
        <v>3581.1467727099994</v>
      </c>
      <c r="K110" s="501">
        <f t="shared" si="40"/>
        <v>184.61529887999995</v>
      </c>
      <c r="L110" s="501">
        <v>1128.3953477599998</v>
      </c>
      <c r="M110" s="501">
        <v>95.25461082999999</v>
      </c>
      <c r="N110" s="501">
        <v>2452.7514249499995</v>
      </c>
      <c r="O110" s="501">
        <v>89.360688049999979</v>
      </c>
    </row>
    <row r="111" spans="1:15" ht="12.75" hidden="1">
      <c r="A111" s="331" t="s">
        <v>29</v>
      </c>
      <c r="B111" s="501">
        <f t="shared" si="38"/>
        <v>9850.3003707400021</v>
      </c>
      <c r="C111" s="501">
        <f t="shared" si="38"/>
        <v>633.80456287000004</v>
      </c>
      <c r="D111" s="501">
        <f t="shared" si="39"/>
        <v>6326.5385144700012</v>
      </c>
      <c r="E111" s="501">
        <f t="shared" si="39"/>
        <v>452.14121239000008</v>
      </c>
      <c r="F111" s="501">
        <v>1901.0288187400004</v>
      </c>
      <c r="G111" s="501">
        <v>233.81790409000001</v>
      </c>
      <c r="H111" s="501">
        <v>4425.5096957300011</v>
      </c>
      <c r="I111" s="501">
        <v>218.32330830000004</v>
      </c>
      <c r="J111" s="501">
        <f t="shared" si="40"/>
        <v>3523.7618562700004</v>
      </c>
      <c r="K111" s="501">
        <f t="shared" si="40"/>
        <v>181.66335047999999</v>
      </c>
      <c r="L111" s="501">
        <v>1050.1703003900002</v>
      </c>
      <c r="M111" s="501">
        <v>92.411289529999991</v>
      </c>
      <c r="N111" s="501">
        <v>2473.5915558800002</v>
      </c>
      <c r="O111" s="501">
        <v>89.252060950000001</v>
      </c>
    </row>
    <row r="112" spans="1:15" ht="12.75">
      <c r="A112" s="331" t="s">
        <v>1301</v>
      </c>
      <c r="B112" s="500">
        <f t="shared" si="38"/>
        <v>12243.721763699998</v>
      </c>
      <c r="C112" s="500">
        <f t="shared" si="38"/>
        <v>748.82059921000018</v>
      </c>
      <c r="D112" s="500">
        <f>F112+H112</f>
        <v>8422.8208370499979</v>
      </c>
      <c r="E112" s="500">
        <f>G112+I112</f>
        <v>575.65162122000015</v>
      </c>
      <c r="F112" s="500">
        <v>2514.3488646700002</v>
      </c>
      <c r="G112" s="500">
        <v>304.70474288000003</v>
      </c>
      <c r="H112" s="500">
        <v>5908.4719723799981</v>
      </c>
      <c r="I112" s="500">
        <v>270.94687834000007</v>
      </c>
      <c r="J112" s="500">
        <f t="shared" si="40"/>
        <v>3820.9009266500002</v>
      </c>
      <c r="K112" s="500">
        <f t="shared" si="40"/>
        <v>173.16897799</v>
      </c>
      <c r="L112" s="500">
        <v>994.03447728000026</v>
      </c>
      <c r="M112" s="500">
        <v>80.657904180000003</v>
      </c>
      <c r="N112" s="500">
        <v>2826.8664493699998</v>
      </c>
      <c r="O112" s="500">
        <v>92.511073809999999</v>
      </c>
    </row>
    <row r="113" spans="1:15" ht="12.75" hidden="1">
      <c r="A113" s="331" t="s">
        <v>18</v>
      </c>
      <c r="B113" s="501">
        <f t="shared" ref="B113:C115" si="41">D113+J113</f>
        <v>9984.5625328200003</v>
      </c>
      <c r="C113" s="501">
        <f t="shared" si="41"/>
        <v>643.0820838599999</v>
      </c>
      <c r="D113" s="501">
        <f t="shared" ref="D113:E116" si="42">F113+H113</f>
        <v>6427.802118489999</v>
      </c>
      <c r="E113" s="501">
        <f t="shared" si="42"/>
        <v>462.67976650999992</v>
      </c>
      <c r="F113" s="501">
        <v>1927.8411135400002</v>
      </c>
      <c r="G113" s="501">
        <v>241.06951294999996</v>
      </c>
      <c r="H113" s="501">
        <v>4499.9610049499988</v>
      </c>
      <c r="I113" s="501">
        <v>221.61025355999999</v>
      </c>
      <c r="J113" s="501">
        <f t="shared" ref="J113:K115" si="43">L113+N113</f>
        <v>3556.7604143300009</v>
      </c>
      <c r="K113" s="501">
        <f t="shared" si="43"/>
        <v>180.40231734999998</v>
      </c>
      <c r="L113" s="501">
        <v>1062.2161536900003</v>
      </c>
      <c r="M113" s="501">
        <v>90.801820430000006</v>
      </c>
      <c r="N113" s="501">
        <v>2494.5442606400006</v>
      </c>
      <c r="O113" s="501">
        <v>89.600496919999983</v>
      </c>
    </row>
    <row r="114" spans="1:15" ht="12.75" hidden="1">
      <c r="A114" s="331" t="s">
        <v>19</v>
      </c>
      <c r="B114" s="501">
        <f t="shared" si="41"/>
        <v>10106.91377657</v>
      </c>
      <c r="C114" s="501">
        <f t="shared" si="41"/>
        <v>648.80625394999993</v>
      </c>
      <c r="D114" s="501">
        <f t="shared" si="42"/>
        <v>6516.8319462899999</v>
      </c>
      <c r="E114" s="501">
        <f t="shared" si="42"/>
        <v>467.00115691999997</v>
      </c>
      <c r="F114" s="501">
        <v>1887.4345175700005</v>
      </c>
      <c r="G114" s="501">
        <v>240.29457158000002</v>
      </c>
      <c r="H114" s="501">
        <v>4629.397428719999</v>
      </c>
      <c r="I114" s="501">
        <v>226.70658533999998</v>
      </c>
      <c r="J114" s="501">
        <f t="shared" si="43"/>
        <v>3590.0818302799998</v>
      </c>
      <c r="K114" s="501">
        <f t="shared" si="43"/>
        <v>181.80509703000001</v>
      </c>
      <c r="L114" s="501">
        <v>1070.9073272200001</v>
      </c>
      <c r="M114" s="501">
        <v>91.565095249999999</v>
      </c>
      <c r="N114" s="501">
        <v>2519.17450306</v>
      </c>
      <c r="O114" s="501">
        <v>90.24000178</v>
      </c>
    </row>
    <row r="115" spans="1:15" ht="12.75" hidden="1">
      <c r="A115" s="331" t="s">
        <v>20</v>
      </c>
      <c r="B115" s="501">
        <f t="shared" si="41"/>
        <v>10163.207416880003</v>
      </c>
      <c r="C115" s="501">
        <f t="shared" si="41"/>
        <v>663.85993113000006</v>
      </c>
      <c r="D115" s="501">
        <f t="shared" si="42"/>
        <v>6544.4821473800012</v>
      </c>
      <c r="E115" s="501">
        <f t="shared" si="42"/>
        <v>482.97505279000006</v>
      </c>
      <c r="F115" s="501">
        <v>1810.8599186900008</v>
      </c>
      <c r="G115" s="501">
        <v>245.00116394000003</v>
      </c>
      <c r="H115" s="501">
        <v>4733.6222286900002</v>
      </c>
      <c r="I115" s="501">
        <v>237.97388885000001</v>
      </c>
      <c r="J115" s="501">
        <f t="shared" si="43"/>
        <v>3618.7252695000006</v>
      </c>
      <c r="K115" s="501">
        <f t="shared" si="43"/>
        <v>180.88487834</v>
      </c>
      <c r="L115" s="501">
        <v>1059.9579456900001</v>
      </c>
      <c r="M115" s="501">
        <v>90.924872269999995</v>
      </c>
      <c r="N115" s="501">
        <v>2558.7673238100006</v>
      </c>
      <c r="O115" s="501">
        <v>89.960006070000006</v>
      </c>
    </row>
    <row r="116" spans="1:15" ht="12.75" hidden="1">
      <c r="A116" s="331" t="s">
        <v>21</v>
      </c>
      <c r="B116" s="501">
        <f t="shared" ref="B116:C118" si="44">D116+J116</f>
        <v>10363.272368590002</v>
      </c>
      <c r="C116" s="501">
        <f t="shared" si="44"/>
        <v>719.35310576000006</v>
      </c>
      <c r="D116" s="501">
        <f t="shared" ref="D116:D121" si="45">F116+H116</f>
        <v>6720.9336238600008</v>
      </c>
      <c r="E116" s="501">
        <f t="shared" si="42"/>
        <v>529.57891202999997</v>
      </c>
      <c r="F116" s="501">
        <v>1826.55624412</v>
      </c>
      <c r="G116" s="501">
        <v>279.46195783999997</v>
      </c>
      <c r="H116" s="501">
        <v>4894.3773797400008</v>
      </c>
      <c r="I116" s="501">
        <v>250.11695419</v>
      </c>
      <c r="J116" s="501">
        <f t="shared" ref="J116:K118" si="46">L116+N116</f>
        <v>3642.3387447300001</v>
      </c>
      <c r="K116" s="501">
        <f t="shared" si="46"/>
        <v>189.77419373000004</v>
      </c>
      <c r="L116" s="501">
        <v>1051.0661861599999</v>
      </c>
      <c r="M116" s="501">
        <v>96.565472030000009</v>
      </c>
      <c r="N116" s="501">
        <v>2591.27255857</v>
      </c>
      <c r="O116" s="501">
        <v>93.208721700000012</v>
      </c>
    </row>
    <row r="117" spans="1:15" ht="12.75" hidden="1">
      <c r="A117" s="331" t="s">
        <v>22</v>
      </c>
      <c r="B117" s="501">
        <f t="shared" si="44"/>
        <v>10511.52051213</v>
      </c>
      <c r="C117" s="501">
        <f t="shared" si="44"/>
        <v>720.07649569000012</v>
      </c>
      <c r="D117" s="501">
        <f t="shared" si="45"/>
        <v>6894.3288604099998</v>
      </c>
      <c r="E117" s="501">
        <f t="shared" ref="E117:E122" si="47">G117+I117</f>
        <v>523.34686927000007</v>
      </c>
      <c r="F117" s="501">
        <v>1828.6446102300001</v>
      </c>
      <c r="G117" s="501">
        <v>275.30770603000008</v>
      </c>
      <c r="H117" s="501">
        <v>5065.6842501799993</v>
      </c>
      <c r="I117" s="501">
        <v>248.03916323999999</v>
      </c>
      <c r="J117" s="501">
        <f t="shared" si="46"/>
        <v>3617.1916517200007</v>
      </c>
      <c r="K117" s="501">
        <f t="shared" si="46"/>
        <v>196.72962642000002</v>
      </c>
      <c r="L117" s="501">
        <v>1030.2272118900003</v>
      </c>
      <c r="M117" s="501">
        <v>101.63262519000001</v>
      </c>
      <c r="N117" s="501">
        <v>2586.9644398300002</v>
      </c>
      <c r="O117" s="501">
        <v>95.097001230000004</v>
      </c>
    </row>
    <row r="118" spans="1:15" ht="12.75" hidden="1">
      <c r="A118" s="331" t="s">
        <v>23</v>
      </c>
      <c r="B118" s="501">
        <f t="shared" si="44"/>
        <v>10734.810676689998</v>
      </c>
      <c r="C118" s="501">
        <f t="shared" si="44"/>
        <v>706.68413955999995</v>
      </c>
      <c r="D118" s="501">
        <f t="shared" si="45"/>
        <v>7074.347796439999</v>
      </c>
      <c r="E118" s="501">
        <f t="shared" si="47"/>
        <v>524.02773141</v>
      </c>
      <c r="F118" s="501">
        <v>1900.4673695099993</v>
      </c>
      <c r="G118" s="501">
        <v>282.57246920000006</v>
      </c>
      <c r="H118" s="501">
        <v>5173.8804269299999</v>
      </c>
      <c r="I118" s="501">
        <v>241.45526220999997</v>
      </c>
      <c r="J118" s="501">
        <f t="shared" si="46"/>
        <v>3660.4628802500001</v>
      </c>
      <c r="K118" s="501">
        <f t="shared" si="46"/>
        <v>182.65640815</v>
      </c>
      <c r="L118" s="501">
        <v>1029.36457539</v>
      </c>
      <c r="M118" s="501">
        <v>94.618551809999985</v>
      </c>
      <c r="N118" s="501">
        <v>2631.0983048600001</v>
      </c>
      <c r="O118" s="501">
        <v>88.037856340000005</v>
      </c>
    </row>
    <row r="119" spans="1:15" ht="12.75" hidden="1">
      <c r="A119" s="331" t="s">
        <v>24</v>
      </c>
      <c r="B119" s="501">
        <f t="shared" ref="B119:C121" si="48">D119+J119</f>
        <v>10726.412785959999</v>
      </c>
      <c r="C119" s="501">
        <f t="shared" si="48"/>
        <v>715.12585076000005</v>
      </c>
      <c r="D119" s="501">
        <f t="shared" si="45"/>
        <v>7083.8808814499989</v>
      </c>
      <c r="E119" s="501">
        <f t="shared" si="47"/>
        <v>542.74810759000002</v>
      </c>
      <c r="F119" s="501">
        <v>1867.2658698499997</v>
      </c>
      <c r="G119" s="501">
        <v>302.08427155999999</v>
      </c>
      <c r="H119" s="501">
        <v>5216.615011599999</v>
      </c>
      <c r="I119" s="501">
        <v>240.66383603</v>
      </c>
      <c r="J119" s="501">
        <f t="shared" ref="J119:K121" si="49">L119+N119</f>
        <v>3642.53190451</v>
      </c>
      <c r="K119" s="501">
        <f t="shared" si="49"/>
        <v>172.37774317</v>
      </c>
      <c r="L119" s="501">
        <v>1034.0363182999999</v>
      </c>
      <c r="M119" s="501">
        <v>84.171527589999997</v>
      </c>
      <c r="N119" s="501">
        <v>2608.4955862100001</v>
      </c>
      <c r="O119" s="501">
        <v>88.206215580000006</v>
      </c>
    </row>
    <row r="120" spans="1:15" ht="12.75" hidden="1">
      <c r="A120" s="331" t="s">
        <v>25</v>
      </c>
      <c r="B120" s="501">
        <f t="shared" si="48"/>
        <v>11057.8023435</v>
      </c>
      <c r="C120" s="501">
        <f t="shared" si="48"/>
        <v>731.74003091999998</v>
      </c>
      <c r="D120" s="501">
        <f t="shared" si="45"/>
        <v>7378.4604254299993</v>
      </c>
      <c r="E120" s="501">
        <f t="shared" si="47"/>
        <v>557.75598169</v>
      </c>
      <c r="F120" s="501">
        <v>1931.1375162799998</v>
      </c>
      <c r="G120" s="501">
        <v>311.64519950999994</v>
      </c>
      <c r="H120" s="501">
        <v>5447.3229091499998</v>
      </c>
      <c r="I120" s="501">
        <v>246.11078218</v>
      </c>
      <c r="J120" s="501">
        <f t="shared" si="49"/>
        <v>3679.3419180699993</v>
      </c>
      <c r="K120" s="501">
        <f t="shared" si="49"/>
        <v>173.98404922999998</v>
      </c>
      <c r="L120" s="501">
        <v>1029.65847745</v>
      </c>
      <c r="M120" s="501">
        <v>84.566903870000004</v>
      </c>
      <c r="N120" s="501">
        <v>2649.6834406199996</v>
      </c>
      <c r="O120" s="501">
        <v>89.417145359999992</v>
      </c>
    </row>
    <row r="121" spans="1:15" ht="12.75" hidden="1">
      <c r="A121" s="331" t="s">
        <v>26</v>
      </c>
      <c r="B121" s="501">
        <f t="shared" si="48"/>
        <v>11380.82251559</v>
      </c>
      <c r="C121" s="501">
        <f t="shared" si="48"/>
        <v>757.85437294000008</v>
      </c>
      <c r="D121" s="501">
        <f t="shared" si="45"/>
        <v>7641.3636666500006</v>
      </c>
      <c r="E121" s="501">
        <f t="shared" si="47"/>
        <v>582.60445884000001</v>
      </c>
      <c r="F121" s="501">
        <v>2098.5677766100002</v>
      </c>
      <c r="G121" s="501">
        <v>327.61830738999998</v>
      </c>
      <c r="H121" s="501">
        <v>5542.7958900399999</v>
      </c>
      <c r="I121" s="501">
        <v>254.98615144999997</v>
      </c>
      <c r="J121" s="501">
        <f t="shared" si="49"/>
        <v>3739.4588489399998</v>
      </c>
      <c r="K121" s="501">
        <f t="shared" si="49"/>
        <v>175.24991410000001</v>
      </c>
      <c r="L121" s="501">
        <v>1054.0602569299999</v>
      </c>
      <c r="M121" s="501">
        <v>85.063837009999986</v>
      </c>
      <c r="N121" s="501">
        <v>2685.3985920099999</v>
      </c>
      <c r="O121" s="501">
        <v>90.186077090000012</v>
      </c>
    </row>
    <row r="122" spans="1:15" ht="12.75" hidden="1">
      <c r="A122" s="331" t="s">
        <v>27</v>
      </c>
      <c r="B122" s="501">
        <f t="shared" ref="B122:C124" si="50">D122+J122</f>
        <v>11643.48871752</v>
      </c>
      <c r="C122" s="501">
        <f t="shared" si="50"/>
        <v>763.70977516999983</v>
      </c>
      <c r="D122" s="501">
        <f>F122+H122</f>
        <v>7895.2089865999997</v>
      </c>
      <c r="E122" s="501">
        <f t="shared" si="47"/>
        <v>590.63494597999988</v>
      </c>
      <c r="F122" s="501">
        <v>2217.3576747999996</v>
      </c>
      <c r="G122" s="501">
        <v>331.99447217999995</v>
      </c>
      <c r="H122" s="501">
        <v>5677.8513118000001</v>
      </c>
      <c r="I122" s="501">
        <v>258.6404738</v>
      </c>
      <c r="J122" s="501">
        <f t="shared" ref="J122:K124" si="51">L122+N122</f>
        <v>3748.2797309200005</v>
      </c>
      <c r="K122" s="501">
        <f t="shared" si="51"/>
        <v>173.07482919</v>
      </c>
      <c r="L122" s="501">
        <v>1060.2030316299999</v>
      </c>
      <c r="M122" s="501">
        <v>82.584906380000007</v>
      </c>
      <c r="N122" s="501">
        <v>2688.0766992900008</v>
      </c>
      <c r="O122" s="501">
        <v>90.489922809999996</v>
      </c>
    </row>
    <row r="123" spans="1:15" ht="12.75" hidden="1">
      <c r="A123" s="331" t="s">
        <v>28</v>
      </c>
      <c r="B123" s="501">
        <f t="shared" si="50"/>
        <v>11730.50687651</v>
      </c>
      <c r="C123" s="501">
        <f t="shared" si="50"/>
        <v>761.11775204999992</v>
      </c>
      <c r="D123" s="501">
        <f>F123+H123</f>
        <v>8008.2648884199998</v>
      </c>
      <c r="E123" s="501">
        <f>G123+I123</f>
        <v>589.89196229999993</v>
      </c>
      <c r="F123" s="501">
        <v>2231.44228905</v>
      </c>
      <c r="G123" s="501">
        <v>332.14137586999999</v>
      </c>
      <c r="H123" s="501">
        <v>5776.8225993699998</v>
      </c>
      <c r="I123" s="501">
        <v>257.75058643</v>
      </c>
      <c r="J123" s="501">
        <f t="shared" si="51"/>
        <v>3722.2419880900006</v>
      </c>
      <c r="K123" s="501">
        <f t="shared" si="51"/>
        <v>171.22578974999999</v>
      </c>
      <c r="L123" s="501">
        <v>1005.7632069100002</v>
      </c>
      <c r="M123" s="501">
        <v>83.78112557</v>
      </c>
      <c r="N123" s="501">
        <v>2716.4787811800006</v>
      </c>
      <c r="O123" s="501">
        <v>87.444664180000004</v>
      </c>
    </row>
    <row r="124" spans="1:15" ht="12.75" hidden="1">
      <c r="A124" s="331" t="s">
        <v>29</v>
      </c>
      <c r="B124" s="501">
        <f t="shared" si="50"/>
        <v>12243.721763699998</v>
      </c>
      <c r="C124" s="501">
        <f t="shared" si="50"/>
        <v>748.82059921000018</v>
      </c>
      <c r="D124" s="501">
        <f>F124+H124</f>
        <v>8422.8208370499979</v>
      </c>
      <c r="E124" s="501">
        <f>G124+I124</f>
        <v>575.65162122000015</v>
      </c>
      <c r="F124" s="501">
        <v>2514.3488646700002</v>
      </c>
      <c r="G124" s="501">
        <v>304.70474288000003</v>
      </c>
      <c r="H124" s="501">
        <v>5908.4719723799981</v>
      </c>
      <c r="I124" s="501">
        <v>270.94687834000007</v>
      </c>
      <c r="J124" s="501">
        <f t="shared" si="51"/>
        <v>3820.9009266500002</v>
      </c>
      <c r="K124" s="501">
        <f t="shared" si="51"/>
        <v>173.16897799</v>
      </c>
      <c r="L124" s="501">
        <v>994.03447728000026</v>
      </c>
      <c r="M124" s="501">
        <v>80.657904180000003</v>
      </c>
      <c r="N124" s="501">
        <v>2826.8664493699998</v>
      </c>
      <c r="O124" s="501">
        <v>92.511073809999999</v>
      </c>
    </row>
    <row r="125" spans="1:15" ht="12.75">
      <c r="A125" s="331" t="s">
        <v>1423</v>
      </c>
      <c r="B125" s="500">
        <v>15422.93771756</v>
      </c>
      <c r="C125" s="500">
        <v>792.78013636999992</v>
      </c>
      <c r="D125" s="500">
        <v>11076.680988389999</v>
      </c>
      <c r="E125" s="500">
        <v>627.4124604399999</v>
      </c>
      <c r="F125" s="500">
        <v>2297.4136052599997</v>
      </c>
      <c r="G125" s="500">
        <v>287.86448554999993</v>
      </c>
      <c r="H125" s="500">
        <v>8779.2673831299999</v>
      </c>
      <c r="I125" s="500">
        <v>339.54797489000003</v>
      </c>
      <c r="J125" s="500">
        <v>4346.2567291700016</v>
      </c>
      <c r="K125" s="500">
        <v>165.36767593000002</v>
      </c>
      <c r="L125" s="500">
        <v>1038.0883505200004</v>
      </c>
      <c r="M125" s="500">
        <v>74.233135300000001</v>
      </c>
      <c r="N125" s="500">
        <v>3308.1683786500007</v>
      </c>
      <c r="O125" s="500">
        <v>91.134540630000004</v>
      </c>
    </row>
    <row r="126" spans="1:15" ht="12.75">
      <c r="A126" s="331" t="s">
        <v>18</v>
      </c>
      <c r="B126" s="501">
        <f t="shared" ref="B126:C128" si="52">D126+J126</f>
        <v>12479.272292869999</v>
      </c>
      <c r="C126" s="501">
        <f t="shared" si="52"/>
        <v>763.83707374000005</v>
      </c>
      <c r="D126" s="501">
        <f t="shared" ref="D126:E128" si="53">F126+H126</f>
        <v>8580.6074758599989</v>
      </c>
      <c r="E126" s="501">
        <f t="shared" si="53"/>
        <v>581.56504565</v>
      </c>
      <c r="F126" s="501">
        <v>2610.9295350799989</v>
      </c>
      <c r="G126" s="501">
        <v>301.17801257999992</v>
      </c>
      <c r="H126" s="501">
        <v>5969.6779407800004</v>
      </c>
      <c r="I126" s="501">
        <v>280.38703307000009</v>
      </c>
      <c r="J126" s="501">
        <f t="shared" ref="J126:K128" si="54">L126+N126</f>
        <v>3898.6648170100002</v>
      </c>
      <c r="K126" s="501">
        <f t="shared" si="54"/>
        <v>182.27202809000005</v>
      </c>
      <c r="L126" s="501">
        <v>986.64807069999995</v>
      </c>
      <c r="M126" s="501">
        <v>89.918840130000007</v>
      </c>
      <c r="N126" s="501">
        <v>2912.0167463100001</v>
      </c>
      <c r="O126" s="501">
        <v>92.353187960000028</v>
      </c>
    </row>
    <row r="127" spans="1:15" ht="12.75">
      <c r="A127" s="331" t="s">
        <v>19</v>
      </c>
      <c r="B127" s="501">
        <f t="shared" si="52"/>
        <v>12207.917385979999</v>
      </c>
      <c r="C127" s="501">
        <f t="shared" si="52"/>
        <v>760.95946331000005</v>
      </c>
      <c r="D127" s="501">
        <f t="shared" si="53"/>
        <v>8366.1825928500002</v>
      </c>
      <c r="E127" s="501">
        <f t="shared" si="53"/>
        <v>590.06599222</v>
      </c>
      <c r="F127" s="501">
        <v>2118.5130753099997</v>
      </c>
      <c r="G127" s="501">
        <v>300.16287932999995</v>
      </c>
      <c r="H127" s="501">
        <v>6247.66951754</v>
      </c>
      <c r="I127" s="501">
        <v>289.90311288999999</v>
      </c>
      <c r="J127" s="501">
        <f t="shared" si="54"/>
        <v>3841.7347931300001</v>
      </c>
      <c r="K127" s="501">
        <f t="shared" si="54"/>
        <v>170.89347108999999</v>
      </c>
      <c r="L127" s="501">
        <v>976.93184593999979</v>
      </c>
      <c r="M127" s="501">
        <v>81.128748859999988</v>
      </c>
      <c r="N127" s="501">
        <v>2864.8029471900004</v>
      </c>
      <c r="O127" s="501">
        <v>89.764722230000018</v>
      </c>
    </row>
    <row r="128" spans="1:15" ht="12.75">
      <c r="A128" s="331" t="s">
        <v>20</v>
      </c>
      <c r="B128" s="501">
        <f t="shared" si="52"/>
        <v>12451.113757919999</v>
      </c>
      <c r="C128" s="501">
        <f t="shared" si="52"/>
        <v>760.75256074999993</v>
      </c>
      <c r="D128" s="501">
        <f t="shared" si="53"/>
        <v>8592.9204872299979</v>
      </c>
      <c r="E128" s="501">
        <f t="shared" si="53"/>
        <v>589.21190864999994</v>
      </c>
      <c r="F128" s="501">
        <v>2108.9893462300001</v>
      </c>
      <c r="G128" s="501">
        <v>297.74573096999995</v>
      </c>
      <c r="H128" s="501">
        <v>6483.9311409999982</v>
      </c>
      <c r="I128" s="501">
        <v>291.46617768000004</v>
      </c>
      <c r="J128" s="501">
        <f t="shared" si="54"/>
        <v>3858.1932706900002</v>
      </c>
      <c r="K128" s="501">
        <f t="shared" si="54"/>
        <v>171.54065209999999</v>
      </c>
      <c r="L128" s="501">
        <v>987.66299020999998</v>
      </c>
      <c r="M128" s="501">
        <v>79.137423539999986</v>
      </c>
      <c r="N128" s="501">
        <v>2870.5302804800003</v>
      </c>
      <c r="O128" s="501">
        <v>92.403228560000002</v>
      </c>
    </row>
    <row r="129" spans="1:15" ht="12.75">
      <c r="A129" s="331" t="s">
        <v>21</v>
      </c>
      <c r="B129" s="501">
        <f t="shared" ref="B129:C131" si="55">D129+J129</f>
        <v>13019.48671463</v>
      </c>
      <c r="C129" s="501">
        <f t="shared" si="55"/>
        <v>754.73232022000002</v>
      </c>
      <c r="D129" s="501">
        <f t="shared" ref="D129:E131" si="56">F129+H129</f>
        <v>9107.0244906799999</v>
      </c>
      <c r="E129" s="501">
        <f t="shared" si="56"/>
        <v>582.59594747000006</v>
      </c>
      <c r="F129" s="501">
        <v>2161.5266975</v>
      </c>
      <c r="G129" s="501">
        <v>293.81579022</v>
      </c>
      <c r="H129" s="501">
        <v>6945.4977931799995</v>
      </c>
      <c r="I129" s="501">
        <v>288.78015725</v>
      </c>
      <c r="J129" s="501">
        <f t="shared" ref="J129:K131" si="57">L129+N129</f>
        <v>3912.4622239500004</v>
      </c>
      <c r="K129" s="501">
        <f t="shared" si="57"/>
        <v>172.13637274999996</v>
      </c>
      <c r="L129" s="501">
        <v>978.31895943000018</v>
      </c>
      <c r="M129" s="501">
        <v>81.304805599999995</v>
      </c>
      <c r="N129" s="501">
        <v>2934.1432645200002</v>
      </c>
      <c r="O129" s="501">
        <v>90.831567149999984</v>
      </c>
    </row>
    <row r="130" spans="1:15" s="228" customFormat="1" ht="12.75">
      <c r="A130" s="331" t="s">
        <v>22</v>
      </c>
      <c r="B130" s="501">
        <f t="shared" si="55"/>
        <v>13406.321686660001</v>
      </c>
      <c r="C130" s="501">
        <f t="shared" si="55"/>
        <v>768.69702252999991</v>
      </c>
      <c r="D130" s="501">
        <f t="shared" si="56"/>
        <v>9444.2908854100024</v>
      </c>
      <c r="E130" s="501">
        <f t="shared" si="56"/>
        <v>597.8059743</v>
      </c>
      <c r="F130" s="501">
        <v>2217.2061740900003</v>
      </c>
      <c r="G130" s="501">
        <v>294.88469603999999</v>
      </c>
      <c r="H130" s="501">
        <v>7227.0847113200016</v>
      </c>
      <c r="I130" s="501">
        <v>302.92127826000001</v>
      </c>
      <c r="J130" s="501">
        <f t="shared" si="57"/>
        <v>3962.03080125</v>
      </c>
      <c r="K130" s="501">
        <f t="shared" si="57"/>
        <v>170.89104822999997</v>
      </c>
      <c r="L130" s="501">
        <v>980.50759199999982</v>
      </c>
      <c r="M130" s="501">
        <v>82.204416109999968</v>
      </c>
      <c r="N130" s="501">
        <v>2981.52320925</v>
      </c>
      <c r="O130" s="501">
        <v>88.686632119999985</v>
      </c>
    </row>
    <row r="131" spans="1:15" s="228" customFormat="1" ht="12.75">
      <c r="A131" s="331" t="s">
        <v>23</v>
      </c>
      <c r="B131" s="501">
        <f t="shared" si="55"/>
        <v>13774.078903620004</v>
      </c>
      <c r="C131" s="501">
        <f t="shared" si="55"/>
        <v>781.83677584999998</v>
      </c>
      <c r="D131" s="501">
        <f t="shared" si="56"/>
        <v>9750.289083620004</v>
      </c>
      <c r="E131" s="501">
        <f t="shared" si="56"/>
        <v>617.76290569999992</v>
      </c>
      <c r="F131" s="501">
        <v>2234.6073463000002</v>
      </c>
      <c r="G131" s="501">
        <v>287.81498986999992</v>
      </c>
      <c r="H131" s="501">
        <v>7515.6817373200038</v>
      </c>
      <c r="I131" s="501">
        <v>329.94791583</v>
      </c>
      <c r="J131" s="501">
        <f t="shared" si="57"/>
        <v>4023.7898199999991</v>
      </c>
      <c r="K131" s="501">
        <f t="shared" si="57"/>
        <v>164.07387015000003</v>
      </c>
      <c r="L131" s="501">
        <v>1005.4532551299998</v>
      </c>
      <c r="M131" s="501">
        <v>76.107976629999996</v>
      </c>
      <c r="N131" s="501">
        <v>3018.3365648699992</v>
      </c>
      <c r="O131" s="501">
        <v>87.965893520000037</v>
      </c>
    </row>
    <row r="132" spans="1:15" s="228" customFormat="1" ht="12.75">
      <c r="A132" s="331" t="s">
        <v>24</v>
      </c>
      <c r="B132" s="501">
        <f t="shared" ref="B132:C134" si="58">D132+J132</f>
        <v>14199.279780230001</v>
      </c>
      <c r="C132" s="501">
        <f t="shared" si="58"/>
        <v>776.64498170000013</v>
      </c>
      <c r="D132" s="501">
        <f t="shared" ref="D132:E134" si="59">F132+H132</f>
        <v>10058.848950559999</v>
      </c>
      <c r="E132" s="501">
        <f t="shared" si="59"/>
        <v>618.25493696000012</v>
      </c>
      <c r="F132" s="501">
        <v>2328.1732154100005</v>
      </c>
      <c r="G132" s="501">
        <v>288.71203685000006</v>
      </c>
      <c r="H132" s="501">
        <v>7730.6757351499982</v>
      </c>
      <c r="I132" s="501">
        <v>329.54290011000001</v>
      </c>
      <c r="J132" s="501">
        <f t="shared" ref="J132:K134" si="60">L132+N132</f>
        <v>4140.4308296700019</v>
      </c>
      <c r="K132" s="501">
        <f t="shared" si="60"/>
        <v>158.39004474000001</v>
      </c>
      <c r="L132" s="501">
        <v>998.56408563000025</v>
      </c>
      <c r="M132" s="501">
        <v>75.695626300000001</v>
      </c>
      <c r="N132" s="501">
        <v>3141.8667440400013</v>
      </c>
      <c r="O132" s="501">
        <v>82.694418440000007</v>
      </c>
    </row>
    <row r="133" spans="1:15" s="228" customFormat="1" ht="12.75">
      <c r="A133" s="331" t="s">
        <v>25</v>
      </c>
      <c r="B133" s="501">
        <f t="shared" si="58"/>
        <v>14455.066976410002</v>
      </c>
      <c r="C133" s="501">
        <f t="shared" si="58"/>
        <v>764.77188057000001</v>
      </c>
      <c r="D133" s="501">
        <f t="shared" si="59"/>
        <v>10261.405975450001</v>
      </c>
      <c r="E133" s="501">
        <f t="shared" si="59"/>
        <v>607.88575369</v>
      </c>
      <c r="F133" s="501">
        <v>2345.51356549</v>
      </c>
      <c r="G133" s="501">
        <v>281.54774261</v>
      </c>
      <c r="H133" s="501">
        <v>7915.8924099600008</v>
      </c>
      <c r="I133" s="501">
        <v>326.33801108</v>
      </c>
      <c r="J133" s="501">
        <f t="shared" si="60"/>
        <v>4193.6610009600008</v>
      </c>
      <c r="K133" s="501">
        <f t="shared" si="60"/>
        <v>156.88612688000001</v>
      </c>
      <c r="L133" s="501">
        <v>996.9019845700002</v>
      </c>
      <c r="M133" s="501">
        <v>74.102265499999987</v>
      </c>
      <c r="N133" s="501">
        <v>3196.7590163900004</v>
      </c>
      <c r="O133" s="501">
        <v>82.783861380000019</v>
      </c>
    </row>
    <row r="134" spans="1:15" s="228" customFormat="1" ht="12.75">
      <c r="A134" s="331" t="s">
        <v>26</v>
      </c>
      <c r="B134" s="501">
        <f t="shared" si="58"/>
        <v>14793.329728140003</v>
      </c>
      <c r="C134" s="501">
        <f t="shared" si="58"/>
        <v>794.96214473999999</v>
      </c>
      <c r="D134" s="501">
        <f t="shared" si="59"/>
        <v>10508.514704800002</v>
      </c>
      <c r="E134" s="501">
        <f t="shared" si="59"/>
        <v>634.33878677999996</v>
      </c>
      <c r="F134" s="501">
        <v>2408.9671586900004</v>
      </c>
      <c r="G134" s="501">
        <v>297.62185439000001</v>
      </c>
      <c r="H134" s="501">
        <v>8099.5475461100013</v>
      </c>
      <c r="I134" s="501">
        <v>336.71693238999995</v>
      </c>
      <c r="J134" s="501">
        <f t="shared" si="60"/>
        <v>4284.8150233400011</v>
      </c>
      <c r="K134" s="501">
        <f t="shared" si="60"/>
        <v>160.62335795999999</v>
      </c>
      <c r="L134" s="501">
        <v>1019.3080312300002</v>
      </c>
      <c r="M134" s="501">
        <v>76.828607019999993</v>
      </c>
      <c r="N134" s="501">
        <v>3265.5069921100007</v>
      </c>
      <c r="O134" s="501">
        <v>83.79475094</v>
      </c>
    </row>
    <row r="135" spans="1:15" s="228" customFormat="1" ht="12.75">
      <c r="A135" s="331" t="s">
        <v>27</v>
      </c>
      <c r="B135" s="501">
        <f t="shared" ref="B135:C137" si="61">D135+J135</f>
        <v>14991.395181549993</v>
      </c>
      <c r="C135" s="501">
        <f t="shared" si="61"/>
        <v>783.15707916000008</v>
      </c>
      <c r="D135" s="501">
        <f t="shared" ref="D135:E137" si="62">F135+H135</f>
        <v>10707.839709209995</v>
      </c>
      <c r="E135" s="501">
        <f t="shared" si="62"/>
        <v>628.0237500400001</v>
      </c>
      <c r="F135" s="501">
        <v>2367.64023791</v>
      </c>
      <c r="G135" s="501">
        <v>291.63139324999997</v>
      </c>
      <c r="H135" s="501">
        <v>8340.1994712999949</v>
      </c>
      <c r="I135" s="501">
        <v>336.39235679000006</v>
      </c>
      <c r="J135" s="501">
        <f t="shared" ref="J135:K137" si="63">L135+N135</f>
        <v>4283.5554723399991</v>
      </c>
      <c r="K135" s="501">
        <f t="shared" si="63"/>
        <v>155.13332911999998</v>
      </c>
      <c r="L135" s="501">
        <v>1007.91795734</v>
      </c>
      <c r="M135" s="501">
        <v>72.883335360000004</v>
      </c>
      <c r="N135" s="501">
        <v>3275.6375149999994</v>
      </c>
      <c r="O135" s="501">
        <v>82.249993759999995</v>
      </c>
    </row>
    <row r="136" spans="1:15" s="228" customFormat="1" ht="12.75">
      <c r="A136" s="331" t="s">
        <v>28</v>
      </c>
      <c r="B136" s="501">
        <f t="shared" si="61"/>
        <v>15245.292023950002</v>
      </c>
      <c r="C136" s="501">
        <f t="shared" si="61"/>
        <v>794.97631180999997</v>
      </c>
      <c r="D136" s="501">
        <f t="shared" si="62"/>
        <v>10926.588964340001</v>
      </c>
      <c r="E136" s="501">
        <f t="shared" si="62"/>
        <v>637.51542915999994</v>
      </c>
      <c r="F136" s="501">
        <v>2399.23555231</v>
      </c>
      <c r="G136" s="501">
        <v>293.71859962000002</v>
      </c>
      <c r="H136" s="501">
        <v>8527.353412030001</v>
      </c>
      <c r="I136" s="501">
        <v>343.79682953999998</v>
      </c>
      <c r="J136" s="501">
        <f t="shared" si="63"/>
        <v>4318.7030596100003</v>
      </c>
      <c r="K136" s="501">
        <f t="shared" si="63"/>
        <v>157.46088265000003</v>
      </c>
      <c r="L136" s="501">
        <v>1020.1792601699998</v>
      </c>
      <c r="M136" s="501">
        <v>72.905641380000006</v>
      </c>
      <c r="N136" s="501">
        <v>3298.5237994400009</v>
      </c>
      <c r="O136" s="501">
        <v>84.55524127000001</v>
      </c>
    </row>
    <row r="137" spans="1:15" s="228" customFormat="1" ht="12.75">
      <c r="A137" s="331" t="s">
        <v>29</v>
      </c>
      <c r="B137" s="501">
        <f t="shared" si="61"/>
        <v>15422.93771756</v>
      </c>
      <c r="C137" s="501">
        <f t="shared" si="61"/>
        <v>792.78013636999992</v>
      </c>
      <c r="D137" s="501">
        <f t="shared" si="62"/>
        <v>11076.680988389999</v>
      </c>
      <c r="E137" s="501">
        <f t="shared" si="62"/>
        <v>627.4124604399999</v>
      </c>
      <c r="F137" s="501">
        <v>2297.4136052599997</v>
      </c>
      <c r="G137" s="501">
        <v>287.86448554999993</v>
      </c>
      <c r="H137" s="501">
        <v>8779.2673831299999</v>
      </c>
      <c r="I137" s="501">
        <v>339.54797489000003</v>
      </c>
      <c r="J137" s="501">
        <f t="shared" si="63"/>
        <v>4346.2567291700016</v>
      </c>
      <c r="K137" s="501">
        <f t="shared" si="63"/>
        <v>165.36767593000002</v>
      </c>
      <c r="L137" s="501">
        <v>1038.0883505200004</v>
      </c>
      <c r="M137" s="501">
        <v>74.233135300000001</v>
      </c>
      <c r="N137" s="501">
        <v>3308.1683786500007</v>
      </c>
      <c r="O137" s="501">
        <v>91.134540630000004</v>
      </c>
    </row>
    <row r="138" spans="1:15" s="98" customFormat="1" ht="12.75">
      <c r="A138" s="331" t="s">
        <v>1634</v>
      </c>
      <c r="B138" s="500">
        <v>18542.609915009998</v>
      </c>
      <c r="C138" s="500">
        <v>976.32447814</v>
      </c>
      <c r="D138" s="500">
        <v>13505.650296169999</v>
      </c>
      <c r="E138" s="500">
        <v>767.55430122000007</v>
      </c>
      <c r="F138" s="500">
        <v>2494.1530108499996</v>
      </c>
      <c r="G138" s="500">
        <v>301.03321541000008</v>
      </c>
      <c r="H138" s="500">
        <v>11011.49728532</v>
      </c>
      <c r="I138" s="500">
        <v>466.5210858100001</v>
      </c>
      <c r="J138" s="500">
        <v>5036.9596188400001</v>
      </c>
      <c r="K138" s="500">
        <v>208.77017692000001</v>
      </c>
      <c r="L138" s="500">
        <v>1437.1988383099999</v>
      </c>
      <c r="M138" s="500">
        <v>90.635949969999984</v>
      </c>
      <c r="N138" s="500">
        <v>3599.7607805299995</v>
      </c>
      <c r="O138" s="500">
        <v>118.13422695</v>
      </c>
    </row>
    <row r="139" spans="1:15" ht="12.75">
      <c r="A139" s="331" t="s">
        <v>18</v>
      </c>
      <c r="B139" s="501">
        <f t="shared" ref="B139:C141" si="64">D139+J139</f>
        <v>15484.635822389995</v>
      </c>
      <c r="C139" s="501">
        <f t="shared" si="64"/>
        <v>815.1098263099999</v>
      </c>
      <c r="D139" s="501">
        <f t="shared" ref="D139:E141" si="65">F139+H139</f>
        <v>11140.542310189996</v>
      </c>
      <c r="E139" s="501">
        <f t="shared" si="65"/>
        <v>643.85619193999992</v>
      </c>
      <c r="F139" s="501">
        <v>2312.4489450999995</v>
      </c>
      <c r="G139" s="501">
        <v>294.72308188999989</v>
      </c>
      <c r="H139" s="501">
        <v>8828.093365089997</v>
      </c>
      <c r="I139" s="501">
        <v>349.13311005000008</v>
      </c>
      <c r="J139" s="501">
        <f t="shared" ref="J139:K141" si="66">L139+N139</f>
        <v>4344.0935122000001</v>
      </c>
      <c r="K139" s="501">
        <f t="shared" si="66"/>
        <v>171.25363436999999</v>
      </c>
      <c r="L139" s="501">
        <v>1056.1217358099998</v>
      </c>
      <c r="M139" s="501">
        <v>77.592404469999991</v>
      </c>
      <c r="N139" s="501">
        <v>3287.9717763900003</v>
      </c>
      <c r="O139" s="501">
        <v>93.661229899999995</v>
      </c>
    </row>
    <row r="140" spans="1:15" ht="12.75">
      <c r="A140" s="331" t="s">
        <v>19</v>
      </c>
      <c r="B140" s="501">
        <f t="shared" si="64"/>
        <v>15616.299975900001</v>
      </c>
      <c r="C140" s="501">
        <f t="shared" si="64"/>
        <v>831.63941404000002</v>
      </c>
      <c r="D140" s="501">
        <f t="shared" si="65"/>
        <v>11291.82594717</v>
      </c>
      <c r="E140" s="501">
        <f t="shared" si="65"/>
        <v>655.09568809000007</v>
      </c>
      <c r="F140" s="501">
        <v>2353.9315994199997</v>
      </c>
      <c r="G140" s="501">
        <v>298.85443703999999</v>
      </c>
      <c r="H140" s="501">
        <v>8937.8943477500015</v>
      </c>
      <c r="I140" s="501">
        <v>356.24125105000007</v>
      </c>
      <c r="J140" s="501">
        <f t="shared" si="66"/>
        <v>4324.4740287300001</v>
      </c>
      <c r="K140" s="501">
        <f t="shared" si="66"/>
        <v>176.54372594999998</v>
      </c>
      <c r="L140" s="501">
        <v>1067.4454040800001</v>
      </c>
      <c r="M140" s="501">
        <v>78.328818239999976</v>
      </c>
      <c r="N140" s="501">
        <v>3257.02862465</v>
      </c>
      <c r="O140" s="501">
        <v>98.214907710000006</v>
      </c>
    </row>
    <row r="141" spans="1:15" ht="12.75">
      <c r="A141" s="331" t="s">
        <v>20</v>
      </c>
      <c r="B141" s="501">
        <f t="shared" si="64"/>
        <v>15889.520084209998</v>
      </c>
      <c r="C141" s="501">
        <f t="shared" si="64"/>
        <v>853.67276348999985</v>
      </c>
      <c r="D141" s="501">
        <f t="shared" si="65"/>
        <v>11503.174987659997</v>
      </c>
      <c r="E141" s="501">
        <f t="shared" si="65"/>
        <v>675.13411775999987</v>
      </c>
      <c r="F141" s="501">
        <v>2394.3500431900002</v>
      </c>
      <c r="G141" s="501">
        <v>308.51569409999996</v>
      </c>
      <c r="H141" s="501">
        <v>9108.8249444699977</v>
      </c>
      <c r="I141" s="501">
        <v>366.61842365999991</v>
      </c>
      <c r="J141" s="501">
        <f t="shared" si="66"/>
        <v>4386.3450965500006</v>
      </c>
      <c r="K141" s="501">
        <f t="shared" si="66"/>
        <v>178.53864573000001</v>
      </c>
      <c r="L141" s="501">
        <v>1149.7637870899998</v>
      </c>
      <c r="M141" s="501">
        <v>80.254830700000014</v>
      </c>
      <c r="N141" s="501">
        <v>3236.5813094600007</v>
      </c>
      <c r="O141" s="501">
        <v>98.28381503</v>
      </c>
    </row>
    <row r="142" spans="1:15" ht="12.75">
      <c r="A142" s="331" t="s">
        <v>21</v>
      </c>
      <c r="B142" s="501">
        <f>D142+J142</f>
        <v>16245.38347723</v>
      </c>
      <c r="C142" s="501">
        <f>E142+K142</f>
        <v>895.62655745999996</v>
      </c>
      <c r="D142" s="501">
        <f>F142+H142</f>
        <v>11759.759156130001</v>
      </c>
      <c r="E142" s="501">
        <f>G142+I142</f>
        <v>708.35537259</v>
      </c>
      <c r="F142" s="501">
        <v>2400.6498196000007</v>
      </c>
      <c r="G142" s="501">
        <v>327.28028505000009</v>
      </c>
      <c r="H142" s="501">
        <v>9359.1093365300003</v>
      </c>
      <c r="I142" s="501">
        <v>381.07508753999991</v>
      </c>
      <c r="J142" s="501">
        <f>L142+N142</f>
        <v>4485.6243210999992</v>
      </c>
      <c r="K142" s="501">
        <f>M142+O142</f>
        <v>187.27118487000001</v>
      </c>
      <c r="L142" s="501">
        <v>1171.3577422400001</v>
      </c>
      <c r="M142" s="501">
        <v>80.705937330000012</v>
      </c>
      <c r="N142" s="501">
        <v>3314.2665788599993</v>
      </c>
      <c r="O142" s="501">
        <v>106.56524754000002</v>
      </c>
    </row>
    <row r="143" spans="1:15" ht="12.75">
      <c r="A143" s="331" t="s">
        <v>22</v>
      </c>
      <c r="B143" s="501">
        <v>16595.366183029997</v>
      </c>
      <c r="C143" s="501">
        <v>904.99897122999982</v>
      </c>
      <c r="D143" s="501">
        <v>12090.288353539996</v>
      </c>
      <c r="E143" s="501">
        <v>717.24448158999985</v>
      </c>
      <c r="F143" s="501">
        <v>2379.9067743400005</v>
      </c>
      <c r="G143" s="501">
        <v>334.22220105999992</v>
      </c>
      <c r="H143" s="501">
        <v>9710.381579199995</v>
      </c>
      <c r="I143" s="501">
        <v>383.02228052999993</v>
      </c>
      <c r="J143" s="501">
        <v>4505.0778294899992</v>
      </c>
      <c r="K143" s="501">
        <v>187.75448963999997</v>
      </c>
      <c r="L143" s="501">
        <v>1181.3246899500002</v>
      </c>
      <c r="M143" s="501">
        <v>83.836178819999986</v>
      </c>
      <c r="N143" s="501">
        <v>3323.7531395399992</v>
      </c>
      <c r="O143" s="501">
        <v>103.91831082</v>
      </c>
    </row>
    <row r="144" spans="1:15" ht="12.75">
      <c r="A144" s="331" t="s">
        <v>23</v>
      </c>
      <c r="B144" s="501">
        <v>16754.796928089996</v>
      </c>
      <c r="C144" s="501">
        <v>877.58034430999999</v>
      </c>
      <c r="D144" s="501">
        <v>12228.273561189997</v>
      </c>
      <c r="E144" s="501">
        <v>695.40578014000005</v>
      </c>
      <c r="F144" s="501">
        <v>2324.2109945900002</v>
      </c>
      <c r="G144" s="501">
        <v>297.17884528999997</v>
      </c>
      <c r="H144" s="501">
        <v>9904.062566599996</v>
      </c>
      <c r="I144" s="501">
        <v>398.22693485000002</v>
      </c>
      <c r="J144" s="501">
        <v>4526.5233668999999</v>
      </c>
      <c r="K144" s="501">
        <v>182.17456417000002</v>
      </c>
      <c r="L144" s="501">
        <v>1206.1118018699999</v>
      </c>
      <c r="M144" s="501">
        <v>81.46771169000003</v>
      </c>
      <c r="N144" s="501">
        <v>3320.41156503</v>
      </c>
      <c r="O144" s="501">
        <v>100.70685248000001</v>
      </c>
    </row>
    <row r="145" spans="1:15" ht="12.75">
      <c r="A145" s="331" t="s">
        <v>24</v>
      </c>
      <c r="B145" s="501">
        <f t="shared" ref="B145:C147" si="67">D145+J145</f>
        <v>17034.049879450002</v>
      </c>
      <c r="C145" s="501">
        <f t="shared" si="67"/>
        <v>900.08802919000004</v>
      </c>
      <c r="D145" s="501">
        <f t="shared" ref="D145:E147" si="68">F145+H145</f>
        <v>12467.120197170003</v>
      </c>
      <c r="E145" s="501">
        <f t="shared" si="68"/>
        <v>714.72896686000001</v>
      </c>
      <c r="F145" s="501">
        <v>2339.7067851500005</v>
      </c>
      <c r="G145" s="501">
        <v>301.87992603999999</v>
      </c>
      <c r="H145" s="501">
        <v>10127.413412020001</v>
      </c>
      <c r="I145" s="501">
        <v>412.84904082000003</v>
      </c>
      <c r="J145" s="501">
        <f t="shared" ref="J145:K147" si="69">L145+N145</f>
        <v>4566.9296822800006</v>
      </c>
      <c r="K145" s="501">
        <f t="shared" si="69"/>
        <v>185.35906233000003</v>
      </c>
      <c r="L145" s="501">
        <v>1219.0842622200003</v>
      </c>
      <c r="M145" s="501">
        <v>77.665164350000012</v>
      </c>
      <c r="N145" s="501">
        <v>3347.8454200599999</v>
      </c>
      <c r="O145" s="501">
        <v>107.69389798</v>
      </c>
    </row>
    <row r="146" spans="1:15" ht="12.75">
      <c r="A146" s="331" t="s">
        <v>25</v>
      </c>
      <c r="B146" s="501">
        <f t="shared" si="67"/>
        <v>17308.948798760004</v>
      </c>
      <c r="C146" s="501">
        <f t="shared" si="67"/>
        <v>938.78821328000004</v>
      </c>
      <c r="D146" s="501">
        <f t="shared" si="68"/>
        <v>12690.712000560005</v>
      </c>
      <c r="E146" s="501">
        <v>749</v>
      </c>
      <c r="F146" s="501">
        <v>2342.3652599000006</v>
      </c>
      <c r="G146" s="501">
        <v>327.23542578000001</v>
      </c>
      <c r="H146" s="501">
        <v>10348.346740660003</v>
      </c>
      <c r="I146" s="501">
        <v>421.74192195000001</v>
      </c>
      <c r="J146" s="501">
        <f t="shared" si="69"/>
        <v>4618.2367981999996</v>
      </c>
      <c r="K146" s="501">
        <f t="shared" si="69"/>
        <v>189.78821327999998</v>
      </c>
      <c r="L146" s="501">
        <v>1243.9727572500001</v>
      </c>
      <c r="M146" s="501">
        <v>84.208139709999983</v>
      </c>
      <c r="N146" s="501">
        <v>3374.2640409499995</v>
      </c>
      <c r="O146" s="501">
        <v>105.58007357000001</v>
      </c>
    </row>
    <row r="147" spans="1:15" ht="12.75">
      <c r="A147" s="331" t="s">
        <v>26</v>
      </c>
      <c r="B147" s="501">
        <f t="shared" si="67"/>
        <v>17631.590882650002</v>
      </c>
      <c r="C147" s="501">
        <f t="shared" si="67"/>
        <v>973.18827784999985</v>
      </c>
      <c r="D147" s="501">
        <f t="shared" si="68"/>
        <v>12980.86295689</v>
      </c>
      <c r="E147" s="501">
        <f t="shared" si="68"/>
        <v>767.17081672999984</v>
      </c>
      <c r="F147" s="501">
        <v>2418.83081447</v>
      </c>
      <c r="G147" s="501">
        <v>327.73468400999997</v>
      </c>
      <c r="H147" s="501">
        <v>10562.032142419999</v>
      </c>
      <c r="I147" s="501">
        <v>439.43613271999993</v>
      </c>
      <c r="J147" s="501">
        <f t="shared" si="69"/>
        <v>4650.7279257600003</v>
      </c>
      <c r="K147" s="501">
        <f t="shared" si="69"/>
        <v>206.01746111999995</v>
      </c>
      <c r="L147" s="501">
        <v>1208.3918522900001</v>
      </c>
      <c r="M147" s="501">
        <v>99.131905869999983</v>
      </c>
      <c r="N147" s="501">
        <v>3442.33607347</v>
      </c>
      <c r="O147" s="501">
        <v>106.88555524999997</v>
      </c>
    </row>
    <row r="148" spans="1:15" ht="12.75">
      <c r="A148" s="331" t="s">
        <v>27</v>
      </c>
      <c r="B148" s="501">
        <f>D148+J148</f>
        <v>17841.51790323</v>
      </c>
      <c r="C148" s="501">
        <f>E148+K148</f>
        <v>943.38504893000004</v>
      </c>
      <c r="D148" s="501">
        <f>F148+H148</f>
        <v>13160.736704880001</v>
      </c>
      <c r="E148" s="501">
        <f>G148+I148</f>
        <v>747.98372076999999</v>
      </c>
      <c r="F148" s="501">
        <v>2473.61606226</v>
      </c>
      <c r="G148" s="501">
        <v>292.30685384000003</v>
      </c>
      <c r="H148" s="501">
        <v>10687.120642620001</v>
      </c>
      <c r="I148" s="501">
        <v>455.67686693000002</v>
      </c>
      <c r="J148" s="501">
        <f>L148+N148</f>
        <v>4680.7811983499996</v>
      </c>
      <c r="K148" s="501">
        <f>M148+O148</f>
        <v>195.40132815999999</v>
      </c>
      <c r="L148" s="501">
        <v>1238.0075283199999</v>
      </c>
      <c r="M148" s="501">
        <v>87.043026379999986</v>
      </c>
      <c r="N148" s="501">
        <v>3442.7736700300002</v>
      </c>
      <c r="O148" s="501">
        <v>108.35830177999999</v>
      </c>
    </row>
    <row r="149" spans="1:15" ht="12.75">
      <c r="A149" s="331" t="s">
        <v>28</v>
      </c>
      <c r="B149" s="501">
        <v>18151.94684099</v>
      </c>
      <c r="C149" s="501">
        <v>981.4749022100001</v>
      </c>
      <c r="D149" s="501">
        <f>(F149+H149)</f>
        <v>13392.055936979999</v>
      </c>
      <c r="E149" s="501">
        <f>(G149+I149)</f>
        <v>780.50962401000004</v>
      </c>
      <c r="F149" s="501">
        <v>2475.3446378399995</v>
      </c>
      <c r="G149" s="501">
        <v>302.27074386999999</v>
      </c>
      <c r="H149" s="501">
        <v>10916.711299140001</v>
      </c>
      <c r="I149" s="501">
        <v>478.23888014000005</v>
      </c>
      <c r="J149" s="501">
        <f>(L149+N149)</f>
        <v>4759.8909040100007</v>
      </c>
      <c r="K149" s="501">
        <f>(M149+O149)</f>
        <v>200.9652782</v>
      </c>
      <c r="L149" s="501">
        <v>1240.4818790900001</v>
      </c>
      <c r="M149" s="501">
        <v>87.877229429999986</v>
      </c>
      <c r="N149" s="501">
        <v>3519.4090249200008</v>
      </c>
      <c r="O149" s="501">
        <v>113.08804877000001</v>
      </c>
    </row>
    <row r="150" spans="1:15" ht="12.75">
      <c r="A150" s="331" t="s">
        <v>29</v>
      </c>
      <c r="B150" s="501">
        <v>18542.609915009998</v>
      </c>
      <c r="C150" s="501">
        <v>976.32447814</v>
      </c>
      <c r="D150" s="501">
        <v>13505.650296169999</v>
      </c>
      <c r="E150" s="501">
        <v>767.55430122000007</v>
      </c>
      <c r="F150" s="501">
        <v>2494.1530108499996</v>
      </c>
      <c r="G150" s="501">
        <v>301.03321541000008</v>
      </c>
      <c r="H150" s="501">
        <v>11011.49728532</v>
      </c>
      <c r="I150" s="501">
        <v>466.5210858100001</v>
      </c>
      <c r="J150" s="501">
        <v>5036.9596188400001</v>
      </c>
      <c r="K150" s="501">
        <v>208.77017692000001</v>
      </c>
      <c r="L150" s="501">
        <v>1437.1988383099999</v>
      </c>
      <c r="M150" s="501">
        <v>90.635949969999984</v>
      </c>
      <c r="N150" s="501">
        <v>3599.7607805299995</v>
      </c>
      <c r="O150" s="501">
        <v>118.13422695</v>
      </c>
    </row>
    <row r="151" spans="1:15" ht="12.75">
      <c r="A151" s="331" t="s">
        <v>1829</v>
      </c>
      <c r="B151" s="500">
        <v>21730.445</v>
      </c>
      <c r="C151" s="500">
        <v>1508.4988455</v>
      </c>
      <c r="D151" s="500">
        <v>10994.5193</v>
      </c>
      <c r="E151" s="500">
        <v>840.18812631199683</v>
      </c>
      <c r="F151" s="500">
        <v>1773.8443717325883</v>
      </c>
      <c r="G151" s="500">
        <v>268.16511198448802</v>
      </c>
      <c r="H151" s="500">
        <v>9220.6749041775111</v>
      </c>
      <c r="I151" s="500">
        <v>572.02301432750892</v>
      </c>
      <c r="J151" s="500">
        <v>10735.925744528004</v>
      </c>
      <c r="K151" s="500">
        <v>668.31071918800319</v>
      </c>
      <c r="L151" s="500">
        <v>3523.4787029962263</v>
      </c>
      <c r="M151" s="500">
        <v>304.84419578622709</v>
      </c>
      <c r="N151" s="500">
        <v>7212.4470415317764</v>
      </c>
      <c r="O151" s="500">
        <v>363.46652340177616</v>
      </c>
    </row>
    <row r="152" spans="1:15" ht="12.75">
      <c r="A152" s="331" t="s">
        <v>18</v>
      </c>
      <c r="B152" s="501">
        <v>18579.8</v>
      </c>
      <c r="C152" s="501">
        <v>1030.9000000000001</v>
      </c>
      <c r="D152" s="501">
        <v>13561.4</v>
      </c>
      <c r="E152" s="501">
        <v>826.53</v>
      </c>
      <c r="F152" s="501">
        <v>2496.3440000000001</v>
      </c>
      <c r="G152" s="501">
        <v>322.65499999999997</v>
      </c>
      <c r="H152" s="501">
        <v>11065.054</v>
      </c>
      <c r="I152" s="501">
        <v>503.86799999999999</v>
      </c>
      <c r="J152" s="501">
        <v>5018.3680000000004</v>
      </c>
      <c r="K152" s="501">
        <v>204.35900000000001</v>
      </c>
      <c r="L152" s="501">
        <v>1347.3130000000001</v>
      </c>
      <c r="M152" s="501">
        <v>84.894000000000005</v>
      </c>
      <c r="N152" s="501">
        <v>3671.0540000000001</v>
      </c>
      <c r="O152" s="501">
        <v>119.464</v>
      </c>
    </row>
    <row r="153" spans="1:15" ht="12.75">
      <c r="A153" s="331" t="s">
        <v>19</v>
      </c>
      <c r="B153" s="501">
        <v>20697.2</v>
      </c>
      <c r="C153" s="501">
        <v>1138.2</v>
      </c>
      <c r="D153" s="501">
        <v>12319.4</v>
      </c>
      <c r="E153" s="501">
        <v>823.7</v>
      </c>
      <c r="F153" s="501">
        <v>2431.6999999999998</v>
      </c>
      <c r="G153" s="501">
        <v>303.89999999999998</v>
      </c>
      <c r="H153" s="501">
        <v>9887.7000000000007</v>
      </c>
      <c r="I153" s="501">
        <v>519.70000000000005</v>
      </c>
      <c r="J153" s="501">
        <v>8377.7999999999993</v>
      </c>
      <c r="K153" s="501">
        <v>314.5</v>
      </c>
      <c r="L153" s="501">
        <v>2082.8000000000002</v>
      </c>
      <c r="M153" s="501">
        <v>138.30000000000001</v>
      </c>
      <c r="N153" s="501">
        <v>6295</v>
      </c>
      <c r="O153" s="501">
        <v>176.2</v>
      </c>
    </row>
    <row r="154" spans="1:15" ht="12.75">
      <c r="A154" s="331" t="s">
        <v>20</v>
      </c>
      <c r="B154" s="501">
        <v>20632.326000000001</v>
      </c>
      <c r="C154" s="501">
        <v>1213.3209999999999</v>
      </c>
      <c r="D154" s="501">
        <v>12209.172</v>
      </c>
      <c r="E154" s="501">
        <v>851.47670000000005</v>
      </c>
      <c r="F154" s="501">
        <v>2422.6239999999998</v>
      </c>
      <c r="G154" s="501">
        <v>309.81959999999998</v>
      </c>
      <c r="H154" s="501">
        <v>9786.5478999999996</v>
      </c>
      <c r="I154" s="501">
        <v>541.65710000000001</v>
      </c>
      <c r="J154" s="501">
        <v>8423.1538</v>
      </c>
      <c r="K154" s="501">
        <v>361.84500000000003</v>
      </c>
      <c r="L154" s="501">
        <v>2163.2379999999998</v>
      </c>
      <c r="M154" s="501">
        <v>141.17609999999999</v>
      </c>
      <c r="N154" s="501">
        <v>6259.9156999999996</v>
      </c>
      <c r="O154" s="501">
        <v>220.66900000000001</v>
      </c>
    </row>
    <row r="155" spans="1:15" ht="12.75">
      <c r="A155" s="331" t="s">
        <v>21</v>
      </c>
      <c r="B155" s="501">
        <v>20595.455000000002</v>
      </c>
      <c r="C155" s="501">
        <v>1256.643</v>
      </c>
      <c r="D155" s="501">
        <v>12018.028899999999</v>
      </c>
      <c r="E155" s="501">
        <v>855.90729999999996</v>
      </c>
      <c r="F155" s="501">
        <v>2320.2347</v>
      </c>
      <c r="G155" s="501">
        <v>312.7423</v>
      </c>
      <c r="H155" s="501">
        <v>9697.7939999999999</v>
      </c>
      <c r="I155" s="501">
        <v>543.16499999999996</v>
      </c>
      <c r="J155" s="501">
        <v>8577.4259999999995</v>
      </c>
      <c r="K155" s="501">
        <v>400.7364</v>
      </c>
      <c r="L155" s="501">
        <v>2260.7620000000002</v>
      </c>
      <c r="M155" s="501">
        <v>167.51169999999999</v>
      </c>
      <c r="N155" s="501">
        <v>6316.7539999999999</v>
      </c>
      <c r="O155" s="501">
        <v>233.22470000000001</v>
      </c>
    </row>
    <row r="156" spans="1:15" ht="12.75">
      <c r="A156" s="331" t="s">
        <v>22</v>
      </c>
      <c r="B156" s="501">
        <v>20468.142632049003</v>
      </c>
      <c r="C156" s="501">
        <v>1313.1534961799998</v>
      </c>
      <c r="D156" s="501">
        <v>11729.210724309001</v>
      </c>
      <c r="E156" s="501">
        <v>917.18934189000004</v>
      </c>
      <c r="F156" s="501">
        <v>2168.9661458389996</v>
      </c>
      <c r="G156" s="501">
        <v>355.17509156000006</v>
      </c>
      <c r="H156" s="501">
        <v>9560.2445784700012</v>
      </c>
      <c r="I156" s="501">
        <v>562.01425032999998</v>
      </c>
      <c r="J156" s="501">
        <v>8738.9319077400032</v>
      </c>
      <c r="K156" s="501">
        <v>395.96415428999995</v>
      </c>
      <c r="L156" s="501">
        <v>2353.6627353000003</v>
      </c>
      <c r="M156" s="501">
        <v>163.14618628999997</v>
      </c>
      <c r="N156" s="501">
        <v>6385.2691724400011</v>
      </c>
      <c r="O156" s="501">
        <v>232.81796799999995</v>
      </c>
    </row>
    <row r="157" spans="1:15" ht="12.75">
      <c r="A157" s="331" t="s">
        <v>23</v>
      </c>
      <c r="B157" s="501">
        <v>20288.462762638999</v>
      </c>
      <c r="C157" s="501">
        <v>1338.66045882</v>
      </c>
      <c r="D157" s="501">
        <v>11519.014435448998</v>
      </c>
      <c r="E157" s="501">
        <v>920.98956297000007</v>
      </c>
      <c r="F157" s="501">
        <v>2067.2580634789997</v>
      </c>
      <c r="G157" s="501">
        <v>311.68212674</v>
      </c>
      <c r="H157" s="501">
        <v>9451.7563719700011</v>
      </c>
      <c r="I157" s="501">
        <v>609.30743623000001</v>
      </c>
      <c r="J157" s="501">
        <v>8769.4483271900026</v>
      </c>
      <c r="K157" s="501">
        <v>417.67089584999997</v>
      </c>
      <c r="L157" s="501">
        <v>2382.3034143600003</v>
      </c>
      <c r="M157" s="501">
        <v>176.55594108999998</v>
      </c>
      <c r="N157" s="501">
        <v>6387.144912830001</v>
      </c>
      <c r="O157" s="501">
        <v>241.11495475999996</v>
      </c>
    </row>
    <row r="158" spans="1:15" ht="12.75">
      <c r="A158" s="331" t="s">
        <v>24</v>
      </c>
      <c r="B158" s="501">
        <v>20187.489584469764</v>
      </c>
      <c r="C158" s="501">
        <v>1294.8200580000005</v>
      </c>
      <c r="D158" s="501">
        <v>11419.304572529763</v>
      </c>
      <c r="E158" s="501">
        <v>887.22562516000016</v>
      </c>
      <c r="F158" s="501">
        <v>2015.168344079764</v>
      </c>
      <c r="G158" s="501">
        <v>289.52077470000006</v>
      </c>
      <c r="H158" s="501">
        <v>9404.1362284499992</v>
      </c>
      <c r="I158" s="501">
        <v>597.7048504600001</v>
      </c>
      <c r="J158" s="501">
        <v>8768.1850119399987</v>
      </c>
      <c r="K158" s="501">
        <v>407.59443284000002</v>
      </c>
      <c r="L158" s="501">
        <v>2398.2357697400003</v>
      </c>
      <c r="M158" s="501">
        <v>163.12498473000002</v>
      </c>
      <c r="N158" s="501">
        <v>6369.9492422000003</v>
      </c>
      <c r="O158" s="501">
        <v>244.46944811</v>
      </c>
    </row>
    <row r="159" spans="1:15" ht="12.75">
      <c r="A159" s="331" t="s">
        <v>25</v>
      </c>
      <c r="B159" s="501">
        <v>20095.838231829763</v>
      </c>
      <c r="C159" s="501">
        <v>1333.6381339100001</v>
      </c>
      <c r="D159" s="501">
        <v>11428.864977189769</v>
      </c>
      <c r="E159" s="501">
        <v>906.68380773999979</v>
      </c>
      <c r="F159" s="501">
        <v>2029.0368484797646</v>
      </c>
      <c r="G159" s="501">
        <v>300.09978052999992</v>
      </c>
      <c r="H159" s="501">
        <v>9399.8281287100035</v>
      </c>
      <c r="I159" s="501">
        <v>606.58402720999993</v>
      </c>
      <c r="J159" s="501">
        <v>8666.973254640001</v>
      </c>
      <c r="K159" s="501">
        <v>426.95432617</v>
      </c>
      <c r="L159" s="501">
        <v>2293.62049531</v>
      </c>
      <c r="M159" s="501">
        <v>176.59869013000002</v>
      </c>
      <c r="N159" s="501">
        <v>6373.3527593300023</v>
      </c>
      <c r="O159" s="501">
        <v>250.35563604000001</v>
      </c>
    </row>
    <row r="160" spans="1:15" ht="12.75">
      <c r="A160" s="331" t="s">
        <v>26</v>
      </c>
      <c r="B160" s="501">
        <v>19113.5</v>
      </c>
      <c r="C160" s="501">
        <v>1353.7508176499998</v>
      </c>
      <c r="D160" s="501">
        <v>10682.747313299767</v>
      </c>
      <c r="E160" s="501">
        <v>910.95282502999999</v>
      </c>
      <c r="F160" s="501">
        <v>1922.0969612697638</v>
      </c>
      <c r="G160" s="501">
        <v>303.67539099999988</v>
      </c>
      <c r="H160" s="501">
        <v>8760.650352030003</v>
      </c>
      <c r="I160" s="501">
        <v>607.27743402999999</v>
      </c>
      <c r="J160" s="501">
        <v>8430.7640014400022</v>
      </c>
      <c r="K160" s="501">
        <v>442.79799262000006</v>
      </c>
      <c r="L160" s="501">
        <v>2336.2728955300008</v>
      </c>
      <c r="M160" s="501">
        <v>176.82220673999998</v>
      </c>
      <c r="N160" s="501">
        <v>6094.4911059100023</v>
      </c>
      <c r="O160" s="501">
        <v>265.97578588000005</v>
      </c>
    </row>
    <row r="161" spans="1:15" ht="12.75">
      <c r="A161" s="331" t="s">
        <v>27</v>
      </c>
      <c r="B161" s="501">
        <v>18566.400000000001</v>
      </c>
      <c r="C161" s="501">
        <v>1301.8673845200001</v>
      </c>
      <c r="D161" s="501">
        <v>11281.715901230094</v>
      </c>
      <c r="E161" s="501">
        <v>898.73483413199676</v>
      </c>
      <c r="F161" s="501">
        <v>2257.0350783825879</v>
      </c>
      <c r="G161" s="501">
        <v>287.03993420448802</v>
      </c>
      <c r="H161" s="501">
        <v>9024.6808228475074</v>
      </c>
      <c r="I161" s="501">
        <v>611.69489992750891</v>
      </c>
      <c r="J161" s="501">
        <v>7284.6994928480044</v>
      </c>
      <c r="K161" s="501">
        <v>403.13255038800315</v>
      </c>
      <c r="L161" s="501">
        <v>2090.5243450862272</v>
      </c>
      <c r="M161" s="501">
        <v>189.76545724622707</v>
      </c>
      <c r="N161" s="501">
        <v>5194.1751477617763</v>
      </c>
      <c r="O161" s="501">
        <v>213.36709314177614</v>
      </c>
    </row>
    <row r="162" spans="1:15" ht="12.75">
      <c r="A162" s="331" t="s">
        <v>28</v>
      </c>
      <c r="B162" s="501">
        <v>18744.3</v>
      </c>
      <c r="C162" s="501">
        <v>1229.5888907799997</v>
      </c>
      <c r="D162" s="501">
        <v>10893.119134640096</v>
      </c>
      <c r="E162" s="501">
        <v>846.03035844199667</v>
      </c>
      <c r="F162" s="501">
        <v>1848.7803885125882</v>
      </c>
      <c r="G162" s="501">
        <v>277.44962297448797</v>
      </c>
      <c r="H162" s="501">
        <v>9044.3387461275088</v>
      </c>
      <c r="I162" s="501">
        <v>568.58073546750882</v>
      </c>
      <c r="J162" s="501">
        <v>7851.1482972180029</v>
      </c>
      <c r="K162" s="501">
        <v>383.55853233800303</v>
      </c>
      <c r="L162" s="501">
        <v>2801.4811202762276</v>
      </c>
      <c r="M162" s="501">
        <v>184.57057678622701</v>
      </c>
      <c r="N162" s="501">
        <v>5049.6671769417753</v>
      </c>
      <c r="O162" s="501">
        <v>198.98795555177608</v>
      </c>
    </row>
    <row r="163" spans="1:15" ht="12.75">
      <c r="A163" s="331" t="s">
        <v>29</v>
      </c>
      <c r="B163" s="501">
        <v>21730.445</v>
      </c>
      <c r="C163" s="501">
        <v>1508.4988455</v>
      </c>
      <c r="D163" s="501">
        <v>10994.5193</v>
      </c>
      <c r="E163" s="501">
        <v>840.18812631199683</v>
      </c>
      <c r="F163" s="501">
        <v>1773.8443717325883</v>
      </c>
      <c r="G163" s="501">
        <v>268.16511198448802</v>
      </c>
      <c r="H163" s="501">
        <v>9220.6749041775111</v>
      </c>
      <c r="I163" s="501">
        <v>572.02301432750892</v>
      </c>
      <c r="J163" s="501">
        <v>10735.925744528004</v>
      </c>
      <c r="K163" s="501">
        <v>668.31071918800319</v>
      </c>
      <c r="L163" s="501">
        <v>3523.4787029962263</v>
      </c>
      <c r="M163" s="501">
        <v>304.84419578622709</v>
      </c>
      <c r="N163" s="501">
        <v>7212.4470415317764</v>
      </c>
      <c r="O163" s="501">
        <v>363.46652340177616</v>
      </c>
    </row>
    <row r="164" spans="1:15" ht="12.75">
      <c r="A164" s="331" t="s">
        <v>1852</v>
      </c>
      <c r="B164" s="500">
        <v>16444.561727330001</v>
      </c>
      <c r="C164" s="500">
        <v>1472.5995942200004</v>
      </c>
      <c r="D164" s="500">
        <v>8663.1322214200009</v>
      </c>
      <c r="E164" s="500">
        <v>682.40455387000009</v>
      </c>
      <c r="F164" s="500">
        <v>1362.3756578500002</v>
      </c>
      <c r="G164" s="500">
        <v>147.34122615000001</v>
      </c>
      <c r="H164" s="500">
        <v>7300.7565635700012</v>
      </c>
      <c r="I164" s="500">
        <v>535.06332772000007</v>
      </c>
      <c r="J164" s="500">
        <v>7781.4295059099995</v>
      </c>
      <c r="K164" s="500">
        <v>790.19504034999989</v>
      </c>
      <c r="L164" s="500">
        <v>2115.5578111999994</v>
      </c>
      <c r="M164" s="500">
        <v>192.85923648999997</v>
      </c>
      <c r="N164" s="500">
        <v>5665.8716947099992</v>
      </c>
      <c r="O164" s="500">
        <v>597.33580385999994</v>
      </c>
    </row>
    <row r="165" spans="1:15" ht="12.75">
      <c r="A165" s="331" t="s">
        <v>18</v>
      </c>
      <c r="B165" s="501">
        <v>21199.450080179002</v>
      </c>
      <c r="C165" s="501">
        <v>1314.6188215699999</v>
      </c>
      <c r="D165" s="501">
        <v>10188.166053848998</v>
      </c>
      <c r="E165" s="501">
        <v>659.47597757999984</v>
      </c>
      <c r="F165" s="501">
        <v>1556.6172759790002</v>
      </c>
      <c r="G165" s="501">
        <v>174.74767155999999</v>
      </c>
      <c r="H165" s="501">
        <v>8631.5487778699971</v>
      </c>
      <c r="I165" s="501">
        <v>484.72830601999982</v>
      </c>
      <c r="J165" s="501">
        <v>11011.284026330002</v>
      </c>
      <c r="K165" s="501">
        <v>655.14284399000007</v>
      </c>
      <c r="L165" s="501">
        <v>3460.8491328699997</v>
      </c>
      <c r="M165" s="501">
        <v>285.10437458000007</v>
      </c>
      <c r="N165" s="501">
        <v>7550.4348934600021</v>
      </c>
      <c r="O165" s="501">
        <v>370.03846941000006</v>
      </c>
    </row>
    <row r="166" spans="1:15" ht="12.75">
      <c r="A166" s="331" t="s">
        <v>19</v>
      </c>
      <c r="B166" s="501">
        <v>20327.413122968999</v>
      </c>
      <c r="C166" s="501">
        <v>1329.4548797100003</v>
      </c>
      <c r="D166" s="501">
        <v>10085.633747659002</v>
      </c>
      <c r="E166" s="501">
        <v>671.86305577999997</v>
      </c>
      <c r="F166" s="501">
        <v>1522.815200539</v>
      </c>
      <c r="G166" s="501">
        <v>173.82055604000001</v>
      </c>
      <c r="H166" s="501">
        <v>8562.8185471200013</v>
      </c>
      <c r="I166" s="501">
        <v>498.04249973999993</v>
      </c>
      <c r="J166" s="501">
        <v>10241.779375309998</v>
      </c>
      <c r="K166" s="501">
        <v>657.59182393000015</v>
      </c>
      <c r="L166" s="501">
        <v>3238.7067153900002</v>
      </c>
      <c r="M166" s="501">
        <v>290.94175493000006</v>
      </c>
      <c r="N166" s="501">
        <v>7003.0726599199988</v>
      </c>
      <c r="O166" s="501">
        <v>366.65006900000014</v>
      </c>
    </row>
    <row r="167" spans="1:15" ht="12.75">
      <c r="A167" s="331" t="s">
        <v>20</v>
      </c>
      <c r="B167" s="501">
        <v>19686.956662109005</v>
      </c>
      <c r="C167" s="501">
        <v>1326.5289649900001</v>
      </c>
      <c r="D167" s="501">
        <v>10029.654654539003</v>
      </c>
      <c r="E167" s="501">
        <v>691.53457663999995</v>
      </c>
      <c r="F167" s="501">
        <v>1479.0174856789999</v>
      </c>
      <c r="G167" s="501">
        <v>172.36907781999994</v>
      </c>
      <c r="H167" s="501">
        <v>8550.6371688600011</v>
      </c>
      <c r="I167" s="501">
        <v>519.16549882000004</v>
      </c>
      <c r="J167" s="501">
        <v>9657.3020075700042</v>
      </c>
      <c r="K167" s="501">
        <v>634.99438835000001</v>
      </c>
      <c r="L167" s="501">
        <v>3004.5528392300002</v>
      </c>
      <c r="M167" s="501">
        <v>284.42816813000002</v>
      </c>
      <c r="N167" s="501">
        <v>6652.7491683400031</v>
      </c>
      <c r="O167" s="501">
        <v>350.56622021999999</v>
      </c>
    </row>
    <row r="168" spans="1:15" ht="12.75">
      <c r="A168" s="331" t="s">
        <v>21</v>
      </c>
      <c r="B168" s="501">
        <v>18758.681891680004</v>
      </c>
      <c r="C168" s="501">
        <v>1381.301174834</v>
      </c>
      <c r="D168" s="501">
        <v>9723.1316309100002</v>
      </c>
      <c r="E168" s="501">
        <v>726.22112042000015</v>
      </c>
      <c r="F168" s="501">
        <v>1413.49338433</v>
      </c>
      <c r="G168" s="501">
        <v>191.97976265000003</v>
      </c>
      <c r="H168" s="501">
        <v>8309.6382465799998</v>
      </c>
      <c r="I168" s="501">
        <v>534.24135777000015</v>
      </c>
      <c r="J168" s="501">
        <v>9035.5502607700018</v>
      </c>
      <c r="K168" s="501">
        <v>655.08005441399985</v>
      </c>
      <c r="L168" s="501">
        <v>2789.67477005</v>
      </c>
      <c r="M168" s="501">
        <v>313.58154516399992</v>
      </c>
      <c r="N168" s="501">
        <v>6245.8754907200018</v>
      </c>
      <c r="O168" s="501">
        <v>341.49850924999993</v>
      </c>
    </row>
    <row r="169" spans="1:15" ht="12.75">
      <c r="A169" s="331" t="s">
        <v>22</v>
      </c>
      <c r="B169" s="501">
        <v>18197.110367269997</v>
      </c>
      <c r="C169" s="501">
        <v>1514.1593900339999</v>
      </c>
      <c r="D169" s="501">
        <v>9675.9693102999991</v>
      </c>
      <c r="E169" s="501">
        <v>777.69981674999997</v>
      </c>
      <c r="F169" s="501">
        <v>1394.6017394599999</v>
      </c>
      <c r="G169" s="501">
        <v>199.56110902999995</v>
      </c>
      <c r="H169" s="501">
        <v>8281.3675708399987</v>
      </c>
      <c r="I169" s="501">
        <v>578.13870772000007</v>
      </c>
      <c r="J169" s="501">
        <v>8521.1410569699983</v>
      </c>
      <c r="K169" s="501">
        <v>736.45957328399993</v>
      </c>
      <c r="L169" s="501">
        <v>2496.4021965099996</v>
      </c>
      <c r="M169" s="501">
        <v>331.20854962400006</v>
      </c>
      <c r="N169" s="501">
        <v>6024.7388604600001</v>
      </c>
      <c r="O169" s="501">
        <v>405.25102365999993</v>
      </c>
    </row>
    <row r="170" spans="1:15" ht="12.75">
      <c r="A170" s="331" t="s">
        <v>23</v>
      </c>
      <c r="B170" s="501">
        <v>18434.21738269</v>
      </c>
      <c r="C170" s="501">
        <v>1539.7624078840001</v>
      </c>
      <c r="D170" s="501">
        <v>9570.3603403000016</v>
      </c>
      <c r="E170" s="501">
        <v>778.96855077000009</v>
      </c>
      <c r="F170" s="501">
        <v>1406.3824855699997</v>
      </c>
      <c r="G170" s="501">
        <v>195.97412972999999</v>
      </c>
      <c r="H170" s="501">
        <v>8163.9778547300011</v>
      </c>
      <c r="I170" s="501">
        <v>582.99442104000013</v>
      </c>
      <c r="J170" s="501">
        <v>8863.8570423900001</v>
      </c>
      <c r="K170" s="501">
        <v>760.79385711399993</v>
      </c>
      <c r="L170" s="501">
        <v>2652.8948131799998</v>
      </c>
      <c r="M170" s="501">
        <v>322.56269348399996</v>
      </c>
      <c r="N170" s="501">
        <v>6210.9622292100003</v>
      </c>
      <c r="O170" s="501">
        <v>438.23116362999997</v>
      </c>
    </row>
    <row r="171" spans="1:15" ht="12.75">
      <c r="A171" s="331" t="s">
        <v>24</v>
      </c>
      <c r="B171" s="501">
        <v>16713.351003939999</v>
      </c>
      <c r="C171" s="501">
        <v>1504.4260400999999</v>
      </c>
      <c r="D171" s="501">
        <v>8643.4638444499979</v>
      </c>
      <c r="E171" s="501">
        <v>711.74818535999987</v>
      </c>
      <c r="F171" s="501">
        <v>1309.61738328</v>
      </c>
      <c r="G171" s="501">
        <v>169.56878911999999</v>
      </c>
      <c r="H171" s="501">
        <v>7333.8464611699992</v>
      </c>
      <c r="I171" s="501">
        <v>542.17939623999996</v>
      </c>
      <c r="J171" s="501">
        <v>8069.887159490002</v>
      </c>
      <c r="K171" s="501">
        <v>792.67785474000004</v>
      </c>
      <c r="L171" s="501">
        <v>2247.6001848599999</v>
      </c>
      <c r="M171" s="501">
        <v>337.25975965000003</v>
      </c>
      <c r="N171" s="501">
        <v>5822.2869746300012</v>
      </c>
      <c r="O171" s="501">
        <v>455.41809509000001</v>
      </c>
    </row>
    <row r="172" spans="1:15" ht="12.75">
      <c r="A172" s="331" t="s">
        <v>25</v>
      </c>
      <c r="B172" s="501">
        <v>16839.653401849999</v>
      </c>
      <c r="C172" s="501">
        <v>1592.87461192</v>
      </c>
      <c r="D172" s="501">
        <v>8755.1380323199992</v>
      </c>
      <c r="E172" s="501">
        <v>754.83052350000003</v>
      </c>
      <c r="F172" s="501">
        <v>1326.2400043099997</v>
      </c>
      <c r="G172" s="501">
        <v>176.38564744999996</v>
      </c>
      <c r="H172" s="501">
        <v>7428.8980280100004</v>
      </c>
      <c r="I172" s="501">
        <v>578.44487605000006</v>
      </c>
      <c r="J172" s="501">
        <v>8084.5153695300014</v>
      </c>
      <c r="K172" s="501">
        <v>838.04408841999998</v>
      </c>
      <c r="L172" s="501">
        <v>2302.1359894100005</v>
      </c>
      <c r="M172" s="501">
        <v>334.56767341999995</v>
      </c>
      <c r="N172" s="501">
        <v>5782.37938012</v>
      </c>
      <c r="O172" s="501">
        <v>503.47641500000003</v>
      </c>
    </row>
    <row r="173" spans="1:15" ht="12.75">
      <c r="A173" s="331" t="s">
        <v>26</v>
      </c>
      <c r="B173" s="501">
        <v>16785.05677386</v>
      </c>
      <c r="C173" s="501">
        <v>1597.3169740999997</v>
      </c>
      <c r="D173" s="501">
        <v>8848.0956371199991</v>
      </c>
      <c r="E173" s="501">
        <v>763.30310415000008</v>
      </c>
      <c r="F173" s="501">
        <v>1357.5237484499999</v>
      </c>
      <c r="G173" s="501">
        <v>175.02730504999997</v>
      </c>
      <c r="H173" s="501">
        <v>7490.5718886699997</v>
      </c>
      <c r="I173" s="501">
        <v>588.27579910000009</v>
      </c>
      <c r="J173" s="501">
        <v>7936.9611367400012</v>
      </c>
      <c r="K173" s="501">
        <v>834.01386994999984</v>
      </c>
      <c r="L173" s="501">
        <v>2253.8381897400004</v>
      </c>
      <c r="M173" s="501">
        <v>309.14325123999993</v>
      </c>
      <c r="N173" s="501">
        <v>5683.1229470000007</v>
      </c>
      <c r="O173" s="501">
        <v>524.87061870999992</v>
      </c>
    </row>
    <row r="174" spans="1:15" ht="12.75">
      <c r="A174" s="331" t="s">
        <v>27</v>
      </c>
      <c r="B174" s="501">
        <v>15820.03201237</v>
      </c>
      <c r="C174" s="501">
        <v>1375.5964992800004</v>
      </c>
      <c r="D174" s="501">
        <v>8509.4903532000008</v>
      </c>
      <c r="E174" s="501">
        <v>632.28516155000011</v>
      </c>
      <c r="F174" s="501">
        <v>1321.1638427299999</v>
      </c>
      <c r="G174" s="501">
        <v>154.69314312999998</v>
      </c>
      <c r="H174" s="501">
        <v>7188.3265104700013</v>
      </c>
      <c r="I174" s="501">
        <v>477.59201842000004</v>
      </c>
      <c r="J174" s="501">
        <v>7310.5416591699995</v>
      </c>
      <c r="K174" s="501">
        <v>743.31133772999999</v>
      </c>
      <c r="L174" s="501">
        <v>2001.77325453</v>
      </c>
      <c r="M174" s="501">
        <v>238.39743927999996</v>
      </c>
      <c r="N174" s="501">
        <v>5308.76840464</v>
      </c>
      <c r="O174" s="501">
        <v>504.91389845000009</v>
      </c>
    </row>
    <row r="175" spans="1:15" ht="12.75">
      <c r="A175" s="331" t="s">
        <v>28</v>
      </c>
      <c r="B175" s="501">
        <v>16275.489472970001</v>
      </c>
      <c r="C175" s="501">
        <v>1442.34083448</v>
      </c>
      <c r="D175" s="501">
        <v>8600.9950056000016</v>
      </c>
      <c r="E175" s="501">
        <v>637.85276339999996</v>
      </c>
      <c r="F175" s="501">
        <v>1332.6611324800001</v>
      </c>
      <c r="G175" s="501">
        <v>144.99699769000006</v>
      </c>
      <c r="H175" s="501">
        <v>7268.3338731200029</v>
      </c>
      <c r="I175" s="501">
        <v>492.8557657099999</v>
      </c>
      <c r="J175" s="501">
        <v>7674.4944673699993</v>
      </c>
      <c r="K175" s="501">
        <v>804.48807107999994</v>
      </c>
      <c r="L175" s="501">
        <v>2118.3361033900005</v>
      </c>
      <c r="M175" s="501">
        <v>231.39265567999999</v>
      </c>
      <c r="N175" s="501">
        <v>5556.1583639799992</v>
      </c>
      <c r="O175" s="501">
        <v>573.09541539999998</v>
      </c>
    </row>
    <row r="176" spans="1:15" ht="12.75">
      <c r="A176" s="331" t="s">
        <v>29</v>
      </c>
      <c r="B176" s="501">
        <v>16444.561727330001</v>
      </c>
      <c r="C176" s="501">
        <v>1472.5995942200004</v>
      </c>
      <c r="D176" s="501">
        <v>8663.1322214200009</v>
      </c>
      <c r="E176" s="501">
        <v>682.40455387000009</v>
      </c>
      <c r="F176" s="501">
        <v>1362.3756578500002</v>
      </c>
      <c r="G176" s="501">
        <v>147.34122615000001</v>
      </c>
      <c r="H176" s="501">
        <v>7300.7565635700012</v>
      </c>
      <c r="I176" s="501">
        <v>535.06332772000007</v>
      </c>
      <c r="J176" s="501">
        <v>7781.4295059099995</v>
      </c>
      <c r="K176" s="501">
        <v>790.19504034999989</v>
      </c>
      <c r="L176" s="501">
        <v>2115.5578111999994</v>
      </c>
      <c r="M176" s="501">
        <v>192.85923648999997</v>
      </c>
      <c r="N176" s="501">
        <v>5665.8716947099992</v>
      </c>
      <c r="O176" s="501">
        <v>597.33580385999994</v>
      </c>
    </row>
    <row r="177" spans="1:15" ht="12.75">
      <c r="A177" s="331" t="s">
        <v>1915</v>
      </c>
      <c r="B177" s="500">
        <v>11757.786958619999</v>
      </c>
      <c r="C177" s="500">
        <v>1626.7461591053998</v>
      </c>
      <c r="D177" s="500">
        <v>6953.5897436999985</v>
      </c>
      <c r="E177" s="500">
        <v>789.29033093999976</v>
      </c>
      <c r="F177" s="500">
        <v>1030.5972081899997</v>
      </c>
      <c r="G177" s="500">
        <v>164.49530154000001</v>
      </c>
      <c r="H177" s="500">
        <v>5922.9925355099986</v>
      </c>
      <c r="I177" s="500">
        <v>624.79502939999986</v>
      </c>
      <c r="J177" s="500">
        <v>4804.1972149199983</v>
      </c>
      <c r="K177" s="500">
        <v>837.45582816540002</v>
      </c>
      <c r="L177" s="500">
        <v>1070.6928773399998</v>
      </c>
      <c r="M177" s="500">
        <v>158.68022948539999</v>
      </c>
      <c r="N177" s="500">
        <v>3733.5043375799996</v>
      </c>
      <c r="O177" s="500">
        <v>678.77559868000003</v>
      </c>
    </row>
    <row r="178" spans="1:15" ht="12.75">
      <c r="A178" s="331" t="s">
        <v>18</v>
      </c>
      <c r="B178" s="501">
        <v>16705.157127140879</v>
      </c>
      <c r="C178" s="501">
        <v>1633.0919814715185</v>
      </c>
      <c r="D178" s="501">
        <v>8406.8374419008796</v>
      </c>
      <c r="E178" s="501">
        <v>738.90777888151854</v>
      </c>
      <c r="F178" s="501">
        <v>1326.6919450130006</v>
      </c>
      <c r="G178" s="501">
        <v>159.66485175956439</v>
      </c>
      <c r="H178" s="501">
        <v>7080.1454968878797</v>
      </c>
      <c r="I178" s="501">
        <v>579.24292712195415</v>
      </c>
      <c r="J178" s="501">
        <v>8298.3196852399979</v>
      </c>
      <c r="K178" s="501">
        <v>894.18420258999993</v>
      </c>
      <c r="L178" s="501">
        <v>2256.9233878599994</v>
      </c>
      <c r="M178" s="501">
        <v>214.45859174</v>
      </c>
      <c r="N178" s="501">
        <v>6041.3962973799999</v>
      </c>
      <c r="O178" s="501">
        <v>679.72561084999995</v>
      </c>
    </row>
    <row r="179" spans="1:15" ht="12.75">
      <c r="A179" s="331" t="s">
        <v>19</v>
      </c>
      <c r="B179" s="501">
        <v>15878.566380650882</v>
      </c>
      <c r="C179" s="501">
        <v>1556.4403998315188</v>
      </c>
      <c r="D179" s="501">
        <v>8356.1138446908844</v>
      </c>
      <c r="E179" s="501">
        <v>703.04478671151855</v>
      </c>
      <c r="F179" s="501">
        <v>1302.2769203730004</v>
      </c>
      <c r="G179" s="501">
        <v>156.4857632795644</v>
      </c>
      <c r="H179" s="501">
        <v>7053.8369243178822</v>
      </c>
      <c r="I179" s="501">
        <v>546.55902343195407</v>
      </c>
      <c r="J179" s="501">
        <v>7522.4525359599993</v>
      </c>
      <c r="K179" s="501">
        <v>853.39561312000012</v>
      </c>
      <c r="L179" s="501">
        <v>2051.8464358199999</v>
      </c>
      <c r="M179" s="501">
        <v>198.89207520999997</v>
      </c>
      <c r="N179" s="501">
        <v>5470.6061001400003</v>
      </c>
      <c r="O179" s="501">
        <v>654.50353791000009</v>
      </c>
    </row>
    <row r="180" spans="1:15" ht="12.75">
      <c r="A180" s="331" t="s">
        <v>20</v>
      </c>
      <c r="B180" s="501">
        <v>15533.337990800879</v>
      </c>
      <c r="C180" s="501">
        <v>1590.3156047015189</v>
      </c>
      <c r="D180" s="501">
        <v>8128.4094061208816</v>
      </c>
      <c r="E180" s="501">
        <v>719.86092461151861</v>
      </c>
      <c r="F180" s="501">
        <v>1310.4097331730004</v>
      </c>
      <c r="G180" s="501">
        <v>163.3265221495644</v>
      </c>
      <c r="H180" s="501">
        <v>6817.9996729478817</v>
      </c>
      <c r="I180" s="501">
        <v>556.5344024619543</v>
      </c>
      <c r="J180" s="501">
        <v>7404.9285846799994</v>
      </c>
      <c r="K180" s="501">
        <v>870.4546800899999</v>
      </c>
      <c r="L180" s="501">
        <v>2037.5064844000001</v>
      </c>
      <c r="M180" s="501">
        <v>201.06621921000004</v>
      </c>
      <c r="N180" s="501">
        <v>5367.4221002799995</v>
      </c>
      <c r="O180" s="501">
        <v>669.38846088000003</v>
      </c>
    </row>
    <row r="181" spans="1:15" ht="12.75">
      <c r="A181" s="331" t="s">
        <v>21</v>
      </c>
      <c r="B181" s="501">
        <v>15453.511481964539</v>
      </c>
      <c r="C181" s="501">
        <v>1594.0350948091698</v>
      </c>
      <c r="D181" s="501">
        <v>8034.6572523110972</v>
      </c>
      <c r="E181" s="501">
        <v>724.79063433306214</v>
      </c>
      <c r="F181" s="501">
        <v>1266.3008990532153</v>
      </c>
      <c r="G181" s="501">
        <v>169.22549568321534</v>
      </c>
      <c r="H181" s="501">
        <v>6768.3563532578828</v>
      </c>
      <c r="I181" s="501">
        <v>555.56513864984663</v>
      </c>
      <c r="J181" s="501">
        <v>7418.8542296534406</v>
      </c>
      <c r="K181" s="501">
        <v>869.24446047610786</v>
      </c>
      <c r="L181" s="501">
        <v>2149.0736775534428</v>
      </c>
      <c r="M181" s="501">
        <v>189.46289907610796</v>
      </c>
      <c r="N181" s="501">
        <v>5269.7805520999973</v>
      </c>
      <c r="O181" s="501">
        <v>679.78156139999987</v>
      </c>
    </row>
    <row r="182" spans="1:15" ht="12.75">
      <c r="A182" s="331" t="s">
        <v>22</v>
      </c>
      <c r="B182" s="501">
        <v>14794.00497369454</v>
      </c>
      <c r="C182" s="501">
        <v>1739.7585750491703</v>
      </c>
      <c r="D182" s="501">
        <v>8025.7464192210964</v>
      </c>
      <c r="E182" s="501">
        <v>858.14408161306221</v>
      </c>
      <c r="F182" s="501">
        <v>1244.9710807432155</v>
      </c>
      <c r="G182" s="501">
        <v>166.1320760132154</v>
      </c>
      <c r="H182" s="501">
        <v>6780.7753384778807</v>
      </c>
      <c r="I182" s="501">
        <v>692.01200559984659</v>
      </c>
      <c r="J182" s="501">
        <v>6768.2585544734447</v>
      </c>
      <c r="K182" s="501">
        <v>881.61449343610809</v>
      </c>
      <c r="L182" s="501">
        <v>1774.7860856934417</v>
      </c>
      <c r="M182" s="501">
        <v>194.23793116610801</v>
      </c>
      <c r="N182" s="501">
        <v>4993.4724687800017</v>
      </c>
      <c r="O182" s="501">
        <v>687.37656227000002</v>
      </c>
    </row>
    <row r="183" spans="1:15" ht="12.75">
      <c r="A183" s="331" t="s">
        <v>23</v>
      </c>
      <c r="B183" s="501">
        <v>13881.99544171454</v>
      </c>
      <c r="C183" s="501">
        <v>1810.7102516691702</v>
      </c>
      <c r="D183" s="501">
        <v>7960.9185650810969</v>
      </c>
      <c r="E183" s="501">
        <v>917.26046386306223</v>
      </c>
      <c r="F183" s="501">
        <v>1224.6034322732153</v>
      </c>
      <c r="G183" s="501">
        <v>179.14415172321534</v>
      </c>
      <c r="H183" s="501">
        <v>6736.3151328078811</v>
      </c>
      <c r="I183" s="501">
        <v>738.11631213984685</v>
      </c>
      <c r="J183" s="501">
        <v>5921.0768766334413</v>
      </c>
      <c r="K183" s="501">
        <v>893.44978780610802</v>
      </c>
      <c r="L183" s="501">
        <v>1631.8814894434415</v>
      </c>
      <c r="M183" s="501">
        <v>201.061982116108</v>
      </c>
      <c r="N183" s="501">
        <v>4289.1953871899996</v>
      </c>
      <c r="O183" s="501">
        <v>692.38780568999994</v>
      </c>
    </row>
    <row r="184" spans="1:15" ht="12.75">
      <c r="A184" s="331" t="s">
        <v>24</v>
      </c>
      <c r="B184" s="501">
        <v>12860.844876327881</v>
      </c>
      <c r="C184" s="501">
        <v>1812.8083793878807</v>
      </c>
      <c r="D184" s="501">
        <v>7256.6418725278827</v>
      </c>
      <c r="E184" s="501">
        <v>923.86427128788068</v>
      </c>
      <c r="F184" s="501">
        <v>1099.2882632600001</v>
      </c>
      <c r="G184" s="501">
        <v>165.68493056070409</v>
      </c>
      <c r="H184" s="501">
        <v>6157.3536092678823</v>
      </c>
      <c r="I184" s="501">
        <v>758.17934072717662</v>
      </c>
      <c r="J184" s="501">
        <v>5604.2030037999984</v>
      </c>
      <c r="K184" s="501">
        <v>888.94410809999999</v>
      </c>
      <c r="L184" s="501">
        <v>1425.1969315099996</v>
      </c>
      <c r="M184" s="501">
        <v>187.40533519999997</v>
      </c>
      <c r="N184" s="501">
        <v>4179.006072289998</v>
      </c>
      <c r="O184" s="501">
        <v>701.53877289999991</v>
      </c>
    </row>
    <row r="185" spans="1:15" ht="12.75">
      <c r="A185" s="331" t="s">
        <v>25</v>
      </c>
      <c r="B185" s="501">
        <v>12376.603710087882</v>
      </c>
      <c r="C185" s="501">
        <v>1823.9887068678806</v>
      </c>
      <c r="D185" s="501">
        <v>7222.3307909578807</v>
      </c>
      <c r="E185" s="501">
        <v>926.56528997788064</v>
      </c>
      <c r="F185" s="501">
        <v>1078.8362983</v>
      </c>
      <c r="G185" s="501">
        <v>160.1798610207041</v>
      </c>
      <c r="H185" s="501">
        <v>6143.4944926578819</v>
      </c>
      <c r="I185" s="501">
        <v>766.38542895717637</v>
      </c>
      <c r="J185" s="501">
        <v>5154.2729191300014</v>
      </c>
      <c r="K185" s="501">
        <v>897.42341689</v>
      </c>
      <c r="L185" s="501">
        <v>1276.8587946700002</v>
      </c>
      <c r="M185" s="501">
        <v>190.28141313999998</v>
      </c>
      <c r="N185" s="501">
        <v>3877.41412446</v>
      </c>
      <c r="O185" s="501">
        <v>707.14200374999996</v>
      </c>
    </row>
    <row r="186" spans="1:15" ht="12.75">
      <c r="A186" s="331" t="s">
        <v>26</v>
      </c>
      <c r="B186" s="501">
        <v>12437.248015267882</v>
      </c>
      <c r="C186" s="501">
        <v>1857.1320464578807</v>
      </c>
      <c r="D186" s="501">
        <v>7214.743501477883</v>
      </c>
      <c r="E186" s="501">
        <v>949.01266131788066</v>
      </c>
      <c r="F186" s="501">
        <v>1081.9130548800001</v>
      </c>
      <c r="G186" s="501">
        <v>163.59363310070412</v>
      </c>
      <c r="H186" s="501">
        <v>6132.8304465978827</v>
      </c>
      <c r="I186" s="501">
        <v>785.41902821717645</v>
      </c>
      <c r="J186" s="501">
        <v>5222.5045137900006</v>
      </c>
      <c r="K186" s="501">
        <v>908.11938514000019</v>
      </c>
      <c r="L186" s="501">
        <v>1368.7497354099994</v>
      </c>
      <c r="M186" s="501">
        <v>185.97982214000001</v>
      </c>
      <c r="N186" s="501">
        <v>3853.7547783800005</v>
      </c>
      <c r="O186" s="501">
        <v>722.13956300000007</v>
      </c>
    </row>
    <row r="187" spans="1:15" ht="12.75">
      <c r="A187" s="331" t="s">
        <v>27</v>
      </c>
      <c r="B187" s="501">
        <v>12152.182179499998</v>
      </c>
      <c r="C187" s="501">
        <v>1889.6276242253998</v>
      </c>
      <c r="D187" s="501">
        <v>7153.22834444</v>
      </c>
      <c r="E187" s="501">
        <v>945.00457463000021</v>
      </c>
      <c r="F187" s="501">
        <v>1063.5645195600002</v>
      </c>
      <c r="G187" s="501">
        <v>165.24081436999998</v>
      </c>
      <c r="H187" s="501">
        <v>6089.6638248799991</v>
      </c>
      <c r="I187" s="501">
        <v>779.76376026000014</v>
      </c>
      <c r="J187" s="501">
        <v>4998.9538350600005</v>
      </c>
      <c r="K187" s="501">
        <v>944.62304959539972</v>
      </c>
      <c r="L187" s="501">
        <v>1219.6603727700001</v>
      </c>
      <c r="M187" s="501">
        <v>212.9228083154</v>
      </c>
      <c r="N187" s="501">
        <v>3779.2934622900002</v>
      </c>
      <c r="O187" s="501">
        <v>731.70024127999989</v>
      </c>
    </row>
    <row r="188" spans="1:15" ht="12.75">
      <c r="A188" s="331" t="s">
        <v>28</v>
      </c>
      <c r="B188" s="501">
        <v>12226.17449557</v>
      </c>
      <c r="C188" s="501">
        <v>1890.3338067754</v>
      </c>
      <c r="D188" s="501">
        <v>7258.3829039399998</v>
      </c>
      <c r="E188" s="501">
        <v>971.42422765999981</v>
      </c>
      <c r="F188" s="501">
        <v>1146.8273574099999</v>
      </c>
      <c r="G188" s="501">
        <v>169.32102718000004</v>
      </c>
      <c r="H188" s="501">
        <v>6111.5555465299994</v>
      </c>
      <c r="I188" s="501">
        <v>802.10320047999983</v>
      </c>
      <c r="J188" s="501">
        <v>4967.7915916299999</v>
      </c>
      <c r="K188" s="501">
        <v>918.90957911539999</v>
      </c>
      <c r="L188" s="501">
        <v>1207.1087038500007</v>
      </c>
      <c r="M188" s="501">
        <v>194.54984400540002</v>
      </c>
      <c r="N188" s="501">
        <v>3760.6828877799999</v>
      </c>
      <c r="O188" s="501">
        <v>724.35973510999986</v>
      </c>
    </row>
    <row r="189" spans="1:15" ht="12.75">
      <c r="A189" s="331" t="s">
        <v>29</v>
      </c>
      <c r="B189" s="501">
        <v>11757.786958619999</v>
      </c>
      <c r="C189" s="501">
        <v>1626.7461591053998</v>
      </c>
      <c r="D189" s="501">
        <v>6953.5897436999985</v>
      </c>
      <c r="E189" s="501">
        <v>789.29033093999976</v>
      </c>
      <c r="F189" s="501">
        <v>1030.5972081899997</v>
      </c>
      <c r="G189" s="501">
        <v>164.49530154000001</v>
      </c>
      <c r="H189" s="501">
        <v>5922.9925355099986</v>
      </c>
      <c r="I189" s="501">
        <v>624.79502939999986</v>
      </c>
      <c r="J189" s="501">
        <v>4804.1972149199983</v>
      </c>
      <c r="K189" s="501">
        <v>837.45582816540002</v>
      </c>
      <c r="L189" s="501">
        <v>1070.6928773399998</v>
      </c>
      <c r="M189" s="501">
        <v>158.68022948539999</v>
      </c>
      <c r="N189" s="501">
        <v>3733.5043375799996</v>
      </c>
      <c r="O189" s="501">
        <v>678.77559868000003</v>
      </c>
    </row>
    <row r="190" spans="1:15" ht="12.75">
      <c r="A190" s="331" t="s">
        <v>2051</v>
      </c>
      <c r="B190" s="500">
        <v>13020.303367349998</v>
      </c>
      <c r="C190" s="500">
        <v>1584.9974706609999</v>
      </c>
      <c r="D190" s="500">
        <v>8073.5671271899982</v>
      </c>
      <c r="E190" s="500">
        <v>774.13947971999994</v>
      </c>
      <c r="F190" s="500">
        <v>1510.2206357500002</v>
      </c>
      <c r="G190" s="500">
        <v>157.89208671</v>
      </c>
      <c r="H190" s="500">
        <v>6563.3464914399992</v>
      </c>
      <c r="I190" s="500">
        <v>616.24739301</v>
      </c>
      <c r="J190" s="500">
        <v>4946.7362401599985</v>
      </c>
      <c r="K190" s="500">
        <v>810.85799094099991</v>
      </c>
      <c r="L190" s="500">
        <v>1184.9242434799994</v>
      </c>
      <c r="M190" s="500">
        <v>171.43400337100002</v>
      </c>
      <c r="N190" s="500">
        <v>3761.8119966799991</v>
      </c>
      <c r="O190" s="500">
        <v>639.42398756999989</v>
      </c>
    </row>
    <row r="191" spans="1:15" ht="12.75">
      <c r="A191" s="331" t="s">
        <v>18</v>
      </c>
      <c r="B191" s="501">
        <v>11656.14158343001</v>
      </c>
      <c r="C191" s="501">
        <v>1695.9035093999998</v>
      </c>
      <c r="D191" s="501">
        <v>6899.8575762100081</v>
      </c>
      <c r="E191" s="501">
        <v>806.94858805000001</v>
      </c>
      <c r="F191" s="501">
        <v>1037.3729399100077</v>
      </c>
      <c r="G191" s="501">
        <v>169.22575592999999</v>
      </c>
      <c r="H191" s="501">
        <v>5862.4846363000006</v>
      </c>
      <c r="I191" s="501">
        <v>637.72283211999991</v>
      </c>
      <c r="J191" s="501">
        <v>4756.2840072199997</v>
      </c>
      <c r="K191" s="501">
        <v>888.95492135000018</v>
      </c>
      <c r="L191" s="501">
        <v>1118.75083559</v>
      </c>
      <c r="M191" s="501">
        <v>198.23642109000002</v>
      </c>
      <c r="N191" s="501">
        <v>3637.5331716299993</v>
      </c>
      <c r="O191" s="501">
        <v>690.71850026000016</v>
      </c>
    </row>
    <row r="192" spans="1:15" ht="12.75">
      <c r="A192" s="331" t="s">
        <v>19</v>
      </c>
      <c r="B192" s="501">
        <v>11561.095831580009</v>
      </c>
      <c r="C192" s="501">
        <v>1700.8734333599998</v>
      </c>
      <c r="D192" s="501">
        <v>7007.31616846001</v>
      </c>
      <c r="E192" s="501">
        <v>807.69973873999993</v>
      </c>
      <c r="F192" s="501">
        <v>1068.5490164500079</v>
      </c>
      <c r="G192" s="501">
        <v>168.36786457000002</v>
      </c>
      <c r="H192" s="501">
        <v>5938.7671520100021</v>
      </c>
      <c r="I192" s="501">
        <v>639.33187416999999</v>
      </c>
      <c r="J192" s="501">
        <v>4553.7796631199999</v>
      </c>
      <c r="K192" s="501">
        <v>893.17369462000011</v>
      </c>
      <c r="L192" s="501">
        <v>1076.9273256299998</v>
      </c>
      <c r="M192" s="501">
        <v>203.1742639</v>
      </c>
      <c r="N192" s="501">
        <v>3476.8523374899996</v>
      </c>
      <c r="O192" s="501">
        <v>689.99943071999996</v>
      </c>
    </row>
    <row r="193" spans="1:15" ht="12.75">
      <c r="A193" s="331" t="s">
        <v>20</v>
      </c>
      <c r="B193" s="501">
        <v>11663.483887770006</v>
      </c>
      <c r="C193" s="501">
        <v>1710.2045596400001</v>
      </c>
      <c r="D193" s="501">
        <v>7058.4268231200094</v>
      </c>
      <c r="E193" s="501">
        <v>817.86198172000013</v>
      </c>
      <c r="F193" s="501">
        <v>1081.7079281200076</v>
      </c>
      <c r="G193" s="501">
        <v>171.05993385000002</v>
      </c>
      <c r="H193" s="501">
        <v>5976.7188950000027</v>
      </c>
      <c r="I193" s="501">
        <v>646.80204787000014</v>
      </c>
      <c r="J193" s="501">
        <v>4605.05706465</v>
      </c>
      <c r="K193" s="501">
        <v>892.34257791999994</v>
      </c>
      <c r="L193" s="501">
        <v>1165.9694041799999</v>
      </c>
      <c r="M193" s="501">
        <v>198.86482843000002</v>
      </c>
      <c r="N193" s="501">
        <v>3439.0876604700011</v>
      </c>
      <c r="O193" s="501">
        <v>693.47774948999995</v>
      </c>
    </row>
    <row r="194" spans="1:15" ht="12.75">
      <c r="A194" s="331" t="s">
        <v>21</v>
      </c>
      <c r="B194" s="501">
        <v>11815.783021537001</v>
      </c>
      <c r="C194" s="501">
        <v>1708.8377681700001</v>
      </c>
      <c r="D194" s="501">
        <v>7181.2950288070006</v>
      </c>
      <c r="E194" s="501">
        <v>831.45422497000004</v>
      </c>
      <c r="F194" s="501">
        <v>1133.7525029399999</v>
      </c>
      <c r="G194" s="501">
        <v>181.7665117</v>
      </c>
      <c r="H194" s="501">
        <v>6047.5425258669993</v>
      </c>
      <c r="I194" s="501">
        <v>649.68771327000002</v>
      </c>
      <c r="J194" s="501">
        <v>4634.4879927300008</v>
      </c>
      <c r="K194" s="501">
        <v>877.38354319999996</v>
      </c>
      <c r="L194" s="501">
        <v>1165.6601106199998</v>
      </c>
      <c r="M194" s="501">
        <v>194.43246153000001</v>
      </c>
      <c r="N194" s="501">
        <v>3468.8278821100012</v>
      </c>
      <c r="O194" s="501">
        <v>682.95108167000001</v>
      </c>
    </row>
    <row r="195" spans="1:15" ht="12.75">
      <c r="A195" s="331" t="s">
        <v>22</v>
      </c>
      <c r="B195" s="501">
        <v>11945.500793076999</v>
      </c>
      <c r="C195" s="501">
        <v>1710.7977509899999</v>
      </c>
      <c r="D195" s="501">
        <v>7331.5965373769995</v>
      </c>
      <c r="E195" s="501">
        <v>833.06061491999992</v>
      </c>
      <c r="F195" s="501">
        <v>1172.5855758599998</v>
      </c>
      <c r="G195" s="501">
        <v>177.67665792999998</v>
      </c>
      <c r="H195" s="501">
        <v>6159.0109615169995</v>
      </c>
      <c r="I195" s="501">
        <v>655.38395699</v>
      </c>
      <c r="J195" s="501">
        <v>4613.9042556999984</v>
      </c>
      <c r="K195" s="501">
        <v>877.73713606999991</v>
      </c>
      <c r="L195" s="501">
        <v>1171.0941845499995</v>
      </c>
      <c r="M195" s="501">
        <v>194.54116195</v>
      </c>
      <c r="N195" s="501">
        <v>3442.8100711499997</v>
      </c>
      <c r="O195" s="501">
        <v>683.19597411999985</v>
      </c>
    </row>
    <row r="196" spans="1:15" ht="12.75">
      <c r="A196" s="331" t="s">
        <v>23</v>
      </c>
      <c r="B196" s="501">
        <v>12105.576494017001</v>
      </c>
      <c r="C196" s="501">
        <v>1745.7337322799999</v>
      </c>
      <c r="D196" s="501">
        <v>7425.3619326270009</v>
      </c>
      <c r="E196" s="501">
        <v>836.76757817000009</v>
      </c>
      <c r="F196" s="501">
        <v>1192.1831654300001</v>
      </c>
      <c r="G196" s="501">
        <v>180.35390278</v>
      </c>
      <c r="H196" s="501">
        <v>6233.1787671970005</v>
      </c>
      <c r="I196" s="501">
        <v>656.41367539000009</v>
      </c>
      <c r="J196" s="501">
        <v>4680.2145613899993</v>
      </c>
      <c r="K196" s="501">
        <v>908.96615411000005</v>
      </c>
      <c r="L196" s="501">
        <v>1173.6531892699998</v>
      </c>
      <c r="M196" s="501">
        <v>213.28008883999999</v>
      </c>
      <c r="N196" s="501">
        <v>3506.5613721199993</v>
      </c>
      <c r="O196" s="501">
        <v>695.68606526999997</v>
      </c>
    </row>
    <row r="197" spans="1:15" ht="12.75">
      <c r="A197" s="331" t="s">
        <v>24</v>
      </c>
      <c r="B197" s="501">
        <v>12170.671456159997</v>
      </c>
      <c r="C197" s="501">
        <v>1782.0547715499999</v>
      </c>
      <c r="D197" s="501">
        <v>7501.1721621600018</v>
      </c>
      <c r="E197" s="501">
        <v>845.50284094999995</v>
      </c>
      <c r="F197" s="501">
        <v>1210.7751387100002</v>
      </c>
      <c r="G197" s="501">
        <v>177.91094719</v>
      </c>
      <c r="H197" s="501">
        <v>6290.3970234500021</v>
      </c>
      <c r="I197" s="501">
        <v>667.59189376000006</v>
      </c>
      <c r="J197" s="501">
        <v>4669.4992940000002</v>
      </c>
      <c r="K197" s="501">
        <v>936.55193059999999</v>
      </c>
      <c r="L197" s="501">
        <v>1176.0244757500002</v>
      </c>
      <c r="M197" s="501">
        <v>213.96510317999997</v>
      </c>
      <c r="N197" s="501">
        <v>3493.4748182500002</v>
      </c>
      <c r="O197" s="501">
        <v>722.58682741999996</v>
      </c>
    </row>
    <row r="198" spans="1:15" ht="12.75">
      <c r="A198" s="331" t="s">
        <v>25</v>
      </c>
      <c r="B198" s="501">
        <v>12306.538666899998</v>
      </c>
      <c r="C198" s="501">
        <v>1772.4388613299998</v>
      </c>
      <c r="D198" s="501">
        <v>7623.1701698799998</v>
      </c>
      <c r="E198" s="501">
        <v>846.76278944999979</v>
      </c>
      <c r="F198" s="501">
        <v>1257.3440637699998</v>
      </c>
      <c r="G198" s="501">
        <v>175.90146439999998</v>
      </c>
      <c r="H198" s="501">
        <v>6365.8261061100002</v>
      </c>
      <c r="I198" s="501">
        <v>670.86132504999989</v>
      </c>
      <c r="J198" s="501">
        <v>4683.3684970199984</v>
      </c>
      <c r="K198" s="501">
        <v>925.67607187999988</v>
      </c>
      <c r="L198" s="501">
        <v>1175.7633969799992</v>
      </c>
      <c r="M198" s="501">
        <v>194.64872075000002</v>
      </c>
      <c r="N198" s="501">
        <v>3507.6051000399998</v>
      </c>
      <c r="O198" s="501">
        <v>731.02735112999983</v>
      </c>
    </row>
    <row r="199" spans="1:15" ht="12.75">
      <c r="A199" s="331" t="s">
        <v>26</v>
      </c>
      <c r="B199" s="501">
        <v>12302.424515589997</v>
      </c>
      <c r="C199" s="501">
        <v>1748.6649660999997</v>
      </c>
      <c r="D199" s="501">
        <v>7557.2176146999982</v>
      </c>
      <c r="E199" s="501">
        <v>827.15486636999981</v>
      </c>
      <c r="F199" s="501">
        <v>1286.7306070199998</v>
      </c>
      <c r="G199" s="501">
        <v>174.74539154999999</v>
      </c>
      <c r="H199" s="501">
        <v>6270.4870076799989</v>
      </c>
      <c r="I199" s="501">
        <v>652.4094748199999</v>
      </c>
      <c r="J199" s="501">
        <v>4745.206900889998</v>
      </c>
      <c r="K199" s="501">
        <v>921.51009972999987</v>
      </c>
      <c r="L199" s="501">
        <v>1176.7396855099996</v>
      </c>
      <c r="M199" s="501">
        <v>183.91100592000004</v>
      </c>
      <c r="N199" s="501">
        <v>3568.4672153799988</v>
      </c>
      <c r="O199" s="501">
        <v>737.59909380999989</v>
      </c>
    </row>
    <row r="200" spans="1:15" ht="12.75">
      <c r="A200" s="331" t="s">
        <v>27</v>
      </c>
      <c r="B200" s="501">
        <v>12281.298870979996</v>
      </c>
      <c r="C200" s="501">
        <v>1698.5633427609998</v>
      </c>
      <c r="D200" s="501">
        <v>7639.5914988799977</v>
      </c>
      <c r="E200" s="501">
        <v>821.05281990000003</v>
      </c>
      <c r="F200" s="501">
        <v>1303.6124795599999</v>
      </c>
      <c r="G200" s="501">
        <v>172.02876626</v>
      </c>
      <c r="H200" s="501">
        <v>6335.9790193199988</v>
      </c>
      <c r="I200" s="501">
        <v>649.02405364000003</v>
      </c>
      <c r="J200" s="501">
        <v>4641.7073720999988</v>
      </c>
      <c r="K200" s="501">
        <v>877.51052286099991</v>
      </c>
      <c r="L200" s="501">
        <v>1198.5748110599995</v>
      </c>
      <c r="M200" s="501">
        <v>170.90738550099999</v>
      </c>
      <c r="N200" s="501">
        <v>3443.1325610399986</v>
      </c>
      <c r="O200" s="501">
        <v>706.60313735999978</v>
      </c>
    </row>
    <row r="201" spans="1:15" ht="12.75">
      <c r="A201" s="331" t="s">
        <v>28</v>
      </c>
      <c r="B201" s="501">
        <v>12564.150743229999</v>
      </c>
      <c r="C201" s="501">
        <v>1688.6722504009999</v>
      </c>
      <c r="D201" s="501">
        <v>7891.2759117999985</v>
      </c>
      <c r="E201" s="501">
        <v>818.17596376000017</v>
      </c>
      <c r="F201" s="501">
        <v>1501.6655426999998</v>
      </c>
      <c r="G201" s="501">
        <v>170.91501371000001</v>
      </c>
      <c r="H201" s="501">
        <v>6389.6103690999998</v>
      </c>
      <c r="I201" s="501">
        <v>647.26095005000013</v>
      </c>
      <c r="J201" s="501">
        <v>4672.8748314299992</v>
      </c>
      <c r="K201" s="501">
        <v>870.49628664099987</v>
      </c>
      <c r="L201" s="501">
        <v>1192.2946022900003</v>
      </c>
      <c r="M201" s="501">
        <v>169.894807321</v>
      </c>
      <c r="N201" s="501">
        <v>3480.58022914</v>
      </c>
      <c r="O201" s="501">
        <v>700.60147931999984</v>
      </c>
    </row>
    <row r="202" spans="1:15" ht="12.75">
      <c r="A202" s="331" t="s">
        <v>29</v>
      </c>
      <c r="B202" s="501">
        <v>13020.303367349998</v>
      </c>
      <c r="C202" s="501">
        <v>1584.9974706609999</v>
      </c>
      <c r="D202" s="501">
        <v>8073.5671271899982</v>
      </c>
      <c r="E202" s="501">
        <v>774.13947971999994</v>
      </c>
      <c r="F202" s="501">
        <v>1510.2206357500002</v>
      </c>
      <c r="G202" s="501">
        <v>157.89208671</v>
      </c>
      <c r="H202" s="501">
        <v>6563.3464914399992</v>
      </c>
      <c r="I202" s="501">
        <v>616.24739301</v>
      </c>
      <c r="J202" s="501">
        <v>4946.7362401599985</v>
      </c>
      <c r="K202" s="501">
        <v>810.85799094099991</v>
      </c>
      <c r="L202" s="501">
        <v>1184.9242434799994</v>
      </c>
      <c r="M202" s="501">
        <v>171.43400337100002</v>
      </c>
      <c r="N202" s="501">
        <v>3761.8119966799991</v>
      </c>
      <c r="O202" s="501">
        <v>639.42398756999989</v>
      </c>
    </row>
    <row r="203" spans="1:15" ht="12.75">
      <c r="A203" s="331" t="s">
        <v>2144</v>
      </c>
      <c r="B203" s="500">
        <v>15298.183505950001</v>
      </c>
      <c r="C203" s="500">
        <v>1273.0674075999998</v>
      </c>
      <c r="D203" s="500">
        <v>10000.82224388</v>
      </c>
      <c r="E203" s="500">
        <v>702.40343936999989</v>
      </c>
      <c r="F203" s="500">
        <v>1659.59703459</v>
      </c>
      <c r="G203" s="500">
        <v>106.04795082000001</v>
      </c>
      <c r="H203" s="500">
        <v>8341.2252092899998</v>
      </c>
      <c r="I203" s="500">
        <v>596.35548855000002</v>
      </c>
      <c r="J203" s="500">
        <v>5297.3612620700005</v>
      </c>
      <c r="K203" s="500">
        <v>570.66396823000002</v>
      </c>
      <c r="L203" s="500">
        <v>1259.1192320000002</v>
      </c>
      <c r="M203" s="500">
        <v>119.98133505000001</v>
      </c>
      <c r="N203" s="500">
        <v>4038.2420300700005</v>
      </c>
      <c r="O203" s="500">
        <v>450.68263317999998</v>
      </c>
    </row>
    <row r="204" spans="1:15" ht="12.75">
      <c r="A204" s="331" t="s">
        <v>18</v>
      </c>
      <c r="B204" s="501">
        <v>12884.65325369156</v>
      </c>
      <c r="C204" s="501">
        <v>1569.3794872799997</v>
      </c>
      <c r="D204" s="501">
        <v>8063.5535689915605</v>
      </c>
      <c r="E204" s="501">
        <v>776.28640919999975</v>
      </c>
      <c r="F204" s="501">
        <v>1482.4018023415622</v>
      </c>
      <c r="G204" s="501">
        <v>136.4569817</v>
      </c>
      <c r="H204" s="501">
        <v>6581.1517666499985</v>
      </c>
      <c r="I204" s="501">
        <v>639.82942749999972</v>
      </c>
      <c r="J204" s="501">
        <v>4821.0996846999988</v>
      </c>
      <c r="K204" s="501">
        <v>793.09307807999994</v>
      </c>
      <c r="L204" s="501">
        <v>1099.8912547299997</v>
      </c>
      <c r="M204" s="501">
        <v>147.43642731</v>
      </c>
      <c r="N204" s="501">
        <v>3721.2084299699995</v>
      </c>
      <c r="O204" s="501">
        <v>645.65665077000006</v>
      </c>
    </row>
    <row r="205" spans="1:15" ht="12.75">
      <c r="A205" s="331" t="s">
        <v>19</v>
      </c>
      <c r="B205" s="501">
        <v>12974.579268571562</v>
      </c>
      <c r="C205" s="501">
        <v>1574.7213720900002</v>
      </c>
      <c r="D205" s="501">
        <v>8166.9371882915639</v>
      </c>
      <c r="E205" s="501">
        <v>782.2913887000002</v>
      </c>
      <c r="F205" s="501">
        <v>1480.7189125415621</v>
      </c>
      <c r="G205" s="501">
        <v>138.71099382999998</v>
      </c>
      <c r="H205" s="501">
        <v>6686.2182757500013</v>
      </c>
      <c r="I205" s="501">
        <v>643.58039487000019</v>
      </c>
      <c r="J205" s="501">
        <v>4807.6420802799994</v>
      </c>
      <c r="K205" s="501">
        <v>792.42998338999996</v>
      </c>
      <c r="L205" s="501">
        <v>1114.1591397899997</v>
      </c>
      <c r="M205" s="501">
        <v>152.11238132</v>
      </c>
      <c r="N205" s="501">
        <v>3693.4829404900001</v>
      </c>
      <c r="O205" s="501">
        <v>640.31760206999991</v>
      </c>
    </row>
    <row r="206" spans="1:15" ht="12.75">
      <c r="A206" s="331" t="s">
        <v>20</v>
      </c>
      <c r="B206" s="501">
        <v>13058.03385171156</v>
      </c>
      <c r="C206" s="501">
        <v>1557.9521574100002</v>
      </c>
      <c r="D206" s="501">
        <v>8259.1090463315613</v>
      </c>
      <c r="E206" s="501">
        <v>780.28774131</v>
      </c>
      <c r="F206" s="501">
        <v>1486.1462602615625</v>
      </c>
      <c r="G206" s="501">
        <v>138.88682800999999</v>
      </c>
      <c r="H206" s="501">
        <v>6772.9627860699993</v>
      </c>
      <c r="I206" s="501">
        <v>641.40091330000007</v>
      </c>
      <c r="J206" s="501">
        <v>4798.9248053799993</v>
      </c>
      <c r="K206" s="501">
        <v>777.66441609999993</v>
      </c>
      <c r="L206" s="501">
        <v>1132.1635904699997</v>
      </c>
      <c r="M206" s="501">
        <v>148.91083743000002</v>
      </c>
      <c r="N206" s="501">
        <v>3666.76121491</v>
      </c>
      <c r="O206" s="501">
        <v>628.75357866999991</v>
      </c>
    </row>
    <row r="207" spans="1:15" ht="12.75">
      <c r="A207" s="331" t="s">
        <v>21</v>
      </c>
      <c r="B207" s="501">
        <v>13011.354034490001</v>
      </c>
      <c r="C207" s="501">
        <v>1503.7811409499998</v>
      </c>
      <c r="D207" s="501">
        <v>8367.9760429100006</v>
      </c>
      <c r="E207" s="501">
        <v>756.20230708999998</v>
      </c>
      <c r="F207" s="501">
        <v>1476.1377303599998</v>
      </c>
      <c r="G207" s="501">
        <v>136.86469986999998</v>
      </c>
      <c r="H207" s="501">
        <v>6891.8383125500013</v>
      </c>
      <c r="I207" s="501">
        <v>619.33760722</v>
      </c>
      <c r="J207" s="501">
        <v>4643.3779915799996</v>
      </c>
      <c r="K207" s="501">
        <v>747.57883385999992</v>
      </c>
      <c r="L207" s="501">
        <v>1129.38335581</v>
      </c>
      <c r="M207" s="501">
        <v>150.33732738</v>
      </c>
      <c r="N207" s="501">
        <v>3513.9946357700001</v>
      </c>
      <c r="O207" s="501">
        <v>597.24150647999988</v>
      </c>
    </row>
    <row r="208" spans="1:15" ht="12.75">
      <c r="A208" s="331" t="s">
        <v>22</v>
      </c>
      <c r="B208" s="501">
        <v>13197.974708330001</v>
      </c>
      <c r="C208" s="501">
        <v>1494.2622123900001</v>
      </c>
      <c r="D208" s="501">
        <v>8541.8739829500009</v>
      </c>
      <c r="E208" s="501">
        <v>769.56189274000008</v>
      </c>
      <c r="F208" s="501">
        <v>1484.6261854599998</v>
      </c>
      <c r="G208" s="501">
        <v>131.03492932</v>
      </c>
      <c r="H208" s="501">
        <v>7057.2477974900003</v>
      </c>
      <c r="I208" s="501">
        <v>638.52696342000002</v>
      </c>
      <c r="J208" s="501">
        <v>4656.1007253799999</v>
      </c>
      <c r="K208" s="501">
        <v>724.70031964999998</v>
      </c>
      <c r="L208" s="501">
        <v>1150.1202185299996</v>
      </c>
      <c r="M208" s="501">
        <v>137.83403217999998</v>
      </c>
      <c r="N208" s="501">
        <v>3505.9805068500009</v>
      </c>
      <c r="O208" s="501">
        <v>586.86628746999997</v>
      </c>
    </row>
    <row r="209" spans="1:15" ht="12.75">
      <c r="A209" s="331" t="s">
        <v>23</v>
      </c>
      <c r="B209" s="501">
        <v>13482.586430900003</v>
      </c>
      <c r="C209" s="501">
        <v>1486.4636973599997</v>
      </c>
      <c r="D209" s="501">
        <v>8718.0513382400022</v>
      </c>
      <c r="E209" s="501">
        <v>760.96756282000001</v>
      </c>
      <c r="F209" s="501">
        <v>1507.9692703999999</v>
      </c>
      <c r="G209" s="501">
        <v>131.50639429999998</v>
      </c>
      <c r="H209" s="501">
        <v>7210.0820678400014</v>
      </c>
      <c r="I209" s="501">
        <v>629.46116852</v>
      </c>
      <c r="J209" s="501">
        <v>4764.5350926599995</v>
      </c>
      <c r="K209" s="501">
        <v>725.49613453999984</v>
      </c>
      <c r="L209" s="501">
        <v>1143.3460084400003</v>
      </c>
      <c r="M209" s="501">
        <v>146.91226302999999</v>
      </c>
      <c r="N209" s="501">
        <v>3621.1890842199991</v>
      </c>
      <c r="O209" s="501">
        <v>578.58387150999977</v>
      </c>
    </row>
    <row r="210" spans="1:15" ht="12.75">
      <c r="A210" s="331" t="s">
        <v>24</v>
      </c>
      <c r="B210" s="501">
        <v>13681.366710880002</v>
      </c>
      <c r="C210" s="501">
        <v>1487.3638733499999</v>
      </c>
      <c r="D210" s="501">
        <v>8944.1055807800003</v>
      </c>
      <c r="E210" s="501">
        <v>755.37179114000014</v>
      </c>
      <c r="F210" s="501">
        <v>1508.4434082599998</v>
      </c>
      <c r="G210" s="501">
        <v>127.18814864999999</v>
      </c>
      <c r="H210" s="501">
        <v>7435.6621725200011</v>
      </c>
      <c r="I210" s="501">
        <v>628.18364249000012</v>
      </c>
      <c r="J210" s="501">
        <v>4737.2611301000006</v>
      </c>
      <c r="K210" s="501">
        <v>731.99208220999992</v>
      </c>
      <c r="L210" s="501">
        <v>1060.27689076</v>
      </c>
      <c r="M210" s="501">
        <v>138.37226946999999</v>
      </c>
      <c r="N210" s="501">
        <v>3676.9842393400004</v>
      </c>
      <c r="O210" s="501">
        <v>593.61981273999993</v>
      </c>
    </row>
    <row r="211" spans="1:15" ht="12.75">
      <c r="A211" s="331" t="s">
        <v>25</v>
      </c>
      <c r="B211" s="501">
        <v>13865.532789560002</v>
      </c>
      <c r="C211" s="501">
        <v>1491.26908237</v>
      </c>
      <c r="D211" s="501">
        <v>9107.3190006700006</v>
      </c>
      <c r="E211" s="501">
        <v>755.85807252000006</v>
      </c>
      <c r="F211" s="501">
        <v>1520.5281773699999</v>
      </c>
      <c r="G211" s="501">
        <v>125.85851599999999</v>
      </c>
      <c r="H211" s="501">
        <v>7586.7908233000007</v>
      </c>
      <c r="I211" s="501">
        <v>629.99955652000006</v>
      </c>
      <c r="J211" s="501">
        <v>4758.2137888900015</v>
      </c>
      <c r="K211" s="501">
        <v>735.41100984999991</v>
      </c>
      <c r="L211" s="501">
        <v>1072.8908095100001</v>
      </c>
      <c r="M211" s="501">
        <v>146.12387283999999</v>
      </c>
      <c r="N211" s="501">
        <v>3685.3229793800015</v>
      </c>
      <c r="O211" s="501">
        <v>589.28713700999992</v>
      </c>
    </row>
    <row r="212" spans="1:15" ht="12.75">
      <c r="A212" s="331" t="s">
        <v>26</v>
      </c>
      <c r="B212" s="501">
        <v>14242.98762236</v>
      </c>
      <c r="C212" s="501">
        <v>1442.8963405099998</v>
      </c>
      <c r="D212" s="501">
        <v>9375.6362017800002</v>
      </c>
      <c r="E212" s="501">
        <v>743.57578876000002</v>
      </c>
      <c r="F212" s="501">
        <v>1571.0981216799998</v>
      </c>
      <c r="G212" s="501">
        <v>120.85494549000001</v>
      </c>
      <c r="H212" s="501">
        <v>7804.5380801000001</v>
      </c>
      <c r="I212" s="501">
        <v>622.72084327000005</v>
      </c>
      <c r="J212" s="501">
        <v>4867.3514205800002</v>
      </c>
      <c r="K212" s="501">
        <v>699.32055174999994</v>
      </c>
      <c r="L212" s="501">
        <v>1086.1927997400001</v>
      </c>
      <c r="M212" s="501">
        <v>137.33986110999999</v>
      </c>
      <c r="N212" s="501">
        <v>3781.1586208400004</v>
      </c>
      <c r="O212" s="501">
        <v>561.98069063999992</v>
      </c>
    </row>
    <row r="213" spans="1:15" ht="12.75">
      <c r="A213" s="331" t="s">
        <v>27</v>
      </c>
      <c r="B213" s="501">
        <v>14445.834273410002</v>
      </c>
      <c r="C213" s="501">
        <v>1384.94292948</v>
      </c>
      <c r="D213" s="501">
        <v>9556.8067920000012</v>
      </c>
      <c r="E213" s="501">
        <v>729.25881729999992</v>
      </c>
      <c r="F213" s="501">
        <v>1607.5954294799999</v>
      </c>
      <c r="G213" s="501">
        <v>119.43865634000002</v>
      </c>
      <c r="H213" s="501">
        <v>7949.2113625200018</v>
      </c>
      <c r="I213" s="501">
        <v>609.82016095999995</v>
      </c>
      <c r="J213" s="501">
        <v>4889.0274814100003</v>
      </c>
      <c r="K213" s="501">
        <v>655.68411218000006</v>
      </c>
      <c r="L213" s="501">
        <v>1079.94091506</v>
      </c>
      <c r="M213" s="501">
        <v>132.68467351999999</v>
      </c>
      <c r="N213" s="501">
        <v>3809.0865663500008</v>
      </c>
      <c r="O213" s="501">
        <v>522.99943866000001</v>
      </c>
    </row>
    <row r="214" spans="1:15" ht="12.75">
      <c r="A214" s="331" t="s">
        <v>28</v>
      </c>
      <c r="B214" s="501">
        <v>15116.424979360001</v>
      </c>
      <c r="C214" s="501">
        <v>1410.4221754200003</v>
      </c>
      <c r="D214" s="501">
        <v>9799.0750926199999</v>
      </c>
      <c r="E214" s="501">
        <v>748.35883137000019</v>
      </c>
      <c r="F214" s="501">
        <v>1657.67475251</v>
      </c>
      <c r="G214" s="501">
        <v>114.35147695000001</v>
      </c>
      <c r="H214" s="501">
        <v>8141.4003401100008</v>
      </c>
      <c r="I214" s="501">
        <v>634.00735442000018</v>
      </c>
      <c r="J214" s="501">
        <v>5317.3498867399985</v>
      </c>
      <c r="K214" s="501">
        <v>662.06334405000007</v>
      </c>
      <c r="L214" s="501">
        <v>1350.0919196999998</v>
      </c>
      <c r="M214" s="501">
        <v>119.96884806000003</v>
      </c>
      <c r="N214" s="501">
        <v>3967.2579670399996</v>
      </c>
      <c r="O214" s="501">
        <v>542.09449599000004</v>
      </c>
    </row>
    <row r="215" spans="1:15" ht="12.75">
      <c r="A215" s="331" t="s">
        <v>29</v>
      </c>
      <c r="B215" s="501">
        <v>15298.183505950001</v>
      </c>
      <c r="C215" s="501">
        <v>1273.0674075999998</v>
      </c>
      <c r="D215" s="501">
        <v>10000.82224388</v>
      </c>
      <c r="E215" s="501">
        <v>702.40343936999989</v>
      </c>
      <c r="F215" s="501">
        <v>1659.59703459</v>
      </c>
      <c r="G215" s="501">
        <v>106.04795082000001</v>
      </c>
      <c r="H215" s="501">
        <v>8341.2252092899998</v>
      </c>
      <c r="I215" s="501">
        <v>596.35548855000002</v>
      </c>
      <c r="J215" s="501">
        <v>5297.3612620700005</v>
      </c>
      <c r="K215" s="501">
        <v>570.66396823000002</v>
      </c>
      <c r="L215" s="501">
        <v>1259.1192320000002</v>
      </c>
      <c r="M215" s="501">
        <v>119.98133505000001</v>
      </c>
      <c r="N215" s="501">
        <v>4038.2420300700005</v>
      </c>
      <c r="O215" s="501">
        <v>450.68263317999998</v>
      </c>
    </row>
    <row r="216" spans="1:15" ht="12.75">
      <c r="A216" s="331" t="s">
        <v>2375</v>
      </c>
      <c r="B216" s="500">
        <v>14530.423128149998</v>
      </c>
      <c r="C216" s="500">
        <v>893.13990544000001</v>
      </c>
      <c r="D216" s="500">
        <v>10203.978943079997</v>
      </c>
      <c r="E216" s="500">
        <v>653.86810708999997</v>
      </c>
      <c r="F216" s="500">
        <v>1754.1785430999998</v>
      </c>
      <c r="G216" s="500">
        <v>94.622461000000015</v>
      </c>
      <c r="H216" s="500">
        <v>8449.8003999799985</v>
      </c>
      <c r="I216" s="500">
        <v>559.24564609000004</v>
      </c>
      <c r="J216" s="500">
        <v>4326.4441850699995</v>
      </c>
      <c r="K216" s="500">
        <v>239.27179834999998</v>
      </c>
      <c r="L216" s="500">
        <v>720.73838853999985</v>
      </c>
      <c r="M216" s="500">
        <v>40.742700790000008</v>
      </c>
      <c r="N216" s="500">
        <v>3605.7057965299996</v>
      </c>
      <c r="O216" s="500">
        <v>198.52909755999997</v>
      </c>
    </row>
    <row r="217" spans="1:15" ht="12.75">
      <c r="A217" s="331" t="s">
        <v>18</v>
      </c>
      <c r="B217" s="501">
        <v>15513.610178430001</v>
      </c>
      <c r="C217" s="501">
        <v>1306.8619599599999</v>
      </c>
      <c r="D217" s="501">
        <v>10007.387286380001</v>
      </c>
      <c r="E217" s="501">
        <v>728.38359565999986</v>
      </c>
      <c r="F217" s="501">
        <v>1642.2571132799997</v>
      </c>
      <c r="G217" s="501">
        <v>108.91512322999999</v>
      </c>
      <c r="H217" s="501">
        <v>8365.1301731000021</v>
      </c>
      <c r="I217" s="501">
        <v>619.46847243000002</v>
      </c>
      <c r="J217" s="501">
        <v>5506.2228920500002</v>
      </c>
      <c r="K217" s="501">
        <v>578.47836429999995</v>
      </c>
      <c r="L217" s="501">
        <v>1211.6829901499998</v>
      </c>
      <c r="M217" s="501">
        <v>124.66481515000001</v>
      </c>
      <c r="N217" s="501">
        <v>4294.5399019000006</v>
      </c>
      <c r="O217" s="501">
        <v>453.81354914999997</v>
      </c>
    </row>
    <row r="218" spans="1:15" ht="12.75">
      <c r="A218" s="331" t="s">
        <v>19</v>
      </c>
      <c r="B218" s="501">
        <v>15696.359848159998</v>
      </c>
      <c r="C218" s="501">
        <v>1297.7919746600001</v>
      </c>
      <c r="D218" s="501">
        <v>10197.367379770001</v>
      </c>
      <c r="E218" s="501">
        <v>730.08705178000014</v>
      </c>
      <c r="F218" s="501">
        <v>1688.0197011100001</v>
      </c>
      <c r="G218" s="501">
        <v>108.03263208000003</v>
      </c>
      <c r="H218" s="501">
        <v>8509.3476786600022</v>
      </c>
      <c r="I218" s="501">
        <v>622.05441970000015</v>
      </c>
      <c r="J218" s="501">
        <v>5498.9924683899999</v>
      </c>
      <c r="K218" s="501">
        <v>567.70492288000003</v>
      </c>
      <c r="L218" s="501">
        <v>1213.4867311499997</v>
      </c>
      <c r="M218" s="501">
        <v>124.04899418000002</v>
      </c>
      <c r="N218" s="501">
        <v>4285.5057372400006</v>
      </c>
      <c r="O218" s="501">
        <v>443.65592869999995</v>
      </c>
    </row>
    <row r="219" spans="1:15" ht="12.75">
      <c r="A219" s="331" t="s">
        <v>20</v>
      </c>
      <c r="B219" s="501">
        <v>15637.419790709999</v>
      </c>
      <c r="C219" s="501">
        <v>1386.7515801299999</v>
      </c>
      <c r="D219" s="501">
        <v>10443.599225560001</v>
      </c>
      <c r="E219" s="501">
        <v>777.79502507000007</v>
      </c>
      <c r="F219" s="501">
        <v>1797.01206402</v>
      </c>
      <c r="G219" s="501">
        <v>116.90400399000002</v>
      </c>
      <c r="H219" s="501">
        <v>8646.587161540001</v>
      </c>
      <c r="I219" s="501">
        <v>660.89102108000009</v>
      </c>
      <c r="J219" s="501">
        <v>5193.8205651499993</v>
      </c>
      <c r="K219" s="501">
        <v>608.95655505999991</v>
      </c>
      <c r="L219" s="501">
        <v>1003.5212437399999</v>
      </c>
      <c r="M219" s="501">
        <v>165.40259683000002</v>
      </c>
      <c r="N219" s="501">
        <v>4190.2993214099997</v>
      </c>
      <c r="O219" s="501">
        <v>443.55395822999992</v>
      </c>
    </row>
    <row r="220" spans="1:15" ht="12.75">
      <c r="A220" s="331" t="s">
        <v>21</v>
      </c>
      <c r="B220" s="501">
        <v>15146.8</v>
      </c>
      <c r="C220" s="501">
        <v>1232.4418596000003</v>
      </c>
      <c r="D220" s="501">
        <v>10179.152394559998</v>
      </c>
      <c r="E220" s="501">
        <v>745.77714110000011</v>
      </c>
      <c r="F220" s="501">
        <v>1802.1615540199998</v>
      </c>
      <c r="G220" s="501">
        <v>128.16530624000001</v>
      </c>
      <c r="H220" s="501">
        <v>8376.9908405399983</v>
      </c>
      <c r="I220" s="501">
        <v>617.61183486000016</v>
      </c>
      <c r="J220" s="501">
        <v>4967.69540951</v>
      </c>
      <c r="K220" s="501">
        <v>486.66471850000005</v>
      </c>
      <c r="L220" s="501">
        <v>895.27010148999989</v>
      </c>
      <c r="M220" s="501">
        <v>72.324280580000021</v>
      </c>
      <c r="N220" s="501">
        <v>4072.4253080200001</v>
      </c>
      <c r="O220" s="501">
        <v>414.34043792</v>
      </c>
    </row>
    <row r="221" spans="1:15" ht="12.75">
      <c r="A221" s="331" t="s">
        <v>22</v>
      </c>
      <c r="B221" s="501">
        <v>14765.7</v>
      </c>
      <c r="C221" s="501">
        <v>1084.8214846800004</v>
      </c>
      <c r="D221" s="501">
        <v>9928.5330190000004</v>
      </c>
      <c r="E221" s="501">
        <v>657.68580231000021</v>
      </c>
      <c r="F221" s="501">
        <v>1760.2832394999998</v>
      </c>
      <c r="G221" s="501">
        <v>107.17698140000002</v>
      </c>
      <c r="H221" s="501">
        <v>8168.2497794999999</v>
      </c>
      <c r="I221" s="501">
        <v>550.50882091000017</v>
      </c>
      <c r="J221" s="501">
        <v>4837.1738349800007</v>
      </c>
      <c r="K221" s="501">
        <v>427.13568237000004</v>
      </c>
      <c r="L221" s="501">
        <v>817.95019378999973</v>
      </c>
      <c r="M221" s="501">
        <v>62.438278789999991</v>
      </c>
      <c r="N221" s="501">
        <v>4019.2236411900003</v>
      </c>
      <c r="O221" s="501">
        <v>364.69740358000007</v>
      </c>
    </row>
    <row r="222" spans="1:15" ht="12.75">
      <c r="A222" s="331" t="s">
        <v>23</v>
      </c>
      <c r="B222" s="501">
        <v>14550.65617651</v>
      </c>
      <c r="C222" s="501">
        <v>1065.5159760600002</v>
      </c>
      <c r="D222" s="501">
        <v>9897.7629030700009</v>
      </c>
      <c r="E222" s="501">
        <v>656.19959554000002</v>
      </c>
      <c r="F222" s="501">
        <v>1738.1614368800003</v>
      </c>
      <c r="G222" s="501">
        <v>104.21832792000001</v>
      </c>
      <c r="H222" s="501">
        <v>8159.6014661899999</v>
      </c>
      <c r="I222" s="501">
        <v>551.98126762000004</v>
      </c>
      <c r="J222" s="501">
        <v>4652.8932734400014</v>
      </c>
      <c r="K222" s="501">
        <v>409.31638052</v>
      </c>
      <c r="L222" s="501">
        <v>755.32276706000016</v>
      </c>
      <c r="M222" s="501">
        <v>51.728728400000001</v>
      </c>
      <c r="N222" s="501">
        <v>3897.570506380001</v>
      </c>
      <c r="O222" s="501">
        <v>357.58765211999997</v>
      </c>
    </row>
    <row r="223" spans="1:15" ht="12.75">
      <c r="A223" s="331" t="s">
        <v>24</v>
      </c>
      <c r="B223" s="501">
        <v>14585.314835290001</v>
      </c>
      <c r="C223" s="501">
        <v>1062.4228878200001</v>
      </c>
      <c r="D223" s="501">
        <v>9913.9480657999993</v>
      </c>
      <c r="E223" s="501">
        <v>665.33593518999999</v>
      </c>
      <c r="F223" s="501">
        <v>1741.5003841400003</v>
      </c>
      <c r="G223" s="501">
        <v>107.52460289</v>
      </c>
      <c r="H223" s="501">
        <v>8172.447681659999</v>
      </c>
      <c r="I223" s="501">
        <v>557.8113323</v>
      </c>
      <c r="J223" s="501">
        <v>4671.3667694900005</v>
      </c>
      <c r="K223" s="501">
        <v>397.08695263000004</v>
      </c>
      <c r="L223" s="501">
        <v>758.91884249999998</v>
      </c>
      <c r="M223" s="501">
        <v>52.053345960000009</v>
      </c>
      <c r="N223" s="501">
        <v>3912.4479269900003</v>
      </c>
      <c r="O223" s="501">
        <v>345.03360666999998</v>
      </c>
    </row>
    <row r="224" spans="1:15" ht="12.75">
      <c r="A224" s="331" t="s">
        <v>25</v>
      </c>
      <c r="B224" s="501">
        <v>14685.098078149998</v>
      </c>
      <c r="C224" s="501">
        <v>1065.4106116100002</v>
      </c>
      <c r="D224" s="501">
        <v>10044.562058459998</v>
      </c>
      <c r="E224" s="501">
        <v>662.61992013000008</v>
      </c>
      <c r="F224" s="501">
        <v>1756.9412022800002</v>
      </c>
      <c r="G224" s="501">
        <v>104.37121056000001</v>
      </c>
      <c r="H224" s="501">
        <v>8287.6208561799995</v>
      </c>
      <c r="I224" s="501">
        <v>558.24870957000007</v>
      </c>
      <c r="J224" s="501">
        <v>4640.536019690001</v>
      </c>
      <c r="K224" s="501">
        <v>402.79069147999996</v>
      </c>
      <c r="L224" s="501">
        <v>747.2908496099999</v>
      </c>
      <c r="M224" s="501">
        <v>56.13031817000001</v>
      </c>
      <c r="N224" s="501">
        <v>3893.2451700800011</v>
      </c>
      <c r="O224" s="501">
        <v>346.66037330999995</v>
      </c>
    </row>
    <row r="225" spans="1:15" ht="12.75">
      <c r="A225" s="331" t="s">
        <v>26</v>
      </c>
      <c r="B225" s="501">
        <v>14873.658797599997</v>
      </c>
      <c r="C225" s="501">
        <v>1069.5053917</v>
      </c>
      <c r="D225" s="501">
        <v>10211.329260919998</v>
      </c>
      <c r="E225" s="501">
        <v>672.68117094000002</v>
      </c>
      <c r="F225" s="501">
        <v>1740.2758229899998</v>
      </c>
      <c r="G225" s="501">
        <v>107.21670950000001</v>
      </c>
      <c r="H225" s="501">
        <v>8471.053437929997</v>
      </c>
      <c r="I225" s="501">
        <v>565.46446143999992</v>
      </c>
      <c r="J225" s="501">
        <v>4662.3295366799994</v>
      </c>
      <c r="K225" s="501">
        <v>396.82422076</v>
      </c>
      <c r="L225" s="501">
        <v>728.98077230999979</v>
      </c>
      <c r="M225" s="501">
        <v>55.589222129999996</v>
      </c>
      <c r="N225" s="501">
        <v>3933.3487643699996</v>
      </c>
      <c r="O225" s="501">
        <v>341.23499863000001</v>
      </c>
    </row>
    <row r="226" spans="1:15" ht="12.75">
      <c r="A226" s="331" t="s">
        <v>27</v>
      </c>
      <c r="B226" s="501">
        <v>14785.940748230001</v>
      </c>
      <c r="C226" s="501">
        <v>1006.52323186</v>
      </c>
      <c r="D226" s="501">
        <v>10254.288062869999</v>
      </c>
      <c r="E226" s="501">
        <v>678.32972275000009</v>
      </c>
      <c r="F226" s="501">
        <v>1722.0806266899999</v>
      </c>
      <c r="G226" s="501">
        <v>113.397586</v>
      </c>
      <c r="H226" s="501">
        <v>8532.2074361799987</v>
      </c>
      <c r="I226" s="501">
        <v>564.93213675000004</v>
      </c>
      <c r="J226" s="501">
        <v>4531.6526853600008</v>
      </c>
      <c r="K226" s="501">
        <v>328.19350910999998</v>
      </c>
      <c r="L226" s="501">
        <v>735.96929818000024</v>
      </c>
      <c r="M226" s="501">
        <v>45.364212570000007</v>
      </c>
      <c r="N226" s="501">
        <v>3795.68338718</v>
      </c>
      <c r="O226" s="501">
        <v>282.82929653999997</v>
      </c>
    </row>
    <row r="227" spans="1:15" ht="12.75">
      <c r="A227" s="331" t="s">
        <v>28</v>
      </c>
      <c r="B227" s="501">
        <v>14681.276736809998</v>
      </c>
      <c r="C227" s="501">
        <v>922.91633638000008</v>
      </c>
      <c r="D227" s="501">
        <v>10272.801011689997</v>
      </c>
      <c r="E227" s="501">
        <v>655.89601746000005</v>
      </c>
      <c r="F227" s="501">
        <v>1773.3773934499998</v>
      </c>
      <c r="G227" s="501">
        <v>97.262283610000011</v>
      </c>
      <c r="H227" s="501">
        <v>8499.4236182399964</v>
      </c>
      <c r="I227" s="501">
        <v>558.63373385</v>
      </c>
      <c r="J227" s="501">
        <v>4408.4757251199999</v>
      </c>
      <c r="K227" s="501">
        <v>267.02031892000002</v>
      </c>
      <c r="L227" s="501">
        <v>733.08998416000009</v>
      </c>
      <c r="M227" s="501">
        <v>43.563146709999998</v>
      </c>
      <c r="N227" s="501">
        <v>3675.38574096</v>
      </c>
      <c r="O227" s="501">
        <v>223.45717221000004</v>
      </c>
    </row>
    <row r="228" spans="1:15" ht="12.75">
      <c r="A228" s="331" t="s">
        <v>29</v>
      </c>
      <c r="B228" s="501">
        <v>14530.423128149998</v>
      </c>
      <c r="C228" s="501">
        <v>893.13990544000001</v>
      </c>
      <c r="D228" s="501">
        <v>10203.978943079997</v>
      </c>
      <c r="E228" s="501">
        <v>653.86810708999997</v>
      </c>
      <c r="F228" s="501">
        <v>1754.1785430999998</v>
      </c>
      <c r="G228" s="501">
        <v>94.622461000000015</v>
      </c>
      <c r="H228" s="501">
        <v>8449.8003999799985</v>
      </c>
      <c r="I228" s="501">
        <v>559.24564609000004</v>
      </c>
      <c r="J228" s="501">
        <v>4326.4441850699995</v>
      </c>
      <c r="K228" s="501">
        <v>239.27179834999998</v>
      </c>
      <c r="L228" s="501">
        <v>720.73838853999985</v>
      </c>
      <c r="M228" s="501">
        <v>40.742700790000008</v>
      </c>
      <c r="N228" s="501">
        <v>3605.7057965299996</v>
      </c>
      <c r="O228" s="501">
        <v>198.52909755999997</v>
      </c>
    </row>
    <row r="229" spans="1:15" ht="12.75">
      <c r="A229" s="377">
        <v>2021</v>
      </c>
      <c r="B229" s="500">
        <v>17119.816266530001</v>
      </c>
      <c r="C229" s="500">
        <v>719.44171244100005</v>
      </c>
      <c r="D229" s="500">
        <v>12696.45821837</v>
      </c>
      <c r="E229" s="500">
        <v>531.8240892</v>
      </c>
      <c r="F229" s="500">
        <v>2246.0035127800002</v>
      </c>
      <c r="G229" s="500">
        <v>80.629324749999995</v>
      </c>
      <c r="H229" s="500">
        <v>10450.45470559</v>
      </c>
      <c r="I229" s="500">
        <v>451.19476444999998</v>
      </c>
      <c r="J229" s="500">
        <v>4423.3580481600002</v>
      </c>
      <c r="K229" s="500">
        <v>187.61762324099999</v>
      </c>
      <c r="L229" s="500">
        <v>955.90965068000003</v>
      </c>
      <c r="M229" s="500">
        <v>51.405089330999999</v>
      </c>
      <c r="N229" s="500">
        <v>3467.44839748</v>
      </c>
      <c r="O229" s="500">
        <v>136.21253390999999</v>
      </c>
    </row>
    <row r="230" spans="1:15" ht="12.75">
      <c r="A230" s="331" t="s">
        <v>18</v>
      </c>
      <c r="B230" s="501">
        <v>14587.20322659</v>
      </c>
      <c r="C230" s="501">
        <v>900.3856763</v>
      </c>
      <c r="D230" s="501">
        <v>10299.48153924</v>
      </c>
      <c r="E230" s="501">
        <v>647.57022730000006</v>
      </c>
      <c r="F230" s="501">
        <v>1797.9787913600001</v>
      </c>
      <c r="G230" s="501">
        <v>96.844620739999996</v>
      </c>
      <c r="H230" s="501">
        <v>8501.5027478800002</v>
      </c>
      <c r="I230" s="501">
        <v>550.72560655999996</v>
      </c>
      <c r="J230" s="501">
        <v>4287.7216873500001</v>
      </c>
      <c r="K230" s="501">
        <v>252.815449</v>
      </c>
      <c r="L230" s="501">
        <v>767.61437115000001</v>
      </c>
      <c r="M230" s="501">
        <v>49.487015579999998</v>
      </c>
      <c r="N230" s="501">
        <v>3520.1073161999998</v>
      </c>
      <c r="O230" s="501">
        <v>203.32843342000001</v>
      </c>
    </row>
    <row r="231" spans="1:15" ht="12.75">
      <c r="A231" s="331" t="s">
        <v>19</v>
      </c>
      <c r="B231" s="501">
        <v>14619.545503339999</v>
      </c>
      <c r="C231" s="501">
        <v>917.51636970000004</v>
      </c>
      <c r="D231" s="501">
        <v>10407.57073186</v>
      </c>
      <c r="E231" s="501">
        <v>666.79700777999994</v>
      </c>
      <c r="F231" s="501">
        <v>1861.45343669</v>
      </c>
      <c r="G231" s="501">
        <v>96.466290380000004</v>
      </c>
      <c r="H231" s="501">
        <v>8546.1172951699991</v>
      </c>
      <c r="I231" s="501">
        <v>570.33071740000003</v>
      </c>
      <c r="J231" s="501">
        <v>4211.9747714799996</v>
      </c>
      <c r="K231" s="501">
        <v>250.71936192000001</v>
      </c>
      <c r="L231" s="501">
        <v>669.10362940000005</v>
      </c>
      <c r="M231" s="501">
        <v>46.876663729999997</v>
      </c>
      <c r="N231" s="501">
        <v>3542.87114208</v>
      </c>
      <c r="O231" s="501">
        <v>203.84269818999999</v>
      </c>
    </row>
    <row r="232" spans="1:15" ht="12.75">
      <c r="A232" s="331" t="s">
        <v>20</v>
      </c>
      <c r="B232" s="501">
        <v>14728.03039973</v>
      </c>
      <c r="C232" s="501">
        <v>918.15007710999998</v>
      </c>
      <c r="D232" s="501">
        <v>10574.997616189999</v>
      </c>
      <c r="E232" s="501">
        <v>668.94892829000003</v>
      </c>
      <c r="F232" s="501">
        <v>1896.7851862099999</v>
      </c>
      <c r="G232" s="501">
        <v>93.229735579999996</v>
      </c>
      <c r="H232" s="501">
        <v>8678.2124299799998</v>
      </c>
      <c r="I232" s="501">
        <v>575.71919271000002</v>
      </c>
      <c r="J232" s="501">
        <v>4153.0327835400003</v>
      </c>
      <c r="K232" s="501">
        <v>249.20114881999999</v>
      </c>
      <c r="L232" s="501">
        <v>680.75159910000002</v>
      </c>
      <c r="M232" s="501">
        <v>48.471003469999999</v>
      </c>
      <c r="N232" s="501">
        <v>3472.2811844399998</v>
      </c>
      <c r="O232" s="501">
        <v>200.73014534999999</v>
      </c>
    </row>
    <row r="233" spans="1:15" ht="12.75">
      <c r="A233" s="331" t="s">
        <v>21</v>
      </c>
      <c r="B233" s="501">
        <v>14987.49584865</v>
      </c>
      <c r="C233" s="501">
        <v>921.53370199999995</v>
      </c>
      <c r="D233" s="501">
        <v>10836.37640879</v>
      </c>
      <c r="E233" s="501">
        <v>699.32114547000003</v>
      </c>
      <c r="F233" s="501">
        <v>1929.22047694</v>
      </c>
      <c r="G233" s="501">
        <v>108.31807354</v>
      </c>
      <c r="H233" s="501">
        <v>8907.1559318500003</v>
      </c>
      <c r="I233" s="501">
        <v>591.00307193000003</v>
      </c>
      <c r="J233" s="501">
        <v>4151.1194398600001</v>
      </c>
      <c r="K233" s="501">
        <v>222.21255653</v>
      </c>
      <c r="L233" s="501">
        <v>692.91428226000005</v>
      </c>
      <c r="M233" s="501">
        <v>49.952667609999999</v>
      </c>
      <c r="N233" s="501">
        <v>3458.2051575999999</v>
      </c>
      <c r="O233" s="501">
        <v>172.25988892000001</v>
      </c>
    </row>
    <row r="234" spans="1:15" ht="12.75">
      <c r="A234" s="331" t="s">
        <v>22</v>
      </c>
      <c r="B234" s="501">
        <v>15067.068306839999</v>
      </c>
      <c r="C234" s="501">
        <v>906.90793025000005</v>
      </c>
      <c r="D234" s="501">
        <v>10926.986445299999</v>
      </c>
      <c r="E234" s="501">
        <v>685.46766498</v>
      </c>
      <c r="F234" s="501">
        <v>1933.1520366</v>
      </c>
      <c r="G234" s="501">
        <v>92.693554629999994</v>
      </c>
      <c r="H234" s="501">
        <v>8993.8344087000005</v>
      </c>
      <c r="I234" s="501">
        <v>592.77411035</v>
      </c>
      <c r="J234" s="501">
        <v>4140.0818615400003</v>
      </c>
      <c r="K234" s="501">
        <v>221.44026527</v>
      </c>
      <c r="L234" s="501">
        <v>672.52285202999997</v>
      </c>
      <c r="M234" s="501">
        <v>47.60378068</v>
      </c>
      <c r="N234" s="501">
        <v>3467.5590095100001</v>
      </c>
      <c r="O234" s="501">
        <v>173.83648459</v>
      </c>
    </row>
    <row r="235" spans="1:15" ht="12.75">
      <c r="A235" s="331" t="s">
        <v>23</v>
      </c>
      <c r="B235" s="501">
        <v>15258.05819419</v>
      </c>
      <c r="C235" s="501">
        <v>914.58348046000003</v>
      </c>
      <c r="D235" s="501">
        <v>11148.43213687</v>
      </c>
      <c r="E235" s="501">
        <v>694.13460823000003</v>
      </c>
      <c r="F235" s="501">
        <v>1964.5204642000001</v>
      </c>
      <c r="G235" s="501">
        <v>93.614316349999996</v>
      </c>
      <c r="H235" s="501">
        <v>9183.9116726699995</v>
      </c>
      <c r="I235" s="501">
        <v>600.52029187999995</v>
      </c>
      <c r="J235" s="501">
        <v>4109.6260573199997</v>
      </c>
      <c r="K235" s="501">
        <v>220.44887223000001</v>
      </c>
      <c r="L235" s="501">
        <v>693.65767127000004</v>
      </c>
      <c r="M235" s="501">
        <v>47.841762289999998</v>
      </c>
      <c r="N235" s="501">
        <v>3415.9683860499999</v>
      </c>
      <c r="O235" s="501">
        <v>172.60710993999999</v>
      </c>
    </row>
    <row r="236" spans="1:15" ht="12.75">
      <c r="A236" s="331" t="s">
        <v>24</v>
      </c>
      <c r="B236" s="501">
        <v>15367.672983369999</v>
      </c>
      <c r="C236" s="501">
        <v>937.46215344999996</v>
      </c>
      <c r="D236" s="501">
        <v>11251.546744769999</v>
      </c>
      <c r="E236" s="501">
        <v>712.25482284999998</v>
      </c>
      <c r="F236" s="501">
        <v>2013.5557064499999</v>
      </c>
      <c r="G236" s="501">
        <v>94.494357120000004</v>
      </c>
      <c r="H236" s="501">
        <v>9237.9910383200004</v>
      </c>
      <c r="I236" s="501">
        <v>617.76046572999996</v>
      </c>
      <c r="J236" s="501">
        <v>4116.1262385999999</v>
      </c>
      <c r="K236" s="501">
        <v>225.20733060000001</v>
      </c>
      <c r="L236" s="501">
        <v>714.16852926000001</v>
      </c>
      <c r="M236" s="501">
        <v>51.764850549999998</v>
      </c>
      <c r="N236" s="501">
        <v>3401.9577093399998</v>
      </c>
      <c r="O236" s="501">
        <v>173.44248005</v>
      </c>
    </row>
    <row r="237" spans="1:15" ht="12.75">
      <c r="A237" s="331" t="s">
        <v>25</v>
      </c>
      <c r="B237" s="501">
        <v>15607.979105320001</v>
      </c>
      <c r="C237" s="501">
        <v>904.16886915999999</v>
      </c>
      <c r="D237" s="501">
        <v>11426.73154547</v>
      </c>
      <c r="E237" s="501">
        <v>687.53866123</v>
      </c>
      <c r="F237" s="501">
        <v>2014.79062649</v>
      </c>
      <c r="G237" s="501">
        <v>94.177497819999999</v>
      </c>
      <c r="H237" s="501">
        <v>9411.9409189800008</v>
      </c>
      <c r="I237" s="501">
        <v>593.36116341000002</v>
      </c>
      <c r="J237" s="501">
        <v>4181.2475598499996</v>
      </c>
      <c r="K237" s="501">
        <v>216.63020793000001</v>
      </c>
      <c r="L237" s="501">
        <v>763.07305862999999</v>
      </c>
      <c r="M237" s="501">
        <v>45.313542130000002</v>
      </c>
      <c r="N237" s="501">
        <v>3418.1745012199999</v>
      </c>
      <c r="O237" s="501">
        <v>171.31666580000001</v>
      </c>
    </row>
    <row r="238" spans="1:15" ht="12.75">
      <c r="A238" s="331" t="s">
        <v>26</v>
      </c>
      <c r="B238" s="501">
        <v>15957.303832469999</v>
      </c>
      <c r="C238" s="501">
        <v>871.14004873999897</v>
      </c>
      <c r="D238" s="501">
        <v>11707.88823742</v>
      </c>
      <c r="E238" s="501">
        <v>660.70912521000002</v>
      </c>
      <c r="F238" s="501">
        <v>2074.0738854400001</v>
      </c>
      <c r="G238" s="501">
        <v>89.766116760000003</v>
      </c>
      <c r="H238" s="501">
        <v>9633.8143519799996</v>
      </c>
      <c r="I238" s="501">
        <v>570.94300844999998</v>
      </c>
      <c r="J238" s="501">
        <v>4249.4155950499999</v>
      </c>
      <c r="K238" s="501">
        <v>210.43092353</v>
      </c>
      <c r="L238" s="501">
        <v>814.07784002999995</v>
      </c>
      <c r="M238" s="501">
        <v>42.921859019999999</v>
      </c>
      <c r="N238" s="501">
        <v>3435.3377550199998</v>
      </c>
      <c r="O238" s="501">
        <v>167.50906451</v>
      </c>
    </row>
    <row r="239" spans="1:15" ht="12.75">
      <c r="A239" s="331" t="s">
        <v>27</v>
      </c>
      <c r="B239" s="501">
        <v>16415.890409920001</v>
      </c>
      <c r="C239" s="501">
        <v>815.87446340999998</v>
      </c>
      <c r="D239" s="501">
        <v>11913.468517990001</v>
      </c>
      <c r="E239" s="501">
        <v>597.93212702000005</v>
      </c>
      <c r="F239" s="501">
        <v>2140.4926438699999</v>
      </c>
      <c r="G239" s="501">
        <v>84.669884519999997</v>
      </c>
      <c r="H239" s="501">
        <v>9772.9758741200003</v>
      </c>
      <c r="I239" s="501">
        <v>513.26224249999996</v>
      </c>
      <c r="J239" s="501">
        <v>4502.4218919300001</v>
      </c>
      <c r="K239" s="501">
        <v>217.94233639000001</v>
      </c>
      <c r="L239" s="501">
        <v>946.4935031</v>
      </c>
      <c r="M239" s="501">
        <v>55.73458239</v>
      </c>
      <c r="N239" s="501">
        <v>3555.9283888300001</v>
      </c>
      <c r="O239" s="501">
        <v>162.20775399999999</v>
      </c>
    </row>
    <row r="240" spans="1:15" ht="12.75">
      <c r="A240" s="331" t="s">
        <v>28</v>
      </c>
      <c r="B240" s="501">
        <v>16700.565043179999</v>
      </c>
      <c r="C240" s="501">
        <v>786.28199433999998</v>
      </c>
      <c r="D240" s="501">
        <v>12271.32758225</v>
      </c>
      <c r="E240" s="501">
        <v>571.54338396000003</v>
      </c>
      <c r="F240" s="501">
        <v>2244.5868893500001</v>
      </c>
      <c r="G240" s="501">
        <v>85.640184000000005</v>
      </c>
      <c r="H240" s="501">
        <v>10026.740692900001</v>
      </c>
      <c r="I240" s="501">
        <v>485.90319995999999</v>
      </c>
      <c r="J240" s="501">
        <v>4429.2374609300005</v>
      </c>
      <c r="K240" s="501">
        <v>214.73861038000001</v>
      </c>
      <c r="L240" s="501">
        <v>932.74929309000004</v>
      </c>
      <c r="M240" s="501">
        <v>54.031234310000002</v>
      </c>
      <c r="N240" s="501">
        <v>3496.4881678400002</v>
      </c>
      <c r="O240" s="501">
        <v>160.70737607000001</v>
      </c>
    </row>
    <row r="241" spans="1:15" ht="12.75">
      <c r="A241" s="331" t="s">
        <v>29</v>
      </c>
      <c r="B241" s="501">
        <v>17119.816266530001</v>
      </c>
      <c r="C241" s="501">
        <v>719.44171244100005</v>
      </c>
      <c r="D241" s="501">
        <v>12696.45821837</v>
      </c>
      <c r="E241" s="501">
        <v>531.8240892</v>
      </c>
      <c r="F241" s="501">
        <v>2246.0035127800002</v>
      </c>
      <c r="G241" s="501">
        <v>80.629324749999995</v>
      </c>
      <c r="H241" s="501">
        <v>10450.45470559</v>
      </c>
      <c r="I241" s="501">
        <v>451.19476444999998</v>
      </c>
      <c r="J241" s="501">
        <v>4423.3580481600002</v>
      </c>
      <c r="K241" s="501">
        <v>187.61762324099999</v>
      </c>
      <c r="L241" s="501">
        <v>955.90965068000003</v>
      </c>
      <c r="M241" s="501">
        <v>51.405089330999999</v>
      </c>
      <c r="N241" s="501">
        <v>3467.44839748</v>
      </c>
      <c r="O241" s="501">
        <v>136.21253390999999</v>
      </c>
    </row>
    <row r="242" spans="1:15" ht="12.75">
      <c r="A242" s="331" t="s">
        <v>2827</v>
      </c>
      <c r="B242" s="500">
        <v>20183.981847880001</v>
      </c>
      <c r="C242" s="500">
        <v>593.74010190000001</v>
      </c>
      <c r="D242" s="500">
        <v>16194.32869187</v>
      </c>
      <c r="E242" s="500">
        <v>436.53477371999998</v>
      </c>
      <c r="F242" s="500">
        <v>2838.2065448600001</v>
      </c>
      <c r="G242" s="500">
        <v>74.676728499999996</v>
      </c>
      <c r="H242" s="500">
        <v>13356.122147010001</v>
      </c>
      <c r="I242" s="500">
        <v>361.85804522000001</v>
      </c>
      <c r="J242" s="500">
        <v>3989.6531560100002</v>
      </c>
      <c r="K242" s="500">
        <v>157.20532818000001</v>
      </c>
      <c r="L242" s="500">
        <v>770.83539777999999</v>
      </c>
      <c r="M242" s="500">
        <v>40.809313410000001</v>
      </c>
      <c r="N242" s="500">
        <v>3218.81775823</v>
      </c>
      <c r="O242" s="500">
        <v>116.39601476999999</v>
      </c>
    </row>
    <row r="243" spans="1:15" ht="12.75">
      <c r="A243" s="331" t="s">
        <v>18</v>
      </c>
      <c r="B243" s="501">
        <v>17242.149871199999</v>
      </c>
      <c r="C243" s="501">
        <v>706.54506468099999</v>
      </c>
      <c r="D243" s="501">
        <v>12817.82820563</v>
      </c>
      <c r="E243" s="501">
        <v>514.54677155000002</v>
      </c>
      <c r="F243" s="501">
        <v>2255.1230671500002</v>
      </c>
      <c r="G243" s="501">
        <v>83.849482890000004</v>
      </c>
      <c r="H243" s="501">
        <v>10562.70513848</v>
      </c>
      <c r="I243" s="501">
        <v>430.69728866000003</v>
      </c>
      <c r="J243" s="501">
        <v>4424.3216655699998</v>
      </c>
      <c r="K243" s="501">
        <v>191.998293131</v>
      </c>
      <c r="L243" s="501">
        <v>976.48917088999997</v>
      </c>
      <c r="M243" s="501">
        <v>51.256426150999999</v>
      </c>
      <c r="N243" s="501">
        <v>3447.8324946799999</v>
      </c>
      <c r="O243" s="501">
        <v>140.74186698</v>
      </c>
    </row>
    <row r="244" spans="1:15" ht="12.75">
      <c r="A244" s="331" t="s">
        <v>19</v>
      </c>
      <c r="B244" s="501">
        <v>17587.221785509999</v>
      </c>
      <c r="C244" s="501">
        <v>690.22803666100003</v>
      </c>
      <c r="D244" s="501">
        <v>13152.53778452</v>
      </c>
      <c r="E244" s="501">
        <v>500.31258965000001</v>
      </c>
      <c r="F244" s="501">
        <v>2371.6997349100002</v>
      </c>
      <c r="G244" s="501">
        <v>83.798901090000001</v>
      </c>
      <c r="H244" s="501">
        <v>10780.83804961</v>
      </c>
      <c r="I244" s="501">
        <v>416.51368855999999</v>
      </c>
      <c r="J244" s="501">
        <v>4434.6840009899997</v>
      </c>
      <c r="K244" s="501">
        <v>189.915447011</v>
      </c>
      <c r="L244" s="501">
        <v>1049.74013386</v>
      </c>
      <c r="M244" s="501">
        <v>50.666347760999997</v>
      </c>
      <c r="N244" s="501">
        <v>3384.9438671299999</v>
      </c>
      <c r="O244" s="501">
        <v>139.24909925</v>
      </c>
    </row>
    <row r="245" spans="1:15" ht="12.75">
      <c r="A245" s="331" t="s">
        <v>20</v>
      </c>
      <c r="B245" s="501">
        <v>18007.769891451</v>
      </c>
      <c r="C245" s="501">
        <v>685.18649990100005</v>
      </c>
      <c r="D245" s="501">
        <v>13498.31508642</v>
      </c>
      <c r="E245" s="501">
        <v>484.17742141999997</v>
      </c>
      <c r="F245" s="501">
        <v>2451.8548598100001</v>
      </c>
      <c r="G245" s="501">
        <v>91.229191940000007</v>
      </c>
      <c r="H245" s="501">
        <v>11046.460226609999</v>
      </c>
      <c r="I245" s="501">
        <v>392.94822948000001</v>
      </c>
      <c r="J245" s="501">
        <v>4509.4548050310004</v>
      </c>
      <c r="K245" s="501">
        <v>201.00907848099999</v>
      </c>
      <c r="L245" s="501">
        <v>978.22342058100003</v>
      </c>
      <c r="M245" s="501">
        <v>57.715947030999999</v>
      </c>
      <c r="N245" s="501">
        <v>3531.23138445</v>
      </c>
      <c r="O245" s="501">
        <v>143.29313145</v>
      </c>
    </row>
    <row r="246" spans="1:15" ht="12.75">
      <c r="A246" s="331" t="s">
        <v>21</v>
      </c>
      <c r="B246" s="501">
        <v>18319.964781931001</v>
      </c>
      <c r="C246" s="501">
        <v>674.77748304099998</v>
      </c>
      <c r="D246" s="501">
        <v>13872.12866036</v>
      </c>
      <c r="E246" s="501">
        <v>473.43038794</v>
      </c>
      <c r="F246" s="501">
        <v>2553.1129154300002</v>
      </c>
      <c r="G246" s="501">
        <v>86.027146729999998</v>
      </c>
      <c r="H246" s="501">
        <v>11319.01574493</v>
      </c>
      <c r="I246" s="501">
        <v>387.40324120999998</v>
      </c>
      <c r="J246" s="501">
        <v>4447.8361215710001</v>
      </c>
      <c r="K246" s="501">
        <v>201.34709510100001</v>
      </c>
      <c r="L246" s="501">
        <v>969.477541761</v>
      </c>
      <c r="M246" s="501">
        <v>60.260919121000001</v>
      </c>
      <c r="N246" s="501">
        <v>3478.3585798099998</v>
      </c>
      <c r="O246" s="501">
        <v>141.08617598000001</v>
      </c>
    </row>
    <row r="247" spans="1:15" ht="12.75">
      <c r="A247" s="331" t="s">
        <v>22</v>
      </c>
      <c r="B247" s="501">
        <v>18577.875236771</v>
      </c>
      <c r="C247" s="501">
        <v>673.73641594100002</v>
      </c>
      <c r="D247" s="501">
        <v>14106.29408756</v>
      </c>
      <c r="E247" s="501">
        <v>472.73205044000002</v>
      </c>
      <c r="F247" s="501">
        <v>2530.4130721900001</v>
      </c>
      <c r="G247" s="501">
        <v>85.956871759999999</v>
      </c>
      <c r="H247" s="501">
        <v>11575.88101537</v>
      </c>
      <c r="I247" s="501">
        <v>386.77517868000001</v>
      </c>
      <c r="J247" s="501">
        <v>4471.5811492109997</v>
      </c>
      <c r="K247" s="501">
        <v>201.004365501</v>
      </c>
      <c r="L247" s="501">
        <v>1000.477938541</v>
      </c>
      <c r="M247" s="501">
        <v>57.545981490999999</v>
      </c>
      <c r="N247" s="501">
        <v>3471.10321067</v>
      </c>
      <c r="O247" s="501">
        <v>143.45838401</v>
      </c>
    </row>
    <row r="248" spans="1:15" ht="12.75">
      <c r="A248" s="331" t="s">
        <v>23</v>
      </c>
      <c r="B248" s="501">
        <v>18818.200924164601</v>
      </c>
      <c r="C248" s="501">
        <v>661.21798656500005</v>
      </c>
      <c r="D248" s="501">
        <v>14484.9212792096</v>
      </c>
      <c r="E248" s="501">
        <v>475.93267407000002</v>
      </c>
      <c r="F248" s="501">
        <v>2690.44674089</v>
      </c>
      <c r="G248" s="501">
        <v>90.75005256</v>
      </c>
      <c r="H248" s="501">
        <v>11794.4745383196</v>
      </c>
      <c r="I248" s="501">
        <v>385.18262150999999</v>
      </c>
      <c r="J248" s="501">
        <v>4333.2796449549996</v>
      </c>
      <c r="K248" s="501">
        <v>185.285312495</v>
      </c>
      <c r="L248" s="501">
        <v>1053.3818257349999</v>
      </c>
      <c r="M248" s="501">
        <v>55.946921345</v>
      </c>
      <c r="N248" s="501">
        <v>3279.8978192200002</v>
      </c>
      <c r="O248" s="501">
        <v>129.33839115000001</v>
      </c>
    </row>
    <row r="249" spans="1:15" ht="12.75">
      <c r="A249" s="331" t="s">
        <v>24</v>
      </c>
      <c r="B249" s="501">
        <v>18985.634951354601</v>
      </c>
      <c r="C249" s="501">
        <v>662.33321448499998</v>
      </c>
      <c r="D249" s="501">
        <v>14645.7346083596</v>
      </c>
      <c r="E249" s="501">
        <v>467.36739869000002</v>
      </c>
      <c r="F249" s="501">
        <v>2702.5018960500001</v>
      </c>
      <c r="G249" s="501">
        <v>87.147762479999997</v>
      </c>
      <c r="H249" s="501">
        <v>11943.2327123096</v>
      </c>
      <c r="I249" s="501">
        <v>380.21963620999998</v>
      </c>
      <c r="J249" s="501">
        <v>4339.9003429949998</v>
      </c>
      <c r="K249" s="501">
        <v>194.965815795</v>
      </c>
      <c r="L249" s="501">
        <v>1127.3708482750001</v>
      </c>
      <c r="M249" s="501">
        <v>58.126071455000002</v>
      </c>
      <c r="N249" s="501">
        <v>3212.52949472</v>
      </c>
      <c r="O249" s="501">
        <v>136.83974434000001</v>
      </c>
    </row>
    <row r="250" spans="1:15" ht="12.75">
      <c r="A250" s="331" t="s">
        <v>25</v>
      </c>
      <c r="B250" s="501">
        <v>19136.822267444601</v>
      </c>
      <c r="C250" s="501">
        <v>659.66022400500003</v>
      </c>
      <c r="D250" s="501">
        <v>14901.5514048696</v>
      </c>
      <c r="E250" s="501">
        <v>469.64002125000002</v>
      </c>
      <c r="F250" s="501">
        <v>2733.9640943300001</v>
      </c>
      <c r="G250" s="501">
        <v>81.403059510000006</v>
      </c>
      <c r="H250" s="501">
        <v>12167.5873105396</v>
      </c>
      <c r="I250" s="501">
        <v>388.23696174000003</v>
      </c>
      <c r="J250" s="501">
        <v>4235.2708625750001</v>
      </c>
      <c r="K250" s="501">
        <v>190.02020275500001</v>
      </c>
      <c r="L250" s="501">
        <v>1087.988881705</v>
      </c>
      <c r="M250" s="501">
        <v>57.074502225000003</v>
      </c>
      <c r="N250" s="501">
        <v>3147.2819808700001</v>
      </c>
      <c r="O250" s="501">
        <v>132.94570053000001</v>
      </c>
    </row>
    <row r="251" spans="1:15" ht="12.75">
      <c r="A251" s="331" t="s">
        <v>26</v>
      </c>
      <c r="B251" s="501">
        <v>19701.683635566002</v>
      </c>
      <c r="C251" s="501">
        <v>649.54999275199998</v>
      </c>
      <c r="D251" s="501">
        <v>15392.30191407</v>
      </c>
      <c r="E251" s="501">
        <v>455.75330437000002</v>
      </c>
      <c r="F251" s="501">
        <v>2869.4910226299999</v>
      </c>
      <c r="G251" s="501">
        <v>83.34328859</v>
      </c>
      <c r="H251" s="501">
        <v>12522.81089144</v>
      </c>
      <c r="I251" s="501">
        <v>372.41001577999998</v>
      </c>
      <c r="J251" s="501">
        <v>4309.381721496</v>
      </c>
      <c r="K251" s="501">
        <v>193.79668838200001</v>
      </c>
      <c r="L251" s="501">
        <v>1148.330734656</v>
      </c>
      <c r="M251" s="501">
        <v>60.564510192</v>
      </c>
      <c r="N251" s="501">
        <v>3161.05098684</v>
      </c>
      <c r="O251" s="501">
        <v>133.23217819000001</v>
      </c>
    </row>
    <row r="252" spans="1:15" ht="12.75">
      <c r="A252" s="331" t="s">
        <v>27</v>
      </c>
      <c r="B252" s="501">
        <v>20015.293326605999</v>
      </c>
      <c r="C252" s="501">
        <v>646.04418552200002</v>
      </c>
      <c r="D252" s="501">
        <v>15657.57166688</v>
      </c>
      <c r="E252" s="501">
        <v>451.23529952000001</v>
      </c>
      <c r="F252" s="501">
        <v>2876.8919725300002</v>
      </c>
      <c r="G252" s="501">
        <v>83.754464170000006</v>
      </c>
      <c r="H252" s="501">
        <v>12780.679694349999</v>
      </c>
      <c r="I252" s="501">
        <v>367.48083535000001</v>
      </c>
      <c r="J252" s="501">
        <v>4357.7216597260003</v>
      </c>
      <c r="K252" s="501">
        <v>194.80888600200001</v>
      </c>
      <c r="L252" s="501">
        <v>1084.880580606</v>
      </c>
      <c r="M252" s="501">
        <v>62.664213252000003</v>
      </c>
      <c r="N252" s="501">
        <v>3272.8410791199999</v>
      </c>
      <c r="O252" s="501">
        <v>132.14467275000001</v>
      </c>
    </row>
    <row r="253" spans="1:15" ht="12.75">
      <c r="A253" s="331" t="s">
        <v>28</v>
      </c>
      <c r="B253" s="501">
        <v>20218.690699965999</v>
      </c>
      <c r="C253" s="501">
        <v>641.27898531200003</v>
      </c>
      <c r="D253" s="501">
        <v>15993.274657940001</v>
      </c>
      <c r="E253" s="501">
        <v>445.73706358999999</v>
      </c>
      <c r="F253" s="501">
        <v>2889.15260519</v>
      </c>
      <c r="G253" s="501">
        <v>81.62865042</v>
      </c>
      <c r="H253" s="501">
        <v>13104.122052750001</v>
      </c>
      <c r="I253" s="501">
        <v>364.10841317000001</v>
      </c>
      <c r="J253" s="501">
        <v>4225.4160420259996</v>
      </c>
      <c r="K253" s="501">
        <v>195.54192172200001</v>
      </c>
      <c r="L253" s="501">
        <v>1017.090647246</v>
      </c>
      <c r="M253" s="501">
        <v>63.192332221999997</v>
      </c>
      <c r="N253" s="501">
        <v>3208.3253947799999</v>
      </c>
      <c r="O253" s="501">
        <v>132.34958950000001</v>
      </c>
    </row>
    <row r="254" spans="1:15" ht="12.75">
      <c r="A254" s="331" t="s">
        <v>29</v>
      </c>
      <c r="B254" s="501">
        <v>20183.981847880001</v>
      </c>
      <c r="C254" s="501">
        <v>593.74010190000001</v>
      </c>
      <c r="D254" s="501">
        <v>16194.32869187</v>
      </c>
      <c r="E254" s="501">
        <v>436.53477371999998</v>
      </c>
      <c r="F254" s="501">
        <v>2838.2065448600001</v>
      </c>
      <c r="G254" s="501">
        <v>74.676728499999996</v>
      </c>
      <c r="H254" s="501">
        <v>13356.122147010001</v>
      </c>
      <c r="I254" s="501">
        <v>361.85804522000001</v>
      </c>
      <c r="J254" s="501">
        <v>3989.6531560100002</v>
      </c>
      <c r="K254" s="501">
        <v>157.20532818000001</v>
      </c>
      <c r="L254" s="501">
        <v>770.83539777999999</v>
      </c>
      <c r="M254" s="501">
        <v>40.809313410000001</v>
      </c>
      <c r="N254" s="501">
        <v>3218.81775823</v>
      </c>
      <c r="O254" s="501">
        <v>116.39601476999999</v>
      </c>
    </row>
    <row r="255" spans="1:15" ht="12.75">
      <c r="A255" s="331" t="s">
        <v>3518</v>
      </c>
      <c r="B255" s="500">
        <v>23979.124360810001</v>
      </c>
      <c r="C255" s="500">
        <v>437.84492763999998</v>
      </c>
      <c r="D255" s="500">
        <v>19538.67965604</v>
      </c>
      <c r="E255" s="500">
        <v>329.30543438000001</v>
      </c>
      <c r="F255" s="500">
        <v>3279.7510183999998</v>
      </c>
      <c r="G255" s="500">
        <v>71.92944722</v>
      </c>
      <c r="H255" s="500">
        <v>16258.92863764</v>
      </c>
      <c r="I255" s="500">
        <v>257.37598716000002</v>
      </c>
      <c r="J255" s="500">
        <v>4440.4447047699996</v>
      </c>
      <c r="K255" s="500">
        <v>108.53949326</v>
      </c>
      <c r="L255" s="500">
        <v>811.43953900999998</v>
      </c>
      <c r="M255" s="500">
        <v>29.35570839</v>
      </c>
      <c r="N255" s="500">
        <v>3629.0051657600002</v>
      </c>
      <c r="O255" s="500">
        <v>79.183784869999997</v>
      </c>
    </row>
    <row r="256" spans="1:15" ht="12.75">
      <c r="A256" s="331" t="s">
        <v>18</v>
      </c>
      <c r="B256" s="501">
        <v>20259.212448210001</v>
      </c>
      <c r="C256" s="501">
        <v>583.77188913999998</v>
      </c>
      <c r="D256" s="501">
        <v>16247.718249989999</v>
      </c>
      <c r="E256" s="501">
        <v>430.77420088999997</v>
      </c>
      <c r="F256" s="501">
        <v>2844.3798399299999</v>
      </c>
      <c r="G256" s="501">
        <v>75.117670590000003</v>
      </c>
      <c r="H256" s="501">
        <v>13403.33841006</v>
      </c>
      <c r="I256" s="501">
        <v>355.65653029999999</v>
      </c>
      <c r="J256" s="501">
        <v>4011.4941982199998</v>
      </c>
      <c r="K256" s="501">
        <v>152.99768825000001</v>
      </c>
      <c r="L256" s="501">
        <v>758.50949849000006</v>
      </c>
      <c r="M256" s="501">
        <v>38.512668329999997</v>
      </c>
      <c r="N256" s="501">
        <v>3252.9846997300001</v>
      </c>
      <c r="O256" s="501">
        <v>114.48501992</v>
      </c>
    </row>
    <row r="257" spans="1:15" ht="12.75">
      <c r="A257" s="331" t="s">
        <v>19</v>
      </c>
      <c r="B257" s="501">
        <v>20347.050737609999</v>
      </c>
      <c r="C257" s="501">
        <v>606.13546266000003</v>
      </c>
      <c r="D257" s="501">
        <v>16370.65888243</v>
      </c>
      <c r="E257" s="501">
        <v>448.55554411000003</v>
      </c>
      <c r="F257" s="501">
        <v>2844.7116245699999</v>
      </c>
      <c r="G257" s="501">
        <v>84.947585169999996</v>
      </c>
      <c r="H257" s="501">
        <v>13525.94725786</v>
      </c>
      <c r="I257" s="501">
        <v>363.60795894</v>
      </c>
      <c r="J257" s="501">
        <v>3976.3918551800002</v>
      </c>
      <c r="K257" s="501">
        <v>157.57991855</v>
      </c>
      <c r="L257" s="501">
        <v>746.06364025000005</v>
      </c>
      <c r="M257" s="501">
        <v>41.52491551</v>
      </c>
      <c r="N257" s="501">
        <v>3230.3282149299998</v>
      </c>
      <c r="O257" s="501">
        <v>116.05500304</v>
      </c>
    </row>
    <row r="258" spans="1:15" ht="12.75">
      <c r="A258" s="331" t="s">
        <v>20</v>
      </c>
      <c r="B258" s="501">
        <v>20664.848433421801</v>
      </c>
      <c r="C258" s="501">
        <v>590.48680544000001</v>
      </c>
      <c r="D258" s="501">
        <v>16623.2786518418</v>
      </c>
      <c r="E258" s="501">
        <v>432.54660754000002</v>
      </c>
      <c r="F258" s="501">
        <v>2859.8299566300002</v>
      </c>
      <c r="G258" s="501">
        <v>80.957747389999994</v>
      </c>
      <c r="H258" s="501">
        <v>13763.4486952118</v>
      </c>
      <c r="I258" s="501">
        <v>351.58886015000002</v>
      </c>
      <c r="J258" s="501">
        <v>4041.5697815799999</v>
      </c>
      <c r="K258" s="501">
        <v>157.94019789999999</v>
      </c>
      <c r="L258" s="501">
        <v>719.54302233999999</v>
      </c>
      <c r="M258" s="501">
        <v>45.26216179</v>
      </c>
      <c r="N258" s="501">
        <v>3322.02675924</v>
      </c>
      <c r="O258" s="501">
        <v>112.67803610999999</v>
      </c>
    </row>
    <row r="259" spans="1:15" ht="12.75">
      <c r="A259" s="331" t="s">
        <v>21</v>
      </c>
      <c r="B259" s="501">
        <v>21005.880584801798</v>
      </c>
      <c r="C259" s="501">
        <v>591.79680065000002</v>
      </c>
      <c r="D259" s="501">
        <v>16972.109734211801</v>
      </c>
      <c r="E259" s="501">
        <v>436.58304476000001</v>
      </c>
      <c r="F259" s="501">
        <v>2908.7417461999999</v>
      </c>
      <c r="G259" s="501">
        <v>81.497288589999997</v>
      </c>
      <c r="H259" s="501">
        <v>14063.3679880118</v>
      </c>
      <c r="I259" s="501">
        <v>355.08575617000002</v>
      </c>
      <c r="J259" s="501">
        <v>4033.77085059</v>
      </c>
      <c r="K259" s="501">
        <v>155.21375588999999</v>
      </c>
      <c r="L259" s="501">
        <v>719.04521380999995</v>
      </c>
      <c r="M259" s="501">
        <v>41.3135677</v>
      </c>
      <c r="N259" s="501">
        <v>3314.7256367800001</v>
      </c>
      <c r="O259" s="501">
        <v>113.90018818999999</v>
      </c>
    </row>
    <row r="260" spans="1:15" ht="12.75">
      <c r="A260" s="331" t="s">
        <v>22</v>
      </c>
      <c r="B260" s="501">
        <v>21285.5233731218</v>
      </c>
      <c r="C260" s="501">
        <v>490.09126863</v>
      </c>
      <c r="D260" s="501">
        <v>17227.2383752118</v>
      </c>
      <c r="E260" s="501">
        <v>350.11316103000001</v>
      </c>
      <c r="F260" s="501">
        <v>2944.3698886900002</v>
      </c>
      <c r="G260" s="501">
        <v>68.253597040000002</v>
      </c>
      <c r="H260" s="501">
        <v>14282.8684865218</v>
      </c>
      <c r="I260" s="501">
        <v>281.85956399000003</v>
      </c>
      <c r="J260" s="501">
        <v>4058.2849979100001</v>
      </c>
      <c r="K260" s="501">
        <v>139.97810759999999</v>
      </c>
      <c r="L260" s="501">
        <v>709.45523959000002</v>
      </c>
      <c r="M260" s="501">
        <v>43.993907569999998</v>
      </c>
      <c r="N260" s="501">
        <v>3348.8297583200001</v>
      </c>
      <c r="O260" s="501">
        <v>95.984200029999997</v>
      </c>
    </row>
    <row r="261" spans="1:15" ht="12.75">
      <c r="A261" s="331" t="s">
        <v>23</v>
      </c>
      <c r="B261" s="501">
        <v>21966.172727879999</v>
      </c>
      <c r="C261" s="501">
        <v>502.27205501999998</v>
      </c>
      <c r="D261" s="501">
        <v>17657.848817599999</v>
      </c>
      <c r="E261" s="501">
        <v>365.72840668999999</v>
      </c>
      <c r="F261" s="501">
        <v>3021.8267226399998</v>
      </c>
      <c r="G261" s="501">
        <v>68.551594949999995</v>
      </c>
      <c r="H261" s="501">
        <v>14636.022094960001</v>
      </c>
      <c r="I261" s="501">
        <v>297.17681174000001</v>
      </c>
      <c r="J261" s="501">
        <v>4308.3239102799998</v>
      </c>
      <c r="K261" s="501">
        <v>136.54364833</v>
      </c>
      <c r="L261" s="501">
        <v>747.16751140999997</v>
      </c>
      <c r="M261" s="501">
        <v>45.653695560000003</v>
      </c>
      <c r="N261" s="501">
        <v>3561.15639887</v>
      </c>
      <c r="O261" s="501">
        <v>90.889952769999994</v>
      </c>
    </row>
    <row r="262" spans="1:15" ht="12.75">
      <c r="A262" s="331" t="s">
        <v>24</v>
      </c>
      <c r="B262" s="501">
        <v>22041.926831839999</v>
      </c>
      <c r="C262" s="501">
        <v>494.71576025000002</v>
      </c>
      <c r="D262" s="501">
        <v>17895.416983340001</v>
      </c>
      <c r="E262" s="501">
        <v>361.13621083999999</v>
      </c>
      <c r="F262" s="501">
        <v>2990.5629049899999</v>
      </c>
      <c r="G262" s="501">
        <v>84.85508093</v>
      </c>
      <c r="H262" s="501">
        <v>14904.854078349999</v>
      </c>
      <c r="I262" s="501">
        <v>276.28112991</v>
      </c>
      <c r="J262" s="501">
        <v>4146.5098484999999</v>
      </c>
      <c r="K262" s="501">
        <v>133.57954941</v>
      </c>
      <c r="L262" s="501">
        <v>709.37412331999997</v>
      </c>
      <c r="M262" s="501">
        <v>42.163245019999998</v>
      </c>
      <c r="N262" s="501">
        <v>3437.13572518</v>
      </c>
      <c r="O262" s="501">
        <v>91.416304389999993</v>
      </c>
    </row>
    <row r="263" spans="1:15" ht="12.75">
      <c r="A263" s="331" t="s">
        <v>25</v>
      </c>
      <c r="B263" s="501">
        <v>22484.122831910001</v>
      </c>
      <c r="C263" s="501">
        <v>534.25918471</v>
      </c>
      <c r="D263" s="501">
        <v>18275.482691239999</v>
      </c>
      <c r="E263" s="501">
        <v>379.56958030999999</v>
      </c>
      <c r="F263" s="501">
        <v>3021.4689004699999</v>
      </c>
      <c r="G263" s="501">
        <v>87.157941719999997</v>
      </c>
      <c r="H263" s="501">
        <v>15254.013790769999</v>
      </c>
      <c r="I263" s="501">
        <v>292.41163859</v>
      </c>
      <c r="J263" s="501">
        <v>4208.6401406699997</v>
      </c>
      <c r="K263" s="501">
        <v>154.68960440000001</v>
      </c>
      <c r="L263" s="501">
        <v>755.78059089999999</v>
      </c>
      <c r="M263" s="501">
        <v>43.653620429999997</v>
      </c>
      <c r="N263" s="501">
        <v>3452.8595497699998</v>
      </c>
      <c r="O263" s="501">
        <v>111.03598397</v>
      </c>
    </row>
    <row r="264" spans="1:15" ht="12.75">
      <c r="A264" s="331" t="s">
        <v>26</v>
      </c>
      <c r="B264" s="501">
        <v>23018.645831869999</v>
      </c>
      <c r="C264" s="501">
        <v>519.77127536</v>
      </c>
      <c r="D264" s="501">
        <v>18707.488789669998</v>
      </c>
      <c r="E264" s="501">
        <v>377.23773401</v>
      </c>
      <c r="F264" s="501">
        <v>3139.8801073499999</v>
      </c>
      <c r="G264" s="501">
        <v>85.811350660000002</v>
      </c>
      <c r="H264" s="501">
        <v>15567.60868232</v>
      </c>
      <c r="I264" s="501">
        <v>291.42638334999998</v>
      </c>
      <c r="J264" s="501">
        <v>4311.1570422000004</v>
      </c>
      <c r="K264" s="501">
        <v>142.53354135000001</v>
      </c>
      <c r="L264" s="501">
        <v>799.08413307000001</v>
      </c>
      <c r="M264" s="501">
        <v>36.779894140000003</v>
      </c>
      <c r="N264" s="501">
        <v>3512.07290913</v>
      </c>
      <c r="O264" s="501">
        <v>105.75364721</v>
      </c>
    </row>
    <row r="265" spans="1:15" ht="12.75">
      <c r="A265" s="331" t="s">
        <v>27</v>
      </c>
      <c r="B265" s="501">
        <v>23196.472673640001</v>
      </c>
      <c r="C265" s="501">
        <v>440.37917463999997</v>
      </c>
      <c r="D265" s="501">
        <v>18704.813698549999</v>
      </c>
      <c r="E265" s="501">
        <v>323.97866716999999</v>
      </c>
      <c r="F265" s="501">
        <v>3109.7670577099998</v>
      </c>
      <c r="G265" s="501">
        <v>63.389407869999999</v>
      </c>
      <c r="H265" s="501">
        <v>15595.046640840001</v>
      </c>
      <c r="I265" s="501">
        <v>260.58925929999998</v>
      </c>
      <c r="J265" s="501">
        <v>4491.6589750900002</v>
      </c>
      <c r="K265" s="501">
        <v>116.40050746999999</v>
      </c>
      <c r="L265" s="501">
        <v>775.05342868000002</v>
      </c>
      <c r="M265" s="501">
        <v>33.447762769999997</v>
      </c>
      <c r="N265" s="501">
        <v>3716.60554641</v>
      </c>
      <c r="O265" s="501">
        <v>82.952744699999997</v>
      </c>
    </row>
    <row r="266" spans="1:15" ht="12.75">
      <c r="A266" s="331" t="s">
        <v>28</v>
      </c>
      <c r="B266" s="501">
        <v>23617.991556720001</v>
      </c>
      <c r="C266" s="501">
        <v>440.25735591</v>
      </c>
      <c r="D266" s="501">
        <v>19125.188977919999</v>
      </c>
      <c r="E266" s="501">
        <v>327.77839140999998</v>
      </c>
      <c r="F266" s="501">
        <v>3208.8082476300001</v>
      </c>
      <c r="G266" s="501">
        <v>62.234772130000003</v>
      </c>
      <c r="H266" s="501">
        <v>15916.38073029</v>
      </c>
      <c r="I266" s="501">
        <v>265.54361927999997</v>
      </c>
      <c r="J266" s="501">
        <v>4492.8025788000004</v>
      </c>
      <c r="K266" s="501">
        <v>112.4789645</v>
      </c>
      <c r="L266" s="501">
        <v>811.44160772999999</v>
      </c>
      <c r="M266" s="501">
        <v>32.785406879999996</v>
      </c>
      <c r="N266" s="501">
        <v>3681.3609710699998</v>
      </c>
      <c r="O266" s="501">
        <v>79.693557620000007</v>
      </c>
    </row>
    <row r="267" spans="1:15" ht="12.75">
      <c r="A267" s="331" t="s">
        <v>29</v>
      </c>
      <c r="B267" s="501">
        <v>23979.124360810001</v>
      </c>
      <c r="C267" s="501">
        <v>437.84492763999998</v>
      </c>
      <c r="D267" s="501">
        <v>19538.67965604</v>
      </c>
      <c r="E267" s="501">
        <v>329.30543438000001</v>
      </c>
      <c r="F267" s="501">
        <v>3279.7510183999998</v>
      </c>
      <c r="G267" s="501">
        <v>71.92944722</v>
      </c>
      <c r="H267" s="501">
        <v>16258.92863764</v>
      </c>
      <c r="I267" s="501">
        <v>257.37598716000002</v>
      </c>
      <c r="J267" s="501">
        <v>4440.4447047699996</v>
      </c>
      <c r="K267" s="501">
        <v>108.53949326</v>
      </c>
      <c r="L267" s="501">
        <v>811.43953900999998</v>
      </c>
      <c r="M267" s="501">
        <v>29.35570839</v>
      </c>
      <c r="N267" s="501">
        <v>3629.0051657600002</v>
      </c>
      <c r="O267" s="501">
        <v>79.183784869999997</v>
      </c>
    </row>
    <row r="268" spans="1:15" ht="12.75">
      <c r="A268" s="331" t="s">
        <v>3989</v>
      </c>
      <c r="B268" s="500">
        <v>29288.227327680001</v>
      </c>
      <c r="C268" s="500">
        <v>449.13973557000003</v>
      </c>
      <c r="D268" s="500">
        <v>24772.999937280001</v>
      </c>
      <c r="E268" s="500">
        <v>347.74381510000001</v>
      </c>
      <c r="F268" s="500">
        <v>4124.9867796400003</v>
      </c>
      <c r="G268" s="500">
        <v>87.706676470000005</v>
      </c>
      <c r="H268" s="500">
        <v>20648.013157640002</v>
      </c>
      <c r="I268" s="500">
        <v>260.03713863000002</v>
      </c>
      <c r="J268" s="500">
        <v>4515.2273904000003</v>
      </c>
      <c r="K268" s="500">
        <v>101.39592046999999</v>
      </c>
      <c r="L268" s="500">
        <v>789.71808405000002</v>
      </c>
      <c r="M268" s="500">
        <v>24.27745672</v>
      </c>
      <c r="N268" s="500">
        <v>3725.5093063499999</v>
      </c>
      <c r="O268" s="500">
        <v>77.118463750000004</v>
      </c>
    </row>
    <row r="269" spans="1:15" ht="12.75">
      <c r="A269" s="331" t="s">
        <v>18</v>
      </c>
      <c r="B269" s="501">
        <v>24362.526631280001</v>
      </c>
      <c r="C269" s="501">
        <v>454.06281114000001</v>
      </c>
      <c r="D269" s="501">
        <v>19606.879828519999</v>
      </c>
      <c r="E269" s="501">
        <v>344.75044946000003</v>
      </c>
      <c r="F269" s="501">
        <v>3218.1220804</v>
      </c>
      <c r="G269" s="501">
        <v>73.426248740000005</v>
      </c>
      <c r="H269" s="501">
        <v>16388.757748119999</v>
      </c>
      <c r="I269" s="501">
        <v>271.32420072000002</v>
      </c>
      <c r="J269" s="501">
        <v>4755.6468027600004</v>
      </c>
      <c r="K269" s="501">
        <v>109.31236168</v>
      </c>
      <c r="L269" s="501">
        <v>774.35494917000005</v>
      </c>
      <c r="M269" s="501">
        <v>28.912655879999999</v>
      </c>
      <c r="N269" s="501">
        <v>3981.2918535899998</v>
      </c>
      <c r="O269" s="501">
        <v>80.399705800000007</v>
      </c>
    </row>
    <row r="270" spans="1:15" ht="12.75">
      <c r="A270" s="331" t="s">
        <v>19</v>
      </c>
      <c r="B270" s="501">
        <v>24629.126192600001</v>
      </c>
      <c r="C270" s="501">
        <v>469.15723987000001</v>
      </c>
      <c r="D270" s="501">
        <v>19892.837348249999</v>
      </c>
      <c r="E270" s="501">
        <v>353.88525865000003</v>
      </c>
      <c r="F270" s="501">
        <v>3259.65036779</v>
      </c>
      <c r="G270" s="501">
        <v>80.992791220000001</v>
      </c>
      <c r="H270" s="501">
        <v>16633.186980459999</v>
      </c>
      <c r="I270" s="501">
        <v>272.89246743000001</v>
      </c>
      <c r="J270" s="501">
        <v>4736.2888443499996</v>
      </c>
      <c r="K270" s="501">
        <v>115.27198122</v>
      </c>
      <c r="L270" s="501">
        <v>753.62811952000004</v>
      </c>
      <c r="M270" s="501">
        <v>28.983696370000001</v>
      </c>
      <c r="N270" s="501">
        <v>3982.6607248300002</v>
      </c>
      <c r="O270" s="501">
        <v>86.288284849999997</v>
      </c>
    </row>
    <row r="271" spans="1:15" ht="12.75">
      <c r="A271" s="331" t="s">
        <v>20</v>
      </c>
      <c r="B271" s="501">
        <v>25442.69492468</v>
      </c>
      <c r="C271" s="501">
        <v>470.75581861000001</v>
      </c>
      <c r="D271" s="501">
        <v>20726.472554569998</v>
      </c>
      <c r="E271" s="501">
        <v>356.49317094999998</v>
      </c>
      <c r="F271" s="501">
        <v>3363.40449137</v>
      </c>
      <c r="G271" s="501">
        <v>79.180929539999994</v>
      </c>
      <c r="H271" s="501">
        <v>17363.0680632</v>
      </c>
      <c r="I271" s="501">
        <v>277.31224141000001</v>
      </c>
      <c r="J271" s="501">
        <v>4716.2223701100002</v>
      </c>
      <c r="K271" s="501">
        <v>114.26264766</v>
      </c>
      <c r="L271" s="501">
        <v>754.52586536000001</v>
      </c>
      <c r="M271" s="501">
        <v>32.104515769999999</v>
      </c>
      <c r="N271" s="501">
        <v>3961.6965047499998</v>
      </c>
      <c r="O271" s="501">
        <v>82.158131890000007</v>
      </c>
    </row>
    <row r="272" spans="1:15" ht="12.75">
      <c r="A272" s="331" t="s">
        <v>21</v>
      </c>
      <c r="B272" s="501">
        <v>25984.53292089</v>
      </c>
      <c r="C272" s="501">
        <v>462.24683622999999</v>
      </c>
      <c r="D272" s="501">
        <v>21295.683595639999</v>
      </c>
      <c r="E272" s="501">
        <v>355.71784070000001</v>
      </c>
      <c r="F272" s="501">
        <v>3517.2154219700001</v>
      </c>
      <c r="G272" s="501">
        <v>81.70442869</v>
      </c>
      <c r="H272" s="501">
        <v>17778.46817367</v>
      </c>
      <c r="I272" s="501">
        <v>274.01341201000002</v>
      </c>
      <c r="J272" s="501">
        <v>4688.8493252500002</v>
      </c>
      <c r="K272" s="501">
        <v>106.52899553</v>
      </c>
      <c r="L272" s="501">
        <v>735.84520079000004</v>
      </c>
      <c r="M272" s="501">
        <v>32.129931499999998</v>
      </c>
      <c r="N272" s="501">
        <v>3953.0041244600002</v>
      </c>
      <c r="O272" s="501">
        <v>74.399064030000005</v>
      </c>
    </row>
    <row r="273" spans="1:35" ht="12.75">
      <c r="A273" s="331" t="s">
        <v>22</v>
      </c>
      <c r="B273" s="501">
        <v>26498.262998329999</v>
      </c>
      <c r="C273" s="501">
        <v>466.54076087999999</v>
      </c>
      <c r="D273" s="501">
        <v>21815.774135520001</v>
      </c>
      <c r="E273" s="501">
        <v>361.32318459999999</v>
      </c>
      <c r="F273" s="501">
        <v>3581.6015422199998</v>
      </c>
      <c r="G273" s="501">
        <v>80.723460250000002</v>
      </c>
      <c r="H273" s="501">
        <v>18234.172593300002</v>
      </c>
      <c r="I273" s="501">
        <v>280.59972434999997</v>
      </c>
      <c r="J273" s="501">
        <v>4682.4888628099998</v>
      </c>
      <c r="K273" s="501">
        <v>105.21757628</v>
      </c>
      <c r="L273" s="501">
        <v>722.33841077</v>
      </c>
      <c r="M273" s="501">
        <v>28.359501529999999</v>
      </c>
      <c r="N273" s="501">
        <v>3960.1504520399999</v>
      </c>
      <c r="O273" s="501">
        <v>76.85807475</v>
      </c>
    </row>
    <row r="274" spans="1:35" ht="12.75">
      <c r="A274" s="331" t="s">
        <v>23</v>
      </c>
      <c r="B274" s="501">
        <v>27003.267941400001</v>
      </c>
      <c r="C274" s="501">
        <v>451.69949761999999</v>
      </c>
      <c r="D274" s="501">
        <v>22345.925751219998</v>
      </c>
      <c r="E274" s="501">
        <v>347.86828634</v>
      </c>
      <c r="F274" s="501">
        <v>3590.9376369900001</v>
      </c>
      <c r="G274" s="501">
        <v>79.519376969999996</v>
      </c>
      <c r="H274" s="501">
        <v>18754.98811423</v>
      </c>
      <c r="I274" s="501">
        <v>268.34890937</v>
      </c>
      <c r="J274" s="501">
        <v>4657.3421901800002</v>
      </c>
      <c r="K274" s="501">
        <v>103.83121128000001</v>
      </c>
      <c r="L274" s="501">
        <v>728.86460674</v>
      </c>
      <c r="M274" s="501">
        <v>27.845313050000001</v>
      </c>
      <c r="N274" s="501">
        <v>3928.4775834400002</v>
      </c>
      <c r="O274" s="501">
        <v>75.985898230000004</v>
      </c>
    </row>
    <row r="275" spans="1:35" ht="12.75">
      <c r="A275" s="331" t="s">
        <v>24</v>
      </c>
      <c r="B275" s="501">
        <v>27268.459685689999</v>
      </c>
      <c r="C275" s="501">
        <v>453.71234934</v>
      </c>
      <c r="D275" s="501">
        <v>22666.359928599999</v>
      </c>
      <c r="E275" s="501">
        <v>348.54496949999998</v>
      </c>
      <c r="F275" s="501">
        <v>3628.3493883900001</v>
      </c>
      <c r="G275" s="501">
        <v>74.620008749999997</v>
      </c>
      <c r="H275" s="501">
        <v>19038.010540210002</v>
      </c>
      <c r="I275" s="501">
        <v>273.92496075000003</v>
      </c>
      <c r="J275" s="501">
        <v>4602.0997570899999</v>
      </c>
      <c r="K275" s="501">
        <v>105.16737984</v>
      </c>
      <c r="L275" s="501">
        <v>707.97169618999999</v>
      </c>
      <c r="M275" s="501">
        <v>29.411618610000001</v>
      </c>
      <c r="N275" s="501">
        <v>3894.1280609</v>
      </c>
      <c r="O275" s="501">
        <v>75.755761230000005</v>
      </c>
    </row>
    <row r="276" spans="1:35" ht="12.75">
      <c r="A276" s="331" t="s">
        <v>25</v>
      </c>
      <c r="B276" s="501">
        <v>27649.3614151</v>
      </c>
      <c r="C276" s="501">
        <v>473.10461577000001</v>
      </c>
      <c r="D276" s="501">
        <v>23038.07482269</v>
      </c>
      <c r="E276" s="501">
        <v>369.04038188999999</v>
      </c>
      <c r="F276" s="501">
        <v>3619.2679830500001</v>
      </c>
      <c r="G276" s="501">
        <v>81.545688400000003</v>
      </c>
      <c r="H276" s="501">
        <v>19418.806839640001</v>
      </c>
      <c r="I276" s="501">
        <v>287.49469348999997</v>
      </c>
      <c r="J276" s="501">
        <v>4611.2865924099997</v>
      </c>
      <c r="K276" s="501">
        <v>104.06423388</v>
      </c>
      <c r="L276" s="501">
        <v>726.64301048000004</v>
      </c>
      <c r="M276" s="501">
        <v>29.306893509999998</v>
      </c>
      <c r="N276" s="501">
        <v>3884.64358193</v>
      </c>
      <c r="O276" s="501">
        <v>74.757340369999994</v>
      </c>
    </row>
    <row r="277" spans="1:35" ht="12.75">
      <c r="A277" s="331" t="s">
        <v>26</v>
      </c>
      <c r="B277" s="501">
        <v>28404.620061260001</v>
      </c>
      <c r="C277" s="501">
        <v>480.04100023000001</v>
      </c>
      <c r="D277" s="501">
        <v>23684.058572990001</v>
      </c>
      <c r="E277" s="501">
        <v>372.32652953000002</v>
      </c>
      <c r="F277" s="501">
        <v>3832.8364422099999</v>
      </c>
      <c r="G277" s="501">
        <v>74.313010950000006</v>
      </c>
      <c r="H277" s="501">
        <v>19851.222130779999</v>
      </c>
      <c r="I277" s="501">
        <v>298.01351857999998</v>
      </c>
      <c r="J277" s="501">
        <v>4720.5614882700002</v>
      </c>
      <c r="K277" s="501">
        <v>107.71447070000001</v>
      </c>
      <c r="L277" s="501">
        <v>743.85090855999999</v>
      </c>
      <c r="M277" s="501">
        <v>27.5701322</v>
      </c>
      <c r="N277" s="501">
        <v>3976.7105797099998</v>
      </c>
      <c r="O277" s="501">
        <v>80.144338500000003</v>
      </c>
    </row>
    <row r="278" spans="1:35" ht="12.75">
      <c r="A278" s="331" t="s">
        <v>27</v>
      </c>
      <c r="B278" s="501">
        <v>28779.170425889999</v>
      </c>
      <c r="C278" s="501">
        <v>479.76418251000001</v>
      </c>
      <c r="D278" s="501">
        <v>24084.66752649</v>
      </c>
      <c r="E278" s="501">
        <v>371.73544606000002</v>
      </c>
      <c r="F278" s="501">
        <v>3908.42588346</v>
      </c>
      <c r="G278" s="501">
        <v>80.322872919999995</v>
      </c>
      <c r="H278" s="501">
        <v>20176.24164303</v>
      </c>
      <c r="I278" s="501">
        <v>291.41257314000001</v>
      </c>
      <c r="J278" s="501">
        <v>4694.5028994000004</v>
      </c>
      <c r="K278" s="501">
        <v>108.02873645</v>
      </c>
      <c r="L278" s="501">
        <v>716.31315165000001</v>
      </c>
      <c r="M278" s="501">
        <v>23.569106049999998</v>
      </c>
      <c r="N278" s="501">
        <v>3978.1897477500002</v>
      </c>
      <c r="O278" s="501">
        <v>84.459630399999995</v>
      </c>
    </row>
    <row r="279" spans="1:35" ht="12.75">
      <c r="A279" s="331" t="s">
        <v>28</v>
      </c>
      <c r="B279" s="501">
        <v>29066.795478110002</v>
      </c>
      <c r="C279" s="501">
        <v>496.61938093999999</v>
      </c>
      <c r="D279" s="501">
        <v>24385.677927550001</v>
      </c>
      <c r="E279" s="501">
        <v>378.09449183999999</v>
      </c>
      <c r="F279" s="501">
        <v>4000.54442178</v>
      </c>
      <c r="G279" s="501">
        <v>83.482935299999994</v>
      </c>
      <c r="H279" s="501">
        <v>20385.133505770002</v>
      </c>
      <c r="I279" s="501">
        <v>294.61155653999998</v>
      </c>
      <c r="J279" s="501">
        <v>4681.1175505600004</v>
      </c>
      <c r="K279" s="501">
        <v>118.5248891</v>
      </c>
      <c r="L279" s="501">
        <v>788.73600943999998</v>
      </c>
      <c r="M279" s="501">
        <v>37.004458309999997</v>
      </c>
      <c r="N279" s="501">
        <v>3892.3815411199998</v>
      </c>
      <c r="O279" s="501">
        <v>81.520430790000006</v>
      </c>
    </row>
    <row r="280" spans="1:35" ht="12.75">
      <c r="A280" s="331" t="s">
        <v>29</v>
      </c>
      <c r="B280" s="501">
        <v>29288.227327680001</v>
      </c>
      <c r="C280" s="501">
        <v>449.13973557000003</v>
      </c>
      <c r="D280" s="501">
        <v>24772.999937280001</v>
      </c>
      <c r="E280" s="501">
        <v>347.74381510000001</v>
      </c>
      <c r="F280" s="501">
        <v>4124.9867796400003</v>
      </c>
      <c r="G280" s="501">
        <v>87.706676470000005</v>
      </c>
      <c r="H280" s="501">
        <v>20648.013157640002</v>
      </c>
      <c r="I280" s="501">
        <v>260.03713863000002</v>
      </c>
      <c r="J280" s="501">
        <v>4515.2273904000003</v>
      </c>
      <c r="K280" s="501">
        <v>101.39592046999999</v>
      </c>
      <c r="L280" s="501">
        <v>789.71808405000002</v>
      </c>
      <c r="M280" s="501">
        <v>24.27745672</v>
      </c>
      <c r="N280" s="501">
        <v>3725.5093063499999</v>
      </c>
      <c r="O280" s="501">
        <v>77.118463750000004</v>
      </c>
    </row>
    <row r="281" spans="1:35" ht="12.75">
      <c r="A281" s="331" t="s">
        <v>4222</v>
      </c>
      <c r="B281" s="501"/>
      <c r="C281" s="501"/>
      <c r="D281" s="501"/>
      <c r="E281" s="501"/>
      <c r="F281" s="501"/>
      <c r="G281" s="501"/>
      <c r="H281" s="501"/>
      <c r="I281" s="501"/>
      <c r="J281" s="501"/>
      <c r="K281" s="501"/>
      <c r="L281" s="501"/>
      <c r="M281" s="501"/>
      <c r="N281" s="501"/>
      <c r="O281" s="501"/>
    </row>
    <row r="282" spans="1:35" ht="12.75">
      <c r="A282" s="331" t="s">
        <v>18</v>
      </c>
      <c r="B282" s="501">
        <v>29325.25269265</v>
      </c>
      <c r="C282" s="501">
        <v>475.08339328</v>
      </c>
      <c r="D282" s="501">
        <v>24890.347479529999</v>
      </c>
      <c r="E282" s="501">
        <v>369.05387346999998</v>
      </c>
      <c r="F282" s="501">
        <v>4105.8739798699999</v>
      </c>
      <c r="G282" s="501">
        <v>76.119052859999996</v>
      </c>
      <c r="H282" s="501">
        <v>20784.473499659998</v>
      </c>
      <c r="I282" s="501">
        <v>292.93482060999997</v>
      </c>
      <c r="J282" s="501">
        <v>4434.9052131199996</v>
      </c>
      <c r="K282" s="501">
        <v>106.02951981</v>
      </c>
      <c r="L282" s="501">
        <v>771.22179559000006</v>
      </c>
      <c r="M282" s="501">
        <v>27.7576021</v>
      </c>
      <c r="N282" s="501">
        <v>3663.68341753</v>
      </c>
      <c r="O282" s="501">
        <v>78.271917709999997</v>
      </c>
    </row>
    <row r="283" spans="1:35" ht="12.75">
      <c r="A283" s="331" t="s">
        <v>19</v>
      </c>
      <c r="B283" s="501">
        <v>29402.91989112</v>
      </c>
      <c r="C283" s="501">
        <v>480.14675621999999</v>
      </c>
      <c r="D283" s="501">
        <v>25055.001054150001</v>
      </c>
      <c r="E283" s="501">
        <v>377.39027275000001</v>
      </c>
      <c r="F283" s="501">
        <v>4080.66249595</v>
      </c>
      <c r="G283" s="501">
        <v>75.393529869999995</v>
      </c>
      <c r="H283" s="501">
        <v>20974.338558200001</v>
      </c>
      <c r="I283" s="501">
        <v>301.99674288</v>
      </c>
      <c r="J283" s="501">
        <v>4347.9188369699996</v>
      </c>
      <c r="K283" s="501">
        <v>102.75648347000001</v>
      </c>
      <c r="L283" s="501">
        <v>750.57077162999997</v>
      </c>
      <c r="M283" s="501">
        <v>24.238983919999999</v>
      </c>
      <c r="N283" s="501">
        <v>3597.3480653400002</v>
      </c>
      <c r="O283" s="501">
        <v>78.517499549999997</v>
      </c>
    </row>
    <row r="284" spans="1:35" ht="12.75">
      <c r="A284" s="331" t="s">
        <v>20</v>
      </c>
      <c r="B284" s="501">
        <v>29679.37509813</v>
      </c>
      <c r="C284" s="501">
        <v>481.55137305</v>
      </c>
      <c r="D284" s="501">
        <v>25287.427182949999</v>
      </c>
      <c r="E284" s="501">
        <v>383.32324929999999</v>
      </c>
      <c r="F284" s="501">
        <v>4147.0739613200003</v>
      </c>
      <c r="G284" s="501">
        <v>75.275105429999996</v>
      </c>
      <c r="H284" s="501">
        <v>21140.353221630001</v>
      </c>
      <c r="I284" s="501">
        <v>308.04814386999999</v>
      </c>
      <c r="J284" s="501">
        <v>4391.9479151799997</v>
      </c>
      <c r="K284" s="501">
        <v>98.228123749999995</v>
      </c>
      <c r="L284" s="501">
        <v>764.14570759000003</v>
      </c>
      <c r="M284" s="501">
        <v>21.970118410000001</v>
      </c>
      <c r="N284" s="501">
        <v>3627.8022075899999</v>
      </c>
      <c r="O284" s="501">
        <v>76.258005339999997</v>
      </c>
    </row>
    <row r="285" spans="1:35" ht="12.75">
      <c r="A285" s="331" t="s">
        <v>21</v>
      </c>
      <c r="B285" s="501">
        <v>29898.773418969999</v>
      </c>
      <c r="C285" s="501">
        <v>502.60593611000002</v>
      </c>
      <c r="D285" s="501">
        <v>25553.898530900002</v>
      </c>
      <c r="E285" s="501">
        <v>404.73874255999999</v>
      </c>
      <c r="F285" s="501">
        <v>4129.9156296199999</v>
      </c>
      <c r="G285" s="501">
        <v>81.703665360000002</v>
      </c>
      <c r="H285" s="501">
        <v>21423.98290128</v>
      </c>
      <c r="I285" s="501">
        <v>323.03507719999999</v>
      </c>
      <c r="J285" s="501">
        <v>4344.8748880700005</v>
      </c>
      <c r="K285" s="501">
        <v>97.867193549999996</v>
      </c>
      <c r="L285" s="501">
        <v>722.82011519000002</v>
      </c>
      <c r="M285" s="501">
        <v>21.780581160000001</v>
      </c>
      <c r="N285" s="501">
        <v>3622.0547728800002</v>
      </c>
      <c r="O285" s="501">
        <v>76.086612389999999</v>
      </c>
    </row>
    <row r="286" spans="1:35" ht="12.75">
      <c r="A286" s="502" t="s">
        <v>22</v>
      </c>
      <c r="B286" s="1244">
        <v>30188.759704479999</v>
      </c>
      <c r="C286" s="1244">
        <v>508.31303802999997</v>
      </c>
      <c r="D286" s="1244">
        <v>25905.124317950002</v>
      </c>
      <c r="E286" s="1244">
        <v>413.45249242</v>
      </c>
      <c r="F286" s="1244">
        <v>4282.1272783900004</v>
      </c>
      <c r="G286" s="1244">
        <v>86.889085300000005</v>
      </c>
      <c r="H286" s="1244">
        <v>21622.997039559999</v>
      </c>
      <c r="I286" s="1244">
        <v>326.56340712000002</v>
      </c>
      <c r="J286" s="1244">
        <v>4283.6353865299998</v>
      </c>
      <c r="K286" s="1244">
        <v>94.860545610000003</v>
      </c>
      <c r="L286" s="1244">
        <v>674.35703154999999</v>
      </c>
      <c r="M286" s="1244">
        <v>20.463180300000001</v>
      </c>
      <c r="N286" s="1244">
        <v>3609.2783549800001</v>
      </c>
      <c r="O286" s="1244">
        <v>74.397365309999998</v>
      </c>
    </row>
    <row r="287" spans="1:35" s="790" customFormat="1" ht="13.5" customHeight="1">
      <c r="A287" s="2376" t="s">
        <v>2712</v>
      </c>
      <c r="B287" s="2376"/>
      <c r="C287" s="2376"/>
      <c r="D287" s="2376"/>
      <c r="E287" s="2376"/>
      <c r="F287" s="2376"/>
      <c r="G287" s="2376"/>
      <c r="H287" s="2376"/>
      <c r="I287" s="2376"/>
      <c r="J287" s="2376"/>
      <c r="K287" s="2376"/>
      <c r="L287" s="2376"/>
      <c r="M287" s="2376"/>
      <c r="N287" s="2376"/>
      <c r="O287" s="2376"/>
      <c r="P287" s="2376"/>
      <c r="Q287" s="2376"/>
      <c r="R287" s="2376"/>
      <c r="S287" s="2376"/>
      <c r="T287" s="2376"/>
      <c r="U287" s="2376"/>
      <c r="V287" s="2376"/>
      <c r="W287" s="2376"/>
      <c r="X287" s="2376"/>
      <c r="Y287" s="2376"/>
      <c r="Z287" s="2376"/>
      <c r="AA287" s="2376"/>
      <c r="AB287" s="2376"/>
      <c r="AC287" s="2376"/>
      <c r="AD287" s="2376"/>
      <c r="AE287" s="2376"/>
      <c r="AF287" s="2376"/>
      <c r="AG287" s="2376"/>
      <c r="AH287" s="2376"/>
      <c r="AI287" s="2376"/>
    </row>
    <row r="288" spans="1:35" s="790" customFormat="1" ht="13.5" customHeight="1">
      <c r="A288" s="2336" t="s">
        <v>2692</v>
      </c>
      <c r="B288" s="2336"/>
      <c r="C288" s="2336"/>
      <c r="D288" s="2336"/>
      <c r="E288" s="2336"/>
      <c r="F288" s="2336"/>
      <c r="G288" s="2336"/>
      <c r="H288" s="2336"/>
      <c r="I288" s="2336"/>
      <c r="J288" s="2336"/>
      <c r="K288" s="2336"/>
      <c r="L288" s="2336"/>
      <c r="M288" s="2336"/>
      <c r="N288" s="2336"/>
      <c r="O288" s="2336"/>
      <c r="P288" s="2336"/>
      <c r="Q288" s="2336"/>
      <c r="R288" s="2336"/>
      <c r="S288" s="2336"/>
      <c r="T288" s="2336"/>
      <c r="U288" s="2336"/>
      <c r="V288" s="2336"/>
      <c r="W288" s="2336"/>
      <c r="X288" s="2336"/>
      <c r="Y288" s="2336"/>
      <c r="Z288" s="2336"/>
      <c r="AA288" s="2336"/>
      <c r="AB288" s="2336"/>
      <c r="AC288" s="2336"/>
      <c r="AD288" s="2336"/>
      <c r="AE288" s="2336"/>
      <c r="AF288" s="2336"/>
      <c r="AG288" s="2336"/>
      <c r="AH288" s="2336"/>
      <c r="AI288" s="2336"/>
    </row>
    <row r="289" spans="2:8" ht="12.75">
      <c r="B289" s="1859"/>
      <c r="C289" s="1859"/>
      <c r="H289" s="96"/>
    </row>
    <row r="290" spans="2:8" ht="12.75">
      <c r="B290" s="1355"/>
      <c r="C290" s="1424"/>
    </row>
    <row r="291" spans="2:8" ht="12.75">
      <c r="B291" s="1859"/>
      <c r="C291" s="1859"/>
      <c r="G291" s="228"/>
      <c r="H291" s="228"/>
    </row>
    <row r="292" spans="2:8" ht="12.75"/>
    <row r="293" spans="2:8" ht="12.75"/>
    <row r="294" spans="2:8" ht="12.75"/>
    <row r="295" spans="2:8" ht="12.75"/>
    <row r="296" spans="2:8" ht="12.75"/>
    <row r="297" spans="2:8" ht="12.75"/>
    <row r="298" spans="2:8" ht="12.75"/>
    <row r="299" spans="2:8" ht="12.75"/>
    <row r="300" spans="2:8" ht="12.75"/>
    <row r="301" spans="2:8" ht="12.75"/>
    <row r="302" spans="2:8" ht="12.75"/>
    <row r="303" spans="2:8" ht="12.75"/>
    <row r="304" spans="2:8" ht="12.75"/>
    <row r="305" ht="12.75"/>
    <row r="306" ht="12.75"/>
    <row r="307" ht="12.75"/>
    <row r="308" ht="12.75"/>
    <row r="309" ht="12.75"/>
    <row r="310" ht="12.75"/>
    <row r="311" ht="12.75"/>
    <row r="312" ht="12.75"/>
    <row r="313" ht="12.75"/>
    <row r="314" ht="12.75"/>
    <row r="315" ht="12.75"/>
    <row r="316" ht="12.75"/>
    <row r="317" ht="12.75"/>
    <row r="318" ht="12.75"/>
    <row r="319" ht="12.75"/>
    <row r="320" ht="12.75"/>
    <row r="321" ht="12.75"/>
    <row r="322" ht="12.75"/>
    <row r="323" ht="12.75"/>
    <row r="324" ht="12.75"/>
    <row r="325" ht="12.75"/>
    <row r="326" ht="12.75"/>
    <row r="327" ht="12.75"/>
    <row r="328" ht="12.75"/>
    <row r="329" ht="12.75"/>
  </sheetData>
  <mergeCells count="41">
    <mergeCell ref="C10:C11"/>
    <mergeCell ref="D10:I10"/>
    <mergeCell ref="H7:H9"/>
    <mergeCell ref="O12:O13"/>
    <mergeCell ref="L11:L13"/>
    <mergeCell ref="N11:N13"/>
    <mergeCell ref="M8:M9"/>
    <mergeCell ref="H11:H13"/>
    <mergeCell ref="J11:J13"/>
    <mergeCell ref="A5:O5"/>
    <mergeCell ref="C12:C13"/>
    <mergeCell ref="E12:E13"/>
    <mergeCell ref="G12:G13"/>
    <mergeCell ref="I12:I13"/>
    <mergeCell ref="K12:K13"/>
    <mergeCell ref="M12:M13"/>
    <mergeCell ref="J10:O10"/>
    <mergeCell ref="D11:D13"/>
    <mergeCell ref="F11:F13"/>
    <mergeCell ref="O8:O9"/>
    <mergeCell ref="A10:A13"/>
    <mergeCell ref="B10:B13"/>
    <mergeCell ref="G8:G9"/>
    <mergeCell ref="I8:I9"/>
    <mergeCell ref="K8:K9"/>
    <mergeCell ref="A287:AI287"/>
    <mergeCell ref="A288:AI288"/>
    <mergeCell ref="A2:O2"/>
    <mergeCell ref="A3:O3"/>
    <mergeCell ref="A6:A9"/>
    <mergeCell ref="B6:B9"/>
    <mergeCell ref="C6:C7"/>
    <mergeCell ref="D6:I6"/>
    <mergeCell ref="J6:O6"/>
    <mergeCell ref="D7:D9"/>
    <mergeCell ref="F7:F9"/>
    <mergeCell ref="J7:J9"/>
    <mergeCell ref="L7:L9"/>
    <mergeCell ref="N7:N9"/>
    <mergeCell ref="C8:C9"/>
    <mergeCell ref="E8:E9"/>
  </mergeCells>
  <pageMargins left="0.18" right="0.17" top="0.75" bottom="0.75" header="0.3" footer="0.3"/>
  <pageSetup scale="20" orientation="landscape" r:id="rId1"/>
  <ignoredErrors>
    <ignoredError sqref="A230:A239 A217:A228" numberStoredAsText="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5">
    <tabColor rgb="FF92D050"/>
  </sheetPr>
  <dimension ref="A1:CJ127"/>
  <sheetViews>
    <sheetView showGridLines="0" view="pageBreakPreview" zoomScaleSheetLayoutView="100" workbookViewId="0">
      <pane ySplit="13" topLeftCell="A65" activePane="bottomLeft" state="frozen"/>
      <selection activeCell="B39" sqref="B39"/>
      <selection pane="bottomLeft" activeCell="J91" sqref="J91"/>
    </sheetView>
  </sheetViews>
  <sheetFormatPr defaultColWidth="8.85546875" defaultRowHeight="12" customHeight="1"/>
  <cols>
    <col min="1" max="1" width="8" style="983" customWidth="1"/>
    <col min="2" max="3" width="12.7109375" style="983" customWidth="1"/>
    <col min="4" max="4" width="12.7109375" style="988" customWidth="1"/>
    <col min="5" max="5" width="12.5703125" style="983" bestFit="1" customWidth="1"/>
    <col min="6" max="6" width="10.85546875" style="983" customWidth="1"/>
    <col min="7" max="7" width="11.7109375" style="988" customWidth="1"/>
    <col min="8" max="8" width="7.5703125" style="983" customWidth="1"/>
    <col min="9" max="10" width="11.7109375" style="983" customWidth="1"/>
    <col min="11" max="11" width="7.5703125" style="983" customWidth="1"/>
    <col min="12" max="13" width="11.7109375" style="983" customWidth="1"/>
    <col min="14" max="14" width="7.5703125" style="983" customWidth="1"/>
    <col min="15" max="16" width="11.7109375" style="983" customWidth="1"/>
    <col min="17" max="17" width="7.5703125" style="983" customWidth="1"/>
    <col min="18" max="19" width="11.7109375" style="983" customWidth="1"/>
    <col min="20" max="20" width="7.5703125" style="983" customWidth="1"/>
    <col min="21" max="22" width="11.7109375" style="983" customWidth="1"/>
    <col min="23" max="23" width="8.85546875" style="983" customWidth="1"/>
    <col min="24" max="24" width="11.5703125" style="983" customWidth="1"/>
    <col min="25" max="85" width="8.85546875" style="983" customWidth="1"/>
    <col min="86" max="86" width="8.85546875" style="983" hidden="1" customWidth="1"/>
    <col min="87" max="258" width="8.85546875" style="983" customWidth="1"/>
    <col min="259" max="259" width="7.7109375" style="983" customWidth="1"/>
    <col min="260" max="260" width="12.7109375" style="983" customWidth="1"/>
    <col min="261" max="261" width="11" style="983" customWidth="1"/>
    <col min="262" max="16384" width="8.85546875" style="983"/>
  </cols>
  <sheetData>
    <row r="1" spans="1:88" s="982" customFormat="1" ht="12" customHeight="1"/>
    <row r="2" spans="1:88" ht="19.5" customHeight="1">
      <c r="A2" s="2406" t="s">
        <v>2984</v>
      </c>
      <c r="B2" s="2406"/>
      <c r="C2" s="2406"/>
      <c r="D2" s="2406"/>
      <c r="E2" s="2406"/>
      <c r="F2" s="2406"/>
      <c r="G2" s="2406"/>
      <c r="H2" s="2406"/>
      <c r="I2" s="2406"/>
      <c r="J2" s="2406"/>
      <c r="K2" s="2406"/>
      <c r="L2" s="2406"/>
      <c r="M2" s="2406"/>
      <c r="N2" s="2406"/>
      <c r="O2" s="2406"/>
      <c r="P2" s="2406"/>
      <c r="Q2" s="2406"/>
      <c r="R2" s="2406"/>
      <c r="S2" s="2406"/>
      <c r="T2" s="2406"/>
      <c r="U2" s="2406"/>
      <c r="V2" s="2406"/>
    </row>
    <row r="3" spans="1:88" ht="22.5" customHeight="1">
      <c r="A3" s="2407" t="s">
        <v>2985</v>
      </c>
      <c r="B3" s="2407"/>
      <c r="C3" s="2407"/>
      <c r="D3" s="2407"/>
      <c r="E3" s="2407"/>
      <c r="F3" s="2407"/>
      <c r="G3" s="2407"/>
      <c r="H3" s="2407"/>
      <c r="I3" s="2407"/>
      <c r="J3" s="2407"/>
      <c r="K3" s="2407"/>
      <c r="L3" s="2407"/>
      <c r="M3" s="2407"/>
      <c r="N3" s="2407"/>
      <c r="O3" s="2407"/>
      <c r="P3" s="2407"/>
      <c r="Q3" s="2407"/>
      <c r="R3" s="2407"/>
      <c r="S3" s="2407"/>
      <c r="T3" s="2407"/>
      <c r="U3" s="2407"/>
      <c r="V3" s="2407"/>
    </row>
    <row r="4" spans="1:88" ht="10.5" customHeight="1">
      <c r="A4" s="984"/>
      <c r="B4" s="984"/>
      <c r="C4" s="984"/>
      <c r="D4" s="984"/>
      <c r="E4" s="984"/>
      <c r="F4" s="984"/>
      <c r="G4" s="984"/>
      <c r="H4" s="984"/>
      <c r="I4" s="984"/>
      <c r="J4" s="984"/>
      <c r="K4" s="984"/>
      <c r="L4" s="984"/>
      <c r="M4" s="984"/>
      <c r="N4" s="984"/>
      <c r="O4" s="984"/>
      <c r="P4" s="984"/>
      <c r="Q4" s="984"/>
      <c r="R4" s="984"/>
      <c r="S4" s="984"/>
      <c r="T4" s="984"/>
      <c r="U4" s="984"/>
      <c r="V4" s="984"/>
    </row>
    <row r="5" spans="1:88" ht="10.5" customHeight="1">
      <c r="A5" s="985"/>
      <c r="B5" s="985"/>
      <c r="C5" s="985"/>
      <c r="D5" s="985"/>
      <c r="E5" s="985"/>
      <c r="F5" s="985"/>
      <c r="G5" s="985"/>
      <c r="H5" s="985"/>
      <c r="I5" s="985"/>
      <c r="J5" s="985"/>
      <c r="K5" s="985"/>
      <c r="L5" s="985"/>
      <c r="M5" s="985"/>
      <c r="N5" s="985"/>
      <c r="O5" s="985"/>
      <c r="P5" s="985"/>
      <c r="Q5" s="985"/>
      <c r="R5" s="985"/>
      <c r="S5" s="985"/>
      <c r="T5" s="985"/>
      <c r="U5" s="985"/>
      <c r="V5" s="985" t="s">
        <v>8</v>
      </c>
    </row>
    <row r="6" spans="1:88" s="986" customFormat="1" ht="21" customHeight="1">
      <c r="A6" s="2408" t="s">
        <v>182</v>
      </c>
      <c r="B6" s="2409" t="s">
        <v>2986</v>
      </c>
      <c r="C6" s="2392"/>
      <c r="D6" s="2394" t="s">
        <v>2988</v>
      </c>
      <c r="E6" s="2411" t="s">
        <v>2770</v>
      </c>
      <c r="F6" s="2412"/>
      <c r="G6" s="2412"/>
      <c r="H6" s="2412"/>
      <c r="I6" s="2412"/>
      <c r="J6" s="2412"/>
      <c r="K6" s="2412"/>
      <c r="L6" s="2412"/>
      <c r="M6" s="2412"/>
      <c r="N6" s="2411" t="s">
        <v>2769</v>
      </c>
      <c r="O6" s="2412"/>
      <c r="P6" s="2412"/>
      <c r="Q6" s="2412"/>
      <c r="R6" s="2412"/>
      <c r="S6" s="2412"/>
      <c r="T6" s="2412"/>
      <c r="U6" s="2412"/>
      <c r="V6" s="2412"/>
      <c r="CI6" s="986" t="s">
        <v>2062</v>
      </c>
      <c r="CJ6" s="987" t="s">
        <v>2063</v>
      </c>
    </row>
    <row r="7" spans="1:88" s="986" customFormat="1" ht="17.25" customHeight="1">
      <c r="A7" s="2408"/>
      <c r="B7" s="2410"/>
      <c r="C7" s="2393"/>
      <c r="D7" s="2403"/>
      <c r="E7" s="2404" t="s">
        <v>143</v>
      </c>
      <c r="F7" s="2405"/>
      <c r="G7" s="2394" t="s">
        <v>2988</v>
      </c>
      <c r="H7" s="2404" t="s">
        <v>146</v>
      </c>
      <c r="I7" s="2405"/>
      <c r="J7" s="2394" t="s">
        <v>2988</v>
      </c>
      <c r="K7" s="2404" t="s">
        <v>147</v>
      </c>
      <c r="L7" s="2405"/>
      <c r="M7" s="2394" t="s">
        <v>2988</v>
      </c>
      <c r="N7" s="2404" t="s">
        <v>143</v>
      </c>
      <c r="O7" s="2405"/>
      <c r="P7" s="2394" t="s">
        <v>2988</v>
      </c>
      <c r="Q7" s="2404" t="s">
        <v>146</v>
      </c>
      <c r="R7" s="2405"/>
      <c r="S7" s="2394" t="s">
        <v>2988</v>
      </c>
      <c r="T7" s="2404" t="s">
        <v>147</v>
      </c>
      <c r="U7" s="2405"/>
      <c r="V7" s="2394" t="s">
        <v>2988</v>
      </c>
      <c r="CE7" s="986" t="e">
        <f>CE9+#REF!+#REF!+#REF!</f>
        <v>#REF!</v>
      </c>
      <c r="CI7" s="986" t="e">
        <f>CI9+#REF!+#REF!+#REF!</f>
        <v>#REF!</v>
      </c>
      <c r="CJ7" s="987" t="e">
        <f>CE7+CF7+CG7+CI7</f>
        <v>#REF!</v>
      </c>
    </row>
    <row r="8" spans="1:88" s="986" customFormat="1" ht="15" customHeight="1">
      <c r="A8" s="2408"/>
      <c r="B8" s="2394" t="s">
        <v>2971</v>
      </c>
      <c r="C8" s="2394" t="s">
        <v>2977</v>
      </c>
      <c r="D8" s="2403"/>
      <c r="E8" s="2394" t="s">
        <v>2971</v>
      </c>
      <c r="F8" s="2394" t="s">
        <v>2977</v>
      </c>
      <c r="G8" s="2403"/>
      <c r="H8" s="2394" t="s">
        <v>2971</v>
      </c>
      <c r="I8" s="2394" t="s">
        <v>2977</v>
      </c>
      <c r="J8" s="2403"/>
      <c r="K8" s="2394" t="s">
        <v>2971</v>
      </c>
      <c r="L8" s="2392" t="s">
        <v>2977</v>
      </c>
      <c r="M8" s="2403"/>
      <c r="N8" s="2394" t="s">
        <v>2971</v>
      </c>
      <c r="O8" s="2392" t="s">
        <v>2977</v>
      </c>
      <c r="P8" s="2403"/>
      <c r="Q8" s="2394" t="s">
        <v>2971</v>
      </c>
      <c r="R8" s="2392" t="s">
        <v>2977</v>
      </c>
      <c r="S8" s="2403"/>
      <c r="T8" s="2394" t="s">
        <v>2971</v>
      </c>
      <c r="U8" s="2392" t="s">
        <v>2977</v>
      </c>
      <c r="V8" s="2403"/>
      <c r="CJ8" s="987"/>
    </row>
    <row r="9" spans="1:88" s="986" customFormat="1" ht="15" customHeight="1">
      <c r="A9" s="2408"/>
      <c r="B9" s="2395"/>
      <c r="C9" s="2395"/>
      <c r="D9" s="2395"/>
      <c r="E9" s="2395"/>
      <c r="F9" s="2395"/>
      <c r="G9" s="2395"/>
      <c r="H9" s="2395"/>
      <c r="I9" s="2395"/>
      <c r="J9" s="2395"/>
      <c r="K9" s="2395"/>
      <c r="L9" s="2393"/>
      <c r="M9" s="2395"/>
      <c r="N9" s="2395"/>
      <c r="O9" s="2393"/>
      <c r="P9" s="2395"/>
      <c r="Q9" s="2395"/>
      <c r="R9" s="2393"/>
      <c r="S9" s="2395"/>
      <c r="T9" s="2395"/>
      <c r="U9" s="2393"/>
      <c r="V9" s="2395"/>
      <c r="CI9" s="986" t="e">
        <f>CI11+#REF!</f>
        <v>#REF!</v>
      </c>
      <c r="CJ9" s="987" t="e">
        <f>CE9+CF9+CG9+CI9</f>
        <v>#REF!</v>
      </c>
    </row>
    <row r="10" spans="1:88" ht="12.75" customHeight="1">
      <c r="A10" s="2396" t="s">
        <v>289</v>
      </c>
      <c r="B10" s="2397" t="s">
        <v>1156</v>
      </c>
      <c r="C10" s="2398"/>
      <c r="D10" s="2386" t="s">
        <v>2989</v>
      </c>
      <c r="E10" s="2401" t="s">
        <v>1198</v>
      </c>
      <c r="F10" s="2401"/>
      <c r="G10" s="2401"/>
      <c r="H10" s="2402"/>
      <c r="I10" s="2402"/>
      <c r="J10" s="2402"/>
      <c r="K10" s="2402"/>
      <c r="L10" s="2402"/>
      <c r="M10" s="2402"/>
      <c r="N10" s="2401" t="s">
        <v>1199</v>
      </c>
      <c r="O10" s="2401"/>
      <c r="P10" s="2401"/>
      <c r="Q10" s="2401"/>
      <c r="R10" s="2401"/>
      <c r="S10" s="2401"/>
      <c r="T10" s="2401"/>
      <c r="U10" s="2401"/>
      <c r="V10" s="2401"/>
      <c r="CJ10" s="988"/>
    </row>
    <row r="11" spans="1:88" ht="12.75" customHeight="1">
      <c r="A11" s="2396"/>
      <c r="B11" s="2399"/>
      <c r="C11" s="2400"/>
      <c r="D11" s="2391"/>
      <c r="E11" s="2389" t="s">
        <v>1156</v>
      </c>
      <c r="F11" s="2390"/>
      <c r="G11" s="2386" t="s">
        <v>2989</v>
      </c>
      <c r="H11" s="2389" t="s">
        <v>1158</v>
      </c>
      <c r="I11" s="2390"/>
      <c r="J11" s="2386" t="s">
        <v>2989</v>
      </c>
      <c r="K11" s="2389" t="s">
        <v>1157</v>
      </c>
      <c r="L11" s="2390"/>
      <c r="M11" s="2386" t="s">
        <v>2989</v>
      </c>
      <c r="N11" s="2389" t="s">
        <v>1159</v>
      </c>
      <c r="O11" s="2390"/>
      <c r="P11" s="2386" t="s">
        <v>2989</v>
      </c>
      <c r="Q11" s="2389" t="s">
        <v>1158</v>
      </c>
      <c r="R11" s="2390"/>
      <c r="S11" s="2386" t="s">
        <v>2989</v>
      </c>
      <c r="T11" s="2389" t="s">
        <v>1157</v>
      </c>
      <c r="U11" s="2390"/>
      <c r="V11" s="2386" t="s">
        <v>2989</v>
      </c>
      <c r="CI11" s="983" t="e">
        <f>CI13+#REF!</f>
        <v>#REF!</v>
      </c>
      <c r="CJ11" s="988" t="e">
        <f>CE11+CF11+CG11+CI11</f>
        <v>#REF!</v>
      </c>
    </row>
    <row r="12" spans="1:88" ht="12.75">
      <c r="A12" s="2396"/>
      <c r="B12" s="2386" t="s">
        <v>2971</v>
      </c>
      <c r="C12" s="2386" t="s">
        <v>2970</v>
      </c>
      <c r="D12" s="2391"/>
      <c r="E12" s="2386" t="s">
        <v>2971</v>
      </c>
      <c r="F12" s="2386" t="s">
        <v>2970</v>
      </c>
      <c r="G12" s="2391"/>
      <c r="H12" s="2386" t="s">
        <v>2971</v>
      </c>
      <c r="I12" s="2386" t="s">
        <v>2970</v>
      </c>
      <c r="J12" s="2391"/>
      <c r="K12" s="2386" t="s">
        <v>2971</v>
      </c>
      <c r="L12" s="2386" t="s">
        <v>2970</v>
      </c>
      <c r="M12" s="2391"/>
      <c r="N12" s="2386" t="s">
        <v>2971</v>
      </c>
      <c r="O12" s="2386" t="s">
        <v>2970</v>
      </c>
      <c r="P12" s="2391"/>
      <c r="Q12" s="2386" t="s">
        <v>2971</v>
      </c>
      <c r="R12" s="2386" t="s">
        <v>2970</v>
      </c>
      <c r="S12" s="2391"/>
      <c r="T12" s="2386" t="s">
        <v>2971</v>
      </c>
      <c r="U12" s="2386" t="s">
        <v>2970</v>
      </c>
      <c r="V12" s="2391"/>
      <c r="CJ12" s="988"/>
    </row>
    <row r="13" spans="1:88" ht="12.75">
      <c r="A13" s="2396"/>
      <c r="B13" s="2387"/>
      <c r="C13" s="2387"/>
      <c r="D13" s="2387"/>
      <c r="E13" s="2387"/>
      <c r="F13" s="2387"/>
      <c r="G13" s="2391"/>
      <c r="H13" s="2387"/>
      <c r="I13" s="2387"/>
      <c r="J13" s="2391"/>
      <c r="K13" s="2387"/>
      <c r="L13" s="2387"/>
      <c r="M13" s="2391"/>
      <c r="N13" s="2387"/>
      <c r="O13" s="2387"/>
      <c r="P13" s="2391"/>
      <c r="Q13" s="2387"/>
      <c r="R13" s="2387"/>
      <c r="S13" s="2391"/>
      <c r="T13" s="2387"/>
      <c r="U13" s="2387"/>
      <c r="V13" s="2391"/>
      <c r="CI13" s="983">
        <v>3917</v>
      </c>
      <c r="CJ13" s="988">
        <f>CE13+CF13+CG13+CI13</f>
        <v>3917</v>
      </c>
    </row>
    <row r="14" spans="1:88" ht="12.75">
      <c r="A14" s="989" t="s">
        <v>2375</v>
      </c>
      <c r="B14" s="990"/>
      <c r="C14" s="990"/>
      <c r="D14" s="991"/>
      <c r="E14" s="990"/>
      <c r="F14" s="990"/>
      <c r="G14" s="990"/>
      <c r="H14" s="990"/>
      <c r="I14" s="990"/>
      <c r="J14" s="990"/>
      <c r="K14" s="990"/>
      <c r="L14" s="990"/>
      <c r="M14" s="990"/>
      <c r="N14" s="990"/>
      <c r="O14" s="990"/>
      <c r="P14" s="990"/>
      <c r="Q14" s="990"/>
      <c r="R14" s="990"/>
      <c r="S14" s="990"/>
      <c r="T14" s="990"/>
      <c r="U14" s="990"/>
      <c r="V14" s="990"/>
    </row>
    <row r="15" spans="1:88" ht="12.75">
      <c r="A15" s="989" t="s">
        <v>18</v>
      </c>
      <c r="B15" s="990">
        <v>15116.362612110001</v>
      </c>
      <c r="C15" s="990">
        <v>397.24756631999998</v>
      </c>
      <c r="D15" s="991">
        <v>1306.8619599599999</v>
      </c>
      <c r="E15" s="992">
        <v>9658.2997291400006</v>
      </c>
      <c r="F15" s="992">
        <v>349.08755724000002</v>
      </c>
      <c r="G15" s="992">
        <v>728.38359565999986</v>
      </c>
      <c r="H15" s="992">
        <v>1532.6779413299996</v>
      </c>
      <c r="I15" s="992">
        <v>109.57917195</v>
      </c>
      <c r="J15" s="992">
        <v>108.91512322999999</v>
      </c>
      <c r="K15" s="992">
        <v>8125.6217878100024</v>
      </c>
      <c r="L15" s="992">
        <v>239.50838529000001</v>
      </c>
      <c r="M15" s="992">
        <v>619.46847243000002</v>
      </c>
      <c r="N15" s="992">
        <v>5458.0628829699999</v>
      </c>
      <c r="O15" s="992">
        <v>48.160009080000002</v>
      </c>
      <c r="P15" s="992">
        <v>578.47836429999995</v>
      </c>
      <c r="Q15" s="992">
        <v>1204.7457811599998</v>
      </c>
      <c r="R15" s="992">
        <v>6.9372089900000002</v>
      </c>
      <c r="S15" s="992">
        <v>124.66481515000001</v>
      </c>
      <c r="T15" s="992">
        <v>4253.3171018100002</v>
      </c>
      <c r="U15" s="992">
        <v>41.22280009</v>
      </c>
      <c r="V15" s="992">
        <v>453.81354914999997</v>
      </c>
      <c r="W15" s="993"/>
      <c r="X15" s="994"/>
    </row>
    <row r="16" spans="1:88" ht="12.75">
      <c r="A16" s="989" t="s">
        <v>19</v>
      </c>
      <c r="B16" s="990">
        <v>15299.112281839998</v>
      </c>
      <c r="C16" s="990">
        <v>397.24756631999998</v>
      </c>
      <c r="D16" s="991">
        <v>1297.7919746600001</v>
      </c>
      <c r="E16" s="992">
        <v>9848.2798225300012</v>
      </c>
      <c r="F16" s="992">
        <v>349.08755724000002</v>
      </c>
      <c r="G16" s="992">
        <v>730.08705178000014</v>
      </c>
      <c r="H16" s="992">
        <v>1578.4405291600001</v>
      </c>
      <c r="I16" s="992">
        <v>109.57917195</v>
      </c>
      <c r="J16" s="992">
        <v>108.03263208000003</v>
      </c>
      <c r="K16" s="992">
        <v>8269.8392933700015</v>
      </c>
      <c r="L16" s="992">
        <v>239.50838529000001</v>
      </c>
      <c r="M16" s="992">
        <v>622.05441970000015</v>
      </c>
      <c r="N16" s="992">
        <v>5450.8324593099996</v>
      </c>
      <c r="O16" s="992">
        <v>48.160009080000002</v>
      </c>
      <c r="P16" s="992">
        <v>567.70492288000003</v>
      </c>
      <c r="Q16" s="992">
        <v>1206.5495221599997</v>
      </c>
      <c r="R16" s="992">
        <v>6.9372089900000002</v>
      </c>
      <c r="S16" s="992">
        <v>124.04899418000002</v>
      </c>
      <c r="T16" s="992">
        <v>4244.2829371500002</v>
      </c>
      <c r="U16" s="992">
        <v>41.22280009</v>
      </c>
      <c r="V16" s="992">
        <v>443.65592869999995</v>
      </c>
      <c r="W16" s="993"/>
      <c r="X16" s="994"/>
    </row>
    <row r="17" spans="1:24" ht="12.75">
      <c r="A17" s="989" t="s">
        <v>20</v>
      </c>
      <c r="B17" s="990">
        <v>15232.734333029999</v>
      </c>
      <c r="C17" s="990">
        <v>404.68545768000001</v>
      </c>
      <c r="D17" s="991">
        <v>1386.7515801299999</v>
      </c>
      <c r="E17" s="992">
        <v>10086.868844390001</v>
      </c>
      <c r="F17" s="992">
        <v>356.73038116999999</v>
      </c>
      <c r="G17" s="992">
        <v>777.79502507000007</v>
      </c>
      <c r="H17" s="992">
        <v>1679.1181235700001</v>
      </c>
      <c r="I17" s="992">
        <v>117.89394045</v>
      </c>
      <c r="J17" s="992">
        <v>116.90400399000002</v>
      </c>
      <c r="K17" s="992">
        <v>8407.7507208200004</v>
      </c>
      <c r="L17" s="992">
        <v>238.83644072000001</v>
      </c>
      <c r="M17" s="992">
        <v>660.89102108000009</v>
      </c>
      <c r="N17" s="992">
        <v>5145.8654886399991</v>
      </c>
      <c r="O17" s="992">
        <v>47.955076509999998</v>
      </c>
      <c r="P17" s="992">
        <v>608.95655505999991</v>
      </c>
      <c r="Q17" s="992">
        <v>997.00011630999995</v>
      </c>
      <c r="R17" s="992">
        <v>6.5211274299999999</v>
      </c>
      <c r="S17" s="992">
        <v>165.40259683000002</v>
      </c>
      <c r="T17" s="992">
        <v>4148.8653723299994</v>
      </c>
      <c r="U17" s="992">
        <v>41.433949079999998</v>
      </c>
      <c r="V17" s="992">
        <v>443.55395822999992</v>
      </c>
      <c r="W17" s="993"/>
      <c r="X17" s="994"/>
    </row>
    <row r="18" spans="1:24" ht="12.75">
      <c r="A18" s="989" t="s">
        <v>21</v>
      </c>
      <c r="B18" s="990">
        <v>14742.1</v>
      </c>
      <c r="C18" s="990">
        <v>404.68545768000001</v>
      </c>
      <c r="D18" s="991">
        <v>1232.4418596000003</v>
      </c>
      <c r="E18" s="992">
        <v>9822.422013389998</v>
      </c>
      <c r="F18" s="992">
        <v>356.73038116999999</v>
      </c>
      <c r="G18" s="992">
        <v>745.77714110000011</v>
      </c>
      <c r="H18" s="992">
        <v>1684.2676135699999</v>
      </c>
      <c r="I18" s="992">
        <v>117.89394045</v>
      </c>
      <c r="J18" s="992">
        <v>128.16530624000001</v>
      </c>
      <c r="K18" s="992">
        <v>8138.1543998199986</v>
      </c>
      <c r="L18" s="992">
        <v>238.83644072000001</v>
      </c>
      <c r="M18" s="992">
        <v>617.61183486000016</v>
      </c>
      <c r="N18" s="992">
        <v>4919.7403329999997</v>
      </c>
      <c r="O18" s="992">
        <v>47.955076509999998</v>
      </c>
      <c r="P18" s="992">
        <v>486.66471850000005</v>
      </c>
      <c r="Q18" s="992">
        <v>888.74897405999991</v>
      </c>
      <c r="R18" s="992">
        <v>6.5211274299999999</v>
      </c>
      <c r="S18" s="992">
        <v>72.324280580000021</v>
      </c>
      <c r="T18" s="992">
        <v>4030.9913589400003</v>
      </c>
      <c r="U18" s="992">
        <v>41.433949079999998</v>
      </c>
      <c r="V18" s="992">
        <v>414.34043792</v>
      </c>
      <c r="W18" s="993"/>
      <c r="X18" s="994"/>
    </row>
    <row r="19" spans="1:24" ht="12.75">
      <c r="A19" s="989" t="s">
        <v>22</v>
      </c>
      <c r="B19" s="990">
        <v>14361</v>
      </c>
      <c r="C19" s="990">
        <v>404.68545768000001</v>
      </c>
      <c r="D19" s="991">
        <v>1084.8214846800004</v>
      </c>
      <c r="E19" s="992">
        <v>9571.8026378300001</v>
      </c>
      <c r="F19" s="992">
        <v>356.73038116999999</v>
      </c>
      <c r="G19" s="992">
        <v>657.68580231000021</v>
      </c>
      <c r="H19" s="992">
        <v>1642.3892990499999</v>
      </c>
      <c r="I19" s="992">
        <v>117.89394045</v>
      </c>
      <c r="J19" s="992">
        <v>107.17698140000002</v>
      </c>
      <c r="K19" s="992">
        <v>7929.4133387800002</v>
      </c>
      <c r="L19" s="992">
        <v>238.83644072000001</v>
      </c>
      <c r="M19" s="992">
        <v>550.50882091000017</v>
      </c>
      <c r="N19" s="992">
        <v>4789.2187584700005</v>
      </c>
      <c r="O19" s="992">
        <v>47.955076509999998</v>
      </c>
      <c r="P19" s="992">
        <v>427.13568237000004</v>
      </c>
      <c r="Q19" s="992">
        <v>811.42906635999975</v>
      </c>
      <c r="R19" s="992">
        <v>6.5211274299999999</v>
      </c>
      <c r="S19" s="992">
        <v>62.438278789999991</v>
      </c>
      <c r="T19" s="992">
        <v>3977.7896921100005</v>
      </c>
      <c r="U19" s="992">
        <v>41.433949079999998</v>
      </c>
      <c r="V19" s="992">
        <v>364.69740358000007</v>
      </c>
      <c r="W19" s="993"/>
      <c r="X19" s="994"/>
    </row>
    <row r="20" spans="1:24" ht="12.75">
      <c r="A20" s="989" t="s">
        <v>23</v>
      </c>
      <c r="B20" s="990">
        <v>14169.792242039999</v>
      </c>
      <c r="C20" s="990">
        <v>380.86393447</v>
      </c>
      <c r="D20" s="991">
        <v>1065.5159760600002</v>
      </c>
      <c r="E20" s="992">
        <v>9566.3729760900005</v>
      </c>
      <c r="F20" s="992">
        <v>331.38992697999998</v>
      </c>
      <c r="G20" s="992">
        <v>656.19959554000002</v>
      </c>
      <c r="H20" s="992">
        <v>1625.1390521700002</v>
      </c>
      <c r="I20" s="992">
        <v>113.02238471</v>
      </c>
      <c r="J20" s="992">
        <v>104.21832792000001</v>
      </c>
      <c r="K20" s="992">
        <v>7941.2339239200001</v>
      </c>
      <c r="L20" s="992">
        <v>218.36754227</v>
      </c>
      <c r="M20" s="992">
        <v>551.98126762000004</v>
      </c>
      <c r="N20" s="992">
        <v>4603.4192659500013</v>
      </c>
      <c r="O20" s="992">
        <v>49.474007489999998</v>
      </c>
      <c r="P20" s="992">
        <v>409.31638052</v>
      </c>
      <c r="Q20" s="992">
        <v>748.94647368000017</v>
      </c>
      <c r="R20" s="992">
        <v>6.3762933799999999</v>
      </c>
      <c r="S20" s="992">
        <v>51.728728400000001</v>
      </c>
      <c r="T20" s="992">
        <v>3854.4727922700008</v>
      </c>
      <c r="U20" s="992">
        <v>43.097714109999998</v>
      </c>
      <c r="V20" s="992">
        <v>357.58765212000003</v>
      </c>
      <c r="W20" s="993"/>
      <c r="X20" s="994"/>
    </row>
    <row r="21" spans="1:24" ht="12.75">
      <c r="A21" s="989" t="s">
        <v>24</v>
      </c>
      <c r="B21" s="990">
        <v>14204.45090082</v>
      </c>
      <c r="C21" s="990">
        <v>380.86393447</v>
      </c>
      <c r="D21" s="991">
        <v>1062.4228878200001</v>
      </c>
      <c r="E21" s="992">
        <v>9582.5581388200007</v>
      </c>
      <c r="F21" s="992">
        <v>331.38992697999998</v>
      </c>
      <c r="G21" s="992">
        <v>665.33593518999999</v>
      </c>
      <c r="H21" s="992">
        <v>1628.47799943</v>
      </c>
      <c r="I21" s="992">
        <v>113.02238471</v>
      </c>
      <c r="J21" s="992">
        <v>107.52460289</v>
      </c>
      <c r="K21" s="992">
        <v>7954.0801393899992</v>
      </c>
      <c r="L21" s="992">
        <v>218.36754227</v>
      </c>
      <c r="M21" s="992">
        <v>557.8113323</v>
      </c>
      <c r="N21" s="992">
        <v>4621.8927620000004</v>
      </c>
      <c r="O21" s="992">
        <v>49.474007489999998</v>
      </c>
      <c r="P21" s="992">
        <v>397.08695262999998</v>
      </c>
      <c r="Q21" s="992">
        <v>752.54254911999999</v>
      </c>
      <c r="R21" s="992">
        <v>6.3762933799999999</v>
      </c>
      <c r="S21" s="992">
        <v>52.053345960000009</v>
      </c>
      <c r="T21" s="992">
        <v>3869.3502128800001</v>
      </c>
      <c r="U21" s="992">
        <v>43.097714109999998</v>
      </c>
      <c r="V21" s="992">
        <v>345.03360667000004</v>
      </c>
      <c r="W21" s="993"/>
      <c r="X21" s="994"/>
    </row>
    <row r="22" spans="1:24" ht="12.75">
      <c r="A22" s="989" t="s">
        <v>25</v>
      </c>
      <c r="B22" s="990">
        <v>14304.23414368</v>
      </c>
      <c r="C22" s="990">
        <v>380.86393447</v>
      </c>
      <c r="D22" s="991">
        <v>1065.4106116099999</v>
      </c>
      <c r="E22" s="992">
        <v>9713.1721314799997</v>
      </c>
      <c r="F22" s="992">
        <v>331.38992697999998</v>
      </c>
      <c r="G22" s="992">
        <v>662.61992012999997</v>
      </c>
      <c r="H22" s="992">
        <v>1643.9188175700001</v>
      </c>
      <c r="I22" s="992">
        <v>113.02238471</v>
      </c>
      <c r="J22" s="992">
        <v>104.37121055999999</v>
      </c>
      <c r="K22" s="992">
        <v>8069.2533139099996</v>
      </c>
      <c r="L22" s="992">
        <v>218.36754227</v>
      </c>
      <c r="M22" s="992">
        <v>558.24870956999996</v>
      </c>
      <c r="N22" s="992">
        <v>4591.0620122</v>
      </c>
      <c r="O22" s="992">
        <v>49.474007489999998</v>
      </c>
      <c r="P22" s="992">
        <v>402.79069148000002</v>
      </c>
      <c r="Q22" s="992">
        <v>740.91455623000002</v>
      </c>
      <c r="R22" s="992">
        <v>6.3762933799999999</v>
      </c>
      <c r="S22" s="992">
        <v>56.130318170000002</v>
      </c>
      <c r="T22" s="992">
        <v>3850.14745597</v>
      </c>
      <c r="U22" s="992">
        <v>43.097714109999998</v>
      </c>
      <c r="V22" s="992">
        <v>346.66037330999995</v>
      </c>
      <c r="W22" s="993"/>
      <c r="X22" s="994"/>
    </row>
    <row r="23" spans="1:24" ht="12.75">
      <c r="A23" s="989" t="s">
        <v>26</v>
      </c>
      <c r="B23" s="990">
        <v>14497.033309750001</v>
      </c>
      <c r="C23" s="990">
        <v>376.62548785000001</v>
      </c>
      <c r="D23" s="991">
        <v>1069.5053917</v>
      </c>
      <c r="E23" s="992">
        <v>9883.2896260100006</v>
      </c>
      <c r="F23" s="992">
        <v>328.03963491000002</v>
      </c>
      <c r="G23" s="992">
        <v>672.68117094000002</v>
      </c>
      <c r="H23" s="992">
        <v>1627.7769445399999</v>
      </c>
      <c r="I23" s="992">
        <v>112.49887845000001</v>
      </c>
      <c r="J23" s="992">
        <v>107.21670949999999</v>
      </c>
      <c r="K23" s="992">
        <v>8255.5126814699997</v>
      </c>
      <c r="L23" s="992">
        <v>215.54075646000001</v>
      </c>
      <c r="M23" s="992">
        <v>565.46446143999992</v>
      </c>
      <c r="N23" s="992">
        <v>4613.7436837400001</v>
      </c>
      <c r="O23" s="992">
        <v>48.585852940000002</v>
      </c>
      <c r="P23" s="992">
        <v>396.82422076</v>
      </c>
      <c r="Q23" s="992">
        <v>722.79607514999998</v>
      </c>
      <c r="R23" s="992">
        <v>6.1846971599999998</v>
      </c>
      <c r="S23" s="992">
        <v>55.589222129999996</v>
      </c>
      <c r="T23" s="992">
        <v>3890.9476085900001</v>
      </c>
      <c r="U23" s="992">
        <v>42.401155780000003</v>
      </c>
      <c r="V23" s="992">
        <v>341.23499863000001</v>
      </c>
      <c r="W23" s="993"/>
      <c r="X23" s="994"/>
    </row>
    <row r="24" spans="1:24" ht="12.75">
      <c r="A24" s="989" t="s">
        <v>27</v>
      </c>
      <c r="B24" s="990">
        <v>14409.315260380001</v>
      </c>
      <c r="C24" s="990">
        <v>376.62548785000001</v>
      </c>
      <c r="D24" s="991">
        <v>1006.52323186</v>
      </c>
      <c r="E24" s="992">
        <v>9926.2484279599994</v>
      </c>
      <c r="F24" s="992">
        <v>328.03963491000002</v>
      </c>
      <c r="G24" s="992">
        <v>678.32972274999997</v>
      </c>
      <c r="H24" s="992">
        <v>1609.58174824</v>
      </c>
      <c r="I24" s="992">
        <v>112.49887845000001</v>
      </c>
      <c r="J24" s="992">
        <v>113.397586</v>
      </c>
      <c r="K24" s="992">
        <v>8316.6666797199996</v>
      </c>
      <c r="L24" s="992">
        <v>215.54075646000001</v>
      </c>
      <c r="M24" s="992">
        <v>564.93213674999993</v>
      </c>
      <c r="N24" s="992">
        <v>4483.0668324199996</v>
      </c>
      <c r="O24" s="992">
        <v>48.585852940000002</v>
      </c>
      <c r="P24" s="992">
        <v>328.19350910999998</v>
      </c>
      <c r="Q24" s="992">
        <v>729.78460101999997</v>
      </c>
      <c r="R24" s="992">
        <v>6.1846971599999998</v>
      </c>
      <c r="S24" s="992">
        <v>45.364212569999999</v>
      </c>
      <c r="T24" s="992">
        <v>3753.2822314</v>
      </c>
      <c r="U24" s="992">
        <v>42.401155780000003</v>
      </c>
      <c r="V24" s="992">
        <v>282.82929653999997</v>
      </c>
      <c r="W24" s="993"/>
      <c r="X24" s="994"/>
    </row>
    <row r="25" spans="1:24" ht="12.75">
      <c r="A25" s="989" t="s">
        <v>28</v>
      </c>
      <c r="B25" s="990">
        <v>14304.651248960001</v>
      </c>
      <c r="C25" s="990">
        <v>376.62548785000001</v>
      </c>
      <c r="D25" s="991">
        <v>922.91633637999996</v>
      </c>
      <c r="E25" s="992">
        <v>9944.7613767799994</v>
      </c>
      <c r="F25" s="992">
        <v>328.03963491000002</v>
      </c>
      <c r="G25" s="992">
        <v>655.89601746000005</v>
      </c>
      <c r="H25" s="992">
        <v>1660.8785150000001</v>
      </c>
      <c r="I25" s="992">
        <v>112.49887845000001</v>
      </c>
      <c r="J25" s="992">
        <v>97.262283609999997</v>
      </c>
      <c r="K25" s="992">
        <v>8283.8828617800009</v>
      </c>
      <c r="L25" s="992">
        <v>215.54075646000001</v>
      </c>
      <c r="M25" s="992">
        <v>558.63373385</v>
      </c>
      <c r="N25" s="992">
        <v>4359.8898721799997</v>
      </c>
      <c r="O25" s="992">
        <v>48.585852940000002</v>
      </c>
      <c r="P25" s="992">
        <v>267.02031891999997</v>
      </c>
      <c r="Q25" s="992">
        <v>726.90528700000004</v>
      </c>
      <c r="R25" s="992">
        <v>6.1846971599999998</v>
      </c>
      <c r="S25" s="992">
        <v>43.563146709999998</v>
      </c>
      <c r="T25" s="992">
        <v>3632.9845851800001</v>
      </c>
      <c r="U25" s="992">
        <v>42.401155780000003</v>
      </c>
      <c r="V25" s="992">
        <v>223.45717220999998</v>
      </c>
      <c r="W25" s="993"/>
      <c r="X25" s="994"/>
    </row>
    <row r="26" spans="1:24" ht="12.75">
      <c r="A26" s="989" t="s">
        <v>29</v>
      </c>
      <c r="B26" s="990">
        <v>14156.979472700001</v>
      </c>
      <c r="C26" s="990">
        <v>373.44365544999999</v>
      </c>
      <c r="D26" s="991">
        <v>893.13990544000001</v>
      </c>
      <c r="E26" s="992">
        <v>9879.8602331000002</v>
      </c>
      <c r="F26" s="992">
        <v>324.11870998000001</v>
      </c>
      <c r="G26" s="992">
        <v>653.86810708999997</v>
      </c>
      <c r="H26" s="992">
        <v>1641.81090621</v>
      </c>
      <c r="I26" s="992">
        <v>112.36763689</v>
      </c>
      <c r="J26" s="992">
        <v>94.622461000000001</v>
      </c>
      <c r="K26" s="992">
        <v>8238.0493268900009</v>
      </c>
      <c r="L26" s="992">
        <v>211.75107309000001</v>
      </c>
      <c r="M26" s="992">
        <v>559.24564609000004</v>
      </c>
      <c r="N26" s="992">
        <v>4277.1192395999997</v>
      </c>
      <c r="O26" s="992">
        <v>49.324945470000003</v>
      </c>
      <c r="P26" s="992">
        <v>239.27179835000001</v>
      </c>
      <c r="Q26" s="992">
        <v>714.41116101</v>
      </c>
      <c r="R26" s="992">
        <v>6.32722753</v>
      </c>
      <c r="S26" s="992">
        <v>40.742700790000001</v>
      </c>
      <c r="T26" s="992">
        <v>3562.7080785899998</v>
      </c>
      <c r="U26" s="992">
        <v>42.997717940000001</v>
      </c>
      <c r="V26" s="992">
        <v>198.52909756</v>
      </c>
      <c r="W26" s="993"/>
      <c r="X26" s="994"/>
    </row>
    <row r="27" spans="1:24" ht="12.75">
      <c r="A27" s="995">
        <v>2021</v>
      </c>
      <c r="B27" s="990"/>
      <c r="C27" s="990"/>
      <c r="D27" s="991"/>
      <c r="E27" s="990"/>
      <c r="F27" s="990"/>
      <c r="G27" s="990"/>
      <c r="H27" s="990"/>
      <c r="I27" s="990"/>
      <c r="J27" s="990"/>
      <c r="K27" s="990"/>
      <c r="L27" s="990"/>
      <c r="M27" s="990"/>
      <c r="N27" s="990"/>
      <c r="O27" s="990"/>
      <c r="P27" s="990"/>
      <c r="Q27" s="990"/>
      <c r="R27" s="990"/>
      <c r="S27" s="990"/>
      <c r="T27" s="990"/>
      <c r="U27" s="990"/>
      <c r="V27" s="990"/>
      <c r="W27" s="993"/>
      <c r="X27" s="994"/>
    </row>
    <row r="28" spans="1:24" ht="12.75">
      <c r="A28" s="989" t="s">
        <v>18</v>
      </c>
      <c r="B28" s="990">
        <v>14213.759571140001</v>
      </c>
      <c r="C28" s="990">
        <v>373.44365544999999</v>
      </c>
      <c r="D28" s="991">
        <v>900.3856763</v>
      </c>
      <c r="E28" s="992">
        <v>9975.3628292600006</v>
      </c>
      <c r="F28" s="992">
        <v>324.11870998000001</v>
      </c>
      <c r="G28" s="992">
        <v>647.57022729999994</v>
      </c>
      <c r="H28" s="992">
        <v>1685.61115447</v>
      </c>
      <c r="I28" s="992">
        <v>112.36763689</v>
      </c>
      <c r="J28" s="992">
        <v>96.844620739999996</v>
      </c>
      <c r="K28" s="992">
        <v>8289.7516747900008</v>
      </c>
      <c r="L28" s="992">
        <v>211.75107309000001</v>
      </c>
      <c r="M28" s="992">
        <v>550.72560656000007</v>
      </c>
      <c r="N28" s="992">
        <v>4238.3967418800003</v>
      </c>
      <c r="O28" s="992">
        <v>49.324945470000003</v>
      </c>
      <c r="P28" s="992">
        <v>252.815449</v>
      </c>
      <c r="Q28" s="992">
        <v>761.28714362000005</v>
      </c>
      <c r="R28" s="992">
        <v>6.32722753</v>
      </c>
      <c r="S28" s="992">
        <v>49.487015579999998</v>
      </c>
      <c r="T28" s="992">
        <v>3477.10959826</v>
      </c>
      <c r="U28" s="992">
        <v>42.997717940000001</v>
      </c>
      <c r="V28" s="992">
        <v>203.32843341999998</v>
      </c>
      <c r="W28" s="993"/>
      <c r="X28" s="994"/>
    </row>
    <row r="29" spans="1:24" ht="12.75">
      <c r="A29" s="989" t="s">
        <v>19</v>
      </c>
      <c r="B29" s="990">
        <v>14246.10184789</v>
      </c>
      <c r="C29" s="990">
        <v>373.44365544999999</v>
      </c>
      <c r="D29" s="991">
        <v>917.51636970000004</v>
      </c>
      <c r="E29" s="992">
        <v>10083.452021880001</v>
      </c>
      <c r="F29" s="992">
        <v>324.11870998000001</v>
      </c>
      <c r="G29" s="992">
        <v>666.79700777999994</v>
      </c>
      <c r="H29" s="992">
        <v>1749.0857997999999</v>
      </c>
      <c r="I29" s="992">
        <v>112.36763689</v>
      </c>
      <c r="J29" s="992">
        <v>96.46629037999999</v>
      </c>
      <c r="K29" s="992">
        <v>8334.3662220799997</v>
      </c>
      <c r="L29" s="992">
        <v>211.75107309000001</v>
      </c>
      <c r="M29" s="992">
        <v>570.33071740000003</v>
      </c>
      <c r="N29" s="992">
        <v>4162.6498260099997</v>
      </c>
      <c r="O29" s="992">
        <v>49.324945470000003</v>
      </c>
      <c r="P29" s="992">
        <v>250.71936192000001</v>
      </c>
      <c r="Q29" s="992">
        <v>662.77640186999997</v>
      </c>
      <c r="R29" s="992">
        <v>6.32722753</v>
      </c>
      <c r="S29" s="992">
        <v>46.876663730000004</v>
      </c>
      <c r="T29" s="992">
        <v>3499.8734241400002</v>
      </c>
      <c r="U29" s="992">
        <v>42.997717940000001</v>
      </c>
      <c r="V29" s="992">
        <v>203.84269818999999</v>
      </c>
      <c r="W29" s="993"/>
      <c r="X29" s="994"/>
    </row>
    <row r="30" spans="1:24" ht="12.75">
      <c r="A30" s="989" t="s">
        <v>20</v>
      </c>
      <c r="B30" s="990">
        <v>14352.354129449999</v>
      </c>
      <c r="C30" s="990">
        <v>375.67627027999998</v>
      </c>
      <c r="D30" s="991">
        <v>918.15007710999998</v>
      </c>
      <c r="E30" s="992">
        <v>10247.2472729</v>
      </c>
      <c r="F30" s="992">
        <v>327.75034328999999</v>
      </c>
      <c r="G30" s="992">
        <v>668.94892829000003</v>
      </c>
      <c r="H30" s="992">
        <v>1776.7042152700001</v>
      </c>
      <c r="I30" s="992">
        <v>120.08097094</v>
      </c>
      <c r="J30" s="992">
        <v>93.229735579999996</v>
      </c>
      <c r="K30" s="992">
        <v>8470.5430576300005</v>
      </c>
      <c r="L30" s="992">
        <v>207.66937235</v>
      </c>
      <c r="M30" s="992">
        <v>575.71919271000002</v>
      </c>
      <c r="N30" s="992">
        <v>4105.10685655</v>
      </c>
      <c r="O30" s="992">
        <v>47.925926990000001</v>
      </c>
      <c r="P30" s="992">
        <v>249.20114881999999</v>
      </c>
      <c r="Q30" s="992">
        <v>674.77642509999998</v>
      </c>
      <c r="R30" s="992">
        <v>5.975174</v>
      </c>
      <c r="S30" s="992">
        <v>48.471003469999999</v>
      </c>
      <c r="T30" s="992">
        <v>3430.3304314500001</v>
      </c>
      <c r="U30" s="992">
        <v>41.950752989999998</v>
      </c>
      <c r="V30" s="992">
        <v>200.73014535000002</v>
      </c>
      <c r="W30" s="993"/>
      <c r="X30" s="994"/>
    </row>
    <row r="31" spans="1:24" ht="12.75">
      <c r="A31" s="989" t="s">
        <v>21</v>
      </c>
      <c r="B31" s="990">
        <v>14611.819578369999</v>
      </c>
      <c r="C31" s="990">
        <v>375.67627027999998</v>
      </c>
      <c r="D31" s="991">
        <v>921.53370200000006</v>
      </c>
      <c r="E31" s="992">
        <v>10508.626065500001</v>
      </c>
      <c r="F31" s="992">
        <v>327.75034328999999</v>
      </c>
      <c r="G31" s="992">
        <v>699.32114547000003</v>
      </c>
      <c r="H31" s="992">
        <v>1809.139506</v>
      </c>
      <c r="I31" s="992">
        <v>120.08097094</v>
      </c>
      <c r="J31" s="992">
        <v>108.31807354</v>
      </c>
      <c r="K31" s="992">
        <v>8699.4865594999992</v>
      </c>
      <c r="L31" s="992">
        <v>207.66937235</v>
      </c>
      <c r="M31" s="992">
        <v>591.00307193000003</v>
      </c>
      <c r="N31" s="992">
        <v>4103.1935128699997</v>
      </c>
      <c r="O31" s="992">
        <v>47.925926990000001</v>
      </c>
      <c r="P31" s="992">
        <v>222.21255653</v>
      </c>
      <c r="Q31" s="992">
        <v>686.93910826000001</v>
      </c>
      <c r="R31" s="992">
        <v>5.975174</v>
      </c>
      <c r="S31" s="992">
        <v>49.952667609999999</v>
      </c>
      <c r="T31" s="992">
        <v>3416.2544046100002</v>
      </c>
      <c r="U31" s="992">
        <v>41.950752989999998</v>
      </c>
      <c r="V31" s="992">
        <v>172.25988892000001</v>
      </c>
      <c r="W31" s="993"/>
      <c r="X31" s="994"/>
    </row>
    <row r="32" spans="1:24" ht="12.75">
      <c r="A32" s="989" t="s">
        <v>22</v>
      </c>
      <c r="B32" s="990">
        <v>14691.392036560001</v>
      </c>
      <c r="C32" s="990">
        <v>375.67627027999998</v>
      </c>
      <c r="D32" s="991">
        <v>906.90793025000005</v>
      </c>
      <c r="E32" s="992">
        <v>10599.23610201</v>
      </c>
      <c r="F32" s="992">
        <v>327.75034328999999</v>
      </c>
      <c r="G32" s="992">
        <v>685.46766498</v>
      </c>
      <c r="H32" s="992">
        <v>1813.0710656599999</v>
      </c>
      <c r="I32" s="992">
        <v>120.08097094</v>
      </c>
      <c r="J32" s="992">
        <v>92.693554630000008</v>
      </c>
      <c r="K32" s="992">
        <v>8786.1650363499994</v>
      </c>
      <c r="L32" s="992">
        <v>207.66937235</v>
      </c>
      <c r="M32" s="992">
        <v>592.77411035</v>
      </c>
      <c r="N32" s="992">
        <v>4092.15593455</v>
      </c>
      <c r="O32" s="992">
        <v>47.925926990000001</v>
      </c>
      <c r="P32" s="992">
        <v>221.44026527</v>
      </c>
      <c r="Q32" s="992">
        <v>666.54767803000004</v>
      </c>
      <c r="R32" s="992">
        <v>5.975174</v>
      </c>
      <c r="S32" s="992">
        <v>47.60378068</v>
      </c>
      <c r="T32" s="992">
        <v>3425.6082565199999</v>
      </c>
      <c r="U32" s="992">
        <v>41.950752989999998</v>
      </c>
      <c r="V32" s="992">
        <v>173.83648459</v>
      </c>
      <c r="W32" s="993"/>
      <c r="X32" s="994"/>
    </row>
    <row r="33" spans="1:24" ht="12.75">
      <c r="A33" s="989" t="s">
        <v>23</v>
      </c>
      <c r="B33" s="990">
        <v>14856.88264518</v>
      </c>
      <c r="C33" s="990">
        <v>401.17554901</v>
      </c>
      <c r="D33" s="991">
        <v>914.58348045999992</v>
      </c>
      <c r="E33" s="992">
        <v>10800.240964389999</v>
      </c>
      <c r="F33" s="992">
        <v>348.19117247999998</v>
      </c>
      <c r="G33" s="992">
        <v>694.13460823000003</v>
      </c>
      <c r="H33" s="992">
        <v>1832.41460173</v>
      </c>
      <c r="I33" s="992">
        <v>132.10586247000001</v>
      </c>
      <c r="J33" s="992">
        <v>93.614316349999996</v>
      </c>
      <c r="K33" s="992">
        <v>8967.8263626600001</v>
      </c>
      <c r="L33" s="992">
        <v>216.08531001</v>
      </c>
      <c r="M33" s="992">
        <v>600.52029187999995</v>
      </c>
      <c r="N33" s="992">
        <v>4056.64168079</v>
      </c>
      <c r="O33" s="992">
        <v>52.984376529999999</v>
      </c>
      <c r="P33" s="992">
        <v>220.44887223000001</v>
      </c>
      <c r="Q33" s="992">
        <v>687.96934712999996</v>
      </c>
      <c r="R33" s="992">
        <v>5.6883241399999998</v>
      </c>
      <c r="S33" s="992">
        <v>47.841762289999998</v>
      </c>
      <c r="T33" s="992">
        <v>3368.6723336599998</v>
      </c>
      <c r="U33" s="992">
        <v>47.29605239</v>
      </c>
      <c r="V33" s="992">
        <v>172.60710993999999</v>
      </c>
      <c r="W33" s="993"/>
      <c r="X33" s="994"/>
    </row>
    <row r="34" spans="1:24" ht="12.75">
      <c r="A34" s="989" t="s">
        <v>24</v>
      </c>
      <c r="B34" s="990">
        <v>14966.497434360001</v>
      </c>
      <c r="C34" s="990">
        <v>401.17554901</v>
      </c>
      <c r="D34" s="991">
        <v>937.46215344999996</v>
      </c>
      <c r="E34" s="992">
        <v>10903.35557229</v>
      </c>
      <c r="F34" s="992">
        <v>348.19117247999998</v>
      </c>
      <c r="G34" s="992">
        <v>712.25482284999998</v>
      </c>
      <c r="H34" s="992">
        <v>1881.44984398</v>
      </c>
      <c r="I34" s="992">
        <v>132.10586247000001</v>
      </c>
      <c r="J34" s="992">
        <v>94.494357119999989</v>
      </c>
      <c r="K34" s="992">
        <v>9021.9057283099992</v>
      </c>
      <c r="L34" s="992">
        <v>216.08531001</v>
      </c>
      <c r="M34" s="992">
        <v>617.76046572999996</v>
      </c>
      <c r="N34" s="992">
        <v>4063.1418620700001</v>
      </c>
      <c r="O34" s="992">
        <v>52.984376529999999</v>
      </c>
      <c r="P34" s="992">
        <v>225.20733059999998</v>
      </c>
      <c r="Q34" s="992">
        <v>708.48020512000005</v>
      </c>
      <c r="R34" s="992">
        <v>5.6883241399999998</v>
      </c>
      <c r="S34" s="992">
        <v>51.764850549999998</v>
      </c>
      <c r="T34" s="992">
        <v>3354.6616569500002</v>
      </c>
      <c r="U34" s="992">
        <v>47.29605239</v>
      </c>
      <c r="V34" s="992">
        <v>173.44248005</v>
      </c>
      <c r="W34" s="993"/>
      <c r="X34" s="994"/>
    </row>
    <row r="35" spans="1:24" ht="12.75">
      <c r="A35" s="989" t="s">
        <v>25</v>
      </c>
      <c r="B35" s="990">
        <v>15206.80355631</v>
      </c>
      <c r="C35" s="990">
        <v>401.17554901</v>
      </c>
      <c r="D35" s="991">
        <v>904.16886915999999</v>
      </c>
      <c r="E35" s="992">
        <v>11078.540372990001</v>
      </c>
      <c r="F35" s="992">
        <v>348.19117247999998</v>
      </c>
      <c r="G35" s="992">
        <v>687.53866123</v>
      </c>
      <c r="H35" s="992">
        <v>1882.6847640200001</v>
      </c>
      <c r="I35" s="992">
        <v>132.10586247000001</v>
      </c>
      <c r="J35" s="992">
        <v>94.177497820000013</v>
      </c>
      <c r="K35" s="992">
        <v>9195.8556089699996</v>
      </c>
      <c r="L35" s="992">
        <v>216.08531001</v>
      </c>
      <c r="M35" s="992">
        <v>593.3611634099999</v>
      </c>
      <c r="N35" s="992">
        <v>4128.2631833200003</v>
      </c>
      <c r="O35" s="992">
        <v>52.984376529999999</v>
      </c>
      <c r="P35" s="992">
        <v>216.63020792999998</v>
      </c>
      <c r="Q35" s="992">
        <v>757.38473449000003</v>
      </c>
      <c r="R35" s="992">
        <v>5.6883241399999998</v>
      </c>
      <c r="S35" s="992">
        <v>45.313542130000002</v>
      </c>
      <c r="T35" s="992">
        <v>3370.8784488299998</v>
      </c>
      <c r="U35" s="992">
        <v>47.29605239</v>
      </c>
      <c r="V35" s="992">
        <v>171.31666579999998</v>
      </c>
      <c r="W35" s="993"/>
      <c r="X35" s="994"/>
    </row>
    <row r="36" spans="1:24" ht="12.75">
      <c r="A36" s="989" t="s">
        <v>26</v>
      </c>
      <c r="B36" s="990">
        <v>15538.70363957</v>
      </c>
      <c r="C36" s="990">
        <v>418.60019290000002</v>
      </c>
      <c r="D36" s="991">
        <v>871.14004874</v>
      </c>
      <c r="E36" s="992">
        <v>11344.42322649</v>
      </c>
      <c r="F36" s="992">
        <v>363.46501093000001</v>
      </c>
      <c r="G36" s="992">
        <v>660.70912520999991</v>
      </c>
      <c r="H36" s="992">
        <v>1934.2304067299999</v>
      </c>
      <c r="I36" s="992">
        <v>139.84347871</v>
      </c>
      <c r="J36" s="992">
        <v>89.766116760000003</v>
      </c>
      <c r="K36" s="992">
        <v>9410.1928197599991</v>
      </c>
      <c r="L36" s="992">
        <v>223.62153222000001</v>
      </c>
      <c r="M36" s="992">
        <v>570.94300844999998</v>
      </c>
      <c r="N36" s="992">
        <v>4194.2804130799996</v>
      </c>
      <c r="O36" s="992">
        <v>55.135181969999998</v>
      </c>
      <c r="P36" s="992">
        <v>210.43092353000003</v>
      </c>
      <c r="Q36" s="992">
        <v>808.49123672999997</v>
      </c>
      <c r="R36" s="992">
        <v>5.5866033000000002</v>
      </c>
      <c r="S36" s="992">
        <v>42.921859019999999</v>
      </c>
      <c r="T36" s="992">
        <v>3385.7891763500002</v>
      </c>
      <c r="U36" s="992">
        <v>49.548578669999998</v>
      </c>
      <c r="V36" s="992">
        <v>167.50906451</v>
      </c>
      <c r="W36" s="993"/>
      <c r="X36" s="994"/>
    </row>
    <row r="37" spans="1:24" ht="12.75">
      <c r="A37" s="989" t="s">
        <v>27</v>
      </c>
      <c r="B37" s="990">
        <v>15997.29021702</v>
      </c>
      <c r="C37" s="990">
        <v>418.60019290000002</v>
      </c>
      <c r="D37" s="991">
        <v>815.87446340999998</v>
      </c>
      <c r="E37" s="992">
        <v>11550.003507060001</v>
      </c>
      <c r="F37" s="992">
        <v>363.46501093000001</v>
      </c>
      <c r="G37" s="992">
        <v>597.93212702000005</v>
      </c>
      <c r="H37" s="992">
        <v>2000.6491651599999</v>
      </c>
      <c r="I37" s="992">
        <v>139.84347871</v>
      </c>
      <c r="J37" s="992">
        <v>84.669884519999997</v>
      </c>
      <c r="K37" s="992">
        <v>9549.3543418999998</v>
      </c>
      <c r="L37" s="992">
        <v>223.62153222000001</v>
      </c>
      <c r="M37" s="992">
        <v>513.26224249999996</v>
      </c>
      <c r="N37" s="992">
        <v>4447.2867099599998</v>
      </c>
      <c r="O37" s="992">
        <v>55.135181969999998</v>
      </c>
      <c r="P37" s="992">
        <v>217.94233638999998</v>
      </c>
      <c r="Q37" s="992">
        <v>940.90689980000002</v>
      </c>
      <c r="R37" s="992">
        <v>5.5866033000000002</v>
      </c>
      <c r="S37" s="992">
        <v>55.73458239</v>
      </c>
      <c r="T37" s="992">
        <v>3506.37981016</v>
      </c>
      <c r="U37" s="992">
        <v>49.548578669999998</v>
      </c>
      <c r="V37" s="992">
        <v>162.20775399999999</v>
      </c>
      <c r="W37" s="993"/>
      <c r="X37" s="994"/>
    </row>
    <row r="38" spans="1:24" ht="12.75">
      <c r="A38" s="989" t="s">
        <v>28</v>
      </c>
      <c r="B38" s="990">
        <v>16281.964850279999</v>
      </c>
      <c r="C38" s="990">
        <v>418.60019290000002</v>
      </c>
      <c r="D38" s="991">
        <v>786.28199433999998</v>
      </c>
      <c r="E38" s="992">
        <v>11907.86257132</v>
      </c>
      <c r="F38" s="992">
        <v>363.46501093000001</v>
      </c>
      <c r="G38" s="992">
        <v>571.54338396000003</v>
      </c>
      <c r="H38" s="992">
        <v>2104.7434106400001</v>
      </c>
      <c r="I38" s="992">
        <v>139.84347871</v>
      </c>
      <c r="J38" s="992">
        <v>85.640184000000005</v>
      </c>
      <c r="K38" s="992">
        <v>9803.1191606800003</v>
      </c>
      <c r="L38" s="992">
        <v>223.62153222000001</v>
      </c>
      <c r="M38" s="992">
        <v>485.90319995999999</v>
      </c>
      <c r="N38" s="992">
        <v>4374.1022789600001</v>
      </c>
      <c r="O38" s="992">
        <v>55.135181969999998</v>
      </c>
      <c r="P38" s="992">
        <v>214.73861038000001</v>
      </c>
      <c r="Q38" s="992">
        <v>927.16268978999994</v>
      </c>
      <c r="R38" s="992">
        <v>5.5866033000000002</v>
      </c>
      <c r="S38" s="992">
        <v>54.031234310000002</v>
      </c>
      <c r="T38" s="992">
        <v>3446.9395891700001</v>
      </c>
      <c r="U38" s="992">
        <v>49.548578669999998</v>
      </c>
      <c r="V38" s="992">
        <v>160.70737607000001</v>
      </c>
      <c r="W38" s="993"/>
      <c r="X38" s="994"/>
    </row>
    <row r="39" spans="1:24" ht="12.75">
      <c r="A39" s="989" t="s">
        <v>29</v>
      </c>
      <c r="B39" s="990">
        <v>16659.10533463</v>
      </c>
      <c r="C39" s="990">
        <v>460.71093189999999</v>
      </c>
      <c r="D39" s="991">
        <v>719.44171244099994</v>
      </c>
      <c r="E39" s="992">
        <v>12295.876158339999</v>
      </c>
      <c r="F39" s="992">
        <v>400.58206002999998</v>
      </c>
      <c r="G39" s="992">
        <v>531.8240892</v>
      </c>
      <c r="H39" s="992">
        <v>2102.3915146099998</v>
      </c>
      <c r="I39" s="992">
        <v>143.61199816999999</v>
      </c>
      <c r="J39" s="992">
        <v>80.629324750000009</v>
      </c>
      <c r="K39" s="992">
        <v>10193.48464373</v>
      </c>
      <c r="L39" s="992">
        <v>256.97006185999999</v>
      </c>
      <c r="M39" s="992">
        <v>451.19476444999998</v>
      </c>
      <c r="N39" s="992">
        <v>4363.2291762900004</v>
      </c>
      <c r="O39" s="992">
        <v>60.128871869999998</v>
      </c>
      <c r="P39" s="992">
        <v>187.61762324099999</v>
      </c>
      <c r="Q39" s="992">
        <v>950.81045275999998</v>
      </c>
      <c r="R39" s="992">
        <v>5.0991979199999999</v>
      </c>
      <c r="S39" s="992">
        <v>51.405089330999999</v>
      </c>
      <c r="T39" s="992">
        <v>3412.4187235300001</v>
      </c>
      <c r="U39" s="992">
        <v>55.029673950000003</v>
      </c>
      <c r="V39" s="992">
        <v>136.21253390999999</v>
      </c>
      <c r="W39" s="993"/>
      <c r="X39" s="994"/>
    </row>
    <row r="40" spans="1:24" ht="12.75">
      <c r="A40" s="989" t="s">
        <v>2827</v>
      </c>
      <c r="B40" s="990"/>
      <c r="C40" s="990"/>
      <c r="D40" s="991"/>
      <c r="E40" s="992"/>
      <c r="F40" s="992"/>
      <c r="G40" s="992"/>
      <c r="H40" s="992"/>
      <c r="I40" s="992"/>
      <c r="J40" s="992"/>
      <c r="K40" s="992"/>
      <c r="L40" s="992"/>
      <c r="M40" s="992"/>
      <c r="N40" s="992"/>
      <c r="O40" s="992"/>
      <c r="P40" s="992"/>
      <c r="Q40" s="992"/>
      <c r="R40" s="992"/>
      <c r="S40" s="992"/>
      <c r="T40" s="992"/>
      <c r="U40" s="992"/>
      <c r="V40" s="992"/>
      <c r="W40" s="993"/>
      <c r="X40" s="994"/>
    </row>
    <row r="41" spans="1:24" ht="12.75">
      <c r="A41" s="989" t="s">
        <v>18</v>
      </c>
      <c r="B41" s="990">
        <v>16781.438939299998</v>
      </c>
      <c r="C41" s="990">
        <v>460.71093189999999</v>
      </c>
      <c r="D41" s="991">
        <v>706.54506468099999</v>
      </c>
      <c r="E41" s="992">
        <v>12417.2461456</v>
      </c>
      <c r="F41" s="992">
        <v>400.58206002999998</v>
      </c>
      <c r="G41" s="992">
        <v>514.54677155000002</v>
      </c>
      <c r="H41" s="992">
        <v>2111.5110689799999</v>
      </c>
      <c r="I41" s="992">
        <v>143.61199816999999</v>
      </c>
      <c r="J41" s="992">
        <v>83.849482890000004</v>
      </c>
      <c r="K41" s="992">
        <v>10305.73507662</v>
      </c>
      <c r="L41" s="992">
        <v>256.97006185999999</v>
      </c>
      <c r="M41" s="992">
        <v>430.69728865999997</v>
      </c>
      <c r="N41" s="992">
        <v>4364.1927937</v>
      </c>
      <c r="O41" s="992">
        <v>60.128871869999998</v>
      </c>
      <c r="P41" s="992">
        <v>191.998293131</v>
      </c>
      <c r="Q41" s="992">
        <v>971.38997297000003</v>
      </c>
      <c r="R41" s="992">
        <v>5.0991979199999999</v>
      </c>
      <c r="S41" s="992">
        <v>51.256426150999999</v>
      </c>
      <c r="T41" s="992">
        <v>3392.8028207299999</v>
      </c>
      <c r="U41" s="992">
        <v>55.029673950000003</v>
      </c>
      <c r="V41" s="992">
        <v>140.74186698</v>
      </c>
      <c r="W41" s="993"/>
      <c r="X41" s="994"/>
    </row>
    <row r="42" spans="1:24" ht="12.75">
      <c r="A42" s="989" t="s">
        <v>19</v>
      </c>
      <c r="B42" s="990">
        <v>17126.510853610002</v>
      </c>
      <c r="C42" s="990">
        <v>460.71093189999999</v>
      </c>
      <c r="D42" s="991">
        <v>690.22803666099992</v>
      </c>
      <c r="E42" s="992">
        <v>12751.955724490001</v>
      </c>
      <c r="F42" s="992">
        <v>400.58206002999998</v>
      </c>
      <c r="G42" s="992">
        <v>500.31258965000001</v>
      </c>
      <c r="H42" s="992">
        <v>2228.0877367399999</v>
      </c>
      <c r="I42" s="992">
        <v>143.61199816999999</v>
      </c>
      <c r="J42" s="992">
        <v>83.798901090000001</v>
      </c>
      <c r="K42" s="992">
        <v>10523.86798775</v>
      </c>
      <c r="L42" s="992">
        <v>256.97006185999999</v>
      </c>
      <c r="M42" s="992">
        <v>416.51368855999999</v>
      </c>
      <c r="N42" s="992">
        <v>4374.5551291199999</v>
      </c>
      <c r="O42" s="992">
        <v>60.128871869999998</v>
      </c>
      <c r="P42" s="992">
        <v>189.915447011</v>
      </c>
      <c r="Q42" s="992">
        <v>1044.64093594</v>
      </c>
      <c r="R42" s="992">
        <v>5.0991979199999999</v>
      </c>
      <c r="S42" s="992">
        <v>50.666347761000004</v>
      </c>
      <c r="T42" s="992">
        <v>3329.91419318</v>
      </c>
      <c r="U42" s="992">
        <v>55.029673950000003</v>
      </c>
      <c r="V42" s="992">
        <v>139.24909925</v>
      </c>
      <c r="W42" s="993"/>
      <c r="X42" s="994"/>
    </row>
    <row r="43" spans="1:24" ht="12.75">
      <c r="A43" s="989" t="s">
        <v>20</v>
      </c>
      <c r="B43" s="990">
        <v>17528.170512190001</v>
      </c>
      <c r="C43" s="990">
        <v>479.59937926100002</v>
      </c>
      <c r="D43" s="991">
        <v>685.18649990099993</v>
      </c>
      <c r="E43" s="992">
        <v>13081.72942464</v>
      </c>
      <c r="F43" s="992">
        <v>416.58566178000001</v>
      </c>
      <c r="G43" s="992">
        <v>484.17742141999997</v>
      </c>
      <c r="H43" s="992">
        <v>2300.8940538699999</v>
      </c>
      <c r="I43" s="992">
        <v>150.96080594</v>
      </c>
      <c r="J43" s="992">
        <v>91.229191940000007</v>
      </c>
      <c r="K43" s="992">
        <v>10780.835370770001</v>
      </c>
      <c r="L43" s="992">
        <v>265.62485584000001</v>
      </c>
      <c r="M43" s="992">
        <v>392.94822948000001</v>
      </c>
      <c r="N43" s="992">
        <v>4446.4410875499998</v>
      </c>
      <c r="O43" s="992">
        <v>63.013717481</v>
      </c>
      <c r="P43" s="992">
        <v>201.00907848099999</v>
      </c>
      <c r="Q43" s="992">
        <v>973.19654422999997</v>
      </c>
      <c r="R43" s="992">
        <v>5.0268763510000003</v>
      </c>
      <c r="S43" s="992">
        <v>57.715947030999999</v>
      </c>
      <c r="T43" s="992">
        <v>3473.24454332</v>
      </c>
      <c r="U43" s="992">
        <v>57.986841130000002</v>
      </c>
      <c r="V43" s="992">
        <v>143.29313145</v>
      </c>
      <c r="W43" s="993"/>
      <c r="X43" s="994"/>
    </row>
    <row r="44" spans="1:24" ht="12.75">
      <c r="A44" s="989" t="s">
        <v>21</v>
      </c>
      <c r="B44" s="990">
        <v>17840.365402669999</v>
      </c>
      <c r="C44" s="990">
        <v>479.59937926100002</v>
      </c>
      <c r="D44" s="991">
        <v>674.77748304099998</v>
      </c>
      <c r="E44" s="992">
        <v>13455.54299858</v>
      </c>
      <c r="F44" s="992">
        <v>416.58566178000001</v>
      </c>
      <c r="G44" s="992">
        <v>473.43038794</v>
      </c>
      <c r="H44" s="992">
        <v>2402.1521094899999</v>
      </c>
      <c r="I44" s="992">
        <v>150.96080594</v>
      </c>
      <c r="J44" s="992">
        <v>86.027146730000013</v>
      </c>
      <c r="K44" s="992">
        <v>11053.39088909</v>
      </c>
      <c r="L44" s="992">
        <v>265.62485584000001</v>
      </c>
      <c r="M44" s="992">
        <v>387.40324120999998</v>
      </c>
      <c r="N44" s="992">
        <v>4384.8224040900004</v>
      </c>
      <c r="O44" s="992">
        <v>63.013717481</v>
      </c>
      <c r="P44" s="992">
        <v>201.34709510100001</v>
      </c>
      <c r="Q44" s="992">
        <v>964.45066541000006</v>
      </c>
      <c r="R44" s="992">
        <v>5.0268763510000003</v>
      </c>
      <c r="S44" s="992">
        <v>60.260919121000001</v>
      </c>
      <c r="T44" s="992">
        <v>3420.3717386799999</v>
      </c>
      <c r="U44" s="992">
        <v>57.986841130000002</v>
      </c>
      <c r="V44" s="992">
        <v>141.08617598000001</v>
      </c>
      <c r="W44" s="993"/>
      <c r="X44" s="994"/>
    </row>
    <row r="45" spans="1:24" ht="12.75">
      <c r="A45" s="989" t="s">
        <v>22</v>
      </c>
      <c r="B45" s="990">
        <v>18098.275857510002</v>
      </c>
      <c r="C45" s="990">
        <v>479.59937926100002</v>
      </c>
      <c r="D45" s="991">
        <v>673.73641594100002</v>
      </c>
      <c r="E45" s="992">
        <v>13689.70842578</v>
      </c>
      <c r="F45" s="992">
        <v>416.58566178000001</v>
      </c>
      <c r="G45" s="992">
        <v>472.73205044000002</v>
      </c>
      <c r="H45" s="992">
        <v>2379.4522662499999</v>
      </c>
      <c r="I45" s="992">
        <v>150.96080594</v>
      </c>
      <c r="J45" s="992">
        <v>85.956871760000013</v>
      </c>
      <c r="K45" s="992">
        <v>11310.256159529999</v>
      </c>
      <c r="L45" s="992">
        <v>265.62485584000001</v>
      </c>
      <c r="M45" s="992">
        <v>386.77517868000001</v>
      </c>
      <c r="N45" s="992">
        <v>4408.56743173</v>
      </c>
      <c r="O45" s="992">
        <v>63.013717481</v>
      </c>
      <c r="P45" s="992">
        <v>201.004365501</v>
      </c>
      <c r="Q45" s="992">
        <v>995.45106219000002</v>
      </c>
      <c r="R45" s="992">
        <v>5.0268763510000003</v>
      </c>
      <c r="S45" s="992">
        <v>57.545981490999999</v>
      </c>
      <c r="T45" s="992">
        <v>3413.1163695400001</v>
      </c>
      <c r="U45" s="992">
        <v>57.986841130000002</v>
      </c>
      <c r="V45" s="992">
        <v>143.45838401</v>
      </c>
      <c r="W45" s="993"/>
      <c r="X45" s="994"/>
    </row>
    <row r="46" spans="1:24" ht="12.75">
      <c r="A46" s="989" t="s">
        <v>23</v>
      </c>
      <c r="B46" s="990">
        <v>18320.007046070001</v>
      </c>
      <c r="C46" s="990">
        <v>498.1938780946</v>
      </c>
      <c r="D46" s="991">
        <v>661.21798656499993</v>
      </c>
      <c r="E46" s="992">
        <v>14048.20917308</v>
      </c>
      <c r="F46" s="992">
        <v>436.71210612959999</v>
      </c>
      <c r="G46" s="992">
        <v>475.93267406999996</v>
      </c>
      <c r="H46" s="992">
        <v>2534.1022826399999</v>
      </c>
      <c r="I46" s="992">
        <v>156.34445825</v>
      </c>
      <c r="J46" s="992">
        <v>90.75005256</v>
      </c>
      <c r="K46" s="992">
        <v>11514.10689044</v>
      </c>
      <c r="L46" s="992">
        <v>280.36764787959999</v>
      </c>
      <c r="M46" s="992">
        <v>385.18262150999999</v>
      </c>
      <c r="N46" s="992">
        <v>4271.7978729899996</v>
      </c>
      <c r="O46" s="992">
        <v>61.481771965</v>
      </c>
      <c r="P46" s="992">
        <v>185.285312495</v>
      </c>
      <c r="Q46" s="992">
        <v>1048.96559875</v>
      </c>
      <c r="R46" s="992">
        <v>4.4162269849999998</v>
      </c>
      <c r="S46" s="992">
        <v>55.946921345</v>
      </c>
      <c r="T46" s="992">
        <v>3222.8322742400001</v>
      </c>
      <c r="U46" s="992">
        <v>57.065544979999999</v>
      </c>
      <c r="V46" s="992">
        <v>129.33839115000001</v>
      </c>
      <c r="W46" s="993"/>
      <c r="X46" s="994"/>
    </row>
    <row r="47" spans="1:24" ht="12.75">
      <c r="A47" s="989" t="s">
        <v>24</v>
      </c>
      <c r="B47" s="990">
        <v>18487.441073260001</v>
      </c>
      <c r="C47" s="990">
        <v>498.1938780946</v>
      </c>
      <c r="D47" s="991">
        <v>662.33321448499998</v>
      </c>
      <c r="E47" s="992">
        <v>14209.02250223</v>
      </c>
      <c r="F47" s="992">
        <v>436.71210612959999</v>
      </c>
      <c r="G47" s="992">
        <v>467.36739868999996</v>
      </c>
      <c r="H47" s="992">
        <v>2546.1574378</v>
      </c>
      <c r="I47" s="992">
        <v>156.34445825</v>
      </c>
      <c r="J47" s="992">
        <v>87.147762479999997</v>
      </c>
      <c r="K47" s="992">
        <v>11662.86506443</v>
      </c>
      <c r="L47" s="992">
        <v>280.36764787959999</v>
      </c>
      <c r="M47" s="992">
        <v>380.21963621000003</v>
      </c>
      <c r="N47" s="992">
        <v>4278.4185710299998</v>
      </c>
      <c r="O47" s="992">
        <v>61.481771965</v>
      </c>
      <c r="P47" s="992">
        <v>194.965815795</v>
      </c>
      <c r="Q47" s="992">
        <v>1122.95462129</v>
      </c>
      <c r="R47" s="992">
        <v>4.4162269849999998</v>
      </c>
      <c r="S47" s="992">
        <v>58.126071455000002</v>
      </c>
      <c r="T47" s="992">
        <v>3155.4639497399999</v>
      </c>
      <c r="U47" s="992">
        <v>57.065544979999999</v>
      </c>
      <c r="V47" s="992">
        <v>136.83974433999998</v>
      </c>
      <c r="W47" s="993"/>
      <c r="X47" s="994"/>
    </row>
    <row r="48" spans="1:24" ht="12.75">
      <c r="A48" s="989" t="s">
        <v>25</v>
      </c>
      <c r="B48" s="990">
        <v>18638.62838935</v>
      </c>
      <c r="C48" s="990">
        <v>498.1938780946</v>
      </c>
      <c r="D48" s="991">
        <v>659.66022400500003</v>
      </c>
      <c r="E48" s="992">
        <v>14464.83929874</v>
      </c>
      <c r="F48" s="992">
        <v>436.71210612959999</v>
      </c>
      <c r="G48" s="992">
        <v>469.64002125000002</v>
      </c>
      <c r="H48" s="992">
        <v>2577.61963608</v>
      </c>
      <c r="I48" s="992">
        <v>156.34445825</v>
      </c>
      <c r="J48" s="992">
        <v>81.403059510000006</v>
      </c>
      <c r="K48" s="992">
        <v>11887.21966266</v>
      </c>
      <c r="L48" s="992">
        <v>280.36764787959999</v>
      </c>
      <c r="M48" s="992">
        <v>388.23696174000003</v>
      </c>
      <c r="N48" s="992">
        <v>4173.7890906100001</v>
      </c>
      <c r="O48" s="992">
        <v>61.481771965</v>
      </c>
      <c r="P48" s="992">
        <v>190.02020275499999</v>
      </c>
      <c r="Q48" s="992">
        <v>1083.5726547199999</v>
      </c>
      <c r="R48" s="992">
        <v>4.4162269849999998</v>
      </c>
      <c r="S48" s="992">
        <v>57.074502225000003</v>
      </c>
      <c r="T48" s="992">
        <v>3090.21643589</v>
      </c>
      <c r="U48" s="992">
        <v>57.065544979999999</v>
      </c>
      <c r="V48" s="992">
        <v>132.94570053000001</v>
      </c>
      <c r="W48" s="993"/>
      <c r="X48" s="994"/>
    </row>
    <row r="49" spans="1:24" ht="12.75">
      <c r="A49" s="989" t="s">
        <v>26</v>
      </c>
      <c r="B49" s="990">
        <v>19157.178022799999</v>
      </c>
      <c r="C49" s="990">
        <v>544.50561276600001</v>
      </c>
      <c r="D49" s="991">
        <v>649.52193192200002</v>
      </c>
      <c r="E49" s="992">
        <v>14909.434113470001</v>
      </c>
      <c r="F49" s="992">
        <v>482.86780060000001</v>
      </c>
      <c r="G49" s="992">
        <v>455.72288686999997</v>
      </c>
      <c r="H49" s="992">
        <v>2705.98178654</v>
      </c>
      <c r="I49" s="992">
        <v>163.50923609</v>
      </c>
      <c r="J49" s="992">
        <v>83.312871090000002</v>
      </c>
      <c r="K49" s="992">
        <v>12203.452326930001</v>
      </c>
      <c r="L49" s="992">
        <v>319.35856451000001</v>
      </c>
      <c r="M49" s="992">
        <v>372.41001577999998</v>
      </c>
      <c r="N49" s="992">
        <v>4247.74390933</v>
      </c>
      <c r="O49" s="992">
        <v>61.637812166000003</v>
      </c>
      <c r="P49" s="992">
        <v>193.799045052</v>
      </c>
      <c r="Q49" s="992">
        <v>1142.39719457</v>
      </c>
      <c r="R49" s="992">
        <v>5.9335400859999998</v>
      </c>
      <c r="S49" s="992">
        <v>60.564510192</v>
      </c>
      <c r="T49" s="992">
        <v>3105.3467147599999</v>
      </c>
      <c r="U49" s="992">
        <v>55.704272080000003</v>
      </c>
      <c r="V49" s="992">
        <v>133.23453486</v>
      </c>
      <c r="W49" s="993"/>
      <c r="X49" s="994"/>
    </row>
    <row r="50" spans="1:24" ht="12.75">
      <c r="A50" s="989" t="s">
        <v>27</v>
      </c>
      <c r="B50" s="990">
        <v>19470.78771384</v>
      </c>
      <c r="C50" s="990">
        <v>544.50561276600001</v>
      </c>
      <c r="D50" s="991">
        <v>646.04418552200002</v>
      </c>
      <c r="E50" s="992">
        <v>15174.703866280001</v>
      </c>
      <c r="F50" s="992">
        <v>482.86780060000001</v>
      </c>
      <c r="G50" s="992">
        <v>451.23529952000001</v>
      </c>
      <c r="H50" s="992">
        <v>2713.3827364399999</v>
      </c>
      <c r="I50" s="992">
        <v>163.50923609</v>
      </c>
      <c r="J50" s="992">
        <v>83.754464170000006</v>
      </c>
      <c r="K50" s="992">
        <v>12461.32112984</v>
      </c>
      <c r="L50" s="992">
        <v>319.35856451000001</v>
      </c>
      <c r="M50" s="992">
        <v>367.48083535000001</v>
      </c>
      <c r="N50" s="992">
        <v>4296.0838475600003</v>
      </c>
      <c r="O50" s="992">
        <v>61.637812166000003</v>
      </c>
      <c r="P50" s="992">
        <v>194.80888600200001</v>
      </c>
      <c r="Q50" s="992">
        <v>1078.94704052</v>
      </c>
      <c r="R50" s="992">
        <v>5.9335400859999998</v>
      </c>
      <c r="S50" s="992">
        <v>62.664213252000003</v>
      </c>
      <c r="T50" s="992">
        <v>3217.1368070399999</v>
      </c>
      <c r="U50" s="992">
        <v>55.704272080000003</v>
      </c>
      <c r="V50" s="992">
        <v>132.14467275000001</v>
      </c>
      <c r="W50" s="993"/>
      <c r="X50" s="994"/>
    </row>
    <row r="51" spans="1:24" ht="12.75">
      <c r="A51" s="989" t="s">
        <v>28</v>
      </c>
      <c r="B51" s="990">
        <v>19674.1850872</v>
      </c>
      <c r="C51" s="990">
        <v>544.50561276600001</v>
      </c>
      <c r="D51" s="991">
        <v>641.27898531200003</v>
      </c>
      <c r="E51" s="992">
        <v>15510.40685734</v>
      </c>
      <c r="F51" s="992">
        <v>482.86780060000001</v>
      </c>
      <c r="G51" s="992">
        <v>445.73706358999999</v>
      </c>
      <c r="H51" s="992">
        <v>2725.6433691000002</v>
      </c>
      <c r="I51" s="992">
        <v>163.50923609</v>
      </c>
      <c r="J51" s="992">
        <v>81.62865042</v>
      </c>
      <c r="K51" s="992">
        <v>12784.76348824</v>
      </c>
      <c r="L51" s="992">
        <v>319.35856451000001</v>
      </c>
      <c r="M51" s="992">
        <v>364.10841317000001</v>
      </c>
      <c r="N51" s="992">
        <v>4163.7782298599996</v>
      </c>
      <c r="O51" s="992">
        <v>61.637812166000003</v>
      </c>
      <c r="P51" s="992">
        <v>195.54192172200001</v>
      </c>
      <c r="Q51" s="992">
        <v>1011.15710716</v>
      </c>
      <c r="R51" s="992">
        <v>5.9335400859999998</v>
      </c>
      <c r="S51" s="992">
        <v>63.192332221999997</v>
      </c>
      <c r="T51" s="992">
        <v>3152.6211226999999</v>
      </c>
      <c r="U51" s="992">
        <v>55.704272080000003</v>
      </c>
      <c r="V51" s="992">
        <v>132.34958950000001</v>
      </c>
      <c r="W51" s="993"/>
      <c r="X51" s="994"/>
    </row>
    <row r="52" spans="1:24" ht="12.75">
      <c r="A52" s="989" t="s">
        <v>29</v>
      </c>
      <c r="B52" s="990">
        <v>19594.360967569999</v>
      </c>
      <c r="C52" s="990">
        <v>589.62088030999996</v>
      </c>
      <c r="D52" s="991">
        <v>593.74010190000001</v>
      </c>
      <c r="E52" s="992">
        <v>15662.04881824</v>
      </c>
      <c r="F52" s="992">
        <v>532.27987363</v>
      </c>
      <c r="G52" s="992">
        <v>436.53477371999998</v>
      </c>
      <c r="H52" s="992">
        <v>2658.1386314299998</v>
      </c>
      <c r="I52" s="992">
        <v>180.06791343</v>
      </c>
      <c r="J52" s="992">
        <v>74.676728499999996</v>
      </c>
      <c r="K52" s="992">
        <v>13003.910186810001</v>
      </c>
      <c r="L52" s="992">
        <v>352.21196020000002</v>
      </c>
      <c r="M52" s="992">
        <v>361.85804522000001</v>
      </c>
      <c r="N52" s="992">
        <v>3932.31214933</v>
      </c>
      <c r="O52" s="992">
        <v>57.34100668</v>
      </c>
      <c r="P52" s="992">
        <v>157.20532818000001</v>
      </c>
      <c r="Q52" s="992">
        <v>766.76617433000001</v>
      </c>
      <c r="R52" s="992">
        <v>4.06922345</v>
      </c>
      <c r="S52" s="992">
        <v>40.809313410000001</v>
      </c>
      <c r="T52" s="992">
        <v>3165.545975</v>
      </c>
      <c r="U52" s="992">
        <v>53.271783229999997</v>
      </c>
      <c r="V52" s="992">
        <v>116.39601476999999</v>
      </c>
      <c r="W52" s="993"/>
      <c r="X52" s="994"/>
    </row>
    <row r="53" spans="1:24" ht="12.75">
      <c r="A53" s="989" t="s">
        <v>3518</v>
      </c>
      <c r="B53" s="990"/>
      <c r="C53" s="990"/>
      <c r="D53" s="991"/>
      <c r="E53" s="992"/>
      <c r="F53" s="992"/>
      <c r="G53" s="992"/>
      <c r="H53" s="992"/>
      <c r="I53" s="992"/>
      <c r="J53" s="992"/>
      <c r="K53" s="992"/>
      <c r="L53" s="992"/>
      <c r="M53" s="992"/>
      <c r="N53" s="992"/>
      <c r="O53" s="992"/>
      <c r="P53" s="992"/>
      <c r="Q53" s="992"/>
      <c r="R53" s="992"/>
      <c r="S53" s="992"/>
      <c r="T53" s="992"/>
      <c r="U53" s="992"/>
      <c r="V53" s="992"/>
      <c r="W53" s="993"/>
      <c r="X53" s="994"/>
    </row>
    <row r="54" spans="1:24" ht="12.75">
      <c r="A54" s="989" t="s">
        <v>18</v>
      </c>
      <c r="B54" s="990">
        <v>19669.591567899999</v>
      </c>
      <c r="C54" s="990">
        <v>589.62088030999996</v>
      </c>
      <c r="D54" s="991">
        <v>583.77188913999998</v>
      </c>
      <c r="E54" s="992">
        <v>15715.43837636</v>
      </c>
      <c r="F54" s="992">
        <v>532.27987363</v>
      </c>
      <c r="G54" s="992">
        <v>430.77420088999997</v>
      </c>
      <c r="H54" s="992">
        <v>2664.3119265</v>
      </c>
      <c r="I54" s="992">
        <v>180.06791343</v>
      </c>
      <c r="J54" s="992">
        <v>75.117670590000003</v>
      </c>
      <c r="K54" s="992">
        <v>13051.126449859999</v>
      </c>
      <c r="L54" s="992">
        <v>352.21196020000002</v>
      </c>
      <c r="M54" s="992">
        <v>355.65653029999999</v>
      </c>
      <c r="N54" s="992">
        <v>3954.1531915400001</v>
      </c>
      <c r="O54" s="992">
        <v>57.34100668</v>
      </c>
      <c r="P54" s="992">
        <v>152.99768825000001</v>
      </c>
      <c r="Q54" s="992">
        <v>754.44027503999996</v>
      </c>
      <c r="R54" s="992">
        <v>4.06922345</v>
      </c>
      <c r="S54" s="992">
        <v>38.512668329999997</v>
      </c>
      <c r="T54" s="992">
        <v>3199.7129165000001</v>
      </c>
      <c r="U54" s="992">
        <v>53.271783229999997</v>
      </c>
      <c r="V54" s="992">
        <v>114.48501992</v>
      </c>
      <c r="W54" s="993"/>
      <c r="X54" s="994"/>
    </row>
    <row r="55" spans="1:24" ht="12.75">
      <c r="A55" s="989" t="s">
        <v>19</v>
      </c>
      <c r="B55" s="990">
        <v>19757.429857299998</v>
      </c>
      <c r="C55" s="990">
        <v>589.62088030999996</v>
      </c>
      <c r="D55" s="991">
        <v>606.13546266000003</v>
      </c>
      <c r="E55" s="992">
        <v>15838.379008800001</v>
      </c>
      <c r="F55" s="992">
        <v>532.27987363</v>
      </c>
      <c r="G55" s="992">
        <v>448.55554411000003</v>
      </c>
      <c r="H55" s="992">
        <v>2664.6437111400001</v>
      </c>
      <c r="I55" s="992">
        <v>180.06791343</v>
      </c>
      <c r="J55" s="992">
        <v>84.947585169999996</v>
      </c>
      <c r="K55" s="992">
        <v>13173.73529766</v>
      </c>
      <c r="L55" s="992">
        <v>352.21196020000002</v>
      </c>
      <c r="M55" s="992">
        <v>363.60795894</v>
      </c>
      <c r="N55" s="992">
        <v>3919.0508485</v>
      </c>
      <c r="O55" s="992">
        <v>57.34100668</v>
      </c>
      <c r="P55" s="992">
        <v>157.57991855</v>
      </c>
      <c r="Q55" s="992">
        <v>741.99441679999995</v>
      </c>
      <c r="R55" s="992">
        <v>4.06922345</v>
      </c>
      <c r="S55" s="992">
        <v>41.52491551</v>
      </c>
      <c r="T55" s="992">
        <v>3177.0564316999998</v>
      </c>
      <c r="U55" s="992">
        <v>53.271783229999997</v>
      </c>
      <c r="V55" s="992">
        <v>116.05500304</v>
      </c>
      <c r="W55" s="993"/>
      <c r="X55" s="994"/>
    </row>
    <row r="56" spans="1:24" ht="12.75">
      <c r="A56" s="989" t="s">
        <v>20</v>
      </c>
      <c r="B56" s="990">
        <v>20038.596072189997</v>
      </c>
      <c r="C56" s="990">
        <v>626.25236123181901</v>
      </c>
      <c r="D56" s="991">
        <v>590.48680544000001</v>
      </c>
      <c r="E56" s="992">
        <v>16056.556065969999</v>
      </c>
      <c r="F56" s="992">
        <v>566.72258587181898</v>
      </c>
      <c r="G56" s="992">
        <v>432.54660754000008</v>
      </c>
      <c r="H56" s="992">
        <v>2668.4086622200002</v>
      </c>
      <c r="I56" s="992">
        <v>191.42129441</v>
      </c>
      <c r="J56" s="992">
        <v>80.957747389999994</v>
      </c>
      <c r="K56" s="992">
        <v>13388.147403749997</v>
      </c>
      <c r="L56" s="992">
        <v>375.30129146181901</v>
      </c>
      <c r="M56" s="992">
        <v>351.58886015000007</v>
      </c>
      <c r="N56" s="992">
        <v>3982.0400062200006</v>
      </c>
      <c r="O56" s="992">
        <v>59.529775360000002</v>
      </c>
      <c r="P56" s="992">
        <v>157.94019790000004</v>
      </c>
      <c r="Q56" s="992">
        <v>715.59073494999996</v>
      </c>
      <c r="R56" s="992">
        <v>3.95228739</v>
      </c>
      <c r="S56" s="992">
        <v>45.262161790000015</v>
      </c>
      <c r="T56" s="992">
        <v>3266.4492712700007</v>
      </c>
      <c r="U56" s="992">
        <v>55.57748797</v>
      </c>
      <c r="V56" s="992">
        <v>112.67803611000002</v>
      </c>
      <c r="W56" s="993"/>
      <c r="X56" s="994"/>
    </row>
    <row r="57" spans="1:24" ht="12.75">
      <c r="A57" s="989" t="s">
        <v>21</v>
      </c>
      <c r="B57" s="990">
        <v>20379.628223569998</v>
      </c>
      <c r="C57" s="990">
        <v>626.25236123181901</v>
      </c>
      <c r="D57" s="991">
        <v>591.79680065000002</v>
      </c>
      <c r="E57" s="992">
        <v>16405.38714834</v>
      </c>
      <c r="F57" s="992">
        <v>566.72258587181898</v>
      </c>
      <c r="G57" s="992">
        <v>436.58304476000001</v>
      </c>
      <c r="H57" s="992">
        <v>2717.3204517899999</v>
      </c>
      <c r="I57" s="992">
        <v>191.42129441</v>
      </c>
      <c r="J57" s="992">
        <v>81.497288589999997</v>
      </c>
      <c r="K57" s="992">
        <v>13688.06669655</v>
      </c>
      <c r="L57" s="992">
        <v>375.30129146181901</v>
      </c>
      <c r="M57" s="992">
        <v>355.08575617000002</v>
      </c>
      <c r="N57" s="992">
        <v>3974.2410752300002</v>
      </c>
      <c r="O57" s="992">
        <v>59.529775360000002</v>
      </c>
      <c r="P57" s="992">
        <v>155.21375588999999</v>
      </c>
      <c r="Q57" s="992">
        <v>715.09292642000003</v>
      </c>
      <c r="R57" s="992">
        <v>3.95228739</v>
      </c>
      <c r="S57" s="992">
        <v>41.3135677</v>
      </c>
      <c r="T57" s="992">
        <v>3259.1481488099998</v>
      </c>
      <c r="U57" s="992">
        <v>55.57748797</v>
      </c>
      <c r="V57" s="992">
        <v>113.90018818999999</v>
      </c>
      <c r="W57" s="993"/>
      <c r="X57" s="994"/>
    </row>
    <row r="58" spans="1:24" ht="12.75">
      <c r="A58" s="989" t="s">
        <v>22</v>
      </c>
      <c r="B58" s="990">
        <v>20659.271011889999</v>
      </c>
      <c r="C58" s="990">
        <v>626.25236123181901</v>
      </c>
      <c r="D58" s="991">
        <v>490.09126863</v>
      </c>
      <c r="E58" s="992">
        <v>16660.515789339999</v>
      </c>
      <c r="F58" s="992">
        <v>566.72258587181898</v>
      </c>
      <c r="G58" s="992">
        <v>350.11316103000001</v>
      </c>
      <c r="H58" s="992">
        <v>2752.9485942800002</v>
      </c>
      <c r="I58" s="992">
        <v>191.42129441</v>
      </c>
      <c r="J58" s="992">
        <v>68.253597040000002</v>
      </c>
      <c r="K58" s="992">
        <v>13907.567195060001</v>
      </c>
      <c r="L58" s="992">
        <v>375.30129146181901</v>
      </c>
      <c r="M58" s="992">
        <v>281.85956399000003</v>
      </c>
      <c r="N58" s="992">
        <v>3998.7552225499999</v>
      </c>
      <c r="O58" s="992">
        <v>59.529775360000002</v>
      </c>
      <c r="P58" s="992">
        <v>139.97810759999999</v>
      </c>
      <c r="Q58" s="992">
        <v>705.50295219999998</v>
      </c>
      <c r="R58" s="992">
        <v>3.95228739</v>
      </c>
      <c r="S58" s="992">
        <v>43.993907569999998</v>
      </c>
      <c r="T58" s="992">
        <v>3293.2522703499999</v>
      </c>
      <c r="U58" s="992">
        <v>55.57748797</v>
      </c>
      <c r="V58" s="992">
        <v>95.984200029999997</v>
      </c>
      <c r="W58" s="993"/>
      <c r="X58" s="994"/>
    </row>
    <row r="59" spans="1:24" ht="12.75">
      <c r="A59" s="989" t="s">
        <v>23</v>
      </c>
      <c r="B59" s="990">
        <v>21296.236537140001</v>
      </c>
      <c r="C59" s="990">
        <v>669.93619074000003</v>
      </c>
      <c r="D59" s="991">
        <v>502.27205501999998</v>
      </c>
      <c r="E59" s="992">
        <v>17055.800562029999</v>
      </c>
      <c r="F59" s="992">
        <v>602.04825557000004</v>
      </c>
      <c r="G59" s="992">
        <v>365.72840668999999</v>
      </c>
      <c r="H59" s="992">
        <v>2809.7528983100001</v>
      </c>
      <c r="I59" s="992">
        <v>212.07382433000001</v>
      </c>
      <c r="J59" s="992">
        <v>68.551594949999995</v>
      </c>
      <c r="K59" s="992">
        <v>14246.047663720001</v>
      </c>
      <c r="L59" s="992">
        <v>389.97443124</v>
      </c>
      <c r="M59" s="992">
        <v>297.17681174000001</v>
      </c>
      <c r="N59" s="992">
        <v>4240.4359751100001</v>
      </c>
      <c r="O59" s="992">
        <v>67.887935170000006</v>
      </c>
      <c r="P59" s="992">
        <v>136.54364833</v>
      </c>
      <c r="Q59" s="992">
        <v>743.30632961000003</v>
      </c>
      <c r="R59" s="992">
        <v>3.8611818000000002</v>
      </c>
      <c r="S59" s="992">
        <v>45.653695560000003</v>
      </c>
      <c r="T59" s="992">
        <v>3497.1296455000002</v>
      </c>
      <c r="U59" s="992">
        <v>64.026753369999994</v>
      </c>
      <c r="V59" s="992">
        <v>90.889952769999994</v>
      </c>
      <c r="W59" s="993"/>
      <c r="X59" s="994"/>
    </row>
    <row r="60" spans="1:24" ht="12.75">
      <c r="A60" s="989" t="s">
        <v>24</v>
      </c>
      <c r="B60" s="990">
        <v>21371.990641100001</v>
      </c>
      <c r="C60" s="990">
        <v>669.93619074000003</v>
      </c>
      <c r="D60" s="991">
        <v>494.71576025000002</v>
      </c>
      <c r="E60" s="992">
        <v>17293.368727770001</v>
      </c>
      <c r="F60" s="992">
        <v>602.04825557000004</v>
      </c>
      <c r="G60" s="992">
        <v>361.13621083999999</v>
      </c>
      <c r="H60" s="992">
        <v>2778.4890806600001</v>
      </c>
      <c r="I60" s="992">
        <v>212.07382433000001</v>
      </c>
      <c r="J60" s="992">
        <v>84.85508093</v>
      </c>
      <c r="K60" s="992">
        <v>14514.879647109999</v>
      </c>
      <c r="L60" s="992">
        <v>389.97443124</v>
      </c>
      <c r="M60" s="992">
        <v>276.28112991</v>
      </c>
      <c r="N60" s="992">
        <v>4078.6219133300001</v>
      </c>
      <c r="O60" s="992">
        <v>67.887935170000006</v>
      </c>
      <c r="P60" s="992">
        <v>133.57954941</v>
      </c>
      <c r="Q60" s="992">
        <v>705.51294152000003</v>
      </c>
      <c r="R60" s="992">
        <v>3.8611818000000002</v>
      </c>
      <c r="S60" s="992">
        <v>42.163245019999998</v>
      </c>
      <c r="T60" s="992">
        <v>3373.1089718100002</v>
      </c>
      <c r="U60" s="992">
        <v>64.026753369999994</v>
      </c>
      <c r="V60" s="992">
        <v>91.416304389999993</v>
      </c>
      <c r="W60" s="993"/>
      <c r="X60" s="994"/>
    </row>
    <row r="61" spans="1:24" ht="12.75">
      <c r="A61" s="989" t="s">
        <v>25</v>
      </c>
      <c r="B61" s="990">
        <v>21814.186641169999</v>
      </c>
      <c r="C61" s="990">
        <v>669.93619074000003</v>
      </c>
      <c r="D61" s="991">
        <v>534.25918471</v>
      </c>
      <c r="E61" s="992">
        <v>17673.434435669998</v>
      </c>
      <c r="F61" s="992">
        <v>602.04825557000004</v>
      </c>
      <c r="G61" s="992">
        <v>379.56958030999999</v>
      </c>
      <c r="H61" s="992">
        <v>2809.3950761400001</v>
      </c>
      <c r="I61" s="992">
        <v>212.07382433000001</v>
      </c>
      <c r="J61" s="992">
        <v>87.157941719999997</v>
      </c>
      <c r="K61" s="992">
        <v>14864.039359529999</v>
      </c>
      <c r="L61" s="992">
        <v>389.97443124</v>
      </c>
      <c r="M61" s="992">
        <v>292.41163859</v>
      </c>
      <c r="N61" s="992">
        <v>4140.7522054999999</v>
      </c>
      <c r="O61" s="992">
        <v>67.887935170000006</v>
      </c>
      <c r="P61" s="992">
        <v>154.68960440000001</v>
      </c>
      <c r="Q61" s="992">
        <v>751.91940910000005</v>
      </c>
      <c r="R61" s="992">
        <v>3.8611818000000002</v>
      </c>
      <c r="S61" s="992">
        <v>43.653620429999997</v>
      </c>
      <c r="T61" s="992">
        <v>3388.8327964</v>
      </c>
      <c r="U61" s="992">
        <v>64.026753369999994</v>
      </c>
      <c r="V61" s="992">
        <v>111.03598397</v>
      </c>
      <c r="W61" s="993"/>
      <c r="X61" s="994"/>
    </row>
    <row r="62" spans="1:24" ht="12.75">
      <c r="A62" s="989" t="s">
        <v>26</v>
      </c>
      <c r="B62" s="990">
        <v>22281.8847977</v>
      </c>
      <c r="C62" s="990">
        <v>736.76103416999899</v>
      </c>
      <c r="D62" s="991">
        <v>519.77127536</v>
      </c>
      <c r="E62" s="992">
        <v>18038.128002950001</v>
      </c>
      <c r="F62" s="992">
        <v>669.36078671999996</v>
      </c>
      <c r="G62" s="992">
        <v>377.23773401</v>
      </c>
      <c r="H62" s="992">
        <v>2898.9747897000002</v>
      </c>
      <c r="I62" s="992">
        <v>240.90531765</v>
      </c>
      <c r="J62" s="992">
        <v>85.811350660000002</v>
      </c>
      <c r="K62" s="992">
        <v>15139.15321325</v>
      </c>
      <c r="L62" s="992">
        <v>428.45546906999999</v>
      </c>
      <c r="M62" s="992">
        <v>291.42638334999998</v>
      </c>
      <c r="N62" s="992">
        <v>4243.7567947500002</v>
      </c>
      <c r="O62" s="992">
        <v>67.400247449999995</v>
      </c>
      <c r="P62" s="992">
        <v>142.53354135000001</v>
      </c>
      <c r="Q62" s="992">
        <v>795.40217067000003</v>
      </c>
      <c r="R62" s="992">
        <v>3.6819624000000002</v>
      </c>
      <c r="S62" s="992">
        <v>36.779894140000003</v>
      </c>
      <c r="T62" s="992">
        <v>3448.3546240800001</v>
      </c>
      <c r="U62" s="992">
        <v>63.718285049999999</v>
      </c>
      <c r="V62" s="992">
        <v>105.75364721</v>
      </c>
      <c r="W62" s="993"/>
      <c r="X62" s="994"/>
    </row>
    <row r="63" spans="1:24" ht="12.75">
      <c r="A63" s="989" t="s">
        <v>27</v>
      </c>
      <c r="B63" s="990">
        <v>22459.711639469999</v>
      </c>
      <c r="C63" s="990">
        <v>736.76103416999899</v>
      </c>
      <c r="D63" s="991">
        <v>440.37917463999997</v>
      </c>
      <c r="E63" s="992">
        <v>18035.452911830002</v>
      </c>
      <c r="F63" s="992">
        <v>669.36078671999996</v>
      </c>
      <c r="G63" s="992">
        <v>323.97866716999999</v>
      </c>
      <c r="H63" s="992">
        <v>2868.8617400600001</v>
      </c>
      <c r="I63" s="992">
        <v>240.90531765</v>
      </c>
      <c r="J63" s="992">
        <v>63.389407869999999</v>
      </c>
      <c r="K63" s="992">
        <v>15166.59117177</v>
      </c>
      <c r="L63" s="992">
        <v>428.45546906999999</v>
      </c>
      <c r="M63" s="992">
        <v>260.58925929999998</v>
      </c>
      <c r="N63" s="992">
        <v>4424.25872764</v>
      </c>
      <c r="O63" s="992">
        <v>67.400247449999995</v>
      </c>
      <c r="P63" s="992">
        <v>116.40050746999999</v>
      </c>
      <c r="Q63" s="992">
        <v>771.37146628000005</v>
      </c>
      <c r="R63" s="992">
        <v>3.6819624000000002</v>
      </c>
      <c r="S63" s="992">
        <v>33.447762769999997</v>
      </c>
      <c r="T63" s="992">
        <v>3652.8872613600001</v>
      </c>
      <c r="U63" s="992">
        <v>63.718285049999999</v>
      </c>
      <c r="V63" s="992">
        <v>82.952744699999997</v>
      </c>
      <c r="W63" s="993"/>
      <c r="X63" s="994"/>
    </row>
    <row r="64" spans="1:24" ht="12.75">
      <c r="A64" s="989" t="s">
        <v>28</v>
      </c>
      <c r="B64" s="990">
        <v>22881.230522549999</v>
      </c>
      <c r="C64" s="990">
        <v>736.76103416999899</v>
      </c>
      <c r="D64" s="991">
        <v>440.25735591</v>
      </c>
      <c r="E64" s="992">
        <v>18455.828191199998</v>
      </c>
      <c r="F64" s="992">
        <v>669.36078671999996</v>
      </c>
      <c r="G64" s="992">
        <v>327.77839140999998</v>
      </c>
      <c r="H64" s="992">
        <v>2967.90292998</v>
      </c>
      <c r="I64" s="992">
        <v>240.90531765</v>
      </c>
      <c r="J64" s="992">
        <v>62.234772130000003</v>
      </c>
      <c r="K64" s="992">
        <v>15487.92526122</v>
      </c>
      <c r="L64" s="992">
        <v>428.45546906999999</v>
      </c>
      <c r="M64" s="992">
        <v>265.54361927999997</v>
      </c>
      <c r="N64" s="992">
        <v>4425.4023313500002</v>
      </c>
      <c r="O64" s="992">
        <v>67.400247449999995</v>
      </c>
      <c r="P64" s="992">
        <v>112.4789645</v>
      </c>
      <c r="Q64" s="992">
        <v>807.75964533000001</v>
      </c>
      <c r="R64" s="992">
        <v>3.6819624000000002</v>
      </c>
      <c r="S64" s="992">
        <v>32.785406879999996</v>
      </c>
      <c r="T64" s="992">
        <v>3617.6426860199999</v>
      </c>
      <c r="U64" s="992">
        <v>63.718285049999999</v>
      </c>
      <c r="V64" s="992">
        <v>79.693557620000007</v>
      </c>
      <c r="W64" s="993"/>
      <c r="X64" s="994"/>
    </row>
    <row r="65" spans="1:24" ht="12.75">
      <c r="A65" s="989" t="s">
        <v>29</v>
      </c>
      <c r="B65" s="990">
        <v>23182.96071385</v>
      </c>
      <c r="C65" s="990">
        <v>796.16364696000005</v>
      </c>
      <c r="D65" s="991">
        <v>437.84492763999998</v>
      </c>
      <c r="E65" s="992">
        <v>18816.129537659999</v>
      </c>
      <c r="F65" s="992">
        <v>722.55011837999996</v>
      </c>
      <c r="G65" s="992">
        <v>329.30543438000001</v>
      </c>
      <c r="H65" s="992">
        <v>3007.6613006500002</v>
      </c>
      <c r="I65" s="992">
        <v>272.08971774999998</v>
      </c>
      <c r="J65" s="992">
        <v>71.92944722</v>
      </c>
      <c r="K65" s="992">
        <v>15808.46823701</v>
      </c>
      <c r="L65" s="992">
        <v>450.46040062999998</v>
      </c>
      <c r="M65" s="992">
        <v>257.37598716000002</v>
      </c>
      <c r="N65" s="992">
        <v>4366.8311761900004</v>
      </c>
      <c r="O65" s="992">
        <v>73.613528579999993</v>
      </c>
      <c r="P65" s="992">
        <v>108.53949326</v>
      </c>
      <c r="Q65" s="992">
        <v>807.98950187000003</v>
      </c>
      <c r="R65" s="992">
        <v>3.4500371400000001</v>
      </c>
      <c r="S65" s="992">
        <v>29.35570839</v>
      </c>
      <c r="T65" s="992">
        <v>3558.84167432</v>
      </c>
      <c r="U65" s="992">
        <v>70.163491440000001</v>
      </c>
      <c r="V65" s="992">
        <v>79.183784869999997</v>
      </c>
      <c r="W65" s="993"/>
      <c r="X65" s="994"/>
    </row>
    <row r="66" spans="1:24" ht="12.75">
      <c r="A66" s="989" t="s">
        <v>3989</v>
      </c>
      <c r="B66" s="990"/>
      <c r="C66" s="990"/>
      <c r="D66" s="991"/>
      <c r="E66" s="992"/>
      <c r="F66" s="992"/>
      <c r="G66" s="992"/>
      <c r="H66" s="992"/>
      <c r="I66" s="992"/>
      <c r="J66" s="992"/>
      <c r="K66" s="992"/>
      <c r="L66" s="992"/>
      <c r="M66" s="992"/>
      <c r="N66" s="992"/>
      <c r="O66" s="992"/>
      <c r="P66" s="992"/>
      <c r="Q66" s="992"/>
      <c r="R66" s="992"/>
      <c r="S66" s="992"/>
      <c r="T66" s="992"/>
      <c r="U66" s="992"/>
      <c r="V66" s="992"/>
      <c r="W66" s="993"/>
      <c r="X66" s="994"/>
    </row>
    <row r="67" spans="1:24" ht="12.75">
      <c r="A67" s="989" t="s">
        <v>18</v>
      </c>
      <c r="B67" s="990">
        <v>23566.36298432</v>
      </c>
      <c r="C67" s="990">
        <v>796.16364696000005</v>
      </c>
      <c r="D67" s="991">
        <v>454.06281114000001</v>
      </c>
      <c r="E67" s="992">
        <v>18884.329710139998</v>
      </c>
      <c r="F67" s="992">
        <v>722.55011837999996</v>
      </c>
      <c r="G67" s="992">
        <v>344.75044946000003</v>
      </c>
      <c r="H67" s="992">
        <v>2946.0323626499999</v>
      </c>
      <c r="I67" s="992">
        <v>272.08971774999998</v>
      </c>
      <c r="J67" s="992">
        <v>73.426248740000005</v>
      </c>
      <c r="K67" s="992">
        <v>15938.297347490001</v>
      </c>
      <c r="L67" s="992">
        <v>450.46040062999998</v>
      </c>
      <c r="M67" s="992">
        <v>271.32420072000002</v>
      </c>
      <c r="N67" s="992">
        <v>4682.0332741800003</v>
      </c>
      <c r="O67" s="992">
        <v>73.613528579999993</v>
      </c>
      <c r="P67" s="992">
        <v>109.31236168</v>
      </c>
      <c r="Q67" s="992">
        <v>770.90491202999999</v>
      </c>
      <c r="R67" s="992">
        <v>3.4500371400000001</v>
      </c>
      <c r="S67" s="992">
        <v>28.912655879999999</v>
      </c>
      <c r="T67" s="992">
        <v>3911.1283621500002</v>
      </c>
      <c r="U67" s="992">
        <v>70.163491440000001</v>
      </c>
      <c r="V67" s="992">
        <v>80.399705800000007</v>
      </c>
      <c r="W67" s="993"/>
      <c r="X67" s="994"/>
    </row>
    <row r="68" spans="1:24" ht="12.75">
      <c r="A68" s="989" t="s">
        <v>19</v>
      </c>
      <c r="B68" s="990">
        <v>23832.962545639999</v>
      </c>
      <c r="C68" s="990">
        <v>796.16364696000005</v>
      </c>
      <c r="D68" s="991">
        <v>469.15723987000001</v>
      </c>
      <c r="E68" s="992">
        <v>19170.287229869999</v>
      </c>
      <c r="F68" s="992">
        <v>722.55011837999996</v>
      </c>
      <c r="G68" s="992">
        <v>353.88525865000003</v>
      </c>
      <c r="H68" s="992">
        <v>2987.5606500399999</v>
      </c>
      <c r="I68" s="992">
        <v>272.08971774999998</v>
      </c>
      <c r="J68" s="992">
        <v>80.992791220000001</v>
      </c>
      <c r="K68" s="992">
        <v>16182.72657983</v>
      </c>
      <c r="L68" s="992">
        <v>450.46040062999998</v>
      </c>
      <c r="M68" s="992">
        <v>272.89246743000001</v>
      </c>
      <c r="N68" s="992">
        <v>4662.6753157700005</v>
      </c>
      <c r="O68" s="992">
        <v>73.613528579999993</v>
      </c>
      <c r="P68" s="992">
        <v>115.27198122</v>
      </c>
      <c r="Q68" s="992">
        <v>750.17808237999998</v>
      </c>
      <c r="R68" s="992">
        <v>3.4500371400000001</v>
      </c>
      <c r="S68" s="992">
        <v>28.983696370000001</v>
      </c>
      <c r="T68" s="992">
        <v>3912.49723339</v>
      </c>
      <c r="U68" s="992">
        <v>70.163491440000001</v>
      </c>
      <c r="V68" s="992">
        <v>86.288284849999997</v>
      </c>
      <c r="W68" s="993"/>
      <c r="X68" s="994"/>
    </row>
    <row r="69" spans="1:24" ht="12.75">
      <c r="A69" s="989" t="s">
        <v>20</v>
      </c>
      <c r="B69" s="990">
        <v>24102.612633050001</v>
      </c>
      <c r="C69" s="990">
        <v>1340.0822916300001</v>
      </c>
      <c r="D69" s="991">
        <v>470.75581861000001</v>
      </c>
      <c r="E69" s="992">
        <v>19461.25439174</v>
      </c>
      <c r="F69" s="992">
        <v>1265.21816283</v>
      </c>
      <c r="G69" s="992">
        <v>356.49317094999998</v>
      </c>
      <c r="H69" s="992">
        <v>3069.9841273100001</v>
      </c>
      <c r="I69" s="992">
        <v>293.42036406</v>
      </c>
      <c r="J69" s="992">
        <v>79.180929539999994</v>
      </c>
      <c r="K69" s="992">
        <v>16391.270264430001</v>
      </c>
      <c r="L69" s="992">
        <v>971.79779876999999</v>
      </c>
      <c r="M69" s="992">
        <v>277.31224141000001</v>
      </c>
      <c r="N69" s="992">
        <v>4641.3582413100003</v>
      </c>
      <c r="O69" s="992">
        <v>74.864128800000003</v>
      </c>
      <c r="P69" s="992">
        <v>114.26264766</v>
      </c>
      <c r="Q69" s="992">
        <v>751.15184436000004</v>
      </c>
      <c r="R69" s="992">
        <v>3.3740209999999999</v>
      </c>
      <c r="S69" s="992">
        <v>32.104515769999999</v>
      </c>
      <c r="T69" s="992">
        <v>3890.20639695</v>
      </c>
      <c r="U69" s="992">
        <v>71.490107800000004</v>
      </c>
      <c r="V69" s="992">
        <v>82.158131890000007</v>
      </c>
      <c r="W69" s="993"/>
      <c r="X69" s="994"/>
    </row>
    <row r="70" spans="1:24" ht="12.75">
      <c r="A70" s="989" t="s">
        <v>21</v>
      </c>
      <c r="B70" s="990">
        <v>24644.450629260002</v>
      </c>
      <c r="C70" s="990">
        <v>1340.0822916300001</v>
      </c>
      <c r="D70" s="991">
        <v>462.24683622999999</v>
      </c>
      <c r="E70" s="992">
        <v>20030.46543281</v>
      </c>
      <c r="F70" s="992">
        <v>1265.21816283</v>
      </c>
      <c r="G70" s="992">
        <v>355.71784070000001</v>
      </c>
      <c r="H70" s="992">
        <v>3223.7950579100002</v>
      </c>
      <c r="I70" s="992">
        <v>293.42036406</v>
      </c>
      <c r="J70" s="992">
        <v>81.70442869</v>
      </c>
      <c r="K70" s="992">
        <v>16806.670374900001</v>
      </c>
      <c r="L70" s="992">
        <v>971.79779876999999</v>
      </c>
      <c r="M70" s="992">
        <v>274.01341201000002</v>
      </c>
      <c r="N70" s="992">
        <v>4613.9851964500003</v>
      </c>
      <c r="O70" s="992">
        <v>74.864128800000003</v>
      </c>
      <c r="P70" s="992">
        <v>106.52899553</v>
      </c>
      <c r="Q70" s="992">
        <v>732.47117978999995</v>
      </c>
      <c r="R70" s="992">
        <v>3.3740209999999999</v>
      </c>
      <c r="S70" s="992">
        <v>32.129931499999998</v>
      </c>
      <c r="T70" s="992">
        <v>3881.5140166599999</v>
      </c>
      <c r="U70" s="992">
        <v>71.490107800000004</v>
      </c>
      <c r="V70" s="992">
        <v>74.399064030000005</v>
      </c>
      <c r="W70" s="993"/>
      <c r="X70" s="994"/>
    </row>
    <row r="71" spans="1:24" ht="12.75">
      <c r="A71" s="989" t="s">
        <v>22</v>
      </c>
      <c r="B71" s="990">
        <v>25158.180706700001</v>
      </c>
      <c r="C71" s="990">
        <v>1340.0822916300001</v>
      </c>
      <c r="D71" s="991">
        <v>466.54076087999999</v>
      </c>
      <c r="E71" s="992">
        <v>20550.555972689999</v>
      </c>
      <c r="F71" s="992">
        <v>1265.21816283</v>
      </c>
      <c r="G71" s="992">
        <v>361.32318459999999</v>
      </c>
      <c r="H71" s="992">
        <v>3288.1811781599999</v>
      </c>
      <c r="I71" s="992">
        <v>293.42036406</v>
      </c>
      <c r="J71" s="992">
        <v>80.723460250000002</v>
      </c>
      <c r="K71" s="992">
        <v>17262.374794529998</v>
      </c>
      <c r="L71" s="992">
        <v>971.79779876999999</v>
      </c>
      <c r="M71" s="992">
        <v>280.59972434999997</v>
      </c>
      <c r="N71" s="992">
        <v>4607.6247340099999</v>
      </c>
      <c r="O71" s="992">
        <v>74.864128800000003</v>
      </c>
      <c r="P71" s="992">
        <v>105.21757628</v>
      </c>
      <c r="Q71" s="992">
        <v>718.96438977000003</v>
      </c>
      <c r="R71" s="992">
        <v>3.3740209999999999</v>
      </c>
      <c r="S71" s="992">
        <v>28.359501529999999</v>
      </c>
      <c r="T71" s="992">
        <v>3888.6603442400001</v>
      </c>
      <c r="U71" s="992">
        <v>71.490107800000004</v>
      </c>
      <c r="V71" s="992">
        <v>76.85807475</v>
      </c>
      <c r="W71" s="993"/>
      <c r="X71" s="994"/>
    </row>
    <row r="72" spans="1:24" ht="12.75">
      <c r="A72" s="989" t="s">
        <v>23</v>
      </c>
      <c r="B72" s="990">
        <v>25429.517682599999</v>
      </c>
      <c r="C72" s="990">
        <v>1573.7502588</v>
      </c>
      <c r="D72" s="991">
        <v>451.69949761999999</v>
      </c>
      <c r="E72" s="992">
        <v>20841.13610104</v>
      </c>
      <c r="F72" s="992">
        <v>1504.7896501800001</v>
      </c>
      <c r="G72" s="992">
        <v>347.86828634</v>
      </c>
      <c r="H72" s="992">
        <v>3272.4005705300001</v>
      </c>
      <c r="I72" s="992">
        <v>318.53706646000001</v>
      </c>
      <c r="J72" s="992">
        <v>79.519376969999996</v>
      </c>
      <c r="K72" s="992">
        <v>17568.735530509999</v>
      </c>
      <c r="L72" s="992">
        <v>1186.2525837200001</v>
      </c>
      <c r="M72" s="992">
        <v>268.34890937</v>
      </c>
      <c r="N72" s="992">
        <v>4588.3815815600001</v>
      </c>
      <c r="O72" s="992">
        <v>68.960608620000002</v>
      </c>
      <c r="P72" s="992">
        <v>103.83121128000001</v>
      </c>
      <c r="Q72" s="992">
        <v>725.82002194999995</v>
      </c>
      <c r="R72" s="992">
        <v>3.04458479</v>
      </c>
      <c r="S72" s="992">
        <v>27.845313050000001</v>
      </c>
      <c r="T72" s="992">
        <v>3862.5615596100001</v>
      </c>
      <c r="U72" s="992">
        <v>65.91602383</v>
      </c>
      <c r="V72" s="992">
        <v>75.985898230000004</v>
      </c>
      <c r="W72" s="993"/>
      <c r="X72" s="994"/>
    </row>
    <row r="73" spans="1:24" ht="12.75">
      <c r="A73" s="989" t="s">
        <v>24</v>
      </c>
      <c r="B73" s="990">
        <v>25694.70942689</v>
      </c>
      <c r="C73" s="990">
        <v>1573.7502588</v>
      </c>
      <c r="D73" s="991">
        <v>453.71234934</v>
      </c>
      <c r="E73" s="992">
        <v>21161.57027842</v>
      </c>
      <c r="F73" s="992">
        <v>1504.7896501800001</v>
      </c>
      <c r="G73" s="992">
        <v>348.54496949999998</v>
      </c>
      <c r="H73" s="992">
        <v>3309.8123219300001</v>
      </c>
      <c r="I73" s="992">
        <v>318.53706646000001</v>
      </c>
      <c r="J73" s="992">
        <v>74.620008749999997</v>
      </c>
      <c r="K73" s="992">
        <v>17851.757956490001</v>
      </c>
      <c r="L73" s="992">
        <v>1186.2525837200001</v>
      </c>
      <c r="M73" s="992">
        <v>273.92496075000003</v>
      </c>
      <c r="N73" s="992">
        <v>4533.1391484699998</v>
      </c>
      <c r="O73" s="992">
        <v>68.960608620000002</v>
      </c>
      <c r="P73" s="992">
        <v>105.16737984</v>
      </c>
      <c r="Q73" s="992">
        <v>704.92711139999994</v>
      </c>
      <c r="R73" s="992">
        <v>3.04458479</v>
      </c>
      <c r="S73" s="992">
        <v>29.411618610000001</v>
      </c>
      <c r="T73" s="992">
        <v>3828.21203707</v>
      </c>
      <c r="U73" s="992">
        <v>65.91602383</v>
      </c>
      <c r="V73" s="992">
        <v>75.755761230000005</v>
      </c>
      <c r="W73" s="993"/>
      <c r="X73" s="994"/>
    </row>
    <row r="74" spans="1:24" ht="12.75">
      <c r="A74" s="989" t="s">
        <v>25</v>
      </c>
      <c r="B74" s="990">
        <v>26075.611156300001</v>
      </c>
      <c r="C74" s="990">
        <v>1573.7502588</v>
      </c>
      <c r="D74" s="991">
        <v>473.10461577000001</v>
      </c>
      <c r="E74" s="992">
        <v>21533.285172510001</v>
      </c>
      <c r="F74" s="992">
        <v>1504.7896501800001</v>
      </c>
      <c r="G74" s="992">
        <v>369.04038188999999</v>
      </c>
      <c r="H74" s="992">
        <v>3300.7309165900001</v>
      </c>
      <c r="I74" s="992">
        <v>318.53706646000001</v>
      </c>
      <c r="J74" s="992">
        <v>81.545688400000003</v>
      </c>
      <c r="K74" s="992">
        <v>18232.55425592</v>
      </c>
      <c r="L74" s="992">
        <v>1186.2525837200001</v>
      </c>
      <c r="M74" s="992">
        <v>287.49469348999997</v>
      </c>
      <c r="N74" s="992">
        <v>4542.3259837899996</v>
      </c>
      <c r="O74" s="992">
        <v>68.960608620000002</v>
      </c>
      <c r="P74" s="992">
        <v>104.06423388</v>
      </c>
      <c r="Q74" s="992">
        <v>723.59842569</v>
      </c>
      <c r="R74" s="992">
        <v>3.04458479</v>
      </c>
      <c r="S74" s="992">
        <v>29.306893509999998</v>
      </c>
      <c r="T74" s="992">
        <v>3818.7275580999999</v>
      </c>
      <c r="U74" s="992">
        <v>65.91602383</v>
      </c>
      <c r="V74" s="992">
        <v>74.757340369999994</v>
      </c>
      <c r="W74" s="993"/>
      <c r="X74" s="994"/>
    </row>
    <row r="75" spans="1:24" ht="12.75">
      <c r="A75" s="989" t="s">
        <v>26</v>
      </c>
      <c r="B75" s="990">
        <v>26705.97173714</v>
      </c>
      <c r="C75" s="990">
        <v>1698.6483241200001</v>
      </c>
      <c r="D75" s="991">
        <v>480.04100023000001</v>
      </c>
      <c r="E75" s="992">
        <v>22092.715678379998</v>
      </c>
      <c r="F75" s="992">
        <v>1591.34289461</v>
      </c>
      <c r="G75" s="992">
        <v>372.32652953000002</v>
      </c>
      <c r="H75" s="992">
        <v>3499.0878874199998</v>
      </c>
      <c r="I75" s="992">
        <v>333.74855479000001</v>
      </c>
      <c r="J75" s="992">
        <v>74.313010950000006</v>
      </c>
      <c r="K75" s="992">
        <v>18593.627790959999</v>
      </c>
      <c r="L75" s="992">
        <v>1257.59433982</v>
      </c>
      <c r="M75" s="992">
        <v>298.01351857999998</v>
      </c>
      <c r="N75" s="992">
        <v>4613.2560587600001</v>
      </c>
      <c r="O75" s="992">
        <v>107.30542951</v>
      </c>
      <c r="P75" s="992">
        <v>107.71447070000001</v>
      </c>
      <c r="Q75" s="992">
        <v>740.72825059000002</v>
      </c>
      <c r="R75" s="992">
        <v>3.1226579700000001</v>
      </c>
      <c r="S75" s="992">
        <v>27.5701322</v>
      </c>
      <c r="T75" s="992">
        <v>3872.5278081699998</v>
      </c>
      <c r="U75" s="992">
        <v>104.18277154</v>
      </c>
      <c r="V75" s="992">
        <v>80.144338500000003</v>
      </c>
      <c r="W75" s="993"/>
      <c r="X75" s="994"/>
    </row>
    <row r="76" spans="1:24" ht="12.75">
      <c r="A76" s="989" t="s">
        <v>27</v>
      </c>
      <c r="B76" s="990">
        <v>27080.522101769999</v>
      </c>
      <c r="C76" s="990">
        <v>1698.6483241200001</v>
      </c>
      <c r="D76" s="991">
        <v>479.76418251000001</v>
      </c>
      <c r="E76" s="992">
        <v>22493.324631880001</v>
      </c>
      <c r="F76" s="992">
        <v>1591.34289461</v>
      </c>
      <c r="G76" s="992">
        <v>371.73544606000002</v>
      </c>
      <c r="H76" s="992">
        <v>3574.67732867</v>
      </c>
      <c r="I76" s="992">
        <v>333.74855479000001</v>
      </c>
      <c r="J76" s="992">
        <v>80.322872919999995</v>
      </c>
      <c r="K76" s="992">
        <v>18918.64730321</v>
      </c>
      <c r="L76" s="992">
        <v>1257.59433982</v>
      </c>
      <c r="M76" s="992">
        <v>291.41257314000001</v>
      </c>
      <c r="N76" s="992">
        <v>4587.1974698900003</v>
      </c>
      <c r="O76" s="992">
        <v>107.30542951</v>
      </c>
      <c r="P76" s="992">
        <v>108.02873645</v>
      </c>
      <c r="Q76" s="992">
        <v>713.19049368000003</v>
      </c>
      <c r="R76" s="992">
        <v>3.1226579700000001</v>
      </c>
      <c r="S76" s="992">
        <v>23.569106049999998</v>
      </c>
      <c r="T76" s="992">
        <v>3874.0069762100002</v>
      </c>
      <c r="U76" s="992">
        <v>104.18277154</v>
      </c>
      <c r="V76" s="992">
        <v>84.459630399999995</v>
      </c>
      <c r="W76" s="993"/>
      <c r="X76" s="994"/>
    </row>
    <row r="77" spans="1:24" ht="12.75">
      <c r="A77" s="989" t="s">
        <v>28</v>
      </c>
      <c r="B77" s="990">
        <v>27368.147153990001</v>
      </c>
      <c r="C77" s="990">
        <v>1698.6483241200001</v>
      </c>
      <c r="D77" s="991">
        <v>496.61938093999999</v>
      </c>
      <c r="E77" s="992">
        <v>22794.335032939998</v>
      </c>
      <c r="F77" s="992">
        <v>1591.34289461</v>
      </c>
      <c r="G77" s="992">
        <v>378.09449183999999</v>
      </c>
      <c r="H77" s="992">
        <v>3666.7958669899999</v>
      </c>
      <c r="I77" s="992">
        <v>333.74855479000001</v>
      </c>
      <c r="J77" s="992">
        <v>83.482935299999994</v>
      </c>
      <c r="K77" s="992">
        <v>19127.539165949998</v>
      </c>
      <c r="L77" s="992">
        <v>1257.59433982</v>
      </c>
      <c r="M77" s="992">
        <v>294.61155653999998</v>
      </c>
      <c r="N77" s="992">
        <v>4573.8121210500003</v>
      </c>
      <c r="O77" s="992">
        <v>107.30542951</v>
      </c>
      <c r="P77" s="992">
        <v>118.5248891</v>
      </c>
      <c r="Q77" s="992">
        <v>785.61335147</v>
      </c>
      <c r="R77" s="992">
        <v>3.1226579700000001</v>
      </c>
      <c r="S77" s="992">
        <v>37.004458309999997</v>
      </c>
      <c r="T77" s="992">
        <v>3788.1987695799999</v>
      </c>
      <c r="U77" s="992">
        <v>104.18277154</v>
      </c>
      <c r="V77" s="992">
        <v>81.520430790000006</v>
      </c>
      <c r="W77" s="993"/>
      <c r="X77" s="994"/>
    </row>
    <row r="78" spans="1:24" ht="12.75">
      <c r="A78" s="989" t="s">
        <v>29</v>
      </c>
      <c r="B78" s="990">
        <v>27477.67427557</v>
      </c>
      <c r="C78" s="990">
        <v>1810.55305211</v>
      </c>
      <c r="D78" s="991">
        <v>449.13973557000003</v>
      </c>
      <c r="E78" s="992">
        <v>23043.16781064</v>
      </c>
      <c r="F78" s="992">
        <v>1729.8321266400001</v>
      </c>
      <c r="G78" s="992">
        <v>347.74381510000001</v>
      </c>
      <c r="H78" s="992">
        <v>3732.6645380199998</v>
      </c>
      <c r="I78" s="992">
        <v>392.32224162</v>
      </c>
      <c r="J78" s="992">
        <v>87.706676470000005</v>
      </c>
      <c r="K78" s="992">
        <v>19310.503272620001</v>
      </c>
      <c r="L78" s="992">
        <v>1337.50988502</v>
      </c>
      <c r="M78" s="992">
        <v>260.03713863000002</v>
      </c>
      <c r="N78" s="992">
        <v>4434.5064649300002</v>
      </c>
      <c r="O78" s="992">
        <v>80.720925469999997</v>
      </c>
      <c r="P78" s="992">
        <v>101.39592046999999</v>
      </c>
      <c r="Q78" s="992">
        <v>786.93246027999999</v>
      </c>
      <c r="R78" s="992">
        <v>2.7856237699999999</v>
      </c>
      <c r="S78" s="992">
        <v>24.27745672</v>
      </c>
      <c r="T78" s="992">
        <v>3647.57400465</v>
      </c>
      <c r="U78" s="992">
        <v>77.935301699999997</v>
      </c>
      <c r="V78" s="992">
        <v>77.118463750000004</v>
      </c>
      <c r="W78" s="993"/>
      <c r="X78" s="994"/>
    </row>
    <row r="79" spans="1:24" ht="12.75">
      <c r="A79" s="989" t="s">
        <v>4222</v>
      </c>
      <c r="B79" s="990"/>
      <c r="C79" s="990"/>
      <c r="D79" s="991"/>
      <c r="E79" s="992"/>
      <c r="F79" s="992"/>
      <c r="G79" s="992"/>
      <c r="H79" s="992"/>
      <c r="I79" s="992"/>
      <c r="J79" s="992"/>
      <c r="K79" s="992"/>
      <c r="L79" s="992"/>
      <c r="M79" s="992"/>
      <c r="N79" s="992"/>
      <c r="O79" s="992"/>
      <c r="P79" s="992"/>
      <c r="Q79" s="992"/>
      <c r="R79" s="992"/>
      <c r="S79" s="992"/>
      <c r="T79" s="992"/>
      <c r="U79" s="992"/>
      <c r="V79" s="992"/>
      <c r="W79" s="993"/>
      <c r="X79" s="994"/>
    </row>
    <row r="80" spans="1:24" ht="12.75">
      <c r="A80" s="989" t="s">
        <v>18</v>
      </c>
      <c r="B80" s="990">
        <v>27514.699640539999</v>
      </c>
      <c r="C80" s="990">
        <v>1810.55305211</v>
      </c>
      <c r="D80" s="991">
        <v>475.08339328</v>
      </c>
      <c r="E80" s="992">
        <v>23160.515352890001</v>
      </c>
      <c r="F80" s="992">
        <v>1729.8321266400001</v>
      </c>
      <c r="G80" s="992">
        <v>369.05387346999998</v>
      </c>
      <c r="H80" s="992">
        <v>3713.5517382500002</v>
      </c>
      <c r="I80" s="992">
        <v>392.32224162</v>
      </c>
      <c r="J80" s="992">
        <v>76.119052859999996</v>
      </c>
      <c r="K80" s="992">
        <v>19446.963614640001</v>
      </c>
      <c r="L80" s="992">
        <v>1337.50988502</v>
      </c>
      <c r="M80" s="992">
        <v>292.93482060999997</v>
      </c>
      <c r="N80" s="992">
        <v>4354.1842876500004</v>
      </c>
      <c r="O80" s="992">
        <v>80.720925469999997</v>
      </c>
      <c r="P80" s="992">
        <v>106.02951981</v>
      </c>
      <c r="Q80" s="992">
        <v>768.43617182000003</v>
      </c>
      <c r="R80" s="992">
        <v>2.7856237699999999</v>
      </c>
      <c r="S80" s="992">
        <v>27.7576021</v>
      </c>
      <c r="T80" s="992">
        <v>3585.7481158300002</v>
      </c>
      <c r="U80" s="992">
        <v>77.935301699999997</v>
      </c>
      <c r="V80" s="992">
        <v>78.271917709999997</v>
      </c>
      <c r="W80" s="993"/>
      <c r="X80" s="994"/>
    </row>
    <row r="81" spans="1:41" ht="12.75">
      <c r="A81" s="989" t="s">
        <v>19</v>
      </c>
      <c r="B81" s="990">
        <v>27592.366839009999</v>
      </c>
      <c r="C81" s="990">
        <v>1810.55305211</v>
      </c>
      <c r="D81" s="991">
        <v>480.14675621999999</v>
      </c>
      <c r="E81" s="992">
        <v>23325.16892751</v>
      </c>
      <c r="F81" s="992">
        <v>1729.8321266400001</v>
      </c>
      <c r="G81" s="992">
        <v>377.39027275000001</v>
      </c>
      <c r="H81" s="992">
        <v>3688.3402543299999</v>
      </c>
      <c r="I81" s="992">
        <v>392.32224162</v>
      </c>
      <c r="J81" s="992">
        <v>75.393529869999995</v>
      </c>
      <c r="K81" s="992">
        <v>19636.82867318</v>
      </c>
      <c r="L81" s="992">
        <v>1337.50988502</v>
      </c>
      <c r="M81" s="992">
        <v>301.99674288</v>
      </c>
      <c r="N81" s="992">
        <v>4267.1979115000004</v>
      </c>
      <c r="O81" s="992">
        <v>80.720925469999997</v>
      </c>
      <c r="P81" s="992">
        <v>102.75648347000001</v>
      </c>
      <c r="Q81" s="992">
        <v>747.78514786000005</v>
      </c>
      <c r="R81" s="992">
        <v>2.7856237699999999</v>
      </c>
      <c r="S81" s="992">
        <v>24.238983919999999</v>
      </c>
      <c r="T81" s="992">
        <v>3519.4127636399999</v>
      </c>
      <c r="U81" s="992">
        <v>77.935301699999997</v>
      </c>
      <c r="V81" s="992">
        <v>78.517499549999997</v>
      </c>
      <c r="W81" s="993"/>
      <c r="X81" s="994"/>
    </row>
    <row r="82" spans="1:41" ht="12.75">
      <c r="A82" s="989" t="s">
        <v>20</v>
      </c>
      <c r="B82" s="990">
        <v>27877.11878678</v>
      </c>
      <c r="C82" s="990">
        <v>1802.25631135</v>
      </c>
      <c r="D82" s="991">
        <v>481.55137305</v>
      </c>
      <c r="E82" s="992">
        <v>23565.768669149998</v>
      </c>
      <c r="F82" s="992">
        <v>1721.6585138</v>
      </c>
      <c r="G82" s="992">
        <v>383.32324929999999</v>
      </c>
      <c r="H82" s="992">
        <v>3761.2958797599999</v>
      </c>
      <c r="I82" s="992">
        <v>385.77808155999998</v>
      </c>
      <c r="J82" s="992">
        <v>75.275105429999996</v>
      </c>
      <c r="K82" s="992">
        <v>19804.472789390002</v>
      </c>
      <c r="L82" s="992">
        <v>1335.8804322399999</v>
      </c>
      <c r="M82" s="992">
        <v>308.04814386999999</v>
      </c>
      <c r="N82" s="992">
        <v>4311.3501176299997</v>
      </c>
      <c r="O82" s="992">
        <v>80.597797549999996</v>
      </c>
      <c r="P82" s="992">
        <v>98.228123749999995</v>
      </c>
      <c r="Q82" s="992">
        <v>762.40547102999994</v>
      </c>
      <c r="R82" s="992">
        <v>1.74023656</v>
      </c>
      <c r="S82" s="992">
        <v>21.970118410000001</v>
      </c>
      <c r="T82" s="992">
        <v>3548.9446465999999</v>
      </c>
      <c r="U82" s="992">
        <v>78.857560989999996</v>
      </c>
      <c r="V82" s="992">
        <v>76.258005339999997</v>
      </c>
      <c r="W82" s="993"/>
      <c r="X82" s="994"/>
    </row>
    <row r="83" spans="1:41" ht="12.75">
      <c r="A83" s="989" t="s">
        <v>21</v>
      </c>
      <c r="B83" s="990">
        <v>28096.517107619999</v>
      </c>
      <c r="C83" s="990">
        <v>1802.25631135</v>
      </c>
      <c r="D83" s="991">
        <v>502.60593611000002</v>
      </c>
      <c r="E83" s="992">
        <v>23832.240017100001</v>
      </c>
      <c r="F83" s="992">
        <v>1721.6585138</v>
      </c>
      <c r="G83" s="992">
        <v>404.73874255999999</v>
      </c>
      <c r="H83" s="992">
        <v>3744.13754806</v>
      </c>
      <c r="I83" s="992">
        <v>385.77808155999998</v>
      </c>
      <c r="J83" s="992">
        <v>81.703665360000002</v>
      </c>
      <c r="K83" s="992">
        <v>20088.102469040001</v>
      </c>
      <c r="L83" s="992">
        <v>1335.8804322399999</v>
      </c>
      <c r="M83" s="992">
        <v>323.03507719999999</v>
      </c>
      <c r="N83" s="992">
        <v>4264.2770905199995</v>
      </c>
      <c r="O83" s="992">
        <v>80.597797549999996</v>
      </c>
      <c r="P83" s="992">
        <v>97.867193549999996</v>
      </c>
      <c r="Q83" s="992">
        <v>721.07987863000005</v>
      </c>
      <c r="R83" s="992">
        <v>1.74023656</v>
      </c>
      <c r="S83" s="992">
        <v>21.780581160000001</v>
      </c>
      <c r="T83" s="992">
        <v>3543.1972118899998</v>
      </c>
      <c r="U83" s="992">
        <v>78.857560989999996</v>
      </c>
      <c r="V83" s="992">
        <v>76.086612389999999</v>
      </c>
      <c r="W83" s="993"/>
      <c r="X83" s="994"/>
    </row>
    <row r="84" spans="1:41" ht="12.75">
      <c r="A84" s="996" t="s">
        <v>22</v>
      </c>
      <c r="B84" s="997">
        <v>28386.503393129999</v>
      </c>
      <c r="C84" s="997">
        <v>1802.25631135</v>
      </c>
      <c r="D84" s="998">
        <v>508.31303802999997</v>
      </c>
      <c r="E84" s="999">
        <v>24183.465804150001</v>
      </c>
      <c r="F84" s="999">
        <v>1721.6585138</v>
      </c>
      <c r="G84" s="999">
        <v>413.45249242</v>
      </c>
      <c r="H84" s="999">
        <v>3896.34919683</v>
      </c>
      <c r="I84" s="999">
        <v>385.77808155999998</v>
      </c>
      <c r="J84" s="999">
        <v>86.889085300000005</v>
      </c>
      <c r="K84" s="999">
        <v>20287.11660732</v>
      </c>
      <c r="L84" s="999">
        <v>1335.8804322399999</v>
      </c>
      <c r="M84" s="999">
        <v>326.56340712000002</v>
      </c>
      <c r="N84" s="999">
        <v>4203.0375889799998</v>
      </c>
      <c r="O84" s="999">
        <v>80.597797549999996</v>
      </c>
      <c r="P84" s="999">
        <v>94.860545610000003</v>
      </c>
      <c r="Q84" s="999">
        <v>672.61679499000002</v>
      </c>
      <c r="R84" s="999">
        <v>1.74023656</v>
      </c>
      <c r="S84" s="999">
        <v>20.463180300000001</v>
      </c>
      <c r="T84" s="999">
        <v>3530.4207939900002</v>
      </c>
      <c r="U84" s="999">
        <v>78.857560989999996</v>
      </c>
      <c r="V84" s="999">
        <v>74.397365309999998</v>
      </c>
      <c r="W84" s="993"/>
      <c r="X84" s="994"/>
    </row>
    <row r="85" spans="1:41" s="1001" customFormat="1" ht="13.5" customHeight="1">
      <c r="A85" s="2388" t="s">
        <v>2990</v>
      </c>
      <c r="B85" s="2388"/>
      <c r="C85" s="2388"/>
      <c r="D85" s="2388"/>
      <c r="E85" s="2388"/>
      <c r="F85" s="2388"/>
      <c r="G85" s="2388"/>
      <c r="H85" s="2388"/>
      <c r="I85" s="2388"/>
      <c r="J85" s="2388"/>
      <c r="K85" s="2388"/>
      <c r="L85" s="2388"/>
      <c r="M85" s="2388"/>
      <c r="N85" s="2388"/>
      <c r="O85" s="2388"/>
      <c r="P85" s="2388"/>
      <c r="Q85" s="2388"/>
      <c r="R85" s="2388"/>
      <c r="S85" s="2388"/>
      <c r="T85" s="2388"/>
      <c r="U85" s="2388"/>
      <c r="V85" s="2388"/>
      <c r="W85" s="2388"/>
      <c r="X85" s="2388"/>
      <c r="Y85" s="2388"/>
      <c r="Z85" s="2388"/>
      <c r="AA85" s="2388"/>
      <c r="AB85" s="2388"/>
      <c r="AC85" s="2388"/>
      <c r="AD85" s="2388"/>
      <c r="AE85" s="2388"/>
      <c r="AF85" s="2388"/>
      <c r="AG85" s="2388"/>
      <c r="AH85" s="2388"/>
      <c r="AI85" s="2388"/>
      <c r="AJ85" s="2388"/>
      <c r="AK85" s="2388"/>
      <c r="AL85" s="2388"/>
      <c r="AM85" s="2388"/>
      <c r="AN85" s="2388"/>
      <c r="AO85" s="2388"/>
    </row>
    <row r="86" spans="1:41" s="1001" customFormat="1" ht="13.5" customHeight="1">
      <c r="A86" s="2385" t="s">
        <v>2991</v>
      </c>
      <c r="B86" s="2385"/>
      <c r="C86" s="2385"/>
      <c r="D86" s="2385"/>
      <c r="E86" s="2385"/>
      <c r="F86" s="2385"/>
      <c r="G86" s="2385"/>
      <c r="H86" s="2385"/>
      <c r="I86" s="2385"/>
      <c r="J86" s="2385"/>
      <c r="K86" s="2385"/>
      <c r="L86" s="2385"/>
      <c r="M86" s="2385"/>
      <c r="N86" s="2385"/>
      <c r="O86" s="2385"/>
      <c r="P86" s="2385"/>
      <c r="Q86" s="2385"/>
      <c r="R86" s="2385"/>
      <c r="S86" s="2385"/>
      <c r="T86" s="2385"/>
      <c r="U86" s="2385"/>
      <c r="V86" s="2385"/>
      <c r="W86" s="2385"/>
      <c r="X86" s="2385"/>
      <c r="Y86" s="2385"/>
      <c r="Z86" s="2385"/>
      <c r="AA86" s="2385"/>
      <c r="AB86" s="2385"/>
      <c r="AC86" s="2385"/>
      <c r="AD86" s="2385"/>
      <c r="AE86" s="2385"/>
      <c r="AF86" s="2385"/>
      <c r="AG86" s="2385"/>
      <c r="AH86" s="2385"/>
      <c r="AI86" s="2385"/>
      <c r="AJ86" s="2385"/>
      <c r="AK86" s="2385"/>
      <c r="AL86" s="2385"/>
      <c r="AM86" s="2385"/>
      <c r="AN86" s="2385"/>
      <c r="AO86" s="2385"/>
    </row>
    <row r="87" spans="1:41" ht="12.75">
      <c r="B87" s="1237"/>
      <c r="C87" s="1237"/>
      <c r="E87" s="1324"/>
      <c r="F87" s="1237"/>
      <c r="H87" s="1324"/>
      <c r="J87" s="1237"/>
      <c r="K87" s="1324"/>
      <c r="N87" s="1324"/>
      <c r="Q87" s="1324"/>
      <c r="T87" s="1324"/>
    </row>
    <row r="88" spans="1:41" ht="12.75">
      <c r="B88" s="993"/>
      <c r="E88" s="1324"/>
      <c r="H88" s="1237"/>
      <c r="K88" s="1237"/>
      <c r="N88" s="1237"/>
      <c r="Q88" s="1237"/>
      <c r="T88" s="1237"/>
    </row>
    <row r="89" spans="1:41" ht="12.75">
      <c r="B89" s="1237"/>
      <c r="E89" s="1237"/>
      <c r="H89" s="1237"/>
      <c r="K89" s="1237"/>
      <c r="L89" s="988"/>
      <c r="M89" s="988"/>
      <c r="N89" s="1237"/>
      <c r="Q89" s="1237"/>
      <c r="T89" s="1237"/>
    </row>
    <row r="90" spans="1:41" ht="12.75">
      <c r="B90" s="1430"/>
    </row>
    <row r="91" spans="1:41" ht="12.75"/>
    <row r="92" spans="1:41" ht="12.75"/>
    <row r="93" spans="1:41" ht="12.75"/>
    <row r="94" spans="1:41" ht="12.75">
      <c r="C94" s="1239"/>
    </row>
    <row r="95" spans="1:41" ht="12.75"/>
    <row r="96" spans="1:41" ht="12.75"/>
    <row r="97" ht="12.75"/>
    <row r="98" ht="12.75"/>
    <row r="99" ht="12.75"/>
    <row r="100" ht="12.75"/>
    <row r="101" ht="12.75"/>
    <row r="102" ht="12.75"/>
    <row r="103" ht="12.75"/>
    <row r="104" ht="12.75"/>
    <row r="105" ht="12.75"/>
    <row r="106" ht="12.75"/>
    <row r="107" ht="12.75"/>
    <row r="108" ht="12.75"/>
    <row r="109" ht="12.75"/>
    <row r="110" ht="12.75"/>
    <row r="111" ht="12.75"/>
    <row r="112" ht="12.75"/>
    <row r="113" ht="12.75"/>
    <row r="114" ht="12.75"/>
    <row r="115" ht="12.75"/>
    <row r="116" ht="12.75"/>
    <row r="117" ht="12.75"/>
    <row r="118" ht="12.75"/>
    <row r="119" ht="12.75"/>
    <row r="120" ht="12.75"/>
    <row r="121" ht="12.75"/>
    <row r="122" ht="12.75"/>
    <row r="123" ht="12.75"/>
    <row r="124" ht="12.75"/>
    <row r="125" ht="12.75"/>
    <row r="126" ht="12.75"/>
    <row r="127" ht="12.75"/>
  </sheetData>
  <mergeCells count="66">
    <mergeCell ref="A2:V2"/>
    <mergeCell ref="A3:V3"/>
    <mergeCell ref="A6:A9"/>
    <mergeCell ref="B6:C7"/>
    <mergeCell ref="D6:D9"/>
    <mergeCell ref="E6:M6"/>
    <mergeCell ref="N6:V6"/>
    <mergeCell ref="E7:F7"/>
    <mergeCell ref="G7:G9"/>
    <mergeCell ref="H7:I7"/>
    <mergeCell ref="M7:M9"/>
    <mergeCell ref="N7:O7"/>
    <mergeCell ref="P7:P9"/>
    <mergeCell ref="Q7:R7"/>
    <mergeCell ref="L8:L9"/>
    <mergeCell ref="N8:N9"/>
    <mergeCell ref="O8:O9"/>
    <mergeCell ref="Q8:Q9"/>
    <mergeCell ref="F8:F9"/>
    <mergeCell ref="H8:H9"/>
    <mergeCell ref="I8:I9"/>
    <mergeCell ref="K8:K9"/>
    <mergeCell ref="J7:J9"/>
    <mergeCell ref="K7:L7"/>
    <mergeCell ref="R8:R9"/>
    <mergeCell ref="T8:T9"/>
    <mergeCell ref="U8:U9"/>
    <mergeCell ref="A10:A13"/>
    <mergeCell ref="B10:C11"/>
    <mergeCell ref="D10:D13"/>
    <mergeCell ref="E10:M10"/>
    <mergeCell ref="N10:V10"/>
    <mergeCell ref="E11:F11"/>
    <mergeCell ref="G11:G13"/>
    <mergeCell ref="S7:S9"/>
    <mergeCell ref="T7:U7"/>
    <mergeCell ref="V7:V9"/>
    <mergeCell ref="B8:B9"/>
    <mergeCell ref="C8:C9"/>
    <mergeCell ref="E8:E9"/>
    <mergeCell ref="Q11:R11"/>
    <mergeCell ref="S11:S13"/>
    <mergeCell ref="T11:U11"/>
    <mergeCell ref="V11:V13"/>
    <mergeCell ref="B12:B13"/>
    <mergeCell ref="C12:C13"/>
    <mergeCell ref="E12:E13"/>
    <mergeCell ref="F12:F13"/>
    <mergeCell ref="H12:H13"/>
    <mergeCell ref="I12:I13"/>
    <mergeCell ref="H11:I11"/>
    <mergeCell ref="J11:J13"/>
    <mergeCell ref="K11:L11"/>
    <mergeCell ref="M11:M13"/>
    <mergeCell ref="N11:O11"/>
    <mergeCell ref="P11:P13"/>
    <mergeCell ref="A86:AO86"/>
    <mergeCell ref="Q12:Q13"/>
    <mergeCell ref="R12:R13"/>
    <mergeCell ref="T12:T13"/>
    <mergeCell ref="U12:U13"/>
    <mergeCell ref="A85:AO85"/>
    <mergeCell ref="K12:K13"/>
    <mergeCell ref="L12:L13"/>
    <mergeCell ref="N12:N13"/>
    <mergeCell ref="O12:O13"/>
  </mergeCells>
  <pageMargins left="0.19685039370078741" right="0.15748031496062992" top="0.27559055118110237" bottom="0.2" header="0.31496062992125984" footer="0.31496062992125984"/>
  <pageSetup scale="49"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7">
    <tabColor rgb="FF92D050"/>
  </sheetPr>
  <dimension ref="A1:BS138"/>
  <sheetViews>
    <sheetView showGridLines="0" view="pageBreakPreview" zoomScale="110" zoomScaleSheetLayoutView="110" workbookViewId="0">
      <pane ySplit="10" topLeftCell="A75" activePane="bottomLeft" state="frozen"/>
      <selection activeCell="B39" sqref="B39"/>
      <selection pane="bottomLeft" activeCell="G100" sqref="G100"/>
    </sheetView>
  </sheetViews>
  <sheetFormatPr defaultColWidth="8.85546875" defaultRowHeight="12" customHeight="1"/>
  <cols>
    <col min="1" max="1" width="11.28515625" style="983" customWidth="1"/>
    <col min="2" max="2" width="14.42578125" style="983" customWidth="1"/>
    <col min="3" max="8" width="16.42578125" style="983" customWidth="1"/>
    <col min="9" max="68" width="8.85546875" style="983" customWidth="1"/>
    <col min="69" max="69" width="8.85546875" style="983" hidden="1" customWidth="1"/>
    <col min="70" max="241" width="8.85546875" style="983" customWidth="1"/>
    <col min="242" max="242" width="7.7109375" style="983" customWidth="1"/>
    <col min="243" max="243" width="12.7109375" style="983" customWidth="1"/>
    <col min="244" max="244" width="11" style="983" customWidth="1"/>
    <col min="245" max="16384" width="8.85546875" style="983"/>
  </cols>
  <sheetData>
    <row r="1" spans="1:71" ht="9.75" customHeight="1"/>
    <row r="2" spans="1:71" ht="15.75" customHeight="1">
      <c r="A2" s="2406" t="s">
        <v>3147</v>
      </c>
      <c r="B2" s="2406"/>
      <c r="C2" s="2406"/>
      <c r="D2" s="2406"/>
      <c r="E2" s="2406"/>
      <c r="F2" s="2406"/>
      <c r="G2" s="2406"/>
      <c r="H2" s="2406"/>
    </row>
    <row r="3" spans="1:71" ht="15.75" customHeight="1">
      <c r="A3" s="2407" t="s">
        <v>3148</v>
      </c>
      <c r="B3" s="2407"/>
      <c r="C3" s="2407"/>
      <c r="D3" s="2407"/>
      <c r="E3" s="2407"/>
      <c r="F3" s="2407"/>
      <c r="G3" s="2407"/>
      <c r="H3" s="2407"/>
    </row>
    <row r="4" spans="1:71" ht="9.75" customHeight="1"/>
    <row r="5" spans="1:71" ht="12.75" customHeight="1">
      <c r="A5" s="984"/>
      <c r="B5" s="984"/>
      <c r="C5" s="984"/>
      <c r="D5" s="984"/>
      <c r="E5" s="984"/>
      <c r="F5" s="984"/>
      <c r="G5" s="984"/>
      <c r="H5" s="984"/>
    </row>
    <row r="6" spans="1:71" ht="12.75" customHeight="1">
      <c r="A6" s="2413" t="s">
        <v>8</v>
      </c>
      <c r="B6" s="2413"/>
      <c r="C6" s="2413"/>
      <c r="D6" s="2413"/>
      <c r="E6" s="2413"/>
      <c r="F6" s="2413"/>
      <c r="G6" s="2413"/>
      <c r="H6" s="2413"/>
    </row>
    <row r="7" spans="1:71" s="986" customFormat="1" ht="15" customHeight="1">
      <c r="A7" s="2394" t="s">
        <v>182</v>
      </c>
      <c r="B7" s="2394" t="s">
        <v>145</v>
      </c>
      <c r="C7" s="2414" t="s">
        <v>2770</v>
      </c>
      <c r="D7" s="2414"/>
      <c r="E7" s="2414"/>
      <c r="F7" s="2414" t="s">
        <v>2769</v>
      </c>
      <c r="G7" s="2414"/>
      <c r="H7" s="2414"/>
      <c r="BR7" s="986" t="s">
        <v>2062</v>
      </c>
      <c r="BS7" s="987" t="s">
        <v>2063</v>
      </c>
    </row>
    <row r="8" spans="1:71" s="986" customFormat="1" ht="27" customHeight="1">
      <c r="A8" s="2395"/>
      <c r="B8" s="2395"/>
      <c r="C8" s="1403" t="s">
        <v>143</v>
      </c>
      <c r="D8" s="1403" t="s">
        <v>146</v>
      </c>
      <c r="E8" s="1403" t="s">
        <v>147</v>
      </c>
      <c r="F8" s="1403" t="s">
        <v>143</v>
      </c>
      <c r="G8" s="1403" t="s">
        <v>146</v>
      </c>
      <c r="H8" s="1403" t="s">
        <v>147</v>
      </c>
      <c r="BN8" s="986" t="e">
        <f>#REF!+#REF!+#REF!+#REF!</f>
        <v>#REF!</v>
      </c>
      <c r="BR8" s="986" t="e">
        <f>#REF!+#REF!+#REF!+#REF!</f>
        <v>#REF!</v>
      </c>
      <c r="BS8" s="987" t="e">
        <f>BN8+BO8+BP8+BR8</f>
        <v>#REF!</v>
      </c>
    </row>
    <row r="9" spans="1:71" ht="15" customHeight="1">
      <c r="A9" s="2386" t="s">
        <v>289</v>
      </c>
      <c r="B9" s="2386" t="s">
        <v>1156</v>
      </c>
      <c r="C9" s="2401" t="s">
        <v>1198</v>
      </c>
      <c r="D9" s="2401"/>
      <c r="E9" s="2401"/>
      <c r="F9" s="2401" t="s">
        <v>1199</v>
      </c>
      <c r="G9" s="2401"/>
      <c r="H9" s="2401"/>
      <c r="BS9" s="988"/>
    </row>
    <row r="10" spans="1:71" ht="21.75" customHeight="1">
      <c r="A10" s="2387"/>
      <c r="B10" s="2387"/>
      <c r="C10" s="1404" t="s">
        <v>1156</v>
      </c>
      <c r="D10" s="1404" t="s">
        <v>1158</v>
      </c>
      <c r="E10" s="1404" t="s">
        <v>1157</v>
      </c>
      <c r="F10" s="1404" t="s">
        <v>1159</v>
      </c>
      <c r="G10" s="1404" t="s">
        <v>1158</v>
      </c>
      <c r="H10" s="1404" t="s">
        <v>1157</v>
      </c>
      <c r="BR10" s="983" t="e">
        <f>#REF!+#REF!</f>
        <v>#REF!</v>
      </c>
      <c r="BS10" s="988" t="e">
        <f>BN10+BO10+BP10+BR10</f>
        <v>#REF!</v>
      </c>
    </row>
    <row r="11" spans="1:71" ht="12.75">
      <c r="A11" s="989" t="s">
        <v>2144</v>
      </c>
      <c r="B11" s="990"/>
      <c r="C11" s="990"/>
      <c r="D11" s="990"/>
      <c r="E11" s="990"/>
      <c r="F11" s="990"/>
      <c r="G11" s="990"/>
      <c r="H11" s="990"/>
    </row>
    <row r="12" spans="1:71" ht="12.75">
      <c r="A12" s="989" t="s">
        <v>18</v>
      </c>
      <c r="B12" s="1174">
        <v>679.67676955000002</v>
      </c>
      <c r="C12" s="1174">
        <f>D12+E12</f>
        <v>525.50947876000009</v>
      </c>
      <c r="D12" s="1174">
        <v>180.77051759</v>
      </c>
      <c r="E12" s="1174">
        <v>344.73896117000004</v>
      </c>
      <c r="F12" s="1174">
        <f>G12+H12</f>
        <v>154.16729079000001</v>
      </c>
      <c r="G12" s="1174">
        <v>55.951709979999997</v>
      </c>
      <c r="H12" s="1174">
        <v>98.215580810000006</v>
      </c>
    </row>
    <row r="13" spans="1:71" ht="12.75">
      <c r="A13" s="989" t="s">
        <v>19</v>
      </c>
      <c r="B13" s="1174">
        <v>719.74791498000002</v>
      </c>
      <c r="C13" s="1174">
        <f t="shared" ref="C13:C57" si="0">D13+E13</f>
        <v>554.92592532999993</v>
      </c>
      <c r="D13" s="1174">
        <v>208.12512941</v>
      </c>
      <c r="E13" s="1174">
        <v>346.80079591999998</v>
      </c>
      <c r="F13" s="1174">
        <f t="shared" ref="F13:F57" si="1">G13+H13</f>
        <v>164.82198964999998</v>
      </c>
      <c r="G13" s="1174">
        <v>92.945323639999998</v>
      </c>
      <c r="H13" s="1174">
        <v>71.876666009999994</v>
      </c>
    </row>
    <row r="14" spans="1:71" ht="12.75">
      <c r="A14" s="989" t="s">
        <v>20</v>
      </c>
      <c r="B14" s="1174">
        <v>771.41000965199999</v>
      </c>
      <c r="C14" s="1174">
        <f t="shared" si="0"/>
        <v>607.40382624999995</v>
      </c>
      <c r="D14" s="1174">
        <v>218.20295508999999</v>
      </c>
      <c r="E14" s="1174">
        <v>389.20087115999996</v>
      </c>
      <c r="F14" s="1174">
        <f t="shared" si="1"/>
        <v>164.006183402</v>
      </c>
      <c r="G14" s="1174">
        <v>94.460630322</v>
      </c>
      <c r="H14" s="1174">
        <v>69.545553080000005</v>
      </c>
    </row>
    <row r="15" spans="1:71" ht="12.75">
      <c r="A15" s="989" t="s">
        <v>21</v>
      </c>
      <c r="B15" s="1174">
        <v>929.542598064</v>
      </c>
      <c r="C15" s="1174">
        <f t="shared" si="0"/>
        <v>748.81615298999998</v>
      </c>
      <c r="D15" s="1174">
        <v>298.79870598999997</v>
      </c>
      <c r="E15" s="1174">
        <v>450.017447</v>
      </c>
      <c r="F15" s="1174">
        <f t="shared" si="1"/>
        <v>180.726445074</v>
      </c>
      <c r="G15" s="1174">
        <v>76.916714933999998</v>
      </c>
      <c r="H15" s="1174">
        <v>103.80973014</v>
      </c>
    </row>
    <row r="16" spans="1:71" ht="12.75">
      <c r="A16" s="989" t="s">
        <v>22</v>
      </c>
      <c r="B16" s="1174">
        <v>911.03696386000001</v>
      </c>
      <c r="C16" s="1174">
        <f t="shared" si="0"/>
        <v>695.75443530999996</v>
      </c>
      <c r="D16" s="1174">
        <v>197.08954494</v>
      </c>
      <c r="E16" s="1174">
        <v>498.66489036999997</v>
      </c>
      <c r="F16" s="1174">
        <f t="shared" si="1"/>
        <v>215.28252854999999</v>
      </c>
      <c r="G16" s="1174">
        <v>111.14921955</v>
      </c>
      <c r="H16" s="1174">
        <v>104.133309</v>
      </c>
    </row>
    <row r="17" spans="1:8" ht="12.75">
      <c r="A17" s="989" t="s">
        <v>23</v>
      </c>
      <c r="B17" s="1174">
        <v>915.10105564000003</v>
      </c>
      <c r="C17" s="1174">
        <f t="shared" si="0"/>
        <v>631.50083087000007</v>
      </c>
      <c r="D17" s="1174">
        <v>184.83989184000001</v>
      </c>
      <c r="E17" s="1174">
        <v>446.66093903000001</v>
      </c>
      <c r="F17" s="1174">
        <f t="shared" si="1"/>
        <v>283.60022477000001</v>
      </c>
      <c r="G17" s="1174">
        <v>73.815156459999997</v>
      </c>
      <c r="H17" s="1174">
        <v>209.78506831000001</v>
      </c>
    </row>
    <row r="18" spans="1:8" ht="12.75">
      <c r="A18" s="989" t="s">
        <v>24</v>
      </c>
      <c r="B18" s="1174">
        <v>1116.80824605</v>
      </c>
      <c r="C18" s="1174">
        <f t="shared" si="0"/>
        <v>853.95220735999999</v>
      </c>
      <c r="D18" s="1174">
        <v>221.75348561000001</v>
      </c>
      <c r="E18" s="1174">
        <v>632.19872175</v>
      </c>
      <c r="F18" s="1174">
        <f t="shared" si="1"/>
        <v>262.85603868999999</v>
      </c>
      <c r="G18" s="1174">
        <v>80.006721339999999</v>
      </c>
      <c r="H18" s="1174">
        <v>182.84931735000001</v>
      </c>
    </row>
    <row r="19" spans="1:8" ht="12.75">
      <c r="A19" s="989" t="s">
        <v>25</v>
      </c>
      <c r="B19" s="1174">
        <v>1029.8075811230001</v>
      </c>
      <c r="C19" s="1174">
        <f t="shared" si="0"/>
        <v>749.55184587000008</v>
      </c>
      <c r="D19" s="1174">
        <v>245.12444918</v>
      </c>
      <c r="E19" s="1174">
        <v>504.42739669000002</v>
      </c>
      <c r="F19" s="1174">
        <f t="shared" si="1"/>
        <v>280.25573525300001</v>
      </c>
      <c r="G19" s="1174">
        <v>97.836514142999988</v>
      </c>
      <c r="H19" s="1174">
        <v>182.41922111000002</v>
      </c>
    </row>
    <row r="20" spans="1:8" ht="12.75">
      <c r="A20" s="989" t="s">
        <v>26</v>
      </c>
      <c r="B20" s="1174">
        <v>1380.9402717099999</v>
      </c>
      <c r="C20" s="1174">
        <f t="shared" si="0"/>
        <v>756.79635726000004</v>
      </c>
      <c r="D20" s="1174">
        <v>236.50315387999999</v>
      </c>
      <c r="E20" s="1174">
        <v>520.29320338000002</v>
      </c>
      <c r="F20" s="1174">
        <f t="shared" si="1"/>
        <v>624.14391445000001</v>
      </c>
      <c r="G20" s="1174">
        <v>155.89094406000001</v>
      </c>
      <c r="H20" s="1174">
        <v>468.25297038999997</v>
      </c>
    </row>
    <row r="21" spans="1:8" ht="12.75">
      <c r="A21" s="989" t="s">
        <v>27</v>
      </c>
      <c r="B21" s="1174">
        <v>1060.006496338</v>
      </c>
      <c r="C21" s="1174">
        <f t="shared" si="0"/>
        <v>777.79467319499986</v>
      </c>
      <c r="D21" s="1174">
        <v>247.52873545499997</v>
      </c>
      <c r="E21" s="1174">
        <v>530.26593773999991</v>
      </c>
      <c r="F21" s="1174">
        <f t="shared" si="1"/>
        <v>282.211823143</v>
      </c>
      <c r="G21" s="1174">
        <v>116.27379702</v>
      </c>
      <c r="H21" s="1174">
        <v>165.93802612299999</v>
      </c>
    </row>
    <row r="22" spans="1:8" ht="12.75">
      <c r="A22" s="989" t="s">
        <v>28</v>
      </c>
      <c r="B22" s="1174">
        <v>1545.0495561969999</v>
      </c>
      <c r="C22" s="1174">
        <f t="shared" si="0"/>
        <v>852.85817740999994</v>
      </c>
      <c r="D22" s="1174">
        <v>283.84104982999997</v>
      </c>
      <c r="E22" s="1174">
        <v>569.01712757999996</v>
      </c>
      <c r="F22" s="1174">
        <f t="shared" si="1"/>
        <v>692.19137878699996</v>
      </c>
      <c r="G22" s="1174">
        <v>410.14099469999996</v>
      </c>
      <c r="H22" s="1174">
        <v>282.050384087</v>
      </c>
    </row>
    <row r="23" spans="1:8" ht="12.75">
      <c r="A23" s="989" t="s">
        <v>29</v>
      </c>
      <c r="B23" s="1174">
        <v>1588.4409352100001</v>
      </c>
      <c r="C23" s="1174">
        <f t="shared" si="0"/>
        <v>1098.2558688000011</v>
      </c>
      <c r="D23" s="1174">
        <v>313.68584659999999</v>
      </c>
      <c r="E23" s="1174">
        <v>784.57002220000106</v>
      </c>
      <c r="F23" s="1174">
        <f t="shared" si="1"/>
        <v>490.18506640999999</v>
      </c>
      <c r="G23" s="1174">
        <v>128.41217562</v>
      </c>
      <c r="H23" s="1174">
        <v>361.77289078999996</v>
      </c>
    </row>
    <row r="24" spans="1:8" ht="12.75">
      <c r="A24" s="989" t="s">
        <v>2375</v>
      </c>
      <c r="B24" s="1175"/>
      <c r="C24" s="1174"/>
      <c r="D24" s="1175"/>
      <c r="E24" s="1175"/>
      <c r="F24" s="1174"/>
      <c r="G24" s="1175"/>
      <c r="H24" s="1175"/>
    </row>
    <row r="25" spans="1:8" ht="12.75">
      <c r="A25" s="989" t="s">
        <v>18</v>
      </c>
      <c r="B25" s="1174">
        <v>1109.9559999999999</v>
      </c>
      <c r="C25" s="1174">
        <v>709.40099999999995</v>
      </c>
      <c r="D25" s="1174">
        <v>185.73099999999999</v>
      </c>
      <c r="E25" s="1174">
        <v>523.66999999999996</v>
      </c>
      <c r="F25" s="1174">
        <v>400.55500000000001</v>
      </c>
      <c r="G25" s="1174">
        <v>58.537999999999997</v>
      </c>
      <c r="H25" s="1174">
        <v>342.017</v>
      </c>
    </row>
    <row r="26" spans="1:8" ht="12.75">
      <c r="A26" s="989" t="s">
        <v>19</v>
      </c>
      <c r="B26" s="1174">
        <v>1090.4429253000001</v>
      </c>
      <c r="C26" s="1174">
        <f t="shared" si="0"/>
        <v>901.90632789999995</v>
      </c>
      <c r="D26" s="1174">
        <v>272.56526881999997</v>
      </c>
      <c r="E26" s="1174">
        <v>629.34105908000004</v>
      </c>
      <c r="F26" s="1174">
        <f t="shared" si="1"/>
        <v>188.53659740000001</v>
      </c>
      <c r="G26" s="1174">
        <v>88.38636185</v>
      </c>
      <c r="H26" s="1174">
        <v>100.15023554999999</v>
      </c>
    </row>
    <row r="27" spans="1:8" ht="12.75">
      <c r="A27" s="989" t="s">
        <v>20</v>
      </c>
      <c r="B27" s="1174">
        <v>1057.63835535</v>
      </c>
      <c r="C27" s="1174">
        <f t="shared" si="0"/>
        <v>878.67674145000001</v>
      </c>
      <c r="D27" s="1174">
        <v>315.07092119999999</v>
      </c>
      <c r="E27" s="1174">
        <v>563.60582024999997</v>
      </c>
      <c r="F27" s="1174">
        <f t="shared" si="1"/>
        <v>178.9616139</v>
      </c>
      <c r="G27" s="1174">
        <v>101.78249169</v>
      </c>
      <c r="H27" s="1174">
        <v>77.179122210000003</v>
      </c>
    </row>
    <row r="28" spans="1:8" ht="12.75">
      <c r="A28" s="989" t="s">
        <v>21</v>
      </c>
      <c r="B28" s="1174">
        <v>731.64064145999998</v>
      </c>
      <c r="C28" s="1174">
        <f t="shared" si="0"/>
        <v>550.30363497999997</v>
      </c>
      <c r="D28" s="1174">
        <v>218.14409608</v>
      </c>
      <c r="E28" s="1174">
        <v>332.15953889999997</v>
      </c>
      <c r="F28" s="1174">
        <f t="shared" si="1"/>
        <v>181.33700648000001</v>
      </c>
      <c r="G28" s="1174">
        <v>79.30912991000001</v>
      </c>
      <c r="H28" s="1174">
        <v>102.02787656999999</v>
      </c>
    </row>
    <row r="29" spans="1:8" ht="12.75">
      <c r="A29" s="989" t="s">
        <v>22</v>
      </c>
      <c r="B29" s="1174">
        <v>1073.4463000000001</v>
      </c>
      <c r="C29" s="1174">
        <f t="shared" si="0"/>
        <v>698.98514</v>
      </c>
      <c r="D29" s="1174">
        <v>185.86939999999998</v>
      </c>
      <c r="E29" s="1174">
        <v>513.11573999999996</v>
      </c>
      <c r="F29" s="1174">
        <f t="shared" si="1"/>
        <v>374.46115999999995</v>
      </c>
      <c r="G29" s="1174">
        <v>89.153869999999998</v>
      </c>
      <c r="H29" s="1174">
        <v>285.30728999999997</v>
      </c>
    </row>
    <row r="30" spans="1:8" ht="12.75">
      <c r="A30" s="989" t="s">
        <v>23</v>
      </c>
      <c r="B30" s="1174">
        <v>879.30759</v>
      </c>
      <c r="C30" s="1174">
        <f t="shared" si="0"/>
        <v>620.80334000000005</v>
      </c>
      <c r="D30" s="1174">
        <v>166.46764000000002</v>
      </c>
      <c r="E30" s="1174">
        <v>454.33570000000003</v>
      </c>
      <c r="F30" s="1174">
        <f t="shared" si="1"/>
        <v>258.50425000000001</v>
      </c>
      <c r="G30" s="1174">
        <v>45.92165</v>
      </c>
      <c r="H30" s="1174">
        <v>212.58260000000001</v>
      </c>
    </row>
    <row r="31" spans="1:8" ht="12.75">
      <c r="A31" s="989" t="s">
        <v>24</v>
      </c>
      <c r="B31" s="1174">
        <v>860.23337363000098</v>
      </c>
      <c r="C31" s="1174">
        <f t="shared" si="0"/>
        <v>662.69643503999998</v>
      </c>
      <c r="D31" s="1174">
        <v>198.28176209</v>
      </c>
      <c r="E31" s="1174">
        <v>464.41467294999995</v>
      </c>
      <c r="F31" s="1174">
        <f t="shared" si="1"/>
        <v>197.53693859000001</v>
      </c>
      <c r="G31" s="1174">
        <v>59.02205</v>
      </c>
      <c r="H31" s="1174">
        <v>138.51488859</v>
      </c>
    </row>
    <row r="32" spans="1:8" ht="12.75">
      <c r="A32" s="989" t="s">
        <v>25</v>
      </c>
      <c r="B32" s="1174">
        <v>862.47583738000003</v>
      </c>
      <c r="C32" s="1174">
        <f t="shared" si="0"/>
        <v>749.85562889000005</v>
      </c>
      <c r="D32" s="1174">
        <v>196.08309423</v>
      </c>
      <c r="E32" s="1174">
        <v>553.77253466000002</v>
      </c>
      <c r="F32" s="1174">
        <f t="shared" si="1"/>
        <v>112.62020849000001</v>
      </c>
      <c r="G32" s="1174">
        <v>39.715425000000003</v>
      </c>
      <c r="H32" s="1174">
        <v>72.90478349</v>
      </c>
    </row>
    <row r="33" spans="1:8" ht="12.75">
      <c r="A33" s="989" t="s">
        <v>26</v>
      </c>
      <c r="B33" s="1174">
        <v>1133.8516495000001</v>
      </c>
      <c r="C33" s="1174">
        <f t="shared" si="0"/>
        <v>826.65215493999995</v>
      </c>
      <c r="D33" s="1174">
        <v>222.03830051999998</v>
      </c>
      <c r="E33" s="1174">
        <v>604.61385441999994</v>
      </c>
      <c r="F33" s="1174">
        <f t="shared" si="1"/>
        <v>307.19949456000001</v>
      </c>
      <c r="G33" s="1174">
        <v>117.54593</v>
      </c>
      <c r="H33" s="1174">
        <v>189.65356456000001</v>
      </c>
    </row>
    <row r="34" spans="1:8" ht="12.75">
      <c r="A34" s="989" t="s">
        <v>27</v>
      </c>
      <c r="B34" s="1174">
        <v>956.36385603000008</v>
      </c>
      <c r="C34" s="1174">
        <f t="shared" si="0"/>
        <v>828.23705510000002</v>
      </c>
      <c r="D34" s="1174">
        <v>218.06360182</v>
      </c>
      <c r="E34" s="1174">
        <v>610.17345327999999</v>
      </c>
      <c r="F34" s="1174">
        <f t="shared" si="1"/>
        <v>128.12680093</v>
      </c>
      <c r="G34" s="1174">
        <v>78.044774369999999</v>
      </c>
      <c r="H34" s="1174">
        <v>50.082026559999996</v>
      </c>
    </row>
    <row r="35" spans="1:8" ht="12.75">
      <c r="A35" s="989" t="s">
        <v>28</v>
      </c>
      <c r="B35" s="1174">
        <v>1090.2032848400002</v>
      </c>
      <c r="C35" s="1174">
        <f t="shared" si="0"/>
        <v>895.47830465999994</v>
      </c>
      <c r="D35" s="1174">
        <v>220.70577581000001</v>
      </c>
      <c r="E35" s="1174">
        <v>674.77252884999996</v>
      </c>
      <c r="F35" s="1174">
        <f t="shared" si="1"/>
        <v>194.72498018000002</v>
      </c>
      <c r="G35" s="1174">
        <v>41.576712409999999</v>
      </c>
      <c r="H35" s="1174">
        <v>153.14826777000002</v>
      </c>
    </row>
    <row r="36" spans="1:8" ht="12.75">
      <c r="A36" s="989" t="s">
        <v>29</v>
      </c>
      <c r="B36" s="1174">
        <v>1137.2753202899999</v>
      </c>
      <c r="C36" s="1174">
        <f t="shared" si="0"/>
        <v>894.46576512999991</v>
      </c>
      <c r="D36" s="1174">
        <v>269.78939962999999</v>
      </c>
      <c r="E36" s="1174">
        <v>624.67636549999997</v>
      </c>
      <c r="F36" s="1174">
        <f t="shared" si="1"/>
        <v>242.80955516</v>
      </c>
      <c r="G36" s="1174">
        <v>82.449512730000009</v>
      </c>
      <c r="H36" s="1174">
        <v>160.36004242999999</v>
      </c>
    </row>
    <row r="37" spans="1:8" ht="12.75">
      <c r="A37" s="995">
        <v>2021</v>
      </c>
      <c r="B37" s="1175"/>
      <c r="C37" s="1174"/>
      <c r="D37" s="1175"/>
      <c r="E37" s="1175"/>
      <c r="F37" s="1174"/>
      <c r="G37" s="1175"/>
      <c r="H37" s="1175"/>
    </row>
    <row r="38" spans="1:8" ht="12.75">
      <c r="A38" s="989" t="s">
        <v>18</v>
      </c>
      <c r="B38" s="1174">
        <v>892.40007973000002</v>
      </c>
      <c r="C38" s="1174">
        <f t="shared" si="0"/>
        <v>720.45865672000002</v>
      </c>
      <c r="D38" s="1174">
        <v>204.72704977000001</v>
      </c>
      <c r="E38" s="1174">
        <v>515.73160695000001</v>
      </c>
      <c r="F38" s="1174">
        <f t="shared" si="1"/>
        <v>171.94142300999999</v>
      </c>
      <c r="G38" s="1174">
        <v>124.5836</v>
      </c>
      <c r="H38" s="1174">
        <v>47.357823009999997</v>
      </c>
    </row>
    <row r="39" spans="1:8" ht="12.75">
      <c r="A39" s="989" t="s">
        <v>19</v>
      </c>
      <c r="B39" s="1174">
        <v>889.20482267</v>
      </c>
      <c r="C39" s="1174">
        <f t="shared" si="0"/>
        <v>743.20906779999996</v>
      </c>
      <c r="D39" s="1174">
        <v>234.45565160000001</v>
      </c>
      <c r="E39" s="1174">
        <v>508.7534162</v>
      </c>
      <c r="F39" s="1174">
        <f t="shared" si="1"/>
        <v>145.99575487000001</v>
      </c>
      <c r="G39" s="1174">
        <v>42.050569130000007</v>
      </c>
      <c r="H39" s="1174">
        <v>103.94518574</v>
      </c>
    </row>
    <row r="40" spans="1:8" ht="12.75">
      <c r="A40" s="989" t="s">
        <v>20</v>
      </c>
      <c r="B40" s="1174">
        <v>1146.8658583700001</v>
      </c>
      <c r="C40" s="1174">
        <f t="shared" si="0"/>
        <v>966.84641592000003</v>
      </c>
      <c r="D40" s="1174">
        <v>255.29451613999998</v>
      </c>
      <c r="E40" s="1174">
        <v>711.55189977999999</v>
      </c>
      <c r="F40" s="1174">
        <f t="shared" si="1"/>
        <v>180.01944245000001</v>
      </c>
      <c r="G40" s="1174">
        <v>62.42680266</v>
      </c>
      <c r="H40" s="1174">
        <v>117.59263979000001</v>
      </c>
    </row>
    <row r="41" spans="1:8" ht="12.75">
      <c r="A41" s="989" t="s">
        <v>21</v>
      </c>
      <c r="B41" s="1174">
        <v>1187.1359750399999</v>
      </c>
      <c r="C41" s="1174">
        <f t="shared" si="0"/>
        <v>1023.0443939300001</v>
      </c>
      <c r="D41" s="1174">
        <v>250.84312294</v>
      </c>
      <c r="E41" s="1174">
        <v>772.20127099000001</v>
      </c>
      <c r="F41" s="1174">
        <f t="shared" si="1"/>
        <v>164.09158110999999</v>
      </c>
      <c r="G41" s="1174">
        <v>56.393766909999997</v>
      </c>
      <c r="H41" s="1174">
        <v>107.6978142</v>
      </c>
    </row>
    <row r="42" spans="1:8" ht="12.75">
      <c r="A42" s="989" t="s">
        <v>22</v>
      </c>
      <c r="B42" s="1174">
        <v>968.03951714999994</v>
      </c>
      <c r="C42" s="1174">
        <f t="shared" si="0"/>
        <v>846.69120887999998</v>
      </c>
      <c r="D42" s="1174">
        <v>237.08599333000001</v>
      </c>
      <c r="E42" s="1174">
        <v>609.60521554999991</v>
      </c>
      <c r="F42" s="1174">
        <f t="shared" si="1"/>
        <v>121.34830827</v>
      </c>
      <c r="G42" s="1174">
        <v>39.363404889999998</v>
      </c>
      <c r="H42" s="1174">
        <v>81.984903380000006</v>
      </c>
    </row>
    <row r="43" spans="1:8" ht="12.75">
      <c r="A43" s="989" t="s">
        <v>23</v>
      </c>
      <c r="B43" s="1174">
        <v>1201.8490304300001</v>
      </c>
      <c r="C43" s="1174">
        <f t="shared" si="0"/>
        <v>1034.9595042200001</v>
      </c>
      <c r="D43" s="1174">
        <v>247.84973000000002</v>
      </c>
      <c r="E43" s="1174">
        <v>787.10977422000008</v>
      </c>
      <c r="F43" s="1174">
        <f t="shared" si="1"/>
        <v>166.88952620999999</v>
      </c>
      <c r="G43" s="1174">
        <v>67.940240110000005</v>
      </c>
      <c r="H43" s="1174">
        <v>98.949286099999995</v>
      </c>
    </row>
    <row r="44" spans="1:8" ht="12.75">
      <c r="A44" s="989" t="s">
        <v>24</v>
      </c>
      <c r="B44" s="1174">
        <v>1138.5634062501999</v>
      </c>
      <c r="C44" s="1174">
        <f t="shared" si="0"/>
        <v>990.71737805020007</v>
      </c>
      <c r="D44" s="1174">
        <v>270.75874119999997</v>
      </c>
      <c r="E44" s="1174">
        <v>719.95863685020004</v>
      </c>
      <c r="F44" s="1174">
        <f t="shared" si="1"/>
        <v>147.84602820000001</v>
      </c>
      <c r="G44" s="1174">
        <v>69.74945889</v>
      </c>
      <c r="H44" s="1174">
        <v>78.096569310000007</v>
      </c>
    </row>
    <row r="45" spans="1:8" ht="12.75">
      <c r="A45" s="989" t="s">
        <v>25</v>
      </c>
      <c r="B45" s="1174">
        <v>1279.8402086599999</v>
      </c>
      <c r="C45" s="1174">
        <f t="shared" si="0"/>
        <v>1056.09099539</v>
      </c>
      <c r="D45" s="1174">
        <v>266.90634941000002</v>
      </c>
      <c r="E45" s="1174">
        <v>789.18464598000003</v>
      </c>
      <c r="F45" s="1174">
        <f t="shared" si="1"/>
        <v>223.74921326999998</v>
      </c>
      <c r="G45" s="1174">
        <v>98.692249349999997</v>
      </c>
      <c r="H45" s="1174">
        <v>125.05696392</v>
      </c>
    </row>
    <row r="46" spans="1:8" ht="12.75">
      <c r="A46" s="989" t="s">
        <v>26</v>
      </c>
      <c r="B46" s="1174">
        <v>1377.6657185700001</v>
      </c>
      <c r="C46" s="1174">
        <f t="shared" si="0"/>
        <v>1155.1435519900001</v>
      </c>
      <c r="D46" s="1174">
        <v>238.79699103000002</v>
      </c>
      <c r="E46" s="1174">
        <v>916.34656096000003</v>
      </c>
      <c r="F46" s="1174">
        <f t="shared" si="1"/>
        <v>222.52216658</v>
      </c>
      <c r="G46" s="1174">
        <v>96.601908330000001</v>
      </c>
      <c r="H46" s="1174">
        <v>125.92025825</v>
      </c>
    </row>
    <row r="47" spans="1:8" ht="12.75">
      <c r="A47" s="989" t="s">
        <v>27</v>
      </c>
      <c r="B47" s="1174">
        <v>1594.2290979200002</v>
      </c>
      <c r="C47" s="1174">
        <f t="shared" si="0"/>
        <v>1184.25900555</v>
      </c>
      <c r="D47" s="1174">
        <v>270.14183599</v>
      </c>
      <c r="E47" s="1174">
        <v>914.11716955999998</v>
      </c>
      <c r="F47" s="1174">
        <f t="shared" si="1"/>
        <v>409.97009237000003</v>
      </c>
      <c r="G47" s="1174">
        <v>195.47908657000002</v>
      </c>
      <c r="H47" s="1174">
        <v>214.49100580000001</v>
      </c>
    </row>
    <row r="48" spans="1:8" ht="12.75">
      <c r="A48" s="989" t="s">
        <v>28</v>
      </c>
      <c r="B48" s="1174">
        <v>1572.4575460900001</v>
      </c>
      <c r="C48" s="1174">
        <f t="shared" si="0"/>
        <v>1357.1091158199999</v>
      </c>
      <c r="D48" s="1174">
        <v>280.14899407000001</v>
      </c>
      <c r="E48" s="1174">
        <v>1076.9601217499999</v>
      </c>
      <c r="F48" s="1174">
        <f t="shared" si="1"/>
        <v>215.34843027000002</v>
      </c>
      <c r="G48" s="1174">
        <v>63.529461219999995</v>
      </c>
      <c r="H48" s="1174">
        <v>151.81896905000002</v>
      </c>
    </row>
    <row r="49" spans="1:8" ht="12.75">
      <c r="A49" s="989" t="s">
        <v>29</v>
      </c>
      <c r="B49" s="1174">
        <v>1766.26174657</v>
      </c>
      <c r="C49" s="1174">
        <f t="shared" si="0"/>
        <v>1541.7286986899999</v>
      </c>
      <c r="D49" s="1174">
        <v>315.63430894999999</v>
      </c>
      <c r="E49" s="1174">
        <v>1226.09438974</v>
      </c>
      <c r="F49" s="1174">
        <f t="shared" si="1"/>
        <v>224.53304788</v>
      </c>
      <c r="G49" s="1174">
        <v>92.731937909999999</v>
      </c>
      <c r="H49" s="1174">
        <v>131.80110997</v>
      </c>
    </row>
    <row r="50" spans="1:8" ht="12.75">
      <c r="A50" s="989" t="s">
        <v>2827</v>
      </c>
      <c r="B50" s="1174"/>
      <c r="C50" s="1174"/>
      <c r="D50" s="1174"/>
      <c r="E50" s="1174"/>
      <c r="F50" s="1174"/>
      <c r="G50" s="1174"/>
      <c r="H50" s="1174"/>
    </row>
    <row r="51" spans="1:8" ht="12.75">
      <c r="A51" s="989" t="s">
        <v>18</v>
      </c>
      <c r="B51" s="1174">
        <v>1227.7738455000001</v>
      </c>
      <c r="C51" s="1174">
        <f t="shared" si="0"/>
        <v>1076.1017911700001</v>
      </c>
      <c r="D51" s="1174">
        <v>279.05039562999997</v>
      </c>
      <c r="E51" s="1174">
        <v>797.05139554000004</v>
      </c>
      <c r="F51" s="1174">
        <f t="shared" si="1"/>
        <v>151.67205432999998</v>
      </c>
      <c r="G51" s="1174">
        <v>85.745382960000001</v>
      </c>
      <c r="H51" s="1174">
        <v>65.926671369999994</v>
      </c>
    </row>
    <row r="52" spans="1:8" ht="12.75">
      <c r="A52" s="989" t="s">
        <v>19</v>
      </c>
      <c r="B52" s="1174">
        <v>1460.8511849499998</v>
      </c>
      <c r="C52" s="1174">
        <f t="shared" si="0"/>
        <v>1317.8380996999999</v>
      </c>
      <c r="D52" s="1174">
        <v>360.83667399000001</v>
      </c>
      <c r="E52" s="1174">
        <v>957.00142571000003</v>
      </c>
      <c r="F52" s="1174">
        <f t="shared" si="1"/>
        <v>143.01308524999999</v>
      </c>
      <c r="G52" s="1174">
        <v>107.20484316999999</v>
      </c>
      <c r="H52" s="1174">
        <v>35.808242080000007</v>
      </c>
    </row>
    <row r="53" spans="1:8" ht="12.75">
      <c r="A53" s="989" t="s">
        <v>20</v>
      </c>
      <c r="B53" s="1174">
        <v>1474.8802209600001</v>
      </c>
      <c r="C53" s="1174">
        <f t="shared" si="0"/>
        <v>1260.46097556</v>
      </c>
      <c r="D53" s="1174">
        <v>279.54624842999999</v>
      </c>
      <c r="E53" s="1174">
        <v>980.91472712999996</v>
      </c>
      <c r="F53" s="1174">
        <f t="shared" si="1"/>
        <v>214.41924539999997</v>
      </c>
      <c r="G53" s="1174">
        <v>71.433150569999995</v>
      </c>
      <c r="H53" s="1174">
        <v>142.98609482999998</v>
      </c>
    </row>
    <row r="54" spans="1:8" ht="12.75">
      <c r="A54" s="989" t="s">
        <v>21</v>
      </c>
      <c r="B54" s="1174">
        <v>1659.43432702</v>
      </c>
      <c r="C54" s="1174">
        <f t="shared" si="0"/>
        <v>1462.71950027</v>
      </c>
      <c r="D54" s="1174">
        <v>395.05655831000001</v>
      </c>
      <c r="E54" s="1174">
        <v>1067.6629419599999</v>
      </c>
      <c r="F54" s="1174">
        <f t="shared" si="1"/>
        <v>196.71482674999999</v>
      </c>
      <c r="G54" s="1174">
        <v>91.517134309999989</v>
      </c>
      <c r="H54" s="1174">
        <v>105.19769244</v>
      </c>
    </row>
    <row r="55" spans="1:8" ht="12.75">
      <c r="A55" s="989" t="s">
        <v>22</v>
      </c>
      <c r="B55" s="1174">
        <v>1501.8484075199999</v>
      </c>
      <c r="C55" s="1174">
        <f t="shared" si="0"/>
        <v>1335.8977455500001</v>
      </c>
      <c r="D55" s="1174">
        <v>311.91072717000003</v>
      </c>
      <c r="E55" s="1174">
        <v>1023.98701838</v>
      </c>
      <c r="F55" s="1174">
        <f t="shared" si="1"/>
        <v>165.95066197</v>
      </c>
      <c r="G55" s="1174">
        <v>119.9852173</v>
      </c>
      <c r="H55" s="1174">
        <v>45.965444669999997</v>
      </c>
    </row>
    <row r="56" spans="1:8" ht="12.75">
      <c r="A56" s="989" t="s">
        <v>23</v>
      </c>
      <c r="B56" s="1174">
        <v>1870.49859997</v>
      </c>
      <c r="C56" s="1174">
        <f t="shared" si="0"/>
        <v>1608.3510740500001</v>
      </c>
      <c r="D56" s="1174">
        <v>448.34257563</v>
      </c>
      <c r="E56" s="1174">
        <v>1160.00849842</v>
      </c>
      <c r="F56" s="1174">
        <f t="shared" si="1"/>
        <v>262.14752592000002</v>
      </c>
      <c r="G56" s="1174">
        <v>148.26522752</v>
      </c>
      <c r="H56" s="1174">
        <v>113.8822984</v>
      </c>
    </row>
    <row r="57" spans="1:8" ht="12.75">
      <c r="A57" s="989" t="s">
        <v>24</v>
      </c>
      <c r="B57" s="1174">
        <v>1572.91523678259</v>
      </c>
      <c r="C57" s="1174">
        <f t="shared" si="0"/>
        <v>1305.0248279699999</v>
      </c>
      <c r="D57" s="1174">
        <v>344.33448549000002</v>
      </c>
      <c r="E57" s="1174">
        <v>960.69034248000003</v>
      </c>
      <c r="F57" s="1174">
        <f t="shared" si="1"/>
        <v>267.89040881259302</v>
      </c>
      <c r="G57" s="1174">
        <v>116.604283262593</v>
      </c>
      <c r="H57" s="1174">
        <v>151.28612555000001</v>
      </c>
    </row>
    <row r="58" spans="1:8" ht="12.75">
      <c r="A58" s="989" t="s">
        <v>25</v>
      </c>
      <c r="B58" s="1174">
        <v>1682.8814617999999</v>
      </c>
      <c r="C58" s="1174">
        <v>1496.1297180400002</v>
      </c>
      <c r="D58" s="1174">
        <v>381.15441183000002</v>
      </c>
      <c r="E58" s="1174">
        <v>1114.9753062100001</v>
      </c>
      <c r="F58" s="1174">
        <v>186.75174376000001</v>
      </c>
      <c r="G58" s="1174">
        <v>82.224719410000006</v>
      </c>
      <c r="H58" s="1174">
        <v>104.52702435</v>
      </c>
    </row>
    <row r="59" spans="1:8" ht="12.75">
      <c r="A59" s="989" t="s">
        <v>26</v>
      </c>
      <c r="B59" s="1174">
        <v>1956.8583000000001</v>
      </c>
      <c r="C59" s="1174">
        <v>1659.1293000000001</v>
      </c>
      <c r="D59" s="1174">
        <v>450.25329999999997</v>
      </c>
      <c r="E59" s="1174">
        <v>1208.876</v>
      </c>
      <c r="F59" s="1174">
        <v>297.72899999999998</v>
      </c>
      <c r="G59" s="1174">
        <v>88.600999999999999</v>
      </c>
      <c r="H59" s="1174">
        <v>209.12799999999999</v>
      </c>
    </row>
    <row r="60" spans="1:8" ht="12.75">
      <c r="A60" s="989" t="s">
        <v>27</v>
      </c>
      <c r="B60" s="1174">
        <f>C60+F60</f>
        <v>1965.75709551</v>
      </c>
      <c r="C60" s="1174">
        <f>D60+E60</f>
        <v>1641.5784257400001</v>
      </c>
      <c r="D60" s="1174">
        <v>484.11466564</v>
      </c>
      <c r="E60" s="1174">
        <v>1157.4637601000002</v>
      </c>
      <c r="F60" s="1174">
        <f>G60+H60</f>
        <v>324.17866977</v>
      </c>
      <c r="G60" s="1174">
        <v>77.288710860000009</v>
      </c>
      <c r="H60" s="1174">
        <v>246.88995890999999</v>
      </c>
    </row>
    <row r="61" spans="1:8" ht="12.75">
      <c r="A61" s="989" t="s">
        <v>28</v>
      </c>
      <c r="B61" s="1174">
        <f>C61+F61</f>
        <v>2034.6283445845404</v>
      </c>
      <c r="C61" s="1174">
        <f>D61+E61</f>
        <v>1696.85331787</v>
      </c>
      <c r="D61" s="1174">
        <v>389.30537876</v>
      </c>
      <c r="E61" s="1174">
        <v>1307.54793911</v>
      </c>
      <c r="F61" s="1174">
        <f>G61+H61</f>
        <v>337.7750267145405</v>
      </c>
      <c r="G61" s="1174">
        <v>74.872493234540499</v>
      </c>
      <c r="H61" s="1174">
        <v>262.90253347999999</v>
      </c>
    </row>
    <row r="62" spans="1:8" ht="12.75">
      <c r="A62" s="989" t="s">
        <v>29</v>
      </c>
      <c r="B62" s="1174">
        <f>C62+F62</f>
        <v>2250.9269999999997</v>
      </c>
      <c r="C62" s="1174">
        <f>D62+E62</f>
        <v>1789.5349999999999</v>
      </c>
      <c r="D62" s="1174">
        <v>472.69499999999999</v>
      </c>
      <c r="E62" s="1174">
        <v>1316.84</v>
      </c>
      <c r="F62" s="1174">
        <f>G62+H62</f>
        <v>461.392</v>
      </c>
      <c r="G62" s="1174">
        <v>134.339</v>
      </c>
      <c r="H62" s="1174">
        <v>327.053</v>
      </c>
    </row>
    <row r="63" spans="1:8" ht="12.75">
      <c r="A63" s="989" t="s">
        <v>3518</v>
      </c>
      <c r="B63" s="1174"/>
      <c r="C63" s="1174"/>
      <c r="D63" s="1174"/>
      <c r="E63" s="1174"/>
      <c r="F63" s="1174"/>
      <c r="G63" s="1174"/>
      <c r="H63" s="1174"/>
    </row>
    <row r="64" spans="1:8" ht="12.75">
      <c r="A64" s="989" t="s">
        <v>18</v>
      </c>
      <c r="B64" s="1174">
        <f>C64+F64</f>
        <v>1561.8040000000001</v>
      </c>
      <c r="C64" s="1174">
        <f>D64+E64</f>
        <v>1394.992</v>
      </c>
      <c r="D64" s="1174">
        <v>335.71100000000001</v>
      </c>
      <c r="E64" s="1174">
        <v>1059.2809999999999</v>
      </c>
      <c r="F64" s="1174">
        <f>G64+H64</f>
        <v>166.81200000000001</v>
      </c>
      <c r="G64" s="1174">
        <v>46.825000000000003</v>
      </c>
      <c r="H64" s="1174">
        <v>119.98699999999999</v>
      </c>
    </row>
    <row r="65" spans="1:8" ht="12.75">
      <c r="A65" s="989" t="s">
        <v>19</v>
      </c>
      <c r="B65" s="1174">
        <f>C65+F65</f>
        <v>1603.5799999999997</v>
      </c>
      <c r="C65" s="1174">
        <f>D65+E65</f>
        <v>1480.5949999999998</v>
      </c>
      <c r="D65" s="1174">
        <v>392.43700000000001</v>
      </c>
      <c r="E65" s="1174">
        <v>1088.1579999999999</v>
      </c>
      <c r="F65" s="1174">
        <f>G65+H65</f>
        <v>122.98499999999999</v>
      </c>
      <c r="G65" s="1174">
        <v>42.26</v>
      </c>
      <c r="H65" s="1174">
        <v>80.724999999999994</v>
      </c>
    </row>
    <row r="66" spans="1:8" ht="12.75">
      <c r="A66" s="989" t="s">
        <v>20</v>
      </c>
      <c r="B66" s="1174">
        <v>1915.2670000000001</v>
      </c>
      <c r="C66" s="1174">
        <v>1705.2260000000001</v>
      </c>
      <c r="D66" s="1174">
        <v>412.50900000000001</v>
      </c>
      <c r="E66" s="1174">
        <v>1292.7170000000001</v>
      </c>
      <c r="F66" s="1174">
        <v>210.041</v>
      </c>
      <c r="G66" s="1174">
        <v>83.227999999999994</v>
      </c>
      <c r="H66" s="1174">
        <v>126.813</v>
      </c>
    </row>
    <row r="67" spans="1:8" ht="12.75">
      <c r="A67" s="989" t="s">
        <v>21</v>
      </c>
      <c r="B67" s="1174">
        <v>1936.6399999999999</v>
      </c>
      <c r="C67" s="1174">
        <v>1774.7849999999999</v>
      </c>
      <c r="D67" s="1174">
        <v>450.92700000000002</v>
      </c>
      <c r="E67" s="1174">
        <v>1323.8579999999999</v>
      </c>
      <c r="F67" s="1174">
        <v>161.85500000000002</v>
      </c>
      <c r="G67" s="1174">
        <v>77.403000000000006</v>
      </c>
      <c r="H67" s="1174">
        <v>84.451999999999998</v>
      </c>
    </row>
    <row r="68" spans="1:8" ht="12.75">
      <c r="A68" s="989" t="s">
        <v>22</v>
      </c>
      <c r="B68" s="1174">
        <v>2409.5239999999999</v>
      </c>
      <c r="C68" s="1174">
        <v>2082.1059999999998</v>
      </c>
      <c r="D68" s="1174">
        <v>442.12599999999998</v>
      </c>
      <c r="E68" s="1174">
        <v>1639.98</v>
      </c>
      <c r="F68" s="1174">
        <v>327.41800000000001</v>
      </c>
      <c r="G68" s="1174">
        <v>85.481999999999999</v>
      </c>
      <c r="H68" s="1174">
        <v>241.93600000000001</v>
      </c>
    </row>
    <row r="69" spans="1:8" ht="12.75">
      <c r="A69" s="989" t="s">
        <v>23</v>
      </c>
      <c r="B69" s="1174">
        <v>2317.85</v>
      </c>
      <c r="C69" s="1174">
        <v>1871.067</v>
      </c>
      <c r="D69" s="1174">
        <v>472.23</v>
      </c>
      <c r="E69" s="1174">
        <v>1398.837</v>
      </c>
      <c r="F69" s="1174">
        <v>446.78299999999996</v>
      </c>
      <c r="G69" s="1174">
        <v>98.978999999999999</v>
      </c>
      <c r="H69" s="1174">
        <v>347.80399999999997</v>
      </c>
    </row>
    <row r="70" spans="1:8" ht="12.75">
      <c r="A70" s="989" t="s">
        <v>24</v>
      </c>
      <c r="B70" s="1174">
        <v>2368.7939999999999</v>
      </c>
      <c r="C70" s="1174">
        <v>2122.7370000000001</v>
      </c>
      <c r="D70" s="1174">
        <v>507.44400000000002</v>
      </c>
      <c r="E70" s="1174">
        <v>1615.2929999999999</v>
      </c>
      <c r="F70" s="1174">
        <v>246.05699999999999</v>
      </c>
      <c r="G70" s="1174">
        <v>72.923000000000002</v>
      </c>
      <c r="H70" s="1174">
        <v>173.13399999999999</v>
      </c>
    </row>
    <row r="71" spans="1:8" ht="12.75">
      <c r="A71" s="989" t="s">
        <v>25</v>
      </c>
      <c r="B71" s="1174">
        <v>2364.8179999999998</v>
      </c>
      <c r="C71" s="1174">
        <v>2128.4989999999998</v>
      </c>
      <c r="D71" s="1174">
        <v>443.00799999999998</v>
      </c>
      <c r="E71" s="1174">
        <v>1685.491</v>
      </c>
      <c r="F71" s="1174">
        <v>236.31899999999999</v>
      </c>
      <c r="G71" s="1174">
        <v>112.61799999999999</v>
      </c>
      <c r="H71" s="1174">
        <v>123.70099999999999</v>
      </c>
    </row>
    <row r="72" spans="1:8" ht="12.75">
      <c r="A72" s="989" t="s">
        <v>26</v>
      </c>
      <c r="B72" s="1174">
        <v>2387.65</v>
      </c>
      <c r="C72" s="1174">
        <v>1981.6969999999999</v>
      </c>
      <c r="D72" s="1174">
        <v>450.84699999999998</v>
      </c>
      <c r="E72" s="1174">
        <v>1530.85</v>
      </c>
      <c r="F72" s="1174">
        <v>405.95300000000003</v>
      </c>
      <c r="G72" s="1174">
        <v>149.20400000000001</v>
      </c>
      <c r="H72" s="1174">
        <v>256.74900000000002</v>
      </c>
    </row>
    <row r="73" spans="1:8" ht="12.75">
      <c r="A73" s="989" t="s">
        <v>27</v>
      </c>
      <c r="B73" s="1174">
        <v>2700.509</v>
      </c>
      <c r="C73" s="1174">
        <v>2196.0439999999999</v>
      </c>
      <c r="D73" s="1174">
        <v>505.69099999999997</v>
      </c>
      <c r="E73" s="1174">
        <v>1690.3530000000001</v>
      </c>
      <c r="F73" s="1174">
        <v>504.46499999999997</v>
      </c>
      <c r="G73" s="1174">
        <v>114.435</v>
      </c>
      <c r="H73" s="1174">
        <v>390.03</v>
      </c>
    </row>
    <row r="74" spans="1:8" ht="12.75">
      <c r="A74" s="989" t="s">
        <v>28</v>
      </c>
      <c r="B74" s="1174">
        <v>2449.4319999999998</v>
      </c>
      <c r="C74" s="1174">
        <v>2213.991</v>
      </c>
      <c r="D74" s="1174">
        <v>472.77</v>
      </c>
      <c r="E74" s="1174">
        <v>1741.221</v>
      </c>
      <c r="F74" s="1174">
        <v>235.441</v>
      </c>
      <c r="G74" s="1174">
        <v>95.825999999999993</v>
      </c>
      <c r="H74" s="1174">
        <v>139.61500000000001</v>
      </c>
    </row>
    <row r="75" spans="1:8" ht="12.75">
      <c r="A75" s="989" t="s">
        <v>29</v>
      </c>
      <c r="B75" s="1174">
        <v>2813.788</v>
      </c>
      <c r="C75" s="1174">
        <v>2564.8110000000001</v>
      </c>
      <c r="D75" s="1174">
        <v>602.07000000000005</v>
      </c>
      <c r="E75" s="1174">
        <v>1962.741</v>
      </c>
      <c r="F75" s="1174">
        <v>248.97700000000003</v>
      </c>
      <c r="G75" s="1174">
        <v>108.498</v>
      </c>
      <c r="H75" s="1174">
        <v>140.47900000000001</v>
      </c>
    </row>
    <row r="76" spans="1:8" ht="12.75">
      <c r="A76" s="989" t="s">
        <v>3989</v>
      </c>
      <c r="B76" s="1174"/>
      <c r="C76" s="1174"/>
      <c r="D76" s="1174"/>
      <c r="E76" s="1174"/>
      <c r="F76" s="1174"/>
      <c r="G76" s="1174"/>
      <c r="H76" s="1174"/>
    </row>
    <row r="77" spans="1:8" ht="12.75">
      <c r="A77" s="989" t="s">
        <v>18</v>
      </c>
      <c r="B77" s="1174">
        <v>2482.4490000000001</v>
      </c>
      <c r="C77" s="1174">
        <v>1935.019</v>
      </c>
      <c r="D77" s="1174">
        <v>423.358</v>
      </c>
      <c r="E77" s="1174">
        <v>1511.6610000000001</v>
      </c>
      <c r="F77" s="1174">
        <v>547.43000000000006</v>
      </c>
      <c r="G77" s="1174">
        <v>65.022000000000006</v>
      </c>
      <c r="H77" s="1174">
        <v>482.40800000000002</v>
      </c>
    </row>
    <row r="78" spans="1:8" ht="12.75">
      <c r="A78" s="989" t="s">
        <v>19</v>
      </c>
      <c r="B78" s="1174">
        <v>2390.886</v>
      </c>
      <c r="C78" s="1174">
        <v>2209.4929999999999</v>
      </c>
      <c r="D78" s="1174">
        <v>469.57299999999998</v>
      </c>
      <c r="E78" s="1174">
        <v>1739.92</v>
      </c>
      <c r="F78" s="1174">
        <v>181.393</v>
      </c>
      <c r="G78" s="1174">
        <v>84.451999999999998</v>
      </c>
      <c r="H78" s="1174">
        <v>96.941000000000003</v>
      </c>
    </row>
    <row r="79" spans="1:8" ht="12.75">
      <c r="A79" s="989" t="s">
        <v>20</v>
      </c>
      <c r="B79" s="1174">
        <v>2525.5139999999997</v>
      </c>
      <c r="C79" s="1174">
        <v>2320.6019999999999</v>
      </c>
      <c r="D79" s="1174">
        <v>506.55900000000003</v>
      </c>
      <c r="E79" s="1174">
        <v>1814.0429999999999</v>
      </c>
      <c r="F79" s="1174">
        <v>204.91200000000001</v>
      </c>
      <c r="G79" s="1174">
        <v>80.725999999999999</v>
      </c>
      <c r="H79" s="1174">
        <v>124.18600000000001</v>
      </c>
    </row>
    <row r="80" spans="1:8" ht="12.75">
      <c r="A80" s="989" t="s">
        <v>21</v>
      </c>
      <c r="B80" s="1174">
        <v>2945.3250000000003</v>
      </c>
      <c r="C80" s="1174">
        <v>2707.2780000000002</v>
      </c>
      <c r="D80" s="1174">
        <v>559.02700000000004</v>
      </c>
      <c r="E80" s="1174">
        <v>2148.2510000000002</v>
      </c>
      <c r="F80" s="1174">
        <v>238.04700000000003</v>
      </c>
      <c r="G80" s="1174">
        <v>112.68300000000001</v>
      </c>
      <c r="H80" s="1174">
        <v>125.364</v>
      </c>
    </row>
    <row r="81" spans="1:24" ht="12.75">
      <c r="A81" s="989" t="s">
        <v>22</v>
      </c>
      <c r="B81" s="1174">
        <v>3068.87</v>
      </c>
      <c r="C81" s="1174">
        <v>2845.1669999999999</v>
      </c>
      <c r="D81" s="1174">
        <v>579.20500000000004</v>
      </c>
      <c r="E81" s="1174">
        <v>2265.962</v>
      </c>
      <c r="F81" s="1174">
        <v>223.70299999999997</v>
      </c>
      <c r="G81" s="1174">
        <v>106.58499999999999</v>
      </c>
      <c r="H81" s="1174">
        <v>117.11799999999999</v>
      </c>
    </row>
    <row r="82" spans="1:24" ht="12.75">
      <c r="A82" s="989" t="s">
        <v>23</v>
      </c>
      <c r="B82" s="1174">
        <v>2647.1239999999998</v>
      </c>
      <c r="C82" s="1174">
        <v>2430.049</v>
      </c>
      <c r="D82" s="1174">
        <v>523.32799999999997</v>
      </c>
      <c r="E82" s="1174">
        <v>1906.721</v>
      </c>
      <c r="F82" s="1174">
        <v>217.07499999999999</v>
      </c>
      <c r="G82" s="1174">
        <v>86.86</v>
      </c>
      <c r="H82" s="1174">
        <v>130.215</v>
      </c>
    </row>
    <row r="83" spans="1:24" ht="12.75">
      <c r="A83" s="989" t="s">
        <v>24</v>
      </c>
      <c r="B83" s="1174">
        <v>2689.962</v>
      </c>
      <c r="C83" s="1174">
        <v>2448.8389999999999</v>
      </c>
      <c r="D83" s="1174">
        <v>575.28700000000003</v>
      </c>
      <c r="E83" s="1174">
        <v>1873.5519999999999</v>
      </c>
      <c r="F83" s="1174">
        <v>241.12299999999999</v>
      </c>
      <c r="G83" s="1174">
        <v>73.671000000000006</v>
      </c>
      <c r="H83" s="1174">
        <v>167.452</v>
      </c>
    </row>
    <row r="84" spans="1:24" ht="12.75">
      <c r="A84" s="989" t="s">
        <v>25</v>
      </c>
      <c r="B84" s="1174">
        <v>2574.317</v>
      </c>
      <c r="C84" s="1174">
        <v>2396.6970000000001</v>
      </c>
      <c r="D84" s="1174">
        <v>472.78</v>
      </c>
      <c r="E84" s="1174">
        <v>1923.9169999999999</v>
      </c>
      <c r="F84" s="1174">
        <v>177.62</v>
      </c>
      <c r="G84" s="1174">
        <v>79.644000000000005</v>
      </c>
      <c r="H84" s="1174">
        <v>97.975999999999999</v>
      </c>
    </row>
    <row r="85" spans="1:24" ht="12.75">
      <c r="A85" s="989" t="s">
        <v>26</v>
      </c>
      <c r="B85" s="1174">
        <v>2774.9720000000002</v>
      </c>
      <c r="C85" s="1174">
        <v>2514.5990000000002</v>
      </c>
      <c r="D85" s="1174">
        <v>675.37599999999998</v>
      </c>
      <c r="E85" s="1174">
        <v>1839.223</v>
      </c>
      <c r="F85" s="1174">
        <v>260.37300000000005</v>
      </c>
      <c r="G85" s="1174">
        <v>84.549000000000007</v>
      </c>
      <c r="H85" s="1174">
        <v>175.82400000000001</v>
      </c>
    </row>
    <row r="86" spans="1:24" ht="12.75">
      <c r="A86" s="989" t="s">
        <v>27</v>
      </c>
      <c r="B86" s="1174">
        <v>3009.7280000000001</v>
      </c>
      <c r="C86" s="1174">
        <v>2679.1120000000001</v>
      </c>
      <c r="D86" s="1174">
        <v>721.76099999999997</v>
      </c>
      <c r="E86" s="1174">
        <v>1957.3510000000001</v>
      </c>
      <c r="F86" s="1174">
        <v>330.61599999999999</v>
      </c>
      <c r="G86" s="1174">
        <v>117.24</v>
      </c>
      <c r="H86" s="1174">
        <v>213.376</v>
      </c>
    </row>
    <row r="87" spans="1:24" ht="12.75">
      <c r="A87" s="989" t="s">
        <v>28</v>
      </c>
      <c r="B87" s="1174">
        <v>2581.2069999999999</v>
      </c>
      <c r="C87" s="1174">
        <v>2320.9690000000001</v>
      </c>
      <c r="D87" s="1174">
        <v>582.86</v>
      </c>
      <c r="E87" s="1174">
        <v>1738.1089999999999</v>
      </c>
      <c r="F87" s="1174">
        <v>260.238</v>
      </c>
      <c r="G87" s="1174">
        <v>159.44499999999999</v>
      </c>
      <c r="H87" s="1174">
        <v>100.79300000000001</v>
      </c>
    </row>
    <row r="88" spans="1:24" ht="12.75">
      <c r="A88" s="989" t="s">
        <v>29</v>
      </c>
      <c r="B88" s="1174">
        <v>3149.8739999999998</v>
      </c>
      <c r="C88" s="1174">
        <v>2822.377</v>
      </c>
      <c r="D88" s="1174">
        <v>783.46299999999997</v>
      </c>
      <c r="E88" s="1174">
        <v>2038.914</v>
      </c>
      <c r="F88" s="1174">
        <v>327.49699999999996</v>
      </c>
      <c r="G88" s="1174">
        <v>164.31399999999999</v>
      </c>
      <c r="H88" s="1174">
        <v>163.18299999999999</v>
      </c>
    </row>
    <row r="89" spans="1:24" ht="12.75">
      <c r="A89" s="989" t="s">
        <v>4222</v>
      </c>
      <c r="B89" s="1174"/>
      <c r="C89" s="1174"/>
      <c r="D89" s="1174"/>
      <c r="E89" s="1174"/>
      <c r="F89" s="1174"/>
      <c r="G89" s="1174"/>
      <c r="H89" s="1174"/>
    </row>
    <row r="90" spans="1:24" ht="12.75">
      <c r="A90" s="989" t="s">
        <v>18</v>
      </c>
      <c r="B90" s="1174">
        <v>2435.3389999999999</v>
      </c>
      <c r="C90" s="1174">
        <v>2257.1819999999998</v>
      </c>
      <c r="D90" s="1174">
        <v>535.15599999999995</v>
      </c>
      <c r="E90" s="1174">
        <v>1722.0260000000001</v>
      </c>
      <c r="F90" s="1174">
        <v>178.15699999999998</v>
      </c>
      <c r="G90" s="1174">
        <v>60.593000000000004</v>
      </c>
      <c r="H90" s="1174">
        <v>117.56399999999999</v>
      </c>
    </row>
    <row r="91" spans="1:24" ht="12.75">
      <c r="A91" s="989" t="s">
        <v>19</v>
      </c>
      <c r="B91" s="1174">
        <v>2443.7380000000003</v>
      </c>
      <c r="C91" s="1174">
        <v>2305.6440000000002</v>
      </c>
      <c r="D91" s="1174">
        <v>539.06700000000001</v>
      </c>
      <c r="E91" s="1174">
        <v>1766.577</v>
      </c>
      <c r="F91" s="1174">
        <v>138.09399999999999</v>
      </c>
      <c r="G91" s="1174">
        <v>85.347999999999999</v>
      </c>
      <c r="H91" s="1174">
        <v>52.746000000000002</v>
      </c>
    </row>
    <row r="92" spans="1:24" ht="12.75">
      <c r="A92" s="989" t="s">
        <v>20</v>
      </c>
      <c r="B92" s="1174">
        <v>2230.7809999999995</v>
      </c>
      <c r="C92" s="1174">
        <v>2081.2659999999996</v>
      </c>
      <c r="D92" s="1174">
        <v>563.81899999999996</v>
      </c>
      <c r="E92" s="1174">
        <v>1517.4469999999999</v>
      </c>
      <c r="F92" s="1174">
        <v>149.51499999999999</v>
      </c>
      <c r="G92" s="1174">
        <v>69.403000000000006</v>
      </c>
      <c r="H92" s="1174">
        <v>80.111999999999995</v>
      </c>
    </row>
    <row r="93" spans="1:24" ht="12.75">
      <c r="A93" s="989" t="s">
        <v>21</v>
      </c>
      <c r="B93" s="1174">
        <v>3146.672</v>
      </c>
      <c r="C93" s="1174">
        <v>2929.375</v>
      </c>
      <c r="D93" s="1174">
        <v>687.90200000000004</v>
      </c>
      <c r="E93" s="1174">
        <v>2241.473</v>
      </c>
      <c r="F93" s="1174">
        <v>217.29700000000003</v>
      </c>
      <c r="G93" s="1174">
        <v>92.016000000000005</v>
      </c>
      <c r="H93" s="1174">
        <v>125.28100000000001</v>
      </c>
    </row>
    <row r="94" spans="1:24" ht="12.75">
      <c r="A94" s="996" t="s">
        <v>22</v>
      </c>
      <c r="B94" s="1176">
        <v>2591.2419999999997</v>
      </c>
      <c r="C94" s="1174">
        <v>2446.35</v>
      </c>
      <c r="D94" s="1176">
        <v>672.85699999999997</v>
      </c>
      <c r="E94" s="1176">
        <v>1773.4929999999999</v>
      </c>
      <c r="F94" s="1174">
        <v>144.892</v>
      </c>
      <c r="G94" s="1176">
        <v>62.064999999999998</v>
      </c>
      <c r="H94" s="1176">
        <v>82.826999999999998</v>
      </c>
    </row>
    <row r="95" spans="1:24" s="1001" customFormat="1" ht="17.25" customHeight="1">
      <c r="A95" s="2416" t="s">
        <v>3015</v>
      </c>
      <c r="B95" s="2416"/>
      <c r="C95" s="2416"/>
      <c r="D95" s="2416"/>
      <c r="E95" s="2416"/>
      <c r="F95" s="2416"/>
      <c r="G95" s="2416"/>
      <c r="H95" s="2416"/>
      <c r="I95" s="1000"/>
      <c r="J95" s="1000"/>
      <c r="K95" s="1000"/>
      <c r="L95" s="1000"/>
      <c r="M95" s="1000"/>
      <c r="N95" s="1000"/>
      <c r="O95" s="1000"/>
      <c r="P95" s="1000"/>
      <c r="Q95" s="1000"/>
      <c r="R95" s="1000"/>
      <c r="S95" s="1000"/>
      <c r="T95" s="1000"/>
      <c r="U95" s="1000"/>
      <c r="V95" s="1000"/>
      <c r="W95" s="1000"/>
      <c r="X95" s="1000"/>
    </row>
    <row r="96" spans="1:24" s="1001" customFormat="1" ht="13.5" customHeight="1">
      <c r="A96" s="2417"/>
      <c r="B96" s="2417"/>
      <c r="C96" s="2417"/>
      <c r="D96" s="2417"/>
      <c r="E96" s="2417"/>
      <c r="F96" s="2417"/>
      <c r="G96" s="2417"/>
      <c r="H96" s="2417"/>
      <c r="I96" s="2417"/>
      <c r="J96" s="2417"/>
      <c r="K96" s="2417"/>
      <c r="L96" s="2417"/>
      <c r="M96" s="2417"/>
      <c r="N96" s="2417"/>
      <c r="O96" s="2417"/>
      <c r="P96" s="2417"/>
      <c r="Q96" s="2417"/>
      <c r="R96" s="2417"/>
      <c r="S96" s="2417"/>
      <c r="T96" s="2417"/>
      <c r="U96" s="2417"/>
      <c r="V96" s="2417"/>
      <c r="W96" s="2417"/>
      <c r="X96" s="2417"/>
    </row>
    <row r="97" spans="1:24" s="1001" customFormat="1" ht="13.5" customHeight="1">
      <c r="A97" s="2415"/>
      <c r="B97" s="2415"/>
      <c r="C97" s="2415"/>
      <c r="D97" s="2415"/>
      <c r="E97" s="2415"/>
      <c r="F97" s="2415"/>
      <c r="G97" s="2415"/>
      <c r="H97" s="2415"/>
      <c r="I97" s="2415"/>
      <c r="J97" s="2415"/>
      <c r="K97" s="2415"/>
      <c r="L97" s="2415"/>
      <c r="M97" s="2415"/>
      <c r="N97" s="2415"/>
      <c r="O97" s="2415"/>
      <c r="P97" s="2415"/>
      <c r="Q97" s="2415"/>
      <c r="R97" s="2415"/>
      <c r="S97" s="2415"/>
      <c r="T97" s="2415"/>
      <c r="U97" s="2415"/>
      <c r="V97" s="2415"/>
      <c r="W97" s="2415"/>
      <c r="X97" s="2415"/>
    </row>
    <row r="98" spans="1:24" ht="12.75"/>
    <row r="99" spans="1:24" ht="12.75"/>
    <row r="100" spans="1:24" ht="12.75">
      <c r="E100" s="988"/>
    </row>
    <row r="101" spans="1:24" ht="12.75"/>
    <row r="102" spans="1:24" ht="12.75"/>
    <row r="103" spans="1:24" ht="12.75"/>
    <row r="104" spans="1:24" ht="12.75"/>
    <row r="105" spans="1:24" ht="12.75"/>
    <row r="106" spans="1:24" ht="12.75"/>
    <row r="107" spans="1:24" ht="12.75"/>
    <row r="108" spans="1:24" ht="12.75"/>
    <row r="109" spans="1:24" ht="12.75"/>
    <row r="110" spans="1:24" ht="12.75"/>
    <row r="111" spans="1:24" ht="12.75"/>
    <row r="112" spans="1:24" ht="12.75"/>
    <row r="113" ht="12.75"/>
    <row r="114" ht="12.75"/>
    <row r="115" ht="12.75"/>
    <row r="116" ht="12.75"/>
    <row r="117" ht="12.75"/>
    <row r="118" ht="12.75"/>
    <row r="119" ht="12.75"/>
    <row r="120" ht="12.75"/>
    <row r="121" ht="12.75"/>
    <row r="122" ht="12.75"/>
    <row r="123" ht="12.75"/>
    <row r="124" ht="12.75"/>
    <row r="125" ht="12.75"/>
    <row r="126" ht="12.75"/>
    <row r="127" ht="12.75"/>
    <row r="128" ht="12.75"/>
    <row r="129" ht="12.75"/>
    <row r="130" ht="12.75"/>
    <row r="131" ht="12.75"/>
    <row r="132" ht="12.75"/>
    <row r="133" ht="12.75"/>
    <row r="134" ht="12.75"/>
    <row r="135" ht="12.75"/>
    <row r="136" ht="12.75"/>
    <row r="137" ht="12.75"/>
    <row r="138" ht="12.75"/>
  </sheetData>
  <mergeCells count="14">
    <mergeCell ref="A97:X97"/>
    <mergeCell ref="A9:A10"/>
    <mergeCell ref="B9:B10"/>
    <mergeCell ref="C9:E9"/>
    <mergeCell ref="F9:H9"/>
    <mergeCell ref="A95:H95"/>
    <mergeCell ref="A96:X96"/>
    <mergeCell ref="A2:H2"/>
    <mergeCell ref="A3:H3"/>
    <mergeCell ref="A6:H6"/>
    <mergeCell ref="A7:A8"/>
    <mergeCell ref="B7:B8"/>
    <mergeCell ref="C7:E7"/>
    <mergeCell ref="F7:H7"/>
  </mergeCells>
  <pageMargins left="0.18" right="0.17" top="0.75" bottom="0.75" header="0.3" footer="0.3"/>
  <pageSetup scale="28"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tabColor rgb="FF92D050"/>
  </sheetPr>
  <dimension ref="A1:CD300"/>
  <sheetViews>
    <sheetView showGridLines="0" view="pageBreakPreview" zoomScale="70" zoomScaleSheetLayoutView="70" workbookViewId="0">
      <pane ySplit="19" topLeftCell="A276" activePane="bottomLeft" state="frozen"/>
      <selection activeCell="B39" sqref="B39"/>
      <selection pane="bottomLeft" activeCell="S290" sqref="S290"/>
    </sheetView>
  </sheetViews>
  <sheetFormatPr defaultColWidth="8.85546875" defaultRowHeight="15.75"/>
  <cols>
    <col min="1" max="1" width="7.7109375" style="145" customWidth="1"/>
    <col min="2" max="2" width="13" style="58" bestFit="1" customWidth="1"/>
    <col min="3" max="3" width="10.7109375" style="58" bestFit="1" customWidth="1"/>
    <col min="4" max="4" width="14.28515625" style="58" bestFit="1" customWidth="1"/>
    <col min="5" max="5" width="12.140625" style="58" customWidth="1"/>
    <col min="6" max="6" width="15.5703125" style="58" customWidth="1"/>
    <col min="7" max="7" width="10.5703125" style="58" bestFit="1" customWidth="1"/>
    <col min="8" max="8" width="14.28515625" style="58" customWidth="1"/>
    <col min="9" max="9" width="10.5703125" style="58" bestFit="1" customWidth="1"/>
    <col min="10" max="10" width="14.28515625" style="58" customWidth="1"/>
    <col min="11" max="11" width="11.7109375" style="58" bestFit="1" customWidth="1"/>
    <col min="12" max="12" width="14.28515625" style="58" customWidth="1"/>
    <col min="13" max="13" width="11.7109375" style="58" bestFit="1" customWidth="1"/>
    <col min="14" max="14" width="14.28515625" style="58" customWidth="1"/>
    <col min="15" max="15" width="11.5703125" style="58" customWidth="1"/>
    <col min="16" max="16" width="14.28515625" style="58" customWidth="1"/>
    <col min="17" max="17" width="11.7109375" style="58" bestFit="1" customWidth="1"/>
    <col min="18" max="18" width="14.28515625" style="58" customWidth="1"/>
    <col min="19" max="19" width="12.28515625" style="58" customWidth="1"/>
    <col min="20" max="20" width="14.28515625" style="58" customWidth="1"/>
    <col min="21" max="21" width="8.85546875" style="58"/>
    <col min="22" max="22" width="14.28515625" style="58" customWidth="1"/>
    <col min="23" max="23" width="8.85546875" style="57"/>
    <col min="24" max="24" width="14.28515625" style="58" customWidth="1"/>
    <col min="25" max="25" width="13.28515625" style="58" customWidth="1"/>
    <col min="26" max="26" width="14.28515625" style="58" customWidth="1"/>
    <col min="27" max="27" width="8.85546875" style="60"/>
    <col min="28" max="28" width="14.28515625" style="60" customWidth="1"/>
    <col min="29" max="29" width="8.5703125" style="60" customWidth="1"/>
    <col min="30" max="30" width="14.28515625" style="60" customWidth="1"/>
    <col min="31" max="31" width="8.85546875" style="60"/>
    <col min="32" max="32" width="14.28515625" style="60" customWidth="1"/>
    <col min="33" max="33" width="9.28515625" style="60" bestFit="1" customWidth="1"/>
    <col min="34" max="34" width="14.28515625" style="60" customWidth="1"/>
    <col min="35" max="35" width="12.42578125" style="58" customWidth="1"/>
    <col min="36" max="79" width="8.85546875" style="58"/>
    <col min="80" max="80" width="0" style="58" hidden="1" customWidth="1"/>
    <col min="81" max="16384" width="8.85546875" style="58"/>
  </cols>
  <sheetData>
    <row r="1" spans="1:82" ht="11.25" customHeight="1"/>
    <row r="2" spans="1:82" ht="38.25" customHeight="1">
      <c r="A2" s="2443" t="s">
        <v>2735</v>
      </c>
      <c r="B2" s="2443"/>
      <c r="C2" s="2443"/>
      <c r="D2" s="2443"/>
      <c r="E2" s="2443"/>
      <c r="F2" s="2443"/>
      <c r="G2" s="2443"/>
      <c r="H2" s="2443"/>
      <c r="I2" s="2443"/>
      <c r="J2" s="2443"/>
      <c r="K2" s="2443"/>
      <c r="L2" s="2443"/>
      <c r="M2" s="2443"/>
      <c r="N2" s="2443"/>
      <c r="O2" s="2443"/>
      <c r="P2" s="2443"/>
      <c r="Q2" s="2443"/>
      <c r="R2" s="2443"/>
      <c r="S2" s="2443"/>
      <c r="T2" s="2443"/>
      <c r="U2" s="2443"/>
      <c r="V2" s="2443"/>
      <c r="W2" s="2443"/>
      <c r="X2" s="2443"/>
      <c r="Y2" s="2443"/>
      <c r="Z2" s="2443"/>
      <c r="AA2" s="2443"/>
      <c r="AB2" s="2443"/>
      <c r="AC2" s="2443"/>
      <c r="AD2" s="2443"/>
      <c r="AE2" s="2443"/>
      <c r="AF2" s="2443"/>
      <c r="AG2" s="2443"/>
      <c r="AH2" s="2443"/>
      <c r="AI2" s="2443"/>
    </row>
    <row r="3" spans="1:82" ht="38.25" customHeight="1">
      <c r="A3" s="2444" t="s">
        <v>2736</v>
      </c>
      <c r="B3" s="2444"/>
      <c r="C3" s="2444"/>
      <c r="D3" s="2444"/>
      <c r="E3" s="2444"/>
      <c r="F3" s="2444"/>
      <c r="G3" s="2444"/>
      <c r="H3" s="2444"/>
      <c r="I3" s="2444"/>
      <c r="J3" s="2444"/>
      <c r="K3" s="2444"/>
      <c r="L3" s="2444"/>
      <c r="M3" s="2444"/>
      <c r="N3" s="2444"/>
      <c r="O3" s="2444"/>
      <c r="P3" s="2444"/>
      <c r="Q3" s="2444"/>
      <c r="R3" s="2444"/>
      <c r="S3" s="2444"/>
      <c r="T3" s="2444"/>
      <c r="U3" s="2444"/>
      <c r="V3" s="2444"/>
      <c r="W3" s="2444"/>
      <c r="X3" s="2444"/>
      <c r="Y3" s="2444"/>
      <c r="Z3" s="2444"/>
      <c r="AA3" s="2444"/>
      <c r="AB3" s="2444"/>
      <c r="AC3" s="2444"/>
      <c r="AD3" s="2444"/>
      <c r="AE3" s="2444"/>
      <c r="AF3" s="2444"/>
      <c r="AG3" s="2444"/>
      <c r="AH3" s="2444"/>
      <c r="AI3" s="2444"/>
    </row>
    <row r="4" spans="1:82" ht="15.75" customHeight="1">
      <c r="A4" s="539"/>
      <c r="B4" s="539"/>
      <c r="C4" s="539"/>
      <c r="D4" s="539"/>
      <c r="E4" s="539"/>
      <c r="F4" s="539"/>
      <c r="G4" s="539"/>
      <c r="H4" s="539"/>
      <c r="I4" s="539"/>
      <c r="J4" s="539"/>
      <c r="K4" s="539"/>
      <c r="L4" s="539"/>
      <c r="M4" s="539"/>
      <c r="N4" s="539"/>
      <c r="O4" s="539"/>
      <c r="P4" s="539"/>
      <c r="Q4" s="539"/>
      <c r="R4" s="539"/>
      <c r="S4" s="539"/>
      <c r="T4" s="539"/>
      <c r="U4" s="539"/>
      <c r="V4" s="539"/>
      <c r="W4" s="539"/>
      <c r="X4" s="539"/>
      <c r="Y4" s="539"/>
      <c r="Z4" s="539"/>
      <c r="AA4" s="539"/>
      <c r="AB4" s="539"/>
      <c r="AC4" s="539"/>
      <c r="AD4" s="539"/>
      <c r="AE4" s="539"/>
      <c r="AF4" s="539"/>
      <c r="AG4" s="539"/>
      <c r="AH4" s="539"/>
      <c r="AI4" s="539"/>
    </row>
    <row r="5" spans="1:82" ht="15.75" customHeight="1">
      <c r="A5" s="2445" t="s">
        <v>8</v>
      </c>
      <c r="B5" s="2445"/>
      <c r="C5" s="2445"/>
      <c r="D5" s="2445"/>
      <c r="E5" s="2445"/>
      <c r="F5" s="2445"/>
      <c r="G5" s="2445"/>
      <c r="H5" s="2445"/>
      <c r="I5" s="2445"/>
      <c r="J5" s="2445"/>
      <c r="K5" s="2445"/>
      <c r="L5" s="2445"/>
      <c r="M5" s="2445"/>
      <c r="N5" s="2445"/>
      <c r="O5" s="2445"/>
      <c r="P5" s="2445"/>
      <c r="Q5" s="2445"/>
      <c r="R5" s="2445"/>
      <c r="S5" s="2445"/>
      <c r="T5" s="2445"/>
      <c r="U5" s="2445"/>
      <c r="V5" s="2445"/>
      <c r="W5" s="2445"/>
      <c r="X5" s="2445"/>
      <c r="Y5" s="2445"/>
      <c r="Z5" s="2445"/>
      <c r="AA5" s="2445"/>
      <c r="AB5" s="2445"/>
      <c r="AC5" s="2445"/>
      <c r="AD5" s="2445"/>
      <c r="AE5" s="2445"/>
      <c r="AF5" s="2445"/>
      <c r="AG5" s="2445"/>
      <c r="AH5" s="2445"/>
      <c r="AI5" s="2445"/>
    </row>
    <row r="6" spans="1:82" s="145" customFormat="1" ht="19.5" customHeight="1">
      <c r="A6" s="2431" t="s">
        <v>182</v>
      </c>
      <c r="B6" s="2440" t="s">
        <v>2445</v>
      </c>
      <c r="C6" s="2441"/>
      <c r="D6" s="2441"/>
      <c r="E6" s="2441"/>
      <c r="F6" s="2441"/>
      <c r="G6" s="2441"/>
      <c r="H6" s="2441"/>
      <c r="I6" s="2441"/>
      <c r="J6" s="2441"/>
      <c r="K6" s="2441"/>
      <c r="L6" s="2441"/>
      <c r="M6" s="2441"/>
      <c r="N6" s="2441"/>
      <c r="O6" s="2441"/>
      <c r="P6" s="2441"/>
      <c r="Q6" s="2441"/>
      <c r="R6" s="2441"/>
      <c r="S6" s="2441"/>
      <c r="T6" s="2441"/>
      <c r="U6" s="2441"/>
      <c r="V6" s="2441"/>
      <c r="W6" s="2441"/>
      <c r="X6" s="2441"/>
      <c r="Y6" s="2441"/>
      <c r="Z6" s="2441"/>
      <c r="AA6" s="2441"/>
      <c r="AB6" s="2441"/>
      <c r="AC6" s="2441"/>
      <c r="AD6" s="2441"/>
      <c r="AE6" s="2441"/>
      <c r="AF6" s="2441"/>
      <c r="AG6" s="2441"/>
      <c r="AH6" s="2442"/>
      <c r="AI6" s="2431" t="s">
        <v>165</v>
      </c>
      <c r="CC6" s="98"/>
      <c r="CD6" s="307"/>
    </row>
    <row r="7" spans="1:82" s="145" customFormat="1" ht="13.9" customHeight="1">
      <c r="A7" s="2431"/>
      <c r="B7" s="2432" t="s">
        <v>155</v>
      </c>
      <c r="C7" s="2432" t="s">
        <v>144</v>
      </c>
      <c r="D7" s="2432"/>
      <c r="E7" s="2431" t="s">
        <v>166</v>
      </c>
      <c r="F7" s="2431"/>
      <c r="G7" s="2431" t="s">
        <v>2604</v>
      </c>
      <c r="H7" s="2431"/>
      <c r="I7" s="2431" t="s">
        <v>2402</v>
      </c>
      <c r="J7" s="2431"/>
      <c r="K7" s="2435" t="s">
        <v>2403</v>
      </c>
      <c r="L7" s="2436"/>
      <c r="M7" s="2431" t="s">
        <v>167</v>
      </c>
      <c r="N7" s="2431"/>
      <c r="O7" s="2435" t="s">
        <v>2404</v>
      </c>
      <c r="P7" s="2436"/>
      <c r="Q7" s="2432" t="s">
        <v>168</v>
      </c>
      <c r="R7" s="2432"/>
      <c r="S7" s="2435" t="s">
        <v>3515</v>
      </c>
      <c r="T7" s="2436"/>
      <c r="U7" s="2431" t="s">
        <v>2605</v>
      </c>
      <c r="V7" s="2431"/>
      <c r="W7" s="2431" t="s">
        <v>2606</v>
      </c>
      <c r="X7" s="2431"/>
      <c r="Y7" s="2432" t="s">
        <v>169</v>
      </c>
      <c r="Z7" s="2432"/>
      <c r="AA7" s="2439" t="s">
        <v>170</v>
      </c>
      <c r="AB7" s="2439"/>
      <c r="AC7" s="2439" t="s">
        <v>2607</v>
      </c>
      <c r="AD7" s="2439"/>
      <c r="AE7" s="2433" t="s">
        <v>171</v>
      </c>
      <c r="AF7" s="2433"/>
      <c r="AG7" s="2433" t="s">
        <v>1053</v>
      </c>
      <c r="AH7" s="2434"/>
      <c r="AI7" s="2431"/>
      <c r="CD7" s="310"/>
    </row>
    <row r="8" spans="1:82" s="145" customFormat="1" ht="114" customHeight="1">
      <c r="A8" s="2431"/>
      <c r="B8" s="2432"/>
      <c r="C8" s="2432"/>
      <c r="D8" s="2432"/>
      <c r="E8" s="2431"/>
      <c r="F8" s="2431"/>
      <c r="G8" s="2431"/>
      <c r="H8" s="2431"/>
      <c r="I8" s="2431"/>
      <c r="J8" s="2431"/>
      <c r="K8" s="2437"/>
      <c r="L8" s="2438"/>
      <c r="M8" s="2431"/>
      <c r="N8" s="2431"/>
      <c r="O8" s="2437"/>
      <c r="P8" s="2438"/>
      <c r="Q8" s="2432"/>
      <c r="R8" s="2432"/>
      <c r="S8" s="2437"/>
      <c r="T8" s="2438"/>
      <c r="U8" s="2431"/>
      <c r="V8" s="2431"/>
      <c r="W8" s="2431"/>
      <c r="X8" s="2431"/>
      <c r="Y8" s="2432"/>
      <c r="Z8" s="2432"/>
      <c r="AA8" s="2439"/>
      <c r="AB8" s="2439"/>
      <c r="AC8" s="2439"/>
      <c r="AD8" s="2439"/>
      <c r="AE8" s="2433"/>
      <c r="AF8" s="2433"/>
      <c r="AG8" s="2433"/>
      <c r="AH8" s="2434"/>
      <c r="AI8" s="2431"/>
      <c r="CD8" s="310"/>
    </row>
    <row r="9" spans="1:82" s="145" customFormat="1" ht="15.6" customHeight="1">
      <c r="A9" s="2431"/>
      <c r="B9" s="2432"/>
      <c r="C9" s="2431" t="s">
        <v>172</v>
      </c>
      <c r="D9" s="2431" t="s">
        <v>173</v>
      </c>
      <c r="E9" s="2431" t="s">
        <v>174</v>
      </c>
      <c r="F9" s="2431" t="s">
        <v>173</v>
      </c>
      <c r="G9" s="2432" t="s">
        <v>174</v>
      </c>
      <c r="H9" s="2431" t="s">
        <v>173</v>
      </c>
      <c r="I9" s="2432" t="s">
        <v>174</v>
      </c>
      <c r="J9" s="2431" t="s">
        <v>173</v>
      </c>
      <c r="K9" s="2431" t="s">
        <v>174</v>
      </c>
      <c r="L9" s="2431" t="s">
        <v>173</v>
      </c>
      <c r="M9" s="2432" t="s">
        <v>174</v>
      </c>
      <c r="N9" s="2431" t="s">
        <v>173</v>
      </c>
      <c r="O9" s="2431" t="s">
        <v>174</v>
      </c>
      <c r="P9" s="2431" t="s">
        <v>173</v>
      </c>
      <c r="Q9" s="2431" t="s">
        <v>174</v>
      </c>
      <c r="R9" s="2431" t="s">
        <v>173</v>
      </c>
      <c r="S9" s="2431" t="s">
        <v>174</v>
      </c>
      <c r="T9" s="2431" t="s">
        <v>173</v>
      </c>
      <c r="U9" s="2431" t="s">
        <v>174</v>
      </c>
      <c r="V9" s="2431" t="s">
        <v>173</v>
      </c>
      <c r="W9" s="2430" t="s">
        <v>174</v>
      </c>
      <c r="X9" s="2431" t="s">
        <v>173</v>
      </c>
      <c r="Y9" s="2431" t="s">
        <v>174</v>
      </c>
      <c r="Z9" s="2431" t="s">
        <v>173</v>
      </c>
      <c r="AA9" s="2431" t="s">
        <v>174</v>
      </c>
      <c r="AB9" s="2431" t="s">
        <v>173</v>
      </c>
      <c r="AC9" s="2431" t="s">
        <v>174</v>
      </c>
      <c r="AD9" s="2431" t="s">
        <v>173</v>
      </c>
      <c r="AE9" s="2431" t="s">
        <v>174</v>
      </c>
      <c r="AF9" s="2431" t="s">
        <v>173</v>
      </c>
      <c r="AG9" s="2431" t="s">
        <v>174</v>
      </c>
      <c r="AH9" s="2429" t="s">
        <v>173</v>
      </c>
      <c r="AI9" s="2431"/>
      <c r="CD9" s="310"/>
    </row>
    <row r="10" spans="1:82" s="145" customFormat="1" ht="35.25" customHeight="1">
      <c r="A10" s="2431"/>
      <c r="B10" s="2432"/>
      <c r="C10" s="2431"/>
      <c r="D10" s="2431"/>
      <c r="E10" s="2431"/>
      <c r="F10" s="2431"/>
      <c r="G10" s="2432"/>
      <c r="H10" s="2431"/>
      <c r="I10" s="2432"/>
      <c r="J10" s="2431"/>
      <c r="K10" s="2431"/>
      <c r="L10" s="2431"/>
      <c r="M10" s="2432"/>
      <c r="N10" s="2431"/>
      <c r="O10" s="2431"/>
      <c r="P10" s="2431"/>
      <c r="Q10" s="2431"/>
      <c r="R10" s="2431"/>
      <c r="S10" s="2431"/>
      <c r="T10" s="2431"/>
      <c r="U10" s="2431"/>
      <c r="V10" s="2431"/>
      <c r="W10" s="2430"/>
      <c r="X10" s="2431"/>
      <c r="Y10" s="2431"/>
      <c r="Z10" s="2431"/>
      <c r="AA10" s="2431"/>
      <c r="AB10" s="2431"/>
      <c r="AC10" s="2431"/>
      <c r="AD10" s="2431"/>
      <c r="AE10" s="2431"/>
      <c r="AF10" s="2431"/>
      <c r="AG10" s="2431"/>
      <c r="AH10" s="2429"/>
      <c r="AI10" s="2431"/>
      <c r="CD10" s="310"/>
    </row>
    <row r="11" spans="1:82">
      <c r="A11" s="2418" t="s">
        <v>289</v>
      </c>
      <c r="B11" s="2440" t="s">
        <v>1162</v>
      </c>
      <c r="C11" s="2441"/>
      <c r="D11" s="2441"/>
      <c r="E11" s="2441"/>
      <c r="F11" s="2441"/>
      <c r="G11" s="2441"/>
      <c r="H11" s="2441"/>
      <c r="I11" s="2441"/>
      <c r="J11" s="2441"/>
      <c r="K11" s="2441"/>
      <c r="L11" s="2441"/>
      <c r="M11" s="2441"/>
      <c r="N11" s="2441"/>
      <c r="O11" s="2441"/>
      <c r="P11" s="2441"/>
      <c r="Q11" s="2441"/>
      <c r="R11" s="2441"/>
      <c r="S11" s="2441"/>
      <c r="T11" s="2441"/>
      <c r="U11" s="2441"/>
      <c r="V11" s="2441"/>
      <c r="W11" s="2441"/>
      <c r="X11" s="2441"/>
      <c r="Y11" s="2441"/>
      <c r="Z11" s="2441"/>
      <c r="AA11" s="2441"/>
      <c r="AB11" s="2441"/>
      <c r="AC11" s="2441"/>
      <c r="AD11" s="2441"/>
      <c r="AE11" s="2441"/>
      <c r="AF11" s="2441"/>
      <c r="AG11" s="2441"/>
      <c r="AH11" s="2442"/>
      <c r="AI11" s="563"/>
      <c r="CD11" s="239"/>
    </row>
    <row r="12" spans="1:82" ht="51.75" customHeight="1">
      <c r="A12" s="2418"/>
      <c r="B12" s="2428" t="s">
        <v>105</v>
      </c>
      <c r="C12" s="2428" t="s">
        <v>149</v>
      </c>
      <c r="D12" s="2428"/>
      <c r="E12" s="2428" t="s">
        <v>175</v>
      </c>
      <c r="F12" s="2428"/>
      <c r="G12" s="2418" t="s">
        <v>2608</v>
      </c>
      <c r="H12" s="2418"/>
      <c r="I12" s="2418" t="s">
        <v>2609</v>
      </c>
      <c r="J12" s="2418"/>
      <c r="K12" s="2418" t="s">
        <v>2611</v>
      </c>
      <c r="L12" s="2418"/>
      <c r="M12" s="2419" t="s">
        <v>176</v>
      </c>
      <c r="N12" s="2420"/>
      <c r="O12" s="2418" t="s">
        <v>2612</v>
      </c>
      <c r="P12" s="2418"/>
      <c r="Q12" s="2428" t="s">
        <v>177</v>
      </c>
      <c r="R12" s="2428"/>
      <c r="S12" s="2418" t="s">
        <v>3516</v>
      </c>
      <c r="T12" s="2418"/>
      <c r="U12" s="2418" t="s">
        <v>2610</v>
      </c>
      <c r="V12" s="2418"/>
      <c r="W12" s="2418" t="s">
        <v>2613</v>
      </c>
      <c r="X12" s="2418"/>
      <c r="Y12" s="2418" t="s">
        <v>178</v>
      </c>
      <c r="Z12" s="2418"/>
      <c r="AA12" s="2425" t="s">
        <v>1054</v>
      </c>
      <c r="AB12" s="2425"/>
      <c r="AC12" s="2425" t="s">
        <v>1055</v>
      </c>
      <c r="AD12" s="2425"/>
      <c r="AE12" s="2426" t="s">
        <v>1056</v>
      </c>
      <c r="AF12" s="2426"/>
      <c r="AG12" s="2426" t="s">
        <v>1053</v>
      </c>
      <c r="AH12" s="2427"/>
      <c r="AI12" s="2418" t="s">
        <v>1163</v>
      </c>
      <c r="CD12" s="239"/>
    </row>
    <row r="13" spans="1:82" ht="18.75" customHeight="1">
      <c r="A13" s="2418"/>
      <c r="B13" s="2428"/>
      <c r="C13" s="2428"/>
      <c r="D13" s="2428"/>
      <c r="E13" s="2428"/>
      <c r="F13" s="2428"/>
      <c r="G13" s="2418"/>
      <c r="H13" s="2418"/>
      <c r="I13" s="2418"/>
      <c r="J13" s="2418"/>
      <c r="K13" s="2418"/>
      <c r="L13" s="2418"/>
      <c r="M13" s="2421"/>
      <c r="N13" s="2422"/>
      <c r="O13" s="2418"/>
      <c r="P13" s="2418"/>
      <c r="Q13" s="2428"/>
      <c r="R13" s="2428"/>
      <c r="S13" s="2418"/>
      <c r="T13" s="2418"/>
      <c r="U13" s="2418"/>
      <c r="V13" s="2418"/>
      <c r="W13" s="2418"/>
      <c r="X13" s="2418"/>
      <c r="Y13" s="2418"/>
      <c r="Z13" s="2418"/>
      <c r="AA13" s="2425"/>
      <c r="AB13" s="2425"/>
      <c r="AC13" s="2425"/>
      <c r="AD13" s="2425"/>
      <c r="AE13" s="2426"/>
      <c r="AF13" s="2426"/>
      <c r="AG13" s="2426"/>
      <c r="AH13" s="2427"/>
      <c r="AI13" s="2418"/>
      <c r="CD13" s="239"/>
    </row>
    <row r="14" spans="1:82" ht="33" customHeight="1">
      <c r="A14" s="2418"/>
      <c r="B14" s="2428"/>
      <c r="C14" s="564" t="s">
        <v>1161</v>
      </c>
      <c r="D14" s="564" t="s">
        <v>179</v>
      </c>
      <c r="E14" s="564" t="s">
        <v>113</v>
      </c>
      <c r="F14" s="564" t="s">
        <v>179</v>
      </c>
      <c r="G14" s="564" t="s">
        <v>113</v>
      </c>
      <c r="H14" s="564" t="s">
        <v>179</v>
      </c>
      <c r="I14" s="564" t="s">
        <v>113</v>
      </c>
      <c r="J14" s="564" t="s">
        <v>179</v>
      </c>
      <c r="K14" s="564" t="s">
        <v>113</v>
      </c>
      <c r="L14" s="564" t="s">
        <v>179</v>
      </c>
      <c r="M14" s="564" t="s">
        <v>113</v>
      </c>
      <c r="N14" s="564" t="s">
        <v>179</v>
      </c>
      <c r="O14" s="564" t="s">
        <v>113</v>
      </c>
      <c r="P14" s="564" t="s">
        <v>179</v>
      </c>
      <c r="Q14" s="564" t="s">
        <v>113</v>
      </c>
      <c r="R14" s="564" t="s">
        <v>179</v>
      </c>
      <c r="S14" s="564" t="s">
        <v>113</v>
      </c>
      <c r="T14" s="564" t="s">
        <v>179</v>
      </c>
      <c r="U14" s="564" t="s">
        <v>113</v>
      </c>
      <c r="V14" s="564" t="s">
        <v>179</v>
      </c>
      <c r="W14" s="565" t="s">
        <v>113</v>
      </c>
      <c r="X14" s="564" t="s">
        <v>179</v>
      </c>
      <c r="Y14" s="564" t="s">
        <v>113</v>
      </c>
      <c r="Z14" s="564" t="s">
        <v>179</v>
      </c>
      <c r="AA14" s="564" t="s">
        <v>113</v>
      </c>
      <c r="AB14" s="564" t="s">
        <v>179</v>
      </c>
      <c r="AC14" s="564" t="s">
        <v>113</v>
      </c>
      <c r="AD14" s="564" t="s">
        <v>179</v>
      </c>
      <c r="AE14" s="564" t="s">
        <v>113</v>
      </c>
      <c r="AF14" s="564" t="s">
        <v>179</v>
      </c>
      <c r="AG14" s="564" t="s">
        <v>113</v>
      </c>
      <c r="AH14" s="566" t="s">
        <v>179</v>
      </c>
      <c r="AI14" s="2418"/>
      <c r="CD14" s="239"/>
    </row>
    <row r="15" spans="1:82" ht="15.6" hidden="1" customHeight="1">
      <c r="A15" s="460">
        <v>2000</v>
      </c>
      <c r="B15" s="100">
        <v>466.5</v>
      </c>
      <c r="C15" s="100" t="s">
        <v>93</v>
      </c>
      <c r="D15" s="100" t="s">
        <v>93</v>
      </c>
      <c r="E15" s="100">
        <v>76.456999999999994</v>
      </c>
      <c r="F15" s="100">
        <f t="shared" ref="F15:F32" si="0">E15/$B15*100</f>
        <v>16.389496248660233</v>
      </c>
      <c r="G15" s="100">
        <v>15.954000000000001</v>
      </c>
      <c r="H15" s="100">
        <f t="shared" ref="H15:H32" si="1">G15/$B15*100</f>
        <v>3.4199356913183281</v>
      </c>
      <c r="I15" s="100">
        <v>36.938000000000002</v>
      </c>
      <c r="J15" s="100">
        <f t="shared" ref="J15:J32" si="2">I15/$B15*100</f>
        <v>7.9181136120042881</v>
      </c>
      <c r="K15" s="100">
        <v>12.933999999999999</v>
      </c>
      <c r="L15" s="100">
        <f t="shared" ref="L15:L32" si="3">K15/$B15*100</f>
        <v>2.7725616291532686</v>
      </c>
      <c r="M15" s="100">
        <v>15.74</v>
      </c>
      <c r="N15" s="100">
        <f t="shared" ref="N15:N32" si="4">M15/$B15*100</f>
        <v>3.37406216505895</v>
      </c>
      <c r="O15" s="100">
        <v>70.42</v>
      </c>
      <c r="P15" s="100">
        <f t="shared" ref="P15:P32" si="5">O15/$B15*100</f>
        <v>15.095391211146838</v>
      </c>
      <c r="Q15" s="100">
        <v>41.737000000000002</v>
      </c>
      <c r="R15" s="100">
        <f t="shared" ref="R15:R32" si="6">Q15/$B15*100</f>
        <v>8.9468381564844588</v>
      </c>
      <c r="S15" s="100"/>
      <c r="T15" s="100"/>
      <c r="U15" s="100" t="s">
        <v>93</v>
      </c>
      <c r="V15" s="100" t="s">
        <v>180</v>
      </c>
      <c r="W15" s="100">
        <v>49.31</v>
      </c>
      <c r="X15" s="100">
        <f>W15/$B15*100</f>
        <v>10.570203644158628</v>
      </c>
      <c r="Y15" s="100">
        <v>46.86</v>
      </c>
      <c r="Z15" s="100">
        <f>Y15/$B15*100</f>
        <v>10.045016077170418</v>
      </c>
      <c r="AA15" s="461" t="s">
        <v>113</v>
      </c>
      <c r="AB15" s="461" t="s">
        <v>179</v>
      </c>
      <c r="AC15" s="461" t="s">
        <v>113</v>
      </c>
      <c r="AD15" s="461" t="s">
        <v>179</v>
      </c>
      <c r="AE15" s="461" t="s">
        <v>113</v>
      </c>
      <c r="AF15" s="461" t="s">
        <v>179</v>
      </c>
      <c r="AG15" s="461" t="s">
        <v>113</v>
      </c>
      <c r="AH15" s="193" t="s">
        <v>179</v>
      </c>
      <c r="AI15" s="462" t="s">
        <v>93</v>
      </c>
      <c r="CD15" s="239"/>
    </row>
    <row r="16" spans="1:82" hidden="1">
      <c r="A16" s="463">
        <v>2001</v>
      </c>
      <c r="B16" s="55">
        <v>486.2</v>
      </c>
      <c r="C16" s="55">
        <v>134.4</v>
      </c>
      <c r="D16" s="55">
        <f t="shared" ref="D16:D32" si="7">C16/$B16*100</f>
        <v>27.642945290004118</v>
      </c>
      <c r="E16" s="55">
        <v>85.614000000000004</v>
      </c>
      <c r="F16" s="55">
        <f t="shared" si="0"/>
        <v>17.608802961744139</v>
      </c>
      <c r="G16" s="55">
        <v>33.826999999999998</v>
      </c>
      <c r="H16" s="55">
        <f t="shared" si="1"/>
        <v>6.9574249280131628</v>
      </c>
      <c r="I16" s="55">
        <v>14.57</v>
      </c>
      <c r="J16" s="55">
        <f t="shared" si="2"/>
        <v>2.9967091731797617</v>
      </c>
      <c r="K16" s="55">
        <v>9.0129999999999999</v>
      </c>
      <c r="L16" s="55">
        <f t="shared" si="3"/>
        <v>1.8537638831756478</v>
      </c>
      <c r="M16" s="55">
        <v>15.736000000000001</v>
      </c>
      <c r="N16" s="55">
        <f t="shared" si="4"/>
        <v>3.2365281777046486</v>
      </c>
      <c r="O16" s="55">
        <v>69.055999999999997</v>
      </c>
      <c r="P16" s="55">
        <f t="shared" si="5"/>
        <v>14.203208556149733</v>
      </c>
      <c r="Q16" s="55">
        <v>54.901000000000003</v>
      </c>
      <c r="R16" s="55">
        <f t="shared" si="6"/>
        <v>11.29185520361991</v>
      </c>
      <c r="S16" s="55"/>
      <c r="T16" s="55"/>
      <c r="U16" s="55">
        <v>0.26</v>
      </c>
      <c r="V16" s="55">
        <f>U16/$B16*100</f>
        <v>5.3475935828877004E-2</v>
      </c>
      <c r="W16" s="55">
        <v>38.853000000000002</v>
      </c>
      <c r="X16" s="55">
        <f>W16/$B16*100</f>
        <v>7.9911559029206085</v>
      </c>
      <c r="Y16" s="55">
        <v>11.237</v>
      </c>
      <c r="Z16" s="55">
        <f>Y16/$B16*100</f>
        <v>2.3111888111888113</v>
      </c>
      <c r="AA16" s="55"/>
      <c r="AB16" s="55"/>
      <c r="AC16" s="55"/>
      <c r="AD16" s="55"/>
      <c r="AE16" s="55"/>
      <c r="AF16" s="55"/>
      <c r="AG16" s="55"/>
      <c r="AH16" s="55"/>
      <c r="AI16" s="191">
        <v>17.747</v>
      </c>
      <c r="CD16" s="239"/>
    </row>
    <row r="17" spans="1:82" hidden="1">
      <c r="A17" s="463">
        <v>2002</v>
      </c>
      <c r="B17" s="55">
        <v>520.16</v>
      </c>
      <c r="C17" s="55">
        <v>111.6</v>
      </c>
      <c r="D17" s="55">
        <f t="shared" si="7"/>
        <v>21.45493694247924</v>
      </c>
      <c r="E17" s="55">
        <v>102.235</v>
      </c>
      <c r="F17" s="55">
        <f t="shared" si="0"/>
        <v>19.654529375576747</v>
      </c>
      <c r="G17" s="55">
        <v>44.142000000000003</v>
      </c>
      <c r="H17" s="55">
        <f t="shared" si="1"/>
        <v>8.4862350046139667</v>
      </c>
      <c r="I17" s="55">
        <v>19.875</v>
      </c>
      <c r="J17" s="55">
        <f t="shared" si="2"/>
        <v>3.8209397108581977</v>
      </c>
      <c r="K17" s="55">
        <v>14.907</v>
      </c>
      <c r="L17" s="55">
        <f t="shared" si="3"/>
        <v>2.8658489695478315</v>
      </c>
      <c r="M17" s="55">
        <v>15.682</v>
      </c>
      <c r="N17" s="55">
        <f t="shared" si="4"/>
        <v>3.0148415872039376</v>
      </c>
      <c r="O17" s="55">
        <v>57</v>
      </c>
      <c r="P17" s="55">
        <f t="shared" si="5"/>
        <v>10.958166717932945</v>
      </c>
      <c r="Q17" s="55">
        <v>83.266999999999996</v>
      </c>
      <c r="R17" s="55">
        <f t="shared" si="6"/>
        <v>16.007959089510919</v>
      </c>
      <c r="S17" s="55"/>
      <c r="T17" s="55"/>
      <c r="U17" s="55">
        <v>0.6</v>
      </c>
      <c r="V17" s="55">
        <f>U17/$B17*100</f>
        <v>0.11534912334666259</v>
      </c>
      <c r="W17" s="55">
        <v>47.963000000000001</v>
      </c>
      <c r="X17" s="55">
        <f>W17/$B17*100</f>
        <v>9.2208166717932958</v>
      </c>
      <c r="Y17" s="56">
        <f>B17-C17-E17-G17-I17-K17-M17-W17-O17-Q17-U17-AA17-AC17-AE17-AG17</f>
        <v>22.888999999999946</v>
      </c>
      <c r="Z17" s="55">
        <f>Y17/$B17*100</f>
        <v>4.4003768071362552</v>
      </c>
      <c r="AA17" s="55"/>
      <c r="AB17" s="55"/>
      <c r="AC17" s="55"/>
      <c r="AD17" s="55"/>
      <c r="AE17" s="55"/>
      <c r="AF17" s="55"/>
      <c r="AG17" s="55"/>
      <c r="AH17" s="55"/>
      <c r="AI17" s="191">
        <v>20.89</v>
      </c>
      <c r="CD17" s="239"/>
    </row>
    <row r="18" spans="1:82" hidden="1">
      <c r="A18" s="463">
        <v>2003</v>
      </c>
      <c r="B18" s="55">
        <v>670.3</v>
      </c>
      <c r="C18" s="55">
        <v>124.4</v>
      </c>
      <c r="D18" s="55">
        <f t="shared" si="7"/>
        <v>18.558854244368195</v>
      </c>
      <c r="E18" s="55">
        <f>562.651/5</f>
        <v>112.53019999999999</v>
      </c>
      <c r="F18" s="55">
        <f t="shared" si="0"/>
        <v>16.788035208115769</v>
      </c>
      <c r="G18" s="55">
        <f>194.357/5</f>
        <v>38.871400000000001</v>
      </c>
      <c r="H18" s="55">
        <f t="shared" si="1"/>
        <v>5.7991048784126518</v>
      </c>
      <c r="I18" s="55">
        <f>150.886/5</f>
        <v>30.177199999999999</v>
      </c>
      <c r="J18" s="55">
        <f t="shared" si="2"/>
        <v>4.5020438609577802</v>
      </c>
      <c r="K18" s="55">
        <f>151.267/5</f>
        <v>30.253399999999999</v>
      </c>
      <c r="L18" s="55">
        <f t="shared" si="3"/>
        <v>4.5134119051171115</v>
      </c>
      <c r="M18" s="55">
        <f>217.929/5</f>
        <v>43.585799999999999</v>
      </c>
      <c r="N18" s="55">
        <f t="shared" si="4"/>
        <v>6.5024317469789654</v>
      </c>
      <c r="O18" s="55">
        <v>57.128</v>
      </c>
      <c r="P18" s="55">
        <f t="shared" si="5"/>
        <v>8.5227510070117862</v>
      </c>
      <c r="Q18" s="55">
        <f>714.74/5</f>
        <v>142.94800000000001</v>
      </c>
      <c r="R18" s="55">
        <f t="shared" si="6"/>
        <v>21.325973444726245</v>
      </c>
      <c r="S18" s="55"/>
      <c r="T18" s="55"/>
      <c r="U18" s="55">
        <f>2.108/5</f>
        <v>0.42160000000000003</v>
      </c>
      <c r="V18" s="55">
        <f>U18/$B18*100</f>
        <v>6.2897210204386114E-2</v>
      </c>
      <c r="W18" s="55">
        <f>176.156/5</f>
        <v>35.231200000000001</v>
      </c>
      <c r="X18" s="55">
        <f>W18/$B18*100</f>
        <v>5.2560346113680447</v>
      </c>
      <c r="Y18" s="56">
        <f>B18-C18-E18-G18-I18-K18-M18-W18-O18-Q18-U18-AA18-AC18-AE18-AG18</f>
        <v>29.630704373499981</v>
      </c>
      <c r="Z18" s="55">
        <f>Y18/$B18*100</f>
        <v>4.4205138555124552</v>
      </c>
      <c r="AA18" s="60">
        <v>1.7524956264999998</v>
      </c>
      <c r="AB18" s="59">
        <f>AA18/B18*100</f>
        <v>0.2614494445024616</v>
      </c>
      <c r="AC18" s="60">
        <v>3.37</v>
      </c>
      <c r="AD18" s="59">
        <f>AC18/$B18*100</f>
        <v>0.50275995822765929</v>
      </c>
      <c r="AE18" s="60">
        <v>20</v>
      </c>
      <c r="AF18" s="59">
        <f>AE18/$B18*100</f>
        <v>2.9837386244964943</v>
      </c>
      <c r="AG18" s="60">
        <v>0</v>
      </c>
      <c r="AH18" s="59">
        <f>AG18/$B18*100</f>
        <v>0</v>
      </c>
      <c r="AI18" s="191">
        <f>104.308/5</f>
        <v>20.861600000000003</v>
      </c>
      <c r="CD18" s="239"/>
    </row>
    <row r="19" spans="1:82" s="145" customFormat="1" ht="12.75" hidden="1" customHeight="1">
      <c r="A19" s="463">
        <v>2004</v>
      </c>
      <c r="B19" s="150">
        <v>989.5</v>
      </c>
      <c r="C19" s="150">
        <v>109</v>
      </c>
      <c r="D19" s="150">
        <f t="shared" si="7"/>
        <v>11.01566447700859</v>
      </c>
      <c r="E19" s="150">
        <v>217.6</v>
      </c>
      <c r="F19" s="150">
        <f t="shared" si="0"/>
        <v>21.990904497220818</v>
      </c>
      <c r="G19" s="150">
        <v>24.4</v>
      </c>
      <c r="H19" s="150">
        <f t="shared" si="1"/>
        <v>2.4658918645780696</v>
      </c>
      <c r="I19" s="150">
        <v>56.2</v>
      </c>
      <c r="J19" s="150">
        <f t="shared" si="2"/>
        <v>5.6796361798888331</v>
      </c>
      <c r="K19" s="150">
        <v>46.4</v>
      </c>
      <c r="L19" s="150">
        <f t="shared" si="3"/>
        <v>4.6892369883779681</v>
      </c>
      <c r="M19" s="150">
        <v>65.7</v>
      </c>
      <c r="N19" s="150">
        <f t="shared" si="4"/>
        <v>6.6397170288024263</v>
      </c>
      <c r="O19" s="150">
        <f>149.593</f>
        <v>149.59299999999999</v>
      </c>
      <c r="P19" s="150">
        <f t="shared" si="5"/>
        <v>15.118039413845374</v>
      </c>
      <c r="Q19" s="150">
        <v>276.89999999999998</v>
      </c>
      <c r="R19" s="150">
        <f t="shared" si="6"/>
        <v>27.983830217281451</v>
      </c>
      <c r="S19" s="150"/>
      <c r="T19" s="150"/>
      <c r="U19" s="150">
        <v>1.32</v>
      </c>
      <c r="V19" s="150">
        <f>U19/$B19*100</f>
        <v>0.13340070742799395</v>
      </c>
      <c r="W19" s="150">
        <v>14.24</v>
      </c>
      <c r="X19" s="150">
        <f>W19/$B19*100</f>
        <v>1.4391106619504801</v>
      </c>
      <c r="Y19" s="151">
        <f>B19-C19-E19-G19-I19-K19-M19-W19-O19-Q19-U19-AA19-AC19-AE19-AG19</f>
        <v>1.2913999999999861</v>
      </c>
      <c r="Z19" s="150">
        <f>Y19/$B19*100</f>
        <v>0.13051035876705266</v>
      </c>
      <c r="AA19" s="192">
        <v>0.30219999999999997</v>
      </c>
      <c r="AB19" s="150">
        <f>AA19/$B19*100</f>
        <v>3.0540677109651335E-2</v>
      </c>
      <c r="AC19" s="192">
        <v>3.3574750449599997</v>
      </c>
      <c r="AD19" s="150">
        <f>AC19/$B19*100</f>
        <v>0.33931026224962096</v>
      </c>
      <c r="AE19" s="192">
        <v>20.5002</v>
      </c>
      <c r="AF19" s="150">
        <f>AE19/$B19*100</f>
        <v>2.0717736230419401</v>
      </c>
      <c r="AG19" s="192">
        <v>2.6957249550399984</v>
      </c>
      <c r="AH19" s="150">
        <f>AG19/$B19*100</f>
        <v>0.27243304244972188</v>
      </c>
      <c r="AI19" s="32">
        <v>28.4</v>
      </c>
      <c r="CD19" s="310"/>
    </row>
    <row r="20" spans="1:82">
      <c r="A20" s="678">
        <v>2005</v>
      </c>
      <c r="B20" s="32">
        <f>+B32</f>
        <v>1441</v>
      </c>
      <c r="C20" s="32">
        <f t="shared" ref="C20:AI20" si="8">+C32</f>
        <v>68.2</v>
      </c>
      <c r="D20" s="32">
        <f t="shared" si="8"/>
        <v>4.7328244274809164</v>
      </c>
      <c r="E20" s="32">
        <f t="shared" si="8"/>
        <v>361.00200000000001</v>
      </c>
      <c r="F20" s="32">
        <f t="shared" si="8"/>
        <v>25.052185981956974</v>
      </c>
      <c r="G20" s="32">
        <f t="shared" si="8"/>
        <v>181.357</v>
      </c>
      <c r="H20" s="32">
        <f t="shared" si="8"/>
        <v>12.585496183206107</v>
      </c>
      <c r="I20" s="32">
        <f t="shared" si="8"/>
        <v>97.6</v>
      </c>
      <c r="J20" s="32">
        <f t="shared" si="8"/>
        <v>6.7730742539902842</v>
      </c>
      <c r="K20" s="32">
        <f t="shared" si="8"/>
        <v>82.234999999999999</v>
      </c>
      <c r="L20" s="32">
        <f t="shared" si="8"/>
        <v>5.7068008327550306</v>
      </c>
      <c r="M20" s="32">
        <f t="shared" si="8"/>
        <v>83.346000000000004</v>
      </c>
      <c r="N20" s="32">
        <f t="shared" si="8"/>
        <v>5.7839000693962532</v>
      </c>
      <c r="O20" s="32">
        <f t="shared" si="8"/>
        <v>128.161</v>
      </c>
      <c r="P20" s="32">
        <f t="shared" si="8"/>
        <v>8.8938931297709924</v>
      </c>
      <c r="Q20" s="32">
        <f t="shared" si="8"/>
        <v>389.2</v>
      </c>
      <c r="R20" s="32">
        <f t="shared" si="8"/>
        <v>27.009021512838306</v>
      </c>
      <c r="S20" s="32"/>
      <c r="T20" s="32"/>
      <c r="U20" s="32">
        <f t="shared" si="8"/>
        <v>0.5</v>
      </c>
      <c r="V20" s="32">
        <f t="shared" si="8"/>
        <v>3.4698126301179737E-2</v>
      </c>
      <c r="W20" s="32">
        <f t="shared" si="8"/>
        <v>8.2159999999999993</v>
      </c>
      <c r="X20" s="32">
        <f t="shared" si="8"/>
        <v>0.57015961138098536</v>
      </c>
      <c r="Y20" s="32">
        <f t="shared" ref="Y20:Y83" si="9">((B20-C20-E20-G20-I20-K20-M20-W20-O20-Q20-U20-AA20-AC20-AE20-AG20))</f>
        <v>11.591199999999985</v>
      </c>
      <c r="Z20" s="32">
        <f t="shared" si="8"/>
        <v>0.80438584316446815</v>
      </c>
      <c r="AA20" s="32">
        <f t="shared" si="8"/>
        <v>1.212</v>
      </c>
      <c r="AB20" s="32">
        <f t="shared" si="8"/>
        <v>8.4108258154059673E-2</v>
      </c>
      <c r="AC20" s="32">
        <f t="shared" si="8"/>
        <v>4.6452</v>
      </c>
      <c r="AD20" s="32">
        <f t="shared" si="8"/>
        <v>0.32235947258848019</v>
      </c>
      <c r="AE20" s="32">
        <f t="shared" si="8"/>
        <v>20.147200000000002</v>
      </c>
      <c r="AF20" s="32">
        <f t="shared" si="8"/>
        <v>1.3981401804302569</v>
      </c>
      <c r="AG20" s="32">
        <f t="shared" si="8"/>
        <v>3.5874000000000001</v>
      </c>
      <c r="AH20" s="32">
        <f t="shared" si="8"/>
        <v>0.2489521165857044</v>
      </c>
      <c r="AI20" s="32">
        <f t="shared" si="8"/>
        <v>45.781999999999996</v>
      </c>
      <c r="CD20" s="239"/>
    </row>
    <row r="21" spans="1:82" hidden="1">
      <c r="A21" s="679" t="s">
        <v>18</v>
      </c>
      <c r="B21" s="32">
        <v>970.3</v>
      </c>
      <c r="C21" s="32">
        <v>106.8</v>
      </c>
      <c r="D21" s="32">
        <f t="shared" si="7"/>
        <v>11.006905080902813</v>
      </c>
      <c r="E21" s="32">
        <f>232.776</f>
        <v>232.77600000000001</v>
      </c>
      <c r="F21" s="32">
        <f t="shared" si="0"/>
        <v>23.990106152736267</v>
      </c>
      <c r="G21" s="32">
        <f>31.518</f>
        <v>31.518000000000001</v>
      </c>
      <c r="H21" s="32">
        <f t="shared" si="1"/>
        <v>3.2482737297742967</v>
      </c>
      <c r="I21" s="32">
        <v>57.06</v>
      </c>
      <c r="J21" s="32">
        <f t="shared" si="2"/>
        <v>5.8806554673812226</v>
      </c>
      <c r="K21" s="32">
        <f>47.747</f>
        <v>47.747</v>
      </c>
      <c r="L21" s="32">
        <f t="shared" si="3"/>
        <v>4.9208492218901378</v>
      </c>
      <c r="M21" s="32">
        <f>66.635</f>
        <v>66.635000000000005</v>
      </c>
      <c r="N21" s="32">
        <f t="shared" si="4"/>
        <v>6.8674636710295793</v>
      </c>
      <c r="O21" s="32">
        <f>111.805</f>
        <v>111.80500000000001</v>
      </c>
      <c r="P21" s="32">
        <f t="shared" si="5"/>
        <v>11.522724930433888</v>
      </c>
      <c r="Q21" s="32">
        <v>280.10000000000002</v>
      </c>
      <c r="R21" s="32">
        <f t="shared" si="6"/>
        <v>28.867360610120585</v>
      </c>
      <c r="S21" s="32"/>
      <c r="T21" s="32"/>
      <c r="U21" s="32">
        <v>0.96</v>
      </c>
      <c r="V21" s="32">
        <f t="shared" ref="V21:V32" si="10">U21/$B21*100</f>
        <v>9.8938472637328662E-2</v>
      </c>
      <c r="W21" s="32">
        <f>2.889</f>
        <v>2.8889999999999998</v>
      </c>
      <c r="X21" s="32">
        <f t="shared" ref="X21:X32" si="11">W21/$B21*100</f>
        <v>0.29774296609296091</v>
      </c>
      <c r="Y21" s="680">
        <f t="shared" si="9"/>
        <v>-22.835536276760088</v>
      </c>
      <c r="Z21" s="32">
        <f t="shared" ref="Z21:Z32" si="12">Y21/$B21*100</f>
        <v>-2.3534511261218269</v>
      </c>
      <c r="AA21" s="643">
        <v>0.14319999999999999</v>
      </c>
      <c r="AB21" s="32">
        <f t="shared" ref="AB21:AB32" si="13">AA21/$B21*100</f>
        <v>1.4758322168401526E-2</v>
      </c>
      <c r="AC21" s="643">
        <v>3.3677362767600001</v>
      </c>
      <c r="AD21" s="32">
        <f t="shared" ref="AD21:AD32" si="14">AC21/$B21*100</f>
        <v>0.34708196194579</v>
      </c>
      <c r="AE21" s="643">
        <v>21.194600000000001</v>
      </c>
      <c r="AF21" s="32">
        <f t="shared" ref="AF21:AF32" si="15">AE21/$B21*100</f>
        <v>2.1843347418324233</v>
      </c>
      <c r="AG21" s="643">
        <v>30.14</v>
      </c>
      <c r="AH21" s="32">
        <f t="shared" ref="AH21:AH32" si="16">AG21/$B21*100</f>
        <v>3.1062557971761313</v>
      </c>
      <c r="AI21" s="32">
        <f>25.196</f>
        <v>25.196000000000002</v>
      </c>
      <c r="CD21" s="239"/>
    </row>
    <row r="22" spans="1:82" hidden="1">
      <c r="A22" s="679" t="s">
        <v>19</v>
      </c>
      <c r="B22" s="32">
        <v>1018</v>
      </c>
      <c r="C22" s="32">
        <v>106.6</v>
      </c>
      <c r="D22" s="32">
        <f t="shared" si="7"/>
        <v>10.471512770137524</v>
      </c>
      <c r="E22" s="32">
        <f>245.197</f>
        <v>245.197</v>
      </c>
      <c r="F22" s="32">
        <f t="shared" si="0"/>
        <v>24.086149312377213</v>
      </c>
      <c r="G22" s="32">
        <f>37.078</f>
        <v>37.078000000000003</v>
      </c>
      <c r="H22" s="32">
        <f t="shared" si="1"/>
        <v>3.6422396856581538</v>
      </c>
      <c r="I22" s="32">
        <v>57.3</v>
      </c>
      <c r="J22" s="32">
        <f t="shared" si="2"/>
        <v>5.6286836935166988</v>
      </c>
      <c r="K22" s="32">
        <f>49.6</f>
        <v>49.6</v>
      </c>
      <c r="L22" s="32">
        <f t="shared" si="3"/>
        <v>4.8722986247544204</v>
      </c>
      <c r="M22" s="32">
        <f>68.144</f>
        <v>68.144000000000005</v>
      </c>
      <c r="N22" s="32">
        <f t="shared" si="4"/>
        <v>6.6939096267190576</v>
      </c>
      <c r="O22" s="32">
        <f>129.891</f>
        <v>129.89099999999999</v>
      </c>
      <c r="P22" s="32">
        <f t="shared" si="5"/>
        <v>12.759430255402748</v>
      </c>
      <c r="Q22" s="32">
        <v>289.8</v>
      </c>
      <c r="R22" s="32">
        <f t="shared" si="6"/>
        <v>28.467583497053045</v>
      </c>
      <c r="S22" s="32"/>
      <c r="T22" s="32"/>
      <c r="U22" s="32">
        <v>0.4</v>
      </c>
      <c r="V22" s="32">
        <f t="shared" si="10"/>
        <v>3.9292730844793719E-2</v>
      </c>
      <c r="W22" s="32">
        <f>2.651</f>
        <v>2.6509999999999998</v>
      </c>
      <c r="X22" s="32">
        <f t="shared" si="11"/>
        <v>0.26041257367387033</v>
      </c>
      <c r="Y22" s="680">
        <f t="shared" si="9"/>
        <v>-22.390532717060022</v>
      </c>
      <c r="Z22" s="32">
        <f t="shared" si="12"/>
        <v>-2.1994629388074678</v>
      </c>
      <c r="AA22" s="643">
        <v>0.1749525129</v>
      </c>
      <c r="AB22" s="32">
        <f t="shared" si="13"/>
        <v>1.7185905000000001E-2</v>
      </c>
      <c r="AC22" s="643">
        <v>3.3574750449599997</v>
      </c>
      <c r="AD22" s="32">
        <f t="shared" si="14"/>
        <v>0.32981090814931235</v>
      </c>
      <c r="AE22" s="643">
        <v>21.3371051592</v>
      </c>
      <c r="AF22" s="32">
        <f t="shared" si="15"/>
        <v>2.0959828250687624</v>
      </c>
      <c r="AG22" s="643">
        <v>28.86</v>
      </c>
      <c r="AH22" s="32">
        <f t="shared" si="16"/>
        <v>2.8349705304518662</v>
      </c>
      <c r="AI22" s="32">
        <f>26.118</f>
        <v>26.117999999999999</v>
      </c>
      <c r="CD22" s="239"/>
    </row>
    <row r="23" spans="1:82" hidden="1">
      <c r="A23" s="679" t="s">
        <v>20</v>
      </c>
      <c r="B23" s="32">
        <v>1073.5</v>
      </c>
      <c r="C23" s="32">
        <v>104.2</v>
      </c>
      <c r="D23" s="32">
        <f t="shared" si="7"/>
        <v>9.7065673032137862</v>
      </c>
      <c r="E23" s="32">
        <f>275.384</f>
        <v>275.38400000000001</v>
      </c>
      <c r="F23" s="32">
        <f t="shared" si="0"/>
        <v>25.652911038658594</v>
      </c>
      <c r="G23" s="32">
        <f>41.203</f>
        <v>41.203000000000003</v>
      </c>
      <c r="H23" s="32">
        <f t="shared" si="1"/>
        <v>3.8381928272007455</v>
      </c>
      <c r="I23" s="32">
        <v>57.3</v>
      </c>
      <c r="J23" s="32">
        <f t="shared" si="2"/>
        <v>5.3376804843968326</v>
      </c>
      <c r="K23" s="32">
        <f>50.982</f>
        <v>50.981999999999999</v>
      </c>
      <c r="L23" s="32">
        <f t="shared" si="3"/>
        <v>4.749138332557056</v>
      </c>
      <c r="M23" s="32">
        <f>71.723</f>
        <v>71.722999999999999</v>
      </c>
      <c r="N23" s="32">
        <f t="shared" si="4"/>
        <v>6.6812296227293899</v>
      </c>
      <c r="O23" s="32">
        <f>130.674</f>
        <v>130.67400000000001</v>
      </c>
      <c r="P23" s="32">
        <f t="shared" si="5"/>
        <v>12.172706101537029</v>
      </c>
      <c r="Q23" s="32">
        <v>304.8</v>
      </c>
      <c r="R23" s="32">
        <f t="shared" si="6"/>
        <v>28.393106660456453</v>
      </c>
      <c r="S23" s="32"/>
      <c r="T23" s="32"/>
      <c r="U23" s="32">
        <v>0.4</v>
      </c>
      <c r="V23" s="32">
        <f t="shared" si="10"/>
        <v>3.7261294829995344E-2</v>
      </c>
      <c r="W23" s="32">
        <f>2.174</f>
        <v>2.1739999999999999</v>
      </c>
      <c r="X23" s="32">
        <f t="shared" si="11"/>
        <v>0.20251513740102467</v>
      </c>
      <c r="Y23" s="680">
        <f t="shared" si="9"/>
        <v>5.3460136068260011</v>
      </c>
      <c r="Z23" s="32">
        <f t="shared" si="12"/>
        <v>0.49799847292277605</v>
      </c>
      <c r="AA23" s="643">
        <v>0.279968053524</v>
      </c>
      <c r="AB23" s="32">
        <f t="shared" si="13"/>
        <v>2.6079930463344204E-2</v>
      </c>
      <c r="AC23" s="643">
        <v>3.3574750449599997</v>
      </c>
      <c r="AD23" s="32">
        <f t="shared" si="14"/>
        <v>0.31275966883651601</v>
      </c>
      <c r="AE23" s="643">
        <v>21.715683793215998</v>
      </c>
      <c r="AF23" s="32">
        <f t="shared" si="15"/>
        <v>2.0228862406349322</v>
      </c>
      <c r="AG23" s="643">
        <v>3.960859501474002</v>
      </c>
      <c r="AH23" s="32">
        <f t="shared" si="16"/>
        <v>0.3689668841615279</v>
      </c>
      <c r="AI23" s="32">
        <f>32.447</f>
        <v>32.447000000000003</v>
      </c>
      <c r="CD23" s="239"/>
    </row>
    <row r="24" spans="1:82" hidden="1">
      <c r="A24" s="679" t="s">
        <v>21</v>
      </c>
      <c r="B24" s="32">
        <v>1098.4000000000001</v>
      </c>
      <c r="C24" s="32">
        <v>105.1</v>
      </c>
      <c r="D24" s="32">
        <f t="shared" si="7"/>
        <v>9.5684632192279668</v>
      </c>
      <c r="E24" s="32">
        <f>290.961</f>
        <v>290.96100000000001</v>
      </c>
      <c r="F24" s="32">
        <f t="shared" si="0"/>
        <v>26.489530225782953</v>
      </c>
      <c r="G24" s="32">
        <f>37.644</f>
        <v>37.643999999999998</v>
      </c>
      <c r="H24" s="32">
        <f t="shared" si="1"/>
        <v>3.4271667880553522</v>
      </c>
      <c r="I24" s="32">
        <v>55.4</v>
      </c>
      <c r="J24" s="32">
        <f t="shared" si="2"/>
        <v>5.0436999271667871</v>
      </c>
      <c r="K24" s="32">
        <f>56.241</f>
        <v>56.241</v>
      </c>
      <c r="L24" s="32">
        <f t="shared" si="3"/>
        <v>5.1202658412235973</v>
      </c>
      <c r="M24" s="32">
        <f>77.593</f>
        <v>77.593000000000004</v>
      </c>
      <c r="N24" s="32">
        <f t="shared" si="4"/>
        <v>7.064184268026219</v>
      </c>
      <c r="O24" s="32">
        <f>126.316</f>
        <v>126.316</v>
      </c>
      <c r="P24" s="32">
        <f t="shared" si="5"/>
        <v>11.5</v>
      </c>
      <c r="Q24" s="32">
        <v>312.60000000000002</v>
      </c>
      <c r="R24" s="32">
        <f t="shared" si="6"/>
        <v>28.459577567370719</v>
      </c>
      <c r="S24" s="32"/>
      <c r="T24" s="32"/>
      <c r="U24" s="32">
        <v>0.4</v>
      </c>
      <c r="V24" s="32">
        <f t="shared" si="10"/>
        <v>3.6416605972323379E-2</v>
      </c>
      <c r="W24" s="32">
        <f>2.996</f>
        <v>2.996</v>
      </c>
      <c r="X24" s="32">
        <f t="shared" si="11"/>
        <v>0.27276037873270209</v>
      </c>
      <c r="Y24" s="680">
        <f t="shared" si="9"/>
        <v>3.6094134047160953</v>
      </c>
      <c r="Z24" s="32">
        <f t="shared" si="12"/>
        <v>0.32860646437692048</v>
      </c>
      <c r="AA24" s="643">
        <v>0.5</v>
      </c>
      <c r="AB24" s="32">
        <f t="shared" si="13"/>
        <v>4.5520757465404217E-2</v>
      </c>
      <c r="AC24" s="643">
        <v>3.4</v>
      </c>
      <c r="AD24" s="32">
        <f t="shared" si="14"/>
        <v>0.3095411507647487</v>
      </c>
      <c r="AE24" s="643">
        <v>21.5</v>
      </c>
      <c r="AF24" s="32">
        <f t="shared" si="15"/>
        <v>1.9573925710123816</v>
      </c>
      <c r="AG24" s="643">
        <v>4.1395865952839994</v>
      </c>
      <c r="AH24" s="32">
        <f t="shared" si="16"/>
        <v>0.37687423482192273</v>
      </c>
      <c r="AI24" s="32">
        <f>30.865</f>
        <v>30.864999999999998</v>
      </c>
      <c r="CD24" s="239"/>
    </row>
    <row r="25" spans="1:82" hidden="1">
      <c r="A25" s="679" t="s">
        <v>22</v>
      </c>
      <c r="B25" s="32">
        <v>1114.7</v>
      </c>
      <c r="C25" s="32">
        <v>106.9</v>
      </c>
      <c r="D25" s="32">
        <f t="shared" si="7"/>
        <v>9.5900242217637022</v>
      </c>
      <c r="E25" s="32">
        <f>289.847</f>
        <v>289.84699999999998</v>
      </c>
      <c r="F25" s="32">
        <f t="shared" si="0"/>
        <v>26.002242755898447</v>
      </c>
      <c r="G25" s="32">
        <f>33.681</f>
        <v>33.680999999999997</v>
      </c>
      <c r="H25" s="32">
        <f t="shared" si="1"/>
        <v>3.0215304566251007</v>
      </c>
      <c r="I25" s="32">
        <v>59.1</v>
      </c>
      <c r="J25" s="32">
        <f t="shared" si="2"/>
        <v>5.3018749439311019</v>
      </c>
      <c r="K25" s="32">
        <f>60.899</f>
        <v>60.899000000000001</v>
      </c>
      <c r="L25" s="32">
        <f t="shared" si="3"/>
        <v>5.463263658383422</v>
      </c>
      <c r="M25" s="32">
        <f>80.911</f>
        <v>80.911000000000001</v>
      </c>
      <c r="N25" s="32">
        <f t="shared" si="4"/>
        <v>7.2585448999730868</v>
      </c>
      <c r="O25" s="32">
        <f>126.126</f>
        <v>126.126</v>
      </c>
      <c r="P25" s="32">
        <f t="shared" si="5"/>
        <v>11.314793217906164</v>
      </c>
      <c r="Q25" s="32">
        <v>321.8</v>
      </c>
      <c r="R25" s="32">
        <f t="shared" si="6"/>
        <v>28.868753924822819</v>
      </c>
      <c r="S25" s="32"/>
      <c r="T25" s="32"/>
      <c r="U25" s="32">
        <v>0.4</v>
      </c>
      <c r="V25" s="32">
        <f t="shared" si="10"/>
        <v>3.5884094375168207E-2</v>
      </c>
      <c r="W25" s="32">
        <f>2.828</f>
        <v>2.8279999999999998</v>
      </c>
      <c r="X25" s="32">
        <f t="shared" si="11"/>
        <v>0.25370054723243918</v>
      </c>
      <c r="Y25" s="680">
        <f t="shared" si="9"/>
        <v>2.9622000000000037</v>
      </c>
      <c r="Z25" s="32">
        <f t="shared" si="12"/>
        <v>0.26573966089530848</v>
      </c>
      <c r="AA25" s="643">
        <v>1.4799999999999999E-2</v>
      </c>
      <c r="AB25" s="32">
        <f t="shared" si="13"/>
        <v>1.3277114918812236E-3</v>
      </c>
      <c r="AC25" s="643">
        <v>3.5954000000000002</v>
      </c>
      <c r="AD25" s="32">
        <f t="shared" si="14"/>
        <v>0.32254418229119941</v>
      </c>
      <c r="AE25" s="643">
        <v>21.56</v>
      </c>
      <c r="AF25" s="32">
        <f t="shared" si="15"/>
        <v>1.9341526868215659</v>
      </c>
      <c r="AG25" s="643">
        <v>4.0756000000000006</v>
      </c>
      <c r="AH25" s="32">
        <f t="shared" si="16"/>
        <v>0.36562303758858888</v>
      </c>
      <c r="AI25" s="32">
        <f>35.464</f>
        <v>35.463999999999999</v>
      </c>
      <c r="CD25" s="239"/>
    </row>
    <row r="26" spans="1:82" hidden="1">
      <c r="A26" s="679" t="s">
        <v>23</v>
      </c>
      <c r="B26" s="32">
        <v>1079.5999999999999</v>
      </c>
      <c r="C26" s="32">
        <v>59.2</v>
      </c>
      <c r="D26" s="32">
        <f t="shared" si="7"/>
        <v>5.4835124120044467</v>
      </c>
      <c r="E26" s="32">
        <f>290.784</f>
        <v>290.78399999999999</v>
      </c>
      <c r="F26" s="32">
        <f t="shared" si="0"/>
        <v>26.934420155613193</v>
      </c>
      <c r="G26" s="32">
        <f>29.642</f>
        <v>29.641999999999999</v>
      </c>
      <c r="H26" s="32">
        <f t="shared" si="1"/>
        <v>2.7456465357539832</v>
      </c>
      <c r="I26" s="32">
        <v>59.8</v>
      </c>
      <c r="J26" s="32">
        <f t="shared" si="2"/>
        <v>5.5390885513153023</v>
      </c>
      <c r="K26" s="32">
        <f>64.896</f>
        <v>64.896000000000001</v>
      </c>
      <c r="L26" s="32">
        <f t="shared" si="3"/>
        <v>6.011115227862172</v>
      </c>
      <c r="M26" s="32">
        <f>85.02</f>
        <v>85.02</v>
      </c>
      <c r="N26" s="32">
        <f t="shared" si="4"/>
        <v>7.8751389403482781</v>
      </c>
      <c r="O26" s="32">
        <f>115.771</f>
        <v>115.771</v>
      </c>
      <c r="P26" s="32">
        <f t="shared" si="5"/>
        <v>10.723508706928493</v>
      </c>
      <c r="Q26" s="32">
        <v>339.4</v>
      </c>
      <c r="R26" s="32">
        <f t="shared" si="6"/>
        <v>31.437569470174136</v>
      </c>
      <c r="S26" s="32"/>
      <c r="T26" s="32"/>
      <c r="U26" s="32">
        <v>0.4</v>
      </c>
      <c r="V26" s="32">
        <f t="shared" si="10"/>
        <v>3.7050759540570584E-2</v>
      </c>
      <c r="W26" s="32">
        <f>6.354</f>
        <v>6.3540000000000001</v>
      </c>
      <c r="X26" s="32">
        <f t="shared" si="11"/>
        <v>0.5885513153019637</v>
      </c>
      <c r="Y26" s="680">
        <f t="shared" si="9"/>
        <v>0.68139999999994938</v>
      </c>
      <c r="Z26" s="32">
        <f t="shared" si="12"/>
        <v>6.3115968877357306E-2</v>
      </c>
      <c r="AA26" s="643">
        <v>7.5200000000000003E-2</v>
      </c>
      <c r="AB26" s="32">
        <f t="shared" si="13"/>
        <v>6.9655427936272706E-3</v>
      </c>
      <c r="AC26" s="643">
        <v>3.5927999999999995</v>
      </c>
      <c r="AD26" s="32">
        <f t="shared" si="14"/>
        <v>0.33278992219340492</v>
      </c>
      <c r="AE26" s="643">
        <v>20.908799999999999</v>
      </c>
      <c r="AF26" s="32">
        <f t="shared" si="15"/>
        <v>1.9367173027047058</v>
      </c>
      <c r="AG26" s="643">
        <v>3.0748000000000006</v>
      </c>
      <c r="AH26" s="32">
        <f t="shared" si="16"/>
        <v>0.28480918858836618</v>
      </c>
      <c r="AI26" s="32">
        <f>38.128</f>
        <v>38.128</v>
      </c>
      <c r="CD26" s="239"/>
    </row>
    <row r="27" spans="1:82" hidden="1">
      <c r="A27" s="679" t="s">
        <v>24</v>
      </c>
      <c r="B27" s="32">
        <v>1116.5</v>
      </c>
      <c r="C27" s="32">
        <v>55.78</v>
      </c>
      <c r="D27" s="32">
        <f t="shared" si="7"/>
        <v>4.9959695476936856</v>
      </c>
      <c r="E27" s="32">
        <f>304.857</f>
        <v>304.85700000000003</v>
      </c>
      <c r="F27" s="32">
        <f t="shared" si="0"/>
        <v>27.304702194357372</v>
      </c>
      <c r="G27" s="32">
        <f>37.719</f>
        <v>37.719000000000001</v>
      </c>
      <c r="H27" s="32">
        <f t="shared" si="1"/>
        <v>3.3783251231527096</v>
      </c>
      <c r="I27" s="32">
        <v>60.2</v>
      </c>
      <c r="J27" s="32">
        <f t="shared" si="2"/>
        <v>5.3918495297805649</v>
      </c>
      <c r="K27" s="32">
        <f>67.497</f>
        <v>67.497</v>
      </c>
      <c r="L27" s="32">
        <f t="shared" si="3"/>
        <v>6.0454097626511416</v>
      </c>
      <c r="M27" s="32">
        <f>86.345</f>
        <v>86.344999999999999</v>
      </c>
      <c r="N27" s="32">
        <f t="shared" si="4"/>
        <v>7.7335423197492164</v>
      </c>
      <c r="O27" s="32">
        <f>114.745</f>
        <v>114.745</v>
      </c>
      <c r="P27" s="32">
        <f t="shared" si="5"/>
        <v>10.277205553067622</v>
      </c>
      <c r="Q27" s="32">
        <v>354.8</v>
      </c>
      <c r="R27" s="32">
        <f t="shared" si="6"/>
        <v>31.777877295118671</v>
      </c>
      <c r="S27" s="32"/>
      <c r="T27" s="32"/>
      <c r="U27" s="32">
        <v>0.4</v>
      </c>
      <c r="V27" s="32">
        <f t="shared" si="10"/>
        <v>3.582624272279445E-2</v>
      </c>
      <c r="W27" s="32">
        <f>3.145</f>
        <v>3.145</v>
      </c>
      <c r="X27" s="32">
        <f t="shared" si="11"/>
        <v>0.28168383340797132</v>
      </c>
      <c r="Y27" s="680">
        <f t="shared" si="9"/>
        <v>2.2063999999999795</v>
      </c>
      <c r="Z27" s="32">
        <f t="shared" si="12"/>
        <v>0.19761755485893234</v>
      </c>
      <c r="AA27" s="643">
        <v>0.31579999999999997</v>
      </c>
      <c r="AB27" s="32">
        <f t="shared" si="13"/>
        <v>2.8284818629646213E-2</v>
      </c>
      <c r="AC27" s="643">
        <v>3.9665999999999997</v>
      </c>
      <c r="AD27" s="32">
        <f t="shared" si="14"/>
        <v>0.35527093596059106</v>
      </c>
      <c r="AE27" s="643">
        <v>21</v>
      </c>
      <c r="AF27" s="32">
        <f t="shared" si="15"/>
        <v>1.8808777429467085</v>
      </c>
      <c r="AG27" s="643">
        <v>3.5232000000000006</v>
      </c>
      <c r="AH27" s="32">
        <f t="shared" si="16"/>
        <v>0.31555754590237356</v>
      </c>
      <c r="AI27" s="32">
        <f>32.296</f>
        <v>32.295999999999999</v>
      </c>
      <c r="CD27" s="239"/>
    </row>
    <row r="28" spans="1:82" hidden="1">
      <c r="A28" s="679" t="s">
        <v>25</v>
      </c>
      <c r="B28" s="32">
        <v>1208.8</v>
      </c>
      <c r="C28" s="32">
        <v>57.46</v>
      </c>
      <c r="D28" s="32">
        <f t="shared" si="7"/>
        <v>4.7534745201853079</v>
      </c>
      <c r="E28" s="32">
        <f>304.526</f>
        <v>304.52600000000001</v>
      </c>
      <c r="F28" s="32">
        <f t="shared" si="0"/>
        <v>25.192422236929186</v>
      </c>
      <c r="G28" s="32">
        <f>101.518</f>
        <v>101.518</v>
      </c>
      <c r="H28" s="32">
        <f t="shared" si="1"/>
        <v>8.3982461945731313</v>
      </c>
      <c r="I28" s="32">
        <v>65</v>
      </c>
      <c r="J28" s="32">
        <f t="shared" si="2"/>
        <v>5.3772336201191271</v>
      </c>
      <c r="K28" s="32">
        <f>66.862</f>
        <v>66.861999999999995</v>
      </c>
      <c r="L28" s="32">
        <f t="shared" si="3"/>
        <v>5.5312706816677695</v>
      </c>
      <c r="M28" s="32">
        <f>87.463</f>
        <v>87.462999999999994</v>
      </c>
      <c r="N28" s="32">
        <f t="shared" si="4"/>
        <v>7.2355228325612169</v>
      </c>
      <c r="O28" s="32">
        <f>122.483</f>
        <v>122.483</v>
      </c>
      <c r="P28" s="32">
        <f t="shared" si="5"/>
        <v>10.132610853739246</v>
      </c>
      <c r="Q28" s="32">
        <v>364.4</v>
      </c>
      <c r="R28" s="32">
        <f t="shared" si="6"/>
        <v>30.145598941098612</v>
      </c>
      <c r="S28" s="32"/>
      <c r="T28" s="32"/>
      <c r="U28" s="32">
        <v>0.4</v>
      </c>
      <c r="V28" s="32">
        <f t="shared" si="10"/>
        <v>3.3090668431502324E-2</v>
      </c>
      <c r="W28" s="32">
        <f>6.348</f>
        <v>6.3479999999999999</v>
      </c>
      <c r="X28" s="32">
        <f t="shared" si="11"/>
        <v>0.52514890800794178</v>
      </c>
      <c r="Y28" s="680">
        <f t="shared" si="9"/>
        <v>3.3509999999999494</v>
      </c>
      <c r="Z28" s="32">
        <f t="shared" si="12"/>
        <v>0.27721707478490648</v>
      </c>
      <c r="AA28" s="643">
        <v>0</v>
      </c>
      <c r="AB28" s="32">
        <f t="shared" si="13"/>
        <v>0</v>
      </c>
      <c r="AC28" s="643">
        <v>4.24</v>
      </c>
      <c r="AD28" s="32">
        <f t="shared" si="14"/>
        <v>0.35076108537392459</v>
      </c>
      <c r="AE28" s="643">
        <v>21</v>
      </c>
      <c r="AF28" s="32">
        <f t="shared" si="15"/>
        <v>1.7372600926538715</v>
      </c>
      <c r="AG28" s="643">
        <v>3.7490000000000023</v>
      </c>
      <c r="AH28" s="32">
        <f t="shared" si="16"/>
        <v>0.31014228987425563</v>
      </c>
      <c r="AI28" s="32">
        <f>32.021</f>
        <v>32.021000000000001</v>
      </c>
      <c r="CD28" s="239"/>
    </row>
    <row r="29" spans="1:82" hidden="1">
      <c r="A29" s="679" t="s">
        <v>26</v>
      </c>
      <c r="B29" s="32">
        <v>1245.0999999999999</v>
      </c>
      <c r="C29" s="32">
        <v>63.2</v>
      </c>
      <c r="D29" s="32">
        <f t="shared" si="7"/>
        <v>5.0758975182716259</v>
      </c>
      <c r="E29" s="32">
        <f>312.839</f>
        <v>312.839</v>
      </c>
      <c r="F29" s="32">
        <f t="shared" si="0"/>
        <v>25.125612400610393</v>
      </c>
      <c r="G29" s="32">
        <f>103.485</f>
        <v>103.485</v>
      </c>
      <c r="H29" s="32">
        <f t="shared" si="1"/>
        <v>8.3113806119990361</v>
      </c>
      <c r="I29" s="32">
        <v>85.31</v>
      </c>
      <c r="J29" s="32">
        <f t="shared" si="2"/>
        <v>6.851658501325196</v>
      </c>
      <c r="K29" s="32">
        <f>68.268</f>
        <v>68.268000000000001</v>
      </c>
      <c r="L29" s="32">
        <f t="shared" si="3"/>
        <v>5.4829330977431532</v>
      </c>
      <c r="M29" s="32">
        <f>78.202</f>
        <v>78.201999999999998</v>
      </c>
      <c r="N29" s="32">
        <f t="shared" si="4"/>
        <v>6.2807806601879372</v>
      </c>
      <c r="O29" s="32">
        <f>120.962</f>
        <v>120.962</v>
      </c>
      <c r="P29" s="32">
        <f t="shared" si="5"/>
        <v>9.715042968436272</v>
      </c>
      <c r="Q29" s="32">
        <v>345.9</v>
      </c>
      <c r="R29" s="32">
        <f t="shared" si="6"/>
        <v>27.780901132439162</v>
      </c>
      <c r="S29" s="32"/>
      <c r="T29" s="32"/>
      <c r="U29" s="32">
        <v>0.5</v>
      </c>
      <c r="V29" s="32">
        <f t="shared" si="10"/>
        <v>4.0157417074933741E-2</v>
      </c>
      <c r="W29" s="32">
        <f>4.431</f>
        <v>4.431</v>
      </c>
      <c r="X29" s="32">
        <f t="shared" si="11"/>
        <v>0.35587503011806287</v>
      </c>
      <c r="Y29" s="680">
        <f t="shared" si="9"/>
        <v>33.162799999999812</v>
      </c>
      <c r="Z29" s="32">
        <f t="shared" si="12"/>
        <v>2.6634647819452106</v>
      </c>
      <c r="AA29" s="643">
        <v>0.21800000000000003</v>
      </c>
      <c r="AB29" s="32">
        <f t="shared" si="13"/>
        <v>1.7508633844671113E-2</v>
      </c>
      <c r="AC29" s="643">
        <v>4.24</v>
      </c>
      <c r="AD29" s="32">
        <f t="shared" si="14"/>
        <v>0.34053489679543814</v>
      </c>
      <c r="AE29" s="643">
        <v>21</v>
      </c>
      <c r="AF29" s="32">
        <f t="shared" si="15"/>
        <v>1.6866115171472171</v>
      </c>
      <c r="AG29" s="643">
        <v>3.3821999999999983</v>
      </c>
      <c r="AH29" s="32">
        <f t="shared" si="16"/>
        <v>0.27164083206168171</v>
      </c>
      <c r="AI29" s="32">
        <v>42.354999999999997</v>
      </c>
      <c r="CD29" s="239"/>
    </row>
    <row r="30" spans="1:82" hidden="1">
      <c r="A30" s="679" t="s">
        <v>27</v>
      </c>
      <c r="B30" s="32">
        <v>1311.6</v>
      </c>
      <c r="C30" s="32">
        <v>67.400000000000006</v>
      </c>
      <c r="D30" s="32">
        <f t="shared" si="7"/>
        <v>5.1387618176273264</v>
      </c>
      <c r="E30" s="32">
        <f>330.175</f>
        <v>330.17500000000001</v>
      </c>
      <c r="F30" s="32">
        <f t="shared" si="0"/>
        <v>25.173452272034158</v>
      </c>
      <c r="G30" s="32">
        <f>125.999</f>
        <v>125.999</v>
      </c>
      <c r="H30" s="32">
        <f t="shared" si="1"/>
        <v>9.6065111314425131</v>
      </c>
      <c r="I30" s="32">
        <v>91.9</v>
      </c>
      <c r="J30" s="32">
        <f t="shared" si="2"/>
        <v>7.0067093626105521</v>
      </c>
      <c r="K30" s="32">
        <f>74.635</f>
        <v>74.635000000000005</v>
      </c>
      <c r="L30" s="32">
        <f t="shared" si="3"/>
        <v>5.6903781640744135</v>
      </c>
      <c r="M30" s="32">
        <f>81.848</f>
        <v>81.847999999999999</v>
      </c>
      <c r="N30" s="32">
        <f t="shared" si="4"/>
        <v>6.2403171698688631</v>
      </c>
      <c r="O30" s="32">
        <f>123.629</f>
        <v>123.629</v>
      </c>
      <c r="P30" s="32">
        <f t="shared" si="5"/>
        <v>9.4258157974992383</v>
      </c>
      <c r="Q30" s="32">
        <v>376.9</v>
      </c>
      <c r="R30" s="32">
        <f t="shared" si="6"/>
        <v>28.735895089966451</v>
      </c>
      <c r="S30" s="32"/>
      <c r="T30" s="32"/>
      <c r="U30" s="32">
        <v>0.5</v>
      </c>
      <c r="V30" s="32">
        <f t="shared" si="10"/>
        <v>3.8121378469045439E-2</v>
      </c>
      <c r="W30" s="32">
        <v>3</v>
      </c>
      <c r="X30" s="32">
        <f t="shared" si="11"/>
        <v>0.22872827081427266</v>
      </c>
      <c r="Y30" s="680">
        <f t="shared" si="9"/>
        <v>6.4771999999999261</v>
      </c>
      <c r="Z30" s="32">
        <f t="shared" si="12"/>
        <v>0.49383958523939669</v>
      </c>
      <c r="AA30" s="643">
        <v>0.68720000000000003</v>
      </c>
      <c r="AB30" s="32">
        <f t="shared" si="13"/>
        <v>5.2394022567856052E-2</v>
      </c>
      <c r="AC30" s="643">
        <v>4.5739999999999998</v>
      </c>
      <c r="AD30" s="32">
        <f t="shared" si="14"/>
        <v>0.34873437023482773</v>
      </c>
      <c r="AE30" s="643">
        <v>20.273199999999999</v>
      </c>
      <c r="AF30" s="32">
        <f t="shared" si="15"/>
        <v>1.545684659957304</v>
      </c>
      <c r="AG30" s="643">
        <v>3.6023999999999985</v>
      </c>
      <c r="AH30" s="32">
        <f t="shared" si="16"/>
        <v>0.27465690759377853</v>
      </c>
      <c r="AI30" s="32">
        <f>34.589</f>
        <v>34.588999999999999</v>
      </c>
      <c r="CD30" s="239"/>
    </row>
    <row r="31" spans="1:82" hidden="1">
      <c r="A31" s="679" t="s">
        <v>28</v>
      </c>
      <c r="B31" s="32">
        <v>1358.5</v>
      </c>
      <c r="C31" s="32">
        <v>68.8</v>
      </c>
      <c r="D31" s="32">
        <f t="shared" si="7"/>
        <v>5.0644092749355902</v>
      </c>
      <c r="E31" s="32">
        <f>343.424</f>
        <v>343.42399999999998</v>
      </c>
      <c r="F31" s="32">
        <f t="shared" si="0"/>
        <v>25.279646669120353</v>
      </c>
      <c r="G31" s="32">
        <f>144.505</f>
        <v>144.505</v>
      </c>
      <c r="H31" s="32">
        <f t="shared" si="1"/>
        <v>10.637099742362901</v>
      </c>
      <c r="I31" s="32">
        <v>96.2</v>
      </c>
      <c r="J31" s="32">
        <f t="shared" si="2"/>
        <v>7.0813397129186608</v>
      </c>
      <c r="K31" s="32">
        <f>76.933</f>
        <v>76.933000000000007</v>
      </c>
      <c r="L31" s="32">
        <f t="shared" si="3"/>
        <v>5.6630842841369162</v>
      </c>
      <c r="M31" s="32">
        <f>81.798</f>
        <v>81.798000000000002</v>
      </c>
      <c r="N31" s="32">
        <f t="shared" si="4"/>
        <v>6.0211998527788007</v>
      </c>
      <c r="O31" s="32">
        <f>122.754</f>
        <v>122.754</v>
      </c>
      <c r="P31" s="32">
        <f t="shared" si="5"/>
        <v>9.0359955833640058</v>
      </c>
      <c r="Q31" s="32">
        <v>382</v>
      </c>
      <c r="R31" s="32">
        <f t="shared" si="6"/>
        <v>28.11924917188075</v>
      </c>
      <c r="S31" s="32"/>
      <c r="T31" s="32"/>
      <c r="U31" s="32">
        <v>0.5</v>
      </c>
      <c r="V31" s="32">
        <f t="shared" si="10"/>
        <v>3.6805299963194697E-2</v>
      </c>
      <c r="W31" s="32">
        <f>3.539</f>
        <v>3.5390000000000001</v>
      </c>
      <c r="X31" s="32">
        <f t="shared" si="11"/>
        <v>0.26050791313949212</v>
      </c>
      <c r="Y31" s="680">
        <f t="shared" si="9"/>
        <v>8.7206000000000277</v>
      </c>
      <c r="Z31" s="32">
        <f t="shared" si="12"/>
        <v>0.64192859771807342</v>
      </c>
      <c r="AA31" s="643">
        <v>0.98</v>
      </c>
      <c r="AB31" s="32">
        <f t="shared" si="13"/>
        <v>7.2138387927861605E-2</v>
      </c>
      <c r="AC31" s="643">
        <v>4.5599999999999996</v>
      </c>
      <c r="AD31" s="32">
        <f t="shared" si="14"/>
        <v>0.33566433566433562</v>
      </c>
      <c r="AE31" s="643">
        <v>20.1538</v>
      </c>
      <c r="AF31" s="32">
        <f t="shared" si="15"/>
        <v>1.4835333087964668</v>
      </c>
      <c r="AG31" s="643">
        <v>3.6325999999999978</v>
      </c>
      <c r="AH31" s="32">
        <f t="shared" si="16"/>
        <v>0.26739786529260196</v>
      </c>
      <c r="AI31" s="32">
        <f>34.602</f>
        <v>34.601999999999997</v>
      </c>
      <c r="CD31" s="239"/>
    </row>
    <row r="32" spans="1:82" hidden="1">
      <c r="A32" s="679" t="s">
        <v>29</v>
      </c>
      <c r="B32" s="32">
        <v>1441</v>
      </c>
      <c r="C32" s="32">
        <v>68.2</v>
      </c>
      <c r="D32" s="32">
        <f t="shared" si="7"/>
        <v>4.7328244274809164</v>
      </c>
      <c r="E32" s="32">
        <f>361.002</f>
        <v>361.00200000000001</v>
      </c>
      <c r="F32" s="32">
        <f t="shared" si="0"/>
        <v>25.052185981956974</v>
      </c>
      <c r="G32" s="32">
        <f>181.357</f>
        <v>181.357</v>
      </c>
      <c r="H32" s="32">
        <f t="shared" si="1"/>
        <v>12.585496183206107</v>
      </c>
      <c r="I32" s="32">
        <v>97.6</v>
      </c>
      <c r="J32" s="32">
        <f t="shared" si="2"/>
        <v>6.7730742539902842</v>
      </c>
      <c r="K32" s="32">
        <f>82.235</f>
        <v>82.234999999999999</v>
      </c>
      <c r="L32" s="32">
        <f t="shared" si="3"/>
        <v>5.7068008327550306</v>
      </c>
      <c r="M32" s="32">
        <f>83.346</f>
        <v>83.346000000000004</v>
      </c>
      <c r="N32" s="32">
        <f t="shared" si="4"/>
        <v>5.7839000693962532</v>
      </c>
      <c r="O32" s="32">
        <f>128.161</f>
        <v>128.161</v>
      </c>
      <c r="P32" s="32">
        <f t="shared" si="5"/>
        <v>8.8938931297709924</v>
      </c>
      <c r="Q32" s="32">
        <v>389.2</v>
      </c>
      <c r="R32" s="32">
        <f t="shared" si="6"/>
        <v>27.009021512838306</v>
      </c>
      <c r="S32" s="32"/>
      <c r="T32" s="32"/>
      <c r="U32" s="32">
        <v>0.5</v>
      </c>
      <c r="V32" s="32">
        <f t="shared" si="10"/>
        <v>3.4698126301179737E-2</v>
      </c>
      <c r="W32" s="32">
        <f>8.216</f>
        <v>8.2159999999999993</v>
      </c>
      <c r="X32" s="32">
        <f t="shared" si="11"/>
        <v>0.57015961138098536</v>
      </c>
      <c r="Y32" s="680">
        <f t="shared" si="9"/>
        <v>11.591199999999985</v>
      </c>
      <c r="Z32" s="32">
        <f t="shared" si="12"/>
        <v>0.80438584316446815</v>
      </c>
      <c r="AA32" s="643">
        <v>1.212</v>
      </c>
      <c r="AB32" s="32">
        <f t="shared" si="13"/>
        <v>8.4108258154059673E-2</v>
      </c>
      <c r="AC32" s="643">
        <v>4.6452</v>
      </c>
      <c r="AD32" s="32">
        <f t="shared" si="14"/>
        <v>0.32235947258848019</v>
      </c>
      <c r="AE32" s="643">
        <v>20.147200000000002</v>
      </c>
      <c r="AF32" s="32">
        <f t="shared" si="15"/>
        <v>1.3981401804302569</v>
      </c>
      <c r="AG32" s="643">
        <v>3.5874000000000001</v>
      </c>
      <c r="AH32" s="32">
        <f t="shared" si="16"/>
        <v>0.2489521165857044</v>
      </c>
      <c r="AI32" s="32">
        <f>45.782</f>
        <v>45.781999999999996</v>
      </c>
      <c r="CD32" s="239"/>
    </row>
    <row r="33" spans="1:82" hidden="1">
      <c r="A33" s="679"/>
      <c r="B33" s="32"/>
      <c r="C33" s="32"/>
      <c r="D33" s="32"/>
      <c r="E33" s="32"/>
      <c r="F33" s="32"/>
      <c r="G33" s="32"/>
      <c r="H33" s="32"/>
      <c r="I33" s="32"/>
      <c r="J33" s="32"/>
      <c r="K33" s="32"/>
      <c r="L33" s="32"/>
      <c r="M33" s="32"/>
      <c r="N33" s="32"/>
      <c r="O33" s="32"/>
      <c r="P33" s="32"/>
      <c r="Q33" s="32"/>
      <c r="R33" s="32"/>
      <c r="S33" s="32"/>
      <c r="T33" s="32"/>
      <c r="U33" s="32"/>
      <c r="V33" s="32"/>
      <c r="W33" s="32"/>
      <c r="X33" s="32"/>
      <c r="Y33" s="32">
        <f t="shared" si="9"/>
        <v>0</v>
      </c>
      <c r="Z33" s="32"/>
      <c r="AA33" s="32"/>
      <c r="AB33" s="32"/>
      <c r="AC33" s="32"/>
      <c r="AD33" s="32"/>
      <c r="AE33" s="32"/>
      <c r="AF33" s="32"/>
      <c r="AG33" s="32"/>
      <c r="AH33" s="32"/>
      <c r="AI33" s="32"/>
      <c r="CD33" s="239"/>
    </row>
    <row r="34" spans="1:82">
      <c r="A34" s="678">
        <v>2006</v>
      </c>
      <c r="B34" s="32">
        <f>+B46</f>
        <v>2362.721</v>
      </c>
      <c r="C34" s="32">
        <f t="shared" ref="C34:AI34" si="17">+C46</f>
        <v>77.655000000000001</v>
      </c>
      <c r="D34" s="32">
        <f t="shared" si="17"/>
        <v>3.2866766749015222</v>
      </c>
      <c r="E34" s="32">
        <f t="shared" si="17"/>
        <v>647.19000000000005</v>
      </c>
      <c r="F34" s="32">
        <f t="shared" si="17"/>
        <v>27.391723356249003</v>
      </c>
      <c r="G34" s="32">
        <f t="shared" si="17"/>
        <v>92.158000000000001</v>
      </c>
      <c r="H34" s="32">
        <f t="shared" si="17"/>
        <v>3.9005028524315826</v>
      </c>
      <c r="I34" s="32">
        <f t="shared" si="17"/>
        <v>136.48699999999999</v>
      </c>
      <c r="J34" s="32">
        <f t="shared" si="17"/>
        <v>5.7766871331824623</v>
      </c>
      <c r="K34" s="32">
        <f t="shared" si="17"/>
        <v>152.53100000000001</v>
      </c>
      <c r="L34" s="32">
        <f t="shared" si="17"/>
        <v>6.4557347228047668</v>
      </c>
      <c r="M34" s="32">
        <f t="shared" si="17"/>
        <v>192.57599999999999</v>
      </c>
      <c r="N34" s="32">
        <f t="shared" si="17"/>
        <v>8.150602631457545</v>
      </c>
      <c r="O34" s="32">
        <f t="shared" si="17"/>
        <v>214.85300000000001</v>
      </c>
      <c r="P34" s="32">
        <f t="shared" si="17"/>
        <v>9.0934562311842999</v>
      </c>
      <c r="Q34" s="32">
        <f t="shared" si="17"/>
        <v>778</v>
      </c>
      <c r="R34" s="32">
        <f t="shared" si="17"/>
        <v>32.928136669543292</v>
      </c>
      <c r="S34" s="32">
        <f t="shared" si="17"/>
        <v>63.300899999999999</v>
      </c>
      <c r="T34" s="32">
        <f t="shared" si="17"/>
        <v>2.6791525533484486</v>
      </c>
      <c r="U34" s="32">
        <f t="shared" si="17"/>
        <v>1.2170000000000001</v>
      </c>
      <c r="V34" s="32">
        <f t="shared" si="17"/>
        <v>5.1508409160455258E-2</v>
      </c>
      <c r="W34" s="32">
        <f t="shared" si="17"/>
        <v>18.163</v>
      </c>
      <c r="X34" s="32">
        <f t="shared" si="17"/>
        <v>0.76873232175953066</v>
      </c>
      <c r="Y34" s="32">
        <f t="shared" si="9"/>
        <v>10.403999999999719</v>
      </c>
      <c r="Z34" s="32">
        <f t="shared" si="17"/>
        <v>0.44033976080966475</v>
      </c>
      <c r="AA34" s="32">
        <f t="shared" si="17"/>
        <v>2.0459999999999998</v>
      </c>
      <c r="AB34" s="32">
        <f t="shared" si="17"/>
        <v>8.659507406926166E-2</v>
      </c>
      <c r="AC34" s="32">
        <f t="shared" si="17"/>
        <v>13.151</v>
      </c>
      <c r="AD34" s="32">
        <f t="shared" si="17"/>
        <v>0.55660401714802554</v>
      </c>
      <c r="AE34" s="32">
        <f t="shared" si="17"/>
        <v>20.363</v>
      </c>
      <c r="AF34" s="32">
        <f t="shared" si="17"/>
        <v>0.86184530462970443</v>
      </c>
      <c r="AG34" s="32">
        <f t="shared" si="17"/>
        <v>5.9269999999999996</v>
      </c>
      <c r="AH34" s="32">
        <f t="shared" si="17"/>
        <v>0.25085484066887287</v>
      </c>
      <c r="AI34" s="32">
        <f t="shared" si="17"/>
        <v>47.094000000000001</v>
      </c>
      <c r="CD34" s="239"/>
    </row>
    <row r="35" spans="1:82" hidden="1">
      <c r="A35" s="679" t="s">
        <v>18</v>
      </c>
      <c r="B35" s="32">
        <v>1389.0360000000001</v>
      </c>
      <c r="C35" s="32">
        <v>68.900000000000006</v>
      </c>
      <c r="D35" s="32">
        <f t="shared" ref="D35:D46" si="18">C35/$B35*100</f>
        <v>4.9602746077135507</v>
      </c>
      <c r="E35" s="32">
        <v>363.1</v>
      </c>
      <c r="F35" s="32">
        <f t="shared" ref="F35:F46" si="19">E35/$B35*100</f>
        <v>26.14043120552671</v>
      </c>
      <c r="G35" s="32">
        <v>117.7</v>
      </c>
      <c r="H35" s="32">
        <f t="shared" ref="H35:H46" si="20">G35/$B35*100</f>
        <v>8.4735024866166171</v>
      </c>
      <c r="I35" s="32">
        <v>102</v>
      </c>
      <c r="J35" s="32">
        <f t="shared" ref="J35:J46" si="21">I35/$B35*100</f>
        <v>7.3432222059039498</v>
      </c>
      <c r="K35" s="32">
        <v>89.4</v>
      </c>
      <c r="L35" s="32">
        <f t="shared" ref="L35:L46" si="22">K35/$B35*100</f>
        <v>6.4361182863511095</v>
      </c>
      <c r="M35" s="32">
        <v>85.2</v>
      </c>
      <c r="N35" s="32">
        <f t="shared" ref="N35:N46" si="23">M35/$B35*100</f>
        <v>6.1337503131668294</v>
      </c>
      <c r="O35" s="32">
        <v>121.4</v>
      </c>
      <c r="P35" s="32">
        <f t="shared" ref="P35:P46" si="24">O35/$B35*100</f>
        <v>8.7398742725170546</v>
      </c>
      <c r="Q35" s="32">
        <v>408.6</v>
      </c>
      <c r="R35" s="32">
        <f t="shared" ref="R35:R46" si="25">Q35/$B35*100</f>
        <v>29.416084248356416</v>
      </c>
      <c r="S35" s="32"/>
      <c r="T35" s="32"/>
      <c r="U35" s="32">
        <v>0.5</v>
      </c>
      <c r="V35" s="32">
        <f t="shared" ref="V35:V46" si="26">U35/$B35*100</f>
        <v>3.5996187283842893E-2</v>
      </c>
      <c r="W35" s="32">
        <v>2.7</v>
      </c>
      <c r="X35" s="32">
        <f t="shared" ref="X35:X70" si="27">W35/$B35*100</f>
        <v>0.19437941133275163</v>
      </c>
      <c r="Y35" s="680">
        <f t="shared" si="9"/>
        <v>2.5280115599998347</v>
      </c>
      <c r="Z35" s="32">
        <f t="shared" ref="Z35:Z46" si="28">Y35/$B35*100</f>
        <v>0.18199755513894778</v>
      </c>
      <c r="AA35" s="643">
        <v>1.252</v>
      </c>
      <c r="AB35" s="643">
        <f t="shared" ref="AB35:AB46" si="29">AA35/B35*100</f>
        <v>9.0134452958742617E-2</v>
      </c>
      <c r="AC35" s="643">
        <v>4.4029999999999996</v>
      </c>
      <c r="AD35" s="643">
        <f t="shared" ref="AD35:AF46" si="30">AC35/$B35*100</f>
        <v>0.31698242522152048</v>
      </c>
      <c r="AE35" s="643">
        <v>20.146999999999998</v>
      </c>
      <c r="AF35" s="643">
        <f t="shared" si="30"/>
        <v>1.4504303704151655</v>
      </c>
      <c r="AG35" s="643">
        <v>1.2059884400000001</v>
      </c>
      <c r="AH35" s="643">
        <f t="shared" ref="AH35:AH46" si="31">AG35/$B35*100</f>
        <v>8.682197149677906E-2</v>
      </c>
      <c r="AI35" s="32">
        <v>35.9</v>
      </c>
      <c r="CD35" s="239"/>
    </row>
    <row r="36" spans="1:82" hidden="1">
      <c r="A36" s="679" t="s">
        <v>19</v>
      </c>
      <c r="B36" s="32">
        <v>1352.2049999999999</v>
      </c>
      <c r="C36" s="32">
        <v>66.679000000000002</v>
      </c>
      <c r="D36" s="32">
        <f t="shared" si="18"/>
        <v>4.9311310045444294</v>
      </c>
      <c r="E36" s="32">
        <v>373.59500000000003</v>
      </c>
      <c r="F36" s="32">
        <f t="shared" si="19"/>
        <v>27.628577027891481</v>
      </c>
      <c r="G36" s="32">
        <v>52.609000000000002</v>
      </c>
      <c r="H36" s="32">
        <f t="shared" si="20"/>
        <v>3.8906083027351621</v>
      </c>
      <c r="I36" s="32">
        <v>103.095</v>
      </c>
      <c r="J36" s="32">
        <f t="shared" si="21"/>
        <v>7.6242137841525519</v>
      </c>
      <c r="K36" s="32">
        <v>87.283000000000001</v>
      </c>
      <c r="L36" s="32">
        <f t="shared" si="22"/>
        <v>6.4548644621192794</v>
      </c>
      <c r="M36" s="32">
        <v>89.116</v>
      </c>
      <c r="N36" s="32">
        <f t="shared" si="23"/>
        <v>6.590420831160956</v>
      </c>
      <c r="O36" s="32">
        <v>116.051</v>
      </c>
      <c r="P36" s="32">
        <f t="shared" si="24"/>
        <v>8.582352527908121</v>
      </c>
      <c r="Q36" s="32">
        <v>419.262</v>
      </c>
      <c r="R36" s="32">
        <f t="shared" si="25"/>
        <v>31.005801635107105</v>
      </c>
      <c r="S36" s="32"/>
      <c r="T36" s="32"/>
      <c r="U36" s="32">
        <v>0.48199999999999998</v>
      </c>
      <c r="V36" s="32">
        <f t="shared" si="26"/>
        <v>3.5645482748547744E-2</v>
      </c>
      <c r="W36" s="32">
        <v>13.128</v>
      </c>
      <c r="X36" s="32">
        <f t="shared" si="27"/>
        <v>0.97085870855380652</v>
      </c>
      <c r="Y36" s="680">
        <f t="shared" si="9"/>
        <v>3.1936451999997191</v>
      </c>
      <c r="Z36" s="32">
        <f t="shared" si="28"/>
        <v>0.23618054954683051</v>
      </c>
      <c r="AA36" s="643">
        <v>1.1100000000000001</v>
      </c>
      <c r="AB36" s="643">
        <f t="shared" si="29"/>
        <v>8.2088144918854772E-2</v>
      </c>
      <c r="AC36" s="643">
        <v>4.4939999999999998</v>
      </c>
      <c r="AD36" s="643">
        <f t="shared" si="30"/>
        <v>0.33234605699579572</v>
      </c>
      <c r="AE36" s="643">
        <v>20.146999999999998</v>
      </c>
      <c r="AF36" s="643">
        <f t="shared" si="30"/>
        <v>1.4899368069190693</v>
      </c>
      <c r="AG36" s="643">
        <v>1.9603548000000002</v>
      </c>
      <c r="AH36" s="643">
        <f t="shared" si="31"/>
        <v>0.1449746746979933</v>
      </c>
      <c r="AI36" s="32">
        <v>39.799999999999997</v>
      </c>
      <c r="CD36" s="239"/>
    </row>
    <row r="37" spans="1:82" hidden="1">
      <c r="A37" s="679" t="s">
        <v>20</v>
      </c>
      <c r="B37" s="32">
        <v>1395.11</v>
      </c>
      <c r="C37" s="32">
        <v>66.701999999999998</v>
      </c>
      <c r="D37" s="32">
        <f t="shared" si="18"/>
        <v>4.7811283698059652</v>
      </c>
      <c r="E37" s="32">
        <v>390.56799999999998</v>
      </c>
      <c r="F37" s="32">
        <f t="shared" si="19"/>
        <v>27.995498562837341</v>
      </c>
      <c r="G37" s="32">
        <v>46.938000000000002</v>
      </c>
      <c r="H37" s="32">
        <f t="shared" si="20"/>
        <v>3.3644658844105488</v>
      </c>
      <c r="I37" s="32">
        <v>103.00700000000001</v>
      </c>
      <c r="J37" s="32">
        <f t="shared" si="21"/>
        <v>7.383432130799723</v>
      </c>
      <c r="K37" s="32">
        <v>91.784999999999997</v>
      </c>
      <c r="L37" s="32">
        <f t="shared" si="22"/>
        <v>6.5790511142490553</v>
      </c>
      <c r="M37" s="32">
        <v>96.620999999999995</v>
      </c>
      <c r="N37" s="32">
        <f t="shared" si="23"/>
        <v>6.925690447348237</v>
      </c>
      <c r="O37" s="32">
        <v>123.29600000000001</v>
      </c>
      <c r="P37" s="32">
        <f t="shared" si="24"/>
        <v>8.8377260574435006</v>
      </c>
      <c r="Q37" s="32">
        <v>438.59899999999999</v>
      </c>
      <c r="R37" s="32">
        <f t="shared" si="25"/>
        <v>31.438309523980191</v>
      </c>
      <c r="S37" s="32"/>
      <c r="T37" s="32"/>
      <c r="U37" s="32">
        <v>0.47199999999999998</v>
      </c>
      <c r="V37" s="32">
        <f t="shared" si="26"/>
        <v>3.3832457655668731E-2</v>
      </c>
      <c r="W37" s="32">
        <v>6.8</v>
      </c>
      <c r="X37" s="32">
        <f t="shared" si="27"/>
        <v>0.48741676283590546</v>
      </c>
      <c r="Y37" s="680">
        <f t="shared" si="9"/>
        <v>3.5671574700000961</v>
      </c>
      <c r="Z37" s="32">
        <f t="shared" si="28"/>
        <v>0.25569005096373021</v>
      </c>
      <c r="AA37" s="643">
        <v>0.90400000000000003</v>
      </c>
      <c r="AB37" s="643">
        <f t="shared" si="29"/>
        <v>6.4797757882890966E-2</v>
      </c>
      <c r="AC37" s="643">
        <v>4.649</v>
      </c>
      <c r="AD37" s="643">
        <f t="shared" si="30"/>
        <v>0.33323537212119475</v>
      </c>
      <c r="AE37" s="643">
        <v>20.265999999999998</v>
      </c>
      <c r="AF37" s="643">
        <f t="shared" si="30"/>
        <v>1.4526453111224205</v>
      </c>
      <c r="AG37" s="643">
        <v>0.93584252999999995</v>
      </c>
      <c r="AH37" s="643">
        <f t="shared" si="31"/>
        <v>6.7080196543641724E-2</v>
      </c>
      <c r="AI37" s="32">
        <v>51.4</v>
      </c>
      <c r="CD37" s="239"/>
    </row>
    <row r="38" spans="1:82" hidden="1">
      <c r="A38" s="679" t="s">
        <v>21</v>
      </c>
      <c r="B38" s="32">
        <v>1529.2</v>
      </c>
      <c r="C38" s="32">
        <v>64.658000000000001</v>
      </c>
      <c r="D38" s="32">
        <f t="shared" si="18"/>
        <v>4.2282239079257131</v>
      </c>
      <c r="E38" s="32">
        <v>421.24799999999999</v>
      </c>
      <c r="F38" s="32">
        <f t="shared" si="19"/>
        <v>27.546952654982999</v>
      </c>
      <c r="G38" s="32">
        <v>77.519000000000005</v>
      </c>
      <c r="H38" s="32">
        <f t="shared" si="20"/>
        <v>5.0692518964164268</v>
      </c>
      <c r="I38" s="32">
        <v>103.303</v>
      </c>
      <c r="J38" s="32">
        <f t="shared" si="21"/>
        <v>6.7553622809312053</v>
      </c>
      <c r="K38" s="32">
        <v>95.581999999999994</v>
      </c>
      <c r="L38" s="32">
        <f t="shared" si="22"/>
        <v>6.250457755689248</v>
      </c>
      <c r="M38" s="32">
        <v>106.16800000000001</v>
      </c>
      <c r="N38" s="32">
        <f t="shared" si="23"/>
        <v>6.9427151451739473</v>
      </c>
      <c r="O38" s="32">
        <v>125.52</v>
      </c>
      <c r="P38" s="32">
        <f t="shared" si="24"/>
        <v>8.2082134449385293</v>
      </c>
      <c r="Q38" s="32">
        <v>460.32900000000001</v>
      </c>
      <c r="R38" s="32">
        <f t="shared" si="25"/>
        <v>30.102602668061728</v>
      </c>
      <c r="S38" s="32"/>
      <c r="T38" s="32"/>
      <c r="U38" s="32">
        <v>0.495</v>
      </c>
      <c r="V38" s="32">
        <f t="shared" si="26"/>
        <v>3.2369866596913419E-2</v>
      </c>
      <c r="W38" s="32">
        <v>42.38</v>
      </c>
      <c r="X38" s="32">
        <f t="shared" si="27"/>
        <v>2.7713837300549309</v>
      </c>
      <c r="Y38" s="680">
        <f t="shared" si="9"/>
        <v>5.433750370000106</v>
      </c>
      <c r="Z38" s="32">
        <f t="shared" si="28"/>
        <v>0.3553328779754189</v>
      </c>
      <c r="AA38" s="643">
        <v>0.47199999999999998</v>
      </c>
      <c r="AB38" s="643">
        <f t="shared" si="29"/>
        <v>3.0865812189380067E-2</v>
      </c>
      <c r="AC38" s="643">
        <v>4.7140000000000004</v>
      </c>
      <c r="AD38" s="643">
        <f t="shared" si="30"/>
        <v>0.30826575987444416</v>
      </c>
      <c r="AE38" s="643">
        <v>20.265999999999998</v>
      </c>
      <c r="AF38" s="643">
        <f t="shared" si="30"/>
        <v>1.3252681140465601</v>
      </c>
      <c r="AG38" s="643">
        <v>1.11224963</v>
      </c>
      <c r="AH38" s="643">
        <f t="shared" si="31"/>
        <v>7.2734085142558205E-2</v>
      </c>
      <c r="AI38" s="32">
        <v>49.363999999999997</v>
      </c>
      <c r="CD38" s="239"/>
    </row>
    <row r="39" spans="1:82" hidden="1">
      <c r="A39" s="679" t="s">
        <v>22</v>
      </c>
      <c r="B39" s="32">
        <v>1556.8330000000001</v>
      </c>
      <c r="C39" s="32">
        <v>64.430000000000007</v>
      </c>
      <c r="D39" s="32">
        <f t="shared" si="18"/>
        <v>4.1385299515105345</v>
      </c>
      <c r="E39" s="32">
        <v>446.041</v>
      </c>
      <c r="F39" s="32">
        <f t="shared" si="19"/>
        <v>28.65053605621155</v>
      </c>
      <c r="G39" s="32">
        <v>77.28</v>
      </c>
      <c r="H39" s="32">
        <f t="shared" si="20"/>
        <v>4.9639235550633884</v>
      </c>
      <c r="I39" s="32">
        <v>105.392</v>
      </c>
      <c r="J39" s="32">
        <f t="shared" si="21"/>
        <v>6.7696406743690556</v>
      </c>
      <c r="K39" s="32">
        <v>98.644999999999996</v>
      </c>
      <c r="L39" s="32">
        <f t="shared" si="22"/>
        <v>6.3362608577798643</v>
      </c>
      <c r="M39" s="32">
        <v>113.88500000000001</v>
      </c>
      <c r="N39" s="32">
        <f t="shared" si="23"/>
        <v>7.3151712482970241</v>
      </c>
      <c r="O39" s="32">
        <v>131.46299999999999</v>
      </c>
      <c r="P39" s="32">
        <f t="shared" si="24"/>
        <v>8.44425831158512</v>
      </c>
      <c r="Q39" s="32">
        <v>481.26499999999999</v>
      </c>
      <c r="R39" s="32">
        <f t="shared" si="25"/>
        <v>30.913078024425221</v>
      </c>
      <c r="S39" s="32"/>
      <c r="T39" s="32"/>
      <c r="U39" s="32">
        <v>0.49099999999999999</v>
      </c>
      <c r="V39" s="32">
        <f t="shared" si="26"/>
        <v>3.1538385941202424E-2</v>
      </c>
      <c r="W39" s="32">
        <v>4.5739999999999998</v>
      </c>
      <c r="X39" s="32">
        <f t="shared" si="27"/>
        <v>0.29380158308566168</v>
      </c>
      <c r="Y39" s="680">
        <f t="shared" si="9"/>
        <v>5.8785387100001731</v>
      </c>
      <c r="Z39" s="32">
        <f t="shared" si="28"/>
        <v>0.37759597272155543</v>
      </c>
      <c r="AA39" s="643">
        <v>0.52700000000000002</v>
      </c>
      <c r="AB39" s="643">
        <f t="shared" si="29"/>
        <v>3.3850772690455555E-2</v>
      </c>
      <c r="AC39" s="643">
        <v>4.8339999999999996</v>
      </c>
      <c r="AD39" s="643">
        <f t="shared" si="30"/>
        <v>0.31050215405248988</v>
      </c>
      <c r="AE39" s="643">
        <v>20.231000000000002</v>
      </c>
      <c r="AF39" s="643">
        <f t="shared" si="30"/>
        <v>1.2994971201150027</v>
      </c>
      <c r="AG39" s="643">
        <v>1.89646129</v>
      </c>
      <c r="AH39" s="643">
        <f t="shared" si="31"/>
        <v>0.12181533215187498</v>
      </c>
      <c r="AI39" s="32">
        <v>46.438000000000002</v>
      </c>
      <c r="CD39" s="239"/>
    </row>
    <row r="40" spans="1:82" hidden="1">
      <c r="A40" s="679" t="s">
        <v>23</v>
      </c>
      <c r="B40" s="32">
        <v>1660.51</v>
      </c>
      <c r="C40" s="32">
        <v>63.1</v>
      </c>
      <c r="D40" s="32">
        <f t="shared" si="18"/>
        <v>3.8000373379262999</v>
      </c>
      <c r="E40" s="32">
        <v>466.18900000000002</v>
      </c>
      <c r="F40" s="32">
        <f t="shared" si="19"/>
        <v>28.075049231862504</v>
      </c>
      <c r="G40" s="32">
        <v>64.932000000000002</v>
      </c>
      <c r="H40" s="32">
        <f t="shared" si="20"/>
        <v>3.9103648878958874</v>
      </c>
      <c r="I40" s="32">
        <v>113.411</v>
      </c>
      <c r="J40" s="32">
        <f t="shared" si="21"/>
        <v>6.8298896122275687</v>
      </c>
      <c r="K40" s="32">
        <v>106.578</v>
      </c>
      <c r="L40" s="32">
        <f t="shared" si="22"/>
        <v>6.4183895309272456</v>
      </c>
      <c r="M40" s="32">
        <v>122.74299999999999</v>
      </c>
      <c r="N40" s="32">
        <f t="shared" si="23"/>
        <v>7.3918856255005991</v>
      </c>
      <c r="O40" s="32">
        <v>160.13800000000001</v>
      </c>
      <c r="P40" s="32">
        <f t="shared" si="24"/>
        <v>9.6439045835315671</v>
      </c>
      <c r="Q40" s="32">
        <v>519.51400000000001</v>
      </c>
      <c r="R40" s="32">
        <f t="shared" si="25"/>
        <v>31.28641200594998</v>
      </c>
      <c r="S40" s="32"/>
      <c r="T40" s="32"/>
      <c r="U40" s="32">
        <v>0.52500000000000002</v>
      </c>
      <c r="V40" s="32">
        <f t="shared" si="26"/>
        <v>3.1616792431241006E-2</v>
      </c>
      <c r="W40" s="32">
        <v>7.6520000000000001</v>
      </c>
      <c r="X40" s="32">
        <f t="shared" si="27"/>
        <v>0.46082227749305937</v>
      </c>
      <c r="Y40" s="680">
        <f t="shared" si="9"/>
        <v>6.1746706499999302</v>
      </c>
      <c r="Z40" s="32">
        <f t="shared" si="28"/>
        <v>0.37185386718537861</v>
      </c>
      <c r="AA40" s="643">
        <v>0.35299999999999998</v>
      </c>
      <c r="AB40" s="643">
        <f t="shared" si="29"/>
        <v>2.1258529006148712E-2</v>
      </c>
      <c r="AC40" s="643">
        <v>5.3159999999999998</v>
      </c>
      <c r="AD40" s="643">
        <f t="shared" si="30"/>
        <v>0.32014260678948031</v>
      </c>
      <c r="AE40" s="643">
        <v>20.23</v>
      </c>
      <c r="AF40" s="643">
        <f t="shared" si="30"/>
        <v>1.2183004016838199</v>
      </c>
      <c r="AG40" s="643">
        <v>3.6543293499999998</v>
      </c>
      <c r="AH40" s="643">
        <f t="shared" si="31"/>
        <v>0.22007270958922259</v>
      </c>
      <c r="AI40" s="32">
        <v>59.539000000000001</v>
      </c>
      <c r="CD40" s="239"/>
    </row>
    <row r="41" spans="1:82" hidden="1">
      <c r="A41" s="679" t="s">
        <v>24</v>
      </c>
      <c r="B41" s="32">
        <v>1785.02</v>
      </c>
      <c r="C41" s="32">
        <v>63.52</v>
      </c>
      <c r="D41" s="32">
        <f t="shared" si="18"/>
        <v>3.5585035461787546</v>
      </c>
      <c r="E41" s="32">
        <v>476.77499999999998</v>
      </c>
      <c r="F41" s="32">
        <f t="shared" si="19"/>
        <v>26.709784764316364</v>
      </c>
      <c r="G41" s="32">
        <v>79.688000000000002</v>
      </c>
      <c r="H41" s="32">
        <f t="shared" si="20"/>
        <v>4.4642637057287873</v>
      </c>
      <c r="I41" s="32">
        <v>118.307</v>
      </c>
      <c r="J41" s="32">
        <f t="shared" si="21"/>
        <v>6.6277688765391991</v>
      </c>
      <c r="K41" s="32">
        <v>114.64100000000001</v>
      </c>
      <c r="L41" s="32">
        <f t="shared" si="22"/>
        <v>6.4223930264086686</v>
      </c>
      <c r="M41" s="32">
        <v>131.685</v>
      </c>
      <c r="N41" s="32">
        <f t="shared" si="23"/>
        <v>7.3772282663499569</v>
      </c>
      <c r="O41" s="32">
        <v>175.23099999999999</v>
      </c>
      <c r="P41" s="32">
        <f t="shared" si="24"/>
        <v>9.8167527534705492</v>
      </c>
      <c r="Q41" s="32">
        <v>555.27200000000005</v>
      </c>
      <c r="R41" s="32">
        <f t="shared" si="25"/>
        <v>31.107326528554307</v>
      </c>
      <c r="S41" s="32"/>
      <c r="T41" s="32"/>
      <c r="U41" s="32">
        <v>7.6999999999999999E-2</v>
      </c>
      <c r="V41" s="32">
        <f t="shared" si="26"/>
        <v>4.3136771576789057E-3</v>
      </c>
      <c r="W41" s="32">
        <v>30.827000000000002</v>
      </c>
      <c r="X41" s="32">
        <f t="shared" si="27"/>
        <v>1.7269834511658133</v>
      </c>
      <c r="Y41" s="680">
        <f t="shared" si="9"/>
        <v>8.0477543999997323</v>
      </c>
      <c r="Z41" s="32">
        <f t="shared" si="28"/>
        <v>0.45084953669985395</v>
      </c>
      <c r="AA41" s="643">
        <v>0.436</v>
      </c>
      <c r="AB41" s="643">
        <f t="shared" si="29"/>
        <v>2.4425496633090946E-2</v>
      </c>
      <c r="AC41" s="643">
        <v>5.6319999999999997</v>
      </c>
      <c r="AD41" s="643">
        <f t="shared" si="30"/>
        <v>0.31551467210451423</v>
      </c>
      <c r="AE41" s="643">
        <v>20.210999999999999</v>
      </c>
      <c r="AF41" s="643">
        <f t="shared" si="30"/>
        <v>1.1322562212188099</v>
      </c>
      <c r="AG41" s="643">
        <v>4.6702456000000003</v>
      </c>
      <c r="AH41" s="643">
        <f t="shared" si="31"/>
        <v>0.2616354774736418</v>
      </c>
      <c r="AI41" s="32">
        <v>39.039000000000001</v>
      </c>
      <c r="CD41" s="239"/>
    </row>
    <row r="42" spans="1:82" hidden="1">
      <c r="A42" s="679" t="s">
        <v>25</v>
      </c>
      <c r="B42" s="32">
        <v>1876.88</v>
      </c>
      <c r="C42" s="32">
        <v>63.53</v>
      </c>
      <c r="D42" s="32">
        <f t="shared" si="18"/>
        <v>3.3848727675717143</v>
      </c>
      <c r="E42" s="32">
        <v>536.28499999999997</v>
      </c>
      <c r="F42" s="32">
        <f t="shared" si="19"/>
        <v>28.573217254166483</v>
      </c>
      <c r="G42" s="32">
        <v>71.680999999999997</v>
      </c>
      <c r="H42" s="32">
        <f t="shared" si="20"/>
        <v>3.8191573249222106</v>
      </c>
      <c r="I42" s="32">
        <v>122.85599999999999</v>
      </c>
      <c r="J42" s="32">
        <f t="shared" si="21"/>
        <v>6.5457567878607046</v>
      </c>
      <c r="K42" s="32">
        <v>129.077</v>
      </c>
      <c r="L42" s="32">
        <f t="shared" si="22"/>
        <v>6.8772111163207015</v>
      </c>
      <c r="M42" s="32">
        <v>141.48500000000001</v>
      </c>
      <c r="N42" s="32">
        <f t="shared" si="23"/>
        <v>7.5383082562550623</v>
      </c>
      <c r="O42" s="32">
        <v>176.12799999999999</v>
      </c>
      <c r="P42" s="32">
        <f t="shared" si="24"/>
        <v>9.3840842248838481</v>
      </c>
      <c r="Q42" s="32">
        <v>590.53300000000002</v>
      </c>
      <c r="R42" s="32">
        <f t="shared" si="25"/>
        <v>31.463545884659649</v>
      </c>
      <c r="S42" s="32"/>
      <c r="T42" s="32"/>
      <c r="U42" s="32">
        <v>0.1</v>
      </c>
      <c r="V42" s="32">
        <f t="shared" si="26"/>
        <v>5.3279911342227534E-3</v>
      </c>
      <c r="W42" s="32">
        <v>3.9489999999999998</v>
      </c>
      <c r="X42" s="32">
        <f t="shared" si="27"/>
        <v>0.21040236989045649</v>
      </c>
      <c r="Y42" s="680">
        <f t="shared" si="9"/>
        <v>7.9319849600001131</v>
      </c>
      <c r="Z42" s="32">
        <f t="shared" si="28"/>
        <v>0.42261545543668816</v>
      </c>
      <c r="AA42" s="643">
        <v>0.28799999999999998</v>
      </c>
      <c r="AB42" s="643">
        <f t="shared" si="29"/>
        <v>1.5344614466561525E-2</v>
      </c>
      <c r="AC42" s="643">
        <v>6.4029999999999996</v>
      </c>
      <c r="AD42" s="643">
        <f t="shared" si="30"/>
        <v>0.34115127232428283</v>
      </c>
      <c r="AE42" s="643">
        <v>20.210999999999999</v>
      </c>
      <c r="AF42" s="643">
        <f t="shared" si="30"/>
        <v>1.0768402881377603</v>
      </c>
      <c r="AG42" s="643">
        <v>6.4220150399999998</v>
      </c>
      <c r="AH42" s="643">
        <f t="shared" si="31"/>
        <v>0.3421643919696517</v>
      </c>
      <c r="AI42" s="32">
        <v>43.81</v>
      </c>
      <c r="CD42" s="239"/>
    </row>
    <row r="43" spans="1:82" hidden="1">
      <c r="A43" s="679" t="s">
        <v>26</v>
      </c>
      <c r="B43" s="32">
        <v>2015.15</v>
      </c>
      <c r="C43" s="32">
        <v>68.180000000000007</v>
      </c>
      <c r="D43" s="32">
        <f t="shared" si="18"/>
        <v>3.3833709649405757</v>
      </c>
      <c r="E43" s="32">
        <v>567.26300000000003</v>
      </c>
      <c r="F43" s="32">
        <f t="shared" si="19"/>
        <v>28.149914398431878</v>
      </c>
      <c r="G43" s="32">
        <v>76.590999999999994</v>
      </c>
      <c r="H43" s="32">
        <f t="shared" si="20"/>
        <v>3.8007592486911643</v>
      </c>
      <c r="I43" s="32">
        <v>127.982</v>
      </c>
      <c r="J43" s="32">
        <f t="shared" si="21"/>
        <v>6.3509912413467982</v>
      </c>
      <c r="K43" s="32">
        <v>137.58600000000001</v>
      </c>
      <c r="L43" s="32">
        <f t="shared" si="22"/>
        <v>6.8275810733692284</v>
      </c>
      <c r="M43" s="32">
        <v>161.184</v>
      </c>
      <c r="N43" s="32">
        <f t="shared" si="23"/>
        <v>7.9986105252710713</v>
      </c>
      <c r="O43" s="32">
        <v>202.655</v>
      </c>
      <c r="P43" s="32">
        <f t="shared" si="24"/>
        <v>10.05657147110637</v>
      </c>
      <c r="Q43" s="32">
        <v>622.97500000000002</v>
      </c>
      <c r="R43" s="32">
        <f t="shared" si="25"/>
        <v>30.914572116219635</v>
      </c>
      <c r="S43" s="32"/>
      <c r="T43" s="32"/>
      <c r="U43" s="32">
        <v>0.32700000000000001</v>
      </c>
      <c r="V43" s="32">
        <f t="shared" si="26"/>
        <v>1.6227079869984864E-2</v>
      </c>
      <c r="W43" s="32">
        <v>7.2119999999999997</v>
      </c>
      <c r="X43" s="32">
        <f t="shared" si="27"/>
        <v>0.35788899089397808</v>
      </c>
      <c r="Y43" s="680">
        <f t="shared" si="9"/>
        <v>9.8651193400000494</v>
      </c>
      <c r="Z43" s="32">
        <f t="shared" si="28"/>
        <v>0.48954764359973441</v>
      </c>
      <c r="AA43" s="643">
        <v>0.11</v>
      </c>
      <c r="AB43" s="643">
        <f t="shared" si="29"/>
        <v>5.4586507207900151E-3</v>
      </c>
      <c r="AC43" s="643">
        <v>7.6849999999999996</v>
      </c>
      <c r="AD43" s="643">
        <f t="shared" si="30"/>
        <v>0.38136118899337512</v>
      </c>
      <c r="AE43" s="643">
        <v>20.178999999999998</v>
      </c>
      <c r="AF43" s="643">
        <f t="shared" si="30"/>
        <v>1.0013646626801975</v>
      </c>
      <c r="AG43" s="643">
        <v>5.3558806600000004</v>
      </c>
      <c r="AH43" s="643">
        <f t="shared" si="31"/>
        <v>0.26578074386522094</v>
      </c>
      <c r="AI43" s="32">
        <v>57.1</v>
      </c>
      <c r="CD43" s="239"/>
    </row>
    <row r="44" spans="1:82" hidden="1">
      <c r="A44" s="679" t="s">
        <v>27</v>
      </c>
      <c r="B44" s="32">
        <v>2159.9029999999998</v>
      </c>
      <c r="C44" s="32">
        <v>78.813999999999993</v>
      </c>
      <c r="D44" s="32">
        <f t="shared" si="18"/>
        <v>3.6489601616368885</v>
      </c>
      <c r="E44" s="32">
        <v>583.89599999999996</v>
      </c>
      <c r="F44" s="32">
        <f t="shared" si="19"/>
        <v>27.033436223756347</v>
      </c>
      <c r="G44" s="32">
        <v>100.342</v>
      </c>
      <c r="H44" s="32">
        <f t="shared" si="20"/>
        <v>4.6456715880296473</v>
      </c>
      <c r="I44" s="32">
        <v>133.55500000000001</v>
      </c>
      <c r="J44" s="32">
        <f t="shared" si="21"/>
        <v>6.1833795313956239</v>
      </c>
      <c r="K44" s="32">
        <v>144.43600000000001</v>
      </c>
      <c r="L44" s="32">
        <f t="shared" si="22"/>
        <v>6.6871521545180519</v>
      </c>
      <c r="M44" s="32">
        <v>173.816</v>
      </c>
      <c r="N44" s="32">
        <f t="shared" si="23"/>
        <v>8.0473984248366719</v>
      </c>
      <c r="O44" s="32">
        <v>200.25399999999999</v>
      </c>
      <c r="P44" s="32">
        <f t="shared" si="24"/>
        <v>9.2714348746216846</v>
      </c>
      <c r="Q44" s="32">
        <v>682.53099999999995</v>
      </c>
      <c r="R44" s="32">
        <f t="shared" si="25"/>
        <v>31.600076484916222</v>
      </c>
      <c r="S44" s="32"/>
      <c r="T44" s="32"/>
      <c r="U44" s="32">
        <v>0.65400000000000003</v>
      </c>
      <c r="V44" s="32">
        <f t="shared" si="26"/>
        <v>3.0279137535343024E-2</v>
      </c>
      <c r="W44" s="32">
        <v>16.132000000000001</v>
      </c>
      <c r="X44" s="32">
        <f t="shared" si="27"/>
        <v>0.74688539253846131</v>
      </c>
      <c r="Y44" s="680">
        <f t="shared" si="9"/>
        <v>10.571999999999949</v>
      </c>
      <c r="Z44" s="32">
        <f t="shared" si="28"/>
        <v>0.48946642511260696</v>
      </c>
      <c r="AA44" s="643">
        <v>0.443</v>
      </c>
      <c r="AB44" s="643">
        <f t="shared" si="29"/>
        <v>2.0510180318282816E-2</v>
      </c>
      <c r="AC44" s="643">
        <v>8.6539999999999999</v>
      </c>
      <c r="AD44" s="643">
        <f t="shared" si="30"/>
        <v>0.40066614102577758</v>
      </c>
      <c r="AE44" s="643">
        <v>20.178999999999998</v>
      </c>
      <c r="AF44" s="643">
        <f t="shared" si="30"/>
        <v>0.93425491792918469</v>
      </c>
      <c r="AG44" s="643">
        <v>5.625</v>
      </c>
      <c r="AH44" s="643">
        <f t="shared" si="31"/>
        <v>0.26042836182921181</v>
      </c>
      <c r="AI44" s="32">
        <v>42.988</v>
      </c>
      <c r="CD44" s="239"/>
    </row>
    <row r="45" spans="1:82" hidden="1">
      <c r="A45" s="679" t="s">
        <v>28</v>
      </c>
      <c r="B45" s="32">
        <v>2242.0309999999999</v>
      </c>
      <c r="C45" s="32">
        <v>80.216999999999999</v>
      </c>
      <c r="D45" s="32">
        <f t="shared" si="18"/>
        <v>3.5778720276392257</v>
      </c>
      <c r="E45" s="32">
        <v>610.471</v>
      </c>
      <c r="F45" s="32">
        <f t="shared" si="19"/>
        <v>27.228481675766304</v>
      </c>
      <c r="G45" s="32">
        <v>91.593000000000004</v>
      </c>
      <c r="H45" s="32">
        <f t="shared" si="20"/>
        <v>4.0852691153690568</v>
      </c>
      <c r="I45" s="32">
        <v>136.77099999999999</v>
      </c>
      <c r="J45" s="32">
        <f t="shared" si="21"/>
        <v>6.1003170785774143</v>
      </c>
      <c r="K45" s="32">
        <v>143.721</v>
      </c>
      <c r="L45" s="32">
        <f t="shared" si="22"/>
        <v>6.4103038718019523</v>
      </c>
      <c r="M45" s="32">
        <v>181.40100000000001</v>
      </c>
      <c r="N45" s="32">
        <f t="shared" si="23"/>
        <v>8.0909229176581423</v>
      </c>
      <c r="O45" s="32">
        <v>199.58600000000001</v>
      </c>
      <c r="P45" s="32">
        <f t="shared" si="24"/>
        <v>8.9020178579154354</v>
      </c>
      <c r="Q45" s="32">
        <v>720.56</v>
      </c>
      <c r="R45" s="32">
        <f t="shared" si="25"/>
        <v>32.138717082859245</v>
      </c>
      <c r="S45" s="32"/>
      <c r="T45" s="32"/>
      <c r="U45" s="32">
        <v>1.2</v>
      </c>
      <c r="V45" s="32">
        <f t="shared" si="26"/>
        <v>5.3522899549560195E-2</v>
      </c>
      <c r="W45" s="32">
        <v>27.911999999999999</v>
      </c>
      <c r="X45" s="32">
        <f t="shared" si="27"/>
        <v>1.2449426435227702</v>
      </c>
      <c r="Y45" s="680">
        <f t="shared" si="9"/>
        <v>10.53999999999975</v>
      </c>
      <c r="Z45" s="32">
        <f t="shared" si="28"/>
        <v>0.47010946771029261</v>
      </c>
      <c r="AA45" s="643">
        <v>2.4900000000000002</v>
      </c>
      <c r="AB45" s="643">
        <f t="shared" si="29"/>
        <v>0.11106001656533743</v>
      </c>
      <c r="AC45" s="643">
        <v>10.992000000000001</v>
      </c>
      <c r="AD45" s="643">
        <f t="shared" si="30"/>
        <v>0.49026975987397148</v>
      </c>
      <c r="AE45" s="643">
        <v>20.178999999999998</v>
      </c>
      <c r="AF45" s="643">
        <f t="shared" si="30"/>
        <v>0.90003215834214589</v>
      </c>
      <c r="AG45" s="643">
        <v>4.3979999999999997</v>
      </c>
      <c r="AH45" s="643">
        <f t="shared" si="31"/>
        <v>0.19616142684913809</v>
      </c>
      <c r="AI45" s="32">
        <v>38.201799999999999</v>
      </c>
      <c r="CD45" s="239"/>
    </row>
    <row r="46" spans="1:82" hidden="1">
      <c r="A46" s="679" t="s">
        <v>29</v>
      </c>
      <c r="B46" s="32">
        <v>2362.721</v>
      </c>
      <c r="C46" s="32">
        <v>77.655000000000001</v>
      </c>
      <c r="D46" s="32">
        <f t="shared" si="18"/>
        <v>3.2866766749015222</v>
      </c>
      <c r="E46" s="32">
        <v>647.19000000000005</v>
      </c>
      <c r="F46" s="32">
        <f t="shared" si="19"/>
        <v>27.391723356249003</v>
      </c>
      <c r="G46" s="32">
        <v>92.158000000000001</v>
      </c>
      <c r="H46" s="32">
        <f t="shared" si="20"/>
        <v>3.9005028524315826</v>
      </c>
      <c r="I46" s="32">
        <v>136.48699999999999</v>
      </c>
      <c r="J46" s="32">
        <f t="shared" si="21"/>
        <v>5.7766871331824623</v>
      </c>
      <c r="K46" s="32">
        <v>152.53100000000001</v>
      </c>
      <c r="L46" s="32">
        <f t="shared" si="22"/>
        <v>6.4557347228047668</v>
      </c>
      <c r="M46" s="32">
        <v>192.57599999999999</v>
      </c>
      <c r="N46" s="32">
        <f t="shared" si="23"/>
        <v>8.150602631457545</v>
      </c>
      <c r="O46" s="32">
        <v>214.85300000000001</v>
      </c>
      <c r="P46" s="32">
        <f t="shared" si="24"/>
        <v>9.0934562311842999</v>
      </c>
      <c r="Q46" s="32">
        <v>778</v>
      </c>
      <c r="R46" s="32">
        <f t="shared" si="25"/>
        <v>32.928136669543292</v>
      </c>
      <c r="S46" s="681">
        <v>63.300899999999999</v>
      </c>
      <c r="T46" s="32">
        <f>S46/$B46*100</f>
        <v>2.6791525533484486</v>
      </c>
      <c r="U46" s="32">
        <v>1.2170000000000001</v>
      </c>
      <c r="V46" s="32">
        <f t="shared" si="26"/>
        <v>5.1508409160455258E-2</v>
      </c>
      <c r="W46" s="32">
        <v>18.163</v>
      </c>
      <c r="X46" s="32">
        <f>W46/$B46*100</f>
        <v>0.76873232175953066</v>
      </c>
      <c r="Y46" s="680">
        <f t="shared" si="9"/>
        <v>10.403999999999719</v>
      </c>
      <c r="Z46" s="32">
        <f t="shared" si="28"/>
        <v>0.44033976080966475</v>
      </c>
      <c r="AA46" s="643">
        <v>2.0459999999999998</v>
      </c>
      <c r="AB46" s="643">
        <f t="shared" si="29"/>
        <v>8.659507406926166E-2</v>
      </c>
      <c r="AC46" s="643">
        <v>13.151</v>
      </c>
      <c r="AD46" s="643">
        <f t="shared" si="30"/>
        <v>0.55660401714802554</v>
      </c>
      <c r="AE46" s="643">
        <v>20.363</v>
      </c>
      <c r="AF46" s="643">
        <f t="shared" si="30"/>
        <v>0.86184530462970443</v>
      </c>
      <c r="AG46" s="643">
        <v>5.9269999999999996</v>
      </c>
      <c r="AH46" s="643">
        <f t="shared" si="31"/>
        <v>0.25085484066887287</v>
      </c>
      <c r="AI46" s="32">
        <v>47.094000000000001</v>
      </c>
      <c r="CD46" s="239"/>
    </row>
    <row r="47" spans="1:82">
      <c r="A47" s="678">
        <v>2007</v>
      </c>
      <c r="B47" s="32">
        <f>+B59</f>
        <v>4681.7733614700001</v>
      </c>
      <c r="C47" s="32">
        <f t="shared" ref="C47:AI47" si="32">+C59</f>
        <v>100.26732249</v>
      </c>
      <c r="D47" s="32">
        <f t="shared" si="32"/>
        <v>2.1416526334909496</v>
      </c>
      <c r="E47" s="32">
        <f t="shared" si="32"/>
        <v>1194.0235843999999</v>
      </c>
      <c r="F47" s="32">
        <f t="shared" si="32"/>
        <v>25.50366051946385</v>
      </c>
      <c r="G47" s="32">
        <f t="shared" si="32"/>
        <v>302.04128283</v>
      </c>
      <c r="H47" s="32">
        <f t="shared" si="32"/>
        <v>6.4514289674023004</v>
      </c>
      <c r="I47" s="32">
        <f t="shared" si="32"/>
        <v>197.23936623999998</v>
      </c>
      <c r="J47" s="32">
        <f t="shared" si="32"/>
        <v>4.2129199987175383</v>
      </c>
      <c r="K47" s="32">
        <f t="shared" si="32"/>
        <v>312.34511679000002</v>
      </c>
      <c r="L47" s="32">
        <f t="shared" si="32"/>
        <v>6.6715129647354123</v>
      </c>
      <c r="M47" s="32">
        <f t="shared" si="32"/>
        <v>308.04767585999997</v>
      </c>
      <c r="N47" s="32">
        <f t="shared" si="32"/>
        <v>6.5797220855491831</v>
      </c>
      <c r="O47" s="32">
        <f t="shared" si="32"/>
        <v>469.63488959999989</v>
      </c>
      <c r="P47" s="32">
        <f t="shared" si="32"/>
        <v>10.031132507715885</v>
      </c>
      <c r="Q47" s="32">
        <f t="shared" si="32"/>
        <v>1657.21590305</v>
      </c>
      <c r="R47" s="32">
        <f t="shared" si="32"/>
        <v>35.397183398251073</v>
      </c>
      <c r="S47" s="32">
        <f t="shared" si="32"/>
        <v>171.5556</v>
      </c>
      <c r="T47" s="32">
        <f t="shared" si="32"/>
        <v>3.6643294485774587</v>
      </c>
      <c r="U47" s="32">
        <f t="shared" si="32"/>
        <v>3.0617016499999998</v>
      </c>
      <c r="V47" s="32">
        <f t="shared" si="32"/>
        <v>6.5396195279275024E-2</v>
      </c>
      <c r="W47" s="32">
        <f t="shared" si="32"/>
        <v>64.761847590000002</v>
      </c>
      <c r="X47" s="32">
        <f t="shared" si="32"/>
        <v>1.383276006544363</v>
      </c>
      <c r="Y47" s="32">
        <f t="shared" si="9"/>
        <v>28.091952210000819</v>
      </c>
      <c r="Z47" s="32">
        <f t="shared" si="32"/>
        <v>0.60002802444884706</v>
      </c>
      <c r="AA47" s="32">
        <f t="shared" si="32"/>
        <v>12.78481955</v>
      </c>
      <c r="AB47" s="32">
        <f t="shared" si="32"/>
        <v>0.27307642986771524</v>
      </c>
      <c r="AC47" s="32">
        <f t="shared" si="32"/>
        <v>17.374851060000001</v>
      </c>
      <c r="AD47" s="32">
        <f t="shared" si="32"/>
        <v>0.3711168764167726</v>
      </c>
      <c r="AE47" s="32">
        <f t="shared" si="32"/>
        <v>9.7083710199999995</v>
      </c>
      <c r="AF47" s="32">
        <f t="shared" si="32"/>
        <v>0.20736524967008932</v>
      </c>
      <c r="AG47" s="32">
        <f t="shared" si="32"/>
        <v>5.1746771300000001</v>
      </c>
      <c r="AH47" s="32">
        <f t="shared" si="32"/>
        <v>0.11052814244675946</v>
      </c>
      <c r="AI47" s="32">
        <f t="shared" si="32"/>
        <v>111.54229775</v>
      </c>
      <c r="CD47" s="239"/>
    </row>
    <row r="48" spans="1:82" hidden="1">
      <c r="A48" s="679" t="s">
        <v>18</v>
      </c>
      <c r="B48" s="32">
        <v>2500.8557842800001</v>
      </c>
      <c r="C48" s="32">
        <v>104.03176046999999</v>
      </c>
      <c r="D48" s="32">
        <f t="shared" ref="D48:R50" si="33">C48/$B48*100</f>
        <v>4.1598464463216089</v>
      </c>
      <c r="E48" s="32">
        <v>644.63155166000001</v>
      </c>
      <c r="F48" s="32">
        <f t="shared" si="33"/>
        <v>25.77643843807612</v>
      </c>
      <c r="G48" s="32">
        <v>170.92006280999999</v>
      </c>
      <c r="H48" s="32">
        <f t="shared" si="33"/>
        <v>6.8344629820071017</v>
      </c>
      <c r="I48" s="32">
        <v>139.78622041</v>
      </c>
      <c r="J48" s="32">
        <f t="shared" si="33"/>
        <v>5.5895354417745704</v>
      </c>
      <c r="K48" s="32">
        <v>163.96990049999999</v>
      </c>
      <c r="L48" s="32">
        <f t="shared" si="33"/>
        <v>6.5565516224761904</v>
      </c>
      <c r="M48" s="32">
        <v>192.60703863999998</v>
      </c>
      <c r="N48" s="32">
        <f t="shared" si="33"/>
        <v>7.7016451668544263</v>
      </c>
      <c r="O48" s="32">
        <v>220.30830121999998</v>
      </c>
      <c r="P48" s="32">
        <f t="shared" si="33"/>
        <v>8.8093164989690536</v>
      </c>
      <c r="Q48" s="32">
        <v>806.62555090000001</v>
      </c>
      <c r="R48" s="32">
        <f t="shared" si="33"/>
        <v>32.253981056017942</v>
      </c>
      <c r="S48" s="32"/>
      <c r="T48" s="32"/>
      <c r="U48" s="32">
        <v>1.4630000000000001</v>
      </c>
      <c r="V48" s="32">
        <f t="shared" ref="V48:V59" si="34">U48/$B48*100</f>
        <v>5.8499974656523422E-2</v>
      </c>
      <c r="W48" s="32">
        <v>2.7789999999999999</v>
      </c>
      <c r="X48" s="32">
        <f t="shared" si="27"/>
        <v>0.11112196142889855</v>
      </c>
      <c r="Y48" s="680">
        <f t="shared" si="9"/>
        <v>10.863397670000355</v>
      </c>
      <c r="Z48" s="32">
        <f t="shared" ref="Z48:Z59" si="35">Y48/$B48*100</f>
        <v>0.43438721010167891</v>
      </c>
      <c r="AA48" s="643">
        <v>3.65</v>
      </c>
      <c r="AB48" s="643">
        <f t="shared" ref="AB48:AB59" si="36">AA48/B48*100</f>
        <v>0.14595003930028058</v>
      </c>
      <c r="AC48" s="643">
        <v>13.888</v>
      </c>
      <c r="AD48" s="643">
        <f t="shared" ref="AD48:AF59" si="37">AC48/$B48*100</f>
        <v>0.55532990295953333</v>
      </c>
      <c r="AE48" s="643">
        <v>20.344999999999999</v>
      </c>
      <c r="AF48" s="643">
        <f t="shared" si="37"/>
        <v>0.81352152042855008</v>
      </c>
      <c r="AG48" s="643">
        <v>4.9870000000000001</v>
      </c>
      <c r="AH48" s="643">
        <f t="shared" ref="AH48:AH59" si="38">AG48/$B48*100</f>
        <v>0.19941173862753403</v>
      </c>
      <c r="AI48" s="32">
        <v>41.551000000000002</v>
      </c>
      <c r="CC48" s="58">
        <f>CC50+CC51</f>
        <v>965</v>
      </c>
      <c r="CD48" s="239">
        <f t="shared" ref="CD48:CD55" si="39">BY48+BZ48+CA48+CC48</f>
        <v>965</v>
      </c>
    </row>
    <row r="49" spans="1:82" hidden="1">
      <c r="A49" s="679" t="s">
        <v>19</v>
      </c>
      <c r="B49" s="32">
        <v>2663.49710117</v>
      </c>
      <c r="C49" s="32">
        <v>129.88478082</v>
      </c>
      <c r="D49" s="32">
        <f t="shared" si="33"/>
        <v>4.8764753963105587</v>
      </c>
      <c r="E49" s="32">
        <v>673.54309951000005</v>
      </c>
      <c r="F49" s="32">
        <f t="shared" si="33"/>
        <v>25.287923129863042</v>
      </c>
      <c r="G49" s="32">
        <v>239.73402787000001</v>
      </c>
      <c r="H49" s="32">
        <f t="shared" si="33"/>
        <v>9.0007241894384471</v>
      </c>
      <c r="I49" s="32">
        <v>133.10883286000001</v>
      </c>
      <c r="J49" s="32">
        <f t="shared" si="33"/>
        <v>4.997521221311974</v>
      </c>
      <c r="K49" s="32">
        <v>172.05884362</v>
      </c>
      <c r="L49" s="32">
        <f t="shared" si="33"/>
        <v>6.4598847712062213</v>
      </c>
      <c r="M49" s="32">
        <v>189.29286172000002</v>
      </c>
      <c r="N49" s="32">
        <f t="shared" si="33"/>
        <v>7.1069295189714667</v>
      </c>
      <c r="O49" s="32">
        <v>220.88417112000002</v>
      </c>
      <c r="P49" s="32">
        <f t="shared" si="33"/>
        <v>8.2930133854086705</v>
      </c>
      <c r="Q49" s="32">
        <v>841.29791412999998</v>
      </c>
      <c r="R49" s="32">
        <f t="shared" si="33"/>
        <v>31.586214746035999</v>
      </c>
      <c r="S49" s="32"/>
      <c r="T49" s="32"/>
      <c r="U49" s="32">
        <v>1.99</v>
      </c>
      <c r="V49" s="32">
        <f t="shared" si="34"/>
        <v>7.4713803860565448E-2</v>
      </c>
      <c r="W49" s="32">
        <v>7.1180000000000003</v>
      </c>
      <c r="X49" s="32">
        <f t="shared" si="27"/>
        <v>0.2672426411454798</v>
      </c>
      <c r="Y49" s="680">
        <f t="shared" si="9"/>
        <v>11.121569519999841</v>
      </c>
      <c r="Z49" s="32">
        <f t="shared" si="35"/>
        <v>0.41755515765774426</v>
      </c>
      <c r="AA49" s="643">
        <v>3.677</v>
      </c>
      <c r="AB49" s="643">
        <f t="shared" si="36"/>
        <v>0.13805158632929604</v>
      </c>
      <c r="AC49" s="643">
        <v>14.538</v>
      </c>
      <c r="AD49" s="643">
        <f t="shared" si="37"/>
        <v>0.54582375905773883</v>
      </c>
      <c r="AE49" s="643">
        <v>20.323</v>
      </c>
      <c r="AF49" s="643">
        <f t="shared" si="37"/>
        <v>0.76301941500415649</v>
      </c>
      <c r="AG49" s="643">
        <v>4.9249999999999998</v>
      </c>
      <c r="AH49" s="643">
        <f t="shared" si="38"/>
        <v>0.18490727839863558</v>
      </c>
      <c r="AI49" s="32">
        <v>44.545000000000002</v>
      </c>
      <c r="CD49" s="239"/>
    </row>
    <row r="50" spans="1:82" hidden="1">
      <c r="A50" s="679" t="s">
        <v>20</v>
      </c>
      <c r="B50" s="32">
        <v>2880.8536487800002</v>
      </c>
      <c r="C50" s="32">
        <v>130.48997767</v>
      </c>
      <c r="D50" s="32">
        <f t="shared" si="33"/>
        <v>4.5295594146290847</v>
      </c>
      <c r="E50" s="32">
        <v>705.42599161999999</v>
      </c>
      <c r="F50" s="32">
        <f t="shared" si="33"/>
        <v>24.486700041799683</v>
      </c>
      <c r="G50" s="32">
        <v>348.31504611999998</v>
      </c>
      <c r="H50" s="32">
        <f t="shared" si="33"/>
        <v>12.090688684151184</v>
      </c>
      <c r="I50" s="32">
        <v>136.40225864000001</v>
      </c>
      <c r="J50" s="32">
        <f t="shared" si="33"/>
        <v>4.7347861179190547</v>
      </c>
      <c r="K50" s="32">
        <v>176.94534973</v>
      </c>
      <c r="L50" s="32">
        <f t="shared" si="33"/>
        <v>6.1421151957835072</v>
      </c>
      <c r="M50" s="32">
        <v>196.26314084000001</v>
      </c>
      <c r="N50" s="32">
        <f t="shared" si="33"/>
        <v>6.8126730742852759</v>
      </c>
      <c r="O50" s="32">
        <v>232.19589647999999</v>
      </c>
      <c r="P50" s="32">
        <f t="shared" si="33"/>
        <v>8.0599684950442239</v>
      </c>
      <c r="Q50" s="32">
        <v>883.71371453000006</v>
      </c>
      <c r="R50" s="32">
        <f t="shared" si="33"/>
        <v>30.675411606009213</v>
      </c>
      <c r="S50" s="32">
        <v>83.4084</v>
      </c>
      <c r="T50" s="32">
        <f t="shared" ref="D50:T59" si="40">S50/$B50*100</f>
        <v>2.8952668260438097</v>
      </c>
      <c r="U50" s="32">
        <v>2.145</v>
      </c>
      <c r="V50" s="32">
        <f t="shared" si="34"/>
        <v>7.4457097149255622E-2</v>
      </c>
      <c r="W50" s="32">
        <v>6.9249999999999998</v>
      </c>
      <c r="X50" s="32">
        <f t="shared" si="27"/>
        <v>0.24038013881519585</v>
      </c>
      <c r="Y50" s="680">
        <f t="shared" si="9"/>
        <v>12.26427315000036</v>
      </c>
      <c r="Z50" s="32">
        <f t="shared" si="35"/>
        <v>0.42571663281798788</v>
      </c>
      <c r="AA50" s="643">
        <v>2.5409999999999999</v>
      </c>
      <c r="AB50" s="643">
        <f t="shared" si="36"/>
        <v>8.8203022776810497E-2</v>
      </c>
      <c r="AC50" s="643">
        <v>17.036000000000001</v>
      </c>
      <c r="AD50" s="643">
        <f t="shared" si="37"/>
        <v>0.5913524974520834</v>
      </c>
      <c r="AE50" s="643">
        <v>20.478999999999999</v>
      </c>
      <c r="AF50" s="643">
        <f t="shared" si="37"/>
        <v>0.71086568415832441</v>
      </c>
      <c r="AG50" s="643">
        <v>9.7119999999999997</v>
      </c>
      <c r="AH50" s="643">
        <f t="shared" si="38"/>
        <v>0.33712229720912379</v>
      </c>
      <c r="AI50" s="32">
        <v>52.018999999999998</v>
      </c>
      <c r="CC50" s="58">
        <v>954</v>
      </c>
      <c r="CD50" s="239">
        <f t="shared" si="39"/>
        <v>954</v>
      </c>
    </row>
    <row r="51" spans="1:82" hidden="1">
      <c r="A51" s="679" t="s">
        <v>21</v>
      </c>
      <c r="B51" s="32">
        <v>3091.2641826099998</v>
      </c>
      <c r="C51" s="32">
        <v>129.09170431000001</v>
      </c>
      <c r="D51" s="32">
        <f t="shared" si="40"/>
        <v>4.176016564233147</v>
      </c>
      <c r="E51" s="32">
        <v>740.16257681000002</v>
      </c>
      <c r="F51" s="32">
        <f t="shared" si="40"/>
        <v>23.943685595485722</v>
      </c>
      <c r="G51" s="32">
        <v>397.72375906000002</v>
      </c>
      <c r="H51" s="32">
        <f t="shared" si="40"/>
        <v>12.866055295351561</v>
      </c>
      <c r="I51" s="32">
        <v>140.07191708000002</v>
      </c>
      <c r="J51" s="32">
        <f t="shared" si="40"/>
        <v>4.531217935625782</v>
      </c>
      <c r="K51" s="32">
        <v>189.23269594999999</v>
      </c>
      <c r="L51" s="32">
        <f t="shared" si="40"/>
        <v>6.1215310232795455</v>
      </c>
      <c r="M51" s="32">
        <v>211.14186412000001</v>
      </c>
      <c r="N51" s="32">
        <f t="shared" si="40"/>
        <v>6.8302756298793534</v>
      </c>
      <c r="O51" s="32">
        <v>242.91248505999999</v>
      </c>
      <c r="P51" s="32">
        <f t="shared" si="40"/>
        <v>7.8580305891198661</v>
      </c>
      <c r="Q51" s="32">
        <v>961.22581620999995</v>
      </c>
      <c r="R51" s="32">
        <f t="shared" si="40"/>
        <v>31.094910024753137</v>
      </c>
      <c r="S51" s="32"/>
      <c r="T51" s="32"/>
      <c r="U51" s="32">
        <v>2.1720000000000002</v>
      </c>
      <c r="V51" s="32">
        <f t="shared" si="34"/>
        <v>7.0262516294099089E-2</v>
      </c>
      <c r="W51" s="32">
        <v>8.8360000000000003</v>
      </c>
      <c r="X51" s="32">
        <f t="shared" si="27"/>
        <v>0.28583775044873827</v>
      </c>
      <c r="Y51" s="680">
        <f t="shared" si="9"/>
        <v>12.38736400999945</v>
      </c>
      <c r="Z51" s="32">
        <f t="shared" si="35"/>
        <v>0.40072162320143784</v>
      </c>
      <c r="AA51" s="643">
        <v>2.835</v>
      </c>
      <c r="AB51" s="643">
        <f t="shared" si="36"/>
        <v>9.1710052345198398E-2</v>
      </c>
      <c r="AC51" s="643">
        <v>17.779</v>
      </c>
      <c r="AD51" s="643">
        <f t="shared" si="37"/>
        <v>0.57513686795248053</v>
      </c>
      <c r="AE51" s="643">
        <v>20.452000000000002</v>
      </c>
      <c r="AF51" s="643">
        <f t="shared" si="37"/>
        <v>0.66160634587795331</v>
      </c>
      <c r="AG51" s="643">
        <v>15.24</v>
      </c>
      <c r="AH51" s="643">
        <f t="shared" si="38"/>
        <v>0.493002186151966</v>
      </c>
      <c r="AI51" s="32">
        <v>46.390999999999998</v>
      </c>
      <c r="CC51" s="58">
        <v>11</v>
      </c>
      <c r="CD51" s="239">
        <f t="shared" si="39"/>
        <v>11</v>
      </c>
    </row>
    <row r="52" spans="1:82" hidden="1">
      <c r="A52" s="679" t="s">
        <v>22</v>
      </c>
      <c r="B52" s="32">
        <v>3315.4499153500001</v>
      </c>
      <c r="C52" s="32">
        <v>109.71650685</v>
      </c>
      <c r="D52" s="32">
        <f t="shared" si="40"/>
        <v>3.309249412637187</v>
      </c>
      <c r="E52" s="32">
        <v>781.64590481000005</v>
      </c>
      <c r="F52" s="32">
        <f t="shared" si="40"/>
        <v>23.575862243947803</v>
      </c>
      <c r="G52" s="32">
        <v>459.83922330000001</v>
      </c>
      <c r="H52" s="32">
        <f t="shared" si="40"/>
        <v>13.869587387552389</v>
      </c>
      <c r="I52" s="32">
        <v>145.50070360999999</v>
      </c>
      <c r="J52" s="32">
        <f t="shared" si="40"/>
        <v>4.3885658756706025</v>
      </c>
      <c r="K52" s="32">
        <v>216.14399315000003</v>
      </c>
      <c r="L52" s="32">
        <f t="shared" si="40"/>
        <v>6.5192959830063515</v>
      </c>
      <c r="M52" s="32">
        <v>225.37826867000001</v>
      </c>
      <c r="N52" s="32">
        <f t="shared" si="40"/>
        <v>6.7978185291394349</v>
      </c>
      <c r="O52" s="32">
        <v>244.28758688000002</v>
      </c>
      <c r="P52" s="32">
        <f t="shared" si="40"/>
        <v>7.3681579609750028</v>
      </c>
      <c r="Q52" s="32">
        <v>1047.48991247</v>
      </c>
      <c r="R52" s="32">
        <f t="shared" si="40"/>
        <v>31.594201065149264</v>
      </c>
      <c r="S52" s="32"/>
      <c r="T52" s="32"/>
      <c r="U52" s="32">
        <v>2.14</v>
      </c>
      <c r="V52" s="32">
        <f t="shared" si="34"/>
        <v>6.4546292498407057E-2</v>
      </c>
      <c r="W52" s="32">
        <v>15.752000000000001</v>
      </c>
      <c r="X52" s="32">
        <f t="shared" si="27"/>
        <v>0.47510897169855509</v>
      </c>
      <c r="Y52" s="680">
        <f t="shared" si="9"/>
        <v>13.630815610000177</v>
      </c>
      <c r="Z52" s="32">
        <f t="shared" si="35"/>
        <v>0.4111301922219272</v>
      </c>
      <c r="AA52" s="643">
        <v>5.6820000000000004</v>
      </c>
      <c r="AB52" s="643">
        <f t="shared" si="36"/>
        <v>0.17137945512894806</v>
      </c>
      <c r="AC52" s="643">
        <v>18.571999999999999</v>
      </c>
      <c r="AD52" s="643">
        <f t="shared" si="37"/>
        <v>0.5601653010656148</v>
      </c>
      <c r="AE52" s="643">
        <v>20.41</v>
      </c>
      <c r="AF52" s="643">
        <f t="shared" si="37"/>
        <v>0.61560272424882612</v>
      </c>
      <c r="AG52" s="643">
        <v>9.2609999999999992</v>
      </c>
      <c r="AH52" s="643">
        <f t="shared" si="38"/>
        <v>0.27932860505969515</v>
      </c>
      <c r="AI52" s="32">
        <v>59.423000000000002</v>
      </c>
      <c r="CC52" s="58">
        <f>CC54+CC55+CC56+CC57</f>
        <v>484</v>
      </c>
      <c r="CD52" s="239">
        <f t="shared" si="39"/>
        <v>484</v>
      </c>
    </row>
    <row r="53" spans="1:82" hidden="1">
      <c r="A53" s="679" t="s">
        <v>23</v>
      </c>
      <c r="B53" s="32">
        <v>3458.4920896200001</v>
      </c>
      <c r="C53" s="32">
        <v>106.28669576999999</v>
      </c>
      <c r="D53" s="32">
        <f t="shared" si="40"/>
        <v>3.0732091621374269</v>
      </c>
      <c r="E53" s="32">
        <v>805.21722610999996</v>
      </c>
      <c r="F53" s="32">
        <f t="shared" si="40"/>
        <v>23.28232088564565</v>
      </c>
      <c r="G53" s="32">
        <v>424.59048203999998</v>
      </c>
      <c r="H53" s="32">
        <f t="shared" si="40"/>
        <v>12.276751573737203</v>
      </c>
      <c r="I53" s="32">
        <v>152.68519210000002</v>
      </c>
      <c r="J53" s="32">
        <f t="shared" si="40"/>
        <v>4.4147908436238819</v>
      </c>
      <c r="K53" s="32">
        <v>242.76657958000001</v>
      </c>
      <c r="L53" s="32">
        <f t="shared" si="40"/>
        <v>7.0194342878104967</v>
      </c>
      <c r="M53" s="32">
        <v>235.06712525</v>
      </c>
      <c r="N53" s="32">
        <f t="shared" si="40"/>
        <v>6.7968096834891956</v>
      </c>
      <c r="O53" s="32">
        <v>265.74100705000001</v>
      </c>
      <c r="P53" s="32">
        <f t="shared" si="40"/>
        <v>7.6837245875903726</v>
      </c>
      <c r="Q53" s="32">
        <v>1136.48750722</v>
      </c>
      <c r="R53" s="32">
        <f t="shared" si="40"/>
        <v>32.860780877046068</v>
      </c>
      <c r="S53" s="32">
        <v>126.64570999999999</v>
      </c>
      <c r="T53" s="32">
        <f t="shared" si="40"/>
        <v>3.6618765264810857</v>
      </c>
      <c r="U53" s="32">
        <v>2.1280000000000001</v>
      </c>
      <c r="V53" s="32">
        <f t="shared" si="34"/>
        <v>6.1529705572748991E-2</v>
      </c>
      <c r="W53" s="32">
        <v>20.657</v>
      </c>
      <c r="X53" s="32">
        <f t="shared" si="27"/>
        <v>0.59728342481967844</v>
      </c>
      <c r="Y53" s="680">
        <f t="shared" si="9"/>
        <v>14.776274500000092</v>
      </c>
      <c r="Z53" s="32">
        <f t="shared" si="35"/>
        <v>0.42724615575522762</v>
      </c>
      <c r="AA53" s="643">
        <v>6.8250000000000002</v>
      </c>
      <c r="AB53" s="643">
        <f t="shared" si="36"/>
        <v>0.19734033859681008</v>
      </c>
      <c r="AC53" s="643">
        <v>17.539000000000001</v>
      </c>
      <c r="AD53" s="643">
        <f t="shared" si="37"/>
        <v>0.50712852727464497</v>
      </c>
      <c r="AE53" s="643">
        <v>20.553000000000001</v>
      </c>
      <c r="AF53" s="643">
        <f t="shared" si="37"/>
        <v>0.59427633394582235</v>
      </c>
      <c r="AG53" s="643">
        <v>7.1719999999999997</v>
      </c>
      <c r="AH53" s="643">
        <f t="shared" si="38"/>
        <v>0.20737361295477241</v>
      </c>
      <c r="AI53" s="32">
        <v>68.468999999999994</v>
      </c>
      <c r="CD53" s="239"/>
    </row>
    <row r="54" spans="1:82" hidden="1">
      <c r="A54" s="679" t="s">
        <v>24</v>
      </c>
      <c r="B54" s="32">
        <v>3443.9037720199999</v>
      </c>
      <c r="C54" s="32">
        <v>107.71368219</v>
      </c>
      <c r="D54" s="32">
        <f t="shared" si="40"/>
        <v>3.1276623657466835</v>
      </c>
      <c r="E54" s="32">
        <v>862.55777506000004</v>
      </c>
      <c r="F54" s="32">
        <f t="shared" si="40"/>
        <v>25.045931366255108</v>
      </c>
      <c r="G54" s="32">
        <v>219.69313585</v>
      </c>
      <c r="H54" s="32">
        <f t="shared" si="40"/>
        <v>6.3791891525801949</v>
      </c>
      <c r="I54" s="32">
        <v>158.35913916000001</v>
      </c>
      <c r="J54" s="32">
        <f t="shared" si="40"/>
        <v>4.5982451788168133</v>
      </c>
      <c r="K54" s="32">
        <v>236.52816991</v>
      </c>
      <c r="L54" s="32">
        <f t="shared" si="40"/>
        <v>6.8680249382016241</v>
      </c>
      <c r="M54" s="32">
        <v>249.74008945</v>
      </c>
      <c r="N54" s="32">
        <f t="shared" si="40"/>
        <v>7.2516570143165326</v>
      </c>
      <c r="O54" s="32">
        <v>274.17963832999999</v>
      </c>
      <c r="P54" s="32">
        <f t="shared" si="40"/>
        <v>7.9613036972046887</v>
      </c>
      <c r="Q54" s="32">
        <v>1246.7164369800003</v>
      </c>
      <c r="R54" s="32">
        <f t="shared" si="40"/>
        <v>36.200675730516899</v>
      </c>
      <c r="S54" s="32">
        <v>135.37072000000001</v>
      </c>
      <c r="T54" s="32">
        <f t="shared" si="40"/>
        <v>3.9307346825372873</v>
      </c>
      <c r="U54" s="32">
        <v>2.2980933700000001</v>
      </c>
      <c r="V54" s="32">
        <f t="shared" si="34"/>
        <v>6.6729314235515591E-2</v>
      </c>
      <c r="W54" s="32">
        <v>13.059718309999999</v>
      </c>
      <c r="X54" s="32">
        <f t="shared" si="27"/>
        <v>0.37921263701104818</v>
      </c>
      <c r="Y54" s="680">
        <f t="shared" si="9"/>
        <v>18.401109329999734</v>
      </c>
      <c r="Z54" s="32">
        <f t="shared" si="35"/>
        <v>0.5343096250104189</v>
      </c>
      <c r="AA54" s="643">
        <v>6.6855125900000001</v>
      </c>
      <c r="AB54" s="643">
        <f t="shared" si="36"/>
        <v>0.19412599865061431</v>
      </c>
      <c r="AC54" s="643">
        <v>17.482585480000001</v>
      </c>
      <c r="AD54" s="643">
        <f t="shared" si="37"/>
        <v>0.50763861702633173</v>
      </c>
      <c r="AE54" s="643">
        <v>20.49223044</v>
      </c>
      <c r="AF54" s="643">
        <f t="shared" si="37"/>
        <v>0.59502912382422379</v>
      </c>
      <c r="AG54" s="643">
        <v>9.9964555700000002</v>
      </c>
      <c r="AH54" s="643">
        <f t="shared" si="38"/>
        <v>0.29026524060330067</v>
      </c>
      <c r="AI54" s="32">
        <v>67.951762689999995</v>
      </c>
      <c r="CC54" s="58">
        <v>1214</v>
      </c>
      <c r="CD54" s="239">
        <f t="shared" si="39"/>
        <v>1214</v>
      </c>
    </row>
    <row r="55" spans="1:82" hidden="1">
      <c r="A55" s="679" t="s">
        <v>25</v>
      </c>
      <c r="B55" s="32">
        <v>3573.0027270300002</v>
      </c>
      <c r="C55" s="32">
        <v>103.08589524</v>
      </c>
      <c r="D55" s="32">
        <f t="shared" si="40"/>
        <v>2.885133405025091</v>
      </c>
      <c r="E55" s="32">
        <v>912.61713148000001</v>
      </c>
      <c r="F55" s="32">
        <f t="shared" si="40"/>
        <v>25.542021688816284</v>
      </c>
      <c r="G55" s="32">
        <v>167.69609167999999</v>
      </c>
      <c r="H55" s="32">
        <f t="shared" si="40"/>
        <v>4.6934218776651928</v>
      </c>
      <c r="I55" s="32">
        <v>165.16409332000001</v>
      </c>
      <c r="J55" s="32">
        <f t="shared" si="40"/>
        <v>4.6225571581718317</v>
      </c>
      <c r="K55" s="32">
        <v>255.82276278000001</v>
      </c>
      <c r="L55" s="32">
        <f t="shared" si="40"/>
        <v>7.1598815429018288</v>
      </c>
      <c r="M55" s="32">
        <v>255.52799263</v>
      </c>
      <c r="N55" s="32">
        <f t="shared" si="40"/>
        <v>7.1516316149695029</v>
      </c>
      <c r="O55" s="32">
        <v>259.34234422000003</v>
      </c>
      <c r="P55" s="32">
        <f t="shared" si="40"/>
        <v>7.2583864058669247</v>
      </c>
      <c r="Q55" s="32">
        <v>1341.56379249</v>
      </c>
      <c r="R55" s="32">
        <f t="shared" si="40"/>
        <v>37.547236735672826</v>
      </c>
      <c r="S55" s="32">
        <v>129.49700000000001</v>
      </c>
      <c r="T55" s="32">
        <f t="shared" si="40"/>
        <v>3.6243185324306282</v>
      </c>
      <c r="U55" s="32">
        <v>2.5638477700000002</v>
      </c>
      <c r="V55" s="32">
        <f t="shared" si="34"/>
        <v>7.1756110080866256E-2</v>
      </c>
      <c r="W55" s="32">
        <v>27.827227350000001</v>
      </c>
      <c r="X55" s="32">
        <f t="shared" si="27"/>
        <v>0.77881909071843691</v>
      </c>
      <c r="Y55" s="680">
        <f t="shared" si="9"/>
        <v>21.037526280000478</v>
      </c>
      <c r="Z55" s="32">
        <f t="shared" si="35"/>
        <v>0.58879121812167146</v>
      </c>
      <c r="AA55" s="643">
        <v>9.9989545100000008</v>
      </c>
      <c r="AB55" s="643">
        <f t="shared" si="36"/>
        <v>0.27984737975029389</v>
      </c>
      <c r="AC55" s="643">
        <v>17.641120879999999</v>
      </c>
      <c r="AD55" s="643">
        <f t="shared" si="37"/>
        <v>0.49373376478399422</v>
      </c>
      <c r="AE55" s="643">
        <v>20.834470960000001</v>
      </c>
      <c r="AF55" s="643">
        <f t="shared" si="37"/>
        <v>0.58310817404044668</v>
      </c>
      <c r="AG55" s="643">
        <v>12.279475440000001</v>
      </c>
      <c r="AH55" s="643">
        <f t="shared" si="38"/>
        <v>0.34367383341481839</v>
      </c>
      <c r="AI55" s="32">
        <v>71.876329530000007</v>
      </c>
      <c r="CC55" s="58">
        <v>-745</v>
      </c>
      <c r="CD55" s="239">
        <f t="shared" si="39"/>
        <v>-745</v>
      </c>
    </row>
    <row r="56" spans="1:82" hidden="1">
      <c r="A56" s="679" t="s">
        <v>26</v>
      </c>
      <c r="B56" s="32">
        <v>3771.25162757</v>
      </c>
      <c r="C56" s="32">
        <v>96.306606110000004</v>
      </c>
      <c r="D56" s="32">
        <f t="shared" si="40"/>
        <v>2.5537040648771296</v>
      </c>
      <c r="E56" s="32">
        <v>988.80986357999996</v>
      </c>
      <c r="F56" s="32">
        <f t="shared" si="40"/>
        <v>26.219673499143788</v>
      </c>
      <c r="G56" s="32">
        <v>178.69679515999999</v>
      </c>
      <c r="H56" s="32">
        <f t="shared" si="40"/>
        <v>4.7383949098921043</v>
      </c>
      <c r="I56" s="32">
        <v>163.90586535</v>
      </c>
      <c r="J56" s="32">
        <f t="shared" si="40"/>
        <v>4.3461927640084967</v>
      </c>
      <c r="K56" s="32">
        <v>255.21651581999998</v>
      </c>
      <c r="L56" s="32">
        <f t="shared" si="40"/>
        <v>6.7674220928198396</v>
      </c>
      <c r="M56" s="32">
        <v>270.16705589999998</v>
      </c>
      <c r="N56" s="32">
        <f t="shared" si="40"/>
        <v>7.1638565277618902</v>
      </c>
      <c r="O56" s="32">
        <v>278.06630707000005</v>
      </c>
      <c r="P56" s="32">
        <f t="shared" si="40"/>
        <v>7.373316196595761</v>
      </c>
      <c r="Q56" s="32">
        <v>1411.9887624100002</v>
      </c>
      <c r="R56" s="32">
        <f t="shared" si="40"/>
        <v>37.440852582934461</v>
      </c>
      <c r="S56" s="32">
        <v>161.28359499999999</v>
      </c>
      <c r="T56" s="32">
        <f t="shared" si="40"/>
        <v>4.2766596060821014</v>
      </c>
      <c r="U56" s="32">
        <v>2.7064879199999998</v>
      </c>
      <c r="V56" s="32">
        <f t="shared" si="34"/>
        <v>7.1766304327561425E-2</v>
      </c>
      <c r="W56" s="32">
        <v>43.991380200000002</v>
      </c>
      <c r="X56" s="32">
        <f t="shared" si="27"/>
        <v>1.1664928396291014</v>
      </c>
      <c r="Y56" s="680">
        <f t="shared" si="9"/>
        <v>24.801507750000113</v>
      </c>
      <c r="Z56" s="32">
        <f t="shared" si="35"/>
        <v>0.6576465905559562</v>
      </c>
      <c r="AA56" s="643">
        <v>11.220624190000001</v>
      </c>
      <c r="AB56" s="643">
        <f t="shared" si="36"/>
        <v>0.2975305097111749</v>
      </c>
      <c r="AC56" s="643">
        <v>18.000423420000001</v>
      </c>
      <c r="AD56" s="643">
        <f t="shared" si="37"/>
        <v>0.47730634806775135</v>
      </c>
      <c r="AE56" s="643">
        <v>20.76767242</v>
      </c>
      <c r="AF56" s="643">
        <f t="shared" si="37"/>
        <v>0.55068381722864823</v>
      </c>
      <c r="AG56" s="643">
        <v>6.6057602700000002</v>
      </c>
      <c r="AH56" s="643">
        <f t="shared" si="38"/>
        <v>0.17516095244634766</v>
      </c>
      <c r="AI56" s="32">
        <v>83.360235110000005</v>
      </c>
      <c r="CC56" s="58">
        <v>0</v>
      </c>
      <c r="CD56" s="239">
        <f>BY56+BZ56+CA56+CC56</f>
        <v>0</v>
      </c>
    </row>
    <row r="57" spans="1:82" hidden="1">
      <c r="A57" s="679" t="s">
        <v>27</v>
      </c>
      <c r="B57" s="32">
        <v>4050.0154233600001</v>
      </c>
      <c r="C57" s="32">
        <v>99.726926789999993</v>
      </c>
      <c r="D57" s="32">
        <f t="shared" si="40"/>
        <v>2.462383876732595</v>
      </c>
      <c r="E57" s="32">
        <v>1065.40241483</v>
      </c>
      <c r="F57" s="32">
        <f t="shared" si="40"/>
        <v>26.306132284951001</v>
      </c>
      <c r="G57" s="32">
        <v>215.65127704</v>
      </c>
      <c r="H57" s="32">
        <f t="shared" si="40"/>
        <v>5.3247026121468446</v>
      </c>
      <c r="I57" s="32">
        <v>179.93590965999999</v>
      </c>
      <c r="J57" s="32">
        <f t="shared" si="40"/>
        <v>4.4428450475065207</v>
      </c>
      <c r="K57" s="32">
        <v>278.59950420999996</v>
      </c>
      <c r="L57" s="32">
        <f t="shared" si="40"/>
        <v>6.8789739071874063</v>
      </c>
      <c r="M57" s="32">
        <v>289.47983313000003</v>
      </c>
      <c r="N57" s="32">
        <f t="shared" si="40"/>
        <v>7.1476229808981788</v>
      </c>
      <c r="O57" s="32">
        <v>332.91495220000002</v>
      </c>
      <c r="P57" s="32">
        <f t="shared" si="40"/>
        <v>8.2200909724883218</v>
      </c>
      <c r="Q57" s="32">
        <v>1496.2285650399999</v>
      </c>
      <c r="R57" s="32">
        <f t="shared" si="40"/>
        <v>36.943774495522511</v>
      </c>
      <c r="S57" s="32">
        <v>154.89699999999999</v>
      </c>
      <c r="T57" s="32">
        <f t="shared" si="40"/>
        <v>3.8246027189568905</v>
      </c>
      <c r="U57" s="32">
        <v>2.9017343800000002</v>
      </c>
      <c r="V57" s="32">
        <f t="shared" si="34"/>
        <v>7.1647489618512222E-2</v>
      </c>
      <c r="W57" s="32">
        <v>2.2714433999999999</v>
      </c>
      <c r="X57" s="32">
        <f t="shared" si="27"/>
        <v>5.6084808637976748E-2</v>
      </c>
      <c r="Y57" s="680">
        <f t="shared" si="9"/>
        <v>26.810337120000113</v>
      </c>
      <c r="Z57" s="32">
        <f t="shared" si="35"/>
        <v>0.66198111161160833</v>
      </c>
      <c r="AA57" s="643">
        <v>12.20754359</v>
      </c>
      <c r="AB57" s="643">
        <f t="shared" si="36"/>
        <v>0.30141968150512127</v>
      </c>
      <c r="AC57" s="643">
        <v>18.87280075</v>
      </c>
      <c r="AD57" s="643">
        <f t="shared" si="37"/>
        <v>0.46599330563394809</v>
      </c>
      <c r="AE57" s="643">
        <v>22.37419036</v>
      </c>
      <c r="AF57" s="643">
        <f t="shared" si="37"/>
        <v>0.55244704084207608</v>
      </c>
      <c r="AG57" s="643">
        <v>6.6379908600000004</v>
      </c>
      <c r="AH57" s="643">
        <f t="shared" si="38"/>
        <v>0.16390038471737345</v>
      </c>
      <c r="AI57" s="32">
        <v>82.251150809999999</v>
      </c>
      <c r="CC57" s="58">
        <v>15</v>
      </c>
      <c r="CD57" s="239">
        <f>BY57+BZ57+CA57+CC57</f>
        <v>15</v>
      </c>
    </row>
    <row r="58" spans="1:82" hidden="1">
      <c r="A58" s="679" t="s">
        <v>28</v>
      </c>
      <c r="B58" s="32">
        <v>4340.2819493500001</v>
      </c>
      <c r="C58" s="32">
        <v>98.186749480000003</v>
      </c>
      <c r="D58" s="32">
        <f t="shared" si="40"/>
        <v>2.2622205337306358</v>
      </c>
      <c r="E58" s="32">
        <v>1119.7633581699999</v>
      </c>
      <c r="F58" s="32">
        <f t="shared" si="40"/>
        <v>25.799322975727314</v>
      </c>
      <c r="G58" s="32">
        <v>233.54055170999999</v>
      </c>
      <c r="H58" s="32">
        <f t="shared" si="40"/>
        <v>5.3807691397784652</v>
      </c>
      <c r="I58" s="32">
        <v>195.90338151999998</v>
      </c>
      <c r="J58" s="32">
        <f t="shared" si="40"/>
        <v>4.5136095720541478</v>
      </c>
      <c r="K58" s="32">
        <v>317.51357159000003</v>
      </c>
      <c r="L58" s="32">
        <f t="shared" si="40"/>
        <v>7.3155056582798919</v>
      </c>
      <c r="M58" s="32">
        <v>300.84869487000003</v>
      </c>
      <c r="N58" s="32">
        <f t="shared" si="40"/>
        <v>6.9315472676851115</v>
      </c>
      <c r="O58" s="32">
        <v>389.38392948000001</v>
      </c>
      <c r="P58" s="32">
        <f t="shared" si="40"/>
        <v>8.9713971125381402</v>
      </c>
      <c r="Q58" s="32">
        <v>1596.31234249</v>
      </c>
      <c r="R58" s="32">
        <f t="shared" si="40"/>
        <v>36.779001021559523</v>
      </c>
      <c r="S58" s="32">
        <v>154.89699999999999</v>
      </c>
      <c r="T58" s="32">
        <f t="shared" si="40"/>
        <v>3.5688234498958611</v>
      </c>
      <c r="U58" s="32">
        <v>2.9665320500000001</v>
      </c>
      <c r="V58" s="32">
        <f t="shared" si="34"/>
        <v>6.8348832739869983E-2</v>
      </c>
      <c r="W58" s="32">
        <v>2.62716159</v>
      </c>
      <c r="X58" s="32">
        <f t="shared" si="27"/>
        <v>6.0529744856631797E-2</v>
      </c>
      <c r="Y58" s="680">
        <f t="shared" si="9"/>
        <v>23.760934629999948</v>
      </c>
      <c r="Z58" s="32">
        <f t="shared" si="35"/>
        <v>0.54745140770309597</v>
      </c>
      <c r="AA58" s="643">
        <v>12.664874810000001</v>
      </c>
      <c r="AB58" s="643">
        <f t="shared" si="36"/>
        <v>0.29179843516609999</v>
      </c>
      <c r="AC58" s="643">
        <v>17.632137140000001</v>
      </c>
      <c r="AD58" s="643">
        <f t="shared" si="37"/>
        <v>0.40624404925215946</v>
      </c>
      <c r="AE58" s="643">
        <v>24.435199300000001</v>
      </c>
      <c r="AF58" s="643">
        <f t="shared" si="37"/>
        <v>0.56298645076869747</v>
      </c>
      <c r="AG58" s="643">
        <v>4.7425305199999999</v>
      </c>
      <c r="AH58" s="643">
        <f t="shared" si="38"/>
        <v>0.10926779816021492</v>
      </c>
      <c r="AI58" s="32">
        <v>100.85836845</v>
      </c>
      <c r="CC58" s="58">
        <v>-372</v>
      </c>
      <c r="CD58" s="239">
        <f>BY58+BZ58+CA58+CC58</f>
        <v>-372</v>
      </c>
    </row>
    <row r="59" spans="1:82" hidden="1">
      <c r="A59" s="679" t="s">
        <v>29</v>
      </c>
      <c r="B59" s="32">
        <v>4681.7733614700001</v>
      </c>
      <c r="C59" s="32">
        <v>100.26732249</v>
      </c>
      <c r="D59" s="32">
        <f t="shared" si="40"/>
        <v>2.1416526334909496</v>
      </c>
      <c r="E59" s="32">
        <v>1194.0235843999999</v>
      </c>
      <c r="F59" s="32">
        <f t="shared" si="40"/>
        <v>25.50366051946385</v>
      </c>
      <c r="G59" s="32">
        <v>302.04128283</v>
      </c>
      <c r="H59" s="32">
        <f t="shared" si="40"/>
        <v>6.4514289674023004</v>
      </c>
      <c r="I59" s="32">
        <v>197.23936623999998</v>
      </c>
      <c r="J59" s="32">
        <f t="shared" si="40"/>
        <v>4.2129199987175383</v>
      </c>
      <c r="K59" s="32">
        <v>312.34511679000002</v>
      </c>
      <c r="L59" s="32">
        <f t="shared" si="40"/>
        <v>6.6715129647354123</v>
      </c>
      <c r="M59" s="32">
        <v>308.04767585999997</v>
      </c>
      <c r="N59" s="32">
        <f t="shared" si="40"/>
        <v>6.5797220855491831</v>
      </c>
      <c r="O59" s="32">
        <v>469.63488959999989</v>
      </c>
      <c r="P59" s="32">
        <f t="shared" si="40"/>
        <v>10.031132507715885</v>
      </c>
      <c r="Q59" s="32">
        <v>1657.21590305</v>
      </c>
      <c r="R59" s="32">
        <f t="shared" si="40"/>
        <v>35.397183398251073</v>
      </c>
      <c r="S59" s="32">
        <v>171.5556</v>
      </c>
      <c r="T59" s="32">
        <f t="shared" si="40"/>
        <v>3.6643294485774587</v>
      </c>
      <c r="U59" s="32">
        <v>3.0617016499999998</v>
      </c>
      <c r="V59" s="32">
        <f t="shared" si="34"/>
        <v>6.5396195279275024E-2</v>
      </c>
      <c r="W59" s="32">
        <v>64.761847590000002</v>
      </c>
      <c r="X59" s="32">
        <f t="shared" si="27"/>
        <v>1.383276006544363</v>
      </c>
      <c r="Y59" s="680">
        <f t="shared" si="9"/>
        <v>28.091952210000819</v>
      </c>
      <c r="Z59" s="32">
        <f t="shared" si="35"/>
        <v>0.60002802444884706</v>
      </c>
      <c r="AA59" s="643">
        <v>12.78481955</v>
      </c>
      <c r="AB59" s="643">
        <f t="shared" si="36"/>
        <v>0.27307642986771524</v>
      </c>
      <c r="AC59" s="643">
        <v>17.374851060000001</v>
      </c>
      <c r="AD59" s="643">
        <f t="shared" si="37"/>
        <v>0.3711168764167726</v>
      </c>
      <c r="AE59" s="643">
        <v>9.7083710199999995</v>
      </c>
      <c r="AF59" s="643">
        <f t="shared" si="37"/>
        <v>0.20736524967008932</v>
      </c>
      <c r="AG59" s="643">
        <v>5.1746771300000001</v>
      </c>
      <c r="AH59" s="643">
        <f t="shared" si="38"/>
        <v>0.11052814244675946</v>
      </c>
      <c r="AI59" s="32">
        <v>111.54229775</v>
      </c>
      <c r="CC59" s="58">
        <v>-231</v>
      </c>
      <c r="CD59" s="239">
        <f>BY59+BZ59+CA59+CC59</f>
        <v>-231</v>
      </c>
    </row>
    <row r="60" spans="1:82">
      <c r="A60" s="678">
        <v>2008</v>
      </c>
      <c r="B60" s="32">
        <f>+B72</f>
        <v>7191.2507889600001</v>
      </c>
      <c r="C60" s="32">
        <f t="shared" ref="C60:AI60" si="41">+C72</f>
        <v>159.79559122000001</v>
      </c>
      <c r="D60" s="32">
        <f t="shared" si="41"/>
        <v>2.2220834164943604</v>
      </c>
      <c r="E60" s="32">
        <f t="shared" si="41"/>
        <v>1911.3072199400001</v>
      </c>
      <c r="F60" s="32">
        <f t="shared" si="41"/>
        <v>26.578230630952778</v>
      </c>
      <c r="G60" s="32">
        <f t="shared" si="41"/>
        <v>855.69988688000001</v>
      </c>
      <c r="H60" s="32">
        <f t="shared" si="41"/>
        <v>11.899180156443293</v>
      </c>
      <c r="I60" s="32">
        <f t="shared" si="41"/>
        <v>261.47057494000001</v>
      </c>
      <c r="J60" s="32">
        <f t="shared" si="41"/>
        <v>3.6359540588044754</v>
      </c>
      <c r="K60" s="32">
        <f t="shared" si="41"/>
        <v>461.37206370000001</v>
      </c>
      <c r="L60" s="32">
        <f t="shared" si="41"/>
        <v>6.4157415342585162</v>
      </c>
      <c r="M60" s="32">
        <f t="shared" si="41"/>
        <v>427.51873171</v>
      </c>
      <c r="N60" s="32">
        <f t="shared" si="41"/>
        <v>5.9449843185322679</v>
      </c>
      <c r="O60" s="32">
        <f t="shared" si="41"/>
        <v>669.11947628999997</v>
      </c>
      <c r="P60" s="32">
        <f t="shared" si="41"/>
        <v>9.3046327534179643</v>
      </c>
      <c r="Q60" s="32">
        <f t="shared" si="41"/>
        <v>2334.86644867</v>
      </c>
      <c r="R60" s="32">
        <f t="shared" si="41"/>
        <v>32.468154945374508</v>
      </c>
      <c r="S60" s="32">
        <f t="shared" si="41"/>
        <v>197.62110000000001</v>
      </c>
      <c r="T60" s="32">
        <f t="shared" si="41"/>
        <v>2.7480768756304217</v>
      </c>
      <c r="U60" s="32">
        <f t="shared" si="41"/>
        <v>7.0910000000000002</v>
      </c>
      <c r="V60" s="32">
        <f t="shared" si="41"/>
        <v>9.8605933906325383E-2</v>
      </c>
      <c r="W60" s="32">
        <f t="shared" si="41"/>
        <v>0.57177211999999999</v>
      </c>
      <c r="X60" s="32">
        <f t="shared" si="41"/>
        <v>7.9509411753207644E-3</v>
      </c>
      <c r="Y60" s="32">
        <f t="shared" si="9"/>
        <v>48.079620780000333</v>
      </c>
      <c r="Z60" s="32">
        <f t="shared" si="41"/>
        <v>0.66858495400844742</v>
      </c>
      <c r="AA60" s="32">
        <f t="shared" si="41"/>
        <v>43.629224700000002</v>
      </c>
      <c r="AB60" s="32">
        <f t="shared" si="41"/>
        <v>0.60669869512796759</v>
      </c>
      <c r="AC60" s="32">
        <f t="shared" si="41"/>
        <v>0</v>
      </c>
      <c r="AD60" s="32">
        <f t="shared" si="41"/>
        <v>0</v>
      </c>
      <c r="AE60" s="32">
        <f t="shared" si="41"/>
        <v>0.51973062000000003</v>
      </c>
      <c r="AF60" s="32">
        <f t="shared" si="41"/>
        <v>7.2272631737150634E-3</v>
      </c>
      <c r="AG60" s="32">
        <f t="shared" si="41"/>
        <v>10.209447389999999</v>
      </c>
      <c r="AH60" s="32">
        <f t="shared" si="41"/>
        <v>0.14197039833005867</v>
      </c>
      <c r="AI60" s="32">
        <f t="shared" si="41"/>
        <v>180.59689255999999</v>
      </c>
      <c r="CD60" s="239"/>
    </row>
    <row r="61" spans="1:82" hidden="1">
      <c r="A61" s="679" t="s">
        <v>18</v>
      </c>
      <c r="B61" s="32">
        <v>4758.2469343599996</v>
      </c>
      <c r="C61" s="32">
        <v>99.579425850000007</v>
      </c>
      <c r="D61" s="32">
        <f t="shared" ref="D61:R61" si="42">C61/$B61*100</f>
        <v>2.0927754953388895</v>
      </c>
      <c r="E61" s="32">
        <v>1240.5537354799999</v>
      </c>
      <c r="F61" s="32">
        <f t="shared" si="42"/>
        <v>26.071655224990099</v>
      </c>
      <c r="G61" s="32">
        <v>314.18942650000002</v>
      </c>
      <c r="H61" s="32">
        <f t="shared" si="42"/>
        <v>6.603050048352725</v>
      </c>
      <c r="I61" s="32">
        <v>199.01313359</v>
      </c>
      <c r="J61" s="32">
        <f t="shared" si="42"/>
        <v>4.182488557979136</v>
      </c>
      <c r="K61" s="32">
        <v>333.36898392000001</v>
      </c>
      <c r="L61" s="32">
        <f t="shared" si="42"/>
        <v>7.0061303778224211</v>
      </c>
      <c r="M61" s="32">
        <v>320.65054728000001</v>
      </c>
      <c r="N61" s="32">
        <f t="shared" si="42"/>
        <v>6.738837889318761</v>
      </c>
      <c r="O61" s="32">
        <v>473.15294684000003</v>
      </c>
      <c r="P61" s="32">
        <f t="shared" si="42"/>
        <v>9.9438501903567289</v>
      </c>
      <c r="Q61" s="32">
        <v>1694.33018292</v>
      </c>
      <c r="R61" s="32">
        <f t="shared" si="42"/>
        <v>35.60828612498004</v>
      </c>
      <c r="S61" s="32">
        <v>187.57599999999999</v>
      </c>
      <c r="T61" s="32">
        <f t="shared" ref="D61:T72" si="43">S61/$B61*100</f>
        <v>3.9421241181386817</v>
      </c>
      <c r="U61" s="32">
        <v>3.15549005</v>
      </c>
      <c r="V61" s="32">
        <f t="shared" ref="V61:V72" si="44">U61/$B61*100</f>
        <v>6.6316231450993912E-2</v>
      </c>
      <c r="W61" s="32">
        <v>0.96917964999999995</v>
      </c>
      <c r="X61" s="32">
        <f t="shared" si="27"/>
        <v>2.0368418524087335E-2</v>
      </c>
      <c r="Y61" s="680">
        <f t="shared" si="9"/>
        <v>27.616469989999512</v>
      </c>
      <c r="Z61" s="32">
        <f t="shared" ref="Z61:Z72" si="45">Y61/$B61*100</f>
        <v>0.58039169406230107</v>
      </c>
      <c r="AA61" s="643">
        <v>15.299684539999999</v>
      </c>
      <c r="AB61" s="643">
        <f t="shared" ref="AB61:AB72" si="46">AA61/B61*100</f>
        <v>0.32154036457248009</v>
      </c>
      <c r="AC61" s="643">
        <v>16.368736800000001</v>
      </c>
      <c r="AD61" s="643">
        <f t="shared" ref="AD61:AF72" si="47">AC61/$B61*100</f>
        <v>0.34400772019205117</v>
      </c>
      <c r="AE61" s="643">
        <v>8.3973347999999994</v>
      </c>
      <c r="AF61" s="643">
        <f t="shared" si="47"/>
        <v>0.17647959250205389</v>
      </c>
      <c r="AG61" s="643">
        <v>11.60165615</v>
      </c>
      <c r="AH61" s="643">
        <f t="shared" ref="AH61:AH72" si="48">AG61/$B61*100</f>
        <v>0.24382206955722996</v>
      </c>
      <c r="AI61" s="32">
        <v>110.71274722</v>
      </c>
      <c r="CC61" s="58">
        <f>CC7+CC45-CC47+CC58-CC59</f>
        <v>-141</v>
      </c>
      <c r="CD61" s="239">
        <f>BY61+BZ61+CA61+CC61</f>
        <v>-141</v>
      </c>
    </row>
    <row r="62" spans="1:82" hidden="1">
      <c r="A62" s="679" t="s">
        <v>19</v>
      </c>
      <c r="B62" s="32">
        <v>4812.1859055799996</v>
      </c>
      <c r="C62" s="32">
        <v>108.24244997</v>
      </c>
      <c r="D62" s="32">
        <f t="shared" si="43"/>
        <v>2.249340571911131</v>
      </c>
      <c r="E62" s="32">
        <v>1295.60176583</v>
      </c>
      <c r="F62" s="32">
        <f t="shared" si="43"/>
        <v>26.923352323684689</v>
      </c>
      <c r="G62" s="32">
        <v>364.99834043999999</v>
      </c>
      <c r="H62" s="32">
        <f t="shared" si="43"/>
        <v>7.5848761374069928</v>
      </c>
      <c r="I62" s="32">
        <v>206.10646295999999</v>
      </c>
      <c r="J62" s="32">
        <f t="shared" si="43"/>
        <v>4.2830112344788676</v>
      </c>
      <c r="K62" s="32">
        <v>347.91385271000001</v>
      </c>
      <c r="L62" s="32">
        <f t="shared" si="43"/>
        <v>7.229850623737839</v>
      </c>
      <c r="M62" s="32">
        <v>329.02567679999999</v>
      </c>
      <c r="N62" s="32">
        <f t="shared" si="43"/>
        <v>6.8373434288662089</v>
      </c>
      <c r="O62" s="32">
        <v>287.14354584</v>
      </c>
      <c r="P62" s="32">
        <f t="shared" si="43"/>
        <v>5.9670085793452188</v>
      </c>
      <c r="Q62" s="32">
        <v>1789.4664088100001</v>
      </c>
      <c r="R62" s="32">
        <f t="shared" si="43"/>
        <v>37.186144590445132</v>
      </c>
      <c r="S62" s="32">
        <v>188.9</v>
      </c>
      <c r="T62" s="32">
        <f t="shared" si="43"/>
        <v>3.9254510051442497</v>
      </c>
      <c r="U62" s="32">
        <v>3.71887144</v>
      </c>
      <c r="V62" s="32">
        <f t="shared" si="44"/>
        <v>7.7280294505824465E-2</v>
      </c>
      <c r="W62" s="32">
        <v>10.968326579999999</v>
      </c>
      <c r="X62" s="32">
        <f t="shared" si="27"/>
        <v>0.22792815562843508</v>
      </c>
      <c r="Y62" s="680">
        <f t="shared" si="9"/>
        <v>27.277727569999797</v>
      </c>
      <c r="Z62" s="32">
        <f t="shared" si="45"/>
        <v>0.56684691957494282</v>
      </c>
      <c r="AA62" s="643">
        <v>15.82346493</v>
      </c>
      <c r="AB62" s="643">
        <f t="shared" si="46"/>
        <v>0.32882073220928154</v>
      </c>
      <c r="AC62" s="643">
        <v>4.3049200799999996</v>
      </c>
      <c r="AD62" s="643">
        <f t="shared" si="47"/>
        <v>8.9458723425630826E-2</v>
      </c>
      <c r="AE62" s="643">
        <v>7.66128667</v>
      </c>
      <c r="AF62" s="643">
        <f t="shared" si="47"/>
        <v>0.15920595796426543</v>
      </c>
      <c r="AG62" s="643">
        <v>13.93280495</v>
      </c>
      <c r="AH62" s="643">
        <f t="shared" si="48"/>
        <v>0.28953172681554407</v>
      </c>
      <c r="AI62" s="32">
        <v>139.45542606999999</v>
      </c>
    </row>
    <row r="63" spans="1:82" hidden="1">
      <c r="A63" s="679" t="s">
        <v>20</v>
      </c>
      <c r="B63" s="32">
        <v>4932.1251997099998</v>
      </c>
      <c r="C63" s="32">
        <v>102.78926656</v>
      </c>
      <c r="D63" s="32">
        <f t="shared" si="43"/>
        <v>2.0840765876349576</v>
      </c>
      <c r="E63" s="32">
        <v>1332.2352727499999</v>
      </c>
      <c r="F63" s="32">
        <f t="shared" si="43"/>
        <v>27.011383912726565</v>
      </c>
      <c r="G63" s="32">
        <v>360.28087202</v>
      </c>
      <c r="H63" s="32">
        <f t="shared" si="43"/>
        <v>7.3047795307625982</v>
      </c>
      <c r="I63" s="32">
        <v>213.34152766</v>
      </c>
      <c r="J63" s="32">
        <f t="shared" si="43"/>
        <v>4.3255497178486886</v>
      </c>
      <c r="K63" s="32">
        <v>347.23472743000002</v>
      </c>
      <c r="L63" s="32">
        <f t="shared" si="43"/>
        <v>7.0402658766735442</v>
      </c>
      <c r="M63" s="32">
        <v>345.71170587</v>
      </c>
      <c r="N63" s="32">
        <f t="shared" si="43"/>
        <v>7.0093862558543165</v>
      </c>
      <c r="O63" s="32">
        <v>307.35975249000001</v>
      </c>
      <c r="P63" s="32">
        <f t="shared" si="43"/>
        <v>6.2317913687201658</v>
      </c>
      <c r="Q63" s="32">
        <v>1848.98235628</v>
      </c>
      <c r="R63" s="32">
        <f t="shared" si="43"/>
        <v>37.488552731563196</v>
      </c>
      <c r="S63" s="32">
        <v>181.16589999999999</v>
      </c>
      <c r="T63" s="32">
        <f t="shared" si="43"/>
        <v>3.6731812892878759</v>
      </c>
      <c r="U63" s="32">
        <v>7.9586439100000002</v>
      </c>
      <c r="V63" s="32">
        <f t="shared" si="44"/>
        <v>0.16136337963334657</v>
      </c>
      <c r="W63" s="32">
        <v>6.1126255299999999</v>
      </c>
      <c r="X63" s="32">
        <f t="shared" si="27"/>
        <v>0.12393492221891309</v>
      </c>
      <c r="Y63" s="680">
        <f t="shared" si="9"/>
        <v>22.610342779999286</v>
      </c>
      <c r="Z63" s="32">
        <f t="shared" si="45"/>
        <v>0.45843002487708001</v>
      </c>
      <c r="AA63" s="643">
        <v>16.11993953</v>
      </c>
      <c r="AB63" s="643">
        <f t="shared" si="46"/>
        <v>0.32683557041390238</v>
      </c>
      <c r="AC63" s="643">
        <v>3.8175442199999998</v>
      </c>
      <c r="AD63" s="643">
        <f t="shared" si="47"/>
        <v>7.7401608138910685E-2</v>
      </c>
      <c r="AE63" s="643">
        <v>6.1715610999999999</v>
      </c>
      <c r="AF63" s="643">
        <f t="shared" si="47"/>
        <v>0.12512985478071151</v>
      </c>
      <c r="AG63" s="643">
        <v>11.39906158</v>
      </c>
      <c r="AH63" s="643">
        <f t="shared" si="48"/>
        <v>0.23111865815308671</v>
      </c>
      <c r="AI63" s="32">
        <v>176.55846951999999</v>
      </c>
    </row>
    <row r="64" spans="1:82" hidden="1">
      <c r="A64" s="679" t="s">
        <v>21</v>
      </c>
      <c r="B64" s="32">
        <v>5216.6671280999999</v>
      </c>
      <c r="C64" s="32">
        <v>108.11394384</v>
      </c>
      <c r="D64" s="32">
        <f t="shared" si="43"/>
        <v>2.0724715835832326</v>
      </c>
      <c r="E64" s="32">
        <v>1402.9155777200001</v>
      </c>
      <c r="F64" s="32">
        <f t="shared" si="43"/>
        <v>26.892947992849336</v>
      </c>
      <c r="G64" s="32">
        <v>366.16147740999997</v>
      </c>
      <c r="H64" s="32">
        <f t="shared" si="43"/>
        <v>7.0190692336423295</v>
      </c>
      <c r="I64" s="32">
        <v>230.93276953</v>
      </c>
      <c r="J64" s="32">
        <f t="shared" si="43"/>
        <v>4.426825861402234</v>
      </c>
      <c r="K64" s="32">
        <v>419.6528404</v>
      </c>
      <c r="L64" s="32">
        <f t="shared" si="43"/>
        <v>8.0444626826869197</v>
      </c>
      <c r="M64" s="32">
        <v>352.18378815</v>
      </c>
      <c r="N64" s="32">
        <f t="shared" si="43"/>
        <v>6.7511263322310429</v>
      </c>
      <c r="O64" s="32">
        <v>241.11989061</v>
      </c>
      <c r="P64" s="32">
        <f t="shared" si="43"/>
        <v>4.6221061204229068</v>
      </c>
      <c r="Q64" s="32">
        <v>1996.42207422</v>
      </c>
      <c r="R64" s="32">
        <f t="shared" si="43"/>
        <v>38.270068325159393</v>
      </c>
      <c r="S64" s="32">
        <v>191.91901999999999</v>
      </c>
      <c r="T64" s="32">
        <f t="shared" si="43"/>
        <v>3.6789585244228569</v>
      </c>
      <c r="U64" s="32">
        <v>7.74629397</v>
      </c>
      <c r="V64" s="32">
        <f t="shared" si="44"/>
        <v>0.14849124507626643</v>
      </c>
      <c r="W64" s="32">
        <v>0.10171761999999999</v>
      </c>
      <c r="X64" s="32">
        <f t="shared" si="27"/>
        <v>1.9498583578793018E-3</v>
      </c>
      <c r="Y64" s="680">
        <f t="shared" si="9"/>
        <v>22.907601090000462</v>
      </c>
      <c r="Z64" s="32">
        <f t="shared" si="45"/>
        <v>0.43912330473621392</v>
      </c>
      <c r="AA64" s="643">
        <v>21.221039510000001</v>
      </c>
      <c r="AB64" s="643">
        <f t="shared" si="46"/>
        <v>0.40679305366622215</v>
      </c>
      <c r="AC64" s="643">
        <v>3.65797908</v>
      </c>
      <c r="AD64" s="643">
        <f t="shared" si="47"/>
        <v>7.0120998525974559E-2</v>
      </c>
      <c r="AE64" s="643">
        <v>6.1070864699999996</v>
      </c>
      <c r="AF64" s="643">
        <f t="shared" si="47"/>
        <v>0.11706873986848201</v>
      </c>
      <c r="AG64" s="643">
        <v>37.423048479999999</v>
      </c>
      <c r="AH64" s="643">
        <f t="shared" si="48"/>
        <v>0.71737466779158132</v>
      </c>
      <c r="AI64" s="32">
        <v>160.23920007000001</v>
      </c>
    </row>
    <row r="65" spans="1:35" hidden="1">
      <c r="A65" s="679" t="s">
        <v>22</v>
      </c>
      <c r="B65" s="32">
        <v>6063.9725886699998</v>
      </c>
      <c r="C65" s="32">
        <v>114.13362878</v>
      </c>
      <c r="D65" s="32">
        <f t="shared" si="43"/>
        <v>1.8821593783792601</v>
      </c>
      <c r="E65" s="32">
        <v>1461.5167391499999</v>
      </c>
      <c r="F65" s="32">
        <f t="shared" si="43"/>
        <v>24.101638287097728</v>
      </c>
      <c r="G65" s="32">
        <v>920.66991012999995</v>
      </c>
      <c r="H65" s="32">
        <f t="shared" si="43"/>
        <v>15.182619918998164</v>
      </c>
      <c r="I65" s="32">
        <v>241.72728119000001</v>
      </c>
      <c r="J65" s="32">
        <f t="shared" si="43"/>
        <v>3.9862858490100397</v>
      </c>
      <c r="K65" s="32">
        <v>421.01543251999999</v>
      </c>
      <c r="L65" s="32">
        <f t="shared" si="43"/>
        <v>6.9428980155126414</v>
      </c>
      <c r="M65" s="32">
        <v>361.30599027</v>
      </c>
      <c r="N65" s="32">
        <f t="shared" si="43"/>
        <v>5.958239173855576</v>
      </c>
      <c r="O65" s="32">
        <v>342.49756350000001</v>
      </c>
      <c r="P65" s="32">
        <f t="shared" si="43"/>
        <v>5.6480724226875072</v>
      </c>
      <c r="Q65" s="32">
        <v>2122.9451715199998</v>
      </c>
      <c r="R65" s="32">
        <f t="shared" si="43"/>
        <v>35.00914854870117</v>
      </c>
      <c r="S65" s="32">
        <v>191.91901999999999</v>
      </c>
      <c r="T65" s="32">
        <f t="shared" si="43"/>
        <v>3.1649057972093053</v>
      </c>
      <c r="U65" s="32">
        <v>7.6822537400000002</v>
      </c>
      <c r="V65" s="32">
        <f t="shared" si="44"/>
        <v>0.12668681508148003</v>
      </c>
      <c r="W65" s="32">
        <v>0.18036930000000001</v>
      </c>
      <c r="X65" s="32">
        <f t="shared" si="27"/>
        <v>2.9744412159283867E-3</v>
      </c>
      <c r="Y65" s="680">
        <f t="shared" si="9"/>
        <v>21.468223629998882</v>
      </c>
      <c r="Z65" s="32">
        <f t="shared" si="45"/>
        <v>0.35402903486256471</v>
      </c>
      <c r="AA65" s="643">
        <v>25.768725679999999</v>
      </c>
      <c r="AB65" s="643">
        <f t="shared" si="46"/>
        <v>0.4249479248660622</v>
      </c>
      <c r="AC65" s="643">
        <v>3.47230908</v>
      </c>
      <c r="AD65" s="643">
        <f t="shared" si="47"/>
        <v>5.7261292481560755E-2</v>
      </c>
      <c r="AE65" s="643">
        <v>6.0095681000000001</v>
      </c>
      <c r="AF65" s="643">
        <f t="shared" si="47"/>
        <v>9.9102824297529826E-2</v>
      </c>
      <c r="AG65" s="643">
        <v>13.579422080000001</v>
      </c>
      <c r="AH65" s="643">
        <f t="shared" si="48"/>
        <v>0.22393607295276957</v>
      </c>
      <c r="AI65" s="32">
        <v>160.98538593000001</v>
      </c>
    </row>
    <row r="66" spans="1:35" hidden="1">
      <c r="A66" s="679" t="s">
        <v>23</v>
      </c>
      <c r="B66" s="32">
        <v>6166.4532703000004</v>
      </c>
      <c r="C66" s="32">
        <v>99.892589330000007</v>
      </c>
      <c r="D66" s="32">
        <f t="shared" si="43"/>
        <v>1.6199358845565399</v>
      </c>
      <c r="E66" s="32">
        <v>1501.2851055599999</v>
      </c>
      <c r="F66" s="32">
        <f t="shared" si="43"/>
        <v>24.346006363021736</v>
      </c>
      <c r="G66" s="32">
        <v>899.25081998999997</v>
      </c>
      <c r="H66" s="32">
        <f t="shared" si="43"/>
        <v>14.582950369885006</v>
      </c>
      <c r="I66" s="32">
        <v>242.48630402000001</v>
      </c>
      <c r="J66" s="32">
        <f t="shared" si="43"/>
        <v>3.9323464135844</v>
      </c>
      <c r="K66" s="32">
        <v>455.96720755000001</v>
      </c>
      <c r="L66" s="32">
        <f t="shared" si="43"/>
        <v>7.3943187041749372</v>
      </c>
      <c r="M66" s="32">
        <v>364.9557858</v>
      </c>
      <c r="N66" s="32">
        <f t="shared" si="43"/>
        <v>5.9184067372693274</v>
      </c>
      <c r="O66" s="32">
        <v>359.87672910999999</v>
      </c>
      <c r="P66" s="32">
        <f t="shared" si="43"/>
        <v>5.8360408055519386</v>
      </c>
      <c r="Q66" s="32">
        <v>2171.2534645400001</v>
      </c>
      <c r="R66" s="32">
        <f t="shared" si="43"/>
        <v>35.210734102171628</v>
      </c>
      <c r="S66" s="32">
        <v>203.59516396000001</v>
      </c>
      <c r="T66" s="32">
        <f t="shared" si="43"/>
        <v>3.3016574526007072</v>
      </c>
      <c r="U66" s="32">
        <v>7.6234925499999999</v>
      </c>
      <c r="V66" s="32">
        <f t="shared" si="44"/>
        <v>0.12362848165440024</v>
      </c>
      <c r="W66" s="32">
        <v>1.46894787</v>
      </c>
      <c r="X66" s="32">
        <f t="shared" si="27"/>
        <v>2.3821600612381436E-2</v>
      </c>
      <c r="Y66" s="680">
        <f t="shared" si="9"/>
        <v>18.864423700000494</v>
      </c>
      <c r="Z66" s="32">
        <f t="shared" si="45"/>
        <v>0.30592015982442905</v>
      </c>
      <c r="AA66" s="643">
        <v>26.342192600000001</v>
      </c>
      <c r="AB66" s="643">
        <f t="shared" si="46"/>
        <v>0.42718547348561103</v>
      </c>
      <c r="AC66" s="643">
        <v>3.6220376299999999</v>
      </c>
      <c r="AD66" s="643">
        <f t="shared" si="47"/>
        <v>5.8737777961362654E-2</v>
      </c>
      <c r="AE66" s="643">
        <v>0.94044083999999994</v>
      </c>
      <c r="AF66" s="643">
        <f t="shared" si="47"/>
        <v>1.5250919755275259E-2</v>
      </c>
      <c r="AG66" s="643">
        <v>12.62372921</v>
      </c>
      <c r="AH66" s="643">
        <f t="shared" si="48"/>
        <v>0.20471620649102643</v>
      </c>
      <c r="AI66" s="32">
        <v>164.03330973999999</v>
      </c>
    </row>
    <row r="67" spans="1:35" hidden="1">
      <c r="A67" s="679" t="s">
        <v>24</v>
      </c>
      <c r="B67" s="32">
        <v>6361.5449279599998</v>
      </c>
      <c r="C67" s="32">
        <v>109.28017438000001</v>
      </c>
      <c r="D67" s="32">
        <f t="shared" si="43"/>
        <v>1.7178244532974416</v>
      </c>
      <c r="E67" s="32">
        <v>1544.5550000000001</v>
      </c>
      <c r="F67" s="32">
        <f t="shared" si="43"/>
        <v>24.279558149647514</v>
      </c>
      <c r="G67" s="32">
        <v>847.40220439999996</v>
      </c>
      <c r="H67" s="32">
        <f t="shared" si="43"/>
        <v>13.320698257989703</v>
      </c>
      <c r="I67" s="32">
        <v>247.50899999999999</v>
      </c>
      <c r="J67" s="32">
        <f t="shared" si="43"/>
        <v>3.8907058395855803</v>
      </c>
      <c r="K67" s="32">
        <v>477.30700000000002</v>
      </c>
      <c r="L67" s="32">
        <f t="shared" si="43"/>
        <v>7.5030044651914665</v>
      </c>
      <c r="M67" s="32">
        <v>380.56599999999997</v>
      </c>
      <c r="N67" s="32">
        <f t="shared" si="43"/>
        <v>5.9822889614023156</v>
      </c>
      <c r="O67" s="32">
        <v>362.44132743</v>
      </c>
      <c r="P67" s="32">
        <f t="shared" si="43"/>
        <v>5.6973790413239529</v>
      </c>
      <c r="Q67" s="32">
        <v>2314.442</v>
      </c>
      <c r="R67" s="32">
        <f t="shared" si="43"/>
        <v>36.381759874518217</v>
      </c>
      <c r="S67" s="32">
        <v>164.88300000000001</v>
      </c>
      <c r="T67" s="32">
        <f t="shared" si="43"/>
        <v>2.5918704004637783</v>
      </c>
      <c r="U67" s="32">
        <v>7.57</v>
      </c>
      <c r="V67" s="32">
        <f t="shared" si="44"/>
        <v>0.11899625147232158</v>
      </c>
      <c r="W67" s="32">
        <v>0.46400000000000002</v>
      </c>
      <c r="X67" s="32">
        <f t="shared" si="27"/>
        <v>7.2938257177222214E-3</v>
      </c>
      <c r="Y67" s="680">
        <f t="shared" si="9"/>
        <v>20.638221749999563</v>
      </c>
      <c r="Z67" s="32">
        <f t="shared" si="45"/>
        <v>0.32442153570732951</v>
      </c>
      <c r="AA67" s="643">
        <v>32.5</v>
      </c>
      <c r="AB67" s="643">
        <f t="shared" si="46"/>
        <v>0.51088218928011242</v>
      </c>
      <c r="AC67" s="643">
        <v>0.26</v>
      </c>
      <c r="AD67" s="643">
        <f t="shared" si="47"/>
        <v>4.0870575142408997E-3</v>
      </c>
      <c r="AE67" s="643">
        <v>0.86799999999999999</v>
      </c>
      <c r="AF67" s="643">
        <f t="shared" si="47"/>
        <v>1.3644484316773465E-2</v>
      </c>
      <c r="AG67" s="643">
        <v>15.742000000000001</v>
      </c>
      <c r="AH67" s="643">
        <f t="shared" si="48"/>
        <v>0.24745561303530866</v>
      </c>
      <c r="AI67" s="32">
        <v>178.22800000000001</v>
      </c>
    </row>
    <row r="68" spans="1:35" hidden="1">
      <c r="A68" s="679" t="s">
        <v>25</v>
      </c>
      <c r="B68" s="32">
        <v>6455.0339999999997</v>
      </c>
      <c r="C68" s="32">
        <v>122.87884366999999</v>
      </c>
      <c r="D68" s="32">
        <f t="shared" si="43"/>
        <v>1.9036126482060358</v>
      </c>
      <c r="E68" s="32">
        <v>1565.04141525</v>
      </c>
      <c r="F68" s="32">
        <f t="shared" si="43"/>
        <v>24.245285388891833</v>
      </c>
      <c r="G68" s="32">
        <v>793.67726954</v>
      </c>
      <c r="H68" s="32">
        <f t="shared" si="43"/>
        <v>12.295477754880919</v>
      </c>
      <c r="I68" s="32">
        <v>246.73682292000001</v>
      </c>
      <c r="J68" s="32">
        <f t="shared" si="43"/>
        <v>3.8223938544707901</v>
      </c>
      <c r="K68" s="32">
        <v>484.75122442000003</v>
      </c>
      <c r="L68" s="32">
        <f t="shared" si="43"/>
        <v>7.5096618301313365</v>
      </c>
      <c r="M68" s="32">
        <v>384.31110414</v>
      </c>
      <c r="N68" s="32">
        <f t="shared" si="43"/>
        <v>5.9536650641964091</v>
      </c>
      <c r="O68" s="32">
        <v>382.10543888000001</v>
      </c>
      <c r="P68" s="32">
        <f t="shared" si="43"/>
        <v>5.9194953718291803</v>
      </c>
      <c r="Q68" s="32">
        <v>2399.78801406</v>
      </c>
      <c r="R68" s="32">
        <f t="shared" si="43"/>
        <v>37.177000369943833</v>
      </c>
      <c r="S68" s="32">
        <v>207.53</v>
      </c>
      <c r="T68" s="32">
        <f t="shared" si="43"/>
        <v>3.2150101765536796</v>
      </c>
      <c r="U68" s="32">
        <v>7.5630374199999997</v>
      </c>
      <c r="V68" s="32">
        <f t="shared" si="44"/>
        <v>0.11716495095145897</v>
      </c>
      <c r="W68" s="32">
        <v>1.06413259</v>
      </c>
      <c r="X68" s="32">
        <f t="shared" si="27"/>
        <v>1.6485313477822117E-2</v>
      </c>
      <c r="Y68" s="680">
        <f t="shared" si="9"/>
        <v>20.732108210000135</v>
      </c>
      <c r="Z68" s="32">
        <f t="shared" si="45"/>
        <v>0.32117736653285073</v>
      </c>
      <c r="AA68" s="643">
        <v>32.794790120000002</v>
      </c>
      <c r="AB68" s="643">
        <f t="shared" si="46"/>
        <v>0.50804984326960956</v>
      </c>
      <c r="AC68" s="643">
        <v>0.14382</v>
      </c>
      <c r="AD68" s="643">
        <f t="shared" si="47"/>
        <v>2.2280285433043424E-3</v>
      </c>
      <c r="AE68" s="643">
        <v>0.80105466999999997</v>
      </c>
      <c r="AF68" s="643">
        <f t="shared" si="47"/>
        <v>1.2409766857928247E-2</v>
      </c>
      <c r="AG68" s="643">
        <v>12.64492411</v>
      </c>
      <c r="AH68" s="643">
        <f t="shared" si="48"/>
        <v>0.19589244781669626</v>
      </c>
      <c r="AI68" s="32">
        <v>149.28882658000001</v>
      </c>
    </row>
    <row r="69" spans="1:35" hidden="1">
      <c r="A69" s="679" t="s">
        <v>26</v>
      </c>
      <c r="B69" s="32">
        <v>6604.7275165600004</v>
      </c>
      <c r="C69" s="32">
        <v>139.27907212</v>
      </c>
      <c r="D69" s="32">
        <f t="shared" si="43"/>
        <v>2.1087784737642283</v>
      </c>
      <c r="E69" s="32">
        <v>1579.10699843</v>
      </c>
      <c r="F69" s="32">
        <f t="shared" si="43"/>
        <v>23.908738013350479</v>
      </c>
      <c r="G69" s="32">
        <v>829.92823048000002</v>
      </c>
      <c r="H69" s="32">
        <f t="shared" si="43"/>
        <v>12.56566949051456</v>
      </c>
      <c r="I69" s="32">
        <v>253.46743577999999</v>
      </c>
      <c r="J69" s="32">
        <f t="shared" si="43"/>
        <v>3.83766680978863</v>
      </c>
      <c r="K69" s="32">
        <v>470.60682910000003</v>
      </c>
      <c r="L69" s="32">
        <f t="shared" si="43"/>
        <v>7.125302715669191</v>
      </c>
      <c r="M69" s="32">
        <v>399.78630048000002</v>
      </c>
      <c r="N69" s="32">
        <f t="shared" si="43"/>
        <v>6.0530324601222052</v>
      </c>
      <c r="O69" s="32">
        <v>400.90335019999998</v>
      </c>
      <c r="P69" s="32">
        <f t="shared" si="43"/>
        <v>6.0699453413455284</v>
      </c>
      <c r="Q69" s="32">
        <v>2433.3362617399998</v>
      </c>
      <c r="R69" s="32">
        <f t="shared" si="43"/>
        <v>36.842341423456276</v>
      </c>
      <c r="S69" s="32">
        <v>234.5933545</v>
      </c>
      <c r="T69" s="32">
        <f t="shared" si="43"/>
        <v>3.5519005729124364</v>
      </c>
      <c r="U69" s="32">
        <v>7.51917831</v>
      </c>
      <c r="V69" s="32">
        <f t="shared" si="44"/>
        <v>0.11384539772681312</v>
      </c>
      <c r="W69" s="32">
        <v>1.8069187799999999</v>
      </c>
      <c r="X69" s="32">
        <f t="shared" si="27"/>
        <v>2.7357961028210802E-2</v>
      </c>
      <c r="Y69" s="680">
        <f t="shared" si="9"/>
        <v>20.820132770000367</v>
      </c>
      <c r="Z69" s="32">
        <f t="shared" si="45"/>
        <v>0.31523076035760977</v>
      </c>
      <c r="AA69" s="643">
        <v>35.905372579999998</v>
      </c>
      <c r="AB69" s="643">
        <f t="shared" si="46"/>
        <v>0.54363139872121347</v>
      </c>
      <c r="AC69" s="643">
        <v>0.5448366</v>
      </c>
      <c r="AD69" s="643">
        <f t="shared" si="47"/>
        <v>8.249191183647378E-3</v>
      </c>
      <c r="AE69" s="643">
        <v>20.73649314</v>
      </c>
      <c r="AF69" s="643">
        <f t="shared" si="47"/>
        <v>0.31396440031791611</v>
      </c>
      <c r="AG69" s="643">
        <v>10.98010605</v>
      </c>
      <c r="AH69" s="643">
        <f t="shared" si="48"/>
        <v>0.16624616265348774</v>
      </c>
      <c r="AI69" s="32">
        <v>194.29485148000001</v>
      </c>
    </row>
    <row r="70" spans="1:35" hidden="1">
      <c r="A70" s="679" t="s">
        <v>27</v>
      </c>
      <c r="B70" s="32">
        <v>6697.4756245500002</v>
      </c>
      <c r="C70" s="32">
        <v>142.62396127</v>
      </c>
      <c r="D70" s="32">
        <f t="shared" si="43"/>
        <v>2.1295181836452421</v>
      </c>
      <c r="E70" s="32">
        <v>1705.7200683799999</v>
      </c>
      <c r="F70" s="32">
        <f t="shared" si="43"/>
        <v>25.468104163419131</v>
      </c>
      <c r="G70" s="32">
        <v>810.59</v>
      </c>
      <c r="H70" s="32">
        <f t="shared" si="43"/>
        <v>12.102918255181603</v>
      </c>
      <c r="I70" s="32">
        <v>255.9</v>
      </c>
      <c r="J70" s="32">
        <f t="shared" si="43"/>
        <v>3.8208425733119973</v>
      </c>
      <c r="K70" s="32">
        <v>450.49</v>
      </c>
      <c r="L70" s="32">
        <f t="shared" si="43"/>
        <v>6.7262656148937934</v>
      </c>
      <c r="M70" s="32">
        <v>409.07799999999997</v>
      </c>
      <c r="N70" s="32">
        <f t="shared" si="43"/>
        <v>6.1079430957613337</v>
      </c>
      <c r="O70" s="32">
        <v>456.23</v>
      </c>
      <c r="P70" s="32">
        <f t="shared" si="43"/>
        <v>6.8119695475659743</v>
      </c>
      <c r="Q70" s="32">
        <v>2364.7800000000002</v>
      </c>
      <c r="R70" s="32">
        <f t="shared" si="43"/>
        <v>35.308527161065825</v>
      </c>
      <c r="S70" s="32">
        <v>204.565</v>
      </c>
      <c r="T70" s="32">
        <f t="shared" si="43"/>
        <v>3.0543597538474745</v>
      </c>
      <c r="U70" s="32">
        <v>7.3879999999999999</v>
      </c>
      <c r="V70" s="32">
        <f t="shared" si="44"/>
        <v>0.11031021856830417</v>
      </c>
      <c r="W70" s="32">
        <v>7.3000000000000001E-3</v>
      </c>
      <c r="X70" s="32">
        <f t="shared" si="27"/>
        <v>1.0899629068064704E-4</v>
      </c>
      <c r="Y70" s="680">
        <f t="shared" si="9"/>
        <v>18.1596111799991</v>
      </c>
      <c r="Z70" s="32">
        <f t="shared" si="45"/>
        <v>0.27114113134557671</v>
      </c>
      <c r="AA70" s="643">
        <v>37.347240749999997</v>
      </c>
      <c r="AB70" s="643">
        <f t="shared" si="46"/>
        <v>0.55763160395987765</v>
      </c>
      <c r="AC70" s="643">
        <v>0</v>
      </c>
      <c r="AD70" s="643">
        <f t="shared" si="47"/>
        <v>0</v>
      </c>
      <c r="AE70" s="643">
        <v>20.653561830000001</v>
      </c>
      <c r="AF70" s="643">
        <f t="shared" si="47"/>
        <v>0.30837830531690363</v>
      </c>
      <c r="AG70" s="643">
        <v>18.507881139999999</v>
      </c>
      <c r="AH70" s="643">
        <f t="shared" si="48"/>
        <v>0.27634114967374046</v>
      </c>
      <c r="AI70" s="32">
        <v>206.29377181999999</v>
      </c>
    </row>
    <row r="71" spans="1:35" hidden="1">
      <c r="A71" s="679" t="s">
        <v>28</v>
      </c>
      <c r="B71" s="32">
        <v>6855.4556472699996</v>
      </c>
      <c r="C71" s="32">
        <v>145.30813495999999</v>
      </c>
      <c r="D71" s="32">
        <f t="shared" si="43"/>
        <v>2.1195984984289851</v>
      </c>
      <c r="E71" s="32">
        <v>1714.59734084</v>
      </c>
      <c r="F71" s="32">
        <f t="shared" si="43"/>
        <v>25.01069847228597</v>
      </c>
      <c r="G71" s="32">
        <v>812.32328261999999</v>
      </c>
      <c r="H71" s="32">
        <f t="shared" si="43"/>
        <v>11.84929674139874</v>
      </c>
      <c r="I71" s="32">
        <v>258.65031905000001</v>
      </c>
      <c r="J71" s="32">
        <f t="shared" si="43"/>
        <v>3.7729121499458689</v>
      </c>
      <c r="K71" s="32">
        <v>425.76389989</v>
      </c>
      <c r="L71" s="32">
        <f t="shared" si="43"/>
        <v>6.2105849967762392</v>
      </c>
      <c r="M71" s="32">
        <v>405.85523706999999</v>
      </c>
      <c r="N71" s="32">
        <f t="shared" si="43"/>
        <v>5.9201788758070499</v>
      </c>
      <c r="O71" s="32">
        <v>660.60453307</v>
      </c>
      <c r="P71" s="32">
        <f t="shared" si="43"/>
        <v>9.6361871049821168</v>
      </c>
      <c r="Q71" s="32">
        <v>2354.16707679</v>
      </c>
      <c r="R71" s="32">
        <f t="shared" si="43"/>
        <v>34.340052622577808</v>
      </c>
      <c r="S71" s="32">
        <v>221.87611999999999</v>
      </c>
      <c r="T71" s="32">
        <f t="shared" si="43"/>
        <v>3.2364897596318949</v>
      </c>
      <c r="U71" s="32">
        <v>7.5225318000000003</v>
      </c>
      <c r="V71" s="32">
        <f t="shared" si="44"/>
        <v>0.10973058811919592</v>
      </c>
      <c r="W71" s="32">
        <v>1.5377222800000001</v>
      </c>
      <c r="X71" s="32">
        <f>W71/$B71*100</f>
        <v>2.2430635673536252E-2</v>
      </c>
      <c r="Y71" s="680">
        <f t="shared" si="9"/>
        <v>18.625489380000673</v>
      </c>
      <c r="Z71" s="32">
        <f t="shared" si="45"/>
        <v>0.27168856948870745</v>
      </c>
      <c r="AA71" s="643">
        <v>37.142753120000002</v>
      </c>
      <c r="AB71" s="643">
        <f t="shared" si="46"/>
        <v>0.54179845995781617</v>
      </c>
      <c r="AC71" s="643">
        <v>0.104</v>
      </c>
      <c r="AD71" s="643">
        <f t="shared" si="47"/>
        <v>1.5170399365272706E-3</v>
      </c>
      <c r="AE71" s="643">
        <v>0.58181159000000005</v>
      </c>
      <c r="AF71" s="643">
        <f t="shared" si="47"/>
        <v>8.4868405535041391E-3</v>
      </c>
      <c r="AG71" s="643">
        <v>12.67151481</v>
      </c>
      <c r="AH71" s="643">
        <f t="shared" si="48"/>
        <v>0.18483840406794971</v>
      </c>
      <c r="AI71" s="32">
        <v>208.08587616</v>
      </c>
    </row>
    <row r="72" spans="1:35" hidden="1">
      <c r="A72" s="679" t="s">
        <v>29</v>
      </c>
      <c r="B72" s="32">
        <v>7191.2507889600001</v>
      </c>
      <c r="C72" s="32">
        <v>159.79559122000001</v>
      </c>
      <c r="D72" s="32">
        <f t="shared" si="43"/>
        <v>2.2220834164943604</v>
      </c>
      <c r="E72" s="32">
        <v>1911.3072199400001</v>
      </c>
      <c r="F72" s="32">
        <f t="shared" si="43"/>
        <v>26.578230630952778</v>
      </c>
      <c r="G72" s="32">
        <v>855.69988688000001</v>
      </c>
      <c r="H72" s="32">
        <f t="shared" si="43"/>
        <v>11.899180156443293</v>
      </c>
      <c r="I72" s="32">
        <v>261.47057494000001</v>
      </c>
      <c r="J72" s="32">
        <f t="shared" si="43"/>
        <v>3.6359540588044754</v>
      </c>
      <c r="K72" s="32">
        <v>461.37206370000001</v>
      </c>
      <c r="L72" s="32">
        <f t="shared" si="43"/>
        <v>6.4157415342585162</v>
      </c>
      <c r="M72" s="32">
        <v>427.51873171</v>
      </c>
      <c r="N72" s="32">
        <f t="shared" si="43"/>
        <v>5.9449843185322679</v>
      </c>
      <c r="O72" s="32">
        <v>669.11947628999997</v>
      </c>
      <c r="P72" s="32">
        <f t="shared" si="43"/>
        <v>9.3046327534179643</v>
      </c>
      <c r="Q72" s="32">
        <v>2334.86644867</v>
      </c>
      <c r="R72" s="32">
        <f t="shared" si="43"/>
        <v>32.468154945374508</v>
      </c>
      <c r="S72" s="32">
        <v>197.62110000000001</v>
      </c>
      <c r="T72" s="32">
        <f t="shared" si="43"/>
        <v>2.7480768756304217</v>
      </c>
      <c r="U72" s="32">
        <v>7.0910000000000002</v>
      </c>
      <c r="V72" s="32">
        <f t="shared" si="44"/>
        <v>9.8605933906325383E-2</v>
      </c>
      <c r="W72" s="32">
        <v>0.57177211999999999</v>
      </c>
      <c r="X72" s="32">
        <f>W72/$B72*100</f>
        <v>7.9509411753207644E-3</v>
      </c>
      <c r="Y72" s="680">
        <f t="shared" si="9"/>
        <v>48.079620780000333</v>
      </c>
      <c r="Z72" s="32">
        <f t="shared" si="45"/>
        <v>0.66858495400844742</v>
      </c>
      <c r="AA72" s="643">
        <v>43.629224700000002</v>
      </c>
      <c r="AB72" s="643">
        <f t="shared" si="46"/>
        <v>0.60669869512796759</v>
      </c>
      <c r="AC72" s="643">
        <v>0</v>
      </c>
      <c r="AD72" s="643">
        <f t="shared" si="47"/>
        <v>0</v>
      </c>
      <c r="AE72" s="643">
        <v>0.51973062000000003</v>
      </c>
      <c r="AF72" s="643">
        <f t="shared" si="47"/>
        <v>7.2272631737150634E-3</v>
      </c>
      <c r="AG72" s="643">
        <v>10.209447389999999</v>
      </c>
      <c r="AH72" s="643">
        <f t="shared" si="48"/>
        <v>0.14197039833005867</v>
      </c>
      <c r="AI72" s="32">
        <v>180.59689255999999</v>
      </c>
    </row>
    <row r="73" spans="1:35">
      <c r="A73" s="679" t="s">
        <v>43</v>
      </c>
      <c r="B73" s="32">
        <f>+B85</f>
        <v>8407.4600296200006</v>
      </c>
      <c r="C73" s="32">
        <f t="shared" ref="C73:AI73" si="49">+C85</f>
        <v>303.52331758999998</v>
      </c>
      <c r="D73" s="32">
        <f t="shared" si="49"/>
        <v>3.6101666439170526</v>
      </c>
      <c r="E73" s="32">
        <f t="shared" si="49"/>
        <v>1833.9755674099999</v>
      </c>
      <c r="F73" s="32">
        <f t="shared" si="49"/>
        <v>21.813669775994068</v>
      </c>
      <c r="G73" s="32">
        <f t="shared" si="49"/>
        <v>1521.9513809699999</v>
      </c>
      <c r="H73" s="32">
        <f t="shared" si="49"/>
        <v>18.1023921090088</v>
      </c>
      <c r="I73" s="32">
        <f t="shared" si="49"/>
        <v>394.76353073000001</v>
      </c>
      <c r="J73" s="32">
        <f t="shared" si="49"/>
        <v>4.6953958667567104</v>
      </c>
      <c r="K73" s="32">
        <f t="shared" si="49"/>
        <v>576.51455678000002</v>
      </c>
      <c r="L73" s="32">
        <f t="shared" si="49"/>
        <v>6.8571786811819937</v>
      </c>
      <c r="M73" s="32">
        <f t="shared" si="49"/>
        <v>536.86002767000002</v>
      </c>
      <c r="N73" s="32">
        <f t="shared" si="49"/>
        <v>6.3855198333219425</v>
      </c>
      <c r="O73" s="32">
        <f t="shared" si="49"/>
        <v>520.36061713000004</v>
      </c>
      <c r="P73" s="32">
        <f t="shared" si="49"/>
        <v>6.1892725662297225</v>
      </c>
      <c r="Q73" s="32">
        <f t="shared" si="49"/>
        <v>2328.94564223</v>
      </c>
      <c r="R73" s="32">
        <f t="shared" si="49"/>
        <v>27.700942187354809</v>
      </c>
      <c r="S73" s="32">
        <f t="shared" si="49"/>
        <v>254.60599999999999</v>
      </c>
      <c r="T73" s="32">
        <f t="shared" si="49"/>
        <v>3.0283343495301476</v>
      </c>
      <c r="U73" s="32">
        <f t="shared" si="49"/>
        <v>0.99526274999999997</v>
      </c>
      <c r="V73" s="32">
        <f t="shared" si="49"/>
        <v>1.1837852888906137E-2</v>
      </c>
      <c r="W73" s="32">
        <f t="shared" si="49"/>
        <v>0.60261160000000003</v>
      </c>
      <c r="X73" s="32">
        <f t="shared" si="49"/>
        <v>7.1675820982432525E-3</v>
      </c>
      <c r="Y73" s="32">
        <f t="shared" si="9"/>
        <v>57.50058646000069</v>
      </c>
      <c r="Z73" s="32">
        <f t="shared" si="49"/>
        <v>0.68392339966437632</v>
      </c>
      <c r="AA73" s="32">
        <f t="shared" si="49"/>
        <v>284.51366710000002</v>
      </c>
      <c r="AB73" s="32">
        <f t="shared" si="49"/>
        <v>3.3840620841210165</v>
      </c>
      <c r="AC73" s="32">
        <f t="shared" si="49"/>
        <v>18.522100099999999</v>
      </c>
      <c r="AD73" s="32">
        <f t="shared" si="49"/>
        <v>0.22030553859007951</v>
      </c>
      <c r="AE73" s="32">
        <f t="shared" si="49"/>
        <v>19.77260862</v>
      </c>
      <c r="AF73" s="32">
        <f t="shared" si="49"/>
        <v>0.23517933538000629</v>
      </c>
      <c r="AG73" s="32">
        <f t="shared" si="49"/>
        <v>8.6585524800000009</v>
      </c>
      <c r="AH73" s="32">
        <f t="shared" si="49"/>
        <v>0.10298654349227218</v>
      </c>
      <c r="AI73" s="32">
        <f t="shared" si="49"/>
        <v>165.64595686000001</v>
      </c>
    </row>
    <row r="74" spans="1:35" hidden="1">
      <c r="A74" s="679" t="s">
        <v>18</v>
      </c>
      <c r="B74" s="191">
        <v>7201.2873153199998</v>
      </c>
      <c r="C74" s="191">
        <v>176.529</v>
      </c>
      <c r="D74" s="191">
        <f t="shared" ref="D74:R74" si="50">C74/$B74*100</f>
        <v>2.4513533798943512</v>
      </c>
      <c r="E74" s="191">
        <v>1764.11477079</v>
      </c>
      <c r="F74" s="191">
        <f t="shared" si="50"/>
        <v>24.497214088889731</v>
      </c>
      <c r="G74" s="191">
        <v>858.62995147000004</v>
      </c>
      <c r="H74" s="191">
        <f t="shared" si="50"/>
        <v>11.923284183417497</v>
      </c>
      <c r="I74" s="191">
        <v>262.52775550000001</v>
      </c>
      <c r="J74" s="191">
        <f t="shared" si="50"/>
        <v>3.6455670216281906</v>
      </c>
      <c r="K74" s="191">
        <v>463.44670269</v>
      </c>
      <c r="L74" s="191">
        <f t="shared" si="50"/>
        <v>6.4356091126105284</v>
      </c>
      <c r="M74" s="191">
        <v>395.71614741000002</v>
      </c>
      <c r="N74" s="191">
        <f t="shared" si="50"/>
        <v>5.4950751175856363</v>
      </c>
      <c r="O74" s="191">
        <v>675.50810476000004</v>
      </c>
      <c r="P74" s="191">
        <f t="shared" si="50"/>
        <v>9.38037985684762</v>
      </c>
      <c r="Q74" s="191">
        <v>2312.5425082500001</v>
      </c>
      <c r="R74" s="191">
        <f t="shared" si="50"/>
        <v>32.112904359895531</v>
      </c>
      <c r="S74" s="191">
        <v>188.03299999999999</v>
      </c>
      <c r="T74" s="191">
        <f t="shared" ref="D74:T85" si="51">S74/$B74*100</f>
        <v>2.6111025955037106</v>
      </c>
      <c r="U74" s="191">
        <v>1.92298262</v>
      </c>
      <c r="V74" s="191">
        <f t="shared" ref="V74:V85" si="52">U74/$B74*100</f>
        <v>2.6703317556974176E-2</v>
      </c>
      <c r="W74" s="191">
        <v>0.46320809000000002</v>
      </c>
      <c r="X74" s="191">
        <f t="shared" ref="X74:X85" si="53">W74/$B74*100</f>
        <v>6.4322956398999995E-3</v>
      </c>
      <c r="Y74" s="682">
        <f t="shared" si="9"/>
        <v>70.212857099998459</v>
      </c>
      <c r="Z74" s="191">
        <f t="shared" ref="Z74:Z85" si="54">Y74/$B74*100</f>
        <v>0.97500424612454795</v>
      </c>
      <c r="AA74" s="683">
        <v>187.79027335999999</v>
      </c>
      <c r="AB74" s="683">
        <f t="shared" ref="AB74:AB85" si="55">AA74/B74*100</f>
        <v>2.6077319948128643</v>
      </c>
      <c r="AC74" s="683">
        <v>0</v>
      </c>
      <c r="AD74" s="683">
        <f t="shared" ref="AD74:AF85" si="56">AC74/$B74*100</f>
        <v>0</v>
      </c>
      <c r="AE74" s="683">
        <v>0.45783354999999998</v>
      </c>
      <c r="AF74" s="683">
        <f t="shared" si="56"/>
        <v>6.3576625949364092E-3</v>
      </c>
      <c r="AG74" s="683">
        <v>31.425219729999998</v>
      </c>
      <c r="AH74" s="683">
        <f t="shared" ref="AH74:AH85" si="57">AG74/$B74*100</f>
        <v>0.43638336250167475</v>
      </c>
      <c r="AI74" s="191">
        <v>175.34764465999999</v>
      </c>
    </row>
    <row r="75" spans="1:35" hidden="1">
      <c r="A75" s="679" t="s">
        <v>19</v>
      </c>
      <c r="B75" s="191">
        <v>6692.53476133</v>
      </c>
      <c r="C75" s="191">
        <v>183.41390215000001</v>
      </c>
      <c r="D75" s="191">
        <f t="shared" si="51"/>
        <v>2.7405745160978494</v>
      </c>
      <c r="E75" s="191">
        <v>1549.0660861199999</v>
      </c>
      <c r="F75" s="191">
        <f t="shared" si="51"/>
        <v>23.146179158763992</v>
      </c>
      <c r="G75" s="191">
        <v>870.70990109000002</v>
      </c>
      <c r="H75" s="191">
        <f t="shared" si="51"/>
        <v>13.010166284395433</v>
      </c>
      <c r="I75" s="191">
        <v>262.42740742000001</v>
      </c>
      <c r="J75" s="191">
        <f t="shared" si="51"/>
        <v>3.9211960307823355</v>
      </c>
      <c r="K75" s="191">
        <v>448.47154315</v>
      </c>
      <c r="L75" s="191">
        <f t="shared" si="51"/>
        <v>6.7010715542533212</v>
      </c>
      <c r="M75" s="191">
        <v>398.48502414000001</v>
      </c>
      <c r="N75" s="191">
        <f t="shared" si="51"/>
        <v>5.9541718997483324</v>
      </c>
      <c r="O75" s="191">
        <v>400.64072320999998</v>
      </c>
      <c r="P75" s="191">
        <f t="shared" si="51"/>
        <v>5.986382402149542</v>
      </c>
      <c r="Q75" s="191">
        <v>2290.0150046499998</v>
      </c>
      <c r="R75" s="191">
        <f t="shared" si="51"/>
        <v>34.217454018795529</v>
      </c>
      <c r="S75" s="191">
        <v>201.46652680599999</v>
      </c>
      <c r="T75" s="191">
        <f t="shared" si="51"/>
        <v>3.0103172264429561</v>
      </c>
      <c r="U75" s="191">
        <v>1.7143286900000001</v>
      </c>
      <c r="V75" s="191">
        <f t="shared" si="52"/>
        <v>2.5615536581229701E-2</v>
      </c>
      <c r="W75" s="191">
        <v>0.74971105999999998</v>
      </c>
      <c r="X75" s="191">
        <f t="shared" si="53"/>
        <v>1.1202198968496814E-2</v>
      </c>
      <c r="Y75" s="682">
        <f t="shared" si="9"/>
        <v>69.273464080000764</v>
      </c>
      <c r="Z75" s="191">
        <f t="shared" si="54"/>
        <v>1.0350856073287564</v>
      </c>
      <c r="AA75" s="683">
        <v>200.66325956</v>
      </c>
      <c r="AB75" s="683">
        <f t="shared" si="55"/>
        <v>2.9983147897781319</v>
      </c>
      <c r="AC75" s="683">
        <v>0</v>
      </c>
      <c r="AD75" s="683">
        <f t="shared" si="56"/>
        <v>0</v>
      </c>
      <c r="AE75" s="683">
        <v>0.41473585000000002</v>
      </c>
      <c r="AF75" s="683">
        <f t="shared" si="56"/>
        <v>6.1969920932854446E-3</v>
      </c>
      <c r="AG75" s="683">
        <v>16.489670159999999</v>
      </c>
      <c r="AH75" s="683">
        <f t="shared" si="57"/>
        <v>0.24638901026377374</v>
      </c>
      <c r="AI75" s="191">
        <v>173.03939639999999</v>
      </c>
    </row>
    <row r="76" spans="1:35" hidden="1">
      <c r="A76" s="679" t="s">
        <v>20</v>
      </c>
      <c r="B76" s="191">
        <v>6221.28788678</v>
      </c>
      <c r="C76" s="191">
        <v>195.86626412000001</v>
      </c>
      <c r="D76" s="191">
        <f t="shared" si="51"/>
        <v>3.1483234289190887</v>
      </c>
      <c r="E76" s="191">
        <v>1268.7166515199999</v>
      </c>
      <c r="F76" s="191">
        <f t="shared" si="51"/>
        <v>20.393151299363183</v>
      </c>
      <c r="G76" s="191">
        <v>335.00216590999997</v>
      </c>
      <c r="H76" s="191">
        <f t="shared" si="51"/>
        <v>5.3847719637258198</v>
      </c>
      <c r="I76" s="191">
        <v>349.3304594</v>
      </c>
      <c r="J76" s="191">
        <f t="shared" si="51"/>
        <v>5.6150826928024653</v>
      </c>
      <c r="K76" s="191">
        <v>626.77369734000001</v>
      </c>
      <c r="L76" s="191">
        <f t="shared" si="51"/>
        <v>10.074661529035978</v>
      </c>
      <c r="M76" s="191">
        <v>466.20425289999997</v>
      </c>
      <c r="N76" s="191">
        <f t="shared" si="51"/>
        <v>7.49369361110368</v>
      </c>
      <c r="O76" s="191">
        <v>416.63064349000001</v>
      </c>
      <c r="P76" s="191">
        <f t="shared" si="51"/>
        <v>6.6968552343530714</v>
      </c>
      <c r="Q76" s="191">
        <v>2269.31217595</v>
      </c>
      <c r="R76" s="191">
        <f t="shared" si="51"/>
        <v>36.476565901606996</v>
      </c>
      <c r="S76" s="191">
        <v>189.75200000000001</v>
      </c>
      <c r="T76" s="191">
        <f t="shared" si="51"/>
        <v>3.0500437120618673</v>
      </c>
      <c r="U76" s="191">
        <v>1.1852814599999999</v>
      </c>
      <c r="V76" s="191">
        <f t="shared" si="52"/>
        <v>1.9052027193897873E-2</v>
      </c>
      <c r="W76" s="191">
        <v>0.48225227999999998</v>
      </c>
      <c r="X76" s="191">
        <f t="shared" si="53"/>
        <v>7.7516470669162845E-3</v>
      </c>
      <c r="Y76" s="682">
        <f t="shared" si="9"/>
        <v>68.822733460000151</v>
      </c>
      <c r="Z76" s="191">
        <f t="shared" si="54"/>
        <v>1.1062457599212832</v>
      </c>
      <c r="AA76" s="683">
        <v>209.37142047</v>
      </c>
      <c r="AB76" s="683">
        <f t="shared" si="55"/>
        <v>3.3654031814683627</v>
      </c>
      <c r="AC76" s="683">
        <v>0</v>
      </c>
      <c r="AD76" s="683">
        <f t="shared" si="56"/>
        <v>0</v>
      </c>
      <c r="AE76" s="683">
        <v>0.33833224000000001</v>
      </c>
      <c r="AF76" s="683">
        <f t="shared" si="56"/>
        <v>5.4382990492843637E-3</v>
      </c>
      <c r="AG76" s="683">
        <v>13.251556239999999</v>
      </c>
      <c r="AH76" s="683">
        <f t="shared" si="57"/>
        <v>0.21300342438997322</v>
      </c>
      <c r="AI76" s="191">
        <v>178.17091561999999</v>
      </c>
    </row>
    <row r="77" spans="1:35" hidden="1">
      <c r="A77" s="679" t="s">
        <v>21</v>
      </c>
      <c r="B77" s="191">
        <v>6278.4440000000004</v>
      </c>
      <c r="C77" s="191">
        <v>200.804</v>
      </c>
      <c r="D77" s="191">
        <f t="shared" si="51"/>
        <v>3.1983083706727333</v>
      </c>
      <c r="E77" s="191">
        <v>1263.835</v>
      </c>
      <c r="F77" s="191">
        <f t="shared" si="51"/>
        <v>20.129748708437951</v>
      </c>
      <c r="G77" s="191">
        <v>344.18700000000001</v>
      </c>
      <c r="H77" s="191">
        <f t="shared" si="51"/>
        <v>5.4820430030115741</v>
      </c>
      <c r="I77" s="191">
        <v>353.48200000000003</v>
      </c>
      <c r="J77" s="191">
        <f t="shared" si="51"/>
        <v>5.6300892386712373</v>
      </c>
      <c r="K77" s="191">
        <v>645.95299999999997</v>
      </c>
      <c r="L77" s="191">
        <f t="shared" si="51"/>
        <v>10.288424966440729</v>
      </c>
      <c r="M77" s="191">
        <v>499.70100000000002</v>
      </c>
      <c r="N77" s="191">
        <f t="shared" si="51"/>
        <v>7.9589942985873572</v>
      </c>
      <c r="O77" s="191">
        <v>424.25900000000001</v>
      </c>
      <c r="P77" s="191">
        <f t="shared" si="51"/>
        <v>6.7573908439734431</v>
      </c>
      <c r="Q77" s="191">
        <v>2251.4749999999999</v>
      </c>
      <c r="R77" s="191">
        <f t="shared" si="51"/>
        <v>35.860397894765008</v>
      </c>
      <c r="S77" s="191">
        <v>196.1</v>
      </c>
      <c r="T77" s="191">
        <f t="shared" si="51"/>
        <v>3.1233853483442706</v>
      </c>
      <c r="U77" s="191">
        <v>1.194</v>
      </c>
      <c r="V77" s="191">
        <f t="shared" si="52"/>
        <v>1.9017450820617336E-2</v>
      </c>
      <c r="W77" s="191">
        <v>0.69799999999999995</v>
      </c>
      <c r="X77" s="191">
        <f t="shared" si="53"/>
        <v>1.1117404248568592E-2</v>
      </c>
      <c r="Y77" s="682">
        <f t="shared" si="9"/>
        <v>65.936000000000618</v>
      </c>
      <c r="Z77" s="191">
        <f t="shared" si="54"/>
        <v>1.0501965136584894</v>
      </c>
      <c r="AA77" s="683">
        <v>214.89500000000001</v>
      </c>
      <c r="AB77" s="683">
        <f t="shared" si="55"/>
        <v>3.422742959879868</v>
      </c>
      <c r="AC77" s="683">
        <v>0</v>
      </c>
      <c r="AD77" s="683">
        <f t="shared" si="56"/>
        <v>0</v>
      </c>
      <c r="AE77" s="683">
        <v>0.30299999999999999</v>
      </c>
      <c r="AF77" s="683">
        <f t="shared" si="56"/>
        <v>4.8260365147797767E-3</v>
      </c>
      <c r="AG77" s="683">
        <v>11.722</v>
      </c>
      <c r="AH77" s="683">
        <f t="shared" si="57"/>
        <v>0.18670231031765194</v>
      </c>
      <c r="AI77" s="191">
        <v>175.39160000000001</v>
      </c>
    </row>
    <row r="78" spans="1:35" hidden="1">
      <c r="A78" s="679" t="s">
        <v>22</v>
      </c>
      <c r="B78" s="191">
        <v>6355.9960000000001</v>
      </c>
      <c r="C78" s="191">
        <v>209.21199999999999</v>
      </c>
      <c r="D78" s="191">
        <f t="shared" si="51"/>
        <v>3.2915690947571394</v>
      </c>
      <c r="E78" s="191">
        <v>1297.3109999999999</v>
      </c>
      <c r="F78" s="191">
        <f t="shared" si="51"/>
        <v>20.410821529780694</v>
      </c>
      <c r="G78" s="191">
        <v>334.96800000000002</v>
      </c>
      <c r="H78" s="191">
        <f t="shared" si="51"/>
        <v>5.2701103021461941</v>
      </c>
      <c r="I78" s="191">
        <v>353.62599999999998</v>
      </c>
      <c r="J78" s="191">
        <f t="shared" si="51"/>
        <v>5.5636598890244731</v>
      </c>
      <c r="K78" s="191">
        <v>646.05399999999997</v>
      </c>
      <c r="L78" s="191">
        <f t="shared" si="51"/>
        <v>10.164480909050289</v>
      </c>
      <c r="M78" s="191">
        <v>509.94200000000001</v>
      </c>
      <c r="N78" s="191">
        <f t="shared" si="51"/>
        <v>8.0230069370717043</v>
      </c>
      <c r="O78" s="191">
        <v>439.92500000000001</v>
      </c>
      <c r="P78" s="191">
        <f t="shared" si="51"/>
        <v>6.9214171940951505</v>
      </c>
      <c r="Q78" s="191">
        <v>2264.7130000000002</v>
      </c>
      <c r="R78" s="191">
        <f t="shared" si="51"/>
        <v>35.631126891835677</v>
      </c>
      <c r="S78" s="191">
        <v>192.8</v>
      </c>
      <c r="T78" s="191">
        <f t="shared" si="51"/>
        <v>3.0333562198591695</v>
      </c>
      <c r="U78" s="191">
        <v>1.19</v>
      </c>
      <c r="V78" s="191">
        <f t="shared" si="52"/>
        <v>1.8722478742906695E-2</v>
      </c>
      <c r="W78" s="191">
        <v>0.59499999999999997</v>
      </c>
      <c r="X78" s="191">
        <f t="shared" si="53"/>
        <v>9.3612393714533476E-3</v>
      </c>
      <c r="Y78" s="682">
        <f t="shared" si="9"/>
        <v>65.193999999999647</v>
      </c>
      <c r="Z78" s="191">
        <f t="shared" si="54"/>
        <v>1.0257086379538256</v>
      </c>
      <c r="AA78" s="191">
        <v>226.36099999999999</v>
      </c>
      <c r="AB78" s="683">
        <f t="shared" si="55"/>
        <v>3.5613773199353806</v>
      </c>
      <c r="AC78" s="191">
        <v>0</v>
      </c>
      <c r="AD78" s="683">
        <f t="shared" si="56"/>
        <v>0</v>
      </c>
      <c r="AE78" s="191">
        <v>0.255</v>
      </c>
      <c r="AF78" s="683">
        <f t="shared" si="56"/>
        <v>4.0119597306228641E-3</v>
      </c>
      <c r="AG78" s="191">
        <v>6.65</v>
      </c>
      <c r="AH78" s="683">
        <f t="shared" si="57"/>
        <v>0.10462561650447862</v>
      </c>
      <c r="AI78" s="191">
        <v>168.51179999999999</v>
      </c>
    </row>
    <row r="79" spans="1:35" hidden="1">
      <c r="A79" s="679" t="s">
        <v>23</v>
      </c>
      <c r="B79" s="191">
        <v>6463.7888553100001</v>
      </c>
      <c r="C79" s="191">
        <v>242.75732969000001</v>
      </c>
      <c r="D79" s="191">
        <f t="shared" si="51"/>
        <v>3.7556506736845985</v>
      </c>
      <c r="E79" s="191">
        <v>1343.3826448100001</v>
      </c>
      <c r="F79" s="191">
        <f t="shared" si="51"/>
        <v>20.783207417216477</v>
      </c>
      <c r="G79" s="191">
        <v>326.05263753000003</v>
      </c>
      <c r="H79" s="191">
        <f t="shared" si="51"/>
        <v>5.0442959203741307</v>
      </c>
      <c r="I79" s="191">
        <v>360.33966820000001</v>
      </c>
      <c r="J79" s="191">
        <f t="shared" si="51"/>
        <v>5.5747437960319681</v>
      </c>
      <c r="K79" s="191">
        <v>644.33418963999998</v>
      </c>
      <c r="L79" s="191">
        <f t="shared" si="51"/>
        <v>9.9683669139452125</v>
      </c>
      <c r="M79" s="191">
        <v>518.96311118000006</v>
      </c>
      <c r="N79" s="191">
        <f t="shared" si="51"/>
        <v>8.0287757350500719</v>
      </c>
      <c r="O79" s="191">
        <v>462.12912175999998</v>
      </c>
      <c r="P79" s="191">
        <f t="shared" si="51"/>
        <v>7.1495083163238089</v>
      </c>
      <c r="Q79" s="191">
        <v>2242.2699662199998</v>
      </c>
      <c r="R79" s="191">
        <f t="shared" si="51"/>
        <v>34.689715527727607</v>
      </c>
      <c r="S79" s="191">
        <v>192.2927</v>
      </c>
      <c r="T79" s="191">
        <f t="shared" si="51"/>
        <v>2.9749223606218451</v>
      </c>
      <c r="U79" s="191">
        <v>1.15723076</v>
      </c>
      <c r="V79" s="191"/>
      <c r="W79" s="191">
        <v>0.60005392999999996</v>
      </c>
      <c r="X79" s="191">
        <f t="shared" si="53"/>
        <v>9.2833157677645346E-3</v>
      </c>
      <c r="Y79" s="682">
        <f t="shared" si="9"/>
        <v>64.685343370000979</v>
      </c>
      <c r="Z79" s="191">
        <f t="shared" si="54"/>
        <v>1.000734164094206</v>
      </c>
      <c r="AA79" s="191">
        <v>236.34572392000001</v>
      </c>
      <c r="AB79" s="683">
        <f t="shared" si="55"/>
        <v>3.6564579878849557</v>
      </c>
      <c r="AC79" s="191">
        <v>0.41040777000000001</v>
      </c>
      <c r="AD79" s="683">
        <f t="shared" si="56"/>
        <v>6.3493375044707742E-3</v>
      </c>
      <c r="AE79" s="191">
        <v>11.09176293</v>
      </c>
      <c r="AF79" s="683">
        <f t="shared" si="56"/>
        <v>0.17159847232460448</v>
      </c>
      <c r="AG79" s="191">
        <v>9.2696635999999994</v>
      </c>
      <c r="AH79" s="683">
        <f t="shared" si="57"/>
        <v>0.14340913367528973</v>
      </c>
      <c r="AI79" s="191">
        <v>181.12499133</v>
      </c>
    </row>
    <row r="80" spans="1:35" hidden="1">
      <c r="A80" s="679" t="s">
        <v>24</v>
      </c>
      <c r="B80" s="191">
        <v>7229.1999974600003</v>
      </c>
      <c r="C80" s="191">
        <v>262.43878831000001</v>
      </c>
      <c r="D80" s="191">
        <f t="shared" si="51"/>
        <v>3.6302604493195458</v>
      </c>
      <c r="E80" s="191">
        <v>1372.8014593</v>
      </c>
      <c r="F80" s="191">
        <f t="shared" si="51"/>
        <v>18.989673266507189</v>
      </c>
      <c r="G80" s="191">
        <v>997.64935359000003</v>
      </c>
      <c r="H80" s="191">
        <f t="shared" si="51"/>
        <v>13.800273252096041</v>
      </c>
      <c r="I80" s="191">
        <v>351.05577627999998</v>
      </c>
      <c r="J80" s="191">
        <f t="shared" si="51"/>
        <v>4.8560805677439332</v>
      </c>
      <c r="K80" s="191">
        <v>657.76505277000001</v>
      </c>
      <c r="L80" s="191">
        <f t="shared" si="51"/>
        <v>9.098725349984889</v>
      </c>
      <c r="M80" s="191">
        <v>530.80898079999997</v>
      </c>
      <c r="N80" s="191">
        <f t="shared" si="51"/>
        <v>7.3425687626086038</v>
      </c>
      <c r="O80" s="191">
        <v>467.61243115000002</v>
      </c>
      <c r="P80" s="191">
        <f t="shared" si="51"/>
        <v>6.4683842100688445</v>
      </c>
      <c r="Q80" s="191">
        <v>2271.5663364000002</v>
      </c>
      <c r="R80" s="191">
        <f t="shared" si="51"/>
        <v>31.422098395370462</v>
      </c>
      <c r="S80" s="191">
        <v>204.87</v>
      </c>
      <c r="T80" s="191">
        <f t="shared" si="51"/>
        <v>2.8339235333367681</v>
      </c>
      <c r="U80" s="191">
        <v>1.1301769699999999</v>
      </c>
      <c r="V80" s="191">
        <f t="shared" si="52"/>
        <v>1.5633499839499403E-2</v>
      </c>
      <c r="W80" s="191">
        <v>0.49661414999999998</v>
      </c>
      <c r="X80" s="191">
        <f t="shared" si="53"/>
        <v>6.8695588747646587E-3</v>
      </c>
      <c r="Y80" s="682">
        <f t="shared" si="9"/>
        <v>65.544631680000762</v>
      </c>
      <c r="Z80" s="191">
        <f t="shared" si="54"/>
        <v>0.9066650763989107</v>
      </c>
      <c r="AA80" s="191">
        <v>222.83158180999999</v>
      </c>
      <c r="AB80" s="683">
        <f t="shared" si="55"/>
        <v>3.0823823090838887</v>
      </c>
      <c r="AC80" s="191">
        <v>0.39922887000000001</v>
      </c>
      <c r="AD80" s="683">
        <f t="shared" si="56"/>
        <v>5.5224488206201267E-3</v>
      </c>
      <c r="AE80" s="191">
        <v>19.28143884</v>
      </c>
      <c r="AF80" s="683">
        <f t="shared" si="56"/>
        <v>0.2667160798812398</v>
      </c>
      <c r="AG80" s="191">
        <v>7.8181465399999999</v>
      </c>
      <c r="AH80" s="683">
        <f t="shared" si="57"/>
        <v>0.1081467734015787</v>
      </c>
      <c r="AI80" s="191">
        <v>162.69198004</v>
      </c>
    </row>
    <row r="81" spans="1:35" hidden="1">
      <c r="A81" s="679" t="s">
        <v>25</v>
      </c>
      <c r="B81" s="191">
        <v>7629.8486843800001</v>
      </c>
      <c r="C81" s="191">
        <v>274.92399977999997</v>
      </c>
      <c r="D81" s="191">
        <f t="shared" si="51"/>
        <v>3.6032693589694729</v>
      </c>
      <c r="E81" s="191">
        <v>1401.5466573599999</v>
      </c>
      <c r="F81" s="191">
        <f t="shared" si="51"/>
        <v>18.369258884901324</v>
      </c>
      <c r="G81" s="191">
        <v>1349.54142127</v>
      </c>
      <c r="H81" s="191">
        <f t="shared" si="51"/>
        <v>17.687656428007699</v>
      </c>
      <c r="I81" s="191">
        <v>355.94603738000001</v>
      </c>
      <c r="J81" s="191">
        <f t="shared" si="51"/>
        <v>4.6651781982085812</v>
      </c>
      <c r="K81" s="191">
        <v>664.56197875999999</v>
      </c>
      <c r="L81" s="191">
        <f t="shared" si="51"/>
        <v>8.7100282882477913</v>
      </c>
      <c r="M81" s="191">
        <v>536.25050100999999</v>
      </c>
      <c r="N81" s="191">
        <f t="shared" si="51"/>
        <v>7.0283241934774434</v>
      </c>
      <c r="O81" s="191">
        <v>464.68492273999999</v>
      </c>
      <c r="P81" s="191">
        <f t="shared" si="51"/>
        <v>6.0903556802025909</v>
      </c>
      <c r="Q81" s="191">
        <v>2264.6322482</v>
      </c>
      <c r="R81" s="191">
        <f t="shared" si="51"/>
        <v>29.681220976717494</v>
      </c>
      <c r="S81" s="191">
        <v>211.505</v>
      </c>
      <c r="T81" s="191">
        <f t="shared" si="51"/>
        <v>2.7720733234591908</v>
      </c>
      <c r="U81" s="191">
        <v>1.1576218899999999</v>
      </c>
      <c r="V81" s="191">
        <f t="shared" si="52"/>
        <v>1.5172278480042597E-2</v>
      </c>
      <c r="W81" s="191">
        <v>0.44787774000000002</v>
      </c>
      <c r="X81" s="191">
        <f t="shared" si="53"/>
        <v>5.8700736872659811E-3</v>
      </c>
      <c r="Y81" s="682">
        <f t="shared" si="9"/>
        <v>61.800382810001274</v>
      </c>
      <c r="Z81" s="191">
        <f t="shared" si="54"/>
        <v>0.80998176197806426</v>
      </c>
      <c r="AA81" s="191">
        <v>238.52642612</v>
      </c>
      <c r="AB81" s="683">
        <f t="shared" si="55"/>
        <v>3.1262274782502137</v>
      </c>
      <c r="AC81" s="191">
        <v>0.35687341</v>
      </c>
      <c r="AD81" s="683">
        <f t="shared" si="56"/>
        <v>4.6773327330933753E-3</v>
      </c>
      <c r="AE81" s="191">
        <v>7.4731609900000002</v>
      </c>
      <c r="AF81" s="683">
        <f t="shared" si="56"/>
        <v>9.7946385297250069E-2</v>
      </c>
      <c r="AG81" s="191">
        <v>7.9985749200000003</v>
      </c>
      <c r="AH81" s="683">
        <f t="shared" si="57"/>
        <v>0.10483268084169042</v>
      </c>
      <c r="AI81" s="191">
        <v>140.0952757</v>
      </c>
    </row>
    <row r="82" spans="1:35" hidden="1">
      <c r="A82" s="679" t="s">
        <v>26</v>
      </c>
      <c r="B82" s="191">
        <v>7780.8130340600001</v>
      </c>
      <c r="C82" s="191">
        <v>309.36373753999999</v>
      </c>
      <c r="D82" s="191">
        <f t="shared" si="51"/>
        <v>3.9759821523249625</v>
      </c>
      <c r="E82" s="191">
        <v>1645.9977785900001</v>
      </c>
      <c r="F82" s="191">
        <f t="shared" si="51"/>
        <v>21.154573068196761</v>
      </c>
      <c r="G82" s="191">
        <v>1353.60815443</v>
      </c>
      <c r="H82" s="191">
        <f t="shared" si="51"/>
        <v>17.396744382684286</v>
      </c>
      <c r="I82" s="191">
        <v>367.58060509000001</v>
      </c>
      <c r="J82" s="191">
        <f t="shared" si="51"/>
        <v>4.7241927479935573</v>
      </c>
      <c r="K82" s="191">
        <v>443.28486605000001</v>
      </c>
      <c r="L82" s="191">
        <f t="shared" si="51"/>
        <v>5.6971535507863962</v>
      </c>
      <c r="M82" s="191">
        <v>544.39440499</v>
      </c>
      <c r="N82" s="191">
        <f t="shared" si="51"/>
        <v>6.9966262215394339</v>
      </c>
      <c r="O82" s="191">
        <v>475.60368820000002</v>
      </c>
      <c r="P82" s="191">
        <f t="shared" si="51"/>
        <v>6.1125191688590386</v>
      </c>
      <c r="Q82" s="191">
        <v>2300.0184254800001</v>
      </c>
      <c r="R82" s="191">
        <f t="shared" si="51"/>
        <v>29.560129711532973</v>
      </c>
      <c r="S82" s="191">
        <v>223.553</v>
      </c>
      <c r="T82" s="191">
        <f t="shared" si="51"/>
        <v>2.8731316254665336</v>
      </c>
      <c r="U82" s="191">
        <v>1.06450446</v>
      </c>
      <c r="V82" s="191">
        <f t="shared" si="52"/>
        <v>1.3681146884524807E-2</v>
      </c>
      <c r="W82" s="191">
        <v>0.64260275</v>
      </c>
      <c r="X82" s="191">
        <f t="shared" si="53"/>
        <v>8.2588123784371695E-3</v>
      </c>
      <c r="Y82" s="682">
        <f t="shared" si="9"/>
        <v>61.742304209999922</v>
      </c>
      <c r="Z82" s="191">
        <f t="shared" si="54"/>
        <v>0.79351995658714614</v>
      </c>
      <c r="AA82" s="191">
        <v>259.77765068999997</v>
      </c>
      <c r="AB82" s="683">
        <f t="shared" si="55"/>
        <v>3.3386954493423797</v>
      </c>
      <c r="AC82" s="191">
        <v>0.38230923</v>
      </c>
      <c r="AD82" s="683">
        <f t="shared" si="56"/>
        <v>4.9134869110267314E-3</v>
      </c>
      <c r="AE82" s="191">
        <v>8.2631040700000007</v>
      </c>
      <c r="AF82" s="683">
        <f t="shared" si="56"/>
        <v>0.10619846581364702</v>
      </c>
      <c r="AG82" s="191">
        <v>9.0888982800000004</v>
      </c>
      <c r="AH82" s="683">
        <f t="shared" si="57"/>
        <v>0.11681167816543003</v>
      </c>
      <c r="AI82" s="191">
        <v>149.34801235</v>
      </c>
    </row>
    <row r="83" spans="1:35" hidden="1">
      <c r="A83" s="679" t="s">
        <v>27</v>
      </c>
      <c r="B83" s="191">
        <v>7963.7234947999996</v>
      </c>
      <c r="C83" s="191">
        <v>290.01943205999999</v>
      </c>
      <c r="D83" s="191">
        <f t="shared" si="51"/>
        <v>3.641756676375961</v>
      </c>
      <c r="E83" s="191">
        <v>1735.3021489400001</v>
      </c>
      <c r="F83" s="191">
        <f t="shared" si="51"/>
        <v>21.790085379949272</v>
      </c>
      <c r="G83" s="191">
        <v>1428.3545655299999</v>
      </c>
      <c r="H83" s="191">
        <f t="shared" si="51"/>
        <v>17.93576291872338</v>
      </c>
      <c r="I83" s="191">
        <v>388.22547713</v>
      </c>
      <c r="J83" s="191">
        <f t="shared" si="51"/>
        <v>4.8749241153776381</v>
      </c>
      <c r="K83" s="191">
        <v>461.22628617999999</v>
      </c>
      <c r="L83" s="191">
        <f t="shared" si="51"/>
        <v>5.7915909119793367</v>
      </c>
      <c r="M83" s="191">
        <v>485.61600299000003</v>
      </c>
      <c r="N83" s="191">
        <f t="shared" si="51"/>
        <v>6.0978511283960115</v>
      </c>
      <c r="O83" s="191">
        <v>509.94234452000001</v>
      </c>
      <c r="P83" s="191">
        <f t="shared" si="51"/>
        <v>6.4033155452091277</v>
      </c>
      <c r="Q83" s="191">
        <v>2303.87076432</v>
      </c>
      <c r="R83" s="191">
        <f t="shared" si="51"/>
        <v>28.929567504752491</v>
      </c>
      <c r="S83" s="191">
        <v>237.4</v>
      </c>
      <c r="T83" s="191">
        <f t="shared" si="51"/>
        <v>2.9810176126156684</v>
      </c>
      <c r="U83" s="191">
        <v>0.96420932000000004</v>
      </c>
      <c r="V83" s="191">
        <f t="shared" si="52"/>
        <v>1.2107518808627536E-2</v>
      </c>
      <c r="W83" s="191">
        <v>0.67156216999999996</v>
      </c>
      <c r="X83" s="191">
        <f t="shared" si="53"/>
        <v>8.4327660351154049E-3</v>
      </c>
      <c r="Y83" s="682">
        <f t="shared" si="9"/>
        <v>60.321730209999281</v>
      </c>
      <c r="Z83" s="191">
        <f t="shared" si="54"/>
        <v>0.75745636132880578</v>
      </c>
      <c r="AA83" s="191">
        <v>257.56020864999999</v>
      </c>
      <c r="AB83" s="683">
        <f t="shared" si="55"/>
        <v>3.2341681478290494</v>
      </c>
      <c r="AC83" s="191">
        <v>17.058841109999999</v>
      </c>
      <c r="AD83" s="683">
        <f t="shared" si="56"/>
        <v>0.2142068483560329</v>
      </c>
      <c r="AE83" s="191">
        <v>15.700916619999999</v>
      </c>
      <c r="AF83" s="683">
        <f t="shared" si="56"/>
        <v>0.1971554716867315</v>
      </c>
      <c r="AG83" s="191">
        <v>8.8890050499999997</v>
      </c>
      <c r="AH83" s="683">
        <f t="shared" si="57"/>
        <v>0.11161870519241625</v>
      </c>
      <c r="AI83" s="191">
        <v>138.05307303999999</v>
      </c>
    </row>
    <row r="84" spans="1:35" hidden="1">
      <c r="A84" s="679" t="s">
        <v>28</v>
      </c>
      <c r="B84" s="191">
        <v>8064.5616917300003</v>
      </c>
      <c r="C84" s="191">
        <v>272.89767504000002</v>
      </c>
      <c r="D84" s="191">
        <f t="shared" si="51"/>
        <v>3.3839120521559103</v>
      </c>
      <c r="E84" s="191">
        <v>1839.8229197799999</v>
      </c>
      <c r="F84" s="191">
        <f t="shared" si="51"/>
        <v>22.813675313150505</v>
      </c>
      <c r="G84" s="191">
        <v>1420.5073482400001</v>
      </c>
      <c r="H84" s="191">
        <f t="shared" si="51"/>
        <v>17.614191601965096</v>
      </c>
      <c r="I84" s="191">
        <v>390.39869227000003</v>
      </c>
      <c r="J84" s="191">
        <f t="shared" si="51"/>
        <v>4.8409164340616773</v>
      </c>
      <c r="K84" s="191">
        <v>449.82142861</v>
      </c>
      <c r="L84" s="191">
        <f t="shared" si="51"/>
        <v>5.577754201710432</v>
      </c>
      <c r="M84" s="191">
        <v>434.04885870999999</v>
      </c>
      <c r="N84" s="191">
        <f t="shared" si="51"/>
        <v>5.3821754399263373</v>
      </c>
      <c r="O84" s="191">
        <v>518.06197213999997</v>
      </c>
      <c r="P84" s="191">
        <f t="shared" si="51"/>
        <v>6.4239321607677589</v>
      </c>
      <c r="Q84" s="191">
        <v>2324.9324610100002</v>
      </c>
      <c r="R84" s="191">
        <f t="shared" si="51"/>
        <v>28.828999639176402</v>
      </c>
      <c r="S84" s="191">
        <v>241.428</v>
      </c>
      <c r="T84" s="191">
        <f t="shared" si="51"/>
        <v>2.9936902863248993</v>
      </c>
      <c r="U84" s="191">
        <v>0.98081085000000001</v>
      </c>
      <c r="V84" s="191">
        <f t="shared" si="52"/>
        <v>1.2161985827522358E-2</v>
      </c>
      <c r="W84" s="191">
        <v>1.7104575799999999</v>
      </c>
      <c r="X84" s="191">
        <f t="shared" si="53"/>
        <v>2.1209554162801309E-2</v>
      </c>
      <c r="Y84" s="682">
        <f t="shared" ref="Y84:Y112" si="58">((B84-C84-E84-G84-I84-K84-M84-W84-O84-Q84-U84-AA84-AC84-AE84-AG84))</f>
        <v>58.789535000000598</v>
      </c>
      <c r="Z84" s="191">
        <f t="shared" si="54"/>
        <v>0.72898611539282721</v>
      </c>
      <c r="AA84" s="191">
        <v>300.15988088</v>
      </c>
      <c r="AB84" s="683">
        <f t="shared" si="55"/>
        <v>3.7219614946687831</v>
      </c>
      <c r="AC84" s="191">
        <v>34.026205449999999</v>
      </c>
      <c r="AD84" s="683">
        <f t="shared" si="56"/>
        <v>0.42192256381264953</v>
      </c>
      <c r="AE84" s="191">
        <v>9.5714064299999997</v>
      </c>
      <c r="AF84" s="683">
        <f t="shared" si="56"/>
        <v>0.11868476918981512</v>
      </c>
      <c r="AG84" s="191">
        <v>8.8320397400000008</v>
      </c>
      <c r="AH84" s="683">
        <f t="shared" si="57"/>
        <v>0.10951667403148554</v>
      </c>
      <c r="AI84" s="191">
        <v>134.64883083000001</v>
      </c>
    </row>
    <row r="85" spans="1:35" hidden="1">
      <c r="A85" s="679" t="s">
        <v>29</v>
      </c>
      <c r="B85" s="191">
        <v>8407.4600296200006</v>
      </c>
      <c r="C85" s="191">
        <v>303.52331758999998</v>
      </c>
      <c r="D85" s="191">
        <f t="shared" si="51"/>
        <v>3.6101666439170526</v>
      </c>
      <c r="E85" s="191">
        <v>1833.9755674099999</v>
      </c>
      <c r="F85" s="191">
        <f t="shared" si="51"/>
        <v>21.813669775994068</v>
      </c>
      <c r="G85" s="191">
        <v>1521.9513809699999</v>
      </c>
      <c r="H85" s="191">
        <f t="shared" si="51"/>
        <v>18.1023921090088</v>
      </c>
      <c r="I85" s="191">
        <v>394.76353073000001</v>
      </c>
      <c r="J85" s="191">
        <f t="shared" si="51"/>
        <v>4.6953958667567104</v>
      </c>
      <c r="K85" s="191">
        <v>576.51455678000002</v>
      </c>
      <c r="L85" s="191">
        <f t="shared" si="51"/>
        <v>6.8571786811819937</v>
      </c>
      <c r="M85" s="191">
        <v>536.86002767000002</v>
      </c>
      <c r="N85" s="191">
        <f t="shared" si="51"/>
        <v>6.3855198333219425</v>
      </c>
      <c r="O85" s="191">
        <v>520.36061713000004</v>
      </c>
      <c r="P85" s="191">
        <f t="shared" si="51"/>
        <v>6.1892725662297225</v>
      </c>
      <c r="Q85" s="191">
        <v>2328.94564223</v>
      </c>
      <c r="R85" s="191">
        <f t="shared" si="51"/>
        <v>27.700942187354809</v>
      </c>
      <c r="S85" s="191">
        <v>254.60599999999999</v>
      </c>
      <c r="T85" s="191">
        <f t="shared" si="51"/>
        <v>3.0283343495301476</v>
      </c>
      <c r="U85" s="191">
        <v>0.99526274999999997</v>
      </c>
      <c r="V85" s="191">
        <f t="shared" si="52"/>
        <v>1.1837852888906137E-2</v>
      </c>
      <c r="W85" s="191">
        <v>0.60261160000000003</v>
      </c>
      <c r="X85" s="191">
        <f t="shared" si="53"/>
        <v>7.1675820982432525E-3</v>
      </c>
      <c r="Y85" s="682">
        <f t="shared" si="58"/>
        <v>57.50058646000069</v>
      </c>
      <c r="Z85" s="191">
        <f t="shared" si="54"/>
        <v>0.68392339966437632</v>
      </c>
      <c r="AA85" s="191">
        <v>284.51366710000002</v>
      </c>
      <c r="AB85" s="683">
        <f t="shared" si="55"/>
        <v>3.3840620841210165</v>
      </c>
      <c r="AC85" s="191">
        <v>18.522100099999999</v>
      </c>
      <c r="AD85" s="683">
        <f t="shared" si="56"/>
        <v>0.22030553859007951</v>
      </c>
      <c r="AE85" s="191">
        <v>19.77260862</v>
      </c>
      <c r="AF85" s="683">
        <f t="shared" si="56"/>
        <v>0.23517933538000629</v>
      </c>
      <c r="AG85" s="191">
        <v>8.6585524800000009</v>
      </c>
      <c r="AH85" s="683">
        <f t="shared" si="57"/>
        <v>0.10298654349227218</v>
      </c>
      <c r="AI85" s="191">
        <v>165.64595686000001</v>
      </c>
    </row>
    <row r="86" spans="1:35">
      <c r="A86" s="679" t="s">
        <v>48</v>
      </c>
      <c r="B86" s="283">
        <v>9163.3597792400014</v>
      </c>
      <c r="C86" s="283">
        <v>492.87668797999999</v>
      </c>
      <c r="D86" s="283">
        <v>5.378776997238873</v>
      </c>
      <c r="E86" s="283">
        <v>2206.7763883799998</v>
      </c>
      <c r="F86" s="283">
        <v>24.082612071824897</v>
      </c>
      <c r="G86" s="283">
        <v>983.95156850000001</v>
      </c>
      <c r="H86" s="283">
        <v>10.737890819578928</v>
      </c>
      <c r="I86" s="283">
        <v>441.34799163000002</v>
      </c>
      <c r="J86" s="283">
        <v>4.8164429015424401</v>
      </c>
      <c r="K86" s="283">
        <v>660.64497155000004</v>
      </c>
      <c r="L86" s="283">
        <v>7.2096369395723237</v>
      </c>
      <c r="M86" s="283">
        <v>682.38481673000001</v>
      </c>
      <c r="N86" s="283">
        <v>7.4468844743603002</v>
      </c>
      <c r="O86" s="283">
        <v>454.41087775</v>
      </c>
      <c r="P86" s="283">
        <v>4.9589985409007733</v>
      </c>
      <c r="Q86" s="283">
        <v>2700.8020430699999</v>
      </c>
      <c r="R86" s="283">
        <v>29.47392777470974</v>
      </c>
      <c r="S86" s="283">
        <v>401.41500000000002</v>
      </c>
      <c r="T86" s="283">
        <v>4.380653053800458</v>
      </c>
      <c r="U86" s="283">
        <v>0.68196042999999995</v>
      </c>
      <c r="V86" s="283">
        <v>7.4422531301784264E-3</v>
      </c>
      <c r="W86" s="283">
        <v>0.97847786000000003</v>
      </c>
      <c r="X86" s="283">
        <v>1.0678156086556648E-2</v>
      </c>
      <c r="Y86" s="684">
        <f t="shared" si="58"/>
        <v>46.043434350000659</v>
      </c>
      <c r="Z86" s="283">
        <v>0.50247327900748928</v>
      </c>
      <c r="AA86" s="283">
        <v>430.83065515999999</v>
      </c>
      <c r="AB86" s="685">
        <v>4.7016669162774329</v>
      </c>
      <c r="AC86" s="283">
        <v>44.068022310000003</v>
      </c>
      <c r="AD86" s="685">
        <v>0.4809155525011477</v>
      </c>
      <c r="AE86" s="283">
        <v>7.71011062</v>
      </c>
      <c r="AF86" s="685">
        <v>8.4140651526829688E-2</v>
      </c>
      <c r="AG86" s="283">
        <v>9.8517729200000002</v>
      </c>
      <c r="AH86" s="685">
        <v>0.10751267174207904</v>
      </c>
      <c r="AI86" s="283">
        <v>146.31131445</v>
      </c>
    </row>
    <row r="87" spans="1:35" hidden="1">
      <c r="A87" s="679" t="s">
        <v>18</v>
      </c>
      <c r="B87" s="283">
        <v>8431.1754328499992</v>
      </c>
      <c r="C87" s="283">
        <v>331.42509939000001</v>
      </c>
      <c r="D87" s="283">
        <f t="shared" ref="D87:R87" si="59">C87/$B87*100</f>
        <v>3.9309477311868486</v>
      </c>
      <c r="E87" s="283">
        <v>1842.24816197</v>
      </c>
      <c r="F87" s="283">
        <f t="shared" si="59"/>
        <v>21.850430899493961</v>
      </c>
      <c r="G87" s="283">
        <v>1519.90390383</v>
      </c>
      <c r="H87" s="283">
        <f t="shared" si="59"/>
        <v>18.027188687215173</v>
      </c>
      <c r="I87" s="283">
        <v>391.68248686999999</v>
      </c>
      <c r="J87" s="283">
        <f t="shared" si="59"/>
        <v>4.645645082225494</v>
      </c>
      <c r="K87" s="283">
        <v>574.19820347999996</v>
      </c>
      <c r="L87" s="283">
        <f t="shared" si="59"/>
        <v>6.8104169822250178</v>
      </c>
      <c r="M87" s="283">
        <v>529.23666118000006</v>
      </c>
      <c r="N87" s="283">
        <f t="shared" si="59"/>
        <v>6.2771397107686759</v>
      </c>
      <c r="O87" s="283">
        <v>530.07371538999996</v>
      </c>
      <c r="P87" s="283">
        <f t="shared" si="59"/>
        <v>6.287067795134452</v>
      </c>
      <c r="Q87" s="283">
        <v>2324.9568689900002</v>
      </c>
      <c r="R87" s="283">
        <f t="shared" si="59"/>
        <v>27.575714531231053</v>
      </c>
      <c r="S87" s="283">
        <v>271.08199999999999</v>
      </c>
      <c r="T87" s="283">
        <f t="shared" ref="D87:T98" si="60">S87/$B87*100</f>
        <v>3.2152337732624532</v>
      </c>
      <c r="U87" s="283">
        <v>1.01570618</v>
      </c>
      <c r="V87" s="283">
        <f t="shared" ref="V87:V93" si="61">U87/$B87*100</f>
        <v>1.2047029362507995E-2</v>
      </c>
      <c r="W87" s="283">
        <v>2.5138465299999999</v>
      </c>
      <c r="X87" s="283">
        <f t="shared" ref="X87:X93" si="62">W87/$B87*100</f>
        <v>2.9816086143877589E-2</v>
      </c>
      <c r="Y87" s="684">
        <f t="shared" si="58"/>
        <v>57.932174959998754</v>
      </c>
      <c r="Z87" s="283">
        <f t="shared" ref="Z87:Z98" si="63">Y87/$B87*100</f>
        <v>0.68711860429662386</v>
      </c>
      <c r="AA87" s="685">
        <v>288.54346126000002</v>
      </c>
      <c r="AB87" s="685">
        <f t="shared" ref="AB87:AB98" si="64">AA87/B87*100</f>
        <v>3.4223396673227962</v>
      </c>
      <c r="AC87" s="685">
        <v>18.514744159999999</v>
      </c>
      <c r="AD87" s="685">
        <f t="shared" ref="AD87:AF98" si="65">AC87/$B87*100</f>
        <v>0.21959861121928337</v>
      </c>
      <c r="AE87" s="685">
        <v>11.4690999</v>
      </c>
      <c r="AF87" s="685">
        <f t="shared" si="65"/>
        <v>0.13603203955777599</v>
      </c>
      <c r="AG87" s="685">
        <v>7.46129876</v>
      </c>
      <c r="AH87" s="685">
        <f t="shared" ref="AH87:AH98" si="66">AG87/$B87*100</f>
        <v>8.8496542616452817E-2</v>
      </c>
      <c r="AI87" s="283">
        <v>139.20685248999999</v>
      </c>
    </row>
    <row r="88" spans="1:35" hidden="1">
      <c r="A88" s="679" t="s">
        <v>19</v>
      </c>
      <c r="B88" s="283">
        <v>8343.4665381899995</v>
      </c>
      <c r="C88" s="283">
        <v>358.36671997000002</v>
      </c>
      <c r="D88" s="283">
        <f t="shared" si="60"/>
        <v>4.2951777696916702</v>
      </c>
      <c r="E88" s="283">
        <v>1707.71920047</v>
      </c>
      <c r="F88" s="283">
        <f t="shared" si="60"/>
        <v>20.467741946987736</v>
      </c>
      <c r="G88" s="283">
        <v>1515.53282476</v>
      </c>
      <c r="H88" s="283">
        <f t="shared" si="60"/>
        <v>18.164306380603932</v>
      </c>
      <c r="I88" s="283">
        <v>392.70892785000001</v>
      </c>
      <c r="J88" s="283">
        <f t="shared" si="60"/>
        <v>4.7067837577160443</v>
      </c>
      <c r="K88" s="283">
        <v>576.36290809000002</v>
      </c>
      <c r="L88" s="283">
        <f t="shared" si="60"/>
        <v>6.9079549303859746</v>
      </c>
      <c r="M88" s="283">
        <v>567.25553474000003</v>
      </c>
      <c r="N88" s="283">
        <f t="shared" si="60"/>
        <v>6.7987991818932656</v>
      </c>
      <c r="O88" s="283">
        <v>497.47807957999999</v>
      </c>
      <c r="P88" s="283">
        <f t="shared" si="60"/>
        <v>5.9624866631025171</v>
      </c>
      <c r="Q88" s="283">
        <v>2330.9711280299998</v>
      </c>
      <c r="R88" s="283">
        <f t="shared" si="60"/>
        <v>27.937681746077597</v>
      </c>
      <c r="S88" s="283">
        <v>289</v>
      </c>
      <c r="T88" s="283">
        <f t="shared" si="60"/>
        <v>3.4637880870880147</v>
      </c>
      <c r="U88" s="283">
        <v>0.99192539000000002</v>
      </c>
      <c r="V88" s="283">
        <f t="shared" si="61"/>
        <v>1.1888648266997001E-2</v>
      </c>
      <c r="W88" s="283">
        <v>0.86308744000000004</v>
      </c>
      <c r="X88" s="283">
        <f t="shared" si="62"/>
        <v>1.0344470563277827E-2</v>
      </c>
      <c r="Y88" s="684">
        <f t="shared" si="58"/>
        <v>57.771892269998951</v>
      </c>
      <c r="Z88" s="283">
        <f t="shared" si="63"/>
        <v>0.69242073430226481</v>
      </c>
      <c r="AA88" s="685">
        <v>310.23641287999999</v>
      </c>
      <c r="AB88" s="685">
        <f t="shared" si="64"/>
        <v>3.7183155401891446</v>
      </c>
      <c r="AC88" s="685">
        <v>18.498768770000002</v>
      </c>
      <c r="AD88" s="685">
        <f t="shared" si="65"/>
        <v>0.22171562246132118</v>
      </c>
      <c r="AE88" s="685">
        <v>1.45456896</v>
      </c>
      <c r="AF88" s="685">
        <f t="shared" si="65"/>
        <v>1.7433628496525962E-2</v>
      </c>
      <c r="AG88" s="685">
        <v>7.2545589899999996</v>
      </c>
      <c r="AH88" s="685">
        <f t="shared" si="66"/>
        <v>8.6948979261727538E-2</v>
      </c>
      <c r="AI88" s="283">
        <v>139.55287720000001</v>
      </c>
    </row>
    <row r="89" spans="1:35" hidden="1">
      <c r="A89" s="679" t="s">
        <v>20</v>
      </c>
      <c r="B89" s="283">
        <v>8485.212513729999</v>
      </c>
      <c r="C89" s="283">
        <v>355.91081566000003</v>
      </c>
      <c r="D89" s="283">
        <f t="shared" si="60"/>
        <v>4.1944832269562786</v>
      </c>
      <c r="E89" s="283">
        <v>1843.17726455</v>
      </c>
      <c r="F89" s="283">
        <f t="shared" si="60"/>
        <v>21.722228660361047</v>
      </c>
      <c r="G89" s="283">
        <v>1508.1860343999999</v>
      </c>
      <c r="H89" s="283">
        <f t="shared" si="60"/>
        <v>17.774287113723911</v>
      </c>
      <c r="I89" s="283">
        <v>387.17245847999999</v>
      </c>
      <c r="J89" s="283">
        <f t="shared" si="60"/>
        <v>4.5629082106489705</v>
      </c>
      <c r="K89" s="283">
        <v>562.38271422000003</v>
      </c>
      <c r="L89" s="283">
        <f t="shared" si="60"/>
        <v>6.6277976339426194</v>
      </c>
      <c r="M89" s="283">
        <v>597.01334268000005</v>
      </c>
      <c r="N89" s="283">
        <f t="shared" si="60"/>
        <v>7.0359268163757527</v>
      </c>
      <c r="O89" s="283">
        <v>438.83372997999999</v>
      </c>
      <c r="P89" s="283">
        <f t="shared" si="60"/>
        <v>5.1717470749249843</v>
      </c>
      <c r="Q89" s="283">
        <v>2401.92130993</v>
      </c>
      <c r="R89" s="283">
        <f t="shared" si="60"/>
        <v>28.307143822779089</v>
      </c>
      <c r="S89" s="283">
        <v>360.58600000000001</v>
      </c>
      <c r="T89" s="283">
        <f t="shared" si="60"/>
        <v>4.2495812499278305</v>
      </c>
      <c r="U89" s="283">
        <v>0.7905063</v>
      </c>
      <c r="V89" s="283">
        <f t="shared" si="61"/>
        <v>9.3162816926609035E-3</v>
      </c>
      <c r="W89" s="283">
        <v>0.68047727000000002</v>
      </c>
      <c r="X89" s="283">
        <f t="shared" si="62"/>
        <v>8.019566615437311E-3</v>
      </c>
      <c r="Y89" s="684">
        <f t="shared" si="58"/>
        <v>53.242798919998563</v>
      </c>
      <c r="Z89" s="283">
        <f t="shared" si="63"/>
        <v>0.62747749492244187</v>
      </c>
      <c r="AA89" s="685">
        <v>304.29962330000001</v>
      </c>
      <c r="AB89" s="685">
        <f t="shared" si="64"/>
        <v>3.5862345557946846</v>
      </c>
      <c r="AC89" s="685">
        <v>18.501820349999999</v>
      </c>
      <c r="AD89" s="685">
        <f t="shared" si="65"/>
        <v>0.21804781341730728</v>
      </c>
      <c r="AE89" s="685">
        <v>5.5935107000000004</v>
      </c>
      <c r="AF89" s="685">
        <f t="shared" si="65"/>
        <v>6.5920690742265906E-2</v>
      </c>
      <c r="AG89" s="685">
        <v>7.5061069900000001</v>
      </c>
      <c r="AH89" s="685">
        <f t="shared" si="66"/>
        <v>8.8461037102539275E-2</v>
      </c>
      <c r="AI89" s="283">
        <v>151.38279889</v>
      </c>
    </row>
    <row r="90" spans="1:35" hidden="1">
      <c r="A90" s="679" t="s">
        <v>21</v>
      </c>
      <c r="B90" s="283">
        <v>8605.4584439699993</v>
      </c>
      <c r="C90" s="283">
        <v>365.24831912000002</v>
      </c>
      <c r="D90" s="283">
        <f t="shared" si="60"/>
        <v>4.2443795586037156</v>
      </c>
      <c r="E90" s="283">
        <v>1874.3911692700001</v>
      </c>
      <c r="F90" s="283">
        <f t="shared" si="60"/>
        <v>21.781421425414237</v>
      </c>
      <c r="G90" s="283">
        <v>1509.9414386999999</v>
      </c>
      <c r="H90" s="283">
        <f t="shared" si="60"/>
        <v>17.546321890125949</v>
      </c>
      <c r="I90" s="283">
        <v>388.87514071999999</v>
      </c>
      <c r="J90" s="283">
        <f t="shared" si="60"/>
        <v>4.5189357807252195</v>
      </c>
      <c r="K90" s="283">
        <v>567.58861449000005</v>
      </c>
      <c r="L90" s="283">
        <f t="shared" si="60"/>
        <v>6.59568131303591</v>
      </c>
      <c r="M90" s="283">
        <v>601.16608893</v>
      </c>
      <c r="N90" s="283">
        <f t="shared" si="60"/>
        <v>6.9858694088662761</v>
      </c>
      <c r="O90" s="283">
        <v>443.36540312</v>
      </c>
      <c r="P90" s="283">
        <f t="shared" si="60"/>
        <v>5.1521415855615942</v>
      </c>
      <c r="Q90" s="283">
        <v>2439.8551645500002</v>
      </c>
      <c r="R90" s="283">
        <f t="shared" si="60"/>
        <v>28.352413534222006</v>
      </c>
      <c r="S90" s="283">
        <v>317.7</v>
      </c>
      <c r="T90" s="283">
        <f t="shared" si="60"/>
        <v>3.6918428235815619</v>
      </c>
      <c r="U90" s="283">
        <v>0.97354397000000004</v>
      </c>
      <c r="V90" s="283">
        <f t="shared" si="61"/>
        <v>1.1313098265928877E-2</v>
      </c>
      <c r="W90" s="283">
        <v>0.62503045999999995</v>
      </c>
      <c r="X90" s="283">
        <f t="shared" si="62"/>
        <v>7.2631860820613244E-3</v>
      </c>
      <c r="Y90" s="684">
        <f t="shared" si="58"/>
        <v>48.657510479998628</v>
      </c>
      <c r="Z90" s="283">
        <f t="shared" si="63"/>
        <v>0.56542612804195025</v>
      </c>
      <c r="AA90" s="685">
        <v>332.51146863000002</v>
      </c>
      <c r="AB90" s="685">
        <f t="shared" si="64"/>
        <v>3.8639599597740992</v>
      </c>
      <c r="AC90" s="685">
        <v>18.492482899999999</v>
      </c>
      <c r="AD90" s="685">
        <f t="shared" si="65"/>
        <v>0.21489247807544776</v>
      </c>
      <c r="AE90" s="685">
        <v>6.63861554</v>
      </c>
      <c r="AF90" s="685">
        <f t="shared" si="65"/>
        <v>7.7144240289159699E-2</v>
      </c>
      <c r="AG90" s="685">
        <v>7.1284530899999998</v>
      </c>
      <c r="AH90" s="685">
        <f t="shared" si="66"/>
        <v>8.2836412916444169E-2</v>
      </c>
      <c r="AI90" s="283">
        <v>140.64108408999999</v>
      </c>
    </row>
    <row r="91" spans="1:35" hidden="1">
      <c r="A91" s="679" t="s">
        <v>22</v>
      </c>
      <c r="B91" s="283">
        <v>8733.4896446999992</v>
      </c>
      <c r="C91" s="283">
        <v>383.58905662000001</v>
      </c>
      <c r="D91" s="283">
        <f t="shared" si="60"/>
        <v>4.3921624943218962</v>
      </c>
      <c r="E91" s="283">
        <v>1882.2593486299997</v>
      </c>
      <c r="F91" s="283">
        <f t="shared" si="60"/>
        <v>21.552202214750054</v>
      </c>
      <c r="G91" s="283">
        <v>1503.3467280300001</v>
      </c>
      <c r="H91" s="283">
        <f t="shared" si="60"/>
        <v>17.213585739376473</v>
      </c>
      <c r="I91" s="283">
        <v>395.78665543</v>
      </c>
      <c r="J91" s="283">
        <f t="shared" si="60"/>
        <v>4.5318271565156873</v>
      </c>
      <c r="K91" s="283">
        <v>589.16889433999995</v>
      </c>
      <c r="L91" s="283">
        <f t="shared" si="60"/>
        <v>6.7460879706606471</v>
      </c>
      <c r="M91" s="283">
        <v>605.74556476999999</v>
      </c>
      <c r="N91" s="283">
        <f t="shared" si="60"/>
        <v>6.9358937768661848</v>
      </c>
      <c r="O91" s="283">
        <v>445.70633127999997</v>
      </c>
      <c r="P91" s="283">
        <f t="shared" si="60"/>
        <v>5.1034162678658586</v>
      </c>
      <c r="Q91" s="283">
        <v>2482.3394727199993</v>
      </c>
      <c r="R91" s="283">
        <f t="shared" si="60"/>
        <v>28.423225694512965</v>
      </c>
      <c r="S91" s="283">
        <v>324.67899999999997</v>
      </c>
      <c r="T91" s="283">
        <f t="shared" si="60"/>
        <v>3.7176319341837716</v>
      </c>
      <c r="U91" s="283">
        <v>0.93800456999999993</v>
      </c>
      <c r="V91" s="283">
        <f t="shared" si="61"/>
        <v>1.0740318110633324E-2</v>
      </c>
      <c r="W91" s="283">
        <v>0.58456328999999996</v>
      </c>
      <c r="X91" s="283">
        <f t="shared" si="62"/>
        <v>6.6933529869672168E-3</v>
      </c>
      <c r="Y91" s="684">
        <f t="shared" si="58"/>
        <v>49.777326420001081</v>
      </c>
      <c r="Z91" s="283">
        <f t="shared" si="63"/>
        <v>0.56995918521766287</v>
      </c>
      <c r="AA91" s="685">
        <v>360.33753009999998</v>
      </c>
      <c r="AB91" s="685">
        <f t="shared" si="64"/>
        <v>4.1259284061632133</v>
      </c>
      <c r="AC91" s="685">
        <v>18.789121959999999</v>
      </c>
      <c r="AD91" s="685">
        <f t="shared" si="65"/>
        <v>0.21513876725556499</v>
      </c>
      <c r="AE91" s="685">
        <v>6.63861554</v>
      </c>
      <c r="AF91" s="685">
        <f t="shared" si="65"/>
        <v>7.6013321250443189E-2</v>
      </c>
      <c r="AG91" s="685">
        <v>8.4824310000000001</v>
      </c>
      <c r="AH91" s="685">
        <f t="shared" si="66"/>
        <v>9.7125334145757455E-2</v>
      </c>
      <c r="AI91" s="283">
        <v>149.99179429000003</v>
      </c>
    </row>
    <row r="92" spans="1:35" hidden="1">
      <c r="A92" s="679" t="s">
        <v>23</v>
      </c>
      <c r="B92" s="283">
        <v>8840.6992274799995</v>
      </c>
      <c r="C92" s="283">
        <v>408.5922167199999</v>
      </c>
      <c r="D92" s="283">
        <f t="shared" si="60"/>
        <v>4.6217183302645539</v>
      </c>
      <c r="E92" s="283">
        <v>2014.7660075700001</v>
      </c>
      <c r="F92" s="283">
        <f t="shared" si="60"/>
        <v>22.789668053714568</v>
      </c>
      <c r="G92" s="283">
        <v>1394.7596282799998</v>
      </c>
      <c r="H92" s="283">
        <f t="shared" si="60"/>
        <v>15.776575951646413</v>
      </c>
      <c r="I92" s="283">
        <v>408.21257389999994</v>
      </c>
      <c r="J92" s="283">
        <f t="shared" si="60"/>
        <v>4.6174240678964829</v>
      </c>
      <c r="K92" s="283">
        <v>604.11590692999994</v>
      </c>
      <c r="L92" s="283">
        <f t="shared" si="60"/>
        <v>6.8333498446841796</v>
      </c>
      <c r="M92" s="283">
        <v>604.47354925999991</v>
      </c>
      <c r="N92" s="283">
        <f t="shared" si="60"/>
        <v>6.8373952524149182</v>
      </c>
      <c r="O92" s="283">
        <v>450.20410727000001</v>
      </c>
      <c r="P92" s="283">
        <f t="shared" si="60"/>
        <v>5.0924038436983299</v>
      </c>
      <c r="Q92" s="283">
        <v>2507.8118392700007</v>
      </c>
      <c r="R92" s="283">
        <f t="shared" si="60"/>
        <v>28.36666845847261</v>
      </c>
      <c r="S92" s="283">
        <v>324.67899999999997</v>
      </c>
      <c r="T92" s="283">
        <f t="shared" si="60"/>
        <v>3.6725488747630228</v>
      </c>
      <c r="U92" s="283">
        <v>0.91283855999999997</v>
      </c>
      <c r="V92" s="283">
        <f t="shared" si="61"/>
        <v>1.0325411333558063E-2</v>
      </c>
      <c r="W92" s="283">
        <v>0.56202349000000007</v>
      </c>
      <c r="X92" s="283">
        <f t="shared" si="62"/>
        <v>6.357228942401226E-3</v>
      </c>
      <c r="Y92" s="684">
        <f t="shared" si="58"/>
        <v>50.67926517999819</v>
      </c>
      <c r="Z92" s="283">
        <f t="shared" si="63"/>
        <v>0.57324951201223118</v>
      </c>
      <c r="AA92" s="685">
        <v>360.57285159000003</v>
      </c>
      <c r="AB92" s="685">
        <f t="shared" si="64"/>
        <v>4.0785558055092848</v>
      </c>
      <c r="AC92" s="685">
        <v>18.791283150000002</v>
      </c>
      <c r="AD92" s="685">
        <f t="shared" si="65"/>
        <v>0.21255426371242325</v>
      </c>
      <c r="AE92" s="685">
        <v>8.7411551700000008</v>
      </c>
      <c r="AF92" s="685">
        <f t="shared" si="65"/>
        <v>9.8874025063870732E-2</v>
      </c>
      <c r="AG92" s="685">
        <v>7.5039811400000005</v>
      </c>
      <c r="AH92" s="685">
        <f t="shared" si="66"/>
        <v>8.4879950634164675E-2</v>
      </c>
      <c r="AI92" s="283">
        <v>158.06744716</v>
      </c>
    </row>
    <row r="93" spans="1:35" hidden="1">
      <c r="A93" s="679" t="s">
        <v>24</v>
      </c>
      <c r="B93" s="283">
        <v>8656.2160000000003</v>
      </c>
      <c r="C93" s="283">
        <v>399.995</v>
      </c>
      <c r="D93" s="283">
        <f t="shared" si="60"/>
        <v>4.6208990163831398</v>
      </c>
      <c r="E93" s="283">
        <v>2029.04</v>
      </c>
      <c r="F93" s="283">
        <f t="shared" si="60"/>
        <v>23.440265353822038</v>
      </c>
      <c r="G93" s="283">
        <v>1073.5050000000001</v>
      </c>
      <c r="H93" s="283">
        <f t="shared" si="60"/>
        <v>12.401550515837407</v>
      </c>
      <c r="I93" s="283">
        <v>415.75799999999998</v>
      </c>
      <c r="J93" s="283">
        <f t="shared" si="60"/>
        <v>4.8029993706256864</v>
      </c>
      <c r="K93" s="283">
        <v>609.59</v>
      </c>
      <c r="L93" s="283">
        <f t="shared" si="60"/>
        <v>7.0422226062750743</v>
      </c>
      <c r="M93" s="283">
        <v>620.80600000000004</v>
      </c>
      <c r="N93" s="283">
        <f t="shared" si="60"/>
        <v>7.1717942343398082</v>
      </c>
      <c r="O93" s="283">
        <v>442.76799999999997</v>
      </c>
      <c r="P93" s="283">
        <f t="shared" si="60"/>
        <v>5.1150294770832883</v>
      </c>
      <c r="Q93" s="283">
        <v>2560.636</v>
      </c>
      <c r="R93" s="283">
        <f t="shared" si="60"/>
        <v>29.581470702671929</v>
      </c>
      <c r="S93" s="283">
        <v>324.67899999999997</v>
      </c>
      <c r="T93" s="283">
        <f t="shared" si="60"/>
        <v>3.7508190645889607</v>
      </c>
      <c r="U93" s="283">
        <v>0.91920000000000002</v>
      </c>
      <c r="V93" s="283">
        <f t="shared" si="61"/>
        <v>1.0618958676631913E-2</v>
      </c>
      <c r="W93" s="283">
        <v>0.59299999999999997</v>
      </c>
      <c r="X93" s="283">
        <f t="shared" si="62"/>
        <v>6.8505684238933029E-3</v>
      </c>
      <c r="Y93" s="684">
        <f t="shared" si="58"/>
        <v>50.201499999999683</v>
      </c>
      <c r="Z93" s="283">
        <f t="shared" si="63"/>
        <v>0.57994740426994518</v>
      </c>
      <c r="AA93" s="685">
        <v>392.15519999999998</v>
      </c>
      <c r="AB93" s="685">
        <f t="shared" si="64"/>
        <v>4.5303305740060082</v>
      </c>
      <c r="AC93" s="685">
        <v>43.228299999999997</v>
      </c>
      <c r="AD93" s="685">
        <f t="shared" si="65"/>
        <v>0.49939026475309767</v>
      </c>
      <c r="AE93" s="685">
        <v>9.9467999999999996</v>
      </c>
      <c r="AF93" s="685">
        <f t="shared" si="65"/>
        <v>0.11490933220705211</v>
      </c>
      <c r="AG93" s="685">
        <v>7.0739999999999998</v>
      </c>
      <c r="AH93" s="685">
        <f t="shared" si="66"/>
        <v>8.1721620624993649E-2</v>
      </c>
      <c r="AI93" s="283">
        <v>155.24299999999999</v>
      </c>
    </row>
    <row r="94" spans="1:35" hidden="1">
      <c r="A94" s="679" t="s">
        <v>25</v>
      </c>
      <c r="B94" s="283">
        <v>8788.5652860400005</v>
      </c>
      <c r="C94" s="283">
        <v>423.68329698000002</v>
      </c>
      <c r="D94" s="283">
        <f t="shared" si="60"/>
        <v>4.8208471256735184</v>
      </c>
      <c r="E94" s="283">
        <v>2041.1829799300001</v>
      </c>
      <c r="F94" s="283">
        <f t="shared" si="60"/>
        <v>23.225440256696636</v>
      </c>
      <c r="G94" s="283">
        <v>1078.03128952</v>
      </c>
      <c r="H94" s="283">
        <f t="shared" si="60"/>
        <v>12.266294377221895</v>
      </c>
      <c r="I94" s="283">
        <v>415.30673962999998</v>
      </c>
      <c r="J94" s="283">
        <f t="shared" si="60"/>
        <v>4.7255351256215237</v>
      </c>
      <c r="K94" s="283">
        <v>610.02370494000002</v>
      </c>
      <c r="L94" s="283">
        <f t="shared" si="60"/>
        <v>6.9411068255814001</v>
      </c>
      <c r="M94" s="283">
        <v>645.69957323000006</v>
      </c>
      <c r="N94" s="283">
        <f t="shared" si="60"/>
        <v>7.3470418915320233</v>
      </c>
      <c r="O94" s="283">
        <v>441.02378733</v>
      </c>
      <c r="P94" s="283">
        <f t="shared" si="60"/>
        <v>5.0181545334883539</v>
      </c>
      <c r="Q94" s="283">
        <v>2620.0822472700002</v>
      </c>
      <c r="R94" s="283">
        <f t="shared" si="60"/>
        <v>29.812400113040194</v>
      </c>
      <c r="S94" s="283">
        <v>359.46499999999997</v>
      </c>
      <c r="T94" s="283">
        <f t="shared" si="60"/>
        <v>4.0901442761196085</v>
      </c>
      <c r="U94" s="283">
        <v>0.89221033999999999</v>
      </c>
      <c r="V94" s="283">
        <f>U94/$B94*100</f>
        <v>1.0151945294383959E-2</v>
      </c>
      <c r="W94" s="283">
        <v>1.18801157</v>
      </c>
      <c r="X94" s="283">
        <f>W94/$B94*100</f>
        <v>1.3517696362648298E-2</v>
      </c>
      <c r="Y94" s="684">
        <f t="shared" si="58"/>
        <v>53.812408310000151</v>
      </c>
      <c r="Z94" s="283">
        <f t="shared" si="63"/>
        <v>0.61230026242710245</v>
      </c>
      <c r="AA94" s="685">
        <v>394.26492587000001</v>
      </c>
      <c r="AB94" s="685">
        <f t="shared" si="64"/>
        <v>4.4861125000261559</v>
      </c>
      <c r="AC94" s="685">
        <v>43.258617039999997</v>
      </c>
      <c r="AD94" s="685">
        <f t="shared" si="65"/>
        <v>0.49221477717999296</v>
      </c>
      <c r="AE94" s="685">
        <v>9.9468195500000007</v>
      </c>
      <c r="AF94" s="685">
        <f t="shared" si="65"/>
        <v>0.11317910519251421</v>
      </c>
      <c r="AG94" s="685">
        <v>10.168674530000001</v>
      </c>
      <c r="AH94" s="685">
        <f t="shared" si="66"/>
        <v>0.11570346466165762</v>
      </c>
      <c r="AI94" s="283">
        <v>154.36434367999999</v>
      </c>
    </row>
    <row r="95" spans="1:35" hidden="1">
      <c r="A95" s="679" t="s">
        <v>26</v>
      </c>
      <c r="B95" s="283">
        <v>8936.6295108199993</v>
      </c>
      <c r="C95" s="283">
        <v>448.51428231</v>
      </c>
      <c r="D95" s="283">
        <f t="shared" si="60"/>
        <v>5.0188304412414393</v>
      </c>
      <c r="E95" s="283">
        <v>2080.6857189100001</v>
      </c>
      <c r="F95" s="283">
        <f t="shared" si="60"/>
        <v>23.28266732318729</v>
      </c>
      <c r="G95" s="283">
        <v>1061.7641641299999</v>
      </c>
      <c r="H95" s="283">
        <f t="shared" si="60"/>
        <v>11.881035941396831</v>
      </c>
      <c r="I95" s="283">
        <v>435.24827262999997</v>
      </c>
      <c r="J95" s="283">
        <f t="shared" si="60"/>
        <v>4.8703851055146057</v>
      </c>
      <c r="K95" s="283">
        <v>623.66607327999998</v>
      </c>
      <c r="L95" s="283">
        <f t="shared" si="60"/>
        <v>6.9787616519729063</v>
      </c>
      <c r="M95" s="283">
        <v>659.99879017000001</v>
      </c>
      <c r="N95" s="283">
        <f t="shared" si="60"/>
        <v>7.3853211590668311</v>
      </c>
      <c r="O95" s="283">
        <v>462.99262822999998</v>
      </c>
      <c r="P95" s="283">
        <f t="shared" si="60"/>
        <v>5.1808416995404469</v>
      </c>
      <c r="Q95" s="283">
        <v>2631.1784742099999</v>
      </c>
      <c r="R95" s="283">
        <f t="shared" si="60"/>
        <v>29.442626787026448</v>
      </c>
      <c r="S95" s="283">
        <v>367.03500000000003</v>
      </c>
      <c r="T95" s="283">
        <f t="shared" si="60"/>
        <v>4.1070853340805211</v>
      </c>
      <c r="U95" s="283">
        <v>0.89235611000000004</v>
      </c>
      <c r="V95" s="283">
        <f>U95/$B95*100</f>
        <v>9.9853765775965355E-3</v>
      </c>
      <c r="W95" s="283">
        <v>1.2478576299999999</v>
      </c>
      <c r="X95" s="283">
        <f>W95/$B95*100</f>
        <v>1.3963403411645965E-2</v>
      </c>
      <c r="Y95" s="684">
        <f t="shared" si="58"/>
        <v>52.673412750000509</v>
      </c>
      <c r="Z95" s="283">
        <f t="shared" si="63"/>
        <v>0.58941027695314352</v>
      </c>
      <c r="AA95" s="685">
        <v>417.81064378999997</v>
      </c>
      <c r="AB95" s="685">
        <f t="shared" si="64"/>
        <v>4.6752597641441538</v>
      </c>
      <c r="AC95" s="685">
        <v>42.729035799999998</v>
      </c>
      <c r="AD95" s="685">
        <f t="shared" si="65"/>
        <v>0.4781336828192993</v>
      </c>
      <c r="AE95" s="685">
        <v>8.0885206299999997</v>
      </c>
      <c r="AF95" s="685">
        <f t="shared" si="65"/>
        <v>9.0509745538928807E-2</v>
      </c>
      <c r="AG95" s="685">
        <v>9.1392802399999997</v>
      </c>
      <c r="AH95" s="685">
        <f t="shared" si="66"/>
        <v>0.1022676416084458</v>
      </c>
      <c r="AI95" s="283">
        <v>180.01623324600001</v>
      </c>
    </row>
    <row r="96" spans="1:35" hidden="1">
      <c r="A96" s="679" t="s">
        <v>27</v>
      </c>
      <c r="B96" s="283">
        <v>9065.2348196599996</v>
      </c>
      <c r="C96" s="283">
        <v>454.04449083999998</v>
      </c>
      <c r="D96" s="283">
        <f t="shared" si="60"/>
        <v>5.0086346341001828</v>
      </c>
      <c r="E96" s="283">
        <v>2183.8326649800001</v>
      </c>
      <c r="F96" s="283">
        <f t="shared" si="60"/>
        <v>24.090194114374931</v>
      </c>
      <c r="G96" s="283">
        <v>1036.3403407999999</v>
      </c>
      <c r="H96" s="283">
        <f t="shared" si="60"/>
        <v>11.432029742378685</v>
      </c>
      <c r="I96" s="283">
        <v>442.44183034999998</v>
      </c>
      <c r="J96" s="283">
        <f t="shared" si="60"/>
        <v>4.8806439011426974</v>
      </c>
      <c r="K96" s="283">
        <v>620.59929281999996</v>
      </c>
      <c r="L96" s="283">
        <f t="shared" si="60"/>
        <v>6.8459262795277063</v>
      </c>
      <c r="M96" s="283">
        <v>662.88988413000004</v>
      </c>
      <c r="N96" s="283">
        <f t="shared" si="60"/>
        <v>7.3124402987595456</v>
      </c>
      <c r="O96" s="283">
        <v>464.10231335999998</v>
      </c>
      <c r="P96" s="283">
        <f t="shared" si="60"/>
        <v>5.1195840217342168</v>
      </c>
      <c r="Q96" s="283">
        <v>2655.7860128000002</v>
      </c>
      <c r="R96" s="283">
        <f t="shared" si="60"/>
        <v>29.29638410513461</v>
      </c>
      <c r="S96" s="283">
        <v>369.5</v>
      </c>
      <c r="T96" s="283">
        <f t="shared" si="60"/>
        <v>4.0760113483067881</v>
      </c>
      <c r="U96" s="283">
        <v>0.87529182999999999</v>
      </c>
      <c r="V96" s="283">
        <f>U96/$B96*100</f>
        <v>9.6554788421115458E-3</v>
      </c>
      <c r="W96" s="283">
        <v>2.1821215600000001</v>
      </c>
      <c r="X96" s="283">
        <f>W96/$B96*100</f>
        <v>2.4071318652083659E-2</v>
      </c>
      <c r="Y96" s="684">
        <f t="shared" si="58"/>
        <v>47.920827429999257</v>
      </c>
      <c r="Z96" s="283">
        <f t="shared" si="63"/>
        <v>0.52862202009452819</v>
      </c>
      <c r="AA96" s="685">
        <v>424.71866456999999</v>
      </c>
      <c r="AB96" s="685">
        <f t="shared" si="64"/>
        <v>4.6851369326793613</v>
      </c>
      <c r="AC96" s="685">
        <v>42.629594330000003</v>
      </c>
      <c r="AD96" s="685">
        <f t="shared" si="65"/>
        <v>0.4702536137017449</v>
      </c>
      <c r="AE96" s="685">
        <v>11.38202916</v>
      </c>
      <c r="AF96" s="685">
        <f t="shared" si="65"/>
        <v>0.12555691481168818</v>
      </c>
      <c r="AG96" s="685">
        <v>15.4894607</v>
      </c>
      <c r="AH96" s="685">
        <f t="shared" si="66"/>
        <v>0.1708666240659053</v>
      </c>
      <c r="AI96" s="283">
        <v>150.89726716000001</v>
      </c>
    </row>
    <row r="97" spans="1:35" hidden="1">
      <c r="A97" s="679" t="s">
        <v>28</v>
      </c>
      <c r="B97" s="283">
        <v>9091.7448746400005</v>
      </c>
      <c r="C97" s="283">
        <v>458.08037352000002</v>
      </c>
      <c r="D97" s="283">
        <f t="shared" si="60"/>
        <v>5.0384208953964764</v>
      </c>
      <c r="E97" s="283">
        <v>2404.4800781099998</v>
      </c>
      <c r="F97" s="283">
        <f t="shared" si="60"/>
        <v>26.446849436095821</v>
      </c>
      <c r="G97" s="283">
        <v>996.15122121000002</v>
      </c>
      <c r="H97" s="283">
        <f t="shared" si="60"/>
        <v>10.956656119867683</v>
      </c>
      <c r="I97" s="283">
        <v>334.76871578999999</v>
      </c>
      <c r="J97" s="283">
        <f t="shared" si="60"/>
        <v>3.6821173537742453</v>
      </c>
      <c r="K97" s="283">
        <v>651.23721748000003</v>
      </c>
      <c r="L97" s="283">
        <f t="shared" si="60"/>
        <v>7.1629508577228593</v>
      </c>
      <c r="M97" s="283">
        <v>572.70969448000005</v>
      </c>
      <c r="N97" s="283">
        <f t="shared" si="60"/>
        <v>6.2992275121740837</v>
      </c>
      <c r="O97" s="283">
        <v>459.51081069000003</v>
      </c>
      <c r="P97" s="283">
        <f t="shared" si="60"/>
        <v>5.0541542578007608</v>
      </c>
      <c r="Q97" s="283">
        <v>2670.0263732200001</v>
      </c>
      <c r="R97" s="283">
        <f t="shared" si="60"/>
        <v>29.367590160472069</v>
      </c>
      <c r="S97" s="283">
        <v>405.66500000000002</v>
      </c>
      <c r="T97" s="283">
        <f t="shared" si="60"/>
        <v>4.4619047893824986</v>
      </c>
      <c r="U97" s="283">
        <v>0.86146995000000004</v>
      </c>
      <c r="V97" s="283">
        <f>U97/$B97*100</f>
        <v>9.4752983269794089E-3</v>
      </c>
      <c r="W97" s="283">
        <v>3.83262744</v>
      </c>
      <c r="X97" s="283">
        <f>W97/$B97*100</f>
        <v>4.2155026266635733E-2</v>
      </c>
      <c r="Y97" s="684">
        <f t="shared" si="58"/>
        <v>47.926678609999215</v>
      </c>
      <c r="Z97" s="283">
        <f t="shared" si="63"/>
        <v>0.52714500099626838</v>
      </c>
      <c r="AA97" s="685">
        <v>423.83176522999997</v>
      </c>
      <c r="AB97" s="685">
        <f t="shared" si="64"/>
        <v>4.661720836582341</v>
      </c>
      <c r="AC97" s="685">
        <v>42.90915699</v>
      </c>
      <c r="AD97" s="685">
        <f t="shared" si="65"/>
        <v>0.47195733692097297</v>
      </c>
      <c r="AE97" s="685">
        <v>7.8429418999999996</v>
      </c>
      <c r="AF97" s="685">
        <f t="shared" si="65"/>
        <v>8.6264430075206552E-2</v>
      </c>
      <c r="AG97" s="685">
        <v>17.575750020000001</v>
      </c>
      <c r="AH97" s="685">
        <f t="shared" si="66"/>
        <v>0.19331547752758443</v>
      </c>
      <c r="AI97" s="283">
        <v>137.64011972</v>
      </c>
    </row>
    <row r="98" spans="1:35" hidden="1">
      <c r="A98" s="679" t="s">
        <v>29</v>
      </c>
      <c r="B98" s="283">
        <v>9163.3597792400014</v>
      </c>
      <c r="C98" s="283">
        <v>492.87668797999999</v>
      </c>
      <c r="D98" s="283">
        <f t="shared" si="60"/>
        <v>5.378776997238873</v>
      </c>
      <c r="E98" s="283">
        <v>2206.7763883799998</v>
      </c>
      <c r="F98" s="283">
        <f t="shared" si="60"/>
        <v>24.082612071824897</v>
      </c>
      <c r="G98" s="283">
        <v>983.95156850000001</v>
      </c>
      <c r="H98" s="283">
        <f t="shared" si="60"/>
        <v>10.737890819578928</v>
      </c>
      <c r="I98" s="283">
        <v>441.34799163000002</v>
      </c>
      <c r="J98" s="283">
        <f t="shared" si="60"/>
        <v>4.8164429015424401</v>
      </c>
      <c r="K98" s="283">
        <v>660.64497155000004</v>
      </c>
      <c r="L98" s="283">
        <f t="shared" si="60"/>
        <v>7.2096369395723237</v>
      </c>
      <c r="M98" s="283">
        <v>682.38481673000001</v>
      </c>
      <c r="N98" s="283">
        <f t="shared" si="60"/>
        <v>7.4468844743603002</v>
      </c>
      <c r="O98" s="283">
        <v>454.41087775</v>
      </c>
      <c r="P98" s="283">
        <f t="shared" si="60"/>
        <v>4.9589985409007733</v>
      </c>
      <c r="Q98" s="283">
        <v>2700.8020430699999</v>
      </c>
      <c r="R98" s="283">
        <f t="shared" si="60"/>
        <v>29.47392777470974</v>
      </c>
      <c r="S98" s="283">
        <v>401.41500000000002</v>
      </c>
      <c r="T98" s="283">
        <f t="shared" si="60"/>
        <v>4.380653053800458</v>
      </c>
      <c r="U98" s="283">
        <v>0.68196042999999995</v>
      </c>
      <c r="V98" s="283">
        <f>U98/$B98*100</f>
        <v>7.4422531301784264E-3</v>
      </c>
      <c r="W98" s="283">
        <v>0.97847786000000003</v>
      </c>
      <c r="X98" s="283">
        <f>W98/$B98*100</f>
        <v>1.0678156086556648E-2</v>
      </c>
      <c r="Y98" s="684">
        <f t="shared" si="58"/>
        <v>46.043434350000659</v>
      </c>
      <c r="Z98" s="283">
        <f t="shared" si="63"/>
        <v>0.50247327900748928</v>
      </c>
      <c r="AA98" s="685">
        <v>430.83065515999999</v>
      </c>
      <c r="AB98" s="685">
        <f t="shared" si="64"/>
        <v>4.7016669162774329</v>
      </c>
      <c r="AC98" s="685">
        <v>44.068022310000003</v>
      </c>
      <c r="AD98" s="685">
        <f t="shared" si="65"/>
        <v>0.4809155525011477</v>
      </c>
      <c r="AE98" s="685">
        <v>7.71011062</v>
      </c>
      <c r="AF98" s="685">
        <f t="shared" si="65"/>
        <v>8.4140651526829688E-2</v>
      </c>
      <c r="AG98" s="685">
        <v>9.8517729200000002</v>
      </c>
      <c r="AH98" s="685">
        <f t="shared" si="66"/>
        <v>0.10751267174207904</v>
      </c>
      <c r="AI98" s="283">
        <v>146.31131445</v>
      </c>
    </row>
    <row r="99" spans="1:35">
      <c r="A99" s="679" t="s">
        <v>1030</v>
      </c>
      <c r="B99" s="283">
        <v>9850.3003707400003</v>
      </c>
      <c r="C99" s="283">
        <v>633.80456287000004</v>
      </c>
      <c r="D99" s="283">
        <v>6.4343678772750534</v>
      </c>
      <c r="E99" s="283">
        <v>2744.4101818700001</v>
      </c>
      <c r="F99" s="283">
        <v>27.861182690653596</v>
      </c>
      <c r="G99" s="283">
        <v>289.68772906999999</v>
      </c>
      <c r="H99" s="283">
        <v>2.9409024919738291</v>
      </c>
      <c r="I99" s="283">
        <v>466.71578469000002</v>
      </c>
      <c r="J99" s="283">
        <v>4.7380868311017625</v>
      </c>
      <c r="K99" s="283">
        <v>875.34030221</v>
      </c>
      <c r="L99" s="283">
        <v>8.8864325884941557</v>
      </c>
      <c r="M99" s="283">
        <v>582.92162757000006</v>
      </c>
      <c r="N99" s="283">
        <v>5.9178056062285167</v>
      </c>
      <c r="O99" s="283">
        <v>409.66164846999999</v>
      </c>
      <c r="P99" s="283">
        <v>4.1588746845414661</v>
      </c>
      <c r="Q99" s="283">
        <v>3314.9694567000001</v>
      </c>
      <c r="R99" s="283">
        <v>33.653486004822859</v>
      </c>
      <c r="S99" s="283">
        <v>575.79999999999995</v>
      </c>
      <c r="T99" s="283">
        <v>5.845507023424334</v>
      </c>
      <c r="U99" s="283">
        <v>0.97424274999999994</v>
      </c>
      <c r="V99" s="283">
        <v>9.8904877347086445E-3</v>
      </c>
      <c r="W99" s="283">
        <v>0.95838124999999996</v>
      </c>
      <c r="X99" s="283">
        <v>9.7294621882479896E-3</v>
      </c>
      <c r="Y99" s="684">
        <f t="shared" si="58"/>
        <v>46.798042829999929</v>
      </c>
      <c r="Z99" s="283">
        <v>0.47509254610155854</v>
      </c>
      <c r="AA99" s="685">
        <v>419.86985619000006</v>
      </c>
      <c r="AB99" s="685">
        <v>4.2625081508906062</v>
      </c>
      <c r="AC99" s="685">
        <v>49.116020549999995</v>
      </c>
      <c r="AD99" s="685">
        <v>0.49862459723459351</v>
      </c>
      <c r="AE99" s="685">
        <v>2.8309023600000001</v>
      </c>
      <c r="AF99" s="685">
        <v>2.8739249093450027E-2</v>
      </c>
      <c r="AG99" s="685">
        <v>12.24163136</v>
      </c>
      <c r="AH99" s="685">
        <v>0.12427673166559845</v>
      </c>
      <c r="AI99" s="283">
        <v>176.36550674999998</v>
      </c>
    </row>
    <row r="100" spans="1:35" hidden="1">
      <c r="A100" s="679" t="s">
        <v>18</v>
      </c>
      <c r="B100" s="283">
        <v>9149.7656655299998</v>
      </c>
      <c r="C100" s="283">
        <v>496.97677403</v>
      </c>
      <c r="D100" s="283">
        <f t="shared" ref="D100:D111" si="67">C100/$B100*100</f>
        <v>5.4315792578411637</v>
      </c>
      <c r="E100" s="283">
        <v>2190.2161523599998</v>
      </c>
      <c r="F100" s="283">
        <f t="shared" ref="F100:F111" si="68">E100/$B100*100</f>
        <v>23.937401595007206</v>
      </c>
      <c r="G100" s="283">
        <v>980.29749227000002</v>
      </c>
      <c r="H100" s="283">
        <f t="shared" ref="H100:H111" si="69">G100/$B100*100</f>
        <v>10.713908181966717</v>
      </c>
      <c r="I100" s="283">
        <v>448.29195554</v>
      </c>
      <c r="J100" s="283">
        <f t="shared" ref="J100:J111" si="70">I100/$B100*100</f>
        <v>4.8994911118746414</v>
      </c>
      <c r="K100" s="283">
        <v>642.78986091000002</v>
      </c>
      <c r="L100" s="283">
        <f t="shared" ref="L100:L111" si="71">K100/$B100*100</f>
        <v>7.0252057200938873</v>
      </c>
      <c r="M100" s="283">
        <v>681.26383382999995</v>
      </c>
      <c r="N100" s="283">
        <f t="shared" ref="N100:N111" si="72">M100/$B100*100</f>
        <v>7.4456970673744332</v>
      </c>
      <c r="O100" s="283">
        <v>451.51647219</v>
      </c>
      <c r="P100" s="283">
        <f t="shared" ref="P100:P111" si="73">O100/$B100*100</f>
        <v>4.9347326335471342</v>
      </c>
      <c r="Q100" s="283">
        <v>2719.9722581400001</v>
      </c>
      <c r="R100" s="283">
        <f t="shared" ref="R100:R111" si="74">Q100/$B100*100</f>
        <v>29.727234090671612</v>
      </c>
      <c r="S100" s="283">
        <v>405.654</v>
      </c>
      <c r="T100" s="283">
        <f t="shared" ref="T100:T111" si="75">S100/$B100*100</f>
        <v>4.4334905923134649</v>
      </c>
      <c r="U100" s="283">
        <v>0.71123934</v>
      </c>
      <c r="V100" s="283">
        <f t="shared" ref="V100:V111" si="76">U100/$B100*100</f>
        <v>7.7733066178892292E-3</v>
      </c>
      <c r="W100" s="283">
        <v>2.1862370200000001</v>
      </c>
      <c r="X100" s="283">
        <f t="shared" ref="X100:X111" si="77">W100/$B100*100</f>
        <v>2.3893912695887195E-2</v>
      </c>
      <c r="Y100" s="684">
        <f t="shared" si="58"/>
        <v>44.543148709999279</v>
      </c>
      <c r="Z100" s="283">
        <f t="shared" ref="Z100:Z111" si="78">Y100/$B100*100</f>
        <v>0.4868228361061433</v>
      </c>
      <c r="AA100" s="685">
        <v>434.5540914</v>
      </c>
      <c r="AB100" s="685">
        <f t="shared" ref="AB100:AB111" si="79">AA100/B100*100</f>
        <v>4.7493466749328874</v>
      </c>
      <c r="AC100" s="685">
        <v>44.006350779999998</v>
      </c>
      <c r="AD100" s="685">
        <f t="shared" ref="AD100:AD109" si="80">AC100/$B100*100</f>
        <v>0.48095604181192908</v>
      </c>
      <c r="AE100" s="685">
        <v>2.8319034699999999</v>
      </c>
      <c r="AF100" s="685">
        <f t="shared" ref="AF100:AF111" si="81">AE100/$B100*100</f>
        <v>3.0950557353273612E-2</v>
      </c>
      <c r="AG100" s="685">
        <v>9.6078955399999995</v>
      </c>
      <c r="AH100" s="685">
        <f t="shared" ref="AH100:AH111" si="82">AG100/$B100*100</f>
        <v>0.10500701210519432</v>
      </c>
      <c r="AI100" s="283">
        <v>141.81967291999999</v>
      </c>
    </row>
    <row r="101" spans="1:35" hidden="1">
      <c r="A101" s="679" t="s">
        <v>19</v>
      </c>
      <c r="B101" s="283">
        <v>9152.8044223100005</v>
      </c>
      <c r="C101" s="283">
        <v>509.41080163999999</v>
      </c>
      <c r="D101" s="283">
        <f t="shared" si="67"/>
        <v>5.5656253333492955</v>
      </c>
      <c r="E101" s="283">
        <v>2144.2065533800001</v>
      </c>
      <c r="F101" s="283">
        <f t="shared" si="68"/>
        <v>23.426771232579682</v>
      </c>
      <c r="G101" s="283">
        <v>979.71843861000002</v>
      </c>
      <c r="H101" s="283">
        <f t="shared" si="69"/>
        <v>10.704024618093358</v>
      </c>
      <c r="I101" s="283">
        <v>439.80921855999998</v>
      </c>
      <c r="J101" s="283">
        <f t="shared" si="70"/>
        <v>4.805185364695034</v>
      </c>
      <c r="K101" s="283">
        <v>647.62620818000005</v>
      </c>
      <c r="L101" s="283">
        <f t="shared" si="71"/>
        <v>7.0757133912029007</v>
      </c>
      <c r="M101" s="283">
        <v>685.77140872999996</v>
      </c>
      <c r="N101" s="283">
        <f t="shared" si="72"/>
        <v>7.4924730944586679</v>
      </c>
      <c r="O101" s="283">
        <v>448.52894794000002</v>
      </c>
      <c r="P101" s="283">
        <f t="shared" si="73"/>
        <v>4.9004537543346691</v>
      </c>
      <c r="Q101" s="283">
        <v>2748.32464157</v>
      </c>
      <c r="R101" s="283">
        <f t="shared" si="74"/>
        <v>30.027131737579214</v>
      </c>
      <c r="S101" s="283">
        <v>423.3</v>
      </c>
      <c r="T101" s="283">
        <f t="shared" si="75"/>
        <v>4.6248120299413848</v>
      </c>
      <c r="U101" s="283">
        <v>0.68912799000000002</v>
      </c>
      <c r="V101" s="283">
        <f t="shared" si="76"/>
        <v>7.529145802790755E-3</v>
      </c>
      <c r="W101" s="283">
        <v>1.9701588800000001</v>
      </c>
      <c r="X101" s="283">
        <f t="shared" si="77"/>
        <v>2.1525193690337459E-2</v>
      </c>
      <c r="Y101" s="684">
        <f t="shared" si="58"/>
        <v>43.535314710001366</v>
      </c>
      <c r="Z101" s="283">
        <f t="shared" si="78"/>
        <v>0.47565000519276746</v>
      </c>
      <c r="AA101" s="685">
        <v>445.17747466999998</v>
      </c>
      <c r="AB101" s="685">
        <f t="shared" si="79"/>
        <v>4.8638368540343544</v>
      </c>
      <c r="AC101" s="685">
        <v>43.811693380000001</v>
      </c>
      <c r="AD101" s="685">
        <f t="shared" si="80"/>
        <v>0.47866961161334126</v>
      </c>
      <c r="AE101" s="685">
        <v>2.8319034699999999</v>
      </c>
      <c r="AF101" s="685">
        <f t="shared" si="81"/>
        <v>3.0940281681286916E-2</v>
      </c>
      <c r="AG101" s="685">
        <v>11.392530600000001</v>
      </c>
      <c r="AH101" s="685">
        <f t="shared" si="82"/>
        <v>0.12447038169231125</v>
      </c>
      <c r="AI101" s="283">
        <v>194.93276281999999</v>
      </c>
    </row>
    <row r="102" spans="1:35" hidden="1">
      <c r="A102" s="679" t="s">
        <v>20</v>
      </c>
      <c r="B102" s="283">
        <v>8365.9867119600003</v>
      </c>
      <c r="C102" s="283">
        <v>539.92218614000001</v>
      </c>
      <c r="D102" s="283">
        <f t="shared" si="67"/>
        <v>6.4537777160000527</v>
      </c>
      <c r="E102" s="283">
        <v>2183.6995904300002</v>
      </c>
      <c r="F102" s="283">
        <f t="shared" si="68"/>
        <v>26.10211641034747</v>
      </c>
      <c r="G102" s="283">
        <v>301.15811098</v>
      </c>
      <c r="H102" s="283">
        <f t="shared" si="69"/>
        <v>3.5997918876617971</v>
      </c>
      <c r="I102" s="283">
        <v>432.88104825999994</v>
      </c>
      <c r="J102" s="283">
        <f t="shared" si="70"/>
        <v>5.1742975833460738</v>
      </c>
      <c r="K102" s="283">
        <v>652.58418587000006</v>
      </c>
      <c r="L102" s="283">
        <f t="shared" si="71"/>
        <v>7.8004449246502725</v>
      </c>
      <c r="M102" s="283">
        <v>483.32464519000001</v>
      </c>
      <c r="N102" s="283">
        <f t="shared" si="72"/>
        <v>5.7772581027297107</v>
      </c>
      <c r="O102" s="283">
        <v>448.3753605</v>
      </c>
      <c r="P102" s="283">
        <f t="shared" si="73"/>
        <v>5.3595036178936715</v>
      </c>
      <c r="Q102" s="283">
        <v>2760.84761596</v>
      </c>
      <c r="R102" s="283">
        <f t="shared" si="74"/>
        <v>33.000860639822641</v>
      </c>
      <c r="S102" s="283">
        <v>402.88099999999997</v>
      </c>
      <c r="T102" s="283">
        <f t="shared" si="75"/>
        <v>4.8157021266127762</v>
      </c>
      <c r="U102" s="283">
        <v>0.81178722999999997</v>
      </c>
      <c r="V102" s="283">
        <f t="shared" si="76"/>
        <v>9.7034248074942594E-3</v>
      </c>
      <c r="W102" s="283">
        <v>1.0341541199999997</v>
      </c>
      <c r="X102" s="283">
        <f t="shared" si="77"/>
        <v>1.2361412414408629E-2</v>
      </c>
      <c r="Y102" s="684">
        <f t="shared" si="58"/>
        <v>42.576903770000058</v>
      </c>
      <c r="Z102" s="283">
        <f t="shared" si="78"/>
        <v>0.50892865642652996</v>
      </c>
      <c r="AA102" s="685">
        <v>458.54266514000005</v>
      </c>
      <c r="AB102" s="685">
        <f t="shared" si="79"/>
        <v>5.4810350640943311</v>
      </c>
      <c r="AC102" s="685">
        <v>43.710342609999998</v>
      </c>
      <c r="AD102" s="685">
        <f t="shared" si="80"/>
        <v>0.52247683524899424</v>
      </c>
      <c r="AE102" s="685">
        <v>3.8762518200000002</v>
      </c>
      <c r="AF102" s="685">
        <f t="shared" si="81"/>
        <v>4.6333468525099585E-2</v>
      </c>
      <c r="AG102" s="685">
        <v>12.641863939999999</v>
      </c>
      <c r="AH102" s="685">
        <f t="shared" si="82"/>
        <v>0.15111025603145187</v>
      </c>
      <c r="AI102" s="283">
        <v>161.02556691000001</v>
      </c>
    </row>
    <row r="103" spans="1:35" hidden="1">
      <c r="A103" s="679" t="s">
        <v>21</v>
      </c>
      <c r="B103" s="283">
        <v>8569.6254799500002</v>
      </c>
      <c r="C103" s="283">
        <v>553.16266524000002</v>
      </c>
      <c r="D103" s="283">
        <f t="shared" si="67"/>
        <v>6.4549222895937746</v>
      </c>
      <c r="E103" s="283">
        <v>2280.9460880000001</v>
      </c>
      <c r="F103" s="283">
        <f t="shared" si="68"/>
        <v>26.616636786947524</v>
      </c>
      <c r="G103" s="283">
        <v>295.25911791999999</v>
      </c>
      <c r="H103" s="283">
        <f t="shared" si="69"/>
        <v>3.4454144887755667</v>
      </c>
      <c r="I103" s="283">
        <v>431.98771991000001</v>
      </c>
      <c r="J103" s="283">
        <f t="shared" si="70"/>
        <v>5.0409171430035524</v>
      </c>
      <c r="K103" s="283">
        <v>667.27774612999997</v>
      </c>
      <c r="L103" s="283">
        <f t="shared" si="71"/>
        <v>7.7865450210304079</v>
      </c>
      <c r="M103" s="283">
        <v>493.47095916000001</v>
      </c>
      <c r="N103" s="283">
        <f t="shared" si="72"/>
        <v>5.7583725253169318</v>
      </c>
      <c r="O103" s="283">
        <v>455.14761211000001</v>
      </c>
      <c r="P103" s="283">
        <f t="shared" si="73"/>
        <v>5.3111727364852772</v>
      </c>
      <c r="Q103" s="283">
        <v>2832.9519947499998</v>
      </c>
      <c r="R103" s="283">
        <f t="shared" si="74"/>
        <v>33.058060721301544</v>
      </c>
      <c r="S103" s="283">
        <v>378.75683440500001</v>
      </c>
      <c r="T103" s="283">
        <f t="shared" si="75"/>
        <v>4.4197594783011436</v>
      </c>
      <c r="U103" s="283">
        <v>0.95343544999999996</v>
      </c>
      <c r="V103" s="283">
        <f t="shared" si="76"/>
        <v>1.1125754004427774E-2</v>
      </c>
      <c r="W103" s="283">
        <v>0.96436994999999992</v>
      </c>
      <c r="X103" s="283">
        <f t="shared" si="77"/>
        <v>1.1253350012276458E-2</v>
      </c>
      <c r="Y103" s="684">
        <f t="shared" si="58"/>
        <v>41.149121900000374</v>
      </c>
      <c r="Z103" s="283">
        <f t="shared" si="78"/>
        <v>0.480174098579632</v>
      </c>
      <c r="AA103" s="685">
        <v>457.32332653000003</v>
      </c>
      <c r="AB103" s="685">
        <f t="shared" si="79"/>
        <v>5.3365614121641674</v>
      </c>
      <c r="AC103" s="685">
        <v>43.663654530000002</v>
      </c>
      <c r="AD103" s="685">
        <f t="shared" si="80"/>
        <v>0.50951648508045133</v>
      </c>
      <c r="AE103" s="685">
        <v>4.3976874199999996</v>
      </c>
      <c r="AF103" s="685">
        <f t="shared" si="81"/>
        <v>5.1317148343169583E-2</v>
      </c>
      <c r="AG103" s="685">
        <v>10.969980949999998</v>
      </c>
      <c r="AH103" s="685">
        <f t="shared" si="82"/>
        <v>0.12801003936130012</v>
      </c>
      <c r="AI103" s="283">
        <v>162.24791894000001</v>
      </c>
    </row>
    <row r="104" spans="1:35" hidden="1">
      <c r="A104" s="679" t="s">
        <v>22</v>
      </c>
      <c r="B104" s="283">
        <v>8680.4269249299996</v>
      </c>
      <c r="C104" s="283">
        <v>551.82263233000003</v>
      </c>
      <c r="D104" s="283">
        <f t="shared" si="67"/>
        <v>6.3570909253918995</v>
      </c>
      <c r="E104" s="283">
        <v>2322.0302234699998</v>
      </c>
      <c r="F104" s="283">
        <f t="shared" si="68"/>
        <v>26.750184565245043</v>
      </c>
      <c r="G104" s="283">
        <v>290.21845540999999</v>
      </c>
      <c r="H104" s="283">
        <f t="shared" si="69"/>
        <v>3.3433661491521667</v>
      </c>
      <c r="I104" s="283">
        <v>428.90136669999998</v>
      </c>
      <c r="J104" s="283">
        <f t="shared" si="70"/>
        <v>4.9410169615990256</v>
      </c>
      <c r="K104" s="283">
        <v>671.23456868000005</v>
      </c>
      <c r="L104" s="283">
        <f t="shared" si="71"/>
        <v>7.732736816805966</v>
      </c>
      <c r="M104" s="283">
        <v>509.40545083000001</v>
      </c>
      <c r="N104" s="283">
        <f t="shared" si="72"/>
        <v>5.8684377535279806</v>
      </c>
      <c r="O104" s="283">
        <v>464.88643898999999</v>
      </c>
      <c r="P104" s="283">
        <f t="shared" si="73"/>
        <v>5.3555711373464376</v>
      </c>
      <c r="Q104" s="283">
        <v>2872.17626875</v>
      </c>
      <c r="R104" s="283">
        <f t="shared" si="74"/>
        <v>33.087960921612869</v>
      </c>
      <c r="S104" s="283">
        <v>383.6</v>
      </c>
      <c r="T104" s="283">
        <f t="shared" si="75"/>
        <v>4.4191374838754651</v>
      </c>
      <c r="U104" s="283">
        <v>0.86951122000000003</v>
      </c>
      <c r="V104" s="283">
        <f t="shared" si="76"/>
        <v>1.0016917687571132E-2</v>
      </c>
      <c r="W104" s="283">
        <v>0.97244262000000004</v>
      </c>
      <c r="X104" s="283">
        <f t="shared" si="77"/>
        <v>1.1202704986861484E-2</v>
      </c>
      <c r="Y104" s="684">
        <f t="shared" si="58"/>
        <v>42.100117579999441</v>
      </c>
      <c r="Z104" s="283">
        <f t="shared" si="78"/>
        <v>0.48500054137992693</v>
      </c>
      <c r="AA104" s="685">
        <v>467.63716241999998</v>
      </c>
      <c r="AB104" s="685">
        <f t="shared" si="79"/>
        <v>5.387259940832589</v>
      </c>
      <c r="AC104" s="685">
        <v>43.882808179999998</v>
      </c>
      <c r="AD104" s="685">
        <f t="shared" si="80"/>
        <v>0.50553744141281243</v>
      </c>
      <c r="AE104" s="685">
        <v>5.8882443200000001</v>
      </c>
      <c r="AF104" s="685">
        <f t="shared" si="81"/>
        <v>6.783357974121168E-2</v>
      </c>
      <c r="AG104" s="685">
        <v>8.4012334299999996</v>
      </c>
      <c r="AH104" s="685">
        <f t="shared" si="82"/>
        <v>9.6783643277634626E-2</v>
      </c>
      <c r="AI104" s="283">
        <v>162.19510994000001</v>
      </c>
    </row>
    <row r="105" spans="1:35" hidden="1">
      <c r="A105" s="679" t="s">
        <v>23</v>
      </c>
      <c r="B105" s="283">
        <v>8885.8892618499995</v>
      </c>
      <c r="C105" s="283">
        <v>557.85969064999995</v>
      </c>
      <c r="D105" s="283">
        <f t="shared" si="67"/>
        <v>6.2780400949297475</v>
      </c>
      <c r="E105" s="283">
        <v>2377.0655094700001</v>
      </c>
      <c r="F105" s="283">
        <f t="shared" si="68"/>
        <v>26.751014326450278</v>
      </c>
      <c r="G105" s="283">
        <v>304.54489135</v>
      </c>
      <c r="H105" s="283">
        <f t="shared" si="69"/>
        <v>3.4272865931101557</v>
      </c>
      <c r="I105" s="283">
        <v>434.57078517000002</v>
      </c>
      <c r="J105" s="283">
        <f t="shared" si="70"/>
        <v>4.8905716959106522</v>
      </c>
      <c r="K105" s="283">
        <v>697.01775180000004</v>
      </c>
      <c r="L105" s="283">
        <f t="shared" si="71"/>
        <v>7.8440967612833425</v>
      </c>
      <c r="M105" s="283">
        <v>530.95907560000001</v>
      </c>
      <c r="N105" s="283">
        <f t="shared" si="72"/>
        <v>5.9753060155676181</v>
      </c>
      <c r="O105" s="283">
        <v>464.34960897000002</v>
      </c>
      <c r="P105" s="283">
        <f t="shared" si="73"/>
        <v>5.2256965542391276</v>
      </c>
      <c r="Q105" s="283">
        <v>2945.8090357699998</v>
      </c>
      <c r="R105" s="283">
        <f t="shared" si="74"/>
        <v>33.1515389058168</v>
      </c>
      <c r="S105" s="283">
        <v>431.96199999999999</v>
      </c>
      <c r="T105" s="283">
        <f t="shared" si="75"/>
        <v>4.861212955405068</v>
      </c>
      <c r="U105" s="283">
        <v>0.87783475999999994</v>
      </c>
      <c r="V105" s="283">
        <f t="shared" si="76"/>
        <v>9.878974789488194E-3</v>
      </c>
      <c r="W105" s="283">
        <v>2.1427490799999998</v>
      </c>
      <c r="X105" s="283">
        <f t="shared" si="77"/>
        <v>2.4114064635033385E-2</v>
      </c>
      <c r="Y105" s="684">
        <f t="shared" si="58"/>
        <v>41.461094319998892</v>
      </c>
      <c r="Z105" s="283">
        <f t="shared" si="78"/>
        <v>0.46659476725649507</v>
      </c>
      <c r="AA105" s="685">
        <v>468.97917860000001</v>
      </c>
      <c r="AB105" s="685">
        <f t="shared" si="79"/>
        <v>5.2777967942215929</v>
      </c>
      <c r="AC105" s="685">
        <v>43.735477620000005</v>
      </c>
      <c r="AD105" s="685">
        <f t="shared" si="80"/>
        <v>0.49219021677178193</v>
      </c>
      <c r="AE105" s="685">
        <v>6.5511901100000003</v>
      </c>
      <c r="AF105" s="685">
        <f t="shared" si="81"/>
        <v>7.3725768090835669E-2</v>
      </c>
      <c r="AG105" s="685">
        <v>9.9653885799999991</v>
      </c>
      <c r="AH105" s="685">
        <f t="shared" si="82"/>
        <v>0.11214846692704848</v>
      </c>
      <c r="AI105" s="283">
        <v>173.43475409999999</v>
      </c>
    </row>
    <row r="106" spans="1:35" hidden="1">
      <c r="A106" s="679" t="s">
        <v>24</v>
      </c>
      <c r="B106" s="283">
        <v>9050.1703139700003</v>
      </c>
      <c r="C106" s="283">
        <v>581.14177906999998</v>
      </c>
      <c r="D106" s="283">
        <f t="shared" si="67"/>
        <v>6.4213352777785779</v>
      </c>
      <c r="E106" s="283">
        <v>2460.7363990700001</v>
      </c>
      <c r="F106" s="283">
        <f t="shared" si="68"/>
        <v>27.189945754629218</v>
      </c>
      <c r="G106" s="283">
        <v>293.92823862</v>
      </c>
      <c r="H106" s="283">
        <f t="shared" si="69"/>
        <v>3.2477647206957783</v>
      </c>
      <c r="I106" s="283">
        <v>442.07835722999999</v>
      </c>
      <c r="J106" s="283">
        <f t="shared" si="70"/>
        <v>4.8847517990639373</v>
      </c>
      <c r="K106" s="283">
        <v>681.30871654999999</v>
      </c>
      <c r="L106" s="283">
        <f t="shared" si="71"/>
        <v>7.5281314374638892</v>
      </c>
      <c r="M106" s="283">
        <v>540.08972892999998</v>
      </c>
      <c r="N106" s="283">
        <f t="shared" si="72"/>
        <v>5.9677300005758802</v>
      </c>
      <c r="O106" s="283">
        <v>447.40480160999999</v>
      </c>
      <c r="P106" s="283">
        <f t="shared" si="73"/>
        <v>4.9436064304710179</v>
      </c>
      <c r="Q106" s="283">
        <v>3012.4000034000001</v>
      </c>
      <c r="R106" s="283">
        <f t="shared" si="74"/>
        <v>33.285561474462057</v>
      </c>
      <c r="S106" s="283">
        <v>451.9</v>
      </c>
      <c r="T106" s="283">
        <f t="shared" si="75"/>
        <v>4.9932761961665992</v>
      </c>
      <c r="U106" s="283">
        <v>0.86971259999999995</v>
      </c>
      <c r="V106" s="283">
        <f t="shared" si="76"/>
        <v>9.6099031269886309E-3</v>
      </c>
      <c r="W106" s="283">
        <v>1.1619779600000002</v>
      </c>
      <c r="X106" s="283">
        <f t="shared" si="77"/>
        <v>1.2839293844076621E-2</v>
      </c>
      <c r="Y106" s="684">
        <f t="shared" si="58"/>
        <v>41.959761200000628</v>
      </c>
      <c r="Z106" s="283">
        <f t="shared" si="78"/>
        <v>0.46363504491435714</v>
      </c>
      <c r="AA106" s="685">
        <v>486.03643492000003</v>
      </c>
      <c r="AB106" s="685">
        <f t="shared" si="79"/>
        <v>5.370467273635124</v>
      </c>
      <c r="AC106" s="685">
        <v>47.64222075</v>
      </c>
      <c r="AD106" s="685">
        <f t="shared" si="80"/>
        <v>0.52642347157222713</v>
      </c>
      <c r="AE106" s="685">
        <v>2.72354568</v>
      </c>
      <c r="AF106" s="685">
        <f t="shared" si="81"/>
        <v>3.0093861060226542E-2</v>
      </c>
      <c r="AG106" s="685">
        <v>10.688636379999998</v>
      </c>
      <c r="AH106" s="685">
        <f t="shared" si="82"/>
        <v>0.1181042567066482</v>
      </c>
      <c r="AI106" s="283">
        <v>172.00800230999997</v>
      </c>
    </row>
    <row r="107" spans="1:35" hidden="1">
      <c r="A107" s="679" t="s">
        <v>25</v>
      </c>
      <c r="B107" s="283">
        <v>9458.3536229799993</v>
      </c>
      <c r="C107" s="283">
        <v>592.54335993999996</v>
      </c>
      <c r="D107" s="283">
        <f t="shared" si="67"/>
        <v>6.2647621727776981</v>
      </c>
      <c r="E107" s="283">
        <v>2734.9869400399998</v>
      </c>
      <c r="F107" s="283">
        <f t="shared" si="68"/>
        <v>28.916099450913745</v>
      </c>
      <c r="G107" s="283">
        <v>298.77178610999999</v>
      </c>
      <c r="H107" s="283">
        <f t="shared" si="69"/>
        <v>3.1588138699329722</v>
      </c>
      <c r="I107" s="283">
        <v>451.19133175000002</v>
      </c>
      <c r="J107" s="283">
        <f t="shared" si="70"/>
        <v>4.7702945960255319</v>
      </c>
      <c r="K107" s="283">
        <v>728.28556792999996</v>
      </c>
      <c r="L107" s="283">
        <f t="shared" si="71"/>
        <v>7.699919002399727</v>
      </c>
      <c r="M107" s="283">
        <v>549.35742028000004</v>
      </c>
      <c r="N107" s="283">
        <f t="shared" si="72"/>
        <v>5.8081717197090432</v>
      </c>
      <c r="O107" s="283">
        <v>421.14639258</v>
      </c>
      <c r="P107" s="283">
        <f t="shared" si="73"/>
        <v>4.4526395329181128</v>
      </c>
      <c r="Q107" s="283">
        <v>3090.8108148599999</v>
      </c>
      <c r="R107" s="283">
        <f t="shared" si="74"/>
        <v>32.678105916346496</v>
      </c>
      <c r="S107" s="283">
        <v>449.20100000000002</v>
      </c>
      <c r="T107" s="283">
        <f t="shared" si="75"/>
        <v>4.7492514861003086</v>
      </c>
      <c r="U107" s="283">
        <v>0.86923382000000005</v>
      </c>
      <c r="V107" s="283">
        <f t="shared" si="76"/>
        <v>9.1901175896840128E-3</v>
      </c>
      <c r="W107" s="283">
        <v>1.04143389</v>
      </c>
      <c r="X107" s="283">
        <f t="shared" si="77"/>
        <v>1.1010731164351204E-2</v>
      </c>
      <c r="Y107" s="684">
        <f t="shared" si="58"/>
        <v>44.923335969998497</v>
      </c>
      <c r="Z107" s="283">
        <f t="shared" si="78"/>
        <v>0.47495936143530137</v>
      </c>
      <c r="AA107" s="685">
        <v>480.61537840000005</v>
      </c>
      <c r="AB107" s="685">
        <f t="shared" si="79"/>
        <v>5.081385170800738</v>
      </c>
      <c r="AC107" s="685">
        <v>47.63692975</v>
      </c>
      <c r="AD107" s="685">
        <f t="shared" si="80"/>
        <v>0.50364927818157912</v>
      </c>
      <c r="AE107" s="685">
        <v>7.5003392099999999</v>
      </c>
      <c r="AF107" s="685">
        <f t="shared" si="81"/>
        <v>7.9298570438064292E-2</v>
      </c>
      <c r="AG107" s="685">
        <v>8.6733584500000003</v>
      </c>
      <c r="AH107" s="685">
        <f t="shared" si="82"/>
        <v>9.1700509366949706E-2</v>
      </c>
      <c r="AI107" s="283">
        <v>167.40083873000003</v>
      </c>
    </row>
    <row r="108" spans="1:35" hidden="1">
      <c r="A108" s="679" t="s">
        <v>26</v>
      </c>
      <c r="B108" s="283">
        <v>9597.6519703199992</v>
      </c>
      <c r="C108" s="283">
        <v>620.24163603</v>
      </c>
      <c r="D108" s="283">
        <f t="shared" si="67"/>
        <v>6.4624309982071608</v>
      </c>
      <c r="E108" s="283">
        <v>2809.05701318</v>
      </c>
      <c r="F108" s="283">
        <f t="shared" si="68"/>
        <v>29.268169150817229</v>
      </c>
      <c r="G108" s="283">
        <v>300.45586029999998</v>
      </c>
      <c r="H108" s="283">
        <f t="shared" si="69"/>
        <v>3.1305142260746344</v>
      </c>
      <c r="I108" s="283">
        <v>466.06024726999999</v>
      </c>
      <c r="J108" s="283">
        <f t="shared" si="70"/>
        <v>4.8559819496607659</v>
      </c>
      <c r="K108" s="283">
        <v>738.03916762999995</v>
      </c>
      <c r="L108" s="283">
        <f t="shared" si="71"/>
        <v>7.6897888141008801</v>
      </c>
      <c r="M108" s="283">
        <v>563.51744515999997</v>
      </c>
      <c r="N108" s="283">
        <f t="shared" si="72"/>
        <v>5.871409454131431</v>
      </c>
      <c r="O108" s="283">
        <v>385.23014396000002</v>
      </c>
      <c r="P108" s="283">
        <f t="shared" si="73"/>
        <v>4.0137957195290532</v>
      </c>
      <c r="Q108" s="283">
        <v>3146.1962457499999</v>
      </c>
      <c r="R108" s="283">
        <f t="shared" si="74"/>
        <v>32.78089532189091</v>
      </c>
      <c r="S108" s="283">
        <v>562.12400000000002</v>
      </c>
      <c r="T108" s="283">
        <f t="shared" si="75"/>
        <v>5.8568908493277867</v>
      </c>
      <c r="U108" s="283">
        <v>0.88842969999999999</v>
      </c>
      <c r="V108" s="283">
        <f t="shared" si="76"/>
        <v>9.2567401146384613E-3</v>
      </c>
      <c r="W108" s="283">
        <v>1.0413629799999999</v>
      </c>
      <c r="X108" s="283">
        <f t="shared" si="77"/>
        <v>1.0850184849589616E-2</v>
      </c>
      <c r="Y108" s="684">
        <f t="shared" si="58"/>
        <v>44.062521600001709</v>
      </c>
      <c r="Z108" s="283">
        <f t="shared" si="78"/>
        <v>0.45909688886679439</v>
      </c>
      <c r="AA108" s="685">
        <v>461.83439346</v>
      </c>
      <c r="AB108" s="685">
        <f t="shared" si="79"/>
        <v>4.8119518699801507</v>
      </c>
      <c r="AC108" s="685">
        <v>48.13454119</v>
      </c>
      <c r="AD108" s="685">
        <f t="shared" si="80"/>
        <v>0.50152413672481944</v>
      </c>
      <c r="AE108" s="685">
        <v>6.0931551099999997</v>
      </c>
      <c r="AF108" s="685">
        <f t="shared" si="81"/>
        <v>6.3485893516899899E-2</v>
      </c>
      <c r="AG108" s="685">
        <v>6.7998069999999995</v>
      </c>
      <c r="AH108" s="685">
        <f t="shared" si="82"/>
        <v>7.0848651535061702E-2</v>
      </c>
      <c r="AI108" s="283">
        <v>186.50762703000001</v>
      </c>
    </row>
    <row r="109" spans="1:35" hidden="1">
      <c r="A109" s="679" t="s">
        <v>27</v>
      </c>
      <c r="B109" s="283">
        <v>9706.1501323600005</v>
      </c>
      <c r="C109" s="283">
        <v>626.47045097</v>
      </c>
      <c r="D109" s="283">
        <f t="shared" si="67"/>
        <v>6.4543659682469485</v>
      </c>
      <c r="E109" s="283">
        <v>2814.4681719499999</v>
      </c>
      <c r="F109" s="283">
        <f t="shared" si="68"/>
        <v>28.996750859711629</v>
      </c>
      <c r="G109" s="283">
        <v>298.35310472999998</v>
      </c>
      <c r="H109" s="283">
        <f t="shared" si="69"/>
        <v>3.0738562732024932</v>
      </c>
      <c r="I109" s="283">
        <v>484.20184695</v>
      </c>
      <c r="J109" s="283">
        <f t="shared" si="70"/>
        <v>4.9886086692156777</v>
      </c>
      <c r="K109" s="283">
        <v>750.12857440000005</v>
      </c>
      <c r="L109" s="283">
        <f t="shared" si="71"/>
        <v>7.728384211769967</v>
      </c>
      <c r="M109" s="283">
        <v>582.90408720999994</v>
      </c>
      <c r="N109" s="283">
        <f t="shared" si="72"/>
        <v>6.0055127858224244</v>
      </c>
      <c r="O109" s="283">
        <v>385.34438302000001</v>
      </c>
      <c r="P109" s="283">
        <f t="shared" si="73"/>
        <v>3.9701053225549634</v>
      </c>
      <c r="Q109" s="283">
        <v>3212.4909234699999</v>
      </c>
      <c r="R109" s="283">
        <f t="shared" si="74"/>
        <v>33.097478193332861</v>
      </c>
      <c r="S109" s="283">
        <v>556.83900000000006</v>
      </c>
      <c r="T109" s="283">
        <f t="shared" si="75"/>
        <v>5.7369708113571853</v>
      </c>
      <c r="U109" s="283">
        <v>0.87853193000000007</v>
      </c>
      <c r="V109" s="283">
        <f t="shared" si="76"/>
        <v>9.0512913773196455E-3</v>
      </c>
      <c r="W109" s="283">
        <v>1.14475507</v>
      </c>
      <c r="X109" s="283">
        <f t="shared" si="77"/>
        <v>1.1794120783104545E-2</v>
      </c>
      <c r="Y109" s="684">
        <f t="shared" si="58"/>
        <v>46.411983180000107</v>
      </c>
      <c r="Z109" s="283">
        <f t="shared" si="78"/>
        <v>0.47817087668223895</v>
      </c>
      <c r="AA109" s="685">
        <v>447.89206051999997</v>
      </c>
      <c r="AB109" s="685">
        <f t="shared" si="79"/>
        <v>4.6145181602615226</v>
      </c>
      <c r="AC109" s="685">
        <v>48.122147700000006</v>
      </c>
      <c r="AD109" s="685">
        <f t="shared" si="80"/>
        <v>0.49579026744663951</v>
      </c>
      <c r="AE109" s="685">
        <v>1.08437329</v>
      </c>
      <c r="AF109" s="685">
        <f t="shared" si="81"/>
        <v>1.1172022637324901E-2</v>
      </c>
      <c r="AG109" s="685">
        <v>6.2547379699999999</v>
      </c>
      <c r="AH109" s="685">
        <f t="shared" si="82"/>
        <v>6.4440976954878326E-2</v>
      </c>
      <c r="AI109" s="283">
        <v>175.44406490000003</v>
      </c>
    </row>
    <row r="110" spans="1:35" hidden="1">
      <c r="A110" s="679" t="s">
        <v>28</v>
      </c>
      <c r="B110" s="283">
        <v>9782.7863418199995</v>
      </c>
      <c r="C110" s="283">
        <v>636.67716685000005</v>
      </c>
      <c r="D110" s="283">
        <f t="shared" si="67"/>
        <v>6.5081372995779025</v>
      </c>
      <c r="E110" s="283">
        <v>2812.1728263099999</v>
      </c>
      <c r="F110" s="283">
        <f t="shared" si="68"/>
        <v>28.746133545699216</v>
      </c>
      <c r="G110" s="283">
        <v>311.73169689999997</v>
      </c>
      <c r="H110" s="283">
        <f t="shared" si="69"/>
        <v>3.1865328139427107</v>
      </c>
      <c r="I110" s="283">
        <v>485.33436597999997</v>
      </c>
      <c r="J110" s="283">
        <f t="shared" si="70"/>
        <v>4.9611056504961741</v>
      </c>
      <c r="K110" s="283">
        <v>783.01359421999996</v>
      </c>
      <c r="L110" s="283">
        <f t="shared" si="71"/>
        <v>8.0039936155278149</v>
      </c>
      <c r="M110" s="283">
        <v>591.42058810000003</v>
      </c>
      <c r="N110" s="283">
        <f t="shared" si="72"/>
        <v>6.0455228953714588</v>
      </c>
      <c r="O110" s="283">
        <v>381.41932241000001</v>
      </c>
      <c r="P110" s="283">
        <f t="shared" si="73"/>
        <v>3.898882272216122</v>
      </c>
      <c r="Q110" s="283">
        <v>3250.9340875500002</v>
      </c>
      <c r="R110" s="283">
        <f t="shared" si="74"/>
        <v>33.231167215139166</v>
      </c>
      <c r="S110" s="283">
        <v>561.62699999999995</v>
      </c>
      <c r="T110" s="283">
        <f t="shared" si="75"/>
        <v>5.7409717474777677</v>
      </c>
      <c r="U110" s="283">
        <v>0.89583318000000001</v>
      </c>
      <c r="V110" s="283">
        <f t="shared" si="76"/>
        <v>9.1572395501519077E-3</v>
      </c>
      <c r="W110" s="283">
        <v>1.20211859</v>
      </c>
      <c r="X110" s="283">
        <f t="shared" si="77"/>
        <v>1.2288100220088798E-2</v>
      </c>
      <c r="Y110" s="684">
        <f t="shared" si="58"/>
        <v>45.381306389998365</v>
      </c>
      <c r="Z110" s="283">
        <f t="shared" si="78"/>
        <v>0.46388937470707942</v>
      </c>
      <c r="AA110" s="685">
        <v>421.68031010000004</v>
      </c>
      <c r="AB110" s="685">
        <f t="shared" si="79"/>
        <v>4.3104315617870297</v>
      </c>
      <c r="AC110" s="685">
        <v>48.097308099999999</v>
      </c>
      <c r="AD110" s="685">
        <f>AC110/$B110*100</f>
        <v>0.49165244358236621</v>
      </c>
      <c r="AE110" s="685">
        <v>5.5164217300000002</v>
      </c>
      <c r="AF110" s="685">
        <f t="shared" si="81"/>
        <v>5.6389064804759088E-2</v>
      </c>
      <c r="AG110" s="685">
        <v>7.3093954100000005</v>
      </c>
      <c r="AH110" s="685">
        <f t="shared" si="82"/>
        <v>7.4716907377945993E-2</v>
      </c>
      <c r="AI110" s="283">
        <v>173.63879934000005</v>
      </c>
    </row>
    <row r="111" spans="1:35" hidden="1">
      <c r="A111" s="679" t="s">
        <v>29</v>
      </c>
      <c r="B111" s="283">
        <v>9850.3003707400003</v>
      </c>
      <c r="C111" s="283">
        <v>633.80456287000004</v>
      </c>
      <c r="D111" s="283">
        <f t="shared" si="67"/>
        <v>6.4343678772750534</v>
      </c>
      <c r="E111" s="283">
        <v>2744.4101818700001</v>
      </c>
      <c r="F111" s="283">
        <f t="shared" si="68"/>
        <v>27.861182690653596</v>
      </c>
      <c r="G111" s="283">
        <v>289.68772906999999</v>
      </c>
      <c r="H111" s="283">
        <f t="shared" si="69"/>
        <v>2.9409024919738291</v>
      </c>
      <c r="I111" s="283">
        <v>466.71578469000002</v>
      </c>
      <c r="J111" s="283">
        <f t="shared" si="70"/>
        <v>4.7380868311017625</v>
      </c>
      <c r="K111" s="283">
        <v>875.34030221</v>
      </c>
      <c r="L111" s="283">
        <f t="shared" si="71"/>
        <v>8.8864325884941557</v>
      </c>
      <c r="M111" s="283">
        <v>582.92162757000006</v>
      </c>
      <c r="N111" s="283">
        <f t="shared" si="72"/>
        <v>5.9178056062285167</v>
      </c>
      <c r="O111" s="283">
        <v>409.66164846999999</v>
      </c>
      <c r="P111" s="283">
        <f t="shared" si="73"/>
        <v>4.1588746845414661</v>
      </c>
      <c r="Q111" s="283">
        <v>3314.9694567000001</v>
      </c>
      <c r="R111" s="283">
        <f t="shared" si="74"/>
        <v>33.653486004822859</v>
      </c>
      <c r="S111" s="283">
        <v>575.79999999999995</v>
      </c>
      <c r="T111" s="283">
        <f t="shared" si="75"/>
        <v>5.845507023424334</v>
      </c>
      <c r="U111" s="283">
        <v>0.97424274999999994</v>
      </c>
      <c r="V111" s="283">
        <f t="shared" si="76"/>
        <v>9.8904877347086445E-3</v>
      </c>
      <c r="W111" s="283">
        <v>0.95838124999999996</v>
      </c>
      <c r="X111" s="283">
        <f t="shared" si="77"/>
        <v>9.7294621882479896E-3</v>
      </c>
      <c r="Y111" s="684">
        <f t="shared" si="58"/>
        <v>46.798042829999929</v>
      </c>
      <c r="Z111" s="283">
        <f t="shared" si="78"/>
        <v>0.47509254610155854</v>
      </c>
      <c r="AA111" s="685">
        <v>419.86985619000006</v>
      </c>
      <c r="AB111" s="685">
        <f t="shared" si="79"/>
        <v>4.2625081508906062</v>
      </c>
      <c r="AC111" s="685">
        <v>49.116020549999995</v>
      </c>
      <c r="AD111" s="685">
        <f>AC111/$B111*100</f>
        <v>0.49862459723459351</v>
      </c>
      <c r="AE111" s="685">
        <v>2.8309023600000001</v>
      </c>
      <c r="AF111" s="685">
        <f t="shared" si="81"/>
        <v>2.8739249093450027E-2</v>
      </c>
      <c r="AG111" s="685">
        <v>12.24163136</v>
      </c>
      <c r="AH111" s="685">
        <f t="shared" si="82"/>
        <v>0.12427673166559845</v>
      </c>
      <c r="AI111" s="283">
        <v>176.36550674999998</v>
      </c>
    </row>
    <row r="112" spans="1:35">
      <c r="A112" s="679" t="s">
        <v>1301</v>
      </c>
      <c r="B112" s="283">
        <v>12243.721763699999</v>
      </c>
      <c r="C112" s="283">
        <v>748.82059920999995</v>
      </c>
      <c r="D112" s="283">
        <v>6.1159557009053556</v>
      </c>
      <c r="E112" s="283">
        <v>2649.32739201</v>
      </c>
      <c r="F112" s="283">
        <v>21.638252184598684</v>
      </c>
      <c r="G112" s="283">
        <v>396.74502281000002</v>
      </c>
      <c r="H112" s="283">
        <v>3.2403956122742321</v>
      </c>
      <c r="I112" s="283">
        <v>546.22941422999997</v>
      </c>
      <c r="J112" s="283">
        <v>4.4613020842196249</v>
      </c>
      <c r="K112" s="283">
        <v>1270.2709982199999</v>
      </c>
      <c r="L112" s="283">
        <v>10.374876387554641</v>
      </c>
      <c r="M112" s="283">
        <v>1297.60908647</v>
      </c>
      <c r="N112" s="283">
        <v>10.59815888921236</v>
      </c>
      <c r="O112" s="283">
        <v>429.11634155000002</v>
      </c>
      <c r="P112" s="283">
        <v>3.5047867783326936</v>
      </c>
      <c r="Q112" s="283">
        <v>4316.6580169099998</v>
      </c>
      <c r="R112" s="283">
        <v>35.256093696182823</v>
      </c>
      <c r="S112" s="283">
        <v>703.69352000000003</v>
      </c>
      <c r="T112" s="283">
        <v>5.7473824837011565</v>
      </c>
      <c r="U112" s="283">
        <v>0.61674861000000003</v>
      </c>
      <c r="V112" s="283">
        <v>5.0372641742687015E-3</v>
      </c>
      <c r="W112" s="283">
        <v>0.53953861000000003</v>
      </c>
      <c r="X112" s="283">
        <v>4.4066552671885757E-3</v>
      </c>
      <c r="Y112" s="684">
        <f t="shared" si="58"/>
        <v>17.221721410000228</v>
      </c>
      <c r="Z112" s="283">
        <v>0.14065756918014036</v>
      </c>
      <c r="AA112" s="685">
        <v>480.93407215000002</v>
      </c>
      <c r="AB112" s="685">
        <v>3.9280055642547032</v>
      </c>
      <c r="AC112" s="685">
        <v>44.144264329999999</v>
      </c>
      <c r="AD112" s="685">
        <v>0.36054612463408181</v>
      </c>
      <c r="AE112" s="685">
        <v>43.211517909999998</v>
      </c>
      <c r="AF112" s="685">
        <v>0.35292796376762542</v>
      </c>
      <c r="AG112" s="685">
        <v>2.2770292700000003</v>
      </c>
      <c r="AH112" s="685">
        <v>1.8597525441576942E-2</v>
      </c>
      <c r="AI112" s="283">
        <v>176.08680903999996</v>
      </c>
    </row>
    <row r="113" spans="1:35" hidden="1">
      <c r="A113" s="679" t="s">
        <v>18</v>
      </c>
      <c r="B113" s="191">
        <v>9984.5625328200003</v>
      </c>
      <c r="C113" s="191">
        <v>643.08208386000001</v>
      </c>
      <c r="D113" s="191">
        <f t="shared" ref="D113:D124" si="83">C113/$B113*100</f>
        <v>6.4407637464950653</v>
      </c>
      <c r="E113" s="191">
        <v>2792.0278147499998</v>
      </c>
      <c r="F113" s="191">
        <f t="shared" ref="F113:F124" si="84">E113/$B113*100</f>
        <v>27.963446626453553</v>
      </c>
      <c r="G113" s="191">
        <v>285.60228572</v>
      </c>
      <c r="H113" s="191">
        <f t="shared" ref="H113:H124" si="85">G113/$B113*100</f>
        <v>2.8604386499779437</v>
      </c>
      <c r="I113" s="191">
        <v>470.1170272</v>
      </c>
      <c r="J113" s="191">
        <f t="shared" ref="J113:J124" si="86">I113/$B113*100</f>
        <v>4.7084389091128465</v>
      </c>
      <c r="K113" s="191">
        <v>892.90232120999997</v>
      </c>
      <c r="L113" s="191">
        <f t="shared" ref="L113:L124" si="87">K113/$B113*100</f>
        <v>8.9428286745159191</v>
      </c>
      <c r="M113" s="191">
        <v>581.60358383000005</v>
      </c>
      <c r="N113" s="191">
        <f t="shared" ref="N113:N124" si="88">M113/$B113*100</f>
        <v>5.8250282064760048</v>
      </c>
      <c r="O113" s="191">
        <v>417.15367001999999</v>
      </c>
      <c r="P113" s="191">
        <f t="shared" ref="P113:P124" si="89">O113/$B113*100</f>
        <v>4.1779864530747828</v>
      </c>
      <c r="Q113" s="191">
        <v>3357.4851926000001</v>
      </c>
      <c r="R113" s="191">
        <f t="shared" ref="R113:R124" si="90">Q113/$B113*100</f>
        <v>33.626763131220791</v>
      </c>
      <c r="S113" s="191">
        <v>586.42629999999997</v>
      </c>
      <c r="T113" s="191">
        <f t="shared" ref="T113:T124" si="91">S113/$B113*100</f>
        <v>5.8733299338090479</v>
      </c>
      <c r="U113" s="191">
        <v>0.98563100999999997</v>
      </c>
      <c r="V113" s="191">
        <f t="shared" ref="V113:V124" si="92">U113/$B113*100</f>
        <v>9.8715492717898999E-3</v>
      </c>
      <c r="W113" s="191">
        <v>1.3211098700000001</v>
      </c>
      <c r="X113" s="191">
        <f t="shared" ref="X113:X124" si="93">W113/$B113*100</f>
        <v>1.3231524823019675E-2</v>
      </c>
      <c r="Y113" s="682">
        <f t="shared" ref="Y113:Y124" si="94">B113-C113-E113-G113-I113-K113-M113-W113-O113-Q113-U113-AA113-AC113-AE113-AG113</f>
        <v>51.556775910001221</v>
      </c>
      <c r="Z113" s="191">
        <f t="shared" ref="Z113:Z124" si="95">Y113/$B113*100</f>
        <v>0.51636489571305955</v>
      </c>
      <c r="AA113" s="683">
        <v>432.26369215</v>
      </c>
      <c r="AB113" s="683">
        <f t="shared" ref="AB113:AB124" si="96">AA113/B113*100</f>
        <v>4.329320295497344</v>
      </c>
      <c r="AC113" s="683">
        <v>48.842906480000003</v>
      </c>
      <c r="AD113" s="683">
        <f t="shared" ref="AD113:AD124" si="97">AC113/$B113*100</f>
        <v>0.48918424136710781</v>
      </c>
      <c r="AE113" s="683">
        <v>0.52715458000000004</v>
      </c>
      <c r="AF113" s="683">
        <f t="shared" ref="AF113:AF124" si="98">AE113/$B113*100</f>
        <v>5.2796963138565531E-3</v>
      </c>
      <c r="AG113" s="683">
        <v>9.0912836299999995</v>
      </c>
      <c r="AH113" s="683">
        <f t="shared" ref="AH113:AH124" si="99">AG113/$B113*100</f>
        <v>9.1053399686929423E-2</v>
      </c>
      <c r="AI113" s="191">
        <v>180.27205216999997</v>
      </c>
    </row>
    <row r="114" spans="1:35" hidden="1">
      <c r="A114" s="679" t="s">
        <v>19</v>
      </c>
      <c r="B114" s="191">
        <v>10106.91377657</v>
      </c>
      <c r="C114" s="191">
        <v>648.80625395000004</v>
      </c>
      <c r="D114" s="191">
        <f t="shared" si="83"/>
        <v>6.4194299891433966</v>
      </c>
      <c r="E114" s="191">
        <v>2810.9288768599999</v>
      </c>
      <c r="F114" s="191">
        <f t="shared" si="84"/>
        <v>27.811940806068197</v>
      </c>
      <c r="G114" s="191">
        <v>284.76483035000001</v>
      </c>
      <c r="H114" s="191">
        <f t="shared" si="85"/>
        <v>2.8175250788242217</v>
      </c>
      <c r="I114" s="191">
        <v>474.95028843</v>
      </c>
      <c r="J114" s="191">
        <f t="shared" si="86"/>
        <v>4.6992613069583804</v>
      </c>
      <c r="K114" s="191">
        <v>874.46036978999996</v>
      </c>
      <c r="L114" s="191">
        <f t="shared" si="87"/>
        <v>8.6521008205015786</v>
      </c>
      <c r="M114" s="191">
        <v>583.20181939999998</v>
      </c>
      <c r="N114" s="191">
        <f t="shared" si="88"/>
        <v>5.7703254652472378</v>
      </c>
      <c r="O114" s="191">
        <v>419.37113110000001</v>
      </c>
      <c r="P114" s="191">
        <f t="shared" si="89"/>
        <v>4.1493490532410844</v>
      </c>
      <c r="Q114" s="191">
        <v>3454.8482695600001</v>
      </c>
      <c r="R114" s="191">
        <f t="shared" si="90"/>
        <v>34.183019128639266</v>
      </c>
      <c r="S114" s="191">
        <v>595.00306332800005</v>
      </c>
      <c r="T114" s="191">
        <f t="shared" si="91"/>
        <v>5.887089535752696</v>
      </c>
      <c r="U114" s="191">
        <v>1.0590580200000002</v>
      </c>
      <c r="V114" s="191">
        <f t="shared" si="92"/>
        <v>1.0478550063968336E-2</v>
      </c>
      <c r="W114" s="191">
        <v>1.01689429</v>
      </c>
      <c r="X114" s="191">
        <f t="shared" si="93"/>
        <v>1.0061372961916226E-2</v>
      </c>
      <c r="Y114" s="682">
        <f t="shared" si="94"/>
        <v>48.792021899998545</v>
      </c>
      <c r="Z114" s="191">
        <f t="shared" si="95"/>
        <v>0.48275886169236892</v>
      </c>
      <c r="AA114" s="683">
        <v>447.24085879000006</v>
      </c>
      <c r="AB114" s="683">
        <f t="shared" si="96"/>
        <v>4.4250981919604433</v>
      </c>
      <c r="AC114" s="683">
        <v>48.830342800000004</v>
      </c>
      <c r="AD114" s="683">
        <f t="shared" si="97"/>
        <v>0.48313801699980108</v>
      </c>
      <c r="AE114" s="683">
        <v>0.22700659000000001</v>
      </c>
      <c r="AF114" s="683">
        <f t="shared" si="98"/>
        <v>2.2460525044376073E-3</v>
      </c>
      <c r="AG114" s="683">
        <v>8.4157547400000006</v>
      </c>
      <c r="AH114" s="683">
        <f t="shared" si="99"/>
        <v>8.3267305193693561E-2</v>
      </c>
      <c r="AI114" s="191">
        <v>180.86095100000003</v>
      </c>
    </row>
    <row r="115" spans="1:35" hidden="1">
      <c r="A115" s="679" t="s">
        <v>20</v>
      </c>
      <c r="B115" s="191">
        <v>10163.207416880001</v>
      </c>
      <c r="C115" s="191">
        <v>663.85993112999995</v>
      </c>
      <c r="D115" s="191">
        <f t="shared" si="83"/>
        <v>6.5319923514244094</v>
      </c>
      <c r="E115" s="191">
        <v>2795.2399057100001</v>
      </c>
      <c r="F115" s="191">
        <f t="shared" si="84"/>
        <v>27.503521192211483</v>
      </c>
      <c r="G115" s="191">
        <v>267.73334008</v>
      </c>
      <c r="H115" s="191">
        <f t="shared" si="85"/>
        <v>2.6343390339089563</v>
      </c>
      <c r="I115" s="191">
        <v>479.92791896</v>
      </c>
      <c r="J115" s="191">
        <f t="shared" si="86"/>
        <v>4.7222092325193623</v>
      </c>
      <c r="K115" s="191">
        <v>858.73333035999997</v>
      </c>
      <c r="L115" s="191">
        <f t="shared" si="87"/>
        <v>8.4494323015954169</v>
      </c>
      <c r="M115" s="191">
        <v>585.43288680000001</v>
      </c>
      <c r="N115" s="191">
        <f t="shared" si="88"/>
        <v>5.7603162346923922</v>
      </c>
      <c r="O115" s="191">
        <v>426.04153137999998</v>
      </c>
      <c r="P115" s="191">
        <f t="shared" si="89"/>
        <v>4.1919987844820579</v>
      </c>
      <c r="Q115" s="191">
        <v>3523.7234840400001</v>
      </c>
      <c r="R115" s="191">
        <f t="shared" si="90"/>
        <v>34.671372328655544</v>
      </c>
      <c r="S115" s="191">
        <v>620.02200000000005</v>
      </c>
      <c r="T115" s="191">
        <f t="shared" si="91"/>
        <v>6.1006528211773947</v>
      </c>
      <c r="U115" s="191">
        <v>0.84524688000000003</v>
      </c>
      <c r="V115" s="191">
        <f t="shared" si="92"/>
        <v>8.3167335402024294E-3</v>
      </c>
      <c r="W115" s="191">
        <v>0.95545718000000002</v>
      </c>
      <c r="X115" s="191">
        <f t="shared" si="93"/>
        <v>9.4011382510317352E-3</v>
      </c>
      <c r="Y115" s="682">
        <f t="shared" si="94"/>
        <v>48.574769040000227</v>
      </c>
      <c r="Z115" s="191">
        <f t="shared" si="95"/>
        <v>0.47794723700436076</v>
      </c>
      <c r="AA115" s="683">
        <v>461.26904721000005</v>
      </c>
      <c r="AB115" s="683">
        <f t="shared" si="96"/>
        <v>4.5386168784067271</v>
      </c>
      <c r="AC115" s="683">
        <v>47.033748729999999</v>
      </c>
      <c r="AD115" s="683">
        <f t="shared" si="97"/>
        <v>0.46278450100193735</v>
      </c>
      <c r="AE115" s="683">
        <v>0.22700659000000001</v>
      </c>
      <c r="AF115" s="683">
        <f t="shared" si="98"/>
        <v>2.233611700406373E-3</v>
      </c>
      <c r="AG115" s="683">
        <v>3.6098127900000003</v>
      </c>
      <c r="AH115" s="683">
        <f t="shared" si="99"/>
        <v>3.5518440605713582E-2</v>
      </c>
      <c r="AI115" s="191">
        <v>188.36713871000001</v>
      </c>
    </row>
    <row r="116" spans="1:35" hidden="1">
      <c r="A116" s="679" t="s">
        <v>21</v>
      </c>
      <c r="B116" s="191">
        <v>10363.27236859</v>
      </c>
      <c r="C116" s="191">
        <v>719.35310575999995</v>
      </c>
      <c r="D116" s="191">
        <f t="shared" si="83"/>
        <v>6.9413702561778106</v>
      </c>
      <c r="E116" s="191">
        <v>2764.5931553199998</v>
      </c>
      <c r="F116" s="191">
        <f t="shared" si="84"/>
        <v>26.67683581972808</v>
      </c>
      <c r="G116" s="191">
        <v>249.79974098</v>
      </c>
      <c r="H116" s="191">
        <f t="shared" si="85"/>
        <v>2.4104330378994669</v>
      </c>
      <c r="I116" s="191">
        <v>482.25641538999997</v>
      </c>
      <c r="J116" s="191">
        <f t="shared" si="86"/>
        <v>4.6535148188488122</v>
      </c>
      <c r="K116" s="191">
        <v>897.57304067999996</v>
      </c>
      <c r="L116" s="191">
        <f t="shared" si="87"/>
        <v>8.6610966956774238</v>
      </c>
      <c r="M116" s="191">
        <v>611.57766715000002</v>
      </c>
      <c r="N116" s="191">
        <f t="shared" si="88"/>
        <v>5.9013952871066895</v>
      </c>
      <c r="O116" s="191">
        <v>426.07412925</v>
      </c>
      <c r="P116" s="191">
        <f t="shared" si="89"/>
        <v>4.1113859994781796</v>
      </c>
      <c r="Q116" s="191">
        <v>3623.40930312</v>
      </c>
      <c r="R116" s="191">
        <f t="shared" si="90"/>
        <v>34.963949361228572</v>
      </c>
      <c r="S116" s="191">
        <v>633.178</v>
      </c>
      <c r="T116" s="191">
        <f t="shared" si="91"/>
        <v>6.1098268720515021</v>
      </c>
      <c r="U116" s="191">
        <v>0.83393165999999996</v>
      </c>
      <c r="V116" s="191">
        <f t="shared" si="92"/>
        <v>8.0469916290877401E-3</v>
      </c>
      <c r="W116" s="191">
        <v>0.90265901000000004</v>
      </c>
      <c r="X116" s="191">
        <f t="shared" si="93"/>
        <v>8.7101735619326721E-3</v>
      </c>
      <c r="Y116" s="682">
        <f t="shared" si="94"/>
        <v>44.350869190000616</v>
      </c>
      <c r="Z116" s="191">
        <f t="shared" si="95"/>
        <v>0.42796201443497212</v>
      </c>
      <c r="AA116" s="683">
        <v>495.03082351999996</v>
      </c>
      <c r="AB116" s="683">
        <f t="shared" si="96"/>
        <v>4.776780981076854</v>
      </c>
      <c r="AC116" s="683">
        <v>44.666871679999993</v>
      </c>
      <c r="AD116" s="683">
        <f t="shared" si="97"/>
        <v>0.43101126836519932</v>
      </c>
      <c r="AE116" s="683">
        <v>0.22700659000000001</v>
      </c>
      <c r="AF116" s="683">
        <f t="shared" si="98"/>
        <v>2.1904914000719826E-3</v>
      </c>
      <c r="AG116" s="683">
        <v>2.6236492900000004</v>
      </c>
      <c r="AH116" s="683">
        <f t="shared" si="99"/>
        <v>2.5316803386853062E-2</v>
      </c>
      <c r="AI116" s="191">
        <v>182.39958403999998</v>
      </c>
    </row>
    <row r="117" spans="1:35" hidden="1">
      <c r="A117" s="679" t="s">
        <v>22</v>
      </c>
      <c r="B117" s="191">
        <v>10511.52051213</v>
      </c>
      <c r="C117" s="191">
        <v>720.07649569</v>
      </c>
      <c r="D117" s="191">
        <f t="shared" si="83"/>
        <v>6.8503552350875587</v>
      </c>
      <c r="E117" s="191">
        <v>2729.3382412599999</v>
      </c>
      <c r="F117" s="191">
        <f t="shared" si="84"/>
        <v>25.965208726086964</v>
      </c>
      <c r="G117" s="191">
        <v>261.64576196000002</v>
      </c>
      <c r="H117" s="191">
        <f t="shared" si="85"/>
        <v>2.4891333433452196</v>
      </c>
      <c r="I117" s="191">
        <v>496.59502076000001</v>
      </c>
      <c r="J117" s="191">
        <f t="shared" si="86"/>
        <v>4.7242929335194015</v>
      </c>
      <c r="K117" s="191">
        <v>952.49895459000004</v>
      </c>
      <c r="L117" s="191">
        <f t="shared" si="87"/>
        <v>9.0614764390255722</v>
      </c>
      <c r="M117" s="191">
        <v>613.64659644000005</v>
      </c>
      <c r="N117" s="191">
        <f t="shared" si="88"/>
        <v>5.837848061390063</v>
      </c>
      <c r="O117" s="191">
        <v>424.86921467000002</v>
      </c>
      <c r="P117" s="191">
        <f t="shared" si="89"/>
        <v>4.0419386917402944</v>
      </c>
      <c r="Q117" s="191">
        <v>3733.8030205199998</v>
      </c>
      <c r="R117" s="191">
        <f t="shared" si="90"/>
        <v>35.521055362174252</v>
      </c>
      <c r="S117" s="191">
        <v>628.20000000000005</v>
      </c>
      <c r="T117" s="191">
        <f t="shared" si="91"/>
        <v>5.9762999965140606</v>
      </c>
      <c r="U117" s="191">
        <v>0.82905417999999997</v>
      </c>
      <c r="V117" s="191">
        <f t="shared" si="92"/>
        <v>7.8871004346449652E-3</v>
      </c>
      <c r="W117" s="191">
        <v>0.82483110999999998</v>
      </c>
      <c r="X117" s="191">
        <f t="shared" si="93"/>
        <v>7.8469248007285719E-3</v>
      </c>
      <c r="Y117" s="682">
        <f t="shared" si="94"/>
        <v>44.238021080000308</v>
      </c>
      <c r="Z117" s="191">
        <f t="shared" si="95"/>
        <v>0.42085273038235405</v>
      </c>
      <c r="AA117" s="683">
        <v>482.42762698000001</v>
      </c>
      <c r="AB117" s="683">
        <f t="shared" si="96"/>
        <v>4.5895132528475973</v>
      </c>
      <c r="AC117" s="683">
        <v>44.897023869999998</v>
      </c>
      <c r="AD117" s="683">
        <f t="shared" si="97"/>
        <v>0.42712206876436276</v>
      </c>
      <c r="AE117" s="683">
        <v>3.3552152299999998</v>
      </c>
      <c r="AF117" s="683">
        <f t="shared" si="98"/>
        <v>3.1919409053411209E-2</v>
      </c>
      <c r="AG117" s="683">
        <v>2.4754337899999999</v>
      </c>
      <c r="AH117" s="683">
        <f t="shared" si="99"/>
        <v>2.3549721347576866E-2</v>
      </c>
      <c r="AI117" s="191">
        <v>186.23733269000002</v>
      </c>
    </row>
    <row r="118" spans="1:35" hidden="1">
      <c r="A118" s="679" t="s">
        <v>23</v>
      </c>
      <c r="B118" s="191">
        <v>10734.81067669</v>
      </c>
      <c r="C118" s="191">
        <v>706.68413955999995</v>
      </c>
      <c r="D118" s="191">
        <f t="shared" si="83"/>
        <v>6.5831076191639069</v>
      </c>
      <c r="E118" s="191">
        <v>2791.2781174400002</v>
      </c>
      <c r="F118" s="191">
        <f t="shared" si="84"/>
        <v>26.002117797019874</v>
      </c>
      <c r="G118" s="191">
        <v>273.6942732</v>
      </c>
      <c r="H118" s="191">
        <f t="shared" si="85"/>
        <v>2.5495957166185588</v>
      </c>
      <c r="I118" s="191">
        <v>504.41599314000001</v>
      </c>
      <c r="J118" s="191">
        <f t="shared" si="86"/>
        <v>4.6988811291782655</v>
      </c>
      <c r="K118" s="191">
        <v>1008.17046641</v>
      </c>
      <c r="L118" s="191">
        <f t="shared" si="87"/>
        <v>9.391599877948309</v>
      </c>
      <c r="M118" s="191">
        <v>644.32238416999996</v>
      </c>
      <c r="N118" s="191">
        <f t="shared" si="88"/>
        <v>6.0021774354074777</v>
      </c>
      <c r="O118" s="191">
        <v>413.16445808999998</v>
      </c>
      <c r="P118" s="191">
        <f t="shared" si="89"/>
        <v>3.8488285497867412</v>
      </c>
      <c r="Q118" s="191">
        <v>3802.7735664699999</v>
      </c>
      <c r="R118" s="191">
        <f t="shared" si="90"/>
        <v>35.424691510652309</v>
      </c>
      <c r="S118" s="191">
        <v>649.29999999999995</v>
      </c>
      <c r="T118" s="191">
        <f t="shared" si="91"/>
        <v>6.0485463559214514</v>
      </c>
      <c r="U118" s="191">
        <v>0.73721144999999999</v>
      </c>
      <c r="V118" s="191">
        <f t="shared" si="92"/>
        <v>6.8674844131234722E-3</v>
      </c>
      <c r="W118" s="191">
        <v>0.81352645999999995</v>
      </c>
      <c r="X118" s="191">
        <f t="shared" si="93"/>
        <v>7.5783959727070364E-3</v>
      </c>
      <c r="Y118" s="682">
        <f t="shared" si="94"/>
        <v>48.594245109999761</v>
      </c>
      <c r="Z118" s="191">
        <f t="shared" si="95"/>
        <v>0.45267910700576452</v>
      </c>
      <c r="AA118" s="683">
        <v>491.78397663999999</v>
      </c>
      <c r="AB118" s="683">
        <f t="shared" si="96"/>
        <v>4.5812077311049322</v>
      </c>
      <c r="AC118" s="683">
        <v>44.93682467</v>
      </c>
      <c r="AD118" s="683">
        <f t="shared" si="97"/>
        <v>0.41860845079995335</v>
      </c>
      <c r="AE118" s="683">
        <v>0.84076993</v>
      </c>
      <c r="AF118" s="683">
        <f t="shared" si="98"/>
        <v>7.8321821904664031E-3</v>
      </c>
      <c r="AG118" s="683">
        <v>2.6007239499999999</v>
      </c>
      <c r="AH118" s="683">
        <f t="shared" si="99"/>
        <v>2.4227012737609958E-2</v>
      </c>
      <c r="AI118" s="191">
        <v>170.64799898000001</v>
      </c>
    </row>
    <row r="119" spans="1:35" hidden="1">
      <c r="A119" s="679" t="s">
        <v>24</v>
      </c>
      <c r="B119" s="191">
        <v>10726.412785959999</v>
      </c>
      <c r="C119" s="191">
        <v>715.12585076000005</v>
      </c>
      <c r="D119" s="191">
        <f t="shared" si="83"/>
        <v>6.6669618728084146</v>
      </c>
      <c r="E119" s="191">
        <v>2716.2331943700001</v>
      </c>
      <c r="F119" s="191">
        <f t="shared" si="84"/>
        <v>25.322847894920919</v>
      </c>
      <c r="G119" s="191">
        <v>282.89586773000002</v>
      </c>
      <c r="H119" s="191">
        <f t="shared" si="85"/>
        <v>2.637376291357048</v>
      </c>
      <c r="I119" s="191">
        <v>505.64988504000002</v>
      </c>
      <c r="J119" s="191">
        <f t="shared" si="86"/>
        <v>4.7140632672821852</v>
      </c>
      <c r="K119" s="191">
        <v>1029.6045947600001</v>
      </c>
      <c r="L119" s="191">
        <f t="shared" si="87"/>
        <v>9.5987784108744041</v>
      </c>
      <c r="M119" s="191">
        <v>660.17973448999999</v>
      </c>
      <c r="N119" s="191">
        <f t="shared" si="88"/>
        <v>6.1547112502897665</v>
      </c>
      <c r="O119" s="191">
        <v>396.94621217999997</v>
      </c>
      <c r="P119" s="191">
        <f t="shared" si="89"/>
        <v>3.7006427041440193</v>
      </c>
      <c r="Q119" s="191">
        <v>3833.8198001199999</v>
      </c>
      <c r="R119" s="191">
        <f t="shared" si="90"/>
        <v>35.741863348184374</v>
      </c>
      <c r="S119" s="191">
        <v>655.17352545599999</v>
      </c>
      <c r="T119" s="191">
        <f t="shared" si="91"/>
        <v>6.1080394585743409</v>
      </c>
      <c r="U119" s="191">
        <v>0.72241993000000004</v>
      </c>
      <c r="V119" s="191">
        <f t="shared" si="92"/>
        <v>6.73496297798262E-3</v>
      </c>
      <c r="W119" s="191">
        <v>0.76078383000000005</v>
      </c>
      <c r="X119" s="191">
        <f t="shared" si="93"/>
        <v>7.092621225576962E-3</v>
      </c>
      <c r="Y119" s="682">
        <f t="shared" si="94"/>
        <v>45.163522069999864</v>
      </c>
      <c r="Z119" s="191">
        <f t="shared" si="95"/>
        <v>0.42104963673517432</v>
      </c>
      <c r="AA119" s="683">
        <v>488.04474753</v>
      </c>
      <c r="AB119" s="683">
        <f t="shared" si="96"/>
        <v>4.5499344214014474</v>
      </c>
      <c r="AC119" s="683">
        <v>44.627974850000001</v>
      </c>
      <c r="AD119" s="683">
        <f t="shared" si="97"/>
        <v>0.41605684715410529</v>
      </c>
      <c r="AE119" s="683">
        <v>3.9329004300000001</v>
      </c>
      <c r="AF119" s="683">
        <f t="shared" si="98"/>
        <v>3.6665570386661288E-2</v>
      </c>
      <c r="AG119" s="683">
        <v>2.7052978699999999</v>
      </c>
      <c r="AH119" s="683">
        <f t="shared" si="99"/>
        <v>2.5220900257922334E-2</v>
      </c>
      <c r="AI119" s="191">
        <v>181.28019143999998</v>
      </c>
    </row>
    <row r="120" spans="1:35" hidden="1">
      <c r="A120" s="679" t="s">
        <v>25</v>
      </c>
      <c r="B120" s="191">
        <v>11057.8023435</v>
      </c>
      <c r="C120" s="191">
        <v>731.74003091999998</v>
      </c>
      <c r="D120" s="191">
        <f t="shared" si="83"/>
        <v>6.6174092119681589</v>
      </c>
      <c r="E120" s="191">
        <v>2773.6165999</v>
      </c>
      <c r="F120" s="191">
        <f t="shared" si="84"/>
        <v>25.082891823712046</v>
      </c>
      <c r="G120" s="191">
        <v>400.24505398999997</v>
      </c>
      <c r="H120" s="191">
        <f t="shared" si="85"/>
        <v>3.6195714261909568</v>
      </c>
      <c r="I120" s="191">
        <v>516.35346861999994</v>
      </c>
      <c r="J120" s="191">
        <f t="shared" si="86"/>
        <v>4.6695849010497374</v>
      </c>
      <c r="K120" s="191">
        <v>1063.73927099</v>
      </c>
      <c r="L120" s="191">
        <f t="shared" si="87"/>
        <v>9.6198072451103958</v>
      </c>
      <c r="M120" s="191">
        <v>644.09154883999997</v>
      </c>
      <c r="N120" s="191">
        <f t="shared" si="88"/>
        <v>5.8247699572836913</v>
      </c>
      <c r="O120" s="191">
        <v>420.11956894999997</v>
      </c>
      <c r="P120" s="191">
        <f t="shared" si="89"/>
        <v>3.7993043816428389</v>
      </c>
      <c r="Q120" s="191">
        <v>3942.2299599799999</v>
      </c>
      <c r="R120" s="191">
        <f t="shared" si="90"/>
        <v>35.651116175876687</v>
      </c>
      <c r="S120" s="191">
        <v>704.89748510799996</v>
      </c>
      <c r="T120" s="191">
        <f t="shared" si="91"/>
        <v>6.3746616480475708</v>
      </c>
      <c r="U120" s="191">
        <v>0.71865555000000003</v>
      </c>
      <c r="V120" s="191">
        <f t="shared" si="92"/>
        <v>6.4990811707033302E-3</v>
      </c>
      <c r="W120" s="191">
        <v>0.70111897000000001</v>
      </c>
      <c r="X120" s="191">
        <f t="shared" si="93"/>
        <v>6.3404910688436384E-3</v>
      </c>
      <c r="Y120" s="682">
        <f t="shared" si="94"/>
        <v>42.905359189999963</v>
      </c>
      <c r="Z120" s="191">
        <f t="shared" si="95"/>
        <v>0.38800982199885864</v>
      </c>
      <c r="AA120" s="683">
        <v>471.15183034</v>
      </c>
      <c r="AB120" s="683">
        <f t="shared" si="96"/>
        <v>4.2608089356648033</v>
      </c>
      <c r="AC120" s="683">
        <v>44.563893579999998</v>
      </c>
      <c r="AD120" s="683">
        <f t="shared" si="97"/>
        <v>0.40300859244599863</v>
      </c>
      <c r="AE120" s="683">
        <v>4.32365143</v>
      </c>
      <c r="AF120" s="683">
        <f t="shared" si="98"/>
        <v>3.910045862360282E-2</v>
      </c>
      <c r="AG120" s="683">
        <v>1.3023322500000001</v>
      </c>
      <c r="AH120" s="683">
        <f t="shared" si="99"/>
        <v>1.1777496192681879E-2</v>
      </c>
      <c r="AI120" s="191">
        <v>178.23717610999998</v>
      </c>
    </row>
    <row r="121" spans="1:35" hidden="1">
      <c r="A121" s="679" t="s">
        <v>26</v>
      </c>
      <c r="B121" s="191">
        <v>11380.82251559</v>
      </c>
      <c r="C121" s="191">
        <v>757.85437293999996</v>
      </c>
      <c r="D121" s="191">
        <f t="shared" si="83"/>
        <v>6.6590474625349314</v>
      </c>
      <c r="E121" s="191">
        <v>2746.1188033200001</v>
      </c>
      <c r="F121" s="191">
        <f t="shared" si="84"/>
        <v>24.129352685697665</v>
      </c>
      <c r="G121" s="191">
        <v>403.59834097999999</v>
      </c>
      <c r="H121" s="191">
        <f t="shared" si="85"/>
        <v>3.5463020394802882</v>
      </c>
      <c r="I121" s="191">
        <v>528.78819350000003</v>
      </c>
      <c r="J121" s="191">
        <f t="shared" si="86"/>
        <v>4.646309111451659</v>
      </c>
      <c r="K121" s="191">
        <v>1103.4198999</v>
      </c>
      <c r="L121" s="191">
        <f t="shared" si="87"/>
        <v>9.6954319284786514</v>
      </c>
      <c r="M121" s="191">
        <v>774.93862358000001</v>
      </c>
      <c r="N121" s="191">
        <f t="shared" si="88"/>
        <v>6.809161837981847</v>
      </c>
      <c r="O121" s="191">
        <v>439.10211154000001</v>
      </c>
      <c r="P121" s="191">
        <f t="shared" si="89"/>
        <v>3.8582634158339326</v>
      </c>
      <c r="Q121" s="191">
        <v>4042.51527687</v>
      </c>
      <c r="R121" s="191">
        <f t="shared" si="90"/>
        <v>35.520414023963269</v>
      </c>
      <c r="S121" s="191">
        <v>623.29999999999995</v>
      </c>
      <c r="T121" s="191">
        <f t="shared" si="91"/>
        <v>5.4767570546520119</v>
      </c>
      <c r="U121" s="191">
        <v>0.66055393000000007</v>
      </c>
      <c r="V121" s="191">
        <f t="shared" si="92"/>
        <v>5.8040965764569429E-3</v>
      </c>
      <c r="W121" s="191">
        <v>0.64398663</v>
      </c>
      <c r="X121" s="191">
        <f t="shared" si="93"/>
        <v>5.6585244969582478E-3</v>
      </c>
      <c r="Y121" s="682">
        <f t="shared" si="94"/>
        <v>42.315234400000016</v>
      </c>
      <c r="Z121" s="191">
        <f t="shared" si="95"/>
        <v>0.3718117415681913</v>
      </c>
      <c r="AA121" s="683">
        <v>491.45459178999999</v>
      </c>
      <c r="AB121" s="683">
        <f t="shared" si="96"/>
        <v>4.3182695373447899</v>
      </c>
      <c r="AC121" s="683">
        <v>44.674372490000003</v>
      </c>
      <c r="AD121" s="683">
        <f t="shared" si="97"/>
        <v>0.39254080650851814</v>
      </c>
      <c r="AE121" s="683">
        <v>3.0678991500000001</v>
      </c>
      <c r="AF121" s="683">
        <f t="shared" si="98"/>
        <v>2.6956743643066605E-2</v>
      </c>
      <c r="AG121" s="683">
        <v>1.67025457</v>
      </c>
      <c r="AH121" s="683">
        <f t="shared" si="99"/>
        <v>1.4676044439775814E-2</v>
      </c>
      <c r="AI121" s="191">
        <v>188.01630741000002</v>
      </c>
    </row>
    <row r="122" spans="1:35" hidden="1">
      <c r="A122" s="679" t="s">
        <v>27</v>
      </c>
      <c r="B122" s="191">
        <v>11643.48871752</v>
      </c>
      <c r="C122" s="191">
        <v>763.70977516999994</v>
      </c>
      <c r="D122" s="191">
        <f t="shared" si="83"/>
        <v>6.5591146579705368</v>
      </c>
      <c r="E122" s="191">
        <v>2815.5381158999999</v>
      </c>
      <c r="F122" s="191">
        <f t="shared" si="84"/>
        <v>24.181224237916332</v>
      </c>
      <c r="G122" s="191">
        <v>404.96495693000003</v>
      </c>
      <c r="H122" s="191">
        <f t="shared" si="85"/>
        <v>3.4780379554166423</v>
      </c>
      <c r="I122" s="191">
        <v>539.60252249999996</v>
      </c>
      <c r="J122" s="191">
        <f t="shared" si="86"/>
        <v>4.6343714980206761</v>
      </c>
      <c r="K122" s="191">
        <v>1122.2502054700001</v>
      </c>
      <c r="L122" s="191">
        <f t="shared" si="87"/>
        <v>9.6384359765071626</v>
      </c>
      <c r="M122" s="191">
        <v>815.52829933999999</v>
      </c>
      <c r="N122" s="191">
        <f t="shared" si="88"/>
        <v>7.0041575950760491</v>
      </c>
      <c r="O122" s="191">
        <v>461.95248722000002</v>
      </c>
      <c r="P122" s="191">
        <f t="shared" si="89"/>
        <v>3.9674748559243964</v>
      </c>
      <c r="Q122" s="191">
        <v>4136.6613513000002</v>
      </c>
      <c r="R122" s="191">
        <f t="shared" si="90"/>
        <v>35.527679475272308</v>
      </c>
      <c r="S122" s="191">
        <v>699.74372703999995</v>
      </c>
      <c r="T122" s="191">
        <f t="shared" si="91"/>
        <v>6.009742818637279</v>
      </c>
      <c r="U122" s="191">
        <v>0.59977864000000003</v>
      </c>
      <c r="V122" s="191">
        <f t="shared" si="92"/>
        <v>5.1511935516157705E-3</v>
      </c>
      <c r="W122" s="191">
        <v>0.63001511999999993</v>
      </c>
      <c r="X122" s="191">
        <f t="shared" si="93"/>
        <v>5.4108792930078926E-3</v>
      </c>
      <c r="Y122" s="682">
        <f t="shared" si="94"/>
        <v>45.155568689999825</v>
      </c>
      <c r="Z122" s="191">
        <f t="shared" si="95"/>
        <v>0.38781820282141105</v>
      </c>
      <c r="AA122" s="683">
        <v>486.66240521999998</v>
      </c>
      <c r="AB122" s="683">
        <f t="shared" si="96"/>
        <v>4.1796957683972957</v>
      </c>
      <c r="AC122" s="683">
        <v>43.864977279999991</v>
      </c>
      <c r="AD122" s="683">
        <f t="shared" si="97"/>
        <v>0.37673396989680763</v>
      </c>
      <c r="AE122" s="683">
        <v>4.9643910899999995</v>
      </c>
      <c r="AF122" s="683">
        <f t="shared" si="98"/>
        <v>4.2636629024512748E-2</v>
      </c>
      <c r="AG122" s="683">
        <v>1.4038676500000002</v>
      </c>
      <c r="AH122" s="683">
        <f t="shared" si="99"/>
        <v>1.2057104911241899E-2</v>
      </c>
      <c r="AI122" s="191">
        <v>180.04947742000004</v>
      </c>
    </row>
    <row r="123" spans="1:35" hidden="1">
      <c r="A123" s="679" t="s">
        <v>28</v>
      </c>
      <c r="B123" s="191">
        <v>11730.50687651</v>
      </c>
      <c r="C123" s="191">
        <v>761.11775205000004</v>
      </c>
      <c r="D123" s="191">
        <f t="shared" si="83"/>
        <v>6.4883620125070323</v>
      </c>
      <c r="E123" s="191">
        <v>2766.6378884999999</v>
      </c>
      <c r="F123" s="191">
        <f t="shared" si="84"/>
        <v>23.584981600753434</v>
      </c>
      <c r="G123" s="191">
        <v>406.19939654000001</v>
      </c>
      <c r="H123" s="191">
        <f t="shared" si="85"/>
        <v>3.4627608236895755</v>
      </c>
      <c r="I123" s="191">
        <v>541.92425406999996</v>
      </c>
      <c r="J123" s="191">
        <f t="shared" si="86"/>
        <v>4.6197854856143303</v>
      </c>
      <c r="K123" s="191">
        <v>1147.6666497900001</v>
      </c>
      <c r="L123" s="191">
        <f t="shared" si="87"/>
        <v>9.7836066409727724</v>
      </c>
      <c r="M123" s="191">
        <v>872.22612164999998</v>
      </c>
      <c r="N123" s="191">
        <f t="shared" si="88"/>
        <v>7.4355365103327919</v>
      </c>
      <c r="O123" s="191">
        <v>391.11202277000001</v>
      </c>
      <c r="P123" s="191">
        <f t="shared" si="89"/>
        <v>3.3341442691891729</v>
      </c>
      <c r="Q123" s="191">
        <v>4245.0927988100002</v>
      </c>
      <c r="R123" s="191">
        <f t="shared" si="90"/>
        <v>36.188485659649331</v>
      </c>
      <c r="S123" s="191">
        <v>706.83230646000004</v>
      </c>
      <c r="T123" s="191">
        <f t="shared" si="91"/>
        <v>6.0255904872739237</v>
      </c>
      <c r="U123" s="191">
        <v>0.54633701999999995</v>
      </c>
      <c r="V123" s="191">
        <f t="shared" si="92"/>
        <v>4.6574033479663528E-3</v>
      </c>
      <c r="W123" s="191">
        <v>0.57590806999999999</v>
      </c>
      <c r="X123" s="191">
        <f t="shared" si="93"/>
        <v>4.9094900677586163E-3</v>
      </c>
      <c r="Y123" s="682">
        <f t="shared" si="94"/>
        <v>49.831146329999939</v>
      </c>
      <c r="Z123" s="191">
        <f t="shared" si="95"/>
        <v>0.42479960034621661</v>
      </c>
      <c r="AA123" s="683">
        <v>481.49746983</v>
      </c>
      <c r="AB123" s="683">
        <f t="shared" si="96"/>
        <v>4.1046603944641529</v>
      </c>
      <c r="AC123" s="683">
        <v>44.971368609999999</v>
      </c>
      <c r="AD123" s="683">
        <f t="shared" si="97"/>
        <v>0.383371060461623</v>
      </c>
      <c r="AE123" s="683">
        <v>19.431052789999999</v>
      </c>
      <c r="AF123" s="683">
        <f t="shared" si="98"/>
        <v>0.16564546608731903</v>
      </c>
      <c r="AG123" s="683">
        <v>1.6767096799999999</v>
      </c>
      <c r="AH123" s="683">
        <f t="shared" si="99"/>
        <v>1.4293582516519915E-2</v>
      </c>
      <c r="AI123" s="191">
        <v>174.07808797000001</v>
      </c>
    </row>
    <row r="124" spans="1:35" hidden="1">
      <c r="A124" s="679" t="s">
        <v>29</v>
      </c>
      <c r="B124" s="191">
        <v>12243.721763699999</v>
      </c>
      <c r="C124" s="191">
        <v>748.82059920999995</v>
      </c>
      <c r="D124" s="191">
        <f t="shared" si="83"/>
        <v>6.1159557009053556</v>
      </c>
      <c r="E124" s="191">
        <v>2649.32739201</v>
      </c>
      <c r="F124" s="191">
        <f t="shared" si="84"/>
        <v>21.638252184598684</v>
      </c>
      <c r="G124" s="191">
        <v>396.74502281000002</v>
      </c>
      <c r="H124" s="191">
        <f t="shared" si="85"/>
        <v>3.2403956122742321</v>
      </c>
      <c r="I124" s="191">
        <v>546.22941422999997</v>
      </c>
      <c r="J124" s="191">
        <f t="shared" si="86"/>
        <v>4.4613020842196249</v>
      </c>
      <c r="K124" s="191">
        <v>1270.2709982199999</v>
      </c>
      <c r="L124" s="191">
        <f t="shared" si="87"/>
        <v>10.374876387554641</v>
      </c>
      <c r="M124" s="191">
        <v>1297.60908647</v>
      </c>
      <c r="N124" s="191">
        <f t="shared" si="88"/>
        <v>10.59815888921236</v>
      </c>
      <c r="O124" s="191">
        <v>429.11634155000002</v>
      </c>
      <c r="P124" s="191">
        <f t="shared" si="89"/>
        <v>3.5047867783326936</v>
      </c>
      <c r="Q124" s="191">
        <v>4316.6580169099998</v>
      </c>
      <c r="R124" s="191">
        <f t="shared" si="90"/>
        <v>35.256093696182823</v>
      </c>
      <c r="S124" s="191">
        <v>703.69352000000003</v>
      </c>
      <c r="T124" s="191">
        <f t="shared" si="91"/>
        <v>5.7473824837011565</v>
      </c>
      <c r="U124" s="191">
        <v>0.61674861000000003</v>
      </c>
      <c r="V124" s="191">
        <f t="shared" si="92"/>
        <v>5.0372641742687015E-3</v>
      </c>
      <c r="W124" s="191">
        <v>0.53953861000000003</v>
      </c>
      <c r="X124" s="191">
        <f t="shared" si="93"/>
        <v>4.4066552671885757E-3</v>
      </c>
      <c r="Y124" s="682">
        <f t="shared" si="94"/>
        <v>17.221721410000228</v>
      </c>
      <c r="Z124" s="191">
        <f t="shared" si="95"/>
        <v>0.14065756918014036</v>
      </c>
      <c r="AA124" s="683">
        <v>480.93407215000002</v>
      </c>
      <c r="AB124" s="683">
        <f t="shared" si="96"/>
        <v>3.9280055642547032</v>
      </c>
      <c r="AC124" s="683">
        <v>44.144264329999999</v>
      </c>
      <c r="AD124" s="683">
        <f t="shared" si="97"/>
        <v>0.36054612463408181</v>
      </c>
      <c r="AE124" s="683">
        <v>43.211517909999998</v>
      </c>
      <c r="AF124" s="683">
        <f t="shared" si="98"/>
        <v>0.35292796376762542</v>
      </c>
      <c r="AG124" s="683">
        <v>2.2770292700000003</v>
      </c>
      <c r="AH124" s="683">
        <f t="shared" si="99"/>
        <v>1.8597525441576942E-2</v>
      </c>
      <c r="AI124" s="191">
        <v>176.08680903999996</v>
      </c>
    </row>
    <row r="125" spans="1:35">
      <c r="A125" s="679" t="s">
        <v>1423</v>
      </c>
      <c r="B125" s="283">
        <v>15422.93771756</v>
      </c>
      <c r="C125" s="283">
        <v>792.78013636999992</v>
      </c>
      <c r="D125" s="283">
        <v>5.1402667305552887</v>
      </c>
      <c r="E125" s="283">
        <v>2219.8828612700004</v>
      </c>
      <c r="F125" s="283">
        <v>14.393385371338962</v>
      </c>
      <c r="G125" s="283">
        <v>288.15636638000001</v>
      </c>
      <c r="H125" s="283">
        <v>1.8683623811299943</v>
      </c>
      <c r="I125" s="283">
        <v>733.25136234999991</v>
      </c>
      <c r="J125" s="283">
        <v>4.7542911459413233</v>
      </c>
      <c r="K125" s="283">
        <v>2362.6414395499996</v>
      </c>
      <c r="L125" s="283">
        <v>15.319010442867711</v>
      </c>
      <c r="M125" s="283">
        <v>1516.4168226499999</v>
      </c>
      <c r="N125" s="283">
        <v>9.8322177682366085</v>
      </c>
      <c r="O125" s="283">
        <v>506.04149092999995</v>
      </c>
      <c r="P125" s="283">
        <v>3.281096637989009</v>
      </c>
      <c r="Q125" s="283">
        <v>6214.7086563899993</v>
      </c>
      <c r="R125" s="283">
        <v>40.295232790275463</v>
      </c>
      <c r="S125" s="283">
        <v>890.77710999999999</v>
      </c>
      <c r="T125" s="283">
        <v>5.7756643144956312</v>
      </c>
      <c r="U125" s="283">
        <v>6.1328336500000002</v>
      </c>
      <c r="V125" s="283">
        <v>3.9764367608237032E-2</v>
      </c>
      <c r="W125" s="283">
        <v>1.1713285499999999</v>
      </c>
      <c r="X125" s="283">
        <v>7.5947175009749759E-3</v>
      </c>
      <c r="Y125" s="684">
        <v>233.6665964100014</v>
      </c>
      <c r="Z125" s="283">
        <v>1.5150589381162907</v>
      </c>
      <c r="AA125" s="685">
        <v>492.45224848999999</v>
      </c>
      <c r="AB125" s="685">
        <v>3.1929860413642963</v>
      </c>
      <c r="AC125" s="685">
        <v>39.79410395</v>
      </c>
      <c r="AD125" s="685">
        <v>0.25801896291581256</v>
      </c>
      <c r="AE125" s="685">
        <v>3.0852378900000001</v>
      </c>
      <c r="AF125" s="685">
        <v>2.0004216748455515E-2</v>
      </c>
      <c r="AG125" s="685">
        <v>12.756232730000001</v>
      </c>
      <c r="AH125" s="685">
        <v>8.2709487411572788E-2</v>
      </c>
      <c r="AI125" s="283">
        <v>247.24514382999999</v>
      </c>
    </row>
    <row r="126" spans="1:35">
      <c r="A126" s="679" t="s">
        <v>18</v>
      </c>
      <c r="B126" s="191">
        <v>12479.27229287</v>
      </c>
      <c r="C126" s="191">
        <v>763.83707374000005</v>
      </c>
      <c r="D126" s="191">
        <f t="shared" ref="D126:D137" si="100">C126/$B126*100</f>
        <v>6.1208462786441187</v>
      </c>
      <c r="E126" s="191">
        <v>2546.44950939</v>
      </c>
      <c r="F126" s="191">
        <f t="shared" ref="F126:F137" si="101">E126/$B126*100</f>
        <v>20.405432701752225</v>
      </c>
      <c r="G126" s="191">
        <v>376.97497050999999</v>
      </c>
      <c r="H126" s="191">
        <f t="shared" ref="H126:H137" si="102">G126/$B126*100</f>
        <v>3.0208089194863041</v>
      </c>
      <c r="I126" s="191">
        <v>549.44296784000005</v>
      </c>
      <c r="J126" s="191">
        <f t="shared" ref="J126:J137" si="103">I126/$B126*100</f>
        <v>4.4028446126135323</v>
      </c>
      <c r="K126" s="191">
        <v>1291.0804609899999</v>
      </c>
      <c r="L126" s="191">
        <f t="shared" ref="L126:L137" si="104">K126/$B126*100</f>
        <v>10.345799263693086</v>
      </c>
      <c r="M126" s="191">
        <v>1428.183906</v>
      </c>
      <c r="N126" s="191">
        <f t="shared" ref="N126:N137" si="105">M126/$B126*100</f>
        <v>11.444448622344664</v>
      </c>
      <c r="O126" s="191">
        <v>391.27180147000001</v>
      </c>
      <c r="P126" s="191">
        <f t="shared" ref="P126:P137" si="106">O126/$B126*100</f>
        <v>3.1353735401186182</v>
      </c>
      <c r="Q126" s="191">
        <v>4452.0003956399996</v>
      </c>
      <c r="R126" s="191">
        <f t="shared" ref="R126:R137" si="107">Q126/$B126*100</f>
        <v>35.675160307092895</v>
      </c>
      <c r="S126" s="191">
        <v>704.25189999999998</v>
      </c>
      <c r="T126" s="191">
        <f t="shared" ref="T126:T137" si="108">S126/$B126*100</f>
        <v>5.6433731348451497</v>
      </c>
      <c r="U126" s="191">
        <v>6.62378059</v>
      </c>
      <c r="V126" s="191">
        <f t="shared" ref="V126:V137" si="109">U126/$B126*100</f>
        <v>5.3078259970210602E-2</v>
      </c>
      <c r="W126" s="191">
        <v>0.74295297999999999</v>
      </c>
      <c r="X126" s="191">
        <f t="shared" ref="X126:X137" si="110">W126/$B126*100</f>
        <v>5.9534960257617278E-3</v>
      </c>
      <c r="Y126" s="682">
        <f t="shared" ref="Y126:Y137" si="111">B126-C126-E126-G126-I126-K126-M126-W126-O126-Q126-U126-AA126-AC126-AE126-AG126</f>
        <v>142.0085838800004</v>
      </c>
      <c r="Z126" s="191">
        <f t="shared" ref="Z126:Z137" si="112">Y126/$B126*100</f>
        <v>1.1379556479518171</v>
      </c>
      <c r="AA126" s="683">
        <v>478.17058216999999</v>
      </c>
      <c r="AB126" s="683">
        <f t="shared" ref="AB126:AB137" si="113">AA126/B126*100</f>
        <v>3.8317184764307255</v>
      </c>
      <c r="AC126" s="683">
        <v>44.179691320000003</v>
      </c>
      <c r="AD126" s="683">
        <f t="shared" ref="AD126:AD137" si="114">AC126/$B126*100</f>
        <v>0.35402457998485981</v>
      </c>
      <c r="AE126" s="683">
        <v>8.3879999999999996E-2</v>
      </c>
      <c r="AF126" s="683">
        <f t="shared" ref="AF126:AF137" si="115">AE126/$B126*100</f>
        <v>6.7215457785887566E-4</v>
      </c>
      <c r="AG126" s="683">
        <v>8.2217363500000005</v>
      </c>
      <c r="AH126" s="683">
        <f t="shared" ref="AH126:AH137" si="116">AG126/$B126*100</f>
        <v>6.5883139313319322E-2</v>
      </c>
      <c r="AI126" s="191">
        <v>148.52589585999999</v>
      </c>
    </row>
    <row r="127" spans="1:35">
      <c r="A127" s="679" t="s">
        <v>19</v>
      </c>
      <c r="B127" s="191">
        <v>12207.917385979999</v>
      </c>
      <c r="C127" s="191">
        <v>760.95946331000005</v>
      </c>
      <c r="D127" s="191">
        <f t="shared" si="100"/>
        <v>6.2333274321131356</v>
      </c>
      <c r="E127" s="191">
        <v>2062.9160887100002</v>
      </c>
      <c r="F127" s="191">
        <f t="shared" si="101"/>
        <v>16.898181921505508</v>
      </c>
      <c r="G127" s="191">
        <v>294.92613609</v>
      </c>
      <c r="H127" s="191">
        <f t="shared" si="102"/>
        <v>2.4158595341471063</v>
      </c>
      <c r="I127" s="191">
        <v>592.84667864000005</v>
      </c>
      <c r="J127" s="191">
        <f t="shared" si="103"/>
        <v>4.8562474654427623</v>
      </c>
      <c r="K127" s="191">
        <v>1708.40979975</v>
      </c>
      <c r="L127" s="191">
        <f t="shared" si="104"/>
        <v>13.994277203349997</v>
      </c>
      <c r="M127" s="191">
        <v>1149.18645735</v>
      </c>
      <c r="N127" s="191">
        <f t="shared" si="105"/>
        <v>9.4134521148526602</v>
      </c>
      <c r="O127" s="191">
        <v>411.39028789999998</v>
      </c>
      <c r="P127" s="191">
        <f t="shared" si="106"/>
        <v>3.3698646123904394</v>
      </c>
      <c r="Q127" s="191">
        <v>4568.9321661800004</v>
      </c>
      <c r="R127" s="191">
        <f t="shared" si="107"/>
        <v>37.42597546922395</v>
      </c>
      <c r="S127" s="191">
        <v>715.97889999999995</v>
      </c>
      <c r="T127" s="191">
        <f t="shared" si="108"/>
        <v>5.8648734043880015</v>
      </c>
      <c r="U127" s="191">
        <v>6.6628857000000004</v>
      </c>
      <c r="V127" s="191">
        <f t="shared" si="109"/>
        <v>5.4578397685193146E-2</v>
      </c>
      <c r="W127" s="191">
        <v>0.71075483000000006</v>
      </c>
      <c r="X127" s="191">
        <f t="shared" si="110"/>
        <v>5.8220809293504545E-3</v>
      </c>
      <c r="Y127" s="682">
        <f t="shared" si="111"/>
        <v>143.46907499999773</v>
      </c>
      <c r="Z127" s="191">
        <f t="shared" si="112"/>
        <v>1.1752133510074587</v>
      </c>
      <c r="AA127" s="683">
        <v>455.97012004999999</v>
      </c>
      <c r="AB127" s="683">
        <f t="shared" si="113"/>
        <v>3.7350360887406731</v>
      </c>
      <c r="AC127" s="683">
        <v>44.251221149999999</v>
      </c>
      <c r="AD127" s="683">
        <f t="shared" si="114"/>
        <v>0.36247969044105471</v>
      </c>
      <c r="AE127" s="683">
        <v>8.3879999999999996E-2</v>
      </c>
      <c r="AF127" s="683">
        <f t="shared" si="115"/>
        <v>6.8709508221550327E-4</v>
      </c>
      <c r="AG127" s="683">
        <v>7.2023713200000001</v>
      </c>
      <c r="AH127" s="683">
        <f t="shared" si="116"/>
        <v>5.8997543088483352E-2</v>
      </c>
      <c r="AI127" s="191">
        <v>169.21283187</v>
      </c>
    </row>
    <row r="128" spans="1:35">
      <c r="A128" s="679" t="s">
        <v>20</v>
      </c>
      <c r="B128" s="191">
        <v>12451.11375792</v>
      </c>
      <c r="C128" s="191">
        <v>760.75256075000004</v>
      </c>
      <c r="D128" s="191">
        <f t="shared" si="100"/>
        <v>6.1099157516418536</v>
      </c>
      <c r="E128" s="191">
        <v>2092.45824167</v>
      </c>
      <c r="F128" s="191">
        <f t="shared" si="101"/>
        <v>16.805390122943926</v>
      </c>
      <c r="G128" s="191">
        <v>295.19308866</v>
      </c>
      <c r="H128" s="191">
        <f t="shared" si="102"/>
        <v>2.370816734946553</v>
      </c>
      <c r="I128" s="191">
        <v>606.09688549999998</v>
      </c>
      <c r="J128" s="191">
        <f t="shared" si="103"/>
        <v>4.8678126092492668</v>
      </c>
      <c r="K128" s="191">
        <v>1760.5347051399999</v>
      </c>
      <c r="L128" s="191">
        <f t="shared" si="104"/>
        <v>14.139576100331952</v>
      </c>
      <c r="M128" s="191">
        <v>1139.64230651</v>
      </c>
      <c r="N128" s="191">
        <f t="shared" si="105"/>
        <v>9.1529346584363793</v>
      </c>
      <c r="O128" s="191">
        <v>414.48034759000001</v>
      </c>
      <c r="P128" s="191">
        <f t="shared" si="106"/>
        <v>3.3288616235343134</v>
      </c>
      <c r="Q128" s="191">
        <v>4720.9266963999999</v>
      </c>
      <c r="R128" s="191">
        <f t="shared" si="107"/>
        <v>37.915698050683027</v>
      </c>
      <c r="S128" s="191">
        <v>621.77239999999995</v>
      </c>
      <c r="T128" s="191">
        <f t="shared" si="108"/>
        <v>4.993709093730657</v>
      </c>
      <c r="U128" s="191">
        <v>6.4808972300000001</v>
      </c>
      <c r="V128" s="191">
        <f t="shared" si="109"/>
        <v>5.205074305804637E-2</v>
      </c>
      <c r="W128" s="191">
        <v>0.66562326999999999</v>
      </c>
      <c r="X128" s="191">
        <f t="shared" si="110"/>
        <v>5.3458934111545254E-3</v>
      </c>
      <c r="Y128" s="682">
        <f t="shared" si="111"/>
        <v>148.58252837000248</v>
      </c>
      <c r="Z128" s="191">
        <f t="shared" si="112"/>
        <v>1.1933272095879048</v>
      </c>
      <c r="AA128" s="683">
        <v>452.36562629000002</v>
      </c>
      <c r="AB128" s="683">
        <f t="shared" si="113"/>
        <v>3.6331338311181667</v>
      </c>
      <c r="AC128" s="683">
        <v>44.279603260000002</v>
      </c>
      <c r="AD128" s="683">
        <f t="shared" si="114"/>
        <v>0.35562765003118124</v>
      </c>
      <c r="AE128" s="683">
        <v>2.4018570699999997</v>
      </c>
      <c r="AF128" s="683">
        <f t="shared" si="115"/>
        <v>1.9290298978050922E-2</v>
      </c>
      <c r="AG128" s="683">
        <v>6.2527902099999997</v>
      </c>
      <c r="AH128" s="683">
        <f t="shared" si="116"/>
        <v>5.0218722048239878E-2</v>
      </c>
      <c r="AI128" s="191">
        <v>153.27848051999999</v>
      </c>
    </row>
    <row r="129" spans="1:35">
      <c r="A129" s="679" t="s">
        <v>21</v>
      </c>
      <c r="B129" s="191">
        <v>13019.48671463</v>
      </c>
      <c r="C129" s="191">
        <v>754.73232022000002</v>
      </c>
      <c r="D129" s="191">
        <f t="shared" si="100"/>
        <v>5.7969437410455447</v>
      </c>
      <c r="E129" s="191">
        <v>2110.0996065499999</v>
      </c>
      <c r="F129" s="191">
        <f t="shared" si="101"/>
        <v>16.207241136310547</v>
      </c>
      <c r="G129" s="191">
        <v>301.15269490999998</v>
      </c>
      <c r="H129" s="191">
        <f t="shared" si="102"/>
        <v>2.3130919176068181</v>
      </c>
      <c r="I129" s="191">
        <v>602.10746256000004</v>
      </c>
      <c r="J129" s="191">
        <f t="shared" si="103"/>
        <v>4.6246635966332814</v>
      </c>
      <c r="K129" s="191">
        <v>1970.2321580600001</v>
      </c>
      <c r="L129" s="191">
        <f t="shared" si="104"/>
        <v>15.132948028174182</v>
      </c>
      <c r="M129" s="191">
        <v>1231.40272566</v>
      </c>
      <c r="N129" s="191">
        <f t="shared" si="105"/>
        <v>9.4581510980480701</v>
      </c>
      <c r="O129" s="191">
        <v>427.1084505</v>
      </c>
      <c r="P129" s="191">
        <f t="shared" si="106"/>
        <v>3.2805321735153976</v>
      </c>
      <c r="Q129" s="191">
        <v>4913.6786837899999</v>
      </c>
      <c r="R129" s="191">
        <f t="shared" si="107"/>
        <v>37.740955473064062</v>
      </c>
      <c r="S129" s="191">
        <v>694.399</v>
      </c>
      <c r="T129" s="191">
        <f t="shared" si="108"/>
        <v>5.3335359159720461</v>
      </c>
      <c r="U129" s="191">
        <v>6.5667850999999997</v>
      </c>
      <c r="V129" s="191">
        <f t="shared" si="109"/>
        <v>5.0438125894939484E-2</v>
      </c>
      <c r="W129" s="191">
        <v>0.80608997999999987</v>
      </c>
      <c r="X129" s="191">
        <f t="shared" si="110"/>
        <v>6.1914113641223373E-3</v>
      </c>
      <c r="Y129" s="682">
        <f t="shared" si="111"/>
        <v>210.15329738999895</v>
      </c>
      <c r="Z129" s="191">
        <f t="shared" si="112"/>
        <v>1.6141442592652262</v>
      </c>
      <c r="AA129" s="683">
        <v>428.33501888000001</v>
      </c>
      <c r="AB129" s="683">
        <f t="shared" si="113"/>
        <v>3.2899531929986141</v>
      </c>
      <c r="AC129" s="683">
        <v>46.081520170000005</v>
      </c>
      <c r="AD129" s="683">
        <f t="shared" si="114"/>
        <v>0.35394267976953492</v>
      </c>
      <c r="AE129" s="683">
        <v>2.8152853900000001</v>
      </c>
      <c r="AF129" s="683">
        <f t="shared" si="115"/>
        <v>2.162362811766199E-2</v>
      </c>
      <c r="AG129" s="683">
        <v>14.214615470000002</v>
      </c>
      <c r="AH129" s="683">
        <f t="shared" si="116"/>
        <v>0.10917953819198599</v>
      </c>
      <c r="AI129" s="191">
        <v>168.04585049999997</v>
      </c>
    </row>
    <row r="130" spans="1:35">
      <c r="A130" s="679" t="s">
        <v>22</v>
      </c>
      <c r="B130" s="191">
        <v>13406.32168666</v>
      </c>
      <c r="C130" s="191">
        <v>768.69702253000003</v>
      </c>
      <c r="D130" s="191">
        <f t="shared" si="100"/>
        <v>5.7338399040125543</v>
      </c>
      <c r="E130" s="191">
        <v>2132.5072735600002</v>
      </c>
      <c r="F130" s="191">
        <f t="shared" si="101"/>
        <v>15.906729104389298</v>
      </c>
      <c r="G130" s="191">
        <v>290.14279528999998</v>
      </c>
      <c r="H130" s="191">
        <f t="shared" si="102"/>
        <v>2.164223730202651</v>
      </c>
      <c r="I130" s="191">
        <v>609.85090147999995</v>
      </c>
      <c r="J130" s="191">
        <f t="shared" si="103"/>
        <v>4.5489800687599038</v>
      </c>
      <c r="K130" s="191">
        <v>2066.9386506000001</v>
      </c>
      <c r="L130" s="191">
        <f t="shared" si="104"/>
        <v>15.417641758191685</v>
      </c>
      <c r="M130" s="191">
        <v>1284.35502954</v>
      </c>
      <c r="N130" s="191">
        <f t="shared" si="105"/>
        <v>9.580219388723167</v>
      </c>
      <c r="O130" s="191">
        <v>448.45985101999997</v>
      </c>
      <c r="P130" s="191">
        <f t="shared" si="106"/>
        <v>3.3451371785762927</v>
      </c>
      <c r="Q130" s="191">
        <v>5088.6920606699996</v>
      </c>
      <c r="R130" s="191">
        <f t="shared" si="107"/>
        <v>37.957406808561949</v>
      </c>
      <c r="S130" s="191">
        <v>762.9</v>
      </c>
      <c r="T130" s="191">
        <f t="shared" si="108"/>
        <v>5.69059894153611</v>
      </c>
      <c r="U130" s="191">
        <v>6.3480361499999995</v>
      </c>
      <c r="V130" s="191">
        <f t="shared" si="109"/>
        <v>4.7351065403097345E-2</v>
      </c>
      <c r="W130" s="191">
        <v>0.51082572000000004</v>
      </c>
      <c r="X130" s="191">
        <f t="shared" si="110"/>
        <v>3.8103346461415936E-3</v>
      </c>
      <c r="Y130" s="682">
        <f t="shared" si="111"/>
        <v>209.62515208000028</v>
      </c>
      <c r="Z130" s="191">
        <f t="shared" si="112"/>
        <v>1.5636291369062731</v>
      </c>
      <c r="AA130" s="683">
        <v>440.63140103999996</v>
      </c>
      <c r="AB130" s="683">
        <f t="shared" si="113"/>
        <v>3.2867434583376558</v>
      </c>
      <c r="AC130" s="683">
        <v>45.913648100000003</v>
      </c>
      <c r="AD130" s="683">
        <f t="shared" si="114"/>
        <v>0.34247759507133502</v>
      </c>
      <c r="AE130" s="683">
        <v>2.9848236299999997</v>
      </c>
      <c r="AF130" s="683">
        <f t="shared" si="115"/>
        <v>2.2264299632389527E-2</v>
      </c>
      <c r="AG130" s="683">
        <v>10.66421525</v>
      </c>
      <c r="AH130" s="683">
        <f t="shared" si="116"/>
        <v>7.9546168585611809E-2</v>
      </c>
      <c r="AI130" s="191">
        <v>164.48459394999998</v>
      </c>
    </row>
    <row r="131" spans="1:35">
      <c r="A131" s="679" t="s">
        <v>23</v>
      </c>
      <c r="B131" s="191">
        <v>13774.07890362</v>
      </c>
      <c r="C131" s="191">
        <v>781.83677584999998</v>
      </c>
      <c r="D131" s="191">
        <f t="shared" si="100"/>
        <v>5.6761456161291735</v>
      </c>
      <c r="E131" s="191">
        <v>2162.5061068599998</v>
      </c>
      <c r="F131" s="191">
        <f t="shared" si="101"/>
        <v>15.699823719549524</v>
      </c>
      <c r="G131" s="191">
        <v>317.64889956000002</v>
      </c>
      <c r="H131" s="191">
        <f t="shared" si="102"/>
        <v>2.3061353269619929</v>
      </c>
      <c r="I131" s="191">
        <v>671.32877133</v>
      </c>
      <c r="J131" s="191">
        <f t="shared" si="103"/>
        <v>4.8738560017509878</v>
      </c>
      <c r="K131" s="191">
        <v>2132.24301719</v>
      </c>
      <c r="L131" s="191">
        <f t="shared" si="104"/>
        <v>15.48011327733588</v>
      </c>
      <c r="M131" s="191">
        <v>1342.11179952</v>
      </c>
      <c r="N131" s="191">
        <f t="shared" si="105"/>
        <v>9.7437499008901138</v>
      </c>
      <c r="O131" s="191">
        <v>442.89592489</v>
      </c>
      <c r="P131" s="191">
        <f t="shared" si="106"/>
        <v>3.2154304326919561</v>
      </c>
      <c r="Q131" s="191">
        <v>5199.0176160000001</v>
      </c>
      <c r="R131" s="191">
        <f t="shared" si="107"/>
        <v>37.744938535480827</v>
      </c>
      <c r="S131" s="191">
        <v>763.029</v>
      </c>
      <c r="T131" s="191">
        <f t="shared" si="108"/>
        <v>5.5396009079014821</v>
      </c>
      <c r="U131" s="191">
        <v>6.2618868200000009</v>
      </c>
      <c r="V131" s="191">
        <f t="shared" si="109"/>
        <v>4.5461383398597337E-2</v>
      </c>
      <c r="W131" s="191">
        <v>0.47869862000000007</v>
      </c>
      <c r="X131" s="191">
        <f t="shared" si="110"/>
        <v>3.4753584856711695E-3</v>
      </c>
      <c r="Y131" s="682">
        <f t="shared" si="111"/>
        <v>207.93002785000206</v>
      </c>
      <c r="Z131" s="191">
        <f t="shared" si="112"/>
        <v>1.5095748275070173</v>
      </c>
      <c r="AA131" s="683">
        <v>451.03102128</v>
      </c>
      <c r="AB131" s="683">
        <f t="shared" si="113"/>
        <v>3.2744913430215896</v>
      </c>
      <c r="AC131" s="683">
        <v>46.201820490000003</v>
      </c>
      <c r="AD131" s="683">
        <f t="shared" si="114"/>
        <v>0.33542584453946744</v>
      </c>
      <c r="AE131" s="683">
        <v>3.8415602999999998</v>
      </c>
      <c r="AF131" s="683">
        <f t="shared" si="115"/>
        <v>2.7889779976433778E-2</v>
      </c>
      <c r="AG131" s="683">
        <v>8.7449770600000001</v>
      </c>
      <c r="AH131" s="683">
        <f t="shared" si="116"/>
        <v>6.348865228078307E-2</v>
      </c>
      <c r="AI131" s="191">
        <v>197.48201545000001</v>
      </c>
    </row>
    <row r="132" spans="1:35">
      <c r="A132" s="679" t="s">
        <v>24</v>
      </c>
      <c r="B132" s="191">
        <v>14199.279780230003</v>
      </c>
      <c r="C132" s="191">
        <v>776.64498170000013</v>
      </c>
      <c r="D132" s="191">
        <f t="shared" si="100"/>
        <v>5.4696082739445808</v>
      </c>
      <c r="E132" s="191">
        <v>2166.9680132599997</v>
      </c>
      <c r="F132" s="191">
        <f t="shared" si="101"/>
        <v>15.261112160611983</v>
      </c>
      <c r="G132" s="191">
        <v>321.39758719999998</v>
      </c>
      <c r="H132" s="191">
        <f t="shared" si="102"/>
        <v>2.2634780930754639</v>
      </c>
      <c r="I132" s="191">
        <v>692.64870684000005</v>
      </c>
      <c r="J132" s="191">
        <f t="shared" si="103"/>
        <v>4.8780552081549331</v>
      </c>
      <c r="K132" s="191">
        <v>2201.7423534500003</v>
      </c>
      <c r="L132" s="191">
        <f t="shared" si="104"/>
        <v>15.506014301623516</v>
      </c>
      <c r="M132" s="191">
        <v>1371.95475347</v>
      </c>
      <c r="N132" s="191">
        <f t="shared" si="105"/>
        <v>9.6621432544783392</v>
      </c>
      <c r="O132" s="191">
        <v>488.90894050999998</v>
      </c>
      <c r="P132" s="191">
        <f t="shared" si="106"/>
        <v>3.4431953456591482</v>
      </c>
      <c r="Q132" s="191">
        <v>5427.3647796500009</v>
      </c>
      <c r="R132" s="191">
        <f t="shared" si="107"/>
        <v>38.22281737984099</v>
      </c>
      <c r="S132" s="191">
        <v>791.7</v>
      </c>
      <c r="T132" s="191">
        <f t="shared" si="108"/>
        <v>5.5756349072176388</v>
      </c>
      <c r="U132" s="191">
        <v>6.2659329899999996</v>
      </c>
      <c r="V132" s="191">
        <f t="shared" si="109"/>
        <v>4.4128526847708203E-2</v>
      </c>
      <c r="W132" s="191">
        <v>0.41931369000000002</v>
      </c>
      <c r="X132" s="191">
        <f t="shared" si="110"/>
        <v>2.9530630883393147E-3</v>
      </c>
      <c r="Y132" s="682">
        <f t="shared" si="111"/>
        <v>221.50943866000313</v>
      </c>
      <c r="Z132" s="191">
        <f t="shared" si="112"/>
        <v>1.5600047473422984</v>
      </c>
      <c r="AA132" s="683">
        <v>463.50539189</v>
      </c>
      <c r="AB132" s="683">
        <f t="shared" si="113"/>
        <v>3.2642880418156821</v>
      </c>
      <c r="AC132" s="686">
        <v>46.153006570000002</v>
      </c>
      <c r="AD132" s="683">
        <f t="shared" si="114"/>
        <v>0.32503765884140084</v>
      </c>
      <c r="AE132" s="683">
        <v>4.3907345199999996</v>
      </c>
      <c r="AF132" s="683">
        <f t="shared" si="115"/>
        <v>3.0922234000299961E-2</v>
      </c>
      <c r="AG132" s="683">
        <v>9.4058458300000005</v>
      </c>
      <c r="AH132" s="683">
        <f t="shared" si="116"/>
        <v>6.6241710675325832E-2</v>
      </c>
      <c r="AI132" s="191">
        <v>161.64778176999999</v>
      </c>
    </row>
    <row r="133" spans="1:35">
      <c r="A133" s="679" t="s">
        <v>25</v>
      </c>
      <c r="B133" s="191">
        <v>14455.06697641</v>
      </c>
      <c r="C133" s="191">
        <v>764.77188057000012</v>
      </c>
      <c r="D133" s="191">
        <f t="shared" si="100"/>
        <v>5.2906837569004166</v>
      </c>
      <c r="E133" s="191">
        <v>2206.9101145099999</v>
      </c>
      <c r="F133" s="191">
        <f t="shared" si="101"/>
        <v>15.267380760750365</v>
      </c>
      <c r="G133" s="191">
        <v>318.53611668999997</v>
      </c>
      <c r="H133" s="191">
        <f t="shared" si="102"/>
        <v>2.2036294761541826</v>
      </c>
      <c r="I133" s="191">
        <v>695.71759782000004</v>
      </c>
      <c r="J133" s="191">
        <f t="shared" si="103"/>
        <v>4.8129669613802477</v>
      </c>
      <c r="K133" s="191">
        <v>2239.4291437100001</v>
      </c>
      <c r="L133" s="191">
        <f t="shared" si="104"/>
        <v>15.492347059786335</v>
      </c>
      <c r="M133" s="191">
        <v>1413.0729526099999</v>
      </c>
      <c r="N133" s="191">
        <f t="shared" si="105"/>
        <v>9.7756236959404585</v>
      </c>
      <c r="O133" s="191">
        <v>482.49486396999998</v>
      </c>
      <c r="P133" s="191">
        <f t="shared" si="106"/>
        <v>3.3378943505236554</v>
      </c>
      <c r="Q133" s="191">
        <v>5572.5971188800004</v>
      </c>
      <c r="R133" s="191">
        <f t="shared" si="107"/>
        <v>38.551167752970088</v>
      </c>
      <c r="S133" s="191">
        <v>837.9</v>
      </c>
      <c r="T133" s="191">
        <f t="shared" si="108"/>
        <v>5.7965833113565921</v>
      </c>
      <c r="U133" s="191">
        <v>6.10353002</v>
      </c>
      <c r="V133" s="191">
        <f t="shared" si="109"/>
        <v>4.222415593065517E-2</v>
      </c>
      <c r="W133" s="191">
        <v>0.41444533</v>
      </c>
      <c r="X133" s="191">
        <f t="shared" si="110"/>
        <v>2.8671283964049115E-3</v>
      </c>
      <c r="Y133" s="682">
        <f t="shared" si="111"/>
        <v>221.13621117000073</v>
      </c>
      <c r="Z133" s="191">
        <f t="shared" si="112"/>
        <v>1.5298179630082986</v>
      </c>
      <c r="AA133" s="683">
        <v>472.98039385999999</v>
      </c>
      <c r="AB133" s="683">
        <f t="shared" si="113"/>
        <v>3.2720733472344476</v>
      </c>
      <c r="AC133" s="686">
        <v>46.097560739999999</v>
      </c>
      <c r="AD133" s="683">
        <f t="shared" si="114"/>
        <v>0.31890243618538111</v>
      </c>
      <c r="AE133" s="683">
        <v>4.8729199200000002</v>
      </c>
      <c r="AF133" s="683">
        <f t="shared" si="115"/>
        <v>3.3710808313461155E-2</v>
      </c>
      <c r="AG133" s="683">
        <v>9.9321266099999992</v>
      </c>
      <c r="AH133" s="683">
        <f t="shared" si="116"/>
        <v>6.8710346525607743E-2</v>
      </c>
      <c r="AI133" s="191">
        <v>150.02891824</v>
      </c>
    </row>
    <row r="134" spans="1:35">
      <c r="A134" s="679" t="s">
        <v>26</v>
      </c>
      <c r="B134" s="191">
        <v>14793.329728140001</v>
      </c>
      <c r="C134" s="191">
        <v>794.96214473999987</v>
      </c>
      <c r="D134" s="191">
        <f t="shared" si="100"/>
        <v>5.3737877769858393</v>
      </c>
      <c r="E134" s="191">
        <v>2197.3822061400001</v>
      </c>
      <c r="F134" s="191">
        <f t="shared" si="101"/>
        <v>14.853871619991816</v>
      </c>
      <c r="G134" s="191">
        <v>368.31887066000002</v>
      </c>
      <c r="H134" s="191">
        <f t="shared" si="102"/>
        <v>2.4897631393923483</v>
      </c>
      <c r="I134" s="191">
        <v>705.85343288000013</v>
      </c>
      <c r="J134" s="191">
        <f t="shared" si="103"/>
        <v>4.7714304071605973</v>
      </c>
      <c r="K134" s="191">
        <v>2283.8486851100001</v>
      </c>
      <c r="L134" s="191">
        <f t="shared" si="104"/>
        <v>15.438368015049669</v>
      </c>
      <c r="M134" s="191">
        <v>1467.44897638</v>
      </c>
      <c r="N134" s="191">
        <f t="shared" si="105"/>
        <v>9.919666520976719</v>
      </c>
      <c r="O134" s="191">
        <v>515.53094249000003</v>
      </c>
      <c r="P134" s="191">
        <f t="shared" si="106"/>
        <v>3.4848877971627479</v>
      </c>
      <c r="Q134" s="191">
        <v>5688.8505196999995</v>
      </c>
      <c r="R134" s="191">
        <f t="shared" si="107"/>
        <v>38.455510856887201</v>
      </c>
      <c r="S134" s="191">
        <v>848.49592342000005</v>
      </c>
      <c r="T134" s="191">
        <f t="shared" si="108"/>
        <v>5.7356655939736383</v>
      </c>
      <c r="U134" s="191">
        <v>6.0523928399999996</v>
      </c>
      <c r="V134" s="191">
        <f t="shared" si="109"/>
        <v>4.0912985455107409E-2</v>
      </c>
      <c r="W134" s="191">
        <v>0.33859154000000002</v>
      </c>
      <c r="X134" s="191">
        <f t="shared" si="110"/>
        <v>2.2888122297168045E-3</v>
      </c>
      <c r="Y134" s="682">
        <f t="shared" si="111"/>
        <v>224.61924733000046</v>
      </c>
      <c r="Z134" s="191">
        <f t="shared" si="112"/>
        <v>1.5183819427936347</v>
      </c>
      <c r="AA134" s="683">
        <v>479.60830871999997</v>
      </c>
      <c r="AB134" s="683">
        <f t="shared" si="113"/>
        <v>3.2420578567087897</v>
      </c>
      <c r="AC134" s="686">
        <v>45.66509765</v>
      </c>
      <c r="AD134" s="683">
        <f t="shared" si="114"/>
        <v>0.3086870805234298</v>
      </c>
      <c r="AE134" s="683">
        <v>4.5219986799999994</v>
      </c>
      <c r="AF134" s="683">
        <f t="shared" si="115"/>
        <v>3.0567821870408352E-2</v>
      </c>
      <c r="AG134" s="683">
        <v>10.32831328</v>
      </c>
      <c r="AH134" s="683">
        <f t="shared" si="116"/>
        <v>6.9817366811971968E-2</v>
      </c>
      <c r="AI134" s="191">
        <v>216.88082567999999</v>
      </c>
    </row>
    <row r="135" spans="1:35">
      <c r="A135" s="679" t="s">
        <v>27</v>
      </c>
      <c r="B135" s="191">
        <v>14991.39518155</v>
      </c>
      <c r="C135" s="191">
        <v>783.15707915999997</v>
      </c>
      <c r="D135" s="191">
        <f t="shared" si="100"/>
        <v>5.2240439910745335</v>
      </c>
      <c r="E135" s="191">
        <v>2226.99342957</v>
      </c>
      <c r="F135" s="191">
        <f t="shared" si="101"/>
        <v>14.855144585280321</v>
      </c>
      <c r="G135" s="191">
        <v>307.81759512999997</v>
      </c>
      <c r="H135" s="191">
        <f t="shared" si="102"/>
        <v>2.0532951830182755</v>
      </c>
      <c r="I135" s="191">
        <v>722.47953298000004</v>
      </c>
      <c r="J135" s="191">
        <f t="shared" si="103"/>
        <v>4.8192948303381389</v>
      </c>
      <c r="K135" s="191">
        <v>2302.9123314199996</v>
      </c>
      <c r="L135" s="191">
        <f t="shared" si="104"/>
        <v>15.361561105761576</v>
      </c>
      <c r="M135" s="191">
        <v>1456.38456032</v>
      </c>
      <c r="N135" s="191">
        <f t="shared" si="105"/>
        <v>9.7148033434031618</v>
      </c>
      <c r="O135" s="191">
        <v>497.00290584999999</v>
      </c>
      <c r="P135" s="191">
        <f t="shared" si="106"/>
        <v>3.3152545165486962</v>
      </c>
      <c r="Q135" s="191">
        <v>5886.71215674</v>
      </c>
      <c r="R135" s="191">
        <f t="shared" si="107"/>
        <v>39.267273562268649</v>
      </c>
      <c r="S135" s="191">
        <v>827.07896320999998</v>
      </c>
      <c r="T135" s="191">
        <f t="shared" si="108"/>
        <v>5.5170246210832401</v>
      </c>
      <c r="U135" s="191">
        <v>6.01394669</v>
      </c>
      <c r="V135" s="191">
        <f t="shared" si="109"/>
        <v>4.0115990654434885E-2</v>
      </c>
      <c r="W135" s="191">
        <v>0.33842934000000002</v>
      </c>
      <c r="X135" s="191">
        <f t="shared" si="110"/>
        <v>2.2574906197957282E-3</v>
      </c>
      <c r="Y135" s="682">
        <f t="shared" si="111"/>
        <v>259.32647688000014</v>
      </c>
      <c r="Z135" s="191">
        <f t="shared" si="112"/>
        <v>1.7298355072325406</v>
      </c>
      <c r="AA135" s="683">
        <v>480.92118159</v>
      </c>
      <c r="AB135" s="683">
        <f t="shared" si="113"/>
        <v>3.2079814838172807</v>
      </c>
      <c r="AC135" s="686">
        <v>45.742781350000001</v>
      </c>
      <c r="AD135" s="683">
        <f t="shared" si="114"/>
        <v>0.30512691311276963</v>
      </c>
      <c r="AE135" s="683">
        <v>4.1871113299999996</v>
      </c>
      <c r="AF135" s="683">
        <f t="shared" si="115"/>
        <v>2.7930097761368483E-2</v>
      </c>
      <c r="AG135" s="683">
        <v>11.405663199999999</v>
      </c>
      <c r="AH135" s="683">
        <f t="shared" si="116"/>
        <v>7.6081399108450007E-2</v>
      </c>
      <c r="AI135" s="191">
        <v>220.87113797999999</v>
      </c>
    </row>
    <row r="136" spans="1:35">
      <c r="A136" s="679" t="s">
        <v>28</v>
      </c>
      <c r="B136" s="191">
        <v>15245.292023950004</v>
      </c>
      <c r="C136" s="191">
        <v>794.97631180999997</v>
      </c>
      <c r="D136" s="191">
        <f>C136/$B136*100</f>
        <v>5.2145692621768767</v>
      </c>
      <c r="E136" s="191">
        <v>2243.8173912000002</v>
      </c>
      <c r="F136" s="191">
        <f t="shared" si="101"/>
        <v>14.718100431759618</v>
      </c>
      <c r="G136" s="191">
        <v>299.15839960000005</v>
      </c>
      <c r="H136" s="191">
        <f t="shared" si="102"/>
        <v>1.9623002244235732</v>
      </c>
      <c r="I136" s="191">
        <v>734.13349555000013</v>
      </c>
      <c r="J136" s="191">
        <f t="shared" si="103"/>
        <v>4.8154767674944718</v>
      </c>
      <c r="K136" s="191">
        <v>2360.3829304000001</v>
      </c>
      <c r="L136" s="191">
        <f t="shared" si="104"/>
        <v>15.482700670422664</v>
      </c>
      <c r="M136" s="191">
        <v>1461.20563808</v>
      </c>
      <c r="N136" s="191">
        <f t="shared" si="105"/>
        <v>9.5846352814001818</v>
      </c>
      <c r="O136" s="191">
        <v>500.85395933000001</v>
      </c>
      <c r="P136" s="191">
        <f t="shared" si="106"/>
        <v>3.2853024956371444</v>
      </c>
      <c r="Q136" s="191">
        <v>6035.1861438200012</v>
      </c>
      <c r="R136" s="191">
        <f t="shared" si="107"/>
        <v>39.587212460993612</v>
      </c>
      <c r="S136" s="191">
        <v>847.00435000000004</v>
      </c>
      <c r="T136" s="191">
        <f t="shared" si="108"/>
        <v>5.5558420833748263</v>
      </c>
      <c r="U136" s="191">
        <v>7.5997413199999997</v>
      </c>
      <c r="V136" s="191">
        <f t="shared" si="109"/>
        <v>4.9849758916136085E-2</v>
      </c>
      <c r="W136" s="191">
        <v>0.42624202999999999</v>
      </c>
      <c r="X136" s="191">
        <f t="shared" si="110"/>
        <v>2.795892852235192E-3</v>
      </c>
      <c r="Y136" s="682">
        <f t="shared" si="111"/>
        <v>254.0578780600008</v>
      </c>
      <c r="Z136" s="191">
        <f t="shared" si="112"/>
        <v>1.666467770252493</v>
      </c>
      <c r="AA136" s="683">
        <v>491.12168430000003</v>
      </c>
      <c r="AB136" s="683">
        <f t="shared" si="113"/>
        <v>3.221464590697634</v>
      </c>
      <c r="AC136" s="686">
        <v>46.424785219999997</v>
      </c>
      <c r="AD136" s="683">
        <f t="shared" si="114"/>
        <v>0.30451883208972136</v>
      </c>
      <c r="AE136" s="683">
        <v>3.7838559599999999</v>
      </c>
      <c r="AF136" s="683">
        <f t="shared" si="115"/>
        <v>2.4819832601800273E-2</v>
      </c>
      <c r="AG136" s="683">
        <v>12.16356727</v>
      </c>
      <c r="AH136" s="683">
        <f t="shared" si="116"/>
        <v>7.9785728281828339E-2</v>
      </c>
      <c r="AI136" s="191">
        <v>265.25638386000003</v>
      </c>
    </row>
    <row r="137" spans="1:35">
      <c r="A137" s="679" t="s">
        <v>29</v>
      </c>
      <c r="B137" s="191">
        <v>15422.93771756</v>
      </c>
      <c r="C137" s="191">
        <v>792.78013636999992</v>
      </c>
      <c r="D137" s="191">
        <f t="shared" si="100"/>
        <v>5.1402667305552887</v>
      </c>
      <c r="E137" s="191">
        <v>2219.8828612700004</v>
      </c>
      <c r="F137" s="191">
        <f t="shared" si="101"/>
        <v>14.393385371338962</v>
      </c>
      <c r="G137" s="191">
        <v>288.15636638000001</v>
      </c>
      <c r="H137" s="191">
        <f t="shared" si="102"/>
        <v>1.8683623811299943</v>
      </c>
      <c r="I137" s="191">
        <v>733.25136234999991</v>
      </c>
      <c r="J137" s="191">
        <f t="shared" si="103"/>
        <v>4.7542911459413233</v>
      </c>
      <c r="K137" s="191">
        <v>2362.6414395499996</v>
      </c>
      <c r="L137" s="191">
        <f t="shared" si="104"/>
        <v>15.319010442867711</v>
      </c>
      <c r="M137" s="191">
        <v>1516.4168226499999</v>
      </c>
      <c r="N137" s="191">
        <f t="shared" si="105"/>
        <v>9.8322177682366085</v>
      </c>
      <c r="O137" s="191">
        <v>506.04149092999995</v>
      </c>
      <c r="P137" s="191">
        <f t="shared" si="106"/>
        <v>3.281096637989009</v>
      </c>
      <c r="Q137" s="191">
        <v>6214.7086563899993</v>
      </c>
      <c r="R137" s="191">
        <f t="shared" si="107"/>
        <v>40.295232790275463</v>
      </c>
      <c r="S137" s="191">
        <v>890.77710999999999</v>
      </c>
      <c r="T137" s="191">
        <f t="shared" si="108"/>
        <v>5.7756643144956312</v>
      </c>
      <c r="U137" s="191">
        <v>6.1328336500000002</v>
      </c>
      <c r="V137" s="191">
        <f t="shared" si="109"/>
        <v>3.9764367608237032E-2</v>
      </c>
      <c r="W137" s="191">
        <v>1.1713285499999999</v>
      </c>
      <c r="X137" s="191">
        <f t="shared" si="110"/>
        <v>7.5947175009749759E-3</v>
      </c>
      <c r="Y137" s="682">
        <f t="shared" si="111"/>
        <v>233.6665964100014</v>
      </c>
      <c r="Z137" s="191">
        <f t="shared" si="112"/>
        <v>1.5150589381162907</v>
      </c>
      <c r="AA137" s="683">
        <v>492.45224848999999</v>
      </c>
      <c r="AB137" s="683">
        <f t="shared" si="113"/>
        <v>3.1929860413642963</v>
      </c>
      <c r="AC137" s="686">
        <v>39.79410395</v>
      </c>
      <c r="AD137" s="683">
        <f t="shared" si="114"/>
        <v>0.25801896291581256</v>
      </c>
      <c r="AE137" s="683">
        <v>3.0852378900000001</v>
      </c>
      <c r="AF137" s="683">
        <f t="shared" si="115"/>
        <v>2.0004216748455515E-2</v>
      </c>
      <c r="AG137" s="683">
        <v>12.756232730000001</v>
      </c>
      <c r="AH137" s="683">
        <f t="shared" si="116"/>
        <v>8.2709487411572788E-2</v>
      </c>
      <c r="AI137" s="191">
        <v>247.24514382999999</v>
      </c>
    </row>
    <row r="138" spans="1:35">
      <c r="A138" s="679" t="s">
        <v>1634</v>
      </c>
      <c r="B138" s="283">
        <v>18542.609915010002</v>
      </c>
      <c r="C138" s="283">
        <v>976.32447814</v>
      </c>
      <c r="D138" s="283">
        <v>5.2653023636639089</v>
      </c>
      <c r="E138" s="283">
        <v>2680.7114317600003</v>
      </c>
      <c r="F138" s="283">
        <v>14.457034063958812</v>
      </c>
      <c r="G138" s="283">
        <v>195.82566301</v>
      </c>
      <c r="H138" s="283">
        <v>1.0560846822942744</v>
      </c>
      <c r="I138" s="283">
        <v>847.28370650000011</v>
      </c>
      <c r="J138" s="283">
        <v>4.5693875370485735</v>
      </c>
      <c r="K138" s="283">
        <v>2555.06533481</v>
      </c>
      <c r="L138" s="283">
        <v>13.779426663890003</v>
      </c>
      <c r="M138" s="283">
        <v>2027.84494105</v>
      </c>
      <c r="N138" s="283">
        <v>10.936135475775101</v>
      </c>
      <c r="O138" s="283">
        <v>736.03862677000006</v>
      </c>
      <c r="P138" s="283">
        <v>3.9694445935261049</v>
      </c>
      <c r="Q138" s="283">
        <v>7731.8495643100005</v>
      </c>
      <c r="R138" s="283">
        <v>44.015279110070509</v>
      </c>
      <c r="S138" s="283">
        <v>1219.0572196200001</v>
      </c>
      <c r="T138" s="283">
        <v>6.5743561732007807</v>
      </c>
      <c r="U138" s="283">
        <v>3.8811900599999998</v>
      </c>
      <c r="V138" s="283">
        <v>2.1541294463388434E-2</v>
      </c>
      <c r="W138" s="283">
        <v>0.92742879</v>
      </c>
      <c r="X138" s="283">
        <v>5.001608696137529E-3</v>
      </c>
      <c r="Y138" s="684">
        <v>231.17891463000026</v>
      </c>
      <c r="Z138" s="283">
        <v>1.2467442053174183</v>
      </c>
      <c r="AA138" s="685">
        <v>464.15112331</v>
      </c>
      <c r="AB138" s="685">
        <v>2.5761212071982955</v>
      </c>
      <c r="AC138" s="687">
        <v>61.545874310000002</v>
      </c>
      <c r="AD138" s="685">
        <v>0.34159053821713736</v>
      </c>
      <c r="AE138" s="685">
        <v>2.1905423500000003</v>
      </c>
      <c r="AF138" s="685">
        <v>1.1813560011456559E-2</v>
      </c>
      <c r="AG138" s="685">
        <v>27.791095210000002</v>
      </c>
      <c r="AH138" s="685">
        <v>0.15424551648436249</v>
      </c>
      <c r="AI138" s="283">
        <v>274.64375505999999</v>
      </c>
    </row>
    <row r="139" spans="1:35">
      <c r="A139" s="679" t="s">
        <v>18</v>
      </c>
      <c r="B139" s="191">
        <v>15484.635822390001</v>
      </c>
      <c r="C139" s="191">
        <v>815.10982631000002</v>
      </c>
      <c r="D139" s="191">
        <f t="shared" ref="D139:D145" si="117">C139/$B139*100</f>
        <v>5.2639909369479163</v>
      </c>
      <c r="E139" s="191">
        <v>2211.3657961999997</v>
      </c>
      <c r="F139" s="191">
        <f t="shared" ref="F139:F145" si="118">E139/$B139*100</f>
        <v>14.281031995615139</v>
      </c>
      <c r="G139" s="191">
        <v>285.52514594000002</v>
      </c>
      <c r="H139" s="191">
        <f t="shared" ref="H139:H145" si="119">G139/$B139*100</f>
        <v>1.8439254833952576</v>
      </c>
      <c r="I139" s="191">
        <v>733.05040870000016</v>
      </c>
      <c r="J139" s="191">
        <f t="shared" ref="J139:J145" si="120">I139/$B139*100</f>
        <v>4.7340500423009395</v>
      </c>
      <c r="K139" s="191">
        <v>1997.3013366499999</v>
      </c>
      <c r="L139" s="191">
        <f t="shared" ref="L139:L145" si="121">K139/$B139*100</f>
        <v>12.898600648792808</v>
      </c>
      <c r="M139" s="191">
        <v>1841.3114409099999</v>
      </c>
      <c r="N139" s="191">
        <f t="shared" ref="N139:N145" si="122">M139/$B139*100</f>
        <v>11.891215667129586</v>
      </c>
      <c r="O139" s="191">
        <v>514.73581374999992</v>
      </c>
      <c r="P139" s="191">
        <f t="shared" ref="P139:P145" si="123">O139/$B139*100</f>
        <v>3.324171260170794</v>
      </c>
      <c r="Q139" s="191">
        <v>6307.2842271000009</v>
      </c>
      <c r="R139" s="191">
        <f t="shared" ref="R139:R145" si="124">Q139/$B139*100</f>
        <v>40.732531907401956</v>
      </c>
      <c r="S139" s="191">
        <v>877.97500000000002</v>
      </c>
      <c r="T139" s="191">
        <f t="shared" ref="T139:T150" si="125">S139/$B139*100</f>
        <v>5.6699751293504272</v>
      </c>
      <c r="U139" s="191">
        <v>5.8147335599999996</v>
      </c>
      <c r="V139" s="191">
        <f t="shared" ref="V139:V145" si="126">U139/$B139*100</f>
        <v>3.7551632642158682E-2</v>
      </c>
      <c r="W139" s="191">
        <v>1.1930652399999999</v>
      </c>
      <c r="X139" s="191">
        <f t="shared" ref="X139:X145" si="127">W139/$B139*100</f>
        <v>7.7048324137845587E-3</v>
      </c>
      <c r="Y139" s="682">
        <f>B139-C139-E139-G139-I139-K139-M139-W139-O139-Q139-U139-AA139-AC139-AE139-AG139</f>
        <v>222.89319672000011</v>
      </c>
      <c r="Z139" s="191">
        <f t="shared" ref="Z139:Z145" si="128">Y139/$B139*100</f>
        <v>1.4394474579615739</v>
      </c>
      <c r="AA139" s="683">
        <v>491.23061971000004</v>
      </c>
      <c r="AB139" s="683">
        <f t="shared" ref="AB139:AB145" si="129">AA139/B139*100</f>
        <v>3.1723743802854276</v>
      </c>
      <c r="AC139" s="686">
        <v>36.662709500000005</v>
      </c>
      <c r="AD139" s="683">
        <f t="shared" ref="AD139:AD145" si="130">AC139/$B139*100</f>
        <v>0.23676830324280265</v>
      </c>
      <c r="AE139" s="683">
        <v>2.7380726100000001</v>
      </c>
      <c r="AF139" s="683">
        <f t="shared" ref="AF139:AF145" si="131">AE139/$B139*100</f>
        <v>1.7682512145625572E-2</v>
      </c>
      <c r="AG139" s="683">
        <v>18.419429489999999</v>
      </c>
      <c r="AH139" s="683">
        <f t="shared" ref="AH139:AH145" si="132">AG139/$B139*100</f>
        <v>0.11895293955422855</v>
      </c>
      <c r="AI139" s="191">
        <v>305.21378427000002</v>
      </c>
    </row>
    <row r="140" spans="1:35">
      <c r="A140" s="679" t="s">
        <v>19</v>
      </c>
      <c r="B140" s="191">
        <v>15616.299975899998</v>
      </c>
      <c r="C140" s="191">
        <v>831.63941404000002</v>
      </c>
      <c r="D140" s="191">
        <f t="shared" si="117"/>
        <v>5.3254574727908368</v>
      </c>
      <c r="E140" s="191">
        <v>2240.5184552599999</v>
      </c>
      <c r="F140" s="191">
        <f t="shared" si="118"/>
        <v>14.347306716172852</v>
      </c>
      <c r="G140" s="191">
        <v>285.47473897999998</v>
      </c>
      <c r="H140" s="191">
        <f t="shared" si="119"/>
        <v>1.8280561939804023</v>
      </c>
      <c r="I140" s="191">
        <v>734.24552145000007</v>
      </c>
      <c r="J140" s="191">
        <f t="shared" si="120"/>
        <v>4.7017893008147347</v>
      </c>
      <c r="K140" s="191">
        <v>2056.6886312900001</v>
      </c>
      <c r="L140" s="191">
        <f t="shared" si="121"/>
        <v>13.17014039474142</v>
      </c>
      <c r="M140" s="191">
        <v>1801.4803269099998</v>
      </c>
      <c r="N140" s="191">
        <f t="shared" si="122"/>
        <v>11.535897297632291</v>
      </c>
      <c r="O140" s="191">
        <v>529.5908810200001</v>
      </c>
      <c r="P140" s="191">
        <f t="shared" si="123"/>
        <v>3.3912699028405977</v>
      </c>
      <c r="Q140" s="191">
        <v>6379.7593546600001</v>
      </c>
      <c r="R140" s="191">
        <f t="shared" si="124"/>
        <v>40.853206998492752</v>
      </c>
      <c r="S140" s="191">
        <v>892.35620302999996</v>
      </c>
      <c r="T140" s="191">
        <f t="shared" si="125"/>
        <v>5.7142614089581851</v>
      </c>
      <c r="U140" s="191">
        <v>6.8916508399999996</v>
      </c>
      <c r="V140" s="191">
        <f t="shared" si="126"/>
        <v>4.4131137661517807E-2</v>
      </c>
      <c r="W140" s="191">
        <v>1.19001712</v>
      </c>
      <c r="X140" s="191">
        <f t="shared" si="127"/>
        <v>7.6203525920769018E-3</v>
      </c>
      <c r="Y140" s="682">
        <f>B140-C140-E140-G140-I140-K140-M140-W140-O140-Q140-U140-AA140-AC140-AE140-AG140</f>
        <v>221.98200203999619</v>
      </c>
      <c r="Z140" s="191">
        <f t="shared" si="128"/>
        <v>1.4214762932485416</v>
      </c>
      <c r="AA140" s="683">
        <v>476.70926874000003</v>
      </c>
      <c r="AB140" s="683">
        <f t="shared" si="129"/>
        <v>3.0526390340585552</v>
      </c>
      <c r="AC140" s="686">
        <v>36.51305722</v>
      </c>
      <c r="AD140" s="683">
        <f t="shared" si="130"/>
        <v>0.2338137540668988</v>
      </c>
      <c r="AE140" s="683">
        <v>2.3936313</v>
      </c>
      <c r="AF140" s="683">
        <f t="shared" si="131"/>
        <v>1.5327774848677304E-2</v>
      </c>
      <c r="AG140" s="683">
        <v>11.223025030000001</v>
      </c>
      <c r="AH140" s="683">
        <f t="shared" si="132"/>
        <v>7.1867376057837259E-2</v>
      </c>
      <c r="AI140" s="191">
        <v>303.65052729000001</v>
      </c>
    </row>
    <row r="141" spans="1:35">
      <c r="A141" s="679" t="s">
        <v>20</v>
      </c>
      <c r="B141" s="191">
        <v>15889.520084209997</v>
      </c>
      <c r="C141" s="191">
        <v>853.67276348999997</v>
      </c>
      <c r="D141" s="191">
        <f t="shared" si="117"/>
        <v>5.3725522165916519</v>
      </c>
      <c r="E141" s="191">
        <v>2272.7847520199994</v>
      </c>
      <c r="F141" s="191">
        <f t="shared" si="118"/>
        <v>14.303671476387445</v>
      </c>
      <c r="G141" s="191">
        <v>286.90937102000004</v>
      </c>
      <c r="H141" s="191">
        <f t="shared" si="119"/>
        <v>1.8056515835560856</v>
      </c>
      <c r="I141" s="191">
        <v>741.52868523999996</v>
      </c>
      <c r="J141" s="191">
        <f t="shared" si="120"/>
        <v>4.6667783627831803</v>
      </c>
      <c r="K141" s="191">
        <v>2095.8886429400004</v>
      </c>
      <c r="L141" s="191">
        <f t="shared" si="121"/>
        <v>13.190383547346798</v>
      </c>
      <c r="M141" s="191">
        <v>1830.6190634100003</v>
      </c>
      <c r="N141" s="191">
        <f t="shared" si="122"/>
        <v>11.520921045495603</v>
      </c>
      <c r="O141" s="191">
        <v>579.24930182000003</v>
      </c>
      <c r="P141" s="191">
        <f t="shared" si="123"/>
        <v>3.6454801576771438</v>
      </c>
      <c r="Q141" s="191">
        <v>6458.5261940099999</v>
      </c>
      <c r="R141" s="191">
        <f t="shared" si="124"/>
        <v>40.646452251431278</v>
      </c>
      <c r="S141" s="191">
        <v>905.98644000000002</v>
      </c>
      <c r="T141" s="191">
        <f t="shared" si="125"/>
        <v>5.7017860526845761</v>
      </c>
      <c r="U141" s="191">
        <v>5.4934849100000003</v>
      </c>
      <c r="V141" s="191">
        <f t="shared" si="126"/>
        <v>3.4573007119699475E-2</v>
      </c>
      <c r="W141" s="191">
        <v>1.12545794</v>
      </c>
      <c r="X141" s="191">
        <f t="shared" si="127"/>
        <v>7.083020343190913E-3</v>
      </c>
      <c r="Y141" s="682">
        <f t="shared" ref="Y141:Y146" si="133">(B141-C141-E141-G141-I141-K141-M141-W141-O141-Q141-U141-AA141-AC141-AE141-AG141)</f>
        <v>226.08232766999598</v>
      </c>
      <c r="Z141" s="191">
        <f t="shared" si="128"/>
        <v>1.4228392454386483</v>
      </c>
      <c r="AA141" s="683">
        <v>482.70072324</v>
      </c>
      <c r="AB141" s="683">
        <f t="shared" si="129"/>
        <v>3.0378558992456766</v>
      </c>
      <c r="AC141" s="686">
        <v>36.602094449999996</v>
      </c>
      <c r="AD141" s="683">
        <f t="shared" si="130"/>
        <v>0.23035368126928418</v>
      </c>
      <c r="AE141" s="683">
        <v>2.3936313</v>
      </c>
      <c r="AF141" s="683">
        <f t="shared" si="131"/>
        <v>1.5064213942991518E-2</v>
      </c>
      <c r="AG141" s="683">
        <v>15.94359075</v>
      </c>
      <c r="AH141" s="683">
        <f t="shared" si="132"/>
        <v>0.10034029137131546</v>
      </c>
      <c r="AI141" s="191">
        <v>245.98465631000002</v>
      </c>
    </row>
    <row r="142" spans="1:35">
      <c r="A142" s="679" t="s">
        <v>21</v>
      </c>
      <c r="B142" s="191">
        <v>16245.38347723</v>
      </c>
      <c r="C142" s="191">
        <v>895.62655746000007</v>
      </c>
      <c r="D142" s="191">
        <f t="shared" si="117"/>
        <v>5.5131142869932015</v>
      </c>
      <c r="E142" s="191">
        <v>2322.3744470799998</v>
      </c>
      <c r="F142" s="191">
        <f t="shared" si="118"/>
        <v>14.295596347941601</v>
      </c>
      <c r="G142" s="191">
        <v>259.00114403999999</v>
      </c>
      <c r="H142" s="191">
        <f t="shared" si="119"/>
        <v>1.5943061264329248</v>
      </c>
      <c r="I142" s="191">
        <v>750.46184493999999</v>
      </c>
      <c r="J142" s="191">
        <f t="shared" si="120"/>
        <v>4.6195391200944504</v>
      </c>
      <c r="K142" s="191">
        <v>2126.9968158900001</v>
      </c>
      <c r="L142" s="191">
        <f t="shared" si="121"/>
        <v>13.092930793977628</v>
      </c>
      <c r="M142" s="191">
        <v>1907.9842716100002</v>
      </c>
      <c r="N142" s="191">
        <f t="shared" si="122"/>
        <v>11.744778289070776</v>
      </c>
      <c r="O142" s="191">
        <v>586.28539974</v>
      </c>
      <c r="P142" s="191">
        <f t="shared" si="123"/>
        <v>3.6089354280971859</v>
      </c>
      <c r="Q142" s="191">
        <v>6610.9446204400001</v>
      </c>
      <c r="R142" s="191">
        <f t="shared" si="124"/>
        <v>40.694297119585336</v>
      </c>
      <c r="S142" s="191">
        <v>964.9</v>
      </c>
      <c r="T142" s="191">
        <f t="shared" si="125"/>
        <v>5.9395335379582255</v>
      </c>
      <c r="U142" s="191">
        <v>5.3994503999999992</v>
      </c>
      <c r="V142" s="191">
        <f t="shared" si="126"/>
        <v>3.3236829451074673E-2</v>
      </c>
      <c r="W142" s="191">
        <v>1.2462017999999999</v>
      </c>
      <c r="X142" s="191">
        <f t="shared" si="127"/>
        <v>7.6711134689231098E-3</v>
      </c>
      <c r="Y142" s="682">
        <f t="shared" si="133"/>
        <v>233.13813172999969</v>
      </c>
      <c r="Z142" s="191">
        <f t="shared" si="128"/>
        <v>1.4351038992509648</v>
      </c>
      <c r="AA142" s="683">
        <v>489.91766695999996</v>
      </c>
      <c r="AB142" s="683">
        <f t="shared" si="129"/>
        <v>3.0157347017796337</v>
      </c>
      <c r="AC142" s="686">
        <v>36.694104939999995</v>
      </c>
      <c r="AD142" s="683">
        <f t="shared" si="130"/>
        <v>0.22587404594930932</v>
      </c>
      <c r="AE142" s="683">
        <v>2.74990706</v>
      </c>
      <c r="AF142" s="683">
        <f t="shared" si="131"/>
        <v>1.6927313928011299E-2</v>
      </c>
      <c r="AG142" s="683">
        <v>16.562913139999999</v>
      </c>
      <c r="AH142" s="683">
        <f t="shared" si="132"/>
        <v>0.1019545839789812</v>
      </c>
      <c r="AI142" s="191">
        <v>267.56454780000001</v>
      </c>
    </row>
    <row r="143" spans="1:35">
      <c r="A143" s="679" t="s">
        <v>22</v>
      </c>
      <c r="B143" s="191">
        <v>16595.366183030001</v>
      </c>
      <c r="C143" s="191">
        <v>904.99897122999982</v>
      </c>
      <c r="D143" s="191">
        <f t="shared" si="117"/>
        <v>5.4533233027146384</v>
      </c>
      <c r="E143" s="191">
        <v>2385.7514344700003</v>
      </c>
      <c r="F143" s="191">
        <f t="shared" si="118"/>
        <v>14.376009593024882</v>
      </c>
      <c r="G143" s="191">
        <v>296.24575742000002</v>
      </c>
      <c r="H143" s="191">
        <f t="shared" si="119"/>
        <v>1.7851113024726952</v>
      </c>
      <c r="I143" s="191">
        <v>757.7247384399999</v>
      </c>
      <c r="J143" s="191">
        <f t="shared" si="120"/>
        <v>4.5658814037790254</v>
      </c>
      <c r="K143" s="191">
        <v>2208.16883194</v>
      </c>
      <c r="L143" s="191">
        <f t="shared" si="121"/>
        <v>13.305936172701132</v>
      </c>
      <c r="M143" s="191">
        <v>1925.2843710400002</v>
      </c>
      <c r="N143" s="191">
        <f t="shared" si="122"/>
        <v>11.601337082930698</v>
      </c>
      <c r="O143" s="191">
        <v>581.96836254000004</v>
      </c>
      <c r="P143" s="191">
        <f t="shared" si="123"/>
        <v>3.506812420536439</v>
      </c>
      <c r="Q143" s="191">
        <v>6741.6080928900001</v>
      </c>
      <c r="R143" s="191">
        <f t="shared" si="124"/>
        <v>40.623436798784212</v>
      </c>
      <c r="S143" s="191">
        <v>966.85728348999999</v>
      </c>
      <c r="T143" s="191">
        <f t="shared" si="125"/>
        <v>5.8260677879990599</v>
      </c>
      <c r="U143" s="191">
        <v>5.2330883300000002</v>
      </c>
      <c r="V143" s="191">
        <f t="shared" si="126"/>
        <v>3.1533430912487025E-2</v>
      </c>
      <c r="W143" s="191">
        <v>1.35368723</v>
      </c>
      <c r="X143" s="191">
        <f t="shared" si="127"/>
        <v>8.1570193454619036E-3</v>
      </c>
      <c r="Y143" s="682">
        <f t="shared" si="133"/>
        <v>230.43928342999985</v>
      </c>
      <c r="Z143" s="191">
        <f t="shared" si="128"/>
        <v>1.3885760692984357</v>
      </c>
      <c r="AA143" s="683">
        <v>490.18038116000002</v>
      </c>
      <c r="AB143" s="683">
        <f t="shared" si="129"/>
        <v>2.9537183799008062</v>
      </c>
      <c r="AC143" s="686">
        <v>51.966357940000002</v>
      </c>
      <c r="AD143" s="683">
        <f t="shared" si="130"/>
        <v>0.31313776006424898</v>
      </c>
      <c r="AE143" s="683">
        <v>2.4020221699999995</v>
      </c>
      <c r="AF143" s="683">
        <f t="shared" si="131"/>
        <v>1.447405344062999E-2</v>
      </c>
      <c r="AG143" s="683">
        <v>12.040802800000002</v>
      </c>
      <c r="AH143" s="683">
        <f t="shared" si="132"/>
        <v>7.2555210094204611E-2</v>
      </c>
      <c r="AI143" s="191">
        <v>258.79788396000004</v>
      </c>
    </row>
    <row r="144" spans="1:35">
      <c r="A144" s="679" t="s">
        <v>23</v>
      </c>
      <c r="B144" s="191">
        <v>16754.79692809</v>
      </c>
      <c r="C144" s="191">
        <v>877.58034430999999</v>
      </c>
      <c r="D144" s="191">
        <f t="shared" si="117"/>
        <v>5.2377856208970579</v>
      </c>
      <c r="E144" s="191">
        <v>2428.9534896400005</v>
      </c>
      <c r="F144" s="191">
        <f t="shared" si="118"/>
        <v>14.497063139976202</v>
      </c>
      <c r="G144" s="191">
        <v>225.39464316999999</v>
      </c>
      <c r="H144" s="191">
        <f t="shared" si="119"/>
        <v>1.3452544016938697</v>
      </c>
      <c r="I144" s="191">
        <v>762.08303434999982</v>
      </c>
      <c r="J144" s="191">
        <f t="shared" si="120"/>
        <v>4.5484468574628982</v>
      </c>
      <c r="K144" s="191">
        <v>2283.0680627799998</v>
      </c>
      <c r="L144" s="191">
        <f t="shared" si="121"/>
        <v>13.626354724433314</v>
      </c>
      <c r="M144" s="191">
        <v>1965.7615578500004</v>
      </c>
      <c r="N144" s="191">
        <f t="shared" si="122"/>
        <v>11.73252989151025</v>
      </c>
      <c r="O144" s="191">
        <v>586.77895809999995</v>
      </c>
      <c r="P144" s="191">
        <f t="shared" si="123"/>
        <v>3.5021549984664073</v>
      </c>
      <c r="Q144" s="191">
        <v>6819.8936529100001</v>
      </c>
      <c r="R144" s="191">
        <f t="shared" si="124"/>
        <v>40.704126001528621</v>
      </c>
      <c r="S144" s="191">
        <v>956.38800000000003</v>
      </c>
      <c r="T144" s="191">
        <f t="shared" si="125"/>
        <v>5.7081443845886444</v>
      </c>
      <c r="U144" s="191">
        <v>5.0596408800000008</v>
      </c>
      <c r="V144" s="191">
        <f t="shared" si="126"/>
        <v>3.0198162960228644E-2</v>
      </c>
      <c r="W144" s="191">
        <v>1.4256672500000001</v>
      </c>
      <c r="X144" s="191">
        <f t="shared" si="127"/>
        <v>8.5090094264874041E-3</v>
      </c>
      <c r="Y144" s="682">
        <f t="shared" si="133"/>
        <v>228.98278829999995</v>
      </c>
      <c r="Z144" s="191">
        <f t="shared" si="128"/>
        <v>1.3666700305755561</v>
      </c>
      <c r="AA144" s="191">
        <v>502.67597662000003</v>
      </c>
      <c r="AB144" s="683">
        <f t="shared" si="129"/>
        <v>3.0001914005728487</v>
      </c>
      <c r="AC144" s="686">
        <v>51.829226809999994</v>
      </c>
      <c r="AD144" s="683">
        <f t="shared" si="130"/>
        <v>0.30933962991283104</v>
      </c>
      <c r="AE144" s="191">
        <v>2.87043304</v>
      </c>
      <c r="AF144" s="683">
        <f t="shared" si="131"/>
        <v>1.713200734285009E-2</v>
      </c>
      <c r="AG144" s="191">
        <v>12.439452080000002</v>
      </c>
      <c r="AH144" s="683">
        <f t="shared" si="132"/>
        <v>7.4244123240579718E-2</v>
      </c>
      <c r="AI144" s="191">
        <v>254.16555510000001</v>
      </c>
    </row>
    <row r="145" spans="1:35">
      <c r="A145" s="679" t="s">
        <v>24</v>
      </c>
      <c r="B145" s="191">
        <v>17034.049879450002</v>
      </c>
      <c r="C145" s="191">
        <v>900.08802919000004</v>
      </c>
      <c r="D145" s="191">
        <f t="shared" si="117"/>
        <v>5.2840518582481826</v>
      </c>
      <c r="E145" s="191">
        <v>2458.8127755099999</v>
      </c>
      <c r="F145" s="191">
        <f t="shared" si="118"/>
        <v>14.434692823556475</v>
      </c>
      <c r="G145" s="191">
        <f>223129.60716/1000</f>
        <v>223.12960716000001</v>
      </c>
      <c r="H145" s="191">
        <f t="shared" si="119"/>
        <v>1.3099034506713823</v>
      </c>
      <c r="I145" s="191">
        <v>761.99774221000007</v>
      </c>
      <c r="J145" s="191">
        <f t="shared" si="120"/>
        <v>4.4733797752305486</v>
      </c>
      <c r="K145" s="191">
        <f>2313929.87387/1000</f>
        <v>2313.9298738699999</v>
      </c>
      <c r="L145" s="191">
        <f t="shared" si="121"/>
        <v>13.584144054089812</v>
      </c>
      <c r="M145" s="191">
        <f>1994848.36003/1000</f>
        <v>1994.8483600300001</v>
      </c>
      <c r="N145" s="191">
        <f t="shared" si="122"/>
        <v>11.710945865179127</v>
      </c>
      <c r="O145" s="191">
        <f>578714.3735/1000</f>
        <v>578.71437349999997</v>
      </c>
      <c r="P145" s="191">
        <f t="shared" si="123"/>
        <v>3.3973974339370994</v>
      </c>
      <c r="Q145" s="191">
        <v>6986.0843993799999</v>
      </c>
      <c r="R145" s="191">
        <f t="shared" si="124"/>
        <v>41.012468842233822</v>
      </c>
      <c r="S145" s="191">
        <v>999.6</v>
      </c>
      <c r="T145" s="191">
        <f t="shared" si="125"/>
        <v>5.8682462894858869</v>
      </c>
      <c r="U145" s="191">
        <v>5.1133664300000001</v>
      </c>
      <c r="V145" s="191">
        <f t="shared" si="126"/>
        <v>3.001850098002121E-2</v>
      </c>
      <c r="W145" s="191">
        <v>0.92587111</v>
      </c>
      <c r="X145" s="191">
        <f t="shared" si="127"/>
        <v>5.4354138713482193E-3</v>
      </c>
      <c r="Y145" s="682">
        <f t="shared" si="133"/>
        <v>231.75069992000235</v>
      </c>
      <c r="Z145" s="191">
        <f t="shared" si="128"/>
        <v>1.3605143906475703</v>
      </c>
      <c r="AA145" s="191">
        <v>511.39461345000001</v>
      </c>
      <c r="AB145" s="683">
        <f t="shared" si="129"/>
        <v>3.0021904190086359</v>
      </c>
      <c r="AC145" s="686">
        <f>51313.25058/1000</f>
        <v>51.313250580000002</v>
      </c>
      <c r="AD145" s="683">
        <f t="shared" si="130"/>
        <v>0.30123928803275768</v>
      </c>
      <c r="AE145" s="191">
        <f>2614.91313/1000</f>
        <v>2.6149131299999997</v>
      </c>
      <c r="AF145" s="683">
        <f t="shared" si="131"/>
        <v>1.5351094710334561E-2</v>
      </c>
      <c r="AG145" s="191">
        <f>13332.00398/1000</f>
        <v>13.33200398</v>
      </c>
      <c r="AH145" s="683">
        <f t="shared" si="132"/>
        <v>7.826678960288723E-2</v>
      </c>
      <c r="AI145" s="191">
        <f>254653.32894/1000</f>
        <v>254.65332893999999</v>
      </c>
    </row>
    <row r="146" spans="1:35">
      <c r="A146" s="679" t="s">
        <v>25</v>
      </c>
      <c r="B146" s="191">
        <v>17308.94879876</v>
      </c>
      <c r="C146" s="191">
        <v>938.76556100999994</v>
      </c>
      <c r="D146" s="191">
        <f>C146/$B146*100</f>
        <v>5.4235850595228081</v>
      </c>
      <c r="E146" s="191">
        <v>2488.9409999999998</v>
      </c>
      <c r="F146" s="191">
        <f>E146/$B146*100</f>
        <v>14.379504087378811</v>
      </c>
      <c r="G146" s="191">
        <v>225.12130082000002</v>
      </c>
      <c r="H146" s="191">
        <f>G146/$B146*100</f>
        <v>1.3006064287169625</v>
      </c>
      <c r="I146" s="191">
        <v>786.37863798000012</v>
      </c>
      <c r="J146" s="191">
        <f>I146/$B146*100</f>
        <v>4.5431911961998273</v>
      </c>
      <c r="K146" s="191">
        <v>2364.3811294899997</v>
      </c>
      <c r="L146" s="191">
        <f>K146/$B146*100</f>
        <v>13.659877078493537</v>
      </c>
      <c r="M146" s="191">
        <v>2008.4568079000001</v>
      </c>
      <c r="N146" s="191">
        <f>M146/$B146*100</f>
        <v>11.603574724560307</v>
      </c>
      <c r="O146" s="191">
        <v>586.53495371999998</v>
      </c>
      <c r="P146" s="191">
        <f>O146/$B146*100</f>
        <v>3.3886226167704585</v>
      </c>
      <c r="Q146" s="191">
        <v>7102.8943497299997</v>
      </c>
      <c r="R146" s="191">
        <f>Q146/$B146*100</f>
        <v>41.035966033008577</v>
      </c>
      <c r="S146" s="191">
        <v>1052.65997567</v>
      </c>
      <c r="T146" s="191">
        <f t="shared" si="125"/>
        <v>6.081593907917803</v>
      </c>
      <c r="U146" s="191">
        <v>6.0558082899999999</v>
      </c>
      <c r="V146" s="191">
        <f>U146/$B146*100</f>
        <v>3.4986574634930073E-2</v>
      </c>
      <c r="W146" s="191">
        <v>0.94868229999999998</v>
      </c>
      <c r="X146" s="191">
        <f>W146/$B146*100</f>
        <v>5.4808776144046525E-3</v>
      </c>
      <c r="Y146" s="682">
        <f t="shared" si="133"/>
        <v>231.66898468000005</v>
      </c>
      <c r="Z146" s="191">
        <f>Y146/$B146*100</f>
        <v>1.338434744787024</v>
      </c>
      <c r="AA146" s="191">
        <v>500.77271932999997</v>
      </c>
      <c r="AB146" s="683">
        <f>AA146/B146*100</f>
        <v>2.8931434551697035</v>
      </c>
      <c r="AC146" s="686">
        <v>51.327101260000006</v>
      </c>
      <c r="AD146" s="683">
        <f>AC146/$B146*100</f>
        <v>0.296535057424614</v>
      </c>
      <c r="AE146" s="191">
        <v>2.8451939700000004</v>
      </c>
      <c r="AF146" s="683">
        <f>AE146/$B146*100</f>
        <v>1.6437705160950201E-2</v>
      </c>
      <c r="AG146" s="191">
        <v>13.856568279999998</v>
      </c>
      <c r="AH146" s="683">
        <f>AG146/$B146*100</f>
        <v>8.0054360557081719E-2</v>
      </c>
      <c r="AI146" s="191">
        <v>250.96828408999994</v>
      </c>
    </row>
    <row r="147" spans="1:35">
      <c r="A147" s="679" t="s">
        <v>26</v>
      </c>
      <c r="B147" s="191">
        <v>17631.590882649998</v>
      </c>
      <c r="C147" s="191">
        <v>973.18827784999996</v>
      </c>
      <c r="D147" s="191">
        <f>C147/$B147*100</f>
        <v>5.5195715708651436</v>
      </c>
      <c r="E147" s="191">
        <v>2536.2709621899999</v>
      </c>
      <c r="F147" s="191">
        <f>E147/$B147*100</f>
        <v>14.384810645111809</v>
      </c>
      <c r="G147" s="191">
        <v>221.01918049000002</v>
      </c>
      <c r="H147" s="191">
        <f>G147/$B147*100</f>
        <v>1.2535407721346881</v>
      </c>
      <c r="I147" s="191">
        <v>807.63148792000004</v>
      </c>
      <c r="J147" s="191">
        <f>I147/$B147*100</f>
        <v>4.5805933979260667</v>
      </c>
      <c r="K147" s="191">
        <v>2434.1500243500004</v>
      </c>
      <c r="L147" s="191">
        <f>K147/$B147*100</f>
        <v>13.805617658388813</v>
      </c>
      <c r="M147" s="191">
        <v>2021.0187138399999</v>
      </c>
      <c r="N147" s="191">
        <f>M147/$B147*100</f>
        <v>11.462486438638624</v>
      </c>
      <c r="O147" s="191">
        <v>582.64030193000008</v>
      </c>
      <c r="P147" s="191">
        <f>O147/$B147*100</f>
        <v>3.3045248486529664</v>
      </c>
      <c r="Q147" s="191">
        <v>7253.4306631600002</v>
      </c>
      <c r="R147" s="191">
        <f>Q147/$B147*100</f>
        <v>41.138832629661273</v>
      </c>
      <c r="S147" s="191">
        <v>999.72762999999998</v>
      </c>
      <c r="T147" s="191">
        <f t="shared" si="125"/>
        <v>5.6700931677342927</v>
      </c>
      <c r="U147" s="191">
        <v>6.6587045800000002</v>
      </c>
      <c r="V147" s="191">
        <f>U147/$B147*100</f>
        <v>3.7765761605507535E-2</v>
      </c>
      <c r="W147" s="191">
        <v>0.84865578999999991</v>
      </c>
      <c r="X147" s="191">
        <f>W147/$B147*100</f>
        <v>4.8132683865475916E-3</v>
      </c>
      <c r="Y147" s="682">
        <f>(B147-C147-E147-G147-I147-K147-M147-W147-O147-Q147-U147-AA147-AC147-AE147-AG147)</f>
        <v>228.62649264999931</v>
      </c>
      <c r="Z147" s="191">
        <f>Y147/$B147*100</f>
        <v>1.2966866924922498</v>
      </c>
      <c r="AA147" s="191">
        <v>499.71057367000003</v>
      </c>
      <c r="AB147" s="683">
        <f>AA147/B147*100</f>
        <v>2.8341774545241396</v>
      </c>
      <c r="AC147" s="686">
        <v>49.246803500000006</v>
      </c>
      <c r="AD147" s="683">
        <f>AC147/$B147*100</f>
        <v>0.2793100397336255</v>
      </c>
      <c r="AE147" s="191">
        <v>2.7120525600000001</v>
      </c>
      <c r="AF147" s="683">
        <f>AE147/$B147*100</f>
        <v>1.5381780226472581E-2</v>
      </c>
      <c r="AG147" s="191">
        <v>14.437988170000001</v>
      </c>
      <c r="AH147" s="683">
        <f>AG147/$B147*100</f>
        <v>8.1887041652080328E-2</v>
      </c>
      <c r="AI147" s="191">
        <v>222.15841217999997</v>
      </c>
    </row>
    <row r="148" spans="1:35">
      <c r="A148" s="679" t="s">
        <v>27</v>
      </c>
      <c r="B148" s="191">
        <v>17841.51790323</v>
      </c>
      <c r="C148" s="191">
        <v>943.38504892999993</v>
      </c>
      <c r="D148" s="191">
        <f>C148/$B148*100</f>
        <v>5.2875828953948529</v>
      </c>
      <c r="E148" s="191">
        <v>2540.7471608800001</v>
      </c>
      <c r="F148" s="191">
        <f>E148/$B148*100</f>
        <v>14.240644628224302</v>
      </c>
      <c r="G148" s="191">
        <v>220.61761913000001</v>
      </c>
      <c r="H148" s="191">
        <f>G148/$B148*100</f>
        <v>1.2365406369940066</v>
      </c>
      <c r="I148" s="191">
        <v>817.67782260000013</v>
      </c>
      <c r="J148" s="191">
        <f>I148/$B148*100</f>
        <v>4.5830059249161144</v>
      </c>
      <c r="K148" s="191">
        <v>2461.5514212900002</v>
      </c>
      <c r="L148" s="191">
        <f>K148/$B148*100</f>
        <v>13.796760088693826</v>
      </c>
      <c r="M148" s="191">
        <v>2078.34941669</v>
      </c>
      <c r="N148" s="191">
        <f>M148/$B148*100</f>
        <v>11.64894953424192</v>
      </c>
      <c r="O148" s="191">
        <v>569.07431792000011</v>
      </c>
      <c r="P148" s="191">
        <f>O148/$B148*100</f>
        <v>3.1896070783135317</v>
      </c>
      <c r="Q148" s="191">
        <v>7383.8061048999998</v>
      </c>
      <c r="R148" s="191">
        <f>Q148/$B148*100</f>
        <v>41.385526416243138</v>
      </c>
      <c r="S148" s="191">
        <v>1038.2306899999999</v>
      </c>
      <c r="T148" s="191">
        <f t="shared" si="125"/>
        <v>5.8191836346617132</v>
      </c>
      <c r="U148" s="191">
        <v>4.4869262299999999</v>
      </c>
      <c r="V148" s="191">
        <f>U148/$B148*100</f>
        <v>2.514879201610808E-2</v>
      </c>
      <c r="W148" s="191">
        <v>0.74765939999999997</v>
      </c>
      <c r="X148" s="191">
        <f>W148/$B148*100</f>
        <v>4.1905593686322219E-3</v>
      </c>
      <c r="Y148" s="682">
        <f>(B148-C148-E148-G148-I148-K148-M148-W148-O148-Q148-U148-AA148-AC148-AE148-AG148)</f>
        <v>250.07682169000105</v>
      </c>
      <c r="Z148" s="191">
        <f>Y148/$B148*100</f>
        <v>1.4016566474129846</v>
      </c>
      <c r="AA148" s="191">
        <v>489.23945638999999</v>
      </c>
      <c r="AB148" s="683">
        <f>AA148/B148*100</f>
        <v>2.7421403214881668</v>
      </c>
      <c r="AC148" s="686">
        <v>48.494692980000011</v>
      </c>
      <c r="AD148" s="683">
        <f>AC148/$B148*100</f>
        <v>0.2718081120845699</v>
      </c>
      <c r="AE148" s="191">
        <v>7.9030472100000004</v>
      </c>
      <c r="AF148" s="683">
        <f>AE148/$B148*100</f>
        <v>4.429582310689633E-2</v>
      </c>
      <c r="AG148" s="191">
        <v>25.360386989999999</v>
      </c>
      <c r="AH148" s="683">
        <f>AG148/$B148*100</f>
        <v>0.14214254150096048</v>
      </c>
      <c r="AI148" s="191">
        <v>233.43274164999997</v>
      </c>
    </row>
    <row r="149" spans="1:35">
      <c r="A149" s="679" t="s">
        <v>28</v>
      </c>
      <c r="B149" s="191">
        <v>18151.94684099</v>
      </c>
      <c r="C149" s="191">
        <v>981.4749022100001</v>
      </c>
      <c r="D149" s="191">
        <v>5.4069952430318535</v>
      </c>
      <c r="E149" s="191">
        <v>2592.7559999999999</v>
      </c>
      <c r="F149" s="191">
        <v>14.280186476122502</v>
      </c>
      <c r="G149" s="191">
        <v>216.35558580999998</v>
      </c>
      <c r="H149" s="191">
        <v>1.1919139456790082</v>
      </c>
      <c r="I149" s="191">
        <v>837.10729665999986</v>
      </c>
      <c r="J149" s="191">
        <v>4.6116667484375711</v>
      </c>
      <c r="K149" s="191">
        <v>2513.5982263999999</v>
      </c>
      <c r="L149" s="191">
        <f>K149/B149*100</f>
        <v>13.847540698631249</v>
      </c>
      <c r="M149" s="191">
        <v>2066.6721560299998</v>
      </c>
      <c r="N149" s="191">
        <v>11.385402205801547</v>
      </c>
      <c r="O149" s="191">
        <v>562.82478220999997</v>
      </c>
      <c r="P149" s="191">
        <v>3.1006304014677455</v>
      </c>
      <c r="Q149" s="191">
        <v>7528.1104851799992</v>
      </c>
      <c r="R149" s="191">
        <f>Q149/B149*100</f>
        <v>41.47274422476999</v>
      </c>
      <c r="S149" s="191">
        <v>1161.95321962</v>
      </c>
      <c r="T149" s="191">
        <f t="shared" si="125"/>
        <v>6.4012594891261125</v>
      </c>
      <c r="U149" s="191">
        <v>5.7653859000000001</v>
      </c>
      <c r="V149" s="191">
        <v>3.1761804673098956E-11</v>
      </c>
      <c r="W149" s="191">
        <v>1.1203859</v>
      </c>
      <c r="X149" s="191">
        <v>6.172263007458734E-3</v>
      </c>
      <c r="Y149" s="682">
        <v>252.3699697500011</v>
      </c>
      <c r="Z149" s="191">
        <v>1.390319021759745</v>
      </c>
      <c r="AA149" s="191">
        <v>491.16000564999996</v>
      </c>
      <c r="AB149" s="683">
        <v>2.7058254960337482</v>
      </c>
      <c r="AC149" s="686">
        <v>61.769817610000004</v>
      </c>
      <c r="AD149" s="683">
        <v>0.35043169675175184</v>
      </c>
      <c r="AE149" s="191">
        <v>10.804561489999999</v>
      </c>
      <c r="AF149" s="683">
        <v>5.9522879747540752E-2</v>
      </c>
      <c r="AG149" s="191">
        <v>30.681422250000001</v>
      </c>
      <c r="AH149" s="683">
        <v>0.1690255184128043</v>
      </c>
      <c r="AI149" s="191">
        <v>252.30320652</v>
      </c>
    </row>
    <row r="150" spans="1:35">
      <c r="A150" s="679" t="s">
        <v>29</v>
      </c>
      <c r="B150" s="191">
        <f>18542609.91501/1000</f>
        <v>18542.609915010002</v>
      </c>
      <c r="C150" s="191">
        <f>976324.47814/1000</f>
        <v>976.32447814</v>
      </c>
      <c r="D150" s="191">
        <f>C150/B150*100</f>
        <v>5.2653023636639089</v>
      </c>
      <c r="E150" s="191">
        <v>2680.7114317600003</v>
      </c>
      <c r="F150" s="191">
        <f>E150/B150*100</f>
        <v>14.457034063958812</v>
      </c>
      <c r="G150" s="191">
        <v>195.82566301</v>
      </c>
      <c r="H150" s="191">
        <f>G150/B150*100</f>
        <v>1.0560846822942744</v>
      </c>
      <c r="I150" s="191">
        <v>847.28370650000011</v>
      </c>
      <c r="J150" s="191">
        <f>I150/B150*100</f>
        <v>4.5693875370485735</v>
      </c>
      <c r="K150" s="191">
        <v>2555.06533481</v>
      </c>
      <c r="L150" s="191">
        <f>K150/B150*100</f>
        <v>13.779426663890003</v>
      </c>
      <c r="M150" s="191">
        <v>2027.84494105</v>
      </c>
      <c r="N150" s="191">
        <f>M150/B150*100</f>
        <v>10.936135475775101</v>
      </c>
      <c r="O150" s="191">
        <v>736.03862677000006</v>
      </c>
      <c r="P150" s="191">
        <f>O150/B150*100</f>
        <v>3.9694445935261049</v>
      </c>
      <c r="Q150" s="191">
        <v>7731.8495643100005</v>
      </c>
      <c r="R150" s="191">
        <v>44.015279110070509</v>
      </c>
      <c r="S150" s="191">
        <f>(1219057.21962/1000)</f>
        <v>1219.0572196200001</v>
      </c>
      <c r="T150" s="191">
        <f t="shared" si="125"/>
        <v>6.5743561732007807</v>
      </c>
      <c r="U150" s="191">
        <v>3.8811900599999998</v>
      </c>
      <c r="V150" s="191">
        <v>2.1541294463388434E-2</v>
      </c>
      <c r="W150" s="191">
        <v>0.92742879</v>
      </c>
      <c r="X150" s="191">
        <f>W150/$B150*100</f>
        <v>5.001608696137529E-3</v>
      </c>
      <c r="Y150" s="682">
        <f>((B150-C150-E150-G150-I150-K150-M150-W150-O150-Q150-U150-AA150-AC150-AE150-AG150))</f>
        <v>231.17891463000026</v>
      </c>
      <c r="Z150" s="191">
        <f>Y150/$B150*100</f>
        <v>1.2467442053174183</v>
      </c>
      <c r="AA150" s="191">
        <v>464.15112331</v>
      </c>
      <c r="AB150" s="683">
        <v>2.5761212071982955</v>
      </c>
      <c r="AC150" s="686">
        <v>61.545874310000002</v>
      </c>
      <c r="AD150" s="683">
        <v>0.34159053821713736</v>
      </c>
      <c r="AE150" s="191">
        <v>2.1905423500000003</v>
      </c>
      <c r="AF150" s="683">
        <f>AE150/$B150*100</f>
        <v>1.1813560011456559E-2</v>
      </c>
      <c r="AG150" s="191">
        <v>27.791095210000002</v>
      </c>
      <c r="AH150" s="683">
        <v>0.15424551648436249</v>
      </c>
      <c r="AI150" s="191">
        <f>274643.75506/1000</f>
        <v>274.64375505999999</v>
      </c>
    </row>
    <row r="151" spans="1:35">
      <c r="A151" s="679" t="s">
        <v>1829</v>
      </c>
      <c r="B151" s="283">
        <v>21730.445</v>
      </c>
      <c r="C151" s="688">
        <v>1508.4988000000001</v>
      </c>
      <c r="D151" s="283">
        <v>6.9</v>
      </c>
      <c r="E151" s="283">
        <v>3158.02423</v>
      </c>
      <c r="F151" s="283">
        <v>14.532717714708557</v>
      </c>
      <c r="G151" s="283">
        <v>316.54005999999998</v>
      </c>
      <c r="H151" s="283">
        <v>1.4566662578700069</v>
      </c>
      <c r="I151" s="283">
        <v>508.12902000000003</v>
      </c>
      <c r="J151" s="283">
        <v>2.3383277240756</v>
      </c>
      <c r="K151" s="283">
        <v>3063.1964199999998</v>
      </c>
      <c r="L151" s="283">
        <v>14.096335440898702</v>
      </c>
      <c r="M151" s="283">
        <v>1948.3333</v>
      </c>
      <c r="N151" s="283">
        <v>8.9659153321526546</v>
      </c>
      <c r="O151" s="283">
        <v>1465.58404</v>
      </c>
      <c r="P151" s="283">
        <v>6.7443811666074955</v>
      </c>
      <c r="Q151" s="283">
        <v>8383.6170999999995</v>
      </c>
      <c r="R151" s="283">
        <v>38.580052548394661</v>
      </c>
      <c r="S151" s="283">
        <v>1542.42472</v>
      </c>
      <c r="T151" s="283">
        <v>7.0979895717736108</v>
      </c>
      <c r="U151" s="283">
        <v>14.645200000000001</v>
      </c>
      <c r="V151" s="283">
        <v>6.7394846262927438E-2</v>
      </c>
      <c r="W151" s="283">
        <v>0.52739999999999998</v>
      </c>
      <c r="X151" s="283">
        <v>2.4270096631707266E-3</v>
      </c>
      <c r="Y151" s="684">
        <v>259.43742999999927</v>
      </c>
      <c r="Z151" s="283">
        <v>1.1938891725411021</v>
      </c>
      <c r="AA151" s="283">
        <v>934.58500000000004</v>
      </c>
      <c r="AB151" s="685">
        <v>4.3008093023405642</v>
      </c>
      <c r="AC151" s="687">
        <v>134.7662</v>
      </c>
      <c r="AD151" s="685">
        <v>0.6201722974379954</v>
      </c>
      <c r="AE151" s="283">
        <v>5.4794</v>
      </c>
      <c r="AF151" s="685">
        <v>2.5215314274512096E-2</v>
      </c>
      <c r="AG151" s="283">
        <v>29.081400000000002</v>
      </c>
      <c r="AH151" s="685">
        <v>0.13382790826418881</v>
      </c>
      <c r="AI151" s="283">
        <v>383.28996276000004</v>
      </c>
    </row>
    <row r="152" spans="1:35">
      <c r="A152" s="679" t="s">
        <v>18</v>
      </c>
      <c r="B152" s="191">
        <v>18579.8</v>
      </c>
      <c r="C152" s="191">
        <v>1030.893</v>
      </c>
      <c r="D152" s="191">
        <f>C152/B152*100</f>
        <v>5.5484612320907658</v>
      </c>
      <c r="E152" s="191">
        <v>2649.1439999999998</v>
      </c>
      <c r="F152" s="191">
        <f>E152/B152*100</f>
        <v>14.258194383147288</v>
      </c>
      <c r="G152" s="191">
        <v>235.685</v>
      </c>
      <c r="H152" s="191">
        <f>G152/B152*100</f>
        <v>1.2685012755788545</v>
      </c>
      <c r="I152" s="191">
        <v>842.5</v>
      </c>
      <c r="J152" s="191">
        <f>I152/B152*100</f>
        <v>4.5344944509628737</v>
      </c>
      <c r="K152" s="191">
        <v>2548.0520000000001</v>
      </c>
      <c r="L152" s="191">
        <f>K152/B152*100</f>
        <v>13.714098106545819</v>
      </c>
      <c r="M152" s="191">
        <v>2007.09</v>
      </c>
      <c r="N152" s="191">
        <f>M152/B152*100</f>
        <v>10.802538240454687</v>
      </c>
      <c r="O152" s="191">
        <v>726.45799999999997</v>
      </c>
      <c r="P152" s="191">
        <f>O152/B152*100</f>
        <v>3.9099344449348221</v>
      </c>
      <c r="Q152" s="191">
        <v>7724.09</v>
      </c>
      <c r="R152" s="191">
        <v>44.015279110070509</v>
      </c>
      <c r="S152" s="191">
        <v>1217.606</v>
      </c>
      <c r="T152" s="191">
        <f>S152/$B152*100</f>
        <v>6.5533859352630275</v>
      </c>
      <c r="U152" s="191">
        <v>4.0570000000000004</v>
      </c>
      <c r="V152" s="191">
        <v>2.15412944633884E-2</v>
      </c>
      <c r="W152" s="191">
        <v>2.8856000000000002</v>
      </c>
      <c r="X152" s="191">
        <f>W152/$B152*100</f>
        <v>1.5530845326645068E-2</v>
      </c>
      <c r="Y152" s="682">
        <f>((B152-C152-E152-G152-I152-K152-M152-W152-O152-Q152-U152-AA152-AC152-AE152-AG152))</f>
        <v>233.12989999999942</v>
      </c>
      <c r="Z152" s="191">
        <f>Y152/$B152*100</f>
        <v>1.2547492438024059</v>
      </c>
      <c r="AA152" s="191">
        <v>485.74299999999999</v>
      </c>
      <c r="AB152" s="683">
        <f>AA152/B148*100</f>
        <v>2.7225430181142931</v>
      </c>
      <c r="AC152" s="686">
        <v>59.789000000000001</v>
      </c>
      <c r="AD152" s="683">
        <f>AC152/B148*100</f>
        <v>0.33511162180419579</v>
      </c>
      <c r="AE152" s="191">
        <v>2.1905000000000001</v>
      </c>
      <c r="AF152" s="683">
        <f>AE152/B148*100</f>
        <v>1.2277542818279129E-2</v>
      </c>
      <c r="AG152" s="191">
        <v>28.093</v>
      </c>
      <c r="AH152" s="683">
        <f>AG152/B148*100</f>
        <v>0.15745857584748485</v>
      </c>
      <c r="AI152" s="191">
        <v>310.14100000000002</v>
      </c>
    </row>
    <row r="153" spans="1:35">
      <c r="A153" s="679" t="s">
        <v>19</v>
      </c>
      <c r="B153" s="191">
        <v>20697.2</v>
      </c>
      <c r="C153" s="191">
        <v>1138.2</v>
      </c>
      <c r="D153" s="191">
        <v>5.5</v>
      </c>
      <c r="E153" s="191">
        <v>2972.1709999999998</v>
      </c>
      <c r="F153" s="191">
        <f>E153/B153*100</f>
        <v>14.360256459810989</v>
      </c>
      <c r="G153" s="191">
        <v>269.39999999999998</v>
      </c>
      <c r="H153" s="191">
        <v>1.3</v>
      </c>
      <c r="I153" s="191">
        <v>936.4</v>
      </c>
      <c r="J153" s="191">
        <v>4.8</v>
      </c>
      <c r="K153" s="191">
        <v>2846.9</v>
      </c>
      <c r="L153" s="191">
        <v>14.6</v>
      </c>
      <c r="M153" s="191">
        <v>2248.1</v>
      </c>
      <c r="N153" s="191">
        <v>11.5</v>
      </c>
      <c r="O153" s="191">
        <v>831.8</v>
      </c>
      <c r="P153" s="191">
        <v>4.3</v>
      </c>
      <c r="Q153" s="191">
        <v>8416.7000000000007</v>
      </c>
      <c r="R153" s="191">
        <v>43</v>
      </c>
      <c r="S153" s="191">
        <v>1281.6690000000001</v>
      </c>
      <c r="T153" s="191">
        <f t="shared" ref="T153:T215" si="134">S153/$B153*100</f>
        <v>6.1924753106700425</v>
      </c>
      <c r="U153" s="191">
        <v>3.6</v>
      </c>
      <c r="V153" s="191">
        <v>0</v>
      </c>
      <c r="W153" s="191">
        <v>2.1</v>
      </c>
      <c r="X153" s="191">
        <f>W153/B153*100</f>
        <v>1.0146299982606343E-2</v>
      </c>
      <c r="Y153" s="682">
        <f>((B153-C153-E153-G153-I153-K153-M153-W153-O153-Q153-U153-AA153-AC153-AE153-AG153))</f>
        <v>253.27500000000202</v>
      </c>
      <c r="Z153" s="191">
        <f>Y153/B153*100</f>
        <v>1.223716251473639</v>
      </c>
      <c r="AA153" s="191">
        <v>668.5</v>
      </c>
      <c r="AB153" s="683">
        <f>AA153/B153*100</f>
        <v>3.2299054944630186</v>
      </c>
      <c r="AC153" s="686">
        <v>78.900000000000006</v>
      </c>
      <c r="AD153" s="683">
        <f>AC153/B153*100</f>
        <v>0.38121098506078116</v>
      </c>
      <c r="AE153" s="191">
        <v>1.954</v>
      </c>
      <c r="AF153" s="683">
        <f>AE153/B153*100</f>
        <v>9.4408905552441861E-3</v>
      </c>
      <c r="AG153" s="191">
        <v>29.2</v>
      </c>
      <c r="AH153" s="683">
        <f>AG153/B153*100</f>
        <v>0.14108188547243106</v>
      </c>
      <c r="AI153" s="191">
        <v>324.2</v>
      </c>
    </row>
    <row r="154" spans="1:35">
      <c r="A154" s="679" t="s">
        <v>20</v>
      </c>
      <c r="B154" s="191">
        <v>20632.326099999998</v>
      </c>
      <c r="C154" s="191">
        <v>1213.3217</v>
      </c>
      <c r="D154" s="191">
        <f>C154/B154*100</f>
        <v>5.8806830316626302</v>
      </c>
      <c r="E154" s="191">
        <v>2948.2919999999999</v>
      </c>
      <c r="F154" s="191">
        <f>E154/B154*100</f>
        <v>14.289673329659133</v>
      </c>
      <c r="G154" s="191">
        <v>267.86500000000001</v>
      </c>
      <c r="H154" s="191">
        <f>G154/B154*100</f>
        <v>1.298278239214143</v>
      </c>
      <c r="I154" s="191">
        <v>932.27599999999995</v>
      </c>
      <c r="J154" s="191">
        <f>I154/B154*100</f>
        <v>4.5185210600175614</v>
      </c>
      <c r="K154" s="191">
        <v>2812.9870000000001</v>
      </c>
      <c r="L154" s="191">
        <f>K154/B154*100</f>
        <v>13.633882027485017</v>
      </c>
      <c r="M154" s="191">
        <v>2238.002</v>
      </c>
      <c r="N154" s="191">
        <f>M154/B154*100</f>
        <v>10.847065857494371</v>
      </c>
      <c r="O154" s="191">
        <v>866.09699999999998</v>
      </c>
      <c r="P154" s="191">
        <f>O154/B154*100</f>
        <v>4.1977671145862701</v>
      </c>
      <c r="Q154" s="191">
        <v>8296.6319999999996</v>
      </c>
      <c r="R154" s="191">
        <f>Q154/B154*100</f>
        <v>40.211811115180076</v>
      </c>
      <c r="S154" s="191">
        <v>1309.92363841</v>
      </c>
      <c r="T154" s="191">
        <f t="shared" si="134"/>
        <v>6.3488897570788208</v>
      </c>
      <c r="U154" s="191">
        <v>3.2515999999999998</v>
      </c>
      <c r="V154" s="191">
        <f>U154/B154*100</f>
        <v>1.5759735398908802E-2</v>
      </c>
      <c r="W154" s="191">
        <v>1.4785900000000001</v>
      </c>
      <c r="X154" s="191">
        <f>W154/B154*100</f>
        <v>7.1663756807333525E-3</v>
      </c>
      <c r="Y154" s="682">
        <f>((B154-C154-E154-G154-I154-K154-M154-W154-O154-Q154-U154-AA154-AC154-AE154-AG154))</f>
        <v>251.76590999999567</v>
      </c>
      <c r="Z154" s="191">
        <f>Y154/B154*100</f>
        <v>1.2202497613683785</v>
      </c>
      <c r="AA154" s="191">
        <v>684.98</v>
      </c>
      <c r="AB154" s="683">
        <f>AA154/B154*100</f>
        <v>3.3199358941888772</v>
      </c>
      <c r="AC154" s="686">
        <v>77.534999999999997</v>
      </c>
      <c r="AD154" s="683">
        <f>AC154/B154*100</f>
        <v>0.37579378895140675</v>
      </c>
      <c r="AE154" s="191">
        <v>1.9473</v>
      </c>
      <c r="AF154" s="683">
        <f>AE154/B154*100</f>
        <v>9.4381020858331638E-3</v>
      </c>
      <c r="AG154" s="191">
        <v>35.895000000000003</v>
      </c>
      <c r="AH154" s="683">
        <f>AG154/B154*100</f>
        <v>0.17397456702664274</v>
      </c>
      <c r="AI154" s="191">
        <v>324.7484</v>
      </c>
    </row>
    <row r="155" spans="1:35">
      <c r="A155" s="679" t="s">
        <v>21</v>
      </c>
      <c r="B155" s="191">
        <v>20595.455099999999</v>
      </c>
      <c r="C155" s="191">
        <v>1256.6437000000001</v>
      </c>
      <c r="D155" s="191">
        <v>6.1015582996269897</v>
      </c>
      <c r="E155" s="191">
        <v>2960.788</v>
      </c>
      <c r="F155" s="191">
        <v>14.375928988332964</v>
      </c>
      <c r="G155" s="191">
        <v>268.51731999999998</v>
      </c>
      <c r="H155" s="191">
        <v>1.3037697817126654</v>
      </c>
      <c r="I155" s="191">
        <v>937.6</v>
      </c>
      <c r="J155" s="191">
        <v>4.5524607028470081</v>
      </c>
      <c r="K155" s="191">
        <v>2814.1419999999998</v>
      </c>
      <c r="L155" s="191">
        <v>13.663898109248384</v>
      </c>
      <c r="M155" s="191">
        <v>2210.9459999999999</v>
      </c>
      <c r="N155" s="191">
        <v>10.73511602081568</v>
      </c>
      <c r="O155" s="191">
        <v>871.72699999999998</v>
      </c>
      <c r="P155" s="191">
        <v>4.2326182925668876</v>
      </c>
      <c r="Q155" s="191">
        <v>8197.7289999999994</v>
      </c>
      <c r="R155" s="191">
        <v>39.803582684608898</v>
      </c>
      <c r="S155" s="191">
        <v>1337.9570000000001</v>
      </c>
      <c r="T155" s="191">
        <f t="shared" si="134"/>
        <v>6.4963701627549861</v>
      </c>
      <c r="U155" s="191">
        <v>3.0213999999999999</v>
      </c>
      <c r="V155" s="191">
        <v>1.4670226927881775E-2</v>
      </c>
      <c r="W155" s="191">
        <v>1.2611000000000001</v>
      </c>
      <c r="X155" s="191">
        <v>6.1231955976539711E-3</v>
      </c>
      <c r="Y155" s="682">
        <v>252.37037999999737</v>
      </c>
      <c r="Z155" s="191">
        <v>1.2253692806234584</v>
      </c>
      <c r="AA155" s="191">
        <v>710.28959999999995</v>
      </c>
      <c r="AB155" s="683">
        <v>3.4487686557603667</v>
      </c>
      <c r="AC155" s="686">
        <v>78.463200000000001</v>
      </c>
      <c r="AD155" s="683">
        <v>0.38097337310113633</v>
      </c>
      <c r="AE155" s="191">
        <v>2.2374999999999998</v>
      </c>
      <c r="AF155" s="683">
        <v>1.0864047379074425E-2</v>
      </c>
      <c r="AG155" s="191">
        <v>29.718900000000001</v>
      </c>
      <c r="AH155" s="683">
        <v>0.14429834085093854</v>
      </c>
      <c r="AI155" s="191">
        <v>291.18900000000002</v>
      </c>
    </row>
    <row r="156" spans="1:35" ht="14.25" customHeight="1">
      <c r="A156" s="679" t="s">
        <v>22</v>
      </c>
      <c r="B156" s="191">
        <v>20468.142632049003</v>
      </c>
      <c r="C156" s="191">
        <v>1313.1534961799998</v>
      </c>
      <c r="D156" s="191">
        <v>6.4155967631565405</v>
      </c>
      <c r="E156" s="191">
        <v>2912.2218749300005</v>
      </c>
      <c r="F156" s="191">
        <v>14.228071043290688</v>
      </c>
      <c r="G156" s="191">
        <v>276.17991833000002</v>
      </c>
      <c r="H156" s="191">
        <v>1.3493159750487458</v>
      </c>
      <c r="I156" s="191">
        <v>935.05388563999986</v>
      </c>
      <c r="J156" s="191">
        <v>4.5683377453892327</v>
      </c>
      <c r="K156" s="191">
        <v>2814.7813252300002</v>
      </c>
      <c r="L156" s="191">
        <v>13.752011483556</v>
      </c>
      <c r="M156" s="191">
        <v>2182.7752435699999</v>
      </c>
      <c r="N156" s="191">
        <v>10.664256561082452</v>
      </c>
      <c r="O156" s="191">
        <v>890.88034559999983</v>
      </c>
      <c r="P156" s="191">
        <v>4.3525216802283762</v>
      </c>
      <c r="Q156" s="191">
        <v>8043.4394210500022</v>
      </c>
      <c r="R156" s="191">
        <v>39.297358659478903</v>
      </c>
      <c r="S156" s="191">
        <v>1355.1472900000001</v>
      </c>
      <c r="T156" s="191">
        <f t="shared" si="134"/>
        <v>6.6207633704785289</v>
      </c>
      <c r="U156" s="191">
        <v>2.8281185899999999</v>
      </c>
      <c r="V156" s="191">
        <v>1.381717257320522E-2</v>
      </c>
      <c r="W156" s="191">
        <v>1.5576477899999999</v>
      </c>
      <c r="X156" s="191">
        <v>7.6101081470921353E-3</v>
      </c>
      <c r="Y156" s="682">
        <v>252.64879403899923</v>
      </c>
      <c r="Z156" s="191">
        <v>1.2343513458001898</v>
      </c>
      <c r="AA156" s="191">
        <v>732.72840119000011</v>
      </c>
      <c r="AB156" s="683">
        <v>3.5798480319493891</v>
      </c>
      <c r="AC156" s="686">
        <v>78.150069049999985</v>
      </c>
      <c r="AD156" s="683">
        <v>0.38181319358031374</v>
      </c>
      <c r="AE156" s="191">
        <v>0.78658292000000007</v>
      </c>
      <c r="AF156" s="683">
        <v>3.8429618854051231E-3</v>
      </c>
      <c r="AG156" s="191">
        <v>30.957507939999999</v>
      </c>
      <c r="AH156" s="683">
        <v>0.15124727483346123</v>
      </c>
      <c r="AI156" s="191">
        <v>298.27274945000005</v>
      </c>
    </row>
    <row r="157" spans="1:35" ht="14.25" customHeight="1">
      <c r="A157" s="679" t="s">
        <v>23</v>
      </c>
      <c r="B157" s="191">
        <v>20288.462762638999</v>
      </c>
      <c r="C157" s="191">
        <v>1338.66045882</v>
      </c>
      <c r="D157" s="191">
        <v>6.5981364605165158</v>
      </c>
      <c r="E157" s="191">
        <v>2888.8319757200002</v>
      </c>
      <c r="F157" s="191">
        <v>14.238791817385769</v>
      </c>
      <c r="G157" s="191">
        <v>280.23139501999998</v>
      </c>
      <c r="H157" s="191">
        <v>1.3812352286051128</v>
      </c>
      <c r="I157" s="191">
        <v>937.89442663</v>
      </c>
      <c r="J157" s="191">
        <v>4.6227968949777862</v>
      </c>
      <c r="K157" s="191">
        <v>2794.4671516899998</v>
      </c>
      <c r="L157" s="191">
        <v>13.773676125112758</v>
      </c>
      <c r="M157" s="191">
        <v>2172.1726600900006</v>
      </c>
      <c r="N157" s="191">
        <v>10.706442797085813</v>
      </c>
      <c r="O157" s="191">
        <v>894.92473717000007</v>
      </c>
      <c r="P157" s="191">
        <v>4.4110031777173129</v>
      </c>
      <c r="Q157" s="191">
        <v>7884.6195505300002</v>
      </c>
      <c r="R157" s="191">
        <v>38.862577430210479</v>
      </c>
      <c r="S157" s="191">
        <v>1363.3662099999999</v>
      </c>
      <c r="T157" s="191">
        <f t="shared" si="134"/>
        <v>6.7199088760466621</v>
      </c>
      <c r="U157" s="191">
        <v>12.54551142</v>
      </c>
      <c r="V157" s="191">
        <v>6.18356923674988E-2</v>
      </c>
      <c r="W157" s="191">
        <v>1.1164632400000001</v>
      </c>
      <c r="X157" s="191">
        <v>5.5029464433153409E-3</v>
      </c>
      <c r="Y157" s="682">
        <v>252.75951499899878</v>
      </c>
      <c r="Z157" s="191">
        <v>1.2458288139230187</v>
      </c>
      <c r="AA157" s="191">
        <v>724.25754331000007</v>
      </c>
      <c r="AB157" s="683">
        <v>3.5697999980743398</v>
      </c>
      <c r="AC157" s="686">
        <v>78.611222010000006</v>
      </c>
      <c r="AD157" s="683">
        <v>0.38746761117240375</v>
      </c>
      <c r="AE157" s="191">
        <v>1.0388636600000001</v>
      </c>
      <c r="AF157" s="683">
        <v>5.1204651242136353E-3</v>
      </c>
      <c r="AG157" s="191">
        <v>26.33128833</v>
      </c>
      <c r="AH157" s="683">
        <v>0.12978454128367381</v>
      </c>
      <c r="AI157" s="191">
        <v>324.08155119000003</v>
      </c>
    </row>
    <row r="158" spans="1:35" ht="14.25" customHeight="1">
      <c r="A158" s="679" t="s">
        <v>24</v>
      </c>
      <c r="B158" s="191">
        <v>20187.489584469764</v>
      </c>
      <c r="C158" s="191">
        <v>1294.8200580000005</v>
      </c>
      <c r="D158" s="191">
        <v>6.4139726367765189</v>
      </c>
      <c r="E158" s="191">
        <v>2863.0165570700005</v>
      </c>
      <c r="F158" s="191">
        <v>14.182132677222626</v>
      </c>
      <c r="G158" s="191">
        <v>279.53168287999995</v>
      </c>
      <c r="H158" s="191">
        <v>1.384677781307903</v>
      </c>
      <c r="I158" s="191">
        <v>946.74396726000009</v>
      </c>
      <c r="J158" s="191">
        <v>4.68975581782259</v>
      </c>
      <c r="K158" s="191">
        <v>2811.7365121000003</v>
      </c>
      <c r="L158" s="191">
        <v>13.928113747551201</v>
      </c>
      <c r="M158" s="191">
        <v>2177.4258837900002</v>
      </c>
      <c r="N158" s="191">
        <v>10.786016134790202</v>
      </c>
      <c r="O158" s="191">
        <v>921.72068871999988</v>
      </c>
      <c r="P158" s="191">
        <v>4.5658014329284384</v>
      </c>
      <c r="Q158" s="191">
        <v>7769.904207599765</v>
      </c>
      <c r="R158" s="191">
        <v>38.488709431098123</v>
      </c>
      <c r="S158" s="191">
        <v>1351.46503605</v>
      </c>
      <c r="T158" s="191">
        <f t="shared" si="134"/>
        <v>6.6945671000602376</v>
      </c>
      <c r="U158" s="191">
        <v>12.306257690000001</v>
      </c>
      <c r="V158" s="191">
        <v>6.0959821866445461E-2</v>
      </c>
      <c r="W158" s="191">
        <v>0.93900780000000006</v>
      </c>
      <c r="X158" s="191">
        <v>4.6514342264844001E-3</v>
      </c>
      <c r="Y158" s="682">
        <v>256.06993816999824</v>
      </c>
      <c r="Z158" s="191">
        <v>1.2684585525036893</v>
      </c>
      <c r="AA158" s="191">
        <v>738.34771580999995</v>
      </c>
      <c r="AB158" s="683">
        <v>3.657451872460709</v>
      </c>
      <c r="AC158" s="686">
        <v>87.254628580000002</v>
      </c>
      <c r="AD158" s="683">
        <v>0.43222129336539689</v>
      </c>
      <c r="AE158" s="191">
        <v>1.2923662499999999</v>
      </c>
      <c r="AF158" s="683">
        <v>6.4018175444371115E-3</v>
      </c>
      <c r="AG158" s="191">
        <v>26.380112749999999</v>
      </c>
      <c r="AH158" s="683">
        <v>0.13067554853523847</v>
      </c>
      <c r="AI158" s="191">
        <v>298.25574164999995</v>
      </c>
    </row>
    <row r="159" spans="1:35" ht="14.25" customHeight="1">
      <c r="A159" s="679" t="s">
        <v>25</v>
      </c>
      <c r="B159" s="191">
        <v>20095.838231829763</v>
      </c>
      <c r="C159" s="191">
        <v>1333.6381339100001</v>
      </c>
      <c r="D159" s="191">
        <v>6.6363896769314801</v>
      </c>
      <c r="E159" s="191">
        <v>2849.6560058600003</v>
      </c>
      <c r="F159" s="191">
        <v>14.180329145695625</v>
      </c>
      <c r="G159" s="191">
        <v>242.69786546</v>
      </c>
      <c r="H159" s="191">
        <v>1.2077021254858198</v>
      </c>
      <c r="I159" s="191">
        <v>949.0059847</v>
      </c>
      <c r="J159" s="191">
        <v>4.7224005973379652</v>
      </c>
      <c r="K159" s="191">
        <v>2744.52258222</v>
      </c>
      <c r="L159" s="191">
        <v>13.657168964830516</v>
      </c>
      <c r="M159" s="191">
        <v>2135.7989032400001</v>
      </c>
      <c r="N159" s="191">
        <v>10.628065764667195</v>
      </c>
      <c r="O159" s="191">
        <v>1006.4432903799999</v>
      </c>
      <c r="P159" s="191">
        <v>5.0082175163307996</v>
      </c>
      <c r="Q159" s="191">
        <v>7684.3381656097645</v>
      </c>
      <c r="R159" s="191">
        <v>38.238455529755186</v>
      </c>
      <c r="S159" s="191">
        <v>1359.6583800000001</v>
      </c>
      <c r="T159" s="191">
        <f t="shared" si="134"/>
        <v>6.7658704469786173</v>
      </c>
      <c r="U159" s="191">
        <v>12.05101359</v>
      </c>
      <c r="V159" s="191">
        <v>5.996770799494406E-2</v>
      </c>
      <c r="W159" s="191">
        <v>0.93454179000000004</v>
      </c>
      <c r="X159" s="191">
        <v>4.6504245268046644E-3</v>
      </c>
      <c r="Y159" s="682">
        <v>260.62104792999475</v>
      </c>
      <c r="Z159" s="191">
        <v>1.2968906542907852</v>
      </c>
      <c r="AA159" s="191">
        <v>760.06812403000004</v>
      </c>
      <c r="AB159" s="683">
        <v>3.7822165727136947</v>
      </c>
      <c r="AC159" s="686">
        <v>88.278539190000004</v>
      </c>
      <c r="AD159" s="683">
        <v>0.43928766828036953</v>
      </c>
      <c r="AE159" s="191">
        <v>1.5309030800000001</v>
      </c>
      <c r="AF159" s="683">
        <v>7.6180105668605816E-3</v>
      </c>
      <c r="AG159" s="191">
        <v>26.253130840000001</v>
      </c>
      <c r="AH159" s="683">
        <v>0.13063964059193964</v>
      </c>
      <c r="AI159" s="191">
        <v>306.42061322999996</v>
      </c>
    </row>
    <row r="160" spans="1:35" ht="14.25" customHeight="1">
      <c r="A160" s="679" t="s">
        <v>26</v>
      </c>
      <c r="B160" s="191" t="s">
        <v>1847</v>
      </c>
      <c r="C160" s="191">
        <v>1353.75081765</v>
      </c>
      <c r="D160" s="191">
        <v>7.0826903301960416</v>
      </c>
      <c r="E160" s="191">
        <v>2434.94966148</v>
      </c>
      <c r="F160" s="191">
        <v>12.739415701196876</v>
      </c>
      <c r="G160" s="191">
        <v>171.34702250000001</v>
      </c>
      <c r="H160" s="191">
        <v>0.89647066767822103</v>
      </c>
      <c r="I160" s="191">
        <v>757.54677633000006</v>
      </c>
      <c r="J160" s="191">
        <v>3.9634097778036343</v>
      </c>
      <c r="K160" s="191">
        <v>2728.4976025500005</v>
      </c>
      <c r="L160" s="191">
        <v>14.275229483584548</v>
      </c>
      <c r="M160" s="191">
        <v>1968.9254755100001</v>
      </c>
      <c r="N160" s="191">
        <v>10.301223271265826</v>
      </c>
      <c r="O160" s="191">
        <v>1014.8269032000001</v>
      </c>
      <c r="P160" s="191">
        <v>5.3094739448391968</v>
      </c>
      <c r="Q160" s="191">
        <v>7592.2001499897642</v>
      </c>
      <c r="R160" s="191">
        <v>39.721639969600382</v>
      </c>
      <c r="S160" s="191">
        <v>1357.27098</v>
      </c>
      <c r="T160" s="191">
        <v>7.1</v>
      </c>
      <c r="U160" s="191">
        <v>11.9204025</v>
      </c>
      <c r="V160" s="191">
        <v>6.2366366408077724E-2</v>
      </c>
      <c r="W160" s="191">
        <v>0.81012240000000002</v>
      </c>
      <c r="X160" s="191">
        <v>4.2384802387160428E-3</v>
      </c>
      <c r="Y160" s="682">
        <v>273.95916316000444</v>
      </c>
      <c r="Z160" s="191">
        <v>1.4333272345868511</v>
      </c>
      <c r="AA160" s="191">
        <v>690.03686635000008</v>
      </c>
      <c r="AB160" s="683">
        <v>3.6102046085999082</v>
      </c>
      <c r="AC160" s="686">
        <v>89.985687530000007</v>
      </c>
      <c r="AD160" s="683">
        <v>0.47079621346500433</v>
      </c>
      <c r="AE160" s="191">
        <v>2.0203947800000002</v>
      </c>
      <c r="AF160" s="683">
        <v>1.0570505579693941E-2</v>
      </c>
      <c r="AG160" s="191">
        <v>22.73426881</v>
      </c>
      <c r="AH160" s="683">
        <v>0.11894344495701326</v>
      </c>
      <c r="AI160" s="191">
        <v>308.09468064999999</v>
      </c>
    </row>
    <row r="161" spans="1:35" ht="14.25" customHeight="1">
      <c r="A161" s="679" t="s">
        <v>27</v>
      </c>
      <c r="B161" s="191" t="s">
        <v>1848</v>
      </c>
      <c r="C161" s="191">
        <v>1301.8673845200001</v>
      </c>
      <c r="D161" s="191">
        <v>7.0119479548822365</v>
      </c>
      <c r="E161" s="191">
        <v>2546.6813825999998</v>
      </c>
      <c r="F161" s="191">
        <v>13.71660241649168</v>
      </c>
      <c r="G161" s="191">
        <v>247.11627070999998</v>
      </c>
      <c r="H161" s="191">
        <v>1.3309853596662478</v>
      </c>
      <c r="I161" s="191">
        <v>685.46898859999988</v>
      </c>
      <c r="J161" s="191">
        <v>3.6919834768893267</v>
      </c>
      <c r="K161" s="191">
        <v>2467.9970493199999</v>
      </c>
      <c r="L161" s="191">
        <v>13.2928031444734</v>
      </c>
      <c r="M161" s="191">
        <v>1610.2726114500001</v>
      </c>
      <c r="N161" s="191">
        <v>8.6730398801893074</v>
      </c>
      <c r="O161" s="191">
        <v>1075.0305602699998</v>
      </c>
      <c r="P161" s="191">
        <v>5.7901890992533165</v>
      </c>
      <c r="Q161" s="191">
        <v>7557.0816981380995</v>
      </c>
      <c r="R161" s="191">
        <v>40.702965746142297</v>
      </c>
      <c r="S161" s="191">
        <v>1474.5229999999999</v>
      </c>
      <c r="T161" s="191">
        <v>7.9</v>
      </c>
      <c r="U161" s="191">
        <v>11.672549439999999</v>
      </c>
      <c r="V161" s="191">
        <v>6.2869160213462894E-2</v>
      </c>
      <c r="W161" s="191">
        <v>0.99635276000000006</v>
      </c>
      <c r="X161" s="191">
        <v>5.3664250144796095E-3</v>
      </c>
      <c r="Y161" s="682">
        <v>296.78359490000389</v>
      </c>
      <c r="Z161" s="191">
        <v>1.5984970097925595</v>
      </c>
      <c r="AA161" s="191">
        <v>627.15388402000008</v>
      </c>
      <c r="AB161" s="683">
        <v>3.3778942822750571</v>
      </c>
      <c r="AC161" s="686">
        <v>109.35861632000001</v>
      </c>
      <c r="AD161" s="683">
        <v>0.58901308625724691</v>
      </c>
      <c r="AE161" s="191">
        <v>2.3726751499999996</v>
      </c>
      <c r="AF161" s="683">
        <v>1.2779392788748992E-2</v>
      </c>
      <c r="AG161" s="191">
        <v>26.561775879999999</v>
      </c>
      <c r="AH161" s="683">
        <v>0.1430635656706899</v>
      </c>
      <c r="AI161" s="191">
        <v>317.59927278000004</v>
      </c>
    </row>
    <row r="162" spans="1:35">
      <c r="A162" s="679" t="s">
        <v>28</v>
      </c>
      <c r="B162" s="191">
        <v>18744.267431858105</v>
      </c>
      <c r="C162" s="191">
        <v>1229.5888907799997</v>
      </c>
      <c r="D162" s="191">
        <f>C162/$B$162*100</f>
        <v>6.5598129948261805</v>
      </c>
      <c r="E162" s="191">
        <v>2535.2013345500004</v>
      </c>
      <c r="F162" s="191">
        <f>E162/$B$162*100</f>
        <v>13.525208940633899</v>
      </c>
      <c r="G162" s="191">
        <v>254.73982409999999</v>
      </c>
      <c r="H162" s="191">
        <f>G162/$B$162*100</f>
        <v>1.3590279002690682</v>
      </c>
      <c r="I162" s="191">
        <v>621.49002730999996</v>
      </c>
      <c r="J162" s="191">
        <f>I162/$B$162*100</f>
        <v>3.3156271887889521</v>
      </c>
      <c r="K162" s="191">
        <v>2625.6152657299999</v>
      </c>
      <c r="L162" s="191">
        <f>K162/$B$162*100</f>
        <v>14.007564047381523</v>
      </c>
      <c r="M162" s="191">
        <v>1818.6654537099998</v>
      </c>
      <c r="N162" s="191">
        <f>M162/$B$162*100</f>
        <v>9.7025155041213402</v>
      </c>
      <c r="O162" s="191">
        <v>1060.3267777900001</v>
      </c>
      <c r="P162" s="191">
        <f>O162/$B$162*100</f>
        <v>5.6568056428166882</v>
      </c>
      <c r="Q162" s="191">
        <v>7530.0157831080996</v>
      </c>
      <c r="R162" s="191">
        <f>Q162/$B$162*100</f>
        <v>40.172366354045636</v>
      </c>
      <c r="S162" s="191">
        <v>1497.3124299999999</v>
      </c>
      <c r="T162" s="191">
        <f t="shared" si="134"/>
        <v>7.9881085534190568</v>
      </c>
      <c r="U162" s="191">
        <v>11.800347410000001</v>
      </c>
      <c r="V162" s="191">
        <f>U162/$B$162*100</f>
        <v>6.2954433684316247E-2</v>
      </c>
      <c r="W162" s="191">
        <v>0.65703473999999995</v>
      </c>
      <c r="X162" s="191">
        <f>W162/$B$162*100</f>
        <v>3.5052569666355247E-3</v>
      </c>
      <c r="Y162" s="682">
        <f>((B162-C162-E162-G162-I162-K162-M162-W162-O162-Q162-U162-AA162-AC162-AE162-AG162))</f>
        <v>292.18494371000634</v>
      </c>
      <c r="Z162" s="191">
        <f>Y162/$B$162*100</f>
        <v>1.5587962814348422</v>
      </c>
      <c r="AA162" s="191">
        <v>645.26360625999996</v>
      </c>
      <c r="AB162" s="191">
        <f>AA162/$B$162*100</f>
        <v>3.4424583868415044</v>
      </c>
      <c r="AC162" s="686">
        <v>96.65910796</v>
      </c>
      <c r="AD162" s="191">
        <f>AC162/$B$162*100</f>
        <v>0.5156729027228687</v>
      </c>
      <c r="AE162" s="191">
        <v>2.5893522699999996</v>
      </c>
      <c r="AF162" s="191">
        <f>AE162/$B$162*100</f>
        <v>1.3814102255066466E-2</v>
      </c>
      <c r="AG162" s="191">
        <v>19.469682429999999</v>
      </c>
      <c r="AH162" s="191">
        <f>AG162/$B$162*100</f>
        <v>0.10387006321148068</v>
      </c>
      <c r="AI162" s="191">
        <v>321.15509671000001</v>
      </c>
    </row>
    <row r="163" spans="1:35">
      <c r="A163" s="679" t="s">
        <v>29</v>
      </c>
      <c r="B163" s="191">
        <v>21730.445</v>
      </c>
      <c r="C163" s="191">
        <v>1508.4988000000001</v>
      </c>
      <c r="D163" s="191">
        <v>6.9</v>
      </c>
      <c r="E163" s="191">
        <v>3158.02423</v>
      </c>
      <c r="F163" s="191">
        <f>E163/$B$163*100</f>
        <v>14.532717714708557</v>
      </c>
      <c r="G163" s="191">
        <v>316.54005999999998</v>
      </c>
      <c r="H163" s="191">
        <f>G163/$B$163*100</f>
        <v>1.4566662578700069</v>
      </c>
      <c r="I163" s="191">
        <v>508.12902000000003</v>
      </c>
      <c r="J163" s="191">
        <f>I163/$B$163*100</f>
        <v>2.3383277240756</v>
      </c>
      <c r="K163" s="191">
        <v>3063.1964199999998</v>
      </c>
      <c r="L163" s="191">
        <f>K163/$B$163*100</f>
        <v>14.096335440898702</v>
      </c>
      <c r="M163" s="191">
        <v>1948.3333</v>
      </c>
      <c r="N163" s="191">
        <f>M163/$B$163*100</f>
        <v>8.9659153321526546</v>
      </c>
      <c r="O163" s="191">
        <v>1465.58404</v>
      </c>
      <c r="P163" s="191">
        <f>O163/$B$163*100</f>
        <v>6.7443811666074955</v>
      </c>
      <c r="Q163" s="191">
        <v>8383.6170999999995</v>
      </c>
      <c r="R163" s="191">
        <f>Q163/$B$163*100</f>
        <v>38.580052548394661</v>
      </c>
      <c r="S163" s="191">
        <v>1542.42472</v>
      </c>
      <c r="T163" s="191">
        <f t="shared" si="134"/>
        <v>7.0979895717736108</v>
      </c>
      <c r="U163" s="191">
        <v>14.645200000000001</v>
      </c>
      <c r="V163" s="191">
        <f>U163/$B$163*100</f>
        <v>6.7394846262927438E-2</v>
      </c>
      <c r="W163" s="191">
        <v>0.52739999999999998</v>
      </c>
      <c r="X163" s="191">
        <f>W163/$B$163*100</f>
        <v>2.4270096631707266E-3</v>
      </c>
      <c r="Y163" s="682">
        <f>(((B163-C163-E163-G163-I163-K163-M163-W163-O163-Q163-U163-AA163-AC163-AE163-AG163)))</f>
        <v>259.43742999999927</v>
      </c>
      <c r="Z163" s="191">
        <f>Y163/$B$163*100</f>
        <v>1.1938891725411021</v>
      </c>
      <c r="AA163" s="191">
        <v>934.58500000000004</v>
      </c>
      <c r="AB163" s="191">
        <f>AA163/$B$163*100</f>
        <v>4.3008093023405642</v>
      </c>
      <c r="AC163" s="686">
        <v>134.7662</v>
      </c>
      <c r="AD163" s="191">
        <f>AC163/$B$163*100</f>
        <v>0.6201722974379954</v>
      </c>
      <c r="AE163" s="191">
        <v>5.4794</v>
      </c>
      <c r="AF163" s="191">
        <f>AE163/$B$163*100</f>
        <v>2.5215314274512096E-2</v>
      </c>
      <c r="AG163" s="191">
        <v>29.081400000000002</v>
      </c>
      <c r="AH163" s="191">
        <f>AG163/$B$163*100</f>
        <v>0.13382790826418881</v>
      </c>
      <c r="AI163" s="191">
        <v>383.28996276000004</v>
      </c>
    </row>
    <row r="164" spans="1:35" s="1338" customFormat="1">
      <c r="A164" s="1337" t="s">
        <v>1852</v>
      </c>
      <c r="B164" s="283">
        <v>16444.561727330001</v>
      </c>
      <c r="C164" s="283">
        <v>1472.5995942200004</v>
      </c>
      <c r="D164" s="283">
        <v>8.9549336652287739</v>
      </c>
      <c r="E164" s="283">
        <v>2467.0027956899999</v>
      </c>
      <c r="F164" s="283">
        <v>15.00193703301907</v>
      </c>
      <c r="G164" s="283">
        <v>596.22871301999999</v>
      </c>
      <c r="H164" s="283">
        <v>3.6256892880829965</v>
      </c>
      <c r="I164" s="283">
        <v>441.26909290999993</v>
      </c>
      <c r="J164" s="283">
        <v>2.6833739945567157</v>
      </c>
      <c r="K164" s="283">
        <v>1908.56788125</v>
      </c>
      <c r="L164" s="283">
        <v>11.606073259332049</v>
      </c>
      <c r="M164" s="283">
        <v>1265.5546495100002</v>
      </c>
      <c r="N164" s="283">
        <v>7.6958855486352951</v>
      </c>
      <c r="O164" s="283">
        <v>1271.1043572999999</v>
      </c>
      <c r="P164" s="283">
        <v>7.7296335309897071</v>
      </c>
      <c r="Q164" s="283">
        <v>5858.7337056699998</v>
      </c>
      <c r="R164" s="283">
        <v>35.627180601189821</v>
      </c>
      <c r="S164" s="283">
        <v>1703.4574499999999</v>
      </c>
      <c r="T164" s="283">
        <v>10.35878899204071</v>
      </c>
      <c r="U164" s="283">
        <v>25.581052979999999</v>
      </c>
      <c r="V164" s="283">
        <v>0.15555934785106268</v>
      </c>
      <c r="W164" s="283">
        <v>0.86648340000000013</v>
      </c>
      <c r="X164" s="283">
        <v>5.2691182311046334E-3</v>
      </c>
      <c r="Y164" s="684">
        <f>(((B164-C164-E164-G164-I164-K164-M164-W164-O164-Q164-U164-AA164-AC164-AE164-AG164)))</f>
        <v>198.09825160999975</v>
      </c>
      <c r="Z164" s="283">
        <v>1.0669709117527593</v>
      </c>
      <c r="AA164" s="283">
        <v>837.33076181000001</v>
      </c>
      <c r="AB164" s="283">
        <v>5.0918399389045446</v>
      </c>
      <c r="AC164" s="687">
        <v>82.34059705</v>
      </c>
      <c r="AD164" s="283">
        <v>0.500716275783466</v>
      </c>
      <c r="AE164" s="283">
        <v>6.9581468499999994</v>
      </c>
      <c r="AF164" s="283">
        <v>4.2312753391511332E-2</v>
      </c>
      <c r="AG164" s="283">
        <v>12.32564406</v>
      </c>
      <c r="AH164" s="283">
        <v>7.495270633765462E-2</v>
      </c>
      <c r="AI164" s="283">
        <v>493.77563256000002</v>
      </c>
    </row>
    <row r="165" spans="1:35">
      <c r="A165" s="679" t="s">
        <v>18</v>
      </c>
      <c r="B165" s="191">
        <v>21199.450080179002</v>
      </c>
      <c r="C165" s="191">
        <v>1314.6188215699999</v>
      </c>
      <c r="D165" s="191">
        <f>C165/$B$165*100</f>
        <v>6.2011930337718439</v>
      </c>
      <c r="E165" s="191">
        <v>2912.9847189299999</v>
      </c>
      <c r="F165" s="191">
        <f>E165/$B$165*100</f>
        <v>13.740850389574838</v>
      </c>
      <c r="G165" s="191">
        <v>310.33868285</v>
      </c>
      <c r="H165" s="191">
        <f>G165/$B$165*100</f>
        <v>1.4638996845496455</v>
      </c>
      <c r="I165" s="191">
        <v>441.14897502999997</v>
      </c>
      <c r="J165" s="191">
        <f>I165/$B$165*100</f>
        <v>2.080945370571023</v>
      </c>
      <c r="K165" s="191">
        <v>3083.48934629</v>
      </c>
      <c r="L165" s="191">
        <f>K165/$B$165*100</f>
        <v>14.545138362683247</v>
      </c>
      <c r="M165" s="191">
        <v>1881.55497216</v>
      </c>
      <c r="N165" s="191">
        <f>M165/$B$165*100</f>
        <v>8.8754895294157219</v>
      </c>
      <c r="O165" s="191">
        <v>1501.8844209099998</v>
      </c>
      <c r="P165" s="191">
        <f>O165/$B$165*100</f>
        <v>7.0845442463350841</v>
      </c>
      <c r="Q165" s="191">
        <v>8066.4661161189997</v>
      </c>
      <c r="R165" s="191">
        <f>Q165/$B$165*100</f>
        <v>38.050355483800779</v>
      </c>
      <c r="S165" s="191">
        <v>1513.3164099999999</v>
      </c>
      <c r="T165" s="191">
        <f t="shared" si="134"/>
        <v>7.1384701219911166</v>
      </c>
      <c r="U165" s="191">
        <v>14.650855089999999</v>
      </c>
      <c r="V165" s="191">
        <f>U165/$B$165*100</f>
        <v>6.9109599704655592E-2</v>
      </c>
      <c r="W165" s="191">
        <v>1.37271337</v>
      </c>
      <c r="X165" s="191">
        <f>W165/$B$165*100</f>
        <v>6.4752310310325235E-3</v>
      </c>
      <c r="Y165" s="682">
        <f>(((B165-C165-E165-G165-I165-K165-M165-W165-O165-Q165-U165-AA165-AC165-AE165-AG165)))</f>
        <v>260.00674953000578</v>
      </c>
      <c r="Z165" s="191">
        <f>Y165/$B$165*100</f>
        <v>1.2264787461308069</v>
      </c>
      <c r="AA165" s="191">
        <v>1246.7152673000001</v>
      </c>
      <c r="AB165" s="191">
        <f>AA165/$B$165*100</f>
        <v>5.8808849408110362</v>
      </c>
      <c r="AC165" s="686">
        <v>137.41037517000001</v>
      </c>
      <c r="AD165" s="191">
        <f>AC165/$B$165*100</f>
        <v>0.64817896054046964</v>
      </c>
      <c r="AE165" s="191">
        <v>3.6036627999999999</v>
      </c>
      <c r="AF165" s="191">
        <f>AE165/$B$165*100</f>
        <v>1.6998850377582867E-2</v>
      </c>
      <c r="AG165" s="191">
        <v>23.204403060000001</v>
      </c>
      <c r="AH165" s="191">
        <f>AG165/$B$165*100</f>
        <v>0.10945757070224942</v>
      </c>
      <c r="AI165" s="191">
        <v>397.69746199999997</v>
      </c>
    </row>
    <row r="166" spans="1:35">
      <c r="A166" s="679" t="s">
        <v>19</v>
      </c>
      <c r="B166" s="191">
        <v>20327.413122969003</v>
      </c>
      <c r="C166" s="191">
        <v>1329.4548797100003</v>
      </c>
      <c r="D166" s="191">
        <v>6.5402069199242092</v>
      </c>
      <c r="E166" s="191">
        <v>2857.1265031700004</v>
      </c>
      <c r="F166" s="191">
        <v>14.055534198503519</v>
      </c>
      <c r="G166" s="191">
        <v>299.16341899999998</v>
      </c>
      <c r="H166" s="191">
        <v>1.471724007330572</v>
      </c>
      <c r="I166" s="191">
        <v>438.54389478999997</v>
      </c>
      <c r="J166" s="191">
        <v>2.1574013974973845</v>
      </c>
      <c r="K166" s="191">
        <v>3056.4085922900003</v>
      </c>
      <c r="L166" s="191">
        <v>15.035895486555567</v>
      </c>
      <c r="M166" s="191">
        <v>1723.1210283900004</v>
      </c>
      <c r="N166" s="191">
        <v>8.4768338104121881</v>
      </c>
      <c r="O166" s="191">
        <v>1537.43920742</v>
      </c>
      <c r="P166" s="191">
        <v>7.5633785672549125</v>
      </c>
      <c r="Q166" s="191">
        <v>7739.6794244490002</v>
      </c>
      <c r="R166" s="191">
        <v>38.075083030134969</v>
      </c>
      <c r="S166" s="191">
        <v>1532.24368</v>
      </c>
      <c r="T166" s="191">
        <f t="shared" si="134"/>
        <v>7.5378193512908833</v>
      </c>
      <c r="U166" s="191">
        <v>14.387640749999999</v>
      </c>
      <c r="V166" s="191">
        <v>7.0779496943182876E-2</v>
      </c>
      <c r="W166" s="191">
        <v>0.72260815999999994</v>
      </c>
      <c r="X166" s="191">
        <v>3.5548456442964071E-3</v>
      </c>
      <c r="Y166" s="682">
        <v>248.82790741000201</v>
      </c>
      <c r="Z166" s="191">
        <v>1.3402043535521002</v>
      </c>
      <c r="AA166" s="191">
        <v>915.02765162999992</v>
      </c>
      <c r="AB166" s="191">
        <v>4.501446623309203</v>
      </c>
      <c r="AC166" s="686">
        <v>134.63811995</v>
      </c>
      <c r="AD166" s="191">
        <v>0.66234753598757423</v>
      </c>
      <c r="AE166" s="191">
        <v>5.0227493499999998</v>
      </c>
      <c r="AF166" s="191">
        <v>2.4709240273788374E-2</v>
      </c>
      <c r="AG166" s="191">
        <v>27.849496500000001</v>
      </c>
      <c r="AH166" s="191">
        <v>0.13700462686288106</v>
      </c>
      <c r="AI166" s="191">
        <v>384.06938136999997</v>
      </c>
    </row>
    <row r="167" spans="1:35">
      <c r="A167" s="679" t="s">
        <v>20</v>
      </c>
      <c r="B167" s="191">
        <v>19686.956662108998</v>
      </c>
      <c r="C167" s="191">
        <v>1326.5289649900001</v>
      </c>
      <c r="D167" s="191">
        <v>6.7381108606955884</v>
      </c>
      <c r="E167" s="191">
        <v>2800.5113016000005</v>
      </c>
      <c r="F167" s="191">
        <v>14.225211898749571</v>
      </c>
      <c r="G167" s="191">
        <v>298.16427358000004</v>
      </c>
      <c r="H167" s="191">
        <v>1.5145269972268975</v>
      </c>
      <c r="I167" s="191">
        <v>432.88660826999995</v>
      </c>
      <c r="J167" s="191">
        <v>2.1988498054814443</v>
      </c>
      <c r="K167" s="191">
        <v>3054.8403476100002</v>
      </c>
      <c r="L167" s="191">
        <v>15.517077626780051</v>
      </c>
      <c r="M167" s="191">
        <v>1369.0885389099999</v>
      </c>
      <c r="N167" s="191">
        <v>6.9542924404616127</v>
      </c>
      <c r="O167" s="191">
        <v>1513.3677482200003</v>
      </c>
      <c r="P167" s="191">
        <v>7.6871594436571407</v>
      </c>
      <c r="Q167" s="191">
        <v>7583.2076768689994</v>
      </c>
      <c r="R167" s="191">
        <v>38.518943313692624</v>
      </c>
      <c r="S167" s="191">
        <v>1534.1</v>
      </c>
      <c r="T167" s="191">
        <f t="shared" si="134"/>
        <v>7.7924690257110409</v>
      </c>
      <c r="U167" s="191">
        <v>11.34367743</v>
      </c>
      <c r="V167" s="191">
        <v>5.7620269220345757E-2</v>
      </c>
      <c r="W167" s="191">
        <v>0.44926474000000005</v>
      </c>
      <c r="X167" s="191">
        <v>2.2820426118206928E-3</v>
      </c>
      <c r="Y167" s="682">
        <v>279.78869797999647</v>
      </c>
      <c r="Z167" s="191">
        <v>1.5069613172030891</v>
      </c>
      <c r="AA167" s="191">
        <v>897.11459667999998</v>
      </c>
      <c r="AB167" s="191">
        <v>4.5568983163693062</v>
      </c>
      <c r="AC167" s="686">
        <v>86.161606820000003</v>
      </c>
      <c r="AD167" s="191">
        <v>0.43765833540860649</v>
      </c>
      <c r="AE167" s="191">
        <v>6.1623595199999999</v>
      </c>
      <c r="AF167" s="191">
        <v>3.1301737621338609E-2</v>
      </c>
      <c r="AG167" s="191">
        <v>27.340998890000002</v>
      </c>
      <c r="AH167" s="191">
        <v>0.1388787477884916</v>
      </c>
      <c r="AI167" s="191">
        <v>363.67032284999999</v>
      </c>
    </row>
    <row r="168" spans="1:35">
      <c r="A168" s="679" t="s">
        <v>21</v>
      </c>
      <c r="B168" s="191">
        <v>18758.68189168</v>
      </c>
      <c r="C168" s="191">
        <v>1381.301174834</v>
      </c>
      <c r="D168" s="191">
        <v>7.3635300327079252</v>
      </c>
      <c r="E168" s="191">
        <v>2676.6403743599999</v>
      </c>
      <c r="F168" s="191">
        <v>14.268808383318046</v>
      </c>
      <c r="G168" s="191">
        <v>296.25036904000001</v>
      </c>
      <c r="H168" s="191">
        <v>1.5792707118264815</v>
      </c>
      <c r="I168" s="191">
        <v>432.00326386</v>
      </c>
      <c r="J168" s="191">
        <v>2.3029510620978413</v>
      </c>
      <c r="K168" s="191">
        <v>2846.53541326</v>
      </c>
      <c r="L168" s="191">
        <v>15.174495893139047</v>
      </c>
      <c r="M168" s="191">
        <v>1208.8120084499999</v>
      </c>
      <c r="N168" s="191">
        <v>6.4440135795796065</v>
      </c>
      <c r="O168" s="191">
        <v>1512.2607060900002</v>
      </c>
      <c r="P168" s="191">
        <v>8.0616576091134107</v>
      </c>
      <c r="Q168" s="191">
        <v>7185.4199944759985</v>
      </c>
      <c r="R168" s="191">
        <v>38.304503674444909</v>
      </c>
      <c r="S168" s="191">
        <v>1570.3</v>
      </c>
      <c r="T168" s="191">
        <f t="shared" si="134"/>
        <v>8.3710572473456786</v>
      </c>
      <c r="U168" s="191">
        <v>10.92994515</v>
      </c>
      <c r="V168" s="191">
        <v>5.8266061619434657E-2</v>
      </c>
      <c r="W168" s="191">
        <v>0.43692742000000001</v>
      </c>
      <c r="X168" s="191">
        <v>2.3292010735241988E-3</v>
      </c>
      <c r="Y168" s="682">
        <v>283.51240658999865</v>
      </c>
      <c r="Z168" s="191">
        <v>1.5270174698365688</v>
      </c>
      <c r="AA168" s="191">
        <v>799.01221382000006</v>
      </c>
      <c r="AB168" s="191">
        <v>4.2594262135997107</v>
      </c>
      <c r="AC168" s="686">
        <v>90.242772169999995</v>
      </c>
      <c r="AD168" s="191">
        <v>0.48107203209211186</v>
      </c>
      <c r="AE168" s="191">
        <v>9.30940631</v>
      </c>
      <c r="AF168" s="191">
        <v>4.9627187900280895E-2</v>
      </c>
      <c r="AG168" s="191">
        <v>26.014915849999998</v>
      </c>
      <c r="AH168" s="191">
        <v>0.13868200335300926</v>
      </c>
      <c r="AI168" s="191">
        <v>425.14762057000002</v>
      </c>
    </row>
    <row r="169" spans="1:35">
      <c r="A169" s="679" t="s">
        <v>22</v>
      </c>
      <c r="B169" s="191">
        <v>18197.110367269997</v>
      </c>
      <c r="C169" s="191">
        <v>1514.1593900339999</v>
      </c>
      <c r="D169" s="191">
        <v>8.3208782024943009</v>
      </c>
      <c r="E169" s="191">
        <v>2620.3571317400001</v>
      </c>
      <c r="F169" s="191">
        <v>14.399852937382148</v>
      </c>
      <c r="G169" s="191">
        <v>288.29691554999999</v>
      </c>
      <c r="H169" s="191">
        <v>1.5843005275636597</v>
      </c>
      <c r="I169" s="191">
        <v>427.38138985999996</v>
      </c>
      <c r="J169" s="191">
        <v>2.3486222880128489</v>
      </c>
      <c r="K169" s="191">
        <v>2776.5025821700001</v>
      </c>
      <c r="L169" s="191">
        <v>15.257931210682338</v>
      </c>
      <c r="M169" s="191">
        <v>1212.4725716400001</v>
      </c>
      <c r="N169" s="191">
        <v>6.6629950974018302</v>
      </c>
      <c r="O169" s="191">
        <v>1243.9262313699999</v>
      </c>
      <c r="P169" s="191">
        <v>6.83584484714327</v>
      </c>
      <c r="Q169" s="191">
        <v>6932.6727854159999</v>
      </c>
      <c r="R169" s="191">
        <v>38.097657515367736</v>
      </c>
      <c r="S169" s="191">
        <v>1573.5</v>
      </c>
      <c r="T169" s="191">
        <f t="shared" si="134"/>
        <v>8.6469772850867344</v>
      </c>
      <c r="U169" s="191">
        <v>12.541814710000001</v>
      </c>
      <c r="V169" s="191">
        <v>6.8922012654043005E-2</v>
      </c>
      <c r="W169" s="191">
        <v>0.82492617000000013</v>
      </c>
      <c r="X169" s="191">
        <v>4.5332811273362562E-3</v>
      </c>
      <c r="Y169" s="682">
        <v>269.82203649999525</v>
      </c>
      <c r="Z169" s="191">
        <v>1.4532801877634229</v>
      </c>
      <c r="AA169" s="191">
        <v>781.70088365000004</v>
      </c>
      <c r="AB169" s="191">
        <v>4.2957418396274409</v>
      </c>
      <c r="AC169" s="686">
        <v>82.826630859999995</v>
      </c>
      <c r="AD169" s="191">
        <v>0.45516364515200758</v>
      </c>
      <c r="AE169" s="191">
        <v>6.4989700699999995</v>
      </c>
      <c r="AF169" s="191">
        <v>3.5714297153955223E-2</v>
      </c>
      <c r="AG169" s="191">
        <v>27.126107529999999</v>
      </c>
      <c r="AH169" s="191">
        <v>0.14906821458197028</v>
      </c>
      <c r="AI169" s="191">
        <v>418.63323157999997</v>
      </c>
    </row>
    <row r="170" spans="1:35">
      <c r="A170" s="679" t="s">
        <v>23</v>
      </c>
      <c r="B170" s="191">
        <v>18434.217382689993</v>
      </c>
      <c r="C170" s="191">
        <v>1539.7624078840001</v>
      </c>
      <c r="D170" s="191">
        <v>8.3527408618380523</v>
      </c>
      <c r="E170" s="191">
        <v>2681.4022174800002</v>
      </c>
      <c r="F170" s="191">
        <v>14.54578820361464</v>
      </c>
      <c r="G170" s="191">
        <v>388.92222698</v>
      </c>
      <c r="H170" s="191">
        <v>2.1097843152549771</v>
      </c>
      <c r="I170" s="191">
        <v>424.80752186000007</v>
      </c>
      <c r="J170" s="191">
        <v>2.3044510816005714</v>
      </c>
      <c r="K170" s="191">
        <v>2621.6343526000001</v>
      </c>
      <c r="L170" s="191">
        <v>14.221565788096619</v>
      </c>
      <c r="M170" s="191">
        <v>1326.6429550099999</v>
      </c>
      <c r="N170" s="191">
        <v>7.1966329107941274</v>
      </c>
      <c r="O170" s="191">
        <v>1273.6551353200002</v>
      </c>
      <c r="P170" s="191">
        <v>6.9091901699932308</v>
      </c>
      <c r="Q170" s="191">
        <v>6911.8634902159993</v>
      </c>
      <c r="R170" s="191">
        <v>37.494748742120962</v>
      </c>
      <c r="S170" s="191">
        <v>1588.4</v>
      </c>
      <c r="T170" s="191">
        <f t="shared" si="134"/>
        <v>8.6165849464894091</v>
      </c>
      <c r="U170" s="191">
        <v>17.42135008</v>
      </c>
      <c r="V170" s="191">
        <v>9.4505504184619796E-2</v>
      </c>
      <c r="W170" s="191">
        <v>0.86251486999999993</v>
      </c>
      <c r="X170" s="191">
        <v>4.6788797815193088E-3</v>
      </c>
      <c r="Y170" s="682">
        <v>294.44803792999073</v>
      </c>
      <c r="Z170" s="191">
        <v>1.5859175380935793</v>
      </c>
      <c r="AA170" s="191">
        <v>833.58463786000004</v>
      </c>
      <c r="AB170" s="191">
        <v>4.5219421066540564</v>
      </c>
      <c r="AC170" s="686">
        <v>83.350034370000003</v>
      </c>
      <c r="AD170" s="191">
        <v>0.45214848365771654</v>
      </c>
      <c r="AE170" s="191">
        <v>9.6992505399999995</v>
      </c>
      <c r="AF170" s="191">
        <v>5.2615472296142836E-2</v>
      </c>
      <c r="AG170" s="191">
        <v>26.161249689999998</v>
      </c>
      <c r="AH170" s="191">
        <v>0.14191679064480278</v>
      </c>
      <c r="AI170" s="191">
        <v>400.25701327999997</v>
      </c>
    </row>
    <row r="171" spans="1:35">
      <c r="A171" s="679" t="s">
        <v>24</v>
      </c>
      <c r="B171" s="191">
        <v>16713.351003940003</v>
      </c>
      <c r="C171" s="191">
        <v>1504.4260400999999</v>
      </c>
      <c r="D171" s="191">
        <v>9.0013429368254556</v>
      </c>
      <c r="E171" s="191">
        <v>2565.3330977300002</v>
      </c>
      <c r="F171" s="191">
        <v>15.349005098530204</v>
      </c>
      <c r="G171" s="191">
        <v>371.62136804000005</v>
      </c>
      <c r="H171" s="191">
        <v>2.223500050662456</v>
      </c>
      <c r="I171" s="191">
        <v>400.10402630999988</v>
      </c>
      <c r="J171" s="191">
        <v>2.3939186475272338</v>
      </c>
      <c r="K171" s="191">
        <v>2018.88260926</v>
      </c>
      <c r="L171" s="191">
        <v>12.079460359469916</v>
      </c>
      <c r="M171" s="191">
        <v>1307.0735909099999</v>
      </c>
      <c r="N171" s="191">
        <v>7.820535753732873</v>
      </c>
      <c r="O171" s="191">
        <v>1156.6308325899997</v>
      </c>
      <c r="P171" s="191">
        <v>6.920400536776472</v>
      </c>
      <c r="Q171" s="191">
        <v>6237.4137732999989</v>
      </c>
      <c r="R171" s="191">
        <v>37.319947219618562</v>
      </c>
      <c r="S171" s="191">
        <v>1491.3</v>
      </c>
      <c r="T171" s="191">
        <f t="shared" si="134"/>
        <v>8.9228066810087405</v>
      </c>
      <c r="U171" s="191">
        <v>26.128350529999999</v>
      </c>
      <c r="V171" s="191">
        <v>0.15633220725060165</v>
      </c>
      <c r="W171" s="191">
        <v>0.44299424999999998</v>
      </c>
      <c r="X171" s="191">
        <v>2.6505411745111353E-3</v>
      </c>
      <c r="Y171" s="682">
        <v>299.9715893300064</v>
      </c>
      <c r="Z171" s="191">
        <v>1.615667768726561</v>
      </c>
      <c r="AA171" s="191">
        <v>710.03892450000001</v>
      </c>
      <c r="AB171" s="191">
        <v>4.2483337083785022</v>
      </c>
      <c r="AC171" s="686">
        <v>88.805951989999997</v>
      </c>
      <c r="AD171" s="191">
        <v>0.53134737593355696</v>
      </c>
      <c r="AE171" s="191">
        <v>5.7230263499999996</v>
      </c>
      <c r="AF171" s="191">
        <v>3.4242243513289791E-2</v>
      </c>
      <c r="AG171" s="191">
        <v>20.754828750000001</v>
      </c>
      <c r="AH171" s="191">
        <v>0.12418113366438162</v>
      </c>
      <c r="AI171" s="191">
        <v>388.70793996999998</v>
      </c>
    </row>
    <row r="172" spans="1:35">
      <c r="A172" s="679" t="s">
        <v>25</v>
      </c>
      <c r="B172" s="191">
        <v>16839.653401849999</v>
      </c>
      <c r="C172" s="191">
        <v>1592.87461192</v>
      </c>
      <c r="D172" s="191">
        <v>9.4590700527423408</v>
      </c>
      <c r="E172" s="191">
        <v>2504.0081794400003</v>
      </c>
      <c r="F172" s="191">
        <v>14.86971328735846</v>
      </c>
      <c r="G172" s="191">
        <v>370.30636047999997</v>
      </c>
      <c r="H172" s="191">
        <v>2.1990141462134738</v>
      </c>
      <c r="I172" s="191">
        <v>400.71504891999996</v>
      </c>
      <c r="J172" s="191">
        <v>2.3795920222204665</v>
      </c>
      <c r="K172" s="191">
        <v>2021.0706515000002</v>
      </c>
      <c r="L172" s="191">
        <v>12.001854214398296</v>
      </c>
      <c r="M172" s="191">
        <v>1321.3646400999999</v>
      </c>
      <c r="N172" s="191">
        <v>7.8467448739463679</v>
      </c>
      <c r="O172" s="191">
        <v>1175.8362199200001</v>
      </c>
      <c r="P172" s="191">
        <v>6.9825440694095464</v>
      </c>
      <c r="Q172" s="191">
        <v>6272.7068735100002</v>
      </c>
      <c r="R172" s="191">
        <v>37.249619833748376</v>
      </c>
      <c r="S172" s="191">
        <v>1592.1</v>
      </c>
      <c r="T172" s="191">
        <f t="shared" si="134"/>
        <v>9.4544701248132128</v>
      </c>
      <c r="U172" s="191">
        <v>26.451566679999999</v>
      </c>
      <c r="V172" s="191">
        <v>0.1570790446143864</v>
      </c>
      <c r="W172" s="191">
        <v>0.47333585</v>
      </c>
      <c r="X172" s="191">
        <v>2.8108408095145203E-3</v>
      </c>
      <c r="Y172" s="682">
        <v>304.2095440099979</v>
      </c>
      <c r="Z172" s="191">
        <v>1.6384936863312229</v>
      </c>
      <c r="AA172" s="191">
        <v>737.21243791999996</v>
      </c>
      <c r="AB172" s="191">
        <v>4.377836172322942</v>
      </c>
      <c r="AC172" s="686">
        <v>86.590754149999995</v>
      </c>
      <c r="AD172" s="191">
        <v>0.51420746070989298</v>
      </c>
      <c r="AE172" s="191">
        <v>4.6122983</v>
      </c>
      <c r="AF172" s="191">
        <v>2.7389508500770533E-2</v>
      </c>
      <c r="AG172" s="191">
        <v>21.220879150000002</v>
      </c>
      <c r="AH172" s="191">
        <v>0.12601731546130684</v>
      </c>
      <c r="AI172" s="191">
        <v>433.66405376</v>
      </c>
    </row>
    <row r="173" spans="1:35">
      <c r="A173" s="679" t="s">
        <v>26</v>
      </c>
      <c r="B173" s="191">
        <v>16785.056773860004</v>
      </c>
      <c r="C173" s="191">
        <v>1597.3169740999997</v>
      </c>
      <c r="D173" s="191">
        <v>9.51630367189202</v>
      </c>
      <c r="E173" s="191">
        <v>2555.4719370200005</v>
      </c>
      <c r="F173" s="191">
        <v>15.224684500321336</v>
      </c>
      <c r="G173" s="191">
        <v>371.99337359000009</v>
      </c>
      <c r="H173" s="191">
        <v>2.2162175475588457</v>
      </c>
      <c r="I173" s="191">
        <v>409.73824252999998</v>
      </c>
      <c r="J173" s="191">
        <v>2.4410894050004086</v>
      </c>
      <c r="K173" s="191">
        <v>1954.7948936799999</v>
      </c>
      <c r="L173" s="191">
        <v>11.646042786845232</v>
      </c>
      <c r="M173" s="191">
        <v>1333.1654199099999</v>
      </c>
      <c r="N173" s="191">
        <v>7.9425731939506345</v>
      </c>
      <c r="O173" s="191">
        <v>1163.1408173799998</v>
      </c>
      <c r="P173" s="191">
        <v>6.9296209899712844</v>
      </c>
      <c r="Q173" s="191">
        <v>6192.4901740999994</v>
      </c>
      <c r="R173" s="191">
        <v>36.892875952280342</v>
      </c>
      <c r="S173" s="191">
        <v>1650.46289</v>
      </c>
      <c r="T173" s="191">
        <f t="shared" si="134"/>
        <v>9.8329300415017205</v>
      </c>
      <c r="U173" s="191">
        <v>26.04308451</v>
      </c>
      <c r="V173" s="191">
        <v>0.15515636831540464</v>
      </c>
      <c r="W173" s="191">
        <v>0.32957281999999993</v>
      </c>
      <c r="X173" s="191">
        <v>1.9634894563672609E-3</v>
      </c>
      <c r="Y173" s="682">
        <v>310.04375707000565</v>
      </c>
      <c r="Z173" s="191">
        <v>1.6699171621943592</v>
      </c>
      <c r="AA173" s="191">
        <v>741.48234133000005</v>
      </c>
      <c r="AB173" s="191">
        <v>4.417514646031691</v>
      </c>
      <c r="AC173" s="686">
        <v>103.04668011999999</v>
      </c>
      <c r="AD173" s="191">
        <v>0.61391916338631891</v>
      </c>
      <c r="AE173" s="191">
        <v>7.8954057100000004</v>
      </c>
      <c r="AF173" s="191">
        <v>4.7038302082455928E-2</v>
      </c>
      <c r="AG173" s="191">
        <v>18.104099989999998</v>
      </c>
      <c r="AH173" s="191">
        <v>0.10785843762050415</v>
      </c>
      <c r="AI173" s="191">
        <v>408.30885190999999</v>
      </c>
    </row>
    <row r="174" spans="1:35">
      <c r="A174" s="679" t="s">
        <v>27</v>
      </c>
      <c r="B174" s="191">
        <v>15820.032012370004</v>
      </c>
      <c r="C174" s="191">
        <v>1375.5964992800004</v>
      </c>
      <c r="D174" s="191">
        <v>8.6952826530590688</v>
      </c>
      <c r="E174" s="191">
        <v>2483.30053967</v>
      </c>
      <c r="F174" s="191">
        <v>15.697190357947802</v>
      </c>
      <c r="G174" s="191">
        <v>366.35758547</v>
      </c>
      <c r="H174" s="191">
        <v>2.3157828326993117</v>
      </c>
      <c r="I174" s="191">
        <v>402.75996007999998</v>
      </c>
      <c r="J174" s="191">
        <v>2.5458858728292952</v>
      </c>
      <c r="K174" s="191">
        <v>1820.3935156000002</v>
      </c>
      <c r="L174" s="191">
        <v>11.506888950519174</v>
      </c>
      <c r="M174" s="191">
        <v>1211.1274567599999</v>
      </c>
      <c r="N174" s="191">
        <v>7.655657433644854</v>
      </c>
      <c r="O174" s="191">
        <v>1164.8543071899999</v>
      </c>
      <c r="P174" s="191">
        <v>7.3631602406314762</v>
      </c>
      <c r="Q174" s="191">
        <v>5906.0716317400002</v>
      </c>
      <c r="R174" s="191">
        <v>37.332867766145625</v>
      </c>
      <c r="S174" s="191">
        <v>1660.8</v>
      </c>
      <c r="T174" s="191">
        <f t="shared" si="134"/>
        <v>10.498082422977316</v>
      </c>
      <c r="U174" s="191">
        <v>25.498668590000001</v>
      </c>
      <c r="V174" s="191">
        <v>0.16117962700746796</v>
      </c>
      <c r="W174" s="191">
        <v>0.38195142999999998</v>
      </c>
      <c r="X174" s="191">
        <v>2.4143530790667455E-3</v>
      </c>
      <c r="Y174" s="682">
        <v>213.99930573000501</v>
      </c>
      <c r="Z174" s="191">
        <v>1.1526150912160553</v>
      </c>
      <c r="AA174" s="191">
        <v>747.56771261000006</v>
      </c>
      <c r="AB174" s="191">
        <v>4.7254500624617046</v>
      </c>
      <c r="AC174" s="686">
        <v>80.436928269999996</v>
      </c>
      <c r="AD174" s="191">
        <v>0.50844984515268188</v>
      </c>
      <c r="AE174" s="191">
        <v>5.1925049200000002</v>
      </c>
      <c r="AF174" s="191">
        <v>3.2822341420926805E-2</v>
      </c>
      <c r="AG174" s="191">
        <v>16.493445030000004</v>
      </c>
      <c r="AH174" s="191">
        <v>0.10425671084042967</v>
      </c>
      <c r="AI174" s="191">
        <v>378.11990868999999</v>
      </c>
    </row>
    <row r="175" spans="1:35">
      <c r="A175" s="679" t="s">
        <v>28</v>
      </c>
      <c r="B175" s="191">
        <v>16275.489472970001</v>
      </c>
      <c r="C175" s="191">
        <v>1442.34083448</v>
      </c>
      <c r="D175" s="191">
        <v>8.8620427476261785</v>
      </c>
      <c r="E175" s="191">
        <v>2382.9245671399999</v>
      </c>
      <c r="F175" s="191">
        <v>14.641185268790299</v>
      </c>
      <c r="G175" s="191">
        <v>601.83107380999991</v>
      </c>
      <c r="H175" s="191">
        <v>3.6977755711096036</v>
      </c>
      <c r="I175" s="191">
        <v>421.78445413999998</v>
      </c>
      <c r="J175" s="191">
        <v>2.5915316085607807</v>
      </c>
      <c r="K175" s="191">
        <v>1891.2086788300003</v>
      </c>
      <c r="L175" s="191">
        <v>11.619980351256906</v>
      </c>
      <c r="M175" s="191">
        <v>1240.8080833099998</v>
      </c>
      <c r="N175" s="191">
        <v>7.6237835142882089</v>
      </c>
      <c r="O175" s="191">
        <v>1233.7745069099999</v>
      </c>
      <c r="P175" s="191">
        <v>7.5805677547150108</v>
      </c>
      <c r="Q175" s="191">
        <v>5928.2283597900005</v>
      </c>
      <c r="R175" s="191">
        <v>36.424270800798219</v>
      </c>
      <c r="S175" s="191">
        <v>1694.4621032100001</v>
      </c>
      <c r="T175" s="191">
        <f t="shared" si="134"/>
        <v>10.411128378191808</v>
      </c>
      <c r="U175" s="191">
        <v>25.730262100000001</v>
      </c>
      <c r="V175" s="191">
        <v>0.15809209389820375</v>
      </c>
      <c r="W175" s="191">
        <v>0.12848107000000003</v>
      </c>
      <c r="X175" s="191">
        <v>7.8941447637183965E-4</v>
      </c>
      <c r="Y175" s="682">
        <v>221.79546790000151</v>
      </c>
      <c r="Z175" s="191">
        <v>1.1946057609523533</v>
      </c>
      <c r="AA175" s="191">
        <v>778.00503289999995</v>
      </c>
      <c r="AB175" s="191">
        <v>4.7802250997863673</v>
      </c>
      <c r="AC175" s="686">
        <v>85.587853460000005</v>
      </c>
      <c r="AD175" s="191">
        <v>0.52586961272127974</v>
      </c>
      <c r="AE175" s="191">
        <v>5.6588436</v>
      </c>
      <c r="AF175" s="191">
        <v>3.4769114682529773E-2</v>
      </c>
      <c r="AG175" s="191">
        <v>15.68297353</v>
      </c>
      <c r="AH175" s="191">
        <v>9.6359458534540296E-2</v>
      </c>
      <c r="AI175" s="191">
        <v>392.88928897</v>
      </c>
    </row>
    <row r="176" spans="1:35">
      <c r="A176" s="679" t="s">
        <v>29</v>
      </c>
      <c r="B176" s="191">
        <v>16444.561727330001</v>
      </c>
      <c r="C176" s="191">
        <v>1472.5995942200004</v>
      </c>
      <c r="D176" s="191">
        <v>8.9549336652287739</v>
      </c>
      <c r="E176" s="191">
        <v>2467.0027956899999</v>
      </c>
      <c r="F176" s="191">
        <v>15.00193703301907</v>
      </c>
      <c r="G176" s="191">
        <v>596.22871301999999</v>
      </c>
      <c r="H176" s="191">
        <v>3.6256892880829965</v>
      </c>
      <c r="I176" s="191">
        <v>441.26909290999993</v>
      </c>
      <c r="J176" s="191">
        <v>2.6833739945567157</v>
      </c>
      <c r="K176" s="191">
        <v>1908.56788125</v>
      </c>
      <c r="L176" s="191">
        <v>11.606073259332049</v>
      </c>
      <c r="M176" s="191">
        <v>1265.5546495100002</v>
      </c>
      <c r="N176" s="191">
        <v>7.6958855486352951</v>
      </c>
      <c r="O176" s="191">
        <v>1271.1043572999999</v>
      </c>
      <c r="P176" s="191">
        <v>7.7296335309897071</v>
      </c>
      <c r="Q176" s="191">
        <v>5858.7337056699998</v>
      </c>
      <c r="R176" s="191">
        <v>35.627180601189821</v>
      </c>
      <c r="S176" s="191">
        <v>1703.4574499999999</v>
      </c>
      <c r="T176" s="191">
        <f t="shared" si="134"/>
        <v>10.35878899204071</v>
      </c>
      <c r="U176" s="191">
        <v>25.581052979999999</v>
      </c>
      <c r="V176" s="191">
        <v>0.15555934785106268</v>
      </c>
      <c r="W176" s="191">
        <v>0.86648340000000013</v>
      </c>
      <c r="X176" s="191">
        <v>5.2691182311046334E-3</v>
      </c>
      <c r="Y176" s="682">
        <v>198.09825160999975</v>
      </c>
      <c r="Z176" s="191">
        <v>1.0669709117527593</v>
      </c>
      <c r="AA176" s="191">
        <v>837.33076181000001</v>
      </c>
      <c r="AB176" s="191">
        <v>5.0918399389045446</v>
      </c>
      <c r="AC176" s="686">
        <v>82.34059705</v>
      </c>
      <c r="AD176" s="191">
        <v>0.500716275783466</v>
      </c>
      <c r="AE176" s="191">
        <v>6.9581468499999994</v>
      </c>
      <c r="AF176" s="191">
        <v>4.2312753391511332E-2</v>
      </c>
      <c r="AG176" s="191">
        <v>12.32564406</v>
      </c>
      <c r="AH176" s="191">
        <v>7.495270633765462E-2</v>
      </c>
      <c r="AI176" s="191">
        <v>493.77563256000002</v>
      </c>
    </row>
    <row r="177" spans="1:35">
      <c r="A177" s="679" t="s">
        <v>1915</v>
      </c>
      <c r="B177" s="283">
        <v>11757.786958620001</v>
      </c>
      <c r="C177" s="283">
        <v>1626.7461591053998</v>
      </c>
      <c r="D177" s="283">
        <v>13.835479115504651</v>
      </c>
      <c r="E177" s="283">
        <v>2069.2089661499999</v>
      </c>
      <c r="F177" s="283">
        <v>17.598626114185528</v>
      </c>
      <c r="G177" s="283">
        <v>315.473367</v>
      </c>
      <c r="H177" s="283">
        <v>2.6831015743886786</v>
      </c>
      <c r="I177" s="283">
        <v>429.24484704000002</v>
      </c>
      <c r="J177" s="283">
        <v>3.650728224203001</v>
      </c>
      <c r="K177" s="283">
        <v>546.19935485999997</v>
      </c>
      <c r="L177" s="283">
        <v>4.6454265312195009</v>
      </c>
      <c r="M177" s="283">
        <v>621.19473878999997</v>
      </c>
      <c r="N177" s="283">
        <v>5.2832624113382378</v>
      </c>
      <c r="O177" s="283">
        <v>1126.7102225399999</v>
      </c>
      <c r="P177" s="283">
        <v>9.5826725429309931</v>
      </c>
      <c r="Q177" s="283">
        <v>4606.4676968645999</v>
      </c>
      <c r="R177" s="283">
        <v>39.178016348454541</v>
      </c>
      <c r="S177" s="283">
        <v>1737.27283257</v>
      </c>
      <c r="T177" s="283">
        <v>14.775508679346764</v>
      </c>
      <c r="U177" s="283">
        <v>54.43873468999999</v>
      </c>
      <c r="V177" s="283">
        <v>0.46300154001420524</v>
      </c>
      <c r="W177" s="283">
        <v>1.0507229</v>
      </c>
      <c r="X177" s="283">
        <v>8.9364002230851967E-3</v>
      </c>
      <c r="Y177" s="684">
        <f t="shared" ref="Y177" si="135">((B177-C177-E177-G177-I177-K177-M177-W177-O177-Q177-U177-AA177-AC177-AE177-AG177))</f>
        <v>146.752711860001</v>
      </c>
      <c r="Z177" s="283">
        <v>1.2481320879216304</v>
      </c>
      <c r="AA177" s="283">
        <v>185.00134285000001</v>
      </c>
      <c r="AB177" s="283">
        <v>1.573436765788393</v>
      </c>
      <c r="AC177" s="283">
        <v>0.50894074</v>
      </c>
      <c r="AD177" s="283">
        <v>4.3285419423838055E-3</v>
      </c>
      <c r="AE177" s="283">
        <v>9.1111433300000009</v>
      </c>
      <c r="AF177" s="283">
        <v>7.7490291005148176E-2</v>
      </c>
      <c r="AG177" s="283">
        <v>19.678009899999999</v>
      </c>
      <c r="AH177" s="283">
        <v>0.16736151088001672</v>
      </c>
      <c r="AI177" s="283">
        <v>200.48204397999999</v>
      </c>
    </row>
    <row r="178" spans="1:35">
      <c r="A178" s="679" t="s">
        <v>18</v>
      </c>
      <c r="B178" s="191">
        <v>16705.157127140879</v>
      </c>
      <c r="C178" s="191">
        <v>1633.0919814715185</v>
      </c>
      <c r="D178" s="191">
        <v>9.8000000000000007</v>
      </c>
      <c r="E178" s="191">
        <v>2432.1883911200002</v>
      </c>
      <c r="F178" s="191">
        <v>14.559506220797063</v>
      </c>
      <c r="G178" s="191">
        <v>456.45552760999999</v>
      </c>
      <c r="H178" s="191">
        <v>2.7324228328771385</v>
      </c>
      <c r="I178" s="191">
        <v>447.62134210999994</v>
      </c>
      <c r="J178" s="191">
        <v>2.6795398493004852</v>
      </c>
      <c r="K178" s="191">
        <v>1988.4771307599999</v>
      </c>
      <c r="L178" s="191">
        <v>11.903372806528829</v>
      </c>
      <c r="M178" s="191">
        <v>1300.9434022400001</v>
      </c>
      <c r="N178" s="191">
        <v>7.7876753408464294</v>
      </c>
      <c r="O178" s="191">
        <v>1396.5374278200002</v>
      </c>
      <c r="P178" s="191">
        <v>8.3599179414544089</v>
      </c>
      <c r="Q178" s="191">
        <v>5814.0239082193621</v>
      </c>
      <c r="R178" s="191">
        <v>34.803766668996566</v>
      </c>
      <c r="S178" s="191">
        <v>1711.7619999999999</v>
      </c>
      <c r="T178" s="191">
        <f t="shared" si="134"/>
        <v>10.246907508693223</v>
      </c>
      <c r="U178" s="191">
        <v>26.687103869999998</v>
      </c>
      <c r="V178" s="191">
        <v>0.15975368364923334</v>
      </c>
      <c r="W178" s="191">
        <v>1.1237447199999999</v>
      </c>
      <c r="X178" s="191">
        <v>6.7269329551785609E-3</v>
      </c>
      <c r="Y178" s="682">
        <v>176.58580401999848</v>
      </c>
      <c r="Z178" s="191">
        <v>1.0570735891678589</v>
      </c>
      <c r="AA178" s="191">
        <v>916.53184925000005</v>
      </c>
      <c r="AB178" s="191">
        <v>5.4865203737647592</v>
      </c>
      <c r="AC178" s="191">
        <v>104.35102718</v>
      </c>
      <c r="AD178" s="191">
        <v>0.62466354782416755</v>
      </c>
      <c r="AE178" s="191">
        <v>5.2209040200000008</v>
      </c>
      <c r="AF178" s="191">
        <v>3.1253247007881145E-2</v>
      </c>
      <c r="AG178" s="191">
        <v>5.3175827299999998</v>
      </c>
      <c r="AH178" s="191">
        <v>3.1831982719638836E-2</v>
      </c>
      <c r="AI178" s="191">
        <v>505.58008373999996</v>
      </c>
    </row>
    <row r="179" spans="1:35">
      <c r="A179" s="679" t="s">
        <v>19</v>
      </c>
      <c r="B179" s="191">
        <v>15878.566380650882</v>
      </c>
      <c r="C179" s="191">
        <v>1556.4403998315188</v>
      </c>
      <c r="D179" s="191">
        <v>9.802146884797784</v>
      </c>
      <c r="E179" s="191">
        <v>2313.3581660300006</v>
      </c>
      <c r="F179" s="191">
        <v>14.569061907559774</v>
      </c>
      <c r="G179" s="191">
        <v>416.11039373999995</v>
      </c>
      <c r="H179" s="191">
        <v>2.6205791112669901</v>
      </c>
      <c r="I179" s="191">
        <v>449.25813369000002</v>
      </c>
      <c r="J179" s="191">
        <v>2.8293368741239244</v>
      </c>
      <c r="K179" s="191">
        <v>1910.7982732099999</v>
      </c>
      <c r="L179" s="191">
        <v>12.033821110817902</v>
      </c>
      <c r="M179" s="191">
        <v>1256.8620616200003</v>
      </c>
      <c r="N179" s="191">
        <v>7.9154630933909287</v>
      </c>
      <c r="O179" s="191">
        <v>1269.7328849800001</v>
      </c>
      <c r="P179" s="191">
        <v>7.9965209360919154</v>
      </c>
      <c r="Q179" s="191">
        <v>5528.6464069993617</v>
      </c>
      <c r="R179" s="191">
        <v>34.818297033014233</v>
      </c>
      <c r="S179" s="191">
        <v>1696.1</v>
      </c>
      <c r="T179" s="191">
        <f t="shared" si="134"/>
        <v>10.681694803800509</v>
      </c>
      <c r="U179" s="191">
        <v>24.691808430000002</v>
      </c>
      <c r="V179" s="191">
        <v>0.15550401615657605</v>
      </c>
      <c r="W179" s="191">
        <v>0.85797978000000008</v>
      </c>
      <c r="X179" s="191">
        <v>5.4033831482765797E-3</v>
      </c>
      <c r="Y179" s="682">
        <v>203.39080674999749</v>
      </c>
      <c r="Z179" s="191">
        <v>1.2809141699205484</v>
      </c>
      <c r="AA179" s="191">
        <v>837.5540947500001</v>
      </c>
      <c r="AB179" s="191">
        <v>5.2747463131849051</v>
      </c>
      <c r="AC179" s="191">
        <v>92.593869999999995</v>
      </c>
      <c r="AD179" s="191">
        <v>0.62466354782416755</v>
      </c>
      <c r="AE179" s="191">
        <v>6.4923982200000001</v>
      </c>
      <c r="AF179" s="191">
        <v>4.0887811055231225E-2</v>
      </c>
      <c r="AG179" s="191">
        <v>11.778702619999999</v>
      </c>
      <c r="AH179" s="191">
        <v>7.4179887136115466E-2</v>
      </c>
      <c r="AI179" s="191">
        <v>351.91985068999998</v>
      </c>
    </row>
    <row r="180" spans="1:35">
      <c r="A180" s="679" t="s">
        <v>20</v>
      </c>
      <c r="B180" s="191">
        <v>15533.337990800879</v>
      </c>
      <c r="C180" s="191">
        <v>1590.3156047015189</v>
      </c>
      <c r="D180" s="191">
        <v>10.238080222314947</v>
      </c>
      <c r="E180" s="191">
        <v>2208.9530268800004</v>
      </c>
      <c r="F180" s="191">
        <v>14.220723376959812</v>
      </c>
      <c r="G180" s="191">
        <v>412.99326904999998</v>
      </c>
      <c r="H180" s="191">
        <v>2.6587541537728852</v>
      </c>
      <c r="I180" s="191">
        <v>449.73344159000004</v>
      </c>
      <c r="J180" s="191">
        <v>2.8952787987768001</v>
      </c>
      <c r="K180" s="191">
        <v>1878.1199399699999</v>
      </c>
      <c r="L180" s="191">
        <v>12.090897275796458</v>
      </c>
      <c r="M180" s="191">
        <v>1206.82030212</v>
      </c>
      <c r="N180" s="191">
        <v>7.7692270832882189</v>
      </c>
      <c r="O180" s="191">
        <v>1227.9482004599997</v>
      </c>
      <c r="P180" s="191">
        <v>7.9052435554239064</v>
      </c>
      <c r="Q180" s="191">
        <v>5393.342772469362</v>
      </c>
      <c r="R180" s="191">
        <v>34.72108039922518</v>
      </c>
      <c r="S180" s="191">
        <v>1721.44100549112</v>
      </c>
      <c r="T180" s="191">
        <f t="shared" si="134"/>
        <v>11.082234909911753</v>
      </c>
      <c r="U180" s="191">
        <v>24.29545804</v>
      </c>
      <c r="V180" s="191">
        <v>0.15640848125746187</v>
      </c>
      <c r="W180" s="191">
        <v>0.83230442999999998</v>
      </c>
      <c r="X180" s="191">
        <v>5.3581814191702107E-3</v>
      </c>
      <c r="Y180" s="682">
        <v>197.96938175999983</v>
      </c>
      <c r="Z180" s="191">
        <v>1.2744806163185327</v>
      </c>
      <c r="AA180" s="191">
        <v>834.08220318000008</v>
      </c>
      <c r="AB180" s="191">
        <v>5.3696263074553485</v>
      </c>
      <c r="AC180" s="191">
        <v>89.57096605000001</v>
      </c>
      <c r="AD180" s="191">
        <v>0.5766369475964892</v>
      </c>
      <c r="AE180" s="191">
        <v>7.64377876</v>
      </c>
      <c r="AF180" s="191">
        <v>4.9208861382703334E-2</v>
      </c>
      <c r="AG180" s="191">
        <v>10.717341340000001</v>
      </c>
      <c r="AH180" s="191">
        <v>6.899573901209774E-2</v>
      </c>
      <c r="AI180" s="191">
        <v>337.94174466999993</v>
      </c>
    </row>
    <row r="181" spans="1:35">
      <c r="A181" s="679" t="s">
        <v>21</v>
      </c>
      <c r="B181" s="191">
        <v>15453.511481964539</v>
      </c>
      <c r="C181" s="191">
        <v>1594.0350948091698</v>
      </c>
      <c r="D181" s="191">
        <v>10.315034849325565</v>
      </c>
      <c r="E181" s="191">
        <v>2198.85558391</v>
      </c>
      <c r="F181" s="191">
        <v>14.228841040279013</v>
      </c>
      <c r="G181" s="191">
        <v>549.18912821000004</v>
      </c>
      <c r="H181" s="191">
        <v>3.5538144767352517</v>
      </c>
      <c r="I181" s="191">
        <v>448.99543146999997</v>
      </c>
      <c r="J181" s="191">
        <v>2.9054589437100615</v>
      </c>
      <c r="K181" s="191">
        <v>1863.7355609900001</v>
      </c>
      <c r="L181" s="191">
        <v>12.0602722764022</v>
      </c>
      <c r="M181" s="191">
        <v>1209.2591003900002</v>
      </c>
      <c r="N181" s="191">
        <v>7.8251412425020721</v>
      </c>
      <c r="O181" s="191">
        <v>1208.8966163100001</v>
      </c>
      <c r="P181" s="191">
        <v>7.8227956003454446</v>
      </c>
      <c r="Q181" s="191">
        <v>5230.1978226953688</v>
      </c>
      <c r="R181" s="191">
        <v>33.844720850658575</v>
      </c>
      <c r="S181" s="191">
        <v>1721.5024074640748</v>
      </c>
      <c r="T181" s="191">
        <f t="shared" si="134"/>
        <v>11.139878528405685</v>
      </c>
      <c r="U181" s="191">
        <v>24.054855759999999</v>
      </c>
      <c r="V181" s="191">
        <v>0.15565948094110457</v>
      </c>
      <c r="W181" s="191">
        <v>0.90448993</v>
      </c>
      <c r="X181" s="191">
        <v>5.852973487971396E-3</v>
      </c>
      <c r="Y181" s="682">
        <v>199.76183430999833</v>
      </c>
      <c r="Z181" s="191">
        <v>1.2926630594162114</v>
      </c>
      <c r="AA181" s="191">
        <v>824.36959184</v>
      </c>
      <c r="AB181" s="191">
        <v>5.3345130833345165</v>
      </c>
      <c r="AC181" s="191">
        <v>87.899573559999993</v>
      </c>
      <c r="AD181" s="191">
        <v>0.56880000162154543</v>
      </c>
      <c r="AE181" s="191">
        <v>4.0636253099999999</v>
      </c>
      <c r="AF181" s="191">
        <v>2.6295805420939896E-2</v>
      </c>
      <c r="AG181" s="191">
        <v>9.2931724699999982</v>
      </c>
      <c r="AH181" s="191">
        <v>6.0136315819520114E-2</v>
      </c>
      <c r="AI181" s="191">
        <v>252.08392524999999</v>
      </c>
    </row>
    <row r="182" spans="1:35">
      <c r="A182" s="679" t="s">
        <v>22</v>
      </c>
      <c r="B182" s="191">
        <v>14794.004973694538</v>
      </c>
      <c r="C182" s="191">
        <v>1739.7585750491703</v>
      </c>
      <c r="D182" s="191">
        <v>11.759889077654519</v>
      </c>
      <c r="E182" s="191">
        <v>2191.76009527</v>
      </c>
      <c r="F182" s="191">
        <v>14.815191012624398</v>
      </c>
      <c r="G182" s="191">
        <v>556.35645809999994</v>
      </c>
      <c r="H182" s="191">
        <v>3.7606885970990711</v>
      </c>
      <c r="I182" s="191">
        <v>438.52466076000002</v>
      </c>
      <c r="J182" s="191">
        <v>2.9642051732424579</v>
      </c>
      <c r="K182" s="191">
        <v>1756.9748668100003</v>
      </c>
      <c r="L182" s="191">
        <v>11.876262512646885</v>
      </c>
      <c r="M182" s="191">
        <v>1074.7136205200002</v>
      </c>
      <c r="N182" s="191">
        <v>7.2645211518514827</v>
      </c>
      <c r="O182" s="191">
        <v>1002.0524992200001</v>
      </c>
      <c r="P182" s="191">
        <v>6.7733686787436254</v>
      </c>
      <c r="Q182" s="191">
        <v>5165.5506237453683</v>
      </c>
      <c r="R182" s="191">
        <v>34.916512688283653</v>
      </c>
      <c r="S182" s="191">
        <v>1731.4693193514599</v>
      </c>
      <c r="T182" s="191">
        <f t="shared" si="134"/>
        <v>11.703857896696762</v>
      </c>
      <c r="U182" s="191">
        <v>24.147527599999997</v>
      </c>
      <c r="V182" s="191">
        <v>0.16322508774964664</v>
      </c>
      <c r="W182" s="191">
        <v>0.81735442000000003</v>
      </c>
      <c r="X182" s="191">
        <v>5.5249029688265701E-3</v>
      </c>
      <c r="Y182" s="682">
        <v>193.47472368000035</v>
      </c>
      <c r="Z182" s="191">
        <v>1.3077913926892746</v>
      </c>
      <c r="AA182" s="191">
        <v>603.15400468999997</v>
      </c>
      <c r="AB182" s="191">
        <v>4.0770163709048219</v>
      </c>
      <c r="AC182" s="191">
        <v>29.375546920000005</v>
      </c>
      <c r="AD182" s="191">
        <v>0.19856385726673165</v>
      </c>
      <c r="AE182" s="191">
        <v>6.5665530200000006</v>
      </c>
      <c r="AF182" s="191">
        <v>4.4386581129829926E-2</v>
      </c>
      <c r="AG182" s="191">
        <v>10.777863890000003</v>
      </c>
      <c r="AH182" s="191">
        <v>7.2852915144778568E-2</v>
      </c>
      <c r="AI182" s="191">
        <v>249.03715993</v>
      </c>
    </row>
    <row r="183" spans="1:35">
      <c r="A183" s="679" t="s">
        <v>23</v>
      </c>
      <c r="B183" s="191">
        <v>13881.99544171454</v>
      </c>
      <c r="C183" s="191">
        <v>1810.7102516691702</v>
      </c>
      <c r="D183" s="191">
        <v>13.043587712383895</v>
      </c>
      <c r="E183" s="191">
        <v>2177.3745664100006</v>
      </c>
      <c r="F183" s="191">
        <v>15.68488172721282</v>
      </c>
      <c r="G183" s="191">
        <v>548.81614588000002</v>
      </c>
      <c r="H183" s="191">
        <v>3.953438453313717</v>
      </c>
      <c r="I183" s="191">
        <v>433.91264772</v>
      </c>
      <c r="J183" s="191">
        <v>3.1257224477694274</v>
      </c>
      <c r="K183" s="191">
        <v>891.91796591000002</v>
      </c>
      <c r="L183" s="191">
        <v>6.4249982623524104</v>
      </c>
      <c r="M183" s="191">
        <v>1043.4518445799999</v>
      </c>
      <c r="N183" s="191">
        <v>7.5165839735438293</v>
      </c>
      <c r="O183" s="191">
        <v>1022.7665849</v>
      </c>
      <c r="P183" s="191">
        <v>7.3675761470620396</v>
      </c>
      <c r="Q183" s="191">
        <v>5092.7102832653682</v>
      </c>
      <c r="R183" s="191">
        <v>36.685722197848357</v>
      </c>
      <c r="S183" s="191">
        <v>1730.5488938209501</v>
      </c>
      <c r="T183" s="191">
        <f t="shared" si="134"/>
        <v>12.466139331963454</v>
      </c>
      <c r="U183" s="191">
        <v>22.635603250000003</v>
      </c>
      <c r="V183" s="191">
        <v>0.163057273322403</v>
      </c>
      <c r="W183" s="191">
        <v>3.6050990600000006</v>
      </c>
      <c r="X183" s="191">
        <v>2.5969602678062406E-2</v>
      </c>
      <c r="Y183" s="682">
        <v>193.89592575</v>
      </c>
      <c r="Z183" s="191">
        <v>1.396743908785294</v>
      </c>
      <c r="AA183" s="191">
        <v>594.01621124000008</v>
      </c>
      <c r="AB183" s="191">
        <v>4.2790405293969336</v>
      </c>
      <c r="AC183" s="191">
        <v>28.811967760000002</v>
      </c>
      <c r="AD183" s="191">
        <v>0.20754918038239528</v>
      </c>
      <c r="AE183" s="191">
        <v>9.5312415500000007</v>
      </c>
      <c r="AF183" s="191">
        <v>6.8659016565869257E-2</v>
      </c>
      <c r="AG183" s="191">
        <v>7.8391027700000002</v>
      </c>
      <c r="AH183" s="191">
        <v>5.6469567382539117E-2</v>
      </c>
      <c r="AI183" s="191">
        <v>230.82488024000003</v>
      </c>
    </row>
    <row r="184" spans="1:35">
      <c r="A184" s="679" t="s">
        <v>24</v>
      </c>
      <c r="B184" s="191">
        <v>12860.844876327879</v>
      </c>
      <c r="C184" s="191">
        <v>1812.8083793878807</v>
      </c>
      <c r="D184" s="191">
        <v>14.095562125351494</v>
      </c>
      <c r="E184" s="191">
        <v>2162.07498876</v>
      </c>
      <c r="F184" s="191">
        <v>16.81129824324054</v>
      </c>
      <c r="G184" s="191">
        <v>382.14144432000006</v>
      </c>
      <c r="H184" s="191">
        <v>2.9713556768216911</v>
      </c>
      <c r="I184" s="191">
        <v>451.76563483000001</v>
      </c>
      <c r="J184" s="191">
        <v>3.5127212805554917</v>
      </c>
      <c r="K184" s="191">
        <v>620.75840267000012</v>
      </c>
      <c r="L184" s="191">
        <v>4.8267311256711425</v>
      </c>
      <c r="M184" s="191">
        <v>639.03806921</v>
      </c>
      <c r="N184" s="191">
        <v>4.9688653844681374</v>
      </c>
      <c r="O184" s="191">
        <v>1059.3478198800001</v>
      </c>
      <c r="P184" s="191">
        <v>8.237000213180961</v>
      </c>
      <c r="Q184" s="191">
        <v>4965.9487587399999</v>
      </c>
      <c r="R184" s="191">
        <v>38.612927894655655</v>
      </c>
      <c r="S184" s="191">
        <v>1718.6468788899999</v>
      </c>
      <c r="T184" s="191">
        <f t="shared" si="134"/>
        <v>13.363405712585816</v>
      </c>
      <c r="U184" s="191">
        <v>28.949903320000001</v>
      </c>
      <c r="V184" s="191">
        <v>0.22510110026508603</v>
      </c>
      <c r="W184" s="191">
        <v>0.73333634000000003</v>
      </c>
      <c r="X184" s="191">
        <v>5.7020852599645655E-3</v>
      </c>
      <c r="Y184" s="682">
        <v>156.98297229999955</v>
      </c>
      <c r="Z184" s="191">
        <v>1.2206272123610471</v>
      </c>
      <c r="AA184" s="191">
        <v>561.67022979000001</v>
      </c>
      <c r="AB184" s="191">
        <v>4.3672887371795452</v>
      </c>
      <c r="AC184" s="191">
        <v>5.1087958499999999</v>
      </c>
      <c r="AD184" s="191">
        <v>3.9723641013689762E-2</v>
      </c>
      <c r="AE184" s="191">
        <v>4.7953018700000003</v>
      </c>
      <c r="AF184" s="191">
        <v>3.7286056368088231E-2</v>
      </c>
      <c r="AG184" s="191">
        <v>8.7208390599999994</v>
      </c>
      <c r="AH184" s="191">
        <v>6.7809223607477612E-2</v>
      </c>
      <c r="AI184" s="191">
        <v>229.55236088999999</v>
      </c>
    </row>
    <row r="185" spans="1:35">
      <c r="A185" s="679" t="s">
        <v>25</v>
      </c>
      <c r="B185" s="191">
        <v>12376.60371008788</v>
      </c>
      <c r="C185" s="191">
        <v>1823.9887068678806</v>
      </c>
      <c r="D185" s="191">
        <v>14.737392822727207</v>
      </c>
      <c r="E185" s="191">
        <v>2108.4797816700002</v>
      </c>
      <c r="F185" s="191">
        <v>17.036012714468896</v>
      </c>
      <c r="G185" s="191">
        <v>368.85814570999997</v>
      </c>
      <c r="H185" s="191">
        <v>2.9802856611572071</v>
      </c>
      <c r="I185" s="191">
        <v>463.37619149999995</v>
      </c>
      <c r="J185" s="191">
        <v>3.7439688815624992</v>
      </c>
      <c r="K185" s="191">
        <v>541.41683345000001</v>
      </c>
      <c r="L185" s="191">
        <v>4.3745186169991355</v>
      </c>
      <c r="M185" s="191">
        <v>643.94114029000002</v>
      </c>
      <c r="N185" s="191">
        <v>5.2028905132119458</v>
      </c>
      <c r="O185" s="191">
        <v>1062.6630561699999</v>
      </c>
      <c r="P185" s="191">
        <v>8.5860635200256752</v>
      </c>
      <c r="Q185" s="191">
        <v>4923.0254892399998</v>
      </c>
      <c r="R185" s="191">
        <v>39.776869362209254</v>
      </c>
      <c r="S185" s="191">
        <v>1719.94967961</v>
      </c>
      <c r="T185" s="191">
        <f t="shared" si="134"/>
        <v>13.896782347552335</v>
      </c>
      <c r="U185" s="191">
        <v>30.774173200000003</v>
      </c>
      <c r="V185" s="191">
        <v>0.24864796450513071</v>
      </c>
      <c r="W185" s="191">
        <v>0.98246247000000009</v>
      </c>
      <c r="X185" s="191">
        <v>7.9380619515127399E-3</v>
      </c>
      <c r="Y185" s="682">
        <v>157.38130712000137</v>
      </c>
      <c r="Z185" s="191">
        <v>1.2716033477885662</v>
      </c>
      <c r="AA185" s="191">
        <v>233.70096344999999</v>
      </c>
      <c r="AB185" s="191">
        <v>1.8882479307268745</v>
      </c>
      <c r="AC185" s="191">
        <v>5.1217363799999998</v>
      </c>
      <c r="AD185" s="191">
        <v>4.1382405868141292E-2</v>
      </c>
      <c r="AE185" s="191">
        <v>4.3786712799999998</v>
      </c>
      <c r="AF185" s="191">
        <v>3.5378617450852426E-2</v>
      </c>
      <c r="AG185" s="191">
        <v>8.5150512899999988</v>
      </c>
      <c r="AH185" s="191">
        <v>6.8799579347115877E-2</v>
      </c>
      <c r="AI185" s="191">
        <v>224.28651430000002</v>
      </c>
    </row>
    <row r="186" spans="1:35">
      <c r="A186" s="679" t="s">
        <v>26</v>
      </c>
      <c r="B186" s="191">
        <v>12437.248015267882</v>
      </c>
      <c r="C186" s="191">
        <v>1857.1320464578807</v>
      </c>
      <c r="D186" s="191">
        <v>14.932017470248063</v>
      </c>
      <c r="E186" s="191">
        <v>2201.8776762700004</v>
      </c>
      <c r="F186" s="191">
        <v>17.703897788055606</v>
      </c>
      <c r="G186" s="191">
        <v>358.21119185999999</v>
      </c>
      <c r="H186" s="191">
        <v>2.8801483368367529</v>
      </c>
      <c r="I186" s="191">
        <v>461.90863253000003</v>
      </c>
      <c r="J186" s="191">
        <v>3.713913495678177</v>
      </c>
      <c r="K186" s="191">
        <v>545.36222850000001</v>
      </c>
      <c r="L186" s="191">
        <v>4.3849107763270219</v>
      </c>
      <c r="M186" s="191">
        <v>637.74982553999996</v>
      </c>
      <c r="N186" s="191">
        <v>5.1277406766923246</v>
      </c>
      <c r="O186" s="191">
        <v>1060.9382462800002</v>
      </c>
      <c r="P186" s="191">
        <v>8.5303295791609166</v>
      </c>
      <c r="Q186" s="191">
        <v>4881.4658590100007</v>
      </c>
      <c r="R186" s="191">
        <v>39.248761888623157</v>
      </c>
      <c r="S186" s="191">
        <v>1719.9550818299999</v>
      </c>
      <c r="T186" s="191">
        <f t="shared" si="134"/>
        <v>13.829064755471585</v>
      </c>
      <c r="U186" s="191">
        <v>29.59538203</v>
      </c>
      <c r="V186" s="191">
        <v>0.23795764138231312</v>
      </c>
      <c r="W186" s="191">
        <v>0.69938106000000011</v>
      </c>
      <c r="X186" s="191">
        <v>5.6232782295685081E-3</v>
      </c>
      <c r="Y186" s="682">
        <v>157.91416146000026</v>
      </c>
      <c r="Z186" s="191">
        <v>1.2696873236438311</v>
      </c>
      <c r="AA186" s="191">
        <v>225.61981032</v>
      </c>
      <c r="AB186" s="191">
        <v>1.8140653787962628</v>
      </c>
      <c r="AC186" s="191">
        <v>3.11292437</v>
      </c>
      <c r="AD186" s="191">
        <v>2.5029044738664012E-2</v>
      </c>
      <c r="AE186" s="191">
        <v>6.4466103600000002</v>
      </c>
      <c r="AF186" s="191">
        <v>5.1833093238039349E-2</v>
      </c>
      <c r="AG186" s="191">
        <v>9.2140392199999983</v>
      </c>
      <c r="AH186" s="191">
        <v>7.408422834930127E-2</v>
      </c>
      <c r="AI186" s="191">
        <v>220.94180325999997</v>
      </c>
    </row>
    <row r="187" spans="1:35">
      <c r="A187" s="679" t="s">
        <v>27</v>
      </c>
      <c r="B187" s="191">
        <v>12152.182179499998</v>
      </c>
      <c r="C187" s="191">
        <v>1889.6276242253998</v>
      </c>
      <c r="D187" s="191">
        <v>15.549697958059649</v>
      </c>
      <c r="E187" s="191">
        <v>2118.1524096100002</v>
      </c>
      <c r="F187" s="191">
        <v>17.430222640861952</v>
      </c>
      <c r="G187" s="191">
        <v>319.46786714000001</v>
      </c>
      <c r="H187" s="191">
        <v>2.628893003915981</v>
      </c>
      <c r="I187" s="191">
        <v>454.40625962000001</v>
      </c>
      <c r="J187" s="191">
        <v>3.7392976249694154</v>
      </c>
      <c r="K187" s="191">
        <v>543.87370874999999</v>
      </c>
      <c r="L187" s="191">
        <v>4.4755230025063506</v>
      </c>
      <c r="M187" s="191">
        <v>624.05637154999999</v>
      </c>
      <c r="N187" s="191">
        <v>5.1353441080133377</v>
      </c>
      <c r="O187" s="191">
        <v>1069.4876785700001</v>
      </c>
      <c r="P187" s="191">
        <v>8.800787074885708</v>
      </c>
      <c r="Q187" s="191">
        <v>4681.265679194601</v>
      </c>
      <c r="R187" s="191">
        <v>38.522016951750572</v>
      </c>
      <c r="S187" s="191">
        <v>1718.9648375899999</v>
      </c>
      <c r="T187" s="191">
        <f t="shared" si="134"/>
        <v>14.145318200461068</v>
      </c>
      <c r="U187" s="191">
        <v>46.116938259999998</v>
      </c>
      <c r="V187" s="191">
        <v>0.37949511930290597</v>
      </c>
      <c r="W187" s="191">
        <v>0.70003311999999995</v>
      </c>
      <c r="X187" s="191">
        <v>5.7605548506416719E-3</v>
      </c>
      <c r="Y187" s="682">
        <v>159.2986100299959</v>
      </c>
      <c r="Z187" s="191">
        <v>1.310864235550411</v>
      </c>
      <c r="AA187" s="191">
        <v>219.66620195000002</v>
      </c>
      <c r="AB187" s="191">
        <v>1.807627623626016</v>
      </c>
      <c r="AC187" s="191">
        <v>1.8505475100000002</v>
      </c>
      <c r="AD187" s="191">
        <v>1.5228108685876705E-2</v>
      </c>
      <c r="AE187" s="191">
        <v>6.4766020500000003</v>
      </c>
      <c r="AF187" s="191">
        <v>5.3295794568695973E-2</v>
      </c>
      <c r="AG187" s="191">
        <v>17.735647919999998</v>
      </c>
      <c r="AH187" s="191">
        <v>0.14594619845248016</v>
      </c>
      <c r="AI187" s="191">
        <v>214.54393543</v>
      </c>
    </row>
    <row r="188" spans="1:35">
      <c r="A188" s="679" t="s">
        <v>28</v>
      </c>
      <c r="B188" s="191">
        <v>12226.17449557</v>
      </c>
      <c r="C188" s="191">
        <v>1890.3338067754</v>
      </c>
      <c r="D188" s="191">
        <v>15.461367801190296</v>
      </c>
      <c r="E188" s="191">
        <v>2105.5968643599995</v>
      </c>
      <c r="F188" s="191">
        <v>17.22204165434524</v>
      </c>
      <c r="G188" s="191">
        <v>412.15867679999997</v>
      </c>
      <c r="H188" s="191">
        <v>3.371117244804092</v>
      </c>
      <c r="I188" s="191">
        <v>452.46003726999999</v>
      </c>
      <c r="J188" s="191">
        <v>3.7007490563294612</v>
      </c>
      <c r="K188" s="191">
        <v>540.18684793999989</v>
      </c>
      <c r="L188" s="191">
        <v>4.4182818438893525</v>
      </c>
      <c r="M188" s="191">
        <v>634.47006240999997</v>
      </c>
      <c r="N188" s="191">
        <v>5.1894405943567401</v>
      </c>
      <c r="O188" s="191">
        <v>1069.57037728</v>
      </c>
      <c r="P188" s="191">
        <v>8.748201472730047</v>
      </c>
      <c r="Q188" s="191">
        <v>4672.2114963946005</v>
      </c>
      <c r="R188" s="191">
        <v>38.214827525057146</v>
      </c>
      <c r="S188" s="191">
        <v>1727.11176959</v>
      </c>
      <c r="T188" s="191">
        <f t="shared" si="134"/>
        <v>14.126346472609214</v>
      </c>
      <c r="U188" s="191">
        <v>45.974578739999998</v>
      </c>
      <c r="V188" s="191">
        <v>0.37603404692660247</v>
      </c>
      <c r="W188" s="191">
        <v>0.60282583000000001</v>
      </c>
      <c r="X188" s="191">
        <v>4.9306169335177272E-3</v>
      </c>
      <c r="Y188" s="682">
        <v>158.41378684000165</v>
      </c>
      <c r="Z188" s="191">
        <v>1.2956938157344384</v>
      </c>
      <c r="AA188" s="191">
        <v>213.11365314</v>
      </c>
      <c r="AB188" s="191">
        <v>1.7430935017099507</v>
      </c>
      <c r="AC188" s="191">
        <v>1.2492522400000001</v>
      </c>
      <c r="AD188" s="191">
        <v>1.0217850566852706E-2</v>
      </c>
      <c r="AE188" s="191">
        <v>7.6998169599999997</v>
      </c>
      <c r="AF188" s="191">
        <v>6.297813729707466E-2</v>
      </c>
      <c r="AG188" s="191">
        <v>22.132412590000001</v>
      </c>
      <c r="AH188" s="191">
        <v>0.18102483812920714</v>
      </c>
      <c r="AI188" s="191">
        <v>206.80815031000003</v>
      </c>
    </row>
    <row r="189" spans="1:35">
      <c r="A189" s="679" t="s">
        <v>29</v>
      </c>
      <c r="B189" s="191">
        <v>11757.786958620001</v>
      </c>
      <c r="C189" s="191">
        <v>1626.7461591053998</v>
      </c>
      <c r="D189" s="191">
        <v>13.835479115504651</v>
      </c>
      <c r="E189" s="191">
        <v>2069.2089661499999</v>
      </c>
      <c r="F189" s="191">
        <v>17.598626114185528</v>
      </c>
      <c r="G189" s="191">
        <v>315.473367</v>
      </c>
      <c r="H189" s="191">
        <v>2.6831015743886786</v>
      </c>
      <c r="I189" s="191">
        <v>429.24484704000002</v>
      </c>
      <c r="J189" s="191">
        <v>3.650728224203001</v>
      </c>
      <c r="K189" s="191">
        <v>546.19935485999997</v>
      </c>
      <c r="L189" s="191">
        <v>4.6454265312195009</v>
      </c>
      <c r="M189" s="191">
        <v>621.19473878999997</v>
      </c>
      <c r="N189" s="191">
        <v>5.2832624113382378</v>
      </c>
      <c r="O189" s="191">
        <v>1126.7102225399999</v>
      </c>
      <c r="P189" s="191">
        <v>9.5826725429309931</v>
      </c>
      <c r="Q189" s="191">
        <v>4606.4676968645999</v>
      </c>
      <c r="R189" s="191">
        <v>39.178016348454541</v>
      </c>
      <c r="S189" s="191">
        <v>1737.27283257</v>
      </c>
      <c r="T189" s="191">
        <f t="shared" si="134"/>
        <v>14.775508679346764</v>
      </c>
      <c r="U189" s="191">
        <v>54.43873468999999</v>
      </c>
      <c r="V189" s="191">
        <v>0.46300154001420524</v>
      </c>
      <c r="W189" s="191">
        <v>1.0507229</v>
      </c>
      <c r="X189" s="191">
        <v>8.9364002230851967E-3</v>
      </c>
      <c r="Y189" s="682">
        <v>146.752711860001</v>
      </c>
      <c r="Z189" s="191">
        <v>1.2481320879216304</v>
      </c>
      <c r="AA189" s="191">
        <v>185.00134285000001</v>
      </c>
      <c r="AB189" s="191">
        <v>1.573436765788393</v>
      </c>
      <c r="AC189" s="191">
        <v>0.50894074</v>
      </c>
      <c r="AD189" s="191">
        <v>4.3285419423838055E-3</v>
      </c>
      <c r="AE189" s="191">
        <v>9.1111433300000009</v>
      </c>
      <c r="AF189" s="191">
        <v>7.7490291005148176E-2</v>
      </c>
      <c r="AG189" s="191">
        <v>19.678009899999999</v>
      </c>
      <c r="AH189" s="191">
        <v>0.16736151088001672</v>
      </c>
      <c r="AI189" s="191">
        <v>200.48204397999999</v>
      </c>
    </row>
    <row r="190" spans="1:35">
      <c r="A190" s="679" t="s">
        <v>2051</v>
      </c>
      <c r="B190" s="283">
        <v>13020.303367349999</v>
      </c>
      <c r="C190" s="283">
        <v>1584.9974706609999</v>
      </c>
      <c r="D190" s="283">
        <v>12.173276043902129</v>
      </c>
      <c r="E190" s="283">
        <v>2379.4941577499999</v>
      </c>
      <c r="F190" s="283">
        <v>18.275258959916957</v>
      </c>
      <c r="G190" s="283">
        <v>419.15198210000005</v>
      </c>
      <c r="H190" s="283">
        <v>3.2192182491774717</v>
      </c>
      <c r="I190" s="283">
        <v>469.97727143999992</v>
      </c>
      <c r="J190" s="283">
        <v>3.6095723592625757</v>
      </c>
      <c r="K190" s="283">
        <v>388.82759630999999</v>
      </c>
      <c r="L190" s="283">
        <v>2.9863174869260933</v>
      </c>
      <c r="M190" s="283">
        <v>706.61157455</v>
      </c>
      <c r="N190" s="283">
        <v>5.4269977788836687</v>
      </c>
      <c r="O190" s="283">
        <v>1370.6535793099999</v>
      </c>
      <c r="P190" s="283">
        <v>10.527047954559041</v>
      </c>
      <c r="Q190" s="283">
        <v>5319.6326080489998</v>
      </c>
      <c r="R190" s="283">
        <v>40.856441343668138</v>
      </c>
      <c r="S190" s="283">
        <v>1848</v>
      </c>
      <c r="T190" s="283">
        <v>14.193217683653097</v>
      </c>
      <c r="U190" s="283">
        <v>10.10455586</v>
      </c>
      <c r="V190" s="283">
        <v>7.7606147682690765E-2</v>
      </c>
      <c r="W190" s="283">
        <v>0.62470668000000007</v>
      </c>
      <c r="X190" s="283">
        <v>4.7979425853204643E-3</v>
      </c>
      <c r="Y190" s="684">
        <f t="shared" ref="Y190" si="136">((B190-C190-E190-G190-I190-K190-M190-W190-O190-Q190-U190-AA190-AC190-AE190-AG190))</f>
        <v>228.38757550000176</v>
      </c>
      <c r="Z190" s="283">
        <v>1.7540879736543735</v>
      </c>
      <c r="AA190" s="283">
        <v>41.455409499999995</v>
      </c>
      <c r="AB190" s="283">
        <v>0.31839050389528167</v>
      </c>
      <c r="AC190" s="283">
        <v>0.77153276999999998</v>
      </c>
      <c r="AD190" s="283">
        <v>5.9256128542650747E-3</v>
      </c>
      <c r="AE190" s="283">
        <v>27.702426319999997</v>
      </c>
      <c r="AF190" s="283">
        <v>0.21276329389887499</v>
      </c>
      <c r="AG190" s="283">
        <v>71.910920549999986</v>
      </c>
      <c r="AH190" s="283">
        <v>0.55229834913313469</v>
      </c>
      <c r="AI190" s="283">
        <v>293.92273483999998</v>
      </c>
    </row>
    <row r="191" spans="1:35">
      <c r="A191" s="679" t="s">
        <v>18</v>
      </c>
      <c r="B191" s="191">
        <v>11656.141583430008</v>
      </c>
      <c r="C191" s="191">
        <v>1695.9035093999998</v>
      </c>
      <c r="D191" s="191">
        <f t="shared" ref="D191:D201" si="137">C191/B191*100</f>
        <v>14.549441573452068</v>
      </c>
      <c r="E191" s="191">
        <v>2033.0644596000002</v>
      </c>
      <c r="F191" s="191">
        <f t="shared" ref="F191:F201" si="138">E191/B191*100</f>
        <v>17.442002098620168</v>
      </c>
      <c r="G191" s="191">
        <v>305.74856043</v>
      </c>
      <c r="H191" s="191">
        <f t="shared" ref="H191:H201" si="139">G191/B191*100</f>
        <v>2.6230683476309364</v>
      </c>
      <c r="I191" s="191">
        <v>449.16146827999995</v>
      </c>
      <c r="J191" s="191">
        <f t="shared" ref="J191:J201" si="140">I191/B191*100</f>
        <v>3.8534318158807652</v>
      </c>
      <c r="K191" s="191">
        <v>545.36230222999995</v>
      </c>
      <c r="L191" s="191">
        <f t="shared" ref="L191:L201" si="141">K191/B191*100</f>
        <v>4.6787549578607495</v>
      </c>
      <c r="M191" s="191">
        <v>621.43168186000003</v>
      </c>
      <c r="N191" s="191">
        <f t="shared" ref="N191:N201" si="142">M191/B191*100</f>
        <v>5.3313669657496874</v>
      </c>
      <c r="O191" s="191">
        <v>1120.4296421500001</v>
      </c>
      <c r="P191" s="191">
        <f t="shared" ref="P191:P201" si="143">O191/B191*100</f>
        <v>9.6123544324716033</v>
      </c>
      <c r="Q191" s="191">
        <v>4522.7713711400074</v>
      </c>
      <c r="R191" s="191">
        <f t="shared" ref="R191:R201" si="144">Q191/B191*100</f>
        <v>38.801616630750537</v>
      </c>
      <c r="S191" s="191">
        <v>1691.9</v>
      </c>
      <c r="T191" s="191">
        <f t="shared" si="134"/>
        <v>14.515094792646909</v>
      </c>
      <c r="U191" s="191">
        <v>9.25763626</v>
      </c>
      <c r="V191" s="191">
        <f t="shared" ref="V191:V201" si="145">U191/B191*100</f>
        <v>7.9422819238575096E-2</v>
      </c>
      <c r="W191" s="191">
        <v>1.341513</v>
      </c>
      <c r="X191" s="191">
        <f t="shared" ref="X191:X201" si="146">W191/B191*100</f>
        <v>1.1509065760723525E-2</v>
      </c>
      <c r="Y191" s="682">
        <v>142.86199121000053</v>
      </c>
      <c r="Z191" s="191">
        <f t="shared" ref="Z191:Z201" si="147">Y191/B191*100</f>
        <v>1.2256370616936267</v>
      </c>
      <c r="AA191" s="191">
        <v>178.98514718000001</v>
      </c>
      <c r="AB191" s="191">
        <f t="shared" ref="AB191:AB201" si="148">AA191/B191*100</f>
        <v>1.5355436951318393</v>
      </c>
      <c r="AC191" s="191">
        <v>0.51234869999999999</v>
      </c>
      <c r="AD191" s="191">
        <f t="shared" ref="AD191:AD201" si="149">AC191/B191*100</f>
        <v>4.3955257091964142E-3</v>
      </c>
      <c r="AE191" s="191">
        <v>12.492797840000001</v>
      </c>
      <c r="AF191" s="191">
        <f t="shared" ref="AF191:AF201" si="150">AE191/B191*100</f>
        <v>0.10717781480759771</v>
      </c>
      <c r="AG191" s="191">
        <v>16.81715415</v>
      </c>
      <c r="AH191" s="191">
        <f t="shared" ref="AH191:AH201" si="151">AG191/B191*100</f>
        <v>0.14427719524192054</v>
      </c>
      <c r="AI191" s="191">
        <v>270.42810402999999</v>
      </c>
    </row>
    <row r="192" spans="1:35">
      <c r="A192" s="679" t="s">
        <v>19</v>
      </c>
      <c r="B192" s="191">
        <v>11561.095831580007</v>
      </c>
      <c r="C192" s="191">
        <v>1700.8734333599998</v>
      </c>
      <c r="D192" s="191">
        <f t="shared" si="137"/>
        <v>14.71204337493627</v>
      </c>
      <c r="E192" s="191">
        <v>2001.28371584</v>
      </c>
      <c r="F192" s="191">
        <f t="shared" si="138"/>
        <v>17.310501919492289</v>
      </c>
      <c r="G192" s="191">
        <v>311.36558755999999</v>
      </c>
      <c r="H192" s="191">
        <f t="shared" si="139"/>
        <v>2.6932186368482594</v>
      </c>
      <c r="I192" s="191">
        <v>442.10031948999995</v>
      </c>
      <c r="J192" s="191">
        <f t="shared" si="140"/>
        <v>3.8240347275936379</v>
      </c>
      <c r="K192" s="191">
        <v>514.88871754000002</v>
      </c>
      <c r="L192" s="191">
        <f t="shared" si="141"/>
        <v>4.4536324673785908</v>
      </c>
      <c r="M192" s="191">
        <v>658.35557799999992</v>
      </c>
      <c r="N192" s="191">
        <f t="shared" si="142"/>
        <v>5.6945776385803493</v>
      </c>
      <c r="O192" s="191">
        <v>983.26888072999998</v>
      </c>
      <c r="P192" s="191">
        <f t="shared" si="143"/>
        <v>8.5049799348961947</v>
      </c>
      <c r="Q192" s="191">
        <v>4575.2561789100064</v>
      </c>
      <c r="R192" s="191">
        <f t="shared" si="144"/>
        <v>39.574589170105732</v>
      </c>
      <c r="S192" s="191">
        <v>1746</v>
      </c>
      <c r="T192" s="191">
        <f t="shared" si="134"/>
        <v>15.102374596970893</v>
      </c>
      <c r="U192" s="191">
        <v>10.236170839999998</v>
      </c>
      <c r="V192" s="191">
        <f t="shared" si="145"/>
        <v>8.8539797516764135E-2</v>
      </c>
      <c r="W192" s="191">
        <v>1.32405332</v>
      </c>
      <c r="X192" s="191">
        <f t="shared" si="146"/>
        <v>1.1452662786370547E-2</v>
      </c>
      <c r="Y192" s="682">
        <v>149.00794968000136</v>
      </c>
      <c r="Z192" s="191">
        <f t="shared" si="147"/>
        <v>1.2888739255406472</v>
      </c>
      <c r="AA192" s="191">
        <v>177.35163441999998</v>
      </c>
      <c r="AB192" s="191">
        <f t="shared" si="148"/>
        <v>1.534038269413446</v>
      </c>
      <c r="AC192" s="191">
        <v>0.4919635</v>
      </c>
      <c r="AD192" s="191">
        <f t="shared" si="149"/>
        <v>4.2553362342708416E-3</v>
      </c>
      <c r="AE192" s="191">
        <v>16.21903154</v>
      </c>
      <c r="AF192" s="191">
        <f t="shared" si="150"/>
        <v>0.14028974222059892</v>
      </c>
      <c r="AG192" s="191">
        <v>19.072616850000003</v>
      </c>
      <c r="AH192" s="191">
        <f t="shared" si="151"/>
        <v>0.16497239645658596</v>
      </c>
      <c r="AI192" s="191">
        <v>252.69203856000001</v>
      </c>
    </row>
    <row r="193" spans="1:35">
      <c r="A193" s="679" t="s">
        <v>20</v>
      </c>
      <c r="B193" s="191">
        <v>11663.483887770006</v>
      </c>
      <c r="C193" s="191">
        <v>1710.2045596400001</v>
      </c>
      <c r="D193" s="191">
        <f t="shared" si="137"/>
        <v>14.662896404677777</v>
      </c>
      <c r="E193" s="191">
        <v>2003.4947633800002</v>
      </c>
      <c r="F193" s="191">
        <f t="shared" si="138"/>
        <v>17.177498444361099</v>
      </c>
      <c r="G193" s="191">
        <v>311.66631981</v>
      </c>
      <c r="H193" s="191">
        <f t="shared" si="139"/>
        <v>2.6721545878483561</v>
      </c>
      <c r="I193" s="191">
        <v>451.24269704</v>
      </c>
      <c r="J193" s="191">
        <f t="shared" si="140"/>
        <v>3.8688500055558883</v>
      </c>
      <c r="K193" s="191">
        <v>529.35327649999988</v>
      </c>
      <c r="L193" s="191">
        <f t="shared" si="141"/>
        <v>4.5385519592054697</v>
      </c>
      <c r="M193" s="191">
        <v>654.13017887000001</v>
      </c>
      <c r="N193" s="191">
        <f t="shared" si="142"/>
        <v>5.6083601191913344</v>
      </c>
      <c r="O193" s="191">
        <v>992.91432654999994</v>
      </c>
      <c r="P193" s="191">
        <f t="shared" si="143"/>
        <v>8.5130166604091713</v>
      </c>
      <c r="Q193" s="191">
        <v>4635.1175896300083</v>
      </c>
      <c r="R193" s="191">
        <f t="shared" si="144"/>
        <v>39.740420908801184</v>
      </c>
      <c r="S193" s="191">
        <v>1761.5</v>
      </c>
      <c r="T193" s="191">
        <f t="shared" si="134"/>
        <v>15.102691588120237</v>
      </c>
      <c r="U193" s="191">
        <v>10.041762239999999</v>
      </c>
      <c r="V193" s="191">
        <f t="shared" si="145"/>
        <v>8.609573551629375E-2</v>
      </c>
      <c r="W193" s="191">
        <v>0.98612861000000007</v>
      </c>
      <c r="X193" s="191">
        <f t="shared" si="146"/>
        <v>8.4548375038613136E-3</v>
      </c>
      <c r="Y193" s="682">
        <v>148.59153968999695</v>
      </c>
      <c r="Z193" s="191">
        <f t="shared" si="147"/>
        <v>1.2739893253147609</v>
      </c>
      <c r="AA193" s="191">
        <v>178.25387185</v>
      </c>
      <c r="AB193" s="191">
        <f t="shared" si="148"/>
        <v>1.5283072670671916</v>
      </c>
      <c r="AC193" s="191">
        <v>0.61231402999999995</v>
      </c>
      <c r="AD193" s="191">
        <f t="shared" si="149"/>
        <v>5.2498381777854111E-3</v>
      </c>
      <c r="AE193" s="191">
        <v>16.954571259999998</v>
      </c>
      <c r="AF193" s="191">
        <f t="shared" si="150"/>
        <v>0.14536455336280849</v>
      </c>
      <c r="AG193" s="191">
        <v>19.919988670000002</v>
      </c>
      <c r="AH193" s="191">
        <f t="shared" si="151"/>
        <v>0.17078935300701645</v>
      </c>
      <c r="AI193" s="191">
        <v>237.51239071000001</v>
      </c>
    </row>
    <row r="194" spans="1:35">
      <c r="A194" s="679" t="s">
        <v>21</v>
      </c>
      <c r="B194" s="191">
        <v>11815.783021536998</v>
      </c>
      <c r="C194" s="191">
        <v>1708.8377681700001</v>
      </c>
      <c r="D194" s="191">
        <f t="shared" si="137"/>
        <v>14.462331993192901</v>
      </c>
      <c r="E194" s="191">
        <v>1991.8046282800001</v>
      </c>
      <c r="F194" s="191">
        <f t="shared" si="138"/>
        <v>16.857153052400129</v>
      </c>
      <c r="G194" s="191">
        <v>308.65081077000002</v>
      </c>
      <c r="H194" s="191">
        <f t="shared" si="139"/>
        <v>2.6121909162296948</v>
      </c>
      <c r="I194" s="191">
        <v>455.91897537</v>
      </c>
      <c r="J194" s="191">
        <f t="shared" si="140"/>
        <v>3.8585591368678838</v>
      </c>
      <c r="K194" s="191">
        <v>515.33990113000004</v>
      </c>
      <c r="L194" s="191">
        <f t="shared" si="141"/>
        <v>4.3614536606729644</v>
      </c>
      <c r="M194" s="191">
        <v>675.17201417000001</v>
      </c>
      <c r="N194" s="191">
        <f t="shared" si="142"/>
        <v>5.7141537969962952</v>
      </c>
      <c r="O194" s="191">
        <v>1104.84376737</v>
      </c>
      <c r="P194" s="191">
        <f t="shared" si="143"/>
        <v>9.3505759656906928</v>
      </c>
      <c r="Q194" s="191">
        <v>4689.4034377270009</v>
      </c>
      <c r="R194" s="191">
        <f t="shared" si="144"/>
        <v>39.68762314930359</v>
      </c>
      <c r="S194" s="191">
        <v>1768.1</v>
      </c>
      <c r="T194" s="191">
        <f t="shared" si="134"/>
        <v>14.963883449596432</v>
      </c>
      <c r="U194" s="191">
        <v>9.8467782799999988</v>
      </c>
      <c r="V194" s="191">
        <f t="shared" si="145"/>
        <v>8.3335808232530728E-2</v>
      </c>
      <c r="W194" s="191">
        <v>0.91174432999999999</v>
      </c>
      <c r="X194" s="191">
        <f t="shared" si="146"/>
        <v>7.7163259374189164E-3</v>
      </c>
      <c r="Y194" s="682">
        <v>149.40151352999578</v>
      </c>
      <c r="Z194" s="191">
        <f t="shared" si="147"/>
        <v>1.2644232993926596</v>
      </c>
      <c r="AA194" s="191">
        <v>173.99071329999998</v>
      </c>
      <c r="AB194" s="191">
        <f t="shared" si="148"/>
        <v>1.4725279990573765</v>
      </c>
      <c r="AC194" s="191">
        <v>0.69973138999999995</v>
      </c>
      <c r="AD194" s="191">
        <f t="shared" si="149"/>
        <v>5.9220060890131246E-3</v>
      </c>
      <c r="AE194" s="191">
        <v>10.697020489999998</v>
      </c>
      <c r="AF194" s="191">
        <f t="shared" si="150"/>
        <v>9.0531625965898352E-2</v>
      </c>
      <c r="AG194" s="191">
        <v>20.26421723</v>
      </c>
      <c r="AH194" s="191">
        <f t="shared" si="151"/>
        <v>0.17150126397094273</v>
      </c>
      <c r="AI194" s="191">
        <v>260.86841077999998</v>
      </c>
    </row>
    <row r="195" spans="1:35">
      <c r="A195" s="679" t="s">
        <v>22</v>
      </c>
      <c r="B195" s="191">
        <v>11945.500793076999</v>
      </c>
      <c r="C195" s="191">
        <v>1710.7977509899999</v>
      </c>
      <c r="D195" s="191">
        <f t="shared" si="137"/>
        <v>14.321691326507558</v>
      </c>
      <c r="E195" s="191">
        <v>1998.8300638600001</v>
      </c>
      <c r="F195" s="191">
        <f t="shared" si="138"/>
        <v>16.732911398896057</v>
      </c>
      <c r="G195" s="191">
        <v>302.60243201000003</v>
      </c>
      <c r="H195" s="191">
        <f t="shared" si="139"/>
        <v>2.5331916782038379</v>
      </c>
      <c r="I195" s="191">
        <v>466.14801505999998</v>
      </c>
      <c r="J195" s="191">
        <f t="shared" si="140"/>
        <v>3.9022894321028003</v>
      </c>
      <c r="K195" s="191">
        <v>510.15073849000004</v>
      </c>
      <c r="L195" s="191">
        <f t="shared" si="141"/>
        <v>4.2706517485282598</v>
      </c>
      <c r="M195" s="191">
        <v>691.65238806000002</v>
      </c>
      <c r="N195" s="191">
        <f t="shared" si="142"/>
        <v>5.790066067894335</v>
      </c>
      <c r="O195" s="191">
        <v>1101.37557242</v>
      </c>
      <c r="P195" s="191">
        <f t="shared" si="143"/>
        <v>9.2200033426668977</v>
      </c>
      <c r="Q195" s="191">
        <v>4799.8661793370002</v>
      </c>
      <c r="R195" s="191">
        <f t="shared" si="144"/>
        <v>40.181372572665659</v>
      </c>
      <c r="S195" s="191">
        <v>1772.7</v>
      </c>
      <c r="T195" s="191">
        <f t="shared" si="134"/>
        <v>14.8398968842509</v>
      </c>
      <c r="U195" s="191">
        <v>9.6516798700000006</v>
      </c>
      <c r="V195" s="191">
        <f t="shared" si="145"/>
        <v>8.0797616083150073E-2</v>
      </c>
      <c r="W195" s="191">
        <v>0.92797324000000003</v>
      </c>
      <c r="X195" s="191">
        <f t="shared" si="146"/>
        <v>7.768391263577713E-3</v>
      </c>
      <c r="Y195" s="682">
        <v>145.77561062999999</v>
      </c>
      <c r="Z195" s="191">
        <f t="shared" si="147"/>
        <v>1.2203390477734017</v>
      </c>
      <c r="AA195" s="191">
        <v>170.54333094</v>
      </c>
      <c r="AB195" s="191">
        <f t="shared" si="148"/>
        <v>1.4276783694061466</v>
      </c>
      <c r="AC195" s="191">
        <v>6.6814009999999993E-2</v>
      </c>
      <c r="AD195" s="191">
        <f t="shared" si="149"/>
        <v>5.5932364123839813E-4</v>
      </c>
      <c r="AE195" s="191">
        <v>14.495702170000001</v>
      </c>
      <c r="AF195" s="191">
        <f t="shared" si="150"/>
        <v>0.12134863511457777</v>
      </c>
      <c r="AG195" s="191">
        <v>22.616541990000002</v>
      </c>
      <c r="AH195" s="191">
        <f t="shared" si="151"/>
        <v>0.18933104925251348</v>
      </c>
      <c r="AI195" s="191">
        <v>258.20518451999999</v>
      </c>
    </row>
    <row r="196" spans="1:35">
      <c r="A196" s="679" t="s">
        <v>23</v>
      </c>
      <c r="B196" s="191">
        <v>12105.576494017001</v>
      </c>
      <c r="C196" s="191">
        <v>1745.7337322799999</v>
      </c>
      <c r="D196" s="191">
        <f t="shared" si="137"/>
        <v>14.420905383091853</v>
      </c>
      <c r="E196" s="191">
        <v>2039.3072375500005</v>
      </c>
      <c r="F196" s="191">
        <f t="shared" si="138"/>
        <v>16.846015045693179</v>
      </c>
      <c r="G196" s="191">
        <v>296.57786396</v>
      </c>
      <c r="H196" s="191">
        <f t="shared" si="139"/>
        <v>2.449927635470968</v>
      </c>
      <c r="I196" s="191">
        <v>465.08444477000006</v>
      </c>
      <c r="J196" s="191">
        <f t="shared" si="140"/>
        <v>3.841902490144613</v>
      </c>
      <c r="K196" s="191">
        <v>515.03970698000001</v>
      </c>
      <c r="L196" s="191">
        <f t="shared" si="141"/>
        <v>4.2545657138637765</v>
      </c>
      <c r="M196" s="191">
        <v>682.88505590999989</v>
      </c>
      <c r="N196" s="191">
        <f t="shared" si="142"/>
        <v>5.641078359609768</v>
      </c>
      <c r="O196" s="191">
        <v>1157.44073469</v>
      </c>
      <c r="P196" s="191">
        <f t="shared" si="143"/>
        <v>9.5612194533820638</v>
      </c>
      <c r="Q196" s="191">
        <v>4824.1952573070002</v>
      </c>
      <c r="R196" s="191">
        <f t="shared" si="144"/>
        <v>39.851016262557067</v>
      </c>
      <c r="S196" s="191">
        <v>1772.7</v>
      </c>
      <c r="T196" s="191">
        <f t="shared" si="134"/>
        <v>14.643664437427912</v>
      </c>
      <c r="U196" s="191">
        <v>9.569948440000001</v>
      </c>
      <c r="V196" s="191">
        <f t="shared" si="145"/>
        <v>7.9054049550880981E-2</v>
      </c>
      <c r="W196" s="191">
        <v>2.8514884700000001</v>
      </c>
      <c r="X196" s="191">
        <f t="shared" si="146"/>
        <v>2.3555164608718183E-2</v>
      </c>
      <c r="Y196" s="191">
        <f>((B196-C196-E196-G196-I196-K196-M196-W196-O196-Q196-U196-AA196-AC196-AE196-AG196))</f>
        <v>145.70224299000151</v>
      </c>
      <c r="Z196" s="191">
        <f t="shared" si="147"/>
        <v>1.2035960704722544</v>
      </c>
      <c r="AA196" s="191">
        <v>170.57673489000001</v>
      </c>
      <c r="AB196" s="191">
        <f t="shared" si="148"/>
        <v>1.4090756848656072</v>
      </c>
      <c r="AC196" s="191">
        <v>6.7579589999999995E-2</v>
      </c>
      <c r="AD196" s="191">
        <f t="shared" si="149"/>
        <v>5.5825172831215587E-4</v>
      </c>
      <c r="AE196" s="191">
        <v>14.1270291</v>
      </c>
      <c r="AF196" s="191">
        <f t="shared" si="150"/>
        <v>0.11669852408088181</v>
      </c>
      <c r="AG196" s="191">
        <v>36.41743709</v>
      </c>
      <c r="AH196" s="191">
        <f t="shared" si="151"/>
        <v>0.30083191088007061</v>
      </c>
      <c r="AI196" s="191">
        <v>234.81492606</v>
      </c>
    </row>
    <row r="197" spans="1:35">
      <c r="A197" s="679" t="s">
        <v>24</v>
      </c>
      <c r="B197" s="191">
        <v>12170.671456159998</v>
      </c>
      <c r="C197" s="191">
        <v>1782.0547715499999</v>
      </c>
      <c r="D197" s="191">
        <f t="shared" si="137"/>
        <v>14.642205879676757</v>
      </c>
      <c r="E197" s="191">
        <v>2029.3525126000002</v>
      </c>
      <c r="F197" s="191">
        <f t="shared" si="138"/>
        <v>16.67412122584966</v>
      </c>
      <c r="G197" s="191">
        <v>292.90927842999997</v>
      </c>
      <c r="H197" s="191">
        <f t="shared" si="139"/>
        <v>2.4066813362359598</v>
      </c>
      <c r="I197" s="191">
        <v>463.44302985000007</v>
      </c>
      <c r="J197" s="191">
        <f t="shared" si="140"/>
        <v>3.8078673926855164</v>
      </c>
      <c r="K197" s="191">
        <v>512.03328225999996</v>
      </c>
      <c r="L197" s="191">
        <f t="shared" si="141"/>
        <v>4.2071079159797895</v>
      </c>
      <c r="M197" s="191">
        <v>670.24153623999996</v>
      </c>
      <c r="N197" s="191">
        <f t="shared" si="142"/>
        <v>5.5070218488296101</v>
      </c>
      <c r="O197" s="191">
        <v>1176.20237238</v>
      </c>
      <c r="P197" s="191">
        <f t="shared" si="143"/>
        <v>9.6642356719331488</v>
      </c>
      <c r="Q197" s="191">
        <v>4874.4513295800007</v>
      </c>
      <c r="R197" s="191">
        <f t="shared" si="144"/>
        <v>40.050800378091481</v>
      </c>
      <c r="S197" s="191">
        <v>1716.3</v>
      </c>
      <c r="T197" s="191">
        <f t="shared" si="134"/>
        <v>14.101933539018679</v>
      </c>
      <c r="U197" s="191">
        <v>9.3917571599999992</v>
      </c>
      <c r="V197" s="191">
        <f t="shared" si="145"/>
        <v>7.7167124211922636E-2</v>
      </c>
      <c r="W197" s="191">
        <v>0.85998889000000001</v>
      </c>
      <c r="X197" s="191">
        <f t="shared" si="146"/>
        <v>7.0660759605397925E-3</v>
      </c>
      <c r="Y197" s="191">
        <v>149.41796925999719</v>
      </c>
      <c r="Z197" s="191">
        <f t="shared" si="147"/>
        <v>1.2276887910269862</v>
      </c>
      <c r="AA197" s="191">
        <v>167.49315672</v>
      </c>
      <c r="AB197" s="191">
        <f t="shared" si="148"/>
        <v>1.3762030905470373</v>
      </c>
      <c r="AC197" s="191">
        <v>6.8799920000000001E-2</v>
      </c>
      <c r="AD197" s="191">
        <f t="shared" si="149"/>
        <v>5.6529272232698361E-4</v>
      </c>
      <c r="AE197" s="191">
        <v>12.740721090000001</v>
      </c>
      <c r="AF197" s="191">
        <f t="shared" si="150"/>
        <v>0.10468379773370252</v>
      </c>
      <c r="AG197" s="191">
        <v>30.010950229999999</v>
      </c>
      <c r="AH197" s="191">
        <f t="shared" si="151"/>
        <v>0.246584178515561</v>
      </c>
      <c r="AI197" s="191">
        <v>240.19605958</v>
      </c>
    </row>
    <row r="198" spans="1:35">
      <c r="A198" s="679" t="s">
        <v>25</v>
      </c>
      <c r="B198" s="191">
        <v>12306.538666899998</v>
      </c>
      <c r="C198" s="191">
        <v>1772.4388613299998</v>
      </c>
      <c r="D198" s="191">
        <f t="shared" si="137"/>
        <v>14.402415734468049</v>
      </c>
      <c r="E198" s="191">
        <v>2047.53815558</v>
      </c>
      <c r="F198" s="191">
        <f t="shared" si="138"/>
        <v>16.637807030884439</v>
      </c>
      <c r="G198" s="191">
        <v>292.92369737000001</v>
      </c>
      <c r="H198" s="191">
        <f t="shared" si="139"/>
        <v>2.3802281478045129</v>
      </c>
      <c r="I198" s="191">
        <v>461.87773043999994</v>
      </c>
      <c r="J198" s="191">
        <f t="shared" si="140"/>
        <v>3.7531083511099581</v>
      </c>
      <c r="K198" s="191">
        <v>504.56107226999995</v>
      </c>
      <c r="L198" s="191">
        <f t="shared" si="141"/>
        <v>4.0999430134411483</v>
      </c>
      <c r="M198" s="191">
        <v>682.60002989999998</v>
      </c>
      <c r="N198" s="191">
        <f t="shared" si="142"/>
        <v>5.5466451483709198</v>
      </c>
      <c r="O198" s="191">
        <v>1175.08520795</v>
      </c>
      <c r="P198" s="191">
        <f t="shared" si="143"/>
        <v>9.5484623236145296</v>
      </c>
      <c r="Q198" s="191">
        <v>4977.6642227699995</v>
      </c>
      <c r="R198" s="191">
        <f t="shared" si="144"/>
        <v>40.447313070717932</v>
      </c>
      <c r="S198" s="191">
        <v>1774.3</v>
      </c>
      <c r="T198" s="191">
        <f t="shared" si="134"/>
        <v>14.417538903706575</v>
      </c>
      <c r="U198" s="191">
        <v>9.4444079400000014</v>
      </c>
      <c r="V198" s="191">
        <f t="shared" si="145"/>
        <v>7.6743007888984568E-2</v>
      </c>
      <c r="W198" s="191">
        <v>0.92213625999999993</v>
      </c>
      <c r="X198" s="191">
        <f t="shared" si="146"/>
        <v>7.4930594617981629E-3</v>
      </c>
      <c r="Y198" s="191">
        <v>181.21926215999827</v>
      </c>
      <c r="Z198" s="191">
        <f t="shared" si="147"/>
        <v>1.4725445315294912</v>
      </c>
      <c r="AA198" s="191">
        <v>141.99075812999999</v>
      </c>
      <c r="AB198" s="191">
        <f t="shared" si="148"/>
        <v>1.1537830577163197</v>
      </c>
      <c r="AC198" s="191">
        <v>6.9456649999999995E-2</v>
      </c>
      <c r="AD198" s="191">
        <f t="shared" si="149"/>
        <v>5.6438818322500784E-4</v>
      </c>
      <c r="AE198" s="191">
        <v>18.18999762</v>
      </c>
      <c r="AF198" s="191">
        <f t="shared" si="150"/>
        <v>0.14780758515734657</v>
      </c>
      <c r="AG198" s="191">
        <v>40.013670529999999</v>
      </c>
      <c r="AH198" s="191">
        <f t="shared" si="151"/>
        <v>0.32514154965133985</v>
      </c>
      <c r="AI198" s="191">
        <v>262.58401571000002</v>
      </c>
    </row>
    <row r="199" spans="1:35">
      <c r="A199" s="679" t="s">
        <v>26</v>
      </c>
      <c r="B199" s="191">
        <v>12302.424515589999</v>
      </c>
      <c r="C199" s="191">
        <v>1748.6649660999997</v>
      </c>
      <c r="D199" s="191">
        <f t="shared" si="137"/>
        <v>14.213986551057797</v>
      </c>
      <c r="E199" s="191">
        <v>2077.3704535000002</v>
      </c>
      <c r="F199" s="191">
        <f t="shared" si="138"/>
        <v>16.885862220633783</v>
      </c>
      <c r="G199" s="191">
        <v>286.35109136</v>
      </c>
      <c r="H199" s="191">
        <f t="shared" si="139"/>
        <v>2.3275988484800485</v>
      </c>
      <c r="I199" s="191">
        <v>463.80772493999996</v>
      </c>
      <c r="J199" s="191">
        <f t="shared" si="140"/>
        <v>3.7700513776959084</v>
      </c>
      <c r="K199" s="191">
        <v>387.96225466999994</v>
      </c>
      <c r="L199" s="191">
        <f t="shared" si="141"/>
        <v>3.1535430611938531</v>
      </c>
      <c r="M199" s="191">
        <v>677.75509700999999</v>
      </c>
      <c r="N199" s="191">
        <f t="shared" si="142"/>
        <v>5.5091181104271643</v>
      </c>
      <c r="O199" s="191">
        <v>1289.2964963599998</v>
      </c>
      <c r="P199" s="191">
        <f t="shared" si="143"/>
        <v>10.480019566274638</v>
      </c>
      <c r="Q199" s="191">
        <v>5051.0822655799993</v>
      </c>
      <c r="R199" s="191">
        <f t="shared" si="144"/>
        <v>41.057616400564925</v>
      </c>
      <c r="S199" s="191">
        <v>1786</v>
      </c>
      <c r="T199" s="191">
        <f t="shared" si="134"/>
        <v>14.517463592129564</v>
      </c>
      <c r="U199" s="191">
        <v>9.6398599600000008</v>
      </c>
      <c r="V199" s="191">
        <f t="shared" si="145"/>
        <v>7.8357399777451042E-2</v>
      </c>
      <c r="W199" s="191">
        <v>1.1714369100000002</v>
      </c>
      <c r="X199" s="191">
        <f t="shared" si="146"/>
        <v>9.5220003871230464E-3</v>
      </c>
      <c r="Y199" s="191">
        <v>181.86489376</v>
      </c>
      <c r="Z199" s="191">
        <f t="shared" si="147"/>
        <v>1.4782849797577329</v>
      </c>
      <c r="AA199" s="191">
        <v>52.941772020000002</v>
      </c>
      <c r="AB199" s="191">
        <f t="shared" si="148"/>
        <v>0.43033608499617787</v>
      </c>
      <c r="AC199" s="191">
        <v>0.14092945000000001</v>
      </c>
      <c r="AD199" s="191">
        <f t="shared" si="149"/>
        <v>1.1455420825497446E-3</v>
      </c>
      <c r="AE199" s="191">
        <v>23.458616839999998</v>
      </c>
      <c r="AF199" s="191">
        <f t="shared" si="150"/>
        <v>0.19068287564189107</v>
      </c>
      <c r="AG199" s="191">
        <v>50.916657130000004</v>
      </c>
      <c r="AH199" s="191">
        <f t="shared" si="151"/>
        <v>0.41387498102895814</v>
      </c>
      <c r="AI199" s="191">
        <v>253.50177575999999</v>
      </c>
    </row>
    <row r="200" spans="1:35">
      <c r="A200" s="679" t="s">
        <v>27</v>
      </c>
      <c r="B200" s="191">
        <v>12281.298870979997</v>
      </c>
      <c r="C200" s="191">
        <v>1698.5633427609998</v>
      </c>
      <c r="D200" s="191">
        <f t="shared" si="137"/>
        <v>13.830486177440134</v>
      </c>
      <c r="E200" s="191">
        <v>2065.9290391599998</v>
      </c>
      <c r="F200" s="191">
        <f t="shared" si="138"/>
        <v>16.821747120263243</v>
      </c>
      <c r="G200" s="191">
        <v>275.53330493999999</v>
      </c>
      <c r="H200" s="191">
        <f t="shared" si="139"/>
        <v>2.2435192550445078</v>
      </c>
      <c r="I200" s="191">
        <v>468.10713691999996</v>
      </c>
      <c r="J200" s="191">
        <f t="shared" si="140"/>
        <v>3.8115442172497747</v>
      </c>
      <c r="K200" s="191">
        <v>375.56156014000004</v>
      </c>
      <c r="L200" s="191">
        <f t="shared" si="141"/>
        <v>3.0579954456399592</v>
      </c>
      <c r="M200" s="191">
        <v>687.42989109999996</v>
      </c>
      <c r="N200" s="191">
        <f t="shared" si="142"/>
        <v>5.5973712416066776</v>
      </c>
      <c r="O200" s="191">
        <v>1288.9801127799999</v>
      </c>
      <c r="P200" s="191">
        <f t="shared" si="143"/>
        <v>10.495470603893418</v>
      </c>
      <c r="Q200" s="191">
        <v>5106.5776463789998</v>
      </c>
      <c r="R200" s="191">
        <f t="shared" si="144"/>
        <v>41.580110540633036</v>
      </c>
      <c r="S200" s="191">
        <v>1804.7</v>
      </c>
      <c r="T200" s="191">
        <f t="shared" si="134"/>
        <v>14.694699794859664</v>
      </c>
      <c r="U200" s="191">
        <v>9.6000749600000006</v>
      </c>
      <c r="V200" s="191">
        <f t="shared" si="145"/>
        <v>7.816823823646557E-2</v>
      </c>
      <c r="W200" s="191">
        <v>1.0585298700000001</v>
      </c>
      <c r="X200" s="191">
        <f t="shared" si="146"/>
        <v>8.61903843494311E-3</v>
      </c>
      <c r="Y200" s="191">
        <v>181.80954275000002</v>
      </c>
      <c r="Z200" s="191">
        <f t="shared" si="147"/>
        <v>1.4803771544034769</v>
      </c>
      <c r="AA200" s="191">
        <v>50.153420240000003</v>
      </c>
      <c r="AB200" s="191">
        <f t="shared" si="148"/>
        <v>0.40837228021955929</v>
      </c>
      <c r="AC200" s="191">
        <v>0.13995804000000001</v>
      </c>
      <c r="AD200" s="191">
        <f t="shared" si="149"/>
        <v>1.1396029155410655E-3</v>
      </c>
      <c r="AE200" s="191">
        <v>19.638614440000001</v>
      </c>
      <c r="AF200" s="191">
        <f t="shared" si="150"/>
        <v>0.15990665683093924</v>
      </c>
      <c r="AG200" s="191">
        <v>52.216696500000012</v>
      </c>
      <c r="AH200" s="191">
        <f t="shared" si="151"/>
        <v>0.42517242718834125</v>
      </c>
      <c r="AI200" s="191">
        <v>276.41192297999999</v>
      </c>
    </row>
    <row r="201" spans="1:35">
      <c r="A201" s="679" t="s">
        <v>28</v>
      </c>
      <c r="B201" s="191">
        <v>12564.15074323</v>
      </c>
      <c r="C201" s="191">
        <v>1688.6722504009999</v>
      </c>
      <c r="D201" s="191">
        <f t="shared" si="137"/>
        <v>13.440401065793603</v>
      </c>
      <c r="E201" s="191">
        <v>2084.2908867200003</v>
      </c>
      <c r="F201" s="191">
        <f t="shared" si="138"/>
        <v>16.58919038235106</v>
      </c>
      <c r="G201" s="191">
        <v>272.67751794999998</v>
      </c>
      <c r="H201" s="191">
        <f t="shared" si="139"/>
        <v>2.1702821266843526</v>
      </c>
      <c r="I201" s="191">
        <v>470.82333544999995</v>
      </c>
      <c r="J201" s="191">
        <f t="shared" si="140"/>
        <v>3.747355034749928</v>
      </c>
      <c r="K201" s="191">
        <v>401.68512582999995</v>
      </c>
      <c r="L201" s="191">
        <f t="shared" si="141"/>
        <v>3.1970734356752426</v>
      </c>
      <c r="M201" s="191">
        <v>685.55843461999996</v>
      </c>
      <c r="N201" s="191">
        <f t="shared" si="142"/>
        <v>5.4564645763216628</v>
      </c>
      <c r="O201" s="191">
        <v>1367.1655438299999</v>
      </c>
      <c r="P201" s="191">
        <f t="shared" si="143"/>
        <v>10.881479948548661</v>
      </c>
      <c r="Q201" s="191">
        <v>5297.7696438289995</v>
      </c>
      <c r="R201" s="191">
        <f t="shared" si="144"/>
        <v>42.165759963391245</v>
      </c>
      <c r="S201" s="191">
        <v>1820.3</v>
      </c>
      <c r="T201" s="191">
        <f t="shared" si="134"/>
        <v>14.488046484008008</v>
      </c>
      <c r="U201" s="191">
        <v>9.9738922899999984</v>
      </c>
      <c r="V201" s="191">
        <f t="shared" si="145"/>
        <v>7.9383736265455723E-2</v>
      </c>
      <c r="W201" s="191">
        <v>1.08985051</v>
      </c>
      <c r="X201" s="191">
        <f t="shared" si="146"/>
        <v>8.6742871227269321E-3</v>
      </c>
      <c r="Y201" s="191">
        <v>180.85586092999992</v>
      </c>
      <c r="Z201" s="191">
        <f t="shared" si="147"/>
        <v>1.4394594957200058</v>
      </c>
      <c r="AA201" s="191">
        <v>38.896891369999999</v>
      </c>
      <c r="AB201" s="191">
        <f t="shared" si="148"/>
        <v>0.30958631558093164</v>
      </c>
      <c r="AC201" s="191">
        <v>0.1367777</v>
      </c>
      <c r="AD201" s="191">
        <f t="shared" si="149"/>
        <v>1.0886346621851904E-3</v>
      </c>
      <c r="AE201" s="191">
        <v>20.116690760000001</v>
      </c>
      <c r="AF201" s="191">
        <f t="shared" si="150"/>
        <v>0.16011182268598276</v>
      </c>
      <c r="AG201" s="191">
        <v>44.438041040000002</v>
      </c>
      <c r="AH201" s="191">
        <f t="shared" si="151"/>
        <v>0.35368917444694586</v>
      </c>
      <c r="AI201" s="191">
        <v>292.73501434000002</v>
      </c>
    </row>
    <row r="202" spans="1:35">
      <c r="A202" s="679" t="s">
        <v>29</v>
      </c>
      <c r="B202" s="191">
        <v>13020.303367349999</v>
      </c>
      <c r="C202" s="191">
        <v>1584.9974706609999</v>
      </c>
      <c r="D202" s="191">
        <f>C202/B202*100</f>
        <v>12.173276043902129</v>
      </c>
      <c r="E202" s="191">
        <v>2379.4941577499999</v>
      </c>
      <c r="F202" s="191">
        <f>E202/B202*100</f>
        <v>18.275258959916957</v>
      </c>
      <c r="G202" s="191">
        <v>419.15198210000005</v>
      </c>
      <c r="H202" s="191">
        <f>G202/B202*100</f>
        <v>3.2192182491774717</v>
      </c>
      <c r="I202" s="191">
        <v>469.97727143999992</v>
      </c>
      <c r="J202" s="191">
        <f>I202/B202*100</f>
        <v>3.6095723592625757</v>
      </c>
      <c r="K202" s="191">
        <v>388.82759630999999</v>
      </c>
      <c r="L202" s="191">
        <f>K202/B202*100</f>
        <v>2.9863174869260933</v>
      </c>
      <c r="M202" s="191">
        <v>706.61157455</v>
      </c>
      <c r="N202" s="191">
        <f>M202/B202*100</f>
        <v>5.4269977788836687</v>
      </c>
      <c r="O202" s="191">
        <v>1370.6535793099999</v>
      </c>
      <c r="P202" s="191">
        <f>O202/B202*100</f>
        <v>10.527047954559041</v>
      </c>
      <c r="Q202" s="191">
        <v>5319.6326080489998</v>
      </c>
      <c r="R202" s="191">
        <f>Q202/B202*100</f>
        <v>40.856441343668138</v>
      </c>
      <c r="S202" s="191">
        <v>1848</v>
      </c>
      <c r="T202" s="191">
        <f t="shared" si="134"/>
        <v>14.193217683653097</v>
      </c>
      <c r="U202" s="191">
        <v>10.10455586</v>
      </c>
      <c r="V202" s="191">
        <f>U202/B202*100</f>
        <v>7.7606147682690765E-2</v>
      </c>
      <c r="W202" s="191">
        <v>0.62470668000000007</v>
      </c>
      <c r="X202" s="191">
        <f>W202/B202*100</f>
        <v>4.7979425853204643E-3</v>
      </c>
      <c r="Y202" s="191">
        <v>228.38757550000176</v>
      </c>
      <c r="Z202" s="191">
        <f>Y202/B202*100</f>
        <v>1.7540879736543735</v>
      </c>
      <c r="AA202" s="191">
        <v>41.455409499999995</v>
      </c>
      <c r="AB202" s="191">
        <f>AA202/B202*100</f>
        <v>0.31839050389528167</v>
      </c>
      <c r="AC202" s="191">
        <v>0.77153276999999998</v>
      </c>
      <c r="AD202" s="191">
        <f>AC202/B202*100</f>
        <v>5.9256128542650747E-3</v>
      </c>
      <c r="AE202" s="191">
        <v>27.702426319999997</v>
      </c>
      <c r="AF202" s="191">
        <f>AE202/B202*100</f>
        <v>0.21276329389887499</v>
      </c>
      <c r="AG202" s="191">
        <v>71.910920549999986</v>
      </c>
      <c r="AH202" s="191">
        <f>AG202/B202*100</f>
        <v>0.55229834913313469</v>
      </c>
      <c r="AI202" s="191">
        <v>293.92273483999998</v>
      </c>
    </row>
    <row r="203" spans="1:35">
      <c r="A203" s="679" t="s">
        <v>2144</v>
      </c>
      <c r="B203" s="283">
        <v>15298.183505950003</v>
      </c>
      <c r="C203" s="283">
        <v>1273.0674075999998</v>
      </c>
      <c r="D203" s="283">
        <v>8.3216900039462782</v>
      </c>
      <c r="E203" s="283">
        <v>2491.3275571199997</v>
      </c>
      <c r="F203" s="283">
        <v>16.285120100376847</v>
      </c>
      <c r="G203" s="283">
        <v>619.39557024999999</v>
      </c>
      <c r="H203" s="283">
        <v>4.0488177567558603</v>
      </c>
      <c r="I203" s="283">
        <v>543.39684594000005</v>
      </c>
      <c r="J203" s="283">
        <v>3.5520350878825178</v>
      </c>
      <c r="K203" s="283">
        <v>477.13003762999995</v>
      </c>
      <c r="L203" s="283">
        <v>3.1188672658059517</v>
      </c>
      <c r="M203" s="283">
        <v>872.64787317000003</v>
      </c>
      <c r="N203" s="283">
        <v>5.704258109014031</v>
      </c>
      <c r="O203" s="283">
        <v>1204.2609666499998</v>
      </c>
      <c r="P203" s="283">
        <v>7.8719213047851095</v>
      </c>
      <c r="Q203" s="283">
        <v>6978.7193832900002</v>
      </c>
      <c r="R203" s="283">
        <v>45.617960985863</v>
      </c>
      <c r="S203" s="283">
        <v>1939.1</v>
      </c>
      <c r="T203" s="283">
        <v>12.7</v>
      </c>
      <c r="U203" s="283">
        <v>37.973435389999999</v>
      </c>
      <c r="V203" s="283">
        <v>0.2482218583352121</v>
      </c>
      <c r="W203" s="283">
        <v>0.24328217999999999</v>
      </c>
      <c r="X203" s="283">
        <v>1.5902684126215311E-3</v>
      </c>
      <c r="Y203" s="684">
        <f t="shared" ref="Y203" si="152">((B203-C203-E203-G203-I203-K203-M203-W203-O203-Q203-U203-AA203-AC203-AE203-AG203))</f>
        <v>673.78496844000256</v>
      </c>
      <c r="Z203" s="283">
        <v>4.4043462295895708</v>
      </c>
      <c r="AA203" s="283">
        <v>19.718746280000001</v>
      </c>
      <c r="AB203" s="283">
        <v>0.12889599783092343</v>
      </c>
      <c r="AC203" s="283">
        <v>1.4439694199999999</v>
      </c>
      <c r="AD203" s="283">
        <v>9.4388292534103111E-3</v>
      </c>
      <c r="AE203" s="283">
        <v>45.386333559999997</v>
      </c>
      <c r="AF203" s="283">
        <v>0.29667792612337052</v>
      </c>
      <c r="AG203" s="283">
        <v>59.687129029999994</v>
      </c>
      <c r="AH203" s="283">
        <v>0.3901582760252913</v>
      </c>
      <c r="AI203" s="283">
        <v>320.91820552000001</v>
      </c>
    </row>
    <row r="204" spans="1:35">
      <c r="A204" s="679" t="s">
        <v>18</v>
      </c>
      <c r="B204" s="191">
        <v>12884.653253691562</v>
      </c>
      <c r="C204" s="191">
        <v>1569.3794872799997</v>
      </c>
      <c r="D204" s="191">
        <f>C204/B204*100</f>
        <v>12.180222908446209</v>
      </c>
      <c r="E204" s="191">
        <v>2272.8248868799997</v>
      </c>
      <c r="F204" s="191">
        <f>E204/B204*100</f>
        <v>17.639783097995409</v>
      </c>
      <c r="G204" s="191">
        <v>446.85101083000001</v>
      </c>
      <c r="H204" s="191">
        <f>G204/B204*100</f>
        <v>3.4680872044575461</v>
      </c>
      <c r="I204" s="191">
        <v>471.34954463000003</v>
      </c>
      <c r="J204" s="191">
        <f>I204/B204*100</f>
        <v>3.6582245198950494</v>
      </c>
      <c r="K204" s="191">
        <v>358.90494977999998</v>
      </c>
      <c r="L204" s="191">
        <f>K204/B204*100</f>
        <v>2.7855227666074032</v>
      </c>
      <c r="M204" s="191">
        <v>707.39239981999992</v>
      </c>
      <c r="N204" s="191">
        <f>M204/B204*100</f>
        <v>5.4901935340582488</v>
      </c>
      <c r="O204" s="191">
        <v>1368.1564542599999</v>
      </c>
      <c r="P204" s="191">
        <f>O204/B204*100</f>
        <v>10.618496495961283</v>
      </c>
      <c r="Q204" s="191">
        <v>5306.3037157915614</v>
      </c>
      <c r="R204" s="191">
        <f>Q204/B204*100</f>
        <v>41.183131678543702</v>
      </c>
      <c r="S204" s="191">
        <v>1799.3</v>
      </c>
      <c r="T204" s="191">
        <f t="shared" si="134"/>
        <v>13.964675374438077</v>
      </c>
      <c r="U204" s="191">
        <v>9.3712005299999994</v>
      </c>
      <c r="V204" s="191">
        <f>U204/B204*100</f>
        <v>7.2731491841389453E-2</v>
      </c>
      <c r="W204" s="191">
        <v>0.57836255000000003</v>
      </c>
      <c r="X204" s="191">
        <f>W204/B204*100</f>
        <v>4.4887707772368205E-3</v>
      </c>
      <c r="Y204" s="191">
        <v>229.92490340000211</v>
      </c>
      <c r="Z204" s="191">
        <f>Y204/B204*100</f>
        <v>1.7844865428111283</v>
      </c>
      <c r="AA204" s="191">
        <v>43.583414349999998</v>
      </c>
      <c r="AB204" s="191">
        <f>AA204/B204*100</f>
        <v>0.33825834108118497</v>
      </c>
      <c r="AC204" s="191">
        <v>7.2769729999999991E-2</v>
      </c>
      <c r="AD204" s="191">
        <f>AC204/B204*100</f>
        <v>5.6477833409409629E-4</v>
      </c>
      <c r="AE204" s="191">
        <v>26.704567149999999</v>
      </c>
      <c r="AF204" s="191">
        <f>AE204/B204*100</f>
        <v>0.20725871798178905</v>
      </c>
      <c r="AG204" s="191">
        <v>73.255586710000003</v>
      </c>
      <c r="AH204" s="191">
        <f>AG204/B204*100</f>
        <v>0.56854915120833116</v>
      </c>
      <c r="AI204" s="191">
        <v>288.55565068999999</v>
      </c>
    </row>
    <row r="205" spans="1:35">
      <c r="A205" s="679" t="s">
        <v>19</v>
      </c>
      <c r="B205" s="191">
        <v>12974.579268571561</v>
      </c>
      <c r="C205" s="191">
        <v>1574.7213720900002</v>
      </c>
      <c r="D205" s="191">
        <f t="shared" ref="D205:D223" si="153">C205/B205*100</f>
        <v>12.136974459776601</v>
      </c>
      <c r="E205" s="191">
        <v>2293.6712597799997</v>
      </c>
      <c r="F205" s="191">
        <f t="shared" ref="F205:F223" si="154">E205/B205*100</f>
        <v>17.678193737934762</v>
      </c>
      <c r="G205" s="191">
        <v>443.61220577999995</v>
      </c>
      <c r="H205" s="191">
        <f t="shared" ref="H205:H223" si="155">G205/B205*100</f>
        <v>3.4190874062064252</v>
      </c>
      <c r="I205" s="191">
        <v>468.43110524000002</v>
      </c>
      <c r="J205" s="191">
        <f t="shared" ref="J205:J223" si="156">I205/B205*100</f>
        <v>3.6103760711122623</v>
      </c>
      <c r="K205" s="191">
        <v>373.11719791000002</v>
      </c>
      <c r="L205" s="191">
        <f t="shared" ref="L205:L223" si="157">K205/B205*100</f>
        <v>2.8757556617947926</v>
      </c>
      <c r="M205" s="191">
        <v>726.20821447999992</v>
      </c>
      <c r="N205" s="191">
        <f t="shared" ref="N205:N223" si="158">M205/B205*100</f>
        <v>5.5971619537529094</v>
      </c>
      <c r="O205" s="191">
        <v>1359.0258615700002</v>
      </c>
      <c r="P205" s="191">
        <f t="shared" ref="P205:P223" si="159">O205/B205*100</f>
        <v>10.474527408083132</v>
      </c>
      <c r="Q205" s="191">
        <v>5368.2099775915631</v>
      </c>
      <c r="R205" s="191">
        <f t="shared" ref="R205:R223" si="160">Q205/B205*100</f>
        <v>41.374828936418972</v>
      </c>
      <c r="S205" s="191">
        <v>1819.3</v>
      </c>
      <c r="T205" s="191">
        <f t="shared" si="134"/>
        <v>14.022034644367288</v>
      </c>
      <c r="U205" s="191">
        <v>9.2367638700000008</v>
      </c>
      <c r="V205" s="191">
        <f t="shared" ref="V205:V223" si="161">U205/B205*100</f>
        <v>7.1191240030220454E-2</v>
      </c>
      <c r="W205" s="191">
        <v>0.64177067999999993</v>
      </c>
      <c r="X205" s="191">
        <f t="shared" ref="X205:X223" si="162">W205/B205*100</f>
        <v>4.9463698723130611E-3</v>
      </c>
      <c r="Y205" s="191">
        <v>225.08568912999647</v>
      </c>
      <c r="Z205" s="191">
        <f t="shared" ref="Z205:Z219" si="163">Y205/B205*100</f>
        <v>1.7348207172715309</v>
      </c>
      <c r="AA205" s="191">
        <v>38.148750159999999</v>
      </c>
      <c r="AB205" s="191">
        <f t="shared" ref="AB205:AB219" si="164">AA205/B205*100</f>
        <v>0.29402687648152148</v>
      </c>
      <c r="AC205" s="191">
        <v>7.2792549999999998E-2</v>
      </c>
      <c r="AD205" s="191">
        <f t="shared" ref="AD205:AD219" si="165">AC205/B205*100</f>
        <v>5.6103977241347654E-4</v>
      </c>
      <c r="AE205" s="191">
        <v>24.699483720000003</v>
      </c>
      <c r="AF205" s="191">
        <f t="shared" ref="AF205:AF219" si="166">AE205/B205*100</f>
        <v>0.19036828253714388</v>
      </c>
      <c r="AG205" s="191">
        <v>69.696824019999994</v>
      </c>
      <c r="AH205" s="191">
        <f t="shared" ref="AH205:AH219" si="167">AG205/B205*100</f>
        <v>0.53717983895498811</v>
      </c>
      <c r="AI205" s="191">
        <v>312.71779347</v>
      </c>
    </row>
    <row r="206" spans="1:35">
      <c r="A206" s="679" t="s">
        <v>20</v>
      </c>
      <c r="B206" s="191">
        <v>13058.033851711562</v>
      </c>
      <c r="C206" s="191">
        <v>1557.9521574100002</v>
      </c>
      <c r="D206" s="191">
        <f t="shared" si="153"/>
        <v>11.930985744885277</v>
      </c>
      <c r="E206" s="191">
        <v>2310.7309888799996</v>
      </c>
      <c r="F206" s="191">
        <f t="shared" si="154"/>
        <v>17.695856934672626</v>
      </c>
      <c r="G206" s="191">
        <v>444.14954216000001</v>
      </c>
      <c r="H206" s="191">
        <f t="shared" si="155"/>
        <v>3.4013508251227567</v>
      </c>
      <c r="I206" s="191">
        <v>477.07646024999997</v>
      </c>
      <c r="J206" s="191">
        <f t="shared" si="156"/>
        <v>3.6535091397964776</v>
      </c>
      <c r="K206" s="191">
        <v>370.20479340000003</v>
      </c>
      <c r="L206" s="191">
        <f t="shared" si="157"/>
        <v>2.8350730102562571</v>
      </c>
      <c r="M206" s="191">
        <v>748.73145756999998</v>
      </c>
      <c r="N206" s="191">
        <f t="shared" si="158"/>
        <v>5.7338759117388962</v>
      </c>
      <c r="O206" s="191">
        <v>1357.88037076</v>
      </c>
      <c r="P206" s="191">
        <f t="shared" si="159"/>
        <v>10.398811843959326</v>
      </c>
      <c r="Q206" s="191">
        <v>5432.2403626615633</v>
      </c>
      <c r="R206" s="191">
        <f t="shared" si="160"/>
        <v>41.600752642784279</v>
      </c>
      <c r="S206" s="191">
        <v>1827.6</v>
      </c>
      <c r="T206" s="191">
        <f t="shared" si="134"/>
        <v>13.995981483540495</v>
      </c>
      <c r="U206" s="191">
        <v>8.9344810799999994</v>
      </c>
      <c r="V206" s="191">
        <f t="shared" si="161"/>
        <v>6.8421334953339297E-2</v>
      </c>
      <c r="W206" s="191">
        <v>0.60361416999999995</v>
      </c>
      <c r="X206" s="191">
        <f t="shared" si="162"/>
        <v>4.6225502005486242E-3</v>
      </c>
      <c r="Y206" s="191">
        <v>225.01829643999946</v>
      </c>
      <c r="Z206" s="191">
        <f t="shared" si="163"/>
        <v>1.7232172852002947</v>
      </c>
      <c r="AA206" s="191">
        <v>35.956621589999997</v>
      </c>
      <c r="AB206" s="191">
        <f t="shared" si="164"/>
        <v>0.27536014991481311</v>
      </c>
      <c r="AC206" s="191">
        <v>1.5466275700000001</v>
      </c>
      <c r="AD206" s="191">
        <f t="shared" si="165"/>
        <v>1.1844260687050356E-2</v>
      </c>
      <c r="AE206" s="191">
        <v>25.358725029999999</v>
      </c>
      <c r="AF206" s="191">
        <f t="shared" si="166"/>
        <v>0.1942001783574496</v>
      </c>
      <c r="AG206" s="191">
        <v>61.649352739999998</v>
      </c>
      <c r="AH206" s="191">
        <f t="shared" si="167"/>
        <v>0.47211818747061529</v>
      </c>
      <c r="AI206" s="191">
        <v>269.86157463000001</v>
      </c>
    </row>
    <row r="207" spans="1:35">
      <c r="A207" s="679" t="s">
        <v>21</v>
      </c>
      <c r="B207" s="191">
        <v>13011.354034490003</v>
      </c>
      <c r="C207" s="191">
        <v>1503.7811409499998</v>
      </c>
      <c r="D207" s="191">
        <f t="shared" si="153"/>
        <v>11.557453105678578</v>
      </c>
      <c r="E207" s="191">
        <v>2274.1529084900003</v>
      </c>
      <c r="F207" s="191">
        <f t="shared" si="154"/>
        <v>17.47821865781042</v>
      </c>
      <c r="G207" s="191">
        <v>447.9374740400001</v>
      </c>
      <c r="H207" s="191">
        <f t="shared" si="155"/>
        <v>3.4426660964925282</v>
      </c>
      <c r="I207" s="191">
        <v>479.45580126000004</v>
      </c>
      <c r="J207" s="191">
        <f t="shared" si="156"/>
        <v>3.6849032006129172</v>
      </c>
      <c r="K207" s="191">
        <v>357.37534450000004</v>
      </c>
      <c r="L207" s="191">
        <f t="shared" si="157"/>
        <v>2.7466422291844728</v>
      </c>
      <c r="M207" s="191">
        <v>763.7232715099999</v>
      </c>
      <c r="N207" s="191">
        <f t="shared" si="158"/>
        <v>5.869667903014177</v>
      </c>
      <c r="O207" s="191">
        <v>1271.92489125</v>
      </c>
      <c r="P207" s="191">
        <f t="shared" si="159"/>
        <v>9.7754998279074545</v>
      </c>
      <c r="Q207" s="191">
        <v>5515.7658784699997</v>
      </c>
      <c r="R207" s="191">
        <f t="shared" si="160"/>
        <v>42.391943711999666</v>
      </c>
      <c r="S207" s="191">
        <v>1835.2</v>
      </c>
      <c r="T207" s="191">
        <f t="shared" si="134"/>
        <v>14.104604295105041</v>
      </c>
      <c r="U207" s="191">
        <v>8.4807223</v>
      </c>
      <c r="V207" s="191">
        <f t="shared" si="161"/>
        <v>6.5179398527775226E-2</v>
      </c>
      <c r="W207" s="191">
        <v>0.54394122</v>
      </c>
      <c r="X207" s="191">
        <f t="shared" si="162"/>
        <v>4.1805120247911266E-3</v>
      </c>
      <c r="Y207" s="191">
        <v>254.24511208000368</v>
      </c>
      <c r="Z207" s="191">
        <f t="shared" si="163"/>
        <v>1.9540250108179396</v>
      </c>
      <c r="AA207" s="191">
        <v>35.449455960000002</v>
      </c>
      <c r="AB207" s="191">
        <f t="shared" si="164"/>
        <v>0.27245016826098134</v>
      </c>
      <c r="AC207" s="191">
        <v>1.9514988400000002</v>
      </c>
      <c r="AD207" s="191">
        <f t="shared" si="165"/>
        <v>1.4998430100564793E-2</v>
      </c>
      <c r="AE207" s="191">
        <v>31.556357089999999</v>
      </c>
      <c r="AF207" s="191">
        <f t="shared" si="166"/>
        <v>0.24252938630638754</v>
      </c>
      <c r="AG207" s="191">
        <v>65.010236530000014</v>
      </c>
      <c r="AH207" s="191">
        <f t="shared" si="167"/>
        <v>0.49964236126135181</v>
      </c>
      <c r="AI207" s="191">
        <v>279.47993210999999</v>
      </c>
    </row>
    <row r="208" spans="1:35">
      <c r="A208" s="679" t="s">
        <v>22</v>
      </c>
      <c r="B208" s="191">
        <v>13197.974708330001</v>
      </c>
      <c r="C208" s="191">
        <v>1494.2622123900001</v>
      </c>
      <c r="D208" s="191">
        <f t="shared" si="153"/>
        <v>11.321905409069204</v>
      </c>
      <c r="E208" s="191">
        <v>2287.0035614600001</v>
      </c>
      <c r="F208" s="191">
        <f t="shared" si="154"/>
        <v>17.328443280138586</v>
      </c>
      <c r="G208" s="191">
        <v>444.37282797999995</v>
      </c>
      <c r="H208" s="191">
        <f t="shared" si="155"/>
        <v>3.3669774173724605</v>
      </c>
      <c r="I208" s="191">
        <v>497.36101735</v>
      </c>
      <c r="J208" s="191">
        <f t="shared" si="156"/>
        <v>3.7684646950875491</v>
      </c>
      <c r="K208" s="191">
        <v>365.80510866999998</v>
      </c>
      <c r="L208" s="191">
        <f t="shared" si="157"/>
        <v>2.7716760848095832</v>
      </c>
      <c r="M208" s="191">
        <v>772.91956983</v>
      </c>
      <c r="N208" s="191">
        <f t="shared" si="158"/>
        <v>5.8563498332980286</v>
      </c>
      <c r="O208" s="191">
        <v>1301.1727264900001</v>
      </c>
      <c r="P208" s="191">
        <f t="shared" si="159"/>
        <v>9.8588818000140215</v>
      </c>
      <c r="Q208" s="191">
        <v>5658.4731998100006</v>
      </c>
      <c r="R208" s="191">
        <f t="shared" si="160"/>
        <v>42.873799388618409</v>
      </c>
      <c r="S208" s="191">
        <v>1856.1</v>
      </c>
      <c r="T208" s="191">
        <f t="shared" si="134"/>
        <v>14.06352141915008</v>
      </c>
      <c r="U208" s="191">
        <v>8.3100535600000001</v>
      </c>
      <c r="V208" s="191">
        <f t="shared" si="161"/>
        <v>6.2964611947278912E-2</v>
      </c>
      <c r="W208" s="191">
        <v>0.56832296999999998</v>
      </c>
      <c r="X208" s="191">
        <f t="shared" si="162"/>
        <v>4.306137741280097E-3</v>
      </c>
      <c r="Y208" s="191">
        <v>231.69355309000051</v>
      </c>
      <c r="Z208" s="191">
        <f t="shared" si="163"/>
        <v>1.7555235421368505</v>
      </c>
      <c r="AA208" s="191">
        <v>35.036828829999997</v>
      </c>
      <c r="AB208" s="191">
        <f t="shared" si="164"/>
        <v>0.26547125300888957</v>
      </c>
      <c r="AC208" s="191">
        <v>1.5477815800000001</v>
      </c>
      <c r="AD208" s="191">
        <f t="shared" si="165"/>
        <v>1.1727417381873797E-2</v>
      </c>
      <c r="AE208" s="191">
        <v>33.602823399999998</v>
      </c>
      <c r="AF208" s="191">
        <f t="shared" si="166"/>
        <v>0.25460590842617181</v>
      </c>
      <c r="AG208" s="191">
        <v>65.845120920000028</v>
      </c>
      <c r="AH208" s="191">
        <f t="shared" si="167"/>
        <v>0.49890322094981271</v>
      </c>
      <c r="AI208" s="191">
        <v>295.46815784</v>
      </c>
    </row>
    <row r="209" spans="1:35">
      <c r="A209" s="679" t="s">
        <v>23</v>
      </c>
      <c r="B209" s="191">
        <v>13482.586430900001</v>
      </c>
      <c r="C209" s="191">
        <v>1486.4636973599997</v>
      </c>
      <c r="D209" s="191">
        <f t="shared" si="153"/>
        <v>11.025063365833541</v>
      </c>
      <c r="E209" s="191">
        <v>2303.3447418799997</v>
      </c>
      <c r="F209" s="191">
        <f t="shared" si="154"/>
        <v>17.083849257595634</v>
      </c>
      <c r="G209" s="191">
        <v>445.14702732000001</v>
      </c>
      <c r="H209" s="191">
        <f t="shared" si="155"/>
        <v>3.3016441585702867</v>
      </c>
      <c r="I209" s="191">
        <v>501.88159487999997</v>
      </c>
      <c r="J209" s="191">
        <f t="shared" si="156"/>
        <v>3.722443000474783</v>
      </c>
      <c r="K209" s="191">
        <v>368.65257788000002</v>
      </c>
      <c r="L209" s="191">
        <f t="shared" si="157"/>
        <v>2.7342867762753991</v>
      </c>
      <c r="M209" s="191">
        <v>783.96987130999992</v>
      </c>
      <c r="N209" s="191">
        <f t="shared" si="158"/>
        <v>5.8146845586931475</v>
      </c>
      <c r="O209" s="191">
        <v>1335.5882296099999</v>
      </c>
      <c r="P209" s="191">
        <f t="shared" si="159"/>
        <v>9.9060238660813518</v>
      </c>
      <c r="Q209" s="191">
        <v>5801.781351300001</v>
      </c>
      <c r="R209" s="191">
        <f t="shared" si="160"/>
        <v>43.0316644438727</v>
      </c>
      <c r="S209" s="191">
        <v>1853.3</v>
      </c>
      <c r="T209" s="191">
        <f t="shared" si="134"/>
        <v>13.745878874935475</v>
      </c>
      <c r="U209" s="191">
        <v>8.0756254900000002</v>
      </c>
      <c r="V209" s="191">
        <f t="shared" si="161"/>
        <v>5.9896708479405085E-2</v>
      </c>
      <c r="W209" s="191">
        <v>1.8368338400000002</v>
      </c>
      <c r="X209" s="191">
        <f t="shared" si="162"/>
        <v>1.3623749785799714E-2</v>
      </c>
      <c r="Y209" s="191">
        <v>305.92554808000091</v>
      </c>
      <c r="Z209" s="191">
        <f t="shared" si="163"/>
        <v>2.2690419946344043</v>
      </c>
      <c r="AA209" s="191">
        <v>35.152942440000004</v>
      </c>
      <c r="AB209" s="191">
        <f t="shared" si="164"/>
        <v>0.26072847832397278</v>
      </c>
      <c r="AC209" s="191">
        <v>1.49027095</v>
      </c>
      <c r="AD209" s="191">
        <f t="shared" si="165"/>
        <v>1.1053301661649501E-2</v>
      </c>
      <c r="AE209" s="191">
        <v>35.29632178</v>
      </c>
      <c r="AF209" s="191">
        <f t="shared" si="166"/>
        <v>0.26179191923521655</v>
      </c>
      <c r="AG209" s="191">
        <v>67.979796780000015</v>
      </c>
      <c r="AH209" s="191">
        <f t="shared" si="167"/>
        <v>0.5042044204827113</v>
      </c>
      <c r="AI209" s="191">
        <v>297.81667455999997</v>
      </c>
    </row>
    <row r="210" spans="1:35">
      <c r="A210" s="679" t="s">
        <v>24</v>
      </c>
      <c r="B210" s="191">
        <v>13681.36671088</v>
      </c>
      <c r="C210" s="191">
        <v>1487.3638733499999</v>
      </c>
      <c r="D210" s="191">
        <f t="shared" si="153"/>
        <v>10.871456812623737</v>
      </c>
      <c r="E210" s="191">
        <v>2289.6573016699999</v>
      </c>
      <c r="F210" s="191">
        <f t="shared" si="154"/>
        <v>16.73558899528048</v>
      </c>
      <c r="G210" s="191">
        <v>408.32402446000009</v>
      </c>
      <c r="H210" s="191">
        <f t="shared" si="155"/>
        <v>2.9845265687914324</v>
      </c>
      <c r="I210" s="191">
        <v>499.50039152000005</v>
      </c>
      <c r="J210" s="191">
        <f t="shared" si="156"/>
        <v>3.6509539001156681</v>
      </c>
      <c r="K210" s="191">
        <v>353.02862678000002</v>
      </c>
      <c r="L210" s="191">
        <f t="shared" si="157"/>
        <v>2.5803608238879878</v>
      </c>
      <c r="M210" s="191">
        <v>902.1172379599999</v>
      </c>
      <c r="N210" s="191">
        <f t="shared" si="158"/>
        <v>6.5937654989000354</v>
      </c>
      <c r="O210" s="191">
        <v>1274.3817415100002</v>
      </c>
      <c r="P210" s="191">
        <f t="shared" si="159"/>
        <v>9.3147254104120911</v>
      </c>
      <c r="Q210" s="191">
        <v>5938.2500646799999</v>
      </c>
      <c r="R210" s="191">
        <f t="shared" si="160"/>
        <v>43.40392440440656</v>
      </c>
      <c r="S210" s="191">
        <v>1858.8</v>
      </c>
      <c r="T210" s="191">
        <f t="shared" si="134"/>
        <v>13.586361942347496</v>
      </c>
      <c r="U210" s="191">
        <v>7.8462870599999999</v>
      </c>
      <c r="V210" s="191">
        <f t="shared" si="161"/>
        <v>5.7350169948739857E-2</v>
      </c>
      <c r="W210" s="191">
        <v>1.3154482700000001</v>
      </c>
      <c r="X210" s="191">
        <f t="shared" si="162"/>
        <v>9.6148893440148805E-3</v>
      </c>
      <c r="Y210" s="191">
        <v>405.76510696999992</v>
      </c>
      <c r="Z210" s="191">
        <f t="shared" si="163"/>
        <v>2.9658229001881691</v>
      </c>
      <c r="AA210" s="191">
        <v>31.684712709999999</v>
      </c>
      <c r="AB210" s="191">
        <f t="shared" si="164"/>
        <v>0.23159025980060149</v>
      </c>
      <c r="AC210" s="191">
        <v>1.5488708400000002</v>
      </c>
      <c r="AD210" s="191">
        <f t="shared" si="165"/>
        <v>1.1321024227559611E-2</v>
      </c>
      <c r="AE210" s="191">
        <v>32.181675890000001</v>
      </c>
      <c r="AF210" s="191">
        <f t="shared" si="166"/>
        <v>0.23522266868563485</v>
      </c>
      <c r="AG210" s="191">
        <v>48.401347210000012</v>
      </c>
      <c r="AH210" s="191">
        <f t="shared" si="167"/>
        <v>0.35377567338728827</v>
      </c>
      <c r="AI210" s="191">
        <v>277.92484053999999</v>
      </c>
    </row>
    <row r="211" spans="1:35" ht="15" customHeight="1">
      <c r="A211" s="679" t="s">
        <v>25</v>
      </c>
      <c r="B211" s="191">
        <v>13865.53278956</v>
      </c>
      <c r="C211" s="191">
        <v>1491.26908237</v>
      </c>
      <c r="D211" s="191">
        <f t="shared" si="153"/>
        <v>10.755223798488618</v>
      </c>
      <c r="E211" s="191">
        <v>2298.5805962699997</v>
      </c>
      <c r="F211" s="191">
        <f t="shared" si="154"/>
        <v>16.577657931765213</v>
      </c>
      <c r="G211" s="191">
        <v>374.29320861999997</v>
      </c>
      <c r="H211" s="191">
        <f t="shared" si="155"/>
        <v>2.6994506038875232</v>
      </c>
      <c r="I211" s="191">
        <v>503.68292389999999</v>
      </c>
      <c r="J211" s="191">
        <f t="shared" si="156"/>
        <v>3.6326258178787487</v>
      </c>
      <c r="K211" s="191">
        <v>373.47619191999996</v>
      </c>
      <c r="L211" s="191">
        <f t="shared" si="157"/>
        <v>2.693558174707916</v>
      </c>
      <c r="M211" s="191">
        <v>862.43482313999993</v>
      </c>
      <c r="N211" s="191">
        <f t="shared" si="158"/>
        <v>6.2199905061662468</v>
      </c>
      <c r="O211" s="191">
        <v>1269.0044130599999</v>
      </c>
      <c r="P211" s="191">
        <f t="shared" si="159"/>
        <v>9.1522225097292456</v>
      </c>
      <c r="Q211" s="191">
        <v>6091.5527847600006</v>
      </c>
      <c r="R211" s="191">
        <f t="shared" si="160"/>
        <v>43.933059603354096</v>
      </c>
      <c r="S211" s="191">
        <v>1867.7</v>
      </c>
      <c r="T211" s="191">
        <f t="shared" si="134"/>
        <v>13.470091833804451</v>
      </c>
      <c r="U211" s="191">
        <v>7.6223526100000001</v>
      </c>
      <c r="V211" s="191">
        <f t="shared" si="161"/>
        <v>5.4973384187149456E-2</v>
      </c>
      <c r="W211" s="191">
        <v>0.87201561000000005</v>
      </c>
      <c r="X211" s="191">
        <f t="shared" si="162"/>
        <v>6.2890883692300736E-3</v>
      </c>
      <c r="Y211" s="191">
        <f>((B211-C211-E211-G211-I211-K211-M211-W211-O211-Q211-U211-AA211-AC211-AE211-AG211))</f>
        <v>484.41056021000202</v>
      </c>
      <c r="Z211" s="191">
        <f t="shared" si="163"/>
        <v>3.493631060284514</v>
      </c>
      <c r="AA211" s="191">
        <v>25.816790839999999</v>
      </c>
      <c r="AB211" s="191">
        <f t="shared" si="164"/>
        <v>0.18619400517691359</v>
      </c>
      <c r="AC211" s="191">
        <v>1.5552101</v>
      </c>
      <c r="AD211" s="191">
        <f t="shared" si="165"/>
        <v>1.1216374614691976E-2</v>
      </c>
      <c r="AE211" s="191">
        <v>32.805013450000004</v>
      </c>
      <c r="AF211" s="191">
        <f t="shared" si="166"/>
        <v>0.23659396251040862</v>
      </c>
      <c r="AG211" s="191">
        <v>48.156822700000006</v>
      </c>
      <c r="AH211" s="191">
        <f t="shared" si="167"/>
        <v>0.34731317887949825</v>
      </c>
      <c r="AI211" s="191">
        <v>288.31857986</v>
      </c>
    </row>
    <row r="212" spans="1:35" ht="15" customHeight="1">
      <c r="A212" s="679" t="s">
        <v>26</v>
      </c>
      <c r="B212" s="191">
        <v>14242.98762236</v>
      </c>
      <c r="C212" s="191">
        <v>1442.8963405099998</v>
      </c>
      <c r="D212" s="191">
        <f t="shared" si="153"/>
        <v>10.13057357604386</v>
      </c>
      <c r="E212" s="191">
        <v>2384.9547273099997</v>
      </c>
      <c r="F212" s="191">
        <f t="shared" si="154"/>
        <v>16.744764445107503</v>
      </c>
      <c r="G212" s="191">
        <v>524.17324116999998</v>
      </c>
      <c r="H212" s="191">
        <f t="shared" si="155"/>
        <v>3.6802197338647042</v>
      </c>
      <c r="I212" s="191">
        <v>517.20991936999997</v>
      </c>
      <c r="J212" s="191">
        <f t="shared" si="156"/>
        <v>3.6313302593764427</v>
      </c>
      <c r="K212" s="191">
        <v>380.25941532000002</v>
      </c>
      <c r="L212" s="191">
        <f t="shared" si="157"/>
        <v>2.6698009252148229</v>
      </c>
      <c r="M212" s="191">
        <v>872.54092084000001</v>
      </c>
      <c r="N212" s="191">
        <f t="shared" si="158"/>
        <v>6.1261088191230471</v>
      </c>
      <c r="O212" s="191">
        <v>1167.8935276300001</v>
      </c>
      <c r="P212" s="191">
        <f t="shared" si="159"/>
        <v>8.1997791376054376</v>
      </c>
      <c r="Q212" s="191">
        <v>6292.0703725599997</v>
      </c>
      <c r="R212" s="191">
        <f t="shared" si="160"/>
        <v>44.176618974814716</v>
      </c>
      <c r="S212" s="191">
        <v>1875.9</v>
      </c>
      <c r="T212" s="191">
        <f t="shared" si="134"/>
        <v>13.170691779967802</v>
      </c>
      <c r="U212" s="191">
        <v>10.33276105</v>
      </c>
      <c r="V212" s="191">
        <f t="shared" si="161"/>
        <v>7.2546303654569252E-2</v>
      </c>
      <c r="W212" s="191">
        <v>1.20288846</v>
      </c>
      <c r="X212" s="191">
        <f t="shared" si="162"/>
        <v>8.4454785182259875E-3</v>
      </c>
      <c r="Y212" s="191">
        <f>((B212-C212-E212-G212-I212-K212-M212-W212-O212-Q212-U212-AA212-AC212-AE212-AG212))</f>
        <v>534.56938827000067</v>
      </c>
      <c r="Z212" s="191">
        <f t="shared" si="163"/>
        <v>3.7532110709046931</v>
      </c>
      <c r="AA212" s="191">
        <v>27.801495709999998</v>
      </c>
      <c r="AB212" s="191">
        <f t="shared" si="164"/>
        <v>0.19519426996028952</v>
      </c>
      <c r="AC212" s="191">
        <v>1.6879337300000001</v>
      </c>
      <c r="AD212" s="191">
        <f t="shared" si="165"/>
        <v>1.1850980810726261E-2</v>
      </c>
      <c r="AE212" s="191">
        <v>34.856934330000001</v>
      </c>
      <c r="AF212" s="191">
        <f t="shared" si="166"/>
        <v>0.24473049653766643</v>
      </c>
      <c r="AG212" s="191">
        <v>50.537756099999996</v>
      </c>
      <c r="AH212" s="191">
        <f t="shared" si="167"/>
        <v>0.35482552846329096</v>
      </c>
      <c r="AI212" s="191">
        <v>293.17452789999999</v>
      </c>
    </row>
    <row r="213" spans="1:35" ht="15" customHeight="1">
      <c r="A213" s="679" t="s">
        <v>27</v>
      </c>
      <c r="B213" s="191">
        <v>14445.834273410001</v>
      </c>
      <c r="C213" s="191">
        <v>1384.94292948</v>
      </c>
      <c r="D213" s="191">
        <f t="shared" si="153"/>
        <v>9.5871439701424617</v>
      </c>
      <c r="E213" s="191">
        <v>2416.2553300699997</v>
      </c>
      <c r="F213" s="191">
        <f t="shared" si="154"/>
        <v>16.726312128040441</v>
      </c>
      <c r="G213" s="191">
        <v>542.30487891999996</v>
      </c>
      <c r="H213" s="191">
        <f t="shared" si="155"/>
        <v>3.7540571811640104</v>
      </c>
      <c r="I213" s="191">
        <v>520.76455778000002</v>
      </c>
      <c r="J213" s="191">
        <f t="shared" si="156"/>
        <v>3.6049462282601095</v>
      </c>
      <c r="K213" s="191">
        <v>399.93007603999996</v>
      </c>
      <c r="L213" s="191">
        <f t="shared" si="157"/>
        <v>2.768480300069196</v>
      </c>
      <c r="M213" s="191">
        <v>904.88222534999989</v>
      </c>
      <c r="N213" s="191">
        <f t="shared" si="158"/>
        <v>6.263966540275133</v>
      </c>
      <c r="O213" s="191">
        <v>1163.9528965600002</v>
      </c>
      <c r="P213" s="191">
        <f t="shared" si="159"/>
        <v>8.0573601671621855</v>
      </c>
      <c r="Q213" s="191">
        <v>6430.9749958900002</v>
      </c>
      <c r="R213" s="191">
        <f t="shared" si="160"/>
        <v>44.517851127001343</v>
      </c>
      <c r="S213" s="191">
        <v>1887.2</v>
      </c>
      <c r="T213" s="191">
        <f t="shared" si="134"/>
        <v>13.063973767674399</v>
      </c>
      <c r="U213" s="191">
        <v>11.748187399999999</v>
      </c>
      <c r="V213" s="191">
        <f t="shared" si="161"/>
        <v>8.1325779997521663E-2</v>
      </c>
      <c r="W213" s="191">
        <v>0.38734111000000004</v>
      </c>
      <c r="X213" s="191">
        <f t="shared" si="162"/>
        <v>2.6813343048865432E-3</v>
      </c>
      <c r="Y213" s="191">
        <f>((B213-C213-E213-G213-I213-K213-M213-W213-O213-Q213-U213-AA213-AC213-AE213-AG213))</f>
        <v>556.6702958900014</v>
      </c>
      <c r="Z213" s="191">
        <f t="shared" si="163"/>
        <v>3.8535004995498752</v>
      </c>
      <c r="AA213" s="191">
        <v>26.603772299999999</v>
      </c>
      <c r="AB213" s="191">
        <f t="shared" si="164"/>
        <v>0.1841622421833313</v>
      </c>
      <c r="AC213" s="191">
        <v>1.4867795500000001</v>
      </c>
      <c r="AD213" s="191">
        <f t="shared" si="165"/>
        <v>1.029209889758094E-2</v>
      </c>
      <c r="AE213" s="191">
        <v>34.67056831</v>
      </c>
      <c r="AF213" s="191">
        <f t="shared" si="166"/>
        <v>0.24000391845708102</v>
      </c>
      <c r="AG213" s="191">
        <v>50.259438759999988</v>
      </c>
      <c r="AH213" s="191">
        <f t="shared" si="167"/>
        <v>0.3479164844948483</v>
      </c>
      <c r="AI213" s="191">
        <v>298.38112630000001</v>
      </c>
    </row>
    <row r="214" spans="1:35" ht="15" customHeight="1">
      <c r="A214" s="679" t="s">
        <v>28</v>
      </c>
      <c r="B214" s="191">
        <v>15116.424979359999</v>
      </c>
      <c r="C214" s="191">
        <v>1410.4221754200003</v>
      </c>
      <c r="D214" s="191">
        <f t="shared" si="153"/>
        <v>9.3303950990117954</v>
      </c>
      <c r="E214" s="191">
        <v>2339.4936194899997</v>
      </c>
      <c r="F214" s="191">
        <f t="shared" si="154"/>
        <v>15.476500711539598</v>
      </c>
      <c r="G214" s="191">
        <v>611.15848900000003</v>
      </c>
      <c r="H214" s="191">
        <f t="shared" si="155"/>
        <v>4.0430094406215566</v>
      </c>
      <c r="I214" s="191">
        <v>520.11083858000006</v>
      </c>
      <c r="J214" s="191">
        <f t="shared" si="156"/>
        <v>3.4407000285461709</v>
      </c>
      <c r="K214" s="191">
        <v>583.49459688999991</v>
      </c>
      <c r="L214" s="191">
        <f t="shared" si="157"/>
        <v>3.8600039208126575</v>
      </c>
      <c r="M214" s="191">
        <v>930.87742399999991</v>
      </c>
      <c r="N214" s="191">
        <f t="shared" si="158"/>
        <v>6.1580527490529144</v>
      </c>
      <c r="O214" s="191">
        <v>1207.81292177</v>
      </c>
      <c r="P214" s="191">
        <f t="shared" si="159"/>
        <v>7.9900698969442212</v>
      </c>
      <c r="Q214" s="191">
        <v>6814.5850019899999</v>
      </c>
      <c r="R214" s="191">
        <f t="shared" si="160"/>
        <v>45.080665642138598</v>
      </c>
      <c r="S214" s="191">
        <v>1902.4</v>
      </c>
      <c r="T214" s="191">
        <f t="shared" si="134"/>
        <v>12.58498621597065</v>
      </c>
      <c r="U214" s="191">
        <v>11.447988930000001</v>
      </c>
      <c r="V214" s="191">
        <f t="shared" si="161"/>
        <v>7.5732118841796994E-2</v>
      </c>
      <c r="W214" s="191">
        <v>0.75237586999999995</v>
      </c>
      <c r="X214" s="191">
        <f t="shared" si="162"/>
        <v>4.9772077129830346E-3</v>
      </c>
      <c r="Y214" s="191">
        <f>((B214-C214-E214-G214-I214-K214-M214-W214-O214-Q214-U214-AA214-AC214-AE214-AG214))</f>
        <v>577.31821219999927</v>
      </c>
      <c r="Z214" s="191">
        <f t="shared" si="163"/>
        <v>3.8191451549441804</v>
      </c>
      <c r="AA214" s="191">
        <v>23.03398563</v>
      </c>
      <c r="AB214" s="191">
        <f t="shared" si="164"/>
        <v>0.152377203349672</v>
      </c>
      <c r="AC214" s="191">
        <v>1.61888772</v>
      </c>
      <c r="AD214" s="191">
        <f t="shared" si="165"/>
        <v>1.0709461544051805E-2</v>
      </c>
      <c r="AE214" s="191">
        <v>33.928059699999999</v>
      </c>
      <c r="AF214" s="191">
        <f t="shared" si="166"/>
        <v>0.22444499771821347</v>
      </c>
      <c r="AG214" s="191">
        <v>50.370402170000006</v>
      </c>
      <c r="AH214" s="191">
        <f t="shared" si="167"/>
        <v>0.33321636722158754</v>
      </c>
      <c r="AI214" s="191">
        <v>299.26048521000001</v>
      </c>
    </row>
    <row r="215" spans="1:35" ht="15" customHeight="1">
      <c r="A215" s="679" t="s">
        <v>29</v>
      </c>
      <c r="B215" s="191">
        <v>15298.183505950003</v>
      </c>
      <c r="C215" s="191">
        <v>1273.0674075999998</v>
      </c>
      <c r="D215" s="191">
        <f t="shared" si="153"/>
        <v>8.3216900039462782</v>
      </c>
      <c r="E215" s="191">
        <v>2491.3275571199997</v>
      </c>
      <c r="F215" s="191">
        <f t="shared" si="154"/>
        <v>16.285120100376847</v>
      </c>
      <c r="G215" s="191">
        <v>625.91507024999999</v>
      </c>
      <c r="H215" s="191">
        <f t="shared" si="155"/>
        <v>4.0914339274761584</v>
      </c>
      <c r="I215" s="191">
        <v>543.39684594000005</v>
      </c>
      <c r="J215" s="191">
        <f t="shared" si="156"/>
        <v>3.5520350878825178</v>
      </c>
      <c r="K215" s="191">
        <v>477.13003762999995</v>
      </c>
      <c r="L215" s="191">
        <f t="shared" si="157"/>
        <v>3.1188672658059517</v>
      </c>
      <c r="M215" s="191">
        <v>872.64787317000003</v>
      </c>
      <c r="N215" s="191">
        <f t="shared" si="158"/>
        <v>5.704258109014031</v>
      </c>
      <c r="O215" s="191">
        <v>1204.2609666499998</v>
      </c>
      <c r="P215" s="191">
        <f t="shared" si="159"/>
        <v>7.8719213047851095</v>
      </c>
      <c r="Q215" s="191">
        <v>6978.7193832900002</v>
      </c>
      <c r="R215" s="191">
        <f t="shared" si="160"/>
        <v>45.617960985863</v>
      </c>
      <c r="S215" s="191">
        <v>1939.1</v>
      </c>
      <c r="T215" s="191">
        <f t="shared" si="134"/>
        <v>12.675361092680157</v>
      </c>
      <c r="U215" s="191">
        <v>37.973435389999999</v>
      </c>
      <c r="V215" s="191">
        <f t="shared" si="161"/>
        <v>0.2482218583352121</v>
      </c>
      <c r="W215" s="191">
        <v>0.24328217999999999</v>
      </c>
      <c r="X215" s="191">
        <f t="shared" si="162"/>
        <v>1.5902684126215311E-3</v>
      </c>
      <c r="Y215" s="191">
        <f>((B215-C215-E215-G215-I215-K215-M215-W215-O215-Q215-U215-AA215-AC215-AE215-AG215))</f>
        <v>667.26546844000404</v>
      </c>
      <c r="Z215" s="191">
        <f t="shared" si="163"/>
        <v>4.3617300588692833</v>
      </c>
      <c r="AA215" s="191">
        <v>19.718746280000001</v>
      </c>
      <c r="AB215" s="191">
        <f t="shared" si="164"/>
        <v>0.12889599783092343</v>
      </c>
      <c r="AC215" s="191">
        <v>1.4439694199999999</v>
      </c>
      <c r="AD215" s="191">
        <f t="shared" si="165"/>
        <v>9.4388292534103111E-3</v>
      </c>
      <c r="AE215" s="191">
        <v>45.386333559999997</v>
      </c>
      <c r="AF215" s="191">
        <f t="shared" si="166"/>
        <v>0.29667792612337052</v>
      </c>
      <c r="AG215" s="191">
        <v>59.687129029999994</v>
      </c>
      <c r="AH215" s="191">
        <f t="shared" si="167"/>
        <v>0.3901582760252913</v>
      </c>
      <c r="AI215" s="191">
        <v>320.91820552000001</v>
      </c>
    </row>
    <row r="216" spans="1:35" ht="15" customHeight="1">
      <c r="A216" s="679" t="s">
        <v>2375</v>
      </c>
      <c r="B216" s="283">
        <v>14530.423128150002</v>
      </c>
      <c r="C216" s="283">
        <v>893.13990544000001</v>
      </c>
      <c r="D216" s="283">
        <v>6.1466888993047082</v>
      </c>
      <c r="E216" s="283">
        <v>2606.8456367699996</v>
      </c>
      <c r="F216" s="283">
        <v>17.940603751034061</v>
      </c>
      <c r="G216" s="283">
        <v>524.48663853999994</v>
      </c>
      <c r="H216" s="283">
        <v>3.6095758114841425</v>
      </c>
      <c r="I216" s="283">
        <v>566.24991748999992</v>
      </c>
      <c r="J216" s="283">
        <v>3.8969953765007412</v>
      </c>
      <c r="K216" s="283">
        <v>492.95189799000002</v>
      </c>
      <c r="L216" s="283">
        <v>3.3925501937723825</v>
      </c>
      <c r="M216" s="283">
        <v>1250.05735697</v>
      </c>
      <c r="N216" s="283">
        <v>8.6030347908330729</v>
      </c>
      <c r="O216" s="283">
        <v>848.51894512000001</v>
      </c>
      <c r="P216" s="283">
        <v>5.8396024509166002</v>
      </c>
      <c r="Q216" s="283">
        <v>6709.271535320001</v>
      </c>
      <c r="R216" s="283">
        <v>46.173958432924309</v>
      </c>
      <c r="S216" s="283">
        <v>2093.380062575</v>
      </c>
      <c r="T216" s="283">
        <v>14.406876139205224</v>
      </c>
      <c r="U216" s="283">
        <v>23.964750299999999</v>
      </c>
      <c r="V216" s="283">
        <v>0.16492809664690863</v>
      </c>
      <c r="W216" s="283">
        <v>0.77283535000000003</v>
      </c>
      <c r="X216" s="283">
        <v>5.3187394694843727E-3</v>
      </c>
      <c r="Y216" s="283">
        <f t="shared" ref="Y216" si="168">((B216-C216-E216-G216-I216-K216-M216-W216-O216-Q216-U216-AA216-AC216-AE216-AG216))</f>
        <v>527.90435741999704</v>
      </c>
      <c r="Z216" s="283">
        <v>3.6330969357477287</v>
      </c>
      <c r="AA216" s="283">
        <v>7.44049213</v>
      </c>
      <c r="AB216" s="283">
        <v>5.1206300493654759E-2</v>
      </c>
      <c r="AC216" s="283">
        <v>1.9654957500000001</v>
      </c>
      <c r="AD216" s="283">
        <v>1.3526761971523159E-2</v>
      </c>
      <c r="AE216" s="283">
        <v>40.020341620000004</v>
      </c>
      <c r="AF216" s="283">
        <v>0.27542447502762679</v>
      </c>
      <c r="AG216" s="283">
        <v>36.833021939999995</v>
      </c>
      <c r="AH216" s="283">
        <v>0.25348898387303564</v>
      </c>
      <c r="AI216" s="283">
        <v>472.36382140000001</v>
      </c>
    </row>
    <row r="217" spans="1:35" ht="15" customHeight="1">
      <c r="A217" s="679" t="s">
        <v>18</v>
      </c>
      <c r="B217" s="191">
        <v>15513.610178430001</v>
      </c>
      <c r="C217" s="191">
        <v>1306.8619599599999</v>
      </c>
      <c r="D217" s="191">
        <f t="shared" si="153"/>
        <v>8.4239705969732981</v>
      </c>
      <c r="E217" s="191">
        <v>2426.8794658699994</v>
      </c>
      <c r="F217" s="191">
        <f t="shared" si="154"/>
        <v>15.643550649766313</v>
      </c>
      <c r="G217" s="191">
        <v>629.40582794000011</v>
      </c>
      <c r="H217" s="191">
        <f t="shared" si="155"/>
        <v>4.0571203008254066</v>
      </c>
      <c r="I217" s="191">
        <v>540.29166874000009</v>
      </c>
      <c r="J217" s="191">
        <f t="shared" si="156"/>
        <v>3.4826946308810656</v>
      </c>
      <c r="K217" s="191">
        <v>466.63706786</v>
      </c>
      <c r="L217" s="191">
        <f t="shared" si="157"/>
        <v>3.0079205452049349</v>
      </c>
      <c r="M217" s="191">
        <v>1138.5084673100002</v>
      </c>
      <c r="N217" s="191">
        <f t="shared" si="158"/>
        <v>7.3387719184343903</v>
      </c>
      <c r="O217" s="191">
        <v>1177.5183952699999</v>
      </c>
      <c r="P217" s="191">
        <f t="shared" si="159"/>
        <v>7.5902280753915807</v>
      </c>
      <c r="Q217" s="191">
        <v>7004.9976493500008</v>
      </c>
      <c r="R217" s="191">
        <f t="shared" si="160"/>
        <v>45.153884677917802</v>
      </c>
      <c r="S217" s="191">
        <v>1925.6</v>
      </c>
      <c r="T217" s="191">
        <f>S217/$B217*100</f>
        <v>12.412326839805081</v>
      </c>
      <c r="U217" s="191">
        <v>38.65831275</v>
      </c>
      <c r="V217" s="191">
        <f t="shared" si="161"/>
        <v>0.24918966188637515</v>
      </c>
      <c r="W217" s="191">
        <v>1.09727281</v>
      </c>
      <c r="X217" s="191">
        <f t="shared" si="162"/>
        <v>7.0729688149934258E-3</v>
      </c>
      <c r="Y217" s="191">
        <f>((B217-C217-E217-G217-I217-K217-M217-W217-O217-Q217-U217-AA217-AC217-AE217-AG217))</f>
        <v>668.57116773000041</v>
      </c>
      <c r="Z217" s="191">
        <f t="shared" si="163"/>
        <v>4.3095782351136833</v>
      </c>
      <c r="AA217" s="191">
        <v>22.149604879999998</v>
      </c>
      <c r="AB217" s="191">
        <f t="shared" si="164"/>
        <v>0.14277530906891439</v>
      </c>
      <c r="AC217" s="191">
        <v>1.42187361</v>
      </c>
      <c r="AD217" s="191">
        <f t="shared" si="165"/>
        <v>9.1653302722338719E-3</v>
      </c>
      <c r="AE217" s="191">
        <v>32.041896259999994</v>
      </c>
      <c r="AF217" s="191">
        <f t="shared" si="166"/>
        <v>0.20654055304645202</v>
      </c>
      <c r="AG217" s="191">
        <v>58.569548089999998</v>
      </c>
      <c r="AH217" s="191">
        <f t="shared" si="167"/>
        <v>0.37753654640255579</v>
      </c>
      <c r="AI217" s="191">
        <v>340.32591054999995</v>
      </c>
    </row>
    <row r="218" spans="1:35" ht="15" customHeight="1">
      <c r="A218" s="679" t="s">
        <v>19</v>
      </c>
      <c r="B218" s="191">
        <v>15696.359848159998</v>
      </c>
      <c r="C218" s="191">
        <v>1297.7919746600001</v>
      </c>
      <c r="D218" s="191">
        <f t="shared" si="153"/>
        <v>8.2681079384920793</v>
      </c>
      <c r="E218" s="191">
        <v>2521.7714227699998</v>
      </c>
      <c r="F218" s="191">
        <f t="shared" si="154"/>
        <v>16.065963364528841</v>
      </c>
      <c r="G218" s="191">
        <v>626.24213909000002</v>
      </c>
      <c r="H218" s="191">
        <f t="shared" si="155"/>
        <v>3.9897284793926984</v>
      </c>
      <c r="I218" s="191">
        <v>534.28357079</v>
      </c>
      <c r="J218" s="191">
        <f t="shared" si="156"/>
        <v>3.4038692789821026</v>
      </c>
      <c r="K218" s="191">
        <v>464.59826734000001</v>
      </c>
      <c r="L218" s="191">
        <f t="shared" si="157"/>
        <v>2.9599109082254027</v>
      </c>
      <c r="M218" s="191">
        <v>1135.4032956999999</v>
      </c>
      <c r="N218" s="191">
        <f t="shared" si="158"/>
        <v>7.2335452721740277</v>
      </c>
      <c r="O218" s="191">
        <v>1172.5300143999998</v>
      </c>
      <c r="P218" s="191">
        <f t="shared" si="159"/>
        <v>7.4700760287261723</v>
      </c>
      <c r="Q218" s="191">
        <v>7099.5349342</v>
      </c>
      <c r="R218" s="191">
        <f t="shared" si="160"/>
        <v>45.230454722482939</v>
      </c>
      <c r="S218" s="191">
        <v>1963.391261664</v>
      </c>
      <c r="T218" s="191">
        <f>S218/$B218*100</f>
        <v>12.508577024590565</v>
      </c>
      <c r="U218" s="191">
        <v>29.87944276</v>
      </c>
      <c r="V218" s="191">
        <f t="shared" si="161"/>
        <v>0.19035905808124429</v>
      </c>
      <c r="W218" s="191">
        <v>0.91211142000000001</v>
      </c>
      <c r="X218" s="191">
        <f t="shared" si="162"/>
        <v>5.8109741928917486E-3</v>
      </c>
      <c r="Y218" s="191">
        <f>((B218-C218-E218-G218-I218-K218-M218-W218-O218-Q218-U218-AA218-AC218-AE218-AG218))</f>
        <v>695.98466035999979</v>
      </c>
      <c r="Z218" s="191">
        <f t="shared" si="163"/>
        <v>4.4340513793813559</v>
      </c>
      <c r="AA218" s="191">
        <v>22.525823389999999</v>
      </c>
      <c r="AB218" s="191">
        <f t="shared" si="164"/>
        <v>0.14350985583858528</v>
      </c>
      <c r="AC218" s="191">
        <v>2.1686598300000002</v>
      </c>
      <c r="AD218" s="191">
        <f t="shared" si="165"/>
        <v>1.3816323344894649E-2</v>
      </c>
      <c r="AE218" s="191">
        <v>31.934630070000001</v>
      </c>
      <c r="AF218" s="191">
        <f t="shared" si="166"/>
        <v>0.20345245890717478</v>
      </c>
      <c r="AG218" s="191">
        <v>60.798901380000004</v>
      </c>
      <c r="AH218" s="191">
        <f t="shared" si="167"/>
        <v>0.38734395724959847</v>
      </c>
      <c r="AI218" s="191">
        <v>380.30935400999994</v>
      </c>
    </row>
    <row r="219" spans="1:35" ht="15" customHeight="1">
      <c r="A219" s="679" t="s">
        <v>20</v>
      </c>
      <c r="B219" s="191">
        <v>15637.419790709999</v>
      </c>
      <c r="C219" s="191">
        <v>1386.7515801299999</v>
      </c>
      <c r="D219" s="191">
        <f t="shared" si="153"/>
        <v>8.8681611077158156</v>
      </c>
      <c r="E219" s="191">
        <v>2507.4981019900001</v>
      </c>
      <c r="F219" s="191">
        <f t="shared" si="154"/>
        <v>16.035241974380419</v>
      </c>
      <c r="G219" s="191">
        <v>627.05162729000017</v>
      </c>
      <c r="H219" s="191">
        <f t="shared" si="155"/>
        <v>4.0099430448399422</v>
      </c>
      <c r="I219" s="191">
        <v>527.47044239000002</v>
      </c>
      <c r="J219" s="191">
        <f t="shared" si="156"/>
        <v>3.373129643186811</v>
      </c>
      <c r="K219" s="191">
        <v>468.44416342</v>
      </c>
      <c r="L219" s="191">
        <f t="shared" si="157"/>
        <v>2.9956614946047364</v>
      </c>
      <c r="M219" s="191">
        <v>1129.1775246899999</v>
      </c>
      <c r="N219" s="191">
        <f t="shared" si="158"/>
        <v>7.2209964290965098</v>
      </c>
      <c r="O219" s="191">
        <v>1168.5521228400003</v>
      </c>
      <c r="P219" s="191">
        <f t="shared" si="159"/>
        <v>7.4727937120049877</v>
      </c>
      <c r="Q219" s="191">
        <v>6960.7529909599998</v>
      </c>
      <c r="R219" s="191">
        <f t="shared" si="160"/>
        <v>44.513436897660689</v>
      </c>
      <c r="S219" s="191">
        <v>1988.9812640939999</v>
      </c>
      <c r="T219" s="191">
        <f>S219/$B219*100</f>
        <v>12.719369887835521</v>
      </c>
      <c r="U219" s="191">
        <v>22.085547330000001</v>
      </c>
      <c r="V219" s="191">
        <f t="shared" si="161"/>
        <v>0.14123523973642221</v>
      </c>
      <c r="W219" s="191">
        <v>0.87011189000000011</v>
      </c>
      <c r="X219" s="191">
        <f t="shared" si="162"/>
        <v>5.564293225132467E-3</v>
      </c>
      <c r="Y219" s="191">
        <f>((B219-C219-E219-G219-I219-K219-M219-W219-O219-Q219-U219-AA219-AC219-AE219-AG219))</f>
        <v>718.37380356999802</v>
      </c>
      <c r="Z219" s="191">
        <f t="shared" si="163"/>
        <v>4.5939407727403676</v>
      </c>
      <c r="AA219" s="191">
        <v>21.527021420000001</v>
      </c>
      <c r="AB219" s="191">
        <f t="shared" si="164"/>
        <v>0.13766351295876153</v>
      </c>
      <c r="AC219" s="191">
        <v>2.8118310100000001</v>
      </c>
      <c r="AD219" s="191">
        <f t="shared" si="165"/>
        <v>1.798142562924911E-2</v>
      </c>
      <c r="AE219" s="191">
        <v>33.808806990000001</v>
      </c>
      <c r="AF219" s="191">
        <f t="shared" si="166"/>
        <v>0.21620451099026838</v>
      </c>
      <c r="AG219" s="191">
        <v>62.244114789999998</v>
      </c>
      <c r="AH219" s="191">
        <f t="shared" si="167"/>
        <v>0.39804594122988546</v>
      </c>
      <c r="AI219" s="191">
        <v>438.66103153000006</v>
      </c>
    </row>
    <row r="220" spans="1:35" ht="15" customHeight="1">
      <c r="A220" s="679" t="s">
        <v>21</v>
      </c>
      <c r="B220" s="191">
        <v>15146.8</v>
      </c>
      <c r="C220" s="191">
        <v>1232.4418596000003</v>
      </c>
      <c r="D220" s="191">
        <v>8.1366227187470628</v>
      </c>
      <c r="E220" s="191">
        <v>2454.8192180700003</v>
      </c>
      <c r="F220" s="191">
        <v>16.206799261628436</v>
      </c>
      <c r="G220" s="191">
        <v>623.50596823000001</v>
      </c>
      <c r="H220" s="191">
        <v>4.1164074287619252</v>
      </c>
      <c r="I220" s="191">
        <v>583.30684597000004</v>
      </c>
      <c r="J220" s="191">
        <v>3.8510114679653928</v>
      </c>
      <c r="K220" s="191">
        <v>457.99721402000006</v>
      </c>
      <c r="L220" s="191">
        <v>3.0237130520116198</v>
      </c>
      <c r="M220" s="191">
        <v>1137.7055161400001</v>
      </c>
      <c r="N220" s="191">
        <v>7.5111701844280452</v>
      </c>
      <c r="O220" s="191">
        <v>1101.5105154299999</v>
      </c>
      <c r="P220" s="191">
        <v>7.272209569135704</v>
      </c>
      <c r="Q220" s="191">
        <v>6704.1778108100007</v>
      </c>
      <c r="R220" s="191">
        <v>44.261207992124731</v>
      </c>
      <c r="S220" s="191">
        <v>1953.817101414</v>
      </c>
      <c r="T220" s="191">
        <v>12.899166392158531</v>
      </c>
      <c r="U220" s="191">
        <v>22.037805670000001</v>
      </c>
      <c r="V220" s="191">
        <v>0.14419835699498562</v>
      </c>
      <c r="W220" s="191">
        <v>0.9398473100000001</v>
      </c>
      <c r="X220" s="191">
        <v>6.2049036351144986E-3</v>
      </c>
      <c r="Y220" s="191">
        <v>711.64327956999773</v>
      </c>
      <c r="Z220" s="191">
        <v>4.6999045137874393</v>
      </c>
      <c r="AA220" s="191">
        <v>21.27810659</v>
      </c>
      <c r="AB220" s="191">
        <v>0.14047877726930424</v>
      </c>
      <c r="AC220" s="191">
        <v>2.0920272899999999</v>
      </c>
      <c r="AD220" s="191">
        <v>1.3811634718068972E-2</v>
      </c>
      <c r="AE220" s="191">
        <v>32.488884880000001</v>
      </c>
      <c r="AF220" s="191">
        <v>0.21449271360124278</v>
      </c>
      <c r="AG220" s="191">
        <v>60.855100419999999</v>
      </c>
      <c r="AH220" s="191">
        <v>0.40176742519092362</v>
      </c>
      <c r="AI220" s="191">
        <v>379.41717933000007</v>
      </c>
    </row>
    <row r="221" spans="1:35" ht="15" customHeight="1">
      <c r="A221" s="679" t="s">
        <v>22</v>
      </c>
      <c r="B221" s="191">
        <v>14765.7</v>
      </c>
      <c r="C221" s="191">
        <v>1084.8214846800004</v>
      </c>
      <c r="D221" s="191">
        <v>7.3468984276062184</v>
      </c>
      <c r="E221" s="191">
        <v>2413.5674556900003</v>
      </c>
      <c r="F221" s="191">
        <v>16.345763054610817</v>
      </c>
      <c r="G221" s="191">
        <v>623.17214887</v>
      </c>
      <c r="H221" s="191">
        <v>4.2204017391963058</v>
      </c>
      <c r="I221" s="191">
        <v>582.94547709000005</v>
      </c>
      <c r="J221" s="191">
        <v>3.9479686469115491</v>
      </c>
      <c r="K221" s="191">
        <v>426.51841343000001</v>
      </c>
      <c r="L221" s="191">
        <v>2.8885743002207493</v>
      </c>
      <c r="M221" s="191">
        <v>1159.2931909700001</v>
      </c>
      <c r="N221" s="191">
        <v>7.8512542774579073</v>
      </c>
      <c r="O221" s="191">
        <v>961.8989958599999</v>
      </c>
      <c r="P221" s="191">
        <v>6.5144121129610957</v>
      </c>
      <c r="Q221" s="191">
        <v>6575.2798157400002</v>
      </c>
      <c r="R221" s="191">
        <v>44.530748719067766</v>
      </c>
      <c r="S221" s="191">
        <v>1939.7525689839999</v>
      </c>
      <c r="T221" s="191">
        <v>13.136875790414004</v>
      </c>
      <c r="U221" s="191">
        <v>22.063696910000001</v>
      </c>
      <c r="V221" s="191">
        <v>0.14809583534502979</v>
      </c>
      <c r="W221" s="191">
        <v>0.84922034000000002</v>
      </c>
      <c r="X221" s="191">
        <v>5.7513016369487129E-3</v>
      </c>
      <c r="Y221" s="191">
        <v>807.74608436999995</v>
      </c>
      <c r="Z221" s="191">
        <v>5.4717951963960587</v>
      </c>
      <c r="AA221" s="191">
        <v>24.635880090000001</v>
      </c>
      <c r="AB221" s="191">
        <v>0.16684524712313084</v>
      </c>
      <c r="AC221" s="191">
        <v>2.3880537299999998</v>
      </c>
      <c r="AD221" s="191">
        <v>1.6172972642730717E-2</v>
      </c>
      <c r="AE221" s="191">
        <v>30.33864049</v>
      </c>
      <c r="AF221" s="191">
        <v>0.20546690239771634</v>
      </c>
      <c r="AG221" s="191">
        <v>50.181441739999997</v>
      </c>
      <c r="AH221" s="191">
        <v>0.3398512664259884</v>
      </c>
      <c r="AI221" s="191">
        <v>328.48196079000002</v>
      </c>
    </row>
    <row r="222" spans="1:35" ht="15" customHeight="1">
      <c r="A222" s="679" t="s">
        <v>23</v>
      </c>
      <c r="B222" s="191">
        <v>14550.656176510003</v>
      </c>
      <c r="C222" s="191">
        <v>1065.5159760600002</v>
      </c>
      <c r="D222" s="191">
        <f t="shared" si="153"/>
        <v>7.3228036119781761</v>
      </c>
      <c r="E222" s="191">
        <v>2394.9782242000001</v>
      </c>
      <c r="F222" s="191">
        <f t="shared" si="154"/>
        <v>16.459589142559476</v>
      </c>
      <c r="G222" s="191">
        <v>562.24009226999999</v>
      </c>
      <c r="H222" s="191">
        <f t="shared" si="155"/>
        <v>3.8640188143381318</v>
      </c>
      <c r="I222" s="191">
        <v>552.73515180999993</v>
      </c>
      <c r="J222" s="191">
        <f t="shared" si="156"/>
        <v>3.7986957090107962</v>
      </c>
      <c r="K222" s="191">
        <v>420.78440397000003</v>
      </c>
      <c r="L222" s="191">
        <f t="shared" si="157"/>
        <v>2.8918586135606552</v>
      </c>
      <c r="M222" s="191">
        <v>1171.8380441299998</v>
      </c>
      <c r="N222" s="191">
        <f t="shared" si="158"/>
        <v>8.0535065217317712</v>
      </c>
      <c r="O222" s="191">
        <v>915.73129026000004</v>
      </c>
      <c r="P222" s="191">
        <f t="shared" si="159"/>
        <v>6.293402023603031</v>
      </c>
      <c r="Q222" s="191">
        <v>6540.049923569999</v>
      </c>
      <c r="R222" s="191">
        <f t="shared" si="160"/>
        <v>44.946769714262054</v>
      </c>
      <c r="S222" s="191">
        <v>1967.3537699999999</v>
      </c>
      <c r="T222" s="191">
        <f t="shared" ref="T222:T226" si="169">S222/$B222*100</f>
        <v>13.520721994489959</v>
      </c>
      <c r="U222" s="191">
        <v>22.0349298</v>
      </c>
      <c r="V222" s="191">
        <f t="shared" si="161"/>
        <v>0.15143598702835345</v>
      </c>
      <c r="W222" s="191">
        <v>0.84922034000000002</v>
      </c>
      <c r="X222" s="191">
        <f t="shared" si="162"/>
        <v>5.8363027048288539E-3</v>
      </c>
      <c r="Y222" s="191">
        <f t="shared" ref="Y222:Y226" si="170">((B222-C222-E222-G222-I222-K222-M222-W222-O222-Q222-U222-AA222-AC222-AE222-AG222))</f>
        <v>808.13644650000504</v>
      </c>
      <c r="Z222" s="191">
        <f t="shared" ref="Z222:Z226" si="171">Y222/B222*100</f>
        <v>5.5539519090872904</v>
      </c>
      <c r="AA222" s="191">
        <v>23.671721489999999</v>
      </c>
      <c r="AB222" s="191">
        <f t="shared" ref="AB222:AB226" si="172">AA222/B222*100</f>
        <v>0.16268490714676276</v>
      </c>
      <c r="AC222" s="191">
        <v>2.07621023</v>
      </c>
      <c r="AD222" s="191">
        <f t="shared" ref="AD222:AD226" si="173">AC222/B222*100</f>
        <v>1.4268842619975797E-2</v>
      </c>
      <c r="AE222" s="191">
        <v>27.14365188</v>
      </c>
      <c r="AF222" s="191">
        <f t="shared" ref="AF222:AF226" si="174">AE222/B222*100</f>
        <v>0.18654589559898765</v>
      </c>
      <c r="AG222" s="191">
        <v>42.870890000000003</v>
      </c>
      <c r="AH222" s="191">
        <f t="shared" ref="AH222:AH226" si="175">AG222/B222*100</f>
        <v>0.29463200476971652</v>
      </c>
      <c r="AI222" s="191">
        <v>321.80638771000002</v>
      </c>
    </row>
    <row r="223" spans="1:35" ht="15" customHeight="1">
      <c r="A223" s="679" t="s">
        <v>24</v>
      </c>
      <c r="B223" s="191">
        <v>14585.314835290001</v>
      </c>
      <c r="C223" s="191">
        <v>1062.4228878200001</v>
      </c>
      <c r="D223" s="191">
        <f t="shared" si="153"/>
        <v>7.2841957806039774</v>
      </c>
      <c r="E223" s="191">
        <v>2379.0843462600005</v>
      </c>
      <c r="F223" s="191">
        <f t="shared" si="154"/>
        <v>16.311504915229328</v>
      </c>
      <c r="G223" s="191">
        <v>563.81334117999995</v>
      </c>
      <c r="H223" s="191">
        <f t="shared" si="155"/>
        <v>3.8656233858992293</v>
      </c>
      <c r="I223" s="191">
        <v>553.34032681999997</v>
      </c>
      <c r="J223" s="191">
        <f t="shared" si="156"/>
        <v>3.7938181867775764</v>
      </c>
      <c r="K223" s="191">
        <v>428.79080331</v>
      </c>
      <c r="L223" s="191">
        <f t="shared" si="157"/>
        <v>2.9398803395900388</v>
      </c>
      <c r="M223" s="191">
        <v>1191.0609771299999</v>
      </c>
      <c r="N223" s="191">
        <f t="shared" si="158"/>
        <v>8.1661656987215654</v>
      </c>
      <c r="O223" s="191">
        <v>917.74782293999988</v>
      </c>
      <c r="P223" s="191">
        <f t="shared" si="159"/>
        <v>6.2922729697918944</v>
      </c>
      <c r="Q223" s="191">
        <v>6560.5409928500003</v>
      </c>
      <c r="R223" s="191">
        <f t="shared" si="160"/>
        <v>44.980455114869358</v>
      </c>
      <c r="S223" s="191">
        <v>2009.1106795640001</v>
      </c>
      <c r="T223" s="191">
        <f t="shared" si="169"/>
        <v>13.774887290762091</v>
      </c>
      <c r="U223" s="191">
        <v>23.265201919999999</v>
      </c>
      <c r="V223" s="191">
        <f t="shared" si="161"/>
        <v>0.15951113968214464</v>
      </c>
      <c r="W223" s="191">
        <v>0.84922034000000002</v>
      </c>
      <c r="X223" s="191">
        <f t="shared" si="162"/>
        <v>5.822434068720018E-3</v>
      </c>
      <c r="Y223" s="191">
        <f t="shared" si="170"/>
        <v>810.38782743000138</v>
      </c>
      <c r="Z223" s="191">
        <f t="shared" si="171"/>
        <v>5.5561901582626234</v>
      </c>
      <c r="AA223" s="191">
        <v>24.128914219999999</v>
      </c>
      <c r="AB223" s="191">
        <f t="shared" si="172"/>
        <v>0.16543293369039053</v>
      </c>
      <c r="AC223" s="191">
        <v>2.1125600200000001</v>
      </c>
      <c r="AD223" s="191">
        <f t="shared" si="173"/>
        <v>1.4484157824886584E-2</v>
      </c>
      <c r="AE223" s="191">
        <v>24.853899670000001</v>
      </c>
      <c r="AF223" s="191">
        <f t="shared" si="174"/>
        <v>0.17040358710574127</v>
      </c>
      <c r="AG223" s="191">
        <v>42.91571338</v>
      </c>
      <c r="AH223" s="191">
        <f t="shared" si="175"/>
        <v>0.29423919788253716</v>
      </c>
      <c r="AI223" s="191">
        <v>320.60784153999998</v>
      </c>
    </row>
    <row r="224" spans="1:35" ht="15" customHeight="1">
      <c r="A224" s="679" t="s">
        <v>25</v>
      </c>
      <c r="B224" s="191">
        <v>14685.098078150002</v>
      </c>
      <c r="C224" s="191">
        <v>1065.4106116100002</v>
      </c>
      <c r="D224" s="191">
        <f>C224/B224*100</f>
        <v>7.2550459379990633</v>
      </c>
      <c r="E224" s="191">
        <v>2395.1543402300003</v>
      </c>
      <c r="F224" s="191">
        <f>E224/B224*100</f>
        <v>16.310101079908733</v>
      </c>
      <c r="G224" s="191">
        <v>545.40959417999989</v>
      </c>
      <c r="H224" s="191">
        <f>G224/B224*100</f>
        <v>3.7140343992085172</v>
      </c>
      <c r="I224" s="191">
        <v>557.72776111999997</v>
      </c>
      <c r="J224" s="191">
        <f>I224/B224*100</f>
        <v>3.7979164875299309</v>
      </c>
      <c r="K224" s="191">
        <v>433.14310065000006</v>
      </c>
      <c r="L224" s="191">
        <f>K224/B224*100</f>
        <v>2.9495417623017097</v>
      </c>
      <c r="M224" s="191">
        <v>1194.9634952499998</v>
      </c>
      <c r="N224" s="191">
        <f>M224/B224*100</f>
        <v>8.1372523962096608</v>
      </c>
      <c r="O224" s="191">
        <v>901.78172137000001</v>
      </c>
      <c r="P224" s="191">
        <f>O224/B224*100</f>
        <v>6.1407946788708454</v>
      </c>
      <c r="Q224" s="191">
        <v>6659.5837263899984</v>
      </c>
      <c r="R224" s="191">
        <f>Q224/B224*100</f>
        <v>45.349262844208113</v>
      </c>
      <c r="S224" s="191">
        <v>2030.933476614</v>
      </c>
      <c r="T224" s="191">
        <f t="shared" si="169"/>
        <v>13.829893854340893</v>
      </c>
      <c r="U224" s="191">
        <v>22.391692549999998</v>
      </c>
      <c r="V224" s="191">
        <f>U224/B224*100</f>
        <v>0.15247901260745858</v>
      </c>
      <c r="W224" s="191">
        <v>0.82019887999999996</v>
      </c>
      <c r="X224" s="191">
        <f>W224/B224*100</f>
        <v>5.5852461838193377E-3</v>
      </c>
      <c r="Y224" s="191">
        <f t="shared" si="170"/>
        <v>813.31882206000182</v>
      </c>
      <c r="Z224" s="191">
        <f t="shared" si="171"/>
        <v>5.5383955744234425</v>
      </c>
      <c r="AA224" s="191">
        <v>26.211952490000002</v>
      </c>
      <c r="AB224" s="191">
        <f t="shared" si="172"/>
        <v>0.17849354733967246</v>
      </c>
      <c r="AC224" s="191">
        <v>2.35648737</v>
      </c>
      <c r="AD224" s="191">
        <f t="shared" si="173"/>
        <v>1.604679354172121E-2</v>
      </c>
      <c r="AE224" s="191">
        <v>24.236075889999999</v>
      </c>
      <c r="AF224" s="191">
        <f t="shared" si="174"/>
        <v>0.16503857012750173</v>
      </c>
      <c r="AG224" s="191">
        <v>42.588498110000003</v>
      </c>
      <c r="AH224" s="191">
        <f t="shared" si="175"/>
        <v>0.29001166953980068</v>
      </c>
      <c r="AI224" s="191">
        <v>316.21093585</v>
      </c>
    </row>
    <row r="225" spans="1:35" ht="15" customHeight="1">
      <c r="A225" s="679" t="s">
        <v>26</v>
      </c>
      <c r="B225" s="191">
        <v>14873.658797600001</v>
      </c>
      <c r="C225" s="191">
        <v>1069.5053917</v>
      </c>
      <c r="D225" s="191">
        <f>C225/B225*100</f>
        <v>7.190600552653355</v>
      </c>
      <c r="E225" s="191">
        <v>2495.7417140999996</v>
      </c>
      <c r="F225" s="191">
        <f>E225/B225*100</f>
        <v>16.779608488146238</v>
      </c>
      <c r="G225" s="191">
        <v>522.70294925999997</v>
      </c>
      <c r="H225" s="191">
        <f>G225/B225*100</f>
        <v>3.5142862719450227</v>
      </c>
      <c r="I225" s="191">
        <v>563.42269964999991</v>
      </c>
      <c r="J225" s="191">
        <f>I225/B225*100</f>
        <v>3.7880571775716221</v>
      </c>
      <c r="K225" s="191">
        <v>433.73405429000002</v>
      </c>
      <c r="L225" s="191">
        <f>K225/B225*100</f>
        <v>2.916122120267993</v>
      </c>
      <c r="M225" s="191">
        <v>1189.56884322</v>
      </c>
      <c r="N225" s="191">
        <f>M225/B225*100</f>
        <v>7.9978225896371091</v>
      </c>
      <c r="O225" s="191">
        <v>892.00232236999989</v>
      </c>
      <c r="P225" s="191">
        <f>O225/B225*100</f>
        <v>5.9971950043249107</v>
      </c>
      <c r="Q225" s="191">
        <v>6780.3776128399995</v>
      </c>
      <c r="R225" s="191">
        <f>Q225/B225*100</f>
        <v>45.586480805476555</v>
      </c>
      <c r="S225" s="191">
        <v>2064.7887597640001</v>
      </c>
      <c r="T225" s="191">
        <f t="shared" si="169"/>
        <v>13.882184524074011</v>
      </c>
      <c r="U225" s="191">
        <v>21.05323864</v>
      </c>
      <c r="V225" s="191">
        <f>U225/B225*100</f>
        <v>0.14154713999084834</v>
      </c>
      <c r="W225" s="191">
        <v>0.82180977999999993</v>
      </c>
      <c r="X225" s="191">
        <f>W225/B225*100</f>
        <v>5.525269815471405E-3</v>
      </c>
      <c r="Y225" s="191">
        <f t="shared" si="170"/>
        <v>804.28111132000038</v>
      </c>
      <c r="Z225" s="191">
        <f t="shared" si="171"/>
        <v>5.4074194000589717</v>
      </c>
      <c r="AA225" s="191">
        <v>27.087395489999999</v>
      </c>
      <c r="AB225" s="191">
        <f t="shared" si="172"/>
        <v>0.18211655826319476</v>
      </c>
      <c r="AC225" s="191">
        <v>2.3220422200000002</v>
      </c>
      <c r="AD225" s="191">
        <f t="shared" si="173"/>
        <v>1.561177549921128E-2</v>
      </c>
      <c r="AE225" s="191">
        <v>29.457986569999999</v>
      </c>
      <c r="AF225" s="191">
        <f t="shared" si="174"/>
        <v>0.19805474208372531</v>
      </c>
      <c r="AG225" s="191">
        <v>41.579626149999996</v>
      </c>
      <c r="AH225" s="191">
        <f t="shared" si="175"/>
        <v>0.27955210426575899</v>
      </c>
      <c r="AI225" s="191">
        <v>314.00647365999998</v>
      </c>
    </row>
    <row r="226" spans="1:35" ht="15" customHeight="1">
      <c r="A226" s="679" t="s">
        <v>27</v>
      </c>
      <c r="B226" s="191">
        <v>14785.940748229999</v>
      </c>
      <c r="C226" s="191">
        <v>1006.52323186</v>
      </c>
      <c r="D226" s="191">
        <f>C226/B226*100</f>
        <v>6.8072992378282677</v>
      </c>
      <c r="E226" s="191">
        <v>2546.82416423</v>
      </c>
      <c r="F226" s="191">
        <f>E226/B226*100</f>
        <v>17.224633911338216</v>
      </c>
      <c r="G226" s="191">
        <v>512.82735919000004</v>
      </c>
      <c r="H226" s="191">
        <f>G226/B226*100</f>
        <v>3.4683444761632076</v>
      </c>
      <c r="I226" s="191">
        <v>552.18230190999986</v>
      </c>
      <c r="J226" s="191">
        <f>I226/B226*100</f>
        <v>3.7345090942292645</v>
      </c>
      <c r="K226" s="191">
        <v>432.26422624999998</v>
      </c>
      <c r="L226" s="191">
        <f>K226/B226*100</f>
        <v>2.9234813909405499</v>
      </c>
      <c r="M226" s="191">
        <v>1228.446872</v>
      </c>
      <c r="N226" s="191">
        <f>M226/B226*100</f>
        <v>8.3082090812994469</v>
      </c>
      <c r="O226" s="191">
        <v>875.59594334000008</v>
      </c>
      <c r="P226" s="191">
        <f>O226/B226*100</f>
        <v>5.9218142304865937</v>
      </c>
      <c r="Q226" s="191">
        <v>6765.0320762599995</v>
      </c>
      <c r="R226" s="191">
        <f>Q226/B226*100</f>
        <v>45.753139360238748</v>
      </c>
      <c r="S226" s="191">
        <v>2094.0299676539998</v>
      </c>
      <c r="T226" s="191">
        <f t="shared" si="169"/>
        <v>14.162304606182548</v>
      </c>
      <c r="U226" s="191">
        <v>21.360531559999998</v>
      </c>
      <c r="V226" s="191">
        <f>U226/B226*100</f>
        <v>0.14446515053536266</v>
      </c>
      <c r="W226" s="191">
        <v>0.79625563999999993</v>
      </c>
      <c r="X226" s="191">
        <f>W226/B226*100</f>
        <v>5.3852213637155168E-3</v>
      </c>
      <c r="Y226" s="191">
        <f t="shared" si="170"/>
        <v>746.44233604000181</v>
      </c>
      <c r="Z226" s="191">
        <f t="shared" si="171"/>
        <v>5.0483249510475492</v>
      </c>
      <c r="AA226" s="191">
        <v>25.990582490000001</v>
      </c>
      <c r="AB226" s="191">
        <f t="shared" si="172"/>
        <v>0.17577902503843923</v>
      </c>
      <c r="AC226" s="191">
        <v>2.0200656700000001</v>
      </c>
      <c r="AD226" s="191">
        <f t="shared" si="173"/>
        <v>1.3662070641273324E-2</v>
      </c>
      <c r="AE226" s="191">
        <v>31.98937059</v>
      </c>
      <c r="AF226" s="191">
        <f t="shared" si="174"/>
        <v>0.21634991736206841</v>
      </c>
      <c r="AG226" s="191">
        <v>37.645431200000004</v>
      </c>
      <c r="AH226" s="191">
        <f t="shared" si="175"/>
        <v>0.25460288148731069</v>
      </c>
      <c r="AI226" s="191">
        <v>437.31771748000006</v>
      </c>
    </row>
    <row r="227" spans="1:35" ht="15" customHeight="1">
      <c r="A227" s="679" t="s">
        <v>28</v>
      </c>
      <c r="B227" s="191">
        <v>14681.276736809999</v>
      </c>
      <c r="C227" s="191">
        <v>922.91633638000008</v>
      </c>
      <c r="D227" s="191">
        <f>C227/B227*100</f>
        <v>6.2863492932191303</v>
      </c>
      <c r="E227" s="191">
        <v>2594.5648604499997</v>
      </c>
      <c r="F227" s="191">
        <f>E227/B227*100</f>
        <v>17.67261054309202</v>
      </c>
      <c r="G227" s="191">
        <v>516.71252259000005</v>
      </c>
      <c r="H227" s="191">
        <f>G227/B227*100</f>
        <v>3.519533974143132</v>
      </c>
      <c r="I227" s="191">
        <v>553.91715420000003</v>
      </c>
      <c r="J227" s="191">
        <f>I227/B227*100</f>
        <v>3.7729494793268037</v>
      </c>
      <c r="K227" s="191">
        <v>477.40030588999997</v>
      </c>
      <c r="L227" s="191">
        <f>K227/B227*100</f>
        <v>3.2517628708205333</v>
      </c>
      <c r="M227" s="191">
        <v>1382.1121506899999</v>
      </c>
      <c r="N227" s="191">
        <f>M227/B227*100</f>
        <v>9.4141141500634244</v>
      </c>
      <c r="O227" s="191">
        <v>857.88437640999996</v>
      </c>
      <c r="P227" s="191">
        <f>O227/B227*100</f>
        <v>5.8433908153168161</v>
      </c>
      <c r="Q227" s="191">
        <v>6757.3154658000003</v>
      </c>
      <c r="R227" s="191">
        <f>Q227/B227*100</f>
        <v>46.026756302859901</v>
      </c>
      <c r="S227" s="191">
        <v>2088.1760351739999</v>
      </c>
      <c r="T227" s="191">
        <f>S227/$B227*100</f>
        <v>14.223395366823704</v>
      </c>
      <c r="U227" s="191">
        <v>24.528865280000002</v>
      </c>
      <c r="V227" s="191">
        <f>U227/B227*100</f>
        <v>0.16707583216178595</v>
      </c>
      <c r="W227" s="191">
        <v>0.78461822999999997</v>
      </c>
      <c r="X227" s="191">
        <f>W227/B227*100</f>
        <v>5.3443460270232914E-3</v>
      </c>
      <c r="Y227" s="191">
        <f>((B227-C227-E227-G227-I227-K227-M227-W227-O227-Q227-U227-AA227-AC227-AE227-AG227))</f>
        <v>513.01729380999893</v>
      </c>
      <c r="Z227" s="191">
        <f>Y227/B227*100</f>
        <v>3.4943643050043693</v>
      </c>
      <c r="AA227" s="191">
        <v>6.7282521899999992</v>
      </c>
      <c r="AB227" s="191">
        <f>AA227/B227*100</f>
        <v>4.5828794801820068E-2</v>
      </c>
      <c r="AC227" s="191">
        <v>2.0186709399999998</v>
      </c>
      <c r="AD227" s="191">
        <f>AC227/B227*100</f>
        <v>1.3749968590528891E-2</v>
      </c>
      <c r="AE227" s="191">
        <v>34.961292449999995</v>
      </c>
      <c r="AF227" s="191">
        <f>AE227/B227*100</f>
        <v>0.23813523221956862</v>
      </c>
      <c r="AG227" s="191">
        <v>36.414571500000001</v>
      </c>
      <c r="AH227" s="191">
        <f>AG227/B227*100</f>
        <v>0.24803409235314428</v>
      </c>
      <c r="AI227" s="191">
        <v>449.96527655</v>
      </c>
    </row>
    <row r="228" spans="1:35" ht="15" customHeight="1">
      <c r="A228" s="679" t="s">
        <v>29</v>
      </c>
      <c r="B228" s="191">
        <v>14530.423128150002</v>
      </c>
      <c r="C228" s="191">
        <v>893.13990544000001</v>
      </c>
      <c r="D228" s="191">
        <f>C228/B228*100</f>
        <v>6.1466888993047082</v>
      </c>
      <c r="E228" s="191">
        <v>2606.8456367699996</v>
      </c>
      <c r="F228" s="191">
        <f>E228/B228*100</f>
        <v>17.940603751034061</v>
      </c>
      <c r="G228" s="191">
        <v>524.48663853999994</v>
      </c>
      <c r="H228" s="191">
        <f>G228/B228*100</f>
        <v>3.6095758114841425</v>
      </c>
      <c r="I228" s="191">
        <v>566.24991748999992</v>
      </c>
      <c r="J228" s="191">
        <f>I228/B228*100</f>
        <v>3.8969953765007412</v>
      </c>
      <c r="K228" s="191">
        <v>492.95189799000002</v>
      </c>
      <c r="L228" s="191">
        <f>K228/B228*100</f>
        <v>3.3925501937723825</v>
      </c>
      <c r="M228" s="191">
        <v>1250.05735697</v>
      </c>
      <c r="N228" s="191">
        <f>M228/B228*100</f>
        <v>8.6030347908330729</v>
      </c>
      <c r="O228" s="191">
        <v>848.51894512000001</v>
      </c>
      <c r="P228" s="191">
        <f>O228/B228*100</f>
        <v>5.8396024509166002</v>
      </c>
      <c r="Q228" s="191">
        <v>6709.271535320001</v>
      </c>
      <c r="R228" s="191">
        <f>Q228/B228*100</f>
        <v>46.173958432924309</v>
      </c>
      <c r="S228" s="191">
        <v>2093.380062575</v>
      </c>
      <c r="T228" s="191">
        <f>S228/$B228*100</f>
        <v>14.406876139205224</v>
      </c>
      <c r="U228" s="191">
        <v>23.964750299999999</v>
      </c>
      <c r="V228" s="191">
        <f>U228/B228*100</f>
        <v>0.16492809664690863</v>
      </c>
      <c r="W228" s="191">
        <v>0.77283535000000003</v>
      </c>
      <c r="X228" s="191">
        <f>W228/B228*100</f>
        <v>5.3187394694843727E-3</v>
      </c>
      <c r="Y228" s="191">
        <f>((B228-C228-E228-G228-I228-K228-M228-W228-O228-Q228-U228-AA228-AC228-AE228-AG228))</f>
        <v>527.90435741999704</v>
      </c>
      <c r="Z228" s="191">
        <f>Y228/B228*100</f>
        <v>3.6330969357477287</v>
      </c>
      <c r="AA228" s="191">
        <v>7.44049213</v>
      </c>
      <c r="AB228" s="191">
        <f>AA228/B228*100</f>
        <v>5.1206300493654759E-2</v>
      </c>
      <c r="AC228" s="191">
        <v>1.9654957500000001</v>
      </c>
      <c r="AD228" s="191">
        <f>AC228/B228*100</f>
        <v>1.3526761971523159E-2</v>
      </c>
      <c r="AE228" s="191">
        <v>40.020341620000004</v>
      </c>
      <c r="AF228" s="191">
        <f>AE228/B228*100</f>
        <v>0.27542447502762679</v>
      </c>
      <c r="AG228" s="191">
        <v>36.833021939999995</v>
      </c>
      <c r="AH228" s="191">
        <f>AG228/B228*100</f>
        <v>0.25348898387303564</v>
      </c>
      <c r="AI228" s="191">
        <v>472.36382140000001</v>
      </c>
    </row>
    <row r="229" spans="1:35">
      <c r="A229" s="678">
        <v>2021</v>
      </c>
      <c r="B229" s="283">
        <v>17119.816266530001</v>
      </c>
      <c r="C229" s="283">
        <v>719.44171244100005</v>
      </c>
      <c r="D229" s="283">
        <f t="shared" ref="D229" si="176">C229/B229*100</f>
        <v>4.202391551640309</v>
      </c>
      <c r="E229" s="283">
        <v>2992.49869709</v>
      </c>
      <c r="F229" s="283">
        <f t="shared" ref="F229" si="177">E229/B229*100</f>
        <v>17.479736058502375</v>
      </c>
      <c r="G229" s="283">
        <v>749.02611363999995</v>
      </c>
      <c r="H229" s="283">
        <f t="shared" ref="H229" si="178">G229/$B229*100</f>
        <v>4.3751994880013942</v>
      </c>
      <c r="I229" s="283">
        <v>591.69574925999996</v>
      </c>
      <c r="J229" s="283">
        <f t="shared" ref="J229" si="179">I229/$B229*100</f>
        <v>3.4562038520050673</v>
      </c>
      <c r="K229" s="283">
        <v>903.18872779000003</v>
      </c>
      <c r="L229" s="283">
        <f t="shared" ref="L229" si="180">K229/$B229*100</f>
        <v>5.2756917114570561</v>
      </c>
      <c r="M229" s="283">
        <v>971.73336805999998</v>
      </c>
      <c r="N229" s="283">
        <f t="shared" ref="N229" si="181">M229/$B229*100</f>
        <v>5.6760735800639504</v>
      </c>
      <c r="O229" s="283">
        <v>737.34158892000005</v>
      </c>
      <c r="P229" s="283">
        <f t="shared" ref="P229" si="182">O229/$B229*100</f>
        <v>4.3069480270155438</v>
      </c>
      <c r="Q229" s="283">
        <v>8607.2734685390005</v>
      </c>
      <c r="R229" s="283">
        <f t="shared" ref="R229" si="183">Q229/$B229*100</f>
        <v>50.276669647247331</v>
      </c>
      <c r="S229" s="283">
        <v>2483.4006520349999</v>
      </c>
      <c r="T229" s="283">
        <f t="shared" ref="T229" si="184">S229/$B229*100</f>
        <v>14.506000609890645</v>
      </c>
      <c r="U229" s="283">
        <v>90.779199309999996</v>
      </c>
      <c r="V229" s="283">
        <f t="shared" ref="V229" si="185">U229/$B229*100</f>
        <v>0.53025802319781523</v>
      </c>
      <c r="W229" s="283">
        <v>1.9917215699999999</v>
      </c>
      <c r="X229" s="283">
        <f t="shared" ref="X229" si="186">W229/$B229*100</f>
        <v>1.1634012532563822E-2</v>
      </c>
      <c r="Y229" s="283">
        <f t="shared" ref="Y229" si="187">((B229-C229-E229-G229-I229-K229-M229-W229-O229-Q229-U229-AA229-AC229-AE229-AG229))</f>
        <v>653.79468095999982</v>
      </c>
      <c r="Z229" s="283">
        <f t="shared" ref="Z229" si="188">Y229/$B229*100</f>
        <v>3.8189351496616086</v>
      </c>
      <c r="AA229" s="685">
        <v>8.4083913999999993</v>
      </c>
      <c r="AB229" s="685">
        <f t="shared" ref="AB229" si="189">AA229/$B229*100</f>
        <v>4.9114962854121147E-2</v>
      </c>
      <c r="AC229" s="685">
        <v>3.6777463099999999</v>
      </c>
      <c r="AD229" s="685">
        <f t="shared" ref="AD229" si="190">AC229/$B229*100</f>
        <v>2.1482393576794143E-2</v>
      </c>
      <c r="AE229" s="685">
        <v>56.911928449999998</v>
      </c>
      <c r="AF229" s="685">
        <f t="shared" ref="AF229" si="191">AE229/$B229*100</f>
        <v>0.33243305631302444</v>
      </c>
      <c r="AG229" s="685">
        <v>32.053172789999998</v>
      </c>
      <c r="AH229" s="685">
        <f t="shared" ref="AH229" si="192">AG229/$B229*100</f>
        <v>0.18722848593103988</v>
      </c>
      <c r="AI229" s="283">
        <v>357.28922269999998</v>
      </c>
    </row>
    <row r="230" spans="1:35">
      <c r="A230" s="679" t="s">
        <v>18</v>
      </c>
      <c r="B230" s="191">
        <v>14587.20322659</v>
      </c>
      <c r="C230" s="191">
        <v>900.3856763</v>
      </c>
      <c r="D230" s="191">
        <f>C230/B230*100</f>
        <v>6.1724352661293533</v>
      </c>
      <c r="E230" s="191">
        <v>2607.2768521799999</v>
      </c>
      <c r="F230" s="191">
        <f>E230/$B$230*100</f>
        <v>17.873726797933244</v>
      </c>
      <c r="G230" s="191">
        <v>770.99759873999994</v>
      </c>
      <c r="H230" s="191">
        <f>G230/$B$230*100</f>
        <v>5.2854381114990012</v>
      </c>
      <c r="I230" s="191">
        <v>572.95602899999994</v>
      </c>
      <c r="J230" s="191">
        <f>I230/$B230*100</f>
        <v>3.9277990448203135</v>
      </c>
      <c r="K230" s="191">
        <v>527.06655323999996</v>
      </c>
      <c r="L230" s="191">
        <f>K230/$B230*100</f>
        <v>3.6132118340494972</v>
      </c>
      <c r="M230" s="191">
        <v>981.55343684000002</v>
      </c>
      <c r="N230" s="191">
        <f>M230/$B230*100</f>
        <v>6.7288665386576252</v>
      </c>
      <c r="O230" s="191">
        <v>832.16360743999996</v>
      </c>
      <c r="P230" s="191">
        <f>O230/$B230*100</f>
        <v>5.7047509005914634</v>
      </c>
      <c r="Q230" s="191">
        <v>6781.6822499299997</v>
      </c>
      <c r="R230" s="191">
        <f>Q230/$B230*100</f>
        <v>46.490627055693182</v>
      </c>
      <c r="S230" s="191">
        <v>2119.6554191549999</v>
      </c>
      <c r="T230" s="191">
        <f>S230/$B230*100</f>
        <v>14.530924031353914</v>
      </c>
      <c r="U230" s="191">
        <v>19.246208679999999</v>
      </c>
      <c r="V230" s="191">
        <f>U230/$B230*100</f>
        <v>0.13193899050448149</v>
      </c>
      <c r="W230" s="191">
        <v>0.76090519000000001</v>
      </c>
      <c r="X230" s="191">
        <f>W230/$B230*100</f>
        <v>5.2162513826707977E-3</v>
      </c>
      <c r="Y230" s="191">
        <f>((B230-C230-E230-G230-I230-K230-M230-W230-O230-Q230-U230-AA230-AC230-AE230-AG230))</f>
        <v>520.87783713999841</v>
      </c>
      <c r="Z230" s="191">
        <f>Y230/$B230*100</f>
        <v>3.5707861818948707</v>
      </c>
      <c r="AA230" s="191">
        <v>8.9022348099999995</v>
      </c>
      <c r="AB230" s="191">
        <f>AA230/$B230*100</f>
        <v>6.102770127842419E-2</v>
      </c>
      <c r="AC230" s="191">
        <v>1.8643147600000001</v>
      </c>
      <c r="AD230" s="191">
        <f>AC230/$B230*100</f>
        <v>1.2780481159004287E-2</v>
      </c>
      <c r="AE230" s="191">
        <v>29.750372500000001</v>
      </c>
      <c r="AF230" s="191">
        <f>AE230/$B230*100</f>
        <v>0.20394843369132004</v>
      </c>
      <c r="AG230" s="191">
        <v>31.71934984</v>
      </c>
      <c r="AH230" s="191">
        <f>AG230/$B230*100</f>
        <v>0.21744641071553042</v>
      </c>
      <c r="AI230" s="191">
        <v>487.78963322999999</v>
      </c>
    </row>
    <row r="231" spans="1:35">
      <c r="A231" s="679" t="s">
        <v>19</v>
      </c>
      <c r="B231" s="191">
        <v>14619.545503340003</v>
      </c>
      <c r="C231" s="191">
        <v>917.51636970000004</v>
      </c>
      <c r="D231" s="191">
        <f t="shared" ref="D231:D244" si="193">C231/B231*100</f>
        <v>6.2759568653511346</v>
      </c>
      <c r="E231" s="191">
        <v>2512.2468264100003</v>
      </c>
      <c r="F231" s="191">
        <f t="shared" ref="F231:F244" si="194">E231/B231*100</f>
        <v>17.184165033284028</v>
      </c>
      <c r="G231" s="191">
        <v>768.12939811999991</v>
      </c>
      <c r="H231" s="191">
        <f>G231/$B231*100</f>
        <v>5.254126388159686</v>
      </c>
      <c r="I231" s="191">
        <v>569.80590648999998</v>
      </c>
      <c r="J231" s="191">
        <f t="shared" ref="J231:J244" si="195">I231/$B231*100</f>
        <v>3.8975623856420247</v>
      </c>
      <c r="K231" s="191">
        <v>687.96381294000003</v>
      </c>
      <c r="L231" s="191">
        <f t="shared" ref="L231:L244" si="196">K231/$B231*100</f>
        <v>4.7057811255680058</v>
      </c>
      <c r="M231" s="191">
        <v>908.30900340999995</v>
      </c>
      <c r="N231" s="191">
        <f t="shared" ref="N231:N244" si="197">M231/$B231*100</f>
        <v>6.2129770258759844</v>
      </c>
      <c r="O231" s="191">
        <v>860.53712653000002</v>
      </c>
      <c r="P231" s="191">
        <f t="shared" ref="P231:P244" si="198">O231/$B231*100</f>
        <v>5.8862098437560899</v>
      </c>
      <c r="Q231" s="191">
        <v>6771.3394134200007</v>
      </c>
      <c r="R231" s="191">
        <f t="shared" ref="R231:R244" si="199">Q231/$B231*100</f>
        <v>46.317030935558222</v>
      </c>
      <c r="S231" s="191">
        <v>2117.3969709829998</v>
      </c>
      <c r="T231" s="191">
        <f t="shared" ref="T231:T244" si="200">S231/$B231*100</f>
        <v>14.483329666433587</v>
      </c>
      <c r="U231" s="191">
        <v>15.998043430000001</v>
      </c>
      <c r="V231" s="191">
        <f t="shared" ref="V231:V244" si="201">U231/$B231*100</f>
        <v>0.10942914351437986</v>
      </c>
      <c r="W231" s="191">
        <v>0.74882589999999993</v>
      </c>
      <c r="X231" s="191">
        <f t="shared" ref="X231:X244" si="202">W231/$B231*100</f>
        <v>5.1220874125595907E-3</v>
      </c>
      <c r="Y231" s="191">
        <f>((B231-C231-E231-G231-I231-K231-M231-W231-O231-Q231-U231-AA231-AC231-AE231-AG231))</f>
        <v>534.72733273999893</v>
      </c>
      <c r="Z231" s="191">
        <f t="shared" ref="Z231:Z244" si="203">Y231/$B231*100</f>
        <v>3.6576194014912042</v>
      </c>
      <c r="AA231" s="191">
        <v>7.1446817000000005</v>
      </c>
      <c r="AB231" s="191">
        <f t="shared" ref="AB231:AB244" si="204">AA231/$B231*100</f>
        <v>4.8870751134963232E-2</v>
      </c>
      <c r="AC231" s="191">
        <v>2.7466538899999997</v>
      </c>
      <c r="AD231" s="191">
        <f t="shared" ref="AD231:AD244" si="205">AC231/$B231*100</f>
        <v>1.8787546366420865E-2</v>
      </c>
      <c r="AE231" s="191">
        <v>31.743852580000002</v>
      </c>
      <c r="AF231" s="191">
        <f t="shared" ref="AF231:AF244" si="206">AE231/$B231*100</f>
        <v>0.2171329647200575</v>
      </c>
      <c r="AG231" s="191">
        <v>30.588256080000008</v>
      </c>
      <c r="AH231" s="191">
        <f t="shared" ref="AH231:AH244" si="207">AG231/$B231*100</f>
        <v>0.20922850216521277</v>
      </c>
      <c r="AI231" s="191">
        <v>460.97720242999998</v>
      </c>
    </row>
    <row r="232" spans="1:35">
      <c r="A232" s="679" t="s">
        <v>20</v>
      </c>
      <c r="B232" s="191">
        <v>14728.03039973</v>
      </c>
      <c r="C232" s="191">
        <v>918.15007710999998</v>
      </c>
      <c r="D232" s="191">
        <f t="shared" si="193"/>
        <v>6.2340316538648093</v>
      </c>
      <c r="E232" s="191">
        <v>2516.8194227399999</v>
      </c>
      <c r="F232" s="191">
        <f t="shared" si="194"/>
        <v>17.088635441614375</v>
      </c>
      <c r="G232" s="191">
        <v>768.96795557999997</v>
      </c>
      <c r="H232" s="191">
        <f>G232/$B232*100</f>
        <v>5.2211187423546939</v>
      </c>
      <c r="I232" s="191">
        <v>570.91129167999998</v>
      </c>
      <c r="J232" s="191">
        <f t="shared" si="195"/>
        <v>3.8763587267613606</v>
      </c>
      <c r="K232" s="191">
        <v>681.49539245999995</v>
      </c>
      <c r="L232" s="191">
        <f t="shared" si="196"/>
        <v>4.6271997949738983</v>
      </c>
      <c r="M232" s="191">
        <v>919.98805790999995</v>
      </c>
      <c r="N232" s="191">
        <f t="shared" si="197"/>
        <v>6.2465111283778008</v>
      </c>
      <c r="O232" s="191">
        <v>854.23219179</v>
      </c>
      <c r="P232" s="191">
        <f t="shared" si="198"/>
        <v>5.8000436487804921</v>
      </c>
      <c r="Q232" s="191">
        <v>6869.3073725599997</v>
      </c>
      <c r="R232" s="191">
        <f t="shared" si="199"/>
        <v>46.641045585334552</v>
      </c>
      <c r="S232" s="191">
        <v>2139.1023679179998</v>
      </c>
      <c r="T232" s="191">
        <f t="shared" si="200"/>
        <v>14.524021949039531</v>
      </c>
      <c r="U232" s="191">
        <v>18.067363480000001</v>
      </c>
      <c r="V232" s="191">
        <f t="shared" si="201"/>
        <v>0.12267331740659104</v>
      </c>
      <c r="W232" s="191">
        <v>0.73659562000000001</v>
      </c>
      <c r="X232" s="191">
        <f t="shared" si="202"/>
        <v>5.0013178952530105E-3</v>
      </c>
      <c r="Y232" s="191">
        <f t="shared" ref="Y232:Y244" si="208">((B232-C232-E232-G232-I232-K232-M232-W232-O232-Q232-U232-AA232-AC232-AE232-AG232))</f>
        <v>536.62715694000269</v>
      </c>
      <c r="Z232" s="191">
        <f t="shared" si="203"/>
        <v>3.6435771951546245</v>
      </c>
      <c r="AA232" s="191">
        <v>5.8155647699999999</v>
      </c>
      <c r="AB232" s="191">
        <f t="shared" si="204"/>
        <v>3.9486371308050897E-2</v>
      </c>
      <c r="AC232" s="191">
        <v>2.62603966</v>
      </c>
      <c r="AD232" s="191">
        <f t="shared" si="205"/>
        <v>1.7830216184562882E-2</v>
      </c>
      <c r="AE232" s="191">
        <v>32.790854269999997</v>
      </c>
      <c r="AF232" s="191">
        <f t="shared" si="206"/>
        <v>0.22264249448182244</v>
      </c>
      <c r="AG232" s="191">
        <v>31.495063160000001</v>
      </c>
      <c r="AH232" s="191">
        <f t="shared" si="207"/>
        <v>0.2138443655071311</v>
      </c>
      <c r="AI232" s="191">
        <v>456.53499706000002</v>
      </c>
    </row>
    <row r="233" spans="1:35">
      <c r="A233" s="679" t="s">
        <v>21</v>
      </c>
      <c r="B233" s="191">
        <v>14987.49584865</v>
      </c>
      <c r="C233" s="191">
        <v>921.53370199999995</v>
      </c>
      <c r="D233" s="191">
        <f t="shared" si="193"/>
        <v>6.1486836180375466</v>
      </c>
      <c r="E233" s="191">
        <v>2558.6945897400001</v>
      </c>
      <c r="F233" s="191">
        <f t="shared" si="194"/>
        <v>17.072195486015595</v>
      </c>
      <c r="G233" s="191">
        <v>778.36932655999999</v>
      </c>
      <c r="H233" s="191">
        <f t="shared" ref="H233:H244" si="209">G233/$B233*100</f>
        <v>5.1934581628598862</v>
      </c>
      <c r="I233" s="191">
        <v>564.14921529000003</v>
      </c>
      <c r="J233" s="191">
        <f t="shared" si="195"/>
        <v>3.7641325875050424</v>
      </c>
      <c r="K233" s="191">
        <v>688.82102366000004</v>
      </c>
      <c r="L233" s="191">
        <f t="shared" si="196"/>
        <v>4.5959714058706194</v>
      </c>
      <c r="M233" s="191">
        <v>914.84965327999998</v>
      </c>
      <c r="N233" s="191">
        <f t="shared" si="197"/>
        <v>6.1040861163101177</v>
      </c>
      <c r="O233" s="191">
        <v>871.02834353000003</v>
      </c>
      <c r="P233" s="191">
        <f t="shared" si="198"/>
        <v>5.8117003155564371</v>
      </c>
      <c r="Q233" s="191">
        <v>7044.6583366300001</v>
      </c>
      <c r="R233" s="191">
        <f t="shared" si="199"/>
        <v>47.003571562387108</v>
      </c>
      <c r="S233" s="191">
        <v>2188.5614501999999</v>
      </c>
      <c r="T233" s="191">
        <f t="shared" si="200"/>
        <v>14.60258252813551</v>
      </c>
      <c r="U233" s="191">
        <v>17.30289196</v>
      </c>
      <c r="V233" s="191">
        <f t="shared" si="201"/>
        <v>0.11544885239490198</v>
      </c>
      <c r="W233" s="191">
        <v>0.69421246000000003</v>
      </c>
      <c r="X233" s="191">
        <f t="shared" si="202"/>
        <v>4.6319443021732767E-3</v>
      </c>
      <c r="Y233" s="191">
        <f t="shared" si="208"/>
        <v>544.86165468999911</v>
      </c>
      <c r="Z233" s="191">
        <f t="shared" si="203"/>
        <v>3.6354415720427213</v>
      </c>
      <c r="AA233" s="191">
        <v>6.7236414599999996</v>
      </c>
      <c r="AB233" s="191">
        <f t="shared" si="204"/>
        <v>4.486167354372033E-2</v>
      </c>
      <c r="AC233" s="191">
        <v>2.6595292700000002</v>
      </c>
      <c r="AD233" s="191">
        <f t="shared" si="205"/>
        <v>1.774498753398859E-2</v>
      </c>
      <c r="AE233" s="191">
        <v>37.67693809</v>
      </c>
      <c r="AF233" s="191">
        <f t="shared" si="206"/>
        <v>0.25138914779678656</v>
      </c>
      <c r="AG233" s="191">
        <v>35.472790029999999</v>
      </c>
      <c r="AH233" s="191">
        <f t="shared" si="207"/>
        <v>0.23668256784334799</v>
      </c>
      <c r="AI233" s="191">
        <v>477.63473532</v>
      </c>
    </row>
    <row r="234" spans="1:35">
      <c r="A234" s="679" t="s">
        <v>22</v>
      </c>
      <c r="B234" s="191">
        <v>15067.068306839999</v>
      </c>
      <c r="C234" s="191">
        <v>906.90793025000005</v>
      </c>
      <c r="D234" s="191">
        <f t="shared" si="193"/>
        <v>6.0191399665872023</v>
      </c>
      <c r="E234" s="191">
        <v>2560.1129728199999</v>
      </c>
      <c r="F234" s="191">
        <f t="shared" si="194"/>
        <v>16.991447312001533</v>
      </c>
      <c r="G234" s="191">
        <v>770.66882657999997</v>
      </c>
      <c r="H234" s="191">
        <f t="shared" si="209"/>
        <v>5.1149222322841617</v>
      </c>
      <c r="I234" s="191">
        <v>566.31911807999995</v>
      </c>
      <c r="J234" s="191">
        <f t="shared" si="195"/>
        <v>3.7586550120231945</v>
      </c>
      <c r="K234" s="191">
        <v>721.89632615000005</v>
      </c>
      <c r="L234" s="191">
        <f t="shared" si="196"/>
        <v>4.7912195753588014</v>
      </c>
      <c r="M234" s="191">
        <v>924.62273315000004</v>
      </c>
      <c r="N234" s="191">
        <f t="shared" si="197"/>
        <v>6.1367129578237121</v>
      </c>
      <c r="O234" s="191">
        <v>825.91755959</v>
      </c>
      <c r="P234" s="191">
        <f t="shared" si="198"/>
        <v>5.4816075879543078</v>
      </c>
      <c r="Q234" s="191">
        <v>7151.9612355400004</v>
      </c>
      <c r="R234" s="191">
        <f t="shared" si="199"/>
        <v>47.467503895852275</v>
      </c>
      <c r="S234" s="191">
        <v>2209.9727520599999</v>
      </c>
      <c r="T234" s="191">
        <f t="shared" si="200"/>
        <v>14.667569742527405</v>
      </c>
      <c r="U234" s="191">
        <v>18.191524699999999</v>
      </c>
      <c r="V234" s="191">
        <f t="shared" si="201"/>
        <v>0.12073698963547931</v>
      </c>
      <c r="W234" s="191">
        <v>0.66831651000000003</v>
      </c>
      <c r="X234" s="191">
        <f t="shared" si="202"/>
        <v>4.435610806228338E-3</v>
      </c>
      <c r="Y234" s="191">
        <f t="shared" si="208"/>
        <v>538.87447604000067</v>
      </c>
      <c r="Z234" s="191">
        <f t="shared" si="203"/>
        <v>3.5765051638835921</v>
      </c>
      <c r="AA234" s="191">
        <v>6.0750850400000003</v>
      </c>
      <c r="AB234" s="191">
        <f t="shared" si="204"/>
        <v>4.032028604557459E-2</v>
      </c>
      <c r="AC234" s="191">
        <v>2.6283231300000001</v>
      </c>
      <c r="AD234" s="191">
        <f t="shared" si="205"/>
        <v>1.7444157526031921E-2</v>
      </c>
      <c r="AE234" s="191">
        <v>37.641860899999998</v>
      </c>
      <c r="AF234" s="191">
        <f t="shared" si="206"/>
        <v>0.24982870013877692</v>
      </c>
      <c r="AG234" s="191">
        <v>34.582018359999999</v>
      </c>
      <c r="AH234" s="191">
        <f t="shared" si="207"/>
        <v>0.22952055207913802</v>
      </c>
      <c r="AI234" s="191">
        <v>483.65381840999999</v>
      </c>
    </row>
    <row r="235" spans="1:35">
      <c r="A235" s="679" t="s">
        <v>23</v>
      </c>
      <c r="B235" s="191">
        <v>15258.05819419</v>
      </c>
      <c r="C235" s="191">
        <v>914.58348046000003</v>
      </c>
      <c r="D235" s="191">
        <f t="shared" si="193"/>
        <v>5.9941014041240015</v>
      </c>
      <c r="E235" s="191">
        <v>2557.87079339</v>
      </c>
      <c r="F235" s="191">
        <f t="shared" si="194"/>
        <v>16.764064999856878</v>
      </c>
      <c r="G235" s="191">
        <v>748.49464950000004</v>
      </c>
      <c r="H235" s="191">
        <f t="shared" si="209"/>
        <v>4.9055695028415451</v>
      </c>
      <c r="I235" s="191">
        <v>566.04685510000002</v>
      </c>
      <c r="J235" s="191">
        <f t="shared" si="195"/>
        <v>3.70982236334333</v>
      </c>
      <c r="K235" s="191">
        <v>737.29711373999999</v>
      </c>
      <c r="L235" s="191">
        <f t="shared" si="196"/>
        <v>4.8321818173478315</v>
      </c>
      <c r="M235" s="191">
        <v>921.95197716999996</v>
      </c>
      <c r="N235" s="191">
        <f t="shared" si="197"/>
        <v>6.0423938972854554</v>
      </c>
      <c r="O235" s="191">
        <v>820.91611594000005</v>
      </c>
      <c r="P235" s="191">
        <f t="shared" si="198"/>
        <v>5.3802135598918506</v>
      </c>
      <c r="Q235" s="191">
        <v>7323.1450972399998</v>
      </c>
      <c r="R235" s="191">
        <f t="shared" si="199"/>
        <v>47.995262595266055</v>
      </c>
      <c r="S235" s="191">
        <v>2266.2714822819999</v>
      </c>
      <c r="T235" s="191">
        <f t="shared" si="200"/>
        <v>14.85294821555312</v>
      </c>
      <c r="U235" s="191">
        <v>19.853376650000001</v>
      </c>
      <c r="V235" s="191">
        <f t="shared" si="201"/>
        <v>0.13011732159705497</v>
      </c>
      <c r="W235" s="191">
        <v>0.64521457000000004</v>
      </c>
      <c r="X235" s="191">
        <f t="shared" si="202"/>
        <v>4.2286807520873554E-3</v>
      </c>
      <c r="Y235" s="191">
        <f t="shared" si="208"/>
        <v>559.08385926999972</v>
      </c>
      <c r="Z235" s="191">
        <f t="shared" si="203"/>
        <v>3.6641874880441141</v>
      </c>
      <c r="AA235" s="191">
        <v>7.9188054399999999</v>
      </c>
      <c r="AB235" s="191">
        <f t="shared" si="204"/>
        <v>5.1899169207621332E-2</v>
      </c>
      <c r="AC235" s="191">
        <v>6.7817774399999999</v>
      </c>
      <c r="AD235" s="191">
        <f t="shared" si="205"/>
        <v>4.4447185570326252E-2</v>
      </c>
      <c r="AE235" s="191">
        <v>40.376605959999999</v>
      </c>
      <c r="AF235" s="191">
        <f t="shared" si="206"/>
        <v>0.26462479986722492</v>
      </c>
      <c r="AG235" s="191">
        <v>33.092472319999999</v>
      </c>
      <c r="AH235" s="191">
        <f t="shared" si="207"/>
        <v>0.21688521500462643</v>
      </c>
      <c r="AI235" s="191">
        <v>469.41215711000001</v>
      </c>
    </row>
    <row r="236" spans="1:35">
      <c r="A236" s="679" t="s">
        <v>24</v>
      </c>
      <c r="B236" s="191">
        <v>15367.672983369999</v>
      </c>
      <c r="C236" s="191">
        <v>937.46215344999996</v>
      </c>
      <c r="D236" s="191">
        <f t="shared" si="193"/>
        <v>6.1002219038918053</v>
      </c>
      <c r="E236" s="191">
        <v>2559.8715664199999</v>
      </c>
      <c r="F236" s="191">
        <f t="shared" si="194"/>
        <v>16.657509365211922</v>
      </c>
      <c r="G236" s="191">
        <v>740.25587327000005</v>
      </c>
      <c r="H236" s="191">
        <f t="shared" si="209"/>
        <v>4.8169678914371863</v>
      </c>
      <c r="I236" s="191">
        <v>561.86531460000003</v>
      </c>
      <c r="J236" s="191">
        <f t="shared" si="195"/>
        <v>3.6561509033151474</v>
      </c>
      <c r="K236" s="191">
        <v>771.52513069999998</v>
      </c>
      <c r="L236" s="191">
        <f t="shared" si="196"/>
        <v>5.0204421419879219</v>
      </c>
      <c r="M236" s="191">
        <v>917.80103291</v>
      </c>
      <c r="N236" s="191">
        <f t="shared" si="197"/>
        <v>5.9722837276872749</v>
      </c>
      <c r="O236" s="191">
        <v>757.26215291999995</v>
      </c>
      <c r="P236" s="191">
        <f t="shared" si="198"/>
        <v>4.9276305771177258</v>
      </c>
      <c r="Q236" s="191">
        <v>7462.8771900600004</v>
      </c>
      <c r="R236" s="191">
        <f t="shared" si="199"/>
        <v>48.562181132666552</v>
      </c>
      <c r="S236" s="191">
        <v>2286.8999630640001</v>
      </c>
      <c r="T236" s="191">
        <f t="shared" si="200"/>
        <v>14.881237813550236</v>
      </c>
      <c r="U236" s="191">
        <v>19.531559739999999</v>
      </c>
      <c r="V236" s="191">
        <f t="shared" si="201"/>
        <v>0.12709510256455817</v>
      </c>
      <c r="W236" s="191">
        <v>0.62182384999999996</v>
      </c>
      <c r="X236" s="191">
        <f t="shared" si="202"/>
        <v>4.0463110496488409E-3</v>
      </c>
      <c r="Y236" s="191">
        <f t="shared" si="208"/>
        <v>561.51604658999838</v>
      </c>
      <c r="Z236" s="191">
        <f t="shared" si="203"/>
        <v>3.6538781583759512</v>
      </c>
      <c r="AA236" s="191">
        <v>7.1080348999999998</v>
      </c>
      <c r="AB236" s="191">
        <f t="shared" si="204"/>
        <v>4.6253163427487698E-2</v>
      </c>
      <c r="AC236" s="191">
        <v>2.4405054599999998</v>
      </c>
      <c r="AD236" s="191">
        <f t="shared" si="205"/>
        <v>1.5880774289256237E-2</v>
      </c>
      <c r="AE236" s="191">
        <v>38.923702589999998</v>
      </c>
      <c r="AF236" s="191">
        <f t="shared" si="206"/>
        <v>0.25328299627484896</v>
      </c>
      <c r="AG236" s="191">
        <v>28.61089591</v>
      </c>
      <c r="AH236" s="191">
        <f t="shared" si="207"/>
        <v>0.18617585070271242</v>
      </c>
      <c r="AI236" s="191">
        <v>470.96209210000001</v>
      </c>
    </row>
    <row r="237" spans="1:35">
      <c r="A237" s="679" t="s">
        <v>25</v>
      </c>
      <c r="B237" s="191">
        <v>15607.979105320001</v>
      </c>
      <c r="C237" s="191">
        <v>904.16886915999999</v>
      </c>
      <c r="D237" s="191">
        <f t="shared" si="193"/>
        <v>5.7929912838735973</v>
      </c>
      <c r="E237" s="191">
        <v>2548.0423100600001</v>
      </c>
      <c r="F237" s="191">
        <f t="shared" si="194"/>
        <v>16.325254492373688</v>
      </c>
      <c r="G237" s="191">
        <v>743.94539847999999</v>
      </c>
      <c r="H237" s="191">
        <f t="shared" si="209"/>
        <v>4.7664428140246882</v>
      </c>
      <c r="I237" s="191">
        <v>570.38701947000004</v>
      </c>
      <c r="J237" s="191">
        <f t="shared" si="195"/>
        <v>3.6544578617201173</v>
      </c>
      <c r="K237" s="191">
        <v>808.90830032999997</v>
      </c>
      <c r="L237" s="191">
        <f t="shared" si="196"/>
        <v>5.1826587854303474</v>
      </c>
      <c r="M237" s="191">
        <v>871.90628317000005</v>
      </c>
      <c r="N237" s="191">
        <f t="shared" si="197"/>
        <v>5.5862855612922342</v>
      </c>
      <c r="O237" s="191">
        <v>748.54770776999999</v>
      </c>
      <c r="P237" s="191">
        <f t="shared" si="198"/>
        <v>4.7959297146602182</v>
      </c>
      <c r="Q237" s="191">
        <v>7691.6505829799999</v>
      </c>
      <c r="R237" s="191">
        <f t="shared" si="199"/>
        <v>49.280246539786113</v>
      </c>
      <c r="S237" s="191">
        <v>2338.6741561580002</v>
      </c>
      <c r="T237" s="191">
        <f t="shared" si="200"/>
        <v>14.983837051401869</v>
      </c>
      <c r="U237" s="191">
        <v>19.816218689999999</v>
      </c>
      <c r="V237" s="191">
        <f t="shared" si="201"/>
        <v>0.12696210416661574</v>
      </c>
      <c r="W237" s="191">
        <v>0.57414074999999998</v>
      </c>
      <c r="X237" s="191">
        <f t="shared" si="202"/>
        <v>3.6785079357538569E-3</v>
      </c>
      <c r="Y237" s="191">
        <f t="shared" si="208"/>
        <v>621.58660417000158</v>
      </c>
      <c r="Z237" s="191">
        <f t="shared" si="203"/>
        <v>3.9824925442021701</v>
      </c>
      <c r="AA237" s="191">
        <v>5.9090063500000003</v>
      </c>
      <c r="AB237" s="191">
        <f t="shared" si="204"/>
        <v>3.7858881730472763E-2</v>
      </c>
      <c r="AC237" s="191">
        <v>4.9918723099999998</v>
      </c>
      <c r="AD237" s="191">
        <f t="shared" si="205"/>
        <v>3.198282286461105E-2</v>
      </c>
      <c r="AE237" s="191">
        <v>38.096837030000003</v>
      </c>
      <c r="AF237" s="191">
        <f t="shared" si="206"/>
        <v>0.24408564858351614</v>
      </c>
      <c r="AG237" s="191">
        <v>29.447954599999999</v>
      </c>
      <c r="AH237" s="191">
        <f t="shared" si="207"/>
        <v>0.18867243735585618</v>
      </c>
      <c r="AI237" s="191">
        <v>516.37639208999997</v>
      </c>
    </row>
    <row r="238" spans="1:35">
      <c r="A238" s="679" t="s">
        <v>26</v>
      </c>
      <c r="B238" s="191">
        <v>15957.303832469999</v>
      </c>
      <c r="C238" s="191">
        <v>871.14004873999897</v>
      </c>
      <c r="D238" s="191">
        <f t="shared" si="193"/>
        <v>5.4591932188907695</v>
      </c>
      <c r="E238" s="191">
        <v>2579.2092693899999</v>
      </c>
      <c r="F238" s="191">
        <f t="shared" si="194"/>
        <v>16.163189574305232</v>
      </c>
      <c r="G238" s="191">
        <v>745.37177195000004</v>
      </c>
      <c r="H238" s="191">
        <f t="shared" si="209"/>
        <v>4.6710382892711104</v>
      </c>
      <c r="I238" s="191">
        <v>572.97145795999995</v>
      </c>
      <c r="J238" s="191">
        <f t="shared" si="195"/>
        <v>3.5906533081993137</v>
      </c>
      <c r="K238" s="191">
        <v>857.94629036000003</v>
      </c>
      <c r="L238" s="191">
        <f t="shared" si="196"/>
        <v>5.376511592229301</v>
      </c>
      <c r="M238" s="191">
        <v>908.33819310000001</v>
      </c>
      <c r="N238" s="191">
        <f t="shared" si="197"/>
        <v>5.6923036788439729</v>
      </c>
      <c r="O238" s="191">
        <v>753.88942029999998</v>
      </c>
      <c r="P238" s="191">
        <f t="shared" si="198"/>
        <v>4.7244160305200316</v>
      </c>
      <c r="Q238" s="191">
        <v>7931.76742388</v>
      </c>
      <c r="R238" s="191">
        <f t="shared" si="199"/>
        <v>49.70618788206815</v>
      </c>
      <c r="S238" s="191">
        <v>2369.8612622149999</v>
      </c>
      <c r="T238" s="191">
        <f t="shared" si="200"/>
        <v>14.851263641372766</v>
      </c>
      <c r="U238" s="191">
        <v>34.185724110000002</v>
      </c>
      <c r="V238" s="191">
        <f t="shared" si="201"/>
        <v>0.21423245724280013</v>
      </c>
      <c r="W238" s="191">
        <v>0.54093727000000003</v>
      </c>
      <c r="X238" s="191">
        <f t="shared" si="202"/>
        <v>3.3899039316359833E-3</v>
      </c>
      <c r="Y238" s="191">
        <f t="shared" si="208"/>
        <v>626.09170502000075</v>
      </c>
      <c r="Z238" s="191">
        <f t="shared" si="203"/>
        <v>3.9235431724125371</v>
      </c>
      <c r="AA238" s="191">
        <v>9.69962138</v>
      </c>
      <c r="AB238" s="191">
        <f t="shared" si="204"/>
        <v>6.0784838603268075E-2</v>
      </c>
      <c r="AC238" s="191">
        <v>2.6619728899999999</v>
      </c>
      <c r="AD238" s="191">
        <f t="shared" si="205"/>
        <v>1.6681846243871128E-2</v>
      </c>
      <c r="AE238" s="191">
        <v>35.039565459999999</v>
      </c>
      <c r="AF238" s="191">
        <f t="shared" si="206"/>
        <v>0.21958324431161935</v>
      </c>
      <c r="AG238" s="191">
        <v>28.450430659999999</v>
      </c>
      <c r="AH238" s="191">
        <f t="shared" si="207"/>
        <v>0.17829096292638688</v>
      </c>
      <c r="AI238" s="191">
        <v>604.17383210000003</v>
      </c>
    </row>
    <row r="239" spans="1:35">
      <c r="A239" s="679" t="s">
        <v>27</v>
      </c>
      <c r="B239" s="191">
        <v>16415.890409920001</v>
      </c>
      <c r="C239" s="191">
        <v>815.87446340999998</v>
      </c>
      <c r="D239" s="191">
        <f t="shared" si="193"/>
        <v>4.9700286919372534</v>
      </c>
      <c r="E239" s="191">
        <v>2786.1641640600001</v>
      </c>
      <c r="F239" s="191">
        <f t="shared" si="194"/>
        <v>16.972360892323827</v>
      </c>
      <c r="G239" s="191">
        <v>741.87722835</v>
      </c>
      <c r="H239" s="191">
        <f t="shared" si="209"/>
        <v>4.5192627985728331</v>
      </c>
      <c r="I239" s="191">
        <v>573.79974297000001</v>
      </c>
      <c r="J239" s="191">
        <f t="shared" si="195"/>
        <v>3.4953921392119982</v>
      </c>
      <c r="K239" s="191">
        <v>879.85114887999998</v>
      </c>
      <c r="L239" s="191">
        <f t="shared" si="196"/>
        <v>5.35975281821029</v>
      </c>
      <c r="M239" s="191">
        <v>945.15252614999997</v>
      </c>
      <c r="N239" s="191">
        <f t="shared" si="197"/>
        <v>5.7575465146797722</v>
      </c>
      <c r="O239" s="191">
        <v>748.71404676999998</v>
      </c>
      <c r="P239" s="191">
        <f t="shared" si="198"/>
        <v>4.5609103623008931</v>
      </c>
      <c r="Q239" s="191">
        <v>8122.9342557600003</v>
      </c>
      <c r="R239" s="191">
        <f t="shared" si="199"/>
        <v>49.482142320171505</v>
      </c>
      <c r="S239" s="191">
        <v>2401.103223225</v>
      </c>
      <c r="T239" s="191">
        <f t="shared" si="200"/>
        <v>14.626701100380343</v>
      </c>
      <c r="U239" s="191">
        <v>74.858998940000006</v>
      </c>
      <c r="V239" s="191">
        <f t="shared" si="201"/>
        <v>0.45601546471559817</v>
      </c>
      <c r="W239" s="191">
        <v>2.0888799900000001</v>
      </c>
      <c r="X239" s="191">
        <f t="shared" si="202"/>
        <v>1.2724743756438003E-2</v>
      </c>
      <c r="Y239" s="191">
        <f t="shared" si="208"/>
        <v>640.01632651000182</v>
      </c>
      <c r="Z239" s="191">
        <f t="shared" si="203"/>
        <v>3.8987609598273432</v>
      </c>
      <c r="AA239" s="191">
        <v>10.664287760000001</v>
      </c>
      <c r="AB239" s="191">
        <f t="shared" si="204"/>
        <v>6.4963200251115544E-2</v>
      </c>
      <c r="AC239" s="191">
        <v>2.5579208100000002</v>
      </c>
      <c r="AD239" s="191">
        <f t="shared" si="205"/>
        <v>1.5581980301563585E-2</v>
      </c>
      <c r="AE239" s="191">
        <v>38.691770239999997</v>
      </c>
      <c r="AF239" s="191">
        <f t="shared" si="206"/>
        <v>0.23569705494999432</v>
      </c>
      <c r="AG239" s="191">
        <v>32.644649319999999</v>
      </c>
      <c r="AH239" s="191">
        <f t="shared" si="207"/>
        <v>0.19886005878958038</v>
      </c>
      <c r="AI239" s="191">
        <v>468.14402078000001</v>
      </c>
    </row>
    <row r="240" spans="1:35">
      <c r="A240" s="679" t="s">
        <v>28</v>
      </c>
      <c r="B240" s="191">
        <v>16700.565043179999</v>
      </c>
      <c r="C240" s="191">
        <v>786.28199433999998</v>
      </c>
      <c r="D240" s="191">
        <f t="shared" si="193"/>
        <v>4.7081161164729188</v>
      </c>
      <c r="E240" s="191">
        <v>2868.5268772600002</v>
      </c>
      <c r="F240" s="191">
        <f t="shared" si="194"/>
        <v>17.176226491997763</v>
      </c>
      <c r="G240" s="191">
        <v>734.27509927000006</v>
      </c>
      <c r="H240" s="191">
        <f t="shared" si="209"/>
        <v>4.396708119584587</v>
      </c>
      <c r="I240" s="191">
        <v>578.59677040999998</v>
      </c>
      <c r="J240" s="191">
        <f t="shared" si="195"/>
        <v>3.4645340975830106</v>
      </c>
      <c r="K240" s="191">
        <v>916.00865195999995</v>
      </c>
      <c r="L240" s="191">
        <f t="shared" si="196"/>
        <v>5.484896167235191</v>
      </c>
      <c r="M240" s="191">
        <v>938.60669800000005</v>
      </c>
      <c r="N240" s="191">
        <f t="shared" si="197"/>
        <v>5.6202092298864965</v>
      </c>
      <c r="O240" s="191">
        <v>743.01455699999997</v>
      </c>
      <c r="P240" s="191">
        <f t="shared" si="198"/>
        <v>4.449038431208197</v>
      </c>
      <c r="Q240" s="191">
        <v>8322.8481584799993</v>
      </c>
      <c r="R240" s="191">
        <f t="shared" si="199"/>
        <v>49.835727934719174</v>
      </c>
      <c r="S240" s="191">
        <v>2434.2449579849999</v>
      </c>
      <c r="T240" s="191">
        <f t="shared" si="200"/>
        <v>14.575823941831665</v>
      </c>
      <c r="U240" s="191">
        <v>91.53427284</v>
      </c>
      <c r="V240" s="191">
        <f t="shared" si="201"/>
        <v>0.54809087359220698</v>
      </c>
      <c r="W240" s="191">
        <v>2.0505073299999999</v>
      </c>
      <c r="X240" s="191">
        <f t="shared" si="202"/>
        <v>1.227807157840665E-2</v>
      </c>
      <c r="Y240" s="191">
        <f t="shared" si="208"/>
        <v>636.61968399000216</v>
      </c>
      <c r="Z240" s="191">
        <f t="shared" si="203"/>
        <v>3.811964938575406</v>
      </c>
      <c r="AA240" s="191">
        <v>7.1007471400000002</v>
      </c>
      <c r="AB240" s="191">
        <f t="shared" si="204"/>
        <v>4.2518005358745205E-2</v>
      </c>
      <c r="AC240" s="191">
        <v>3.1193285899999998</v>
      </c>
      <c r="AD240" s="191">
        <f t="shared" si="205"/>
        <v>1.8677982343321003E-2</v>
      </c>
      <c r="AE240" s="191">
        <v>42.417387400000003</v>
      </c>
      <c r="AF240" s="191">
        <f t="shared" si="206"/>
        <v>0.25398773808148467</v>
      </c>
      <c r="AG240" s="191">
        <v>29.564309170000001</v>
      </c>
      <c r="AH240" s="191">
        <f t="shared" si="207"/>
        <v>0.17702580178311489</v>
      </c>
      <c r="AI240" s="191">
        <v>474.33828768000001</v>
      </c>
    </row>
    <row r="241" spans="1:35">
      <c r="A241" s="679" t="s">
        <v>29</v>
      </c>
      <c r="B241" s="191">
        <v>17119.816266530001</v>
      </c>
      <c r="C241" s="191">
        <v>719.44171244100005</v>
      </c>
      <c r="D241" s="191">
        <f t="shared" si="193"/>
        <v>4.202391551640309</v>
      </c>
      <c r="E241" s="191">
        <v>2992.49869709</v>
      </c>
      <c r="F241" s="191">
        <f t="shared" si="194"/>
        <v>17.479736058502375</v>
      </c>
      <c r="G241" s="191">
        <v>749.02611363999995</v>
      </c>
      <c r="H241" s="191">
        <f t="shared" si="209"/>
        <v>4.3751994880013942</v>
      </c>
      <c r="I241" s="191">
        <v>591.69574925999996</v>
      </c>
      <c r="J241" s="191">
        <f t="shared" si="195"/>
        <v>3.4562038520050673</v>
      </c>
      <c r="K241" s="191">
        <v>903.18872779000003</v>
      </c>
      <c r="L241" s="191">
        <f t="shared" si="196"/>
        <v>5.2756917114570561</v>
      </c>
      <c r="M241" s="191">
        <v>971.73336805999998</v>
      </c>
      <c r="N241" s="191">
        <f t="shared" si="197"/>
        <v>5.6760735800639504</v>
      </c>
      <c r="O241" s="191">
        <v>737.34158892000005</v>
      </c>
      <c r="P241" s="191">
        <f t="shared" si="198"/>
        <v>4.3069480270155438</v>
      </c>
      <c r="Q241" s="191">
        <v>8607.2734685390005</v>
      </c>
      <c r="R241" s="191">
        <f t="shared" si="199"/>
        <v>50.276669647247331</v>
      </c>
      <c r="S241" s="191">
        <v>2483.4006520349999</v>
      </c>
      <c r="T241" s="191">
        <f t="shared" si="200"/>
        <v>14.506000609890645</v>
      </c>
      <c r="U241" s="191">
        <v>90.779199309999996</v>
      </c>
      <c r="V241" s="191">
        <f t="shared" si="201"/>
        <v>0.53025802319781523</v>
      </c>
      <c r="W241" s="191">
        <v>1.9917215699999999</v>
      </c>
      <c r="X241" s="191">
        <f t="shared" si="202"/>
        <v>1.1634012532563822E-2</v>
      </c>
      <c r="Y241" s="191">
        <f t="shared" si="208"/>
        <v>653.79468095999982</v>
      </c>
      <c r="Z241" s="191">
        <f t="shared" si="203"/>
        <v>3.8189351496616086</v>
      </c>
      <c r="AA241" s="191">
        <v>8.4083913999999993</v>
      </c>
      <c r="AB241" s="191">
        <f t="shared" si="204"/>
        <v>4.9114962854121147E-2</v>
      </c>
      <c r="AC241" s="191">
        <v>3.6777463099999999</v>
      </c>
      <c r="AD241" s="191">
        <f t="shared" si="205"/>
        <v>2.1482393576794143E-2</v>
      </c>
      <c r="AE241" s="191">
        <v>56.911928449999998</v>
      </c>
      <c r="AF241" s="191">
        <f t="shared" si="206"/>
        <v>0.33243305631302444</v>
      </c>
      <c r="AG241" s="191">
        <v>32.053172789999998</v>
      </c>
      <c r="AH241" s="191">
        <f t="shared" si="207"/>
        <v>0.18722848593103988</v>
      </c>
      <c r="AI241" s="191">
        <v>357.28922269999998</v>
      </c>
    </row>
    <row r="242" spans="1:35">
      <c r="A242" s="679" t="s">
        <v>2827</v>
      </c>
      <c r="B242" s="283">
        <v>20183.981847880001</v>
      </c>
      <c r="C242" s="283">
        <v>593.74010190000001</v>
      </c>
      <c r="D242" s="283">
        <f t="shared" si="193"/>
        <v>2.9416400905174354</v>
      </c>
      <c r="E242" s="283">
        <v>3302.9590024499998</v>
      </c>
      <c r="F242" s="283">
        <f t="shared" si="194"/>
        <v>16.364258684650583</v>
      </c>
      <c r="G242" s="283">
        <v>649.86065914000005</v>
      </c>
      <c r="H242" s="283">
        <f t="shared" si="209"/>
        <v>3.2196851148489185</v>
      </c>
      <c r="I242" s="283">
        <v>629.08630359999995</v>
      </c>
      <c r="J242" s="283">
        <f t="shared" si="195"/>
        <v>3.1167601533791274</v>
      </c>
      <c r="K242" s="283">
        <v>1097.3797512199999</v>
      </c>
      <c r="L242" s="283">
        <f t="shared" si="196"/>
        <v>5.4368843545866641</v>
      </c>
      <c r="M242" s="283">
        <v>1059.78559137</v>
      </c>
      <c r="N242" s="283">
        <f t="shared" si="197"/>
        <v>5.2506269543703201</v>
      </c>
      <c r="O242" s="283">
        <v>792.6693219</v>
      </c>
      <c r="P242" s="283">
        <f t="shared" si="198"/>
        <v>3.9272197521484449</v>
      </c>
      <c r="Q242" s="283">
        <v>11273.07877536</v>
      </c>
      <c r="R242" s="283">
        <f t="shared" si="199"/>
        <v>55.851609758279949</v>
      </c>
      <c r="S242" s="283">
        <v>3013.0127850049998</v>
      </c>
      <c r="T242" s="283">
        <f t="shared" si="200"/>
        <v>14.927742244880527</v>
      </c>
      <c r="U242" s="283">
        <v>11.43771877</v>
      </c>
      <c r="V242" s="283">
        <f t="shared" si="201"/>
        <v>5.666730606578179E-2</v>
      </c>
      <c r="W242" s="283">
        <v>1.2991616399999999</v>
      </c>
      <c r="X242" s="283">
        <f t="shared" si="202"/>
        <v>6.4365973463083332E-3</v>
      </c>
      <c r="Y242" s="283">
        <f t="shared" si="208"/>
        <v>677.34562013000254</v>
      </c>
      <c r="Z242" s="283">
        <f t="shared" si="203"/>
        <v>3.3558572596573488</v>
      </c>
      <c r="AA242" s="283">
        <v>12.71684417</v>
      </c>
      <c r="AB242" s="283">
        <f t="shared" si="204"/>
        <v>6.3004635387817184E-2</v>
      </c>
      <c r="AC242" s="283">
        <v>9.3437897400000001</v>
      </c>
      <c r="AD242" s="283">
        <f t="shared" si="205"/>
        <v>4.6293094248801125E-2</v>
      </c>
      <c r="AE242" s="283">
        <v>41.230349599999997</v>
      </c>
      <c r="AF242" s="283">
        <f t="shared" si="206"/>
        <v>0.2042726252467898</v>
      </c>
      <c r="AG242" s="283">
        <v>32.048856890000003</v>
      </c>
      <c r="AH242" s="283">
        <f t="shared" si="207"/>
        <v>0.15878361926572093</v>
      </c>
      <c r="AI242" s="283">
        <v>478.84730696000003</v>
      </c>
    </row>
    <row r="243" spans="1:35">
      <c r="A243" s="679" t="s">
        <v>18</v>
      </c>
      <c r="B243" s="191">
        <v>17242.149871199999</v>
      </c>
      <c r="C243" s="191">
        <v>706.54506468099999</v>
      </c>
      <c r="D243" s="191">
        <f t="shared" si="193"/>
        <v>4.0977782350747347</v>
      </c>
      <c r="E243" s="191">
        <v>2971.0516749799999</v>
      </c>
      <c r="F243" s="191">
        <f t="shared" si="194"/>
        <v>17.231329603175663</v>
      </c>
      <c r="G243" s="191">
        <v>737.83965122999996</v>
      </c>
      <c r="H243" s="191">
        <f t="shared" si="209"/>
        <v>4.279278725342901</v>
      </c>
      <c r="I243" s="191">
        <v>595.77505580000002</v>
      </c>
      <c r="J243" s="191">
        <f t="shared" si="195"/>
        <v>3.4553408957147402</v>
      </c>
      <c r="K243" s="191">
        <v>910.36466609000001</v>
      </c>
      <c r="L243" s="191">
        <f t="shared" si="196"/>
        <v>5.2798790921693897</v>
      </c>
      <c r="M243" s="191">
        <v>959.79601437999997</v>
      </c>
      <c r="N243" s="191">
        <f t="shared" si="197"/>
        <v>5.5665680993944475</v>
      </c>
      <c r="O243" s="191">
        <v>744.62580856</v>
      </c>
      <c r="P243" s="191">
        <f t="shared" si="198"/>
        <v>4.3186366788503987</v>
      </c>
      <c r="Q243" s="191">
        <v>8767.7198485890003</v>
      </c>
      <c r="R243" s="191">
        <f t="shared" si="199"/>
        <v>50.850502484228755</v>
      </c>
      <c r="S243" s="191">
        <v>2499.0721426549999</v>
      </c>
      <c r="T243" s="191">
        <f t="shared" si="200"/>
        <v>14.493970655186473</v>
      </c>
      <c r="U243" s="191">
        <v>90.199735840000002</v>
      </c>
      <c r="V243" s="191">
        <f t="shared" si="201"/>
        <v>0.52313508764161076</v>
      </c>
      <c r="W243" s="191">
        <v>1.95306146</v>
      </c>
      <c r="X243" s="191">
        <f t="shared" si="202"/>
        <v>1.1327250224534053E-2</v>
      </c>
      <c r="Y243" s="191">
        <f t="shared" si="208"/>
        <v>663.27988239999866</v>
      </c>
      <c r="Z243" s="191">
        <f t="shared" si="203"/>
        <v>3.846851392400271</v>
      </c>
      <c r="AA243" s="191">
        <v>7.6883463699999997</v>
      </c>
      <c r="AB243" s="191">
        <f t="shared" si="204"/>
        <v>4.4590416087509133E-2</v>
      </c>
      <c r="AC243" s="191">
        <v>4.3864337100000004</v>
      </c>
      <c r="AD243" s="191">
        <f t="shared" si="205"/>
        <v>2.5440178532067929E-2</v>
      </c>
      <c r="AE243" s="191">
        <v>50.945260220000002</v>
      </c>
      <c r="AF243" s="191">
        <f t="shared" si="206"/>
        <v>0.29546930400538485</v>
      </c>
      <c r="AG243" s="191">
        <v>29.979366890000001</v>
      </c>
      <c r="AH243" s="191">
        <f t="shared" si="207"/>
        <v>0.17387255715759262</v>
      </c>
      <c r="AI243" s="191">
        <v>404.33149824999998</v>
      </c>
    </row>
    <row r="244" spans="1:35" ht="15" customHeight="1">
      <c r="A244" s="679" t="s">
        <v>19</v>
      </c>
      <c r="B244" s="191">
        <v>17587.221785509999</v>
      </c>
      <c r="C244" s="191">
        <v>690.22803666100003</v>
      </c>
      <c r="D244" s="191">
        <f t="shared" si="193"/>
        <v>3.9245996046383778</v>
      </c>
      <c r="E244" s="191">
        <v>3039.58921594</v>
      </c>
      <c r="F244" s="191">
        <f t="shared" si="194"/>
        <v>17.282941291183914</v>
      </c>
      <c r="G244" s="191">
        <v>720.08297909999999</v>
      </c>
      <c r="H244" s="191">
        <f t="shared" si="209"/>
        <v>4.0943532064471482</v>
      </c>
      <c r="I244" s="191">
        <v>591.62897584999996</v>
      </c>
      <c r="J244" s="191">
        <f t="shared" si="195"/>
        <v>3.3639706320041936</v>
      </c>
      <c r="K244" s="191">
        <v>986.05618188000005</v>
      </c>
      <c r="L244" s="191">
        <f t="shared" si="196"/>
        <v>5.6066625752818195</v>
      </c>
      <c r="M244" s="191">
        <v>996.55668907999996</v>
      </c>
      <c r="N244" s="191">
        <f t="shared" si="197"/>
        <v>5.6663678961566095</v>
      </c>
      <c r="O244" s="191">
        <v>731.55818535000003</v>
      </c>
      <c r="P244" s="191">
        <f t="shared" si="198"/>
        <v>4.1596006138543506</v>
      </c>
      <c r="Q244" s="191">
        <v>8948.4275945089994</v>
      </c>
      <c r="R244" s="191">
        <f t="shared" si="199"/>
        <v>50.880279464500489</v>
      </c>
      <c r="S244" s="191">
        <v>2544.7717876749998</v>
      </c>
      <c r="T244" s="191">
        <f t="shared" si="200"/>
        <v>14.469435927461955</v>
      </c>
      <c r="U244" s="191">
        <v>92.671329189999994</v>
      </c>
      <c r="V244" s="191">
        <f t="shared" si="201"/>
        <v>0.52692420849750876</v>
      </c>
      <c r="W244" s="191">
        <v>1.95306146</v>
      </c>
      <c r="X244" s="191">
        <f t="shared" si="202"/>
        <v>1.1105002733343108E-2</v>
      </c>
      <c r="Y244" s="191">
        <f t="shared" si="208"/>
        <v>679.59860069999945</v>
      </c>
      <c r="Z244" s="191">
        <f t="shared" si="203"/>
        <v>3.8641612017420308</v>
      </c>
      <c r="AA244" s="191">
        <v>25.085493190000001</v>
      </c>
      <c r="AB244" s="191">
        <f t="shared" si="204"/>
        <v>0.14263476912918549</v>
      </c>
      <c r="AC244" s="191">
        <v>4.2741885100000001</v>
      </c>
      <c r="AD244" s="191">
        <f t="shared" si="205"/>
        <v>2.4302806674795431E-2</v>
      </c>
      <c r="AE244" s="191">
        <v>48.159196620000003</v>
      </c>
      <c r="AF244" s="191">
        <f t="shared" si="206"/>
        <v>0.27383060956039151</v>
      </c>
      <c r="AG244" s="191">
        <v>31.352057469999998</v>
      </c>
      <c r="AH244" s="191">
        <f t="shared" si="207"/>
        <v>0.17826611759584882</v>
      </c>
      <c r="AI244" s="191">
        <v>501.75617211000002</v>
      </c>
    </row>
    <row r="245" spans="1:35" ht="15" customHeight="1">
      <c r="A245" s="679" t="s">
        <v>20</v>
      </c>
      <c r="B245" s="191">
        <v>18007.769891451</v>
      </c>
      <c r="C245" s="191">
        <v>685.18649990100005</v>
      </c>
      <c r="D245" s="191">
        <f t="shared" ref="D245" si="210">C245/B245*100</f>
        <v>3.8049492193160748</v>
      </c>
      <c r="E245" s="191">
        <v>3080.4347998600001</v>
      </c>
      <c r="F245" s="191">
        <f t="shared" ref="F245" si="211">E245/B245*100</f>
        <v>17.10614261748427</v>
      </c>
      <c r="G245" s="191">
        <v>728.75941611999997</v>
      </c>
      <c r="H245" s="191">
        <f t="shared" ref="H245" si="212">G245/$B245*100</f>
        <v>4.0469165283257578</v>
      </c>
      <c r="I245" s="191">
        <v>597.47477757000001</v>
      </c>
      <c r="J245" s="191">
        <f t="shared" ref="J245" si="213">I245/$B245*100</f>
        <v>3.3178721250411187</v>
      </c>
      <c r="K245" s="191">
        <v>1009.43637603</v>
      </c>
      <c r="L245" s="191">
        <f t="shared" ref="L245" si="214">K245/$B245*100</f>
        <v>5.6055601671655042</v>
      </c>
      <c r="M245" s="191">
        <v>1016.34619679</v>
      </c>
      <c r="N245" s="191">
        <f t="shared" ref="N245" si="215">M245/$B245*100</f>
        <v>5.6439314968840186</v>
      </c>
      <c r="O245" s="191">
        <v>737.58571889999996</v>
      </c>
      <c r="P245" s="191">
        <f t="shared" ref="P245" si="216">O245/$B245*100</f>
        <v>4.095930386417038</v>
      </c>
      <c r="Q245" s="191">
        <v>9262.8286463999993</v>
      </c>
      <c r="R245" s="191">
        <f t="shared" ref="R245" si="217">Q245/$B245*100</f>
        <v>51.437955406112948</v>
      </c>
      <c r="S245" s="191">
        <v>2599.5753401249999</v>
      </c>
      <c r="T245" s="191">
        <f t="shared" ref="T245" si="218">S245/$B245*100</f>
        <v>14.435853833067474</v>
      </c>
      <c r="U245" s="191">
        <v>85.788650129999994</v>
      </c>
      <c r="V245" s="191">
        <f t="shared" ref="V245" si="219">U245/$B245*100</f>
        <v>0.47639796958271474</v>
      </c>
      <c r="W245" s="191">
        <v>1.9190493500000001</v>
      </c>
      <c r="X245" s="191">
        <f t="shared" ref="X245" si="220">W245/$B245*100</f>
        <v>1.0656785163114775E-2</v>
      </c>
      <c r="Y245" s="191">
        <f t="shared" ref="Y245" si="221">((B245-C245-E245-G245-I245-K245-M245-W245-O245-Q245-U245-AA245-AC245-AE245-AG245))</f>
        <v>695.8247708600021</v>
      </c>
      <c r="Z245" s="191">
        <f t="shared" ref="Z245" si="222">Y245/$B245*100</f>
        <v>3.8640252238581612</v>
      </c>
      <c r="AA245" s="191">
        <v>29.572471480000001</v>
      </c>
      <c r="AB245" s="191">
        <f t="shared" ref="AB245" si="223">AA245/$B245*100</f>
        <v>0.16422062064464307</v>
      </c>
      <c r="AC245" s="191">
        <v>4.5490465200000001</v>
      </c>
      <c r="AD245" s="191">
        <f t="shared" ref="AD245" si="224">AC245/$B245*100</f>
        <v>2.5261576238596945E-2</v>
      </c>
      <c r="AE245" s="191">
        <v>41.391453429999999</v>
      </c>
      <c r="AF245" s="191">
        <f t="shared" ref="AF245" si="225">AE245/$B245*100</f>
        <v>0.22985330043366536</v>
      </c>
      <c r="AG245" s="191">
        <v>30.67201811</v>
      </c>
      <c r="AH245" s="191">
        <f t="shared" ref="AH245" si="226">AG245/$B245*100</f>
        <v>0.17032657733238374</v>
      </c>
      <c r="AI245" s="191">
        <v>408.66366932</v>
      </c>
    </row>
    <row r="246" spans="1:35" ht="15" customHeight="1">
      <c r="A246" s="679" t="s">
        <v>21</v>
      </c>
      <c r="B246" s="191">
        <v>18319.964781931001</v>
      </c>
      <c r="C246" s="191">
        <v>674.77748304099998</v>
      </c>
      <c r="D246" s="191">
        <f t="shared" ref="D246:D254" si="227">C246/B246*100</f>
        <v>3.6832902850693996</v>
      </c>
      <c r="E246" s="191">
        <v>3137.6001220100002</v>
      </c>
      <c r="F246" s="191">
        <f t="shared" ref="F246:F254" si="228">E246/B246*100</f>
        <v>17.126671144611688</v>
      </c>
      <c r="G246" s="191">
        <v>724.61680982999997</v>
      </c>
      <c r="H246" s="191">
        <f t="shared" ref="H246:H254" si="229">G246/$B246*100</f>
        <v>3.9553395350666301</v>
      </c>
      <c r="I246" s="191">
        <v>592.84795186999997</v>
      </c>
      <c r="J246" s="191">
        <f t="shared" ref="J246:J254" si="230">I246/$B246*100</f>
        <v>3.2360758272566468</v>
      </c>
      <c r="K246" s="191">
        <v>1069.77222321</v>
      </c>
      <c r="L246" s="191">
        <f t="shared" ref="L246:L254" si="231">K246/$B246*100</f>
        <v>5.8393792561496483</v>
      </c>
      <c r="M246" s="191">
        <v>1025.0713723900001</v>
      </c>
      <c r="N246" s="191">
        <f t="shared" ref="N246:N254" si="232">M246/$B246*100</f>
        <v>5.5953785096848492</v>
      </c>
      <c r="O246" s="191">
        <v>742.68811762999997</v>
      </c>
      <c r="P246" s="191">
        <f t="shared" ref="P246:P254" si="233">O246/$B246*100</f>
        <v>4.0539822345210723</v>
      </c>
      <c r="Q246" s="191">
        <v>9460.6843937499998</v>
      </c>
      <c r="R246" s="191">
        <f t="shared" ref="R246:R254" si="234">Q246/$B246*100</f>
        <v>51.641389633461962</v>
      </c>
      <c r="S246" s="191">
        <v>2659.2497702750002</v>
      </c>
      <c r="T246" s="191">
        <f t="shared" ref="T246:T254" si="235">S246/$B246*100</f>
        <v>14.515583419122185</v>
      </c>
      <c r="U246" s="191">
        <v>94.591088130000003</v>
      </c>
      <c r="V246" s="191">
        <f t="shared" ref="V246:V254" si="236">U246/$B246*100</f>
        <v>0.51632789285323999</v>
      </c>
      <c r="W246" s="191">
        <v>1.8355293100000001</v>
      </c>
      <c r="X246" s="191">
        <f t="shared" ref="X246:X254" si="237">W246/$B246*100</f>
        <v>1.0019284053484559E-2</v>
      </c>
      <c r="Y246" s="191">
        <f t="shared" ref="Y246:Y254" si="238">((B246-C246-E246-G246-I246-K246-M246-W246-O246-Q246-U246-AA246-AC246-AE246-AG246))</f>
        <v>687.62060340999813</v>
      </c>
      <c r="Z246" s="191">
        <f t="shared" ref="Z246:Z254" si="239">Y246/$B246*100</f>
        <v>3.7533947886635626</v>
      </c>
      <c r="AA246" s="191">
        <v>30.977582609999999</v>
      </c>
      <c r="AB246" s="191">
        <f t="shared" ref="AB246:AB254" si="240">AA246/$B246*100</f>
        <v>0.16909193319276039</v>
      </c>
      <c r="AC246" s="191">
        <v>3.94607128</v>
      </c>
      <c r="AD246" s="191">
        <f t="shared" ref="AD246:AD254" si="241">AC246/$B246*100</f>
        <v>2.1539731800641962E-2</v>
      </c>
      <c r="AE246" s="191">
        <v>43.012501450000002</v>
      </c>
      <c r="AF246" s="191">
        <f t="shared" ref="AF246:AF254" si="242">AE246/$B246*100</f>
        <v>0.23478484790769508</v>
      </c>
      <c r="AG246" s="191">
        <v>29.92293201</v>
      </c>
      <c r="AH246" s="191">
        <f t="shared" ref="AH246:AH254" si="243">AG246/$B246*100</f>
        <v>0.16333509570669599</v>
      </c>
      <c r="AI246" s="191">
        <v>368.50278687000002</v>
      </c>
    </row>
    <row r="247" spans="1:35" ht="15" customHeight="1">
      <c r="A247" s="679" t="s">
        <v>22</v>
      </c>
      <c r="B247" s="191">
        <v>18577.875236771</v>
      </c>
      <c r="C247" s="191">
        <v>673.73641594100002</v>
      </c>
      <c r="D247" s="191">
        <f t="shared" si="227"/>
        <v>3.6265525920180597</v>
      </c>
      <c r="E247" s="191">
        <v>3141.1716848900001</v>
      </c>
      <c r="F247" s="191">
        <f t="shared" si="228"/>
        <v>16.908132091837448</v>
      </c>
      <c r="G247" s="191">
        <v>712.88410555999997</v>
      </c>
      <c r="H247" s="191">
        <f t="shared" si="229"/>
        <v>3.8372746962418804</v>
      </c>
      <c r="I247" s="191">
        <v>597.58057467000003</v>
      </c>
      <c r="J247" s="191">
        <f t="shared" si="230"/>
        <v>3.2166249748906424</v>
      </c>
      <c r="K247" s="191">
        <v>1095.6968941299999</v>
      </c>
      <c r="L247" s="191">
        <f t="shared" si="231"/>
        <v>5.897859040205514</v>
      </c>
      <c r="M247" s="191">
        <v>992.87865039999997</v>
      </c>
      <c r="N247" s="191">
        <f t="shared" si="232"/>
        <v>5.3444144593823371</v>
      </c>
      <c r="O247" s="191">
        <v>761.74220623999997</v>
      </c>
      <c r="P247" s="191">
        <f t="shared" si="233"/>
        <v>4.1002654853246687</v>
      </c>
      <c r="Q247" s="191">
        <v>9683.3679992500001</v>
      </c>
      <c r="R247" s="191">
        <f t="shared" si="234"/>
        <v>52.123118902660124</v>
      </c>
      <c r="S247" s="970">
        <v>2706.716061865</v>
      </c>
      <c r="T247" s="970">
        <f t="shared" si="235"/>
        <v>14.569567441747184</v>
      </c>
      <c r="U247" s="191">
        <v>94.296244239999993</v>
      </c>
      <c r="V247" s="191">
        <f t="shared" si="236"/>
        <v>0.5075728146422277</v>
      </c>
      <c r="W247" s="191">
        <v>1.8355293100000001</v>
      </c>
      <c r="X247" s="191">
        <f t="shared" si="237"/>
        <v>9.8801896697365884E-3</v>
      </c>
      <c r="Y247" s="191">
        <f t="shared" si="238"/>
        <v>716.93227512000078</v>
      </c>
      <c r="Z247" s="191">
        <f t="shared" si="239"/>
        <v>3.8590649683177118</v>
      </c>
      <c r="AA247" s="191">
        <v>12.740430310000001</v>
      </c>
      <c r="AB247" s="191">
        <f t="shared" si="240"/>
        <v>6.8578511523120764E-2</v>
      </c>
      <c r="AC247" s="191">
        <v>3.33646288</v>
      </c>
      <c r="AD247" s="191">
        <f t="shared" si="241"/>
        <v>1.7959335163346198E-2</v>
      </c>
      <c r="AE247" s="191">
        <v>42.478322669999997</v>
      </c>
      <c r="AF247" s="191">
        <f t="shared" si="242"/>
        <v>0.22865005889329626</v>
      </c>
      <c r="AG247" s="191">
        <v>47.197441159999997</v>
      </c>
      <c r="AH247" s="191">
        <f t="shared" si="243"/>
        <v>0.25405187922988404</v>
      </c>
      <c r="AI247" s="191">
        <v>399.49298209</v>
      </c>
    </row>
    <row r="248" spans="1:35" ht="15" customHeight="1">
      <c r="A248" s="679" t="s">
        <v>23</v>
      </c>
      <c r="B248" s="191">
        <v>18818.200924164601</v>
      </c>
      <c r="C248" s="191">
        <v>661.21798656500005</v>
      </c>
      <c r="D248" s="191">
        <f t="shared" si="227"/>
        <v>3.513715201732833</v>
      </c>
      <c r="E248" s="191">
        <v>3150.5925383899998</v>
      </c>
      <c r="F248" s="191">
        <f t="shared" si="228"/>
        <v>16.742262191197561</v>
      </c>
      <c r="G248" s="191">
        <v>695.98228181000002</v>
      </c>
      <c r="H248" s="191">
        <f t="shared" si="229"/>
        <v>3.698452814988725</v>
      </c>
      <c r="I248" s="191">
        <v>597.30746406000003</v>
      </c>
      <c r="J248" s="191">
        <f t="shared" si="230"/>
        <v>3.1740944124631638</v>
      </c>
      <c r="K248" s="191">
        <v>1182.8470258100001</v>
      </c>
      <c r="L248" s="191">
        <f t="shared" si="231"/>
        <v>6.2856541418425227</v>
      </c>
      <c r="M248" s="191">
        <v>991.07376555999997</v>
      </c>
      <c r="N248" s="191">
        <f t="shared" si="232"/>
        <v>5.2665702186618395</v>
      </c>
      <c r="O248" s="191">
        <v>773.92462936000004</v>
      </c>
      <c r="P248" s="191">
        <f t="shared" si="233"/>
        <v>4.1126387824151527</v>
      </c>
      <c r="Q248" s="191">
        <v>9921.9070127396008</v>
      </c>
      <c r="R248" s="191">
        <f t="shared" si="234"/>
        <v>52.725056198112974</v>
      </c>
      <c r="S248" s="970">
        <v>2753.6469211049998</v>
      </c>
      <c r="T248" s="970">
        <f t="shared" si="235"/>
        <v>14.632891487352651</v>
      </c>
      <c r="U248" s="191">
        <v>102.21680716</v>
      </c>
      <c r="V248" s="191">
        <f t="shared" si="236"/>
        <v>0.54318054936241322</v>
      </c>
      <c r="W248" s="191">
        <v>1.7781839699999999</v>
      </c>
      <c r="X248" s="191">
        <f t="shared" si="237"/>
        <v>9.4492772033091636E-3</v>
      </c>
      <c r="Y248" s="191">
        <f t="shared" si="238"/>
        <v>624.00074125999834</v>
      </c>
      <c r="Z248" s="191">
        <f t="shared" si="239"/>
        <v>3.315942601392432</v>
      </c>
      <c r="AA248" s="191">
        <v>19.576412950000002</v>
      </c>
      <c r="AB248" s="191">
        <f t="shared" si="240"/>
        <v>0.10402914194024666</v>
      </c>
      <c r="AC248" s="191">
        <v>3.4066838700000002</v>
      </c>
      <c r="AD248" s="191">
        <f t="shared" si="241"/>
        <v>1.8103132620002217E-2</v>
      </c>
      <c r="AE248" s="191">
        <v>46.638757630000001</v>
      </c>
      <c r="AF248" s="191">
        <f t="shared" si="242"/>
        <v>0.24783855703289256</v>
      </c>
      <c r="AG248" s="191">
        <v>45.73063303</v>
      </c>
      <c r="AH248" s="191">
        <f t="shared" si="243"/>
        <v>0.24301277903392418</v>
      </c>
      <c r="AI248" s="191">
        <v>387.19033960000002</v>
      </c>
    </row>
    <row r="249" spans="1:35" ht="15" customHeight="1">
      <c r="A249" s="679" t="s">
        <v>24</v>
      </c>
      <c r="B249" s="191">
        <v>18985.634951354601</v>
      </c>
      <c r="C249" s="191">
        <v>662.33321448499998</v>
      </c>
      <c r="D249" s="191">
        <f t="shared" si="227"/>
        <v>3.4886018623135033</v>
      </c>
      <c r="E249" s="191">
        <v>3115.71037376</v>
      </c>
      <c r="F249" s="191">
        <f t="shared" si="228"/>
        <v>16.410883184803353</v>
      </c>
      <c r="G249" s="191">
        <v>641.00740604999999</v>
      </c>
      <c r="H249" s="191">
        <f t="shared" si="229"/>
        <v>3.3762758406153011</v>
      </c>
      <c r="I249" s="191">
        <v>596.92004887999997</v>
      </c>
      <c r="J249" s="191">
        <f t="shared" si="230"/>
        <v>3.1440615518492865</v>
      </c>
      <c r="K249" s="191">
        <v>1203.07622195</v>
      </c>
      <c r="L249" s="191">
        <f t="shared" si="231"/>
        <v>6.336771064189044</v>
      </c>
      <c r="M249" s="191">
        <v>1048.15928214</v>
      </c>
      <c r="N249" s="191">
        <f t="shared" si="232"/>
        <v>5.5208018316248895</v>
      </c>
      <c r="O249" s="191">
        <v>782.08710939000002</v>
      </c>
      <c r="P249" s="191">
        <f t="shared" si="233"/>
        <v>4.1193624094947587</v>
      </c>
      <c r="Q249" s="191">
        <v>10108.676553429599</v>
      </c>
      <c r="R249" s="191">
        <f t="shared" si="234"/>
        <v>53.243816071099367</v>
      </c>
      <c r="S249" s="970">
        <v>2785.8421721350001</v>
      </c>
      <c r="T249" s="970">
        <f t="shared" si="235"/>
        <v>14.673421137996934</v>
      </c>
      <c r="U249" s="191">
        <v>103.68477823000001</v>
      </c>
      <c r="V249" s="191">
        <f t="shared" si="236"/>
        <v>0.54612225767356926</v>
      </c>
      <c r="W249" s="191">
        <v>1.66907546</v>
      </c>
      <c r="X249" s="191">
        <f t="shared" si="237"/>
        <v>8.7912543577106615E-3</v>
      </c>
      <c r="Y249" s="191">
        <f t="shared" si="238"/>
        <v>615.35368781000182</v>
      </c>
      <c r="Z249" s="191">
        <f t="shared" si="239"/>
        <v>3.2411541114462281</v>
      </c>
      <c r="AA249" s="191">
        <v>17.974159960000001</v>
      </c>
      <c r="AB249" s="191">
        <f t="shared" si="240"/>
        <v>9.4672419469002622E-2</v>
      </c>
      <c r="AC249" s="191">
        <v>3.3428964900000002</v>
      </c>
      <c r="AD249" s="191">
        <f t="shared" si="241"/>
        <v>1.7607504297671585E-2</v>
      </c>
      <c r="AE249" s="191">
        <v>48.924914289999997</v>
      </c>
      <c r="AF249" s="191">
        <f t="shared" si="242"/>
        <v>0.25769438006870171</v>
      </c>
      <c r="AG249" s="191">
        <v>36.715229030000003</v>
      </c>
      <c r="AH249" s="191">
        <f t="shared" si="243"/>
        <v>0.19338425669761661</v>
      </c>
      <c r="AI249" s="191">
        <v>386.11756955999999</v>
      </c>
    </row>
    <row r="250" spans="1:35" ht="15" customHeight="1">
      <c r="A250" s="679" t="s">
        <v>25</v>
      </c>
      <c r="B250" s="191">
        <v>19136.822267444601</v>
      </c>
      <c r="C250" s="191">
        <v>659.66022400500003</v>
      </c>
      <c r="D250" s="191">
        <f t="shared" si="227"/>
        <v>3.4470729507020001</v>
      </c>
      <c r="E250" s="191">
        <v>3131.78905184</v>
      </c>
      <c r="F250" s="191">
        <f t="shared" si="228"/>
        <v>16.365251284001172</v>
      </c>
      <c r="G250" s="191">
        <v>608.92176690999997</v>
      </c>
      <c r="H250" s="191">
        <f t="shared" si="229"/>
        <v>3.1819377240383973</v>
      </c>
      <c r="I250" s="191">
        <v>598.84598287999995</v>
      </c>
      <c r="J250" s="191">
        <f t="shared" si="230"/>
        <v>3.129286432778088</v>
      </c>
      <c r="K250" s="191">
        <v>1192.52599936</v>
      </c>
      <c r="L250" s="191">
        <f t="shared" si="231"/>
        <v>6.2315779636450674</v>
      </c>
      <c r="M250" s="191">
        <v>1071.79060764</v>
      </c>
      <c r="N250" s="191">
        <f t="shared" si="232"/>
        <v>5.6006717973407794</v>
      </c>
      <c r="O250" s="191">
        <v>759.08607419999998</v>
      </c>
      <c r="P250" s="191">
        <f t="shared" si="233"/>
        <v>3.9666255117567286</v>
      </c>
      <c r="Q250" s="191">
        <v>10328.1667544296</v>
      </c>
      <c r="R250" s="191">
        <f t="shared" si="234"/>
        <v>53.970124245757297</v>
      </c>
      <c r="S250" s="970">
        <v>2835.292362355</v>
      </c>
      <c r="T250" s="970">
        <f t="shared" si="235"/>
        <v>14.815899540324285</v>
      </c>
      <c r="U250" s="191">
        <v>51.301633959999997</v>
      </c>
      <c r="V250" s="191">
        <f t="shared" si="236"/>
        <v>0.26807812312326224</v>
      </c>
      <c r="W250" s="191">
        <v>1.6189657099999999</v>
      </c>
      <c r="X250" s="191">
        <f t="shared" si="237"/>
        <v>8.4599505987687975E-3</v>
      </c>
      <c r="Y250" s="191">
        <f t="shared" si="238"/>
        <v>635.86570236999933</v>
      </c>
      <c r="Z250" s="191">
        <f t="shared" si="239"/>
        <v>3.3227340123847449</v>
      </c>
      <c r="AA250" s="191">
        <v>16.119905150000001</v>
      </c>
      <c r="AB250" s="191">
        <f t="shared" si="240"/>
        <v>8.4235015222057244E-2</v>
      </c>
      <c r="AC250" s="191">
        <v>2.9635350900000001</v>
      </c>
      <c r="AD250" s="191">
        <f t="shared" si="241"/>
        <v>1.5486035500478784E-2</v>
      </c>
      <c r="AE250" s="191">
        <v>44.760477219999999</v>
      </c>
      <c r="AF250" s="191">
        <f t="shared" si="242"/>
        <v>0.23389712562751938</v>
      </c>
      <c r="AG250" s="191">
        <v>33.405586679999999</v>
      </c>
      <c r="AH250" s="191">
        <f t="shared" si="243"/>
        <v>0.17456182752362862</v>
      </c>
      <c r="AI250" s="191">
        <v>396.32416848999998</v>
      </c>
    </row>
    <row r="251" spans="1:35" ht="15" customHeight="1">
      <c r="A251" s="679" t="s">
        <v>26</v>
      </c>
      <c r="B251" s="191">
        <v>19701.683635566002</v>
      </c>
      <c r="C251" s="191">
        <v>649.54999275199998</v>
      </c>
      <c r="D251" s="191">
        <f t="shared" si="227"/>
        <v>3.2969263174006871</v>
      </c>
      <c r="E251" s="191">
        <v>3202.7953701800002</v>
      </c>
      <c r="F251" s="191">
        <f t="shared" si="228"/>
        <v>16.256455181313687</v>
      </c>
      <c r="G251" s="191">
        <v>636.63665910999998</v>
      </c>
      <c r="H251" s="191">
        <f t="shared" si="229"/>
        <v>3.2313820020981687</v>
      </c>
      <c r="I251" s="191">
        <v>618.19946554000001</v>
      </c>
      <c r="J251" s="191">
        <f t="shared" si="230"/>
        <v>3.137800184873591</v>
      </c>
      <c r="K251" s="191">
        <v>1241.44793663</v>
      </c>
      <c r="L251" s="191">
        <f t="shared" si="231"/>
        <v>6.3012276493411221</v>
      </c>
      <c r="M251" s="191">
        <v>1068.12796239</v>
      </c>
      <c r="N251" s="191">
        <f t="shared" si="232"/>
        <v>5.4215060100842702</v>
      </c>
      <c r="O251" s="191">
        <v>792.84583252000004</v>
      </c>
      <c r="P251" s="191">
        <f t="shared" si="233"/>
        <v>4.0242542068269422</v>
      </c>
      <c r="Q251" s="191">
        <v>10708.573506314</v>
      </c>
      <c r="R251" s="191">
        <f t="shared" si="234"/>
        <v>54.353595887524044</v>
      </c>
      <c r="S251" s="970">
        <v>2878.5758071549999</v>
      </c>
      <c r="T251" s="970">
        <f t="shared" si="235"/>
        <v>14.61081124030699</v>
      </c>
      <c r="U251" s="191">
        <v>45.119335769999999</v>
      </c>
      <c r="V251" s="191">
        <f t="shared" si="236"/>
        <v>0.22901258899797466</v>
      </c>
      <c r="W251" s="191">
        <v>1.55036112</v>
      </c>
      <c r="X251" s="191">
        <f t="shared" si="237"/>
        <v>7.8691808714319578E-3</v>
      </c>
      <c r="Y251" s="191">
        <f t="shared" si="238"/>
        <v>627.08584624000116</v>
      </c>
      <c r="Z251" s="191">
        <f t="shared" si="239"/>
        <v>3.1829048615315756</v>
      </c>
      <c r="AA251" s="191">
        <v>18.844386230000001</v>
      </c>
      <c r="AB251" s="191">
        <f t="shared" si="240"/>
        <v>9.5648608406144614E-2</v>
      </c>
      <c r="AC251" s="191">
        <v>10.19534859</v>
      </c>
      <c r="AD251" s="191">
        <f t="shared" si="241"/>
        <v>5.1748615897958518E-2</v>
      </c>
      <c r="AE251" s="191">
        <v>46.270571990000001</v>
      </c>
      <c r="AF251" s="191">
        <f t="shared" si="242"/>
        <v>0.23485592828458141</v>
      </c>
      <c r="AG251" s="191">
        <v>34.441060190000002</v>
      </c>
      <c r="AH251" s="191">
        <f t="shared" si="243"/>
        <v>0.17481277654781791</v>
      </c>
      <c r="AI251" s="191">
        <v>435.90259455</v>
      </c>
    </row>
    <row r="252" spans="1:35" ht="15" customHeight="1">
      <c r="A252" s="679" t="s">
        <v>27</v>
      </c>
      <c r="B252" s="191">
        <v>20015.293326605999</v>
      </c>
      <c r="C252" s="191">
        <v>646.04418552200002</v>
      </c>
      <c r="D252" s="191">
        <f t="shared" si="227"/>
        <v>3.227752773741388</v>
      </c>
      <c r="E252" s="191">
        <v>3270.4270341199999</v>
      </c>
      <c r="F252" s="191">
        <f t="shared" si="228"/>
        <v>16.33964079743301</v>
      </c>
      <c r="G252" s="191">
        <v>660.06679864</v>
      </c>
      <c r="H252" s="191">
        <f t="shared" si="229"/>
        <v>3.2978122671956251</v>
      </c>
      <c r="I252" s="191">
        <v>623.55143829999997</v>
      </c>
      <c r="J252" s="191">
        <f t="shared" si="230"/>
        <v>3.115374969154828</v>
      </c>
      <c r="K252" s="191">
        <v>1181.5974957400001</v>
      </c>
      <c r="L252" s="191">
        <f t="shared" si="231"/>
        <v>5.9034732914422099</v>
      </c>
      <c r="M252" s="191">
        <v>1079.2514515</v>
      </c>
      <c r="N252" s="191">
        <f t="shared" si="232"/>
        <v>5.3921340741250541</v>
      </c>
      <c r="O252" s="191">
        <v>798.09464337999998</v>
      </c>
      <c r="P252" s="191">
        <f t="shared" si="233"/>
        <v>3.9874241678941864</v>
      </c>
      <c r="Q252" s="191">
        <v>10949.931660333999</v>
      </c>
      <c r="R252" s="191">
        <f t="shared" si="234"/>
        <v>54.70782506983516</v>
      </c>
      <c r="S252" s="970">
        <v>2957.2019756149998</v>
      </c>
      <c r="T252" s="970">
        <f t="shared" si="235"/>
        <v>14.774712153151611</v>
      </c>
      <c r="U252" s="191">
        <v>39.818400859999997</v>
      </c>
      <c r="V252" s="191">
        <f t="shared" si="236"/>
        <v>0.19893988167073254</v>
      </c>
      <c r="W252" s="191">
        <v>1.4508958000000001</v>
      </c>
      <c r="X252" s="191">
        <f t="shared" si="237"/>
        <v>7.2489359827235126E-3</v>
      </c>
      <c r="Y252" s="191">
        <f t="shared" si="238"/>
        <v>659.93844663999766</v>
      </c>
      <c r="Z252" s="191">
        <f t="shared" si="239"/>
        <v>3.297170997552918</v>
      </c>
      <c r="AA252" s="191">
        <v>16.342343849999999</v>
      </c>
      <c r="AB252" s="191">
        <f t="shared" si="240"/>
        <v>8.1649284791027218E-2</v>
      </c>
      <c r="AC252" s="191">
        <v>9.9599876599999995</v>
      </c>
      <c r="AD252" s="191">
        <f t="shared" si="241"/>
        <v>4.9761887060432691E-2</v>
      </c>
      <c r="AE252" s="191">
        <v>44.86484858</v>
      </c>
      <c r="AF252" s="191">
        <f t="shared" si="242"/>
        <v>0.22415284076982225</v>
      </c>
      <c r="AG252" s="191">
        <v>33.953695680000003</v>
      </c>
      <c r="AH252" s="191">
        <f t="shared" si="243"/>
        <v>0.16963876135088121</v>
      </c>
      <c r="AI252" s="191">
        <v>505.93548070999998</v>
      </c>
    </row>
    <row r="253" spans="1:35" ht="15" customHeight="1">
      <c r="A253" s="679" t="s">
        <v>28</v>
      </c>
      <c r="B253" s="191">
        <v>20218.690699965999</v>
      </c>
      <c r="C253" s="191">
        <v>641.27898531200003</v>
      </c>
      <c r="D253" s="191">
        <f t="shared" si="227"/>
        <v>3.1717137119718561</v>
      </c>
      <c r="E253" s="191">
        <v>3340.3423845500001</v>
      </c>
      <c r="F253" s="191">
        <f t="shared" si="228"/>
        <v>16.521061794350597</v>
      </c>
      <c r="G253" s="191">
        <v>658.14727702000005</v>
      </c>
      <c r="H253" s="191">
        <f t="shared" si="229"/>
        <v>3.2551429110150383</v>
      </c>
      <c r="I253" s="191">
        <v>622.32410726000001</v>
      </c>
      <c r="J253" s="191">
        <f t="shared" si="230"/>
        <v>3.0779644265543196</v>
      </c>
      <c r="K253" s="191">
        <v>1141.5828099800001</v>
      </c>
      <c r="L253" s="191">
        <f t="shared" si="231"/>
        <v>5.6461757436247835</v>
      </c>
      <c r="M253" s="191">
        <v>1062.5943942500001</v>
      </c>
      <c r="N253" s="191">
        <f t="shared" si="232"/>
        <v>5.2555054628328977</v>
      </c>
      <c r="O253" s="191">
        <v>801.45013257000005</v>
      </c>
      <c r="P253" s="191">
        <f t="shared" si="233"/>
        <v>3.96390718104881</v>
      </c>
      <c r="Q253" s="191">
        <v>11135.042346804001</v>
      </c>
      <c r="R253" s="191">
        <f t="shared" si="234"/>
        <v>55.073013935678475</v>
      </c>
      <c r="S253" s="970">
        <v>3013.3954976049999</v>
      </c>
      <c r="T253" s="970">
        <f t="shared" si="235"/>
        <v>14.904009079134225</v>
      </c>
      <c r="U253" s="191">
        <v>42.826244639999999</v>
      </c>
      <c r="V253" s="191">
        <f t="shared" si="236"/>
        <v>0.21181512332087865</v>
      </c>
      <c r="W253" s="191">
        <v>1.3731461599999999</v>
      </c>
      <c r="X253" s="191">
        <f t="shared" si="237"/>
        <v>6.7914692418847332E-3</v>
      </c>
      <c r="Y253" s="191">
        <f t="shared" si="238"/>
        <v>670.02247618999706</v>
      </c>
      <c r="Z253" s="191">
        <f t="shared" si="239"/>
        <v>3.3138766804080135</v>
      </c>
      <c r="AA253" s="191">
        <v>14.977643390000001</v>
      </c>
      <c r="AB253" s="191">
        <f t="shared" si="240"/>
        <v>7.4078206211568326E-2</v>
      </c>
      <c r="AC253" s="191">
        <v>9.4026232400000005</v>
      </c>
      <c r="AD253" s="191">
        <f t="shared" si="241"/>
        <v>4.6504609915298881E-2</v>
      </c>
      <c r="AE253" s="191">
        <v>41.757781829999999</v>
      </c>
      <c r="AF253" s="191">
        <f t="shared" si="242"/>
        <v>0.20653059315097105</v>
      </c>
      <c r="AG253" s="191">
        <v>35.568346769999998</v>
      </c>
      <c r="AH253" s="191">
        <f t="shared" si="243"/>
        <v>0.17591815067461222</v>
      </c>
      <c r="AI253" s="191">
        <v>557.58788519999996</v>
      </c>
    </row>
    <row r="254" spans="1:35" ht="15" customHeight="1">
      <c r="A254" s="679" t="s">
        <v>29</v>
      </c>
      <c r="B254" s="191">
        <v>20183.981847880001</v>
      </c>
      <c r="C254" s="191">
        <v>593.74010190000001</v>
      </c>
      <c r="D254" s="191">
        <f t="shared" si="227"/>
        <v>2.9416400905174354</v>
      </c>
      <c r="E254" s="191">
        <v>3302.9590024499998</v>
      </c>
      <c r="F254" s="191">
        <f t="shared" si="228"/>
        <v>16.364258684650583</v>
      </c>
      <c r="G254" s="191">
        <v>649.86065914000005</v>
      </c>
      <c r="H254" s="191">
        <f t="shared" si="229"/>
        <v>3.2196851148489185</v>
      </c>
      <c r="I254" s="191">
        <v>629.08630359999995</v>
      </c>
      <c r="J254" s="191">
        <f t="shared" si="230"/>
        <v>3.1167601533791274</v>
      </c>
      <c r="K254" s="191">
        <v>1097.3797512199999</v>
      </c>
      <c r="L254" s="191">
        <f t="shared" si="231"/>
        <v>5.4368843545866641</v>
      </c>
      <c r="M254" s="191">
        <v>1059.78559137</v>
      </c>
      <c r="N254" s="191">
        <f t="shared" si="232"/>
        <v>5.2506269543703201</v>
      </c>
      <c r="O254" s="191">
        <v>792.6693219</v>
      </c>
      <c r="P254" s="191">
        <f t="shared" si="233"/>
        <v>3.9272197521484449</v>
      </c>
      <c r="Q254" s="191">
        <v>11273.07877536</v>
      </c>
      <c r="R254" s="191">
        <f t="shared" si="234"/>
        <v>55.851609758279949</v>
      </c>
      <c r="S254" s="970">
        <v>3013.0127850049998</v>
      </c>
      <c r="T254" s="970">
        <f t="shared" si="235"/>
        <v>14.927742244880527</v>
      </c>
      <c r="U254" s="191">
        <v>11.43771877</v>
      </c>
      <c r="V254" s="191">
        <f t="shared" si="236"/>
        <v>5.666730606578179E-2</v>
      </c>
      <c r="W254" s="191">
        <v>1.2991616399999999</v>
      </c>
      <c r="X254" s="191">
        <f t="shared" si="237"/>
        <v>6.4365973463083332E-3</v>
      </c>
      <c r="Y254" s="191">
        <f t="shared" si="238"/>
        <v>677.34562013000254</v>
      </c>
      <c r="Z254" s="191">
        <f t="shared" si="239"/>
        <v>3.3558572596573488</v>
      </c>
      <c r="AA254" s="191">
        <v>12.71684417</v>
      </c>
      <c r="AB254" s="191">
        <f t="shared" si="240"/>
        <v>6.3004635387817184E-2</v>
      </c>
      <c r="AC254" s="191">
        <v>9.3437897400000001</v>
      </c>
      <c r="AD254" s="191">
        <f t="shared" si="241"/>
        <v>4.6293094248801125E-2</v>
      </c>
      <c r="AE254" s="191">
        <v>41.230349599999997</v>
      </c>
      <c r="AF254" s="191">
        <f t="shared" si="242"/>
        <v>0.2042726252467898</v>
      </c>
      <c r="AG254" s="191">
        <v>32.048856890000003</v>
      </c>
      <c r="AH254" s="191">
        <f t="shared" si="243"/>
        <v>0.15878361926572093</v>
      </c>
      <c r="AI254" s="191">
        <v>478.84730696000003</v>
      </c>
    </row>
    <row r="255" spans="1:35" ht="15" customHeight="1">
      <c r="A255" s="679" t="s">
        <v>3518</v>
      </c>
      <c r="B255" s="283">
        <v>23979.124360810001</v>
      </c>
      <c r="C255" s="283">
        <v>437.84492763999998</v>
      </c>
      <c r="D255" s="283">
        <v>1.8259421030218543</v>
      </c>
      <c r="E255" s="283">
        <v>3539.3461912500002</v>
      </c>
      <c r="F255" s="283">
        <v>14.760114414496673</v>
      </c>
      <c r="G255" s="283">
        <v>752.83353826999996</v>
      </c>
      <c r="H255" s="283">
        <v>3.1395372363987759</v>
      </c>
      <c r="I255" s="283">
        <v>532.83365170000002</v>
      </c>
      <c r="J255" s="283">
        <v>2.2220730151882879</v>
      </c>
      <c r="K255" s="283">
        <v>1133.75252679</v>
      </c>
      <c r="L255" s="283">
        <v>4.7280814333776719</v>
      </c>
      <c r="M255" s="283">
        <v>1210.8904500799999</v>
      </c>
      <c r="N255" s="283">
        <v>5.0497692570417811</v>
      </c>
      <c r="O255" s="283">
        <v>1426.2884051000001</v>
      </c>
      <c r="P255" s="283">
        <v>5.9480420704228782</v>
      </c>
      <c r="Q255" s="283">
        <v>14006.31972293</v>
      </c>
      <c r="R255" s="283">
        <v>58.410472009649631</v>
      </c>
      <c r="S255" s="283">
        <v>3630.8192389979999</v>
      </c>
      <c r="T255" s="283">
        <v>15.141583922605559</v>
      </c>
      <c r="U255" s="283">
        <v>10.48486535</v>
      </c>
      <c r="V255" s="283">
        <v>4.3724971738900588E-2</v>
      </c>
      <c r="W255" s="283">
        <v>0.99874423000000001</v>
      </c>
      <c r="X255" s="283">
        <v>4.165057134581136E-3</v>
      </c>
      <c r="Y255" s="283">
        <v>800.80814998000665</v>
      </c>
      <c r="Z255" s="283">
        <v>3.3396054748721267</v>
      </c>
      <c r="AA255" s="283">
        <v>22.32135551</v>
      </c>
      <c r="AB255" s="283">
        <v>9.3086616400724978E-2</v>
      </c>
      <c r="AC255" s="283">
        <v>5.89101915</v>
      </c>
      <c r="AD255" s="283">
        <v>2.4567282196625649E-2</v>
      </c>
      <c r="AE255" s="283">
        <v>51.208538439999998</v>
      </c>
      <c r="AF255" s="283">
        <v>0.21355466392130679</v>
      </c>
      <c r="AG255" s="283">
        <v>47.302274390000001</v>
      </c>
      <c r="AH255" s="283">
        <v>0.19726439413821095</v>
      </c>
      <c r="AI255" s="283">
        <v>568.78507174000003</v>
      </c>
    </row>
    <row r="256" spans="1:35" ht="15" customHeight="1">
      <c r="A256" s="679" t="s">
        <v>18</v>
      </c>
      <c r="B256" s="191">
        <v>20259.212448210001</v>
      </c>
      <c r="C256" s="191">
        <v>583.77188913999998</v>
      </c>
      <c r="D256" s="191">
        <f t="shared" ref="D256:D267" si="244">C256/B256*100</f>
        <v>2.8815132406175001</v>
      </c>
      <c r="E256" s="191">
        <v>3247.41616931</v>
      </c>
      <c r="F256" s="191">
        <f t="shared" ref="F256:F267" si="245">E256/B256*100</f>
        <v>16.029330743293158</v>
      </c>
      <c r="G256" s="191">
        <v>635.89876159000005</v>
      </c>
      <c r="H256" s="191">
        <f t="shared" ref="H256:H267" si="246">G256/$B256*100</f>
        <v>3.1388128399146371</v>
      </c>
      <c r="I256" s="191">
        <v>617.09437964000006</v>
      </c>
      <c r="J256" s="191">
        <f t="shared" ref="J256:J267" si="247">I256/$B256*100</f>
        <v>3.0459939211236384</v>
      </c>
      <c r="K256" s="191">
        <v>1111.1583590400001</v>
      </c>
      <c r="L256" s="191">
        <f t="shared" ref="L256:L267" si="248">K256/$B256*100</f>
        <v>5.4847065841306986</v>
      </c>
      <c r="M256" s="191">
        <v>1075.01332781</v>
      </c>
      <c r="N256" s="191">
        <f t="shared" ref="N256:N286" si="249">M256/$B256*100</f>
        <v>5.3062937691093843</v>
      </c>
      <c r="O256" s="191">
        <v>785.51623904999997</v>
      </c>
      <c r="P256" s="191">
        <f t="shared" ref="P256:P267" si="250">O256/$B256*100</f>
        <v>3.8773286032616934</v>
      </c>
      <c r="Q256" s="191">
        <v>11407.06374125</v>
      </c>
      <c r="R256" s="191">
        <f t="shared" ref="R256:R267" si="251">Q256/$B256*100</f>
        <v>56.305563557372487</v>
      </c>
      <c r="S256" s="970">
        <v>3033.231074415</v>
      </c>
      <c r="T256" s="970">
        <f t="shared" ref="T256:T267" si="252">S256/$B256*100</f>
        <v>14.972107539565293</v>
      </c>
      <c r="U256" s="191">
        <v>10.79183666</v>
      </c>
      <c r="V256" s="191">
        <f t="shared" ref="V256" si="253">U256/$B256*100</f>
        <v>5.3268786669708433E-2</v>
      </c>
      <c r="W256" s="191">
        <v>1.26489838</v>
      </c>
      <c r="X256" s="191">
        <f t="shared" ref="X256:X267" si="254">W256/$B256*100</f>
        <v>6.2435713295052589E-3</v>
      </c>
      <c r="Y256" s="191">
        <f t="shared" ref="Y256:Y267" si="255">((B256-C256-E256-G256-I256-K256-M256-W256-O256-Q256-U256-AA256-AC256-AE256-AG256))</f>
        <v>692.44319272999769</v>
      </c>
      <c r="Z256" s="191">
        <f t="shared" ref="Z256:Z267" si="256">Y256/$B256*100</f>
        <v>3.4179176238964728</v>
      </c>
      <c r="AA256" s="191">
        <v>16.94554686</v>
      </c>
      <c r="AB256" s="191">
        <f t="shared" ref="AB256:AB267" si="257">AA256/$B256*100</f>
        <v>8.3643660400516809E-2</v>
      </c>
      <c r="AC256" s="191">
        <v>8.3574958899999992</v>
      </c>
      <c r="AD256" s="191">
        <f t="shared" ref="AD256:AD267" si="258">AC256/$B256*100</f>
        <v>4.1252817262096605E-2</v>
      </c>
      <c r="AE256" s="191">
        <v>36.751194439999999</v>
      </c>
      <c r="AF256" s="191">
        <f t="shared" ref="AF256:AF267" si="259">AE256/$B256*100</f>
        <v>0.18140485240455212</v>
      </c>
      <c r="AG256" s="191">
        <v>29.725416419999998</v>
      </c>
      <c r="AH256" s="191">
        <f t="shared" ref="AH256:AH267" si="260">AG256/$B256*100</f>
        <v>0.14672542921393958</v>
      </c>
      <c r="AI256" s="191">
        <v>583.94934007999996</v>
      </c>
    </row>
    <row r="257" spans="1:35" ht="15" customHeight="1">
      <c r="A257" s="679" t="s">
        <v>19</v>
      </c>
      <c r="B257" s="191">
        <v>20347.050737609999</v>
      </c>
      <c r="C257" s="191">
        <v>606.13546266000003</v>
      </c>
      <c r="D257" s="191">
        <f t="shared" si="244"/>
        <v>2.9789843770311344</v>
      </c>
      <c r="E257" s="191">
        <v>3243.5849437799998</v>
      </c>
      <c r="F257" s="191">
        <f t="shared" si="245"/>
        <v>15.941302676286522</v>
      </c>
      <c r="G257" s="191">
        <v>644.41744976999996</v>
      </c>
      <c r="H257" s="191">
        <f t="shared" si="246"/>
        <v>3.1671295170992151</v>
      </c>
      <c r="I257" s="191">
        <v>618.30798354000001</v>
      </c>
      <c r="J257" s="191">
        <f t="shared" si="247"/>
        <v>3.0388088746301891</v>
      </c>
      <c r="K257" s="191">
        <v>1064.9839177199999</v>
      </c>
      <c r="L257" s="191">
        <f t="shared" si="248"/>
        <v>5.234094766134616</v>
      </c>
      <c r="M257" s="191">
        <v>1075.9234112300001</v>
      </c>
      <c r="N257" s="191">
        <f t="shared" si="249"/>
        <v>5.2878592829241642</v>
      </c>
      <c r="O257" s="191">
        <v>770.35645824000005</v>
      </c>
      <c r="P257" s="191">
        <f t="shared" si="250"/>
        <v>3.7860841267577605</v>
      </c>
      <c r="Q257" s="191">
        <v>11548.47191996</v>
      </c>
      <c r="R257" s="191">
        <f t="shared" si="251"/>
        <v>56.75747344854021</v>
      </c>
      <c r="S257" s="970">
        <v>3073.8682376649999</v>
      </c>
      <c r="T257" s="970">
        <f t="shared" si="252"/>
        <v>15.107193063529275</v>
      </c>
      <c r="U257" s="191">
        <v>9.5349035099999995</v>
      </c>
      <c r="V257" s="191">
        <f t="shared" ref="V257:V267" si="261">U257/$B257*100</f>
        <v>4.6861354173435288E-2</v>
      </c>
      <c r="W257" s="191">
        <v>1.26489838</v>
      </c>
      <c r="X257" s="191">
        <f t="shared" si="254"/>
        <v>6.2166178101769323E-3</v>
      </c>
      <c r="Y257" s="191">
        <f t="shared" si="255"/>
        <v>668.99798440999916</v>
      </c>
      <c r="Z257" s="191">
        <f t="shared" si="256"/>
        <v>3.28793589320248</v>
      </c>
      <c r="AA257" s="191">
        <v>17.696519609999999</v>
      </c>
      <c r="AB257" s="191">
        <f t="shared" si="257"/>
        <v>8.6973389107883381E-2</v>
      </c>
      <c r="AC257" s="191">
        <v>8.2779702900000007</v>
      </c>
      <c r="AD257" s="191">
        <f t="shared" si="258"/>
        <v>4.0683882872021314E-2</v>
      </c>
      <c r="AE257" s="191">
        <v>35.427067219999998</v>
      </c>
      <c r="AF257" s="191">
        <f t="shared" si="259"/>
        <v>0.17411401621226469</v>
      </c>
      <c r="AG257" s="191">
        <v>33.66984729</v>
      </c>
      <c r="AH257" s="191">
        <f t="shared" si="260"/>
        <v>0.16547777721792284</v>
      </c>
      <c r="AI257" s="191">
        <v>483.48919921999999</v>
      </c>
    </row>
    <row r="258" spans="1:35" ht="15" customHeight="1">
      <c r="A258" s="679" t="s">
        <v>20</v>
      </c>
      <c r="B258" s="191">
        <v>20664.848433421801</v>
      </c>
      <c r="C258" s="191">
        <v>590.48680544000001</v>
      </c>
      <c r="D258" s="191">
        <f t="shared" si="244"/>
        <v>2.8574456151586878</v>
      </c>
      <c r="E258" s="191">
        <v>3296.8830706700001</v>
      </c>
      <c r="F258" s="191">
        <f t="shared" si="245"/>
        <v>15.954063642382513</v>
      </c>
      <c r="G258" s="191">
        <v>670.66004845999998</v>
      </c>
      <c r="H258" s="191">
        <f t="shared" si="246"/>
        <v>3.2454147951809986</v>
      </c>
      <c r="I258" s="191">
        <v>572.32339912999998</v>
      </c>
      <c r="J258" s="191">
        <f t="shared" si="247"/>
        <v>2.7695504323388422</v>
      </c>
      <c r="K258" s="191">
        <v>1056.91608202</v>
      </c>
      <c r="L258" s="191">
        <f t="shared" si="248"/>
        <v>5.1145600483119047</v>
      </c>
      <c r="M258" s="191">
        <v>1091.93672019</v>
      </c>
      <c r="N258" s="191">
        <f t="shared" si="249"/>
        <v>5.2840296589060971</v>
      </c>
      <c r="O258" s="191">
        <v>800.97040360000005</v>
      </c>
      <c r="P258" s="191">
        <f t="shared" si="250"/>
        <v>3.8760042503121852</v>
      </c>
      <c r="Q258" s="191">
        <v>11784.627929721801</v>
      </c>
      <c r="R258" s="191">
        <f t="shared" si="251"/>
        <v>57.027410424468506</v>
      </c>
      <c r="S258" s="970">
        <v>3134.11775412</v>
      </c>
      <c r="T258" s="970">
        <f t="shared" si="252"/>
        <v>15.166420233942338</v>
      </c>
      <c r="U258" s="191">
        <v>9.5150901700000006</v>
      </c>
      <c r="V258" s="191">
        <f t="shared" si="261"/>
        <v>4.6044809864712079E-2</v>
      </c>
      <c r="W258" s="191">
        <v>1.25457079</v>
      </c>
      <c r="X258" s="191">
        <f t="shared" si="254"/>
        <v>6.071037946598001E-3</v>
      </c>
      <c r="Y258" s="191">
        <f t="shared" si="255"/>
        <v>694.24130842000011</v>
      </c>
      <c r="Z258" s="191">
        <f t="shared" si="256"/>
        <v>3.3595277054981221</v>
      </c>
      <c r="AA258" s="191">
        <v>11.73787692</v>
      </c>
      <c r="AB258" s="191">
        <f t="shared" si="257"/>
        <v>5.6801175957409987E-2</v>
      </c>
      <c r="AC258" s="191">
        <v>7.5874155999999999</v>
      </c>
      <c r="AD258" s="191">
        <f t="shared" si="258"/>
        <v>3.6716531575081257E-2</v>
      </c>
      <c r="AE258" s="191">
        <v>43.05704686</v>
      </c>
      <c r="AF258" s="191">
        <f t="shared" si="259"/>
        <v>0.20835888053436052</v>
      </c>
      <c r="AG258" s="191">
        <v>32.650665429999997</v>
      </c>
      <c r="AH258" s="191">
        <f t="shared" si="260"/>
        <v>0.15800099156397981</v>
      </c>
      <c r="AI258" s="191">
        <v>467.39142919</v>
      </c>
    </row>
    <row r="259" spans="1:35" ht="15" customHeight="1">
      <c r="A259" s="679" t="s">
        <v>21</v>
      </c>
      <c r="B259" s="191">
        <v>21005.880584801798</v>
      </c>
      <c r="C259" s="191">
        <v>591.79680065000002</v>
      </c>
      <c r="D259" s="191">
        <f t="shared" si="244"/>
        <v>2.8172910831368698</v>
      </c>
      <c r="E259" s="191">
        <v>3342.7020175500002</v>
      </c>
      <c r="F259" s="191">
        <f t="shared" si="245"/>
        <v>15.913172523548077</v>
      </c>
      <c r="G259" s="191">
        <v>676.63458027000001</v>
      </c>
      <c r="H259" s="191">
        <f t="shared" si="246"/>
        <v>3.2211674132793058</v>
      </c>
      <c r="I259" s="191">
        <v>545.48796477999997</v>
      </c>
      <c r="J259" s="191">
        <f t="shared" si="247"/>
        <v>2.5968345510574413</v>
      </c>
      <c r="K259" s="191">
        <v>1071.82253182</v>
      </c>
      <c r="L259" s="191">
        <f t="shared" si="248"/>
        <v>5.102487979463648</v>
      </c>
      <c r="M259" s="191">
        <v>1065.1380490900001</v>
      </c>
      <c r="N259" s="191">
        <f t="shared" si="249"/>
        <v>5.0706660203555103</v>
      </c>
      <c r="O259" s="191">
        <v>824.09913245999996</v>
      </c>
      <c r="P259" s="191">
        <f t="shared" si="250"/>
        <v>3.9231829826560718</v>
      </c>
      <c r="Q259" s="191">
        <v>12083.9522709718</v>
      </c>
      <c r="R259" s="191">
        <f t="shared" si="251"/>
        <v>57.526520833955409</v>
      </c>
      <c r="S259" s="970">
        <v>3206.248895745</v>
      </c>
      <c r="T259" s="970">
        <f t="shared" si="252"/>
        <v>15.263577657700242</v>
      </c>
      <c r="U259" s="191">
        <v>9.4727845100000003</v>
      </c>
      <c r="V259" s="191">
        <f t="shared" si="261"/>
        <v>4.5095869567371348E-2</v>
      </c>
      <c r="W259" s="191">
        <v>1.2504472799999999</v>
      </c>
      <c r="X259" s="191">
        <f t="shared" si="254"/>
        <v>5.9528438950791959E-3</v>
      </c>
      <c r="Y259" s="191">
        <f t="shared" si="255"/>
        <v>690.35638546999542</v>
      </c>
      <c r="Z259" s="191">
        <f t="shared" si="256"/>
        <v>3.286491050365596</v>
      </c>
      <c r="AA259" s="191">
        <v>11.99978645</v>
      </c>
      <c r="AB259" s="191">
        <f t="shared" si="257"/>
        <v>5.7125843411116511E-2</v>
      </c>
      <c r="AC259" s="191">
        <v>7.2979885099999997</v>
      </c>
      <c r="AD259" s="191">
        <f t="shared" si="258"/>
        <v>3.4742597343337511E-2</v>
      </c>
      <c r="AE259" s="191">
        <v>47.326298690000002</v>
      </c>
      <c r="AF259" s="191">
        <f t="shared" si="259"/>
        <v>0.22530023675485228</v>
      </c>
      <c r="AG259" s="191">
        <v>36.543546300000003</v>
      </c>
      <c r="AH259" s="191">
        <f t="shared" si="260"/>
        <v>0.17396817121030403</v>
      </c>
      <c r="AI259" s="191">
        <v>515.80844041</v>
      </c>
    </row>
    <row r="260" spans="1:35" ht="15" customHeight="1">
      <c r="A260" s="679" t="s">
        <v>22</v>
      </c>
      <c r="B260" s="191">
        <v>21285.5233731218</v>
      </c>
      <c r="C260" s="191">
        <v>490.09126863</v>
      </c>
      <c r="D260" s="191">
        <f t="shared" si="244"/>
        <v>2.302462852517221</v>
      </c>
      <c r="E260" s="191">
        <v>3359.4950193099999</v>
      </c>
      <c r="F260" s="191">
        <f t="shared" si="245"/>
        <v>15.783004065346063</v>
      </c>
      <c r="G260" s="191">
        <v>697.04375790999995</v>
      </c>
      <c r="H260" s="191">
        <f t="shared" si="246"/>
        <v>3.2747315895938405</v>
      </c>
      <c r="I260" s="191">
        <v>539.13498789000005</v>
      </c>
      <c r="J260" s="191">
        <f t="shared" si="247"/>
        <v>2.5328716538433365</v>
      </c>
      <c r="K260" s="191">
        <v>1113.4026703699999</v>
      </c>
      <c r="L260" s="191">
        <f t="shared" si="248"/>
        <v>5.230797715671601</v>
      </c>
      <c r="M260" s="191">
        <v>1036.48163393</v>
      </c>
      <c r="N260" s="191">
        <f t="shared" si="249"/>
        <v>4.8694204777638337</v>
      </c>
      <c r="O260" s="191">
        <v>860.07449254999995</v>
      </c>
      <c r="P260" s="191">
        <f t="shared" si="250"/>
        <v>4.0406546622013311</v>
      </c>
      <c r="Q260" s="191">
        <v>12362.8372992118</v>
      </c>
      <c r="R260" s="191">
        <f t="shared" si="251"/>
        <v>58.080964618529975</v>
      </c>
      <c r="S260" s="970">
        <v>3238.574465915</v>
      </c>
      <c r="T260" s="970">
        <f t="shared" si="252"/>
        <v>15.214915833380427</v>
      </c>
      <c r="U260" s="191">
        <v>8.9164827500000001</v>
      </c>
      <c r="V260" s="191">
        <f t="shared" si="261"/>
        <v>4.1889891987618444E-2</v>
      </c>
      <c r="W260" s="191">
        <v>1.2434237299999999</v>
      </c>
      <c r="X260" s="191">
        <f t="shared" si="254"/>
        <v>5.8416403872414415E-3</v>
      </c>
      <c r="Y260" s="191">
        <f t="shared" si="255"/>
        <v>699.70547749999798</v>
      </c>
      <c r="Z260" s="191">
        <f t="shared" si="256"/>
        <v>3.2872364246563368</v>
      </c>
      <c r="AA260" s="191">
        <v>12.02080232</v>
      </c>
      <c r="AB260" s="191">
        <f t="shared" si="257"/>
        <v>5.6474074464991614E-2</v>
      </c>
      <c r="AC260" s="191">
        <v>8.3346918399999996</v>
      </c>
      <c r="AD260" s="191">
        <f t="shared" si="258"/>
        <v>3.9156621586879069E-2</v>
      </c>
      <c r="AE260" s="191">
        <v>60.183277689999997</v>
      </c>
      <c r="AF260" s="191">
        <f t="shared" si="259"/>
        <v>0.28274276669182663</v>
      </c>
      <c r="AG260" s="191">
        <v>36.558087489999998</v>
      </c>
      <c r="AH260" s="191">
        <f t="shared" si="260"/>
        <v>0.17175094475789851</v>
      </c>
      <c r="AI260" s="191">
        <v>596.28195231999996</v>
      </c>
    </row>
    <row r="261" spans="1:35" ht="15" customHeight="1">
      <c r="A261" s="679" t="s">
        <v>23</v>
      </c>
      <c r="B261" s="191">
        <v>21966.172727879999</v>
      </c>
      <c r="C261" s="191">
        <v>502.27205501999998</v>
      </c>
      <c r="D261" s="191">
        <f t="shared" si="244"/>
        <v>2.2865706340481613</v>
      </c>
      <c r="E261" s="191">
        <v>3446.7806158399999</v>
      </c>
      <c r="F261" s="191">
        <f t="shared" si="245"/>
        <v>15.691311629655278</v>
      </c>
      <c r="G261" s="191">
        <v>711.09146715999998</v>
      </c>
      <c r="H261" s="191">
        <f t="shared" si="246"/>
        <v>3.237211488633454</v>
      </c>
      <c r="I261" s="191">
        <v>538.60912441999994</v>
      </c>
      <c r="J261" s="191">
        <f t="shared" si="247"/>
        <v>2.4519934860403976</v>
      </c>
      <c r="K261" s="191">
        <v>1155.77542103</v>
      </c>
      <c r="L261" s="191">
        <f t="shared" si="248"/>
        <v>5.2616149173909648</v>
      </c>
      <c r="M261" s="191">
        <v>1083.2783184800001</v>
      </c>
      <c r="N261" s="191">
        <f t="shared" si="249"/>
        <v>4.9315751628642932</v>
      </c>
      <c r="O261" s="191">
        <v>1095.2785608700001</v>
      </c>
      <c r="P261" s="191">
        <f t="shared" si="250"/>
        <v>4.9862057193051479</v>
      </c>
      <c r="Q261" s="191">
        <v>12573.29733179</v>
      </c>
      <c r="R261" s="191">
        <f t="shared" si="251"/>
        <v>57.239362940234308</v>
      </c>
      <c r="S261" s="970">
        <v>3301.44</v>
      </c>
      <c r="T261" s="970">
        <f t="shared" si="252"/>
        <v>15.029655101499465</v>
      </c>
      <c r="U261" s="191">
        <v>8.6067415799999996</v>
      </c>
      <c r="V261" s="191">
        <f t="shared" si="261"/>
        <v>3.9181798698487487E-2</v>
      </c>
      <c r="W261" s="191">
        <v>1.2157589</v>
      </c>
      <c r="X261" s="191">
        <f t="shared" si="254"/>
        <v>5.5346869710121566E-3</v>
      </c>
      <c r="Y261" s="191">
        <f t="shared" si="255"/>
        <v>726.62644211000259</v>
      </c>
      <c r="Z261" s="191">
        <f t="shared" si="256"/>
        <v>3.3079337539204121</v>
      </c>
      <c r="AA261" s="191">
        <v>12.08295867</v>
      </c>
      <c r="AB261" s="191">
        <f t="shared" si="257"/>
        <v>5.5007118534873473E-2</v>
      </c>
      <c r="AC261" s="191">
        <v>7.8582671900000003</v>
      </c>
      <c r="AD261" s="191">
        <f t="shared" si="258"/>
        <v>3.5774403157752183E-2</v>
      </c>
      <c r="AE261" s="191">
        <v>65.750080830000002</v>
      </c>
      <c r="AF261" s="191">
        <f t="shared" si="259"/>
        <v>0.29932424571417671</v>
      </c>
      <c r="AG261" s="191">
        <v>37.649583989999996</v>
      </c>
      <c r="AH261" s="191">
        <f t="shared" si="260"/>
        <v>0.17139801483129663</v>
      </c>
      <c r="AI261" s="191">
        <v>691.60768736</v>
      </c>
    </row>
    <row r="262" spans="1:35" ht="15" customHeight="1">
      <c r="A262" s="679" t="s">
        <v>24</v>
      </c>
      <c r="B262" s="191">
        <v>22041.926831839999</v>
      </c>
      <c r="C262" s="191">
        <v>494.71576025000002</v>
      </c>
      <c r="D262" s="191">
        <f t="shared" si="244"/>
        <v>2.2444306435831796</v>
      </c>
      <c r="E262" s="191">
        <v>3409.3127905199999</v>
      </c>
      <c r="F262" s="191">
        <f t="shared" si="245"/>
        <v>15.467399091422354</v>
      </c>
      <c r="G262" s="191">
        <v>692.48459878999995</v>
      </c>
      <c r="H262" s="191">
        <f t="shared" si="246"/>
        <v>3.1416699822707526</v>
      </c>
      <c r="I262" s="191">
        <v>535.59662333000006</v>
      </c>
      <c r="J262" s="191">
        <f t="shared" si="247"/>
        <v>2.4298992888240614</v>
      </c>
      <c r="K262" s="191">
        <v>1127.5207581300001</v>
      </c>
      <c r="L262" s="191">
        <f t="shared" si="248"/>
        <v>5.1153457078955276</v>
      </c>
      <c r="M262" s="191">
        <v>1087.9977212599999</v>
      </c>
      <c r="N262" s="191">
        <f t="shared" si="249"/>
        <v>4.9360372600836584</v>
      </c>
      <c r="O262" s="191">
        <v>1081.3042682600001</v>
      </c>
      <c r="P262" s="191">
        <f t="shared" si="250"/>
        <v>4.9056703459247251</v>
      </c>
      <c r="Q262" s="191">
        <v>12734.07875904</v>
      </c>
      <c r="R262" s="191">
        <f t="shared" si="251"/>
        <v>57.772076171877004</v>
      </c>
      <c r="S262" s="970">
        <v>3382.5825643650001</v>
      </c>
      <c r="T262" s="970">
        <f t="shared" si="252"/>
        <v>15.346129175416701</v>
      </c>
      <c r="U262" s="191">
        <v>8.4210755299999995</v>
      </c>
      <c r="V262" s="191">
        <f t="shared" si="261"/>
        <v>3.8204806658896945E-2</v>
      </c>
      <c r="W262" s="191">
        <v>1.1841531000000001</v>
      </c>
      <c r="X262" s="191">
        <f t="shared" si="254"/>
        <v>5.3722757952787848E-3</v>
      </c>
      <c r="Y262" s="191">
        <f t="shared" si="255"/>
        <v>735.31217184999673</v>
      </c>
      <c r="Z262" s="191">
        <f t="shared" si="256"/>
        <v>3.335970477806975</v>
      </c>
      <c r="AA262" s="191">
        <v>16.55457453</v>
      </c>
      <c r="AB262" s="191">
        <f t="shared" si="257"/>
        <v>7.5104933685228414E-2</v>
      </c>
      <c r="AC262" s="191">
        <v>6.5376349600000001</v>
      </c>
      <c r="AD262" s="191">
        <f t="shared" si="258"/>
        <v>2.9659997557728291E-2</v>
      </c>
      <c r="AE262" s="191">
        <v>71.215766669999994</v>
      </c>
      <c r="AF262" s="191">
        <f t="shared" si="259"/>
        <v>0.32309229230870784</v>
      </c>
      <c r="AG262" s="191">
        <v>39.690175619999998</v>
      </c>
      <c r="AH262" s="191">
        <f t="shared" si="260"/>
        <v>0.1800667243059112</v>
      </c>
      <c r="AI262" s="191">
        <v>667.30512982000005</v>
      </c>
    </row>
    <row r="263" spans="1:35" ht="15" customHeight="1">
      <c r="A263" s="679" t="s">
        <v>25</v>
      </c>
      <c r="B263" s="191">
        <v>22484.122831910001</v>
      </c>
      <c r="C263" s="191">
        <v>534.25918471</v>
      </c>
      <c r="D263" s="191">
        <f t="shared" si="244"/>
        <v>2.3761620086497954</v>
      </c>
      <c r="E263" s="191">
        <v>3453.5601029999998</v>
      </c>
      <c r="F263" s="191">
        <f t="shared" si="245"/>
        <v>15.359994823096345</v>
      </c>
      <c r="G263" s="191">
        <v>702.39144658999999</v>
      </c>
      <c r="H263" s="191">
        <f t="shared" si="246"/>
        <v>3.1239441798154091</v>
      </c>
      <c r="I263" s="191">
        <v>540.77069320999999</v>
      </c>
      <c r="J263" s="191">
        <f t="shared" si="247"/>
        <v>2.4051224824413668</v>
      </c>
      <c r="K263" s="191">
        <v>1098.7594971000001</v>
      </c>
      <c r="L263" s="191">
        <f t="shared" si="248"/>
        <v>4.8868239393382717</v>
      </c>
      <c r="M263" s="191">
        <v>1102.0354385400001</v>
      </c>
      <c r="N263" s="191">
        <f t="shared" si="249"/>
        <v>4.9013939604348948</v>
      </c>
      <c r="O263" s="191">
        <v>1103.7964372399999</v>
      </c>
      <c r="P263" s="191">
        <f t="shared" si="250"/>
        <v>4.9092261481220243</v>
      </c>
      <c r="Q263" s="191">
        <v>13063.911757329999</v>
      </c>
      <c r="R263" s="191">
        <f t="shared" si="251"/>
        <v>58.102830406127225</v>
      </c>
      <c r="S263" s="970">
        <v>3468.159374715</v>
      </c>
      <c r="T263" s="970">
        <f t="shared" si="252"/>
        <v>15.424926294179937</v>
      </c>
      <c r="U263" s="191">
        <v>8.1414122199999994</v>
      </c>
      <c r="V263" s="191">
        <f t="shared" si="261"/>
        <v>3.6209605688710768E-2</v>
      </c>
      <c r="W263" s="191">
        <v>1.1841531000000001</v>
      </c>
      <c r="X263" s="191">
        <f t="shared" si="254"/>
        <v>5.2666190664971005E-3</v>
      </c>
      <c r="Y263" s="191">
        <f t="shared" si="255"/>
        <v>738.13590403999888</v>
      </c>
      <c r="Z263" s="191">
        <f t="shared" si="256"/>
        <v>3.2829206171762189</v>
      </c>
      <c r="AA263" s="191">
        <v>14.859283550000001</v>
      </c>
      <c r="AB263" s="191">
        <f t="shared" si="257"/>
        <v>6.6087895272086639E-2</v>
      </c>
      <c r="AC263" s="191">
        <v>6.6377927999999997</v>
      </c>
      <c r="AD263" s="191">
        <f t="shared" si="258"/>
        <v>2.9522133683505262E-2</v>
      </c>
      <c r="AE263" s="191">
        <v>76.776077049999998</v>
      </c>
      <c r="AF263" s="191">
        <f t="shared" si="259"/>
        <v>0.34146796663571666</v>
      </c>
      <c r="AG263" s="191">
        <v>38.903651429999996</v>
      </c>
      <c r="AH263" s="191">
        <f t="shared" si="260"/>
        <v>0.17302721445191097</v>
      </c>
      <c r="AI263" s="191">
        <v>857.50713882000002</v>
      </c>
    </row>
    <row r="264" spans="1:35" ht="15" customHeight="1">
      <c r="A264" s="679" t="s">
        <v>26</v>
      </c>
      <c r="B264" s="191">
        <v>23018.645831869999</v>
      </c>
      <c r="C264" s="191">
        <v>519.77127536</v>
      </c>
      <c r="D264" s="191">
        <f t="shared" si="244"/>
        <v>2.2580445398762827</v>
      </c>
      <c r="E264" s="191">
        <v>3542.65533766</v>
      </c>
      <c r="F264" s="191">
        <f t="shared" si="245"/>
        <v>15.390372498607579</v>
      </c>
      <c r="G264" s="191">
        <v>736.63132667000002</v>
      </c>
      <c r="H264" s="191">
        <f t="shared" si="246"/>
        <v>3.2001505738018352</v>
      </c>
      <c r="I264" s="191">
        <v>564.96556812999995</v>
      </c>
      <c r="J264" s="191">
        <f t="shared" si="247"/>
        <v>2.4543822962330317</v>
      </c>
      <c r="K264" s="191">
        <v>1118.94470019</v>
      </c>
      <c r="L264" s="191">
        <f t="shared" si="248"/>
        <v>4.861036171992307</v>
      </c>
      <c r="M264" s="191">
        <v>1111.5770926499999</v>
      </c>
      <c r="N264" s="191">
        <f t="shared" si="249"/>
        <v>4.829029043537342</v>
      </c>
      <c r="O264" s="191">
        <v>1110.42330072</v>
      </c>
      <c r="P264" s="191">
        <f t="shared" si="250"/>
        <v>4.8240166203981731</v>
      </c>
      <c r="Q264" s="191">
        <v>13395.745196129999</v>
      </c>
      <c r="R264" s="191">
        <f t="shared" si="251"/>
        <v>58.195192254025621</v>
      </c>
      <c r="S264" s="970">
        <v>3530.3781172650001</v>
      </c>
      <c r="T264" s="970">
        <f t="shared" si="252"/>
        <v>15.337036518356292</v>
      </c>
      <c r="U264" s="191">
        <v>44.925825340000003</v>
      </c>
      <c r="V264" s="191">
        <f t="shared" si="261"/>
        <v>0.19517145217030477</v>
      </c>
      <c r="W264" s="191">
        <v>1.1291530999999999</v>
      </c>
      <c r="X264" s="191">
        <f t="shared" si="254"/>
        <v>4.9053845662660744E-3</v>
      </c>
      <c r="Y264" s="191">
        <f t="shared" si="255"/>
        <v>752.77810229999875</v>
      </c>
      <c r="Z264" s="191">
        <f t="shared" si="256"/>
        <v>3.270297079152046</v>
      </c>
      <c r="AA264" s="191">
        <v>15.7435723</v>
      </c>
      <c r="AB264" s="191">
        <f t="shared" si="257"/>
        <v>6.8394867426139191E-2</v>
      </c>
      <c r="AC264" s="191">
        <v>6.3298390400000004</v>
      </c>
      <c r="AD264" s="191">
        <f t="shared" si="258"/>
        <v>2.7498746391224068E-2</v>
      </c>
      <c r="AE264" s="191">
        <v>55.875050260000002</v>
      </c>
      <c r="AF264" s="191">
        <f t="shared" si="259"/>
        <v>0.24273821608845181</v>
      </c>
      <c r="AG264" s="191">
        <v>41.150492020000002</v>
      </c>
      <c r="AH264" s="191">
        <f t="shared" si="260"/>
        <v>0.17877025573340169</v>
      </c>
      <c r="AI264" s="191">
        <v>782.22745200999998</v>
      </c>
    </row>
    <row r="265" spans="1:35" ht="15" customHeight="1">
      <c r="A265" s="679" t="s">
        <v>27</v>
      </c>
      <c r="B265" s="191">
        <v>23196.472673640001</v>
      </c>
      <c r="C265" s="191">
        <v>440.37917463999997</v>
      </c>
      <c r="D265" s="191">
        <f t="shared" si="244"/>
        <v>1.8984747415517096</v>
      </c>
      <c r="E265" s="191">
        <v>3489.5043867499999</v>
      </c>
      <c r="F265" s="191">
        <f t="shared" si="245"/>
        <v>15.043254359596672</v>
      </c>
      <c r="G265" s="191">
        <v>746.99813673000006</v>
      </c>
      <c r="H265" s="191">
        <f t="shared" si="246"/>
        <v>3.2203091704493225</v>
      </c>
      <c r="I265" s="191">
        <v>534.44156347000001</v>
      </c>
      <c r="J265" s="191">
        <f t="shared" si="247"/>
        <v>2.3039777253604963</v>
      </c>
      <c r="K265" s="191">
        <v>1104.7356531200001</v>
      </c>
      <c r="L265" s="191">
        <f t="shared" si="248"/>
        <v>4.7625157008263548</v>
      </c>
      <c r="M265" s="191">
        <v>1152.81556647</v>
      </c>
      <c r="N265" s="191">
        <f t="shared" si="249"/>
        <v>4.9697882203445367</v>
      </c>
      <c r="O265" s="191">
        <v>1326.77524438</v>
      </c>
      <c r="P265" s="191">
        <f t="shared" si="250"/>
        <v>5.7197284390903125</v>
      </c>
      <c r="Q265" s="191">
        <v>13468.95521858</v>
      </c>
      <c r="R265" s="191">
        <f t="shared" si="251"/>
        <v>58.064669607659127</v>
      </c>
      <c r="S265" s="970">
        <v>3464.2829063680001</v>
      </c>
      <c r="T265" s="970">
        <f t="shared" si="252"/>
        <v>14.934524550815611</v>
      </c>
      <c r="U265" s="191">
        <v>51.138200580000003</v>
      </c>
      <c r="V265" s="191">
        <f t="shared" si="261"/>
        <v>0.22045679659783968</v>
      </c>
      <c r="W265" s="191">
        <v>1.0791531000000001</v>
      </c>
      <c r="X265" s="191">
        <f t="shared" si="254"/>
        <v>4.6522293073736499E-3</v>
      </c>
      <c r="Y265" s="191">
        <f t="shared" si="255"/>
        <v>760.8610367600038</v>
      </c>
      <c r="Z265" s="191">
        <f t="shared" si="256"/>
        <v>3.2800721362460887</v>
      </c>
      <c r="AA265" s="191">
        <v>22.106891319999999</v>
      </c>
      <c r="AB265" s="191">
        <f t="shared" si="257"/>
        <v>9.530281448835029E-2</v>
      </c>
      <c r="AC265" s="191">
        <v>5.9397454300000003</v>
      </c>
      <c r="AD265" s="191">
        <f t="shared" si="258"/>
        <v>2.5606244162931748E-2</v>
      </c>
      <c r="AE265" s="191">
        <v>51.346856639999999</v>
      </c>
      <c r="AF265" s="191">
        <f t="shared" si="259"/>
        <v>0.22135631292920463</v>
      </c>
      <c r="AG265" s="191">
        <v>39.39584567</v>
      </c>
      <c r="AH265" s="191">
        <f t="shared" si="260"/>
        <v>0.16983550138969464</v>
      </c>
      <c r="AI265" s="191">
        <v>706.56016652000005</v>
      </c>
    </row>
    <row r="266" spans="1:35" ht="15" customHeight="1">
      <c r="A266" s="679" t="s">
        <v>28</v>
      </c>
      <c r="B266" s="191">
        <v>23617.991556720001</v>
      </c>
      <c r="C266" s="191">
        <v>440.25735591</v>
      </c>
      <c r="D266" s="191">
        <f t="shared" si="244"/>
        <v>1.8640761846861365</v>
      </c>
      <c r="E266" s="191">
        <v>3561.404321</v>
      </c>
      <c r="F266" s="191">
        <f t="shared" si="245"/>
        <v>15.079200585058544</v>
      </c>
      <c r="G266" s="191">
        <v>743.21289000000002</v>
      </c>
      <c r="H266" s="191">
        <f t="shared" si="246"/>
        <v>3.1468081789051805</v>
      </c>
      <c r="I266" s="191">
        <v>538.36051062000001</v>
      </c>
      <c r="J266" s="191">
        <f t="shared" si="247"/>
        <v>2.2794508556203668</v>
      </c>
      <c r="K266" s="191">
        <v>1135.9871204000001</v>
      </c>
      <c r="L266" s="191">
        <f t="shared" si="248"/>
        <v>4.8098379477859492</v>
      </c>
      <c r="M266" s="191">
        <v>1165.06691675</v>
      </c>
      <c r="N266" s="191">
        <f t="shared" si="249"/>
        <v>4.9329635585313127</v>
      </c>
      <c r="O266" s="191">
        <v>1319.56911769</v>
      </c>
      <c r="P266" s="191">
        <f t="shared" si="250"/>
        <v>5.5871351910723526</v>
      </c>
      <c r="Q266" s="191">
        <v>13788.60789241</v>
      </c>
      <c r="R266" s="191">
        <f t="shared" si="251"/>
        <v>58.381797026626273</v>
      </c>
      <c r="S266" s="970">
        <v>3600.645515748</v>
      </c>
      <c r="T266" s="970">
        <f t="shared" si="252"/>
        <v>15.245350169174365</v>
      </c>
      <c r="U266" s="191">
        <v>28.248409150000001</v>
      </c>
      <c r="V266" s="191">
        <f t="shared" si="261"/>
        <v>0.11960546722256116</v>
      </c>
      <c r="W266" s="191">
        <v>1.03914869</v>
      </c>
      <c r="X266" s="191">
        <f t="shared" si="254"/>
        <v>4.3998181958208558E-3</v>
      </c>
      <c r="Y266" s="191">
        <f t="shared" si="255"/>
        <v>776.05096068999831</v>
      </c>
      <c r="Z266" s="191">
        <f t="shared" si="256"/>
        <v>3.2858465497638365</v>
      </c>
      <c r="AA266" s="191">
        <v>22.93932465</v>
      </c>
      <c r="AB266" s="191">
        <f t="shared" si="257"/>
        <v>9.7126483405288108E-2</v>
      </c>
      <c r="AC266" s="191">
        <v>5.70619839</v>
      </c>
      <c r="AD266" s="191">
        <f t="shared" si="258"/>
        <v>2.4160387966505228E-2</v>
      </c>
      <c r="AE266" s="191">
        <v>50.894294860000002</v>
      </c>
      <c r="AF266" s="191">
        <f t="shared" si="259"/>
        <v>0.21548951246669026</v>
      </c>
      <c r="AG266" s="191">
        <v>40.64709551</v>
      </c>
      <c r="AH266" s="191">
        <f t="shared" si="260"/>
        <v>0.17210225269317928</v>
      </c>
      <c r="AI266" s="191">
        <v>610.59667779999995</v>
      </c>
    </row>
    <row r="267" spans="1:35" ht="15" customHeight="1">
      <c r="A267" s="679" t="s">
        <v>29</v>
      </c>
      <c r="B267" s="191">
        <v>23979.124360810001</v>
      </c>
      <c r="C267" s="191">
        <v>437.84492763999998</v>
      </c>
      <c r="D267" s="191">
        <f t="shared" si="244"/>
        <v>1.8259421030218543</v>
      </c>
      <c r="E267" s="191">
        <v>3539.3461912500002</v>
      </c>
      <c r="F267" s="191">
        <f t="shared" si="245"/>
        <v>14.760114414496673</v>
      </c>
      <c r="G267" s="191">
        <v>752.83353826999996</v>
      </c>
      <c r="H267" s="191">
        <f t="shared" si="246"/>
        <v>3.1395372363987759</v>
      </c>
      <c r="I267" s="191">
        <v>532.83365170000002</v>
      </c>
      <c r="J267" s="191">
        <f t="shared" si="247"/>
        <v>2.2220730151882879</v>
      </c>
      <c r="K267" s="191">
        <v>1133.75252679</v>
      </c>
      <c r="L267" s="191">
        <f t="shared" si="248"/>
        <v>4.7280814333776719</v>
      </c>
      <c r="M267" s="191">
        <v>1210.8904500799999</v>
      </c>
      <c r="N267" s="191">
        <f t="shared" si="249"/>
        <v>5.0497692570417811</v>
      </c>
      <c r="O267" s="191">
        <v>1426.2884051000001</v>
      </c>
      <c r="P267" s="191">
        <f t="shared" si="250"/>
        <v>5.9480420704228782</v>
      </c>
      <c r="Q267" s="191">
        <v>14006.31972293</v>
      </c>
      <c r="R267" s="191">
        <f t="shared" si="251"/>
        <v>58.410472009649631</v>
      </c>
      <c r="S267" s="970">
        <v>3630.8192389979999</v>
      </c>
      <c r="T267" s="970">
        <f t="shared" si="252"/>
        <v>15.141583922605559</v>
      </c>
      <c r="U267" s="191">
        <v>10.48486535</v>
      </c>
      <c r="V267" s="191">
        <f t="shared" si="261"/>
        <v>4.3724971738900588E-2</v>
      </c>
      <c r="W267" s="191">
        <v>0.99874423000000001</v>
      </c>
      <c r="X267" s="191">
        <f t="shared" si="254"/>
        <v>4.165057134581136E-3</v>
      </c>
      <c r="Y267" s="191">
        <f t="shared" si="255"/>
        <v>800.80814998000665</v>
      </c>
      <c r="Z267" s="191">
        <f t="shared" si="256"/>
        <v>3.3396054748721267</v>
      </c>
      <c r="AA267" s="191">
        <v>22.32135551</v>
      </c>
      <c r="AB267" s="191">
        <f t="shared" si="257"/>
        <v>9.3086616400724978E-2</v>
      </c>
      <c r="AC267" s="191">
        <v>5.89101915</v>
      </c>
      <c r="AD267" s="191">
        <f t="shared" si="258"/>
        <v>2.4567282196625649E-2</v>
      </c>
      <c r="AE267" s="191">
        <v>51.208538439999998</v>
      </c>
      <c r="AF267" s="191">
        <f t="shared" si="259"/>
        <v>0.21355466392130679</v>
      </c>
      <c r="AG267" s="191">
        <v>47.302274390000001</v>
      </c>
      <c r="AH267" s="191">
        <f t="shared" si="260"/>
        <v>0.19726439413821095</v>
      </c>
      <c r="AI267" s="191">
        <v>568.78507174000003</v>
      </c>
    </row>
    <row r="268" spans="1:35" ht="15" customHeight="1">
      <c r="A268" s="679" t="s">
        <v>3989</v>
      </c>
      <c r="B268" s="283">
        <v>29288.227327680001</v>
      </c>
      <c r="C268" s="283">
        <v>449.13973557000003</v>
      </c>
      <c r="D268" s="283">
        <v>1.5335162847002446</v>
      </c>
      <c r="E268" s="283">
        <v>4152.0145247</v>
      </c>
      <c r="F268" s="283">
        <v>14.17639407891366</v>
      </c>
      <c r="G268" s="283">
        <v>774.73987064999994</v>
      </c>
      <c r="H268" s="283">
        <v>2.6452262268457654</v>
      </c>
      <c r="I268" s="283">
        <v>586.86496827999997</v>
      </c>
      <c r="J268" s="283">
        <v>2.0037572151912384</v>
      </c>
      <c r="K268" s="283">
        <v>1858.36362631</v>
      </c>
      <c r="L268" s="283">
        <v>6.3450874152212</v>
      </c>
      <c r="M268" s="283">
        <v>1597.79041755</v>
      </c>
      <c r="N268" s="283">
        <v>5.4554015839666228</v>
      </c>
      <c r="O268" s="283">
        <v>1859.8984532100001</v>
      </c>
      <c r="P268" s="283">
        <v>6.3503278378757644</v>
      </c>
      <c r="Q268" s="283">
        <v>17030.998947709999</v>
      </c>
      <c r="R268" s="283">
        <v>58.149640663346588</v>
      </c>
      <c r="S268" s="2109">
        <v>4273.0262150050003</v>
      </c>
      <c r="T268" s="2109">
        <v>14.589569273680853</v>
      </c>
      <c r="U268" s="283">
        <v>24.230268639999998</v>
      </c>
      <c r="V268" s="283">
        <v>8.2730403478875697E-2</v>
      </c>
      <c r="W268" s="283">
        <v>9.5420000000000005E-5</v>
      </c>
      <c r="X268" s="283">
        <v>3.257964332645682E-7</v>
      </c>
      <c r="Y268" s="283">
        <v>790.60813768000185</v>
      </c>
      <c r="Z268" s="283">
        <v>2.6994059040671479</v>
      </c>
      <c r="AA268" s="283">
        <v>47.016718359999999</v>
      </c>
      <c r="AB268" s="283">
        <v>0.16053111659497735</v>
      </c>
      <c r="AC268" s="283">
        <v>1.62095872</v>
      </c>
      <c r="AD268" s="283">
        <v>5.5345060725749302E-3</v>
      </c>
      <c r="AE268" s="283">
        <v>43.724398039999997</v>
      </c>
      <c r="AF268" s="283">
        <v>0.14929001182217855</v>
      </c>
      <c r="AG268" s="283">
        <v>71.216206839999998</v>
      </c>
      <c r="AH268" s="283">
        <v>0.24315642610672547</v>
      </c>
      <c r="AI268" s="283">
        <v>733.33534685999996</v>
      </c>
    </row>
    <row r="269" spans="1:35" ht="15" customHeight="1">
      <c r="A269" s="679" t="s">
        <v>18</v>
      </c>
      <c r="B269" s="191">
        <v>24362.526631280001</v>
      </c>
      <c r="C269" s="191">
        <v>454.06281114000001</v>
      </c>
      <c r="D269" s="191">
        <f t="shared" ref="D269" si="262">C269/B269*100</f>
        <v>1.8637755353215748</v>
      </c>
      <c r="E269" s="191">
        <v>3506.6775179299998</v>
      </c>
      <c r="F269" s="191">
        <f t="shared" ref="F269" si="263">E269/B269*100</f>
        <v>14.393734980786595</v>
      </c>
      <c r="G269" s="191">
        <v>899.59244351999996</v>
      </c>
      <c r="H269" s="191">
        <f t="shared" ref="H269" si="264">G269/$B269*100</f>
        <v>3.6925252340821579</v>
      </c>
      <c r="I269" s="191">
        <v>520.69988297999998</v>
      </c>
      <c r="J269" s="191">
        <f t="shared" ref="J269" si="265">I269/$B269*100</f>
        <v>2.1372983634277616</v>
      </c>
      <c r="K269" s="191">
        <v>1144.34204138</v>
      </c>
      <c r="L269" s="191">
        <f t="shared" ref="L269" si="266">K269/$B269*100</f>
        <v>4.6971402379535396</v>
      </c>
      <c r="M269" s="191">
        <v>1408.99078779</v>
      </c>
      <c r="N269" s="191">
        <f t="shared" si="249"/>
        <v>5.7834345719336913</v>
      </c>
      <c r="O269" s="191">
        <v>1395.9716287700001</v>
      </c>
      <c r="P269" s="191">
        <f t="shared" ref="P269" si="267">O269/$B269*100</f>
        <v>5.7299952911191792</v>
      </c>
      <c r="Q269" s="191">
        <v>14095.86817066</v>
      </c>
      <c r="R269" s="191">
        <f t="shared" ref="R269" si="268">Q269/$B269*100</f>
        <v>57.858810721880396</v>
      </c>
      <c r="S269" s="970">
        <v>3645.7286582679999</v>
      </c>
      <c r="T269" s="970">
        <f t="shared" ref="T269" si="269">S269/$B269*100</f>
        <v>14.964493270525997</v>
      </c>
      <c r="U269" s="191">
        <v>9.7549017199999994</v>
      </c>
      <c r="V269" s="191">
        <f t="shared" ref="V269" si="270">U269/$B269*100</f>
        <v>4.0040599514318431E-2</v>
      </c>
      <c r="W269" s="191">
        <v>0.95793572999999999</v>
      </c>
      <c r="X269" s="191">
        <f t="shared" ref="X269" si="271">W269/$B269*100</f>
        <v>3.9320048552356178E-3</v>
      </c>
      <c r="Y269" s="191">
        <f t="shared" ref="Y269" si="272">((B269-C269-E269-G269-I269-K269-M269-W269-O269-Q269-U269-AA269-AC269-AE269-AG269))</f>
        <v>810.10353701000338</v>
      </c>
      <c r="Z269" s="191">
        <f t="shared" ref="Z269" si="273">Y269/$B269*100</f>
        <v>3.3252032897518919</v>
      </c>
      <c r="AA269" s="191">
        <v>29.311227720000002</v>
      </c>
      <c r="AB269" s="191">
        <f t="shared" ref="AB269" si="274">AA269/$B269*100</f>
        <v>0.12031275804688571</v>
      </c>
      <c r="AC269" s="191">
        <v>3.24873491</v>
      </c>
      <c r="AD269" s="191">
        <f t="shared" ref="AD269" si="275">AC269/$B269*100</f>
        <v>1.3334967095854591E-2</v>
      </c>
      <c r="AE269" s="191">
        <v>46.615348939999997</v>
      </c>
      <c r="AF269" s="191">
        <f t="shared" ref="AF269" si="276">AE269/$B269*100</f>
        <v>0.19134037140527421</v>
      </c>
      <c r="AG269" s="191">
        <v>36.329661080000001</v>
      </c>
      <c r="AH269" s="191">
        <f t="shared" ref="AH269" si="277">AG269/$B269*100</f>
        <v>0.14912107282565237</v>
      </c>
      <c r="AI269" s="191">
        <v>962.53158026999995</v>
      </c>
    </row>
    <row r="270" spans="1:35" ht="15" customHeight="1">
      <c r="A270" s="679" t="s">
        <v>19</v>
      </c>
      <c r="B270" s="191">
        <v>24629.126192600001</v>
      </c>
      <c r="C270" s="191">
        <v>469.15723987000001</v>
      </c>
      <c r="D270" s="191">
        <f t="shared" ref="D270:D286" si="278">C270/B270*100</f>
        <v>1.9048878803136819</v>
      </c>
      <c r="E270" s="191">
        <v>3557.5033125999998</v>
      </c>
      <c r="F270" s="191">
        <f t="shared" ref="F270:F286" si="279">E270/B270*100</f>
        <v>14.444293657762319</v>
      </c>
      <c r="G270" s="191">
        <v>869.8115861</v>
      </c>
      <c r="H270" s="191">
        <f t="shared" ref="H270:H286" si="280">G270/$B270*100</f>
        <v>3.5316380260430886</v>
      </c>
      <c r="I270" s="191">
        <v>513.16401392</v>
      </c>
      <c r="J270" s="191">
        <f t="shared" ref="J270:J286" si="281">I270/$B270*100</f>
        <v>2.083565652744042</v>
      </c>
      <c r="K270" s="191">
        <v>1118.32235808</v>
      </c>
      <c r="L270" s="191">
        <f t="shared" ref="L270:L286" si="282">K270/$B270*100</f>
        <v>4.540649754825683</v>
      </c>
      <c r="M270" s="191">
        <v>1413.49711473</v>
      </c>
      <c r="N270" s="191">
        <f t="shared" si="249"/>
        <v>5.7391281512646417</v>
      </c>
      <c r="O270" s="191">
        <v>1468.0809415199999</v>
      </c>
      <c r="P270" s="191">
        <f t="shared" ref="P270:P286" si="283">O270/$B270*100</f>
        <v>5.9607512261685338</v>
      </c>
      <c r="Q270" s="191">
        <v>14270.63292935</v>
      </c>
      <c r="R270" s="191">
        <f t="shared" ref="R270:R286" si="284">Q270/$B270*100</f>
        <v>57.942100006932904</v>
      </c>
      <c r="S270" s="970">
        <v>3692.3288991579998</v>
      </c>
      <c r="T270" s="970">
        <f t="shared" ref="T270:T286" si="285">S270/$B270*100</f>
        <v>14.991717003209748</v>
      </c>
      <c r="U270" s="191">
        <v>9.5166273799999992</v>
      </c>
      <c r="V270" s="191">
        <f t="shared" ref="V270:V286" si="286">U270/$B270*100</f>
        <v>3.8639728042236997E-2</v>
      </c>
      <c r="W270" s="191">
        <v>0.91671913999999999</v>
      </c>
      <c r="X270" s="191">
        <f t="shared" ref="X270:X286" si="287">W270/$B270*100</f>
        <v>3.7220936416145971E-3</v>
      </c>
      <c r="Y270" s="191">
        <f t="shared" ref="Y270:Y286" si="288">((B270-C270-E270-G270-I270-K270-M270-W270-O270-Q270-U270-AA270-AC270-AE270-AG270))</f>
        <v>822.35168640000188</v>
      </c>
      <c r="Z270" s="191">
        <f t="shared" ref="Z270:Z286" si="289">Y270/$B270*100</f>
        <v>3.3389397576235704</v>
      </c>
      <c r="AA270" s="191">
        <v>25.282118260000001</v>
      </c>
      <c r="AB270" s="191">
        <f t="shared" ref="AB270:AB286" si="290">AA270/$B270*100</f>
        <v>0.10265130018131215</v>
      </c>
      <c r="AC270" s="191">
        <v>3.0570781299999998</v>
      </c>
      <c r="AD270" s="191">
        <f t="shared" ref="AD270:AD286" si="291">AC270/$B270*100</f>
        <v>1.2412450633017266E-2</v>
      </c>
      <c r="AE270" s="191">
        <v>47.70485532</v>
      </c>
      <c r="AF270" s="191">
        <f t="shared" ref="AF270:AF286" si="292">AE270/$B270*100</f>
        <v>0.19369284540160936</v>
      </c>
      <c r="AG270" s="191">
        <v>40.127611799999997</v>
      </c>
      <c r="AH270" s="191">
        <f t="shared" ref="AH270:AH286" si="293">AG270/$B270*100</f>
        <v>0.1629274684217446</v>
      </c>
      <c r="AI270" s="191">
        <v>704.37689886999999</v>
      </c>
    </row>
    <row r="271" spans="1:35" ht="15" customHeight="1">
      <c r="A271" s="679" t="s">
        <v>20</v>
      </c>
      <c r="B271" s="191">
        <v>25442.69492468</v>
      </c>
      <c r="C271" s="191">
        <v>470.75581861000001</v>
      </c>
      <c r="D271" s="191">
        <f t="shared" si="278"/>
        <v>1.8502592591060629</v>
      </c>
      <c r="E271" s="191">
        <v>3724.1145652099999</v>
      </c>
      <c r="F271" s="191">
        <f t="shared" si="279"/>
        <v>14.637264551710375</v>
      </c>
      <c r="G271" s="191">
        <v>788.09054345000004</v>
      </c>
      <c r="H271" s="191">
        <f t="shared" si="280"/>
        <v>3.0975120590921916</v>
      </c>
      <c r="I271" s="191">
        <v>495.94789975999998</v>
      </c>
      <c r="J271" s="191">
        <f t="shared" si="281"/>
        <v>1.9492742464121562</v>
      </c>
      <c r="K271" s="191">
        <v>1644.1448663900001</v>
      </c>
      <c r="L271" s="191">
        <f t="shared" si="282"/>
        <v>6.4621490422193508</v>
      </c>
      <c r="M271" s="191">
        <v>1427.33315223</v>
      </c>
      <c r="N271" s="191">
        <f t="shared" si="249"/>
        <v>5.6099920093191615</v>
      </c>
      <c r="O271" s="191">
        <v>1472.14681971</v>
      </c>
      <c r="P271" s="191">
        <f t="shared" si="283"/>
        <v>5.7861277041135439</v>
      </c>
      <c r="Q271" s="191">
        <v>14469.814294899999</v>
      </c>
      <c r="R271" s="191">
        <f t="shared" si="284"/>
        <v>56.872176228721536</v>
      </c>
      <c r="S271" s="970">
        <v>3761.3120723679999</v>
      </c>
      <c r="T271" s="970">
        <f t="shared" si="285"/>
        <v>14.78346568043561</v>
      </c>
      <c r="U271" s="191">
        <v>9.1823221400000001</v>
      </c>
      <c r="V271" s="191">
        <f t="shared" si="286"/>
        <v>3.6090210440297879E-2</v>
      </c>
      <c r="W271" s="191">
        <v>0.87509039</v>
      </c>
      <c r="X271" s="191">
        <f t="shared" si="287"/>
        <v>3.4394563649432523E-3</v>
      </c>
      <c r="Y271" s="191">
        <f t="shared" si="288"/>
        <v>828.48247914000137</v>
      </c>
      <c r="Z271" s="191">
        <f t="shared" si="289"/>
        <v>3.2562685737207588</v>
      </c>
      <c r="AA271" s="191">
        <v>31.275232760000002</v>
      </c>
      <c r="AB271" s="191">
        <f t="shared" si="290"/>
        <v>0.12292421401343891</v>
      </c>
      <c r="AC271" s="191">
        <v>0.85787996</v>
      </c>
      <c r="AD271" s="191">
        <f t="shared" si="291"/>
        <v>3.3718124693144697E-3</v>
      </c>
      <c r="AE271" s="191">
        <v>41.343997309999999</v>
      </c>
      <c r="AF271" s="191">
        <f t="shared" si="292"/>
        <v>0.16249849881230691</v>
      </c>
      <c r="AG271" s="191">
        <v>38.329962719999997</v>
      </c>
      <c r="AH271" s="191">
        <f t="shared" si="293"/>
        <v>0.15065213348456674</v>
      </c>
      <c r="AI271" s="191">
        <v>620.27643058000001</v>
      </c>
    </row>
    <row r="272" spans="1:35" ht="15" customHeight="1">
      <c r="A272" s="679" t="s">
        <v>21</v>
      </c>
      <c r="B272" s="191">
        <v>25984.53292089</v>
      </c>
      <c r="C272" s="191">
        <v>462.24683622999999</v>
      </c>
      <c r="D272" s="191">
        <f t="shared" si="278"/>
        <v>1.7789307109629873</v>
      </c>
      <c r="E272" s="191">
        <v>3768.9285747200001</v>
      </c>
      <c r="F272" s="191">
        <f t="shared" si="279"/>
        <v>14.504507686147432</v>
      </c>
      <c r="G272" s="191">
        <v>830.15048941999999</v>
      </c>
      <c r="H272" s="191">
        <f t="shared" si="280"/>
        <v>3.1947870371478144</v>
      </c>
      <c r="I272" s="191">
        <v>471.27780969000003</v>
      </c>
      <c r="J272" s="191">
        <f t="shared" si="281"/>
        <v>1.8136858997035159</v>
      </c>
      <c r="K272" s="191">
        <v>1674.6352305200001</v>
      </c>
      <c r="L272" s="191">
        <f t="shared" si="282"/>
        <v>6.4447386282387011</v>
      </c>
      <c r="M272" s="191">
        <v>1424.90801431</v>
      </c>
      <c r="N272" s="191">
        <f t="shared" si="249"/>
        <v>5.4836776117859705</v>
      </c>
      <c r="O272" s="191">
        <v>1547.4584894100001</v>
      </c>
      <c r="P272" s="191">
        <f t="shared" si="283"/>
        <v>5.9553061589417169</v>
      </c>
      <c r="Q272" s="191">
        <v>14819.36069949</v>
      </c>
      <c r="R272" s="191">
        <f t="shared" si="284"/>
        <v>57.03146846859859</v>
      </c>
      <c r="S272" s="970">
        <v>3844.6172382499999</v>
      </c>
      <c r="T272" s="970">
        <f t="shared" si="285"/>
        <v>14.795791211467801</v>
      </c>
      <c r="U272" s="191">
        <v>9.5962926199999998</v>
      </c>
      <c r="V272" s="191">
        <f t="shared" si="286"/>
        <v>3.6930787438881223E-2</v>
      </c>
      <c r="W272" s="191">
        <v>9.5420000000000005E-5</v>
      </c>
      <c r="X272" s="191">
        <f t="shared" si="287"/>
        <v>3.6721845372593966E-7</v>
      </c>
      <c r="Y272" s="191">
        <f t="shared" si="288"/>
        <v>871.43646269999681</v>
      </c>
      <c r="Z272" s="191">
        <f t="shared" si="289"/>
        <v>3.3536737618224199</v>
      </c>
      <c r="AA272" s="191">
        <v>24.738235759999998</v>
      </c>
      <c r="AB272" s="191">
        <f t="shared" si="290"/>
        <v>9.520369611920923E-2</v>
      </c>
      <c r="AC272" s="191">
        <v>0.76087419999999995</v>
      </c>
      <c r="AD272" s="191">
        <f t="shared" si="291"/>
        <v>2.9281811696076432E-3</v>
      </c>
      <c r="AE272" s="191">
        <v>39.949886560000003</v>
      </c>
      <c r="AF272" s="191">
        <f t="shared" si="292"/>
        <v>0.15374487077226892</v>
      </c>
      <c r="AG272" s="191">
        <v>39.084929840000001</v>
      </c>
      <c r="AH272" s="191">
        <f t="shared" si="293"/>
        <v>0.15041613393242129</v>
      </c>
      <c r="AI272" s="191">
        <v>715.51293795000004</v>
      </c>
    </row>
    <row r="273" spans="1:35" ht="15" customHeight="1">
      <c r="A273" s="679" t="s">
        <v>22</v>
      </c>
      <c r="B273" s="191">
        <v>26498.262998329999</v>
      </c>
      <c r="C273" s="191">
        <v>466.54076087999999</v>
      </c>
      <c r="D273" s="191">
        <f t="shared" si="278"/>
        <v>1.7606465786432977</v>
      </c>
      <c r="E273" s="191">
        <v>3832.6356128000002</v>
      </c>
      <c r="F273" s="191">
        <f t="shared" si="279"/>
        <v>14.463723954440125</v>
      </c>
      <c r="G273" s="191">
        <v>851.68866819000004</v>
      </c>
      <c r="H273" s="191">
        <f t="shared" si="280"/>
        <v>3.2141301799430249</v>
      </c>
      <c r="I273" s="191">
        <v>463.64180353</v>
      </c>
      <c r="J273" s="191">
        <f t="shared" si="281"/>
        <v>1.7497063998467375</v>
      </c>
      <c r="K273" s="191">
        <v>1670.16536496</v>
      </c>
      <c r="L273" s="191">
        <f t="shared" si="282"/>
        <v>6.3029239503934988</v>
      </c>
      <c r="M273" s="191">
        <v>1464.6769630900001</v>
      </c>
      <c r="N273" s="191">
        <f t="shared" si="249"/>
        <v>5.5274451883216207</v>
      </c>
      <c r="O273" s="191">
        <v>1687.00254634</v>
      </c>
      <c r="P273" s="191">
        <f t="shared" si="283"/>
        <v>6.3664646488198864</v>
      </c>
      <c r="Q273" s="191">
        <v>15074.77847725</v>
      </c>
      <c r="R273" s="191">
        <f t="shared" si="284"/>
        <v>56.889685479384276</v>
      </c>
      <c r="S273" s="970">
        <v>3900.0161715879999</v>
      </c>
      <c r="T273" s="970">
        <f t="shared" si="285"/>
        <v>14.718006881559711</v>
      </c>
      <c r="U273" s="191">
        <v>9.4240336100000004</v>
      </c>
      <c r="V273" s="191">
        <f t="shared" si="286"/>
        <v>3.5564722150255398E-2</v>
      </c>
      <c r="W273" s="191">
        <v>9.5420000000000005E-5</v>
      </c>
      <c r="X273" s="191">
        <f t="shared" si="287"/>
        <v>3.6009907519603702E-7</v>
      </c>
      <c r="Y273" s="191">
        <f t="shared" si="288"/>
        <v>879.05434960999355</v>
      </c>
      <c r="Z273" s="191">
        <f t="shared" si="289"/>
        <v>3.3174036715742239</v>
      </c>
      <c r="AA273" s="191">
        <v>23.562008590000001</v>
      </c>
      <c r="AB273" s="191">
        <f t="shared" si="290"/>
        <v>8.8919068361141079E-2</v>
      </c>
      <c r="AC273" s="191">
        <v>1.05724186</v>
      </c>
      <c r="AD273" s="191">
        <f t="shared" si="291"/>
        <v>3.9898534483812408E-3</v>
      </c>
      <c r="AE273" s="191">
        <v>36.022987489999998</v>
      </c>
      <c r="AF273" s="191">
        <f t="shared" si="292"/>
        <v>0.13594471264878863</v>
      </c>
      <c r="AG273" s="191">
        <v>38.012084710000003</v>
      </c>
      <c r="AH273" s="191">
        <f t="shared" si="293"/>
        <v>0.14345123192563847</v>
      </c>
      <c r="AI273" s="191">
        <v>613.56289488000004</v>
      </c>
    </row>
    <row r="274" spans="1:35" ht="15" customHeight="1">
      <c r="A274" s="679" t="s">
        <v>23</v>
      </c>
      <c r="B274" s="191">
        <v>27003.267941400001</v>
      </c>
      <c r="C274" s="191">
        <v>451.69949761999999</v>
      </c>
      <c r="D274" s="191">
        <f t="shared" si="278"/>
        <v>1.6727586401773169</v>
      </c>
      <c r="E274" s="191">
        <v>3880.5496416400001</v>
      </c>
      <c r="F274" s="191">
        <f t="shared" si="279"/>
        <v>14.370666728416762</v>
      </c>
      <c r="G274" s="191">
        <v>837.25157944</v>
      </c>
      <c r="H274" s="191">
        <f t="shared" si="280"/>
        <v>3.100556500261102</v>
      </c>
      <c r="I274" s="191">
        <v>480.67601787000001</v>
      </c>
      <c r="J274" s="191">
        <f t="shared" si="281"/>
        <v>1.7800660976038853</v>
      </c>
      <c r="K274" s="191">
        <v>1815.99658494</v>
      </c>
      <c r="L274" s="191">
        <f t="shared" si="282"/>
        <v>6.725099306057726</v>
      </c>
      <c r="M274" s="191">
        <v>1498.9687609600001</v>
      </c>
      <c r="N274" s="191">
        <f t="shared" si="249"/>
        <v>5.5510642793787905</v>
      </c>
      <c r="O274" s="191">
        <v>1715.2558271400001</v>
      </c>
      <c r="P274" s="191">
        <f t="shared" si="283"/>
        <v>6.3520305426079906</v>
      </c>
      <c r="Q274" s="191">
        <v>15328.22046484</v>
      </c>
      <c r="R274" s="191">
        <f t="shared" si="284"/>
        <v>56.764316445342423</v>
      </c>
      <c r="S274" s="970">
        <v>3925.6222090179999</v>
      </c>
      <c r="T274" s="970">
        <f t="shared" si="285"/>
        <v>14.537581960587225</v>
      </c>
      <c r="U274" s="191">
        <v>16.529838259999998</v>
      </c>
      <c r="V274" s="191">
        <f t="shared" si="286"/>
        <v>6.1214214130939734E-2</v>
      </c>
      <c r="W274" s="191">
        <v>9.5420000000000005E-5</v>
      </c>
      <c r="X274" s="191">
        <f t="shared" si="287"/>
        <v>3.5336463796556655E-7</v>
      </c>
      <c r="Y274" s="191">
        <f t="shared" si="288"/>
        <v>877.72539074000497</v>
      </c>
      <c r="Z274" s="191">
        <f t="shared" si="289"/>
        <v>3.2504413637814635</v>
      </c>
      <c r="AA274" s="191">
        <v>21.684003359999998</v>
      </c>
      <c r="AB274" s="191">
        <f t="shared" si="290"/>
        <v>8.0301404285794672E-2</v>
      </c>
      <c r="AC274" s="191">
        <v>1.0433831</v>
      </c>
      <c r="AD274" s="191">
        <f t="shared" si="291"/>
        <v>3.8639141835138387E-3</v>
      </c>
      <c r="AE274" s="191">
        <v>31.103729820000002</v>
      </c>
      <c r="AF274" s="191">
        <f t="shared" si="292"/>
        <v>0.11518505792520536</v>
      </c>
      <c r="AG274" s="191">
        <v>46.563126250000003</v>
      </c>
      <c r="AH274" s="191">
        <f t="shared" si="293"/>
        <v>0.1724351524824588</v>
      </c>
      <c r="AI274" s="191">
        <v>1072.0779300500001</v>
      </c>
    </row>
    <row r="275" spans="1:35" ht="15" customHeight="1">
      <c r="A275" s="679" t="s">
        <v>24</v>
      </c>
      <c r="B275" s="191">
        <v>27268.459685689999</v>
      </c>
      <c r="C275" s="191">
        <v>453.71234934</v>
      </c>
      <c r="D275" s="191">
        <f t="shared" si="278"/>
        <v>1.6638723073093129</v>
      </c>
      <c r="E275" s="191">
        <v>3878.7701025599999</v>
      </c>
      <c r="F275" s="191">
        <f t="shared" si="279"/>
        <v>14.224382848421429</v>
      </c>
      <c r="G275" s="191">
        <v>825.61718023000003</v>
      </c>
      <c r="H275" s="191">
        <f t="shared" si="280"/>
        <v>3.0277367689502066</v>
      </c>
      <c r="I275" s="191">
        <v>463.99611872999998</v>
      </c>
      <c r="J275" s="191">
        <f t="shared" si="281"/>
        <v>1.7015853630100597</v>
      </c>
      <c r="K275" s="191">
        <v>1848.7110478</v>
      </c>
      <c r="L275" s="191">
        <f t="shared" si="282"/>
        <v>6.779668045460487</v>
      </c>
      <c r="M275" s="191">
        <v>1468.1127217999999</v>
      </c>
      <c r="N275" s="191">
        <f t="shared" si="249"/>
        <v>5.3839224463802013</v>
      </c>
      <c r="O275" s="191">
        <v>1701.7535335</v>
      </c>
      <c r="P275" s="191">
        <f t="shared" si="283"/>
        <v>6.2407394957957596</v>
      </c>
      <c r="Q275" s="191">
        <v>15634.166428979999</v>
      </c>
      <c r="R275" s="191">
        <f t="shared" si="284"/>
        <v>57.334248465763295</v>
      </c>
      <c r="S275" s="970">
        <v>4031.3191019179999</v>
      </c>
      <c r="T275" s="970">
        <f t="shared" si="285"/>
        <v>14.783816718600956</v>
      </c>
      <c r="U275" s="191">
        <v>20.980540399999999</v>
      </c>
      <c r="V275" s="191">
        <f t="shared" si="286"/>
        <v>7.6940687672982913E-2</v>
      </c>
      <c r="W275" s="191">
        <v>9.5420000000000005E-5</v>
      </c>
      <c r="X275" s="191">
        <f t="shared" si="287"/>
        <v>3.4992808944787853E-7</v>
      </c>
      <c r="Y275" s="191">
        <f t="shared" si="288"/>
        <v>875.19997272999979</v>
      </c>
      <c r="Z275" s="191">
        <f t="shared" si="289"/>
        <v>3.2095687941966489</v>
      </c>
      <c r="AA275" s="191">
        <v>21.07847903</v>
      </c>
      <c r="AB275" s="191">
        <f t="shared" si="290"/>
        <v>7.7299852184396056E-2</v>
      </c>
      <c r="AC275" s="191">
        <v>0.12951824000000001</v>
      </c>
      <c r="AD275" s="191">
        <f t="shared" si="291"/>
        <v>4.7497453648974848E-4</v>
      </c>
      <c r="AE275" s="191">
        <v>34.41431102</v>
      </c>
      <c r="AF275" s="191">
        <f t="shared" si="292"/>
        <v>0.12620555549039689</v>
      </c>
      <c r="AG275" s="191">
        <v>41.817285910000003</v>
      </c>
      <c r="AH275" s="191">
        <f t="shared" si="293"/>
        <v>0.15335404490025142</v>
      </c>
      <c r="AI275" s="191">
        <v>736.54965302999994</v>
      </c>
    </row>
    <row r="276" spans="1:35" ht="15" customHeight="1">
      <c r="A276" s="679" t="s">
        <v>25</v>
      </c>
      <c r="B276" s="191">
        <v>27649.3614151</v>
      </c>
      <c r="C276" s="191">
        <v>473.10461577000001</v>
      </c>
      <c r="D276" s="191">
        <f t="shared" si="278"/>
        <v>1.7110869530304083</v>
      </c>
      <c r="E276" s="191">
        <v>3845.2947872700001</v>
      </c>
      <c r="F276" s="191">
        <f t="shared" si="279"/>
        <v>13.907354783137919</v>
      </c>
      <c r="G276" s="191">
        <v>836.47002959999998</v>
      </c>
      <c r="H276" s="191">
        <f t="shared" si="280"/>
        <v>3.0252779333383919</v>
      </c>
      <c r="I276" s="191">
        <v>501.09187573999998</v>
      </c>
      <c r="J276" s="191">
        <f t="shared" si="281"/>
        <v>1.812309037511229</v>
      </c>
      <c r="K276" s="191">
        <v>1821.7204056800001</v>
      </c>
      <c r="L276" s="191">
        <f t="shared" si="282"/>
        <v>6.5886527299148163</v>
      </c>
      <c r="M276" s="191">
        <v>1463.8048126799999</v>
      </c>
      <c r="N276" s="191">
        <f t="shared" si="249"/>
        <v>5.2941722259110833</v>
      </c>
      <c r="O276" s="191">
        <v>1710.66342308</v>
      </c>
      <c r="P276" s="191">
        <f t="shared" si="283"/>
        <v>6.1869907134483206</v>
      </c>
      <c r="Q276" s="191">
        <v>15998.1167759</v>
      </c>
      <c r="R276" s="191">
        <f t="shared" si="284"/>
        <v>57.86070982154051</v>
      </c>
      <c r="S276" s="970">
        <v>4107.3155847649996</v>
      </c>
      <c r="T276" s="970">
        <f t="shared" si="285"/>
        <v>14.855010656853338</v>
      </c>
      <c r="U276" s="191">
        <v>19.988068779999999</v>
      </c>
      <c r="V276" s="191">
        <f t="shared" si="286"/>
        <v>7.2291249262212698E-2</v>
      </c>
      <c r="W276" s="191">
        <v>9.5420000000000005E-5</v>
      </c>
      <c r="X276" s="191">
        <f t="shared" si="287"/>
        <v>3.4510742786228974E-7</v>
      </c>
      <c r="Y276" s="191">
        <f t="shared" si="288"/>
        <v>857.44672672000047</v>
      </c>
      <c r="Z276" s="191">
        <f t="shared" si="289"/>
        <v>3.1011447745470448</v>
      </c>
      <c r="AA276" s="191">
        <v>38.748037330000002</v>
      </c>
      <c r="AB276" s="191">
        <f t="shared" si="290"/>
        <v>0.14014080379027755</v>
      </c>
      <c r="AC276" s="191">
        <v>0.11879163</v>
      </c>
      <c r="AD276" s="191">
        <f t="shared" si="291"/>
        <v>4.2963607085379181E-4</v>
      </c>
      <c r="AE276" s="191">
        <v>34.537590950000002</v>
      </c>
      <c r="AF276" s="191">
        <f t="shared" si="292"/>
        <v>0.12491279791777821</v>
      </c>
      <c r="AG276" s="191">
        <v>48.255378550000003</v>
      </c>
      <c r="AH276" s="191">
        <f t="shared" si="293"/>
        <v>0.17452619547172091</v>
      </c>
      <c r="AI276" s="191">
        <v>1305.5638564400001</v>
      </c>
    </row>
    <row r="277" spans="1:35" ht="15" customHeight="1">
      <c r="A277" s="679" t="s">
        <v>26</v>
      </c>
      <c r="B277" s="191">
        <v>28404.620061260001</v>
      </c>
      <c r="C277" s="191">
        <v>480.04100023000001</v>
      </c>
      <c r="D277" s="191">
        <f t="shared" si="278"/>
        <v>1.6900102842238327</v>
      </c>
      <c r="E277" s="191">
        <v>4038.9201973499999</v>
      </c>
      <c r="F277" s="191">
        <f t="shared" si="279"/>
        <v>14.219236830625775</v>
      </c>
      <c r="G277" s="191">
        <v>850.98962645999995</v>
      </c>
      <c r="H277" s="191">
        <f t="shared" si="280"/>
        <v>2.9959549700882389</v>
      </c>
      <c r="I277" s="191">
        <v>529.64747010999997</v>
      </c>
      <c r="J277" s="191">
        <f t="shared" si="281"/>
        <v>1.8646525423248534</v>
      </c>
      <c r="K277" s="191">
        <v>1884.8314217300001</v>
      </c>
      <c r="L277" s="191">
        <f t="shared" si="282"/>
        <v>6.6356508823740654</v>
      </c>
      <c r="M277" s="191">
        <v>1500.48487626</v>
      </c>
      <c r="N277" s="191">
        <f t="shared" si="249"/>
        <v>5.2825380977598613</v>
      </c>
      <c r="O277" s="191">
        <v>1773.8234135</v>
      </c>
      <c r="P277" s="191">
        <f t="shared" si="283"/>
        <v>6.2448411901810701</v>
      </c>
      <c r="Q277" s="191">
        <v>16365.9046621</v>
      </c>
      <c r="R277" s="191">
        <f t="shared" si="284"/>
        <v>57.617051827497754</v>
      </c>
      <c r="S277" s="970">
        <v>4161.4172467750004</v>
      </c>
      <c r="T277" s="970">
        <f t="shared" si="285"/>
        <v>14.650494313249421</v>
      </c>
      <c r="U277" s="191">
        <v>11.21278674</v>
      </c>
      <c r="V277" s="191">
        <f t="shared" si="286"/>
        <v>3.9475221692166551E-2</v>
      </c>
      <c r="W277" s="191">
        <v>9.5420000000000005E-5</v>
      </c>
      <c r="X277" s="191">
        <f t="shared" si="287"/>
        <v>3.3593126679465704E-7</v>
      </c>
      <c r="Y277" s="191">
        <f t="shared" si="288"/>
        <v>842.94571637000058</v>
      </c>
      <c r="Z277" s="191">
        <f t="shared" si="289"/>
        <v>2.9676359498983853</v>
      </c>
      <c r="AA277" s="191">
        <v>37.318026699999997</v>
      </c>
      <c r="AB277" s="191">
        <f t="shared" si="290"/>
        <v>0.13138012978000244</v>
      </c>
      <c r="AC277" s="191">
        <v>9.3325190000000002E-2</v>
      </c>
      <c r="AD277" s="191">
        <f t="shared" si="291"/>
        <v>3.2855637497958561E-4</v>
      </c>
      <c r="AE277" s="191">
        <v>36.748205370000001</v>
      </c>
      <c r="AF277" s="191">
        <f t="shared" si="292"/>
        <v>0.12937404299281408</v>
      </c>
      <c r="AG277" s="191">
        <v>51.659237730000001</v>
      </c>
      <c r="AH277" s="191">
        <f t="shared" si="293"/>
        <v>0.18186913825492812</v>
      </c>
      <c r="AI277" s="191">
        <v>1298.25868255</v>
      </c>
    </row>
    <row r="278" spans="1:35" ht="15" customHeight="1">
      <c r="A278" s="679" t="s">
        <v>27</v>
      </c>
      <c r="B278" s="191">
        <v>28779.170425889999</v>
      </c>
      <c r="C278" s="191">
        <v>479.76418251000001</v>
      </c>
      <c r="D278" s="191">
        <f t="shared" si="278"/>
        <v>1.6670535509195912</v>
      </c>
      <c r="E278" s="191">
        <v>4020.7598305699998</v>
      </c>
      <c r="F278" s="191">
        <f t="shared" si="279"/>
        <v>13.971076202227456</v>
      </c>
      <c r="G278" s="191">
        <v>913.75495126999999</v>
      </c>
      <c r="H278" s="191">
        <f t="shared" si="280"/>
        <v>3.1750566043000945</v>
      </c>
      <c r="I278" s="191">
        <v>549.68411420999996</v>
      </c>
      <c r="J278" s="191">
        <f t="shared" si="281"/>
        <v>1.9100068072688405</v>
      </c>
      <c r="K278" s="191">
        <v>1913.5262905100001</v>
      </c>
      <c r="L278" s="191">
        <f t="shared" si="282"/>
        <v>6.6489973901004973</v>
      </c>
      <c r="M278" s="191">
        <v>1566.6271229399999</v>
      </c>
      <c r="N278" s="191">
        <f t="shared" si="249"/>
        <v>5.4436145995738929</v>
      </c>
      <c r="O278" s="191">
        <v>1812.93699064</v>
      </c>
      <c r="P278" s="191">
        <f t="shared" si="283"/>
        <v>6.2994761968853199</v>
      </c>
      <c r="Q278" s="191">
        <v>16597.765079389999</v>
      </c>
      <c r="R278" s="191">
        <f t="shared" si="284"/>
        <v>57.672840577984488</v>
      </c>
      <c r="S278" s="970">
        <v>4191.634626735</v>
      </c>
      <c r="T278" s="970">
        <f t="shared" si="285"/>
        <v>14.564820892002391</v>
      </c>
      <c r="U278" s="191">
        <v>11.84141668</v>
      </c>
      <c r="V278" s="191">
        <f t="shared" si="286"/>
        <v>4.1145788793645541E-2</v>
      </c>
      <c r="W278" s="191">
        <v>9.5420000000000005E-5</v>
      </c>
      <c r="X278" s="191">
        <f t="shared" si="287"/>
        <v>3.31559244369877E-7</v>
      </c>
      <c r="Y278" s="191">
        <f t="shared" si="288"/>
        <v>785.44517003000226</v>
      </c>
      <c r="Z278" s="191">
        <f t="shared" si="289"/>
        <v>2.7292140753418268</v>
      </c>
      <c r="AA278" s="191">
        <v>39.260414169999997</v>
      </c>
      <c r="AB278" s="191">
        <f t="shared" si="290"/>
        <v>0.13641954785006929</v>
      </c>
      <c r="AC278" s="191">
        <v>0.29761423999999997</v>
      </c>
      <c r="AD278" s="191">
        <f t="shared" si="291"/>
        <v>1.0341307118855085E-3</v>
      </c>
      <c r="AE278" s="191">
        <v>38.515275500000001</v>
      </c>
      <c r="AF278" s="191">
        <f t="shared" si="292"/>
        <v>0.13383038819406454</v>
      </c>
      <c r="AG278" s="191">
        <v>48.991877809999998</v>
      </c>
      <c r="AH278" s="191">
        <f t="shared" si="293"/>
        <v>0.17023380828908977</v>
      </c>
      <c r="AI278" s="191">
        <v>785.92557074000001</v>
      </c>
    </row>
    <row r="279" spans="1:35" ht="15" customHeight="1">
      <c r="A279" s="679" t="s">
        <v>28</v>
      </c>
      <c r="B279" s="191">
        <v>29066.795478110002</v>
      </c>
      <c r="C279" s="191">
        <v>496.61938093999999</v>
      </c>
      <c r="D279" s="191">
        <f t="shared" si="278"/>
        <v>1.7085453445117489</v>
      </c>
      <c r="E279" s="191">
        <v>4057.5901337499999</v>
      </c>
      <c r="F279" s="191">
        <f t="shared" si="279"/>
        <v>13.959537221107645</v>
      </c>
      <c r="G279" s="191">
        <v>860.62805199000002</v>
      </c>
      <c r="H279" s="191">
        <f t="shared" si="280"/>
        <v>2.9608632043326994</v>
      </c>
      <c r="I279" s="191">
        <v>548.86651707999999</v>
      </c>
      <c r="J279" s="191">
        <f t="shared" si="281"/>
        <v>1.8882938695232072</v>
      </c>
      <c r="K279" s="191">
        <v>1952.1731682699999</v>
      </c>
      <c r="L279" s="191">
        <f t="shared" si="282"/>
        <v>6.716162329418693</v>
      </c>
      <c r="M279" s="191">
        <v>1576.1423000699999</v>
      </c>
      <c r="N279" s="191">
        <f t="shared" si="249"/>
        <v>5.4224838828792858</v>
      </c>
      <c r="O279" s="191">
        <v>1822.41839409</v>
      </c>
      <c r="P279" s="191">
        <f t="shared" si="283"/>
        <v>6.2697602680778841</v>
      </c>
      <c r="Q279" s="191">
        <v>16817.39898288</v>
      </c>
      <c r="R279" s="191">
        <f t="shared" si="284"/>
        <v>57.857767621976294</v>
      </c>
      <c r="S279" s="970">
        <v>4220.460464795</v>
      </c>
      <c r="T279" s="970">
        <f t="shared" si="285"/>
        <v>14.519868445675064</v>
      </c>
      <c r="U279" s="191">
        <v>17.87270509</v>
      </c>
      <c r="V279" s="191">
        <f t="shared" si="286"/>
        <v>6.1488391809340695E-2</v>
      </c>
      <c r="W279" s="191">
        <v>9.5420000000000005E-5</v>
      </c>
      <c r="X279" s="191">
        <f t="shared" si="287"/>
        <v>3.2827836171985361E-7</v>
      </c>
      <c r="Y279" s="191">
        <f t="shared" si="288"/>
        <v>781.51845158999822</v>
      </c>
      <c r="Z279" s="191">
        <f t="shared" si="289"/>
        <v>2.6886983540327116</v>
      </c>
      <c r="AA279" s="191">
        <v>47.0600904</v>
      </c>
      <c r="AB279" s="191">
        <f t="shared" si="290"/>
        <v>0.16190326324565302</v>
      </c>
      <c r="AC279" s="191">
        <v>0.29117292</v>
      </c>
      <c r="AD279" s="191">
        <f t="shared" si="291"/>
        <v>1.0017372579625445E-3</v>
      </c>
      <c r="AE279" s="191">
        <v>39.79148635</v>
      </c>
      <c r="AF279" s="191">
        <f t="shared" si="292"/>
        <v>0.13689670875472559</v>
      </c>
      <c r="AG279" s="191">
        <v>48.424547269999998</v>
      </c>
      <c r="AH279" s="191">
        <f t="shared" si="293"/>
        <v>0.1665974747937666</v>
      </c>
      <c r="AI279" s="191">
        <v>791.67167386000006</v>
      </c>
    </row>
    <row r="280" spans="1:35" ht="15" customHeight="1">
      <c r="A280" s="679" t="s">
        <v>29</v>
      </c>
      <c r="B280" s="191">
        <v>29288.227327680001</v>
      </c>
      <c r="C280" s="191">
        <v>449.13973557000003</v>
      </c>
      <c r="D280" s="191">
        <f t="shared" si="278"/>
        <v>1.5335162847002446</v>
      </c>
      <c r="E280" s="191">
        <v>4152.0145247</v>
      </c>
      <c r="F280" s="191">
        <f t="shared" si="279"/>
        <v>14.17639407891366</v>
      </c>
      <c r="G280" s="191">
        <v>774.73987064999994</v>
      </c>
      <c r="H280" s="191">
        <f t="shared" si="280"/>
        <v>2.6452262268457654</v>
      </c>
      <c r="I280" s="191">
        <v>586.86496827999997</v>
      </c>
      <c r="J280" s="191">
        <f t="shared" si="281"/>
        <v>2.0037572151912384</v>
      </c>
      <c r="K280" s="191">
        <v>1858.36362631</v>
      </c>
      <c r="L280" s="191">
        <f t="shared" si="282"/>
        <v>6.3450874152212</v>
      </c>
      <c r="M280" s="191">
        <v>1597.79041755</v>
      </c>
      <c r="N280" s="191">
        <f t="shared" si="249"/>
        <v>5.4554015839666228</v>
      </c>
      <c r="O280" s="191">
        <v>1859.8984532100001</v>
      </c>
      <c r="P280" s="191">
        <f t="shared" si="283"/>
        <v>6.3503278378757644</v>
      </c>
      <c r="Q280" s="191">
        <v>17030.998947709999</v>
      </c>
      <c r="R280" s="191">
        <f t="shared" si="284"/>
        <v>58.149640663346588</v>
      </c>
      <c r="S280" s="970">
        <v>4273.0262150050003</v>
      </c>
      <c r="T280" s="970">
        <f t="shared" si="285"/>
        <v>14.589569273680853</v>
      </c>
      <c r="U280" s="191">
        <v>24.230268639999998</v>
      </c>
      <c r="V280" s="191">
        <f t="shared" si="286"/>
        <v>8.2730403478875697E-2</v>
      </c>
      <c r="W280" s="191">
        <v>9.5420000000000005E-5</v>
      </c>
      <c r="X280" s="191">
        <f t="shared" si="287"/>
        <v>3.257964332645682E-7</v>
      </c>
      <c r="Y280" s="191">
        <f t="shared" si="288"/>
        <v>790.60813768000185</v>
      </c>
      <c r="Z280" s="191">
        <f t="shared" si="289"/>
        <v>2.6994059040671479</v>
      </c>
      <c r="AA280" s="191">
        <v>47.016718359999999</v>
      </c>
      <c r="AB280" s="191">
        <f t="shared" si="290"/>
        <v>0.16053111659497735</v>
      </c>
      <c r="AC280" s="191">
        <v>1.62095872</v>
      </c>
      <c r="AD280" s="191">
        <f t="shared" si="291"/>
        <v>5.5345060725749302E-3</v>
      </c>
      <c r="AE280" s="191">
        <v>43.724398039999997</v>
      </c>
      <c r="AF280" s="191">
        <f t="shared" si="292"/>
        <v>0.14929001182217855</v>
      </c>
      <c r="AG280" s="191">
        <v>71.216206839999998</v>
      </c>
      <c r="AH280" s="191">
        <f t="shared" si="293"/>
        <v>0.24315642610672547</v>
      </c>
      <c r="AI280" s="191">
        <v>733.33534685999996</v>
      </c>
    </row>
    <row r="281" spans="1:35" ht="15" customHeight="1">
      <c r="A281" s="679" t="s">
        <v>4222</v>
      </c>
      <c r="B281" s="191"/>
      <c r="C281" s="191"/>
      <c r="D281" s="191"/>
      <c r="E281" s="191"/>
      <c r="F281" s="191"/>
      <c r="G281" s="191"/>
      <c r="H281" s="191"/>
      <c r="I281" s="191"/>
      <c r="J281" s="191"/>
      <c r="K281" s="191"/>
      <c r="L281" s="191"/>
      <c r="M281" s="191"/>
      <c r="N281" s="191"/>
      <c r="O281" s="191"/>
      <c r="P281" s="191"/>
      <c r="Q281" s="191"/>
      <c r="R281" s="191"/>
      <c r="S281" s="970"/>
      <c r="T281" s="970"/>
      <c r="U281" s="191"/>
      <c r="V281" s="191"/>
      <c r="W281" s="191"/>
      <c r="X281" s="191"/>
      <c r="Y281" s="191"/>
      <c r="Z281" s="191"/>
      <c r="AA281" s="191"/>
      <c r="AB281" s="191"/>
      <c r="AC281" s="191"/>
      <c r="AD281" s="191"/>
      <c r="AE281" s="191"/>
      <c r="AF281" s="191"/>
      <c r="AG281" s="191"/>
      <c r="AH281" s="191"/>
      <c r="AI281" s="191"/>
    </row>
    <row r="282" spans="1:35" ht="15" customHeight="1">
      <c r="A282" s="679" t="s">
        <v>18</v>
      </c>
      <c r="B282" s="191">
        <v>29325.25269265</v>
      </c>
      <c r="C282" s="191">
        <v>475.08339328</v>
      </c>
      <c r="D282" s="191">
        <f t="shared" si="278"/>
        <v>1.6200487622705928</v>
      </c>
      <c r="E282" s="191">
        <v>4074.0424860799999</v>
      </c>
      <c r="F282" s="191">
        <f t="shared" si="279"/>
        <v>13.892608288081714</v>
      </c>
      <c r="G282" s="191">
        <v>792.99985408999999</v>
      </c>
      <c r="H282" s="191">
        <f t="shared" si="280"/>
        <v>2.7041535239311179</v>
      </c>
      <c r="I282" s="191">
        <v>577.02335581</v>
      </c>
      <c r="J282" s="191">
        <f t="shared" si="281"/>
        <v>1.9676671224545785</v>
      </c>
      <c r="K282" s="191">
        <v>1864.43193576</v>
      </c>
      <c r="L282" s="191">
        <f t="shared" si="282"/>
        <v>6.3577693781554219</v>
      </c>
      <c r="M282" s="191">
        <v>1599.67746676</v>
      </c>
      <c r="N282" s="191">
        <f t="shared" si="249"/>
        <v>5.4549486189455365</v>
      </c>
      <c r="O282" s="191">
        <v>1843.7687189999999</v>
      </c>
      <c r="P282" s="191">
        <f t="shared" si="283"/>
        <v>6.2873071830754146</v>
      </c>
      <c r="Q282" s="191">
        <v>17147.713714450001</v>
      </c>
      <c r="R282" s="191">
        <f t="shared" si="284"/>
        <v>58.47422320336171</v>
      </c>
      <c r="S282" s="970">
        <v>4300.5050799649998</v>
      </c>
      <c r="T282" s="970">
        <f t="shared" si="285"/>
        <v>14.664852593215222</v>
      </c>
      <c r="U282" s="191">
        <v>12.347939309999999</v>
      </c>
      <c r="V282" s="191">
        <f t="shared" si="286"/>
        <v>4.2106847089828661E-2</v>
      </c>
      <c r="W282" s="191">
        <v>9.5420000000000005E-5</v>
      </c>
      <c r="X282" s="191">
        <f t="shared" si="287"/>
        <v>3.2538509045453446E-7</v>
      </c>
      <c r="Y282" s="191">
        <f t="shared" si="288"/>
        <v>797.67814741999325</v>
      </c>
      <c r="Z282" s="191">
        <f t="shared" si="289"/>
        <v>2.7201066459008589</v>
      </c>
      <c r="AA282" s="191">
        <v>47.74118361</v>
      </c>
      <c r="AB282" s="191">
        <f t="shared" si="290"/>
        <v>0.16279888228197847</v>
      </c>
      <c r="AC282" s="191">
        <v>0.33126862000000001</v>
      </c>
      <c r="AD282" s="191">
        <f t="shared" si="291"/>
        <v>1.1296360289608971E-3</v>
      </c>
      <c r="AE282" s="191">
        <v>42.472669160000002</v>
      </c>
      <c r="AF282" s="191">
        <f t="shared" si="292"/>
        <v>0.14483308841408632</v>
      </c>
      <c r="AG282" s="191">
        <v>49.940463880000003</v>
      </c>
      <c r="AH282" s="191">
        <f t="shared" si="293"/>
        <v>0.17029849462308963</v>
      </c>
      <c r="AI282" s="191">
        <v>766.57819866</v>
      </c>
    </row>
    <row r="283" spans="1:35" ht="15" customHeight="1">
      <c r="A283" s="679" t="s">
        <v>19</v>
      </c>
      <c r="B283" s="191">
        <v>29402.91989112</v>
      </c>
      <c r="C283" s="191">
        <v>480.14675621999999</v>
      </c>
      <c r="D283" s="191">
        <f t="shared" si="278"/>
        <v>1.6329900499610226</v>
      </c>
      <c r="E283" s="191">
        <v>4131.7329170599996</v>
      </c>
      <c r="F283" s="191">
        <f t="shared" si="279"/>
        <v>14.052117722865434</v>
      </c>
      <c r="G283" s="191">
        <v>768.59151313999996</v>
      </c>
      <c r="H283" s="191">
        <f t="shared" si="280"/>
        <v>2.6139972356014987</v>
      </c>
      <c r="I283" s="191">
        <v>575.22572744000001</v>
      </c>
      <c r="J283" s="191">
        <f t="shared" si="281"/>
        <v>1.9563557958532016</v>
      </c>
      <c r="K283" s="191">
        <v>1826.27676092</v>
      </c>
      <c r="L283" s="191">
        <f t="shared" si="282"/>
        <v>6.2112088448452205</v>
      </c>
      <c r="M283" s="191">
        <v>1619.1997521200001</v>
      </c>
      <c r="N283" s="191">
        <f t="shared" si="249"/>
        <v>5.5069352231545405</v>
      </c>
      <c r="O283" s="191">
        <v>1858.0721740700001</v>
      </c>
      <c r="P283" s="191">
        <f t="shared" si="283"/>
        <v>6.3193457688913339</v>
      </c>
      <c r="Q283" s="191">
        <v>17183.547034290001</v>
      </c>
      <c r="R283" s="191">
        <f t="shared" si="284"/>
        <v>58.441634701319643</v>
      </c>
      <c r="S283" s="970">
        <v>4317.9011817649998</v>
      </c>
      <c r="T283" s="970">
        <f t="shared" si="285"/>
        <v>14.685280229835449</v>
      </c>
      <c r="U283" s="191">
        <v>5.4250300600000001</v>
      </c>
      <c r="V283" s="191">
        <f t="shared" si="286"/>
        <v>1.8450650751996974E-2</v>
      </c>
      <c r="W283" s="191">
        <v>9.5420000000000005E-5</v>
      </c>
      <c r="X283" s="191">
        <f t="shared" si="287"/>
        <v>3.245255925375557E-7</v>
      </c>
      <c r="Y283" s="191">
        <f t="shared" si="288"/>
        <v>815.46933476000254</v>
      </c>
      <c r="Z283" s="191">
        <f t="shared" si="289"/>
        <v>2.7734297742527372</v>
      </c>
      <c r="AA283" s="191">
        <v>39.612896220000003</v>
      </c>
      <c r="AB283" s="191">
        <f t="shared" si="290"/>
        <v>0.13472436195686649</v>
      </c>
      <c r="AC283" s="191">
        <v>0.12159250000000001</v>
      </c>
      <c r="AD283" s="191">
        <f t="shared" si="291"/>
        <v>4.135388609371488E-4</v>
      </c>
      <c r="AE283" s="191">
        <v>45.398645129999998</v>
      </c>
      <c r="AF283" s="191">
        <f t="shared" si="292"/>
        <v>0.15440182573061692</v>
      </c>
      <c r="AG283" s="191">
        <v>54.099661769999997</v>
      </c>
      <c r="AH283" s="191">
        <f t="shared" si="293"/>
        <v>0.18399418142937118</v>
      </c>
      <c r="AI283" s="191">
        <v>930.05913115999999</v>
      </c>
    </row>
    <row r="284" spans="1:35" ht="15" customHeight="1">
      <c r="A284" s="679" t="s">
        <v>20</v>
      </c>
      <c r="B284" s="191">
        <v>29679.37509813</v>
      </c>
      <c r="C284" s="191">
        <v>481.55137305</v>
      </c>
      <c r="D284" s="191">
        <f t="shared" si="278"/>
        <v>1.6225118334123583</v>
      </c>
      <c r="E284" s="191">
        <v>4139.6267072700002</v>
      </c>
      <c r="F284" s="191">
        <f t="shared" si="279"/>
        <v>13.947823003627946</v>
      </c>
      <c r="G284" s="191">
        <v>762.9144119</v>
      </c>
      <c r="H284" s="191">
        <f t="shared" si="280"/>
        <v>2.5705204687684571</v>
      </c>
      <c r="I284" s="191">
        <v>584.00834816999998</v>
      </c>
      <c r="J284" s="191">
        <f t="shared" si="281"/>
        <v>1.9677245435224693</v>
      </c>
      <c r="K284" s="191">
        <v>1820.97637332</v>
      </c>
      <c r="L284" s="191">
        <f t="shared" si="282"/>
        <v>6.1354943198744563</v>
      </c>
      <c r="M284" s="191">
        <v>1638.37261771</v>
      </c>
      <c r="N284" s="191">
        <f t="shared" si="249"/>
        <v>5.5202396017200126</v>
      </c>
      <c r="O284" s="191">
        <v>1894.6678261500001</v>
      </c>
      <c r="P284" s="191">
        <f t="shared" si="283"/>
        <v>6.3837861137089007</v>
      </c>
      <c r="Q284" s="191">
        <v>17342.171467330001</v>
      </c>
      <c r="R284" s="191">
        <f t="shared" si="284"/>
        <v>58.43172711686465</v>
      </c>
      <c r="S284" s="970">
        <v>4385.8113263949999</v>
      </c>
      <c r="T284" s="970">
        <f t="shared" si="285"/>
        <v>14.77730347048761</v>
      </c>
      <c r="U284" s="191">
        <v>5.7682950100000001</v>
      </c>
      <c r="V284" s="191">
        <f t="shared" si="286"/>
        <v>1.9435365437877571E-2</v>
      </c>
      <c r="W284" s="191">
        <v>9.5420000000000005E-5</v>
      </c>
      <c r="X284" s="191">
        <f t="shared" si="287"/>
        <v>3.2150272599914715E-7</v>
      </c>
      <c r="Y284" s="191">
        <f t="shared" si="288"/>
        <v>864.81154963000108</v>
      </c>
      <c r="Z284" s="191">
        <f t="shared" si="289"/>
        <v>2.9138468945880533</v>
      </c>
      <c r="AA284" s="191">
        <v>39.356151580000002</v>
      </c>
      <c r="AB284" s="191">
        <f t="shared" si="290"/>
        <v>0.13260438081959383</v>
      </c>
      <c r="AC284" s="191">
        <v>0.12271388</v>
      </c>
      <c r="AD284" s="191">
        <f t="shared" si="291"/>
        <v>4.1346517436525071E-4</v>
      </c>
      <c r="AE284" s="191">
        <v>52.937986090000003</v>
      </c>
      <c r="AF284" s="191">
        <f t="shared" si="292"/>
        <v>0.17836624226409489</v>
      </c>
      <c r="AG284" s="191">
        <v>52.089181619999998</v>
      </c>
      <c r="AH284" s="191">
        <f t="shared" si="293"/>
        <v>0.1755063287140502</v>
      </c>
      <c r="AI284" s="191">
        <v>973.93948470999999</v>
      </c>
    </row>
    <row r="285" spans="1:35" ht="15" customHeight="1">
      <c r="A285" s="679" t="s">
        <v>21</v>
      </c>
      <c r="B285" s="191">
        <v>29898.773418969999</v>
      </c>
      <c r="C285" s="191">
        <v>502.60593611000002</v>
      </c>
      <c r="D285" s="191">
        <f t="shared" si="278"/>
        <v>1.6810252683847879</v>
      </c>
      <c r="E285" s="191">
        <v>4122.42034126</v>
      </c>
      <c r="F285" s="191">
        <f t="shared" si="279"/>
        <v>13.787924619825478</v>
      </c>
      <c r="G285" s="191">
        <v>764.39011442000003</v>
      </c>
      <c r="H285" s="191">
        <f t="shared" si="280"/>
        <v>2.5565935555570793</v>
      </c>
      <c r="I285" s="191">
        <v>569.64507105999996</v>
      </c>
      <c r="J285" s="191">
        <f t="shared" si="281"/>
        <v>1.9052456202051919</v>
      </c>
      <c r="K285" s="191">
        <v>1820.1487587199999</v>
      </c>
      <c r="L285" s="191">
        <f t="shared" si="282"/>
        <v>6.0877037770558262</v>
      </c>
      <c r="M285" s="191">
        <v>1624.0908545299999</v>
      </c>
      <c r="N285" s="191">
        <f t="shared" si="249"/>
        <v>5.4319648226758233</v>
      </c>
      <c r="O285" s="191">
        <v>1894.6601541499999</v>
      </c>
      <c r="P285" s="191">
        <f t="shared" si="283"/>
        <v>6.3369159918376026</v>
      </c>
      <c r="Q285" s="191">
        <v>17580.869864879998</v>
      </c>
      <c r="R285" s="191">
        <f t="shared" si="284"/>
        <v>58.801308062107296</v>
      </c>
      <c r="S285" s="970">
        <v>4445.3128205550001</v>
      </c>
      <c r="T285" s="970">
        <f t="shared" si="285"/>
        <v>14.867876879974496</v>
      </c>
      <c r="U285" s="191">
        <v>5.2863686400000001</v>
      </c>
      <c r="V285" s="191">
        <f t="shared" si="286"/>
        <v>1.7680887994709297E-2</v>
      </c>
      <c r="W285" s="191">
        <v>9.5420000000000005E-5</v>
      </c>
      <c r="X285" s="191">
        <f t="shared" si="287"/>
        <v>3.1914352693632067E-7</v>
      </c>
      <c r="Y285" s="191">
        <f t="shared" si="288"/>
        <v>864.08822783000096</v>
      </c>
      <c r="Z285" s="191">
        <f t="shared" si="289"/>
        <v>2.8900457410796636</v>
      </c>
      <c r="AA285" s="191">
        <v>47.433205450000003</v>
      </c>
      <c r="AB285" s="191">
        <f t="shared" si="290"/>
        <v>0.15864599120947503</v>
      </c>
      <c r="AC285" s="191">
        <v>0.19683262000000001</v>
      </c>
      <c r="AD285" s="191">
        <f t="shared" si="291"/>
        <v>6.5833008345123219E-4</v>
      </c>
      <c r="AE285" s="191">
        <v>55.840029180000002</v>
      </c>
      <c r="AF285" s="191">
        <f t="shared" si="292"/>
        <v>0.18676361199677491</v>
      </c>
      <c r="AG285" s="191">
        <v>47.0975647</v>
      </c>
      <c r="AH285" s="191">
        <f t="shared" si="293"/>
        <v>0.15752340084331959</v>
      </c>
      <c r="AI285" s="191">
        <v>1646.0498011300001</v>
      </c>
    </row>
    <row r="286" spans="1:35" ht="15" customHeight="1">
      <c r="A286" s="690" t="s">
        <v>22</v>
      </c>
      <c r="B286" s="691">
        <v>30188.759704479999</v>
      </c>
      <c r="C286" s="691">
        <v>508.31303802999997</v>
      </c>
      <c r="D286" s="691">
        <f t="shared" si="278"/>
        <v>1.6837824508390338</v>
      </c>
      <c r="E286" s="691">
        <v>4184.2580035399997</v>
      </c>
      <c r="F286" s="691">
        <f t="shared" si="279"/>
        <v>13.860317696056448</v>
      </c>
      <c r="G286" s="691">
        <v>758.67093794000004</v>
      </c>
      <c r="H286" s="691">
        <f t="shared" si="280"/>
        <v>2.5130907840092997</v>
      </c>
      <c r="I286" s="691">
        <v>563.70959712000001</v>
      </c>
      <c r="J286" s="691">
        <f t="shared" si="281"/>
        <v>1.8672830637568254</v>
      </c>
      <c r="K286" s="691">
        <v>1850.7322217599999</v>
      </c>
      <c r="L286" s="691">
        <f t="shared" si="282"/>
        <v>6.1305341454135727</v>
      </c>
      <c r="M286" s="691">
        <v>1629.19607926</v>
      </c>
      <c r="N286" s="691">
        <f t="shared" si="249"/>
        <v>5.3966976292114044</v>
      </c>
      <c r="O286" s="691">
        <v>1906.1008331099999</v>
      </c>
      <c r="P286" s="691">
        <f t="shared" si="283"/>
        <v>6.3139421816893497</v>
      </c>
      <c r="Q286" s="691">
        <v>17762.211054079999</v>
      </c>
      <c r="R286" s="691">
        <f t="shared" si="284"/>
        <v>58.837167303180372</v>
      </c>
      <c r="S286" s="2188">
        <v>4463.5024031419998</v>
      </c>
      <c r="T286" s="2188">
        <f t="shared" si="285"/>
        <v>14.78531230443236</v>
      </c>
      <c r="U286" s="691">
        <v>5.6016347800000004</v>
      </c>
      <c r="V286" s="691">
        <f t="shared" si="286"/>
        <v>1.8555365754786939E-2</v>
      </c>
      <c r="W286" s="691">
        <v>9.5420000000000005E-5</v>
      </c>
      <c r="X286" s="691">
        <f t="shared" si="287"/>
        <v>3.1607790758571549E-7</v>
      </c>
      <c r="Y286" s="691">
        <f t="shared" si="288"/>
        <v>864.92330990000062</v>
      </c>
      <c r="Z286" s="691">
        <f t="shared" si="289"/>
        <v>2.8650508280790561</v>
      </c>
      <c r="AA286" s="691">
        <v>54.284820019999998</v>
      </c>
      <c r="AB286" s="691">
        <f t="shared" si="290"/>
        <v>0.17981798706339086</v>
      </c>
      <c r="AC286" s="691">
        <v>0.19683262000000001</v>
      </c>
      <c r="AD286" s="691">
        <f t="shared" si="291"/>
        <v>6.5200631601565972E-4</v>
      </c>
      <c r="AE286" s="691">
        <v>52.572606720000003</v>
      </c>
      <c r="AF286" s="691">
        <f t="shared" si="292"/>
        <v>0.17414629562339473</v>
      </c>
      <c r="AG286" s="691">
        <v>47.988640179999997</v>
      </c>
      <c r="AH286" s="691">
        <f t="shared" si="293"/>
        <v>0.15896194692913637</v>
      </c>
      <c r="AI286" s="691">
        <v>2298.6021646600002</v>
      </c>
    </row>
    <row r="287" spans="1:35" s="791" customFormat="1" ht="18" customHeight="1">
      <c r="A287" s="2423" t="s">
        <v>2713</v>
      </c>
      <c r="B287" s="2423"/>
      <c r="C287" s="2423"/>
      <c r="D287" s="2423"/>
      <c r="E287" s="2423"/>
      <c r="F287" s="2423"/>
      <c r="G287" s="2423"/>
      <c r="H287" s="2423"/>
      <c r="I287" s="2423"/>
      <c r="J287" s="2423"/>
      <c r="K287" s="2423"/>
      <c r="L287" s="2423"/>
      <c r="M287" s="2423"/>
      <c r="N287" s="2423"/>
      <c r="O287" s="2423"/>
      <c r="P287" s="2423"/>
      <c r="Q287" s="2423"/>
      <c r="R287" s="2423"/>
      <c r="S287" s="2423"/>
      <c r="T287" s="2423"/>
      <c r="U287" s="2423"/>
      <c r="V287" s="2423"/>
      <c r="W287" s="2423"/>
      <c r="X287" s="2423"/>
      <c r="Y287" s="2423"/>
      <c r="Z287" s="2423"/>
      <c r="AA287" s="2423"/>
      <c r="AB287" s="2423"/>
      <c r="AC287" s="2423"/>
      <c r="AD287" s="2423"/>
      <c r="AE287" s="2423"/>
      <c r="AF287" s="2423"/>
      <c r="AG287" s="2423"/>
      <c r="AH287" s="2423"/>
      <c r="AI287" s="2423"/>
    </row>
    <row r="288" spans="1:35" s="791" customFormat="1" ht="18" customHeight="1">
      <c r="A288" s="2424" t="s">
        <v>2697</v>
      </c>
      <c r="B288" s="2424"/>
      <c r="C288" s="2424"/>
      <c r="D288" s="2424"/>
      <c r="E288" s="2424"/>
      <c r="F288" s="2424"/>
      <c r="G288" s="2424"/>
      <c r="H288" s="2424"/>
      <c r="I288" s="2424"/>
      <c r="J288" s="2424"/>
      <c r="K288" s="2424"/>
      <c r="L288" s="2424"/>
      <c r="M288" s="2424"/>
      <c r="N288" s="2424"/>
      <c r="O288" s="2424"/>
      <c r="P288" s="2424"/>
      <c r="Q288" s="2424"/>
      <c r="R288" s="2424"/>
      <c r="S288" s="2424"/>
      <c r="T288" s="2424"/>
      <c r="U288" s="2424"/>
      <c r="V288" s="2424"/>
      <c r="W288" s="2424"/>
      <c r="X288" s="2424"/>
      <c r="Y288" s="2424"/>
      <c r="Z288" s="2424"/>
      <c r="AA288" s="2424"/>
      <c r="AB288" s="2424"/>
      <c r="AC288" s="2424"/>
      <c r="AD288" s="2424"/>
      <c r="AE288" s="2424"/>
      <c r="AF288" s="2424"/>
      <c r="AG288" s="2424"/>
      <c r="AH288" s="2424"/>
      <c r="AI288" s="2424"/>
    </row>
    <row r="289" spans="2:31">
      <c r="D289" s="57"/>
      <c r="E289" s="147"/>
      <c r="F289" s="147"/>
      <c r="G289" s="147"/>
      <c r="N289" s="146"/>
      <c r="O289" s="147"/>
      <c r="Z289" s="57"/>
      <c r="AD289" s="59"/>
      <c r="AE289" s="58"/>
    </row>
    <row r="290" spans="2:31" ht="17.25" customHeight="1">
      <c r="B290" s="277"/>
      <c r="C290" s="57"/>
      <c r="D290" s="57"/>
      <c r="E290" s="57"/>
      <c r="F290" s="57"/>
      <c r="G290" s="57"/>
      <c r="H290" s="57"/>
      <c r="I290" s="57"/>
      <c r="J290" s="57"/>
      <c r="K290" s="57"/>
      <c r="L290" s="57"/>
      <c r="M290" s="57"/>
      <c r="N290" s="1432"/>
      <c r="O290" s="57"/>
      <c r="P290" s="57"/>
      <c r="Q290" s="57"/>
      <c r="R290" s="57"/>
      <c r="S290" s="57"/>
      <c r="T290" s="57"/>
      <c r="U290" s="57"/>
      <c r="V290" s="57"/>
      <c r="X290" s="57"/>
      <c r="Y290" s="57"/>
      <c r="Z290" s="57"/>
      <c r="AA290" s="59"/>
      <c r="AB290" s="59"/>
      <c r="AC290" s="59"/>
      <c r="AD290" s="59"/>
    </row>
    <row r="291" spans="2:31">
      <c r="D291" s="147"/>
      <c r="E291" s="57"/>
      <c r="G291" s="239"/>
      <c r="H291" s="239"/>
      <c r="N291" s="146"/>
      <c r="O291" s="147"/>
      <c r="S291" s="1449"/>
      <c r="V291" s="148"/>
      <c r="Y291" s="147"/>
      <c r="Z291" s="57"/>
    </row>
    <row r="292" spans="2:31">
      <c r="D292" s="147"/>
      <c r="N292" s="146"/>
      <c r="O292" s="147"/>
      <c r="V292" s="148"/>
      <c r="Y292" s="147"/>
    </row>
    <row r="293" spans="2:31">
      <c r="H293" s="1029"/>
      <c r="N293" s="146"/>
      <c r="O293" s="147"/>
      <c r="Z293" s="57"/>
    </row>
    <row r="294" spans="2:31">
      <c r="N294" s="146"/>
      <c r="O294" s="147"/>
      <c r="V294" s="148"/>
      <c r="Z294" s="57"/>
    </row>
    <row r="295" spans="2:31">
      <c r="N295" s="146"/>
      <c r="O295" s="147"/>
      <c r="R295" s="148"/>
      <c r="S295" s="148"/>
      <c r="T295" s="148"/>
      <c r="V295" s="148"/>
      <c r="Z295" s="57"/>
    </row>
    <row r="296" spans="2:31">
      <c r="V296" s="149"/>
      <c r="Z296" s="57"/>
    </row>
    <row r="297" spans="2:31">
      <c r="V297" s="149"/>
      <c r="Z297" s="57"/>
    </row>
    <row r="298" spans="2:31">
      <c r="V298" s="148"/>
      <c r="Z298" s="57"/>
    </row>
    <row r="299" spans="2:31">
      <c r="V299" s="148"/>
    </row>
    <row r="300" spans="2:31">
      <c r="V300" s="148"/>
    </row>
  </sheetData>
  <mergeCells count="77">
    <mergeCell ref="B6:AH6"/>
    <mergeCell ref="B11:AH11"/>
    <mergeCell ref="Q7:R8"/>
    <mergeCell ref="A2:AI2"/>
    <mergeCell ref="A3:AI3"/>
    <mergeCell ref="A5:AI5"/>
    <mergeCell ref="A6:A10"/>
    <mergeCell ref="AI6:AI10"/>
    <mergeCell ref="B7:B10"/>
    <mergeCell ref="C7:D8"/>
    <mergeCell ref="E7:F8"/>
    <mergeCell ref="G7:H8"/>
    <mergeCell ref="I7:J8"/>
    <mergeCell ref="K7:L8"/>
    <mergeCell ref="M7:N8"/>
    <mergeCell ref="O7:P8"/>
    <mergeCell ref="AE7:AF8"/>
    <mergeCell ref="AG7:AH8"/>
    <mergeCell ref="C9:C10"/>
    <mergeCell ref="D9:D10"/>
    <mergeCell ref="E9:E10"/>
    <mergeCell ref="F9:F10"/>
    <mergeCell ref="G9:G10"/>
    <mergeCell ref="H9:H10"/>
    <mergeCell ref="I9:I10"/>
    <mergeCell ref="J9:J10"/>
    <mergeCell ref="S7:T8"/>
    <mergeCell ref="U7:V8"/>
    <mergeCell ref="W7:X8"/>
    <mergeCell ref="Y7:Z8"/>
    <mergeCell ref="AA7:AB8"/>
    <mergeCell ref="AC7:AD8"/>
    <mergeCell ref="V9:V10"/>
    <mergeCell ref="K9:K10"/>
    <mergeCell ref="L9:L10"/>
    <mergeCell ref="M9:M10"/>
    <mergeCell ref="N9:N10"/>
    <mergeCell ref="O9:O10"/>
    <mergeCell ref="P9:P10"/>
    <mergeCell ref="Q9:Q10"/>
    <mergeCell ref="R9:R10"/>
    <mergeCell ref="S9:S10"/>
    <mergeCell ref="T9:T10"/>
    <mergeCell ref="U9:U10"/>
    <mergeCell ref="AH9:AH10"/>
    <mergeCell ref="W9:W10"/>
    <mergeCell ref="X9:X10"/>
    <mergeCell ref="Y9:Y10"/>
    <mergeCell ref="Z9:Z10"/>
    <mergeCell ref="AA9:AA10"/>
    <mergeCell ref="AB9:AB10"/>
    <mergeCell ref="AC9:AC10"/>
    <mergeCell ref="AD9:AD10"/>
    <mergeCell ref="AE9:AE10"/>
    <mergeCell ref="AF9:AF10"/>
    <mergeCell ref="AG9:AG10"/>
    <mergeCell ref="B12:B14"/>
    <mergeCell ref="C12:D13"/>
    <mergeCell ref="E12:F13"/>
    <mergeCell ref="G12:H13"/>
    <mergeCell ref="I12:J13"/>
    <mergeCell ref="A11:A14"/>
    <mergeCell ref="K12:L13"/>
    <mergeCell ref="M12:N13"/>
    <mergeCell ref="A287:AI287"/>
    <mergeCell ref="A288:AI288"/>
    <mergeCell ref="AA12:AB13"/>
    <mergeCell ref="AC12:AD13"/>
    <mergeCell ref="AE12:AF13"/>
    <mergeCell ref="AG12:AH13"/>
    <mergeCell ref="AI12:AI14"/>
    <mergeCell ref="O12:P13"/>
    <mergeCell ref="Q12:R13"/>
    <mergeCell ref="S12:T13"/>
    <mergeCell ref="U12:V13"/>
    <mergeCell ref="W12:X13"/>
    <mergeCell ref="Y12:Z13"/>
  </mergeCells>
  <pageMargins left="0.17" right="0.17" top="0.17" bottom="0.17" header="0.17" footer="0.17"/>
  <pageSetup scale="18" orientation="landscape" r:id="rId1"/>
  <ignoredErrors>
    <ignoredError sqref="Y230:Y238" formula="1"/>
    <ignoredError sqref="A211:A239"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1">
    <tabColor rgb="FF92D050"/>
  </sheetPr>
  <dimension ref="A1:CF97"/>
  <sheetViews>
    <sheetView showGridLines="0" view="pageBreakPreview" zoomScale="70" zoomScaleSheetLayoutView="70" workbookViewId="0">
      <pane xSplit="1" ySplit="12" topLeftCell="B63" activePane="bottomRight" state="frozen"/>
      <selection activeCell="B39" sqref="B39"/>
      <selection pane="topRight" activeCell="B39" sqref="B39"/>
      <selection pane="bottomLeft" activeCell="B39" sqref="B39"/>
      <selection pane="bottomRight" activeCell="O99" sqref="O99"/>
    </sheetView>
  </sheetViews>
  <sheetFormatPr defaultColWidth="8.85546875" defaultRowHeight="15.75"/>
  <cols>
    <col min="1" max="1" width="7.7109375" style="1002" customWidth="1"/>
    <col min="2" max="2" width="12.140625" style="1002" customWidth="1"/>
    <col min="3" max="3" width="17.85546875" style="1002" customWidth="1"/>
    <col min="4" max="4" width="11.140625" style="1002" customWidth="1"/>
    <col min="5" max="5" width="13.140625" style="1003" bestFit="1" customWidth="1"/>
    <col min="6" max="6" width="14.28515625" style="1003" customWidth="1"/>
    <col min="7" max="7" width="9.5703125" style="1003" customWidth="1"/>
    <col min="8" max="8" width="14.28515625" style="1003" customWidth="1"/>
    <col min="9" max="9" width="9.5703125" style="1003" customWidth="1"/>
    <col min="10" max="10" width="14.28515625" style="1003" customWidth="1"/>
    <col min="11" max="11" width="9.5703125" style="1003" customWidth="1"/>
    <col min="12" max="12" width="14.28515625" style="1003" customWidth="1"/>
    <col min="13" max="13" width="9.5703125" style="1003" customWidth="1"/>
    <col min="14" max="14" width="14.28515625" style="1003" customWidth="1"/>
    <col min="15" max="15" width="9.5703125" style="1003" customWidth="1"/>
    <col min="16" max="16" width="14.28515625" style="1003" customWidth="1"/>
    <col min="17" max="17" width="9.5703125" style="1003" customWidth="1"/>
    <col min="18" max="18" width="14.28515625" style="1003" customWidth="1"/>
    <col min="19" max="20" width="16.7109375" style="1003" customWidth="1"/>
    <col min="21" max="21" width="9.5703125" style="1004" customWidth="1"/>
    <col min="22" max="22" width="14.28515625" style="1003" customWidth="1"/>
    <col min="23" max="23" width="9.5703125" style="1003" customWidth="1"/>
    <col min="24" max="24" width="14.28515625" style="1003" customWidth="1"/>
    <col min="25" max="25" width="9.5703125" style="60" customWidth="1"/>
    <col min="26" max="26" width="14.28515625" style="60" customWidth="1"/>
    <col min="27" max="27" width="10.7109375" style="60" customWidth="1"/>
    <col min="28" max="28" width="14.28515625" style="60" customWidth="1"/>
    <col min="29" max="29" width="9.5703125" style="60" customWidth="1"/>
    <col min="30" max="30" width="14.28515625" style="60" customWidth="1"/>
    <col min="31" max="31" width="9.5703125" style="60" customWidth="1"/>
    <col min="32" max="32" width="14.28515625" style="60" customWidth="1"/>
    <col min="33" max="33" width="16.28515625" style="1003" customWidth="1"/>
    <col min="34" max="77" width="8.85546875" style="1003"/>
    <col min="78" max="78" width="0" style="1003" hidden="1" customWidth="1"/>
    <col min="79" max="16384" width="8.85546875" style="1003"/>
  </cols>
  <sheetData>
    <row r="1" spans="1:80" ht="10.5" customHeight="1"/>
    <row r="2" spans="1:80" ht="38.25" customHeight="1">
      <c r="A2" s="2468" t="s">
        <v>2980</v>
      </c>
      <c r="B2" s="2468"/>
      <c r="C2" s="2468"/>
      <c r="D2" s="2468"/>
      <c r="E2" s="2468"/>
      <c r="F2" s="2468"/>
      <c r="G2" s="2468"/>
      <c r="H2" s="2468"/>
      <c r="I2" s="2468"/>
      <c r="J2" s="2468"/>
      <c r="K2" s="2468"/>
      <c r="L2" s="2468"/>
      <c r="M2" s="2468"/>
      <c r="N2" s="2468"/>
      <c r="O2" s="2468"/>
      <c r="P2" s="2468"/>
      <c r="Q2" s="2468"/>
      <c r="R2" s="2468"/>
      <c r="S2" s="2468"/>
      <c r="T2" s="2468"/>
      <c r="U2" s="2468"/>
      <c r="V2" s="2468"/>
      <c r="W2" s="2468"/>
      <c r="X2" s="2468"/>
      <c r="Y2" s="2468"/>
      <c r="Z2" s="2468"/>
      <c r="AA2" s="2468"/>
      <c r="AB2" s="2468"/>
      <c r="AC2" s="2468"/>
      <c r="AD2" s="2468"/>
      <c r="AE2" s="2468"/>
      <c r="AF2" s="2468"/>
      <c r="AG2" s="2468"/>
    </row>
    <row r="3" spans="1:80" ht="38.25" customHeight="1">
      <c r="A3" s="2469" t="s">
        <v>2979</v>
      </c>
      <c r="B3" s="2469"/>
      <c r="C3" s="2469"/>
      <c r="D3" s="2469"/>
      <c r="E3" s="2469"/>
      <c r="F3" s="2469"/>
      <c r="G3" s="2469"/>
      <c r="H3" s="2469"/>
      <c r="I3" s="2469"/>
      <c r="J3" s="2469"/>
      <c r="K3" s="2469"/>
      <c r="L3" s="2469"/>
      <c r="M3" s="2469"/>
      <c r="N3" s="2469"/>
      <c r="O3" s="2469"/>
      <c r="P3" s="2469"/>
      <c r="Q3" s="2469"/>
      <c r="R3" s="2469"/>
      <c r="S3" s="2469"/>
      <c r="T3" s="2469"/>
      <c r="U3" s="2469"/>
      <c r="V3" s="2469"/>
      <c r="W3" s="2469"/>
      <c r="X3" s="2469"/>
      <c r="Y3" s="2469"/>
      <c r="Z3" s="2469"/>
      <c r="AA3" s="2469"/>
      <c r="AB3" s="2469"/>
      <c r="AC3" s="2469"/>
      <c r="AD3" s="2469"/>
      <c r="AE3" s="2469"/>
      <c r="AF3" s="2469"/>
      <c r="AG3" s="2469"/>
    </row>
    <row r="4" spans="1:80" ht="15.75" customHeight="1">
      <c r="A4" s="1005"/>
      <c r="B4" s="1005"/>
      <c r="C4" s="1005"/>
      <c r="D4" s="1005"/>
      <c r="E4" s="1005"/>
      <c r="F4" s="1005"/>
      <c r="G4" s="1005"/>
      <c r="H4" s="1005"/>
      <c r="I4" s="1005"/>
      <c r="J4" s="1005"/>
      <c r="K4" s="1005"/>
      <c r="L4" s="1005"/>
      <c r="M4" s="1005"/>
      <c r="N4" s="1005"/>
      <c r="O4" s="1005"/>
      <c r="P4" s="1005"/>
      <c r="Q4" s="1005"/>
      <c r="R4" s="1005"/>
      <c r="S4" s="1005"/>
      <c r="T4" s="1005"/>
      <c r="U4" s="1005"/>
      <c r="V4" s="1005"/>
      <c r="W4" s="1005"/>
      <c r="X4" s="1005"/>
      <c r="Y4" s="1005"/>
      <c r="Z4" s="1005"/>
      <c r="AA4" s="1005"/>
      <c r="AB4" s="1005"/>
      <c r="AC4" s="1005"/>
      <c r="AD4" s="1005"/>
      <c r="AE4" s="1005"/>
      <c r="AF4" s="1005"/>
      <c r="AG4" s="1005"/>
    </row>
    <row r="5" spans="1:80" ht="15.75" customHeight="1">
      <c r="A5" s="2470" t="s">
        <v>8</v>
      </c>
      <c r="B5" s="2470"/>
      <c r="C5" s="2470"/>
      <c r="D5" s="2470"/>
      <c r="E5" s="2470"/>
      <c r="F5" s="2470"/>
      <c r="G5" s="2470"/>
      <c r="H5" s="2470"/>
      <c r="I5" s="2470"/>
      <c r="J5" s="2470"/>
      <c r="K5" s="2470"/>
      <c r="L5" s="2470"/>
      <c r="M5" s="2470"/>
      <c r="N5" s="2470"/>
      <c r="O5" s="2470"/>
      <c r="P5" s="2470"/>
      <c r="Q5" s="2470"/>
      <c r="R5" s="2470"/>
      <c r="S5" s="2470"/>
      <c r="T5" s="2470"/>
      <c r="U5" s="2470"/>
      <c r="V5" s="2470"/>
      <c r="W5" s="2470"/>
      <c r="X5" s="2470"/>
      <c r="Y5" s="2470"/>
      <c r="Z5" s="2470"/>
      <c r="AA5" s="2470"/>
      <c r="AB5" s="2470"/>
      <c r="AC5" s="2470"/>
      <c r="AD5" s="2470"/>
      <c r="AE5" s="2470"/>
      <c r="AF5" s="2470"/>
      <c r="AG5" s="2470"/>
    </row>
    <row r="6" spans="1:80" s="1006" customFormat="1" ht="22.5" customHeight="1">
      <c r="A6" s="2471" t="s">
        <v>182</v>
      </c>
      <c r="B6" s="2472" t="s">
        <v>2978</v>
      </c>
      <c r="C6" s="2472"/>
      <c r="D6" s="2472"/>
      <c r="E6" s="2472" t="s">
        <v>2445</v>
      </c>
      <c r="F6" s="2472"/>
      <c r="G6" s="2472"/>
      <c r="H6" s="2472"/>
      <c r="I6" s="2472"/>
      <c r="J6" s="2472"/>
      <c r="K6" s="2472"/>
      <c r="L6" s="2472"/>
      <c r="M6" s="2472"/>
      <c r="N6" s="2472"/>
      <c r="O6" s="2472"/>
      <c r="P6" s="2472"/>
      <c r="Q6" s="2472"/>
      <c r="R6" s="2472"/>
      <c r="S6" s="2472"/>
      <c r="T6" s="2472"/>
      <c r="U6" s="2472"/>
      <c r="V6" s="2472"/>
      <c r="W6" s="2472"/>
      <c r="X6" s="2472"/>
      <c r="Y6" s="2472"/>
      <c r="Z6" s="2472"/>
      <c r="AA6" s="2472"/>
      <c r="AB6" s="2472"/>
      <c r="AC6" s="2472"/>
      <c r="AD6" s="2472"/>
      <c r="AE6" s="2472"/>
      <c r="AF6" s="2472"/>
      <c r="AG6" s="2471" t="s">
        <v>165</v>
      </c>
      <c r="CA6" s="1007"/>
      <c r="CB6" s="1008"/>
    </row>
    <row r="7" spans="1:80" s="1006" customFormat="1" ht="13.9" customHeight="1">
      <c r="A7" s="2471"/>
      <c r="B7" s="2472"/>
      <c r="C7" s="2472"/>
      <c r="D7" s="2472"/>
      <c r="E7" s="2452" t="s">
        <v>166</v>
      </c>
      <c r="F7" s="2453"/>
      <c r="G7" s="2452" t="s">
        <v>2604</v>
      </c>
      <c r="H7" s="2453"/>
      <c r="I7" s="2452" t="s">
        <v>2402</v>
      </c>
      <c r="J7" s="2453"/>
      <c r="K7" s="2452" t="s">
        <v>2403</v>
      </c>
      <c r="L7" s="2453"/>
      <c r="M7" s="2452" t="s">
        <v>167</v>
      </c>
      <c r="N7" s="2453"/>
      <c r="O7" s="2452" t="s">
        <v>2404</v>
      </c>
      <c r="P7" s="2453"/>
      <c r="Q7" s="2456" t="s">
        <v>168</v>
      </c>
      <c r="R7" s="2457"/>
      <c r="S7" s="2452" t="s">
        <v>2605</v>
      </c>
      <c r="T7" s="2453"/>
      <c r="U7" s="2452" t="s">
        <v>2606</v>
      </c>
      <c r="V7" s="2453"/>
      <c r="W7" s="2456" t="s">
        <v>169</v>
      </c>
      <c r="X7" s="2457"/>
      <c r="Y7" s="2460" t="s">
        <v>170</v>
      </c>
      <c r="Z7" s="2461"/>
      <c r="AA7" s="2464" t="s">
        <v>2607</v>
      </c>
      <c r="AB7" s="2465"/>
      <c r="AC7" s="2460" t="s">
        <v>171</v>
      </c>
      <c r="AD7" s="2461"/>
      <c r="AE7" s="2460" t="s">
        <v>1053</v>
      </c>
      <c r="AF7" s="2461"/>
      <c r="AG7" s="2471"/>
      <c r="CB7" s="1009"/>
    </row>
    <row r="8" spans="1:80" s="1006" customFormat="1" ht="59.25" customHeight="1">
      <c r="A8" s="2471"/>
      <c r="B8" s="2472"/>
      <c r="C8" s="2472"/>
      <c r="D8" s="2472"/>
      <c r="E8" s="2454"/>
      <c r="F8" s="2455"/>
      <c r="G8" s="2454"/>
      <c r="H8" s="2455"/>
      <c r="I8" s="2454"/>
      <c r="J8" s="2455"/>
      <c r="K8" s="2454"/>
      <c r="L8" s="2455"/>
      <c r="M8" s="2454"/>
      <c r="N8" s="2455"/>
      <c r="O8" s="2454"/>
      <c r="P8" s="2455"/>
      <c r="Q8" s="2458"/>
      <c r="R8" s="2459"/>
      <c r="S8" s="2454"/>
      <c r="T8" s="2455"/>
      <c r="U8" s="2454"/>
      <c r="V8" s="2455"/>
      <c r="W8" s="2458"/>
      <c r="X8" s="2459"/>
      <c r="Y8" s="2462"/>
      <c r="Z8" s="2463"/>
      <c r="AA8" s="2466"/>
      <c r="AB8" s="2467"/>
      <c r="AC8" s="2462"/>
      <c r="AD8" s="2463"/>
      <c r="AE8" s="2462"/>
      <c r="AF8" s="2463"/>
      <c r="AG8" s="2471"/>
      <c r="CB8" s="1009"/>
    </row>
    <row r="9" spans="1:80" s="1011" customFormat="1" ht="54.75" customHeight="1">
      <c r="A9" s="2471"/>
      <c r="B9" s="1010" t="s">
        <v>155</v>
      </c>
      <c r="C9" s="1010" t="s">
        <v>2976</v>
      </c>
      <c r="D9" s="1010" t="s">
        <v>2975</v>
      </c>
      <c r="E9" s="1010" t="s">
        <v>2971</v>
      </c>
      <c r="F9" s="1010" t="s">
        <v>2977</v>
      </c>
      <c r="G9" s="1010" t="s">
        <v>2971</v>
      </c>
      <c r="H9" s="1010" t="s">
        <v>2977</v>
      </c>
      <c r="I9" s="1010" t="s">
        <v>2971</v>
      </c>
      <c r="J9" s="1010" t="s">
        <v>2977</v>
      </c>
      <c r="K9" s="1010" t="s">
        <v>2971</v>
      </c>
      <c r="L9" s="1010" t="s">
        <v>2977</v>
      </c>
      <c r="M9" s="1010" t="s">
        <v>2971</v>
      </c>
      <c r="N9" s="1010" t="s">
        <v>2977</v>
      </c>
      <c r="O9" s="1010" t="s">
        <v>2971</v>
      </c>
      <c r="P9" s="1010" t="s">
        <v>2977</v>
      </c>
      <c r="Q9" s="1010" t="s">
        <v>2971</v>
      </c>
      <c r="R9" s="1010" t="s">
        <v>2977</v>
      </c>
      <c r="S9" s="1010" t="s">
        <v>2971</v>
      </c>
      <c r="T9" s="1010" t="s">
        <v>2977</v>
      </c>
      <c r="U9" s="1010" t="s">
        <v>2971</v>
      </c>
      <c r="V9" s="1010" t="s">
        <v>2977</v>
      </c>
      <c r="W9" s="1010" t="s">
        <v>2971</v>
      </c>
      <c r="X9" s="1010" t="s">
        <v>2977</v>
      </c>
      <c r="Y9" s="1010" t="s">
        <v>2971</v>
      </c>
      <c r="Z9" s="1010" t="s">
        <v>2977</v>
      </c>
      <c r="AA9" s="1010" t="s">
        <v>2971</v>
      </c>
      <c r="AB9" s="1010" t="s">
        <v>2977</v>
      </c>
      <c r="AC9" s="1010" t="s">
        <v>2971</v>
      </c>
      <c r="AD9" s="1010" t="s">
        <v>2977</v>
      </c>
      <c r="AE9" s="1010" t="s">
        <v>2971</v>
      </c>
      <c r="AF9" s="1010" t="s">
        <v>2977</v>
      </c>
      <c r="AG9" s="2471"/>
      <c r="CB9" s="1012"/>
    </row>
    <row r="10" spans="1:80" s="1013" customFormat="1" ht="16.5" customHeight="1">
      <c r="A10" s="2451" t="s">
        <v>289</v>
      </c>
      <c r="B10" s="2450" t="s">
        <v>2974</v>
      </c>
      <c r="C10" s="2450"/>
      <c r="D10" s="2450"/>
      <c r="E10" s="2450" t="s">
        <v>1162</v>
      </c>
      <c r="F10" s="2450"/>
      <c r="G10" s="2450"/>
      <c r="H10" s="2450"/>
      <c r="I10" s="2450"/>
      <c r="J10" s="2450"/>
      <c r="K10" s="2450"/>
      <c r="L10" s="2450"/>
      <c r="M10" s="2450"/>
      <c r="N10" s="2450"/>
      <c r="O10" s="2450"/>
      <c r="P10" s="2450"/>
      <c r="Q10" s="2450"/>
      <c r="R10" s="2450"/>
      <c r="S10" s="2450"/>
      <c r="T10" s="2450"/>
      <c r="U10" s="2450"/>
      <c r="V10" s="2450"/>
      <c r="W10" s="2450"/>
      <c r="X10" s="2450"/>
      <c r="Y10" s="2450"/>
      <c r="Z10" s="2450"/>
      <c r="AA10" s="2450"/>
      <c r="AB10" s="2450"/>
      <c r="AC10" s="2450"/>
      <c r="AD10" s="2450"/>
      <c r="AE10" s="2450"/>
      <c r="AF10" s="2450"/>
      <c r="AG10" s="2448" t="s">
        <v>1163</v>
      </c>
      <c r="CB10" s="1014"/>
    </row>
    <row r="11" spans="1:80" s="1013" customFormat="1" ht="42.75" customHeight="1">
      <c r="A11" s="2451"/>
      <c r="B11" s="2450"/>
      <c r="C11" s="2450"/>
      <c r="D11" s="2450"/>
      <c r="E11" s="2450" t="s">
        <v>175</v>
      </c>
      <c r="F11" s="2450"/>
      <c r="G11" s="2450" t="s">
        <v>2608</v>
      </c>
      <c r="H11" s="2450"/>
      <c r="I11" s="2450" t="s">
        <v>2609</v>
      </c>
      <c r="J11" s="2450"/>
      <c r="K11" s="2450" t="s">
        <v>2611</v>
      </c>
      <c r="L11" s="2450"/>
      <c r="M11" s="2450" t="s">
        <v>176</v>
      </c>
      <c r="N11" s="2450"/>
      <c r="O11" s="2450" t="s">
        <v>2612</v>
      </c>
      <c r="P11" s="2450"/>
      <c r="Q11" s="2450" t="s">
        <v>2973</v>
      </c>
      <c r="R11" s="2450"/>
      <c r="S11" s="2450" t="s">
        <v>2610</v>
      </c>
      <c r="T11" s="2450"/>
      <c r="U11" s="2450" t="s">
        <v>2613</v>
      </c>
      <c r="V11" s="2450"/>
      <c r="W11" s="2450" t="s">
        <v>178</v>
      </c>
      <c r="X11" s="2450"/>
      <c r="Y11" s="2450" t="s">
        <v>2972</v>
      </c>
      <c r="Z11" s="2450"/>
      <c r="AA11" s="2450" t="s">
        <v>1055</v>
      </c>
      <c r="AB11" s="2450"/>
      <c r="AC11" s="2450" t="s">
        <v>1056</v>
      </c>
      <c r="AD11" s="2450"/>
      <c r="AE11" s="2450" t="s">
        <v>1053</v>
      </c>
      <c r="AF11" s="2450"/>
      <c r="AG11" s="2449"/>
      <c r="CB11" s="1014"/>
    </row>
    <row r="12" spans="1:80" s="1013" customFormat="1" ht="35.25" customHeight="1">
      <c r="A12" s="2451"/>
      <c r="B12" s="1015" t="s">
        <v>105</v>
      </c>
      <c r="C12" s="1015" t="s">
        <v>2992</v>
      </c>
      <c r="D12" s="1016" t="s">
        <v>179</v>
      </c>
      <c r="E12" s="1015" t="s">
        <v>2971</v>
      </c>
      <c r="F12" s="1015" t="s">
        <v>2970</v>
      </c>
      <c r="G12" s="1015" t="s">
        <v>2971</v>
      </c>
      <c r="H12" s="1015" t="s">
        <v>2970</v>
      </c>
      <c r="I12" s="1015" t="s">
        <v>2971</v>
      </c>
      <c r="J12" s="1015" t="s">
        <v>2970</v>
      </c>
      <c r="K12" s="1015" t="s">
        <v>2971</v>
      </c>
      <c r="L12" s="1015" t="s">
        <v>2970</v>
      </c>
      <c r="M12" s="1015" t="s">
        <v>2971</v>
      </c>
      <c r="N12" s="1015" t="s">
        <v>2970</v>
      </c>
      <c r="O12" s="1015" t="s">
        <v>2971</v>
      </c>
      <c r="P12" s="1015" t="s">
        <v>2970</v>
      </c>
      <c r="Q12" s="1015" t="s">
        <v>2971</v>
      </c>
      <c r="R12" s="1015" t="s">
        <v>2970</v>
      </c>
      <c r="S12" s="1015" t="s">
        <v>2971</v>
      </c>
      <c r="T12" s="1015" t="s">
        <v>2970</v>
      </c>
      <c r="U12" s="1015" t="s">
        <v>2971</v>
      </c>
      <c r="V12" s="1015" t="s">
        <v>2970</v>
      </c>
      <c r="W12" s="1015" t="s">
        <v>2971</v>
      </c>
      <c r="X12" s="1015" t="s">
        <v>2970</v>
      </c>
      <c r="Y12" s="1015" t="s">
        <v>2971</v>
      </c>
      <c r="Z12" s="1015" t="s">
        <v>2970</v>
      </c>
      <c r="AA12" s="1015" t="s">
        <v>2971</v>
      </c>
      <c r="AB12" s="1015" t="s">
        <v>2970</v>
      </c>
      <c r="AC12" s="1015" t="s">
        <v>2971</v>
      </c>
      <c r="AD12" s="1015" t="s">
        <v>2970</v>
      </c>
      <c r="AE12" s="1015" t="s">
        <v>2971</v>
      </c>
      <c r="AF12" s="1015" t="s">
        <v>2970</v>
      </c>
      <c r="AG12" s="2449"/>
      <c r="CB12" s="1014"/>
    </row>
    <row r="13" spans="1:80" ht="15" customHeight="1">
      <c r="A13" s="1017" t="s">
        <v>2375</v>
      </c>
      <c r="B13" s="1017"/>
      <c r="C13" s="1017"/>
      <c r="D13" s="1017"/>
      <c r="E13" s="1018"/>
      <c r="F13" s="1018"/>
      <c r="G13" s="1018"/>
      <c r="H13" s="1018"/>
      <c r="I13" s="1018"/>
      <c r="J13" s="1018"/>
      <c r="K13" s="1018"/>
      <c r="L13" s="1018"/>
      <c r="M13" s="1018"/>
      <c r="N13" s="1018"/>
      <c r="O13" s="1018"/>
      <c r="P13" s="1018"/>
      <c r="Q13" s="1018"/>
      <c r="R13" s="1018"/>
      <c r="S13" s="1018"/>
      <c r="T13" s="1018"/>
      <c r="U13" s="1018"/>
      <c r="V13" s="1018"/>
      <c r="W13" s="1018"/>
      <c r="X13" s="1018"/>
      <c r="Y13" s="1018"/>
      <c r="Z13" s="1018"/>
      <c r="AA13" s="1018"/>
      <c r="AB13" s="1018"/>
      <c r="AC13" s="1018"/>
      <c r="AD13" s="1018"/>
      <c r="AE13" s="1018"/>
      <c r="AF13" s="1018"/>
      <c r="AG13" s="1018"/>
    </row>
    <row r="14" spans="1:80" ht="15" customHeight="1">
      <c r="A14" s="1017" t="s">
        <v>18</v>
      </c>
      <c r="B14" s="1018">
        <v>15513.610178430001</v>
      </c>
      <c r="C14" s="1018">
        <v>1306.8619599600004</v>
      </c>
      <c r="D14" s="1019">
        <f>C14/B14*100</f>
        <v>8.4239705969732999</v>
      </c>
      <c r="E14" s="1020">
        <v>2414.2416905399996</v>
      </c>
      <c r="F14" s="1020">
        <v>12.63777533</v>
      </c>
      <c r="G14" s="1020">
        <v>622.88632794000011</v>
      </c>
      <c r="H14" s="1020">
        <v>6.5194999999999999</v>
      </c>
      <c r="I14" s="1020">
        <v>482.03446362000005</v>
      </c>
      <c r="J14" s="1020">
        <v>58.257205120000002</v>
      </c>
      <c r="K14" s="1020">
        <v>466.63706786</v>
      </c>
      <c r="L14" s="1020">
        <v>0</v>
      </c>
      <c r="M14" s="1020">
        <v>1135.2953768500001</v>
      </c>
      <c r="N14" s="1020">
        <v>3.2130904600000001</v>
      </c>
      <c r="O14" s="1020">
        <v>1177.10613827</v>
      </c>
      <c r="P14" s="1020">
        <v>0.41225699999999998</v>
      </c>
      <c r="Q14" s="1020">
        <v>6768.8706715900007</v>
      </c>
      <c r="R14" s="1020">
        <v>236.12697776000002</v>
      </c>
      <c r="S14" s="1020">
        <v>38.46201275</v>
      </c>
      <c r="T14" s="1020">
        <v>0.1963</v>
      </c>
      <c r="U14" s="1020">
        <v>1.09727281</v>
      </c>
      <c r="V14" s="1020">
        <v>0</v>
      </c>
      <c r="W14" s="1020">
        <v>648.99629937000088</v>
      </c>
      <c r="X14" s="1020">
        <v>19.574868360000018</v>
      </c>
      <c r="Y14" s="1020">
        <v>22.149604879999998</v>
      </c>
      <c r="Z14" s="1020">
        <v>0</v>
      </c>
      <c r="AA14" s="1020">
        <v>1.42187361</v>
      </c>
      <c r="AB14" s="1020">
        <v>0</v>
      </c>
      <c r="AC14" s="1020">
        <v>32.041896259999994</v>
      </c>
      <c r="AD14" s="1020">
        <v>0</v>
      </c>
      <c r="AE14" s="1020">
        <v>58.569548089999998</v>
      </c>
      <c r="AF14" s="1020">
        <v>0</v>
      </c>
      <c r="AG14" s="1020">
        <v>340.32591054999995</v>
      </c>
    </row>
    <row r="15" spans="1:80" ht="15" customHeight="1">
      <c r="A15" s="1017" t="s">
        <v>19</v>
      </c>
      <c r="B15" s="1018">
        <v>15696.35984816</v>
      </c>
      <c r="C15" s="1018">
        <v>1297.7919746600001</v>
      </c>
      <c r="D15" s="1019">
        <f>C15/B15*100</f>
        <v>8.2681079384920775</v>
      </c>
      <c r="E15" s="1020">
        <v>2509.13364744</v>
      </c>
      <c r="F15" s="1020">
        <v>12.63777533</v>
      </c>
      <c r="G15" s="1020">
        <v>619.72263909000003</v>
      </c>
      <c r="H15" s="1020">
        <v>6.5194999999999999</v>
      </c>
      <c r="I15" s="1020">
        <v>476.02636567000002</v>
      </c>
      <c r="J15" s="1020">
        <v>58.257205120000002</v>
      </c>
      <c r="K15" s="1020">
        <v>464.59826734000001</v>
      </c>
      <c r="L15" s="1020">
        <v>0</v>
      </c>
      <c r="M15" s="1020">
        <v>1132.1902052399998</v>
      </c>
      <c r="N15" s="1020">
        <v>3.2130904600000001</v>
      </c>
      <c r="O15" s="1020">
        <v>1172.1177573999998</v>
      </c>
      <c r="P15" s="1020">
        <v>0.41225699999999998</v>
      </c>
      <c r="Q15" s="1020">
        <v>6863.4079564399999</v>
      </c>
      <c r="R15" s="1020">
        <v>236.12697776000002</v>
      </c>
      <c r="S15" s="1020">
        <v>29.683142759999999</v>
      </c>
      <c r="T15" s="1020">
        <v>0.1963</v>
      </c>
      <c r="U15" s="1020">
        <v>0.91211142000000001</v>
      </c>
      <c r="V15" s="1020">
        <v>0</v>
      </c>
      <c r="W15" s="1020">
        <v>676.40979200000038</v>
      </c>
      <c r="X15" s="1020">
        <v>19.574868360000018</v>
      </c>
      <c r="Y15" s="1020">
        <v>22.525823389999999</v>
      </c>
      <c r="Z15" s="1020">
        <v>0</v>
      </c>
      <c r="AA15" s="1020">
        <v>2.1686598300000002</v>
      </c>
      <c r="AB15" s="1020">
        <v>0</v>
      </c>
      <c r="AC15" s="1020">
        <v>31.934630070000001</v>
      </c>
      <c r="AD15" s="1020">
        <v>0</v>
      </c>
      <c r="AE15" s="1020">
        <v>60.798901380000004</v>
      </c>
      <c r="AF15" s="1020">
        <v>0</v>
      </c>
      <c r="AG15" s="1020">
        <v>380.30935400999994</v>
      </c>
    </row>
    <row r="16" spans="1:80" ht="15" customHeight="1">
      <c r="A16" s="1017" t="s">
        <v>20</v>
      </c>
      <c r="B16" s="1018">
        <v>15637.419790710004</v>
      </c>
      <c r="C16" s="1018">
        <v>1386.7515801299999</v>
      </c>
      <c r="D16" s="1019">
        <f>C16/B16*100</f>
        <v>8.868161107715812</v>
      </c>
      <c r="E16" s="1020">
        <v>2491.16302649</v>
      </c>
      <c r="F16" s="1020">
        <v>16.335075500000002</v>
      </c>
      <c r="G16" s="1020">
        <v>618.83212729000013</v>
      </c>
      <c r="H16" s="1020">
        <v>8.2195</v>
      </c>
      <c r="I16" s="1020">
        <v>477.48468552999998</v>
      </c>
      <c r="J16" s="1020">
        <v>49.985756860000002</v>
      </c>
      <c r="K16" s="1020">
        <v>468.44416342</v>
      </c>
      <c r="L16" s="1020">
        <v>0</v>
      </c>
      <c r="M16" s="1020">
        <v>1123.7267305099999</v>
      </c>
      <c r="N16" s="1020">
        <v>5.4507941799999999</v>
      </c>
      <c r="O16" s="1020">
        <v>1168.1839398400002</v>
      </c>
      <c r="P16" s="1020">
        <v>0.36818300000000004</v>
      </c>
      <c r="Q16" s="1020">
        <v>6713.4936255599996</v>
      </c>
      <c r="R16" s="1020">
        <v>247.25936539999998</v>
      </c>
      <c r="S16" s="1020">
        <v>21.88924733</v>
      </c>
      <c r="T16" s="1020">
        <v>0.1963</v>
      </c>
      <c r="U16" s="1020">
        <v>0.87011189000000011</v>
      </c>
      <c r="V16" s="1020">
        <v>0</v>
      </c>
      <c r="W16" s="1020">
        <v>700.58631011000614</v>
      </c>
      <c r="X16" s="1020">
        <v>17.787493460000071</v>
      </c>
      <c r="Y16" s="1020">
        <v>21.527021420000001</v>
      </c>
      <c r="Z16" s="1020">
        <v>0</v>
      </c>
      <c r="AA16" s="1020">
        <v>2.8118310100000001</v>
      </c>
      <c r="AB16" s="1020">
        <v>0</v>
      </c>
      <c r="AC16" s="1020">
        <v>33.808806990000001</v>
      </c>
      <c r="AD16" s="1020">
        <v>0</v>
      </c>
      <c r="AE16" s="1020">
        <v>62.244114789999998</v>
      </c>
      <c r="AF16" s="1020">
        <v>0</v>
      </c>
      <c r="AG16" s="1020">
        <v>438.66103153000006</v>
      </c>
    </row>
    <row r="17" spans="1:33" ht="15" customHeight="1">
      <c r="A17" s="1017" t="s">
        <v>21</v>
      </c>
      <c r="B17" s="1018">
        <v>15146.8</v>
      </c>
      <c r="C17" s="1018">
        <v>1232.4418596000003</v>
      </c>
      <c r="D17" s="1019">
        <v>8.1366227187470628</v>
      </c>
      <c r="E17" s="1020">
        <v>2438.4841425700001</v>
      </c>
      <c r="F17" s="1020">
        <v>16.335075500000002</v>
      </c>
      <c r="G17" s="1020">
        <v>615.28646822999997</v>
      </c>
      <c r="H17" s="1020">
        <v>8.2195</v>
      </c>
      <c r="I17" s="1020">
        <v>533.32108911</v>
      </c>
      <c r="J17" s="1020">
        <v>49.985756860000002</v>
      </c>
      <c r="K17" s="1020">
        <v>457.99721402000006</v>
      </c>
      <c r="L17" s="1020">
        <v>0</v>
      </c>
      <c r="M17" s="1020">
        <v>1132.2547219600001</v>
      </c>
      <c r="N17" s="1020">
        <v>5.4507941799999999</v>
      </c>
      <c r="O17" s="1020">
        <v>1101.1423324299999</v>
      </c>
      <c r="P17" s="1020">
        <v>0.36818300000000004</v>
      </c>
      <c r="Q17" s="1020">
        <v>6456.9184454100005</v>
      </c>
      <c r="R17" s="1020">
        <v>247.25936539999998</v>
      </c>
      <c r="S17" s="1020">
        <v>21.84150567</v>
      </c>
      <c r="T17" s="1020">
        <v>0.1963</v>
      </c>
      <c r="U17" s="1020">
        <v>0.9398473100000001</v>
      </c>
      <c r="V17" s="1020">
        <v>0</v>
      </c>
      <c r="W17" s="1020">
        <v>693.85578610999789</v>
      </c>
      <c r="X17" s="1020">
        <v>17.787493460000071</v>
      </c>
      <c r="Y17" s="1020">
        <v>21.27810659</v>
      </c>
      <c r="Z17" s="1020">
        <v>0</v>
      </c>
      <c r="AA17" s="1020">
        <v>2.0920272899999999</v>
      </c>
      <c r="AB17" s="1020">
        <v>0</v>
      </c>
      <c r="AC17" s="1020">
        <v>32.488884880000001</v>
      </c>
      <c r="AD17" s="1020">
        <v>0</v>
      </c>
      <c r="AE17" s="1020">
        <v>60.855100419999999</v>
      </c>
      <c r="AF17" s="1020">
        <v>0</v>
      </c>
      <c r="AG17" s="1020">
        <v>379.41717933000007</v>
      </c>
    </row>
    <row r="18" spans="1:33" ht="15" customHeight="1">
      <c r="A18" s="1017" t="s">
        <v>22</v>
      </c>
      <c r="B18" s="1018">
        <v>14765.7</v>
      </c>
      <c r="C18" s="1018">
        <v>1084.8214846800001</v>
      </c>
      <c r="D18" s="1019">
        <v>7.3468984276062175</v>
      </c>
      <c r="E18" s="1020">
        <v>2397.2323801900002</v>
      </c>
      <c r="F18" s="1020">
        <v>16.335075500000002</v>
      </c>
      <c r="G18" s="1020">
        <v>614.95264886999996</v>
      </c>
      <c r="H18" s="1020">
        <v>8.2195</v>
      </c>
      <c r="I18" s="1020">
        <v>532.95972023000002</v>
      </c>
      <c r="J18" s="1020">
        <v>49.985756860000002</v>
      </c>
      <c r="K18" s="1020">
        <v>426.51841343000001</v>
      </c>
      <c r="L18" s="1020">
        <v>0</v>
      </c>
      <c r="M18" s="1020">
        <v>1153.8423967900001</v>
      </c>
      <c r="N18" s="1020">
        <v>5.4507941799999999</v>
      </c>
      <c r="O18" s="1020">
        <v>961.53081285999986</v>
      </c>
      <c r="P18" s="1020">
        <v>0.36818300000000004</v>
      </c>
      <c r="Q18" s="1020">
        <v>6328.02045034</v>
      </c>
      <c r="R18" s="1020">
        <v>247.25936539999998</v>
      </c>
      <c r="S18" s="1020">
        <v>21.86739691</v>
      </c>
      <c r="T18" s="1020">
        <v>0.1963</v>
      </c>
      <c r="U18" s="1020">
        <v>0.84922034000000002</v>
      </c>
      <c r="V18" s="1020">
        <v>0</v>
      </c>
      <c r="W18" s="1020">
        <v>789.95859090999954</v>
      </c>
      <c r="X18" s="1020">
        <v>17.787493460000071</v>
      </c>
      <c r="Y18" s="1020">
        <v>24.635880090000001</v>
      </c>
      <c r="Z18" s="1020">
        <v>0</v>
      </c>
      <c r="AA18" s="1020">
        <v>2.3880537299999998</v>
      </c>
      <c r="AB18" s="1020">
        <v>0</v>
      </c>
      <c r="AC18" s="1020">
        <v>30.33864049</v>
      </c>
      <c r="AD18" s="1020">
        <v>0</v>
      </c>
      <c r="AE18" s="1020">
        <v>50.181441739999997</v>
      </c>
      <c r="AF18" s="1020">
        <v>0</v>
      </c>
      <c r="AG18" s="1020">
        <v>328.48196079000002</v>
      </c>
    </row>
    <row r="19" spans="1:33" ht="15" customHeight="1">
      <c r="A19" s="1017" t="s">
        <v>23</v>
      </c>
      <c r="B19" s="1018">
        <v>14550.65617651</v>
      </c>
      <c r="C19" s="1018">
        <v>1065.51597606</v>
      </c>
      <c r="D19" s="1019">
        <f t="shared" ref="D19:D25" si="0">C19/B19*100</f>
        <v>7.3228036119781761</v>
      </c>
      <c r="E19" s="1020">
        <v>2378.5687752399999</v>
      </c>
      <c r="F19" s="1020">
        <v>16.409448959999999</v>
      </c>
      <c r="G19" s="1020">
        <v>551.70009227000003</v>
      </c>
      <c r="H19" s="1020">
        <v>10.54</v>
      </c>
      <c r="I19" s="1020">
        <v>524.94022820999999</v>
      </c>
      <c r="J19" s="1020">
        <v>27.794923600000001</v>
      </c>
      <c r="K19" s="1020">
        <v>420.78440397000003</v>
      </c>
      <c r="L19" s="1020">
        <v>0</v>
      </c>
      <c r="M19" s="1020">
        <v>1164.4747104199998</v>
      </c>
      <c r="N19" s="1020">
        <v>7.36333371</v>
      </c>
      <c r="O19" s="1020">
        <v>915.38829026000008</v>
      </c>
      <c r="P19" s="1020">
        <v>0.34300000000000003</v>
      </c>
      <c r="Q19" s="1020">
        <v>6300.7536029399989</v>
      </c>
      <c r="R19" s="1020">
        <v>239.29632063000003</v>
      </c>
      <c r="S19" s="1020">
        <v>21.8536298</v>
      </c>
      <c r="T19" s="1020">
        <v>0.18129999999999999</v>
      </c>
      <c r="U19" s="1020">
        <v>0.84922034000000002</v>
      </c>
      <c r="V19" s="1020">
        <v>0</v>
      </c>
      <c r="W19" s="1020">
        <v>790.16273786000045</v>
      </c>
      <c r="X19" s="1020">
        <v>17.973708639999931</v>
      </c>
      <c r="Y19" s="1020">
        <v>23.671721489999999</v>
      </c>
      <c r="Z19" s="1020">
        <v>0</v>
      </c>
      <c r="AA19" s="1020">
        <v>2.07621023</v>
      </c>
      <c r="AB19" s="1020">
        <v>0</v>
      </c>
      <c r="AC19" s="1020">
        <v>27.111899879999999</v>
      </c>
      <c r="AD19" s="1020">
        <v>3.1752000000000002E-2</v>
      </c>
      <c r="AE19" s="1020">
        <v>42.870890000000003</v>
      </c>
      <c r="AF19" s="1020">
        <v>0</v>
      </c>
      <c r="AG19" s="1020">
        <v>321.80638771000002</v>
      </c>
    </row>
    <row r="20" spans="1:33" ht="15" customHeight="1">
      <c r="A20" s="1017" t="s">
        <v>24</v>
      </c>
      <c r="B20" s="1018">
        <v>14585.314835289999</v>
      </c>
      <c r="C20" s="1018">
        <v>1062.4228878200001</v>
      </c>
      <c r="D20" s="1019">
        <f t="shared" si="0"/>
        <v>7.2841957806039774</v>
      </c>
      <c r="E20" s="1020">
        <v>2362.6748973000003</v>
      </c>
      <c r="F20" s="1020">
        <v>16.409448959999999</v>
      </c>
      <c r="G20" s="1020">
        <v>553.27334117999999</v>
      </c>
      <c r="H20" s="1020">
        <v>10.54</v>
      </c>
      <c r="I20" s="1020">
        <v>525.54540322000003</v>
      </c>
      <c r="J20" s="1020">
        <v>27.794923600000001</v>
      </c>
      <c r="K20" s="1020">
        <v>428.79080331</v>
      </c>
      <c r="L20" s="1020">
        <v>0</v>
      </c>
      <c r="M20" s="1020">
        <v>1183.6976434199998</v>
      </c>
      <c r="N20" s="1020">
        <v>7.36333371</v>
      </c>
      <c r="O20" s="1020">
        <v>917.40482293999992</v>
      </c>
      <c r="P20" s="1020">
        <v>0.34300000000000003</v>
      </c>
      <c r="Q20" s="1020">
        <v>6321.2446722200002</v>
      </c>
      <c r="R20" s="1020">
        <v>239.29632063000003</v>
      </c>
      <c r="S20" s="1020">
        <v>23.083901919999999</v>
      </c>
      <c r="T20" s="1020">
        <v>0.18129999999999999</v>
      </c>
      <c r="U20" s="1020">
        <v>0.84922034000000002</v>
      </c>
      <c r="V20" s="1020">
        <v>0</v>
      </c>
      <c r="W20" s="1020">
        <v>792.41411878999861</v>
      </c>
      <c r="X20" s="1020">
        <v>17.973708639999931</v>
      </c>
      <c r="Y20" s="1020">
        <v>24.128914219999999</v>
      </c>
      <c r="Z20" s="1020">
        <v>0</v>
      </c>
      <c r="AA20" s="1020">
        <v>2.1125600200000001</v>
      </c>
      <c r="AB20" s="1020">
        <v>0</v>
      </c>
      <c r="AC20" s="1020">
        <v>24.82214767</v>
      </c>
      <c r="AD20" s="1020">
        <v>3.1752000000000002E-2</v>
      </c>
      <c r="AE20" s="1020">
        <v>42.91571338</v>
      </c>
      <c r="AF20" s="1020">
        <v>0</v>
      </c>
      <c r="AG20" s="1020">
        <v>320.60784153999998</v>
      </c>
    </row>
    <row r="21" spans="1:33" ht="15" customHeight="1">
      <c r="A21" s="1017" t="s">
        <v>25</v>
      </c>
      <c r="B21" s="1018">
        <v>14685.09807815</v>
      </c>
      <c r="C21" s="1018">
        <v>1065.4106116100002</v>
      </c>
      <c r="D21" s="1019">
        <f t="shared" si="0"/>
        <v>7.2550459379990633</v>
      </c>
      <c r="E21" s="1020">
        <v>2378.7448912700002</v>
      </c>
      <c r="F21" s="1020">
        <v>16.409448959999999</v>
      </c>
      <c r="G21" s="1020">
        <v>534.86959417999992</v>
      </c>
      <c r="H21" s="1020">
        <v>10.54</v>
      </c>
      <c r="I21" s="1020">
        <v>529.93283752000002</v>
      </c>
      <c r="J21" s="1020">
        <v>27.794923600000001</v>
      </c>
      <c r="K21" s="1020">
        <v>433.14310065000006</v>
      </c>
      <c r="L21" s="1020">
        <v>0</v>
      </c>
      <c r="M21" s="1020">
        <v>1187.6001615399998</v>
      </c>
      <c r="N21" s="1020">
        <v>7.36333371</v>
      </c>
      <c r="O21" s="1020">
        <v>901.43872137000005</v>
      </c>
      <c r="P21" s="1020">
        <v>0.34300000000000003</v>
      </c>
      <c r="Q21" s="1020">
        <v>6420.2874057599984</v>
      </c>
      <c r="R21" s="1020">
        <v>239.29632063000003</v>
      </c>
      <c r="S21" s="1020">
        <v>22.210392549999998</v>
      </c>
      <c r="T21" s="1020">
        <v>0.18129999999999999</v>
      </c>
      <c r="U21" s="1020">
        <v>0.82019887999999996</v>
      </c>
      <c r="V21" s="1020">
        <v>0</v>
      </c>
      <c r="W21" s="1020">
        <v>795.34511342000008</v>
      </c>
      <c r="X21" s="1020">
        <v>17.973708639999931</v>
      </c>
      <c r="Y21" s="1020">
        <v>26.211952490000002</v>
      </c>
      <c r="Z21" s="1020">
        <v>0</v>
      </c>
      <c r="AA21" s="1020">
        <v>2.35648737</v>
      </c>
      <c r="AB21" s="1020">
        <v>0</v>
      </c>
      <c r="AC21" s="1020">
        <v>24.204323889999998</v>
      </c>
      <c r="AD21" s="1020">
        <v>3.1752000000000002E-2</v>
      </c>
      <c r="AE21" s="1020">
        <v>42.588498110000003</v>
      </c>
      <c r="AF21" s="1020">
        <v>0</v>
      </c>
      <c r="AG21" s="1020">
        <v>316.21093585</v>
      </c>
    </row>
    <row r="22" spans="1:33" ht="15" customHeight="1">
      <c r="A22" s="1017" t="s">
        <v>26</v>
      </c>
      <c r="B22" s="1018">
        <v>14873.658797599997</v>
      </c>
      <c r="C22" s="1018">
        <v>1069.5053916999996</v>
      </c>
      <c r="D22" s="1019">
        <f t="shared" si="0"/>
        <v>7.1906005526533532</v>
      </c>
      <c r="E22" s="1020">
        <v>2481.0149246299998</v>
      </c>
      <c r="F22" s="1020">
        <v>14.726789470000002</v>
      </c>
      <c r="G22" s="1020">
        <v>512.16294926</v>
      </c>
      <c r="H22" s="1020">
        <v>10.54</v>
      </c>
      <c r="I22" s="1020">
        <v>534.42749503999994</v>
      </c>
      <c r="J22" s="1020">
        <v>28.995204609999998</v>
      </c>
      <c r="K22" s="1020">
        <v>433.73405429000002</v>
      </c>
      <c r="L22" s="1020">
        <v>0</v>
      </c>
      <c r="M22" s="1020">
        <v>1182.60945509</v>
      </c>
      <c r="N22" s="1020">
        <v>6.9593881299999998</v>
      </c>
      <c r="O22" s="1020">
        <v>891.58932236999988</v>
      </c>
      <c r="P22" s="1020">
        <v>0.41299999999999998</v>
      </c>
      <c r="Q22" s="1020">
        <v>6541.8174222599991</v>
      </c>
      <c r="R22" s="1020">
        <v>238.56019057999998</v>
      </c>
      <c r="S22" s="1020">
        <v>20.87193864</v>
      </c>
      <c r="T22" s="1020">
        <v>0.18129999999999999</v>
      </c>
      <c r="U22" s="1020">
        <v>0.82180977999999993</v>
      </c>
      <c r="V22" s="1020">
        <v>0</v>
      </c>
      <c r="W22" s="1020">
        <v>788.68885742000145</v>
      </c>
      <c r="X22" s="1020">
        <v>15.592253900000014</v>
      </c>
      <c r="Y22" s="1020">
        <v>27.087395489999999</v>
      </c>
      <c r="Z22" s="1020">
        <v>0</v>
      </c>
      <c r="AA22" s="1020">
        <v>2.3220422200000002</v>
      </c>
      <c r="AB22" s="1020">
        <v>0</v>
      </c>
      <c r="AC22" s="1020">
        <v>29.444507569999999</v>
      </c>
      <c r="AD22" s="1020">
        <v>1.3479E-2</v>
      </c>
      <c r="AE22" s="1020">
        <v>41.579626149999996</v>
      </c>
      <c r="AF22" s="1020">
        <v>0</v>
      </c>
      <c r="AG22" s="1020">
        <v>314.00647365999998</v>
      </c>
    </row>
    <row r="23" spans="1:33" ht="15" customHeight="1">
      <c r="A23" s="1017" t="s">
        <v>27</v>
      </c>
      <c r="B23" s="1018">
        <v>14785.940748229998</v>
      </c>
      <c r="C23" s="1018">
        <v>1006.5232318599999</v>
      </c>
      <c r="D23" s="1019">
        <f t="shared" si="0"/>
        <v>6.8072992378282677</v>
      </c>
      <c r="E23" s="1020">
        <v>2532.0973747600001</v>
      </c>
      <c r="F23" s="1020">
        <v>14.726789470000002</v>
      </c>
      <c r="G23" s="1020">
        <v>502.28735919000002</v>
      </c>
      <c r="H23" s="1020">
        <v>10.54</v>
      </c>
      <c r="I23" s="1020">
        <v>523.18709729999989</v>
      </c>
      <c r="J23" s="1020">
        <v>28.995204609999998</v>
      </c>
      <c r="K23" s="1020">
        <v>432.26422624999998</v>
      </c>
      <c r="L23" s="1020">
        <v>0</v>
      </c>
      <c r="M23" s="1020">
        <v>1221.48748387</v>
      </c>
      <c r="N23" s="1020">
        <v>6.9593881299999998</v>
      </c>
      <c r="O23" s="1020">
        <v>875.18294334000007</v>
      </c>
      <c r="P23" s="1020">
        <v>0.41299999999999998</v>
      </c>
      <c r="Q23" s="1020">
        <v>6526.4718856799991</v>
      </c>
      <c r="R23" s="1020">
        <v>238.56019057999998</v>
      </c>
      <c r="S23" s="1020">
        <v>21.179231559999998</v>
      </c>
      <c r="T23" s="1020">
        <v>0.18129999999999999</v>
      </c>
      <c r="U23" s="1020">
        <v>0.79625563999999993</v>
      </c>
      <c r="V23" s="1020">
        <v>0</v>
      </c>
      <c r="W23" s="1020">
        <v>730.85008213999924</v>
      </c>
      <c r="X23" s="1020">
        <v>15.592253900000014</v>
      </c>
      <c r="Y23" s="1020">
        <v>25.990582490000001</v>
      </c>
      <c r="Z23" s="1020">
        <v>0</v>
      </c>
      <c r="AA23" s="1020">
        <v>2.0200656700000001</v>
      </c>
      <c r="AB23" s="1020">
        <v>0</v>
      </c>
      <c r="AC23" s="1020">
        <v>31.97589159</v>
      </c>
      <c r="AD23" s="1020">
        <v>1.3479E-2</v>
      </c>
      <c r="AE23" s="1020">
        <v>37.645431200000004</v>
      </c>
      <c r="AF23" s="1020">
        <v>0</v>
      </c>
      <c r="AG23" s="1020">
        <v>437.31771748000006</v>
      </c>
    </row>
    <row r="24" spans="1:33" ht="15" customHeight="1">
      <c r="A24" s="1017" t="s">
        <v>28</v>
      </c>
      <c r="B24" s="1018">
        <v>14681.276736810001</v>
      </c>
      <c r="C24" s="1018">
        <v>922.91633637999996</v>
      </c>
      <c r="D24" s="1019">
        <f t="shared" si="0"/>
        <v>6.2863492932191285</v>
      </c>
      <c r="E24" s="1020">
        <v>2579.8380709799999</v>
      </c>
      <c r="F24" s="1020">
        <v>14.726789470000002</v>
      </c>
      <c r="G24" s="1020">
        <v>506.17252259000003</v>
      </c>
      <c r="H24" s="1020">
        <v>10.54</v>
      </c>
      <c r="I24" s="1020">
        <v>524.92194959000005</v>
      </c>
      <c r="J24" s="1020">
        <v>28.995204609999998</v>
      </c>
      <c r="K24" s="1020">
        <v>477.40030588999997</v>
      </c>
      <c r="L24" s="1020">
        <v>0</v>
      </c>
      <c r="M24" s="1020">
        <v>1375.1527625599999</v>
      </c>
      <c r="N24" s="1020">
        <v>6.9593881299999998</v>
      </c>
      <c r="O24" s="1020">
        <v>857.47137640999995</v>
      </c>
      <c r="P24" s="1020">
        <v>0.41299999999999998</v>
      </c>
      <c r="Q24" s="1020">
        <v>6518.7552752199999</v>
      </c>
      <c r="R24" s="1020">
        <v>238.56019057999998</v>
      </c>
      <c r="S24" s="1020">
        <v>24.347565280000001</v>
      </c>
      <c r="T24" s="1020">
        <v>0.18129999999999999</v>
      </c>
      <c r="U24" s="1020">
        <v>0.78461822999999997</v>
      </c>
      <c r="V24" s="1020">
        <v>0</v>
      </c>
      <c r="W24" s="1020">
        <v>497.42503990999904</v>
      </c>
      <c r="X24" s="1020">
        <v>15.592253900000014</v>
      </c>
      <c r="Y24" s="1020">
        <v>6.7282521899999992</v>
      </c>
      <c r="Z24" s="1020">
        <v>0</v>
      </c>
      <c r="AA24" s="1020">
        <v>2.0186709399999998</v>
      </c>
      <c r="AB24" s="1020">
        <v>0</v>
      </c>
      <c r="AC24" s="1020">
        <v>34.947813449999998</v>
      </c>
      <c r="AD24" s="1020">
        <v>1.3479E-2</v>
      </c>
      <c r="AE24" s="1020">
        <v>36.414571500000001</v>
      </c>
      <c r="AF24" s="1020">
        <v>0</v>
      </c>
      <c r="AG24" s="1020">
        <v>449.96527655</v>
      </c>
    </row>
    <row r="25" spans="1:33" ht="15" customHeight="1">
      <c r="A25" s="1017" t="s">
        <v>29</v>
      </c>
      <c r="B25" s="1018">
        <v>14530.42312815</v>
      </c>
      <c r="C25" s="1018">
        <v>893.13990543999989</v>
      </c>
      <c r="D25" s="1019">
        <f t="shared" si="0"/>
        <v>6.1466888993047082</v>
      </c>
      <c r="E25" s="1020">
        <v>2598.7064799199998</v>
      </c>
      <c r="F25" s="1020">
        <v>8.1391568500000009</v>
      </c>
      <c r="G25" s="1020">
        <v>512.73198853999997</v>
      </c>
      <c r="H25" s="1020">
        <v>11.75465</v>
      </c>
      <c r="I25" s="1020">
        <v>531.28475893999996</v>
      </c>
      <c r="J25" s="1020">
        <v>34.965158549999998</v>
      </c>
      <c r="K25" s="1020">
        <v>492.95189799000002</v>
      </c>
      <c r="L25" s="1020">
        <v>0</v>
      </c>
      <c r="M25" s="1020">
        <v>1241.2799363700001</v>
      </c>
      <c r="N25" s="1020">
        <v>8.777420600000001</v>
      </c>
      <c r="O25" s="1020">
        <v>847.85810412000001</v>
      </c>
      <c r="P25" s="1020">
        <v>0.66084100000000001</v>
      </c>
      <c r="Q25" s="1020">
        <v>6477.0138981200007</v>
      </c>
      <c r="R25" s="1020">
        <v>232.25763719999998</v>
      </c>
      <c r="S25" s="1020">
        <v>23.781950299999998</v>
      </c>
      <c r="T25" s="1020">
        <v>0.18279999999999999</v>
      </c>
      <c r="U25" s="1020">
        <v>0.77283535000000003</v>
      </c>
      <c r="V25" s="1020">
        <v>0</v>
      </c>
      <c r="W25" s="1020">
        <v>511.74928207000175</v>
      </c>
      <c r="X25" s="1020">
        <v>16.155075349999983</v>
      </c>
      <c r="Y25" s="1020">
        <v>7.44049213</v>
      </c>
      <c r="Z25" s="1020">
        <v>0</v>
      </c>
      <c r="AA25" s="1020">
        <v>1.9654957500000001</v>
      </c>
      <c r="AB25" s="1020">
        <v>0</v>
      </c>
      <c r="AC25" s="1020">
        <v>40.019494620000003</v>
      </c>
      <c r="AD25" s="1020">
        <v>8.4699999999999999E-4</v>
      </c>
      <c r="AE25" s="1020">
        <v>36.833021939999995</v>
      </c>
      <c r="AF25" s="1020">
        <v>0</v>
      </c>
      <c r="AG25" s="1020">
        <v>472.36382140000001</v>
      </c>
    </row>
    <row r="26" spans="1:33">
      <c r="A26" s="1021">
        <v>2021</v>
      </c>
      <c r="B26" s="1021"/>
      <c r="C26" s="1021"/>
      <c r="D26" s="1021"/>
      <c r="E26" s="1022"/>
      <c r="F26" s="1022"/>
      <c r="G26" s="1022"/>
      <c r="H26" s="1022"/>
      <c r="I26" s="1022"/>
      <c r="J26" s="1022"/>
      <c r="K26" s="1022"/>
      <c r="L26" s="1022"/>
      <c r="M26" s="1022"/>
      <c r="N26" s="1022"/>
      <c r="O26" s="1022"/>
      <c r="P26" s="1022"/>
      <c r="Q26" s="1022"/>
      <c r="R26" s="1022"/>
      <c r="S26" s="1022"/>
      <c r="T26" s="1022"/>
      <c r="U26" s="1023"/>
      <c r="V26" s="1022"/>
      <c r="W26" s="1022"/>
      <c r="X26" s="1022"/>
      <c r="Y26" s="689"/>
      <c r="Z26" s="689"/>
      <c r="AA26" s="689"/>
      <c r="AB26" s="689"/>
      <c r="AC26" s="689"/>
      <c r="AD26" s="689"/>
      <c r="AE26" s="689"/>
      <c r="AF26" s="689"/>
      <c r="AG26" s="1022"/>
    </row>
    <row r="27" spans="1:33">
      <c r="A27" s="1017" t="s">
        <v>18</v>
      </c>
      <c r="B27" s="1018">
        <v>14587.203226590002</v>
      </c>
      <c r="C27" s="1018">
        <v>900.38567629999977</v>
      </c>
      <c r="D27" s="1019">
        <f t="shared" ref="D27:D38" si="1">C27/B27*100</f>
        <v>6.1724352661293498</v>
      </c>
      <c r="E27" s="1020">
        <v>2599.1376953299996</v>
      </c>
      <c r="F27" s="1020">
        <v>8.1391568500000009</v>
      </c>
      <c r="G27" s="1020">
        <v>759.24294873999997</v>
      </c>
      <c r="H27" s="1020">
        <v>11.75465</v>
      </c>
      <c r="I27" s="1020">
        <v>537.99087044999999</v>
      </c>
      <c r="J27" s="1020">
        <v>34.965158549999998</v>
      </c>
      <c r="K27" s="1020">
        <v>527.06655323999996</v>
      </c>
      <c r="L27" s="1020">
        <v>0</v>
      </c>
      <c r="M27" s="1020">
        <v>972.77601623999999</v>
      </c>
      <c r="N27" s="1020">
        <v>8.777420600000001</v>
      </c>
      <c r="O27" s="1020">
        <v>831.50276643999996</v>
      </c>
      <c r="P27" s="1020">
        <v>0.66084100000000001</v>
      </c>
      <c r="Q27" s="1020">
        <v>6549.4246127300003</v>
      </c>
      <c r="R27" s="1020">
        <v>232.25763719999998</v>
      </c>
      <c r="S27" s="1020">
        <v>19.063408680000002</v>
      </c>
      <c r="T27" s="1020">
        <v>0.18279999999999999</v>
      </c>
      <c r="U27" s="1020">
        <v>0.76090519000000001</v>
      </c>
      <c r="V27" s="1020">
        <v>0</v>
      </c>
      <c r="W27" s="1020">
        <v>504.72276179000067</v>
      </c>
      <c r="X27" s="1020">
        <v>16.155075349999983</v>
      </c>
      <c r="Y27" s="1020">
        <v>8.9022348099999995</v>
      </c>
      <c r="Z27" s="1020">
        <v>0</v>
      </c>
      <c r="AA27" s="1020">
        <v>1.8643147600000001</v>
      </c>
      <c r="AB27" s="1020">
        <v>0</v>
      </c>
      <c r="AC27" s="1020">
        <v>29.749525500000001</v>
      </c>
      <c r="AD27" s="1020">
        <v>8.4699999999999999E-4</v>
      </c>
      <c r="AE27" s="1020">
        <v>31.71934984</v>
      </c>
      <c r="AF27" s="1020">
        <v>0</v>
      </c>
      <c r="AG27" s="1020">
        <v>487.78963322999999</v>
      </c>
    </row>
    <row r="28" spans="1:33">
      <c r="A28" s="1017" t="s">
        <v>19</v>
      </c>
      <c r="B28" s="1018">
        <v>14619.545503340001</v>
      </c>
      <c r="C28" s="1018">
        <v>917.51636969999993</v>
      </c>
      <c r="D28" s="1019">
        <f t="shared" si="1"/>
        <v>6.2759568653511346</v>
      </c>
      <c r="E28" s="1020">
        <v>2504.1076695600004</v>
      </c>
      <c r="F28" s="1020">
        <v>8.1391568500000009</v>
      </c>
      <c r="G28" s="1020">
        <v>756.37474811999994</v>
      </c>
      <c r="H28" s="1020">
        <v>11.75465</v>
      </c>
      <c r="I28" s="1020">
        <v>534.84074794000003</v>
      </c>
      <c r="J28" s="1020">
        <v>34.965158549999998</v>
      </c>
      <c r="K28" s="1020">
        <v>687.96381294000003</v>
      </c>
      <c r="L28" s="1020">
        <v>0</v>
      </c>
      <c r="M28" s="1020">
        <v>899.53158280999992</v>
      </c>
      <c r="N28" s="1020">
        <v>8.777420600000001</v>
      </c>
      <c r="O28" s="1020">
        <v>859.87628553000002</v>
      </c>
      <c r="P28" s="1020">
        <v>0.66084100000000001</v>
      </c>
      <c r="Q28" s="1020">
        <v>6539.0817762200004</v>
      </c>
      <c r="R28" s="1020">
        <v>232.25763719999998</v>
      </c>
      <c r="S28" s="1020">
        <v>15.815243430000001</v>
      </c>
      <c r="T28" s="1020">
        <v>0.18279999999999999</v>
      </c>
      <c r="U28" s="1020">
        <v>0.74882589999999993</v>
      </c>
      <c r="V28" s="1020">
        <v>0</v>
      </c>
      <c r="W28" s="1020">
        <v>518.57225738999955</v>
      </c>
      <c r="X28" s="1020">
        <v>16.155075349999983</v>
      </c>
      <c r="Y28" s="1020">
        <v>7.1446817000000005</v>
      </c>
      <c r="Z28" s="1020">
        <v>0</v>
      </c>
      <c r="AA28" s="1020">
        <v>2.7466538899999997</v>
      </c>
      <c r="AB28" s="1020">
        <v>0</v>
      </c>
      <c r="AC28" s="1020">
        <v>31.743005580000002</v>
      </c>
      <c r="AD28" s="1020">
        <v>8.4699999999999999E-4</v>
      </c>
      <c r="AE28" s="1020">
        <v>30.588256080000008</v>
      </c>
      <c r="AF28" s="1020">
        <v>0</v>
      </c>
      <c r="AG28" s="1020">
        <v>460.97720242999998</v>
      </c>
    </row>
    <row r="29" spans="1:33">
      <c r="A29" s="1017" t="s">
        <v>20</v>
      </c>
      <c r="B29" s="1018">
        <v>14728.03039973</v>
      </c>
      <c r="C29" s="1018">
        <v>918.15007710999998</v>
      </c>
      <c r="D29" s="1019">
        <f t="shared" si="1"/>
        <v>6.2340316538648093</v>
      </c>
      <c r="E29" s="1020">
        <v>2507.9805126300002</v>
      </c>
      <c r="F29" s="1020">
        <v>8.8389101100000005</v>
      </c>
      <c r="G29" s="1020">
        <v>757.21330558000011</v>
      </c>
      <c r="H29" s="1020">
        <v>11.75465</v>
      </c>
      <c r="I29" s="1020">
        <v>540.71176303000004</v>
      </c>
      <c r="J29" s="1020">
        <v>30.199528649999998</v>
      </c>
      <c r="K29" s="1020">
        <v>681.49539245999995</v>
      </c>
      <c r="L29" s="1020">
        <v>0</v>
      </c>
      <c r="M29" s="1020">
        <v>910.73295688000007</v>
      </c>
      <c r="N29" s="1020">
        <v>9.2551010300000005</v>
      </c>
      <c r="O29" s="1020">
        <v>853.29803943000002</v>
      </c>
      <c r="P29" s="1020">
        <v>0.93415236000000001</v>
      </c>
      <c r="Q29" s="1020">
        <v>6632.1192125799998</v>
      </c>
      <c r="R29" s="1020">
        <v>237.18815997999999</v>
      </c>
      <c r="S29" s="1020">
        <v>17.884563480000001</v>
      </c>
      <c r="T29" s="1020">
        <v>0.18279999999999999</v>
      </c>
      <c r="U29" s="1020">
        <v>0.7365956199999999</v>
      </c>
      <c r="V29" s="1020">
        <v>0</v>
      </c>
      <c r="W29" s="1020">
        <v>519.57304165000096</v>
      </c>
      <c r="X29" s="1020">
        <v>17.054115289999956</v>
      </c>
      <c r="Y29" s="1020">
        <v>5.8155647699999999</v>
      </c>
      <c r="Z29" s="1020">
        <v>0</v>
      </c>
      <c r="AA29" s="1020">
        <v>2.62603966</v>
      </c>
      <c r="AB29" s="1020">
        <v>0</v>
      </c>
      <c r="AC29" s="1020">
        <v>32.790854270000004</v>
      </c>
      <c r="AD29" s="1020">
        <v>0</v>
      </c>
      <c r="AE29" s="1020">
        <v>31.495063160000008</v>
      </c>
      <c r="AF29" s="1020">
        <v>0</v>
      </c>
      <c r="AG29" s="1020">
        <v>456.53499706000002</v>
      </c>
    </row>
    <row r="30" spans="1:33">
      <c r="A30" s="1017" t="s">
        <v>21</v>
      </c>
      <c r="B30" s="1018">
        <v>14987.495848650002</v>
      </c>
      <c r="C30" s="1018">
        <v>921.53370200000006</v>
      </c>
      <c r="D30" s="1019">
        <f t="shared" si="1"/>
        <v>6.1486836180375466</v>
      </c>
      <c r="E30" s="1020">
        <v>2549.8556796299999</v>
      </c>
      <c r="F30" s="1020">
        <v>8.8389101100000005</v>
      </c>
      <c r="G30" s="1020">
        <v>766.61467655999991</v>
      </c>
      <c r="H30" s="1020">
        <v>11.75465</v>
      </c>
      <c r="I30" s="1020">
        <v>533.94968663999998</v>
      </c>
      <c r="J30" s="1020">
        <v>30.199528649999998</v>
      </c>
      <c r="K30" s="1020">
        <v>688.82102366000004</v>
      </c>
      <c r="L30" s="1020">
        <v>0</v>
      </c>
      <c r="M30" s="1020">
        <v>905.59455224999999</v>
      </c>
      <c r="N30" s="1020">
        <v>9.2551010300000005</v>
      </c>
      <c r="O30" s="1020">
        <v>870.09419116999993</v>
      </c>
      <c r="P30" s="1020">
        <v>0.93415236000000001</v>
      </c>
      <c r="Q30" s="1020">
        <v>6807.4701766500011</v>
      </c>
      <c r="R30" s="1020">
        <v>237.18815997999999</v>
      </c>
      <c r="S30" s="1020">
        <v>17.12009196</v>
      </c>
      <c r="T30" s="1020">
        <v>0.18279999999999999</v>
      </c>
      <c r="U30" s="1020">
        <v>0.69421246000000003</v>
      </c>
      <c r="V30" s="1020">
        <v>0</v>
      </c>
      <c r="W30" s="1020">
        <v>527.80753939999818</v>
      </c>
      <c r="X30" s="1020">
        <v>17.054115289999956</v>
      </c>
      <c r="Y30" s="1020">
        <v>6.7236414600000005</v>
      </c>
      <c r="Z30" s="1020">
        <v>0</v>
      </c>
      <c r="AA30" s="1020">
        <v>2.6595292699999997</v>
      </c>
      <c r="AB30" s="1020">
        <v>0</v>
      </c>
      <c r="AC30" s="1020">
        <v>37.676938090000007</v>
      </c>
      <c r="AD30" s="1020">
        <v>0</v>
      </c>
      <c r="AE30" s="1020">
        <v>35.472790029999999</v>
      </c>
      <c r="AF30" s="1020">
        <v>0</v>
      </c>
      <c r="AG30" s="1020">
        <v>477.63473532</v>
      </c>
    </row>
    <row r="31" spans="1:33">
      <c r="A31" s="1017" t="s">
        <v>22</v>
      </c>
      <c r="B31" s="1018">
        <v>15067.068306839999</v>
      </c>
      <c r="C31" s="1018">
        <v>906.90793024999994</v>
      </c>
      <c r="D31" s="1019">
        <f t="shared" si="1"/>
        <v>6.0191399665872014</v>
      </c>
      <c r="E31" s="1020">
        <v>2551.2740627099997</v>
      </c>
      <c r="F31" s="1020">
        <v>8.8389101100000005</v>
      </c>
      <c r="G31" s="1020">
        <v>758.91417658</v>
      </c>
      <c r="H31" s="1020">
        <v>11.75465</v>
      </c>
      <c r="I31" s="1020">
        <v>536.11958942999991</v>
      </c>
      <c r="J31" s="1020">
        <v>30.199528649999998</v>
      </c>
      <c r="K31" s="1020">
        <v>721.89632615000005</v>
      </c>
      <c r="L31" s="1020">
        <v>0</v>
      </c>
      <c r="M31" s="1020">
        <v>915.36763211999994</v>
      </c>
      <c r="N31" s="1020">
        <v>9.2551010300000005</v>
      </c>
      <c r="O31" s="1020">
        <v>824.98340723000001</v>
      </c>
      <c r="P31" s="1020">
        <v>0.93415236000000001</v>
      </c>
      <c r="Q31" s="1020">
        <v>6914.7730755600005</v>
      </c>
      <c r="R31" s="1020">
        <v>237.18815997999999</v>
      </c>
      <c r="S31" s="1020">
        <v>18.008724699999998</v>
      </c>
      <c r="T31" s="1020">
        <v>0.18279999999999999</v>
      </c>
      <c r="U31" s="1020">
        <v>0.66831650999999992</v>
      </c>
      <c r="V31" s="1020">
        <v>0</v>
      </c>
      <c r="W31" s="1020">
        <v>521.82036075000178</v>
      </c>
      <c r="X31" s="1020">
        <v>17.054115289999956</v>
      </c>
      <c r="Y31" s="1020">
        <v>6.0750850400000003</v>
      </c>
      <c r="Z31" s="1020">
        <v>0</v>
      </c>
      <c r="AA31" s="1020">
        <v>2.6283231300000001</v>
      </c>
      <c r="AB31" s="1020">
        <v>0</v>
      </c>
      <c r="AC31" s="1020">
        <v>37.641860899999998</v>
      </c>
      <c r="AD31" s="1020">
        <v>0</v>
      </c>
      <c r="AE31" s="1020">
        <v>34.582018359999999</v>
      </c>
      <c r="AF31" s="1020">
        <v>0</v>
      </c>
      <c r="AG31" s="1020">
        <v>483.65381840999999</v>
      </c>
    </row>
    <row r="32" spans="1:33">
      <c r="A32" s="1017" t="s">
        <v>23</v>
      </c>
      <c r="B32" s="1018">
        <v>15258.058194190002</v>
      </c>
      <c r="C32" s="1018">
        <v>914.58348045999981</v>
      </c>
      <c r="D32" s="1019">
        <f t="shared" si="1"/>
        <v>5.9941014041239988</v>
      </c>
      <c r="E32" s="1020">
        <v>2549.45211036</v>
      </c>
      <c r="F32" s="1020">
        <v>8.4186830300000004</v>
      </c>
      <c r="G32" s="1020">
        <v>730.72229530000004</v>
      </c>
      <c r="H32" s="1020">
        <v>17.772354199999999</v>
      </c>
      <c r="I32" s="1020">
        <v>538.2262591299999</v>
      </c>
      <c r="J32" s="1020">
        <v>27.820595969999999</v>
      </c>
      <c r="K32" s="1020">
        <v>737.29711373999999</v>
      </c>
      <c r="L32" s="1020">
        <v>0</v>
      </c>
      <c r="M32" s="1020">
        <v>910.15272129000004</v>
      </c>
      <c r="N32" s="1020">
        <v>11.79925588</v>
      </c>
      <c r="O32" s="1020">
        <v>820.05745451000007</v>
      </c>
      <c r="P32" s="1020">
        <v>0.85866142999999995</v>
      </c>
      <c r="Q32" s="1020">
        <v>7066.2354611200008</v>
      </c>
      <c r="R32" s="1020">
        <v>256.90963611999996</v>
      </c>
      <c r="S32" s="1020">
        <v>19.670576650000001</v>
      </c>
      <c r="T32" s="1020">
        <v>0.18279999999999999</v>
      </c>
      <c r="U32" s="1020">
        <v>0.64521456999999993</v>
      </c>
      <c r="V32" s="1020">
        <v>0</v>
      </c>
      <c r="W32" s="1020">
        <v>540.08488187000091</v>
      </c>
      <c r="X32" s="1020">
        <v>18.998977400000044</v>
      </c>
      <c r="Y32" s="1020">
        <v>7.9188054399999999</v>
      </c>
      <c r="Z32" s="1020">
        <v>0</v>
      </c>
      <c r="AA32" s="1020">
        <v>6.781777439999999</v>
      </c>
      <c r="AB32" s="1020">
        <v>0</v>
      </c>
      <c r="AC32" s="1020">
        <v>40.376605959999999</v>
      </c>
      <c r="AD32" s="1020">
        <v>0</v>
      </c>
      <c r="AE32" s="1020">
        <v>33.092472319999999</v>
      </c>
      <c r="AF32" s="1020">
        <v>0</v>
      </c>
      <c r="AG32" s="1020">
        <v>469.41215711000001</v>
      </c>
    </row>
    <row r="33" spans="1:33">
      <c r="A33" s="1017" t="s">
        <v>24</v>
      </c>
      <c r="B33" s="1018">
        <v>15367.672983370003</v>
      </c>
      <c r="C33" s="1018">
        <v>937.46215345000007</v>
      </c>
      <c r="D33" s="1019">
        <f t="shared" si="1"/>
        <v>6.1002219038918044</v>
      </c>
      <c r="E33" s="1020">
        <v>2551.4528833900004</v>
      </c>
      <c r="F33" s="1020">
        <v>8.4186830300000004</v>
      </c>
      <c r="G33" s="1020">
        <v>722.48351907000006</v>
      </c>
      <c r="H33" s="1020">
        <v>17.772354199999999</v>
      </c>
      <c r="I33" s="1020">
        <v>534.04471863000003</v>
      </c>
      <c r="J33" s="1020">
        <v>27.820595969999999</v>
      </c>
      <c r="K33" s="1020">
        <v>771.52513070000009</v>
      </c>
      <c r="L33" s="1020">
        <v>0</v>
      </c>
      <c r="M33" s="1020">
        <v>906.00177702999997</v>
      </c>
      <c r="N33" s="1020">
        <v>11.79925588</v>
      </c>
      <c r="O33" s="1020">
        <v>756.40349149000008</v>
      </c>
      <c r="P33" s="1020">
        <v>0.85866142999999995</v>
      </c>
      <c r="Q33" s="1020">
        <v>7205.9675539399996</v>
      </c>
      <c r="R33" s="1020">
        <v>256.90963611999996</v>
      </c>
      <c r="S33" s="1020">
        <v>19.348759739999998</v>
      </c>
      <c r="T33" s="1020">
        <v>0.18279999999999999</v>
      </c>
      <c r="U33" s="1020">
        <v>0.62182384999999996</v>
      </c>
      <c r="V33" s="1020">
        <v>0</v>
      </c>
      <c r="W33" s="1020">
        <v>542.5170691900006</v>
      </c>
      <c r="X33" s="1020">
        <v>18.998977400000044</v>
      </c>
      <c r="Y33" s="1020">
        <v>7.1080348999999998</v>
      </c>
      <c r="Z33" s="1020">
        <v>0</v>
      </c>
      <c r="AA33" s="1020">
        <v>2.4405054599999998</v>
      </c>
      <c r="AB33" s="1020">
        <v>0</v>
      </c>
      <c r="AC33" s="1020">
        <v>38.923702589999998</v>
      </c>
      <c r="AD33" s="1020">
        <v>0</v>
      </c>
      <c r="AE33" s="1020">
        <v>28.610895909999996</v>
      </c>
      <c r="AF33" s="1020">
        <v>0</v>
      </c>
      <c r="AG33" s="1020">
        <v>470.96209210000001</v>
      </c>
    </row>
    <row r="34" spans="1:33">
      <c r="A34" s="1017" t="s">
        <v>25</v>
      </c>
      <c r="B34" s="1018">
        <v>15607.979105320002</v>
      </c>
      <c r="C34" s="1018">
        <v>904.16886915999987</v>
      </c>
      <c r="D34" s="1019">
        <f t="shared" si="1"/>
        <v>5.7929912838735964</v>
      </c>
      <c r="E34" s="1020">
        <v>2539.6236270300001</v>
      </c>
      <c r="F34" s="1020">
        <v>8.4186830300000004</v>
      </c>
      <c r="G34" s="1020">
        <v>726.17304428</v>
      </c>
      <c r="H34" s="1020">
        <v>17.772354199999999</v>
      </c>
      <c r="I34" s="1020">
        <v>542.56642350000004</v>
      </c>
      <c r="J34" s="1020">
        <v>27.820595969999999</v>
      </c>
      <c r="K34" s="1020">
        <v>808.90830033000009</v>
      </c>
      <c r="L34" s="1020">
        <v>0</v>
      </c>
      <c r="M34" s="1020">
        <v>860.10702729000002</v>
      </c>
      <c r="N34" s="1020">
        <v>11.79925588</v>
      </c>
      <c r="O34" s="1020">
        <v>747.68904634000012</v>
      </c>
      <c r="P34" s="1020">
        <v>0.85866142999999995</v>
      </c>
      <c r="Q34" s="1020">
        <v>7434.7409468600008</v>
      </c>
      <c r="R34" s="1020">
        <v>256.90963611999996</v>
      </c>
      <c r="S34" s="1020">
        <v>19.633418689999999</v>
      </c>
      <c r="T34" s="1020">
        <v>0.18279999999999999</v>
      </c>
      <c r="U34" s="1020">
        <v>0.57414074999999987</v>
      </c>
      <c r="V34" s="1020">
        <v>0</v>
      </c>
      <c r="W34" s="1020">
        <v>602.58762677000243</v>
      </c>
      <c r="X34" s="1020">
        <v>18.998977400000044</v>
      </c>
      <c r="Y34" s="1020">
        <v>5.9090063500000003</v>
      </c>
      <c r="Z34" s="1020">
        <v>0</v>
      </c>
      <c r="AA34" s="1020">
        <v>4.9918723099999998</v>
      </c>
      <c r="AB34" s="1020">
        <v>0</v>
      </c>
      <c r="AC34" s="1020">
        <v>38.096837030000003</v>
      </c>
      <c r="AD34" s="1020">
        <v>0</v>
      </c>
      <c r="AE34" s="1020">
        <v>29.447954600000003</v>
      </c>
      <c r="AF34" s="1020">
        <v>0</v>
      </c>
      <c r="AG34" s="1020">
        <v>516.37639208999997</v>
      </c>
    </row>
    <row r="35" spans="1:33">
      <c r="A35" s="1017" t="s">
        <v>26</v>
      </c>
      <c r="B35" s="1018">
        <v>15957.303832469999</v>
      </c>
      <c r="C35" s="1018">
        <v>871.14004874000011</v>
      </c>
      <c r="D35" s="1019">
        <f t="shared" si="1"/>
        <v>5.4591932188907757</v>
      </c>
      <c r="E35" s="1020">
        <v>2570.6308972100001</v>
      </c>
      <c r="F35" s="1020">
        <v>8.5783721800000006</v>
      </c>
      <c r="G35" s="1020">
        <v>724.51051774999996</v>
      </c>
      <c r="H35" s="1020">
        <v>20.861254200000001</v>
      </c>
      <c r="I35" s="1020">
        <v>546.30608309000002</v>
      </c>
      <c r="J35" s="1020">
        <v>26.665374870000001</v>
      </c>
      <c r="K35" s="1020">
        <v>857.72422443000005</v>
      </c>
      <c r="L35" s="1020">
        <v>0.22206592999999999</v>
      </c>
      <c r="M35" s="1020">
        <v>894.29216449</v>
      </c>
      <c r="N35" s="1020">
        <v>14.04602861</v>
      </c>
      <c r="O35" s="1020">
        <v>751.53076547000012</v>
      </c>
      <c r="P35" s="1020">
        <v>2.3586548299999999</v>
      </c>
      <c r="Q35" s="1020">
        <v>7661.342195369999</v>
      </c>
      <c r="R35" s="1020">
        <v>270.42522850999995</v>
      </c>
      <c r="S35" s="1020">
        <v>34.002924110000002</v>
      </c>
      <c r="T35" s="1020">
        <v>0.18279999999999999</v>
      </c>
      <c r="U35" s="1020">
        <v>0.54093726999999991</v>
      </c>
      <c r="V35" s="1020">
        <v>0</v>
      </c>
      <c r="W35" s="1020">
        <v>606.2895758899989</v>
      </c>
      <c r="X35" s="1020">
        <v>19.802129130000012</v>
      </c>
      <c r="Y35" s="1020">
        <v>9.69962138</v>
      </c>
      <c r="Z35" s="1020">
        <v>0</v>
      </c>
      <c r="AA35" s="1020">
        <v>2.6619728899999999</v>
      </c>
      <c r="AB35" s="1020">
        <v>0</v>
      </c>
      <c r="AC35" s="1020">
        <v>35.039565459999999</v>
      </c>
      <c r="AD35" s="1020">
        <v>0</v>
      </c>
      <c r="AE35" s="1020">
        <v>28.450430659999999</v>
      </c>
      <c r="AF35" s="1020">
        <v>0</v>
      </c>
      <c r="AG35" s="1020">
        <v>604.17383210000003</v>
      </c>
    </row>
    <row r="36" spans="1:33">
      <c r="A36" s="1017" t="s">
        <v>27</v>
      </c>
      <c r="B36" s="1018">
        <v>16415.890409920004</v>
      </c>
      <c r="C36" s="1018">
        <v>815.87446341000009</v>
      </c>
      <c r="D36" s="1019">
        <f t="shared" si="1"/>
        <v>4.9700286919372525</v>
      </c>
      <c r="E36" s="1020">
        <v>2777.5857918800002</v>
      </c>
      <c r="F36" s="1020">
        <v>8.5783721800000006</v>
      </c>
      <c r="G36" s="1020">
        <v>721.01597415000003</v>
      </c>
      <c r="H36" s="1020">
        <v>20.861254200000001</v>
      </c>
      <c r="I36" s="1020">
        <v>547.13436809999996</v>
      </c>
      <c r="J36" s="1020">
        <v>26.665374870000001</v>
      </c>
      <c r="K36" s="1020">
        <v>879.62908294999988</v>
      </c>
      <c r="L36" s="1020">
        <v>0.22206592999999999</v>
      </c>
      <c r="M36" s="1020">
        <v>931.10649753999985</v>
      </c>
      <c r="N36" s="1020">
        <v>14.04602861</v>
      </c>
      <c r="O36" s="1020">
        <v>746.35539194000012</v>
      </c>
      <c r="P36" s="1020">
        <v>2.3586548299999999</v>
      </c>
      <c r="Q36" s="1020">
        <v>7852.5090272500011</v>
      </c>
      <c r="R36" s="1020">
        <v>270.42522850999995</v>
      </c>
      <c r="S36" s="1020">
        <v>74.676198940000006</v>
      </c>
      <c r="T36" s="1020">
        <v>0.18279999999999999</v>
      </c>
      <c r="U36" s="1020">
        <v>2.0888799900000001</v>
      </c>
      <c r="V36" s="1020">
        <v>0</v>
      </c>
      <c r="W36" s="1020">
        <v>620.21419738000429</v>
      </c>
      <c r="X36" s="1020">
        <v>19.802129130000012</v>
      </c>
      <c r="Y36" s="1020">
        <v>10.664287759999999</v>
      </c>
      <c r="Z36" s="1020">
        <v>0</v>
      </c>
      <c r="AA36" s="1020">
        <v>2.5579208099999997</v>
      </c>
      <c r="AB36" s="1020">
        <v>0</v>
      </c>
      <c r="AC36" s="1020">
        <v>38.691770239999997</v>
      </c>
      <c r="AD36" s="1020">
        <v>0</v>
      </c>
      <c r="AE36" s="1020">
        <v>32.644649319999999</v>
      </c>
      <c r="AF36" s="1020">
        <v>0</v>
      </c>
      <c r="AG36" s="1020">
        <v>468.14402078000001</v>
      </c>
    </row>
    <row r="37" spans="1:33">
      <c r="A37" s="1017" t="s">
        <v>28</v>
      </c>
      <c r="B37" s="1018">
        <v>16700.565043179999</v>
      </c>
      <c r="C37" s="1018">
        <v>786.28199433999998</v>
      </c>
      <c r="D37" s="1019">
        <f t="shared" si="1"/>
        <v>4.7081161164729188</v>
      </c>
      <c r="E37" s="1020">
        <v>2859.9485050800004</v>
      </c>
      <c r="F37" s="1020">
        <v>8.5783721800000006</v>
      </c>
      <c r="G37" s="1020">
        <v>713.41384506999998</v>
      </c>
      <c r="H37" s="1020">
        <v>20.861254200000001</v>
      </c>
      <c r="I37" s="1020">
        <v>551.93139554000004</v>
      </c>
      <c r="J37" s="1020">
        <v>26.665374870000001</v>
      </c>
      <c r="K37" s="1020">
        <v>915.78658603000008</v>
      </c>
      <c r="L37" s="1020">
        <v>0.22206592999999999</v>
      </c>
      <c r="M37" s="1020">
        <v>924.56066938999993</v>
      </c>
      <c r="N37" s="1020">
        <v>14.04602861</v>
      </c>
      <c r="O37" s="1020">
        <v>740.65590216999999</v>
      </c>
      <c r="P37" s="1020">
        <v>2.3586548299999999</v>
      </c>
      <c r="Q37" s="1020">
        <v>8052.4229299699991</v>
      </c>
      <c r="R37" s="1020">
        <v>270.42522850999995</v>
      </c>
      <c r="S37" s="1020">
        <v>91.351472839999985</v>
      </c>
      <c r="T37" s="1020">
        <v>0.18279999999999999</v>
      </c>
      <c r="U37" s="1020">
        <v>2.0505073299999999</v>
      </c>
      <c r="V37" s="1020">
        <v>0</v>
      </c>
      <c r="W37" s="1020">
        <v>616.81755486000611</v>
      </c>
      <c r="X37" s="1020">
        <v>19.802129130000012</v>
      </c>
      <c r="Y37" s="1020">
        <v>7.1007471400000002</v>
      </c>
      <c r="Z37" s="1020">
        <v>0</v>
      </c>
      <c r="AA37" s="1020">
        <v>3.1193285900000003</v>
      </c>
      <c r="AB37" s="1020">
        <v>0</v>
      </c>
      <c r="AC37" s="1020">
        <v>42.417387400000003</v>
      </c>
      <c r="AD37" s="1020">
        <v>0</v>
      </c>
      <c r="AE37" s="1020">
        <v>29.564309170000001</v>
      </c>
      <c r="AF37" s="1020">
        <v>0</v>
      </c>
      <c r="AG37" s="1020">
        <v>474.33828768000001</v>
      </c>
    </row>
    <row r="38" spans="1:33">
      <c r="A38" s="1017" t="s">
        <v>29</v>
      </c>
      <c r="B38" s="1018">
        <v>17119.816266530001</v>
      </c>
      <c r="C38" s="1018">
        <v>719.44171244100028</v>
      </c>
      <c r="D38" s="1019">
        <f t="shared" si="1"/>
        <v>4.2023915516403099</v>
      </c>
      <c r="E38" s="1020">
        <v>2982.27763271</v>
      </c>
      <c r="F38" s="1020">
        <v>10.221064380000001</v>
      </c>
      <c r="G38" s="1020">
        <v>718.87065003999999</v>
      </c>
      <c r="H38" s="1020">
        <v>30.155463600000001</v>
      </c>
      <c r="I38" s="1020">
        <v>563.21427218000008</v>
      </c>
      <c r="J38" s="1020">
        <v>28.481477079999998</v>
      </c>
      <c r="K38" s="1020">
        <v>903.04608600000006</v>
      </c>
      <c r="L38" s="1020">
        <v>0.14264178999999999</v>
      </c>
      <c r="M38" s="1020">
        <v>960.22491318999994</v>
      </c>
      <c r="N38" s="1020">
        <v>11.50845487</v>
      </c>
      <c r="O38" s="1020">
        <v>733.94094086000018</v>
      </c>
      <c r="P38" s="1020">
        <v>3.40064806</v>
      </c>
      <c r="Q38" s="1020">
        <v>8320.5240356199993</v>
      </c>
      <c r="R38" s="1020">
        <v>286.74943291900001</v>
      </c>
      <c r="S38" s="1020">
        <v>90.596399309999995</v>
      </c>
      <c r="T38" s="1020">
        <v>0.18279999999999999</v>
      </c>
      <c r="U38" s="1020">
        <v>1.9917215699999999</v>
      </c>
      <c r="V38" s="1020">
        <v>0</v>
      </c>
      <c r="W38" s="1020">
        <v>617.99023107999903</v>
      </c>
      <c r="X38" s="1020">
        <v>35.804449879999979</v>
      </c>
      <c r="Y38" s="1020">
        <v>8.4083914000000011</v>
      </c>
      <c r="Z38" s="1020">
        <v>0</v>
      </c>
      <c r="AA38" s="1020">
        <v>3.6777463099999999</v>
      </c>
      <c r="AB38" s="1020">
        <v>0</v>
      </c>
      <c r="AC38" s="1020">
        <v>56.911928450000005</v>
      </c>
      <c r="AD38" s="1020">
        <v>0</v>
      </c>
      <c r="AE38" s="1020">
        <v>32.053172790000005</v>
      </c>
      <c r="AF38" s="1020">
        <v>0</v>
      </c>
      <c r="AG38" s="1020">
        <v>357.28922269999998</v>
      </c>
    </row>
    <row r="39" spans="1:33">
      <c r="A39" s="1017" t="s">
        <v>2827</v>
      </c>
      <c r="B39" s="1017"/>
      <c r="C39" s="1017"/>
      <c r="D39" s="1017"/>
      <c r="E39" s="1020"/>
      <c r="F39" s="1020"/>
      <c r="G39" s="1020"/>
      <c r="H39" s="1020"/>
      <c r="I39" s="1020"/>
      <c r="J39" s="1020"/>
      <c r="K39" s="1020"/>
      <c r="L39" s="1020"/>
      <c r="M39" s="1020"/>
      <c r="N39" s="1020"/>
      <c r="O39" s="1020"/>
      <c r="P39" s="1020"/>
      <c r="Q39" s="1020"/>
      <c r="R39" s="1020"/>
      <c r="S39" s="1020"/>
      <c r="T39" s="1020"/>
      <c r="U39" s="1020"/>
      <c r="V39" s="1020"/>
      <c r="W39" s="1020"/>
      <c r="X39" s="1020"/>
      <c r="Y39" s="1020"/>
      <c r="Z39" s="1020"/>
      <c r="AA39" s="1020"/>
      <c r="AB39" s="1020"/>
      <c r="AC39" s="1020"/>
      <c r="AD39" s="1020"/>
      <c r="AE39" s="1020"/>
      <c r="AF39" s="1020"/>
      <c r="AG39" s="1020"/>
    </row>
    <row r="40" spans="1:33">
      <c r="A40" s="1017" t="s">
        <v>18</v>
      </c>
      <c r="B40" s="1018">
        <v>17242.149871199999</v>
      </c>
      <c r="C40" s="1018">
        <v>706.5450646810001</v>
      </c>
      <c r="D40" s="1019">
        <f t="shared" ref="D40:D49" si="2">C40/B40*100</f>
        <v>4.0977782350747356</v>
      </c>
      <c r="E40" s="1020">
        <v>2960.8306106</v>
      </c>
      <c r="F40" s="1020">
        <v>10.221064380000001</v>
      </c>
      <c r="G40" s="1020">
        <v>707.68418763</v>
      </c>
      <c r="H40" s="1020">
        <v>30.155463600000001</v>
      </c>
      <c r="I40" s="1020">
        <v>567.29357872000003</v>
      </c>
      <c r="J40" s="1020">
        <v>28.481477079999998</v>
      </c>
      <c r="K40" s="1020">
        <v>910.22202430000004</v>
      </c>
      <c r="L40" s="1020">
        <v>0.14264178999999999</v>
      </c>
      <c r="M40" s="1020">
        <v>948.28755950999994</v>
      </c>
      <c r="N40" s="1020">
        <v>11.50845487</v>
      </c>
      <c r="O40" s="1020">
        <v>741.22516050000002</v>
      </c>
      <c r="P40" s="1020">
        <v>3.40064806</v>
      </c>
      <c r="Q40" s="1020">
        <v>8480.9704156700009</v>
      </c>
      <c r="R40" s="1020">
        <v>286.74943291900001</v>
      </c>
      <c r="S40" s="1020">
        <v>90.016935840000002</v>
      </c>
      <c r="T40" s="1020">
        <v>0.18279999999999999</v>
      </c>
      <c r="U40" s="1020">
        <v>1.95306146</v>
      </c>
      <c r="V40" s="1020">
        <v>0</v>
      </c>
      <c r="W40" s="1020">
        <v>627.47543251999991</v>
      </c>
      <c r="X40" s="1020">
        <v>35.804449879999979</v>
      </c>
      <c r="Y40" s="1020">
        <v>7.6883463699999997</v>
      </c>
      <c r="Z40" s="1020">
        <v>0</v>
      </c>
      <c r="AA40" s="1020">
        <v>4.3864337100000004</v>
      </c>
      <c r="AB40" s="1020">
        <v>0</v>
      </c>
      <c r="AC40" s="1020">
        <v>50.945260220000002</v>
      </c>
      <c r="AD40" s="1020">
        <v>0</v>
      </c>
      <c r="AE40" s="1020">
        <v>29.979366889999998</v>
      </c>
      <c r="AF40" s="1020">
        <v>0</v>
      </c>
      <c r="AG40" s="1020">
        <v>404.33149824999998</v>
      </c>
    </row>
    <row r="41" spans="1:33" ht="15" customHeight="1">
      <c r="A41" s="1017" t="s">
        <v>19</v>
      </c>
      <c r="B41" s="1018">
        <v>17587.221785509999</v>
      </c>
      <c r="C41" s="1018">
        <v>690.22803666099992</v>
      </c>
      <c r="D41" s="1019">
        <f t="shared" si="2"/>
        <v>3.9245996046383769</v>
      </c>
      <c r="E41" s="1020">
        <v>3029.3681515600001</v>
      </c>
      <c r="F41" s="1020">
        <v>10.221064380000001</v>
      </c>
      <c r="G41" s="1020">
        <v>689.92751550000003</v>
      </c>
      <c r="H41" s="1020">
        <v>30.155463600000001</v>
      </c>
      <c r="I41" s="1020">
        <v>563.14749876999997</v>
      </c>
      <c r="J41" s="1020">
        <v>28.481477079999998</v>
      </c>
      <c r="K41" s="1020">
        <v>985.9135400900002</v>
      </c>
      <c r="L41" s="1020">
        <v>0.14264178999999999</v>
      </c>
      <c r="M41" s="1020">
        <v>985.04823421000003</v>
      </c>
      <c r="N41" s="1020">
        <v>11.50845487</v>
      </c>
      <c r="O41" s="1020">
        <v>728.15753729000005</v>
      </c>
      <c r="P41" s="1020">
        <v>3.40064806</v>
      </c>
      <c r="Q41" s="1020">
        <v>8661.6781615899999</v>
      </c>
      <c r="R41" s="1020">
        <v>286.74943291900001</v>
      </c>
      <c r="S41" s="1020">
        <v>92.488529190000008</v>
      </c>
      <c r="T41" s="1020">
        <v>0.18279999999999999</v>
      </c>
      <c r="U41" s="1020">
        <v>1.95306146</v>
      </c>
      <c r="V41" s="1020">
        <v>0</v>
      </c>
      <c r="W41" s="1020">
        <v>643.79415081999889</v>
      </c>
      <c r="X41" s="1020">
        <v>35.804449879999979</v>
      </c>
      <c r="Y41" s="1020">
        <v>25.085493190000001</v>
      </c>
      <c r="Z41" s="1020">
        <v>0</v>
      </c>
      <c r="AA41" s="1020">
        <v>4.2741885100000001</v>
      </c>
      <c r="AB41" s="1020">
        <v>0</v>
      </c>
      <c r="AC41" s="1020">
        <v>48.159196620000003</v>
      </c>
      <c r="AD41" s="1020">
        <v>0</v>
      </c>
      <c r="AE41" s="1020">
        <v>31.352057470000005</v>
      </c>
      <c r="AF41" s="1020">
        <v>0</v>
      </c>
      <c r="AG41" s="1020">
        <v>501.75617211000002</v>
      </c>
    </row>
    <row r="42" spans="1:33" ht="15" customHeight="1">
      <c r="A42" s="1017" t="s">
        <v>20</v>
      </c>
      <c r="B42" s="1018">
        <v>18007.769891450997</v>
      </c>
      <c r="C42" s="1018">
        <v>685.18649990099982</v>
      </c>
      <c r="D42" s="1019">
        <f t="shared" si="2"/>
        <v>3.8049492193160748</v>
      </c>
      <c r="E42" s="1020">
        <v>3069.5291242100002</v>
      </c>
      <c r="F42" s="1020">
        <v>10.905675650000001</v>
      </c>
      <c r="G42" s="1020">
        <v>694.58685251999998</v>
      </c>
      <c r="H42" s="1020">
        <v>34.172563600000004</v>
      </c>
      <c r="I42" s="1020">
        <v>572.11871544999985</v>
      </c>
      <c r="J42" s="1020">
        <v>25.356062120000001</v>
      </c>
      <c r="K42" s="1020">
        <v>1008.85695302</v>
      </c>
      <c r="L42" s="1020">
        <v>0.57942300999999996</v>
      </c>
      <c r="M42" s="1020">
        <v>1004.56486473</v>
      </c>
      <c r="N42" s="1020">
        <v>11.781332059999999</v>
      </c>
      <c r="O42" s="1020">
        <v>734.21636339999998</v>
      </c>
      <c r="P42" s="1020">
        <v>3.3693554999999997</v>
      </c>
      <c r="Q42" s="1020">
        <v>8961.90120785</v>
      </c>
      <c r="R42" s="1020">
        <v>300.92743854999998</v>
      </c>
      <c r="S42" s="1020">
        <v>85.615850129999998</v>
      </c>
      <c r="T42" s="1020">
        <v>0.17280000000000001</v>
      </c>
      <c r="U42" s="1020">
        <v>1.9190493500000001</v>
      </c>
      <c r="V42" s="1020">
        <v>0</v>
      </c>
      <c r="W42" s="1020">
        <v>657.65911172999745</v>
      </c>
      <c r="X42" s="1020">
        <v>38.165659129999987</v>
      </c>
      <c r="Y42" s="1020">
        <v>29.572471480000001</v>
      </c>
      <c r="Z42" s="1020">
        <v>0</v>
      </c>
      <c r="AA42" s="1020">
        <v>4.5490465200000001</v>
      </c>
      <c r="AB42" s="1020">
        <v>0</v>
      </c>
      <c r="AC42" s="1020">
        <v>41.391453429999999</v>
      </c>
      <c r="AD42" s="1020">
        <v>0</v>
      </c>
      <c r="AE42" s="1020">
        <v>30.672018110000003</v>
      </c>
      <c r="AF42" s="1020">
        <v>0</v>
      </c>
      <c r="AG42" s="1020">
        <v>408.66366932</v>
      </c>
    </row>
    <row r="43" spans="1:33" ht="15" customHeight="1">
      <c r="A43" s="1017" t="s">
        <v>21</v>
      </c>
      <c r="B43" s="1018">
        <v>18319.964781931001</v>
      </c>
      <c r="C43" s="1018">
        <v>674.7774830410001</v>
      </c>
      <c r="D43" s="1019">
        <f t="shared" si="2"/>
        <v>3.6832902850694</v>
      </c>
      <c r="E43" s="1020">
        <v>3126.6944463600003</v>
      </c>
      <c r="F43" s="1020">
        <v>10.905675650000001</v>
      </c>
      <c r="G43" s="1020">
        <v>690.44424623000009</v>
      </c>
      <c r="H43" s="1020">
        <v>34.172563600000004</v>
      </c>
      <c r="I43" s="1020">
        <v>567.49188975000004</v>
      </c>
      <c r="J43" s="1020">
        <v>25.356062120000001</v>
      </c>
      <c r="K43" s="1020">
        <v>1069.1928002</v>
      </c>
      <c r="L43" s="1020">
        <v>0.57942300999999996</v>
      </c>
      <c r="M43" s="1020">
        <v>1013.2900403299999</v>
      </c>
      <c r="N43" s="1020">
        <v>11.781332059999999</v>
      </c>
      <c r="O43" s="1020">
        <v>739.3187621300001</v>
      </c>
      <c r="P43" s="1020">
        <v>3.3693554999999997</v>
      </c>
      <c r="Q43" s="1020">
        <v>9159.7569552000004</v>
      </c>
      <c r="R43" s="1020">
        <v>300.92743854999998</v>
      </c>
      <c r="S43" s="1020">
        <v>94.418288130000008</v>
      </c>
      <c r="T43" s="1020">
        <v>0.17280000000000001</v>
      </c>
      <c r="U43" s="1020">
        <v>1.8355293099999999</v>
      </c>
      <c r="V43" s="1020">
        <v>0</v>
      </c>
      <c r="W43" s="1020">
        <v>649.45494428000109</v>
      </c>
      <c r="X43" s="1020">
        <v>38.165659129999987</v>
      </c>
      <c r="Y43" s="1020">
        <v>30.977582609999999</v>
      </c>
      <c r="Z43" s="1020">
        <v>0</v>
      </c>
      <c r="AA43" s="1020">
        <v>3.94607128</v>
      </c>
      <c r="AB43" s="1020">
        <v>0</v>
      </c>
      <c r="AC43" s="1020">
        <v>43.012501450000002</v>
      </c>
      <c r="AD43" s="1020">
        <v>0</v>
      </c>
      <c r="AE43" s="1020">
        <v>29.922932009999997</v>
      </c>
      <c r="AF43" s="1020">
        <v>0</v>
      </c>
      <c r="AG43" s="1020">
        <v>368.50278687000002</v>
      </c>
    </row>
    <row r="44" spans="1:33" ht="15" customHeight="1">
      <c r="A44" s="1017" t="s">
        <v>22</v>
      </c>
      <c r="B44" s="1018">
        <v>18577.875236770997</v>
      </c>
      <c r="C44" s="1018">
        <v>673.7364159409999</v>
      </c>
      <c r="D44" s="1019">
        <f t="shared" si="2"/>
        <v>3.6265525920180597</v>
      </c>
      <c r="E44" s="1020">
        <v>3130.2660092400001</v>
      </c>
      <c r="F44" s="1020">
        <v>10.905675650000001</v>
      </c>
      <c r="G44" s="1020">
        <v>678.71154195999998</v>
      </c>
      <c r="H44" s="1020">
        <v>34.172563600000004</v>
      </c>
      <c r="I44" s="1020">
        <v>572.2245125500001</v>
      </c>
      <c r="J44" s="1020">
        <v>25.356062120000001</v>
      </c>
      <c r="K44" s="1020">
        <v>1095.1174711200001</v>
      </c>
      <c r="L44" s="1020">
        <v>0.57942300999999996</v>
      </c>
      <c r="M44" s="1020">
        <v>981.09731834000002</v>
      </c>
      <c r="N44" s="1020">
        <v>11.781332059999999</v>
      </c>
      <c r="O44" s="1020">
        <v>758.37285073999999</v>
      </c>
      <c r="P44" s="1020">
        <v>3.3693554999999997</v>
      </c>
      <c r="Q44" s="1020">
        <v>9382.4405607000008</v>
      </c>
      <c r="R44" s="1020">
        <v>300.92743854999998</v>
      </c>
      <c r="S44" s="1020">
        <v>94.123444239999998</v>
      </c>
      <c r="T44" s="1020">
        <v>0.17280000000000001</v>
      </c>
      <c r="U44" s="1020">
        <v>1.8355293099999999</v>
      </c>
      <c r="V44" s="1020">
        <v>0</v>
      </c>
      <c r="W44" s="1020">
        <v>678.7666159900001</v>
      </c>
      <c r="X44" s="1020">
        <v>38.165659129999987</v>
      </c>
      <c r="Y44" s="1020">
        <v>12.740430310000001</v>
      </c>
      <c r="Z44" s="1020">
        <v>0</v>
      </c>
      <c r="AA44" s="1020">
        <v>3.33646288</v>
      </c>
      <c r="AB44" s="1020">
        <v>0</v>
      </c>
      <c r="AC44" s="1020">
        <v>42.478322670000004</v>
      </c>
      <c r="AD44" s="1020">
        <v>0</v>
      </c>
      <c r="AE44" s="1020">
        <v>47.197441159999997</v>
      </c>
      <c r="AF44" s="1020">
        <v>0</v>
      </c>
      <c r="AG44" s="1020">
        <v>399.49298209</v>
      </c>
    </row>
    <row r="45" spans="1:33" ht="15" customHeight="1">
      <c r="A45" s="1017" t="s">
        <v>23</v>
      </c>
      <c r="B45" s="1018">
        <v>18818.200924164597</v>
      </c>
      <c r="C45" s="1018">
        <v>661.21798656500005</v>
      </c>
      <c r="D45" s="1019">
        <f t="shared" si="2"/>
        <v>3.5137152017328339</v>
      </c>
      <c r="E45" s="1020">
        <v>3141.3452931399997</v>
      </c>
      <c r="F45" s="1020">
        <v>9.2472452500000006</v>
      </c>
      <c r="G45" s="1020">
        <v>661.80971821000003</v>
      </c>
      <c r="H45" s="1020">
        <v>34.172563599999997</v>
      </c>
      <c r="I45" s="1020">
        <v>571.59913632000007</v>
      </c>
      <c r="J45" s="1020">
        <v>25.708327740000001</v>
      </c>
      <c r="K45" s="1020">
        <v>1181.9055758</v>
      </c>
      <c r="L45" s="1020">
        <v>0.94145000999999995</v>
      </c>
      <c r="M45" s="1020">
        <v>980.58902658</v>
      </c>
      <c r="N45" s="1020">
        <v>10.484738980000001</v>
      </c>
      <c r="O45" s="1020">
        <v>770.25907811999991</v>
      </c>
      <c r="P45" s="1020">
        <v>3.6655512400000001</v>
      </c>
      <c r="Q45" s="1020">
        <v>9603.0551213800009</v>
      </c>
      <c r="R45" s="1020">
        <v>318.85189135959996</v>
      </c>
      <c r="S45" s="1020">
        <v>102.05150716</v>
      </c>
      <c r="T45" s="1020">
        <v>0.1653</v>
      </c>
      <c r="U45" s="1020">
        <v>1.7781839700000002</v>
      </c>
      <c r="V45" s="1020">
        <v>0</v>
      </c>
      <c r="W45" s="1020">
        <v>582.93200697999896</v>
      </c>
      <c r="X45" s="1020">
        <v>41.068734280000079</v>
      </c>
      <c r="Y45" s="1020">
        <v>19.576412949999998</v>
      </c>
      <c r="Z45" s="1020">
        <v>0</v>
      </c>
      <c r="AA45" s="1020">
        <v>3.4066838700000002</v>
      </c>
      <c r="AB45" s="1020">
        <v>0</v>
      </c>
      <c r="AC45" s="1020">
        <v>45.474320989999995</v>
      </c>
      <c r="AD45" s="1020">
        <v>1.1644366399999999</v>
      </c>
      <c r="AE45" s="1020">
        <v>45.730633029999993</v>
      </c>
      <c r="AF45" s="1020">
        <v>0</v>
      </c>
      <c r="AG45" s="1020">
        <v>387.19033960000002</v>
      </c>
    </row>
    <row r="46" spans="1:33" ht="15" customHeight="1">
      <c r="A46" s="1017" t="s">
        <v>24</v>
      </c>
      <c r="B46" s="1018">
        <v>18985.634951354594</v>
      </c>
      <c r="C46" s="1018">
        <v>662.33321448499987</v>
      </c>
      <c r="D46" s="1019">
        <f t="shared" si="2"/>
        <v>3.4886018623135042</v>
      </c>
      <c r="E46" s="1020">
        <v>3106.4631285100004</v>
      </c>
      <c r="F46" s="1020">
        <v>9.2472452500000006</v>
      </c>
      <c r="G46" s="1020">
        <v>606.83484245</v>
      </c>
      <c r="H46" s="1020">
        <v>34.172563599999997</v>
      </c>
      <c r="I46" s="1020">
        <v>571.21172114000001</v>
      </c>
      <c r="J46" s="1020">
        <v>25.708327740000001</v>
      </c>
      <c r="K46" s="1020">
        <v>1202.1347719400001</v>
      </c>
      <c r="L46" s="1020">
        <v>0.94145000999999995</v>
      </c>
      <c r="M46" s="1020">
        <v>1037.67454316</v>
      </c>
      <c r="N46" s="1020">
        <v>10.484738980000001</v>
      </c>
      <c r="O46" s="1020">
        <v>778.42155815000001</v>
      </c>
      <c r="P46" s="1020">
        <v>3.6655512400000001</v>
      </c>
      <c r="Q46" s="1020">
        <v>9789.8246620699974</v>
      </c>
      <c r="R46" s="1020">
        <v>318.85189135959996</v>
      </c>
      <c r="S46" s="1020">
        <v>103.51947823</v>
      </c>
      <c r="T46" s="1020">
        <v>0.1653</v>
      </c>
      <c r="U46" s="1020">
        <v>1.6690754600000002</v>
      </c>
      <c r="V46" s="1020">
        <v>0</v>
      </c>
      <c r="W46" s="1020">
        <v>574.28495352999903</v>
      </c>
      <c r="X46" s="1020">
        <v>41.068734280000079</v>
      </c>
      <c r="Y46" s="1020">
        <v>17.974159960000001</v>
      </c>
      <c r="Z46" s="1020">
        <v>0</v>
      </c>
      <c r="AA46" s="1020">
        <v>3.3428964900000002</v>
      </c>
      <c r="AB46" s="1020">
        <v>0</v>
      </c>
      <c r="AC46" s="1020">
        <v>47.760477650000006</v>
      </c>
      <c r="AD46" s="1020">
        <v>1.1644366399999999</v>
      </c>
      <c r="AE46" s="1020">
        <v>36.715229030000003</v>
      </c>
      <c r="AF46" s="1020">
        <v>0</v>
      </c>
      <c r="AG46" s="1020">
        <v>386.11756955999999</v>
      </c>
    </row>
    <row r="47" spans="1:33" ht="15" customHeight="1">
      <c r="A47" s="1017" t="s">
        <v>25</v>
      </c>
      <c r="B47" s="1018">
        <v>19136.822267444604</v>
      </c>
      <c r="C47" s="1018">
        <v>659.66022400499992</v>
      </c>
      <c r="D47" s="1019">
        <f t="shared" si="2"/>
        <v>3.4470729507019988</v>
      </c>
      <c r="E47" s="1020">
        <v>3122.5418065899999</v>
      </c>
      <c r="F47" s="1020">
        <v>9.2472452500000006</v>
      </c>
      <c r="G47" s="1020">
        <v>574.74920330999998</v>
      </c>
      <c r="H47" s="1020">
        <v>34.172563599999997</v>
      </c>
      <c r="I47" s="1020">
        <v>573.13765513999999</v>
      </c>
      <c r="J47" s="1020">
        <v>25.708327740000001</v>
      </c>
      <c r="K47" s="1020">
        <v>1191.5845493500001</v>
      </c>
      <c r="L47" s="1020">
        <v>0.94145000999999995</v>
      </c>
      <c r="M47" s="1020">
        <v>1061.3058686600002</v>
      </c>
      <c r="N47" s="1020">
        <v>10.484738980000001</v>
      </c>
      <c r="O47" s="1020">
        <v>755.42052295999997</v>
      </c>
      <c r="P47" s="1020">
        <v>3.6655512400000001</v>
      </c>
      <c r="Q47" s="1020">
        <v>10009.314863070002</v>
      </c>
      <c r="R47" s="1020">
        <v>318.85189135959996</v>
      </c>
      <c r="S47" s="1020">
        <v>51.136333960000002</v>
      </c>
      <c r="T47" s="1020">
        <v>0.1653</v>
      </c>
      <c r="U47" s="1020">
        <v>1.6189657100000001</v>
      </c>
      <c r="V47" s="1020">
        <v>0</v>
      </c>
      <c r="W47" s="1020">
        <v>594.79696808999847</v>
      </c>
      <c r="X47" s="1020">
        <v>41.068734280000079</v>
      </c>
      <c r="Y47" s="1020">
        <v>16.119905150000001</v>
      </c>
      <c r="Z47" s="1020">
        <v>0</v>
      </c>
      <c r="AA47" s="1020">
        <v>2.9635350900000001</v>
      </c>
      <c r="AB47" s="1020">
        <v>0</v>
      </c>
      <c r="AC47" s="1020">
        <v>43.59604058</v>
      </c>
      <c r="AD47" s="1020">
        <v>1.1644366399999999</v>
      </c>
      <c r="AE47" s="1020">
        <v>33.405586679999999</v>
      </c>
      <c r="AF47" s="1020">
        <v>0</v>
      </c>
      <c r="AG47" s="1020">
        <v>396.32416848999998</v>
      </c>
    </row>
    <row r="48" spans="1:33" ht="15" customHeight="1">
      <c r="A48" s="1017" t="s">
        <v>26</v>
      </c>
      <c r="B48" s="1018">
        <v>19701.683635566002</v>
      </c>
      <c r="C48" s="1018">
        <v>649.54999275199998</v>
      </c>
      <c r="D48" s="1019">
        <f t="shared" si="2"/>
        <v>3.2969263174006871</v>
      </c>
      <c r="E48" s="1020">
        <v>3194.685129</v>
      </c>
      <c r="F48" s="1020">
        <v>8.1102411799999992</v>
      </c>
      <c r="G48" s="1020">
        <v>602.46409550999999</v>
      </c>
      <c r="H48" s="1020">
        <v>34.172563600000004</v>
      </c>
      <c r="I48" s="1020">
        <v>591.77428609000003</v>
      </c>
      <c r="J48" s="1020">
        <v>26.425179449999998</v>
      </c>
      <c r="K48" s="1020">
        <v>1240.53652147</v>
      </c>
      <c r="L48" s="1020">
        <v>0.91141516</v>
      </c>
      <c r="M48" s="1020">
        <v>1057.6198145200001</v>
      </c>
      <c r="N48" s="1020">
        <v>10.50814787</v>
      </c>
      <c r="O48" s="1020">
        <v>789.14396804</v>
      </c>
      <c r="P48" s="1020">
        <v>3.7018644800000002</v>
      </c>
      <c r="Q48" s="1020">
        <v>10343.172838570001</v>
      </c>
      <c r="R48" s="1020">
        <v>365.40066774399997</v>
      </c>
      <c r="S48" s="1020">
        <v>44.954035770000004</v>
      </c>
      <c r="T48" s="1020">
        <v>0.1653</v>
      </c>
      <c r="U48" s="1020">
        <v>1.55036112</v>
      </c>
      <c r="V48" s="1020">
        <v>0</v>
      </c>
      <c r="W48" s="1020">
        <v>583.94294115000002</v>
      </c>
      <c r="X48" s="1020">
        <v>43.142905089999999</v>
      </c>
      <c r="Y48" s="1020">
        <v>18.844386230000001</v>
      </c>
      <c r="Z48" s="1020">
        <v>0</v>
      </c>
      <c r="AA48" s="1020">
        <v>10.19534859</v>
      </c>
      <c r="AB48" s="1020">
        <v>0</v>
      </c>
      <c r="AC48" s="1020">
        <v>45.510371579999997</v>
      </c>
      <c r="AD48" s="1020">
        <v>0.76020041000000005</v>
      </c>
      <c r="AE48" s="1020">
        <v>34.441060190000002</v>
      </c>
      <c r="AF48" s="1020">
        <v>0</v>
      </c>
      <c r="AG48" s="1020">
        <v>435.90259455</v>
      </c>
    </row>
    <row r="49" spans="1:33" ht="15" customHeight="1">
      <c r="A49" s="1017" t="s">
        <v>27</v>
      </c>
      <c r="B49" s="1018">
        <v>20015.293326605999</v>
      </c>
      <c r="C49" s="1018">
        <v>646.04418552200002</v>
      </c>
      <c r="D49" s="1019">
        <f t="shared" si="2"/>
        <v>3.227752773741388</v>
      </c>
      <c r="E49" s="1020">
        <v>3262.3167929399997</v>
      </c>
      <c r="F49" s="1020">
        <v>8.1102411799999992</v>
      </c>
      <c r="G49" s="1020">
        <v>625.89423504000001</v>
      </c>
      <c r="H49" s="1020">
        <v>34.172563600000004</v>
      </c>
      <c r="I49" s="1020">
        <v>597.12625885</v>
      </c>
      <c r="J49" s="1020">
        <v>26.425179449999998</v>
      </c>
      <c r="K49" s="1020">
        <v>1180.68608058</v>
      </c>
      <c r="L49" s="1020">
        <v>0.91141516</v>
      </c>
      <c r="M49" s="1020">
        <v>1068.7433036300001</v>
      </c>
      <c r="N49" s="1020">
        <v>10.50814787</v>
      </c>
      <c r="O49" s="1020">
        <v>794.39277890000005</v>
      </c>
      <c r="P49" s="1020">
        <v>3.7018644800000002</v>
      </c>
      <c r="Q49" s="1020">
        <v>10584.53099259</v>
      </c>
      <c r="R49" s="1020">
        <v>365.40066774399997</v>
      </c>
      <c r="S49" s="1020">
        <v>39.653100860000002</v>
      </c>
      <c r="T49" s="1020">
        <v>0.1653</v>
      </c>
      <c r="U49" s="1020">
        <v>1.4508957999999998</v>
      </c>
      <c r="V49" s="1020">
        <v>0</v>
      </c>
      <c r="W49" s="1020">
        <v>616.79554154999994</v>
      </c>
      <c r="X49" s="1020">
        <v>43.142905089999999</v>
      </c>
      <c r="Y49" s="1020">
        <v>16.342343849999999</v>
      </c>
      <c r="Z49" s="1020">
        <v>0</v>
      </c>
      <c r="AA49" s="1020">
        <v>9.9599876599999995</v>
      </c>
      <c r="AB49" s="1020">
        <v>0</v>
      </c>
      <c r="AC49" s="1020">
        <v>44.104648169999997</v>
      </c>
      <c r="AD49" s="1020">
        <v>0.76020041000000005</v>
      </c>
      <c r="AE49" s="1020">
        <v>33.953695679999996</v>
      </c>
      <c r="AF49" s="1020">
        <v>0</v>
      </c>
      <c r="AG49" s="1020">
        <v>505.93548070999998</v>
      </c>
    </row>
    <row r="50" spans="1:33" ht="15" customHeight="1">
      <c r="A50" s="1017" t="s">
        <v>28</v>
      </c>
      <c r="B50" s="1018">
        <v>20218.690699965999</v>
      </c>
      <c r="C50" s="1018">
        <v>641.27898531200003</v>
      </c>
      <c r="D50" s="1019">
        <v>3.1717137119718561</v>
      </c>
      <c r="E50" s="1020">
        <v>3332.2321433699999</v>
      </c>
      <c r="F50" s="1020">
        <v>8.1102411799999992</v>
      </c>
      <c r="G50" s="1020">
        <v>623.97471341999994</v>
      </c>
      <c r="H50" s="1020">
        <v>34.172563600000004</v>
      </c>
      <c r="I50" s="1020">
        <v>595.89892781000003</v>
      </c>
      <c r="J50" s="1020">
        <v>26.425179449999998</v>
      </c>
      <c r="K50" s="1020">
        <v>1140.6713948199999</v>
      </c>
      <c r="L50" s="1020">
        <v>0.91141516</v>
      </c>
      <c r="M50" s="1020">
        <v>1052.0862463799999</v>
      </c>
      <c r="N50" s="1020">
        <v>10.50814787</v>
      </c>
      <c r="O50" s="1020">
        <v>797.74826809000001</v>
      </c>
      <c r="P50" s="1020">
        <v>3.7018644800000002</v>
      </c>
      <c r="Q50" s="1020">
        <v>10769.64167906</v>
      </c>
      <c r="R50" s="1020">
        <v>365.40066774399997</v>
      </c>
      <c r="S50" s="1020">
        <v>42.660944639999997</v>
      </c>
      <c r="T50" s="1020">
        <v>0.1653</v>
      </c>
      <c r="U50" s="1020">
        <v>1.3731461600000001</v>
      </c>
      <c r="V50" s="1020">
        <v>0</v>
      </c>
      <c r="W50" s="1020">
        <v>626.87957110000002</v>
      </c>
      <c r="X50" s="1020">
        <v>43.142905089999999</v>
      </c>
      <c r="Y50" s="1020">
        <v>14.977643390000001</v>
      </c>
      <c r="Z50" s="1020">
        <v>0</v>
      </c>
      <c r="AA50" s="1020">
        <v>9.4026232400000005</v>
      </c>
      <c r="AB50" s="1020">
        <v>0</v>
      </c>
      <c r="AC50" s="1020">
        <v>40.997581420000003</v>
      </c>
      <c r="AD50" s="1020">
        <v>0.76020041000000005</v>
      </c>
      <c r="AE50" s="1020">
        <v>35.568346769999998</v>
      </c>
      <c r="AF50" s="1020">
        <v>0</v>
      </c>
      <c r="AG50" s="1020">
        <v>557.58788519999996</v>
      </c>
    </row>
    <row r="51" spans="1:33" ht="15" customHeight="1">
      <c r="A51" s="1017" t="s">
        <v>29</v>
      </c>
      <c r="B51" s="1018">
        <v>20183.981847880001</v>
      </c>
      <c r="C51" s="1018">
        <v>593.74010189999967</v>
      </c>
      <c r="D51" s="1019">
        <v>2.9416400905174336</v>
      </c>
      <c r="E51" s="1020">
        <v>3293.3505839399995</v>
      </c>
      <c r="F51" s="1020">
        <v>9.6084185099999999</v>
      </c>
      <c r="G51" s="1020">
        <v>616.53799353999989</v>
      </c>
      <c r="H51" s="1020">
        <v>33.322665600000001</v>
      </c>
      <c r="I51" s="1020">
        <v>583.66742675000012</v>
      </c>
      <c r="J51" s="1020">
        <v>45.418876850000004</v>
      </c>
      <c r="K51" s="1020">
        <v>1096.1061527500001</v>
      </c>
      <c r="L51" s="1020">
        <v>1.27359847</v>
      </c>
      <c r="M51" s="1020">
        <v>1048.8211127999998</v>
      </c>
      <c r="N51" s="1020">
        <v>10.964478569999999</v>
      </c>
      <c r="O51" s="1020">
        <v>788.56792967000001</v>
      </c>
      <c r="P51" s="1020">
        <v>4.1013922300000001</v>
      </c>
      <c r="Q51" s="1020">
        <v>10889.74969981</v>
      </c>
      <c r="R51" s="1020">
        <v>383.32907554999997</v>
      </c>
      <c r="S51" s="1020">
        <v>11.257418770000001</v>
      </c>
      <c r="T51" s="1020">
        <v>0.18029999999999999</v>
      </c>
      <c r="U51" s="1020">
        <v>1.2991616400000001</v>
      </c>
      <c r="V51" s="1020">
        <v>0</v>
      </c>
      <c r="W51" s="1020">
        <v>627.77080505999993</v>
      </c>
      <c r="X51" s="1020">
        <v>49.57481507</v>
      </c>
      <c r="Y51" s="1020">
        <v>12.71684417</v>
      </c>
      <c r="Z51" s="1020">
        <v>0</v>
      </c>
      <c r="AA51" s="1020">
        <v>9.3437897399999983</v>
      </c>
      <c r="AB51" s="1020">
        <v>0</v>
      </c>
      <c r="AC51" s="1020">
        <v>40.150053489999998</v>
      </c>
      <c r="AD51" s="1020">
        <v>1.0802961100000001</v>
      </c>
      <c r="AE51" s="1020">
        <v>32.048856890000003</v>
      </c>
      <c r="AF51" s="1020">
        <v>0</v>
      </c>
      <c r="AG51" s="1020">
        <v>478.84730696000003</v>
      </c>
    </row>
    <row r="52" spans="1:33" ht="15" customHeight="1">
      <c r="A52" s="1017" t="s">
        <v>3518</v>
      </c>
      <c r="B52" s="1018"/>
      <c r="C52" s="1018"/>
      <c r="D52" s="1019"/>
      <c r="E52" s="1020"/>
      <c r="F52" s="1020"/>
      <c r="G52" s="1020"/>
      <c r="H52" s="1020"/>
      <c r="I52" s="1020"/>
      <c r="J52" s="1020"/>
      <c r="K52" s="1020"/>
      <c r="L52" s="1020"/>
      <c r="M52" s="1020"/>
      <c r="N52" s="1020"/>
      <c r="O52" s="1020"/>
      <c r="P52" s="1020"/>
      <c r="Q52" s="1020"/>
      <c r="R52" s="1020"/>
      <c r="S52" s="1020"/>
      <c r="T52" s="1020"/>
      <c r="U52" s="1020"/>
      <c r="V52" s="1020"/>
      <c r="W52" s="1020"/>
      <c r="X52" s="1020"/>
      <c r="Y52" s="1020"/>
      <c r="Z52" s="1020"/>
      <c r="AA52" s="1020"/>
      <c r="AB52" s="1020"/>
      <c r="AC52" s="1020"/>
      <c r="AD52" s="1020"/>
      <c r="AE52" s="1020"/>
      <c r="AF52" s="1020"/>
      <c r="AG52" s="1020"/>
    </row>
    <row r="53" spans="1:33" ht="15" customHeight="1">
      <c r="A53" s="1017" t="s">
        <v>18</v>
      </c>
      <c r="B53" s="1018">
        <v>20259.212448210001</v>
      </c>
      <c r="C53" s="1018">
        <v>583.77188913999998</v>
      </c>
      <c r="D53" s="1019">
        <f t="shared" ref="D53:D64" si="3">C53/B53*100</f>
        <v>2.8815132406175001</v>
      </c>
      <c r="E53" s="1020">
        <v>3237.8077507999997</v>
      </c>
      <c r="F53" s="1020">
        <v>9.6084185099999999</v>
      </c>
      <c r="G53" s="1020">
        <v>602.57609599</v>
      </c>
      <c r="H53" s="1020">
        <v>33.322665600000001</v>
      </c>
      <c r="I53" s="1020">
        <v>571.67550279</v>
      </c>
      <c r="J53" s="1020">
        <v>45.418876850000004</v>
      </c>
      <c r="K53" s="1020">
        <v>1109.8847605699998</v>
      </c>
      <c r="L53" s="1020">
        <v>1.27359847</v>
      </c>
      <c r="M53" s="1020">
        <v>1064.04884924</v>
      </c>
      <c r="N53" s="1020">
        <v>10.964478569999999</v>
      </c>
      <c r="O53" s="1020">
        <v>781.41484682000009</v>
      </c>
      <c r="P53" s="1020">
        <v>4.1013922300000001</v>
      </c>
      <c r="Q53" s="1020">
        <v>11023.7346657</v>
      </c>
      <c r="R53" s="1020">
        <v>383.32907554999997</v>
      </c>
      <c r="S53" s="1020">
        <v>10.611536660000001</v>
      </c>
      <c r="T53" s="1020">
        <v>0.18029999999999999</v>
      </c>
      <c r="U53" s="1020">
        <v>1.26489838</v>
      </c>
      <c r="V53" s="1020">
        <v>0</v>
      </c>
      <c r="W53" s="1020">
        <v>642.86837766000008</v>
      </c>
      <c r="X53" s="1020">
        <v>49.57481507</v>
      </c>
      <c r="Y53" s="1020">
        <v>16.94554686</v>
      </c>
      <c r="Z53" s="1020">
        <v>0</v>
      </c>
      <c r="AA53" s="1020">
        <v>8.3574958899999992</v>
      </c>
      <c r="AB53" s="1020">
        <v>0</v>
      </c>
      <c r="AC53" s="1020">
        <v>35.67089833</v>
      </c>
      <c r="AD53" s="1020">
        <v>1.0802961100000001</v>
      </c>
      <c r="AE53" s="1020">
        <v>29.725416419999995</v>
      </c>
      <c r="AF53" s="1020">
        <v>0</v>
      </c>
      <c r="AG53" s="1020">
        <v>583.94934007999996</v>
      </c>
    </row>
    <row r="54" spans="1:33" ht="15" customHeight="1">
      <c r="A54" s="1017" t="s">
        <v>19</v>
      </c>
      <c r="B54" s="1018">
        <v>20347.050737610003</v>
      </c>
      <c r="C54" s="1018">
        <v>606.13546266000003</v>
      </c>
      <c r="D54" s="1019">
        <f t="shared" si="3"/>
        <v>2.9789843770311335</v>
      </c>
      <c r="E54" s="1020">
        <v>3233.9765252699999</v>
      </c>
      <c r="F54" s="1020">
        <v>9.6084185099999999</v>
      </c>
      <c r="G54" s="1020">
        <v>611.09478416999991</v>
      </c>
      <c r="H54" s="1020">
        <v>33.322665600000001</v>
      </c>
      <c r="I54" s="1020">
        <v>572.88910669000006</v>
      </c>
      <c r="J54" s="1020">
        <v>45.418876850000004</v>
      </c>
      <c r="K54" s="1020">
        <v>1063.7103192499999</v>
      </c>
      <c r="L54" s="1020">
        <v>1.27359847</v>
      </c>
      <c r="M54" s="1020">
        <v>1064.9589326600001</v>
      </c>
      <c r="N54" s="1020">
        <v>10.964478569999999</v>
      </c>
      <c r="O54" s="1020">
        <v>766.25506600999995</v>
      </c>
      <c r="P54" s="1020">
        <v>4.1013922300000001</v>
      </c>
      <c r="Q54" s="1020">
        <v>11165.142844410002</v>
      </c>
      <c r="R54" s="1020">
        <v>383.32907554999997</v>
      </c>
      <c r="S54" s="1020">
        <v>9.3546035100000005</v>
      </c>
      <c r="T54" s="1020">
        <v>0.18029999999999999</v>
      </c>
      <c r="U54" s="1020">
        <v>1.29116666</v>
      </c>
      <c r="V54" s="1020">
        <v>0</v>
      </c>
      <c r="W54" s="1020">
        <v>619.39690105999989</v>
      </c>
      <c r="X54" s="1020">
        <v>49.57481507</v>
      </c>
      <c r="Y54" s="1020">
        <v>17.696519609999999</v>
      </c>
      <c r="Z54" s="1020">
        <v>0</v>
      </c>
      <c r="AA54" s="1020">
        <v>8.277970289999999</v>
      </c>
      <c r="AB54" s="1020">
        <v>0</v>
      </c>
      <c r="AC54" s="1020">
        <v>34.346771109999999</v>
      </c>
      <c r="AD54" s="1020">
        <v>1.0802961100000001</v>
      </c>
      <c r="AE54" s="1020">
        <v>33.66984729</v>
      </c>
      <c r="AF54" s="1020">
        <v>0</v>
      </c>
      <c r="AG54" s="1020">
        <v>483.48919921999999</v>
      </c>
    </row>
    <row r="55" spans="1:33" ht="15" customHeight="1">
      <c r="A55" s="1017" t="s">
        <v>20</v>
      </c>
      <c r="B55" s="1018">
        <v>20664.848433421801</v>
      </c>
      <c r="C55" s="1018">
        <v>590.48680544000013</v>
      </c>
      <c r="D55" s="1019">
        <f t="shared" si="3"/>
        <v>2.8574456151586882</v>
      </c>
      <c r="E55" s="1020">
        <v>3284.0716008599998</v>
      </c>
      <c r="F55" s="1020">
        <v>12.811469809999998</v>
      </c>
      <c r="G55" s="1020">
        <v>634.06538096000008</v>
      </c>
      <c r="H55" s="1020">
        <v>36.5946675</v>
      </c>
      <c r="I55" s="1020">
        <v>527.62397953999994</v>
      </c>
      <c r="J55" s="1020">
        <v>44.699419590000005</v>
      </c>
      <c r="K55" s="1020">
        <v>1056.03426208</v>
      </c>
      <c r="L55" s="1020">
        <v>0.88181993999999997</v>
      </c>
      <c r="M55" s="1020">
        <v>1077.43719143</v>
      </c>
      <c r="N55" s="1020">
        <v>14.49952876</v>
      </c>
      <c r="O55" s="1020">
        <v>796.96831259999988</v>
      </c>
      <c r="P55" s="1020">
        <v>4.0020910000000001</v>
      </c>
      <c r="Q55" s="1020">
        <v>11377.76447181</v>
      </c>
      <c r="R55" s="1020">
        <v>406.86345791181901</v>
      </c>
      <c r="S55" s="1020">
        <v>9.5150901699999988</v>
      </c>
      <c r="T55" s="1020">
        <v>0</v>
      </c>
      <c r="U55" s="1020">
        <v>1.2545707900000003</v>
      </c>
      <c r="V55" s="1020">
        <v>0</v>
      </c>
      <c r="W55" s="1020">
        <v>642.17361158000006</v>
      </c>
      <c r="X55" s="1020">
        <v>52.067696839999996</v>
      </c>
      <c r="Y55" s="1020">
        <v>11.73787692</v>
      </c>
      <c r="Z55" s="1020">
        <v>0</v>
      </c>
      <c r="AA55" s="1020">
        <v>7.5874155999999999</v>
      </c>
      <c r="AB55" s="1020">
        <v>0</v>
      </c>
      <c r="AC55" s="1020">
        <v>41.960857449999999</v>
      </c>
      <c r="AD55" s="1020">
        <v>1.0961894099999998</v>
      </c>
      <c r="AE55" s="1020">
        <v>32.650665430000004</v>
      </c>
      <c r="AF55" s="1020">
        <v>0</v>
      </c>
      <c r="AG55" s="1020">
        <v>467.39142919000005</v>
      </c>
    </row>
    <row r="56" spans="1:33" ht="15" customHeight="1">
      <c r="A56" s="1017" t="s">
        <v>21</v>
      </c>
      <c r="B56" s="1018">
        <v>21005.880584801798</v>
      </c>
      <c r="C56" s="1018">
        <v>591.79680065000002</v>
      </c>
      <c r="D56" s="1019">
        <f t="shared" si="3"/>
        <v>2.8172910831368698</v>
      </c>
      <c r="E56" s="1020">
        <v>3329.8905477400003</v>
      </c>
      <c r="F56" s="1020">
        <v>12.811469809999998</v>
      </c>
      <c r="G56" s="1020">
        <v>640.03991277</v>
      </c>
      <c r="H56" s="1020">
        <v>36.5946675</v>
      </c>
      <c r="I56" s="1020">
        <v>500.78854519000004</v>
      </c>
      <c r="J56" s="1020">
        <v>44.699419590000005</v>
      </c>
      <c r="K56" s="1020">
        <v>1070.94071188</v>
      </c>
      <c r="L56" s="1020">
        <v>0.88181993999999997</v>
      </c>
      <c r="M56" s="1020">
        <v>1050.6385203300001</v>
      </c>
      <c r="N56" s="1020">
        <v>14.49952876</v>
      </c>
      <c r="O56" s="1020">
        <v>820.09704146000001</v>
      </c>
      <c r="P56" s="1020">
        <v>4.0020910000000001</v>
      </c>
      <c r="Q56" s="1020">
        <v>11677.088813060001</v>
      </c>
      <c r="R56" s="1020">
        <v>406.86345791181901</v>
      </c>
      <c r="S56" s="1020">
        <v>9.4727845100000003</v>
      </c>
      <c r="T56" s="1020">
        <v>0</v>
      </c>
      <c r="U56" s="1020">
        <v>1.2504472800000002</v>
      </c>
      <c r="V56" s="1020">
        <v>0</v>
      </c>
      <c r="W56" s="1020">
        <v>638.28868863000002</v>
      </c>
      <c r="X56" s="1020">
        <v>52.067696839999996</v>
      </c>
      <c r="Y56" s="1020">
        <v>11.999786449999998</v>
      </c>
      <c r="Z56" s="1020">
        <v>0</v>
      </c>
      <c r="AA56" s="1020">
        <v>7.2979885100000006</v>
      </c>
      <c r="AB56" s="1020">
        <v>0</v>
      </c>
      <c r="AC56" s="1020">
        <v>46.230109280000001</v>
      </c>
      <c r="AD56" s="1020">
        <v>1.0961894099999998</v>
      </c>
      <c r="AE56" s="1020">
        <v>36.543546300000003</v>
      </c>
      <c r="AF56" s="1020">
        <v>0</v>
      </c>
      <c r="AG56" s="1020">
        <v>515.80844041</v>
      </c>
    </row>
    <row r="57" spans="1:33" ht="15" customHeight="1">
      <c r="A57" s="1017" t="s">
        <v>22</v>
      </c>
      <c r="B57" s="1018">
        <v>21285.5233731218</v>
      </c>
      <c r="C57" s="1018">
        <v>490.09126863</v>
      </c>
      <c r="D57" s="1019">
        <f t="shared" si="3"/>
        <v>2.302462852517221</v>
      </c>
      <c r="E57" s="1020">
        <v>3346.6835495</v>
      </c>
      <c r="F57" s="1020">
        <v>12.811469809999998</v>
      </c>
      <c r="G57" s="1020">
        <v>660.44909041000005</v>
      </c>
      <c r="H57" s="1020">
        <v>36.5946675</v>
      </c>
      <c r="I57" s="1020">
        <v>494.4355683</v>
      </c>
      <c r="J57" s="1020">
        <v>44.699419590000005</v>
      </c>
      <c r="K57" s="1020">
        <v>1112.5208504300001</v>
      </c>
      <c r="L57" s="1020">
        <v>0.88181993999999997</v>
      </c>
      <c r="M57" s="1020">
        <v>1021.98210517</v>
      </c>
      <c r="N57" s="1020">
        <v>14.49952876</v>
      </c>
      <c r="O57" s="1020">
        <v>856.07240155</v>
      </c>
      <c r="P57" s="1020">
        <v>4.0020910000000001</v>
      </c>
      <c r="Q57" s="1020">
        <v>11955.9738413</v>
      </c>
      <c r="R57" s="1020">
        <v>406.86345791181901</v>
      </c>
      <c r="S57" s="1020">
        <v>8.9164827500000001</v>
      </c>
      <c r="T57" s="1020">
        <v>0</v>
      </c>
      <c r="U57" s="1020">
        <v>1.2434237299999999</v>
      </c>
      <c r="V57" s="1020">
        <v>0</v>
      </c>
      <c r="W57" s="1020">
        <v>647.63778065999998</v>
      </c>
      <c r="X57" s="1020">
        <v>52.067696839999996</v>
      </c>
      <c r="Y57" s="1020">
        <v>12.02080232</v>
      </c>
      <c r="Z57" s="1020">
        <v>0</v>
      </c>
      <c r="AA57" s="1020">
        <v>8.3346918399999996</v>
      </c>
      <c r="AB57" s="1020">
        <v>0</v>
      </c>
      <c r="AC57" s="1020">
        <v>59.087088280000003</v>
      </c>
      <c r="AD57" s="1020">
        <v>1.0961894099999998</v>
      </c>
      <c r="AE57" s="1020">
        <v>36.558087489999998</v>
      </c>
      <c r="AF57" s="1020">
        <v>0</v>
      </c>
      <c r="AG57" s="1020">
        <v>596.28195231999996</v>
      </c>
    </row>
    <row r="58" spans="1:33" ht="15" customHeight="1">
      <c r="A58" s="1017" t="s">
        <v>23</v>
      </c>
      <c r="B58" s="1018">
        <v>21966.172727879999</v>
      </c>
      <c r="C58" s="1018">
        <v>502.27205501999998</v>
      </c>
      <c r="D58" s="1019">
        <f t="shared" si="3"/>
        <v>2.2865706340481613</v>
      </c>
      <c r="E58" s="1020">
        <v>3400.0921406000002</v>
      </c>
      <c r="F58" s="1020">
        <v>46.688475240000002</v>
      </c>
      <c r="G58" s="1020">
        <v>670.79581975999997</v>
      </c>
      <c r="H58" s="1020">
        <v>40.2956474</v>
      </c>
      <c r="I58" s="1020">
        <v>499.43349927999998</v>
      </c>
      <c r="J58" s="1020">
        <v>39.175625140000001</v>
      </c>
      <c r="K58" s="1020">
        <v>1155.19152872</v>
      </c>
      <c r="L58" s="1020">
        <v>0.58389230999999997</v>
      </c>
      <c r="M58" s="1020">
        <v>1065.86555006</v>
      </c>
      <c r="N58" s="1020">
        <v>17.412768419999999</v>
      </c>
      <c r="O58" s="1020">
        <v>1089.99946987</v>
      </c>
      <c r="P58" s="1020">
        <v>5.2790910000000002</v>
      </c>
      <c r="Q58" s="1020">
        <v>12165.63551942</v>
      </c>
      <c r="R58" s="1020">
        <v>407.66181237000001</v>
      </c>
      <c r="S58" s="1020">
        <v>8.6067415799999996</v>
      </c>
      <c r="T58" s="1020">
        <v>0</v>
      </c>
      <c r="U58" s="1020">
        <v>1.2157589</v>
      </c>
      <c r="V58" s="1020">
        <v>0</v>
      </c>
      <c r="W58" s="1020">
        <v>667.43708795999999</v>
      </c>
      <c r="X58" s="1020">
        <v>59.18935415</v>
      </c>
      <c r="Y58" s="1020">
        <v>12.08295867</v>
      </c>
      <c r="Z58" s="1020">
        <v>0</v>
      </c>
      <c r="AA58" s="1020">
        <v>7.8582671900000003</v>
      </c>
      <c r="AB58" s="1020">
        <v>0</v>
      </c>
      <c r="AC58" s="1020">
        <v>65.144179429999994</v>
      </c>
      <c r="AD58" s="1020">
        <v>0.60590140000000003</v>
      </c>
      <c r="AE58" s="1020">
        <v>37.649583989999996</v>
      </c>
      <c r="AF58" s="1020">
        <v>0</v>
      </c>
      <c r="AG58" s="1020">
        <v>691.60768736</v>
      </c>
    </row>
    <row r="59" spans="1:33" ht="15" customHeight="1">
      <c r="A59" s="1017" t="s">
        <v>24</v>
      </c>
      <c r="B59" s="1018">
        <v>22041.926831839999</v>
      </c>
      <c r="C59" s="1018">
        <v>494.71576025000002</v>
      </c>
      <c r="D59" s="1019">
        <f t="shared" si="3"/>
        <v>2.2444306435831796</v>
      </c>
      <c r="E59" s="1020">
        <v>3362.6243152799998</v>
      </c>
      <c r="F59" s="1020">
        <v>46.688475240000002</v>
      </c>
      <c r="G59" s="1020">
        <v>652.18895139000006</v>
      </c>
      <c r="H59" s="1020">
        <v>40.2956474</v>
      </c>
      <c r="I59" s="1020">
        <v>496.42099818999998</v>
      </c>
      <c r="J59" s="1020">
        <v>39.175625140000001</v>
      </c>
      <c r="K59" s="1020">
        <v>1126.9368658200001</v>
      </c>
      <c r="L59" s="1020">
        <v>0.58389230999999997</v>
      </c>
      <c r="M59" s="1020">
        <v>1070.5849528399999</v>
      </c>
      <c r="N59" s="1020">
        <v>17.412768419999999</v>
      </c>
      <c r="O59" s="1020">
        <v>1076.02517726</v>
      </c>
      <c r="P59" s="1020">
        <v>5.2790910000000002</v>
      </c>
      <c r="Q59" s="1020">
        <v>12326.41694667</v>
      </c>
      <c r="R59" s="1020">
        <v>407.66181237000001</v>
      </c>
      <c r="S59" s="1020">
        <v>8.4210755299999995</v>
      </c>
      <c r="T59" s="1020">
        <v>0</v>
      </c>
      <c r="U59" s="1020">
        <v>1.1841531000000001</v>
      </c>
      <c r="V59" s="1020">
        <v>0</v>
      </c>
      <c r="W59" s="1020">
        <v>676.12281770000004</v>
      </c>
      <c r="X59" s="1020">
        <v>59.18935415</v>
      </c>
      <c r="Y59" s="1020">
        <v>16.55457453</v>
      </c>
      <c r="Z59" s="1020">
        <v>0</v>
      </c>
      <c r="AA59" s="1020">
        <v>6.5376349600000001</v>
      </c>
      <c r="AB59" s="1020">
        <v>0</v>
      </c>
      <c r="AC59" s="1020">
        <v>70.60986527</v>
      </c>
      <c r="AD59" s="1020">
        <v>0.60590140000000003</v>
      </c>
      <c r="AE59" s="1020">
        <v>39.690175619999998</v>
      </c>
      <c r="AF59" s="1020">
        <v>0</v>
      </c>
      <c r="AG59" s="1020">
        <v>667.30512982000005</v>
      </c>
    </row>
    <row r="60" spans="1:33" ht="15" customHeight="1">
      <c r="A60" s="1017" t="s">
        <v>25</v>
      </c>
      <c r="B60" s="1018">
        <v>22484.122831910001</v>
      </c>
      <c r="C60" s="1018">
        <v>534.25918471</v>
      </c>
      <c r="D60" s="1019">
        <f t="shared" si="3"/>
        <v>2.3761620086497954</v>
      </c>
      <c r="E60" s="1020">
        <v>3406.8716277600001</v>
      </c>
      <c r="F60" s="1020">
        <v>46.688475240000002</v>
      </c>
      <c r="G60" s="1020">
        <v>662.09579918999998</v>
      </c>
      <c r="H60" s="1020">
        <v>40.2956474</v>
      </c>
      <c r="I60" s="1020">
        <v>501.59506807000002</v>
      </c>
      <c r="J60" s="1020">
        <v>39.175625140000001</v>
      </c>
      <c r="K60" s="1020">
        <v>1098.1756047900001</v>
      </c>
      <c r="L60" s="1020">
        <v>0.58389230999999997</v>
      </c>
      <c r="M60" s="1020">
        <v>1084.6226701200001</v>
      </c>
      <c r="N60" s="1020">
        <v>17.412768419999999</v>
      </c>
      <c r="O60" s="1020">
        <v>1098.5173462400001</v>
      </c>
      <c r="P60" s="1020">
        <v>5.2790910000000002</v>
      </c>
      <c r="Q60" s="1020">
        <v>12656.24994496</v>
      </c>
      <c r="R60" s="1020">
        <v>407.66181237000001</v>
      </c>
      <c r="S60" s="1020">
        <v>8.1414122199999994</v>
      </c>
      <c r="T60" s="1020">
        <v>0</v>
      </c>
      <c r="U60" s="1020">
        <v>1.1841531000000001</v>
      </c>
      <c r="V60" s="1020">
        <v>0</v>
      </c>
      <c r="W60" s="1020">
        <v>678.94654989000003</v>
      </c>
      <c r="X60" s="1020">
        <v>59.18935415</v>
      </c>
      <c r="Y60" s="1020">
        <v>14.859283550000001</v>
      </c>
      <c r="Z60" s="1020">
        <v>0</v>
      </c>
      <c r="AA60" s="1020">
        <v>6.6377927999999997</v>
      </c>
      <c r="AB60" s="1020">
        <v>0</v>
      </c>
      <c r="AC60" s="1020">
        <v>76.170175650000004</v>
      </c>
      <c r="AD60" s="1020">
        <v>0.60590140000000003</v>
      </c>
      <c r="AE60" s="1020">
        <v>38.903651429999996</v>
      </c>
      <c r="AF60" s="1020">
        <v>0</v>
      </c>
      <c r="AG60" s="1020">
        <v>857.50713882000002</v>
      </c>
    </row>
    <row r="61" spans="1:33" ht="15" customHeight="1">
      <c r="A61" s="1017" t="s">
        <v>26</v>
      </c>
      <c r="B61" s="1018">
        <v>23018.645831869999</v>
      </c>
      <c r="C61" s="1018">
        <v>519.77127536</v>
      </c>
      <c r="D61" s="1019">
        <f t="shared" si="3"/>
        <v>2.2580445398762827</v>
      </c>
      <c r="E61" s="1020">
        <v>3486.7570254299999</v>
      </c>
      <c r="F61" s="1020">
        <v>55.898312230000002</v>
      </c>
      <c r="G61" s="1020">
        <v>696.49849146999998</v>
      </c>
      <c r="H61" s="1020">
        <v>40.132835200000002</v>
      </c>
      <c r="I61" s="1020">
        <v>522.40519725000001</v>
      </c>
      <c r="J61" s="1020">
        <v>42.560370880000001</v>
      </c>
      <c r="K61" s="1020">
        <v>1118.6349164799999</v>
      </c>
      <c r="L61" s="1020">
        <v>0.30978370999999999</v>
      </c>
      <c r="M61" s="1020">
        <v>1089.5345540999999</v>
      </c>
      <c r="N61" s="1020">
        <v>22.04253855</v>
      </c>
      <c r="O61" s="1020">
        <v>1105.06507093</v>
      </c>
      <c r="P61" s="1020">
        <v>5.3582297900000002</v>
      </c>
      <c r="Q61" s="1020">
        <v>12945.850470400001</v>
      </c>
      <c r="R61" s="1020">
        <v>449.89472573</v>
      </c>
      <c r="S61" s="1020">
        <v>44.925825340000003</v>
      </c>
      <c r="T61" s="1020">
        <v>0</v>
      </c>
      <c r="U61" s="1020">
        <v>1.1291530999999999</v>
      </c>
      <c r="V61" s="1020">
        <v>0</v>
      </c>
      <c r="W61" s="1020">
        <v>685.93276452999999</v>
      </c>
      <c r="X61" s="1020">
        <v>66.84533777</v>
      </c>
      <c r="Y61" s="1020">
        <v>15.7435723</v>
      </c>
      <c r="Z61" s="1020">
        <v>0</v>
      </c>
      <c r="AA61" s="1020">
        <v>6.3298390400000004</v>
      </c>
      <c r="AB61" s="1020">
        <v>0</v>
      </c>
      <c r="AC61" s="1020">
        <v>54.966298879999997</v>
      </c>
      <c r="AD61" s="1020">
        <v>0.90875138</v>
      </c>
      <c r="AE61" s="1020">
        <v>41.150492020000002</v>
      </c>
      <c r="AF61" s="1020">
        <v>0</v>
      </c>
      <c r="AG61" s="1020">
        <v>782.22745200999998</v>
      </c>
    </row>
    <row r="62" spans="1:33" ht="15" customHeight="1">
      <c r="A62" s="1017" t="s">
        <v>27</v>
      </c>
      <c r="B62" s="1018">
        <v>23196.472673640001</v>
      </c>
      <c r="C62" s="1018">
        <v>440.37917463999997</v>
      </c>
      <c r="D62" s="1019">
        <f t="shared" si="3"/>
        <v>1.8984747415517096</v>
      </c>
      <c r="E62" s="1020">
        <v>3433.6060745200002</v>
      </c>
      <c r="F62" s="1020">
        <v>55.898312230000002</v>
      </c>
      <c r="G62" s="1020">
        <v>706.86530153000001</v>
      </c>
      <c r="H62" s="1020">
        <v>40.132835200000002</v>
      </c>
      <c r="I62" s="1020">
        <v>491.88119259000001</v>
      </c>
      <c r="J62" s="1020">
        <v>42.560370880000001</v>
      </c>
      <c r="K62" s="1020">
        <v>1104.4258694099999</v>
      </c>
      <c r="L62" s="1020">
        <v>0.30978370999999999</v>
      </c>
      <c r="M62" s="1020">
        <v>1130.77302792</v>
      </c>
      <c r="N62" s="1020">
        <v>22.04253855</v>
      </c>
      <c r="O62" s="1020">
        <v>1321.41701459</v>
      </c>
      <c r="P62" s="1020">
        <v>5.3582297900000002</v>
      </c>
      <c r="Q62" s="1020">
        <v>13019.06049285</v>
      </c>
      <c r="R62" s="1020">
        <v>449.89472573</v>
      </c>
      <c r="S62" s="1020">
        <v>51.138200580000003</v>
      </c>
      <c r="T62" s="1020">
        <v>0</v>
      </c>
      <c r="U62" s="1020">
        <v>1.0791531000000001</v>
      </c>
      <c r="V62" s="1020">
        <v>0</v>
      </c>
      <c r="W62" s="1020">
        <v>694.01569899000003</v>
      </c>
      <c r="X62" s="1020">
        <v>66.84533777</v>
      </c>
      <c r="Y62" s="1020">
        <v>22.106891319999999</v>
      </c>
      <c r="Z62" s="1020">
        <v>0</v>
      </c>
      <c r="AA62" s="1020">
        <v>5.9397454300000003</v>
      </c>
      <c r="AB62" s="1020">
        <v>0</v>
      </c>
      <c r="AC62" s="1020">
        <v>50.43810526</v>
      </c>
      <c r="AD62" s="1020">
        <v>0.90875138</v>
      </c>
      <c r="AE62" s="1020">
        <v>39.39584567</v>
      </c>
      <c r="AF62" s="1020">
        <v>0</v>
      </c>
      <c r="AG62" s="1020">
        <v>706.56016652000005</v>
      </c>
    </row>
    <row r="63" spans="1:33" ht="15" customHeight="1">
      <c r="A63" s="1017" t="s">
        <v>28</v>
      </c>
      <c r="B63" s="1018">
        <v>23617.991556720001</v>
      </c>
      <c r="C63" s="1018">
        <v>440.25735591</v>
      </c>
      <c r="D63" s="1019">
        <f t="shared" si="3"/>
        <v>1.8640761846861365</v>
      </c>
      <c r="E63" s="1020">
        <v>3505.5060087699999</v>
      </c>
      <c r="F63" s="1020">
        <v>55.898312230000002</v>
      </c>
      <c r="G63" s="1020">
        <v>703.08005479999997</v>
      </c>
      <c r="H63" s="1020">
        <v>40.132835200000002</v>
      </c>
      <c r="I63" s="1020">
        <v>495.80013974000002</v>
      </c>
      <c r="J63" s="1020">
        <v>42.560370880000001</v>
      </c>
      <c r="K63" s="1020">
        <v>1135.6773366899999</v>
      </c>
      <c r="L63" s="1020">
        <v>0.30978370999999999</v>
      </c>
      <c r="M63" s="1020">
        <v>1143.0243782</v>
      </c>
      <c r="N63" s="1020">
        <v>22.04253855</v>
      </c>
      <c r="O63" s="1020">
        <v>1314.2108879</v>
      </c>
      <c r="P63" s="1020">
        <v>5.3582297900000002</v>
      </c>
      <c r="Q63" s="1020">
        <v>13338.71316668</v>
      </c>
      <c r="R63" s="1020">
        <v>449.89472573</v>
      </c>
      <c r="S63" s="1020">
        <v>28.248409150000001</v>
      </c>
      <c r="T63" s="1020">
        <v>0</v>
      </c>
      <c r="U63" s="1020">
        <v>1.03914869</v>
      </c>
      <c r="V63" s="1020">
        <v>0</v>
      </c>
      <c r="W63" s="1020">
        <v>709.20562292</v>
      </c>
      <c r="X63" s="1020">
        <v>66.84533777</v>
      </c>
      <c r="Y63" s="1020">
        <v>22.93932465</v>
      </c>
      <c r="Z63" s="1020">
        <v>0</v>
      </c>
      <c r="AA63" s="1020">
        <v>5.70619839</v>
      </c>
      <c r="AB63" s="1020">
        <v>0</v>
      </c>
      <c r="AC63" s="1020">
        <v>49.985543479999997</v>
      </c>
      <c r="AD63" s="1020">
        <v>0.90875138</v>
      </c>
      <c r="AE63" s="1020">
        <v>40.64709551</v>
      </c>
      <c r="AF63" s="1020">
        <v>0</v>
      </c>
      <c r="AG63" s="1020">
        <v>610.59667779999995</v>
      </c>
    </row>
    <row r="64" spans="1:33" ht="15" customHeight="1">
      <c r="A64" s="1017" t="s">
        <v>29</v>
      </c>
      <c r="B64" s="1018">
        <v>23979.124360810001</v>
      </c>
      <c r="C64" s="1018">
        <v>437.84492763999998</v>
      </c>
      <c r="D64" s="1019">
        <f t="shared" si="3"/>
        <v>1.8259421030218543</v>
      </c>
      <c r="E64" s="1020">
        <v>3476.8485448800002</v>
      </c>
      <c r="F64" s="1020">
        <v>62.497646369999998</v>
      </c>
      <c r="G64" s="1020">
        <v>710.15070306999996</v>
      </c>
      <c r="H64" s="1020">
        <v>42.6828352</v>
      </c>
      <c r="I64" s="1020">
        <v>487.10996204000003</v>
      </c>
      <c r="J64" s="1020">
        <v>45.723689659999998</v>
      </c>
      <c r="K64" s="1020">
        <v>1133.54864195</v>
      </c>
      <c r="L64" s="1020">
        <v>0.20388484000000001</v>
      </c>
      <c r="M64" s="1020">
        <v>1188.0659588000001</v>
      </c>
      <c r="N64" s="1020">
        <v>22.82449128</v>
      </c>
      <c r="O64" s="1020">
        <v>1421.0077585399999</v>
      </c>
      <c r="P64" s="1020">
        <v>5.2806465600000001</v>
      </c>
      <c r="Q64" s="1020">
        <v>13515.026135939999</v>
      </c>
      <c r="R64" s="1020">
        <v>491.29358698999999</v>
      </c>
      <c r="S64" s="1020">
        <v>10.48486535</v>
      </c>
      <c r="T64" s="1020">
        <v>0</v>
      </c>
      <c r="U64" s="1020">
        <v>0.99874423000000001</v>
      </c>
      <c r="V64" s="1020">
        <v>0</v>
      </c>
      <c r="W64" s="1020">
        <v>729.45340526999996</v>
      </c>
      <c r="X64" s="1020">
        <v>71.354744710000006</v>
      </c>
      <c r="Y64" s="1020">
        <v>22.32135551</v>
      </c>
      <c r="Z64" s="1020">
        <v>0</v>
      </c>
      <c r="AA64" s="1020">
        <v>5.89101915</v>
      </c>
      <c r="AB64" s="1020">
        <v>0</v>
      </c>
      <c r="AC64" s="1020">
        <v>50.707049419999997</v>
      </c>
      <c r="AD64" s="1020">
        <v>0.50148901999999995</v>
      </c>
      <c r="AE64" s="1020">
        <v>47.302274390000001</v>
      </c>
      <c r="AF64" s="1020">
        <v>0</v>
      </c>
      <c r="AG64" s="1020">
        <v>568.78507174000003</v>
      </c>
    </row>
    <row r="65" spans="1:33" ht="15" customHeight="1">
      <c r="A65" s="1017" t="s">
        <v>3989</v>
      </c>
      <c r="B65" s="1018"/>
      <c r="C65" s="1018"/>
      <c r="D65" s="1019"/>
      <c r="E65" s="1020"/>
      <c r="F65" s="1020"/>
      <c r="G65" s="1020"/>
      <c r="H65" s="1020"/>
      <c r="I65" s="1020"/>
      <c r="J65" s="1020"/>
      <c r="K65" s="1020"/>
      <c r="L65" s="1020"/>
      <c r="M65" s="1020"/>
      <c r="N65" s="1020"/>
      <c r="O65" s="1020"/>
      <c r="P65" s="1020"/>
      <c r="Q65" s="1020"/>
      <c r="R65" s="1020"/>
      <c r="S65" s="1020"/>
      <c r="T65" s="1020"/>
      <c r="U65" s="1020"/>
      <c r="V65" s="1020"/>
      <c r="W65" s="1020"/>
      <c r="X65" s="1020"/>
      <c r="Y65" s="1020"/>
      <c r="Z65" s="1020"/>
      <c r="AA65" s="1020"/>
      <c r="AB65" s="1020"/>
      <c r="AC65" s="1020"/>
      <c r="AD65" s="1020"/>
      <c r="AE65" s="1020"/>
      <c r="AF65" s="1020"/>
      <c r="AG65" s="1020"/>
    </row>
    <row r="66" spans="1:33" ht="15" customHeight="1">
      <c r="A66" s="1017" t="s">
        <v>18</v>
      </c>
      <c r="B66" s="1018">
        <v>24362.526631280001</v>
      </c>
      <c r="C66" s="1018">
        <v>454.06281114000001</v>
      </c>
      <c r="D66" s="1019">
        <f t="shared" ref="D66:D83" si="4">C66/B66*100</f>
        <v>1.8637755353215748</v>
      </c>
      <c r="E66" s="1020">
        <v>3444.1798715599998</v>
      </c>
      <c r="F66" s="1020">
        <v>62.497646369999998</v>
      </c>
      <c r="G66" s="1020">
        <v>856.90960831999996</v>
      </c>
      <c r="H66" s="1020">
        <v>42.6828352</v>
      </c>
      <c r="I66" s="1020">
        <v>474.97619331999999</v>
      </c>
      <c r="J66" s="1020">
        <v>45.723689659999998</v>
      </c>
      <c r="K66" s="1020">
        <v>1144.13815654</v>
      </c>
      <c r="L66" s="1020">
        <v>0.20388484000000001</v>
      </c>
      <c r="M66" s="1020">
        <v>1386.1662965099999</v>
      </c>
      <c r="N66" s="1020">
        <v>22.82449128</v>
      </c>
      <c r="O66" s="1020">
        <v>1390.6909822099999</v>
      </c>
      <c r="P66" s="1020">
        <v>5.2806465600000001</v>
      </c>
      <c r="Q66" s="1020">
        <v>13604.574583670001</v>
      </c>
      <c r="R66" s="1020">
        <v>491.29358698999999</v>
      </c>
      <c r="S66" s="1020">
        <v>9.7549017199999994</v>
      </c>
      <c r="T66" s="1020">
        <v>0</v>
      </c>
      <c r="U66" s="1020">
        <v>0.95793572999999999</v>
      </c>
      <c r="V66" s="1020">
        <v>0</v>
      </c>
      <c r="W66" s="1020">
        <v>738.74879229999999</v>
      </c>
      <c r="X66" s="1020">
        <v>71.354744710000006</v>
      </c>
      <c r="Y66" s="1020">
        <v>29.311227720000002</v>
      </c>
      <c r="Z66" s="1020">
        <v>0</v>
      </c>
      <c r="AA66" s="1020">
        <v>3.24873491</v>
      </c>
      <c r="AB66" s="1020">
        <v>0</v>
      </c>
      <c r="AC66" s="1020">
        <v>46.113859920000003</v>
      </c>
      <c r="AD66" s="1020">
        <v>0.50148901999999995</v>
      </c>
      <c r="AE66" s="1020">
        <v>36.329661080000001</v>
      </c>
      <c r="AF66" s="1020">
        <v>0</v>
      </c>
      <c r="AG66" s="1020">
        <v>962.53158026999995</v>
      </c>
    </row>
    <row r="67" spans="1:33" ht="15" customHeight="1">
      <c r="A67" s="1017" t="s">
        <v>19</v>
      </c>
      <c r="B67" s="1018">
        <v>24629.126192600001</v>
      </c>
      <c r="C67" s="1018">
        <v>469.15723987000001</v>
      </c>
      <c r="D67" s="1019">
        <f t="shared" si="4"/>
        <v>1.9048878803136819</v>
      </c>
      <c r="E67" s="1020">
        <v>3495.0056662299999</v>
      </c>
      <c r="F67" s="1020">
        <v>62.497646369999998</v>
      </c>
      <c r="G67" s="1020">
        <v>827.1287509</v>
      </c>
      <c r="H67" s="1020">
        <v>42.6828352</v>
      </c>
      <c r="I67" s="1020">
        <v>467.44032426000001</v>
      </c>
      <c r="J67" s="1020">
        <v>45.723689659999998</v>
      </c>
      <c r="K67" s="1020">
        <v>1118.11847324</v>
      </c>
      <c r="L67" s="1020">
        <v>0.20388484000000001</v>
      </c>
      <c r="M67" s="1020">
        <v>1390.6726234499999</v>
      </c>
      <c r="N67" s="1020">
        <v>22.82449128</v>
      </c>
      <c r="O67" s="1020">
        <v>1462.80029496</v>
      </c>
      <c r="P67" s="1020">
        <v>5.2806465600000001</v>
      </c>
      <c r="Q67" s="1020">
        <v>13779.339342359999</v>
      </c>
      <c r="R67" s="1020">
        <v>491.29358698999999</v>
      </c>
      <c r="S67" s="1020">
        <v>9.5166273799999992</v>
      </c>
      <c r="T67" s="1020">
        <v>0</v>
      </c>
      <c r="U67" s="1020">
        <v>0.91671913999999999</v>
      </c>
      <c r="V67" s="1020">
        <v>0</v>
      </c>
      <c r="W67" s="1020">
        <v>750.99694168999997</v>
      </c>
      <c r="X67" s="1020">
        <v>71.354744710000006</v>
      </c>
      <c r="Y67" s="1020">
        <v>25.282118260000001</v>
      </c>
      <c r="Z67" s="1020">
        <v>0</v>
      </c>
      <c r="AA67" s="1020">
        <v>3.0570781299999998</v>
      </c>
      <c r="AB67" s="1020">
        <v>0</v>
      </c>
      <c r="AC67" s="1020">
        <v>47.203366299999999</v>
      </c>
      <c r="AD67" s="1020">
        <v>0.50148901999999995</v>
      </c>
      <c r="AE67" s="1020">
        <v>40.127611799999997</v>
      </c>
      <c r="AF67" s="1020">
        <v>0</v>
      </c>
      <c r="AG67" s="1020">
        <v>704.37689886999999</v>
      </c>
    </row>
    <row r="68" spans="1:33" ht="15" customHeight="1">
      <c r="A68" s="1017" t="s">
        <v>20</v>
      </c>
      <c r="B68" s="1018">
        <v>25442.69492468</v>
      </c>
      <c r="C68" s="1018">
        <v>470.75581861000001</v>
      </c>
      <c r="D68" s="1019">
        <f t="shared" si="4"/>
        <v>1.8502592591060629</v>
      </c>
      <c r="E68" s="1020">
        <v>3666.9534031200001</v>
      </c>
      <c r="F68" s="1020">
        <v>57.161162089999998</v>
      </c>
      <c r="G68" s="1020">
        <v>745.40770825000004</v>
      </c>
      <c r="H68" s="1020">
        <v>42.6828352</v>
      </c>
      <c r="I68" s="1020">
        <v>451.25856865999998</v>
      </c>
      <c r="J68" s="1020">
        <v>44.689331099999997</v>
      </c>
      <c r="K68" s="1020">
        <v>1133.98741591</v>
      </c>
      <c r="L68" s="1020">
        <v>510.15745048000002</v>
      </c>
      <c r="M68" s="1020">
        <v>1399.8904659699999</v>
      </c>
      <c r="N68" s="1020">
        <v>27.442686259999999</v>
      </c>
      <c r="O68" s="1020">
        <v>1466.9427995999999</v>
      </c>
      <c r="P68" s="1020">
        <v>5.2040201100000001</v>
      </c>
      <c r="Q68" s="1020">
        <v>13946.66314035</v>
      </c>
      <c r="R68" s="1020">
        <v>523.15115455</v>
      </c>
      <c r="S68" s="1020">
        <v>9.1823221400000001</v>
      </c>
      <c r="T68" s="1020">
        <v>0</v>
      </c>
      <c r="U68" s="1020">
        <v>0.87509039</v>
      </c>
      <c r="V68" s="1020">
        <v>0</v>
      </c>
      <c r="W68" s="1020">
        <v>754.40685633999999</v>
      </c>
      <c r="X68" s="1020">
        <v>74.075622800000005</v>
      </c>
      <c r="Y68" s="1020">
        <v>31.275232760000002</v>
      </c>
      <c r="Z68" s="1020">
        <v>0</v>
      </c>
      <c r="AA68" s="1020">
        <v>0.85787996</v>
      </c>
      <c r="AB68" s="1020">
        <v>0</v>
      </c>
      <c r="AC68" s="1020">
        <v>41.13730863</v>
      </c>
      <c r="AD68" s="1020">
        <v>0.20668868000000001</v>
      </c>
      <c r="AE68" s="1020">
        <v>38.329962719999997</v>
      </c>
      <c r="AF68" s="1020">
        <v>0</v>
      </c>
      <c r="AG68" s="1020">
        <v>620.27643058000001</v>
      </c>
    </row>
    <row r="69" spans="1:33" ht="15" customHeight="1">
      <c r="A69" s="1017" t="s">
        <v>21</v>
      </c>
      <c r="B69" s="1018">
        <v>25984.53292089</v>
      </c>
      <c r="C69" s="1018">
        <v>462.24683622999999</v>
      </c>
      <c r="D69" s="1019">
        <f t="shared" si="4"/>
        <v>1.7789307109629873</v>
      </c>
      <c r="E69" s="1020">
        <v>3711.7674126299999</v>
      </c>
      <c r="F69" s="1020">
        <v>57.161162089999998</v>
      </c>
      <c r="G69" s="1020">
        <v>787.46765421999999</v>
      </c>
      <c r="H69" s="1020">
        <v>42.6828352</v>
      </c>
      <c r="I69" s="1020">
        <v>426.58847859000002</v>
      </c>
      <c r="J69" s="1020">
        <v>44.689331099999997</v>
      </c>
      <c r="K69" s="1020">
        <v>1164.47778004</v>
      </c>
      <c r="L69" s="1020">
        <v>510.15745048000002</v>
      </c>
      <c r="M69" s="1020">
        <v>1397.4653280499999</v>
      </c>
      <c r="N69" s="1020">
        <v>27.442686259999999</v>
      </c>
      <c r="O69" s="1020">
        <v>1542.2544693</v>
      </c>
      <c r="P69" s="1020">
        <v>5.2040201100000001</v>
      </c>
      <c r="Q69" s="1020">
        <v>14296.20954494</v>
      </c>
      <c r="R69" s="1020">
        <v>523.15115455</v>
      </c>
      <c r="S69" s="1020">
        <v>9.5962926199999998</v>
      </c>
      <c r="T69" s="1020">
        <v>0</v>
      </c>
      <c r="U69" s="1020">
        <v>9.5420000000000005E-5</v>
      </c>
      <c r="V69" s="1020">
        <v>0</v>
      </c>
      <c r="W69" s="1020">
        <v>797.36083989999997</v>
      </c>
      <c r="X69" s="1020">
        <v>74.075622800000005</v>
      </c>
      <c r="Y69" s="1020">
        <v>24.738235759999998</v>
      </c>
      <c r="Z69" s="1020">
        <v>0</v>
      </c>
      <c r="AA69" s="1020">
        <v>0.76087419999999995</v>
      </c>
      <c r="AB69" s="1020">
        <v>0</v>
      </c>
      <c r="AC69" s="1020">
        <v>39.743197879999997</v>
      </c>
      <c r="AD69" s="1020">
        <v>0.20668868000000001</v>
      </c>
      <c r="AE69" s="1020">
        <v>39.084929840000001</v>
      </c>
      <c r="AF69" s="1020">
        <v>0</v>
      </c>
      <c r="AG69" s="1020">
        <v>715.51293795000004</v>
      </c>
    </row>
    <row r="70" spans="1:33" ht="15" customHeight="1">
      <c r="A70" s="1017" t="s">
        <v>22</v>
      </c>
      <c r="B70" s="1018">
        <v>26498.262998329999</v>
      </c>
      <c r="C70" s="1018">
        <v>466.54076087999999</v>
      </c>
      <c r="D70" s="1019">
        <f t="shared" si="4"/>
        <v>1.7606465786432977</v>
      </c>
      <c r="E70" s="1020">
        <v>3775.4744507099999</v>
      </c>
      <c r="F70" s="1020">
        <v>57.161162089999998</v>
      </c>
      <c r="G70" s="1020">
        <v>809.00583299000004</v>
      </c>
      <c r="H70" s="1020">
        <v>42.6828352</v>
      </c>
      <c r="I70" s="1020">
        <v>418.95247243</v>
      </c>
      <c r="J70" s="1020">
        <v>44.689331099999997</v>
      </c>
      <c r="K70" s="1020">
        <v>1160.00791448</v>
      </c>
      <c r="L70" s="1020">
        <v>510.15745048000002</v>
      </c>
      <c r="M70" s="1020">
        <v>1437.23427683</v>
      </c>
      <c r="N70" s="1020">
        <v>27.442686259999999</v>
      </c>
      <c r="O70" s="1020">
        <v>1681.7985262300001</v>
      </c>
      <c r="P70" s="1020">
        <v>5.2040201100000001</v>
      </c>
      <c r="Q70" s="1020">
        <v>14551.6273227</v>
      </c>
      <c r="R70" s="1020">
        <v>523.15115455</v>
      </c>
      <c r="S70" s="1020">
        <v>9.4240336100000004</v>
      </c>
      <c r="T70" s="1020">
        <v>0</v>
      </c>
      <c r="U70" s="1020">
        <v>9.5420000000000005E-5</v>
      </c>
      <c r="V70" s="1020">
        <v>0</v>
      </c>
      <c r="W70" s="1020">
        <v>804.97872681000001</v>
      </c>
      <c r="X70" s="1020">
        <v>74.075622800000005</v>
      </c>
      <c r="Y70" s="1020">
        <v>23.562008590000001</v>
      </c>
      <c r="Z70" s="1020">
        <v>0</v>
      </c>
      <c r="AA70" s="1020">
        <v>1.05724186</v>
      </c>
      <c r="AB70" s="1020">
        <v>0</v>
      </c>
      <c r="AC70" s="1020">
        <v>35.816298809999999</v>
      </c>
      <c r="AD70" s="1020">
        <v>0.20668868000000001</v>
      </c>
      <c r="AE70" s="1020">
        <v>38.012084710000003</v>
      </c>
      <c r="AF70" s="1020">
        <v>0</v>
      </c>
      <c r="AG70" s="1020">
        <v>613.56289488000004</v>
      </c>
    </row>
    <row r="71" spans="1:33" ht="15" customHeight="1">
      <c r="A71" s="1017" t="s">
        <v>23</v>
      </c>
      <c r="B71" s="1018">
        <v>27003.267941400001</v>
      </c>
      <c r="C71" s="1018">
        <v>451.69949761999999</v>
      </c>
      <c r="D71" s="1019">
        <f t="shared" si="4"/>
        <v>1.6727586401773169</v>
      </c>
      <c r="E71" s="1020">
        <v>3817.1343310799998</v>
      </c>
      <c r="F71" s="1020">
        <v>63.415310560000002</v>
      </c>
      <c r="G71" s="1020">
        <v>794.56874424</v>
      </c>
      <c r="H71" s="1020">
        <v>42.6828352</v>
      </c>
      <c r="I71" s="1020">
        <v>414.57037456</v>
      </c>
      <c r="J71" s="1020">
        <v>66.105643310000005</v>
      </c>
      <c r="K71" s="1020">
        <v>1165.8873104500001</v>
      </c>
      <c r="L71" s="1020">
        <v>650.10927448999996</v>
      </c>
      <c r="M71" s="1020">
        <v>1452.6443335199999</v>
      </c>
      <c r="N71" s="1020">
        <v>46.324427440000001</v>
      </c>
      <c r="O71" s="1020">
        <v>1709.8807681400001</v>
      </c>
      <c r="P71" s="1020">
        <v>5.3750590000000003</v>
      </c>
      <c r="Q71" s="1020">
        <v>14760.371802559999</v>
      </c>
      <c r="R71" s="1020">
        <v>567.84866227999999</v>
      </c>
      <c r="S71" s="1020">
        <v>16.529838259999998</v>
      </c>
      <c r="T71" s="1020">
        <v>0</v>
      </c>
      <c r="U71" s="1020">
        <v>9.5420000000000005E-5</v>
      </c>
      <c r="V71" s="1020">
        <v>0</v>
      </c>
      <c r="W71" s="1020">
        <v>800.08934709000005</v>
      </c>
      <c r="X71" s="1020">
        <v>77.636043650000005</v>
      </c>
      <c r="Y71" s="1020">
        <v>21.684003359999998</v>
      </c>
      <c r="Z71" s="1020">
        <v>0</v>
      </c>
      <c r="AA71" s="1020">
        <v>1.0433831</v>
      </c>
      <c r="AB71" s="1020">
        <v>0</v>
      </c>
      <c r="AC71" s="1020">
        <v>30.918700919999999</v>
      </c>
      <c r="AD71" s="1020">
        <v>0.1850289</v>
      </c>
      <c r="AE71" s="1020">
        <v>46.563126250000003</v>
      </c>
      <c r="AF71" s="1020">
        <v>0</v>
      </c>
      <c r="AG71" s="1020">
        <v>1072.0779300500001</v>
      </c>
    </row>
    <row r="72" spans="1:33" ht="15" customHeight="1">
      <c r="A72" s="1017" t="s">
        <v>24</v>
      </c>
      <c r="B72" s="1018">
        <v>27268.459685689999</v>
      </c>
      <c r="C72" s="1018">
        <v>453.71234934</v>
      </c>
      <c r="D72" s="1019">
        <f t="shared" si="4"/>
        <v>1.6638723073093129</v>
      </c>
      <c r="E72" s="1020">
        <v>3815.3547920000001</v>
      </c>
      <c r="F72" s="1020">
        <v>63.415310560000002</v>
      </c>
      <c r="G72" s="1020">
        <v>782.93434503000003</v>
      </c>
      <c r="H72" s="1020">
        <v>42.6828352</v>
      </c>
      <c r="I72" s="1020">
        <v>397.89047541999997</v>
      </c>
      <c r="J72" s="1020">
        <v>66.105643310000005</v>
      </c>
      <c r="K72" s="1020">
        <v>1198.60177331</v>
      </c>
      <c r="L72" s="1020">
        <v>650.10927448999996</v>
      </c>
      <c r="M72" s="1020">
        <v>1421.78829436</v>
      </c>
      <c r="N72" s="1020">
        <v>46.324427440000001</v>
      </c>
      <c r="O72" s="1020">
        <v>1696.3784745</v>
      </c>
      <c r="P72" s="1020">
        <v>5.3750590000000003</v>
      </c>
      <c r="Q72" s="1020">
        <v>15066.3177667</v>
      </c>
      <c r="R72" s="1020">
        <v>567.84866227999999</v>
      </c>
      <c r="S72" s="1020">
        <v>20.980540399999999</v>
      </c>
      <c r="T72" s="1020">
        <v>0</v>
      </c>
      <c r="U72" s="1020">
        <v>9.5420000000000005E-5</v>
      </c>
      <c r="V72" s="1020">
        <v>0</v>
      </c>
      <c r="W72" s="1020">
        <v>797.56392907999998</v>
      </c>
      <c r="X72" s="1020">
        <v>77.636043650000005</v>
      </c>
      <c r="Y72" s="1020">
        <v>21.07847903</v>
      </c>
      <c r="Z72" s="1020">
        <v>0</v>
      </c>
      <c r="AA72" s="1020">
        <v>0.12951824000000001</v>
      </c>
      <c r="AB72" s="1020">
        <v>0</v>
      </c>
      <c r="AC72" s="1020">
        <v>34.229282120000001</v>
      </c>
      <c r="AD72" s="1020">
        <v>0.1850289</v>
      </c>
      <c r="AE72" s="1020">
        <v>41.817285910000003</v>
      </c>
      <c r="AF72" s="1020">
        <v>0</v>
      </c>
      <c r="AG72" s="1020">
        <v>736.54965302999994</v>
      </c>
    </row>
    <row r="73" spans="1:33" ht="15" customHeight="1">
      <c r="A73" s="1017" t="s">
        <v>25</v>
      </c>
      <c r="B73" s="1018">
        <v>27649.3614151</v>
      </c>
      <c r="C73" s="1018">
        <v>473.10461577000001</v>
      </c>
      <c r="D73" s="1019">
        <f t="shared" si="4"/>
        <v>1.7110869530304083</v>
      </c>
      <c r="E73" s="1020">
        <v>3781.8794767099998</v>
      </c>
      <c r="F73" s="1020">
        <v>63.415310560000002</v>
      </c>
      <c r="G73" s="1020">
        <v>793.78719439999998</v>
      </c>
      <c r="H73" s="1020">
        <v>42.6828352</v>
      </c>
      <c r="I73" s="1020">
        <v>434.98623242999997</v>
      </c>
      <c r="J73" s="1020">
        <v>66.105643310000005</v>
      </c>
      <c r="K73" s="1020">
        <v>1171.6111311899999</v>
      </c>
      <c r="L73" s="1020">
        <v>650.10927448999996</v>
      </c>
      <c r="M73" s="1020">
        <v>1417.48038524</v>
      </c>
      <c r="N73" s="1020">
        <v>46.324427440000001</v>
      </c>
      <c r="O73" s="1020">
        <v>1705.2883640800001</v>
      </c>
      <c r="P73" s="1020">
        <v>5.3750590000000003</v>
      </c>
      <c r="Q73" s="1020">
        <v>15430.268113620001</v>
      </c>
      <c r="R73" s="1020">
        <v>567.84866227999999</v>
      </c>
      <c r="S73" s="1020">
        <v>19.988068779999999</v>
      </c>
      <c r="T73" s="1020">
        <v>0</v>
      </c>
      <c r="U73" s="1020">
        <v>9.5420000000000005E-5</v>
      </c>
      <c r="V73" s="1020">
        <v>0</v>
      </c>
      <c r="W73" s="1020">
        <v>779.81068306999998</v>
      </c>
      <c r="X73" s="1020">
        <v>77.636043650000005</v>
      </c>
      <c r="Y73" s="1020">
        <v>38.748037330000002</v>
      </c>
      <c r="Z73" s="1020">
        <v>0</v>
      </c>
      <c r="AA73" s="1020">
        <v>0.11879163</v>
      </c>
      <c r="AB73" s="1020">
        <v>0</v>
      </c>
      <c r="AC73" s="1020">
        <v>34.352562050000003</v>
      </c>
      <c r="AD73" s="1020">
        <v>0.1850289</v>
      </c>
      <c r="AE73" s="1020">
        <v>48.255378550000003</v>
      </c>
      <c r="AF73" s="1020">
        <v>0</v>
      </c>
      <c r="AG73" s="1020">
        <v>1305.5638564400001</v>
      </c>
    </row>
    <row r="74" spans="1:33" ht="15" customHeight="1">
      <c r="A74" s="1017" t="s">
        <v>26</v>
      </c>
      <c r="B74" s="1018">
        <v>28404.620061260001</v>
      </c>
      <c r="C74" s="1018">
        <v>480.04100023000001</v>
      </c>
      <c r="D74" s="1019">
        <f t="shared" si="4"/>
        <v>1.6900102842238327</v>
      </c>
      <c r="E74" s="1020">
        <v>3970.3546434</v>
      </c>
      <c r="F74" s="1020">
        <v>68.565553949999995</v>
      </c>
      <c r="G74" s="1020">
        <v>802.41629125999998</v>
      </c>
      <c r="H74" s="1020">
        <v>48.573335200000002</v>
      </c>
      <c r="I74" s="1020">
        <v>449.97740075000002</v>
      </c>
      <c r="J74" s="1020">
        <v>79.670069359999999</v>
      </c>
      <c r="K74" s="1020">
        <v>1204.74967051</v>
      </c>
      <c r="L74" s="1020">
        <v>680.08175122</v>
      </c>
      <c r="M74" s="1020">
        <v>1441.7466851500001</v>
      </c>
      <c r="N74" s="1020">
        <v>58.738191110000002</v>
      </c>
      <c r="O74" s="1020">
        <v>1768.2495564999999</v>
      </c>
      <c r="P74" s="1020">
        <v>5.5738570000000003</v>
      </c>
      <c r="Q74" s="1020">
        <v>15746.99951609</v>
      </c>
      <c r="R74" s="1020">
        <v>618.90514600999995</v>
      </c>
      <c r="S74" s="1020">
        <v>11.21278674</v>
      </c>
      <c r="T74" s="1020">
        <v>0</v>
      </c>
      <c r="U74" s="1020">
        <v>9.5420000000000005E-5</v>
      </c>
      <c r="V74" s="1020">
        <v>0</v>
      </c>
      <c r="W74" s="1020">
        <v>759.23020930999996</v>
      </c>
      <c r="X74" s="1020">
        <v>83.715507059999993</v>
      </c>
      <c r="Y74" s="1020">
        <v>37.318026699999997</v>
      </c>
      <c r="Z74" s="1020">
        <v>0</v>
      </c>
      <c r="AA74" s="1020">
        <v>9.3325190000000002E-2</v>
      </c>
      <c r="AB74" s="1020">
        <v>0</v>
      </c>
      <c r="AC74" s="1020">
        <v>36.585381130000002</v>
      </c>
      <c r="AD74" s="1020">
        <v>0.16282424000000001</v>
      </c>
      <c r="AE74" s="1020">
        <v>51.659237730000001</v>
      </c>
      <c r="AF74" s="1020">
        <v>0</v>
      </c>
      <c r="AG74" s="1020">
        <v>1298.25868255</v>
      </c>
    </row>
    <row r="75" spans="1:33" ht="15" customHeight="1">
      <c r="A75" s="1017" t="s">
        <v>27</v>
      </c>
      <c r="B75" s="1018">
        <v>28779.170425889999</v>
      </c>
      <c r="C75" s="1018">
        <v>479.76418251000001</v>
      </c>
      <c r="D75" s="1019">
        <f t="shared" si="4"/>
        <v>1.6670535509195912</v>
      </c>
      <c r="E75" s="1020">
        <v>3952.19427662</v>
      </c>
      <c r="F75" s="1020">
        <v>68.565553949999995</v>
      </c>
      <c r="G75" s="1020">
        <v>865.18161607000002</v>
      </c>
      <c r="H75" s="1020">
        <v>48.573335200000002</v>
      </c>
      <c r="I75" s="1020">
        <v>470.01404485</v>
      </c>
      <c r="J75" s="1020">
        <v>79.670069359999999</v>
      </c>
      <c r="K75" s="1020">
        <v>1233.44453929</v>
      </c>
      <c r="L75" s="1020">
        <v>680.08175122</v>
      </c>
      <c r="M75" s="1020">
        <v>1507.88893183</v>
      </c>
      <c r="N75" s="1020">
        <v>58.738191110000002</v>
      </c>
      <c r="O75" s="1020">
        <v>1807.3631336399999</v>
      </c>
      <c r="P75" s="1020">
        <v>5.5738570000000003</v>
      </c>
      <c r="Q75" s="1020">
        <v>15978.859933379999</v>
      </c>
      <c r="R75" s="1020">
        <v>618.90514600999995</v>
      </c>
      <c r="S75" s="1020">
        <v>11.84141668</v>
      </c>
      <c r="T75" s="1020">
        <v>0</v>
      </c>
      <c r="U75" s="1020">
        <v>9.5420000000000005E-5</v>
      </c>
      <c r="V75" s="1020">
        <v>0</v>
      </c>
      <c r="W75" s="1020">
        <v>701.72966297000005</v>
      </c>
      <c r="X75" s="1020">
        <v>83.715507059999993</v>
      </c>
      <c r="Y75" s="1020">
        <v>39.260414169999997</v>
      </c>
      <c r="Z75" s="1020">
        <v>0</v>
      </c>
      <c r="AA75" s="1020">
        <v>0.29761423999999997</v>
      </c>
      <c r="AB75" s="1020">
        <v>0</v>
      </c>
      <c r="AC75" s="1020">
        <v>38.352451260000002</v>
      </c>
      <c r="AD75" s="1020">
        <v>0.16282424000000001</v>
      </c>
      <c r="AE75" s="1020">
        <v>48.991877809999998</v>
      </c>
      <c r="AF75" s="1020">
        <v>0</v>
      </c>
      <c r="AG75" s="1020">
        <v>785.92557074000001</v>
      </c>
    </row>
    <row r="76" spans="1:33" ht="15" customHeight="1">
      <c r="A76" s="1017" t="s">
        <v>28</v>
      </c>
      <c r="B76" s="1018">
        <v>29066.795478110002</v>
      </c>
      <c r="C76" s="1018">
        <v>496.61938093999999</v>
      </c>
      <c r="D76" s="1019">
        <f t="shared" si="4"/>
        <v>1.7085453445117489</v>
      </c>
      <c r="E76" s="1020">
        <v>3989.0245798000001</v>
      </c>
      <c r="F76" s="1020">
        <v>68.565553949999995</v>
      </c>
      <c r="G76" s="1020">
        <v>812.05471679000004</v>
      </c>
      <c r="H76" s="1020">
        <v>48.573335200000002</v>
      </c>
      <c r="I76" s="1020">
        <v>469.19644771999998</v>
      </c>
      <c r="J76" s="1020">
        <v>79.670069359999999</v>
      </c>
      <c r="K76" s="1020">
        <v>1272.09141705</v>
      </c>
      <c r="L76" s="1020">
        <v>680.08175122</v>
      </c>
      <c r="M76" s="1020">
        <v>1517.40410896</v>
      </c>
      <c r="N76" s="1020">
        <v>58.738191110000002</v>
      </c>
      <c r="O76" s="1020">
        <v>1816.8445370899999</v>
      </c>
      <c r="P76" s="1020">
        <v>5.5738570000000003</v>
      </c>
      <c r="Q76" s="1020">
        <v>16198.49383687</v>
      </c>
      <c r="R76" s="1020">
        <v>618.90514600999995</v>
      </c>
      <c r="S76" s="1020">
        <v>17.87270509</v>
      </c>
      <c r="T76" s="1020">
        <v>0</v>
      </c>
      <c r="U76" s="1020">
        <v>9.5420000000000005E-5</v>
      </c>
      <c r="V76" s="1020">
        <v>0</v>
      </c>
      <c r="W76" s="1020">
        <v>697.80294452999999</v>
      </c>
      <c r="X76" s="1020">
        <v>83.715507059999993</v>
      </c>
      <c r="Y76" s="1020">
        <v>47.0600904</v>
      </c>
      <c r="Z76" s="1020">
        <v>0</v>
      </c>
      <c r="AA76" s="1020">
        <v>0.29117292</v>
      </c>
      <c r="AB76" s="1020">
        <v>0</v>
      </c>
      <c r="AC76" s="1020">
        <v>39.62866211</v>
      </c>
      <c r="AD76" s="1020">
        <v>0.16282424000000001</v>
      </c>
      <c r="AE76" s="1020">
        <v>48.424547269999998</v>
      </c>
      <c r="AF76" s="1020">
        <v>0</v>
      </c>
      <c r="AG76" s="1020">
        <v>791.67167386000006</v>
      </c>
    </row>
    <row r="77" spans="1:33" ht="15" customHeight="1">
      <c r="A77" s="1017" t="s">
        <v>29</v>
      </c>
      <c r="B77" s="1018">
        <v>29288.227327680001</v>
      </c>
      <c r="C77" s="1018">
        <v>449.13973557000003</v>
      </c>
      <c r="D77" s="1019">
        <f t="shared" si="4"/>
        <v>1.5335162847002446</v>
      </c>
      <c r="E77" s="1020">
        <v>4075.6535540899999</v>
      </c>
      <c r="F77" s="1020">
        <v>76.360970609999995</v>
      </c>
      <c r="G77" s="1020">
        <v>720.21653545000004</v>
      </c>
      <c r="H77" s="1020">
        <v>54.523335199999998</v>
      </c>
      <c r="I77" s="1020">
        <v>472.71137390000001</v>
      </c>
      <c r="J77" s="1020">
        <v>114.15359438</v>
      </c>
      <c r="K77" s="1020">
        <v>1178.31978159</v>
      </c>
      <c r="L77" s="1020">
        <v>680.04384472000004</v>
      </c>
      <c r="M77" s="1020">
        <v>1534.8844257200001</v>
      </c>
      <c r="N77" s="1020">
        <v>62.905991829999998</v>
      </c>
      <c r="O77" s="1020">
        <v>1854.0983942099999</v>
      </c>
      <c r="P77" s="1020">
        <v>5.8000590000000001</v>
      </c>
      <c r="Q77" s="1020">
        <v>16358.48010246</v>
      </c>
      <c r="R77" s="1020">
        <v>672.51884525000003</v>
      </c>
      <c r="S77" s="1020">
        <v>24.230268639999998</v>
      </c>
      <c r="T77" s="1020">
        <v>0</v>
      </c>
      <c r="U77" s="1020">
        <v>9.5420000000000005E-5</v>
      </c>
      <c r="V77" s="1020">
        <v>0</v>
      </c>
      <c r="W77" s="1020">
        <v>700.15226918999997</v>
      </c>
      <c r="X77" s="1020">
        <v>90.45586849</v>
      </c>
      <c r="Y77" s="1020">
        <v>47.016718359999999</v>
      </c>
      <c r="Z77" s="1020">
        <v>0</v>
      </c>
      <c r="AA77" s="1020">
        <v>1.62095872</v>
      </c>
      <c r="AB77" s="1020">
        <v>0</v>
      </c>
      <c r="AC77" s="1020">
        <v>43.1917525</v>
      </c>
      <c r="AD77" s="1020">
        <v>0.53264553999999997</v>
      </c>
      <c r="AE77" s="1020">
        <v>71.216206839999998</v>
      </c>
      <c r="AF77" s="1020">
        <v>0</v>
      </c>
      <c r="AG77" s="1020">
        <v>733.33534685999996</v>
      </c>
    </row>
    <row r="78" spans="1:33" ht="15" customHeight="1">
      <c r="A78" s="1017" t="s">
        <v>4222</v>
      </c>
      <c r="B78" s="1018"/>
      <c r="C78" s="1018"/>
      <c r="D78" s="1019"/>
      <c r="E78" s="1020"/>
      <c r="F78" s="1020"/>
      <c r="G78" s="1020"/>
      <c r="H78" s="1020"/>
      <c r="I78" s="1020"/>
      <c r="J78" s="1020"/>
      <c r="K78" s="1020"/>
      <c r="L78" s="1020"/>
      <c r="M78" s="1020"/>
      <c r="N78" s="1020"/>
      <c r="O78" s="1020"/>
      <c r="P78" s="1020"/>
      <c r="Q78" s="1020"/>
      <c r="R78" s="1020"/>
      <c r="S78" s="1020"/>
      <c r="T78" s="1020"/>
      <c r="U78" s="1020"/>
      <c r="V78" s="1020"/>
      <c r="W78" s="1020"/>
      <c r="X78" s="1020"/>
      <c r="Y78" s="1020"/>
      <c r="Z78" s="1020"/>
      <c r="AA78" s="1020"/>
      <c r="AB78" s="1020"/>
      <c r="AC78" s="1020"/>
      <c r="AD78" s="1020"/>
      <c r="AE78" s="1020"/>
      <c r="AF78" s="1020"/>
      <c r="AG78" s="1020"/>
    </row>
    <row r="79" spans="1:33" ht="15" customHeight="1">
      <c r="A79" s="1017" t="s">
        <v>18</v>
      </c>
      <c r="B79" s="1018">
        <v>29325.25269265</v>
      </c>
      <c r="C79" s="1018">
        <v>475.08339328</v>
      </c>
      <c r="D79" s="1019">
        <f t="shared" si="4"/>
        <v>1.6200487622705928</v>
      </c>
      <c r="E79" s="1020">
        <v>3997.6815154699998</v>
      </c>
      <c r="F79" s="1020">
        <v>76.360970609999995</v>
      </c>
      <c r="G79" s="1020">
        <v>738.47651888999997</v>
      </c>
      <c r="H79" s="1020">
        <v>54.523335199999998</v>
      </c>
      <c r="I79" s="1020">
        <v>462.86976142999998</v>
      </c>
      <c r="J79" s="1020">
        <v>114.15359438</v>
      </c>
      <c r="K79" s="1020">
        <v>1184.3880910400001</v>
      </c>
      <c r="L79" s="1020">
        <v>680.04384472000004</v>
      </c>
      <c r="M79" s="1020">
        <v>1536.7714749300001</v>
      </c>
      <c r="N79" s="1020">
        <v>62.905991829999998</v>
      </c>
      <c r="O79" s="1020">
        <v>1837.96866</v>
      </c>
      <c r="P79" s="1020">
        <v>5.8000590000000001</v>
      </c>
      <c r="Q79" s="1020">
        <v>16475.194869200001</v>
      </c>
      <c r="R79" s="1020">
        <v>672.51884525000003</v>
      </c>
      <c r="S79" s="1020">
        <v>12.347939309999999</v>
      </c>
      <c r="T79" s="1020">
        <v>0</v>
      </c>
      <c r="U79" s="1020">
        <v>9.5420000000000005E-5</v>
      </c>
      <c r="V79" s="1020">
        <v>0</v>
      </c>
      <c r="W79" s="1020">
        <v>707.22227893000002</v>
      </c>
      <c r="X79" s="1020">
        <v>90.45586849</v>
      </c>
      <c r="Y79" s="1020">
        <v>47.74118361</v>
      </c>
      <c r="Z79" s="1020">
        <v>0</v>
      </c>
      <c r="AA79" s="1020">
        <v>0.33126862000000001</v>
      </c>
      <c r="AB79" s="1020">
        <v>0</v>
      </c>
      <c r="AC79" s="1020">
        <v>41.940023619999998</v>
      </c>
      <c r="AD79" s="1020">
        <v>0.53264553999999997</v>
      </c>
      <c r="AE79" s="1020">
        <v>49.940463880000003</v>
      </c>
      <c r="AF79" s="1020">
        <v>0</v>
      </c>
      <c r="AG79" s="1020">
        <v>766.57819866</v>
      </c>
    </row>
    <row r="80" spans="1:33" ht="15" customHeight="1">
      <c r="A80" s="1017" t="s">
        <v>19</v>
      </c>
      <c r="B80" s="1018">
        <v>29402.91989112</v>
      </c>
      <c r="C80" s="1018">
        <v>480.14675621999999</v>
      </c>
      <c r="D80" s="1019">
        <f t="shared" si="4"/>
        <v>1.6329900499610226</v>
      </c>
      <c r="E80" s="1020">
        <v>4055.37194645</v>
      </c>
      <c r="F80" s="1020">
        <v>76.360970609999995</v>
      </c>
      <c r="G80" s="1020">
        <v>714.06817794000006</v>
      </c>
      <c r="H80" s="1020">
        <v>54.523335199999998</v>
      </c>
      <c r="I80" s="1020">
        <v>461.07213306</v>
      </c>
      <c r="J80" s="1020">
        <v>114.15359438</v>
      </c>
      <c r="K80" s="1020">
        <v>1146.2329162000001</v>
      </c>
      <c r="L80" s="1020">
        <v>680.04384472000004</v>
      </c>
      <c r="M80" s="1020">
        <v>1556.2937602899999</v>
      </c>
      <c r="N80" s="1020">
        <v>62.905991829999998</v>
      </c>
      <c r="O80" s="1020">
        <v>1852.2721150699999</v>
      </c>
      <c r="P80" s="1020">
        <v>5.8000590000000001</v>
      </c>
      <c r="Q80" s="1020">
        <v>16511.02818904</v>
      </c>
      <c r="R80" s="1020">
        <v>672.51884525000003</v>
      </c>
      <c r="S80" s="1020">
        <v>5.4250300600000001</v>
      </c>
      <c r="T80" s="1020">
        <v>0</v>
      </c>
      <c r="U80" s="1020">
        <v>9.5420000000000005E-5</v>
      </c>
      <c r="V80" s="1020">
        <v>0</v>
      </c>
      <c r="W80" s="1020">
        <v>725.01346626999998</v>
      </c>
      <c r="X80" s="1020">
        <v>90.45586849</v>
      </c>
      <c r="Y80" s="1020">
        <v>39.612896220000003</v>
      </c>
      <c r="Z80" s="1020">
        <v>0</v>
      </c>
      <c r="AA80" s="1020">
        <v>0.12159250000000001</v>
      </c>
      <c r="AB80" s="1020">
        <v>0</v>
      </c>
      <c r="AC80" s="1020">
        <v>44.865999590000001</v>
      </c>
      <c r="AD80" s="1020">
        <v>0.53264553999999997</v>
      </c>
      <c r="AE80" s="1020">
        <v>54.099661769999997</v>
      </c>
      <c r="AF80" s="1020">
        <v>0</v>
      </c>
      <c r="AG80" s="1020">
        <v>930.05913115999999</v>
      </c>
    </row>
    <row r="81" spans="1:84" ht="15" customHeight="1">
      <c r="A81" s="1017" t="s">
        <v>20</v>
      </c>
      <c r="B81" s="1018">
        <v>29679.37509813</v>
      </c>
      <c r="C81" s="1018">
        <v>481.55137305</v>
      </c>
      <c r="D81" s="1019">
        <f t="shared" si="4"/>
        <v>1.6225118334123583</v>
      </c>
      <c r="E81" s="1020">
        <v>4056.3704750000002</v>
      </c>
      <c r="F81" s="1020">
        <v>83.256232269999998</v>
      </c>
      <c r="G81" s="1020">
        <v>703.85632669999995</v>
      </c>
      <c r="H81" s="1020">
        <v>59.058085200000001</v>
      </c>
      <c r="I81" s="1020">
        <v>460.80491302000001</v>
      </c>
      <c r="J81" s="1020">
        <v>123.20343515</v>
      </c>
      <c r="K81" s="1020">
        <v>1178.5217232299999</v>
      </c>
      <c r="L81" s="1020">
        <v>642.45465008999997</v>
      </c>
      <c r="M81" s="1020">
        <v>1568.8462233400001</v>
      </c>
      <c r="N81" s="1020">
        <v>69.526394370000006</v>
      </c>
      <c r="O81" s="1020">
        <v>1887.5358671500001</v>
      </c>
      <c r="P81" s="1020">
        <v>7.1319590000000002</v>
      </c>
      <c r="Q81" s="1020">
        <v>16670.391700299999</v>
      </c>
      <c r="R81" s="1020">
        <v>671.77976703000002</v>
      </c>
      <c r="S81" s="1020">
        <v>5.7682950100000001</v>
      </c>
      <c r="T81" s="1020">
        <v>0</v>
      </c>
      <c r="U81" s="1020">
        <v>9.5420000000000005E-5</v>
      </c>
      <c r="V81" s="1020">
        <v>0</v>
      </c>
      <c r="W81" s="1020">
        <v>772.12881432999995</v>
      </c>
      <c r="X81" s="1020">
        <v>92.682735300000004</v>
      </c>
      <c r="Y81" s="1020">
        <v>39.356151580000002</v>
      </c>
      <c r="Z81" s="1020">
        <v>0</v>
      </c>
      <c r="AA81" s="1020">
        <v>0.12271388</v>
      </c>
      <c r="AB81" s="1020">
        <v>0</v>
      </c>
      <c r="AC81" s="1020">
        <v>50.640716249999997</v>
      </c>
      <c r="AD81" s="1020">
        <v>2.2972698399999998</v>
      </c>
      <c r="AE81" s="1020">
        <v>52.089181619999998</v>
      </c>
      <c r="AF81" s="1020">
        <v>0</v>
      </c>
      <c r="AG81" s="1020">
        <v>973.93948470999999</v>
      </c>
    </row>
    <row r="82" spans="1:84" ht="15" customHeight="1">
      <c r="A82" s="1017" t="s">
        <v>21</v>
      </c>
      <c r="B82" s="1018">
        <v>29898.773418969999</v>
      </c>
      <c r="C82" s="1018">
        <v>502.60593611000002</v>
      </c>
      <c r="D82" s="1019">
        <f t="shared" si="4"/>
        <v>1.6810252683847879</v>
      </c>
      <c r="E82" s="1020">
        <v>4039.1641089899999</v>
      </c>
      <c r="F82" s="1020">
        <v>83.256232269999998</v>
      </c>
      <c r="G82" s="1020">
        <v>705.33202921999998</v>
      </c>
      <c r="H82" s="1020">
        <v>59.058085200000001</v>
      </c>
      <c r="I82" s="1020">
        <v>446.44163591</v>
      </c>
      <c r="J82" s="1020">
        <v>123.20343515</v>
      </c>
      <c r="K82" s="1020">
        <v>1177.6941086300001</v>
      </c>
      <c r="L82" s="1020">
        <v>642.45465008999997</v>
      </c>
      <c r="M82" s="1020">
        <v>1554.56446016</v>
      </c>
      <c r="N82" s="1020">
        <v>69.526394370000006</v>
      </c>
      <c r="O82" s="1020">
        <v>1887.5281951500001</v>
      </c>
      <c r="P82" s="1020">
        <v>7.1319590000000002</v>
      </c>
      <c r="Q82" s="1020">
        <v>16909.090097849999</v>
      </c>
      <c r="R82" s="1020">
        <v>671.77976703000002</v>
      </c>
      <c r="S82" s="1020">
        <v>5.2863686400000001</v>
      </c>
      <c r="T82" s="1020">
        <v>0</v>
      </c>
      <c r="U82" s="1020">
        <v>9.5420000000000005E-5</v>
      </c>
      <c r="V82" s="1020">
        <v>0</v>
      </c>
      <c r="W82" s="1020">
        <v>771.40549252999995</v>
      </c>
      <c r="X82" s="1020">
        <v>92.682735300000004</v>
      </c>
      <c r="Y82" s="1020">
        <v>47.433205450000003</v>
      </c>
      <c r="Z82" s="1020">
        <v>0</v>
      </c>
      <c r="AA82" s="1020">
        <v>0.19683262000000001</v>
      </c>
      <c r="AB82" s="1020">
        <v>0</v>
      </c>
      <c r="AC82" s="1020">
        <v>53.542759340000003</v>
      </c>
      <c r="AD82" s="1020">
        <v>2.2972698399999998</v>
      </c>
      <c r="AE82" s="1020">
        <v>47.0975647</v>
      </c>
      <c r="AF82" s="1020">
        <v>0</v>
      </c>
      <c r="AG82" s="1020">
        <v>1646.0498011300001</v>
      </c>
    </row>
    <row r="83" spans="1:84">
      <c r="A83" s="1024" t="s">
        <v>22</v>
      </c>
      <c r="B83" s="1025">
        <v>30188.759704479999</v>
      </c>
      <c r="C83" s="1025">
        <v>508.31303802999997</v>
      </c>
      <c r="D83" s="1026">
        <f t="shared" si="4"/>
        <v>1.6837824508390338</v>
      </c>
      <c r="E83" s="1027">
        <v>4101.0017712700001</v>
      </c>
      <c r="F83" s="1027">
        <v>83.256232269999998</v>
      </c>
      <c r="G83" s="1027">
        <v>699.61285273999999</v>
      </c>
      <c r="H83" s="1027">
        <v>59.058085200000001</v>
      </c>
      <c r="I83" s="1027">
        <v>440.50616196999999</v>
      </c>
      <c r="J83" s="1027">
        <v>123.20343515</v>
      </c>
      <c r="K83" s="1027">
        <v>1208.27757167</v>
      </c>
      <c r="L83" s="1027">
        <v>642.45465008999997</v>
      </c>
      <c r="M83" s="1027">
        <v>1559.6696848900001</v>
      </c>
      <c r="N83" s="1027">
        <v>69.526394370000006</v>
      </c>
      <c r="O83" s="1027">
        <v>1898.9688741099999</v>
      </c>
      <c r="P83" s="1027">
        <v>7.1319590000000002</v>
      </c>
      <c r="Q83" s="1027">
        <v>17090.43128705</v>
      </c>
      <c r="R83" s="1027">
        <v>671.77976703000002</v>
      </c>
      <c r="S83" s="1027">
        <v>5.6016347800000004</v>
      </c>
      <c r="T83" s="1027">
        <v>0</v>
      </c>
      <c r="U83" s="1027">
        <v>9.5420000000000005E-5</v>
      </c>
      <c r="V83" s="1027">
        <v>0</v>
      </c>
      <c r="W83" s="1027">
        <v>772.24057459999995</v>
      </c>
      <c r="X83" s="1027">
        <v>92.682735300000004</v>
      </c>
      <c r="Y83" s="1027">
        <v>54.284820019999998</v>
      </c>
      <c r="Z83" s="1027">
        <v>0</v>
      </c>
      <c r="AA83" s="1027">
        <v>0.19683262000000001</v>
      </c>
      <c r="AB83" s="1027">
        <v>0</v>
      </c>
      <c r="AC83" s="1027">
        <v>50.275336879999998</v>
      </c>
      <c r="AD83" s="1027">
        <v>2.2972698399999998</v>
      </c>
      <c r="AE83" s="1027">
        <v>47.988640179999997</v>
      </c>
      <c r="AF83" s="1027">
        <v>0</v>
      </c>
      <c r="AG83" s="1027">
        <v>2298.6021646600002</v>
      </c>
    </row>
    <row r="84" spans="1:84" s="1028" customFormat="1" ht="18" customHeight="1">
      <c r="A84" s="2446" t="s">
        <v>2993</v>
      </c>
      <c r="B84" s="2446"/>
      <c r="C84" s="2446"/>
      <c r="D84" s="2446"/>
      <c r="E84" s="2446"/>
      <c r="F84" s="2446"/>
      <c r="G84" s="2446"/>
      <c r="H84" s="2446"/>
      <c r="I84" s="2446"/>
      <c r="J84" s="2446"/>
      <c r="K84" s="2446"/>
      <c r="L84" s="2446"/>
      <c r="M84" s="2446"/>
      <c r="N84" s="2446"/>
      <c r="O84" s="2446"/>
      <c r="P84" s="2446"/>
      <c r="Q84" s="2446"/>
      <c r="R84" s="2446"/>
      <c r="S84" s="2446"/>
      <c r="T84" s="2446"/>
      <c r="U84" s="2446"/>
      <c r="V84" s="2446"/>
      <c r="W84" s="2446"/>
      <c r="X84" s="2446"/>
      <c r="Y84" s="2446"/>
      <c r="Z84" s="2446"/>
      <c r="AA84" s="2446"/>
      <c r="AB84" s="2446"/>
      <c r="AC84" s="2446"/>
      <c r="AD84" s="2446"/>
      <c r="AE84" s="2446"/>
      <c r="AF84" s="2446"/>
      <c r="AG84" s="2446"/>
    </row>
    <row r="85" spans="1:84" s="1028" customFormat="1" ht="18" customHeight="1">
      <c r="A85" s="2447" t="s">
        <v>2994</v>
      </c>
      <c r="B85" s="2447"/>
      <c r="C85" s="2447"/>
      <c r="D85" s="2447"/>
      <c r="E85" s="2447"/>
      <c r="F85" s="2447"/>
      <c r="G85" s="2447"/>
      <c r="H85" s="2447"/>
      <c r="I85" s="2447"/>
      <c r="J85" s="2447"/>
      <c r="K85" s="2447"/>
      <c r="L85" s="2447"/>
      <c r="M85" s="2447"/>
      <c r="N85" s="2447"/>
      <c r="O85" s="2447"/>
      <c r="P85" s="2447"/>
      <c r="Q85" s="2447"/>
      <c r="R85" s="2447"/>
      <c r="S85" s="2447"/>
      <c r="T85" s="2447"/>
      <c r="U85" s="2447"/>
      <c r="V85" s="2447"/>
      <c r="W85" s="2447"/>
      <c r="X85" s="2447"/>
      <c r="Y85" s="2447"/>
      <c r="Z85" s="2447"/>
      <c r="AA85" s="2447"/>
      <c r="AB85" s="2447"/>
      <c r="AC85" s="2447"/>
      <c r="AD85" s="2447"/>
      <c r="AE85" s="2447"/>
      <c r="AF85" s="2447"/>
      <c r="AG85" s="2447"/>
    </row>
    <row r="86" spans="1:84">
      <c r="E86" s="1029"/>
      <c r="F86" s="1029"/>
      <c r="G86" s="1029"/>
      <c r="N86" s="1030"/>
      <c r="O86" s="1029"/>
      <c r="Q86" s="1004"/>
      <c r="W86" s="1004"/>
      <c r="X86" s="1004"/>
      <c r="AB86" s="59"/>
      <c r="AC86" s="1003"/>
    </row>
    <row r="87" spans="1:84" ht="17.25" customHeight="1">
      <c r="E87" s="1004"/>
      <c r="F87" s="1004"/>
      <c r="G87" s="1004"/>
      <c r="I87" s="1004"/>
      <c r="K87" s="1004"/>
      <c r="M87" s="1004"/>
      <c r="N87" s="1030"/>
      <c r="O87" s="1004"/>
      <c r="Q87" s="1004"/>
      <c r="S87" s="1004"/>
      <c r="T87" s="1031"/>
      <c r="W87" s="1004"/>
      <c r="X87" s="1004"/>
      <c r="Y87" s="1004"/>
      <c r="AA87" s="1004"/>
      <c r="AC87" s="1004"/>
      <c r="AE87" s="1004"/>
    </row>
    <row r="88" spans="1:84">
      <c r="D88" s="1325"/>
      <c r="E88" s="1038"/>
      <c r="G88" s="1038"/>
      <c r="H88" s="1032"/>
      <c r="I88" s="1038"/>
      <c r="K88" s="1038"/>
      <c r="M88" s="1038"/>
      <c r="N88" s="1030"/>
      <c r="O88" s="1038"/>
      <c r="Q88" s="1038"/>
      <c r="S88" s="1038"/>
      <c r="T88" s="1031"/>
      <c r="U88" s="1033"/>
      <c r="W88" s="1033"/>
      <c r="X88" s="1004"/>
      <c r="Y88" s="1033"/>
      <c r="AA88" s="1033"/>
      <c r="AC88" s="1033"/>
      <c r="AE88" s="1033"/>
      <c r="AG88" s="1033"/>
    </row>
    <row r="89" spans="1:84" s="60" customFormat="1">
      <c r="A89" s="1002"/>
      <c r="B89" s="1002"/>
      <c r="C89" s="1002"/>
      <c r="D89" s="1325"/>
      <c r="E89" s="1033"/>
      <c r="F89" s="1034"/>
      <c r="G89" s="1003"/>
      <c r="H89" s="1035"/>
      <c r="I89" s="1003"/>
      <c r="J89" s="1036"/>
      <c r="K89" s="1003"/>
      <c r="L89" s="1036"/>
      <c r="M89" s="1003"/>
      <c r="N89" s="1036"/>
      <c r="P89" s="1036"/>
      <c r="Q89" s="1003"/>
      <c r="R89" s="1036"/>
      <c r="S89" s="1003"/>
      <c r="T89" s="1036"/>
      <c r="U89" s="1004"/>
      <c r="V89" s="1003"/>
      <c r="W89" s="1037"/>
      <c r="X89" s="1037"/>
      <c r="Z89" s="1036"/>
      <c r="AB89" s="1036"/>
      <c r="AD89" s="1036"/>
      <c r="AF89" s="1036"/>
      <c r="AG89" s="1003"/>
      <c r="AH89" s="1003"/>
      <c r="AI89" s="1003"/>
      <c r="AJ89" s="1003"/>
      <c r="AK89" s="1003"/>
      <c r="AL89" s="1003"/>
      <c r="AM89" s="1003"/>
      <c r="AN89" s="1003"/>
      <c r="AO89" s="1003"/>
      <c r="AP89" s="1003"/>
      <c r="AQ89" s="1003"/>
      <c r="AR89" s="1003"/>
      <c r="AS89" s="1003"/>
      <c r="AT89" s="1003"/>
      <c r="AU89" s="1003"/>
      <c r="AV89" s="1003"/>
      <c r="AW89" s="1003"/>
      <c r="AX89" s="1003"/>
      <c r="AY89" s="1003"/>
      <c r="AZ89" s="1003"/>
      <c r="BA89" s="1003"/>
      <c r="BB89" s="1003"/>
      <c r="BC89" s="1003"/>
      <c r="BD89" s="1003"/>
      <c r="BE89" s="1003"/>
      <c r="BF89" s="1003"/>
      <c r="BG89" s="1003"/>
      <c r="BH89" s="1003"/>
      <c r="BI89" s="1003"/>
      <c r="BJ89" s="1003"/>
      <c r="BK89" s="1003"/>
      <c r="BL89" s="1003"/>
      <c r="BM89" s="1003"/>
      <c r="BN89" s="1003"/>
      <c r="BO89" s="1003"/>
      <c r="BP89" s="1003"/>
      <c r="BQ89" s="1003"/>
      <c r="BR89" s="1003"/>
      <c r="BS89" s="1003"/>
      <c r="BT89" s="1003"/>
      <c r="BU89" s="1003"/>
      <c r="BV89" s="1003"/>
      <c r="BW89" s="1003"/>
      <c r="BX89" s="1003"/>
      <c r="BY89" s="1003"/>
      <c r="BZ89" s="1003"/>
      <c r="CA89" s="1003"/>
      <c r="CB89" s="1003"/>
      <c r="CC89" s="1003"/>
      <c r="CD89" s="1003"/>
      <c r="CE89" s="1003"/>
      <c r="CF89" s="1003"/>
    </row>
    <row r="90" spans="1:84" s="60" customFormat="1">
      <c r="A90" s="1002"/>
      <c r="B90" s="1002"/>
      <c r="C90" s="1002"/>
      <c r="D90" s="1002"/>
      <c r="E90" s="1003"/>
      <c r="F90" s="1003"/>
      <c r="G90" s="1003"/>
      <c r="H90" s="1003"/>
      <c r="I90" s="1003"/>
      <c r="J90" s="1003"/>
      <c r="K90" s="1003"/>
      <c r="L90" s="1003"/>
      <c r="M90" s="1003"/>
      <c r="N90" s="1030"/>
      <c r="O90" s="1029"/>
      <c r="P90" s="1003"/>
      <c r="Q90" s="1003"/>
      <c r="R90" s="1003"/>
      <c r="S90" s="1003"/>
      <c r="T90" s="1003"/>
      <c r="U90" s="1004"/>
      <c r="V90" s="1003"/>
      <c r="W90" s="1003"/>
      <c r="X90" s="1004"/>
      <c r="AG90" s="1003"/>
      <c r="AH90" s="1003"/>
      <c r="AI90" s="1003"/>
      <c r="AJ90" s="1003"/>
      <c r="AK90" s="1003"/>
      <c r="AL90" s="1003"/>
      <c r="AM90" s="1003"/>
      <c r="AN90" s="1003"/>
      <c r="AO90" s="1003"/>
      <c r="AP90" s="1003"/>
      <c r="AQ90" s="1003"/>
      <c r="AR90" s="1003"/>
      <c r="AS90" s="1003"/>
      <c r="AT90" s="1003"/>
      <c r="AU90" s="1003"/>
      <c r="AV90" s="1003"/>
      <c r="AW90" s="1003"/>
      <c r="AX90" s="1003"/>
      <c r="AY90" s="1003"/>
      <c r="AZ90" s="1003"/>
      <c r="BA90" s="1003"/>
      <c r="BB90" s="1003"/>
      <c r="BC90" s="1003"/>
      <c r="BD90" s="1003"/>
      <c r="BE90" s="1003"/>
      <c r="BF90" s="1003"/>
      <c r="BG90" s="1003"/>
      <c r="BH90" s="1003"/>
      <c r="BI90" s="1003"/>
      <c r="BJ90" s="1003"/>
      <c r="BK90" s="1003"/>
      <c r="BL90" s="1003"/>
      <c r="BM90" s="1003"/>
      <c r="BN90" s="1003"/>
      <c r="BO90" s="1003"/>
      <c r="BP90" s="1003"/>
      <c r="BQ90" s="1003"/>
      <c r="BR90" s="1003"/>
      <c r="BS90" s="1003"/>
      <c r="BT90" s="1003"/>
      <c r="BU90" s="1003"/>
      <c r="BV90" s="1003"/>
      <c r="BW90" s="1003"/>
      <c r="BX90" s="1003"/>
      <c r="BY90" s="1003"/>
      <c r="BZ90" s="1003"/>
      <c r="CA90" s="1003"/>
      <c r="CB90" s="1003"/>
      <c r="CC90" s="1003"/>
      <c r="CD90" s="1003"/>
      <c r="CE90" s="1003"/>
      <c r="CF90" s="1003"/>
    </row>
    <row r="91" spans="1:84" s="60" customFormat="1">
      <c r="A91" s="1002"/>
      <c r="B91" s="1002"/>
      <c r="C91" s="1002"/>
      <c r="D91" s="1002"/>
      <c r="E91" s="1003"/>
      <c r="F91" s="1003"/>
      <c r="G91" s="1003"/>
      <c r="H91" s="1003"/>
      <c r="I91" s="1003"/>
      <c r="J91" s="1003"/>
      <c r="K91" s="1003"/>
      <c r="L91" s="1003"/>
      <c r="M91" s="1003"/>
      <c r="N91" s="1030"/>
      <c r="O91" s="1029"/>
      <c r="P91" s="1003"/>
      <c r="Q91" s="1003"/>
      <c r="R91" s="1003"/>
      <c r="S91" s="1003"/>
      <c r="T91" s="1031"/>
      <c r="U91" s="1004"/>
      <c r="V91" s="1003"/>
      <c r="W91" s="1003"/>
      <c r="X91" s="1004"/>
      <c r="AG91" s="1003"/>
      <c r="AH91" s="1003"/>
      <c r="AI91" s="1003"/>
      <c r="AJ91" s="1003"/>
      <c r="AK91" s="1003"/>
      <c r="AL91" s="1003"/>
      <c r="AM91" s="1003"/>
      <c r="AN91" s="1003"/>
      <c r="AO91" s="1003"/>
      <c r="AP91" s="1003"/>
      <c r="AQ91" s="1003"/>
      <c r="AR91" s="1003"/>
      <c r="AS91" s="1003"/>
      <c r="AT91" s="1003"/>
      <c r="AU91" s="1003"/>
      <c r="AV91" s="1003"/>
      <c r="AW91" s="1003"/>
      <c r="AX91" s="1003"/>
      <c r="AY91" s="1003"/>
      <c r="AZ91" s="1003"/>
      <c r="BA91" s="1003"/>
      <c r="BB91" s="1003"/>
      <c r="BC91" s="1003"/>
      <c r="BD91" s="1003"/>
      <c r="BE91" s="1003"/>
      <c r="BF91" s="1003"/>
      <c r="BG91" s="1003"/>
      <c r="BH91" s="1003"/>
      <c r="BI91" s="1003"/>
      <c r="BJ91" s="1003"/>
      <c r="BK91" s="1003"/>
      <c r="BL91" s="1003"/>
      <c r="BM91" s="1003"/>
      <c r="BN91" s="1003"/>
      <c r="BO91" s="1003"/>
      <c r="BP91" s="1003"/>
      <c r="BQ91" s="1003"/>
      <c r="BR91" s="1003"/>
      <c r="BS91" s="1003"/>
      <c r="BT91" s="1003"/>
      <c r="BU91" s="1003"/>
      <c r="BV91" s="1003"/>
      <c r="BW91" s="1003"/>
      <c r="BX91" s="1003"/>
      <c r="BY91" s="1003"/>
      <c r="BZ91" s="1003"/>
      <c r="CA91" s="1003"/>
      <c r="CB91" s="1003"/>
      <c r="CC91" s="1003"/>
      <c r="CD91" s="1003"/>
      <c r="CE91" s="1003"/>
      <c r="CF91" s="1003"/>
    </row>
    <row r="92" spans="1:84" s="60" customFormat="1">
      <c r="A92" s="1002"/>
      <c r="B92" s="1002"/>
      <c r="C92" s="1002"/>
      <c r="D92" s="1002"/>
      <c r="E92" s="1003"/>
      <c r="F92" s="1003"/>
      <c r="G92" s="1003"/>
      <c r="H92" s="1003"/>
      <c r="I92" s="1003"/>
      <c r="J92" s="1003"/>
      <c r="K92" s="1003"/>
      <c r="L92" s="1003"/>
      <c r="M92" s="1003"/>
      <c r="N92" s="1030"/>
      <c r="O92" s="1029"/>
      <c r="P92" s="1003"/>
      <c r="Q92" s="1003"/>
      <c r="R92" s="1031"/>
      <c r="S92" s="1003"/>
      <c r="T92" s="1031"/>
      <c r="U92" s="1004"/>
      <c r="V92" s="1003"/>
      <c r="W92" s="1003"/>
      <c r="X92" s="1038"/>
      <c r="AG92" s="1003"/>
      <c r="AH92" s="1003"/>
      <c r="AI92" s="1003"/>
      <c r="AJ92" s="1003"/>
      <c r="AK92" s="1003"/>
      <c r="AL92" s="1003"/>
      <c r="AM92" s="1003"/>
      <c r="AN92" s="1003"/>
      <c r="AO92" s="1003"/>
      <c r="AP92" s="1003"/>
      <c r="AQ92" s="1003"/>
      <c r="AR92" s="1003"/>
      <c r="AS92" s="1003"/>
      <c r="AT92" s="1003"/>
      <c r="AU92" s="1003"/>
      <c r="AV92" s="1003"/>
      <c r="AW92" s="1003"/>
      <c r="AX92" s="1003"/>
      <c r="AY92" s="1003"/>
      <c r="AZ92" s="1003"/>
      <c r="BA92" s="1003"/>
      <c r="BB92" s="1003"/>
      <c r="BC92" s="1003"/>
      <c r="BD92" s="1003"/>
      <c r="BE92" s="1003"/>
      <c r="BF92" s="1003"/>
      <c r="BG92" s="1003"/>
      <c r="BH92" s="1003"/>
      <c r="BI92" s="1003"/>
      <c r="BJ92" s="1003"/>
      <c r="BK92" s="1003"/>
      <c r="BL92" s="1003"/>
      <c r="BM92" s="1003"/>
      <c r="BN92" s="1003"/>
      <c r="BO92" s="1003"/>
      <c r="BP92" s="1003"/>
      <c r="BQ92" s="1003"/>
      <c r="BR92" s="1003"/>
      <c r="BS92" s="1003"/>
      <c r="BT92" s="1003"/>
      <c r="BU92" s="1003"/>
      <c r="BV92" s="1003"/>
      <c r="BW92" s="1003"/>
      <c r="BX92" s="1003"/>
      <c r="BY92" s="1003"/>
      <c r="BZ92" s="1003"/>
      <c r="CA92" s="1003"/>
      <c r="CB92" s="1003"/>
      <c r="CC92" s="1003"/>
      <c r="CD92" s="1003"/>
      <c r="CE92" s="1003"/>
      <c r="CF92" s="1003"/>
    </row>
    <row r="93" spans="1:84" s="60" customFormat="1">
      <c r="A93" s="1002"/>
      <c r="B93" s="1002"/>
      <c r="C93" s="1002"/>
      <c r="D93" s="1002"/>
      <c r="E93" s="1003"/>
      <c r="F93" s="1003"/>
      <c r="G93" s="1003"/>
      <c r="H93" s="1003"/>
      <c r="I93" s="1003"/>
      <c r="J93" s="1003"/>
      <c r="K93" s="1003"/>
      <c r="L93" s="1003"/>
      <c r="M93" s="1003"/>
      <c r="N93" s="1003"/>
      <c r="O93" s="1003"/>
      <c r="P93" s="1003"/>
      <c r="Q93" s="1003"/>
      <c r="R93" s="1003"/>
      <c r="S93" s="1003"/>
      <c r="T93" s="1033"/>
      <c r="U93" s="1004"/>
      <c r="V93" s="1003"/>
      <c r="W93" s="1003"/>
      <c r="X93" s="1004"/>
      <c r="AG93" s="1003"/>
      <c r="AH93" s="1003"/>
      <c r="AI93" s="1003"/>
      <c r="AJ93" s="1003"/>
      <c r="AK93" s="1003"/>
      <c r="AL93" s="1003"/>
      <c r="AM93" s="1003"/>
      <c r="AN93" s="1003"/>
      <c r="AO93" s="1003"/>
      <c r="AP93" s="1003"/>
      <c r="AQ93" s="1003"/>
      <c r="AR93" s="1003"/>
      <c r="AS93" s="1003"/>
      <c r="AT93" s="1003"/>
      <c r="AU93" s="1003"/>
      <c r="AV93" s="1003"/>
      <c r="AW93" s="1003"/>
      <c r="AX93" s="1003"/>
      <c r="AY93" s="1003"/>
      <c r="AZ93" s="1003"/>
      <c r="BA93" s="1003"/>
      <c r="BB93" s="1003"/>
      <c r="BC93" s="1003"/>
      <c r="BD93" s="1003"/>
      <c r="BE93" s="1003"/>
      <c r="BF93" s="1003"/>
      <c r="BG93" s="1003"/>
      <c r="BH93" s="1003"/>
      <c r="BI93" s="1003"/>
      <c r="BJ93" s="1003"/>
      <c r="BK93" s="1003"/>
      <c r="BL93" s="1003"/>
      <c r="BM93" s="1003"/>
      <c r="BN93" s="1003"/>
      <c r="BO93" s="1003"/>
      <c r="BP93" s="1003"/>
      <c r="BQ93" s="1003"/>
      <c r="BR93" s="1003"/>
      <c r="BS93" s="1003"/>
      <c r="BT93" s="1003"/>
      <c r="BU93" s="1003"/>
      <c r="BV93" s="1003"/>
      <c r="BW93" s="1003"/>
      <c r="BX93" s="1003"/>
      <c r="BY93" s="1003"/>
      <c r="BZ93" s="1003"/>
      <c r="CA93" s="1003"/>
      <c r="CB93" s="1003"/>
      <c r="CC93" s="1003"/>
      <c r="CD93" s="1003"/>
      <c r="CE93" s="1003"/>
      <c r="CF93" s="1003"/>
    </row>
    <row r="94" spans="1:84" s="60" customFormat="1">
      <c r="A94" s="1002"/>
      <c r="B94" s="1002"/>
      <c r="C94" s="1002"/>
      <c r="D94" s="1002"/>
      <c r="E94" s="1003"/>
      <c r="F94" s="1003"/>
      <c r="G94" s="1003"/>
      <c r="H94" s="1003"/>
      <c r="I94" s="1003"/>
      <c r="J94" s="1003"/>
      <c r="K94" s="1003"/>
      <c r="L94" s="1003"/>
      <c r="M94" s="1003"/>
      <c r="N94" s="1003"/>
      <c r="O94" s="1003"/>
      <c r="P94" s="1003"/>
      <c r="Q94" s="1003"/>
      <c r="R94" s="1003"/>
      <c r="S94" s="1003"/>
      <c r="T94" s="1033"/>
      <c r="U94" s="1004"/>
      <c r="V94" s="1003"/>
      <c r="W94" s="1003"/>
      <c r="X94" s="1004"/>
      <c r="AG94" s="1003"/>
      <c r="AH94" s="1003"/>
      <c r="AI94" s="1003"/>
      <c r="AJ94" s="1003"/>
      <c r="AK94" s="1003"/>
      <c r="AL94" s="1003"/>
      <c r="AM94" s="1003"/>
      <c r="AN94" s="1003"/>
      <c r="AO94" s="1003"/>
      <c r="AP94" s="1003"/>
      <c r="AQ94" s="1003"/>
      <c r="AR94" s="1003"/>
      <c r="AS94" s="1003"/>
      <c r="AT94" s="1003"/>
      <c r="AU94" s="1003"/>
      <c r="AV94" s="1003"/>
      <c r="AW94" s="1003"/>
      <c r="AX94" s="1003"/>
      <c r="AY94" s="1003"/>
      <c r="AZ94" s="1003"/>
      <c r="BA94" s="1003"/>
      <c r="BB94" s="1003"/>
      <c r="BC94" s="1003"/>
      <c r="BD94" s="1003"/>
      <c r="BE94" s="1003"/>
      <c r="BF94" s="1003"/>
      <c r="BG94" s="1003"/>
      <c r="BH94" s="1003"/>
      <c r="BI94" s="1003"/>
      <c r="BJ94" s="1003"/>
      <c r="BK94" s="1003"/>
      <c r="BL94" s="1003"/>
      <c r="BM94" s="1003"/>
      <c r="BN94" s="1003"/>
      <c r="BO94" s="1003"/>
      <c r="BP94" s="1003"/>
      <c r="BQ94" s="1003"/>
      <c r="BR94" s="1003"/>
      <c r="BS94" s="1003"/>
      <c r="BT94" s="1003"/>
      <c r="BU94" s="1003"/>
      <c r="BV94" s="1003"/>
      <c r="BW94" s="1003"/>
      <c r="BX94" s="1003"/>
      <c r="BY94" s="1003"/>
      <c r="BZ94" s="1003"/>
      <c r="CA94" s="1003"/>
      <c r="CB94" s="1003"/>
      <c r="CC94" s="1003"/>
      <c r="CD94" s="1003"/>
      <c r="CE94" s="1003"/>
      <c r="CF94" s="1003"/>
    </row>
    <row r="95" spans="1:84" s="60" customFormat="1">
      <c r="A95" s="1002"/>
      <c r="B95" s="1002"/>
      <c r="C95" s="1002"/>
      <c r="D95" s="1002"/>
      <c r="E95" s="1003"/>
      <c r="F95" s="1003"/>
      <c r="G95" s="1003"/>
      <c r="H95" s="1003"/>
      <c r="I95" s="1003"/>
      <c r="J95" s="1003"/>
      <c r="K95" s="1003"/>
      <c r="L95" s="1003"/>
      <c r="M95" s="1003"/>
      <c r="N95" s="1003"/>
      <c r="O95" s="1003"/>
      <c r="P95" s="1003"/>
      <c r="Q95" s="1003"/>
      <c r="R95" s="1003"/>
      <c r="S95" s="1003"/>
      <c r="T95" s="1031"/>
      <c r="U95" s="1004"/>
      <c r="V95" s="1003"/>
      <c r="W95" s="1003"/>
      <c r="X95" s="1004"/>
      <c r="AG95" s="1003"/>
      <c r="AH95" s="1003"/>
      <c r="AI95" s="1003"/>
      <c r="AJ95" s="1003"/>
      <c r="AK95" s="1003"/>
      <c r="AL95" s="1003"/>
      <c r="AM95" s="1003"/>
      <c r="AN95" s="1003"/>
      <c r="AO95" s="1003"/>
      <c r="AP95" s="1003"/>
      <c r="AQ95" s="1003"/>
      <c r="AR95" s="1003"/>
      <c r="AS95" s="1003"/>
      <c r="AT95" s="1003"/>
      <c r="AU95" s="1003"/>
      <c r="AV95" s="1003"/>
      <c r="AW95" s="1003"/>
      <c r="AX95" s="1003"/>
      <c r="AY95" s="1003"/>
      <c r="AZ95" s="1003"/>
      <c r="BA95" s="1003"/>
      <c r="BB95" s="1003"/>
      <c r="BC95" s="1003"/>
      <c r="BD95" s="1003"/>
      <c r="BE95" s="1003"/>
      <c r="BF95" s="1003"/>
      <c r="BG95" s="1003"/>
      <c r="BH95" s="1003"/>
      <c r="BI95" s="1003"/>
      <c r="BJ95" s="1003"/>
      <c r="BK95" s="1003"/>
      <c r="BL95" s="1003"/>
      <c r="BM95" s="1003"/>
      <c r="BN95" s="1003"/>
      <c r="BO95" s="1003"/>
      <c r="BP95" s="1003"/>
      <c r="BQ95" s="1003"/>
      <c r="BR95" s="1003"/>
      <c r="BS95" s="1003"/>
      <c r="BT95" s="1003"/>
      <c r="BU95" s="1003"/>
      <c r="BV95" s="1003"/>
      <c r="BW95" s="1003"/>
      <c r="BX95" s="1003"/>
      <c r="BY95" s="1003"/>
      <c r="BZ95" s="1003"/>
      <c r="CA95" s="1003"/>
      <c r="CB95" s="1003"/>
      <c r="CC95" s="1003"/>
      <c r="CD95" s="1003"/>
      <c r="CE95" s="1003"/>
      <c r="CF95" s="1003"/>
    </row>
    <row r="96" spans="1:84" s="60" customFormat="1">
      <c r="A96" s="1002"/>
      <c r="B96" s="1002"/>
      <c r="C96" s="1002"/>
      <c r="D96" s="1002"/>
      <c r="E96" s="1003"/>
      <c r="F96" s="1003"/>
      <c r="G96" s="1003"/>
      <c r="H96" s="1003"/>
      <c r="I96" s="1003"/>
      <c r="J96" s="1003"/>
      <c r="K96" s="1003"/>
      <c r="L96" s="1003"/>
      <c r="M96" s="1003"/>
      <c r="N96" s="1003"/>
      <c r="O96" s="1003"/>
      <c r="P96" s="1003"/>
      <c r="Q96" s="1003"/>
      <c r="R96" s="1003"/>
      <c r="S96" s="1003"/>
      <c r="T96" s="1031"/>
      <c r="U96" s="1004"/>
      <c r="V96" s="1003"/>
      <c r="W96" s="1003"/>
      <c r="X96" s="1003"/>
      <c r="AG96" s="1003"/>
      <c r="AH96" s="1003"/>
      <c r="AI96" s="1003"/>
      <c r="AJ96" s="1003"/>
      <c r="AK96" s="1003"/>
      <c r="AL96" s="1003"/>
      <c r="AM96" s="1003"/>
      <c r="AN96" s="1003"/>
      <c r="AO96" s="1003"/>
      <c r="AP96" s="1003"/>
      <c r="AQ96" s="1003"/>
      <c r="AR96" s="1003"/>
      <c r="AS96" s="1003"/>
      <c r="AT96" s="1003"/>
      <c r="AU96" s="1003"/>
      <c r="AV96" s="1003"/>
      <c r="AW96" s="1003"/>
      <c r="AX96" s="1003"/>
      <c r="AY96" s="1003"/>
      <c r="AZ96" s="1003"/>
      <c r="BA96" s="1003"/>
      <c r="BB96" s="1003"/>
      <c r="BC96" s="1003"/>
      <c r="BD96" s="1003"/>
      <c r="BE96" s="1003"/>
      <c r="BF96" s="1003"/>
      <c r="BG96" s="1003"/>
      <c r="BH96" s="1003"/>
      <c r="BI96" s="1003"/>
      <c r="BJ96" s="1003"/>
      <c r="BK96" s="1003"/>
      <c r="BL96" s="1003"/>
      <c r="BM96" s="1003"/>
      <c r="BN96" s="1003"/>
      <c r="BO96" s="1003"/>
      <c r="BP96" s="1003"/>
      <c r="BQ96" s="1003"/>
      <c r="BR96" s="1003"/>
      <c r="BS96" s="1003"/>
      <c r="BT96" s="1003"/>
      <c r="BU96" s="1003"/>
      <c r="BV96" s="1003"/>
      <c r="BW96" s="1003"/>
      <c r="BX96" s="1003"/>
      <c r="BY96" s="1003"/>
      <c r="BZ96" s="1003"/>
      <c r="CA96" s="1003"/>
      <c r="CB96" s="1003"/>
      <c r="CC96" s="1003"/>
      <c r="CD96" s="1003"/>
      <c r="CE96" s="1003"/>
      <c r="CF96" s="1003"/>
    </row>
    <row r="97" spans="1:84" s="60" customFormat="1">
      <c r="A97" s="1002"/>
      <c r="B97" s="1002"/>
      <c r="C97" s="1002"/>
      <c r="D97" s="1002"/>
      <c r="E97" s="1003"/>
      <c r="F97" s="1003"/>
      <c r="G97" s="1003"/>
      <c r="H97" s="1003"/>
      <c r="I97" s="1003"/>
      <c r="J97" s="1003"/>
      <c r="K97" s="1003"/>
      <c r="L97" s="1003"/>
      <c r="M97" s="1003"/>
      <c r="N97" s="1003"/>
      <c r="O97" s="1003"/>
      <c r="P97" s="1003"/>
      <c r="Q97" s="1003"/>
      <c r="R97" s="1003"/>
      <c r="S97" s="1003"/>
      <c r="T97" s="1031"/>
      <c r="U97" s="1004"/>
      <c r="V97" s="1003"/>
      <c r="W97" s="1003"/>
      <c r="X97" s="1003"/>
      <c r="AG97" s="1003"/>
      <c r="AH97" s="1003"/>
      <c r="AI97" s="1003"/>
      <c r="AJ97" s="1003"/>
      <c r="AK97" s="1003"/>
      <c r="AL97" s="1003"/>
      <c r="AM97" s="1003"/>
      <c r="AN97" s="1003"/>
      <c r="AO97" s="1003"/>
      <c r="AP97" s="1003"/>
      <c r="AQ97" s="1003"/>
      <c r="AR97" s="1003"/>
      <c r="AS97" s="1003"/>
      <c r="AT97" s="1003"/>
      <c r="AU97" s="1003"/>
      <c r="AV97" s="1003"/>
      <c r="AW97" s="1003"/>
      <c r="AX97" s="1003"/>
      <c r="AY97" s="1003"/>
      <c r="AZ97" s="1003"/>
      <c r="BA97" s="1003"/>
      <c r="BB97" s="1003"/>
      <c r="BC97" s="1003"/>
      <c r="BD97" s="1003"/>
      <c r="BE97" s="1003"/>
      <c r="BF97" s="1003"/>
      <c r="BG97" s="1003"/>
      <c r="BH97" s="1003"/>
      <c r="BI97" s="1003"/>
      <c r="BJ97" s="1003"/>
      <c r="BK97" s="1003"/>
      <c r="BL97" s="1003"/>
      <c r="BM97" s="1003"/>
      <c r="BN97" s="1003"/>
      <c r="BO97" s="1003"/>
      <c r="BP97" s="1003"/>
      <c r="BQ97" s="1003"/>
      <c r="BR97" s="1003"/>
      <c r="BS97" s="1003"/>
      <c r="BT97" s="1003"/>
      <c r="BU97" s="1003"/>
      <c r="BV97" s="1003"/>
      <c r="BW97" s="1003"/>
      <c r="BX97" s="1003"/>
      <c r="BY97" s="1003"/>
      <c r="BZ97" s="1003"/>
      <c r="CA97" s="1003"/>
      <c r="CB97" s="1003"/>
      <c r="CC97" s="1003"/>
      <c r="CD97" s="1003"/>
      <c r="CE97" s="1003"/>
      <c r="CF97" s="1003"/>
    </row>
  </sheetData>
  <mergeCells count="41">
    <mergeCell ref="A2:AG2"/>
    <mergeCell ref="A3:AG3"/>
    <mergeCell ref="A5:AG5"/>
    <mergeCell ref="A6:A9"/>
    <mergeCell ref="B6:D8"/>
    <mergeCell ref="E6:AF6"/>
    <mergeCell ref="AG6:AG9"/>
    <mergeCell ref="E7:F8"/>
    <mergeCell ref="G7:H8"/>
    <mergeCell ref="I7:J8"/>
    <mergeCell ref="K7:L8"/>
    <mergeCell ref="M7:N8"/>
    <mergeCell ref="O7:P8"/>
    <mergeCell ref="Q7:R8"/>
    <mergeCell ref="S7:T8"/>
    <mergeCell ref="AE7:AF8"/>
    <mergeCell ref="U7:V8"/>
    <mergeCell ref="AA11:AB11"/>
    <mergeCell ref="AC11:AD11"/>
    <mergeCell ref="AE11:AF11"/>
    <mergeCell ref="Y11:Z11"/>
    <mergeCell ref="W7:X8"/>
    <mergeCell ref="Y7:Z8"/>
    <mergeCell ref="AA7:AB8"/>
    <mergeCell ref="AC7:AD8"/>
    <mergeCell ref="A84:AG84"/>
    <mergeCell ref="A85:AG85"/>
    <mergeCell ref="AG10:AG12"/>
    <mergeCell ref="E11:F11"/>
    <mergeCell ref="G11:H11"/>
    <mergeCell ref="I11:J11"/>
    <mergeCell ref="K11:L11"/>
    <mergeCell ref="M11:N11"/>
    <mergeCell ref="O11:P11"/>
    <mergeCell ref="Q11:R11"/>
    <mergeCell ref="S11:T11"/>
    <mergeCell ref="U11:V11"/>
    <mergeCell ref="A10:A12"/>
    <mergeCell ref="B10:D11"/>
    <mergeCell ref="E10:AF10"/>
    <mergeCell ref="W11:X11"/>
  </mergeCells>
  <pageMargins left="0.17" right="0.17" top="0.17" bottom="0.17" header="0.17" footer="0.17"/>
  <pageSetup scale="14"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2">
    <tabColor rgb="FF92D050"/>
  </sheetPr>
  <dimension ref="A1:EU51"/>
  <sheetViews>
    <sheetView showGridLines="0" view="pageBreakPreview" zoomScale="55" zoomScaleNormal="70" zoomScaleSheetLayoutView="55" workbookViewId="0">
      <pane ySplit="8" topLeftCell="A9" activePane="bottomLeft" state="frozen"/>
      <selection activeCell="B39" sqref="B39"/>
      <selection pane="bottomLeft" activeCell="EX49" sqref="EX49"/>
    </sheetView>
  </sheetViews>
  <sheetFormatPr defaultColWidth="9.140625" defaultRowHeight="15"/>
  <cols>
    <col min="1" max="1" width="59.140625" style="806" customWidth="1"/>
    <col min="2" max="12" width="13.5703125" style="334" hidden="1" customWidth="1"/>
    <col min="13" max="13" width="19" style="334" hidden="1" customWidth="1"/>
    <col min="14" max="23" width="13.5703125" style="334" hidden="1" customWidth="1"/>
    <col min="24" max="24" width="13.28515625" style="334" hidden="1" customWidth="1"/>
    <col min="25" max="25" width="18.140625" style="334" hidden="1" customWidth="1"/>
    <col min="26" max="29" width="14.7109375" style="334" hidden="1" customWidth="1"/>
    <col min="30" max="30" width="14.5703125" style="334" hidden="1" customWidth="1"/>
    <col min="31" max="33" width="14.7109375" style="334" hidden="1" customWidth="1"/>
    <col min="34" max="34" width="17.85546875" style="334" hidden="1" customWidth="1"/>
    <col min="35" max="35" width="15.7109375" style="334" hidden="1" customWidth="1"/>
    <col min="36" max="36" width="14.7109375" style="334" hidden="1" customWidth="1"/>
    <col min="37" max="37" width="16.85546875" style="334" hidden="1" customWidth="1"/>
    <col min="38" max="45" width="14.7109375" style="334" hidden="1" customWidth="1"/>
    <col min="46" max="46" width="19.140625" style="334" hidden="1" customWidth="1"/>
    <col min="47" max="47" width="17.28515625" style="334" hidden="1" customWidth="1"/>
    <col min="48" max="48" width="17.7109375" style="334" hidden="1" customWidth="1"/>
    <col min="49" max="60" width="17.28515625" style="334" hidden="1" customWidth="1"/>
    <col min="61" max="61" width="15" style="334" customWidth="1"/>
    <col min="62" max="72" width="17.28515625" style="334" hidden="1" customWidth="1"/>
    <col min="73" max="73" width="15" style="334" customWidth="1"/>
    <col min="74" max="82" width="17.28515625" style="334" hidden="1" customWidth="1"/>
    <col min="83" max="84" width="17.5703125" style="334" hidden="1" customWidth="1"/>
    <col min="85" max="85" width="15" style="334" customWidth="1"/>
    <col min="86" max="89" width="20.7109375" style="334" hidden="1" customWidth="1"/>
    <col min="90" max="90" width="21.7109375" style="334" hidden="1" customWidth="1"/>
    <col min="91" max="96" width="17.5703125" style="334" hidden="1" customWidth="1"/>
    <col min="97" max="97" width="15" style="334" customWidth="1"/>
    <col min="98" max="108" width="15" style="334" hidden="1" customWidth="1"/>
    <col min="109" max="109" width="15" style="334" customWidth="1"/>
    <col min="110" max="120" width="15" style="334" hidden="1" customWidth="1"/>
    <col min="121" max="121" width="15" style="334" customWidth="1"/>
    <col min="122" max="132" width="15" style="334" hidden="1" customWidth="1"/>
    <col min="133" max="133" width="15" style="334" customWidth="1"/>
    <col min="134" max="144" width="15" style="334" hidden="1" customWidth="1"/>
    <col min="145" max="150" width="15" style="334" customWidth="1"/>
    <col min="151" max="151" width="54.28515625" style="334" customWidth="1"/>
    <col min="152" max="16384" width="9.140625" style="334"/>
  </cols>
  <sheetData>
    <row r="1" spans="1:151" ht="14.25" customHeight="1"/>
    <row r="2" spans="1:151" ht="33" customHeight="1">
      <c r="A2" s="2473" t="s">
        <v>3304</v>
      </c>
      <c r="B2" s="2473"/>
      <c r="C2" s="2473"/>
      <c r="D2" s="2473"/>
      <c r="E2" s="2473"/>
      <c r="F2" s="2473"/>
      <c r="G2" s="2473"/>
      <c r="H2" s="2473"/>
      <c r="I2" s="2473"/>
      <c r="J2" s="2473"/>
      <c r="K2" s="2473"/>
      <c r="L2" s="2473"/>
      <c r="M2" s="2473"/>
      <c r="N2" s="2473"/>
      <c r="O2" s="2473"/>
      <c r="P2" s="2473"/>
      <c r="Q2" s="2473"/>
      <c r="R2" s="2473"/>
      <c r="S2" s="2473"/>
      <c r="T2" s="2473"/>
      <c r="U2" s="2473"/>
      <c r="V2" s="2473"/>
      <c r="W2" s="2473"/>
      <c r="X2" s="2473"/>
      <c r="Y2" s="2473"/>
      <c r="Z2" s="2473"/>
      <c r="AA2" s="2473"/>
      <c r="AB2" s="2473"/>
      <c r="AC2" s="2473"/>
      <c r="AD2" s="2473"/>
      <c r="AE2" s="2473"/>
      <c r="AF2" s="2473"/>
      <c r="AG2" s="2473"/>
      <c r="AH2" s="2473"/>
      <c r="AI2" s="2473"/>
      <c r="AJ2" s="2473"/>
      <c r="AK2" s="2473"/>
      <c r="AL2" s="2473"/>
      <c r="AM2" s="2473"/>
      <c r="AN2" s="2473"/>
      <c r="AO2" s="2473"/>
      <c r="AP2" s="2473"/>
      <c r="AQ2" s="2473"/>
      <c r="AR2" s="2473"/>
      <c r="AS2" s="2473"/>
      <c r="AT2" s="2473"/>
      <c r="AU2" s="2473"/>
      <c r="AV2" s="2473"/>
      <c r="AW2" s="2473"/>
      <c r="AX2" s="2473"/>
      <c r="AY2" s="2473"/>
      <c r="AZ2" s="2473"/>
      <c r="BA2" s="2473"/>
      <c r="BB2" s="2473"/>
      <c r="BC2" s="2473"/>
      <c r="BD2" s="2473"/>
      <c r="BE2" s="2473"/>
      <c r="BF2" s="2473"/>
      <c r="BG2" s="2473"/>
      <c r="BH2" s="2473"/>
      <c r="BI2" s="2473"/>
      <c r="BJ2" s="2473"/>
      <c r="BK2" s="2473"/>
      <c r="BL2" s="2473"/>
      <c r="BM2" s="2473"/>
      <c r="BN2" s="2473"/>
      <c r="BO2" s="2473"/>
      <c r="BP2" s="2473"/>
      <c r="BQ2" s="2473"/>
      <c r="BR2" s="2473"/>
      <c r="BS2" s="2473"/>
      <c r="BT2" s="2473"/>
      <c r="BU2" s="2473"/>
      <c r="BV2" s="2473"/>
      <c r="BW2" s="2473"/>
      <c r="BX2" s="2473"/>
      <c r="BY2" s="2473"/>
      <c r="BZ2" s="2473"/>
      <c r="CA2" s="2473"/>
      <c r="CB2" s="2473"/>
      <c r="CC2" s="2473"/>
      <c r="CD2" s="2473"/>
      <c r="CE2" s="2473"/>
      <c r="CF2" s="2473"/>
      <c r="CG2" s="2473"/>
      <c r="CH2" s="2473"/>
      <c r="CI2" s="2473"/>
      <c r="CJ2" s="2473"/>
      <c r="CK2" s="2473"/>
      <c r="CL2" s="2473"/>
      <c r="CM2" s="2473"/>
      <c r="CN2" s="2473"/>
      <c r="CO2" s="2473"/>
      <c r="CP2" s="2473"/>
      <c r="CQ2" s="2473"/>
      <c r="CR2" s="2473"/>
      <c r="CS2" s="2473"/>
      <c r="CT2" s="2473"/>
      <c r="CU2" s="2473"/>
      <c r="CV2" s="2473"/>
      <c r="CW2" s="2473"/>
      <c r="CX2" s="2473"/>
      <c r="CY2" s="2473"/>
      <c r="CZ2" s="2473"/>
      <c r="DA2" s="2473"/>
      <c r="DB2" s="2473"/>
      <c r="DC2" s="2473"/>
      <c r="DD2" s="2473"/>
      <c r="DE2" s="2473"/>
      <c r="DF2" s="2473"/>
      <c r="DG2" s="2473"/>
      <c r="DH2" s="2473"/>
      <c r="DI2" s="2473"/>
      <c r="DJ2" s="2473"/>
      <c r="DK2" s="2473"/>
      <c r="DL2" s="2473"/>
      <c r="DM2" s="2473"/>
      <c r="DN2" s="2473"/>
      <c r="DO2" s="2473"/>
      <c r="DP2" s="2473"/>
      <c r="DQ2" s="2473"/>
      <c r="DR2" s="2473"/>
      <c r="DS2" s="2473"/>
      <c r="DT2" s="2473"/>
      <c r="DU2" s="2473"/>
      <c r="DV2" s="2473"/>
      <c r="DW2" s="2473"/>
      <c r="DX2" s="2473"/>
      <c r="DY2" s="2473"/>
      <c r="DZ2" s="2473"/>
      <c r="EA2" s="2473"/>
      <c r="EB2" s="2473"/>
      <c r="EC2" s="2473"/>
      <c r="ED2" s="2473"/>
      <c r="EE2" s="2473"/>
      <c r="EF2" s="2473"/>
      <c r="EG2" s="2473"/>
      <c r="EH2" s="2473"/>
      <c r="EI2" s="2473"/>
      <c r="EJ2" s="2473"/>
      <c r="EK2" s="2473"/>
      <c r="EL2" s="2473"/>
      <c r="EM2" s="2473"/>
      <c r="EN2" s="2473"/>
      <c r="EO2" s="2473"/>
      <c r="EP2" s="2473"/>
      <c r="EQ2" s="2473"/>
      <c r="ER2" s="2473"/>
      <c r="ES2" s="2473"/>
      <c r="ET2" s="2473"/>
      <c r="EU2" s="2473"/>
    </row>
    <row r="3" spans="1:151" ht="40.5" customHeight="1">
      <c r="A3" s="2474" t="s">
        <v>3286</v>
      </c>
      <c r="B3" s="2474"/>
      <c r="C3" s="2474"/>
      <c r="D3" s="2474"/>
      <c r="E3" s="2474"/>
      <c r="F3" s="2474"/>
      <c r="G3" s="2474"/>
      <c r="H3" s="2474"/>
      <c r="I3" s="2474"/>
      <c r="J3" s="2474"/>
      <c r="K3" s="2474"/>
      <c r="L3" s="2474"/>
      <c r="M3" s="2474"/>
      <c r="N3" s="2474"/>
      <c r="O3" s="2474"/>
      <c r="P3" s="2474"/>
      <c r="Q3" s="2474"/>
      <c r="R3" s="2474"/>
      <c r="S3" s="2474"/>
      <c r="T3" s="2474"/>
      <c r="U3" s="2474"/>
      <c r="V3" s="2474"/>
      <c r="W3" s="2474"/>
      <c r="X3" s="2474"/>
      <c r="Y3" s="2474"/>
      <c r="Z3" s="2474"/>
      <c r="AA3" s="2474"/>
      <c r="AB3" s="2474"/>
      <c r="AC3" s="2474"/>
      <c r="AD3" s="2474"/>
      <c r="AE3" s="2474"/>
      <c r="AF3" s="2474"/>
      <c r="AG3" s="2474"/>
      <c r="AH3" s="2474"/>
      <c r="AI3" s="2474"/>
      <c r="AJ3" s="2474"/>
      <c r="AK3" s="2474"/>
      <c r="AL3" s="2474"/>
      <c r="AM3" s="2474"/>
      <c r="AN3" s="2474"/>
      <c r="AO3" s="2474"/>
      <c r="AP3" s="2474"/>
      <c r="AQ3" s="2474"/>
      <c r="AR3" s="2474"/>
      <c r="AS3" s="2474"/>
      <c r="AT3" s="2474"/>
      <c r="AU3" s="2474"/>
      <c r="AV3" s="2474"/>
      <c r="AW3" s="2474"/>
      <c r="AX3" s="2474"/>
      <c r="AY3" s="2474"/>
      <c r="AZ3" s="2474"/>
      <c r="BA3" s="2474"/>
      <c r="BB3" s="2474"/>
      <c r="BC3" s="2474"/>
      <c r="BD3" s="2474"/>
      <c r="BE3" s="2474"/>
      <c r="BF3" s="2474"/>
      <c r="BG3" s="2474"/>
      <c r="BH3" s="2474"/>
      <c r="BI3" s="2474"/>
      <c r="BJ3" s="2474"/>
      <c r="BK3" s="2474"/>
      <c r="BL3" s="2474"/>
      <c r="BM3" s="2474"/>
      <c r="BN3" s="2474"/>
      <c r="BO3" s="2474"/>
      <c r="BP3" s="2474"/>
      <c r="BQ3" s="2474"/>
      <c r="BR3" s="2474"/>
      <c r="BS3" s="2474"/>
      <c r="BT3" s="2474"/>
      <c r="BU3" s="2474"/>
      <c r="BV3" s="2474"/>
      <c r="BW3" s="2474"/>
      <c r="BX3" s="2474"/>
      <c r="BY3" s="2474"/>
      <c r="BZ3" s="2474"/>
      <c r="CA3" s="2474"/>
      <c r="CB3" s="2474"/>
      <c r="CC3" s="2474"/>
      <c r="CD3" s="2474"/>
      <c r="CE3" s="2474"/>
      <c r="CF3" s="2474"/>
      <c r="CG3" s="2474"/>
      <c r="CH3" s="2474"/>
      <c r="CI3" s="2474"/>
      <c r="CJ3" s="2474"/>
      <c r="CK3" s="2474"/>
      <c r="CL3" s="2474"/>
      <c r="CM3" s="2474"/>
      <c r="CN3" s="2474"/>
      <c r="CO3" s="2474"/>
      <c r="CP3" s="2474"/>
      <c r="CQ3" s="2474"/>
      <c r="CR3" s="2474"/>
      <c r="CS3" s="2474"/>
      <c r="CT3" s="2474"/>
      <c r="CU3" s="2474"/>
      <c r="CV3" s="2474"/>
      <c r="CW3" s="2474"/>
      <c r="CX3" s="2474"/>
      <c r="CY3" s="2474"/>
      <c r="CZ3" s="2474"/>
      <c r="DA3" s="2474"/>
      <c r="DB3" s="2474"/>
      <c r="DC3" s="2474"/>
      <c r="DD3" s="2474"/>
      <c r="DE3" s="2474"/>
      <c r="DF3" s="2474"/>
      <c r="DG3" s="2474"/>
      <c r="DH3" s="2474"/>
      <c r="DI3" s="2474"/>
      <c r="DJ3" s="2474"/>
      <c r="DK3" s="2474"/>
      <c r="DL3" s="2474"/>
      <c r="DM3" s="2474"/>
      <c r="DN3" s="2474"/>
      <c r="DO3" s="2474"/>
      <c r="DP3" s="2474"/>
      <c r="DQ3" s="2474"/>
      <c r="DR3" s="2474"/>
      <c r="DS3" s="2474"/>
      <c r="DT3" s="2474"/>
      <c r="DU3" s="2474"/>
      <c r="DV3" s="2474"/>
      <c r="DW3" s="2474"/>
      <c r="DX3" s="2474"/>
      <c r="DY3" s="2474"/>
      <c r="DZ3" s="2474"/>
      <c r="EA3" s="2474"/>
      <c r="EB3" s="2474"/>
      <c r="EC3" s="2474"/>
      <c r="ED3" s="2474"/>
      <c r="EE3" s="2474"/>
      <c r="EF3" s="2474"/>
      <c r="EG3" s="2474"/>
      <c r="EH3" s="2474"/>
      <c r="EI3" s="2474"/>
      <c r="EJ3" s="2474"/>
      <c r="EK3" s="2474"/>
      <c r="EL3" s="2474"/>
      <c r="EM3" s="2474"/>
      <c r="EN3" s="2474"/>
      <c r="EO3" s="2474"/>
      <c r="EP3" s="2474"/>
      <c r="EQ3" s="2474"/>
      <c r="ER3" s="2474"/>
      <c r="ES3" s="2474"/>
      <c r="ET3" s="2474"/>
      <c r="EU3" s="2474"/>
    </row>
    <row r="4" spans="1:151" ht="21" customHeight="1">
      <c r="A4" s="807"/>
      <c r="B4" s="540"/>
      <c r="C4" s="540"/>
      <c r="D4" s="540"/>
      <c r="E4" s="540"/>
      <c r="F4" s="540"/>
      <c r="G4" s="540"/>
      <c r="H4" s="540"/>
      <c r="I4" s="540"/>
      <c r="J4" s="540"/>
      <c r="K4" s="540"/>
      <c r="L4" s="540"/>
      <c r="M4" s="540"/>
      <c r="N4" s="540"/>
      <c r="O4" s="540"/>
      <c r="P4" s="540"/>
      <c r="Q4" s="540"/>
      <c r="R4" s="540"/>
      <c r="S4" s="540"/>
      <c r="T4" s="540"/>
      <c r="U4" s="540"/>
      <c r="V4" s="540"/>
      <c r="W4" s="540"/>
      <c r="X4" s="540"/>
      <c r="Y4" s="540"/>
      <c r="Z4" s="540"/>
      <c r="AA4" s="540"/>
      <c r="AB4" s="540"/>
      <c r="AC4" s="540"/>
      <c r="AD4" s="540"/>
      <c r="AE4" s="540"/>
      <c r="AF4" s="540"/>
      <c r="AG4" s="540"/>
      <c r="AH4" s="540"/>
      <c r="AI4" s="540"/>
      <c r="AJ4" s="540"/>
      <c r="AK4" s="540"/>
      <c r="AL4" s="540"/>
      <c r="AM4" s="540"/>
      <c r="AN4" s="540"/>
      <c r="AO4" s="540"/>
      <c r="AP4" s="540"/>
      <c r="AQ4" s="540"/>
      <c r="AR4" s="540"/>
      <c r="AS4" s="540"/>
      <c r="AT4" s="540"/>
      <c r="AU4" s="540"/>
      <c r="AV4" s="540"/>
      <c r="AW4" s="540"/>
      <c r="AX4" s="540"/>
      <c r="AY4" s="540"/>
      <c r="AZ4" s="540"/>
      <c r="BA4" s="540"/>
      <c r="BB4" s="540"/>
      <c r="BC4" s="540"/>
      <c r="BD4" s="540"/>
      <c r="BE4" s="540"/>
      <c r="BF4" s="540"/>
      <c r="BG4" s="540"/>
      <c r="BH4" s="540"/>
      <c r="BI4" s="540"/>
      <c r="BJ4" s="540"/>
      <c r="BK4" s="540"/>
      <c r="BL4" s="540"/>
      <c r="BM4" s="540"/>
      <c r="BN4" s="540"/>
      <c r="BO4" s="540"/>
      <c r="BP4" s="540"/>
      <c r="BQ4" s="540"/>
      <c r="BR4" s="540"/>
      <c r="BS4" s="540"/>
      <c r="BT4" s="540"/>
      <c r="BU4" s="540"/>
      <c r="BV4" s="540"/>
      <c r="BW4" s="540"/>
      <c r="BX4" s="540"/>
      <c r="BY4" s="540"/>
      <c r="BZ4" s="540"/>
      <c r="CA4" s="540"/>
      <c r="CB4" s="540"/>
      <c r="CC4" s="540"/>
      <c r="CD4" s="540"/>
      <c r="CE4" s="540"/>
      <c r="CF4" s="540"/>
      <c r="CG4" s="540"/>
      <c r="CH4" s="540"/>
      <c r="CI4" s="540"/>
      <c r="CJ4" s="540"/>
      <c r="CK4" s="540"/>
      <c r="CL4" s="540"/>
      <c r="CM4" s="540"/>
      <c r="CN4" s="540"/>
      <c r="CO4" s="540"/>
      <c r="CP4" s="540"/>
      <c r="CQ4" s="540"/>
      <c r="CR4" s="540"/>
      <c r="CS4" s="540"/>
      <c r="CT4" s="540"/>
      <c r="CU4" s="540"/>
      <c r="CV4" s="540"/>
      <c r="CW4" s="540"/>
      <c r="CX4" s="540"/>
      <c r="CY4" s="540"/>
      <c r="CZ4" s="540"/>
      <c r="DA4" s="540"/>
      <c r="DB4" s="540"/>
      <c r="DC4" s="540"/>
      <c r="DD4" s="540"/>
      <c r="DE4" s="540"/>
      <c r="DF4" s="540"/>
      <c r="DG4" s="540"/>
      <c r="DH4" s="540"/>
      <c r="DI4" s="540"/>
      <c r="DJ4" s="540"/>
      <c r="DK4" s="540"/>
      <c r="DL4" s="540"/>
      <c r="DM4" s="540"/>
      <c r="DN4" s="540"/>
      <c r="DO4" s="540"/>
      <c r="DP4" s="540"/>
      <c r="DQ4" s="540"/>
      <c r="DR4" s="540"/>
      <c r="DS4" s="540"/>
      <c r="DT4" s="540"/>
      <c r="DU4" s="540"/>
      <c r="DV4" s="540"/>
      <c r="DW4" s="540"/>
      <c r="DX4" s="540"/>
      <c r="DY4" s="540"/>
      <c r="DZ4" s="540"/>
      <c r="EA4" s="540"/>
      <c r="EB4" s="540"/>
      <c r="EC4" s="540"/>
      <c r="ED4" s="540"/>
      <c r="EE4" s="540"/>
      <c r="EF4" s="540"/>
      <c r="EG4" s="540"/>
      <c r="EH4" s="540"/>
      <c r="EI4" s="540"/>
      <c r="EJ4" s="540"/>
      <c r="EK4" s="540"/>
      <c r="EL4" s="540"/>
      <c r="EM4" s="540"/>
      <c r="EN4" s="540"/>
      <c r="EO4" s="540"/>
      <c r="EP4" s="540"/>
      <c r="EQ4" s="540"/>
      <c r="ER4" s="540"/>
      <c r="ES4" s="540"/>
      <c r="ET4" s="540"/>
      <c r="EU4" s="807"/>
    </row>
    <row r="5" spans="1:151" ht="21" customHeight="1">
      <c r="A5" s="2475" t="s">
        <v>4089</v>
      </c>
      <c r="B5" s="2475"/>
      <c r="C5" s="2475"/>
      <c r="D5" s="2475"/>
      <c r="E5" s="2475"/>
      <c r="F5" s="2475"/>
      <c r="G5" s="2475"/>
      <c r="H5" s="2475"/>
      <c r="I5" s="2475"/>
      <c r="J5" s="2475"/>
      <c r="K5" s="2475"/>
      <c r="L5" s="2475"/>
      <c r="M5" s="2475"/>
      <c r="N5" s="2475"/>
      <c r="O5" s="2475"/>
      <c r="P5" s="2475"/>
      <c r="Q5" s="2475"/>
      <c r="R5" s="2475"/>
      <c r="S5" s="2475"/>
      <c r="T5" s="2475"/>
      <c r="U5" s="2475"/>
      <c r="V5" s="2475"/>
      <c r="W5" s="2475"/>
      <c r="X5" s="2475"/>
      <c r="Y5" s="2475"/>
      <c r="Z5" s="2475"/>
      <c r="AA5" s="2475"/>
      <c r="AB5" s="2475"/>
      <c r="AC5" s="2475"/>
      <c r="AD5" s="2475"/>
      <c r="AE5" s="2475"/>
      <c r="AF5" s="2475"/>
      <c r="AG5" s="2475"/>
      <c r="AH5" s="2475"/>
      <c r="AI5" s="2475"/>
      <c r="AJ5" s="2475"/>
      <c r="AK5" s="2475"/>
      <c r="AL5" s="2475"/>
      <c r="AM5" s="2475"/>
      <c r="AN5" s="2475"/>
      <c r="AO5" s="2475"/>
      <c r="AP5" s="2475"/>
      <c r="AQ5" s="2475"/>
      <c r="AR5" s="2475"/>
      <c r="AS5" s="2475"/>
      <c r="AT5" s="2475"/>
      <c r="AU5" s="2475"/>
      <c r="AV5" s="2475"/>
      <c r="AW5" s="2475"/>
      <c r="AX5" s="2475"/>
      <c r="AY5" s="2475"/>
      <c r="AZ5" s="2475"/>
      <c r="BA5" s="2475"/>
      <c r="BB5" s="2475"/>
      <c r="BC5" s="2475"/>
      <c r="BD5" s="2475"/>
      <c r="BE5" s="2475"/>
      <c r="BF5" s="2475"/>
      <c r="BG5" s="2475"/>
      <c r="BH5" s="2475"/>
      <c r="BI5" s="2475"/>
      <c r="BJ5" s="2475"/>
      <c r="BK5" s="2475"/>
      <c r="BL5" s="2475"/>
      <c r="BM5" s="2475"/>
      <c r="BN5" s="2475"/>
      <c r="BO5" s="2475"/>
      <c r="BP5" s="2475"/>
      <c r="BQ5" s="2475"/>
      <c r="BR5" s="2475"/>
      <c r="BS5" s="2475"/>
      <c r="BT5" s="2475"/>
      <c r="BU5" s="2475"/>
      <c r="BV5" s="2475"/>
      <c r="BW5" s="2475"/>
      <c r="BX5" s="2475"/>
      <c r="BY5" s="2475"/>
      <c r="BZ5" s="2475"/>
      <c r="CA5" s="2475"/>
      <c r="CB5" s="2475"/>
      <c r="CC5" s="2475"/>
      <c r="CD5" s="2475"/>
      <c r="CE5" s="2475"/>
      <c r="CF5" s="2475"/>
      <c r="CG5" s="2475"/>
      <c r="CH5" s="2475"/>
      <c r="CI5" s="2475"/>
      <c r="CJ5" s="2475"/>
      <c r="CK5" s="2475"/>
      <c r="CL5" s="2475"/>
      <c r="CM5" s="2475"/>
      <c r="CN5" s="2475"/>
      <c r="CO5" s="2475"/>
      <c r="CP5" s="2475"/>
      <c r="CQ5" s="2475"/>
      <c r="CR5" s="2475"/>
      <c r="CS5" s="2475"/>
      <c r="CT5" s="2475"/>
      <c r="CU5" s="2475"/>
      <c r="CV5" s="2475"/>
      <c r="CW5" s="2475"/>
      <c r="CX5" s="2475"/>
      <c r="CY5" s="2475"/>
      <c r="CZ5" s="2475"/>
      <c r="DA5" s="2475"/>
      <c r="DB5" s="2475"/>
      <c r="DC5" s="2475"/>
      <c r="DD5" s="2475"/>
      <c r="DE5" s="2475"/>
      <c r="DF5" s="2475"/>
      <c r="DG5" s="2475"/>
      <c r="DH5" s="2475"/>
      <c r="DI5" s="2475"/>
      <c r="DJ5" s="2475"/>
      <c r="DK5" s="2475"/>
      <c r="DL5" s="2475"/>
      <c r="DM5" s="2475"/>
      <c r="DN5" s="2475"/>
      <c r="DO5" s="2475"/>
      <c r="DP5" s="2475"/>
      <c r="DQ5" s="2475"/>
      <c r="DR5" s="2475"/>
      <c r="DS5" s="2475"/>
      <c r="DT5" s="2475"/>
      <c r="DU5" s="2475"/>
      <c r="DV5" s="2475"/>
      <c r="DW5" s="2475"/>
      <c r="DX5" s="2475"/>
      <c r="DY5" s="2475"/>
      <c r="DZ5" s="2475"/>
      <c r="EA5" s="2475"/>
      <c r="EB5" s="2475"/>
      <c r="EC5" s="2475"/>
      <c r="ED5" s="2475"/>
      <c r="EE5" s="2475"/>
      <c r="EF5" s="2475"/>
      <c r="EG5" s="2475"/>
      <c r="EH5" s="2475"/>
      <c r="EI5" s="2475"/>
      <c r="EJ5" s="2475"/>
      <c r="EK5" s="2475"/>
      <c r="EL5" s="2475"/>
      <c r="EM5" s="2475"/>
      <c r="EN5" s="2475"/>
      <c r="EO5" s="2475"/>
      <c r="EP5" s="2475"/>
      <c r="EQ5" s="2475"/>
      <c r="ER5" s="2475"/>
      <c r="ES5" s="2475"/>
      <c r="ET5" s="2475"/>
      <c r="EU5" s="2475"/>
    </row>
    <row r="6" spans="1:151" ht="39.75" customHeight="1">
      <c r="A6" s="1943"/>
      <c r="B6" s="2484">
        <v>2013</v>
      </c>
      <c r="C6" s="2484"/>
      <c r="D6" s="2484"/>
      <c r="E6" s="2484"/>
      <c r="F6" s="2484"/>
      <c r="G6" s="2484"/>
      <c r="H6" s="2484"/>
      <c r="I6" s="2484"/>
      <c r="J6" s="2484"/>
      <c r="K6" s="2484"/>
      <c r="L6" s="2484"/>
      <c r="M6" s="2484"/>
      <c r="N6" s="2484">
        <v>2014</v>
      </c>
      <c r="O6" s="2484"/>
      <c r="P6" s="2484"/>
      <c r="Q6" s="2484"/>
      <c r="R6" s="2484"/>
      <c r="S6" s="2484"/>
      <c r="T6" s="2484"/>
      <c r="U6" s="2484"/>
      <c r="V6" s="2484"/>
      <c r="W6" s="2484"/>
      <c r="X6" s="2484"/>
      <c r="Y6" s="2484"/>
      <c r="Z6" s="2484">
        <v>2015</v>
      </c>
      <c r="AA6" s="2484"/>
      <c r="AB6" s="2484"/>
      <c r="AC6" s="2484"/>
      <c r="AD6" s="2484"/>
      <c r="AE6" s="2484"/>
      <c r="AF6" s="2484"/>
      <c r="AG6" s="2484"/>
      <c r="AH6" s="2484"/>
      <c r="AI6" s="2484"/>
      <c r="AJ6" s="2484"/>
      <c r="AK6" s="2484"/>
      <c r="AL6" s="2484">
        <v>2016</v>
      </c>
      <c r="AM6" s="2484"/>
      <c r="AN6" s="2484"/>
      <c r="AO6" s="2484"/>
      <c r="AP6" s="2484"/>
      <c r="AQ6" s="2484"/>
      <c r="AR6" s="2484"/>
      <c r="AS6" s="2484"/>
      <c r="AT6" s="2484"/>
      <c r="AU6" s="2484"/>
      <c r="AV6" s="2484"/>
      <c r="AW6" s="2484"/>
      <c r="AX6" s="837">
        <v>2017</v>
      </c>
      <c r="AY6" s="837"/>
      <c r="AZ6" s="837"/>
      <c r="BA6" s="837"/>
      <c r="BB6" s="837"/>
      <c r="BC6" s="837"/>
      <c r="BD6" s="837"/>
      <c r="BE6" s="837"/>
      <c r="BF6" s="882"/>
      <c r="BG6" s="2481">
        <v>2017</v>
      </c>
      <c r="BH6" s="2482"/>
      <c r="BI6" s="2483"/>
      <c r="BJ6" s="892">
        <v>2018</v>
      </c>
      <c r="BK6" s="892"/>
      <c r="BL6" s="892"/>
      <c r="BM6" s="892"/>
      <c r="BN6" s="892"/>
      <c r="BO6" s="892"/>
      <c r="BP6" s="892"/>
      <c r="BQ6" s="892"/>
      <c r="BR6" s="892"/>
      <c r="BS6" s="892"/>
      <c r="BT6" s="892"/>
      <c r="BU6" s="949">
        <v>2018</v>
      </c>
      <c r="BV6" s="892">
        <v>2019</v>
      </c>
      <c r="BW6" s="892"/>
      <c r="BX6" s="892"/>
      <c r="BY6" s="892"/>
      <c r="BZ6" s="892"/>
      <c r="CA6" s="892"/>
      <c r="CB6" s="892"/>
      <c r="CC6" s="892"/>
      <c r="CD6" s="892"/>
      <c r="CE6" s="2481">
        <v>2019</v>
      </c>
      <c r="CF6" s="2482"/>
      <c r="CG6" s="2483"/>
      <c r="CH6" s="891">
        <v>2020</v>
      </c>
      <c r="CI6" s="891">
        <v>2020</v>
      </c>
      <c r="CJ6" s="891">
        <v>2020</v>
      </c>
      <c r="CK6" s="891">
        <v>2020</v>
      </c>
      <c r="CL6" s="891">
        <v>2020</v>
      </c>
      <c r="CM6" s="891">
        <v>2020</v>
      </c>
      <c r="CN6" s="891">
        <v>2020</v>
      </c>
      <c r="CO6" s="891">
        <v>2020</v>
      </c>
      <c r="CP6" s="891">
        <v>2020</v>
      </c>
      <c r="CQ6" s="891">
        <v>2020</v>
      </c>
      <c r="CR6" s="891">
        <v>2020</v>
      </c>
      <c r="CS6" s="949">
        <v>2020</v>
      </c>
      <c r="CT6" s="950">
        <v>2021</v>
      </c>
      <c r="CU6" s="2485">
        <v>2021</v>
      </c>
      <c r="CV6" s="2482"/>
      <c r="CW6" s="2482"/>
      <c r="CX6" s="2482"/>
      <c r="CY6" s="2482"/>
      <c r="CZ6" s="2482"/>
      <c r="DA6" s="2482"/>
      <c r="DB6" s="2482"/>
      <c r="DC6" s="2482"/>
      <c r="DD6" s="2482"/>
      <c r="DE6" s="2486"/>
      <c r="DF6" s="2487">
        <v>2022</v>
      </c>
      <c r="DG6" s="2482"/>
      <c r="DH6" s="2482"/>
      <c r="DI6" s="2482"/>
      <c r="DJ6" s="2482"/>
      <c r="DK6" s="2482"/>
      <c r="DL6" s="2482"/>
      <c r="DM6" s="2482"/>
      <c r="DN6" s="2482"/>
      <c r="DO6" s="2482"/>
      <c r="DP6" s="2482"/>
      <c r="DQ6" s="2486"/>
      <c r="DR6" s="2487">
        <v>2023</v>
      </c>
      <c r="DS6" s="2482"/>
      <c r="DT6" s="2482"/>
      <c r="DU6" s="2482"/>
      <c r="DV6" s="2482"/>
      <c r="DW6" s="2482"/>
      <c r="DX6" s="2482"/>
      <c r="DY6" s="2482"/>
      <c r="DZ6" s="2482"/>
      <c r="EA6" s="2482"/>
      <c r="EB6" s="2482"/>
      <c r="EC6" s="2486"/>
      <c r="ED6" s="2487">
        <v>2024</v>
      </c>
      <c r="EE6" s="2482"/>
      <c r="EF6" s="2482"/>
      <c r="EG6" s="2482"/>
      <c r="EH6" s="2482"/>
      <c r="EI6" s="2482"/>
      <c r="EJ6" s="2482"/>
      <c r="EK6" s="2482"/>
      <c r="EL6" s="2482"/>
      <c r="EM6" s="2482"/>
      <c r="EN6" s="2482"/>
      <c r="EO6" s="2113">
        <v>2024</v>
      </c>
      <c r="EP6" s="2481">
        <v>2025</v>
      </c>
      <c r="EQ6" s="2482"/>
      <c r="ER6" s="2482"/>
      <c r="ES6" s="2482"/>
      <c r="ET6" s="2483"/>
      <c r="EU6" s="2476"/>
    </row>
    <row r="7" spans="1:151" ht="39.75" customHeight="1">
      <c r="A7" s="1946"/>
      <c r="B7" s="1945" t="s">
        <v>1961</v>
      </c>
      <c r="C7" s="873" t="s">
        <v>1972</v>
      </c>
      <c r="D7" s="873" t="s">
        <v>1971</v>
      </c>
      <c r="E7" s="873" t="s">
        <v>1970</v>
      </c>
      <c r="F7" s="873" t="s">
        <v>1969</v>
      </c>
      <c r="G7" s="873" t="s">
        <v>1968</v>
      </c>
      <c r="H7" s="873" t="s">
        <v>1967</v>
      </c>
      <c r="I7" s="873" t="s">
        <v>1966</v>
      </c>
      <c r="J7" s="873" t="s">
        <v>1965</v>
      </c>
      <c r="K7" s="873" t="s">
        <v>1964</v>
      </c>
      <c r="L7" s="873" t="s">
        <v>1963</v>
      </c>
      <c r="M7" s="873" t="s">
        <v>1962</v>
      </c>
      <c r="N7" s="873" t="s">
        <v>1961</v>
      </c>
      <c r="O7" s="873" t="s">
        <v>1972</v>
      </c>
      <c r="P7" s="873" t="s">
        <v>1971</v>
      </c>
      <c r="Q7" s="873" t="s">
        <v>1970</v>
      </c>
      <c r="R7" s="873" t="s">
        <v>1969</v>
      </c>
      <c r="S7" s="873" t="s">
        <v>1968</v>
      </c>
      <c r="T7" s="873" t="s">
        <v>1967</v>
      </c>
      <c r="U7" s="873" t="s">
        <v>1966</v>
      </c>
      <c r="V7" s="873" t="s">
        <v>1965</v>
      </c>
      <c r="W7" s="873" t="s">
        <v>1964</v>
      </c>
      <c r="X7" s="873" t="s">
        <v>1963</v>
      </c>
      <c r="Y7" s="873" t="s">
        <v>1962</v>
      </c>
      <c r="Z7" s="873" t="s">
        <v>1961</v>
      </c>
      <c r="AA7" s="873" t="s">
        <v>1972</v>
      </c>
      <c r="AB7" s="873" t="s">
        <v>1971</v>
      </c>
      <c r="AC7" s="873" t="s">
        <v>1970</v>
      </c>
      <c r="AD7" s="873" t="s">
        <v>1969</v>
      </c>
      <c r="AE7" s="873" t="s">
        <v>1968</v>
      </c>
      <c r="AF7" s="873" t="s">
        <v>1967</v>
      </c>
      <c r="AG7" s="873" t="s">
        <v>1966</v>
      </c>
      <c r="AH7" s="873" t="s">
        <v>1965</v>
      </c>
      <c r="AI7" s="873" t="s">
        <v>1964</v>
      </c>
      <c r="AJ7" s="873" t="s">
        <v>1963</v>
      </c>
      <c r="AK7" s="873" t="s">
        <v>1962</v>
      </c>
      <c r="AL7" s="873" t="s">
        <v>1961</v>
      </c>
      <c r="AM7" s="873" t="s">
        <v>1972</v>
      </c>
      <c r="AN7" s="873" t="s">
        <v>1971</v>
      </c>
      <c r="AO7" s="873" t="s">
        <v>1970</v>
      </c>
      <c r="AP7" s="873" t="s">
        <v>1969</v>
      </c>
      <c r="AQ7" s="873" t="s">
        <v>1968</v>
      </c>
      <c r="AR7" s="873" t="s">
        <v>1967</v>
      </c>
      <c r="AS7" s="873" t="s">
        <v>1966</v>
      </c>
      <c r="AT7" s="873" t="s">
        <v>1965</v>
      </c>
      <c r="AU7" s="873" t="s">
        <v>1964</v>
      </c>
      <c r="AV7" s="873" t="s">
        <v>1963</v>
      </c>
      <c r="AW7" s="873" t="s">
        <v>1962</v>
      </c>
      <c r="AX7" s="873" t="s">
        <v>1961</v>
      </c>
      <c r="AY7" s="873" t="s">
        <v>1960</v>
      </c>
      <c r="AZ7" s="873" t="s">
        <v>1959</v>
      </c>
      <c r="BA7" s="873" t="s">
        <v>1958</v>
      </c>
      <c r="BB7" s="873" t="s">
        <v>1978</v>
      </c>
      <c r="BC7" s="873" t="s">
        <v>1979</v>
      </c>
      <c r="BD7" s="873" t="s">
        <v>1988</v>
      </c>
      <c r="BE7" s="873" t="s">
        <v>1998</v>
      </c>
      <c r="BF7" s="873" t="s">
        <v>2008</v>
      </c>
      <c r="BG7" s="903" t="s">
        <v>2021</v>
      </c>
      <c r="BH7" s="904" t="s">
        <v>2032</v>
      </c>
      <c r="BI7" s="905" t="s">
        <v>1962</v>
      </c>
      <c r="BJ7" s="905" t="s">
        <v>1961</v>
      </c>
      <c r="BK7" s="905" t="s">
        <v>1960</v>
      </c>
      <c r="BL7" s="905" t="s">
        <v>1959</v>
      </c>
      <c r="BM7" s="905" t="s">
        <v>1958</v>
      </c>
      <c r="BN7" s="905" t="s">
        <v>1978</v>
      </c>
      <c r="BO7" s="905" t="s">
        <v>1979</v>
      </c>
      <c r="BP7" s="905" t="s">
        <v>1988</v>
      </c>
      <c r="BQ7" s="905" t="s">
        <v>1998</v>
      </c>
      <c r="BR7" s="905" t="s">
        <v>2008</v>
      </c>
      <c r="BS7" s="905" t="s">
        <v>2021</v>
      </c>
      <c r="BT7" s="905" t="s">
        <v>2032</v>
      </c>
      <c r="BU7" s="905" t="s">
        <v>1962</v>
      </c>
      <c r="BV7" s="905" t="s">
        <v>1961</v>
      </c>
      <c r="BW7" s="905" t="s">
        <v>1960</v>
      </c>
      <c r="BX7" s="905" t="s">
        <v>1959</v>
      </c>
      <c r="BY7" s="905" t="s">
        <v>1958</v>
      </c>
      <c r="BZ7" s="905" t="s">
        <v>1978</v>
      </c>
      <c r="CA7" s="905" t="s">
        <v>1979</v>
      </c>
      <c r="CB7" s="905" t="s">
        <v>1988</v>
      </c>
      <c r="CC7" s="905" t="s">
        <v>1998</v>
      </c>
      <c r="CD7" s="905" t="s">
        <v>2008</v>
      </c>
      <c r="CE7" s="905" t="s">
        <v>2021</v>
      </c>
      <c r="CF7" s="905" t="s">
        <v>2032</v>
      </c>
      <c r="CG7" s="905" t="s">
        <v>2358</v>
      </c>
      <c r="CH7" s="905" t="s">
        <v>1961</v>
      </c>
      <c r="CI7" s="905" t="s">
        <v>1960</v>
      </c>
      <c r="CJ7" s="905" t="s">
        <v>1959</v>
      </c>
      <c r="CK7" s="905" t="s">
        <v>1958</v>
      </c>
      <c r="CL7" s="905" t="s">
        <v>1978</v>
      </c>
      <c r="CM7" s="905" t="s">
        <v>2426</v>
      </c>
      <c r="CN7" s="905" t="s">
        <v>2432</v>
      </c>
      <c r="CO7" s="905" t="s">
        <v>1998</v>
      </c>
      <c r="CP7" s="905" t="s">
        <v>2008</v>
      </c>
      <c r="CQ7" s="905" t="s">
        <v>2021</v>
      </c>
      <c r="CR7" s="905" t="s">
        <v>2032</v>
      </c>
      <c r="CS7" s="905" t="s">
        <v>1962</v>
      </c>
      <c r="CT7" s="883" t="s">
        <v>1961</v>
      </c>
      <c r="CU7" s="883" t="s">
        <v>1960</v>
      </c>
      <c r="CV7" s="883" t="s">
        <v>1959</v>
      </c>
      <c r="CW7" s="883" t="s">
        <v>1958</v>
      </c>
      <c r="CX7" s="883" t="s">
        <v>1978</v>
      </c>
      <c r="CY7" s="883" t="s">
        <v>1979</v>
      </c>
      <c r="CZ7" s="883" t="s">
        <v>1988</v>
      </c>
      <c r="DA7" s="883" t="s">
        <v>1998</v>
      </c>
      <c r="DB7" s="883" t="s">
        <v>2655</v>
      </c>
      <c r="DC7" s="883" t="s">
        <v>2021</v>
      </c>
      <c r="DD7" s="883" t="s">
        <v>2032</v>
      </c>
      <c r="DE7" s="883" t="s">
        <v>1962</v>
      </c>
      <c r="DF7" s="883" t="s">
        <v>1961</v>
      </c>
      <c r="DG7" s="883" t="s">
        <v>1960</v>
      </c>
      <c r="DH7" s="883" t="s">
        <v>1959</v>
      </c>
      <c r="DI7" s="883" t="s">
        <v>1958</v>
      </c>
      <c r="DJ7" s="883" t="s">
        <v>1978</v>
      </c>
      <c r="DK7" s="883" t="s">
        <v>1979</v>
      </c>
      <c r="DL7" s="883" t="s">
        <v>1988</v>
      </c>
      <c r="DM7" s="883" t="s">
        <v>1998</v>
      </c>
      <c r="DN7" s="883" t="s">
        <v>2008</v>
      </c>
      <c r="DO7" s="883" t="s">
        <v>2021</v>
      </c>
      <c r="DP7" s="883" t="s">
        <v>2032</v>
      </c>
      <c r="DQ7" s="883" t="s">
        <v>1962</v>
      </c>
      <c r="DR7" s="883" t="s">
        <v>1961</v>
      </c>
      <c r="DS7" s="883" t="s">
        <v>1960</v>
      </c>
      <c r="DT7" s="883" t="s">
        <v>1959</v>
      </c>
      <c r="DU7" s="883" t="s">
        <v>1958</v>
      </c>
      <c r="DV7" s="883" t="s">
        <v>1978</v>
      </c>
      <c r="DW7" s="883" t="s">
        <v>1979</v>
      </c>
      <c r="DX7" s="883" t="s">
        <v>1988</v>
      </c>
      <c r="DY7" s="883" t="s">
        <v>1998</v>
      </c>
      <c r="DZ7" s="883" t="s">
        <v>2008</v>
      </c>
      <c r="EA7" s="883" t="s">
        <v>2021</v>
      </c>
      <c r="EB7" s="883" t="s">
        <v>2032</v>
      </c>
      <c r="EC7" s="883" t="s">
        <v>1962</v>
      </c>
      <c r="ED7" s="883" t="s">
        <v>1961</v>
      </c>
      <c r="EE7" s="883" t="s">
        <v>1960</v>
      </c>
      <c r="EF7" s="883" t="s">
        <v>1959</v>
      </c>
      <c r="EG7" s="883" t="s">
        <v>1958</v>
      </c>
      <c r="EH7" s="883" t="s">
        <v>1978</v>
      </c>
      <c r="EI7" s="883" t="s">
        <v>1979</v>
      </c>
      <c r="EJ7" s="883" t="s">
        <v>1988</v>
      </c>
      <c r="EK7" s="883" t="s">
        <v>1998</v>
      </c>
      <c r="EL7" s="883" t="s">
        <v>2008</v>
      </c>
      <c r="EM7" s="883" t="s">
        <v>2021</v>
      </c>
      <c r="EN7" s="883" t="s">
        <v>2032</v>
      </c>
      <c r="EO7" s="883" t="s">
        <v>1962</v>
      </c>
      <c r="EP7" s="883" t="s">
        <v>1961</v>
      </c>
      <c r="EQ7" s="883" t="s">
        <v>1960</v>
      </c>
      <c r="ER7" s="883" t="s">
        <v>1959</v>
      </c>
      <c r="ES7" s="883" t="s">
        <v>1958</v>
      </c>
      <c r="ET7" s="883" t="s">
        <v>1978</v>
      </c>
      <c r="EU7" s="2477"/>
    </row>
    <row r="8" spans="1:151" ht="39.75" customHeight="1">
      <c r="A8" s="1944"/>
      <c r="B8" s="1935"/>
      <c r="C8" s="1935"/>
      <c r="D8" s="1935"/>
      <c r="E8" s="1935"/>
      <c r="F8" s="1935"/>
      <c r="G8" s="1935"/>
      <c r="H8" s="1935"/>
      <c r="I8" s="1935"/>
      <c r="J8" s="1935"/>
      <c r="K8" s="1935"/>
      <c r="L8" s="1935"/>
      <c r="M8" s="1935"/>
      <c r="N8" s="1935"/>
      <c r="O8" s="1935"/>
      <c r="P8" s="1935"/>
      <c r="Q8" s="1935"/>
      <c r="R8" s="1935"/>
      <c r="S8" s="1935"/>
      <c r="T8" s="1935"/>
      <c r="U8" s="1935"/>
      <c r="V8" s="1935"/>
      <c r="W8" s="1935"/>
      <c r="X8" s="1935"/>
      <c r="Y8" s="1935"/>
      <c r="Z8" s="1935"/>
      <c r="AA8" s="1935"/>
      <c r="AB8" s="1935"/>
      <c r="AC8" s="1935"/>
      <c r="AD8" s="1935"/>
      <c r="AE8" s="1935"/>
      <c r="AF8" s="1935"/>
      <c r="AG8" s="1935"/>
      <c r="AH8" s="1935"/>
      <c r="AI8" s="1935"/>
      <c r="AJ8" s="1935"/>
      <c r="AK8" s="1935"/>
      <c r="AL8" s="1935"/>
      <c r="AM8" s="1935"/>
      <c r="AN8" s="1935"/>
      <c r="AO8" s="1935"/>
      <c r="AP8" s="1935"/>
      <c r="AQ8" s="1935"/>
      <c r="AR8" s="1935"/>
      <c r="AS8" s="1935"/>
      <c r="AT8" s="1935"/>
      <c r="AU8" s="1935"/>
      <c r="AV8" s="1935"/>
      <c r="AW8" s="1935"/>
      <c r="AX8" s="1935"/>
      <c r="AY8" s="1935"/>
      <c r="AZ8" s="1935"/>
      <c r="BA8" s="1935"/>
      <c r="BB8" s="1935"/>
      <c r="BC8" s="1935"/>
      <c r="BD8" s="1935"/>
      <c r="BE8" s="1935"/>
      <c r="BF8" s="1935"/>
      <c r="BG8" s="1936"/>
      <c r="BH8" s="1937"/>
      <c r="BI8" s="1938" t="s">
        <v>3191</v>
      </c>
      <c r="BJ8" s="1938"/>
      <c r="BK8" s="1938"/>
      <c r="BL8" s="1938"/>
      <c r="BM8" s="1938"/>
      <c r="BN8" s="1938"/>
      <c r="BO8" s="1938"/>
      <c r="BP8" s="1938"/>
      <c r="BQ8" s="1938"/>
      <c r="BR8" s="1938"/>
      <c r="BS8" s="1938"/>
      <c r="BT8" s="1938"/>
      <c r="BU8" s="1938" t="s">
        <v>3191</v>
      </c>
      <c r="BV8" s="1938"/>
      <c r="BW8" s="1938"/>
      <c r="BX8" s="1938"/>
      <c r="BY8" s="1938"/>
      <c r="BZ8" s="1938"/>
      <c r="CA8" s="1938"/>
      <c r="CB8" s="1938"/>
      <c r="CC8" s="1938"/>
      <c r="CD8" s="1938"/>
      <c r="CE8" s="1938"/>
      <c r="CF8" s="1938"/>
      <c r="CG8" s="1938" t="s">
        <v>3191</v>
      </c>
      <c r="CH8" s="1938"/>
      <c r="CI8" s="1938"/>
      <c r="CJ8" s="1938"/>
      <c r="CK8" s="1938"/>
      <c r="CL8" s="1938"/>
      <c r="CM8" s="1938"/>
      <c r="CN8" s="1938"/>
      <c r="CO8" s="1938"/>
      <c r="CP8" s="1938"/>
      <c r="CQ8" s="1938"/>
      <c r="CR8" s="1938"/>
      <c r="CS8" s="1938" t="s">
        <v>3191</v>
      </c>
      <c r="CT8" s="1938"/>
      <c r="CU8" s="1938"/>
      <c r="CV8" s="1938"/>
      <c r="CW8" s="1938"/>
      <c r="CX8" s="1938"/>
      <c r="CY8" s="1938"/>
      <c r="CZ8" s="1938"/>
      <c r="DA8" s="1938"/>
      <c r="DB8" s="1938"/>
      <c r="DC8" s="1938"/>
      <c r="DD8" s="1938"/>
      <c r="DE8" s="1938" t="s">
        <v>3191</v>
      </c>
      <c r="DF8" s="1938"/>
      <c r="DG8" s="1938"/>
      <c r="DH8" s="1938"/>
      <c r="DI8" s="1938"/>
      <c r="DJ8" s="1938"/>
      <c r="DK8" s="1938"/>
      <c r="DL8" s="1938"/>
      <c r="DM8" s="1938"/>
      <c r="DN8" s="1938"/>
      <c r="DO8" s="1938"/>
      <c r="DP8" s="1938"/>
      <c r="DQ8" s="1938" t="s">
        <v>3191</v>
      </c>
      <c r="DR8" s="1938"/>
      <c r="DS8" s="1938"/>
      <c r="DT8" s="1938"/>
      <c r="DU8" s="1938"/>
      <c r="DV8" s="1938"/>
      <c r="DW8" s="1938"/>
      <c r="DX8" s="1938"/>
      <c r="DY8" s="1938"/>
      <c r="DZ8" s="1938"/>
      <c r="EA8" s="1938"/>
      <c r="EB8" s="1938"/>
      <c r="EC8" s="1938" t="s">
        <v>3191</v>
      </c>
      <c r="ED8" s="1938" t="s">
        <v>3120</v>
      </c>
      <c r="EE8" s="1938" t="s">
        <v>3121</v>
      </c>
      <c r="EF8" s="1938" t="s">
        <v>3122</v>
      </c>
      <c r="EG8" s="1938" t="s">
        <v>3123</v>
      </c>
      <c r="EH8" s="1938" t="s">
        <v>1978</v>
      </c>
      <c r="EI8" s="1938" t="s">
        <v>3124</v>
      </c>
      <c r="EJ8" s="1938" t="s">
        <v>3125</v>
      </c>
      <c r="EK8" s="1938" t="s">
        <v>3126</v>
      </c>
      <c r="EL8" s="1938" t="s">
        <v>3127</v>
      </c>
      <c r="EM8" s="1938" t="s">
        <v>3190</v>
      </c>
      <c r="EN8" s="1938" t="s">
        <v>3424</v>
      </c>
      <c r="EO8" s="1938" t="s">
        <v>3191</v>
      </c>
      <c r="EP8" s="1938" t="s">
        <v>3120</v>
      </c>
      <c r="EQ8" s="1938" t="s">
        <v>3121</v>
      </c>
      <c r="ER8" s="1938" t="s">
        <v>3122</v>
      </c>
      <c r="ES8" s="1938" t="s">
        <v>3123</v>
      </c>
      <c r="ET8" s="1938" t="s">
        <v>1978</v>
      </c>
      <c r="EU8" s="2478"/>
    </row>
    <row r="9" spans="1:151" ht="21">
      <c r="A9" s="1928" t="s">
        <v>2755</v>
      </c>
      <c r="B9" s="839">
        <v>4126.3043516400003</v>
      </c>
      <c r="C9" s="839">
        <v>4243.2361221800002</v>
      </c>
      <c r="D9" s="839">
        <v>4395.2306523999996</v>
      </c>
      <c r="E9" s="839">
        <v>4571.7899217900003</v>
      </c>
      <c r="F9" s="839">
        <v>4746.80329867</v>
      </c>
      <c r="G9" s="839">
        <v>4857.1288539999996</v>
      </c>
      <c r="H9" s="839">
        <v>5046.0566906500007</v>
      </c>
      <c r="I9" s="839">
        <v>5191.2890298799994</v>
      </c>
      <c r="J9" s="839">
        <v>5307.5424306999994</v>
      </c>
      <c r="K9" s="839">
        <v>5465.5124227400011</v>
      </c>
      <c r="L9" s="839">
        <v>5613.9864098200005</v>
      </c>
      <c r="M9" s="840">
        <v>5793.5089223899986</v>
      </c>
      <c r="N9" s="840">
        <v>5859.1886001000003</v>
      </c>
      <c r="O9" s="840">
        <v>5931.6637276599995</v>
      </c>
      <c r="P9" s="840">
        <v>6010.4305670099993</v>
      </c>
      <c r="Q9" s="840">
        <v>6158.7468054399997</v>
      </c>
      <c r="R9" s="840">
        <v>6289.4102778899996</v>
      </c>
      <c r="S9" s="840">
        <v>6367.6958379099997</v>
      </c>
      <c r="T9" s="840">
        <v>6502.4703613800002</v>
      </c>
      <c r="U9" s="840">
        <v>6619.28031173</v>
      </c>
      <c r="V9" s="840">
        <v>6769.8166251600005</v>
      </c>
      <c r="W9" s="840">
        <v>6879.0306529</v>
      </c>
      <c r="X9" s="840">
        <v>7023.3350331799993</v>
      </c>
      <c r="Y9" s="840">
        <v>7227.0741123100006</v>
      </c>
      <c r="Z9" s="840">
        <v>7191.1</v>
      </c>
      <c r="AA9" s="840">
        <v>7883.7203339400003</v>
      </c>
      <c r="AB9" s="840">
        <v>7763.6107658199999</v>
      </c>
      <c r="AC9" s="840">
        <v>7664.13878811</v>
      </c>
      <c r="AD9" s="840">
        <v>7509.8486630500011</v>
      </c>
      <c r="AE9" s="840">
        <v>7351.0287925299999</v>
      </c>
      <c r="AF9" s="840">
        <v>7232.2617045400002</v>
      </c>
      <c r="AG9" s="840">
        <v>7146.6956625500006</v>
      </c>
      <c r="AH9" s="840">
        <v>7054.5576469299995</v>
      </c>
      <c r="AI9" s="840">
        <v>7028.7295239699997</v>
      </c>
      <c r="AJ9" s="840">
        <v>7001.6636089399999</v>
      </c>
      <c r="AK9" s="840">
        <v>7855.2649287000004</v>
      </c>
      <c r="AL9" s="840">
        <v>7517.1450385600001</v>
      </c>
      <c r="AM9" s="840">
        <v>7190.3583468900006</v>
      </c>
      <c r="AN9" s="840">
        <v>7033.8865993099998</v>
      </c>
      <c r="AO9" s="840">
        <v>6708.4042415799995</v>
      </c>
      <c r="AP9" s="840">
        <v>6455.65703252</v>
      </c>
      <c r="AQ9" s="840">
        <v>6434.8477373199994</v>
      </c>
      <c r="AR9" s="840">
        <v>5805.6135244399993</v>
      </c>
      <c r="AS9" s="840">
        <v>5840.9066246500006</v>
      </c>
      <c r="AT9" s="840">
        <v>5760.6899252399999</v>
      </c>
      <c r="AU9" s="840">
        <v>5530.4279767500002</v>
      </c>
      <c r="AV9" s="840">
        <v>5552.5847048000005</v>
      </c>
      <c r="AW9" s="840">
        <v>5483.0900506799999</v>
      </c>
      <c r="AX9" s="840">
        <v>5476.4053517699995</v>
      </c>
      <c r="AY9" s="840">
        <v>5191.02785055</v>
      </c>
      <c r="AZ9" s="840">
        <v>5055.7242160200003</v>
      </c>
      <c r="BA9" s="840">
        <v>4950.0008407200003</v>
      </c>
      <c r="BB9" s="840">
        <v>4885.3536417699997</v>
      </c>
      <c r="BC9" s="840">
        <v>4812.5133012899996</v>
      </c>
      <c r="BD9" s="840">
        <v>4686.6050257199995</v>
      </c>
      <c r="BE9" s="840">
        <v>4643.6817562199994</v>
      </c>
      <c r="BF9" s="840">
        <v>4602.1221259900003</v>
      </c>
      <c r="BG9" s="841">
        <v>4440.6486830800004</v>
      </c>
      <c r="BH9" s="879">
        <v>4431.5945002799999</v>
      </c>
      <c r="BI9" s="874">
        <v>4365.8507007500002</v>
      </c>
      <c r="BJ9" s="874">
        <v>4314.8353777100001</v>
      </c>
      <c r="BK9" s="874">
        <v>4367.3201854799991</v>
      </c>
      <c r="BL9" s="874">
        <v>4427.1815962000001</v>
      </c>
      <c r="BM9" s="874">
        <v>4501.5782457400001</v>
      </c>
      <c r="BN9" s="874">
        <v>4612.0409873500003</v>
      </c>
      <c r="BO9" s="874">
        <v>4636.3700653200003</v>
      </c>
      <c r="BP9" s="874">
        <v>4681.5904765300002</v>
      </c>
      <c r="BQ9" s="874">
        <v>4784.8033697199999</v>
      </c>
      <c r="BR9" s="874">
        <v>4858.2214125299997</v>
      </c>
      <c r="BS9" s="874">
        <v>4916.5431760599995</v>
      </c>
      <c r="BT9" s="874">
        <v>5107.7351735099992</v>
      </c>
      <c r="BU9" s="874">
        <v>5129.5981377299995</v>
      </c>
      <c r="BV9" s="874">
        <v>5126.0750779299997</v>
      </c>
      <c r="BW9" s="874">
        <v>5187.9813397300004</v>
      </c>
      <c r="BX9" s="874">
        <v>5252.0117248000006</v>
      </c>
      <c r="BY9" s="874">
        <v>5342.2124332099993</v>
      </c>
      <c r="BZ9" s="874">
        <v>5484.9197545500001</v>
      </c>
      <c r="CA9" s="874">
        <v>5628.2279060400006</v>
      </c>
      <c r="CB9" s="874">
        <v>5750.2444007900003</v>
      </c>
      <c r="CC9" s="874">
        <v>5903.547120870001</v>
      </c>
      <c r="CD9" s="874">
        <v>6074.9968601999999</v>
      </c>
      <c r="CE9" s="874">
        <v>6213.9014835300004</v>
      </c>
      <c r="CF9" s="874">
        <v>6597.5114896300001</v>
      </c>
      <c r="CG9" s="874">
        <v>6742.5924055300002</v>
      </c>
      <c r="CH9" s="874">
        <v>6768.8706715900007</v>
      </c>
      <c r="CI9" s="874">
        <v>6863.4079564399999</v>
      </c>
      <c r="CJ9" s="874">
        <v>6713.4936255599996</v>
      </c>
      <c r="CK9" s="874">
        <v>6456.9184454100005</v>
      </c>
      <c r="CL9" s="874">
        <v>6328.02045034</v>
      </c>
      <c r="CM9" s="874">
        <v>6300.7536029399989</v>
      </c>
      <c r="CN9" s="874">
        <v>6321.2446722200002</v>
      </c>
      <c r="CO9" s="874">
        <v>6420.2874057599984</v>
      </c>
      <c r="CP9" s="874">
        <v>6541.8174222599991</v>
      </c>
      <c r="CQ9" s="874">
        <v>6526.4718856799991</v>
      </c>
      <c r="CR9" s="874">
        <v>6518.7552752199999</v>
      </c>
      <c r="CS9" s="874">
        <v>6477.0138981200007</v>
      </c>
      <c r="CT9" s="874">
        <v>6549.4246127300003</v>
      </c>
      <c r="CU9" s="874">
        <v>6539.0817762200004</v>
      </c>
      <c r="CV9" s="874">
        <v>6632.1192125799998</v>
      </c>
      <c r="CW9" s="874">
        <v>6807.4701766500002</v>
      </c>
      <c r="CX9" s="874">
        <v>6914.7730755599996</v>
      </c>
      <c r="CY9" s="874">
        <v>7066.2354611199999</v>
      </c>
      <c r="CZ9" s="874">
        <v>7205.9675539399996</v>
      </c>
      <c r="DA9" s="874">
        <v>7434.7409468599999</v>
      </c>
      <c r="DB9" s="874">
        <v>7661.3421953699999</v>
      </c>
      <c r="DC9" s="874">
        <v>7852.5090272500001</v>
      </c>
      <c r="DD9" s="874">
        <v>8052.42292997</v>
      </c>
      <c r="DE9" s="874">
        <v>8320.5240356199993</v>
      </c>
      <c r="DF9" s="874">
        <v>8480.9704156700009</v>
      </c>
      <c r="DG9" s="874">
        <v>8661.6781615899999</v>
      </c>
      <c r="DH9" s="874">
        <v>8961.90120785</v>
      </c>
      <c r="DI9" s="874">
        <v>9159.7569552000004</v>
      </c>
      <c r="DJ9" s="874">
        <v>9382.4405607000008</v>
      </c>
      <c r="DK9" s="874">
        <v>9603.0551213800009</v>
      </c>
      <c r="DL9" s="874">
        <v>9789.8246620699992</v>
      </c>
      <c r="DM9" s="874">
        <v>10009.31486307</v>
      </c>
      <c r="DN9" s="874">
        <v>10343.172838570001</v>
      </c>
      <c r="DO9" s="874">
        <v>10584.53099259</v>
      </c>
      <c r="DP9" s="874">
        <v>10769.64167906</v>
      </c>
      <c r="DQ9" s="874">
        <v>10889.74969981</v>
      </c>
      <c r="DR9" s="874">
        <v>11023.7346657</v>
      </c>
      <c r="DS9" s="874">
        <v>11165.14284441</v>
      </c>
      <c r="DT9" s="874">
        <v>11377.76447181</v>
      </c>
      <c r="DU9" s="874">
        <v>11677.08881306</v>
      </c>
      <c r="DV9" s="874">
        <v>11955.9738413</v>
      </c>
      <c r="DW9" s="874">
        <v>12165.63551942</v>
      </c>
      <c r="DX9" s="874">
        <v>12326.41694667</v>
      </c>
      <c r="DY9" s="874">
        <v>12656.24994496</v>
      </c>
      <c r="DZ9" s="874">
        <v>12945.850470400001</v>
      </c>
      <c r="EA9" s="874">
        <v>13019.06049285</v>
      </c>
      <c r="EB9" s="874">
        <v>13338.71316668</v>
      </c>
      <c r="EC9" s="874">
        <v>13515.026135939999</v>
      </c>
      <c r="ED9" s="874">
        <v>13604.574583670001</v>
      </c>
      <c r="EE9" s="874">
        <v>13779.339342359999</v>
      </c>
      <c r="EF9" s="874">
        <v>13946.66314035</v>
      </c>
      <c r="EG9" s="874">
        <v>14296.20954494</v>
      </c>
      <c r="EH9" s="874">
        <v>14551.6273227</v>
      </c>
      <c r="EI9" s="874">
        <v>14760.371802559999</v>
      </c>
      <c r="EJ9" s="874">
        <v>15066.3177667</v>
      </c>
      <c r="EK9" s="874">
        <v>15430.268113620001</v>
      </c>
      <c r="EL9" s="874">
        <v>15746.99951609</v>
      </c>
      <c r="EM9" s="874">
        <v>15978.859933379999</v>
      </c>
      <c r="EN9" s="874">
        <v>16198.49383687</v>
      </c>
      <c r="EO9" s="874">
        <v>16358.48010246</v>
      </c>
      <c r="EP9" s="874">
        <v>16475.194869200001</v>
      </c>
      <c r="EQ9" s="874">
        <v>16511.02818904</v>
      </c>
      <c r="ER9" s="874">
        <v>16670.391700299999</v>
      </c>
      <c r="ES9" s="874">
        <v>16909.090097849999</v>
      </c>
      <c r="ET9" s="874">
        <v>17090.43128705</v>
      </c>
      <c r="EU9" s="1928" t="s">
        <v>1159</v>
      </c>
    </row>
    <row r="10" spans="1:151" ht="21">
      <c r="A10" s="1929" t="s">
        <v>1954</v>
      </c>
      <c r="B10" s="842">
        <v>203.66571327</v>
      </c>
      <c r="C10" s="842">
        <v>218.70473271999998</v>
      </c>
      <c r="D10" s="842">
        <v>238.41179708999999</v>
      </c>
      <c r="E10" s="842">
        <v>243.85885109000003</v>
      </c>
      <c r="F10" s="842">
        <v>265.22080545</v>
      </c>
      <c r="G10" s="842">
        <v>274.97615418999999</v>
      </c>
      <c r="H10" s="842">
        <v>290.78014209000003</v>
      </c>
      <c r="I10" s="842">
        <v>312.04198859999997</v>
      </c>
      <c r="J10" s="842">
        <v>330.92117612999999</v>
      </c>
      <c r="K10" s="842">
        <v>348.84465638</v>
      </c>
      <c r="L10" s="842">
        <v>364.29915122</v>
      </c>
      <c r="M10" s="843">
        <v>392.48039172999995</v>
      </c>
      <c r="N10" s="843">
        <v>411.19484534000003</v>
      </c>
      <c r="O10" s="843">
        <v>420.94927804000008</v>
      </c>
      <c r="P10" s="843">
        <v>443.73007379000001</v>
      </c>
      <c r="Q10" s="843">
        <v>450.10162295999999</v>
      </c>
      <c r="R10" s="843">
        <v>464.61253657000003</v>
      </c>
      <c r="S10" s="843">
        <v>475.11422660000005</v>
      </c>
      <c r="T10" s="843">
        <v>497.92256012999997</v>
      </c>
      <c r="U10" s="843">
        <v>503.63258666000002</v>
      </c>
      <c r="V10" s="843">
        <v>523.30241130000013</v>
      </c>
      <c r="W10" s="843">
        <v>553.70656314000007</v>
      </c>
      <c r="X10" s="843">
        <v>557.27342995000004</v>
      </c>
      <c r="Y10" s="843">
        <v>591.20049481000001</v>
      </c>
      <c r="Z10" s="843">
        <v>615.70000000000005</v>
      </c>
      <c r="AA10" s="843">
        <v>670.19783125000004</v>
      </c>
      <c r="AB10" s="843">
        <v>685.15657996999994</v>
      </c>
      <c r="AC10" s="843">
        <v>663.63511814000003</v>
      </c>
      <c r="AD10" s="843">
        <v>652.56983934999994</v>
      </c>
      <c r="AE10" s="843">
        <v>642.44542064999996</v>
      </c>
      <c r="AF10" s="843">
        <v>632.48543055999994</v>
      </c>
      <c r="AG10" s="843">
        <v>630.87086547000001</v>
      </c>
      <c r="AH10" s="843">
        <v>626.4003544599999</v>
      </c>
      <c r="AI10" s="843">
        <v>615.49424133000002</v>
      </c>
      <c r="AJ10" s="843">
        <v>618.61007252999991</v>
      </c>
      <c r="AK10" s="843">
        <v>699.13054933000001</v>
      </c>
      <c r="AL10" s="843">
        <v>666.20757859000014</v>
      </c>
      <c r="AM10" s="843">
        <v>626.98112474000004</v>
      </c>
      <c r="AN10" s="843">
        <v>611.00252260999991</v>
      </c>
      <c r="AO10" s="843">
        <v>582.91191372000003</v>
      </c>
      <c r="AP10" s="843">
        <v>559.37772720999999</v>
      </c>
      <c r="AQ10" s="843">
        <v>557.48607903999994</v>
      </c>
      <c r="AR10" s="843">
        <v>543.67737364999994</v>
      </c>
      <c r="AS10" s="843">
        <v>545.19190574999993</v>
      </c>
      <c r="AT10" s="843">
        <v>532.8582217500001</v>
      </c>
      <c r="AU10" s="843">
        <v>517.91066069999999</v>
      </c>
      <c r="AV10" s="843">
        <v>520.19568146000006</v>
      </c>
      <c r="AW10" s="843">
        <v>509.13278719000004</v>
      </c>
      <c r="AX10" s="843">
        <v>520.47701625000002</v>
      </c>
      <c r="AY10" s="843">
        <v>490.09742122</v>
      </c>
      <c r="AZ10" s="843">
        <v>477.26190164999997</v>
      </c>
      <c r="BA10" s="843">
        <v>467.38372360000005</v>
      </c>
      <c r="BB10" s="843">
        <v>462.29563153999993</v>
      </c>
      <c r="BC10" s="843">
        <v>451.14592921000002</v>
      </c>
      <c r="BD10" s="843">
        <v>441.53991751000001</v>
      </c>
      <c r="BE10" s="843">
        <v>439.71609115000001</v>
      </c>
      <c r="BF10" s="843">
        <v>437.43521714999997</v>
      </c>
      <c r="BG10" s="844">
        <v>290.96891877999997</v>
      </c>
      <c r="BH10" s="880">
        <v>282.34570082000005</v>
      </c>
      <c r="BI10" s="875">
        <v>250.62210306</v>
      </c>
      <c r="BJ10" s="875">
        <v>257.14003023999999</v>
      </c>
      <c r="BK10" s="875">
        <v>259.72412456000001</v>
      </c>
      <c r="BL10" s="875">
        <v>271.40057364</v>
      </c>
      <c r="BM10" s="875">
        <v>284.91728982000001</v>
      </c>
      <c r="BN10" s="875">
        <v>298.62170628000001</v>
      </c>
      <c r="BO10" s="875">
        <v>304.15185147</v>
      </c>
      <c r="BP10" s="875">
        <v>319.16409217</v>
      </c>
      <c r="BQ10" s="875">
        <v>341.07483401999997</v>
      </c>
      <c r="BR10" s="875">
        <v>356.43424820000001</v>
      </c>
      <c r="BS10" s="875">
        <v>372.25026803999998</v>
      </c>
      <c r="BT10" s="875">
        <v>390.6231808</v>
      </c>
      <c r="BU10" s="875">
        <v>406.96781119000002</v>
      </c>
      <c r="BV10" s="875">
        <v>419.91047923999997</v>
      </c>
      <c r="BW10" s="875">
        <v>427.04040964999996</v>
      </c>
      <c r="BX10" s="875">
        <v>443.44451572000003</v>
      </c>
      <c r="BY10" s="875">
        <v>453.47729146999995</v>
      </c>
      <c r="BZ10" s="875">
        <v>461.12672806</v>
      </c>
      <c r="CA10" s="875">
        <v>463.17394149999996</v>
      </c>
      <c r="CB10" s="875">
        <v>461.59540937999998</v>
      </c>
      <c r="CC10" s="875">
        <v>474.08514445999998</v>
      </c>
      <c r="CD10" s="875">
        <v>485.27372124999999</v>
      </c>
      <c r="CE10" s="875">
        <v>491.48702281999999</v>
      </c>
      <c r="CF10" s="875">
        <v>507.71564654000008</v>
      </c>
      <c r="CG10" s="875">
        <v>518.95443244000001</v>
      </c>
      <c r="CH10" s="875">
        <v>537.31855610000002</v>
      </c>
      <c r="CI10" s="875">
        <v>539.11662103999993</v>
      </c>
      <c r="CJ10" s="875">
        <v>559.72783935999985</v>
      </c>
      <c r="CK10" s="875">
        <v>543.07001586999991</v>
      </c>
      <c r="CL10" s="875">
        <v>549.38760528</v>
      </c>
      <c r="CM10" s="875">
        <v>557.16447228999994</v>
      </c>
      <c r="CN10" s="875">
        <v>544.86354373000006</v>
      </c>
      <c r="CO10" s="875">
        <v>558.49873916999991</v>
      </c>
      <c r="CP10" s="875">
        <v>575.42596328999991</v>
      </c>
      <c r="CQ10" s="875">
        <v>569.16923495000003</v>
      </c>
      <c r="CR10" s="875">
        <v>576.50752728999987</v>
      </c>
      <c r="CS10" s="875">
        <v>563.62845802000004</v>
      </c>
      <c r="CT10" s="875">
        <v>568.69446108</v>
      </c>
      <c r="CU10" s="875">
        <v>574.44495085000005</v>
      </c>
      <c r="CV10" s="875">
        <v>591.81350957999996</v>
      </c>
      <c r="CW10" s="875">
        <v>590.48644849000004</v>
      </c>
      <c r="CX10" s="875">
        <v>606.50917583</v>
      </c>
      <c r="CY10" s="875">
        <v>625.54050872000005</v>
      </c>
      <c r="CZ10" s="875">
        <v>640.74230924999995</v>
      </c>
      <c r="DA10" s="875">
        <v>662.15613992999999</v>
      </c>
      <c r="DB10" s="875">
        <v>684.94513697000002</v>
      </c>
      <c r="DC10" s="875">
        <v>700.65092701000003</v>
      </c>
      <c r="DD10" s="875">
        <v>736.95427557999994</v>
      </c>
      <c r="DE10" s="875">
        <v>739.10232041999996</v>
      </c>
      <c r="DF10" s="875">
        <v>769.89369518000001</v>
      </c>
      <c r="DG10" s="875">
        <v>758.47734047999995</v>
      </c>
      <c r="DH10" s="875">
        <v>793.02372937999996</v>
      </c>
      <c r="DI10" s="875">
        <v>777.45113690999995</v>
      </c>
      <c r="DJ10" s="875">
        <v>800.07933630000002</v>
      </c>
      <c r="DK10" s="875">
        <v>819.51974065000002</v>
      </c>
      <c r="DL10" s="875">
        <v>822.13604544999998</v>
      </c>
      <c r="DM10" s="875">
        <v>837.00039572000003</v>
      </c>
      <c r="DN10" s="875">
        <v>839.85242621999998</v>
      </c>
      <c r="DO10" s="875">
        <v>849.17063056999996</v>
      </c>
      <c r="DP10" s="875">
        <v>856.66520227000001</v>
      </c>
      <c r="DQ10" s="875">
        <v>837.07543962</v>
      </c>
      <c r="DR10" s="875">
        <v>859.17244278999999</v>
      </c>
      <c r="DS10" s="875">
        <v>850.62589598</v>
      </c>
      <c r="DT10" s="875">
        <v>865.17419215999996</v>
      </c>
      <c r="DU10" s="875">
        <v>870.47928583999999</v>
      </c>
      <c r="DV10" s="875">
        <v>898.96788346999995</v>
      </c>
      <c r="DW10" s="875">
        <v>907.47950351999998</v>
      </c>
      <c r="DX10" s="875">
        <v>949.19194112000002</v>
      </c>
      <c r="DY10" s="875">
        <v>979.87915396999995</v>
      </c>
      <c r="DZ10" s="875">
        <v>1019.7168133500001</v>
      </c>
      <c r="EA10" s="875">
        <v>1054.7945529900001</v>
      </c>
      <c r="EB10" s="875">
        <v>1113.6033006</v>
      </c>
      <c r="EC10" s="875">
        <v>1125.4956545699999</v>
      </c>
      <c r="ED10" s="875">
        <v>1163.33784029</v>
      </c>
      <c r="EE10" s="875">
        <v>1169.6381535</v>
      </c>
      <c r="EF10" s="875">
        <v>1197.05751543</v>
      </c>
      <c r="EG10" s="875">
        <v>1229.5244011100001</v>
      </c>
      <c r="EH10" s="875">
        <v>1224.6621162900001</v>
      </c>
      <c r="EI10" s="875">
        <v>1244.9837131199999</v>
      </c>
      <c r="EJ10" s="875">
        <v>1246.71875445</v>
      </c>
      <c r="EK10" s="875">
        <v>1273.8810731799999</v>
      </c>
      <c r="EL10" s="875">
        <v>1314.0189716499999</v>
      </c>
      <c r="EM10" s="875">
        <v>1327.6926271899999</v>
      </c>
      <c r="EN10" s="875">
        <v>1366.2798097299999</v>
      </c>
      <c r="EO10" s="875">
        <v>1346.73553866</v>
      </c>
      <c r="EP10" s="875">
        <v>1391.7176406799999</v>
      </c>
      <c r="EQ10" s="875">
        <v>1362.31711597</v>
      </c>
      <c r="ER10" s="875">
        <v>1396.2383687900001</v>
      </c>
      <c r="ES10" s="875">
        <v>1394.11676164</v>
      </c>
      <c r="ET10" s="875">
        <v>1419.27102298</v>
      </c>
      <c r="EU10" s="1934" t="s">
        <v>4090</v>
      </c>
    </row>
    <row r="11" spans="1:151" ht="21">
      <c r="A11" s="1930" t="s">
        <v>189</v>
      </c>
      <c r="B11" s="839">
        <v>3007.3289011500001</v>
      </c>
      <c r="C11" s="839">
        <v>3090.94822531</v>
      </c>
      <c r="D11" s="839">
        <v>3232.0808761899998</v>
      </c>
      <c r="E11" s="839">
        <v>3382.1949422400003</v>
      </c>
      <c r="F11" s="839">
        <v>3521.2867241700001</v>
      </c>
      <c r="G11" s="839">
        <v>3611.3680608599998</v>
      </c>
      <c r="H11" s="839">
        <v>3752.7803082200003</v>
      </c>
      <c r="I11" s="839">
        <v>3866.1565139099994</v>
      </c>
      <c r="J11" s="839">
        <v>3943.9736853999998</v>
      </c>
      <c r="K11" s="839">
        <v>4069.0315271100008</v>
      </c>
      <c r="L11" s="839">
        <v>4191.5899135500003</v>
      </c>
      <c r="M11" s="840">
        <v>4351.2436055999988</v>
      </c>
      <c r="N11" s="840">
        <v>4432.59935219</v>
      </c>
      <c r="O11" s="840">
        <v>4498.9620008599995</v>
      </c>
      <c r="P11" s="840">
        <v>4581.2020761699996</v>
      </c>
      <c r="Q11" s="840">
        <v>4686.7511224899999</v>
      </c>
      <c r="R11" s="840">
        <v>4781.4481067699999</v>
      </c>
      <c r="S11" s="840">
        <v>4836.33447677</v>
      </c>
      <c r="T11" s="840">
        <v>4936.6504720800003</v>
      </c>
      <c r="U11" s="840">
        <v>5031.89298994</v>
      </c>
      <c r="V11" s="840">
        <v>5160.6276893900003</v>
      </c>
      <c r="W11" s="840">
        <v>5251.5533997399998</v>
      </c>
      <c r="X11" s="840">
        <v>5357.8416869699995</v>
      </c>
      <c r="Y11" s="840">
        <v>5450.0291277900005</v>
      </c>
      <c r="Z11" s="840">
        <v>5476</v>
      </c>
      <c r="AA11" s="840">
        <v>5436.8089936800006</v>
      </c>
      <c r="AB11" s="840">
        <v>5361.4729497999997</v>
      </c>
      <c r="AC11" s="840">
        <v>5273.6150356099997</v>
      </c>
      <c r="AD11" s="840">
        <v>5097.1383499100011</v>
      </c>
      <c r="AE11" s="840">
        <v>4939.72438874</v>
      </c>
      <c r="AF11" s="840">
        <v>4841.5917679200002</v>
      </c>
      <c r="AG11" s="840">
        <v>4848.6462036400007</v>
      </c>
      <c r="AH11" s="840">
        <v>4848.7843027899999</v>
      </c>
      <c r="AI11" s="840">
        <v>4848.1079172499994</v>
      </c>
      <c r="AJ11" s="840">
        <v>4885.4220506199999</v>
      </c>
      <c r="AK11" s="840">
        <v>4891.0421081400009</v>
      </c>
      <c r="AL11" s="840">
        <v>4621.8928876800001</v>
      </c>
      <c r="AM11" s="840">
        <v>4491.5980365100004</v>
      </c>
      <c r="AN11" s="840">
        <v>4461.0120295799998</v>
      </c>
      <c r="AO11" s="840">
        <v>4294.3644083999998</v>
      </c>
      <c r="AP11" s="840">
        <v>4189.1209381099998</v>
      </c>
      <c r="AQ11" s="840">
        <v>4187.9195313299997</v>
      </c>
      <c r="AR11" s="840">
        <v>3760.5958005599996</v>
      </c>
      <c r="AS11" s="840">
        <v>3839.45448584</v>
      </c>
      <c r="AT11" s="840">
        <v>3863.7106142900002</v>
      </c>
      <c r="AU11" s="840">
        <v>3779.1657670499999</v>
      </c>
      <c r="AV11" s="840">
        <v>3785.8214143900004</v>
      </c>
      <c r="AW11" s="840">
        <v>3772.5907118</v>
      </c>
      <c r="AX11" s="840">
        <v>3721.2876250199997</v>
      </c>
      <c r="AY11" s="840">
        <v>3656.1013030099998</v>
      </c>
      <c r="AZ11" s="840">
        <v>3594.4524682000001</v>
      </c>
      <c r="BA11" s="840">
        <v>3539.0965781499995</v>
      </c>
      <c r="BB11" s="840">
        <v>3481.7426164899998</v>
      </c>
      <c r="BC11" s="840">
        <v>3445.2088459799998</v>
      </c>
      <c r="BD11" s="840">
        <v>3402.4733747399996</v>
      </c>
      <c r="BE11" s="840">
        <v>3410.58153623</v>
      </c>
      <c r="BF11" s="840">
        <v>3400.0225953600007</v>
      </c>
      <c r="BG11" s="841">
        <v>3412.4216208299999</v>
      </c>
      <c r="BH11" s="879">
        <v>3442.8461192200002</v>
      </c>
      <c r="BI11" s="874">
        <v>3471.2892138500001</v>
      </c>
      <c r="BJ11" s="874">
        <v>3449.2292955399998</v>
      </c>
      <c r="BK11" s="874">
        <v>3513.0055625299992</v>
      </c>
      <c r="BL11" s="874">
        <v>3574.81592219</v>
      </c>
      <c r="BM11" s="874">
        <v>3682.4427891300002</v>
      </c>
      <c r="BN11" s="874">
        <v>3814.11965306</v>
      </c>
      <c r="BO11" s="874">
        <v>3891.0524255800001</v>
      </c>
      <c r="BP11" s="874">
        <v>3955.8652683099999</v>
      </c>
      <c r="BQ11" s="874">
        <v>4085.4636947399999</v>
      </c>
      <c r="BR11" s="874">
        <v>4178.1291030100001</v>
      </c>
      <c r="BS11" s="874">
        <v>4279.5912167699998</v>
      </c>
      <c r="BT11" s="874">
        <v>4464.4627233699994</v>
      </c>
      <c r="BU11" s="874">
        <v>4513.1346076</v>
      </c>
      <c r="BV11" s="874">
        <v>4536.4942556300002</v>
      </c>
      <c r="BW11" s="874">
        <v>4603.84983483</v>
      </c>
      <c r="BX11" s="874">
        <v>4680.1839624900003</v>
      </c>
      <c r="BY11" s="874">
        <v>4808.0851837499995</v>
      </c>
      <c r="BZ11" s="874">
        <v>4951.32120012</v>
      </c>
      <c r="CA11" s="874">
        <v>5060.0660682700009</v>
      </c>
      <c r="CB11" s="874">
        <v>5204.7566673900001</v>
      </c>
      <c r="CC11" s="874">
        <v>5359.9187852500008</v>
      </c>
      <c r="CD11" s="874">
        <v>5523.2813108</v>
      </c>
      <c r="CE11" s="874">
        <v>5669.50177343</v>
      </c>
      <c r="CF11" s="874">
        <v>5775.7028787700001</v>
      </c>
      <c r="CG11" s="874">
        <v>5940.4650871499998</v>
      </c>
      <c r="CH11" s="874">
        <v>5975.9417927800005</v>
      </c>
      <c r="CI11" s="874">
        <v>6077.9394610499994</v>
      </c>
      <c r="CJ11" s="874">
        <v>6117.36039936</v>
      </c>
      <c r="CK11" s="874">
        <v>5874.4547937400002</v>
      </c>
      <c r="CL11" s="874">
        <v>5752.7402079699996</v>
      </c>
      <c r="CM11" s="874">
        <v>5770.7496082799989</v>
      </c>
      <c r="CN11" s="874">
        <v>5786.1615436800002</v>
      </c>
      <c r="CO11" s="874">
        <v>5883.9212861799988</v>
      </c>
      <c r="CP11" s="874">
        <v>6007.4919968799995</v>
      </c>
      <c r="CQ11" s="874">
        <v>6001.6431569499991</v>
      </c>
      <c r="CR11" s="874">
        <v>5999.4493794700002</v>
      </c>
      <c r="CS11" s="874">
        <v>5963.2460082300004</v>
      </c>
      <c r="CT11" s="874">
        <v>6010.0930816600003</v>
      </c>
      <c r="CU11" s="874">
        <v>6087.3657335300004</v>
      </c>
      <c r="CV11" s="874">
        <v>6189.3918133899997</v>
      </c>
      <c r="CW11" s="874">
        <v>6360.06463988</v>
      </c>
      <c r="CX11" s="874">
        <v>6472.6241129399996</v>
      </c>
      <c r="CY11" s="874">
        <v>6628.7720579300003</v>
      </c>
      <c r="CZ11" s="874">
        <v>6767.8801058899999</v>
      </c>
      <c r="DA11" s="874">
        <v>6983.3171064199996</v>
      </c>
      <c r="DB11" s="874">
        <v>7210.6027707399999</v>
      </c>
      <c r="DC11" s="874">
        <v>7404.0979354000001</v>
      </c>
      <c r="DD11" s="874">
        <v>7631.0883191000003</v>
      </c>
      <c r="DE11" s="874">
        <v>7900.48016009</v>
      </c>
      <c r="DF11" s="874">
        <v>8071.2342128800001</v>
      </c>
      <c r="DG11" s="874">
        <v>8248.39990941</v>
      </c>
      <c r="DH11" s="874">
        <v>8494.6713946399996</v>
      </c>
      <c r="DI11" s="874">
        <v>8758.8750861000008</v>
      </c>
      <c r="DJ11" s="874">
        <v>8974.3753586399998</v>
      </c>
      <c r="DK11" s="874">
        <v>9225.88803568</v>
      </c>
      <c r="DL11" s="874">
        <v>9380.4962871299995</v>
      </c>
      <c r="DM11" s="874">
        <v>9611.7658475900007</v>
      </c>
      <c r="DN11" s="874">
        <v>9868.7927778100002</v>
      </c>
      <c r="DO11" s="874">
        <v>10096.88202386</v>
      </c>
      <c r="DP11" s="874">
        <v>10289.376567990001</v>
      </c>
      <c r="DQ11" s="874">
        <v>10431.415731180001</v>
      </c>
      <c r="DR11" s="874">
        <v>10567.255872010001</v>
      </c>
      <c r="DS11" s="874">
        <v>10712.37848313</v>
      </c>
      <c r="DT11" s="874">
        <v>10933.18935895</v>
      </c>
      <c r="DU11" s="874">
        <v>11223.044237939999</v>
      </c>
      <c r="DV11" s="874">
        <v>11494.741782929999</v>
      </c>
      <c r="DW11" s="874">
        <v>11715.447307099999</v>
      </c>
      <c r="DX11" s="874">
        <v>12023.68401734</v>
      </c>
      <c r="DY11" s="874">
        <v>12347.62007504</v>
      </c>
      <c r="DZ11" s="874">
        <v>12617.372115779999</v>
      </c>
      <c r="EA11" s="874">
        <v>12708.01319639</v>
      </c>
      <c r="EB11" s="874">
        <v>13027.26233811</v>
      </c>
      <c r="EC11" s="874">
        <v>13203.44236257</v>
      </c>
      <c r="ED11" s="874">
        <v>13306.711423369999</v>
      </c>
      <c r="EE11" s="874">
        <v>13489.635920389999</v>
      </c>
      <c r="EF11" s="874">
        <v>13661.90334044</v>
      </c>
      <c r="EG11" s="874">
        <v>14012.0238484</v>
      </c>
      <c r="EH11" s="874">
        <v>14280.19128318</v>
      </c>
      <c r="EI11" s="874">
        <v>14458.042386970001</v>
      </c>
      <c r="EJ11" s="874">
        <v>14771.41816967</v>
      </c>
      <c r="EK11" s="874">
        <v>15128.6553078</v>
      </c>
      <c r="EL11" s="874">
        <v>15437.40180967</v>
      </c>
      <c r="EM11" s="874">
        <v>15677.98705111</v>
      </c>
      <c r="EN11" s="874">
        <v>15867.7559685</v>
      </c>
      <c r="EO11" s="874">
        <v>16032.818183740001</v>
      </c>
      <c r="EP11" s="874">
        <v>16164.987503050001</v>
      </c>
      <c r="EQ11" s="874">
        <v>16234.90461297</v>
      </c>
      <c r="ER11" s="874">
        <v>16384.33855629</v>
      </c>
      <c r="ES11" s="874">
        <v>16634.475590999999</v>
      </c>
      <c r="ET11" s="874">
        <v>16825.812637399998</v>
      </c>
      <c r="EU11" s="1930" t="s">
        <v>212</v>
      </c>
    </row>
    <row r="12" spans="1:151" ht="21">
      <c r="A12" s="1929" t="s">
        <v>1954</v>
      </c>
      <c r="B12" s="842">
        <v>109.64487560000001</v>
      </c>
      <c r="C12" s="842">
        <v>121.28549662</v>
      </c>
      <c r="D12" s="842">
        <v>135.66314795</v>
      </c>
      <c r="E12" s="842">
        <v>141.56863710000002</v>
      </c>
      <c r="F12" s="842">
        <v>156.02506714</v>
      </c>
      <c r="G12" s="842">
        <v>162.03606468000001</v>
      </c>
      <c r="H12" s="842">
        <v>176.13505711000002</v>
      </c>
      <c r="I12" s="842">
        <v>187.89264433</v>
      </c>
      <c r="J12" s="842">
        <v>207.07547869000001</v>
      </c>
      <c r="K12" s="842">
        <v>223.52145536999998</v>
      </c>
      <c r="L12" s="842">
        <v>237.69682075</v>
      </c>
      <c r="M12" s="843">
        <v>266.55847694999994</v>
      </c>
      <c r="N12" s="843">
        <v>284.77756248000003</v>
      </c>
      <c r="O12" s="843">
        <v>291.72324699000006</v>
      </c>
      <c r="P12" s="843">
        <v>313.46911776000002</v>
      </c>
      <c r="Q12" s="843">
        <v>320.92036603999998</v>
      </c>
      <c r="R12" s="843">
        <v>333.91315064000003</v>
      </c>
      <c r="S12" s="843">
        <v>342.35854540000003</v>
      </c>
      <c r="T12" s="843">
        <v>361.02467277</v>
      </c>
      <c r="U12" s="843">
        <v>370.31658686000003</v>
      </c>
      <c r="V12" s="843">
        <v>391.44351058000007</v>
      </c>
      <c r="W12" s="843">
        <v>419.36403817000001</v>
      </c>
      <c r="X12" s="843">
        <v>424.89191428999999</v>
      </c>
      <c r="Y12" s="843">
        <v>456.41319727000001</v>
      </c>
      <c r="Z12" s="843">
        <v>475.1</v>
      </c>
      <c r="AA12" s="843">
        <v>480.00369860000001</v>
      </c>
      <c r="AB12" s="843">
        <v>485.77310023999996</v>
      </c>
      <c r="AC12" s="843">
        <v>468.79964336</v>
      </c>
      <c r="AD12" s="843">
        <v>449.80672083000002</v>
      </c>
      <c r="AE12" s="843">
        <v>433.91516184999995</v>
      </c>
      <c r="AF12" s="843">
        <v>419.47817741</v>
      </c>
      <c r="AG12" s="843">
        <v>420.96434250999999</v>
      </c>
      <c r="AH12" s="843">
        <v>418.68461821999995</v>
      </c>
      <c r="AI12" s="843">
        <v>407.58842679999998</v>
      </c>
      <c r="AJ12" s="843">
        <v>415.29304942999994</v>
      </c>
      <c r="AK12" s="843">
        <v>412.26325948000004</v>
      </c>
      <c r="AL12" s="843">
        <v>399.95312090000004</v>
      </c>
      <c r="AM12" s="843">
        <v>374.47164679999997</v>
      </c>
      <c r="AN12" s="843">
        <v>362.67910459999996</v>
      </c>
      <c r="AO12" s="843">
        <v>348.99744654</v>
      </c>
      <c r="AP12" s="843">
        <v>333.85693526</v>
      </c>
      <c r="AQ12" s="843">
        <v>330.08464553999994</v>
      </c>
      <c r="AR12" s="843">
        <v>320.65499043</v>
      </c>
      <c r="AS12" s="843">
        <v>318.32308602999996</v>
      </c>
      <c r="AT12" s="843">
        <v>313.53172043000006</v>
      </c>
      <c r="AU12" s="843">
        <v>305.05788690999998</v>
      </c>
      <c r="AV12" s="843">
        <v>300.33248001000004</v>
      </c>
      <c r="AW12" s="843">
        <v>288.96224673</v>
      </c>
      <c r="AX12" s="843">
        <v>284.23206454000001</v>
      </c>
      <c r="AY12" s="843">
        <v>277.77204289999997</v>
      </c>
      <c r="AZ12" s="843">
        <v>270.14705157999998</v>
      </c>
      <c r="BA12" s="843">
        <v>263.74866704999999</v>
      </c>
      <c r="BB12" s="843">
        <v>258.17544622999998</v>
      </c>
      <c r="BC12" s="843">
        <v>246.80742617000001</v>
      </c>
      <c r="BD12" s="843">
        <f>+BD19+BD26</f>
        <v>229.93546345999997</v>
      </c>
      <c r="BE12" s="843">
        <f>+BE19+BE26</f>
        <v>227.69336883</v>
      </c>
      <c r="BF12" s="843">
        <v>227.49107595999999</v>
      </c>
      <c r="BG12" s="844">
        <v>213.45087240999999</v>
      </c>
      <c r="BH12" s="880">
        <v>211.54716649000002</v>
      </c>
      <c r="BI12" s="875">
        <v>212.30604743000001</v>
      </c>
      <c r="BJ12" s="875">
        <v>217.46054226999999</v>
      </c>
      <c r="BK12" s="875">
        <v>221.55877949000001</v>
      </c>
      <c r="BL12" s="875">
        <v>230.55917048999999</v>
      </c>
      <c r="BM12" s="875">
        <v>243.50049168000001</v>
      </c>
      <c r="BN12" s="875">
        <v>256.83249612999998</v>
      </c>
      <c r="BO12" s="875">
        <v>262.89617716999999</v>
      </c>
      <c r="BP12" s="875">
        <v>276.26869103000001</v>
      </c>
      <c r="BQ12" s="875">
        <v>298.41144423999998</v>
      </c>
      <c r="BR12" s="875">
        <v>314.15537383000003</v>
      </c>
      <c r="BS12" s="875">
        <v>330.54489640999998</v>
      </c>
      <c r="BT12" s="875">
        <v>349.15029573999999</v>
      </c>
      <c r="BU12" s="875">
        <v>367.36550402</v>
      </c>
      <c r="BV12" s="875">
        <v>380.88266944999998</v>
      </c>
      <c r="BW12" s="875">
        <v>387.45413451999997</v>
      </c>
      <c r="BX12" s="875">
        <v>402.55189244000002</v>
      </c>
      <c r="BY12" s="875">
        <v>413.61993129999996</v>
      </c>
      <c r="BZ12" s="875">
        <v>422.32227526999998</v>
      </c>
      <c r="CA12" s="875">
        <v>424.13631291999997</v>
      </c>
      <c r="CB12" s="875">
        <v>426.49689622</v>
      </c>
      <c r="CC12" s="875">
        <v>437.78978567999997</v>
      </c>
      <c r="CD12" s="875">
        <v>449.43599799000003</v>
      </c>
      <c r="CE12" s="875">
        <v>456.18842529</v>
      </c>
      <c r="CF12" s="875">
        <v>472.70109507000006</v>
      </c>
      <c r="CG12" s="875">
        <v>490.05561967999995</v>
      </c>
      <c r="CH12" s="875">
        <v>509.25990904999998</v>
      </c>
      <c r="CI12" s="875">
        <v>511.42879412999997</v>
      </c>
      <c r="CJ12" s="875">
        <v>534.2140569799999</v>
      </c>
      <c r="CK12" s="875">
        <v>518.66140538999991</v>
      </c>
      <c r="CL12" s="875">
        <v>527.34694708999996</v>
      </c>
      <c r="CM12" s="875">
        <v>536.13046166999993</v>
      </c>
      <c r="CN12" s="875">
        <v>524.73806994000006</v>
      </c>
      <c r="CO12" s="875">
        <v>538.29577158999996</v>
      </c>
      <c r="CP12" s="875">
        <v>556.97596984999996</v>
      </c>
      <c r="CQ12" s="875">
        <v>552.20359936</v>
      </c>
      <c r="CR12" s="875">
        <v>560.44335084999989</v>
      </c>
      <c r="CS12" s="875">
        <v>549.11371584000005</v>
      </c>
      <c r="CT12" s="875">
        <v>556.90792784999996</v>
      </c>
      <c r="CU12" s="875">
        <v>563.59105219000003</v>
      </c>
      <c r="CV12" s="875">
        <v>580.83652690999998</v>
      </c>
      <c r="CW12" s="875">
        <v>579.89130905000002</v>
      </c>
      <c r="CX12" s="875">
        <v>594.86313987000005</v>
      </c>
      <c r="CY12" s="875">
        <v>614.36385677999999</v>
      </c>
      <c r="CZ12" s="875">
        <v>629.29816189999997</v>
      </c>
      <c r="DA12" s="875">
        <v>651.10464998999998</v>
      </c>
      <c r="DB12" s="875">
        <v>673.34919431000003</v>
      </c>
      <c r="DC12" s="875">
        <v>689.51766098999997</v>
      </c>
      <c r="DD12" s="875">
        <v>725.02608255999996</v>
      </c>
      <c r="DE12" s="875">
        <v>727.01388551000002</v>
      </c>
      <c r="DF12" s="875">
        <v>757.57995235999999</v>
      </c>
      <c r="DG12" s="875">
        <v>744.93979461000004</v>
      </c>
      <c r="DH12" s="875">
        <v>778.02920731999995</v>
      </c>
      <c r="DI12" s="875">
        <v>763.47521612000003</v>
      </c>
      <c r="DJ12" s="875">
        <v>785.27427822000004</v>
      </c>
      <c r="DK12" s="875">
        <v>804.45849963000001</v>
      </c>
      <c r="DL12" s="875">
        <v>807.52011835999997</v>
      </c>
      <c r="DM12" s="875">
        <v>821.74021418999996</v>
      </c>
      <c r="DN12" s="875">
        <v>824.77940455999999</v>
      </c>
      <c r="DO12" s="875">
        <v>833.79472595000004</v>
      </c>
      <c r="DP12" s="875">
        <v>843.15346564000004</v>
      </c>
      <c r="DQ12" s="875">
        <v>823.70285836000005</v>
      </c>
      <c r="DR12" s="875">
        <v>844.73148661000005</v>
      </c>
      <c r="DS12" s="875">
        <v>835.50161007999998</v>
      </c>
      <c r="DT12" s="875">
        <v>849.14651829000002</v>
      </c>
      <c r="DU12" s="875">
        <v>855.02625657999999</v>
      </c>
      <c r="DV12" s="875">
        <v>882.95018257000004</v>
      </c>
      <c r="DW12" s="875">
        <v>891.44928250999999</v>
      </c>
      <c r="DX12" s="875">
        <v>932.31079018000003</v>
      </c>
      <c r="DY12" s="875">
        <v>961.98355317999994</v>
      </c>
      <c r="DZ12" s="875">
        <v>1002.1262007300001</v>
      </c>
      <c r="EA12" s="875">
        <v>1037.52218492</v>
      </c>
      <c r="EB12" s="875">
        <v>1096.73524484</v>
      </c>
      <c r="EC12" s="875">
        <v>1109.4842685799999</v>
      </c>
      <c r="ED12" s="875">
        <v>1146.86806153</v>
      </c>
      <c r="EE12" s="875">
        <v>1153.1173234299999</v>
      </c>
      <c r="EF12" s="875">
        <v>1179.8035408600001</v>
      </c>
      <c r="EG12" s="875">
        <v>1212.7409498699999</v>
      </c>
      <c r="EH12" s="875">
        <v>1207.05577842</v>
      </c>
      <c r="EI12" s="875">
        <v>1228.2103295100001</v>
      </c>
      <c r="EJ12" s="875">
        <v>1229.0457185400001</v>
      </c>
      <c r="EK12" s="875">
        <v>1255.7506251100001</v>
      </c>
      <c r="EL12" s="875">
        <v>1295.5720224300001</v>
      </c>
      <c r="EM12" s="875">
        <v>1309.84856066</v>
      </c>
      <c r="EN12" s="875">
        <v>1351.2109468399999</v>
      </c>
      <c r="EO12" s="875">
        <v>1331.71256066</v>
      </c>
      <c r="EP12" s="875">
        <v>1376.66852576</v>
      </c>
      <c r="EQ12" s="875">
        <v>1347.77223486</v>
      </c>
      <c r="ER12" s="875">
        <v>1380.38950892</v>
      </c>
      <c r="ES12" s="875">
        <v>1379.6824254999999</v>
      </c>
      <c r="ET12" s="875">
        <v>1404.7760214499999</v>
      </c>
      <c r="EU12" s="1934" t="s">
        <v>4090</v>
      </c>
    </row>
    <row r="13" spans="1:151" ht="21">
      <c r="A13" s="1930" t="s">
        <v>2753</v>
      </c>
      <c r="B13" s="839">
        <v>1118.9754504900002</v>
      </c>
      <c r="C13" s="839">
        <v>1152.2878968699999</v>
      </c>
      <c r="D13" s="839">
        <v>1163.1497762099998</v>
      </c>
      <c r="E13" s="839">
        <v>1189.5949795500001</v>
      </c>
      <c r="F13" s="839">
        <v>1225.5165745000002</v>
      </c>
      <c r="G13" s="839">
        <v>1245.7607931399998</v>
      </c>
      <c r="H13" s="839">
        <v>1293.27638243</v>
      </c>
      <c r="I13" s="839">
        <v>1325.13251597</v>
      </c>
      <c r="J13" s="839">
        <v>1363.5687453</v>
      </c>
      <c r="K13" s="839">
        <v>1396.4808956300001</v>
      </c>
      <c r="L13" s="839">
        <v>1422.3964962699999</v>
      </c>
      <c r="M13" s="840">
        <v>1442.2653167899998</v>
      </c>
      <c r="N13" s="840">
        <v>1426.58924791</v>
      </c>
      <c r="O13" s="840">
        <v>1432.7017268</v>
      </c>
      <c r="P13" s="840">
        <v>1429.2284908399999</v>
      </c>
      <c r="Q13" s="840">
        <v>1471.9956829499999</v>
      </c>
      <c r="R13" s="840">
        <v>1507.96217112</v>
      </c>
      <c r="S13" s="840">
        <v>1531.3613611399999</v>
      </c>
      <c r="T13" s="840">
        <v>1565.8198892999997</v>
      </c>
      <c r="U13" s="840">
        <v>1587.38732179</v>
      </c>
      <c r="V13" s="840">
        <v>1609.1889357700002</v>
      </c>
      <c r="W13" s="840">
        <v>1627.4772531600001</v>
      </c>
      <c r="X13" s="840">
        <v>1665.4933462099998</v>
      </c>
      <c r="Y13" s="840">
        <v>1777.0449845200001</v>
      </c>
      <c r="Z13" s="840">
        <v>1715.0759568499998</v>
      </c>
      <c r="AA13" s="840">
        <v>2446.9113402600001</v>
      </c>
      <c r="AB13" s="840">
        <v>2402.1378160200002</v>
      </c>
      <c r="AC13" s="840">
        <v>2390.5237525000002</v>
      </c>
      <c r="AD13" s="840">
        <v>2412.7103131399999</v>
      </c>
      <c r="AE13" s="840">
        <v>2411.3044037899999</v>
      </c>
      <c r="AF13" s="840">
        <v>2390.6699366200005</v>
      </c>
      <c r="AG13" s="840">
        <v>2298.0494589099999</v>
      </c>
      <c r="AH13" s="840">
        <v>2205.7733441400001</v>
      </c>
      <c r="AI13" s="840">
        <v>2180.6216067199998</v>
      </c>
      <c r="AJ13" s="840">
        <v>2116.24155832</v>
      </c>
      <c r="AK13" s="840">
        <v>2964.2228205599999</v>
      </c>
      <c r="AL13" s="840">
        <v>2895.2521508799996</v>
      </c>
      <c r="AM13" s="840">
        <v>2698.7603103800002</v>
      </c>
      <c r="AN13" s="840">
        <v>2572.8745697300001</v>
      </c>
      <c r="AO13" s="840">
        <v>2414.0398331800002</v>
      </c>
      <c r="AP13" s="840">
        <v>2266.5360944100003</v>
      </c>
      <c r="AQ13" s="840">
        <v>2246.9282059899997</v>
      </c>
      <c r="AR13" s="840">
        <v>2045.0177238800002</v>
      </c>
      <c r="AS13" s="840">
        <v>2001.4521388100002</v>
      </c>
      <c r="AT13" s="840">
        <v>1896.9793109499999</v>
      </c>
      <c r="AU13" s="840">
        <v>1751.2622097000001</v>
      </c>
      <c r="AV13" s="840">
        <v>1766.7632904100001</v>
      </c>
      <c r="AW13" s="840">
        <v>1710.4993388799999</v>
      </c>
      <c r="AX13" s="840">
        <v>1755.11772675</v>
      </c>
      <c r="AY13" s="840">
        <v>1534.92654754</v>
      </c>
      <c r="AZ13" s="840">
        <v>1461.27174782</v>
      </c>
      <c r="BA13" s="840">
        <v>1410.9042625700004</v>
      </c>
      <c r="BB13" s="840">
        <v>1403.6110252800001</v>
      </c>
      <c r="BC13" s="840">
        <v>1367.3044553100001</v>
      </c>
      <c r="BD13" s="840">
        <v>1284.1316509799999</v>
      </c>
      <c r="BE13" s="840">
        <v>1233.1002199899999</v>
      </c>
      <c r="BF13" s="840">
        <v>1202.0995306299999</v>
      </c>
      <c r="BG13" s="841">
        <v>1028.22706225</v>
      </c>
      <c r="BH13" s="879">
        <v>988.74838106000016</v>
      </c>
      <c r="BI13" s="874">
        <v>894.56148689999986</v>
      </c>
      <c r="BJ13" s="874">
        <v>865.60608217000004</v>
      </c>
      <c r="BK13" s="874">
        <v>854.31462294999994</v>
      </c>
      <c r="BL13" s="874">
        <v>852.36567400999991</v>
      </c>
      <c r="BM13" s="874">
        <v>819.13545660999989</v>
      </c>
      <c r="BN13" s="874">
        <v>797.92133429</v>
      </c>
      <c r="BO13" s="874">
        <v>745.31763974000023</v>
      </c>
      <c r="BP13" s="874">
        <v>725.72520822000001</v>
      </c>
      <c r="BQ13" s="874">
        <v>699.33967497999981</v>
      </c>
      <c r="BR13" s="874">
        <v>680.09230952000007</v>
      </c>
      <c r="BS13" s="874">
        <v>636.95195928999999</v>
      </c>
      <c r="BT13" s="874">
        <v>643.27245014000005</v>
      </c>
      <c r="BU13" s="874">
        <v>616.46353012999998</v>
      </c>
      <c r="BV13" s="874">
        <v>589.58082229999991</v>
      </c>
      <c r="BW13" s="874">
        <v>584.13150489999998</v>
      </c>
      <c r="BX13" s="874">
        <v>571.82776231000003</v>
      </c>
      <c r="BY13" s="874">
        <v>534.12724946000003</v>
      </c>
      <c r="BZ13" s="874">
        <v>533.59855442999992</v>
      </c>
      <c r="CA13" s="874">
        <v>568.16183777000003</v>
      </c>
      <c r="CB13" s="874">
        <v>545.48773340000002</v>
      </c>
      <c r="CC13" s="874">
        <v>543.62833562000003</v>
      </c>
      <c r="CD13" s="874">
        <v>551.71554939999999</v>
      </c>
      <c r="CE13" s="874">
        <v>544.39971009999999</v>
      </c>
      <c r="CF13" s="874">
        <v>821.80861086000004</v>
      </c>
      <c r="CG13" s="874">
        <v>802.12731838000002</v>
      </c>
      <c r="CH13" s="874">
        <v>792.92887881000001</v>
      </c>
      <c r="CI13" s="874">
        <v>785.46849539000004</v>
      </c>
      <c r="CJ13" s="874">
        <v>596.13322619999997</v>
      </c>
      <c r="CK13" s="874">
        <v>582.46365166999999</v>
      </c>
      <c r="CL13" s="874">
        <v>575.28024237</v>
      </c>
      <c r="CM13" s="874">
        <v>530.00399465999999</v>
      </c>
      <c r="CN13" s="874">
        <v>535.08312854000008</v>
      </c>
      <c r="CO13" s="874">
        <v>536.36611958000003</v>
      </c>
      <c r="CP13" s="874">
        <v>534.32542537999996</v>
      </c>
      <c r="CQ13" s="874">
        <v>524.82872872999997</v>
      </c>
      <c r="CR13" s="874">
        <v>519.30589574999999</v>
      </c>
      <c r="CS13" s="874">
        <v>513.76788988999999</v>
      </c>
      <c r="CT13" s="874">
        <v>539.33153106999998</v>
      </c>
      <c r="CU13" s="874">
        <v>451.71604268999999</v>
      </c>
      <c r="CV13" s="874">
        <v>442.72739919000003</v>
      </c>
      <c r="CW13" s="874">
        <v>447.40553677000003</v>
      </c>
      <c r="CX13" s="874">
        <v>442.14896262000002</v>
      </c>
      <c r="CY13" s="874">
        <v>437.46340319000001</v>
      </c>
      <c r="CZ13" s="874">
        <v>438.08744804999998</v>
      </c>
      <c r="DA13" s="874">
        <v>451.42384043999999</v>
      </c>
      <c r="DB13" s="874">
        <v>450.73942462999997</v>
      </c>
      <c r="DC13" s="874">
        <v>448.41109184999999</v>
      </c>
      <c r="DD13" s="874">
        <v>421.33461087000001</v>
      </c>
      <c r="DE13" s="874">
        <v>420.04387552999998</v>
      </c>
      <c r="DF13" s="874">
        <v>409.73620278999999</v>
      </c>
      <c r="DG13" s="874">
        <v>413.27825217999998</v>
      </c>
      <c r="DH13" s="874">
        <v>467.22981320999997</v>
      </c>
      <c r="DI13" s="874">
        <v>400.88186910000002</v>
      </c>
      <c r="DJ13" s="874">
        <v>408.06520205999999</v>
      </c>
      <c r="DK13" s="874">
        <v>377.16708569999997</v>
      </c>
      <c r="DL13" s="874">
        <v>409.32837494</v>
      </c>
      <c r="DM13" s="874">
        <v>397.54901547999998</v>
      </c>
      <c r="DN13" s="874">
        <v>474.38006075999999</v>
      </c>
      <c r="DO13" s="874">
        <v>487.64896872999998</v>
      </c>
      <c r="DP13" s="874">
        <v>480.26511106999999</v>
      </c>
      <c r="DQ13" s="874">
        <v>458.33396863000002</v>
      </c>
      <c r="DR13" s="874">
        <v>456.47879368999997</v>
      </c>
      <c r="DS13" s="874">
        <v>452.76436128</v>
      </c>
      <c r="DT13" s="874">
        <v>444.57511285999999</v>
      </c>
      <c r="DU13" s="874">
        <v>454.04457511999999</v>
      </c>
      <c r="DV13" s="874">
        <v>461.23205837</v>
      </c>
      <c r="DW13" s="874">
        <v>450.18821231999999</v>
      </c>
      <c r="DX13" s="874">
        <v>302.73292932999999</v>
      </c>
      <c r="DY13" s="874">
        <v>308.62986991999998</v>
      </c>
      <c r="DZ13" s="874">
        <v>328.47835462</v>
      </c>
      <c r="EA13" s="874">
        <v>311.04729645999998</v>
      </c>
      <c r="EB13" s="874">
        <v>311.45082857</v>
      </c>
      <c r="EC13" s="874">
        <v>311.58377337000002</v>
      </c>
      <c r="ED13" s="874">
        <v>297.8631603</v>
      </c>
      <c r="EE13" s="874">
        <v>289.70342197000002</v>
      </c>
      <c r="EF13" s="874">
        <v>284.75979991000003</v>
      </c>
      <c r="EG13" s="874">
        <v>284.18569653999998</v>
      </c>
      <c r="EH13" s="874">
        <v>271.43603952000001</v>
      </c>
      <c r="EI13" s="874">
        <v>302.32941559</v>
      </c>
      <c r="EJ13" s="874">
        <v>294.89959703</v>
      </c>
      <c r="EK13" s="874">
        <v>301.61280582000001</v>
      </c>
      <c r="EL13" s="874">
        <v>309.59770642000001</v>
      </c>
      <c r="EM13" s="874">
        <v>300.87288226999999</v>
      </c>
      <c r="EN13" s="874">
        <v>330.73786837</v>
      </c>
      <c r="EO13" s="874">
        <v>325.66191872000002</v>
      </c>
      <c r="EP13" s="874">
        <v>310.20736614999998</v>
      </c>
      <c r="EQ13" s="874">
        <v>276.12357607000001</v>
      </c>
      <c r="ER13" s="874">
        <v>286.05314400999998</v>
      </c>
      <c r="ES13" s="874">
        <v>274.61450685</v>
      </c>
      <c r="ET13" s="874">
        <v>264.61864965000001</v>
      </c>
      <c r="EU13" s="1930" t="s">
        <v>4082</v>
      </c>
    </row>
    <row r="14" spans="1:151" ht="21">
      <c r="A14" s="1929" t="s">
        <v>1954</v>
      </c>
      <c r="B14" s="842">
        <v>94.020837669999992</v>
      </c>
      <c r="C14" s="842">
        <v>97.419236099999992</v>
      </c>
      <c r="D14" s="842">
        <v>102.74864914</v>
      </c>
      <c r="E14" s="842">
        <v>102.29021399000001</v>
      </c>
      <c r="F14" s="842">
        <v>109.19573831</v>
      </c>
      <c r="G14" s="842">
        <v>112.94008950999999</v>
      </c>
      <c r="H14" s="842">
        <v>114.64508498000001</v>
      </c>
      <c r="I14" s="842">
        <v>124.14934427</v>
      </c>
      <c r="J14" s="842">
        <v>123.84569744</v>
      </c>
      <c r="K14" s="842">
        <v>125.32320101000001</v>
      </c>
      <c r="L14" s="842">
        <v>126.60233047</v>
      </c>
      <c r="M14" s="843">
        <v>125.92191477999999</v>
      </c>
      <c r="N14" s="843">
        <v>126.41728286000001</v>
      </c>
      <c r="O14" s="843">
        <v>129.22603105000002</v>
      </c>
      <c r="P14" s="843">
        <v>130.26095602999999</v>
      </c>
      <c r="Q14" s="843">
        <v>129.18125692000001</v>
      </c>
      <c r="R14" s="843">
        <v>130.69938593000001</v>
      </c>
      <c r="S14" s="843">
        <v>132.7556812</v>
      </c>
      <c r="T14" s="843">
        <v>136.89788735999997</v>
      </c>
      <c r="U14" s="843">
        <v>133.31599979999999</v>
      </c>
      <c r="V14" s="843">
        <v>131.85890072000001</v>
      </c>
      <c r="W14" s="843">
        <v>134.34252497</v>
      </c>
      <c r="X14" s="843">
        <v>132.38151565999999</v>
      </c>
      <c r="Y14" s="843">
        <v>134.78729754</v>
      </c>
      <c r="Z14" s="843">
        <v>140.59290402999997</v>
      </c>
      <c r="AA14" s="843">
        <v>190.19413265</v>
      </c>
      <c r="AB14" s="843">
        <v>199.38347973</v>
      </c>
      <c r="AC14" s="843">
        <v>194.83547478</v>
      </c>
      <c r="AD14" s="843">
        <v>202.76311851999998</v>
      </c>
      <c r="AE14" s="843">
        <v>208.53025879999998</v>
      </c>
      <c r="AF14" s="843">
        <v>213.00725315</v>
      </c>
      <c r="AG14" s="843">
        <v>209.90652295999999</v>
      </c>
      <c r="AH14" s="843">
        <v>207.71573623999998</v>
      </c>
      <c r="AI14" s="843">
        <v>207.90581453000001</v>
      </c>
      <c r="AJ14" s="843">
        <v>203.3170231</v>
      </c>
      <c r="AK14" s="843">
        <v>286.86728984999996</v>
      </c>
      <c r="AL14" s="843">
        <v>266.25445769000004</v>
      </c>
      <c r="AM14" s="843">
        <v>252.50947794000001</v>
      </c>
      <c r="AN14" s="843">
        <v>248.32341800999998</v>
      </c>
      <c r="AO14" s="843">
        <v>233.91446717999997</v>
      </c>
      <c r="AP14" s="843">
        <v>225.52079194999999</v>
      </c>
      <c r="AQ14" s="843">
        <v>227.4014335</v>
      </c>
      <c r="AR14" s="843">
        <v>223.02238321999997</v>
      </c>
      <c r="AS14" s="843">
        <v>226.86881971999998</v>
      </c>
      <c r="AT14" s="843">
        <v>219.32650132000001</v>
      </c>
      <c r="AU14" s="843">
        <v>212.85277379000001</v>
      </c>
      <c r="AV14" s="843">
        <v>219.86320144999999</v>
      </c>
      <c r="AW14" s="843">
        <v>220.17054046000001</v>
      </c>
      <c r="AX14" s="843">
        <v>236.24495171000001</v>
      </c>
      <c r="AY14" s="843">
        <v>212.32537832000003</v>
      </c>
      <c r="AZ14" s="843">
        <v>207.11485006999999</v>
      </c>
      <c r="BA14" s="843">
        <v>203.63505655000003</v>
      </c>
      <c r="BB14" s="843">
        <v>204.12018530999998</v>
      </c>
      <c r="BC14" s="843">
        <v>204.33850304000001</v>
      </c>
      <c r="BD14" s="843">
        <f>+BD21+BD28</f>
        <v>195.60445405000002</v>
      </c>
      <c r="BE14" s="843">
        <f>+BE21+BE28</f>
        <v>196.02272232000001</v>
      </c>
      <c r="BF14" s="843">
        <v>193.94414118999998</v>
      </c>
      <c r="BG14" s="844">
        <v>77.518046370000008</v>
      </c>
      <c r="BH14" s="880">
        <v>70.79853433000001</v>
      </c>
      <c r="BI14" s="875">
        <v>38.316055630000001</v>
      </c>
      <c r="BJ14" s="875">
        <v>39.679487969999997</v>
      </c>
      <c r="BK14" s="875">
        <v>38.165345070000001</v>
      </c>
      <c r="BL14" s="875">
        <v>40.841403150000005</v>
      </c>
      <c r="BM14" s="875">
        <v>41.416798139999997</v>
      </c>
      <c r="BN14" s="875">
        <v>41.789210150000002</v>
      </c>
      <c r="BO14" s="875">
        <v>41.255674299999995</v>
      </c>
      <c r="BP14" s="875">
        <v>42.895401139999997</v>
      </c>
      <c r="BQ14" s="875">
        <v>42.663389779999996</v>
      </c>
      <c r="BR14" s="875">
        <v>42.278874369999997</v>
      </c>
      <c r="BS14" s="875">
        <v>41.705371630000002</v>
      </c>
      <c r="BT14" s="875">
        <v>41.472885060000003</v>
      </c>
      <c r="BU14" s="875">
        <v>39.602307170000003</v>
      </c>
      <c r="BV14" s="875">
        <v>39.027809789999999</v>
      </c>
      <c r="BW14" s="875">
        <v>39.586275130000004</v>
      </c>
      <c r="BX14" s="875">
        <v>40.892623279999995</v>
      </c>
      <c r="BY14" s="875">
        <v>39.85736017</v>
      </c>
      <c r="BZ14" s="875">
        <v>38.804452789999999</v>
      </c>
      <c r="CA14" s="875">
        <v>39.037628580000003</v>
      </c>
      <c r="CB14" s="875">
        <v>35.098513160000003</v>
      </c>
      <c r="CC14" s="875">
        <v>36.295358780000001</v>
      </c>
      <c r="CD14" s="875">
        <v>35.83772325999999</v>
      </c>
      <c r="CE14" s="875">
        <v>35.298597530000002</v>
      </c>
      <c r="CF14" s="875">
        <v>35.014551470000008</v>
      </c>
      <c r="CG14" s="875">
        <v>28.898812760000002</v>
      </c>
      <c r="CH14" s="875">
        <v>28.058647050000001</v>
      </c>
      <c r="CI14" s="875">
        <v>27.687826909999998</v>
      </c>
      <c r="CJ14" s="875">
        <v>25.513782379999999</v>
      </c>
      <c r="CK14" s="875">
        <v>24.40861048</v>
      </c>
      <c r="CL14" s="875">
        <v>22.040658190000002</v>
      </c>
      <c r="CM14" s="875">
        <v>21.03401062</v>
      </c>
      <c r="CN14" s="875">
        <v>20.125473790000001</v>
      </c>
      <c r="CO14" s="875">
        <v>20.202967579999999</v>
      </c>
      <c r="CP14" s="875">
        <v>18.44999344</v>
      </c>
      <c r="CQ14" s="875">
        <v>16.965635590000002</v>
      </c>
      <c r="CR14" s="875">
        <v>16.064176440000001</v>
      </c>
      <c r="CS14" s="875">
        <v>14.514742180000001</v>
      </c>
      <c r="CT14" s="875">
        <v>11.78653323</v>
      </c>
      <c r="CU14" s="875">
        <v>10.85389866</v>
      </c>
      <c r="CV14" s="875">
        <v>10.97698267</v>
      </c>
      <c r="CW14" s="875">
        <v>10.595139440000001</v>
      </c>
      <c r="CX14" s="875">
        <v>11.646035960000001</v>
      </c>
      <c r="CY14" s="875">
        <v>11.176651939999999</v>
      </c>
      <c r="CZ14" s="875">
        <v>11.44414735</v>
      </c>
      <c r="DA14" s="875">
        <v>11.05148994</v>
      </c>
      <c r="DB14" s="875">
        <v>11.59594266</v>
      </c>
      <c r="DC14" s="875">
        <v>11.133266020000001</v>
      </c>
      <c r="DD14" s="875">
        <v>11.92819302</v>
      </c>
      <c r="DE14" s="875">
        <v>12.08843491</v>
      </c>
      <c r="DF14" s="875">
        <v>12.31374282</v>
      </c>
      <c r="DG14" s="875">
        <v>13.537545870000001</v>
      </c>
      <c r="DH14" s="875">
        <v>14.99452206</v>
      </c>
      <c r="DI14" s="875">
        <v>13.97592079</v>
      </c>
      <c r="DJ14" s="875">
        <v>14.80505808</v>
      </c>
      <c r="DK14" s="875">
        <v>15.061241020000001</v>
      </c>
      <c r="DL14" s="875">
        <v>14.61592709</v>
      </c>
      <c r="DM14" s="875">
        <v>15.260181530000001</v>
      </c>
      <c r="DN14" s="875">
        <v>15.07302166</v>
      </c>
      <c r="DO14" s="875">
        <v>15.37590462</v>
      </c>
      <c r="DP14" s="875">
        <v>13.51173663</v>
      </c>
      <c r="DQ14" s="875">
        <v>13.37258126</v>
      </c>
      <c r="DR14" s="875">
        <v>14.440956180000001</v>
      </c>
      <c r="DS14" s="875">
        <v>15.1242859</v>
      </c>
      <c r="DT14" s="875">
        <v>16.027673870000001</v>
      </c>
      <c r="DU14" s="875">
        <v>15.453029259999999</v>
      </c>
      <c r="DV14" s="875">
        <v>16.017700900000001</v>
      </c>
      <c r="DW14" s="875">
        <v>16.030221010000002</v>
      </c>
      <c r="DX14" s="875">
        <v>16.881150940000001</v>
      </c>
      <c r="DY14" s="875">
        <v>17.89560079</v>
      </c>
      <c r="DZ14" s="875">
        <v>17.590612620000002</v>
      </c>
      <c r="EA14" s="875">
        <v>17.272368069999999</v>
      </c>
      <c r="EB14" s="875">
        <v>16.868055760000001</v>
      </c>
      <c r="EC14" s="875">
        <v>16.011385990000001</v>
      </c>
      <c r="ED14" s="875">
        <v>16.469778760000001</v>
      </c>
      <c r="EE14" s="875">
        <v>16.520830069999999</v>
      </c>
      <c r="EF14" s="875">
        <v>17.25397457</v>
      </c>
      <c r="EG14" s="875">
        <v>16.783451240000002</v>
      </c>
      <c r="EH14" s="875">
        <v>17.606337870000001</v>
      </c>
      <c r="EI14" s="875">
        <v>16.77338361</v>
      </c>
      <c r="EJ14" s="875">
        <v>17.673035909999999</v>
      </c>
      <c r="EK14" s="875">
        <v>18.13044807</v>
      </c>
      <c r="EL14" s="875">
        <v>18.44694922</v>
      </c>
      <c r="EM14" s="875">
        <v>17.844066529999999</v>
      </c>
      <c r="EN14" s="875">
        <v>15.06886289</v>
      </c>
      <c r="EO14" s="875">
        <v>15.022978</v>
      </c>
      <c r="EP14" s="875">
        <v>15.049114919999999</v>
      </c>
      <c r="EQ14" s="875">
        <v>14.54488111</v>
      </c>
      <c r="ER14" s="875">
        <v>15.84885987</v>
      </c>
      <c r="ES14" s="875">
        <v>14.434336139999999</v>
      </c>
      <c r="ET14" s="875">
        <v>14.49500153</v>
      </c>
      <c r="EU14" s="1934" t="s">
        <v>4090</v>
      </c>
    </row>
    <row r="15" spans="1:151" ht="21">
      <c r="A15" s="1931"/>
      <c r="B15" s="842"/>
      <c r="C15" s="842"/>
      <c r="D15" s="842"/>
      <c r="E15" s="842"/>
      <c r="F15" s="842"/>
      <c r="G15" s="842"/>
      <c r="H15" s="842"/>
      <c r="I15" s="842"/>
      <c r="J15" s="842"/>
      <c r="K15" s="842"/>
      <c r="L15" s="842"/>
      <c r="M15" s="843"/>
      <c r="N15" s="843"/>
      <c r="O15" s="843"/>
      <c r="P15" s="843"/>
      <c r="Q15" s="843"/>
      <c r="R15" s="843"/>
      <c r="S15" s="843"/>
      <c r="T15" s="843"/>
      <c r="U15" s="843"/>
      <c r="V15" s="843"/>
      <c r="W15" s="843"/>
      <c r="X15" s="843"/>
      <c r="Y15" s="843"/>
      <c r="Z15" s="843"/>
      <c r="AA15" s="843"/>
      <c r="AB15" s="843"/>
      <c r="AC15" s="843"/>
      <c r="AD15" s="843"/>
      <c r="AE15" s="843"/>
      <c r="AF15" s="843"/>
      <c r="AG15" s="843"/>
      <c r="AH15" s="843"/>
      <c r="AI15" s="843"/>
      <c r="AJ15" s="843"/>
      <c r="AK15" s="843"/>
      <c r="AL15" s="843"/>
      <c r="AM15" s="843"/>
      <c r="AN15" s="843"/>
      <c r="AO15" s="843"/>
      <c r="AP15" s="843"/>
      <c r="AQ15" s="843"/>
      <c r="AR15" s="843"/>
      <c r="AS15" s="843"/>
      <c r="AT15" s="843"/>
      <c r="AU15" s="843"/>
      <c r="AV15" s="843"/>
      <c r="AW15" s="843"/>
      <c r="AX15" s="843"/>
      <c r="AY15" s="843"/>
      <c r="AZ15" s="843"/>
      <c r="BA15" s="843"/>
      <c r="BB15" s="843"/>
      <c r="BC15" s="843"/>
      <c r="BD15" s="843"/>
      <c r="BE15" s="843"/>
      <c r="BF15" s="843"/>
      <c r="BG15" s="844"/>
      <c r="BH15" s="880"/>
      <c r="BI15" s="875"/>
      <c r="BJ15" s="875"/>
      <c r="BK15" s="875"/>
      <c r="BL15" s="875"/>
      <c r="BM15" s="875"/>
      <c r="BN15" s="875"/>
      <c r="BO15" s="875"/>
      <c r="BP15" s="875"/>
      <c r="BQ15" s="875"/>
      <c r="BR15" s="875"/>
      <c r="BS15" s="875"/>
      <c r="BT15" s="875"/>
      <c r="BU15" s="875"/>
      <c r="BV15" s="875"/>
      <c r="BW15" s="875"/>
      <c r="BX15" s="875"/>
      <c r="BY15" s="875"/>
      <c r="BZ15" s="875"/>
      <c r="CA15" s="875"/>
      <c r="CB15" s="875"/>
      <c r="CC15" s="875"/>
      <c r="CD15" s="875"/>
      <c r="CE15" s="875"/>
      <c r="CF15" s="875"/>
      <c r="CG15" s="875"/>
      <c r="CH15" s="875"/>
      <c r="CI15" s="875"/>
      <c r="CJ15" s="875"/>
      <c r="CK15" s="875"/>
      <c r="CL15" s="875"/>
      <c r="CM15" s="875"/>
      <c r="CN15" s="875"/>
      <c r="CO15" s="875"/>
      <c r="CP15" s="875"/>
      <c r="CQ15" s="875"/>
      <c r="CR15" s="875"/>
      <c r="CS15" s="875"/>
      <c r="CT15" s="875"/>
      <c r="CU15" s="875"/>
      <c r="CV15" s="875"/>
      <c r="CW15" s="875"/>
      <c r="CX15" s="875"/>
      <c r="CY15" s="875"/>
      <c r="CZ15" s="875"/>
      <c r="DA15" s="875"/>
      <c r="DB15" s="875"/>
      <c r="DC15" s="875"/>
      <c r="DD15" s="875"/>
      <c r="DE15" s="875"/>
      <c r="DF15" s="875"/>
      <c r="DG15" s="875"/>
      <c r="DH15" s="875"/>
      <c r="DI15" s="875"/>
      <c r="DJ15" s="875"/>
      <c r="DK15" s="875"/>
      <c r="DL15" s="875"/>
      <c r="DM15" s="875"/>
      <c r="DN15" s="875"/>
      <c r="DO15" s="1304"/>
      <c r="DP15" s="1304"/>
      <c r="DQ15" s="875"/>
      <c r="DR15" s="875"/>
      <c r="DS15" s="875"/>
      <c r="DU15" s="875"/>
      <c r="DV15" s="875"/>
      <c r="DW15" s="875"/>
      <c r="DX15" s="875"/>
      <c r="DY15" s="875"/>
      <c r="DZ15" s="875"/>
      <c r="EA15" s="875"/>
      <c r="EB15" s="875"/>
      <c r="EC15" s="875"/>
      <c r="ED15" s="875"/>
      <c r="EE15" s="875"/>
      <c r="EF15" s="875"/>
      <c r="EG15" s="875"/>
      <c r="EH15" s="875"/>
      <c r="EI15" s="875"/>
      <c r="EJ15" s="875"/>
      <c r="EK15" s="875"/>
      <c r="EL15" s="875"/>
      <c r="EM15" s="875"/>
      <c r="EN15" s="875"/>
      <c r="EO15" s="875"/>
      <c r="EP15" s="875"/>
      <c r="EQ15" s="875"/>
      <c r="ER15" s="875"/>
      <c r="ES15" s="875"/>
      <c r="ET15" s="875"/>
      <c r="EU15" s="1931"/>
    </row>
    <row r="16" spans="1:151" ht="21">
      <c r="A16" s="1928" t="s">
        <v>1955</v>
      </c>
      <c r="B16" s="839">
        <v>900.60585729000013</v>
      </c>
      <c r="C16" s="839">
        <v>950.57219040999985</v>
      </c>
      <c r="D16" s="839">
        <v>996.88648498999987</v>
      </c>
      <c r="E16" s="839">
        <v>1019.9999033800001</v>
      </c>
      <c r="F16" s="839">
        <v>1056.58259172</v>
      </c>
      <c r="G16" s="839">
        <v>1065.4933399699999</v>
      </c>
      <c r="H16" s="839">
        <v>1111.6408226399999</v>
      </c>
      <c r="I16" s="839">
        <v>1136.14903099</v>
      </c>
      <c r="J16" s="839">
        <v>1143.6819962499999</v>
      </c>
      <c r="K16" s="839">
        <v>1161.5112751700001</v>
      </c>
      <c r="L16" s="839">
        <v>1193.3673344699998</v>
      </c>
      <c r="M16" s="840">
        <v>1197.2686757699998</v>
      </c>
      <c r="N16" s="840">
        <v>1211.98588965</v>
      </c>
      <c r="O16" s="840">
        <v>1207.63733701</v>
      </c>
      <c r="P16" s="840">
        <v>1214.0799898999999</v>
      </c>
      <c r="Q16" s="840">
        <v>1216.4959126199999</v>
      </c>
      <c r="R16" s="840">
        <v>1215.3632283300001</v>
      </c>
      <c r="S16" s="840">
        <v>1219.2263878199999</v>
      </c>
      <c r="T16" s="840">
        <v>1240.9546323099999</v>
      </c>
      <c r="U16" s="840">
        <v>1233.9687647400001</v>
      </c>
      <c r="V16" s="840">
        <v>1261.43159197</v>
      </c>
      <c r="W16" s="840">
        <v>1351.8882853300001</v>
      </c>
      <c r="X16" s="840">
        <v>1330.6987049299996</v>
      </c>
      <c r="Y16" s="840">
        <v>1385.0197001899999</v>
      </c>
      <c r="Z16" s="840">
        <v>1311.0651004399999</v>
      </c>
      <c r="AA16" s="840">
        <v>1425.4692462</v>
      </c>
      <c r="AB16" s="840">
        <v>1399.8752783299999</v>
      </c>
      <c r="AC16" s="840">
        <v>1351.86210308</v>
      </c>
      <c r="AD16" s="840">
        <v>1298.47358366</v>
      </c>
      <c r="AE16" s="840">
        <v>1269.33684449</v>
      </c>
      <c r="AF16" s="840">
        <v>1239.51924272</v>
      </c>
      <c r="AG16" s="840">
        <v>1230.4760736800001</v>
      </c>
      <c r="AH16" s="840">
        <v>1224.8822823800001</v>
      </c>
      <c r="AI16" s="840">
        <v>1224.3304192000001</v>
      </c>
      <c r="AJ16" s="840">
        <v>1224.72476719</v>
      </c>
      <c r="AK16" s="840">
        <v>1378.28589246</v>
      </c>
      <c r="AL16" s="840">
        <v>1303.85585406</v>
      </c>
      <c r="AM16" s="840">
        <v>1175.80363145</v>
      </c>
      <c r="AN16" s="840">
        <v>1121.45123601</v>
      </c>
      <c r="AO16" s="840">
        <v>1023.35903047</v>
      </c>
      <c r="AP16" s="840">
        <v>971.12926259000005</v>
      </c>
      <c r="AQ16" s="840">
        <v>966.63641978999988</v>
      </c>
      <c r="AR16" s="840">
        <v>928.42608434999988</v>
      </c>
      <c r="AS16" s="840">
        <v>947.20206422999991</v>
      </c>
      <c r="AT16" s="840">
        <v>948.41009122999992</v>
      </c>
      <c r="AU16" s="840">
        <v>931.91115173999992</v>
      </c>
      <c r="AV16" s="840">
        <v>956.51083137000012</v>
      </c>
      <c r="AW16" s="840">
        <v>927.1332988600002</v>
      </c>
      <c r="AX16" s="840">
        <v>927.58185118000017</v>
      </c>
      <c r="AY16" s="840">
        <v>853.2964447899999</v>
      </c>
      <c r="AZ16" s="840">
        <v>819.37947613000006</v>
      </c>
      <c r="BA16" s="840">
        <v>786.26425278000011</v>
      </c>
      <c r="BB16" s="840">
        <v>778.8260818199999</v>
      </c>
      <c r="BC16" s="840">
        <v>774.13354226000001</v>
      </c>
      <c r="BD16" s="840">
        <v>738.80413793999992</v>
      </c>
      <c r="BE16" s="840">
        <v>727.41019257999994</v>
      </c>
      <c r="BF16" s="840">
        <v>730.70115837000003</v>
      </c>
      <c r="BG16" s="841">
        <v>590.24756845999991</v>
      </c>
      <c r="BH16" s="879">
        <v>582.04044521000014</v>
      </c>
      <c r="BI16" s="874">
        <v>543.30810801999996</v>
      </c>
      <c r="BJ16" s="874">
        <v>550.75529954000001</v>
      </c>
      <c r="BK16" s="874">
        <v>557.33276310999997</v>
      </c>
      <c r="BL16" s="874">
        <v>591.15895278000005</v>
      </c>
      <c r="BM16" s="874">
        <v>619.11887791999993</v>
      </c>
      <c r="BN16" s="874">
        <v>653.56950983000002</v>
      </c>
      <c r="BO16" s="874">
        <v>656.55613108000011</v>
      </c>
      <c r="BP16" s="874">
        <v>679.97903689999998</v>
      </c>
      <c r="BQ16" s="874">
        <v>723.75890384999991</v>
      </c>
      <c r="BR16" s="874">
        <v>745.79158969000014</v>
      </c>
      <c r="BS16" s="874">
        <v>768.90804795999998</v>
      </c>
      <c r="BT16" s="874">
        <v>893.22626745000002</v>
      </c>
      <c r="BU16" s="874">
        <v>811.36751290000007</v>
      </c>
      <c r="BV16" s="874">
        <v>819.18702222999991</v>
      </c>
      <c r="BW16" s="874">
        <v>838.24865369999998</v>
      </c>
      <c r="BX16" s="874">
        <v>856.02496470000006</v>
      </c>
      <c r="BY16" s="874">
        <v>856.65193785999986</v>
      </c>
      <c r="BZ16" s="874">
        <v>877.4790348800002</v>
      </c>
      <c r="CA16" s="874">
        <v>873.94398125999999</v>
      </c>
      <c r="CB16" s="874">
        <v>878.39827879999984</v>
      </c>
      <c r="CC16" s="874">
        <v>910.97332156000004</v>
      </c>
      <c r="CD16" s="874">
        <v>953.58534950000012</v>
      </c>
      <c r="CE16" s="874">
        <v>962.07433335999997</v>
      </c>
      <c r="CF16" s="874">
        <v>1229.7827718500002</v>
      </c>
      <c r="CG16" s="874">
        <v>1245.7138055</v>
      </c>
      <c r="CH16" s="874">
        <v>1252.339164</v>
      </c>
      <c r="CI16" s="874">
        <v>1240.2199248000002</v>
      </c>
      <c r="CJ16" s="874">
        <v>1090.3233226799998</v>
      </c>
      <c r="CK16" s="874">
        <v>1033.68304902</v>
      </c>
      <c r="CL16" s="874">
        <v>1021.0171224699999</v>
      </c>
      <c r="CM16" s="874">
        <v>983.69759620999992</v>
      </c>
      <c r="CN16" s="874">
        <v>964.8480044800001</v>
      </c>
      <c r="CO16" s="874">
        <v>977.73233870000001</v>
      </c>
      <c r="CP16" s="874">
        <v>996.19034121999994</v>
      </c>
      <c r="CQ16" s="874">
        <v>986.76210618999994</v>
      </c>
      <c r="CR16" s="874">
        <v>987.15488375999996</v>
      </c>
      <c r="CS16" s="874">
        <v>979.85564850000003</v>
      </c>
      <c r="CT16" s="874">
        <v>1070.6237539799999</v>
      </c>
      <c r="CU16" s="874">
        <v>990.48333212</v>
      </c>
      <c r="CV16" s="874">
        <v>1011.08760856</v>
      </c>
      <c r="CW16" s="874">
        <v>1026.6856471599999</v>
      </c>
      <c r="CX16" s="874">
        <v>1046.1485375499999</v>
      </c>
      <c r="CY16" s="874">
        <v>1063.8948554799999</v>
      </c>
      <c r="CZ16" s="874">
        <v>1085.64384124</v>
      </c>
      <c r="DA16" s="874">
        <v>1121.09482424</v>
      </c>
      <c r="DB16" s="874">
        <v>1153.28905764</v>
      </c>
      <c r="DC16" s="874">
        <v>1178.6006223100001</v>
      </c>
      <c r="DD16" s="874">
        <v>1192.1786739900001</v>
      </c>
      <c r="DE16" s="874">
        <v>1210.3452948300001</v>
      </c>
      <c r="DF16" s="874">
        <v>1237.44017336</v>
      </c>
      <c r="DG16" s="874">
        <v>1236.7436855999999</v>
      </c>
      <c r="DH16" s="874">
        <v>1169.16633454</v>
      </c>
      <c r="DI16" s="874">
        <v>1157.51785397</v>
      </c>
      <c r="DJ16" s="874">
        <v>1184.9242915299999</v>
      </c>
      <c r="DK16" s="874">
        <v>1201.8656761499999</v>
      </c>
      <c r="DL16" s="874">
        <v>1238.8237559300001</v>
      </c>
      <c r="DM16" s="874">
        <v>1258.5100226100001</v>
      </c>
      <c r="DN16" s="874">
        <v>1333.5797947000001</v>
      </c>
      <c r="DO16" s="874">
        <v>1344.8701734599999</v>
      </c>
      <c r="DP16" s="874">
        <v>1347.5477421200001</v>
      </c>
      <c r="DQ16" s="874">
        <v>1236.62546101</v>
      </c>
      <c r="DR16" s="874">
        <v>1254.11241131</v>
      </c>
      <c r="DS16" s="874">
        <v>1250.3295038399999</v>
      </c>
      <c r="DT16" s="874">
        <v>1256.7764737800001</v>
      </c>
      <c r="DU16" s="874">
        <v>1285.3631535699999</v>
      </c>
      <c r="DV16" s="874">
        <v>1318.90314397</v>
      </c>
      <c r="DW16" s="874">
        <v>1329.3988748700001</v>
      </c>
      <c r="DX16" s="874">
        <v>1397.96991142</v>
      </c>
      <c r="DY16" s="874">
        <v>1425.44792975</v>
      </c>
      <c r="DZ16" s="874">
        <v>1493.681644</v>
      </c>
      <c r="EA16" s="874">
        <v>1510.20216026</v>
      </c>
      <c r="EB16" s="874">
        <v>1573.8528462199999</v>
      </c>
      <c r="EC16" s="874">
        <v>1595.82888729</v>
      </c>
      <c r="ED16" s="874">
        <v>1600.4926245199999</v>
      </c>
      <c r="EE16" s="874">
        <v>1609.7222822000001</v>
      </c>
      <c r="EF16" s="874">
        <v>1621.23223654</v>
      </c>
      <c r="EG16" s="874">
        <v>1659.28359656</v>
      </c>
      <c r="EH16" s="874">
        <v>1658.05116976</v>
      </c>
      <c r="EI16" s="874">
        <v>1698.42767228</v>
      </c>
      <c r="EJ16" s="874">
        <v>1696.19189351</v>
      </c>
      <c r="EK16" s="874">
        <v>1744.355374</v>
      </c>
      <c r="EL16" s="874">
        <v>1809.1021795700001</v>
      </c>
      <c r="EM16" s="874">
        <v>1829.6177983600001</v>
      </c>
      <c r="EN16" s="874">
        <v>1911.3263044099999</v>
      </c>
      <c r="EO16" s="874">
        <v>1926.32804962</v>
      </c>
      <c r="EP16" s="874">
        <v>1981.1143603</v>
      </c>
      <c r="EQ16" s="874">
        <v>1919.4939857500001</v>
      </c>
      <c r="ER16" s="874">
        <v>1969.5034176900001</v>
      </c>
      <c r="ES16" s="874">
        <v>1971.50816005</v>
      </c>
      <c r="ET16" s="874">
        <v>2005.87903011</v>
      </c>
      <c r="EU16" s="1928" t="s">
        <v>4083</v>
      </c>
    </row>
    <row r="17" spans="1:151" ht="21">
      <c r="A17" s="1929" t="s">
        <v>1954</v>
      </c>
      <c r="B17" s="842">
        <v>203.66571327</v>
      </c>
      <c r="C17" s="842">
        <v>218.70473271999998</v>
      </c>
      <c r="D17" s="842">
        <v>238.41179708999999</v>
      </c>
      <c r="E17" s="842">
        <v>243.85885109000003</v>
      </c>
      <c r="F17" s="842">
        <v>265.22080545</v>
      </c>
      <c r="G17" s="842">
        <v>274.97615418999999</v>
      </c>
      <c r="H17" s="842">
        <v>290.78014209000003</v>
      </c>
      <c r="I17" s="842">
        <v>312.04198859999997</v>
      </c>
      <c r="J17" s="842">
        <v>330.92117612999999</v>
      </c>
      <c r="K17" s="842">
        <v>348.84465638</v>
      </c>
      <c r="L17" s="842">
        <v>364.29915122</v>
      </c>
      <c r="M17" s="843">
        <v>392.48039172999995</v>
      </c>
      <c r="N17" s="843">
        <v>411.19484534000003</v>
      </c>
      <c r="O17" s="843">
        <v>420.94927804000008</v>
      </c>
      <c r="P17" s="843">
        <v>443.73007379000001</v>
      </c>
      <c r="Q17" s="843">
        <v>450.10162295999999</v>
      </c>
      <c r="R17" s="843">
        <v>464.61253657000003</v>
      </c>
      <c r="S17" s="843">
        <v>475.11422660000005</v>
      </c>
      <c r="T17" s="843">
        <v>497.92256012999997</v>
      </c>
      <c r="U17" s="843">
        <v>503.63258666000002</v>
      </c>
      <c r="V17" s="843">
        <v>523.30241130000013</v>
      </c>
      <c r="W17" s="843">
        <v>553.70656314000007</v>
      </c>
      <c r="X17" s="843">
        <v>557.27342995000004</v>
      </c>
      <c r="Y17" s="843">
        <v>591.20049481000001</v>
      </c>
      <c r="Z17" s="843">
        <v>615.73123925999994</v>
      </c>
      <c r="AA17" s="843">
        <v>670.19783125000004</v>
      </c>
      <c r="AB17" s="843">
        <v>669.15657996999994</v>
      </c>
      <c r="AC17" s="843">
        <v>647.63511814000003</v>
      </c>
      <c r="AD17" s="843">
        <v>636.56983934999994</v>
      </c>
      <c r="AE17" s="843">
        <v>626.44542064999996</v>
      </c>
      <c r="AF17" s="843">
        <v>616.48543055999994</v>
      </c>
      <c r="AG17" s="843">
        <v>614.87086547000001</v>
      </c>
      <c r="AH17" s="843">
        <v>610.4003544599999</v>
      </c>
      <c r="AI17" s="843">
        <v>599.49424133000002</v>
      </c>
      <c r="AJ17" s="843">
        <v>602.61007252999991</v>
      </c>
      <c r="AK17" s="843">
        <v>683.13054933000001</v>
      </c>
      <c r="AL17" s="843">
        <v>650.20757859000014</v>
      </c>
      <c r="AM17" s="843">
        <v>610.98112474000004</v>
      </c>
      <c r="AN17" s="843">
        <v>595.00252260999991</v>
      </c>
      <c r="AO17" s="843">
        <v>566.91191372000003</v>
      </c>
      <c r="AP17" s="843">
        <v>543.37772720999999</v>
      </c>
      <c r="AQ17" s="843">
        <v>541.48607903999994</v>
      </c>
      <c r="AR17" s="843">
        <v>527.67737364999994</v>
      </c>
      <c r="AS17" s="843">
        <v>529.19190574999993</v>
      </c>
      <c r="AT17" s="843">
        <v>516.8582217500001</v>
      </c>
      <c r="AU17" s="843">
        <v>501.91066069999999</v>
      </c>
      <c r="AV17" s="843">
        <v>504.19568146000006</v>
      </c>
      <c r="AW17" s="843">
        <v>493.13278719000004</v>
      </c>
      <c r="AX17" s="843">
        <v>504.47701625000002</v>
      </c>
      <c r="AY17" s="843">
        <v>474.09742122</v>
      </c>
      <c r="AZ17" s="843">
        <v>461.26190164999997</v>
      </c>
      <c r="BA17" s="843">
        <v>451.38372360000005</v>
      </c>
      <c r="BB17" s="843">
        <v>446.29563153999993</v>
      </c>
      <c r="BC17" s="843">
        <v>435.14592921000002</v>
      </c>
      <c r="BD17" s="843">
        <v>425.53991751000001</v>
      </c>
      <c r="BE17" s="843">
        <v>423.71609115000001</v>
      </c>
      <c r="BF17" s="843">
        <v>421.43521714999997</v>
      </c>
      <c r="BG17" s="844">
        <v>290.96891877999997</v>
      </c>
      <c r="BH17" s="880">
        <v>282.34570082000005</v>
      </c>
      <c r="BI17" s="875">
        <v>250.62210306</v>
      </c>
      <c r="BJ17" s="875">
        <v>257.14003023999999</v>
      </c>
      <c r="BK17" s="875">
        <v>259.72412456000001</v>
      </c>
      <c r="BL17" s="875">
        <v>271.40057364</v>
      </c>
      <c r="BM17" s="875">
        <v>284.91728982000001</v>
      </c>
      <c r="BN17" s="875">
        <v>298.62170628000001</v>
      </c>
      <c r="BO17" s="875">
        <v>304.15185147</v>
      </c>
      <c r="BP17" s="875">
        <v>319.16409217</v>
      </c>
      <c r="BQ17" s="875">
        <v>341.07483401999997</v>
      </c>
      <c r="BR17" s="875">
        <v>356.43424820000001</v>
      </c>
      <c r="BS17" s="875">
        <v>372.25026803999998</v>
      </c>
      <c r="BT17" s="875">
        <v>390.6231808</v>
      </c>
      <c r="BU17" s="875">
        <v>406.96781119000002</v>
      </c>
      <c r="BV17" s="875">
        <v>419.91047923999997</v>
      </c>
      <c r="BW17" s="875">
        <v>427.04040964999996</v>
      </c>
      <c r="BX17" s="875">
        <v>443.44451572000003</v>
      </c>
      <c r="BY17" s="875">
        <v>453.47729146999995</v>
      </c>
      <c r="BZ17" s="875">
        <v>461.12672806</v>
      </c>
      <c r="CA17" s="875">
        <v>463.17394149999996</v>
      </c>
      <c r="CB17" s="875">
        <v>461.59540937999998</v>
      </c>
      <c r="CC17" s="875">
        <v>474.08514445999998</v>
      </c>
      <c r="CD17" s="875">
        <v>485.27372124999999</v>
      </c>
      <c r="CE17" s="875">
        <v>491.48702281999999</v>
      </c>
      <c r="CF17" s="875">
        <v>507.71564654000008</v>
      </c>
      <c r="CG17" s="875">
        <v>518.95443244000001</v>
      </c>
      <c r="CH17" s="875">
        <v>537.31855610000002</v>
      </c>
      <c r="CI17" s="875">
        <v>539.11662103999993</v>
      </c>
      <c r="CJ17" s="875">
        <v>559.72783935999985</v>
      </c>
      <c r="CK17" s="875">
        <v>543.07001586999991</v>
      </c>
      <c r="CL17" s="875">
        <v>549.38760528</v>
      </c>
      <c r="CM17" s="875">
        <v>557.16447228999994</v>
      </c>
      <c r="CN17" s="875">
        <v>544.86354373000006</v>
      </c>
      <c r="CO17" s="875">
        <v>558.49873916999991</v>
      </c>
      <c r="CP17" s="875">
        <v>575.42596328999991</v>
      </c>
      <c r="CQ17" s="875">
        <v>569.16923495000003</v>
      </c>
      <c r="CR17" s="875">
        <v>576.50752728999987</v>
      </c>
      <c r="CS17" s="875">
        <v>563.62845802000004</v>
      </c>
      <c r="CT17" s="875">
        <v>568.69446108</v>
      </c>
      <c r="CU17" s="875">
        <v>574.44495085000005</v>
      </c>
      <c r="CV17" s="875">
        <v>591.81350957999996</v>
      </c>
      <c r="CW17" s="875">
        <v>590.48644849000004</v>
      </c>
      <c r="CX17" s="875">
        <v>606.50917583</v>
      </c>
      <c r="CY17" s="875">
        <v>625.54050872000005</v>
      </c>
      <c r="CZ17" s="875">
        <v>640.74230924999995</v>
      </c>
      <c r="DA17" s="875">
        <v>662.15613992999999</v>
      </c>
      <c r="DB17" s="875">
        <v>684.94513697000002</v>
      </c>
      <c r="DC17" s="875">
        <v>700.65092701000003</v>
      </c>
      <c r="DD17" s="875">
        <v>736.95427557999994</v>
      </c>
      <c r="DE17" s="875">
        <v>739.10232041999996</v>
      </c>
      <c r="DF17" s="875">
        <v>769.89369518000001</v>
      </c>
      <c r="DG17" s="875">
        <v>758.47734047999995</v>
      </c>
      <c r="DH17" s="875">
        <v>793.02372937999996</v>
      </c>
      <c r="DI17" s="875">
        <v>777.45113690999995</v>
      </c>
      <c r="DJ17" s="875">
        <v>800.07933630000002</v>
      </c>
      <c r="DK17" s="875">
        <v>819.51974065000002</v>
      </c>
      <c r="DL17" s="875">
        <v>822.13604544999998</v>
      </c>
      <c r="DM17" s="875">
        <v>837.00039572000003</v>
      </c>
      <c r="DN17" s="875">
        <v>839.85242621999998</v>
      </c>
      <c r="DO17" s="875">
        <v>849.17063056999996</v>
      </c>
      <c r="DP17" s="875">
        <v>856.66520227000001</v>
      </c>
      <c r="DQ17" s="875">
        <v>837.07543962</v>
      </c>
      <c r="DR17" s="875">
        <v>859.17244278999999</v>
      </c>
      <c r="DS17" s="875">
        <v>850.62589598</v>
      </c>
      <c r="DT17" s="875">
        <v>865.17419215999996</v>
      </c>
      <c r="DU17" s="875">
        <v>870.47928583999999</v>
      </c>
      <c r="DV17" s="875">
        <v>898.96788346999995</v>
      </c>
      <c r="DW17" s="875">
        <v>907.47950351999998</v>
      </c>
      <c r="DX17" s="875">
        <v>949.19194112000002</v>
      </c>
      <c r="DY17" s="875">
        <v>979.87915396999995</v>
      </c>
      <c r="DZ17" s="875">
        <v>1019.7168133500001</v>
      </c>
      <c r="EA17" s="875">
        <v>1054.7945529900001</v>
      </c>
      <c r="EB17" s="875">
        <v>1113.6033006</v>
      </c>
      <c r="EC17" s="875">
        <v>1125.4956545699999</v>
      </c>
      <c r="ED17" s="875">
        <v>1163.33784029</v>
      </c>
      <c r="EE17" s="875">
        <v>1169.6381535</v>
      </c>
      <c r="EF17" s="875">
        <v>1197.05751543</v>
      </c>
      <c r="EG17" s="875">
        <v>1229.5244011100001</v>
      </c>
      <c r="EH17" s="875">
        <v>1224.6621162900001</v>
      </c>
      <c r="EI17" s="875">
        <v>1244.9837131199999</v>
      </c>
      <c r="EJ17" s="875">
        <v>1246.71875445</v>
      </c>
      <c r="EK17" s="875">
        <v>1273.8810731799999</v>
      </c>
      <c r="EL17" s="875">
        <v>1314.0189716499999</v>
      </c>
      <c r="EM17" s="875">
        <v>1327.6926271899999</v>
      </c>
      <c r="EN17" s="875">
        <v>1366.2798097299999</v>
      </c>
      <c r="EO17" s="875">
        <v>1346.73553866</v>
      </c>
      <c r="EP17" s="875">
        <v>1391.7176406799999</v>
      </c>
      <c r="EQ17" s="875">
        <v>1362.31711597</v>
      </c>
      <c r="ER17" s="875">
        <v>1396.2383687900001</v>
      </c>
      <c r="ES17" s="875">
        <v>1394.11676164</v>
      </c>
      <c r="ET17" s="875">
        <v>1419.27102298</v>
      </c>
      <c r="EU17" s="1934" t="s">
        <v>4090</v>
      </c>
    </row>
    <row r="18" spans="1:151" ht="21">
      <c r="A18" s="1930" t="s">
        <v>189</v>
      </c>
      <c r="B18" s="839">
        <v>609.98843933000001</v>
      </c>
      <c r="C18" s="839">
        <v>656.49909121999997</v>
      </c>
      <c r="D18" s="839">
        <v>701.92516712999998</v>
      </c>
      <c r="E18" s="839">
        <v>731.44125720000011</v>
      </c>
      <c r="F18" s="839">
        <v>760.48448848999999</v>
      </c>
      <c r="G18" s="839">
        <v>770.39997973000004</v>
      </c>
      <c r="H18" s="839">
        <v>805.61746755999991</v>
      </c>
      <c r="I18" s="839">
        <v>829.10918615999992</v>
      </c>
      <c r="J18" s="839">
        <v>835.82118426999989</v>
      </c>
      <c r="K18" s="839">
        <v>857.87827353000011</v>
      </c>
      <c r="L18" s="839">
        <v>888.63796394999986</v>
      </c>
      <c r="M18" s="840">
        <v>888.12996307000003</v>
      </c>
      <c r="N18" s="840">
        <v>904.16322344999992</v>
      </c>
      <c r="O18" s="840">
        <v>895.12180990999991</v>
      </c>
      <c r="P18" s="840">
        <v>904.80045456999994</v>
      </c>
      <c r="Q18" s="840">
        <v>905.24252146999982</v>
      </c>
      <c r="R18" s="840">
        <v>901.09880698000006</v>
      </c>
      <c r="S18" s="840">
        <v>900.24967968999999</v>
      </c>
      <c r="T18" s="840">
        <v>915.09319684000002</v>
      </c>
      <c r="U18" s="840">
        <v>912.95840167000006</v>
      </c>
      <c r="V18" s="840">
        <v>942.92982947999997</v>
      </c>
      <c r="W18" s="840">
        <v>1016.9287079800001</v>
      </c>
      <c r="X18" s="840">
        <v>997.2352578399998</v>
      </c>
      <c r="Y18" s="840">
        <v>977.98140193999996</v>
      </c>
      <c r="Z18" s="840">
        <v>968.88357872999995</v>
      </c>
      <c r="AA18" s="840">
        <v>965.98321618</v>
      </c>
      <c r="AB18" s="840">
        <v>945.55585615999996</v>
      </c>
      <c r="AC18" s="840">
        <v>897.77618342000005</v>
      </c>
      <c r="AD18" s="840">
        <v>841.56811607000009</v>
      </c>
      <c r="AE18" s="840">
        <v>803.36280742999998</v>
      </c>
      <c r="AF18" s="840">
        <v>772.35495680999998</v>
      </c>
      <c r="AG18" s="840">
        <v>791.52401495000004</v>
      </c>
      <c r="AH18" s="840">
        <v>787.25923029</v>
      </c>
      <c r="AI18" s="840">
        <v>783.74404987999992</v>
      </c>
      <c r="AJ18" s="840">
        <v>784.94925456999999</v>
      </c>
      <c r="AK18" s="840">
        <v>751.65466551999998</v>
      </c>
      <c r="AL18" s="840">
        <v>711.14529013000003</v>
      </c>
      <c r="AM18" s="840">
        <v>655.56222794999985</v>
      </c>
      <c r="AN18" s="840">
        <v>634.49537610000004</v>
      </c>
      <c r="AO18" s="840">
        <v>592.76317563999999</v>
      </c>
      <c r="AP18" s="840">
        <v>569.01163725999993</v>
      </c>
      <c r="AQ18" s="840">
        <v>569.31059256999993</v>
      </c>
      <c r="AR18" s="840">
        <v>536.32840003999991</v>
      </c>
      <c r="AS18" s="840">
        <v>549.27154977999987</v>
      </c>
      <c r="AT18" s="840">
        <v>567.66931407999994</v>
      </c>
      <c r="AU18" s="840">
        <v>562.34147214999996</v>
      </c>
      <c r="AV18" s="840">
        <v>565.88238289000014</v>
      </c>
      <c r="AW18" s="840">
        <v>539.54233646000012</v>
      </c>
      <c r="AX18" s="840">
        <v>541.8727236200001</v>
      </c>
      <c r="AY18" s="840">
        <v>518.64094012999988</v>
      </c>
      <c r="AZ18" s="840">
        <v>505.94148887999995</v>
      </c>
      <c r="BA18" s="840">
        <v>487.23929886000002</v>
      </c>
      <c r="BB18" s="840">
        <v>475.84873889999994</v>
      </c>
      <c r="BC18" s="840">
        <v>469.91294165000005</v>
      </c>
      <c r="BD18" s="840">
        <v>450.04298356999993</v>
      </c>
      <c r="BE18" s="840">
        <v>438.61807252999995</v>
      </c>
      <c r="BF18" s="840">
        <v>436.71122155</v>
      </c>
      <c r="BG18" s="841">
        <v>424.28998446999998</v>
      </c>
      <c r="BH18" s="879">
        <v>421.63518451000004</v>
      </c>
      <c r="BI18" s="874">
        <v>418.85624995000001</v>
      </c>
      <c r="BJ18" s="874">
        <v>421.45611431000003</v>
      </c>
      <c r="BK18" s="874">
        <v>430.35341854000001</v>
      </c>
      <c r="BL18" s="874">
        <v>438.67542004000001</v>
      </c>
      <c r="BM18" s="874">
        <v>466.66641277999997</v>
      </c>
      <c r="BN18" s="874">
        <v>492.80811220000004</v>
      </c>
      <c r="BO18" s="874">
        <v>519.90613167000004</v>
      </c>
      <c r="BP18" s="874">
        <v>539.81792658999996</v>
      </c>
      <c r="BQ18" s="874">
        <v>581.98641012999997</v>
      </c>
      <c r="BR18" s="874">
        <v>606.8003140400001</v>
      </c>
      <c r="BS18" s="874">
        <v>631.44229213999995</v>
      </c>
      <c r="BT18" s="874">
        <v>753.18105435999996</v>
      </c>
      <c r="BU18" s="874">
        <v>672.37315248000004</v>
      </c>
      <c r="BV18" s="874">
        <v>684.85038641999995</v>
      </c>
      <c r="BW18" s="874">
        <v>699.43741843999999</v>
      </c>
      <c r="BX18" s="874">
        <v>716.43170017000011</v>
      </c>
      <c r="BY18" s="874">
        <v>718.00917579999987</v>
      </c>
      <c r="BZ18" s="874">
        <v>726.14553650000016</v>
      </c>
      <c r="CA18" s="874">
        <v>721.18303600000002</v>
      </c>
      <c r="CB18" s="874">
        <v>732.49618717999988</v>
      </c>
      <c r="CC18" s="874">
        <v>759.52979725</v>
      </c>
      <c r="CD18" s="874">
        <v>786.10046945000011</v>
      </c>
      <c r="CE18" s="874">
        <v>799.54609864999998</v>
      </c>
      <c r="CF18" s="874">
        <v>814.48292012000013</v>
      </c>
      <c r="CG18" s="874">
        <v>840.34779018999996</v>
      </c>
      <c r="CH18" s="874">
        <v>851.04530885999986</v>
      </c>
      <c r="CI18" s="874">
        <v>843.63151432000006</v>
      </c>
      <c r="CJ18" s="874">
        <v>866.42355911999982</v>
      </c>
      <c r="CK18" s="874">
        <v>816.60505552999996</v>
      </c>
      <c r="CL18" s="874">
        <v>801.06182613999988</v>
      </c>
      <c r="CM18" s="874">
        <v>791.14280289999988</v>
      </c>
      <c r="CN18" s="874">
        <v>767.58009878000007</v>
      </c>
      <c r="CO18" s="874">
        <v>777.64792884999997</v>
      </c>
      <c r="CP18" s="874">
        <v>804.74775201999989</v>
      </c>
      <c r="CQ18" s="874">
        <v>796.14798833999998</v>
      </c>
      <c r="CR18" s="874">
        <v>800.60930597999993</v>
      </c>
      <c r="CS18" s="874">
        <v>792.62490864000006</v>
      </c>
      <c r="CT18" s="874">
        <v>802.99152891999995</v>
      </c>
      <c r="CU18" s="874">
        <v>815.78543519000004</v>
      </c>
      <c r="CV18" s="874">
        <v>836.80092327</v>
      </c>
      <c r="CW18" s="874">
        <v>845.87102186000004</v>
      </c>
      <c r="CX18" s="874">
        <v>863.39912361999995</v>
      </c>
      <c r="CY18" s="874">
        <v>885.28534869999999</v>
      </c>
      <c r="CZ18" s="874">
        <v>906.30949879000002</v>
      </c>
      <c r="DA18" s="874">
        <v>931.00928870999996</v>
      </c>
      <c r="DB18" s="874">
        <v>964.71036547999995</v>
      </c>
      <c r="DC18" s="874">
        <v>990.70441163999999</v>
      </c>
      <c r="DD18" s="874">
        <v>1022.58226715</v>
      </c>
      <c r="DE18" s="874">
        <v>1042.9495256</v>
      </c>
      <c r="DF18" s="874">
        <v>1070.7539405299999</v>
      </c>
      <c r="DG18" s="874">
        <v>1067.53859016</v>
      </c>
      <c r="DH18" s="874">
        <v>1095.0130248999999</v>
      </c>
      <c r="DI18" s="874">
        <v>1099.44437343</v>
      </c>
      <c r="DJ18" s="874">
        <v>1123.52381919</v>
      </c>
      <c r="DK18" s="874">
        <v>1144.0622717199999</v>
      </c>
      <c r="DL18" s="874">
        <v>1141.6269637299999</v>
      </c>
      <c r="DM18" s="874">
        <v>1155.91317908</v>
      </c>
      <c r="DN18" s="874">
        <v>1161.2330764000001</v>
      </c>
      <c r="DO18" s="874">
        <v>1166.94683826</v>
      </c>
      <c r="DP18" s="874">
        <v>1175.27724932</v>
      </c>
      <c r="DQ18" s="874">
        <v>1175.9490978199999</v>
      </c>
      <c r="DR18" s="874">
        <v>1194.96634853</v>
      </c>
      <c r="DS18" s="874">
        <v>1189.6569112300001</v>
      </c>
      <c r="DT18" s="874">
        <v>1202.26653173</v>
      </c>
      <c r="DU18" s="874">
        <v>1229.29056461</v>
      </c>
      <c r="DV18" s="874">
        <v>1259.3398829800001</v>
      </c>
      <c r="DW18" s="874">
        <v>1273.3482454800001</v>
      </c>
      <c r="DX18" s="874">
        <v>1344.5107129099999</v>
      </c>
      <c r="DY18" s="874">
        <v>1367.95508331</v>
      </c>
      <c r="DZ18" s="874">
        <v>1417.17217626</v>
      </c>
      <c r="EA18" s="874">
        <v>1445.6641120100001</v>
      </c>
      <c r="EB18" s="874">
        <v>1507.1422811899999</v>
      </c>
      <c r="EC18" s="874">
        <v>1525.8745198500001</v>
      </c>
      <c r="ED18" s="874">
        <v>1542.34921196</v>
      </c>
      <c r="EE18" s="874">
        <v>1552.2877883900001</v>
      </c>
      <c r="EF18" s="874">
        <v>1562.5899022000001</v>
      </c>
      <c r="EG18" s="874">
        <v>1601.11784016</v>
      </c>
      <c r="EH18" s="874">
        <v>1605.0098743599999</v>
      </c>
      <c r="EI18" s="874">
        <v>1626.3293089199999</v>
      </c>
      <c r="EJ18" s="874">
        <v>1642.58399261</v>
      </c>
      <c r="EK18" s="874">
        <v>1685.1587610300001</v>
      </c>
      <c r="EL18" s="874">
        <v>1739.0453838000001</v>
      </c>
      <c r="EM18" s="874">
        <v>1761.9038205700001</v>
      </c>
      <c r="EN18" s="874">
        <v>1810.44791756</v>
      </c>
      <c r="EO18" s="874">
        <v>1817.77230328</v>
      </c>
      <c r="EP18" s="874">
        <v>1881.07683989</v>
      </c>
      <c r="EQ18" s="874">
        <v>1849.8008299799999</v>
      </c>
      <c r="ER18" s="874">
        <v>1890.08556247</v>
      </c>
      <c r="ES18" s="874">
        <v>1902.0546950600001</v>
      </c>
      <c r="ET18" s="874">
        <v>1937.49436524</v>
      </c>
      <c r="EU18" s="1930" t="s">
        <v>212</v>
      </c>
    </row>
    <row r="19" spans="1:151" ht="21">
      <c r="A19" s="1929" t="s">
        <v>1957</v>
      </c>
      <c r="B19" s="842">
        <v>109.64487560000001</v>
      </c>
      <c r="C19" s="842">
        <v>121.28549662</v>
      </c>
      <c r="D19" s="842">
        <v>135.66314795</v>
      </c>
      <c r="E19" s="842">
        <v>141.56863710000002</v>
      </c>
      <c r="F19" s="842">
        <v>156.02506714</v>
      </c>
      <c r="G19" s="842">
        <v>162.03606468000001</v>
      </c>
      <c r="H19" s="842">
        <v>176.13505711000002</v>
      </c>
      <c r="I19" s="842">
        <v>187.89264433</v>
      </c>
      <c r="J19" s="842">
        <v>207.07547869000001</v>
      </c>
      <c r="K19" s="842">
        <v>223.52145536999998</v>
      </c>
      <c r="L19" s="842">
        <v>237.69682075</v>
      </c>
      <c r="M19" s="843">
        <v>266.55847694999994</v>
      </c>
      <c r="N19" s="843">
        <v>284.77756248000003</v>
      </c>
      <c r="O19" s="843">
        <v>291.72324699000006</v>
      </c>
      <c r="P19" s="843">
        <v>313.46911776000002</v>
      </c>
      <c r="Q19" s="843">
        <v>320.92036603999998</v>
      </c>
      <c r="R19" s="843">
        <v>333.91315064000003</v>
      </c>
      <c r="S19" s="843">
        <v>342.35854540000003</v>
      </c>
      <c r="T19" s="843">
        <v>361.02467277</v>
      </c>
      <c r="U19" s="843">
        <v>370.31658686000003</v>
      </c>
      <c r="V19" s="843">
        <v>391.44351058000007</v>
      </c>
      <c r="W19" s="843">
        <v>419.36403817000001</v>
      </c>
      <c r="X19" s="843">
        <v>424.89191428999999</v>
      </c>
      <c r="Y19" s="843">
        <v>456.41319727000001</v>
      </c>
      <c r="Z19" s="843">
        <v>475.13833523</v>
      </c>
      <c r="AA19" s="843">
        <v>480.00369860000001</v>
      </c>
      <c r="AB19" s="843">
        <v>477.77310023999996</v>
      </c>
      <c r="AC19" s="843">
        <v>460.79964336</v>
      </c>
      <c r="AD19" s="843">
        <v>441.80672083000002</v>
      </c>
      <c r="AE19" s="843">
        <v>425.91516184999995</v>
      </c>
      <c r="AF19" s="843">
        <v>411.47817741</v>
      </c>
      <c r="AG19" s="843">
        <v>412.96434250999999</v>
      </c>
      <c r="AH19" s="843">
        <v>410.68461821999995</v>
      </c>
      <c r="AI19" s="843">
        <v>399.58842679999998</v>
      </c>
      <c r="AJ19" s="843">
        <v>407.29304942999994</v>
      </c>
      <c r="AK19" s="843">
        <v>404.26325948000004</v>
      </c>
      <c r="AL19" s="843">
        <v>391.95312090000004</v>
      </c>
      <c r="AM19" s="843">
        <v>366.47164679999997</v>
      </c>
      <c r="AN19" s="843">
        <v>354.67910459999996</v>
      </c>
      <c r="AO19" s="843">
        <v>340.99744654</v>
      </c>
      <c r="AP19" s="843">
        <v>325.85693526</v>
      </c>
      <c r="AQ19" s="843">
        <v>322.08464553999994</v>
      </c>
      <c r="AR19" s="843">
        <v>312.65499043</v>
      </c>
      <c r="AS19" s="843">
        <v>310.32308602999996</v>
      </c>
      <c r="AT19" s="843">
        <v>305.53172043000006</v>
      </c>
      <c r="AU19" s="843">
        <v>297.05788690999998</v>
      </c>
      <c r="AV19" s="843">
        <v>292.33248001000004</v>
      </c>
      <c r="AW19" s="843">
        <v>280.96224673</v>
      </c>
      <c r="AX19" s="843">
        <v>276.23206454000001</v>
      </c>
      <c r="AY19" s="843">
        <v>269.77204289999997</v>
      </c>
      <c r="AZ19" s="843">
        <v>262.14705157999998</v>
      </c>
      <c r="BA19" s="843">
        <v>255.74866705000002</v>
      </c>
      <c r="BB19" s="843">
        <v>250.17544622999998</v>
      </c>
      <c r="BC19" s="843">
        <v>238.80742617000001</v>
      </c>
      <c r="BD19" s="843">
        <v>229.93546345999997</v>
      </c>
      <c r="BE19" s="843">
        <v>227.69336883</v>
      </c>
      <c r="BF19" s="843">
        <v>227.49107595999999</v>
      </c>
      <c r="BG19" s="844">
        <v>213.45087240999999</v>
      </c>
      <c r="BH19" s="880">
        <v>211.54716649000002</v>
      </c>
      <c r="BI19" s="875">
        <v>212.30604743000001</v>
      </c>
      <c r="BJ19" s="875">
        <v>217.46054226999999</v>
      </c>
      <c r="BK19" s="875">
        <v>221.55877949000001</v>
      </c>
      <c r="BL19" s="875">
        <v>230.55917048999999</v>
      </c>
      <c r="BM19" s="875">
        <v>243.50049168000001</v>
      </c>
      <c r="BN19" s="875">
        <v>256.83249612999998</v>
      </c>
      <c r="BO19" s="875">
        <v>262.89617716999999</v>
      </c>
      <c r="BP19" s="875">
        <v>276.26869103000001</v>
      </c>
      <c r="BQ19" s="875">
        <v>298.41144423999998</v>
      </c>
      <c r="BR19" s="875">
        <v>314.15537383000003</v>
      </c>
      <c r="BS19" s="875">
        <v>330.54489640999998</v>
      </c>
      <c r="BT19" s="875">
        <v>349.15029573999999</v>
      </c>
      <c r="BU19" s="875">
        <v>367.36550402</v>
      </c>
      <c r="BV19" s="875">
        <v>380.88266944999998</v>
      </c>
      <c r="BW19" s="875">
        <v>387.45413451999997</v>
      </c>
      <c r="BX19" s="875">
        <v>402.55189244000002</v>
      </c>
      <c r="BY19" s="875">
        <v>413.61993129999996</v>
      </c>
      <c r="BZ19" s="875">
        <v>422.32227526999998</v>
      </c>
      <c r="CA19" s="875">
        <v>424.13631291999997</v>
      </c>
      <c r="CB19" s="875">
        <v>426.49689622</v>
      </c>
      <c r="CC19" s="875">
        <v>437.78978567999997</v>
      </c>
      <c r="CD19" s="875">
        <v>449.43599799000003</v>
      </c>
      <c r="CE19" s="875">
        <v>456.18842529</v>
      </c>
      <c r="CF19" s="875">
        <v>472.70109507000006</v>
      </c>
      <c r="CG19" s="875">
        <v>490.05561967999995</v>
      </c>
      <c r="CH19" s="875">
        <v>509.25990904999998</v>
      </c>
      <c r="CI19" s="875">
        <v>511.42879412999997</v>
      </c>
      <c r="CJ19" s="875">
        <v>534.2140569799999</v>
      </c>
      <c r="CK19" s="875">
        <v>518.66140538999991</v>
      </c>
      <c r="CL19" s="875">
        <v>527.34694708999996</v>
      </c>
      <c r="CM19" s="875">
        <v>536.13046166999993</v>
      </c>
      <c r="CN19" s="875">
        <v>524.73806994000006</v>
      </c>
      <c r="CO19" s="875">
        <v>538.29577158999996</v>
      </c>
      <c r="CP19" s="875">
        <v>556.97596984999996</v>
      </c>
      <c r="CQ19" s="875">
        <v>552.20359936</v>
      </c>
      <c r="CR19" s="875">
        <v>560.44335084999989</v>
      </c>
      <c r="CS19" s="875">
        <v>549.11371584000005</v>
      </c>
      <c r="CT19" s="875">
        <v>556.90792784999996</v>
      </c>
      <c r="CU19" s="875">
        <v>563.59105219000003</v>
      </c>
      <c r="CV19" s="875">
        <v>580.83652690999998</v>
      </c>
      <c r="CW19" s="875">
        <v>579.89130905000002</v>
      </c>
      <c r="CX19" s="875">
        <v>594.86313987000005</v>
      </c>
      <c r="CY19" s="875">
        <v>614.36385677999999</v>
      </c>
      <c r="CZ19" s="875">
        <v>629.29816189999997</v>
      </c>
      <c r="DA19" s="875">
        <v>651.10464998999998</v>
      </c>
      <c r="DB19" s="875">
        <v>673.34919431000003</v>
      </c>
      <c r="DC19" s="875">
        <v>689.51766098999997</v>
      </c>
      <c r="DD19" s="875">
        <v>725.02608255999996</v>
      </c>
      <c r="DE19" s="875">
        <v>727.01388551000002</v>
      </c>
      <c r="DF19" s="875">
        <v>757.57995235999999</v>
      </c>
      <c r="DG19" s="875">
        <v>744.93979461000004</v>
      </c>
      <c r="DH19" s="875">
        <v>778.02920731999995</v>
      </c>
      <c r="DI19" s="875">
        <v>763.47521612000003</v>
      </c>
      <c r="DJ19" s="875">
        <v>785.27427822000004</v>
      </c>
      <c r="DK19" s="875">
        <v>804.45849963000001</v>
      </c>
      <c r="DL19" s="875">
        <v>807.52011835999997</v>
      </c>
      <c r="DM19" s="875">
        <v>821.74021418999996</v>
      </c>
      <c r="DN19" s="875">
        <v>824.77940455999999</v>
      </c>
      <c r="DO19" s="875">
        <v>833.79472595000004</v>
      </c>
      <c r="DP19" s="875">
        <v>843.15346564000004</v>
      </c>
      <c r="DQ19" s="875">
        <v>823.70285836000005</v>
      </c>
      <c r="DR19" s="875">
        <v>844.73148661000005</v>
      </c>
      <c r="DS19" s="875">
        <v>835.50161007999998</v>
      </c>
      <c r="DT19" s="875">
        <v>849.14651829000002</v>
      </c>
      <c r="DU19" s="875">
        <v>855.02625657999999</v>
      </c>
      <c r="DV19" s="875">
        <v>882.95018257000004</v>
      </c>
      <c r="DW19" s="875">
        <v>891.44928250999999</v>
      </c>
      <c r="DX19" s="875">
        <v>932.31079018000003</v>
      </c>
      <c r="DY19" s="875">
        <v>961.98355317999994</v>
      </c>
      <c r="DZ19" s="875">
        <v>1002.1262007300001</v>
      </c>
      <c r="EA19" s="875">
        <v>1037.52218492</v>
      </c>
      <c r="EB19" s="875">
        <v>1096.73524484</v>
      </c>
      <c r="EC19" s="875">
        <v>1109.4842685799999</v>
      </c>
      <c r="ED19" s="875">
        <v>1146.86806153</v>
      </c>
      <c r="EE19" s="875">
        <v>1153.1173234299999</v>
      </c>
      <c r="EF19" s="875">
        <v>1179.8035408600001</v>
      </c>
      <c r="EG19" s="875">
        <v>1212.7409498699999</v>
      </c>
      <c r="EH19" s="875">
        <v>1207.05577842</v>
      </c>
      <c r="EI19" s="875">
        <v>1228.2103295100001</v>
      </c>
      <c r="EJ19" s="875">
        <v>1229.0457185400001</v>
      </c>
      <c r="EK19" s="875">
        <v>1255.7506251100001</v>
      </c>
      <c r="EL19" s="875">
        <v>1295.5720224300001</v>
      </c>
      <c r="EM19" s="875">
        <v>1309.84856066</v>
      </c>
      <c r="EN19" s="875">
        <v>1351.2109468399999</v>
      </c>
      <c r="EO19" s="875">
        <v>1331.71256066</v>
      </c>
      <c r="EP19" s="875">
        <v>1376.66852576</v>
      </c>
      <c r="EQ19" s="875">
        <v>1347.77223486</v>
      </c>
      <c r="ER19" s="875">
        <v>1380.38950892</v>
      </c>
      <c r="ES19" s="875">
        <v>1379.6824254999999</v>
      </c>
      <c r="ET19" s="875">
        <v>1404.7760214499999</v>
      </c>
      <c r="EU19" s="1934" t="s">
        <v>4090</v>
      </c>
    </row>
    <row r="20" spans="1:151" ht="21">
      <c r="A20" s="1930" t="s">
        <v>2753</v>
      </c>
      <c r="B20" s="839">
        <v>290.61741796000007</v>
      </c>
      <c r="C20" s="839">
        <v>294.07309918999994</v>
      </c>
      <c r="D20" s="839">
        <v>294.96131785999995</v>
      </c>
      <c r="E20" s="839">
        <v>288.55864617999998</v>
      </c>
      <c r="F20" s="839">
        <v>296.09810323000005</v>
      </c>
      <c r="G20" s="839">
        <v>295.09336023999992</v>
      </c>
      <c r="H20" s="839">
        <v>306.02335507999999</v>
      </c>
      <c r="I20" s="839">
        <v>307.03984482999999</v>
      </c>
      <c r="J20" s="839">
        <v>307.86081197999999</v>
      </c>
      <c r="K20" s="839">
        <v>303.63300164000003</v>
      </c>
      <c r="L20" s="839">
        <v>304.72937051999997</v>
      </c>
      <c r="M20" s="840">
        <v>309.13871269999993</v>
      </c>
      <c r="N20" s="840">
        <v>307.82266619999996</v>
      </c>
      <c r="O20" s="840">
        <v>312.51552710000004</v>
      </c>
      <c r="P20" s="840">
        <v>309.27953532999999</v>
      </c>
      <c r="Q20" s="840">
        <v>311.25339115000003</v>
      </c>
      <c r="R20" s="840">
        <v>314.26442135000002</v>
      </c>
      <c r="S20" s="840">
        <v>318.97670812999996</v>
      </c>
      <c r="T20" s="840">
        <v>325.86143546999989</v>
      </c>
      <c r="U20" s="840">
        <v>321.01036306999993</v>
      </c>
      <c r="V20" s="840">
        <v>318.50176249000003</v>
      </c>
      <c r="W20" s="840">
        <v>334.95957734999996</v>
      </c>
      <c r="X20" s="840">
        <v>333.46344708999993</v>
      </c>
      <c r="Y20" s="840">
        <v>407.03829824999997</v>
      </c>
      <c r="Z20" s="840">
        <v>342.18152170999991</v>
      </c>
      <c r="AA20" s="840">
        <v>459.48603001999999</v>
      </c>
      <c r="AB20" s="840">
        <v>454.31942216999994</v>
      </c>
      <c r="AC20" s="840">
        <v>454.08591966000006</v>
      </c>
      <c r="AD20" s="840">
        <v>456.90546758999994</v>
      </c>
      <c r="AE20" s="840">
        <v>465.97403705999994</v>
      </c>
      <c r="AF20" s="840">
        <v>467.16428591000005</v>
      </c>
      <c r="AG20" s="840">
        <v>438.95205873000003</v>
      </c>
      <c r="AH20" s="840">
        <v>437.62305208999999</v>
      </c>
      <c r="AI20" s="840">
        <v>440.58636932000002</v>
      </c>
      <c r="AJ20" s="840">
        <v>439.77551262000003</v>
      </c>
      <c r="AK20" s="840">
        <v>626.63122694000003</v>
      </c>
      <c r="AL20" s="840">
        <v>592.71056392999992</v>
      </c>
      <c r="AM20" s="840">
        <v>520.24140350000005</v>
      </c>
      <c r="AN20" s="840">
        <v>486.95585990999996</v>
      </c>
      <c r="AO20" s="840">
        <v>430.59585483000001</v>
      </c>
      <c r="AP20" s="840">
        <v>402.11762533000007</v>
      </c>
      <c r="AQ20" s="840">
        <v>397.32582721999995</v>
      </c>
      <c r="AR20" s="840">
        <v>392.09768430999992</v>
      </c>
      <c r="AS20" s="840">
        <v>397.93051445000003</v>
      </c>
      <c r="AT20" s="840">
        <v>380.74077714999999</v>
      </c>
      <c r="AU20" s="840">
        <v>369.56967959000002</v>
      </c>
      <c r="AV20" s="840">
        <v>390.62844847999997</v>
      </c>
      <c r="AW20" s="840">
        <v>387.59096240000008</v>
      </c>
      <c r="AX20" s="840">
        <v>385.70912756000007</v>
      </c>
      <c r="AY20" s="840">
        <v>334.65550466000008</v>
      </c>
      <c r="AZ20" s="840">
        <v>313.43798725000005</v>
      </c>
      <c r="BA20" s="840">
        <v>299.02495392000003</v>
      </c>
      <c r="BB20" s="840">
        <v>302.97734292000001</v>
      </c>
      <c r="BC20" s="840">
        <v>304.22060061000002</v>
      </c>
      <c r="BD20" s="840">
        <v>288.76115437000004</v>
      </c>
      <c r="BE20" s="840">
        <v>288.79212004999999</v>
      </c>
      <c r="BF20" s="840">
        <v>293.98993681999997</v>
      </c>
      <c r="BG20" s="841">
        <v>165.95758398999999</v>
      </c>
      <c r="BH20" s="879">
        <v>160.40526070000004</v>
      </c>
      <c r="BI20" s="874">
        <v>124.45185807</v>
      </c>
      <c r="BJ20" s="874">
        <v>129.29918523000001</v>
      </c>
      <c r="BK20" s="874">
        <v>126.97934456999999</v>
      </c>
      <c r="BL20" s="874">
        <v>152.48353274000002</v>
      </c>
      <c r="BM20" s="874">
        <v>152.45246513999996</v>
      </c>
      <c r="BN20" s="874">
        <v>160.76139762999998</v>
      </c>
      <c r="BO20" s="874">
        <v>136.64999941000002</v>
      </c>
      <c r="BP20" s="874">
        <v>140.16111031</v>
      </c>
      <c r="BQ20" s="874">
        <v>141.77249371999997</v>
      </c>
      <c r="BR20" s="874">
        <v>138.99127564999998</v>
      </c>
      <c r="BS20" s="874">
        <v>137.46575582</v>
      </c>
      <c r="BT20" s="874">
        <v>140.04521309</v>
      </c>
      <c r="BU20" s="874">
        <v>138.99436041999999</v>
      </c>
      <c r="BV20" s="874">
        <v>134.33663581000002</v>
      </c>
      <c r="BW20" s="874">
        <v>138.81123526000002</v>
      </c>
      <c r="BX20" s="874">
        <v>139.59326453</v>
      </c>
      <c r="BY20" s="874">
        <v>138.64276206</v>
      </c>
      <c r="BZ20" s="874">
        <v>151.33349837999998</v>
      </c>
      <c r="CA20" s="874">
        <v>152.76094526</v>
      </c>
      <c r="CB20" s="874">
        <v>145.90209161999999</v>
      </c>
      <c r="CC20" s="874">
        <v>151.44352431000002</v>
      </c>
      <c r="CD20" s="874">
        <v>167.48488004999999</v>
      </c>
      <c r="CE20" s="874">
        <v>162.52823470999999</v>
      </c>
      <c r="CF20" s="874">
        <v>415.29985173000006</v>
      </c>
      <c r="CG20" s="874">
        <v>405.36601531000002</v>
      </c>
      <c r="CH20" s="874">
        <v>401.29385514000001</v>
      </c>
      <c r="CI20" s="874">
        <v>396.58841047999999</v>
      </c>
      <c r="CJ20" s="874">
        <v>223.89976356</v>
      </c>
      <c r="CK20" s="874">
        <v>217.07799349000001</v>
      </c>
      <c r="CL20" s="874">
        <v>219.95529633000001</v>
      </c>
      <c r="CM20" s="874">
        <v>192.55479331000001</v>
      </c>
      <c r="CN20" s="874">
        <v>197.2679057</v>
      </c>
      <c r="CO20" s="874">
        <v>200.08440985000001</v>
      </c>
      <c r="CP20" s="874">
        <v>191.44258920000001</v>
      </c>
      <c r="CQ20" s="874">
        <v>190.61411785000001</v>
      </c>
      <c r="CR20" s="874">
        <v>186.54557778</v>
      </c>
      <c r="CS20" s="874">
        <v>187.23073986</v>
      </c>
      <c r="CT20" s="874">
        <v>267.63222506</v>
      </c>
      <c r="CU20" s="874">
        <v>174.69789693000001</v>
      </c>
      <c r="CV20" s="874">
        <v>174.28668529000001</v>
      </c>
      <c r="CW20" s="874">
        <v>180.81462529999999</v>
      </c>
      <c r="CX20" s="874">
        <v>182.74941393</v>
      </c>
      <c r="CY20" s="874">
        <v>178.60950678</v>
      </c>
      <c r="CZ20" s="874">
        <v>179.33434245000001</v>
      </c>
      <c r="DA20" s="874">
        <v>190.08553552999999</v>
      </c>
      <c r="DB20" s="874">
        <v>188.57869216</v>
      </c>
      <c r="DC20" s="874">
        <v>187.89621066999999</v>
      </c>
      <c r="DD20" s="874">
        <v>169.59640683999999</v>
      </c>
      <c r="DE20" s="874">
        <v>167.39576923000001</v>
      </c>
      <c r="DF20" s="874">
        <v>166.68623282999999</v>
      </c>
      <c r="DG20" s="874">
        <v>169.20509544000001</v>
      </c>
      <c r="DH20" s="874">
        <v>74.153309640000003</v>
      </c>
      <c r="DI20" s="874">
        <v>58.073480539999998</v>
      </c>
      <c r="DJ20" s="874">
        <v>61.40047234</v>
      </c>
      <c r="DK20" s="874">
        <v>57.803404430000001</v>
      </c>
      <c r="DL20" s="874">
        <v>97.196792200000004</v>
      </c>
      <c r="DM20" s="874">
        <v>102.59684353</v>
      </c>
      <c r="DN20" s="874">
        <v>172.34671829999999</v>
      </c>
      <c r="DO20" s="874">
        <v>177.9233352</v>
      </c>
      <c r="DP20" s="874">
        <v>172.2704928</v>
      </c>
      <c r="DQ20" s="874">
        <v>60.676363189999996</v>
      </c>
      <c r="DR20" s="874">
        <v>59.146062780000001</v>
      </c>
      <c r="DS20" s="874">
        <v>60.672592610000002</v>
      </c>
      <c r="DT20" s="874">
        <v>54.509942049999999</v>
      </c>
      <c r="DU20" s="874">
        <v>56.072588959999997</v>
      </c>
      <c r="DV20" s="874">
        <v>59.563260990000003</v>
      </c>
      <c r="DW20" s="874">
        <v>56.050629389999997</v>
      </c>
      <c r="DX20" s="874">
        <v>53.45919851</v>
      </c>
      <c r="DY20" s="874">
        <v>57.492846440000001</v>
      </c>
      <c r="DZ20" s="874">
        <v>76.509467740000005</v>
      </c>
      <c r="EA20" s="874">
        <v>64.538048250000003</v>
      </c>
      <c r="EB20" s="874">
        <v>66.710565029999998</v>
      </c>
      <c r="EC20" s="874">
        <v>69.954367439999999</v>
      </c>
      <c r="ED20" s="874">
        <v>58.143412560000002</v>
      </c>
      <c r="EE20" s="874">
        <v>57.434493809999999</v>
      </c>
      <c r="EF20" s="874">
        <v>58.642334339999998</v>
      </c>
      <c r="EG20" s="874">
        <v>58.165756399999999</v>
      </c>
      <c r="EH20" s="874">
        <v>53.041295400000003</v>
      </c>
      <c r="EI20" s="874">
        <v>72.098363359999993</v>
      </c>
      <c r="EJ20" s="874">
        <v>53.607900899999997</v>
      </c>
      <c r="EK20" s="874">
        <v>59.196612969999997</v>
      </c>
      <c r="EL20" s="874">
        <v>70.056795769999994</v>
      </c>
      <c r="EM20" s="874">
        <v>67.713977790000001</v>
      </c>
      <c r="EN20" s="874">
        <v>100.87838685</v>
      </c>
      <c r="EO20" s="874">
        <v>108.55574634</v>
      </c>
      <c r="EP20" s="874">
        <v>100.03752041</v>
      </c>
      <c r="EQ20" s="874">
        <v>69.693155770000004</v>
      </c>
      <c r="ER20" s="874">
        <v>79.417855220000007</v>
      </c>
      <c r="ES20" s="874">
        <v>69.453464990000001</v>
      </c>
      <c r="ET20" s="874">
        <v>68.384664869999995</v>
      </c>
      <c r="EU20" s="1930" t="s">
        <v>4082</v>
      </c>
    </row>
    <row r="21" spans="1:151" ht="21">
      <c r="A21" s="1929" t="s">
        <v>1954</v>
      </c>
      <c r="B21" s="842">
        <v>94.020837669999992</v>
      </c>
      <c r="C21" s="842">
        <v>97.419236099999992</v>
      </c>
      <c r="D21" s="842">
        <v>102.74864914</v>
      </c>
      <c r="E21" s="842">
        <v>102.29021399000001</v>
      </c>
      <c r="F21" s="842">
        <v>109.19573831</v>
      </c>
      <c r="G21" s="842">
        <v>112.94008950999999</v>
      </c>
      <c r="H21" s="842">
        <v>114.64508498000001</v>
      </c>
      <c r="I21" s="842">
        <v>124.14934427</v>
      </c>
      <c r="J21" s="842">
        <v>123.84569744</v>
      </c>
      <c r="K21" s="842">
        <v>125.32320101000001</v>
      </c>
      <c r="L21" s="842">
        <v>126.60233047</v>
      </c>
      <c r="M21" s="843">
        <v>125.92191477999999</v>
      </c>
      <c r="N21" s="843">
        <v>126.41728286000001</v>
      </c>
      <c r="O21" s="843">
        <v>129.22603105000002</v>
      </c>
      <c r="P21" s="843">
        <v>130.26095602999999</v>
      </c>
      <c r="Q21" s="843">
        <v>129.18125692000001</v>
      </c>
      <c r="R21" s="843">
        <v>130.69938593000001</v>
      </c>
      <c r="S21" s="843">
        <v>132.7556812</v>
      </c>
      <c r="T21" s="843">
        <v>136.89788735999997</v>
      </c>
      <c r="U21" s="843">
        <v>133.31599979999999</v>
      </c>
      <c r="V21" s="843">
        <v>131.85890072000001</v>
      </c>
      <c r="W21" s="843">
        <v>134.34252497</v>
      </c>
      <c r="X21" s="843">
        <v>132.38151565999999</v>
      </c>
      <c r="Y21" s="843">
        <v>134.78729754</v>
      </c>
      <c r="Z21" s="843">
        <v>140.59290402999997</v>
      </c>
      <c r="AA21" s="843">
        <v>190.19413265</v>
      </c>
      <c r="AB21" s="843">
        <v>191.38347973</v>
      </c>
      <c r="AC21" s="843">
        <v>186.83547478</v>
      </c>
      <c r="AD21" s="843">
        <v>194.76311851999998</v>
      </c>
      <c r="AE21" s="843">
        <v>200.53025879999998</v>
      </c>
      <c r="AF21" s="843">
        <v>205.00725315</v>
      </c>
      <c r="AG21" s="843">
        <v>201.90652295999999</v>
      </c>
      <c r="AH21" s="843">
        <v>199.71573623999998</v>
      </c>
      <c r="AI21" s="843">
        <v>199.90581453000001</v>
      </c>
      <c r="AJ21" s="843">
        <v>195.3170231</v>
      </c>
      <c r="AK21" s="843">
        <v>278.86728984999996</v>
      </c>
      <c r="AL21" s="843">
        <v>258.25445769000004</v>
      </c>
      <c r="AM21" s="843">
        <v>244.50947794000001</v>
      </c>
      <c r="AN21" s="843">
        <v>240.32341800999998</v>
      </c>
      <c r="AO21" s="843">
        <v>225.91446717999997</v>
      </c>
      <c r="AP21" s="843">
        <v>217.52079194999999</v>
      </c>
      <c r="AQ21" s="843">
        <v>219.4014335</v>
      </c>
      <c r="AR21" s="843">
        <v>215.02238321999997</v>
      </c>
      <c r="AS21" s="843">
        <v>218.86881971999998</v>
      </c>
      <c r="AT21" s="843">
        <v>211.32650132000001</v>
      </c>
      <c r="AU21" s="843">
        <v>204.85277379000001</v>
      </c>
      <c r="AV21" s="843">
        <v>211.86320144999999</v>
      </c>
      <c r="AW21" s="843">
        <v>212.17054046000001</v>
      </c>
      <c r="AX21" s="843">
        <v>228.24495171000001</v>
      </c>
      <c r="AY21" s="843">
        <v>204.32537832000003</v>
      </c>
      <c r="AZ21" s="843">
        <v>199.11485006999999</v>
      </c>
      <c r="BA21" s="843">
        <v>195.63505655000003</v>
      </c>
      <c r="BB21" s="843">
        <v>196.12018530999998</v>
      </c>
      <c r="BC21" s="843">
        <v>196.33850304000001</v>
      </c>
      <c r="BD21" s="843">
        <v>195.60445405000002</v>
      </c>
      <c r="BE21" s="843">
        <v>196.02272232000001</v>
      </c>
      <c r="BF21" s="843">
        <v>193.94414118999998</v>
      </c>
      <c r="BG21" s="844">
        <v>77.518046370000008</v>
      </c>
      <c r="BH21" s="880">
        <v>70.79853433000001</v>
      </c>
      <c r="BI21" s="875">
        <v>38.316055630000001</v>
      </c>
      <c r="BJ21" s="875">
        <v>39.679487969999997</v>
      </c>
      <c r="BK21" s="875">
        <v>38.165345070000001</v>
      </c>
      <c r="BL21" s="875">
        <v>40.841403150000005</v>
      </c>
      <c r="BM21" s="875">
        <v>41.416798139999997</v>
      </c>
      <c r="BN21" s="875">
        <v>41.789210150000002</v>
      </c>
      <c r="BO21" s="875">
        <v>41.255674299999995</v>
      </c>
      <c r="BP21" s="875">
        <v>42.895401139999997</v>
      </c>
      <c r="BQ21" s="875">
        <v>42.663389779999996</v>
      </c>
      <c r="BR21" s="875">
        <v>42.278874369999997</v>
      </c>
      <c r="BS21" s="875">
        <v>41.705371630000002</v>
      </c>
      <c r="BT21" s="875">
        <v>41.472885060000003</v>
      </c>
      <c r="BU21" s="875">
        <v>39.602307170000003</v>
      </c>
      <c r="BV21" s="875">
        <v>39.027809789999999</v>
      </c>
      <c r="BW21" s="875">
        <v>39.586275130000004</v>
      </c>
      <c r="BX21" s="875">
        <v>40.892623279999995</v>
      </c>
      <c r="BY21" s="875">
        <v>39.85736017</v>
      </c>
      <c r="BZ21" s="875">
        <v>38.804452789999999</v>
      </c>
      <c r="CA21" s="875">
        <v>39.037628580000003</v>
      </c>
      <c r="CB21" s="875">
        <v>35.098513160000003</v>
      </c>
      <c r="CC21" s="875">
        <v>36.295358780000001</v>
      </c>
      <c r="CD21" s="875">
        <v>35.83772325999999</v>
      </c>
      <c r="CE21" s="875">
        <v>35.298597530000002</v>
      </c>
      <c r="CF21" s="875">
        <v>35.014551470000008</v>
      </c>
      <c r="CG21" s="875">
        <v>28.898812760000002</v>
      </c>
      <c r="CH21" s="875">
        <v>28.058647050000001</v>
      </c>
      <c r="CI21" s="875">
        <v>27.687826909999998</v>
      </c>
      <c r="CJ21" s="875">
        <v>25.513782379999999</v>
      </c>
      <c r="CK21" s="875">
        <v>24.40861048</v>
      </c>
      <c r="CL21" s="875">
        <v>22.040658190000002</v>
      </c>
      <c r="CM21" s="875">
        <v>21.03401062</v>
      </c>
      <c r="CN21" s="875">
        <v>20.125473790000001</v>
      </c>
      <c r="CO21" s="875">
        <v>20.202967579999999</v>
      </c>
      <c r="CP21" s="875">
        <v>18.44999344</v>
      </c>
      <c r="CQ21" s="875">
        <v>16.965635590000002</v>
      </c>
      <c r="CR21" s="875">
        <v>16.064176440000001</v>
      </c>
      <c r="CS21" s="875">
        <v>14.514742180000001</v>
      </c>
      <c r="CT21" s="875">
        <v>11.78653323</v>
      </c>
      <c r="CU21" s="875">
        <v>10.85389866</v>
      </c>
      <c r="CV21" s="875">
        <v>10.97698267</v>
      </c>
      <c r="CW21" s="875">
        <v>10.595139440000001</v>
      </c>
      <c r="CX21" s="875">
        <v>11.646035960000001</v>
      </c>
      <c r="CY21" s="875">
        <v>11.176651939999999</v>
      </c>
      <c r="CZ21" s="875">
        <v>11.44414735</v>
      </c>
      <c r="DA21" s="875">
        <v>11.05148994</v>
      </c>
      <c r="DB21" s="875">
        <v>11.59594266</v>
      </c>
      <c r="DC21" s="875">
        <v>11.133266020000001</v>
      </c>
      <c r="DD21" s="875">
        <v>11.92819302</v>
      </c>
      <c r="DE21" s="875">
        <v>12.08843491</v>
      </c>
      <c r="DF21" s="875">
        <v>12.31374282</v>
      </c>
      <c r="DG21" s="875">
        <v>13.537545870000001</v>
      </c>
      <c r="DH21" s="875">
        <v>14.99452206</v>
      </c>
      <c r="DI21" s="875">
        <v>13.97592079</v>
      </c>
      <c r="DJ21" s="875">
        <v>14.80505808</v>
      </c>
      <c r="DK21" s="875">
        <v>15.061241020000001</v>
      </c>
      <c r="DL21" s="875">
        <v>14.61592709</v>
      </c>
      <c r="DM21" s="875">
        <v>15.260181530000001</v>
      </c>
      <c r="DN21" s="875">
        <v>15.07302166</v>
      </c>
      <c r="DO21" s="875">
        <v>15.37590462</v>
      </c>
      <c r="DP21" s="875">
        <v>13.51173663</v>
      </c>
      <c r="DQ21" s="875">
        <v>13.37258126</v>
      </c>
      <c r="DR21" s="875">
        <v>14.440956180000001</v>
      </c>
      <c r="DS21" s="875">
        <v>15.1242859</v>
      </c>
      <c r="DT21" s="875">
        <v>16.027673870000001</v>
      </c>
      <c r="DU21" s="875">
        <v>15.453029259999999</v>
      </c>
      <c r="DV21" s="875">
        <v>16.017700900000001</v>
      </c>
      <c r="DW21" s="875">
        <v>16.030221010000002</v>
      </c>
      <c r="DX21" s="875">
        <v>16.881150940000001</v>
      </c>
      <c r="DY21" s="875">
        <v>17.89560079</v>
      </c>
      <c r="DZ21" s="875">
        <v>17.590612620000002</v>
      </c>
      <c r="EA21" s="875">
        <v>17.272368069999999</v>
      </c>
      <c r="EB21" s="875">
        <v>16.868055760000001</v>
      </c>
      <c r="EC21" s="875">
        <v>16.011385990000001</v>
      </c>
      <c r="ED21" s="875">
        <v>16.469778760000001</v>
      </c>
      <c r="EE21" s="875">
        <v>16.520830069999999</v>
      </c>
      <c r="EF21" s="875">
        <v>17.25397457</v>
      </c>
      <c r="EG21" s="875">
        <v>16.783451240000002</v>
      </c>
      <c r="EH21" s="875">
        <v>17.606337870000001</v>
      </c>
      <c r="EI21" s="875">
        <v>16.77338361</v>
      </c>
      <c r="EJ21" s="875">
        <v>17.673035909999999</v>
      </c>
      <c r="EK21" s="875">
        <v>18.13044807</v>
      </c>
      <c r="EL21" s="875">
        <v>18.44694922</v>
      </c>
      <c r="EM21" s="875">
        <v>17.844066529999999</v>
      </c>
      <c r="EN21" s="875">
        <v>15.06886289</v>
      </c>
      <c r="EO21" s="875">
        <v>15.022978</v>
      </c>
      <c r="EP21" s="875">
        <v>15.049114919999999</v>
      </c>
      <c r="EQ21" s="875">
        <v>14.54488111</v>
      </c>
      <c r="ER21" s="875">
        <v>15.84885987</v>
      </c>
      <c r="ES21" s="875">
        <v>14.434336139999999</v>
      </c>
      <c r="ET21" s="875">
        <v>14.49500153</v>
      </c>
      <c r="EU21" s="1934" t="s">
        <v>4090</v>
      </c>
    </row>
    <row r="22" spans="1:151" ht="21">
      <c r="A22" s="1931"/>
      <c r="B22" s="842"/>
      <c r="C22" s="842"/>
      <c r="D22" s="842"/>
      <c r="E22" s="842"/>
      <c r="F22" s="842"/>
      <c r="G22" s="842"/>
      <c r="H22" s="842"/>
      <c r="I22" s="842"/>
      <c r="J22" s="842"/>
      <c r="K22" s="842"/>
      <c r="L22" s="842"/>
      <c r="M22" s="843"/>
      <c r="N22" s="843"/>
      <c r="O22" s="843"/>
      <c r="P22" s="843"/>
      <c r="Q22" s="843"/>
      <c r="R22" s="843"/>
      <c r="S22" s="843"/>
      <c r="T22" s="843"/>
      <c r="U22" s="843"/>
      <c r="V22" s="843"/>
      <c r="W22" s="843"/>
      <c r="X22" s="843"/>
      <c r="Y22" s="843"/>
      <c r="Z22" s="843"/>
      <c r="AA22" s="843"/>
      <c r="AB22" s="843"/>
      <c r="AC22" s="843"/>
      <c r="AD22" s="843"/>
      <c r="AE22" s="843"/>
      <c r="AF22" s="843"/>
      <c r="AG22" s="843"/>
      <c r="AH22" s="843"/>
      <c r="AI22" s="843"/>
      <c r="AJ22" s="843"/>
      <c r="AK22" s="843"/>
      <c r="AL22" s="843"/>
      <c r="AM22" s="843"/>
      <c r="AN22" s="843"/>
      <c r="AO22" s="843"/>
      <c r="AP22" s="843"/>
      <c r="AQ22" s="843"/>
      <c r="AR22" s="843"/>
      <c r="AS22" s="843"/>
      <c r="AT22" s="843"/>
      <c r="AU22" s="843"/>
      <c r="AV22" s="843"/>
      <c r="AW22" s="843"/>
      <c r="AX22" s="843"/>
      <c r="AY22" s="843"/>
      <c r="AZ22" s="843"/>
      <c r="BA22" s="843"/>
      <c r="BB22" s="843"/>
      <c r="BC22" s="843"/>
      <c r="BD22" s="843"/>
      <c r="BE22" s="843"/>
      <c r="BF22" s="843"/>
      <c r="BG22" s="844"/>
      <c r="BH22" s="880"/>
      <c r="BI22" s="875"/>
      <c r="BJ22" s="875"/>
      <c r="BK22" s="875"/>
      <c r="BL22" s="875"/>
      <c r="BM22" s="875"/>
      <c r="BN22" s="875"/>
      <c r="BO22" s="875"/>
      <c r="BP22" s="875"/>
      <c r="BQ22" s="875"/>
      <c r="BR22" s="875"/>
      <c r="BS22" s="875"/>
      <c r="BT22" s="875"/>
      <c r="BU22" s="875"/>
      <c r="BV22" s="875"/>
      <c r="BW22" s="875"/>
      <c r="BX22" s="875"/>
      <c r="BY22" s="875"/>
      <c r="BZ22" s="875"/>
      <c r="CA22" s="875"/>
      <c r="CB22" s="875"/>
      <c r="CC22" s="875"/>
      <c r="CD22" s="875"/>
      <c r="CE22" s="875"/>
      <c r="CF22" s="875"/>
      <c r="CG22" s="875"/>
      <c r="CH22" s="875"/>
      <c r="CI22" s="875"/>
      <c r="CJ22" s="875"/>
      <c r="CK22" s="875"/>
      <c r="CL22" s="875"/>
      <c r="CM22" s="875"/>
      <c r="CN22" s="875"/>
      <c r="CO22" s="875"/>
      <c r="CP22" s="875"/>
      <c r="CQ22" s="875"/>
      <c r="CR22" s="875"/>
      <c r="CS22" s="875"/>
      <c r="CT22" s="875"/>
      <c r="CU22" s="875"/>
      <c r="CV22" s="875"/>
      <c r="CW22" s="875"/>
      <c r="CX22" s="875"/>
      <c r="CY22" s="875"/>
      <c r="CZ22" s="875"/>
      <c r="DA22" s="875"/>
      <c r="DB22" s="875"/>
      <c r="DC22" s="875"/>
      <c r="DD22" s="875"/>
      <c r="DE22" s="875"/>
      <c r="DF22" s="875"/>
      <c r="DG22" s="875"/>
      <c r="DH22" s="875"/>
      <c r="DI22" s="875"/>
      <c r="DJ22" s="875"/>
      <c r="DK22" s="875"/>
      <c r="DL22" s="875"/>
      <c r="DM22" s="875"/>
      <c r="DN22" s="875"/>
      <c r="DO22" s="875"/>
      <c r="DP22" s="875"/>
      <c r="DQ22" s="875"/>
      <c r="DR22" s="875"/>
      <c r="DS22" s="875"/>
      <c r="DT22" s="875"/>
      <c r="DU22" s="875"/>
      <c r="DV22" s="875"/>
      <c r="DW22" s="875"/>
      <c r="DX22" s="875"/>
      <c r="DY22" s="875"/>
      <c r="DZ22" s="875"/>
      <c r="EA22" s="875"/>
      <c r="EB22" s="875"/>
      <c r="EC22" s="875"/>
      <c r="ED22" s="875"/>
      <c r="EE22" s="875"/>
      <c r="EF22" s="875"/>
      <c r="EG22" s="875"/>
      <c r="EH22" s="875"/>
      <c r="EI22" s="875"/>
      <c r="EJ22" s="875"/>
      <c r="EK22" s="875"/>
      <c r="EL22" s="875"/>
      <c r="EM22" s="875"/>
      <c r="EN22" s="875"/>
      <c r="EO22" s="875"/>
      <c r="EP22" s="875"/>
      <c r="EQ22" s="875"/>
      <c r="ER22" s="875"/>
      <c r="ES22" s="875"/>
      <c r="ET22" s="875"/>
      <c r="EU22" s="1931"/>
    </row>
    <row r="23" spans="1:151" ht="21">
      <c r="A23" s="1928" t="s">
        <v>2754</v>
      </c>
      <c r="B23" s="839">
        <v>3225.6984943500001</v>
      </c>
      <c r="C23" s="842">
        <v>3292.6639317700001</v>
      </c>
      <c r="D23" s="842">
        <v>3398.34416741</v>
      </c>
      <c r="E23" s="842">
        <v>3551.7900184100004</v>
      </c>
      <c r="F23" s="842">
        <v>3690.22070695</v>
      </c>
      <c r="G23" s="842">
        <v>3791.6355140300002</v>
      </c>
      <c r="H23" s="842">
        <v>3934.4158680100004</v>
      </c>
      <c r="I23" s="842">
        <v>4055.1399988899998</v>
      </c>
      <c r="J23" s="842">
        <v>4163.86043445</v>
      </c>
      <c r="K23" s="842">
        <v>4304.0011475700012</v>
      </c>
      <c r="L23" s="842">
        <v>4420.6190753500005</v>
      </c>
      <c r="M23" s="840">
        <v>4596.2402466199992</v>
      </c>
      <c r="N23" s="843">
        <v>4647.2027104500003</v>
      </c>
      <c r="O23" s="843">
        <v>4724.0263906499995</v>
      </c>
      <c r="P23" s="840">
        <v>4796.3505771099999</v>
      </c>
      <c r="Q23" s="840">
        <v>4942.2508928199995</v>
      </c>
      <c r="R23" s="840">
        <v>5074.0470495600002</v>
      </c>
      <c r="S23" s="840">
        <v>5148.4694500899996</v>
      </c>
      <c r="T23" s="840">
        <v>5261.5157290699999</v>
      </c>
      <c r="U23" s="840">
        <v>5385.3115469900004</v>
      </c>
      <c r="V23" s="840">
        <v>5508.3850331900003</v>
      </c>
      <c r="W23" s="840">
        <v>5527.1423675700007</v>
      </c>
      <c r="X23" s="840">
        <v>5692.6363282499997</v>
      </c>
      <c r="Y23" s="840">
        <v>5842.0544121200001</v>
      </c>
      <c r="Z23" s="840">
        <v>5880.0057201899999</v>
      </c>
      <c r="AA23" s="843">
        <v>6458.25108774</v>
      </c>
      <c r="AB23" s="840">
        <v>6363.7354874899993</v>
      </c>
      <c r="AC23" s="840">
        <v>6312.2766850299995</v>
      </c>
      <c r="AD23" s="840">
        <v>6211.3750793900008</v>
      </c>
      <c r="AE23" s="840">
        <v>6081.6919480400002</v>
      </c>
      <c r="AF23" s="840">
        <v>5992.7424618200002</v>
      </c>
      <c r="AG23" s="840">
        <v>5916.2195888700007</v>
      </c>
      <c r="AH23" s="840">
        <v>5829.6753645499994</v>
      </c>
      <c r="AI23" s="840">
        <v>5804.3991047699992</v>
      </c>
      <c r="AJ23" s="840">
        <v>5776.9388417499995</v>
      </c>
      <c r="AK23" s="840">
        <v>6476.9790362400008</v>
      </c>
      <c r="AL23" s="840">
        <v>6213.2891844999995</v>
      </c>
      <c r="AM23" s="840">
        <v>6014.5547154400001</v>
      </c>
      <c r="AN23" s="840">
        <v>5912.4353632999992</v>
      </c>
      <c r="AO23" s="840">
        <v>5685.0452111100003</v>
      </c>
      <c r="AP23" s="840">
        <v>5484.5277699300004</v>
      </c>
      <c r="AQ23" s="840">
        <v>5468.2113175300001</v>
      </c>
      <c r="AR23" s="840">
        <v>4877.1874400899997</v>
      </c>
      <c r="AS23" s="840">
        <v>4893.7045604200002</v>
      </c>
      <c r="AT23" s="840">
        <v>4812.2798340099998</v>
      </c>
      <c r="AU23" s="840">
        <v>4598.5168250099996</v>
      </c>
      <c r="AV23" s="840">
        <v>4596.0738734300003</v>
      </c>
      <c r="AW23" s="840">
        <v>4555.9567518200001</v>
      </c>
      <c r="AX23" s="840">
        <v>4548.8235005899996</v>
      </c>
      <c r="AY23" s="840">
        <v>4337.7314057599997</v>
      </c>
      <c r="AZ23" s="840">
        <v>4236.3447398899998</v>
      </c>
      <c r="BA23" s="840">
        <v>4163.7365879399995</v>
      </c>
      <c r="BB23" s="840">
        <v>4106.5275599500001</v>
      </c>
      <c r="BC23" s="840">
        <v>4038.3797590300001</v>
      </c>
      <c r="BD23" s="840">
        <v>3947.8008877799998</v>
      </c>
      <c r="BE23" s="840">
        <v>3916.2715636399998</v>
      </c>
      <c r="BF23" s="840">
        <v>3871.4209676200003</v>
      </c>
      <c r="BG23" s="841">
        <v>3850.40111462</v>
      </c>
      <c r="BH23" s="879">
        <v>3849.5540550700007</v>
      </c>
      <c r="BI23" s="874">
        <v>3822.5425927300003</v>
      </c>
      <c r="BJ23" s="874">
        <v>3764.08007817</v>
      </c>
      <c r="BK23" s="874">
        <v>3809.9874223699994</v>
      </c>
      <c r="BL23" s="874">
        <v>3836.0226434199999</v>
      </c>
      <c r="BM23" s="874">
        <v>3882.4593678199999</v>
      </c>
      <c r="BN23" s="874">
        <v>3958.47147752</v>
      </c>
      <c r="BO23" s="874">
        <v>3979.8139342400004</v>
      </c>
      <c r="BP23" s="874">
        <v>4001.6114396299999</v>
      </c>
      <c r="BQ23" s="874">
        <v>4061.0444658699998</v>
      </c>
      <c r="BR23" s="874">
        <v>4112.4298228400003</v>
      </c>
      <c r="BS23" s="874">
        <v>4147.6351281000007</v>
      </c>
      <c r="BT23" s="874">
        <v>4214.5089060600003</v>
      </c>
      <c r="BU23" s="874">
        <v>4318.2306248300001</v>
      </c>
      <c r="BV23" s="874">
        <v>4306.8880557000002</v>
      </c>
      <c r="BW23" s="874">
        <v>4349.73268603</v>
      </c>
      <c r="BX23" s="874">
        <v>4395.9867601000005</v>
      </c>
      <c r="BY23" s="874">
        <v>4485.5604953500006</v>
      </c>
      <c r="BZ23" s="874">
        <v>4607.4407196699995</v>
      </c>
      <c r="CA23" s="874">
        <v>4754.2839247800002</v>
      </c>
      <c r="CB23" s="874">
        <v>4871.84612199</v>
      </c>
      <c r="CC23" s="874">
        <v>4992.573799310001</v>
      </c>
      <c r="CD23" s="874">
        <v>5121.4115106999998</v>
      </c>
      <c r="CE23" s="874">
        <v>5251.8271501700001</v>
      </c>
      <c r="CF23" s="874">
        <v>5367.7287177799999</v>
      </c>
      <c r="CG23" s="874">
        <v>5496.8786000300006</v>
      </c>
      <c r="CH23" s="874">
        <v>5516.5315075900007</v>
      </c>
      <c r="CI23" s="874">
        <v>5623.1880316399993</v>
      </c>
      <c r="CJ23" s="874">
        <v>5623.1703028800002</v>
      </c>
      <c r="CK23" s="874">
        <v>5423.2353963900005</v>
      </c>
      <c r="CL23" s="874">
        <v>5307.0033278700002</v>
      </c>
      <c r="CM23" s="874">
        <v>5317.0560067299994</v>
      </c>
      <c r="CN23" s="874">
        <v>5356.3966677400003</v>
      </c>
      <c r="CO23" s="874">
        <v>5442.5550670599996</v>
      </c>
      <c r="CP23" s="874">
        <v>5545.6270810399992</v>
      </c>
      <c r="CQ23" s="874">
        <v>5539.7097794899992</v>
      </c>
      <c r="CR23" s="874">
        <v>5531.6003914600005</v>
      </c>
      <c r="CS23" s="874">
        <v>5497.1582496199999</v>
      </c>
      <c r="CT23" s="874">
        <v>5478.8008587499999</v>
      </c>
      <c r="CU23" s="874">
        <v>5548.5984441000001</v>
      </c>
      <c r="CV23" s="874">
        <v>5621.0316040199996</v>
      </c>
      <c r="CW23" s="874">
        <v>5780.7845294899998</v>
      </c>
      <c r="CX23" s="874">
        <v>5868.6245380099999</v>
      </c>
      <c r="CY23" s="874">
        <v>6002.3406056399999</v>
      </c>
      <c r="CZ23" s="874">
        <v>6120.3237127000002</v>
      </c>
      <c r="DA23" s="874">
        <v>6313.6461226199999</v>
      </c>
      <c r="DB23" s="874">
        <v>6508.0531377300003</v>
      </c>
      <c r="DC23" s="874">
        <v>6673.9084049399999</v>
      </c>
      <c r="DD23" s="874">
        <v>6860.2442559800002</v>
      </c>
      <c r="DE23" s="874">
        <v>7110.1787407900001</v>
      </c>
      <c r="DF23" s="874">
        <v>7243.5302423100002</v>
      </c>
      <c r="DG23" s="874">
        <v>7424.9344759899996</v>
      </c>
      <c r="DH23" s="874">
        <v>7792.7348733099998</v>
      </c>
      <c r="DI23" s="874">
        <v>8002.2391012300004</v>
      </c>
      <c r="DJ23" s="874">
        <v>8197.5162691700007</v>
      </c>
      <c r="DK23" s="874">
        <v>8401.1894452300003</v>
      </c>
      <c r="DL23" s="874">
        <v>8551.0009061399996</v>
      </c>
      <c r="DM23" s="874">
        <v>8750.8048404599995</v>
      </c>
      <c r="DN23" s="874">
        <v>9009.5930438699997</v>
      </c>
      <c r="DO23" s="874">
        <v>9239.6608191300002</v>
      </c>
      <c r="DP23" s="874">
        <v>9422.0939369400003</v>
      </c>
      <c r="DQ23" s="874">
        <v>9653.1242387999991</v>
      </c>
      <c r="DR23" s="874">
        <v>9769.6222543900003</v>
      </c>
      <c r="DS23" s="874">
        <v>9914.8133405699991</v>
      </c>
      <c r="DT23" s="874">
        <v>10120.987998029999</v>
      </c>
      <c r="DU23" s="874">
        <v>10391.725659490001</v>
      </c>
      <c r="DV23" s="874">
        <v>10637.07069733</v>
      </c>
      <c r="DW23" s="874">
        <v>10836.236644549999</v>
      </c>
      <c r="DX23" s="874">
        <v>10928.447035249999</v>
      </c>
      <c r="DY23" s="874">
        <v>11230.80201521</v>
      </c>
      <c r="DZ23" s="874">
        <v>11452.1688264</v>
      </c>
      <c r="EA23" s="874">
        <v>11508.85833259</v>
      </c>
      <c r="EB23" s="874">
        <v>11764.86032046</v>
      </c>
      <c r="EC23" s="874">
        <v>11919.19724865</v>
      </c>
      <c r="ED23" s="874">
        <v>12004.08195915</v>
      </c>
      <c r="EE23" s="874">
        <v>12169.617060160001</v>
      </c>
      <c r="EF23" s="874">
        <v>12325.43090381</v>
      </c>
      <c r="EG23" s="874">
        <v>12636.92594838</v>
      </c>
      <c r="EH23" s="874">
        <v>12893.576152940001</v>
      </c>
      <c r="EI23" s="874">
        <v>13061.944130280001</v>
      </c>
      <c r="EJ23" s="874">
        <v>13370.12587319</v>
      </c>
      <c r="EK23" s="874">
        <v>13685.91273962</v>
      </c>
      <c r="EL23" s="874">
        <v>13937.89733652</v>
      </c>
      <c r="EM23" s="874">
        <v>14149.24213502</v>
      </c>
      <c r="EN23" s="874">
        <v>14287.16753246</v>
      </c>
      <c r="EO23" s="874">
        <v>14432.15205284</v>
      </c>
      <c r="EP23" s="874">
        <v>14494.0805089</v>
      </c>
      <c r="EQ23" s="874">
        <v>14591.534203290001</v>
      </c>
      <c r="ER23" s="874">
        <v>14700.88828261</v>
      </c>
      <c r="ES23" s="874">
        <v>14937.5819378</v>
      </c>
      <c r="ET23" s="874">
        <v>15084.55225694</v>
      </c>
      <c r="EU23" s="1928" t="s">
        <v>4084</v>
      </c>
    </row>
    <row r="24" spans="1:151" ht="21">
      <c r="A24" s="1929" t="s">
        <v>1954</v>
      </c>
      <c r="B24" s="842">
        <v>0</v>
      </c>
      <c r="C24" s="842">
        <v>0</v>
      </c>
      <c r="D24" s="842">
        <v>0</v>
      </c>
      <c r="E24" s="842">
        <v>0</v>
      </c>
      <c r="F24" s="842">
        <v>0</v>
      </c>
      <c r="G24" s="842">
        <v>0</v>
      </c>
      <c r="H24" s="842">
        <v>0</v>
      </c>
      <c r="I24" s="842">
        <v>0</v>
      </c>
      <c r="J24" s="842">
        <v>0</v>
      </c>
      <c r="K24" s="842">
        <v>0</v>
      </c>
      <c r="L24" s="842">
        <v>0</v>
      </c>
      <c r="M24" s="843">
        <v>0</v>
      </c>
      <c r="N24" s="843">
        <v>0</v>
      </c>
      <c r="O24" s="843">
        <v>0</v>
      </c>
      <c r="P24" s="843">
        <v>0</v>
      </c>
      <c r="Q24" s="843">
        <v>0</v>
      </c>
      <c r="R24" s="843">
        <v>0</v>
      </c>
      <c r="S24" s="843">
        <v>0</v>
      </c>
      <c r="T24" s="843">
        <v>0</v>
      </c>
      <c r="U24" s="843">
        <v>0</v>
      </c>
      <c r="V24" s="843">
        <v>0</v>
      </c>
      <c r="W24" s="843">
        <v>0</v>
      </c>
      <c r="X24" s="843">
        <v>0</v>
      </c>
      <c r="Y24" s="843">
        <v>0</v>
      </c>
      <c r="Z24" s="843">
        <v>0</v>
      </c>
      <c r="AA24" s="843">
        <v>0</v>
      </c>
      <c r="AB24" s="843">
        <v>16</v>
      </c>
      <c r="AC24" s="843">
        <v>16</v>
      </c>
      <c r="AD24" s="843">
        <v>16</v>
      </c>
      <c r="AE24" s="843">
        <v>16</v>
      </c>
      <c r="AF24" s="843">
        <v>16</v>
      </c>
      <c r="AG24" s="843">
        <v>16</v>
      </c>
      <c r="AH24" s="843">
        <v>16</v>
      </c>
      <c r="AI24" s="843">
        <v>16</v>
      </c>
      <c r="AJ24" s="843">
        <v>16</v>
      </c>
      <c r="AK24" s="843">
        <v>0</v>
      </c>
      <c r="AL24" s="843">
        <v>16</v>
      </c>
      <c r="AM24" s="843">
        <v>16</v>
      </c>
      <c r="AN24" s="843">
        <v>16</v>
      </c>
      <c r="AO24" s="843">
        <v>16</v>
      </c>
      <c r="AP24" s="843">
        <v>16</v>
      </c>
      <c r="AQ24" s="843">
        <v>16</v>
      </c>
      <c r="AR24" s="843">
        <v>16</v>
      </c>
      <c r="AS24" s="843">
        <v>16</v>
      </c>
      <c r="AT24" s="843">
        <v>16</v>
      </c>
      <c r="AU24" s="843">
        <v>16</v>
      </c>
      <c r="AV24" s="843">
        <v>16</v>
      </c>
      <c r="AW24" s="843">
        <v>0</v>
      </c>
      <c r="AX24" s="843">
        <v>16</v>
      </c>
      <c r="AY24" s="843">
        <v>16</v>
      </c>
      <c r="AZ24" s="843">
        <v>16</v>
      </c>
      <c r="BA24" s="843">
        <v>16</v>
      </c>
      <c r="BB24" s="843">
        <v>16</v>
      </c>
      <c r="BC24" s="843">
        <v>16</v>
      </c>
      <c r="BD24" s="843">
        <v>0</v>
      </c>
      <c r="BE24" s="843">
        <v>0</v>
      </c>
      <c r="BF24" s="843">
        <v>0</v>
      </c>
      <c r="BG24" s="844">
        <v>0</v>
      </c>
      <c r="BH24" s="880">
        <v>0</v>
      </c>
      <c r="BI24" s="875">
        <v>0</v>
      </c>
      <c r="BJ24" s="875">
        <v>0</v>
      </c>
      <c r="BK24" s="875">
        <v>0</v>
      </c>
      <c r="BL24" s="875">
        <v>0</v>
      </c>
      <c r="BM24" s="875">
        <v>0</v>
      </c>
      <c r="BN24" s="875">
        <v>0</v>
      </c>
      <c r="BO24" s="875">
        <v>0</v>
      </c>
      <c r="BP24" s="875">
        <v>0</v>
      </c>
      <c r="BQ24" s="875">
        <v>0</v>
      </c>
      <c r="BR24" s="875">
        <v>0</v>
      </c>
      <c r="BS24" s="875">
        <v>0</v>
      </c>
      <c r="BT24" s="875">
        <v>0</v>
      </c>
      <c r="BU24" s="875">
        <v>0</v>
      </c>
      <c r="BV24" s="875">
        <v>0</v>
      </c>
      <c r="BW24" s="875">
        <v>0</v>
      </c>
      <c r="BX24" s="875">
        <v>0</v>
      </c>
      <c r="BY24" s="875">
        <v>0</v>
      </c>
      <c r="BZ24" s="875">
        <v>0</v>
      </c>
      <c r="CA24" s="875">
        <v>0</v>
      </c>
      <c r="CB24" s="875">
        <v>0</v>
      </c>
      <c r="CC24" s="875">
        <v>0</v>
      </c>
      <c r="CD24" s="875">
        <v>0</v>
      </c>
      <c r="CE24" s="875">
        <v>0</v>
      </c>
      <c r="CF24" s="875">
        <v>0</v>
      </c>
      <c r="CG24" s="875">
        <v>0</v>
      </c>
      <c r="CH24" s="875">
        <v>0</v>
      </c>
      <c r="CI24" s="875">
        <v>0</v>
      </c>
      <c r="CJ24" s="875">
        <v>0</v>
      </c>
      <c r="CK24" s="875">
        <v>0</v>
      </c>
      <c r="CL24" s="875">
        <v>0</v>
      </c>
      <c r="CM24" s="875">
        <v>0</v>
      </c>
      <c r="CN24" s="875">
        <v>0</v>
      </c>
      <c r="CO24" s="875">
        <v>0</v>
      </c>
      <c r="CP24" s="875">
        <v>0</v>
      </c>
      <c r="CQ24" s="875">
        <v>0</v>
      </c>
      <c r="CR24" s="875">
        <v>0</v>
      </c>
      <c r="CS24" s="875">
        <v>0</v>
      </c>
      <c r="CT24" s="875">
        <v>0</v>
      </c>
      <c r="CU24" s="875">
        <v>0</v>
      </c>
      <c r="CV24" s="875">
        <v>0</v>
      </c>
      <c r="CW24" s="875">
        <v>0</v>
      </c>
      <c r="CX24" s="875">
        <v>0</v>
      </c>
      <c r="CY24" s="875">
        <v>0</v>
      </c>
      <c r="CZ24" s="875">
        <v>0</v>
      </c>
      <c r="DA24" s="875">
        <v>0</v>
      </c>
      <c r="DB24" s="875">
        <v>0</v>
      </c>
      <c r="DC24" s="875">
        <v>0</v>
      </c>
      <c r="DD24" s="875">
        <v>0</v>
      </c>
      <c r="DE24" s="875">
        <v>0</v>
      </c>
      <c r="DF24" s="875">
        <v>0</v>
      </c>
      <c r="DG24" s="875">
        <v>0</v>
      </c>
      <c r="DH24" s="875">
        <v>0</v>
      </c>
      <c r="DI24" s="875">
        <v>0</v>
      </c>
      <c r="DJ24" s="875">
        <v>0</v>
      </c>
      <c r="DK24" s="875">
        <v>0</v>
      </c>
      <c r="DL24" s="875">
        <v>0</v>
      </c>
      <c r="DM24" s="875">
        <v>0</v>
      </c>
      <c r="DN24" s="875">
        <v>0</v>
      </c>
      <c r="DO24" s="875">
        <v>0</v>
      </c>
      <c r="DP24" s="875">
        <v>0</v>
      </c>
      <c r="DQ24" s="875">
        <v>0</v>
      </c>
      <c r="DR24" s="875">
        <v>0</v>
      </c>
      <c r="DS24" s="875">
        <v>0</v>
      </c>
      <c r="DT24" s="875">
        <v>0</v>
      </c>
      <c r="DU24" s="875">
        <v>0</v>
      </c>
      <c r="DV24" s="875">
        <v>0</v>
      </c>
      <c r="DW24" s="875">
        <v>0</v>
      </c>
      <c r="DX24" s="875">
        <v>0</v>
      </c>
      <c r="DY24" s="875">
        <v>0</v>
      </c>
      <c r="DZ24" s="875">
        <v>0</v>
      </c>
      <c r="EA24" s="875">
        <v>0</v>
      </c>
      <c r="EB24" s="875">
        <v>0</v>
      </c>
      <c r="EC24" s="875">
        <v>0</v>
      </c>
      <c r="ED24" s="875">
        <v>0</v>
      </c>
      <c r="EE24" s="875">
        <v>0</v>
      </c>
      <c r="EF24" s="875">
        <v>0</v>
      </c>
      <c r="EG24" s="875">
        <v>0</v>
      </c>
      <c r="EH24" s="875">
        <v>0</v>
      </c>
      <c r="EI24" s="875">
        <v>0</v>
      </c>
      <c r="EJ24" s="875">
        <v>0</v>
      </c>
      <c r="EK24" s="875">
        <v>0</v>
      </c>
      <c r="EL24" s="875">
        <v>0</v>
      </c>
      <c r="EM24" s="875">
        <v>0</v>
      </c>
      <c r="EN24" s="875">
        <v>0</v>
      </c>
      <c r="EO24" s="875">
        <v>0</v>
      </c>
      <c r="EP24" s="875">
        <v>0</v>
      </c>
      <c r="EQ24" s="875">
        <v>0</v>
      </c>
      <c r="ER24" s="875">
        <v>0</v>
      </c>
      <c r="ES24" s="875">
        <v>0</v>
      </c>
      <c r="ET24" s="875">
        <v>0</v>
      </c>
      <c r="EU24" s="1934" t="s">
        <v>4090</v>
      </c>
    </row>
    <row r="25" spans="1:151" ht="21">
      <c r="A25" s="1930" t="s">
        <v>189</v>
      </c>
      <c r="B25" s="839">
        <v>2397.3404618200002</v>
      </c>
      <c r="C25" s="842">
        <v>2434.4491340899999</v>
      </c>
      <c r="D25" s="842">
        <v>2530.1557090599999</v>
      </c>
      <c r="E25" s="842">
        <v>2650.7536850400002</v>
      </c>
      <c r="F25" s="842">
        <v>2760.8022356800002</v>
      </c>
      <c r="G25" s="842">
        <v>2840.96808113</v>
      </c>
      <c r="H25" s="842">
        <v>2947.1628406600003</v>
      </c>
      <c r="I25" s="842">
        <v>3037.0473277499996</v>
      </c>
      <c r="J25" s="842">
        <v>3108.15250113</v>
      </c>
      <c r="K25" s="842">
        <v>3211.1532535800006</v>
      </c>
      <c r="L25" s="842">
        <v>3302.9519496000003</v>
      </c>
      <c r="M25" s="840">
        <v>3463.1136425299992</v>
      </c>
      <c r="N25" s="843">
        <v>3528.4361287400002</v>
      </c>
      <c r="O25" s="843">
        <v>3603.8401909499999</v>
      </c>
      <c r="P25" s="840">
        <v>3676.4016216</v>
      </c>
      <c r="Q25" s="840">
        <v>3781.5086010199998</v>
      </c>
      <c r="R25" s="840">
        <v>3880.3492997900003</v>
      </c>
      <c r="S25" s="840">
        <v>3936.0847970799996</v>
      </c>
      <c r="T25" s="840">
        <v>4021.5572752400003</v>
      </c>
      <c r="U25" s="840">
        <v>4118.9345882699999</v>
      </c>
      <c r="V25" s="840">
        <v>4217.6978599100003</v>
      </c>
      <c r="W25" s="840">
        <v>4234.6246917600001</v>
      </c>
      <c r="X25" s="840">
        <v>4360.6064291299999</v>
      </c>
      <c r="Y25" s="840">
        <v>4472.0477258500005</v>
      </c>
      <c r="Z25" s="840">
        <v>4507.1112850500003</v>
      </c>
      <c r="AA25" s="843">
        <v>4470.8257775000002</v>
      </c>
      <c r="AB25" s="840">
        <v>4415.9170936399996</v>
      </c>
      <c r="AC25" s="840">
        <v>4375.8388521899997</v>
      </c>
      <c r="AD25" s="840">
        <v>4255.5702338400006</v>
      </c>
      <c r="AE25" s="840">
        <v>4136.3615813100005</v>
      </c>
      <c r="AF25" s="840">
        <v>4069.23681111</v>
      </c>
      <c r="AG25" s="840">
        <v>4057.1221886900003</v>
      </c>
      <c r="AH25" s="840">
        <v>4061.5250724999996</v>
      </c>
      <c r="AI25" s="840">
        <v>4064.3638673699993</v>
      </c>
      <c r="AJ25" s="840">
        <v>4100.4727960499995</v>
      </c>
      <c r="AK25" s="840">
        <v>4139.3874426200009</v>
      </c>
      <c r="AL25" s="840">
        <v>3910.7475975500001</v>
      </c>
      <c r="AM25" s="840">
        <v>3836.0358085600001</v>
      </c>
      <c r="AN25" s="840">
        <v>3826.5166534799996</v>
      </c>
      <c r="AO25" s="840">
        <v>3701.6012327600001</v>
      </c>
      <c r="AP25" s="840">
        <v>3620.1093008500002</v>
      </c>
      <c r="AQ25" s="840">
        <v>3618.60893876</v>
      </c>
      <c r="AR25" s="840">
        <v>3224.2674005199997</v>
      </c>
      <c r="AS25" s="840">
        <v>3290.18293606</v>
      </c>
      <c r="AT25" s="840">
        <v>3296.0413002100004</v>
      </c>
      <c r="AU25" s="840">
        <v>3216.8242949</v>
      </c>
      <c r="AV25" s="840">
        <v>3219.9390315000001</v>
      </c>
      <c r="AW25" s="840">
        <v>3233.0483753399999</v>
      </c>
      <c r="AX25" s="840">
        <v>3179.4149013999995</v>
      </c>
      <c r="AY25" s="840">
        <v>3137.46036288</v>
      </c>
      <c r="AZ25" s="840">
        <v>3088.5109793199999</v>
      </c>
      <c r="BA25" s="840">
        <v>3051.8572792899995</v>
      </c>
      <c r="BB25" s="840">
        <v>3005.8938775900001</v>
      </c>
      <c r="BC25" s="840">
        <v>2975.2959043299998</v>
      </c>
      <c r="BD25" s="840">
        <v>2952.4303911699999</v>
      </c>
      <c r="BE25" s="840">
        <v>2971.9634636999999</v>
      </c>
      <c r="BF25" s="840">
        <v>2963.3113738100005</v>
      </c>
      <c r="BG25" s="841">
        <v>2988.1316363599999</v>
      </c>
      <c r="BH25" s="879">
        <v>3021.2109347100004</v>
      </c>
      <c r="BI25" s="874">
        <v>3052.4329639000002</v>
      </c>
      <c r="BJ25" s="874">
        <v>3027.7731812299999</v>
      </c>
      <c r="BK25" s="874">
        <v>3082.6521439899993</v>
      </c>
      <c r="BL25" s="874">
        <v>3136.14050215</v>
      </c>
      <c r="BM25" s="874">
        <v>3215.7763763500002</v>
      </c>
      <c r="BN25" s="874">
        <v>3321.3115408600002</v>
      </c>
      <c r="BO25" s="874">
        <v>3371.1462939100002</v>
      </c>
      <c r="BP25" s="874">
        <v>3416.0473417200001</v>
      </c>
      <c r="BQ25" s="874">
        <v>3503.47728461</v>
      </c>
      <c r="BR25" s="874">
        <v>3571.32878897</v>
      </c>
      <c r="BS25" s="874">
        <v>3648.1489246300002</v>
      </c>
      <c r="BT25" s="874">
        <v>3711.2816690099999</v>
      </c>
      <c r="BU25" s="874">
        <v>3840.7614551199999</v>
      </c>
      <c r="BV25" s="874">
        <v>3851.64386921</v>
      </c>
      <c r="BW25" s="874">
        <v>3904.4124163900001</v>
      </c>
      <c r="BX25" s="874">
        <v>3963.7522623200002</v>
      </c>
      <c r="BY25" s="874">
        <v>4090.0760079500001</v>
      </c>
      <c r="BZ25" s="874">
        <v>4225.1756636199998</v>
      </c>
      <c r="CA25" s="874">
        <v>4338.8830322700005</v>
      </c>
      <c r="CB25" s="874">
        <v>4472.2604802100004</v>
      </c>
      <c r="CC25" s="874">
        <v>4600.3889880000006</v>
      </c>
      <c r="CD25" s="874">
        <v>4737.1808413500003</v>
      </c>
      <c r="CE25" s="874">
        <v>4869.9556747799998</v>
      </c>
      <c r="CF25" s="874">
        <v>4961.2199586500001</v>
      </c>
      <c r="CG25" s="874">
        <v>5100.1172969600002</v>
      </c>
      <c r="CH25" s="874">
        <v>5124.8964839200007</v>
      </c>
      <c r="CI25" s="874">
        <v>5234.3079467299995</v>
      </c>
      <c r="CJ25" s="874">
        <v>5250.9368402400005</v>
      </c>
      <c r="CK25" s="874">
        <v>5057.8497382100004</v>
      </c>
      <c r="CL25" s="874">
        <v>4951.67838183</v>
      </c>
      <c r="CM25" s="874">
        <v>4979.6068053799991</v>
      </c>
      <c r="CN25" s="874">
        <v>5018.5814449</v>
      </c>
      <c r="CO25" s="874">
        <v>5106.2733573299993</v>
      </c>
      <c r="CP25" s="874">
        <v>5202.7442448599995</v>
      </c>
      <c r="CQ25" s="874">
        <v>5205.4951686099994</v>
      </c>
      <c r="CR25" s="874">
        <v>5198.8400734900006</v>
      </c>
      <c r="CS25" s="874">
        <v>5170.6210995900001</v>
      </c>
      <c r="CT25" s="874">
        <v>5207.1015527400004</v>
      </c>
      <c r="CU25" s="874">
        <v>5271.5802983399999</v>
      </c>
      <c r="CV25" s="874">
        <v>5352.59089012</v>
      </c>
      <c r="CW25" s="874">
        <v>5514.19361802</v>
      </c>
      <c r="CX25" s="874">
        <v>5609.2249893199996</v>
      </c>
      <c r="CY25" s="874">
        <v>5743.4867092300001</v>
      </c>
      <c r="CZ25" s="874">
        <v>5861.5706071000004</v>
      </c>
      <c r="DA25" s="874">
        <v>6052.3078177099997</v>
      </c>
      <c r="DB25" s="874">
        <v>6245.8924052599996</v>
      </c>
      <c r="DC25" s="874">
        <v>6413.3935237599999</v>
      </c>
      <c r="DD25" s="874">
        <v>6608.5060519500003</v>
      </c>
      <c r="DE25" s="874">
        <v>6857.53063449</v>
      </c>
      <c r="DF25" s="874">
        <v>7000.4802723499997</v>
      </c>
      <c r="DG25" s="874">
        <v>7180.8613192499997</v>
      </c>
      <c r="DH25" s="874">
        <v>7399.6583697400001</v>
      </c>
      <c r="DI25" s="874">
        <v>7659.4307126699996</v>
      </c>
      <c r="DJ25" s="874">
        <v>7850.85153945</v>
      </c>
      <c r="DK25" s="874">
        <v>8081.8257639599997</v>
      </c>
      <c r="DL25" s="874">
        <v>8238.8693234000002</v>
      </c>
      <c r="DM25" s="874">
        <v>8455.8526685100005</v>
      </c>
      <c r="DN25" s="874">
        <v>8707.5597014100003</v>
      </c>
      <c r="DO25" s="874">
        <v>8929.9351855999994</v>
      </c>
      <c r="DP25" s="874">
        <v>9114.0993186699998</v>
      </c>
      <c r="DQ25" s="874">
        <v>9255.4666333599998</v>
      </c>
      <c r="DR25" s="874">
        <v>9372.2895234799998</v>
      </c>
      <c r="DS25" s="874">
        <v>9522.7215718999996</v>
      </c>
      <c r="DT25" s="874">
        <v>9730.9228272199998</v>
      </c>
      <c r="DU25" s="874">
        <v>9993.7536733300003</v>
      </c>
      <c r="DV25" s="874">
        <v>10235.40189995</v>
      </c>
      <c r="DW25" s="874">
        <v>10442.09906162</v>
      </c>
      <c r="DX25" s="874">
        <v>10679.17330443</v>
      </c>
      <c r="DY25" s="874">
        <v>10979.66499173</v>
      </c>
      <c r="DZ25" s="874">
        <v>11200.19993952</v>
      </c>
      <c r="EA25" s="874">
        <v>11262.349084379999</v>
      </c>
      <c r="EB25" s="874">
        <v>11520.120056919999</v>
      </c>
      <c r="EC25" s="874">
        <v>11677.56784272</v>
      </c>
      <c r="ED25" s="874">
        <v>11764.36221141</v>
      </c>
      <c r="EE25" s="874">
        <v>11937.348131999999</v>
      </c>
      <c r="EF25" s="874">
        <v>12099.31343824</v>
      </c>
      <c r="EG25" s="874">
        <v>12410.906008239999</v>
      </c>
      <c r="EH25" s="874">
        <v>12675.181408820001</v>
      </c>
      <c r="EI25" s="874">
        <v>12831.713078049999</v>
      </c>
      <c r="EJ25" s="874">
        <v>13128.83417706</v>
      </c>
      <c r="EK25" s="874">
        <v>13443.49654677</v>
      </c>
      <c r="EL25" s="874">
        <v>13698.356425870001</v>
      </c>
      <c r="EM25" s="874">
        <v>13916.08323054</v>
      </c>
      <c r="EN25" s="874">
        <v>14057.308050940001</v>
      </c>
      <c r="EO25" s="874">
        <v>14215.04588046</v>
      </c>
      <c r="EP25" s="874">
        <v>14283.910663160001</v>
      </c>
      <c r="EQ25" s="874">
        <v>14385.10378299</v>
      </c>
      <c r="ER25" s="874">
        <v>14494.25299382</v>
      </c>
      <c r="ES25" s="874">
        <v>14732.42089594</v>
      </c>
      <c r="ET25" s="874">
        <v>14888.318272160001</v>
      </c>
      <c r="EU25" s="1930" t="s">
        <v>212</v>
      </c>
    </row>
    <row r="26" spans="1:151" ht="21">
      <c r="A26" s="1929" t="s">
        <v>1954</v>
      </c>
      <c r="B26" s="842">
        <v>0</v>
      </c>
      <c r="C26" s="842">
        <v>0</v>
      </c>
      <c r="D26" s="842">
        <v>0</v>
      </c>
      <c r="E26" s="842">
        <v>0</v>
      </c>
      <c r="F26" s="842">
        <v>0</v>
      </c>
      <c r="G26" s="842">
        <v>0</v>
      </c>
      <c r="H26" s="842">
        <v>0</v>
      </c>
      <c r="I26" s="842">
        <v>0</v>
      </c>
      <c r="J26" s="842">
        <v>0</v>
      </c>
      <c r="K26" s="842">
        <v>0</v>
      </c>
      <c r="L26" s="842">
        <v>0</v>
      </c>
      <c r="M26" s="843">
        <v>0</v>
      </c>
      <c r="N26" s="843">
        <v>0</v>
      </c>
      <c r="O26" s="843">
        <v>0</v>
      </c>
      <c r="P26" s="843">
        <v>0</v>
      </c>
      <c r="Q26" s="843">
        <v>0</v>
      </c>
      <c r="R26" s="843">
        <v>0</v>
      </c>
      <c r="S26" s="843">
        <v>0</v>
      </c>
      <c r="T26" s="843">
        <v>0</v>
      </c>
      <c r="U26" s="843">
        <v>0</v>
      </c>
      <c r="V26" s="843">
        <v>0</v>
      </c>
      <c r="W26" s="843">
        <v>0</v>
      </c>
      <c r="X26" s="843">
        <v>0</v>
      </c>
      <c r="Y26" s="843">
        <v>0</v>
      </c>
      <c r="Z26" s="843">
        <v>0</v>
      </c>
      <c r="AA26" s="843">
        <v>0</v>
      </c>
      <c r="AB26" s="843">
        <v>8</v>
      </c>
      <c r="AC26" s="843">
        <v>8</v>
      </c>
      <c r="AD26" s="843">
        <v>8</v>
      </c>
      <c r="AE26" s="843">
        <v>8</v>
      </c>
      <c r="AF26" s="843">
        <v>8</v>
      </c>
      <c r="AG26" s="843">
        <v>8</v>
      </c>
      <c r="AH26" s="843">
        <v>8</v>
      </c>
      <c r="AI26" s="843">
        <v>8</v>
      </c>
      <c r="AJ26" s="843">
        <v>8</v>
      </c>
      <c r="AK26" s="843">
        <v>0</v>
      </c>
      <c r="AL26" s="843">
        <v>8</v>
      </c>
      <c r="AM26" s="843">
        <v>8</v>
      </c>
      <c r="AN26" s="843">
        <v>8</v>
      </c>
      <c r="AO26" s="843">
        <v>8</v>
      </c>
      <c r="AP26" s="843">
        <v>8</v>
      </c>
      <c r="AQ26" s="843">
        <v>8</v>
      </c>
      <c r="AR26" s="843">
        <v>8</v>
      </c>
      <c r="AS26" s="843">
        <v>8</v>
      </c>
      <c r="AT26" s="843">
        <v>8</v>
      </c>
      <c r="AU26" s="843">
        <v>8</v>
      </c>
      <c r="AV26" s="843">
        <v>8</v>
      </c>
      <c r="AW26" s="843">
        <v>0</v>
      </c>
      <c r="AX26" s="843">
        <v>8</v>
      </c>
      <c r="AY26" s="843">
        <v>8</v>
      </c>
      <c r="AZ26" s="843">
        <v>8</v>
      </c>
      <c r="BA26" s="843">
        <v>8</v>
      </c>
      <c r="BB26" s="843">
        <v>8</v>
      </c>
      <c r="BC26" s="843">
        <v>8</v>
      </c>
      <c r="BD26" s="843">
        <v>0</v>
      </c>
      <c r="BE26" s="843">
        <v>0</v>
      </c>
      <c r="BF26" s="843">
        <v>0</v>
      </c>
      <c r="BG26" s="844">
        <v>0</v>
      </c>
      <c r="BH26" s="880">
        <v>0</v>
      </c>
      <c r="BI26" s="875">
        <v>0</v>
      </c>
      <c r="BJ26" s="875">
        <v>0</v>
      </c>
      <c r="BK26" s="875">
        <v>0</v>
      </c>
      <c r="BL26" s="875">
        <v>0</v>
      </c>
      <c r="BM26" s="875">
        <v>0</v>
      </c>
      <c r="BN26" s="875">
        <v>0</v>
      </c>
      <c r="BO26" s="875">
        <v>0</v>
      </c>
      <c r="BP26" s="875">
        <v>0</v>
      </c>
      <c r="BQ26" s="875">
        <v>0</v>
      </c>
      <c r="BR26" s="875">
        <v>0</v>
      </c>
      <c r="BS26" s="875">
        <v>0</v>
      </c>
      <c r="BT26" s="875">
        <v>0</v>
      </c>
      <c r="BU26" s="875">
        <v>0</v>
      </c>
      <c r="BV26" s="875">
        <v>0</v>
      </c>
      <c r="BW26" s="875">
        <v>0</v>
      </c>
      <c r="BX26" s="875">
        <v>0</v>
      </c>
      <c r="BY26" s="875">
        <v>0</v>
      </c>
      <c r="BZ26" s="875">
        <v>0</v>
      </c>
      <c r="CA26" s="875">
        <v>0</v>
      </c>
      <c r="CB26" s="875">
        <v>0</v>
      </c>
      <c r="CC26" s="875">
        <v>0</v>
      </c>
      <c r="CD26" s="875">
        <v>0</v>
      </c>
      <c r="CE26" s="875">
        <v>0</v>
      </c>
      <c r="CF26" s="875">
        <v>0</v>
      </c>
      <c r="CG26" s="875">
        <v>0</v>
      </c>
      <c r="CH26" s="875">
        <v>0</v>
      </c>
      <c r="CI26" s="875">
        <v>0</v>
      </c>
      <c r="CJ26" s="875">
        <v>0</v>
      </c>
      <c r="CK26" s="875">
        <v>0</v>
      </c>
      <c r="CL26" s="875">
        <v>0</v>
      </c>
      <c r="CM26" s="875">
        <v>0</v>
      </c>
      <c r="CN26" s="875">
        <v>0</v>
      </c>
      <c r="CO26" s="875">
        <v>0</v>
      </c>
      <c r="CP26" s="875">
        <v>0</v>
      </c>
      <c r="CQ26" s="875">
        <v>0</v>
      </c>
      <c r="CR26" s="875">
        <v>0</v>
      </c>
      <c r="CS26" s="875">
        <v>0</v>
      </c>
      <c r="CT26" s="875">
        <v>0</v>
      </c>
      <c r="CU26" s="875">
        <v>0</v>
      </c>
      <c r="CV26" s="875">
        <v>0</v>
      </c>
      <c r="CW26" s="875">
        <v>0</v>
      </c>
      <c r="CX26" s="875">
        <v>0</v>
      </c>
      <c r="CY26" s="875">
        <v>0</v>
      </c>
      <c r="CZ26" s="875">
        <v>0</v>
      </c>
      <c r="DA26" s="875">
        <v>0</v>
      </c>
      <c r="DB26" s="875">
        <v>0</v>
      </c>
      <c r="DC26" s="875">
        <v>0</v>
      </c>
      <c r="DD26" s="875">
        <v>0</v>
      </c>
      <c r="DE26" s="875">
        <v>0</v>
      </c>
      <c r="DF26" s="875">
        <v>0</v>
      </c>
      <c r="DG26" s="875">
        <v>0</v>
      </c>
      <c r="DH26" s="875">
        <v>0</v>
      </c>
      <c r="DI26" s="875">
        <v>0</v>
      </c>
      <c r="DJ26" s="875">
        <v>0</v>
      </c>
      <c r="DK26" s="875">
        <v>0</v>
      </c>
      <c r="DL26" s="875">
        <v>0</v>
      </c>
      <c r="DM26" s="875">
        <v>0</v>
      </c>
      <c r="DN26" s="875">
        <v>0</v>
      </c>
      <c r="DO26" s="875">
        <v>0</v>
      </c>
      <c r="DP26" s="875">
        <v>0</v>
      </c>
      <c r="DQ26" s="875">
        <v>0</v>
      </c>
      <c r="DR26" s="875">
        <v>0</v>
      </c>
      <c r="DS26" s="875">
        <v>0</v>
      </c>
      <c r="DT26" s="875">
        <v>0</v>
      </c>
      <c r="DU26" s="875">
        <v>0</v>
      </c>
      <c r="DV26" s="875">
        <v>0</v>
      </c>
      <c r="DW26" s="875">
        <v>0</v>
      </c>
      <c r="DX26" s="875">
        <v>0</v>
      </c>
      <c r="DY26" s="875">
        <v>0</v>
      </c>
      <c r="DZ26" s="875">
        <v>0</v>
      </c>
      <c r="EA26" s="875">
        <v>0</v>
      </c>
      <c r="EB26" s="875">
        <v>0</v>
      </c>
      <c r="EC26" s="875">
        <v>0</v>
      </c>
      <c r="ED26" s="875">
        <v>0</v>
      </c>
      <c r="EE26" s="875">
        <v>0</v>
      </c>
      <c r="EF26" s="875">
        <v>0</v>
      </c>
      <c r="EG26" s="875">
        <v>0</v>
      </c>
      <c r="EH26" s="875">
        <v>0</v>
      </c>
      <c r="EI26" s="875">
        <v>0</v>
      </c>
      <c r="EJ26" s="875">
        <v>0</v>
      </c>
      <c r="EK26" s="875">
        <v>0</v>
      </c>
      <c r="EL26" s="875">
        <v>0</v>
      </c>
      <c r="EM26" s="875">
        <v>0</v>
      </c>
      <c r="EN26" s="875">
        <v>0</v>
      </c>
      <c r="EO26" s="875">
        <v>0</v>
      </c>
      <c r="EP26" s="875">
        <v>0</v>
      </c>
      <c r="EQ26" s="875">
        <v>0</v>
      </c>
      <c r="ER26" s="875">
        <v>0</v>
      </c>
      <c r="ES26" s="875">
        <v>0</v>
      </c>
      <c r="ET26" s="875">
        <v>0</v>
      </c>
      <c r="EU26" s="1934" t="s">
        <v>4090</v>
      </c>
    </row>
    <row r="27" spans="1:151" ht="21">
      <c r="A27" s="1930" t="s">
        <v>2753</v>
      </c>
      <c r="B27" s="839">
        <v>828.35803253000006</v>
      </c>
      <c r="C27" s="842">
        <v>858.21479768000006</v>
      </c>
      <c r="D27" s="842">
        <v>868.18845834999991</v>
      </c>
      <c r="E27" s="842">
        <v>901.03633337000008</v>
      </c>
      <c r="F27" s="842">
        <v>929.41847127000005</v>
      </c>
      <c r="G27" s="842">
        <v>950.66743289999999</v>
      </c>
      <c r="H27" s="842">
        <v>987.25302735000002</v>
      </c>
      <c r="I27" s="842">
        <v>1018.0926711400001</v>
      </c>
      <c r="J27" s="842">
        <v>1055.7079333199999</v>
      </c>
      <c r="K27" s="842">
        <v>1092.8478939900001</v>
      </c>
      <c r="L27" s="842">
        <v>1117.66712575</v>
      </c>
      <c r="M27" s="840">
        <v>1133.12660409</v>
      </c>
      <c r="N27" s="843">
        <v>1118.7665817100001</v>
      </c>
      <c r="O27" s="843">
        <v>1120.1861996999999</v>
      </c>
      <c r="P27" s="840">
        <v>1119.9489555099999</v>
      </c>
      <c r="Q27" s="840">
        <v>1160.7422918</v>
      </c>
      <c r="R27" s="840">
        <v>1193.69774977</v>
      </c>
      <c r="S27" s="840">
        <v>1212.38465301</v>
      </c>
      <c r="T27" s="840">
        <v>1239.9584538299998</v>
      </c>
      <c r="U27" s="840">
        <v>1266.3769587199999</v>
      </c>
      <c r="V27" s="840">
        <v>1290.68717328</v>
      </c>
      <c r="W27" s="840">
        <v>1292.5176758100001</v>
      </c>
      <c r="X27" s="840">
        <v>1332.02989912</v>
      </c>
      <c r="Y27" s="840">
        <v>1370.00668627</v>
      </c>
      <c r="Z27" s="840">
        <v>1372.8944351399998</v>
      </c>
      <c r="AA27" s="843">
        <v>1987.42531024</v>
      </c>
      <c r="AB27" s="840">
        <v>1947.8183938500001</v>
      </c>
      <c r="AC27" s="840">
        <v>1936.4378328400001</v>
      </c>
      <c r="AD27" s="840">
        <v>1955.80484555</v>
      </c>
      <c r="AE27" s="840">
        <v>1945.3303667299999</v>
      </c>
      <c r="AF27" s="840">
        <v>1923.5056507100003</v>
      </c>
      <c r="AG27" s="840">
        <v>1859.09740018</v>
      </c>
      <c r="AH27" s="840">
        <v>1768.1502920500002</v>
      </c>
      <c r="AI27" s="840">
        <v>1740.0352373999999</v>
      </c>
      <c r="AJ27" s="840">
        <v>1676.4660457</v>
      </c>
      <c r="AK27" s="840">
        <v>2337.5915936199999</v>
      </c>
      <c r="AL27" s="840">
        <v>2302.5415869499998</v>
      </c>
      <c r="AM27" s="840">
        <v>2178.51890688</v>
      </c>
      <c r="AN27" s="840">
        <v>2085.91870982</v>
      </c>
      <c r="AO27" s="840">
        <v>1983.4439783500002</v>
      </c>
      <c r="AP27" s="840">
        <v>1864.41846908</v>
      </c>
      <c r="AQ27" s="840">
        <v>1849.6023787699999</v>
      </c>
      <c r="AR27" s="840">
        <v>1652.9200395700002</v>
      </c>
      <c r="AS27" s="840">
        <v>1603.52162436</v>
      </c>
      <c r="AT27" s="840">
        <v>1516.2385337999999</v>
      </c>
      <c r="AU27" s="840">
        <v>1381.69253011</v>
      </c>
      <c r="AV27" s="840">
        <v>1376.13484193</v>
      </c>
      <c r="AW27" s="840">
        <v>1322.9083764799998</v>
      </c>
      <c r="AX27" s="840">
        <v>1369.4085991899999</v>
      </c>
      <c r="AY27" s="840">
        <v>1200.2710428799999</v>
      </c>
      <c r="AZ27" s="840">
        <v>1147.8337605699999</v>
      </c>
      <c r="BA27" s="840">
        <v>1111.8793086500002</v>
      </c>
      <c r="BB27" s="840">
        <v>1100.6336823600002</v>
      </c>
      <c r="BC27" s="840">
        <v>1063.0838547000001</v>
      </c>
      <c r="BD27" s="840">
        <v>995.37049660999992</v>
      </c>
      <c r="BE27" s="840">
        <v>944.30809993999992</v>
      </c>
      <c r="BF27" s="840">
        <v>908.10959380999986</v>
      </c>
      <c r="BG27" s="841">
        <v>862.26947826000003</v>
      </c>
      <c r="BH27" s="879">
        <v>828.34312036000006</v>
      </c>
      <c r="BI27" s="874">
        <v>770.10962882999991</v>
      </c>
      <c r="BJ27" s="874">
        <v>736.30689694</v>
      </c>
      <c r="BK27" s="874">
        <v>727.33527837999998</v>
      </c>
      <c r="BL27" s="874">
        <v>699.88214126999992</v>
      </c>
      <c r="BM27" s="874">
        <v>666.68299146999993</v>
      </c>
      <c r="BN27" s="874">
        <v>637.15993665999997</v>
      </c>
      <c r="BO27" s="874">
        <v>608.66764033000015</v>
      </c>
      <c r="BP27" s="874">
        <v>585.56409790999999</v>
      </c>
      <c r="BQ27" s="874">
        <v>557.56718125999987</v>
      </c>
      <c r="BR27" s="874">
        <v>541.10103387000004</v>
      </c>
      <c r="BS27" s="874">
        <v>499.48620347000002</v>
      </c>
      <c r="BT27" s="874">
        <v>503.22723704999999</v>
      </c>
      <c r="BU27" s="874">
        <v>477.46916971000002</v>
      </c>
      <c r="BV27" s="874">
        <v>455.24418648999995</v>
      </c>
      <c r="BW27" s="874">
        <v>445.32026963999994</v>
      </c>
      <c r="BX27" s="874">
        <v>432.23449778000003</v>
      </c>
      <c r="BY27" s="874">
        <v>395.48448740000003</v>
      </c>
      <c r="BZ27" s="874">
        <v>382.26505605</v>
      </c>
      <c r="CA27" s="874">
        <v>415.40089251000001</v>
      </c>
      <c r="CB27" s="874">
        <v>399.58564178</v>
      </c>
      <c r="CC27" s="874">
        <v>392.18481131000004</v>
      </c>
      <c r="CD27" s="874">
        <v>384.23066934999997</v>
      </c>
      <c r="CE27" s="874">
        <v>381.87147539</v>
      </c>
      <c r="CF27" s="874">
        <v>406.50875912999999</v>
      </c>
      <c r="CG27" s="874">
        <v>396.76130307</v>
      </c>
      <c r="CH27" s="874">
        <v>391.63502367000007</v>
      </c>
      <c r="CI27" s="874">
        <v>388.88008491000005</v>
      </c>
      <c r="CJ27" s="874">
        <v>372.23346263999997</v>
      </c>
      <c r="CK27" s="874">
        <v>365.38565818000001</v>
      </c>
      <c r="CL27" s="874">
        <v>355.32494603999999</v>
      </c>
      <c r="CM27" s="874">
        <v>337.44920135000001</v>
      </c>
      <c r="CN27" s="874">
        <v>337.81522284000005</v>
      </c>
      <c r="CO27" s="874">
        <v>336.28170972999999</v>
      </c>
      <c r="CP27" s="874">
        <v>342.88283617999997</v>
      </c>
      <c r="CQ27" s="874">
        <v>334.21461088000001</v>
      </c>
      <c r="CR27" s="874">
        <v>332.76031796999996</v>
      </c>
      <c r="CS27" s="874">
        <v>326.53715002999996</v>
      </c>
      <c r="CT27" s="874">
        <v>271.69930600999999</v>
      </c>
      <c r="CU27" s="874">
        <v>277.01814575999998</v>
      </c>
      <c r="CV27" s="874">
        <v>268.44071389999999</v>
      </c>
      <c r="CW27" s="874">
        <v>266.59091146999998</v>
      </c>
      <c r="CX27" s="874">
        <v>259.39954869000002</v>
      </c>
      <c r="CY27" s="874">
        <v>258.85389641</v>
      </c>
      <c r="CZ27" s="874">
        <v>258.75310560000003</v>
      </c>
      <c r="DA27" s="874">
        <v>261.33830490999998</v>
      </c>
      <c r="DB27" s="874">
        <v>262.16073247000003</v>
      </c>
      <c r="DC27" s="874">
        <v>260.51488117999997</v>
      </c>
      <c r="DD27" s="874">
        <v>251.73820402999999</v>
      </c>
      <c r="DE27" s="874">
        <v>252.64810629999999</v>
      </c>
      <c r="DF27" s="874">
        <v>243.04996996</v>
      </c>
      <c r="DG27" s="874">
        <v>244.07315674</v>
      </c>
      <c r="DH27" s="874">
        <v>393.07650357</v>
      </c>
      <c r="DI27" s="874">
        <v>342.80838856000003</v>
      </c>
      <c r="DJ27" s="874">
        <v>346.66472972000003</v>
      </c>
      <c r="DK27" s="874">
        <v>319.36368126999997</v>
      </c>
      <c r="DL27" s="874">
        <v>312.13158274</v>
      </c>
      <c r="DM27" s="874">
        <v>294.95217194999998</v>
      </c>
      <c r="DN27" s="874">
        <v>302.03334245999997</v>
      </c>
      <c r="DO27" s="874">
        <v>309.72563352999998</v>
      </c>
      <c r="DP27" s="874">
        <v>307.99461826999999</v>
      </c>
      <c r="DQ27" s="874">
        <v>397.65760544</v>
      </c>
      <c r="DR27" s="874">
        <v>397.33273091000001</v>
      </c>
      <c r="DS27" s="874">
        <v>392.09176867000002</v>
      </c>
      <c r="DT27" s="874">
        <v>390.06517080999998</v>
      </c>
      <c r="DU27" s="874">
        <v>397.97198615999997</v>
      </c>
      <c r="DV27" s="874">
        <v>401.66879738</v>
      </c>
      <c r="DW27" s="874">
        <v>394.13758293000001</v>
      </c>
      <c r="DX27" s="874">
        <v>249.27373082</v>
      </c>
      <c r="DY27" s="874">
        <v>251.13702348000001</v>
      </c>
      <c r="DZ27" s="874">
        <v>251.96888688000001</v>
      </c>
      <c r="EA27" s="874">
        <v>246.50924821000001</v>
      </c>
      <c r="EB27" s="874">
        <v>244.74026354</v>
      </c>
      <c r="EC27" s="874">
        <v>241.62940592999999</v>
      </c>
      <c r="ED27" s="874">
        <v>239.71974774</v>
      </c>
      <c r="EE27" s="874">
        <v>232.26892816</v>
      </c>
      <c r="EF27" s="874">
        <v>226.11746557000001</v>
      </c>
      <c r="EG27" s="874">
        <v>226.01994013999999</v>
      </c>
      <c r="EH27" s="874">
        <v>218.39474412000001</v>
      </c>
      <c r="EI27" s="874">
        <v>230.23105222999999</v>
      </c>
      <c r="EJ27" s="874">
        <v>241.29169612999999</v>
      </c>
      <c r="EK27" s="874">
        <v>242.41619284999999</v>
      </c>
      <c r="EL27" s="874">
        <v>239.54091065</v>
      </c>
      <c r="EM27" s="874">
        <v>233.15890447999999</v>
      </c>
      <c r="EN27" s="874">
        <v>229.85948152</v>
      </c>
      <c r="EO27" s="874">
        <v>217.10617238</v>
      </c>
      <c r="EP27" s="874">
        <v>210.16984574</v>
      </c>
      <c r="EQ27" s="874">
        <v>206.43042030000001</v>
      </c>
      <c r="ER27" s="874">
        <v>206.63528879</v>
      </c>
      <c r="ES27" s="874">
        <v>205.16104186000001</v>
      </c>
      <c r="ET27" s="874">
        <v>196.23398477999999</v>
      </c>
      <c r="EU27" s="1930" t="s">
        <v>4082</v>
      </c>
    </row>
    <row r="28" spans="1:151" ht="21">
      <c r="A28" s="1929" t="s">
        <v>1954</v>
      </c>
      <c r="B28" s="842">
        <v>0</v>
      </c>
      <c r="C28" s="842">
        <v>0</v>
      </c>
      <c r="D28" s="842">
        <v>0</v>
      </c>
      <c r="E28" s="842">
        <v>0</v>
      </c>
      <c r="F28" s="842">
        <v>0</v>
      </c>
      <c r="G28" s="842">
        <v>0</v>
      </c>
      <c r="H28" s="842">
        <v>0</v>
      </c>
      <c r="I28" s="842">
        <v>0</v>
      </c>
      <c r="J28" s="842">
        <v>0</v>
      </c>
      <c r="K28" s="842">
        <v>0</v>
      </c>
      <c r="L28" s="842">
        <v>0</v>
      </c>
      <c r="M28" s="843">
        <v>0</v>
      </c>
      <c r="N28" s="843">
        <v>0</v>
      </c>
      <c r="O28" s="843">
        <v>0</v>
      </c>
      <c r="P28" s="843">
        <v>0</v>
      </c>
      <c r="Q28" s="843">
        <v>0</v>
      </c>
      <c r="R28" s="843">
        <v>0</v>
      </c>
      <c r="S28" s="843">
        <v>0</v>
      </c>
      <c r="T28" s="843">
        <v>0</v>
      </c>
      <c r="U28" s="843">
        <v>0</v>
      </c>
      <c r="V28" s="843">
        <v>0</v>
      </c>
      <c r="W28" s="843">
        <v>0</v>
      </c>
      <c r="X28" s="843">
        <v>0</v>
      </c>
      <c r="Y28" s="843">
        <v>0</v>
      </c>
      <c r="Z28" s="843">
        <v>0</v>
      </c>
      <c r="AA28" s="843">
        <v>0</v>
      </c>
      <c r="AB28" s="843">
        <v>8</v>
      </c>
      <c r="AC28" s="843">
        <v>8</v>
      </c>
      <c r="AD28" s="843">
        <v>8</v>
      </c>
      <c r="AE28" s="843">
        <v>8</v>
      </c>
      <c r="AF28" s="843">
        <v>8</v>
      </c>
      <c r="AG28" s="843">
        <v>8</v>
      </c>
      <c r="AH28" s="843">
        <v>8</v>
      </c>
      <c r="AI28" s="843">
        <v>8</v>
      </c>
      <c r="AJ28" s="843">
        <v>8</v>
      </c>
      <c r="AK28" s="843">
        <v>0</v>
      </c>
      <c r="AL28" s="843">
        <v>8</v>
      </c>
      <c r="AM28" s="843">
        <v>8</v>
      </c>
      <c r="AN28" s="843">
        <v>8</v>
      </c>
      <c r="AO28" s="843">
        <v>8</v>
      </c>
      <c r="AP28" s="843">
        <v>8</v>
      </c>
      <c r="AQ28" s="843">
        <v>8</v>
      </c>
      <c r="AR28" s="843">
        <v>8</v>
      </c>
      <c r="AS28" s="843">
        <v>8</v>
      </c>
      <c r="AT28" s="843">
        <v>8</v>
      </c>
      <c r="AU28" s="843">
        <v>8</v>
      </c>
      <c r="AV28" s="843">
        <v>8</v>
      </c>
      <c r="AW28" s="843">
        <v>0</v>
      </c>
      <c r="AX28" s="843">
        <v>8</v>
      </c>
      <c r="AY28" s="843">
        <v>8</v>
      </c>
      <c r="AZ28" s="843">
        <v>8</v>
      </c>
      <c r="BA28" s="843">
        <v>8</v>
      </c>
      <c r="BB28" s="843">
        <v>8</v>
      </c>
      <c r="BC28" s="843">
        <v>8</v>
      </c>
      <c r="BD28" s="843">
        <v>0</v>
      </c>
      <c r="BE28" s="843">
        <v>0</v>
      </c>
      <c r="BF28" s="843">
        <v>0</v>
      </c>
      <c r="BG28" s="844">
        <v>0</v>
      </c>
      <c r="BH28" s="880">
        <v>0</v>
      </c>
      <c r="BI28" s="875">
        <v>0</v>
      </c>
      <c r="BJ28" s="875">
        <v>0</v>
      </c>
      <c r="BK28" s="875">
        <v>0</v>
      </c>
      <c r="BL28" s="875">
        <v>0</v>
      </c>
      <c r="BM28" s="875">
        <v>0</v>
      </c>
      <c r="BN28" s="875">
        <v>0</v>
      </c>
      <c r="BO28" s="875">
        <v>0</v>
      </c>
      <c r="BP28" s="875">
        <v>0</v>
      </c>
      <c r="BQ28" s="875"/>
      <c r="BR28" s="875">
        <v>0</v>
      </c>
      <c r="BS28" s="875">
        <v>0</v>
      </c>
      <c r="BT28" s="875">
        <v>0</v>
      </c>
      <c r="BU28" s="875">
        <v>0</v>
      </c>
      <c r="BV28" s="875">
        <v>0</v>
      </c>
      <c r="BW28" s="875">
        <v>0</v>
      </c>
      <c r="BX28" s="875">
        <v>0</v>
      </c>
      <c r="BY28" s="875">
        <v>0</v>
      </c>
      <c r="BZ28" s="875">
        <v>0</v>
      </c>
      <c r="CA28" s="875">
        <v>0</v>
      </c>
      <c r="CB28" s="875">
        <v>0</v>
      </c>
      <c r="CC28" s="875">
        <v>0</v>
      </c>
      <c r="CD28" s="875">
        <v>0</v>
      </c>
      <c r="CE28" s="875">
        <v>0</v>
      </c>
      <c r="CF28" s="875">
        <v>0</v>
      </c>
      <c r="CG28" s="875">
        <v>0</v>
      </c>
      <c r="CH28" s="875">
        <v>0</v>
      </c>
      <c r="CI28" s="875">
        <v>0</v>
      </c>
      <c r="CJ28" s="875">
        <v>0</v>
      </c>
      <c r="CK28" s="875">
        <v>0</v>
      </c>
      <c r="CL28" s="875">
        <v>0</v>
      </c>
      <c r="CM28" s="875">
        <v>0</v>
      </c>
      <c r="CN28" s="875">
        <v>0</v>
      </c>
      <c r="CO28" s="875">
        <v>0</v>
      </c>
      <c r="CP28" s="875">
        <v>0</v>
      </c>
      <c r="CQ28" s="875">
        <v>0</v>
      </c>
      <c r="CR28" s="875">
        <v>0</v>
      </c>
      <c r="CS28" s="875">
        <v>0</v>
      </c>
      <c r="CT28" s="875">
        <v>0</v>
      </c>
      <c r="CU28" s="875">
        <v>0</v>
      </c>
      <c r="CV28" s="875">
        <v>0</v>
      </c>
      <c r="CW28" s="875">
        <v>0</v>
      </c>
      <c r="CX28" s="875">
        <v>0</v>
      </c>
      <c r="CY28" s="875">
        <v>0</v>
      </c>
      <c r="CZ28" s="875">
        <v>0</v>
      </c>
      <c r="DA28" s="875">
        <v>0</v>
      </c>
      <c r="DB28" s="875">
        <v>0</v>
      </c>
      <c r="DC28" s="875">
        <v>0</v>
      </c>
      <c r="DD28" s="875">
        <v>0</v>
      </c>
      <c r="DE28" s="875">
        <v>0</v>
      </c>
      <c r="DF28" s="875">
        <v>0</v>
      </c>
      <c r="DG28" s="875">
        <v>0</v>
      </c>
      <c r="DH28" s="875">
        <v>0</v>
      </c>
      <c r="DI28" s="875">
        <v>0</v>
      </c>
      <c r="DJ28" s="875">
        <v>0</v>
      </c>
      <c r="DK28" s="875">
        <v>0</v>
      </c>
      <c r="DL28" s="875">
        <v>0</v>
      </c>
      <c r="DM28" s="875">
        <v>0</v>
      </c>
      <c r="DN28" s="875">
        <v>0</v>
      </c>
      <c r="DO28" s="875">
        <v>0</v>
      </c>
      <c r="DP28" s="875">
        <v>0</v>
      </c>
      <c r="DQ28" s="875">
        <v>0</v>
      </c>
      <c r="DR28" s="875">
        <v>0</v>
      </c>
      <c r="DS28" s="875">
        <v>0</v>
      </c>
      <c r="DT28" s="875">
        <v>0</v>
      </c>
      <c r="DU28" s="875">
        <v>0</v>
      </c>
      <c r="DV28" s="875">
        <v>0</v>
      </c>
      <c r="DW28" s="875">
        <v>0</v>
      </c>
      <c r="DX28" s="875">
        <v>0</v>
      </c>
      <c r="DY28" s="875">
        <v>0</v>
      </c>
      <c r="DZ28" s="875">
        <v>0</v>
      </c>
      <c r="EA28" s="875">
        <v>0</v>
      </c>
      <c r="EB28" s="875">
        <v>0</v>
      </c>
      <c r="EC28" s="875">
        <v>0</v>
      </c>
      <c r="ED28" s="875">
        <v>0</v>
      </c>
      <c r="EE28" s="875">
        <v>0</v>
      </c>
      <c r="EF28" s="875">
        <v>0</v>
      </c>
      <c r="EG28" s="875">
        <v>0</v>
      </c>
      <c r="EH28" s="875">
        <v>0</v>
      </c>
      <c r="EI28" s="875">
        <v>0</v>
      </c>
      <c r="EJ28" s="875">
        <v>0</v>
      </c>
      <c r="EK28" s="875">
        <v>0</v>
      </c>
      <c r="EL28" s="875">
        <v>0</v>
      </c>
      <c r="EM28" s="875">
        <v>0</v>
      </c>
      <c r="EN28" s="875">
        <v>0</v>
      </c>
      <c r="EO28" s="875">
        <v>0</v>
      </c>
      <c r="EP28" s="875">
        <v>0</v>
      </c>
      <c r="EQ28" s="875">
        <v>0</v>
      </c>
      <c r="ER28" s="875">
        <v>0</v>
      </c>
      <c r="ES28" s="875">
        <v>0</v>
      </c>
      <c r="ET28" s="875">
        <v>0</v>
      </c>
      <c r="EU28" s="1934" t="s">
        <v>4090</v>
      </c>
    </row>
    <row r="29" spans="1:151" ht="21">
      <c r="A29" s="1931"/>
      <c r="B29" s="842"/>
      <c r="C29" s="842"/>
      <c r="D29" s="842"/>
      <c r="E29" s="842"/>
      <c r="F29" s="842"/>
      <c r="G29" s="842"/>
      <c r="H29" s="842"/>
      <c r="I29" s="842"/>
      <c r="J29" s="842"/>
      <c r="K29" s="842"/>
      <c r="L29" s="842"/>
      <c r="M29" s="843"/>
      <c r="N29" s="843"/>
      <c r="O29" s="843"/>
      <c r="P29" s="843"/>
      <c r="Q29" s="843"/>
      <c r="R29" s="843"/>
      <c r="S29" s="843"/>
      <c r="T29" s="843"/>
      <c r="U29" s="843"/>
      <c r="V29" s="843"/>
      <c r="W29" s="843"/>
      <c r="X29" s="843"/>
      <c r="Y29" s="843"/>
      <c r="Z29" s="843"/>
      <c r="AA29" s="843"/>
      <c r="AB29" s="843"/>
      <c r="AC29" s="843"/>
      <c r="AD29" s="843"/>
      <c r="AE29" s="843"/>
      <c r="AF29" s="843"/>
      <c r="AG29" s="843"/>
      <c r="AH29" s="843"/>
      <c r="AI29" s="843"/>
      <c r="AJ29" s="843"/>
      <c r="AK29" s="843"/>
      <c r="AL29" s="843"/>
      <c r="AM29" s="843"/>
      <c r="AN29" s="843"/>
      <c r="AO29" s="843"/>
      <c r="AP29" s="843"/>
      <c r="AQ29" s="843"/>
      <c r="AR29" s="843"/>
      <c r="AS29" s="843"/>
      <c r="AT29" s="843"/>
      <c r="AU29" s="843"/>
      <c r="AV29" s="843"/>
      <c r="AW29" s="843"/>
      <c r="AX29" s="843"/>
      <c r="AY29" s="843"/>
      <c r="AZ29" s="843"/>
      <c r="BA29" s="843"/>
      <c r="BB29" s="843"/>
      <c r="BC29" s="843"/>
      <c r="BD29" s="843"/>
      <c r="BE29" s="843"/>
      <c r="BF29" s="843"/>
      <c r="BG29" s="844"/>
      <c r="BH29" s="880"/>
      <c r="BI29" s="875"/>
      <c r="BJ29" s="875"/>
      <c r="BK29" s="875"/>
      <c r="BL29" s="875"/>
      <c r="BM29" s="875"/>
      <c r="BN29" s="875"/>
      <c r="BO29" s="875"/>
      <c r="BP29" s="875"/>
      <c r="BQ29" s="875"/>
      <c r="BR29" s="875"/>
      <c r="BS29" s="875"/>
      <c r="BT29" s="875"/>
      <c r="BU29" s="875"/>
      <c r="BV29" s="875"/>
      <c r="BW29" s="875"/>
      <c r="BX29" s="875"/>
      <c r="BY29" s="875"/>
      <c r="BZ29" s="875"/>
      <c r="CA29" s="875"/>
      <c r="CB29" s="875"/>
      <c r="CC29" s="875"/>
      <c r="CD29" s="875"/>
      <c r="CE29" s="875"/>
      <c r="CF29" s="875"/>
      <c r="CG29" s="875"/>
      <c r="CH29" s="875"/>
      <c r="CI29" s="875"/>
      <c r="CJ29" s="875"/>
      <c r="CK29" s="875"/>
      <c r="CL29" s="875"/>
      <c r="CM29" s="876"/>
      <c r="CN29" s="876"/>
      <c r="CO29" s="876"/>
      <c r="CP29" s="876"/>
      <c r="CQ29" s="876"/>
      <c r="CR29" s="876"/>
      <c r="CS29" s="876"/>
      <c r="CT29" s="876"/>
      <c r="CU29" s="876"/>
      <c r="CV29" s="876"/>
      <c r="CW29" s="876"/>
      <c r="CX29" s="876"/>
      <c r="CY29" s="876"/>
      <c r="CZ29" s="876"/>
      <c r="DA29" s="876"/>
      <c r="DB29" s="876"/>
      <c r="DC29" s="876"/>
      <c r="DD29" s="876"/>
      <c r="DE29" s="876"/>
      <c r="DF29" s="876"/>
      <c r="DG29" s="876"/>
      <c r="DH29" s="876"/>
      <c r="DI29" s="876"/>
      <c r="DJ29" s="876"/>
      <c r="DK29" s="876"/>
      <c r="DL29" s="876"/>
      <c r="DM29" s="876"/>
      <c r="DN29" s="876"/>
      <c r="DO29" s="876"/>
      <c r="DP29" s="876"/>
      <c r="DQ29" s="876"/>
      <c r="DR29" s="876"/>
      <c r="DS29" s="876"/>
      <c r="DT29" s="876"/>
      <c r="DU29" s="876"/>
      <c r="DV29" s="876"/>
      <c r="DW29" s="876"/>
      <c r="DX29" s="876"/>
      <c r="DY29" s="876"/>
      <c r="DZ29" s="876"/>
      <c r="EA29" s="876"/>
      <c r="EB29" s="876"/>
      <c r="EC29" s="876"/>
      <c r="ED29" s="876"/>
      <c r="EE29" s="876"/>
      <c r="EF29" s="876"/>
      <c r="EG29" s="876"/>
      <c r="EH29" s="876"/>
      <c r="EI29" s="876"/>
      <c r="EJ29" s="876"/>
      <c r="EK29" s="876"/>
      <c r="EL29" s="876"/>
      <c r="EM29" s="876"/>
      <c r="EN29" s="876"/>
      <c r="EO29" s="876"/>
      <c r="EP29" s="876"/>
      <c r="EQ29" s="876"/>
      <c r="ER29" s="876"/>
      <c r="ES29" s="876"/>
      <c r="ET29" s="876"/>
      <c r="EU29" s="1931"/>
    </row>
    <row r="30" spans="1:151" ht="48.6" customHeight="1">
      <c r="A30" s="1932" t="s">
        <v>1956</v>
      </c>
      <c r="B30" s="842"/>
      <c r="C30" s="842"/>
      <c r="D30" s="842"/>
      <c r="E30" s="842"/>
      <c r="F30" s="842"/>
      <c r="G30" s="842"/>
      <c r="H30" s="842"/>
      <c r="I30" s="842"/>
      <c r="J30" s="842"/>
      <c r="K30" s="842"/>
      <c r="L30" s="842"/>
      <c r="M30" s="843"/>
      <c r="N30" s="843"/>
      <c r="O30" s="843"/>
      <c r="P30" s="843"/>
      <c r="Q30" s="843"/>
      <c r="R30" s="843"/>
      <c r="S30" s="843"/>
      <c r="T30" s="843"/>
      <c r="U30" s="843"/>
      <c r="V30" s="843"/>
      <c r="W30" s="843"/>
      <c r="X30" s="843"/>
      <c r="Y30" s="843"/>
      <c r="Z30" s="843"/>
      <c r="AA30" s="843"/>
      <c r="AB30" s="843"/>
      <c r="AC30" s="843"/>
      <c r="AD30" s="843"/>
      <c r="AE30" s="843"/>
      <c r="AF30" s="843"/>
      <c r="AG30" s="843"/>
      <c r="AH30" s="843"/>
      <c r="AI30" s="843"/>
      <c r="AJ30" s="843"/>
      <c r="AK30" s="843"/>
      <c r="AL30" s="843"/>
      <c r="AM30" s="843"/>
      <c r="AN30" s="843"/>
      <c r="AO30" s="843"/>
      <c r="AP30" s="843"/>
      <c r="AQ30" s="843"/>
      <c r="AR30" s="843"/>
      <c r="AS30" s="843"/>
      <c r="AT30" s="843"/>
      <c r="AU30" s="843"/>
      <c r="AV30" s="843"/>
      <c r="AW30" s="843"/>
      <c r="AX30" s="843"/>
      <c r="AY30" s="843"/>
      <c r="AZ30" s="843"/>
      <c r="BA30" s="843"/>
      <c r="BB30" s="843"/>
      <c r="BC30" s="843"/>
      <c r="BD30" s="843"/>
      <c r="BE30" s="843"/>
      <c r="BF30" s="843"/>
      <c r="BG30" s="844"/>
      <c r="BH30" s="880"/>
      <c r="BI30" s="875"/>
      <c r="BJ30" s="875"/>
      <c r="BK30" s="875"/>
      <c r="BL30" s="875"/>
      <c r="BM30" s="875"/>
      <c r="BN30" s="875"/>
      <c r="BO30" s="875"/>
      <c r="BP30" s="875"/>
      <c r="BQ30" s="875"/>
      <c r="BR30" s="875"/>
      <c r="BS30" s="875"/>
      <c r="BT30" s="875"/>
      <c r="BU30" s="875"/>
      <c r="BV30" s="875"/>
      <c r="BW30" s="875"/>
      <c r="BX30" s="875"/>
      <c r="BY30" s="875"/>
      <c r="BZ30" s="875"/>
      <c r="CA30" s="875"/>
      <c r="CB30" s="875"/>
      <c r="CC30" s="875"/>
      <c r="CD30" s="875"/>
      <c r="CE30" s="875"/>
      <c r="CF30" s="875"/>
      <c r="CG30" s="875"/>
      <c r="CH30" s="875"/>
      <c r="CI30" s="875"/>
      <c r="CJ30" s="875"/>
      <c r="CK30" s="875"/>
      <c r="CL30" s="875"/>
      <c r="CM30" s="876"/>
      <c r="CN30" s="876"/>
      <c r="CO30" s="876"/>
      <c r="CP30" s="876"/>
      <c r="CQ30" s="876"/>
      <c r="CR30" s="876"/>
      <c r="CS30" s="876"/>
      <c r="CT30" s="876"/>
      <c r="CU30" s="876"/>
      <c r="CV30" s="876"/>
      <c r="CW30" s="876"/>
      <c r="CX30" s="876"/>
      <c r="CY30" s="876"/>
      <c r="CZ30" s="876"/>
      <c r="DA30" s="876"/>
      <c r="DB30" s="876"/>
      <c r="DC30" s="876"/>
      <c r="DD30" s="876"/>
      <c r="DE30" s="876"/>
      <c r="DF30" s="876"/>
      <c r="DG30" s="876"/>
      <c r="DH30" s="876"/>
      <c r="DI30" s="876"/>
      <c r="DJ30" s="876"/>
      <c r="DK30" s="876"/>
      <c r="DL30" s="876"/>
      <c r="DM30" s="876"/>
      <c r="DN30" s="876"/>
      <c r="DO30" s="876"/>
      <c r="DP30" s="876"/>
      <c r="DQ30" s="876"/>
      <c r="DR30" s="876"/>
      <c r="DS30" s="876"/>
      <c r="DT30" s="876"/>
      <c r="DU30" s="876"/>
      <c r="DV30" s="876"/>
      <c r="DW30" s="876"/>
      <c r="DX30" s="876"/>
      <c r="DY30" s="876"/>
      <c r="DZ30" s="876"/>
      <c r="EA30" s="876"/>
      <c r="EB30" s="876"/>
      <c r="EC30" s="876"/>
      <c r="ED30" s="876"/>
      <c r="EE30" s="876"/>
      <c r="EF30" s="876"/>
      <c r="EG30" s="876"/>
      <c r="EH30" s="876"/>
      <c r="EI30" s="876"/>
      <c r="EJ30" s="876"/>
      <c r="EK30" s="876"/>
      <c r="EL30" s="876"/>
      <c r="EM30" s="876"/>
      <c r="EN30" s="876"/>
      <c r="EO30" s="876"/>
      <c r="EP30" s="876"/>
      <c r="EQ30" s="876"/>
      <c r="ER30" s="876"/>
      <c r="ES30" s="876"/>
      <c r="ET30" s="876"/>
      <c r="EU30" s="1932" t="s">
        <v>4092</v>
      </c>
    </row>
    <row r="31" spans="1:151" ht="21">
      <c r="A31" s="1928" t="s">
        <v>2755</v>
      </c>
      <c r="B31" s="839">
        <v>272.67881498000003</v>
      </c>
      <c r="C31" s="839">
        <v>359.02593193999996</v>
      </c>
      <c r="D31" s="839">
        <v>366.28520785000001</v>
      </c>
      <c r="E31" s="839">
        <v>372.98676511000002</v>
      </c>
      <c r="F31" s="839">
        <v>386.54387264000002</v>
      </c>
      <c r="G31" s="839">
        <v>389.45620566000002</v>
      </c>
      <c r="H31" s="839">
        <v>412.70977631999995</v>
      </c>
      <c r="I31" s="839">
        <v>423.76617785999997</v>
      </c>
      <c r="J31" s="839">
        <v>437.49721646</v>
      </c>
      <c r="K31" s="839">
        <v>452.40257305</v>
      </c>
      <c r="L31" s="839">
        <v>460.76891406999994</v>
      </c>
      <c r="M31" s="840">
        <v>482.11562631000004</v>
      </c>
      <c r="N31" s="840">
        <v>483.23776134000002</v>
      </c>
      <c r="O31" s="840">
        <v>495.39960737999996</v>
      </c>
      <c r="P31" s="840">
        <v>506.57074372999995</v>
      </c>
      <c r="Q31" s="840">
        <v>533.02023578000001</v>
      </c>
      <c r="R31" s="840">
        <v>551.73327573999995</v>
      </c>
      <c r="S31" s="840">
        <v>567.58760265000001</v>
      </c>
      <c r="T31" s="840">
        <v>582.92561438999996</v>
      </c>
      <c r="U31" s="840">
        <v>598.83034479000003</v>
      </c>
      <c r="V31" s="840">
        <v>614.08958798999993</v>
      </c>
      <c r="W31" s="840">
        <v>641.89225454000007</v>
      </c>
      <c r="X31" s="840">
        <v>660.09351493999998</v>
      </c>
      <c r="Y31" s="840">
        <v>679.11283858000002</v>
      </c>
      <c r="Z31" s="840">
        <v>677.95499341999994</v>
      </c>
      <c r="AA31" s="840">
        <v>771.73225639999998</v>
      </c>
      <c r="AB31" s="840">
        <v>753.71312087000013</v>
      </c>
      <c r="AC31" s="840">
        <v>748.66183816000012</v>
      </c>
      <c r="AD31" s="840">
        <v>749.55159920999995</v>
      </c>
      <c r="AE31" s="840">
        <v>745.93669023999996</v>
      </c>
      <c r="AF31" s="840">
        <v>757.69892616000004</v>
      </c>
      <c r="AG31" s="840">
        <v>751.91467955999997</v>
      </c>
      <c r="AH31" s="840">
        <v>739.78435850999995</v>
      </c>
      <c r="AI31" s="840">
        <v>751.81580917999997</v>
      </c>
      <c r="AJ31" s="840">
        <v>748.08192299999996</v>
      </c>
      <c r="AK31" s="840">
        <v>880.72505242000011</v>
      </c>
      <c r="AL31" s="840">
        <v>811.0402048599999</v>
      </c>
      <c r="AM31" s="840">
        <v>783.76632770000003</v>
      </c>
      <c r="AN31" s="840">
        <v>763.8745416999999</v>
      </c>
      <c r="AO31" s="840">
        <v>738.01668403000008</v>
      </c>
      <c r="AP31" s="840">
        <v>716.69890667999994</v>
      </c>
      <c r="AQ31" s="840">
        <v>719.14867206000008</v>
      </c>
      <c r="AR31" s="840">
        <v>657.26503673000002</v>
      </c>
      <c r="AS31" s="840">
        <v>665.60540446000005</v>
      </c>
      <c r="AT31" s="840">
        <v>657.34467082000003</v>
      </c>
      <c r="AU31" s="840">
        <v>646.34575470999994</v>
      </c>
      <c r="AV31" s="840">
        <v>661.06228379000015</v>
      </c>
      <c r="AW31" s="840">
        <v>665.73477027000013</v>
      </c>
      <c r="AX31" s="840">
        <v>681.83137897000006</v>
      </c>
      <c r="AY31" s="840">
        <v>632.64201438999999</v>
      </c>
      <c r="AZ31" s="840">
        <v>610.76733786</v>
      </c>
      <c r="BA31" s="840">
        <v>595.77246644999991</v>
      </c>
      <c r="BB31" s="840">
        <v>581.15557859</v>
      </c>
      <c r="BC31" s="840">
        <v>571.18280148999997</v>
      </c>
      <c r="BD31" s="840">
        <v>554.68489107000005</v>
      </c>
      <c r="BE31" s="840">
        <v>535.19037398</v>
      </c>
      <c r="BF31" s="840">
        <v>530.13135216000001</v>
      </c>
      <c r="BG31" s="841">
        <v>529.99811298999998</v>
      </c>
      <c r="BH31" s="879">
        <v>526.92094969999994</v>
      </c>
      <c r="BI31" s="874">
        <v>517.11569663</v>
      </c>
      <c r="BJ31" s="874">
        <v>507.97328806999997</v>
      </c>
      <c r="BK31" s="874">
        <v>497.89654602000002</v>
      </c>
      <c r="BL31" s="874">
        <v>489.73070645999996</v>
      </c>
      <c r="BM31" s="874">
        <v>488.00750074999996</v>
      </c>
      <c r="BN31" s="874">
        <v>485.08234200999999</v>
      </c>
      <c r="BO31" s="874">
        <v>485.05006433</v>
      </c>
      <c r="BP31" s="874">
        <v>479.83478747000004</v>
      </c>
      <c r="BQ31" s="874">
        <v>483.12685699999997</v>
      </c>
      <c r="BR31" s="874">
        <v>482.89917081999994</v>
      </c>
      <c r="BS31" s="874">
        <v>492.29400535000002</v>
      </c>
      <c r="BT31" s="874">
        <v>496.13333681999995</v>
      </c>
      <c r="BU31" s="874">
        <v>498.93539314000009</v>
      </c>
      <c r="BV31" s="874">
        <v>492.81278032</v>
      </c>
      <c r="BW31" s="874">
        <v>493.26012724999998</v>
      </c>
      <c r="BX31" s="874">
        <v>487.32868370999995</v>
      </c>
      <c r="BY31" s="874">
        <v>492.65310284999998</v>
      </c>
      <c r="BZ31" s="874">
        <v>497.26279029</v>
      </c>
      <c r="CA31" s="874">
        <v>499.16815884999994</v>
      </c>
      <c r="CB31" s="874">
        <v>502.78400377000003</v>
      </c>
      <c r="CC31" s="874">
        <v>520.7409637400001</v>
      </c>
      <c r="CD31" s="874">
        <v>554.85532910999996</v>
      </c>
      <c r="CE31" s="874">
        <v>583.14589721000004</v>
      </c>
      <c r="CF31" s="874">
        <v>609.54569919000005</v>
      </c>
      <c r="CG31" s="874">
        <v>631.12492333</v>
      </c>
      <c r="CH31" s="874">
        <v>646.95950151</v>
      </c>
      <c r="CI31" s="874">
        <v>681.27256480000005</v>
      </c>
      <c r="CJ31" s="874">
        <v>689.29681297999991</v>
      </c>
      <c r="CK31" s="874">
        <v>668.30457297999988</v>
      </c>
      <c r="CL31" s="874">
        <v>668.41397458000006</v>
      </c>
      <c r="CM31" s="874">
        <v>681.5656199099999</v>
      </c>
      <c r="CN31" s="874">
        <v>696.90350420000004</v>
      </c>
      <c r="CO31" s="874">
        <v>737.74179296999989</v>
      </c>
      <c r="CP31" s="874">
        <v>791.91491760999997</v>
      </c>
      <c r="CQ31" s="874">
        <v>806.95521597000004</v>
      </c>
      <c r="CR31" s="874">
        <v>823.83446077000008</v>
      </c>
      <c r="CS31" s="874">
        <v>847.01616554999998</v>
      </c>
      <c r="CT31" s="874">
        <v>870.45602943999995</v>
      </c>
      <c r="CU31" s="874">
        <v>917.35028901999999</v>
      </c>
      <c r="CV31" s="874">
        <v>956.05765241999995</v>
      </c>
      <c r="CW31" s="874">
        <v>1017.37114936</v>
      </c>
      <c r="CX31" s="874">
        <v>1057.01394095</v>
      </c>
      <c r="CY31" s="874">
        <v>1108.7236668</v>
      </c>
      <c r="CZ31" s="874">
        <v>1146.33472542</v>
      </c>
      <c r="DA31" s="874">
        <v>1195.1316801400001</v>
      </c>
      <c r="DB31" s="874">
        <v>1262.51678855</v>
      </c>
      <c r="DC31" s="874">
        <v>1323.7164956399999</v>
      </c>
      <c r="DD31" s="874">
        <v>1382.0720508700001</v>
      </c>
      <c r="DE31" s="874">
        <v>1482.6818957200001</v>
      </c>
      <c r="DF31" s="874">
        <v>1506.29295331</v>
      </c>
      <c r="DG31" s="874">
        <v>1555.2585764099999</v>
      </c>
      <c r="DH31" s="874">
        <v>1598.0928808599999</v>
      </c>
      <c r="DI31" s="874">
        <v>1666.77661885</v>
      </c>
      <c r="DJ31" s="874">
        <v>1720.7115685700001</v>
      </c>
      <c r="DK31" s="874">
        <v>1781.6961222299999</v>
      </c>
      <c r="DL31" s="874">
        <v>1812.3609288800001</v>
      </c>
      <c r="DM31" s="874">
        <v>1881.4084877600001</v>
      </c>
      <c r="DN31" s="874">
        <v>1974.59517626</v>
      </c>
      <c r="DO31" s="874">
        <v>2029.53524752</v>
      </c>
      <c r="DP31" s="874">
        <v>2075.8685030299998</v>
      </c>
      <c r="DQ31" s="874">
        <v>2155.8144383700001</v>
      </c>
      <c r="DR31" s="874">
        <v>2188.1992616799998</v>
      </c>
      <c r="DS31" s="874">
        <v>2232.7743186799999</v>
      </c>
      <c r="DT31" s="874">
        <v>2287.6928814600001</v>
      </c>
      <c r="DU31" s="874">
        <v>2376.7047663399999</v>
      </c>
      <c r="DV31" s="874">
        <v>2450.4101804900001</v>
      </c>
      <c r="DW31" s="874">
        <v>2522.3750501099998</v>
      </c>
      <c r="DX31" s="874">
        <v>2557.5612022800001</v>
      </c>
      <c r="DY31" s="874">
        <v>2646.1917606400002</v>
      </c>
      <c r="DZ31" s="874">
        <v>2720.6554996599998</v>
      </c>
      <c r="EA31" s="874">
        <v>2780.6480710999999</v>
      </c>
      <c r="EB31" s="874">
        <v>2855.09244102</v>
      </c>
      <c r="EC31" s="874">
        <v>2929.0039273799998</v>
      </c>
      <c r="ED31" s="874">
        <v>2942.0653151800002</v>
      </c>
      <c r="EE31" s="874">
        <v>3006.62184385</v>
      </c>
      <c r="EF31" s="874">
        <v>3044.1138228</v>
      </c>
      <c r="EG31" s="874">
        <v>3123.0455113200001</v>
      </c>
      <c r="EH31" s="874">
        <v>3186.1959338199999</v>
      </c>
      <c r="EI31" s="874">
        <v>3214.8060764000002</v>
      </c>
      <c r="EJ31" s="874">
        <v>3296.4255452699999</v>
      </c>
      <c r="EK31" s="874">
        <v>3377.2642946999999</v>
      </c>
      <c r="EL31" s="874">
        <v>3472.0536683999999</v>
      </c>
      <c r="EM31" s="874">
        <v>3553.6513837900002</v>
      </c>
      <c r="EN31" s="874">
        <v>3608.1474149999999</v>
      </c>
      <c r="EO31" s="874">
        <v>3693.2010805199998</v>
      </c>
      <c r="EP31" s="874">
        <v>3710.8899404399999</v>
      </c>
      <c r="EQ31" s="874">
        <v>3744.7826493699999</v>
      </c>
      <c r="ER31" s="874">
        <v>3783.6217397099999</v>
      </c>
      <c r="ES31" s="874">
        <v>3834.0704123</v>
      </c>
      <c r="ET31" s="874">
        <v>3878.0307757400001</v>
      </c>
      <c r="EU31" s="1928" t="s">
        <v>1159</v>
      </c>
    </row>
    <row r="32" spans="1:151" ht="21">
      <c r="A32" s="1929" t="s">
        <v>2019</v>
      </c>
      <c r="B32" s="842">
        <v>11.665991419999999</v>
      </c>
      <c r="C32" s="842">
        <v>11.523793819999998</v>
      </c>
      <c r="D32" s="842">
        <v>10.10378326</v>
      </c>
      <c r="E32" s="842">
        <v>8.993742619999999</v>
      </c>
      <c r="F32" s="842">
        <v>8.3227118700000009</v>
      </c>
      <c r="G32" s="842">
        <v>6.3980030399999999</v>
      </c>
      <c r="H32" s="842">
        <v>5.1318788200000007</v>
      </c>
      <c r="I32" s="842">
        <v>5.4508166199999994</v>
      </c>
      <c r="J32" s="842">
        <v>5.4632299099999999</v>
      </c>
      <c r="K32" s="842">
        <v>5.5337916899999993</v>
      </c>
      <c r="L32" s="842">
        <v>4.8565150399999997</v>
      </c>
      <c r="M32" s="843">
        <v>5.0479488899999998</v>
      </c>
      <c r="N32" s="843">
        <v>5.8006153299999994</v>
      </c>
      <c r="O32" s="843">
        <v>7.3033445399999994</v>
      </c>
      <c r="P32" s="843">
        <v>7.4907250200000002</v>
      </c>
      <c r="Q32" s="843">
        <v>5.8173987399999998</v>
      </c>
      <c r="R32" s="843">
        <v>5.6184352899999999</v>
      </c>
      <c r="S32" s="843">
        <v>5.4648539100000004</v>
      </c>
      <c r="T32" s="843">
        <v>5.19164666</v>
      </c>
      <c r="U32" s="843">
        <v>5.2359622799999999</v>
      </c>
      <c r="V32" s="843">
        <v>5.8143270200000003</v>
      </c>
      <c r="W32" s="843">
        <v>1.75407695</v>
      </c>
      <c r="X32" s="843">
        <v>1.8773441600000003</v>
      </c>
      <c r="Y32" s="843">
        <v>2.3225509099999999</v>
      </c>
      <c r="Z32" s="843">
        <v>2.92190598</v>
      </c>
      <c r="AA32" s="843">
        <v>2.3887699600000003</v>
      </c>
      <c r="AB32" s="843">
        <v>1.6473105100000001</v>
      </c>
      <c r="AC32" s="843">
        <v>1.6185725099999999</v>
      </c>
      <c r="AD32" s="843">
        <v>1.6293175800000002</v>
      </c>
      <c r="AE32" s="843">
        <v>1.5761123100000001</v>
      </c>
      <c r="AF32" s="843">
        <v>1.4593500600000002</v>
      </c>
      <c r="AG32" s="843">
        <v>2.3021889400000002</v>
      </c>
      <c r="AH32" s="843">
        <v>2.1414991099999998</v>
      </c>
      <c r="AI32" s="843">
        <v>2.1175625399999998</v>
      </c>
      <c r="AJ32" s="843">
        <v>1.9722381000000002</v>
      </c>
      <c r="AK32" s="843">
        <v>2.6402125700000001</v>
      </c>
      <c r="AL32" s="843">
        <v>2.4963374500000004</v>
      </c>
      <c r="AM32" s="843">
        <v>2.4401623900000002</v>
      </c>
      <c r="AN32" s="843">
        <v>2.2345190499999998</v>
      </c>
      <c r="AO32" s="843">
        <v>2.2265072400000001</v>
      </c>
      <c r="AP32" s="843">
        <v>1.9796334400000002</v>
      </c>
      <c r="AQ32" s="843">
        <v>1.95754315</v>
      </c>
      <c r="AR32" s="843">
        <v>1.9282084099999999</v>
      </c>
      <c r="AS32" s="843">
        <v>2.0729705599999999</v>
      </c>
      <c r="AT32" s="843">
        <v>1.9159617300000003</v>
      </c>
      <c r="AU32" s="843">
        <v>2.2200388900000001</v>
      </c>
      <c r="AV32" s="843">
        <v>2.6808842199999998</v>
      </c>
      <c r="AW32" s="843">
        <v>2.24852776</v>
      </c>
      <c r="AX32" s="843">
        <v>2.4794825300000003</v>
      </c>
      <c r="AY32" s="843">
        <v>2.3579425800000005</v>
      </c>
      <c r="AZ32" s="843">
        <v>2.1688250199999999</v>
      </c>
      <c r="BA32" s="843">
        <v>2.08557462</v>
      </c>
      <c r="BB32" s="843">
        <v>2.0443868699999999</v>
      </c>
      <c r="BC32" s="843">
        <v>2.0016392999999999</v>
      </c>
      <c r="BD32" s="843">
        <v>2.1388442200000002</v>
      </c>
      <c r="BE32" s="843">
        <v>2.1018385400000001</v>
      </c>
      <c r="BF32" s="843">
        <v>2.0534932499999998</v>
      </c>
      <c r="BG32" s="844">
        <v>2.25105997</v>
      </c>
      <c r="BH32" s="880">
        <v>2.2048226900000003</v>
      </c>
      <c r="BI32" s="875">
        <v>2.4143416599999998</v>
      </c>
      <c r="BJ32" s="875">
        <v>2.3759964099999999</v>
      </c>
      <c r="BK32" s="875">
        <v>2.4378097899999998</v>
      </c>
      <c r="BL32" s="875">
        <v>2.4133876499999998</v>
      </c>
      <c r="BM32" s="875">
        <v>2.5785538199999998</v>
      </c>
      <c r="BN32" s="875">
        <v>2.5744293899999997</v>
      </c>
      <c r="BO32" s="875">
        <v>4.7268699999999999</v>
      </c>
      <c r="BP32" s="875">
        <v>4.4050357499999997</v>
      </c>
      <c r="BQ32" s="875">
        <v>4.2290871599999997</v>
      </c>
      <c r="BR32" s="875">
        <v>3.9918088599999999</v>
      </c>
      <c r="BS32" s="875">
        <v>3.5675663200000001</v>
      </c>
      <c r="BT32" s="875">
        <v>3.3283696100000002</v>
      </c>
      <c r="BU32" s="875">
        <v>3.1805052600000003</v>
      </c>
      <c r="BV32" s="875">
        <v>2.9701421799999999</v>
      </c>
      <c r="BW32" s="875">
        <v>3.1883401999999998</v>
      </c>
      <c r="BX32" s="875">
        <v>3.1790216099999999</v>
      </c>
      <c r="BY32" s="875">
        <v>3.09324596</v>
      </c>
      <c r="BZ32" s="875">
        <v>3.18956164</v>
      </c>
      <c r="CA32" s="875">
        <v>3.1477512399999998</v>
      </c>
      <c r="CB32" s="875">
        <v>3.1242413499999997</v>
      </c>
      <c r="CC32" s="875">
        <v>3.2774207</v>
      </c>
      <c r="CD32" s="875">
        <v>3.2221700900000001</v>
      </c>
      <c r="CE32" s="875">
        <v>3.2662529200000003</v>
      </c>
      <c r="CF32" s="875">
        <v>3.3004244199999997</v>
      </c>
      <c r="CG32" s="875">
        <v>3.2625066999999999</v>
      </c>
      <c r="CH32" s="875">
        <v>3.3999820599999997</v>
      </c>
      <c r="CI32" s="875">
        <v>3.4847108799999997</v>
      </c>
      <c r="CJ32" s="875">
        <v>2.5279894999999999</v>
      </c>
      <c r="CK32" s="875">
        <v>2.39337051</v>
      </c>
      <c r="CL32" s="875">
        <v>2.2453814599999999</v>
      </c>
      <c r="CM32" s="875">
        <v>2.1464873999999998</v>
      </c>
      <c r="CN32" s="875">
        <v>2.2143180900000003</v>
      </c>
      <c r="CO32" s="875">
        <v>2.4281120299999999</v>
      </c>
      <c r="CP32" s="875">
        <v>2.4148618000000002</v>
      </c>
      <c r="CQ32" s="875">
        <v>2.4827142200000001</v>
      </c>
      <c r="CR32" s="875">
        <v>2.75136074</v>
      </c>
      <c r="CS32" s="875">
        <v>2.9439745299999998</v>
      </c>
      <c r="CT32" s="875">
        <v>3.1482708100000001</v>
      </c>
      <c r="CU32" s="875">
        <v>3.3866623300000001</v>
      </c>
      <c r="CV32" s="875">
        <v>3.3809535500000001</v>
      </c>
      <c r="CW32" s="875">
        <v>3.8016113499999999</v>
      </c>
      <c r="CX32" s="875">
        <v>4.0656111199999998</v>
      </c>
      <c r="CY32" s="875">
        <v>4.5109838299999998</v>
      </c>
      <c r="CZ32" s="875">
        <v>4.4166667300000002</v>
      </c>
      <c r="DA32" s="875">
        <v>4.6010758000000003</v>
      </c>
      <c r="DB32" s="875">
        <v>5.2130893499999997</v>
      </c>
      <c r="DC32" s="875">
        <v>5.1594443800000001</v>
      </c>
      <c r="DD32" s="875">
        <v>4.9639494900000001</v>
      </c>
      <c r="DE32" s="875">
        <v>5.0732786000000001</v>
      </c>
      <c r="DF32" s="875">
        <v>5.0556020899999998</v>
      </c>
      <c r="DG32" s="875">
        <v>5.1197994099999997</v>
      </c>
      <c r="DH32" s="875">
        <v>5.2617754699999999</v>
      </c>
      <c r="DI32" s="875">
        <v>5.9950323799999996</v>
      </c>
      <c r="DJ32" s="875">
        <v>5.7913128599999997</v>
      </c>
      <c r="DK32" s="875">
        <v>5.7365052099999998</v>
      </c>
      <c r="DL32" s="875">
        <v>5.8475957200000002</v>
      </c>
      <c r="DM32" s="875">
        <v>5.3874728599999999</v>
      </c>
      <c r="DN32" s="875">
        <v>5.8565148699999998</v>
      </c>
      <c r="DO32" s="875">
        <v>5.8656411999999998</v>
      </c>
      <c r="DP32" s="875">
        <v>5.6749050499999996</v>
      </c>
      <c r="DQ32" s="875">
        <v>6.0105865300000003</v>
      </c>
      <c r="DR32" s="875">
        <v>6.2242347999999996</v>
      </c>
      <c r="DS32" s="875">
        <v>6.2788415200000003</v>
      </c>
      <c r="DT32" s="875">
        <v>6.7875966600000002</v>
      </c>
      <c r="DU32" s="875">
        <v>7.1554161299999999</v>
      </c>
      <c r="DV32" s="875">
        <v>7.4383986999999996</v>
      </c>
      <c r="DW32" s="875">
        <v>7.6867107900000002</v>
      </c>
      <c r="DX32" s="875">
        <v>7.8593162699999999</v>
      </c>
      <c r="DY32" s="875">
        <v>8.2861307199999992</v>
      </c>
      <c r="DZ32" s="875">
        <v>8.3383518599999995</v>
      </c>
      <c r="EA32" s="875">
        <v>9.0095761700000008</v>
      </c>
      <c r="EB32" s="875">
        <v>8.8228928799999995</v>
      </c>
      <c r="EC32" s="875">
        <v>9.1729147300000005</v>
      </c>
      <c r="ED32" s="875">
        <v>8.6974387600000007</v>
      </c>
      <c r="EE32" s="875">
        <v>9.19463352</v>
      </c>
      <c r="EF32" s="875">
        <v>8.9444902200000005</v>
      </c>
      <c r="EG32" s="875">
        <v>8.7904564599999997</v>
      </c>
      <c r="EH32" s="875">
        <v>9.0866515700000008</v>
      </c>
      <c r="EI32" s="875">
        <v>9.56861256</v>
      </c>
      <c r="EJ32" s="875">
        <v>9.8376486799999991</v>
      </c>
      <c r="EK32" s="875">
        <v>9.5896497499999995</v>
      </c>
      <c r="EL32" s="875">
        <v>9.5742757699999999</v>
      </c>
      <c r="EM32" s="875">
        <v>9.8893589399999993</v>
      </c>
      <c r="EN32" s="875">
        <v>10.224187069999999</v>
      </c>
      <c r="EO32" s="875">
        <v>11.441945329999999</v>
      </c>
      <c r="EP32" s="875">
        <v>11.53619379</v>
      </c>
      <c r="EQ32" s="875">
        <v>11.985076039999999</v>
      </c>
      <c r="ER32" s="875">
        <v>12.78177385</v>
      </c>
      <c r="ES32" s="875">
        <v>13.248844009999999</v>
      </c>
      <c r="ET32" s="875">
        <v>14.77975211</v>
      </c>
      <c r="EU32" s="1934" t="s">
        <v>4093</v>
      </c>
    </row>
    <row r="33" spans="1:151" ht="21">
      <c r="A33" s="1930" t="s">
        <v>189</v>
      </c>
      <c r="B33" s="839">
        <v>206.01277819000003</v>
      </c>
      <c r="C33" s="839">
        <v>206.24183859999997</v>
      </c>
      <c r="D33" s="839">
        <v>207.99468272000001</v>
      </c>
      <c r="E33" s="839">
        <v>209.44924777</v>
      </c>
      <c r="F33" s="839">
        <v>214.97742352</v>
      </c>
      <c r="G33" s="839">
        <v>215.15407178000001</v>
      </c>
      <c r="H33" s="839">
        <v>231.21717366999997</v>
      </c>
      <c r="I33" s="839">
        <v>235.85972078999998</v>
      </c>
      <c r="J33" s="839">
        <v>240.92595475000002</v>
      </c>
      <c r="K33" s="839">
        <v>248.18221870000002</v>
      </c>
      <c r="L33" s="839">
        <v>251.56011939999996</v>
      </c>
      <c r="M33" s="840">
        <v>265.16506777000001</v>
      </c>
      <c r="N33" s="840">
        <v>267.49959387000001</v>
      </c>
      <c r="O33" s="840">
        <v>272.72542234999997</v>
      </c>
      <c r="P33" s="840">
        <v>281.74299936999995</v>
      </c>
      <c r="Q33" s="840">
        <v>293.76095478999997</v>
      </c>
      <c r="R33" s="840">
        <v>302.88108328000004</v>
      </c>
      <c r="S33" s="840">
        <v>311.64141061000004</v>
      </c>
      <c r="T33" s="840">
        <v>323.36571130999999</v>
      </c>
      <c r="U33" s="840">
        <v>338.85350122</v>
      </c>
      <c r="V33" s="840">
        <v>349.28093107999996</v>
      </c>
      <c r="W33" s="840">
        <v>359.42962325000002</v>
      </c>
      <c r="X33" s="840">
        <v>371.02160003</v>
      </c>
      <c r="Y33" s="840">
        <v>377.99344522000001</v>
      </c>
      <c r="Z33" s="840">
        <v>372.90574200000003</v>
      </c>
      <c r="AA33" s="840">
        <v>372.94675346999998</v>
      </c>
      <c r="AB33" s="840">
        <v>373.62167606000003</v>
      </c>
      <c r="AC33" s="840">
        <v>375.66253075000003</v>
      </c>
      <c r="AD33" s="840">
        <v>384.88759128999993</v>
      </c>
      <c r="AE33" s="840">
        <v>382.85943972999996</v>
      </c>
      <c r="AF33" s="840">
        <v>386.29111969000002</v>
      </c>
      <c r="AG33" s="840">
        <v>400.46862042999999</v>
      </c>
      <c r="AH33" s="840">
        <v>405.79542025000001</v>
      </c>
      <c r="AI33" s="840">
        <v>416.49926476999997</v>
      </c>
      <c r="AJ33" s="840">
        <v>428.80805249999997</v>
      </c>
      <c r="AK33" s="840">
        <v>434.80194277000004</v>
      </c>
      <c r="AL33" s="840">
        <v>366.31668212999995</v>
      </c>
      <c r="AM33" s="840">
        <v>356.40318117000004</v>
      </c>
      <c r="AN33" s="840">
        <v>350.93198239999992</v>
      </c>
      <c r="AO33" s="840">
        <v>345.49040946999997</v>
      </c>
      <c r="AP33" s="840">
        <v>335.97606766999996</v>
      </c>
      <c r="AQ33" s="840">
        <v>339.83453107999998</v>
      </c>
      <c r="AR33" s="840">
        <v>289.36437895</v>
      </c>
      <c r="AS33" s="840">
        <v>299.69996061000001</v>
      </c>
      <c r="AT33" s="840">
        <v>302.17158533000003</v>
      </c>
      <c r="AU33" s="840">
        <v>295.37841709999998</v>
      </c>
      <c r="AV33" s="840">
        <v>300.59230580000008</v>
      </c>
      <c r="AW33" s="840">
        <v>307.70435321000002</v>
      </c>
      <c r="AX33" s="840">
        <v>304.00834398999996</v>
      </c>
      <c r="AY33" s="840">
        <v>297.12416555000004</v>
      </c>
      <c r="AZ33" s="840">
        <v>287.48643079999999</v>
      </c>
      <c r="BA33" s="840">
        <v>279.94497047999999</v>
      </c>
      <c r="BB33" s="840">
        <v>275.65714543999997</v>
      </c>
      <c r="BC33" s="840">
        <v>272.97474375000002</v>
      </c>
      <c r="BD33" s="840">
        <v>263.70685930999997</v>
      </c>
      <c r="BE33" s="840">
        <v>248.39097108999999</v>
      </c>
      <c r="BF33" s="840">
        <v>250.05002745000002</v>
      </c>
      <c r="BG33" s="841">
        <v>256.3154164</v>
      </c>
      <c r="BH33" s="879">
        <v>262.12926420999997</v>
      </c>
      <c r="BI33" s="874">
        <v>261.34056944000002</v>
      </c>
      <c r="BJ33" s="874">
        <v>258.18413527000001</v>
      </c>
      <c r="BK33" s="874">
        <v>258.27071828999999</v>
      </c>
      <c r="BL33" s="874">
        <v>258.90817895999999</v>
      </c>
      <c r="BM33" s="874">
        <v>268.46038837999998</v>
      </c>
      <c r="BN33" s="874">
        <v>271.84689605</v>
      </c>
      <c r="BO33" s="874">
        <v>276.55666523999997</v>
      </c>
      <c r="BP33" s="874">
        <v>279.35927966000003</v>
      </c>
      <c r="BQ33" s="874">
        <v>291.78393928999998</v>
      </c>
      <c r="BR33" s="874">
        <v>297.71001393999995</v>
      </c>
      <c r="BS33" s="874">
        <v>308.02306279000004</v>
      </c>
      <c r="BT33" s="874">
        <v>312.19513056</v>
      </c>
      <c r="BU33" s="874">
        <v>332.37794060000004</v>
      </c>
      <c r="BV33" s="874">
        <v>332.47758635000002</v>
      </c>
      <c r="BW33" s="874">
        <v>335.36860554000003</v>
      </c>
      <c r="BX33" s="874">
        <v>336.54563528999995</v>
      </c>
      <c r="BY33" s="874">
        <v>345.72233060999997</v>
      </c>
      <c r="BZ33" s="874">
        <v>353.80590186000001</v>
      </c>
      <c r="CA33" s="874">
        <v>361.63556456999999</v>
      </c>
      <c r="CB33" s="874">
        <v>374.49174133999998</v>
      </c>
      <c r="CC33" s="874">
        <v>393.86556942000004</v>
      </c>
      <c r="CD33" s="874">
        <v>428.09673523999999</v>
      </c>
      <c r="CE33" s="874">
        <v>457.72493866000002</v>
      </c>
      <c r="CF33" s="874">
        <v>483.45621274000001</v>
      </c>
      <c r="CG33" s="874">
        <v>516.13452961999997</v>
      </c>
      <c r="CH33" s="874">
        <v>534.04344287000004</v>
      </c>
      <c r="CI33" s="874">
        <v>568.71692010000004</v>
      </c>
      <c r="CJ33" s="874">
        <v>590.64108635999992</v>
      </c>
      <c r="CK33" s="874">
        <v>576.61205611999992</v>
      </c>
      <c r="CL33" s="874">
        <v>578.65627194000001</v>
      </c>
      <c r="CM33" s="874">
        <v>596.63866455999994</v>
      </c>
      <c r="CN33" s="874">
        <v>615.81695192000007</v>
      </c>
      <c r="CO33" s="874">
        <v>653.61888014999988</v>
      </c>
      <c r="CP33" s="874">
        <v>706.31736523999996</v>
      </c>
      <c r="CQ33" s="874">
        <v>725.05000373000007</v>
      </c>
      <c r="CR33" s="874">
        <v>746.02773898000009</v>
      </c>
      <c r="CS33" s="874">
        <v>774.32475574</v>
      </c>
      <c r="CT33" s="874">
        <v>803.47819879999997</v>
      </c>
      <c r="CU33" s="874">
        <v>845.86415020000004</v>
      </c>
      <c r="CV33" s="874">
        <v>886.44422012999996</v>
      </c>
      <c r="CW33" s="874">
        <v>948.27504234000003</v>
      </c>
      <c r="CX33" s="874">
        <v>991.11260102999995</v>
      </c>
      <c r="CY33" s="874">
        <v>1042.6331689799999</v>
      </c>
      <c r="CZ33" s="874">
        <v>1079.5643858599999</v>
      </c>
      <c r="DA33" s="874">
        <v>1123.56992285</v>
      </c>
      <c r="DB33" s="874">
        <v>1184.9027717700001</v>
      </c>
      <c r="DC33" s="874">
        <v>1246.00459239</v>
      </c>
      <c r="DD33" s="874">
        <v>1310.2361610200001</v>
      </c>
      <c r="DE33" s="874">
        <v>1409.64506142</v>
      </c>
      <c r="DF33" s="874">
        <v>1441.6069358899999</v>
      </c>
      <c r="DG33" s="874">
        <v>1489.3340302300001</v>
      </c>
      <c r="DH33" s="874">
        <v>1536.1537671200001</v>
      </c>
      <c r="DI33" s="874">
        <v>1606.2221210299999</v>
      </c>
      <c r="DJ33" s="874">
        <v>1658.79838685</v>
      </c>
      <c r="DK33" s="874">
        <v>1721.21652122</v>
      </c>
      <c r="DL33" s="874">
        <v>1752.1568994899999</v>
      </c>
      <c r="DM33" s="874">
        <v>1817.06798374</v>
      </c>
      <c r="DN33" s="874">
        <v>1903.0837067800001</v>
      </c>
      <c r="DO33" s="874">
        <v>1956.5149077999999</v>
      </c>
      <c r="DP33" s="874">
        <v>2004.9951021300001</v>
      </c>
      <c r="DQ33" s="874">
        <v>2085.5088300399998</v>
      </c>
      <c r="DR33" s="874">
        <v>2119.97613817</v>
      </c>
      <c r="DS33" s="874">
        <v>2169.7705457100001</v>
      </c>
      <c r="DT33" s="874">
        <v>2227.19230419</v>
      </c>
      <c r="DU33" s="874">
        <v>2309.3177658999998</v>
      </c>
      <c r="DV33" s="874">
        <v>2375.9532370000002</v>
      </c>
      <c r="DW33" s="874">
        <v>2450.86552183</v>
      </c>
      <c r="DX33" s="874">
        <v>2487.79507401</v>
      </c>
      <c r="DY33" s="874">
        <v>2570.10568061</v>
      </c>
      <c r="DZ33" s="874">
        <v>2638.0180185600002</v>
      </c>
      <c r="EA33" s="874">
        <v>2703.4634759099999</v>
      </c>
      <c r="EB33" s="874">
        <v>2773.9825030100001</v>
      </c>
      <c r="EC33" s="874">
        <v>2849.18865405</v>
      </c>
      <c r="ED33" s="874">
        <v>2867.1498882000001</v>
      </c>
      <c r="EE33" s="874">
        <v>2935.0168851799999</v>
      </c>
      <c r="EF33" s="874">
        <v>2976.5554516900002</v>
      </c>
      <c r="EG33" s="874">
        <v>3058.7371777200001</v>
      </c>
      <c r="EH33" s="874">
        <v>3130.7753716000002</v>
      </c>
      <c r="EI33" s="874">
        <v>3161.90314029</v>
      </c>
      <c r="EJ33" s="874">
        <v>3245.9076541999998</v>
      </c>
      <c r="EK33" s="874">
        <v>3322.1720124399999</v>
      </c>
      <c r="EL33" s="874">
        <v>3408.5696548199999</v>
      </c>
      <c r="EM33" s="874">
        <v>3493.7444567900002</v>
      </c>
      <c r="EN33" s="874">
        <v>3550.7157250800001</v>
      </c>
      <c r="EO33" s="874">
        <v>3634.2056407700002</v>
      </c>
      <c r="EP33" s="874">
        <v>3655.8405851000002</v>
      </c>
      <c r="EQ33" s="874">
        <v>3694.1324612200001</v>
      </c>
      <c r="ER33" s="874">
        <v>3734.5098877700002</v>
      </c>
      <c r="ES33" s="874">
        <v>3789.4967317000001</v>
      </c>
      <c r="ET33" s="874">
        <v>3836.2611204099999</v>
      </c>
      <c r="EU33" s="1930" t="s">
        <v>212</v>
      </c>
    </row>
    <row r="34" spans="1:151" ht="21">
      <c r="A34" s="1929" t="s">
        <v>2019</v>
      </c>
      <c r="B34" s="842">
        <v>10.802982139999999</v>
      </c>
      <c r="C34" s="842">
        <v>8.1329728599999989</v>
      </c>
      <c r="D34" s="842">
        <v>6.7229109999999999</v>
      </c>
      <c r="E34" s="842">
        <v>5.4661558999999995</v>
      </c>
      <c r="F34" s="842">
        <v>4.3115086300000005</v>
      </c>
      <c r="G34" s="842">
        <v>3.3148517599999998</v>
      </c>
      <c r="H34" s="842">
        <v>2.3809180100000003</v>
      </c>
      <c r="I34" s="842">
        <v>2.6333968099999998</v>
      </c>
      <c r="J34" s="842">
        <v>2.25008512</v>
      </c>
      <c r="K34" s="842">
        <v>2.1885534699999996</v>
      </c>
      <c r="L34" s="842">
        <v>1.5480120799999999</v>
      </c>
      <c r="M34" s="843">
        <v>1.5633621099999999</v>
      </c>
      <c r="N34" s="843">
        <v>2.4531099300000001</v>
      </c>
      <c r="O34" s="843">
        <v>3.8184975099999998</v>
      </c>
      <c r="P34" s="843">
        <v>4.1245636299999999</v>
      </c>
      <c r="Q34" s="843">
        <v>2.0196780400000001</v>
      </c>
      <c r="R34" s="843">
        <v>1.76982789</v>
      </c>
      <c r="S34" s="843">
        <v>1.5285124799999998</v>
      </c>
      <c r="T34" s="843">
        <v>1.51632013</v>
      </c>
      <c r="U34" s="843">
        <v>1.4441512299999999</v>
      </c>
      <c r="V34" s="843">
        <v>1.58071154</v>
      </c>
      <c r="W34" s="843">
        <v>1.20626265</v>
      </c>
      <c r="X34" s="843">
        <v>1.3224486200000001</v>
      </c>
      <c r="Y34" s="843">
        <v>1.81027596</v>
      </c>
      <c r="Z34" s="843">
        <v>2.42611263</v>
      </c>
      <c r="AA34" s="843">
        <v>1.7477252000000001</v>
      </c>
      <c r="AB34" s="843">
        <v>1.0307506099999999</v>
      </c>
      <c r="AC34" s="843">
        <v>1.01922687</v>
      </c>
      <c r="AD34" s="843">
        <v>0.94218992000000013</v>
      </c>
      <c r="AE34" s="843">
        <v>0.91047699000000004</v>
      </c>
      <c r="AF34" s="843">
        <v>0.77989602000000002</v>
      </c>
      <c r="AG34" s="843">
        <v>1.6671743400000001</v>
      </c>
      <c r="AH34" s="843">
        <v>1.52911675</v>
      </c>
      <c r="AI34" s="843">
        <v>1.52438506</v>
      </c>
      <c r="AJ34" s="843">
        <v>1.4057442200000001</v>
      </c>
      <c r="AK34" s="843">
        <v>1.63034495</v>
      </c>
      <c r="AL34" s="843">
        <v>1.5263793300000001</v>
      </c>
      <c r="AM34" s="843">
        <v>1.4705016100000001</v>
      </c>
      <c r="AN34" s="843">
        <v>1.29562373</v>
      </c>
      <c r="AO34" s="843">
        <v>1.3523485900000001</v>
      </c>
      <c r="AP34" s="843">
        <v>1.1217394300000001</v>
      </c>
      <c r="AQ34" s="843">
        <v>1.0856645899999999</v>
      </c>
      <c r="AR34" s="843">
        <v>1.04517138</v>
      </c>
      <c r="AS34" s="843">
        <v>1.1791342600000001</v>
      </c>
      <c r="AT34" s="843">
        <v>1.0431134800000001</v>
      </c>
      <c r="AU34" s="843">
        <v>1.35942407</v>
      </c>
      <c r="AV34" s="843">
        <v>1.32063284</v>
      </c>
      <c r="AW34" s="843">
        <v>0.85414243000000001</v>
      </c>
      <c r="AX34" s="843">
        <v>0.97209926000000002</v>
      </c>
      <c r="AY34" s="843">
        <v>0.98929397000000008</v>
      </c>
      <c r="AZ34" s="843">
        <v>0.86773648000000003</v>
      </c>
      <c r="BA34" s="843">
        <v>0.83290308999999996</v>
      </c>
      <c r="BB34" s="843">
        <v>0.94038392999999998</v>
      </c>
      <c r="BC34" s="843">
        <v>0.89924897000000004</v>
      </c>
      <c r="BD34" s="843">
        <v>1.0457569600000001</v>
      </c>
      <c r="BE34" s="843">
        <v>1.0236554899999999</v>
      </c>
      <c r="BF34" s="843">
        <v>0.9843602600000001</v>
      </c>
      <c r="BG34" s="844">
        <v>1.19594008</v>
      </c>
      <c r="BH34" s="880">
        <v>1.1582653600000001</v>
      </c>
      <c r="BI34" s="875">
        <v>1.3762848299999999</v>
      </c>
      <c r="BJ34" s="875">
        <v>1.34139966</v>
      </c>
      <c r="BK34" s="875">
        <v>1.4116536599999998</v>
      </c>
      <c r="BL34" s="875">
        <v>1.39579187</v>
      </c>
      <c r="BM34" s="875">
        <v>1.5600829199999997</v>
      </c>
      <c r="BN34" s="875">
        <v>1.5633534899999999</v>
      </c>
      <c r="BO34" s="875">
        <v>3.7217441</v>
      </c>
      <c r="BP34" s="875">
        <v>3.4033149499999999</v>
      </c>
      <c r="BQ34" s="875">
        <v>3.2358612600000001</v>
      </c>
      <c r="BR34" s="875">
        <v>3.0045329599999997</v>
      </c>
      <c r="BS34" s="875">
        <v>2.5862404200000002</v>
      </c>
      <c r="BT34" s="875">
        <v>2.3529937100000002</v>
      </c>
      <c r="BU34" s="875">
        <v>2.2110793600000003</v>
      </c>
      <c r="BV34" s="875">
        <v>2.0041162799999999</v>
      </c>
      <c r="BW34" s="875">
        <v>2.2257142999999999</v>
      </c>
      <c r="BX34" s="875">
        <v>2.2191353999999999</v>
      </c>
      <c r="BY34" s="875">
        <v>2.13675975</v>
      </c>
      <c r="BZ34" s="875">
        <v>2.2556950100000002</v>
      </c>
      <c r="CA34" s="875">
        <v>2.19727769</v>
      </c>
      <c r="CB34" s="875">
        <v>2.1823825499999998</v>
      </c>
      <c r="CC34" s="875">
        <v>2.3449348699999999</v>
      </c>
      <c r="CD34" s="875">
        <v>2.3011172800000002</v>
      </c>
      <c r="CE34" s="875">
        <v>2.3572990100000002</v>
      </c>
      <c r="CF34" s="875">
        <v>2.4036836699999999</v>
      </c>
      <c r="CG34" s="875">
        <v>2.3773618999999999</v>
      </c>
      <c r="CH34" s="875">
        <v>2.5277913399999998</v>
      </c>
      <c r="CI34" s="875">
        <v>2.6247733599999998</v>
      </c>
      <c r="CJ34" s="875">
        <v>1.6804426699999999</v>
      </c>
      <c r="CK34" s="875">
        <v>1.5591166400000001</v>
      </c>
      <c r="CL34" s="875">
        <v>1.4239023200000001</v>
      </c>
      <c r="CM34" s="875">
        <v>1.33770067</v>
      </c>
      <c r="CN34" s="875">
        <v>1.4190204300000002</v>
      </c>
      <c r="CO34" s="875">
        <v>1.6318296399999999</v>
      </c>
      <c r="CP34" s="875">
        <v>1.62972669</v>
      </c>
      <c r="CQ34" s="875">
        <v>1.71254986</v>
      </c>
      <c r="CR34" s="875">
        <v>1.9964790400000001</v>
      </c>
      <c r="CS34" s="875">
        <v>2.1999899799999998</v>
      </c>
      <c r="CT34" s="875">
        <v>2.4197597700000002</v>
      </c>
      <c r="CU34" s="875">
        <v>2.6733546100000001</v>
      </c>
      <c r="CV34" s="875">
        <v>2.6835476200000001</v>
      </c>
      <c r="CW34" s="875">
        <v>3.1203832999999999</v>
      </c>
      <c r="CX34" s="875">
        <v>3.4001759800000002</v>
      </c>
      <c r="CY34" s="875">
        <v>3.8618468199999998</v>
      </c>
      <c r="CZ34" s="875">
        <v>3.7838712600000002</v>
      </c>
      <c r="DA34" s="875">
        <v>4.0558672900000001</v>
      </c>
      <c r="DB34" s="875">
        <v>4.6544826099999996</v>
      </c>
      <c r="DC34" s="875">
        <v>4.60083764</v>
      </c>
      <c r="DD34" s="875">
        <v>4.9639494900000001</v>
      </c>
      <c r="DE34" s="875">
        <v>5.0732786000000001</v>
      </c>
      <c r="DF34" s="875">
        <v>5.0556020899999998</v>
      </c>
      <c r="DG34" s="875">
        <v>5.1197994099999997</v>
      </c>
      <c r="DH34" s="875">
        <v>5.2617754699999999</v>
      </c>
      <c r="DI34" s="875">
        <v>5.9950323799999996</v>
      </c>
      <c r="DJ34" s="875">
        <v>5.7913128599999997</v>
      </c>
      <c r="DK34" s="875">
        <v>5.7365052099999998</v>
      </c>
      <c r="DL34" s="875">
        <v>5.8475957200000002</v>
      </c>
      <c r="DM34" s="875">
        <v>5.3874728599999999</v>
      </c>
      <c r="DN34" s="875">
        <v>5.8565148699999998</v>
      </c>
      <c r="DO34" s="875">
        <v>5.8656411999999998</v>
      </c>
      <c r="DP34" s="875">
        <v>5.6749050499999996</v>
      </c>
      <c r="DQ34" s="875">
        <v>6.0105865300000003</v>
      </c>
      <c r="DR34" s="875">
        <v>6.2242347999999996</v>
      </c>
      <c r="DS34" s="875">
        <v>6.2788415200000003</v>
      </c>
      <c r="DT34" s="875">
        <v>6.7875966600000002</v>
      </c>
      <c r="DU34" s="875">
        <v>6.7984161299999997</v>
      </c>
      <c r="DV34" s="875">
        <v>7.1101983500000001</v>
      </c>
      <c r="DW34" s="875">
        <v>7.3877478400000003</v>
      </c>
      <c r="DX34" s="875">
        <v>7.5905283299999997</v>
      </c>
      <c r="DY34" s="875">
        <v>8.0474824399999996</v>
      </c>
      <c r="DZ34" s="875">
        <v>8.1301852599999993</v>
      </c>
      <c r="EA34" s="875">
        <v>8.8162267500000002</v>
      </c>
      <c r="EB34" s="875">
        <v>8.6528624199999999</v>
      </c>
      <c r="EC34" s="875">
        <v>9.0179141200000004</v>
      </c>
      <c r="ED34" s="875">
        <v>8.5574864799999997</v>
      </c>
      <c r="EE34" s="875">
        <v>9.0698048100000008</v>
      </c>
      <c r="EF34" s="875">
        <v>8.8455450500000001</v>
      </c>
      <c r="EG34" s="875">
        <v>8.7069883099999998</v>
      </c>
      <c r="EH34" s="875">
        <v>9.0200674999999997</v>
      </c>
      <c r="EI34" s="875">
        <v>9.5175299899999999</v>
      </c>
      <c r="EJ34" s="875">
        <v>9.8021425499999992</v>
      </c>
      <c r="EK34" s="875">
        <v>9.5697894100000003</v>
      </c>
      <c r="EL34" s="875">
        <v>9.5701394700000009</v>
      </c>
      <c r="EM34" s="875">
        <v>9.8893589399999993</v>
      </c>
      <c r="EN34" s="875">
        <v>10.224187069999999</v>
      </c>
      <c r="EO34" s="875">
        <v>11.441945329999999</v>
      </c>
      <c r="EP34" s="875">
        <v>11.53619379</v>
      </c>
      <c r="EQ34" s="875">
        <v>11.985076039999999</v>
      </c>
      <c r="ER34" s="875">
        <v>12.78177385</v>
      </c>
      <c r="ES34" s="875">
        <v>13.248844009999999</v>
      </c>
      <c r="ET34" s="875">
        <v>14.609752110000001</v>
      </c>
      <c r="EU34" s="1934" t="s">
        <v>4093</v>
      </c>
    </row>
    <row r="35" spans="1:151" ht="21">
      <c r="A35" s="1930" t="s">
        <v>2753</v>
      </c>
      <c r="B35" s="839">
        <v>66.666036790000007</v>
      </c>
      <c r="C35" s="839">
        <v>152.78409334000003</v>
      </c>
      <c r="D35" s="839">
        <v>158.29052512999999</v>
      </c>
      <c r="E35" s="839">
        <v>163.53751734000002</v>
      </c>
      <c r="F35" s="839">
        <v>171.56644912000002</v>
      </c>
      <c r="G35" s="839">
        <v>174.30213388000001</v>
      </c>
      <c r="H35" s="839">
        <v>181.49260264999998</v>
      </c>
      <c r="I35" s="839">
        <v>187.90645706999999</v>
      </c>
      <c r="J35" s="839">
        <v>196.57126171000002</v>
      </c>
      <c r="K35" s="839">
        <v>204.22035434999998</v>
      </c>
      <c r="L35" s="839">
        <v>209.20879467</v>
      </c>
      <c r="M35" s="840">
        <v>216.95055854</v>
      </c>
      <c r="N35" s="840">
        <v>215.73816747000001</v>
      </c>
      <c r="O35" s="840">
        <v>222.67418502999999</v>
      </c>
      <c r="P35" s="840">
        <v>224.82774436</v>
      </c>
      <c r="Q35" s="840">
        <v>239.25928099000001</v>
      </c>
      <c r="R35" s="840">
        <v>248.85219245999997</v>
      </c>
      <c r="S35" s="840">
        <v>255.94619204</v>
      </c>
      <c r="T35" s="840">
        <v>259.55990308000003</v>
      </c>
      <c r="U35" s="840">
        <v>259.97684357000003</v>
      </c>
      <c r="V35" s="840">
        <v>264.80865691000002</v>
      </c>
      <c r="W35" s="840">
        <v>282.46263128999999</v>
      </c>
      <c r="X35" s="840">
        <v>289.07191491000003</v>
      </c>
      <c r="Y35" s="840">
        <v>301.11939336</v>
      </c>
      <c r="Z35" s="840">
        <v>305.04925141999996</v>
      </c>
      <c r="AA35" s="840">
        <v>398.78550293000001</v>
      </c>
      <c r="AB35" s="840">
        <v>380.0914448100001</v>
      </c>
      <c r="AC35" s="840">
        <v>372.99930741000003</v>
      </c>
      <c r="AD35" s="840">
        <v>364.66400791999996</v>
      </c>
      <c r="AE35" s="840">
        <v>363.07725050999994</v>
      </c>
      <c r="AF35" s="840">
        <v>371.40780647000003</v>
      </c>
      <c r="AG35" s="840">
        <v>351.44605912999998</v>
      </c>
      <c r="AH35" s="840">
        <v>333.98893826</v>
      </c>
      <c r="AI35" s="840">
        <v>335.31654441000001</v>
      </c>
      <c r="AJ35" s="840">
        <v>319.27387050000004</v>
      </c>
      <c r="AK35" s="840">
        <v>445.92310965000001</v>
      </c>
      <c r="AL35" s="840">
        <v>444.72352273000001</v>
      </c>
      <c r="AM35" s="840">
        <v>427.36314652999999</v>
      </c>
      <c r="AN35" s="840">
        <v>412.94255929999997</v>
      </c>
      <c r="AO35" s="840">
        <v>392.52627456000005</v>
      </c>
      <c r="AP35" s="840">
        <v>380.72283900999997</v>
      </c>
      <c r="AQ35" s="840">
        <v>379.31414098000005</v>
      </c>
      <c r="AR35" s="840">
        <v>367.90065778000007</v>
      </c>
      <c r="AS35" s="840">
        <v>365.90544384999998</v>
      </c>
      <c r="AT35" s="840">
        <v>355.17308549000001</v>
      </c>
      <c r="AU35" s="840">
        <v>350.96733761000002</v>
      </c>
      <c r="AV35" s="840">
        <v>360.46997799000007</v>
      </c>
      <c r="AW35" s="840">
        <v>358.03041706000005</v>
      </c>
      <c r="AX35" s="840">
        <v>377.82303498000005</v>
      </c>
      <c r="AY35" s="840">
        <v>335.51784884</v>
      </c>
      <c r="AZ35" s="840">
        <v>323.28090706</v>
      </c>
      <c r="BA35" s="840">
        <v>315.82749596999997</v>
      </c>
      <c r="BB35" s="840">
        <v>305.49843315000004</v>
      </c>
      <c r="BC35" s="840">
        <v>298.20805774000002</v>
      </c>
      <c r="BD35" s="840">
        <v>290.97803176000002</v>
      </c>
      <c r="BE35" s="840">
        <v>286.79940289000001</v>
      </c>
      <c r="BF35" s="840">
        <v>280.08132470999999</v>
      </c>
      <c r="BG35" s="841">
        <v>273.68269659000003</v>
      </c>
      <c r="BH35" s="879">
        <v>264.79168549000002</v>
      </c>
      <c r="BI35" s="874">
        <v>255.77512719000001</v>
      </c>
      <c r="BJ35" s="874">
        <v>249.78915279999998</v>
      </c>
      <c r="BK35" s="874">
        <v>239.62582773000003</v>
      </c>
      <c r="BL35" s="874">
        <v>230.82252749999998</v>
      </c>
      <c r="BM35" s="874">
        <v>219.54711236999998</v>
      </c>
      <c r="BN35" s="874">
        <v>213.23544595999999</v>
      </c>
      <c r="BO35" s="874">
        <v>208.49339909000003</v>
      </c>
      <c r="BP35" s="874">
        <v>200.47550780999998</v>
      </c>
      <c r="BQ35" s="874">
        <v>191.34291770999997</v>
      </c>
      <c r="BR35" s="874">
        <v>185.18915687999998</v>
      </c>
      <c r="BS35" s="874">
        <v>184.27094256000001</v>
      </c>
      <c r="BT35" s="874">
        <v>183.93820625999996</v>
      </c>
      <c r="BU35" s="874">
        <v>166.55745254000001</v>
      </c>
      <c r="BV35" s="874">
        <v>160.33519397000001</v>
      </c>
      <c r="BW35" s="874">
        <v>157.89152170999998</v>
      </c>
      <c r="BX35" s="874">
        <v>150.78304842</v>
      </c>
      <c r="BY35" s="874">
        <v>146.93077224000001</v>
      </c>
      <c r="BZ35" s="874">
        <v>143.45688843000002</v>
      </c>
      <c r="CA35" s="874">
        <v>137.53259427999998</v>
      </c>
      <c r="CB35" s="874">
        <v>128.29226243000002</v>
      </c>
      <c r="CC35" s="874">
        <v>126.87539432000001</v>
      </c>
      <c r="CD35" s="874">
        <v>126.75859387</v>
      </c>
      <c r="CE35" s="874">
        <v>125.42095855000001</v>
      </c>
      <c r="CF35" s="874">
        <v>126.08948645000001</v>
      </c>
      <c r="CG35" s="874">
        <v>114.99039371000001</v>
      </c>
      <c r="CH35" s="874">
        <v>112.91605864</v>
      </c>
      <c r="CI35" s="874">
        <v>112.55564470000002</v>
      </c>
      <c r="CJ35" s="874">
        <v>98.655726619999996</v>
      </c>
      <c r="CK35" s="874">
        <v>91.692516859999984</v>
      </c>
      <c r="CL35" s="874">
        <v>89.757702639999991</v>
      </c>
      <c r="CM35" s="874">
        <v>84.926955349999986</v>
      </c>
      <c r="CN35" s="874">
        <v>81.086552280000006</v>
      </c>
      <c r="CO35" s="874">
        <v>84.12291282000001</v>
      </c>
      <c r="CP35" s="874">
        <v>85.597552369999988</v>
      </c>
      <c r="CQ35" s="874">
        <v>81.905212239999997</v>
      </c>
      <c r="CR35" s="874">
        <v>77.806721789999997</v>
      </c>
      <c r="CS35" s="874">
        <v>72.691409809999996</v>
      </c>
      <c r="CT35" s="874">
        <v>66.977830639999993</v>
      </c>
      <c r="CU35" s="874">
        <v>71.486138819999994</v>
      </c>
      <c r="CV35" s="874">
        <v>69.613432290000006</v>
      </c>
      <c r="CW35" s="874">
        <v>69.096107020000005</v>
      </c>
      <c r="CX35" s="874">
        <v>65.901339919999998</v>
      </c>
      <c r="CY35" s="874">
        <v>66.090497819999996</v>
      </c>
      <c r="CZ35" s="874">
        <v>66.770339559999996</v>
      </c>
      <c r="DA35" s="874">
        <v>71.561757290000003</v>
      </c>
      <c r="DB35" s="874">
        <v>77.61401678</v>
      </c>
      <c r="DC35" s="874">
        <v>77.711903250000006</v>
      </c>
      <c r="DD35" s="874">
        <v>71.835889850000001</v>
      </c>
      <c r="DE35" s="874">
        <v>73.036834299999995</v>
      </c>
      <c r="DF35" s="874">
        <v>64.686017419999999</v>
      </c>
      <c r="DG35" s="874">
        <v>65.924546179999993</v>
      </c>
      <c r="DH35" s="874">
        <v>61.939113740000003</v>
      </c>
      <c r="DI35" s="874">
        <v>60.554497820000002</v>
      </c>
      <c r="DJ35" s="874">
        <v>61.913181719999997</v>
      </c>
      <c r="DK35" s="874">
        <v>60.479601010000003</v>
      </c>
      <c r="DL35" s="874">
        <v>60.204029390000002</v>
      </c>
      <c r="DM35" s="874">
        <v>64.340504019999997</v>
      </c>
      <c r="DN35" s="874">
        <v>71.511469480000002</v>
      </c>
      <c r="DO35" s="874">
        <v>73.020339719999996</v>
      </c>
      <c r="DP35" s="874">
        <v>70.873400899999993</v>
      </c>
      <c r="DQ35" s="874">
        <v>70.305608329999998</v>
      </c>
      <c r="DR35" s="874">
        <v>68.223123509999994</v>
      </c>
      <c r="DS35" s="874">
        <v>63.00377297</v>
      </c>
      <c r="DT35" s="874">
        <v>60.500577270000001</v>
      </c>
      <c r="DU35" s="874">
        <v>67.387000439999994</v>
      </c>
      <c r="DV35" s="874">
        <v>74.45694349</v>
      </c>
      <c r="DW35" s="874">
        <v>71.509528279999998</v>
      </c>
      <c r="DX35" s="874">
        <v>69.766128269999996</v>
      </c>
      <c r="DY35" s="874">
        <v>76.086080030000005</v>
      </c>
      <c r="DZ35" s="874">
        <v>82.637481100000002</v>
      </c>
      <c r="EA35" s="874">
        <v>77.184595189999996</v>
      </c>
      <c r="EB35" s="874">
        <v>81.109938009999993</v>
      </c>
      <c r="EC35" s="874">
        <v>79.815273329999997</v>
      </c>
      <c r="ED35" s="874">
        <v>74.915426980000007</v>
      </c>
      <c r="EE35" s="874">
        <v>71.604958670000002</v>
      </c>
      <c r="EF35" s="874">
        <v>67.558371109999996</v>
      </c>
      <c r="EG35" s="874">
        <v>64.308333599999997</v>
      </c>
      <c r="EH35" s="874">
        <v>55.420562220000001</v>
      </c>
      <c r="EI35" s="874">
        <v>52.902936109999999</v>
      </c>
      <c r="EJ35" s="874">
        <v>50.517891069999997</v>
      </c>
      <c r="EK35" s="874">
        <v>55.092282259999998</v>
      </c>
      <c r="EL35" s="874">
        <v>63.484013580000003</v>
      </c>
      <c r="EM35" s="874">
        <v>59.906927000000003</v>
      </c>
      <c r="EN35" s="874">
        <v>57.431689919999997</v>
      </c>
      <c r="EO35" s="874">
        <v>58.995439750000003</v>
      </c>
      <c r="EP35" s="874">
        <v>55.049355339999998</v>
      </c>
      <c r="EQ35" s="874">
        <v>50.650188149999998</v>
      </c>
      <c r="ER35" s="874">
        <v>49.111851940000001</v>
      </c>
      <c r="ES35" s="874">
        <v>44.573680600000003</v>
      </c>
      <c r="ET35" s="874">
        <v>41.769655329999999</v>
      </c>
      <c r="EU35" s="1930" t="s">
        <v>4082</v>
      </c>
    </row>
    <row r="36" spans="1:151" ht="21">
      <c r="A36" s="1929" t="s">
        <v>2019</v>
      </c>
      <c r="B36" s="842">
        <v>0.86300927999999999</v>
      </c>
      <c r="C36" s="842">
        <v>3.3908209600000001</v>
      </c>
      <c r="D36" s="842">
        <v>3.3808722600000003</v>
      </c>
      <c r="E36" s="842">
        <v>3.5275867200000004</v>
      </c>
      <c r="F36" s="842">
        <v>4.0112032400000004</v>
      </c>
      <c r="G36" s="842">
        <v>3.08315128</v>
      </c>
      <c r="H36" s="842">
        <v>2.75096081</v>
      </c>
      <c r="I36" s="842">
        <v>2.8174198100000001</v>
      </c>
      <c r="J36" s="842">
        <v>3.2131447899999999</v>
      </c>
      <c r="K36" s="842">
        <v>3.3452382200000002</v>
      </c>
      <c r="L36" s="842">
        <v>3.3085029599999998</v>
      </c>
      <c r="M36" s="843">
        <v>3.4845867799999999</v>
      </c>
      <c r="N36" s="843">
        <v>3.3475053999999997</v>
      </c>
      <c r="O36" s="843">
        <v>3.4848470299999996</v>
      </c>
      <c r="P36" s="843">
        <v>3.3661613900000003</v>
      </c>
      <c r="Q36" s="843">
        <v>3.7977207000000002</v>
      </c>
      <c r="R36" s="843">
        <v>3.8486074000000001</v>
      </c>
      <c r="S36" s="843">
        <v>3.9363414300000001</v>
      </c>
      <c r="T36" s="843">
        <v>3.6753265299999995</v>
      </c>
      <c r="U36" s="843">
        <v>3.7918110500000002</v>
      </c>
      <c r="V36" s="843">
        <v>4.2336154800000001</v>
      </c>
      <c r="W36" s="843">
        <v>0.54781430000000009</v>
      </c>
      <c r="X36" s="843">
        <v>0.55489554000000008</v>
      </c>
      <c r="Y36" s="843">
        <v>0.51227495000000001</v>
      </c>
      <c r="Z36" s="843">
        <v>0.49579334999999997</v>
      </c>
      <c r="AA36" s="843">
        <v>0.64104475999999999</v>
      </c>
      <c r="AB36" s="843">
        <v>0.61655990000000005</v>
      </c>
      <c r="AC36" s="843">
        <v>0.59934564000000001</v>
      </c>
      <c r="AD36" s="843">
        <v>0.68712766000000003</v>
      </c>
      <c r="AE36" s="843">
        <v>0.66563531999999992</v>
      </c>
      <c r="AF36" s="843">
        <v>0.67945404000000009</v>
      </c>
      <c r="AG36" s="843">
        <v>0.63501459999999998</v>
      </c>
      <c r="AH36" s="843">
        <v>0.61238236000000001</v>
      </c>
      <c r="AI36" s="843">
        <v>0.59317748000000003</v>
      </c>
      <c r="AJ36" s="843">
        <v>0.56649388000000001</v>
      </c>
      <c r="AK36" s="843">
        <v>1.0098676200000001</v>
      </c>
      <c r="AL36" s="843">
        <v>0.96995812000000003</v>
      </c>
      <c r="AM36" s="843">
        <v>0.96966078</v>
      </c>
      <c r="AN36" s="843">
        <v>0.93889531999999998</v>
      </c>
      <c r="AO36" s="843">
        <v>0.87415865000000004</v>
      </c>
      <c r="AP36" s="843">
        <v>0.85789400999999998</v>
      </c>
      <c r="AQ36" s="843">
        <v>0.87187856000000008</v>
      </c>
      <c r="AR36" s="843">
        <v>0.88303703</v>
      </c>
      <c r="AS36" s="843">
        <v>0.89383630000000003</v>
      </c>
      <c r="AT36" s="843">
        <v>0.87284824999999999</v>
      </c>
      <c r="AU36" s="843">
        <v>0.86061482</v>
      </c>
      <c r="AV36" s="843">
        <v>1.3602513799999998</v>
      </c>
      <c r="AW36" s="843">
        <v>1.3943853299999998</v>
      </c>
      <c r="AX36" s="843">
        <v>1.5073832700000001</v>
      </c>
      <c r="AY36" s="843">
        <v>1.3686486100000002</v>
      </c>
      <c r="AZ36" s="843">
        <v>1.3010885400000001</v>
      </c>
      <c r="BA36" s="843">
        <v>1.25267153</v>
      </c>
      <c r="BB36" s="843">
        <v>1.10400294</v>
      </c>
      <c r="BC36" s="843">
        <v>1.10239033</v>
      </c>
      <c r="BD36" s="843">
        <v>1.0930872600000001</v>
      </c>
      <c r="BE36" s="843">
        <v>1.07818305</v>
      </c>
      <c r="BF36" s="843">
        <v>1.0691329899999999</v>
      </c>
      <c r="BG36" s="844">
        <v>1.0551198899999998</v>
      </c>
      <c r="BH36" s="880">
        <v>1.04655733</v>
      </c>
      <c r="BI36" s="875">
        <v>1.0380568299999999</v>
      </c>
      <c r="BJ36" s="875">
        <v>1.03459675</v>
      </c>
      <c r="BK36" s="875">
        <v>1.0261561299999999</v>
      </c>
      <c r="BL36" s="875">
        <v>1.0175957799999999</v>
      </c>
      <c r="BM36" s="875">
        <v>1.0184709000000001</v>
      </c>
      <c r="BN36" s="875">
        <v>1.0110759</v>
      </c>
      <c r="BO36" s="875">
        <v>1.0051259000000001</v>
      </c>
      <c r="BP36" s="875">
        <v>1.0017208</v>
      </c>
      <c r="BQ36" s="875">
        <v>0.99322589999999999</v>
      </c>
      <c r="BR36" s="875">
        <v>0.98727589999999998</v>
      </c>
      <c r="BS36" s="875">
        <v>0.98132589999999997</v>
      </c>
      <c r="BT36" s="875">
        <v>0.97537590000000007</v>
      </c>
      <c r="BU36" s="875">
        <v>0.96942590000000006</v>
      </c>
      <c r="BV36" s="875">
        <v>0.96602589999999999</v>
      </c>
      <c r="BW36" s="875">
        <v>0.96262590000000003</v>
      </c>
      <c r="BX36" s="875">
        <v>0.95988620999999996</v>
      </c>
      <c r="BY36" s="875">
        <v>0.95648621</v>
      </c>
      <c r="BZ36" s="875">
        <v>0.93386663000000003</v>
      </c>
      <c r="CA36" s="875">
        <v>0.95047355</v>
      </c>
      <c r="CB36" s="875">
        <v>0.9418588</v>
      </c>
      <c r="CC36" s="875">
        <v>0.93248582999999996</v>
      </c>
      <c r="CD36" s="875">
        <v>0.92105281000000006</v>
      </c>
      <c r="CE36" s="875">
        <v>0.90895391000000003</v>
      </c>
      <c r="CF36" s="875">
        <v>0.89674074999999998</v>
      </c>
      <c r="CG36" s="875">
        <v>0.88514480000000006</v>
      </c>
      <c r="CH36" s="875">
        <v>0.87219071999999997</v>
      </c>
      <c r="CI36" s="875">
        <v>0.85993752000000001</v>
      </c>
      <c r="CJ36" s="875">
        <v>0.84754682999999997</v>
      </c>
      <c r="CK36" s="875">
        <v>0.83425386999999995</v>
      </c>
      <c r="CL36" s="875">
        <v>0.82147914</v>
      </c>
      <c r="CM36" s="875">
        <v>0.80878673000000001</v>
      </c>
      <c r="CN36" s="875">
        <v>0.79529766000000002</v>
      </c>
      <c r="CO36" s="875">
        <v>0.79628239000000001</v>
      </c>
      <c r="CP36" s="875">
        <v>0.78513511000000002</v>
      </c>
      <c r="CQ36" s="875">
        <v>0.77016435999999999</v>
      </c>
      <c r="CR36" s="875">
        <v>0.75488169999999999</v>
      </c>
      <c r="CS36" s="875">
        <v>0.74398455000000008</v>
      </c>
      <c r="CT36" s="875">
        <v>0.72851104</v>
      </c>
      <c r="CU36" s="875">
        <v>0.71330771999999998</v>
      </c>
      <c r="CV36" s="875">
        <v>0.69740592999999995</v>
      </c>
      <c r="CW36" s="875">
        <v>0.68122804999999997</v>
      </c>
      <c r="CX36" s="875">
        <v>0.66543514000000004</v>
      </c>
      <c r="CY36" s="875">
        <v>0.64913701000000001</v>
      </c>
      <c r="CZ36" s="875">
        <v>0.63279547000000003</v>
      </c>
      <c r="DA36" s="875">
        <v>0.54520851000000004</v>
      </c>
      <c r="DB36" s="875">
        <v>0.55860673999999999</v>
      </c>
      <c r="DC36" s="875">
        <v>0.55860673999999999</v>
      </c>
      <c r="DD36" s="875">
        <v>0</v>
      </c>
      <c r="DE36" s="875">
        <v>0</v>
      </c>
      <c r="DF36" s="875">
        <v>0</v>
      </c>
      <c r="DG36" s="875">
        <v>0</v>
      </c>
      <c r="DH36" s="875">
        <v>0</v>
      </c>
      <c r="DI36" s="875">
        <v>0</v>
      </c>
      <c r="DJ36" s="875">
        <v>0</v>
      </c>
      <c r="DK36" s="875">
        <v>0</v>
      </c>
      <c r="DL36" s="875">
        <v>0</v>
      </c>
      <c r="DM36" s="875">
        <v>0</v>
      </c>
      <c r="DN36" s="875">
        <v>0</v>
      </c>
      <c r="DO36" s="875">
        <v>0</v>
      </c>
      <c r="DP36" s="875">
        <v>0</v>
      </c>
      <c r="DQ36" s="875">
        <v>0</v>
      </c>
      <c r="DR36" s="875">
        <v>0</v>
      </c>
      <c r="DS36" s="875">
        <v>0</v>
      </c>
      <c r="DT36" s="875">
        <v>0</v>
      </c>
      <c r="DU36" s="875">
        <v>0.35699999999999998</v>
      </c>
      <c r="DV36" s="875">
        <v>0.32820034999999997</v>
      </c>
      <c r="DW36" s="875">
        <v>0.29896295000000001</v>
      </c>
      <c r="DX36" s="875">
        <v>0.26878794</v>
      </c>
      <c r="DY36" s="875">
        <v>0.23864827999999999</v>
      </c>
      <c r="DZ36" s="875">
        <v>0.20816660000000001</v>
      </c>
      <c r="EA36" s="875">
        <v>0.19334941999999999</v>
      </c>
      <c r="EB36" s="875">
        <v>0.17003045999999999</v>
      </c>
      <c r="EC36" s="875">
        <v>0.15500061000000001</v>
      </c>
      <c r="ED36" s="875">
        <v>0.13995228000000001</v>
      </c>
      <c r="EE36" s="875">
        <v>0.12482871</v>
      </c>
      <c r="EF36" s="875">
        <v>9.8945169999999999E-2</v>
      </c>
      <c r="EG36" s="875">
        <v>8.3468150000000005E-2</v>
      </c>
      <c r="EH36" s="875">
        <v>6.6584069999999995E-2</v>
      </c>
      <c r="EI36" s="875">
        <v>5.1082570000000001E-2</v>
      </c>
      <c r="EJ36" s="875">
        <v>3.5506129999999997E-2</v>
      </c>
      <c r="EK36" s="875">
        <v>1.9860340000000001E-2</v>
      </c>
      <c r="EL36" s="875">
        <v>4.1362999999999999E-3</v>
      </c>
      <c r="EM36" s="875">
        <v>0</v>
      </c>
      <c r="EN36" s="875">
        <v>0</v>
      </c>
      <c r="EO36" s="875">
        <v>0</v>
      </c>
      <c r="EP36" s="875">
        <v>0</v>
      </c>
      <c r="EQ36" s="875">
        <v>0</v>
      </c>
      <c r="ER36" s="875">
        <v>0</v>
      </c>
      <c r="ES36" s="875">
        <v>0</v>
      </c>
      <c r="ET36" s="875">
        <v>0.17</v>
      </c>
      <c r="EU36" s="1934" t="s">
        <v>4093</v>
      </c>
    </row>
    <row r="37" spans="1:151" ht="21">
      <c r="A37" s="1931"/>
      <c r="B37" s="842"/>
      <c r="C37" s="842"/>
      <c r="D37" s="842"/>
      <c r="E37" s="842"/>
      <c r="F37" s="842"/>
      <c r="G37" s="842"/>
      <c r="H37" s="842"/>
      <c r="I37" s="842"/>
      <c r="J37" s="842"/>
      <c r="K37" s="842"/>
      <c r="L37" s="842"/>
      <c r="M37" s="843"/>
      <c r="N37" s="843"/>
      <c r="O37" s="843"/>
      <c r="P37" s="843"/>
      <c r="Q37" s="843"/>
      <c r="R37" s="843"/>
      <c r="S37" s="843"/>
      <c r="T37" s="843"/>
      <c r="U37" s="843"/>
      <c r="V37" s="843"/>
      <c r="W37" s="843"/>
      <c r="X37" s="843"/>
      <c r="Y37" s="843"/>
      <c r="Z37" s="843"/>
      <c r="AA37" s="843"/>
      <c r="AB37" s="843"/>
      <c r="AC37" s="843"/>
      <c r="AD37" s="843"/>
      <c r="AE37" s="843"/>
      <c r="AF37" s="843"/>
      <c r="AG37" s="843"/>
      <c r="AH37" s="843"/>
      <c r="AI37" s="843"/>
      <c r="AJ37" s="843"/>
      <c r="AK37" s="843"/>
      <c r="AL37" s="843"/>
      <c r="AM37" s="843"/>
      <c r="AN37" s="843"/>
      <c r="AO37" s="843"/>
      <c r="AP37" s="843"/>
      <c r="AQ37" s="843"/>
      <c r="AR37" s="843"/>
      <c r="AS37" s="843"/>
      <c r="AT37" s="843"/>
      <c r="AU37" s="843"/>
      <c r="AV37" s="843"/>
      <c r="AW37" s="843"/>
      <c r="AX37" s="843"/>
      <c r="AY37" s="843"/>
      <c r="AZ37" s="843"/>
      <c r="BA37" s="843"/>
      <c r="BB37" s="843"/>
      <c r="BC37" s="843"/>
      <c r="BD37" s="843"/>
      <c r="BE37" s="843"/>
      <c r="BF37" s="843"/>
      <c r="BG37" s="844"/>
      <c r="BH37" s="880"/>
      <c r="BI37" s="875"/>
      <c r="BJ37" s="875"/>
      <c r="BK37" s="875"/>
      <c r="BL37" s="875"/>
      <c r="BM37" s="875"/>
      <c r="BN37" s="875"/>
      <c r="BO37" s="875"/>
      <c r="BP37" s="875"/>
      <c r="BQ37" s="875"/>
      <c r="BR37" s="875"/>
      <c r="BS37" s="875"/>
      <c r="BT37" s="875"/>
      <c r="BU37" s="875"/>
      <c r="BV37" s="875"/>
      <c r="BW37" s="875"/>
      <c r="BX37" s="875"/>
      <c r="BY37" s="875"/>
      <c r="BZ37" s="875"/>
      <c r="CA37" s="875"/>
      <c r="CB37" s="875"/>
      <c r="CC37" s="875"/>
      <c r="CD37" s="875"/>
      <c r="CE37" s="875"/>
      <c r="CF37" s="875"/>
      <c r="CG37" s="875"/>
      <c r="CH37" s="875"/>
      <c r="CI37" s="875"/>
      <c r="CJ37" s="875"/>
      <c r="CK37" s="875"/>
      <c r="CL37" s="875"/>
      <c r="CM37" s="875"/>
      <c r="CN37" s="875"/>
      <c r="CO37" s="875"/>
      <c r="CP37" s="875"/>
      <c r="CQ37" s="875"/>
      <c r="CR37" s="875"/>
      <c r="CS37" s="875"/>
      <c r="CT37" s="875"/>
      <c r="CU37" s="875"/>
      <c r="CV37" s="875"/>
      <c r="CW37" s="875"/>
      <c r="CX37" s="875"/>
      <c r="CY37" s="875"/>
      <c r="CZ37" s="875"/>
      <c r="DA37" s="875"/>
      <c r="DB37" s="875"/>
      <c r="DC37" s="875"/>
      <c r="DD37" s="875"/>
      <c r="DE37" s="875"/>
      <c r="DF37" s="875"/>
      <c r="DG37" s="875"/>
      <c r="DH37" s="875"/>
      <c r="DI37" s="875"/>
      <c r="DJ37" s="875"/>
      <c r="DK37" s="875"/>
      <c r="DL37" s="875"/>
      <c r="DM37" s="875"/>
      <c r="DN37" s="875"/>
      <c r="DO37" s="875"/>
      <c r="DP37" s="875"/>
      <c r="DQ37" s="875"/>
      <c r="DR37" s="875"/>
      <c r="DS37" s="875"/>
      <c r="DT37" s="875"/>
      <c r="DU37" s="875"/>
      <c r="DV37" s="875"/>
      <c r="DW37" s="875"/>
      <c r="DX37" s="875"/>
      <c r="DY37" s="875"/>
      <c r="DZ37" s="875"/>
      <c r="EA37" s="875"/>
      <c r="EB37" s="875"/>
      <c r="EC37" s="875"/>
      <c r="ED37" s="875"/>
      <c r="EE37" s="875"/>
      <c r="EF37" s="875"/>
      <c r="EG37" s="875"/>
      <c r="EH37" s="875"/>
      <c r="EI37" s="875"/>
      <c r="EJ37" s="875"/>
      <c r="EK37" s="875"/>
      <c r="EL37" s="875"/>
      <c r="EM37" s="875"/>
      <c r="EN37" s="875"/>
      <c r="EO37" s="875"/>
      <c r="EP37" s="875"/>
      <c r="EQ37" s="875"/>
      <c r="ER37" s="875"/>
      <c r="ES37" s="875"/>
      <c r="ET37" s="875"/>
      <c r="EU37" s="1931"/>
    </row>
    <row r="38" spans="1:151" ht="21">
      <c r="A38" s="1928" t="s">
        <v>1955</v>
      </c>
      <c r="B38" s="839">
        <v>17.766566539999999</v>
      </c>
      <c r="C38" s="839">
        <v>22.945062950000001</v>
      </c>
      <c r="D38" s="839">
        <v>21.668987950000002</v>
      </c>
      <c r="E38" s="839">
        <v>21.677562789999996</v>
      </c>
      <c r="F38" s="839">
        <v>21.911337209999999</v>
      </c>
      <c r="G38" s="839">
        <v>20.999708079999998</v>
      </c>
      <c r="H38" s="839">
        <v>20.948338400000001</v>
      </c>
      <c r="I38" s="839">
        <v>19.60692826</v>
      </c>
      <c r="J38" s="839">
        <v>17.095820400000001</v>
      </c>
      <c r="K38" s="839">
        <v>18.329791440000001</v>
      </c>
      <c r="L38" s="839">
        <v>21.740978640000002</v>
      </c>
      <c r="M38" s="840">
        <v>23.579365899999999</v>
      </c>
      <c r="N38" s="840">
        <v>23.967542090000002</v>
      </c>
      <c r="O38" s="840">
        <v>25.871231269999996</v>
      </c>
      <c r="P38" s="840">
        <v>26.226864130000003</v>
      </c>
      <c r="Q38" s="840">
        <v>28.49794116</v>
      </c>
      <c r="R38" s="840">
        <v>29.580274790000001</v>
      </c>
      <c r="S38" s="840">
        <v>31.649486629999998</v>
      </c>
      <c r="T38" s="840">
        <v>33.67329032</v>
      </c>
      <c r="U38" s="840">
        <v>34.50216743</v>
      </c>
      <c r="V38" s="840">
        <v>33.88321397</v>
      </c>
      <c r="W38" s="840">
        <v>36.337116999999999</v>
      </c>
      <c r="X38" s="840">
        <v>33.49902685</v>
      </c>
      <c r="Y38" s="840">
        <v>30.961195279999998</v>
      </c>
      <c r="Z38" s="840">
        <v>31.949608130000001</v>
      </c>
      <c r="AA38" s="840">
        <v>38.919785779999998</v>
      </c>
      <c r="AB38" s="840">
        <v>36.929363539999997</v>
      </c>
      <c r="AC38" s="840">
        <v>34.486364129999998</v>
      </c>
      <c r="AD38" s="840">
        <v>35.404588740000008</v>
      </c>
      <c r="AE38" s="840">
        <v>34.925877159999999</v>
      </c>
      <c r="AF38" s="840">
        <v>36.199890539999998</v>
      </c>
      <c r="AG38" s="840">
        <v>39.381006429999999</v>
      </c>
      <c r="AH38" s="840">
        <v>38.355364870000002</v>
      </c>
      <c r="AI38" s="840">
        <v>41.731077889999995</v>
      </c>
      <c r="AJ38" s="840">
        <v>41.657239560000001</v>
      </c>
      <c r="AK38" s="840">
        <v>41.139814020000003</v>
      </c>
      <c r="AL38" s="840">
        <v>36.345547910000001</v>
      </c>
      <c r="AM38" s="840">
        <v>32.933906229999998</v>
      </c>
      <c r="AN38" s="840">
        <v>32.869697770000002</v>
      </c>
      <c r="AO38" s="840">
        <v>33.604306729999998</v>
      </c>
      <c r="AP38" s="840">
        <v>32.265850780000001</v>
      </c>
      <c r="AQ38" s="840">
        <v>34.613343759999999</v>
      </c>
      <c r="AR38" s="840">
        <v>43.827408309999996</v>
      </c>
      <c r="AS38" s="840">
        <v>48.971976049999995</v>
      </c>
      <c r="AT38" s="840">
        <v>48.929506879999998</v>
      </c>
      <c r="AU38" s="840">
        <v>50.346966810000005</v>
      </c>
      <c r="AV38" s="840">
        <v>51.656373370000004</v>
      </c>
      <c r="AW38" s="840">
        <v>46.230817819999999</v>
      </c>
      <c r="AX38" s="840">
        <v>45.553140759999998</v>
      </c>
      <c r="AY38" s="840">
        <v>43.219002640000006</v>
      </c>
      <c r="AZ38" s="840">
        <v>42.961399950000001</v>
      </c>
      <c r="BA38" s="840">
        <v>42.567978479999994</v>
      </c>
      <c r="BB38" s="840">
        <v>43.444897570000002</v>
      </c>
      <c r="BC38" s="840">
        <v>45.054142570000003</v>
      </c>
      <c r="BD38" s="840">
        <v>38.349922409999998</v>
      </c>
      <c r="BE38" s="840">
        <v>30.918805550000002</v>
      </c>
      <c r="BF38" s="840">
        <v>32.352323630000001</v>
      </c>
      <c r="BG38" s="841">
        <v>32.16380041</v>
      </c>
      <c r="BH38" s="879">
        <v>30.314506189999996</v>
      </c>
      <c r="BI38" s="874">
        <v>30.351168469999998</v>
      </c>
      <c r="BJ38" s="874">
        <v>29.9115468</v>
      </c>
      <c r="BK38" s="874">
        <v>30.50109102</v>
      </c>
      <c r="BL38" s="874">
        <v>29.268843299999997</v>
      </c>
      <c r="BM38" s="874">
        <v>28.754794849999996</v>
      </c>
      <c r="BN38" s="874">
        <v>29.3187648</v>
      </c>
      <c r="BO38" s="874">
        <v>29.03480441</v>
      </c>
      <c r="BP38" s="874">
        <v>29.281016949999998</v>
      </c>
      <c r="BQ38" s="874">
        <v>30.092502039999999</v>
      </c>
      <c r="BR38" s="874">
        <v>31.740528149999996</v>
      </c>
      <c r="BS38" s="874">
        <v>32.981479800000002</v>
      </c>
      <c r="BT38" s="874">
        <v>32.3277176</v>
      </c>
      <c r="BU38" s="874">
        <v>31.824480560000001</v>
      </c>
      <c r="BV38" s="874">
        <v>32.316656039999998</v>
      </c>
      <c r="BW38" s="874">
        <v>32.858558200000004</v>
      </c>
      <c r="BX38" s="874">
        <v>31.658665549999998</v>
      </c>
      <c r="BY38" s="874">
        <v>28.140884570000001</v>
      </c>
      <c r="BZ38" s="874">
        <v>27.768869719999998</v>
      </c>
      <c r="CA38" s="874">
        <v>28.445168290000002</v>
      </c>
      <c r="CB38" s="874">
        <v>31.251241359999998</v>
      </c>
      <c r="CC38" s="874">
        <v>34.789028260000002</v>
      </c>
      <c r="CD38" s="874">
        <v>40.496305579999998</v>
      </c>
      <c r="CE38" s="874">
        <v>45.179075760000003</v>
      </c>
      <c r="CF38" s="874">
        <v>47.26933923</v>
      </c>
      <c r="CG38" s="874">
        <v>48.460994929999998</v>
      </c>
      <c r="CH38" s="874">
        <v>47.091091359999993</v>
      </c>
      <c r="CI38" s="874">
        <v>49.691688419999991</v>
      </c>
      <c r="CJ38" s="874">
        <v>48.539318809999997</v>
      </c>
      <c r="CK38" s="874">
        <v>43.602762060000011</v>
      </c>
      <c r="CL38" s="874">
        <v>43.33771346999999</v>
      </c>
      <c r="CM38" s="874">
        <v>41.439723709999996</v>
      </c>
      <c r="CN38" s="874">
        <v>41.738506699999995</v>
      </c>
      <c r="CO38" s="874">
        <v>47.721358759999994</v>
      </c>
      <c r="CP38" s="874">
        <v>57.084244719999994</v>
      </c>
      <c r="CQ38" s="874">
        <v>58.694032039999996</v>
      </c>
      <c r="CR38" s="874">
        <v>60.689577670000006</v>
      </c>
      <c r="CS38" s="874">
        <v>66.059513080000002</v>
      </c>
      <c r="CT38" s="874">
        <v>67.224040759999994</v>
      </c>
      <c r="CU38" s="874">
        <v>71.991596610000002</v>
      </c>
      <c r="CV38" s="874">
        <v>75.544221550000003</v>
      </c>
      <c r="CW38" s="874">
        <v>82.102439349999997</v>
      </c>
      <c r="CX38" s="874">
        <v>84.99988424</v>
      </c>
      <c r="CY38" s="874">
        <v>86.743387010000006</v>
      </c>
      <c r="CZ38" s="874">
        <v>86.788193320000005</v>
      </c>
      <c r="DA38" s="874">
        <v>93.071777269999998</v>
      </c>
      <c r="DB38" s="874">
        <v>106.35065351</v>
      </c>
      <c r="DC38" s="874">
        <v>112.33308402999999</v>
      </c>
      <c r="DD38" s="874">
        <v>115.04752805</v>
      </c>
      <c r="DE38" s="874">
        <v>122.36977136</v>
      </c>
      <c r="DF38" s="874">
        <v>122.23483948000001</v>
      </c>
      <c r="DG38" s="874">
        <v>131.69014238</v>
      </c>
      <c r="DH38" s="874">
        <v>134.84683136000001</v>
      </c>
      <c r="DI38" s="874">
        <v>139.54824948000001</v>
      </c>
      <c r="DJ38" s="874">
        <v>141.02214283999999</v>
      </c>
      <c r="DK38" s="874">
        <v>138.69091433</v>
      </c>
      <c r="DL38" s="874">
        <v>138.83422530000001</v>
      </c>
      <c r="DM38" s="874">
        <v>146.96351751</v>
      </c>
      <c r="DN38" s="874">
        <v>149.62944887</v>
      </c>
      <c r="DO38" s="874">
        <v>147.70071213</v>
      </c>
      <c r="DP38" s="874">
        <v>146.98120374000001</v>
      </c>
      <c r="DQ38" s="874">
        <v>156.76234754999999</v>
      </c>
      <c r="DR38" s="874">
        <v>158.17856487</v>
      </c>
      <c r="DS38" s="874">
        <v>159.9750775</v>
      </c>
      <c r="DT38" s="874">
        <v>161.98581701000001</v>
      </c>
      <c r="DU38" s="874">
        <v>164.27255177999999</v>
      </c>
      <c r="DV38" s="874">
        <v>168.04869883999999</v>
      </c>
      <c r="DW38" s="874">
        <v>165.18052918000001</v>
      </c>
      <c r="DX38" s="874">
        <v>157.18929076000001</v>
      </c>
      <c r="DY38" s="874">
        <v>168.21587991000001</v>
      </c>
      <c r="DZ38" s="874">
        <v>176.53917430999999</v>
      </c>
      <c r="EA38" s="874">
        <v>178.87528545999999</v>
      </c>
      <c r="EB38" s="874">
        <v>184.99126476000001</v>
      </c>
      <c r="EC38" s="874">
        <v>188.13916682000001</v>
      </c>
      <c r="ED38" s="874">
        <v>179.73408726</v>
      </c>
      <c r="EE38" s="874">
        <v>184.58767689000001</v>
      </c>
      <c r="EF38" s="874">
        <v>187.96328889</v>
      </c>
      <c r="EG38" s="874">
        <v>189.70817937999999</v>
      </c>
      <c r="EH38" s="874">
        <v>193.10346082999999</v>
      </c>
      <c r="EI38" s="874">
        <v>187.86677725000001</v>
      </c>
      <c r="EJ38" s="874">
        <v>194.32506028</v>
      </c>
      <c r="EK38" s="874">
        <v>199.47485474999999</v>
      </c>
      <c r="EL38" s="874">
        <v>216.42477615000001</v>
      </c>
      <c r="EM38" s="874">
        <v>218.8298537</v>
      </c>
      <c r="EN38" s="874">
        <v>219.92885447</v>
      </c>
      <c r="EO38" s="874">
        <v>216.52486008</v>
      </c>
      <c r="EP38" s="874">
        <v>212.90409156000001</v>
      </c>
      <c r="EQ38" s="874">
        <v>214.60370570000001</v>
      </c>
      <c r="ER38" s="874">
        <v>222.46892158</v>
      </c>
      <c r="ES38" s="874">
        <v>227.14988586999999</v>
      </c>
      <c r="ET38" s="874">
        <v>228.43973216000001</v>
      </c>
      <c r="EU38" s="1928" t="s">
        <v>4083</v>
      </c>
    </row>
    <row r="39" spans="1:151" ht="21">
      <c r="A39" s="1929" t="s">
        <v>2019</v>
      </c>
      <c r="B39" s="842">
        <v>11.5349111</v>
      </c>
      <c r="C39" s="842">
        <v>8.7454138299999986</v>
      </c>
      <c r="D39" s="842">
        <v>7.4834635</v>
      </c>
      <c r="E39" s="842">
        <v>6.3343823800000001</v>
      </c>
      <c r="F39" s="842">
        <v>5.2639893000000004</v>
      </c>
      <c r="G39" s="842">
        <v>3.3985690399999999</v>
      </c>
      <c r="H39" s="842">
        <v>2.3517269500000002</v>
      </c>
      <c r="I39" s="842">
        <v>2.6045756299999998</v>
      </c>
      <c r="J39" s="842">
        <v>2.2216393700000001</v>
      </c>
      <c r="K39" s="842">
        <v>2.1604887799999997</v>
      </c>
      <c r="L39" s="842">
        <v>1.5203341699999999</v>
      </c>
      <c r="M39" s="843">
        <v>1.5360767799999999</v>
      </c>
      <c r="N39" s="843">
        <v>2.4355099300000003</v>
      </c>
      <c r="O39" s="843">
        <v>3.8018975099999999</v>
      </c>
      <c r="P39" s="843">
        <v>4.1089636299999999</v>
      </c>
      <c r="Q39" s="843">
        <v>2.0403715399999998</v>
      </c>
      <c r="R39" s="843">
        <v>1.7954462699999998</v>
      </c>
      <c r="S39" s="843">
        <v>1.5700264399999999</v>
      </c>
      <c r="T39" s="843">
        <v>1.5603955899999999</v>
      </c>
      <c r="U39" s="843">
        <v>1.5018018899999999</v>
      </c>
      <c r="V39" s="843">
        <v>1.6854109500000001</v>
      </c>
      <c r="W39" s="843">
        <v>1.189103</v>
      </c>
      <c r="X39" s="843">
        <v>1.2639828200000001</v>
      </c>
      <c r="Y39" s="843">
        <v>1.7534115100000001</v>
      </c>
      <c r="Z39" s="843">
        <v>2.30992482</v>
      </c>
      <c r="AA39" s="843">
        <v>1.59539184</v>
      </c>
      <c r="AB39" s="843">
        <v>0.88308518999999996</v>
      </c>
      <c r="AC39" s="843">
        <v>0.87671334999999995</v>
      </c>
      <c r="AD39" s="843">
        <v>0.80485080000000009</v>
      </c>
      <c r="AE39" s="843">
        <v>0.77840816000000002</v>
      </c>
      <c r="AF39" s="843">
        <v>0.68138962999999997</v>
      </c>
      <c r="AG39" s="843">
        <v>1.5731318300000001</v>
      </c>
      <c r="AH39" s="843">
        <v>1.43631756</v>
      </c>
      <c r="AI39" s="843">
        <v>1.43864952</v>
      </c>
      <c r="AJ39" s="843">
        <v>1.30903426</v>
      </c>
      <c r="AK39" s="843">
        <v>1.51176186</v>
      </c>
      <c r="AL39" s="843">
        <v>1.4251186200000001</v>
      </c>
      <c r="AM39" s="843">
        <v>1.3765356100000001</v>
      </c>
      <c r="AN39" s="843">
        <v>1.2053403300000001</v>
      </c>
      <c r="AO39" s="843">
        <v>1.2640906200000002</v>
      </c>
      <c r="AP39" s="843">
        <v>1.04201564</v>
      </c>
      <c r="AQ39" s="843">
        <v>1.01320839</v>
      </c>
      <c r="AR39" s="843">
        <v>0.97756821999999999</v>
      </c>
      <c r="AS39" s="843">
        <v>1.11871374</v>
      </c>
      <c r="AT39" s="843">
        <v>0.98844832000000005</v>
      </c>
      <c r="AU39" s="843">
        <v>1.3092847299999999</v>
      </c>
      <c r="AV39" s="843">
        <v>1.27273364</v>
      </c>
      <c r="AW39" s="843">
        <v>1.0344267</v>
      </c>
      <c r="AX39" s="843">
        <v>1.0607885000000001</v>
      </c>
      <c r="AY39" s="843">
        <v>1.0726359000000001</v>
      </c>
      <c r="AZ39" s="843">
        <v>0.91915500000000006</v>
      </c>
      <c r="BA39" s="843">
        <v>0.8736124999999999</v>
      </c>
      <c r="BB39" s="843">
        <v>0.36208768999999996</v>
      </c>
      <c r="BC39" s="843">
        <v>0.23066812000000003</v>
      </c>
      <c r="BD39" s="843">
        <v>0.24405977999999998</v>
      </c>
      <c r="BE39" s="843">
        <v>0.25227676999999998</v>
      </c>
      <c r="BF39" s="843">
        <v>0.24375025</v>
      </c>
      <c r="BG39" s="844">
        <v>0.35830021000000001</v>
      </c>
      <c r="BH39" s="880">
        <v>0.35419796999999997</v>
      </c>
      <c r="BI39" s="875">
        <v>0.36119773999999999</v>
      </c>
      <c r="BJ39" s="875">
        <v>0.36235640999999996</v>
      </c>
      <c r="BK39" s="875">
        <v>0.39989142</v>
      </c>
      <c r="BL39" s="875">
        <v>0.39846996999999995</v>
      </c>
      <c r="BM39" s="875">
        <v>0.33978878999999995</v>
      </c>
      <c r="BN39" s="875">
        <v>0.36381722999999999</v>
      </c>
      <c r="BO39" s="875">
        <v>2.54297269</v>
      </c>
      <c r="BP39" s="875">
        <v>2.2374503699999999</v>
      </c>
      <c r="BQ39" s="875">
        <v>2.0874465099999999</v>
      </c>
      <c r="BR39" s="875">
        <v>1.8746427999999999</v>
      </c>
      <c r="BS39" s="875">
        <v>1.4887859900000002</v>
      </c>
      <c r="BT39" s="875">
        <v>1.2045232000000001</v>
      </c>
      <c r="BU39" s="875">
        <v>1.0837054400000001</v>
      </c>
      <c r="BV39" s="875">
        <v>0.89506249999999987</v>
      </c>
      <c r="BW39" s="875">
        <v>0.75036230000000004</v>
      </c>
      <c r="BX39" s="875">
        <v>0.57132547000000011</v>
      </c>
      <c r="BY39" s="875">
        <v>0.52914781</v>
      </c>
      <c r="BZ39" s="875">
        <v>0.63896408999999998</v>
      </c>
      <c r="CA39" s="875">
        <v>0.57437948999999999</v>
      </c>
      <c r="CB39" s="875">
        <v>0.51882867999999993</v>
      </c>
      <c r="CC39" s="875">
        <v>0.68072688000000003</v>
      </c>
      <c r="CD39" s="875">
        <v>0.52285970000000004</v>
      </c>
      <c r="CE39" s="875">
        <v>0.51437451000000001</v>
      </c>
      <c r="CF39" s="875">
        <v>0.48719140000000005</v>
      </c>
      <c r="CG39" s="875">
        <v>0.42552722000000004</v>
      </c>
      <c r="CH39" s="875">
        <v>0.39722900999999994</v>
      </c>
      <c r="CI39" s="875">
        <v>0.36940772999999999</v>
      </c>
      <c r="CJ39" s="875">
        <v>0.36653124000000004</v>
      </c>
      <c r="CK39" s="875">
        <v>0.28337787000000003</v>
      </c>
      <c r="CL39" s="875">
        <v>0.30021001000000003</v>
      </c>
      <c r="CM39" s="875">
        <v>0.28515431999999996</v>
      </c>
      <c r="CN39" s="875">
        <v>0.37293921000000008</v>
      </c>
      <c r="CO39" s="875">
        <v>0.49764842000000004</v>
      </c>
      <c r="CP39" s="875">
        <v>0.36592247</v>
      </c>
      <c r="CQ39" s="875">
        <v>0.25118241000000002</v>
      </c>
      <c r="CR39" s="875">
        <v>0.27674666999999997</v>
      </c>
      <c r="CS39" s="875">
        <v>0.27608162999999997</v>
      </c>
      <c r="CT39" s="875">
        <v>0.46219247000000002</v>
      </c>
      <c r="CU39" s="875">
        <v>0.56687575000000001</v>
      </c>
      <c r="CV39" s="875">
        <v>0.53270629000000003</v>
      </c>
      <c r="CW39" s="875">
        <v>0.60319575999999997</v>
      </c>
      <c r="CX39" s="875">
        <v>0.41461442999999998</v>
      </c>
      <c r="CY39" s="875">
        <v>0.31843502000000001</v>
      </c>
      <c r="CZ39" s="875">
        <v>0.30499907999999998</v>
      </c>
      <c r="DA39" s="875">
        <v>0.30876005000000001</v>
      </c>
      <c r="DB39" s="875">
        <v>0.42037141</v>
      </c>
      <c r="DC39" s="875">
        <v>0.40252679000000002</v>
      </c>
      <c r="DD39" s="875">
        <v>0.55342272999999997</v>
      </c>
      <c r="DE39" s="875">
        <v>0.64217281000000004</v>
      </c>
      <c r="DF39" s="875">
        <v>0.71022571000000001</v>
      </c>
      <c r="DG39" s="875">
        <v>0.64493073999999995</v>
      </c>
      <c r="DH39" s="875">
        <v>0.68237418000000005</v>
      </c>
      <c r="DI39" s="875">
        <v>0.94961397000000003</v>
      </c>
      <c r="DJ39" s="875">
        <v>0.87858758000000003</v>
      </c>
      <c r="DK39" s="875">
        <v>0.91519410000000001</v>
      </c>
      <c r="DL39" s="875">
        <v>0.96344719999999995</v>
      </c>
      <c r="DM39" s="875">
        <v>0.87638466999999998</v>
      </c>
      <c r="DN39" s="875">
        <v>0.84080500000000002</v>
      </c>
      <c r="DO39" s="875">
        <v>0.86569633999999995</v>
      </c>
      <c r="DP39" s="875">
        <v>0.72011053999999997</v>
      </c>
      <c r="DQ39" s="875">
        <v>0.74036040000000003</v>
      </c>
      <c r="DR39" s="875">
        <v>0.78825100999999997</v>
      </c>
      <c r="DS39" s="875">
        <v>0.71948924999999997</v>
      </c>
      <c r="DT39" s="875">
        <v>0.75144358</v>
      </c>
      <c r="DU39" s="875">
        <v>0.65806865999999997</v>
      </c>
      <c r="DV39" s="875">
        <v>0.75942299000000002</v>
      </c>
      <c r="DW39" s="875">
        <v>0.78439424000000002</v>
      </c>
      <c r="DX39" s="875">
        <v>0.84094745000000004</v>
      </c>
      <c r="DY39" s="875">
        <v>0.87639286000000005</v>
      </c>
      <c r="DZ39" s="875">
        <v>0.93074446</v>
      </c>
      <c r="EA39" s="875">
        <v>1.1749112399999999</v>
      </c>
      <c r="EB39" s="875">
        <v>1.0346146899999999</v>
      </c>
      <c r="EC39" s="875">
        <v>0.97046854000000005</v>
      </c>
      <c r="ED39" s="875">
        <v>0.79904686000000003</v>
      </c>
      <c r="EE39" s="875">
        <v>0.84896824000000004</v>
      </c>
      <c r="EF39" s="875">
        <v>0.79743527000000003</v>
      </c>
      <c r="EG39" s="875">
        <v>0.71983266000000001</v>
      </c>
      <c r="EH39" s="875">
        <v>0.57756521000000005</v>
      </c>
      <c r="EI39" s="875">
        <v>0.79472564000000001</v>
      </c>
      <c r="EJ39" s="875">
        <v>0.74540386999999997</v>
      </c>
      <c r="EK39" s="875">
        <v>0.71356430999999998</v>
      </c>
      <c r="EL39" s="875">
        <v>0.76069372000000002</v>
      </c>
      <c r="EM39" s="875">
        <v>0.9022268</v>
      </c>
      <c r="EN39" s="875">
        <v>1.1920693899999999</v>
      </c>
      <c r="EO39" s="875">
        <v>2.24545394</v>
      </c>
      <c r="EP39" s="875">
        <v>2.24234416</v>
      </c>
      <c r="EQ39" s="875">
        <v>2.05899163</v>
      </c>
      <c r="ER39" s="875">
        <v>2.3381619699999998</v>
      </c>
      <c r="ES39" s="875">
        <v>2.3028763699999999</v>
      </c>
      <c r="ET39" s="875">
        <v>1.43429688</v>
      </c>
      <c r="EU39" s="1934" t="s">
        <v>4093</v>
      </c>
    </row>
    <row r="40" spans="1:151" ht="21">
      <c r="A40" s="1930" t="s">
        <v>189</v>
      </c>
      <c r="B40" s="839">
        <v>11.92087025</v>
      </c>
      <c r="C40" s="839">
        <v>11.30333484</v>
      </c>
      <c r="D40" s="839">
        <v>9.8703165500000001</v>
      </c>
      <c r="E40" s="839">
        <v>10.148716599999998</v>
      </c>
      <c r="F40" s="839">
        <v>9.2684165099999998</v>
      </c>
      <c r="G40" s="839">
        <v>8.5808643999999994</v>
      </c>
      <c r="H40" s="839">
        <v>8.2488839800000004</v>
      </c>
      <c r="I40" s="839">
        <v>7.466381730000001</v>
      </c>
      <c r="J40" s="839">
        <v>5.2174483399999998</v>
      </c>
      <c r="K40" s="839">
        <v>5.4203100400000004</v>
      </c>
      <c r="L40" s="839">
        <v>7.1184755400000004</v>
      </c>
      <c r="M40" s="840">
        <v>6.1160053899999998</v>
      </c>
      <c r="N40" s="840">
        <v>5.7401400899999997</v>
      </c>
      <c r="O40" s="840">
        <v>6.6274293699999998</v>
      </c>
      <c r="P40" s="840">
        <v>6.2699264699999997</v>
      </c>
      <c r="Q40" s="840">
        <v>6.6026964799999996</v>
      </c>
      <c r="R40" s="840">
        <v>7.17239073</v>
      </c>
      <c r="S40" s="840">
        <v>8.2141341699999995</v>
      </c>
      <c r="T40" s="840">
        <v>9.7843277200000003</v>
      </c>
      <c r="U40" s="840">
        <v>10.724633259999999</v>
      </c>
      <c r="V40" s="840">
        <v>11.77824375</v>
      </c>
      <c r="W40" s="840">
        <v>13.411098170000001</v>
      </c>
      <c r="X40" s="840">
        <v>13.667500309999999</v>
      </c>
      <c r="Y40" s="840">
        <v>14.70599423</v>
      </c>
      <c r="Z40" s="840">
        <v>14.07346353</v>
      </c>
      <c r="AA40" s="840">
        <v>14.068576529999998</v>
      </c>
      <c r="AB40" s="840">
        <v>12.01670811</v>
      </c>
      <c r="AC40" s="840">
        <v>11.382791529999999</v>
      </c>
      <c r="AD40" s="840">
        <v>18.674629780000004</v>
      </c>
      <c r="AE40" s="840">
        <v>19.300063470000001</v>
      </c>
      <c r="AF40" s="840">
        <v>22.53721642</v>
      </c>
      <c r="AG40" s="840">
        <v>30.118103459999997</v>
      </c>
      <c r="AH40" s="840">
        <v>30.15136137</v>
      </c>
      <c r="AI40" s="840">
        <v>34.611326409999997</v>
      </c>
      <c r="AJ40" s="840">
        <v>35.71719204</v>
      </c>
      <c r="AK40" s="840">
        <v>32.958157780000001</v>
      </c>
      <c r="AL40" s="840">
        <v>29.366114639999999</v>
      </c>
      <c r="AM40" s="840">
        <v>27.630427989999998</v>
      </c>
      <c r="AN40" s="840">
        <v>26.588653300000001</v>
      </c>
      <c r="AO40" s="840">
        <v>25.902973109999998</v>
      </c>
      <c r="AP40" s="840">
        <v>25.02723237</v>
      </c>
      <c r="AQ40" s="840">
        <v>28.063079129999998</v>
      </c>
      <c r="AR40" s="840">
        <v>35.962084779999998</v>
      </c>
      <c r="AS40" s="840">
        <v>41.607678259999993</v>
      </c>
      <c r="AT40" s="840">
        <v>41.774195280000001</v>
      </c>
      <c r="AU40" s="840">
        <v>42.721844090000005</v>
      </c>
      <c r="AV40" s="840">
        <v>43.940196740000005</v>
      </c>
      <c r="AW40" s="840">
        <v>38.132575619999997</v>
      </c>
      <c r="AX40" s="840">
        <v>37.10323528</v>
      </c>
      <c r="AY40" s="840">
        <v>36.094409620000008</v>
      </c>
      <c r="AZ40" s="840">
        <v>35.69789351</v>
      </c>
      <c r="BA40" s="840">
        <v>33.158797839999998</v>
      </c>
      <c r="BB40" s="840">
        <v>35.273736460000002</v>
      </c>
      <c r="BC40" s="840">
        <v>36.219755130000003</v>
      </c>
      <c r="BD40" s="840">
        <v>29.019705129999998</v>
      </c>
      <c r="BE40" s="840">
        <v>20.014748579999999</v>
      </c>
      <c r="BF40" s="840">
        <v>20.77238783</v>
      </c>
      <c r="BG40" s="841">
        <v>20.672951390000001</v>
      </c>
      <c r="BH40" s="879">
        <v>20.026565809999997</v>
      </c>
      <c r="BI40" s="874">
        <v>20.415131989999999</v>
      </c>
      <c r="BJ40" s="874">
        <v>19.6547631</v>
      </c>
      <c r="BK40" s="874">
        <v>20.65259129</v>
      </c>
      <c r="BL40" s="874">
        <v>19.258885929999998</v>
      </c>
      <c r="BM40" s="874">
        <v>19.985703829999999</v>
      </c>
      <c r="BN40" s="874">
        <v>20.61373721</v>
      </c>
      <c r="BO40" s="874">
        <v>20.44980108</v>
      </c>
      <c r="BP40" s="874">
        <v>21.273892229999998</v>
      </c>
      <c r="BQ40" s="874">
        <v>22.00244971</v>
      </c>
      <c r="BR40" s="874">
        <v>25.232507499999997</v>
      </c>
      <c r="BS40" s="874">
        <v>25.257107349999998</v>
      </c>
      <c r="BT40" s="874">
        <v>24.73990388</v>
      </c>
      <c r="BU40" s="874">
        <v>24.519227100000002</v>
      </c>
      <c r="BV40" s="874">
        <v>23.320074699999999</v>
      </c>
      <c r="BW40" s="874">
        <v>23.716396120000002</v>
      </c>
      <c r="BX40" s="874">
        <v>24.250418719999999</v>
      </c>
      <c r="BY40" s="874">
        <v>21.221790410000001</v>
      </c>
      <c r="BZ40" s="874">
        <v>20.543553129999999</v>
      </c>
      <c r="CA40" s="874">
        <v>21.378526910000001</v>
      </c>
      <c r="CB40" s="874">
        <v>23.893826619999999</v>
      </c>
      <c r="CC40" s="874">
        <v>26.19338595</v>
      </c>
      <c r="CD40" s="874">
        <v>30.091885659999999</v>
      </c>
      <c r="CE40" s="874">
        <v>35.193090269999999</v>
      </c>
      <c r="CF40" s="874">
        <v>38.15926743</v>
      </c>
      <c r="CG40" s="874">
        <v>40.603942499999995</v>
      </c>
      <c r="CH40" s="874">
        <v>39.914343669999994</v>
      </c>
      <c r="CI40" s="874">
        <v>42.656396609999994</v>
      </c>
      <c r="CJ40" s="874">
        <v>44.235507569999996</v>
      </c>
      <c r="CK40" s="874">
        <v>39.541192840000008</v>
      </c>
      <c r="CL40" s="874">
        <v>38.927257359999992</v>
      </c>
      <c r="CM40" s="874">
        <v>38.006109349999996</v>
      </c>
      <c r="CN40" s="874">
        <v>39.351897229999992</v>
      </c>
      <c r="CO40" s="874">
        <v>41.363689199999996</v>
      </c>
      <c r="CP40" s="874">
        <v>46.662537349999994</v>
      </c>
      <c r="CQ40" s="874">
        <v>48.725828440000001</v>
      </c>
      <c r="CR40" s="874">
        <v>51.755729250000002</v>
      </c>
      <c r="CS40" s="874">
        <v>58.492957259999997</v>
      </c>
      <c r="CT40" s="874">
        <v>60.659039659999998</v>
      </c>
      <c r="CU40" s="874">
        <v>66.375471989999994</v>
      </c>
      <c r="CV40" s="874">
        <v>69.053844080000005</v>
      </c>
      <c r="CW40" s="874">
        <v>75.831936139999996</v>
      </c>
      <c r="CX40" s="874">
        <v>78.973729559999995</v>
      </c>
      <c r="CY40" s="874">
        <v>80.863653799999994</v>
      </c>
      <c r="CZ40" s="874">
        <v>80.70543773</v>
      </c>
      <c r="DA40" s="874">
        <v>82.282902809999996</v>
      </c>
      <c r="DB40" s="874">
        <v>93.128822069999998</v>
      </c>
      <c r="DC40" s="874">
        <v>98.386953300000002</v>
      </c>
      <c r="DD40" s="874">
        <v>103.51733589</v>
      </c>
      <c r="DE40" s="874">
        <v>112.89697231</v>
      </c>
      <c r="DF40" s="874">
        <v>114.1074428</v>
      </c>
      <c r="DG40" s="874">
        <v>121.84802898</v>
      </c>
      <c r="DH40" s="874">
        <v>125.18824146</v>
      </c>
      <c r="DI40" s="874">
        <v>129.94703432</v>
      </c>
      <c r="DJ40" s="874">
        <v>131.79293376999999</v>
      </c>
      <c r="DK40" s="874">
        <v>131.39813095</v>
      </c>
      <c r="DL40" s="874">
        <v>131.0758481</v>
      </c>
      <c r="DM40" s="874">
        <v>134.73950310999999</v>
      </c>
      <c r="DN40" s="874">
        <v>137.38312142999999</v>
      </c>
      <c r="DO40" s="874">
        <v>134.74297874999999</v>
      </c>
      <c r="DP40" s="874">
        <v>134.84768721</v>
      </c>
      <c r="DQ40" s="874">
        <v>142.31787567000001</v>
      </c>
      <c r="DR40" s="874">
        <v>144.99926855000001</v>
      </c>
      <c r="DS40" s="874">
        <v>147.76441459</v>
      </c>
      <c r="DT40" s="874">
        <v>150.94650454999999</v>
      </c>
      <c r="DU40" s="874">
        <v>155.03900834000001</v>
      </c>
      <c r="DV40" s="874">
        <v>155.68621547000001</v>
      </c>
      <c r="DW40" s="874">
        <v>156.31382503</v>
      </c>
      <c r="DX40" s="874">
        <v>150.74743053</v>
      </c>
      <c r="DY40" s="874">
        <v>157.00681295999999</v>
      </c>
      <c r="DZ40" s="874">
        <v>160.34249714000001</v>
      </c>
      <c r="EA40" s="874">
        <v>162.74632106999999</v>
      </c>
      <c r="EB40" s="874">
        <v>166.68267899</v>
      </c>
      <c r="EC40" s="874">
        <v>170.39272326</v>
      </c>
      <c r="ED40" s="874">
        <v>166.25399823000001</v>
      </c>
      <c r="EE40" s="874">
        <v>171.78111436</v>
      </c>
      <c r="EF40" s="874">
        <v>177.35446031999999</v>
      </c>
      <c r="EG40" s="874">
        <v>180.28212855000001</v>
      </c>
      <c r="EH40" s="874">
        <v>184.49409048999999</v>
      </c>
      <c r="EI40" s="874">
        <v>179.92626146000001</v>
      </c>
      <c r="EJ40" s="874">
        <v>186.96899556</v>
      </c>
      <c r="EK40" s="874">
        <v>187.25436347999999</v>
      </c>
      <c r="EL40" s="874">
        <v>194.74978587999999</v>
      </c>
      <c r="EM40" s="874">
        <v>198.19807741</v>
      </c>
      <c r="EN40" s="874">
        <v>200.6496248</v>
      </c>
      <c r="EO40" s="874">
        <v>198.70285247999999</v>
      </c>
      <c r="EP40" s="874">
        <v>197.22800197000001</v>
      </c>
      <c r="EQ40" s="874">
        <v>201.35251932</v>
      </c>
      <c r="ER40" s="874">
        <v>210.01199025</v>
      </c>
      <c r="ES40" s="874">
        <v>217.17298399000001</v>
      </c>
      <c r="ET40" s="874">
        <v>220.01086946999999</v>
      </c>
      <c r="EU40" s="1930" t="s">
        <v>212</v>
      </c>
    </row>
    <row r="41" spans="1:151" ht="21">
      <c r="A41" s="1929" t="s">
        <v>2019</v>
      </c>
      <c r="B41" s="842">
        <v>10.7899505</v>
      </c>
      <c r="C41" s="842">
        <v>8.1206127699999993</v>
      </c>
      <c r="D41" s="842">
        <v>6.7108942599999999</v>
      </c>
      <c r="E41" s="842">
        <v>5.4544876599999998</v>
      </c>
      <c r="F41" s="842">
        <v>4.3001941200000005</v>
      </c>
      <c r="G41" s="842">
        <v>3.2852962799999998</v>
      </c>
      <c r="H41" s="842">
        <v>2.3517269500000002</v>
      </c>
      <c r="I41" s="842">
        <v>2.6045756299999998</v>
      </c>
      <c r="J41" s="842">
        <v>2.2216393700000001</v>
      </c>
      <c r="K41" s="842">
        <v>2.1604887799999997</v>
      </c>
      <c r="L41" s="842">
        <v>1.5203341699999999</v>
      </c>
      <c r="M41" s="843">
        <v>1.5360767799999999</v>
      </c>
      <c r="N41" s="843">
        <v>2.4355099300000003</v>
      </c>
      <c r="O41" s="843">
        <v>3.8018975099999999</v>
      </c>
      <c r="P41" s="843">
        <v>4.1089636299999999</v>
      </c>
      <c r="Q41" s="843">
        <v>2.0050780399999999</v>
      </c>
      <c r="R41" s="843">
        <v>1.7562278899999999</v>
      </c>
      <c r="S41" s="843">
        <v>1.5159124799999999</v>
      </c>
      <c r="T41" s="843">
        <v>1.5047201299999999</v>
      </c>
      <c r="U41" s="843">
        <v>1.4441512299999999</v>
      </c>
      <c r="V41" s="843">
        <v>1.58071154</v>
      </c>
      <c r="W41" s="843">
        <v>1.189103</v>
      </c>
      <c r="X41" s="843">
        <v>1.2639828200000001</v>
      </c>
      <c r="Y41" s="843">
        <v>1.7534115100000001</v>
      </c>
      <c r="Z41" s="843">
        <v>2.30992482</v>
      </c>
      <c r="AA41" s="843">
        <v>1.59539184</v>
      </c>
      <c r="AB41" s="843">
        <v>0.88308518999999996</v>
      </c>
      <c r="AC41" s="843">
        <v>0.87671334999999995</v>
      </c>
      <c r="AD41" s="843">
        <v>0.80485080000000009</v>
      </c>
      <c r="AE41" s="843">
        <v>0.77840816000000002</v>
      </c>
      <c r="AF41" s="843">
        <v>0.68138962999999997</v>
      </c>
      <c r="AG41" s="843">
        <v>1.5731318300000001</v>
      </c>
      <c r="AH41" s="843">
        <v>1.43631756</v>
      </c>
      <c r="AI41" s="843">
        <v>1.43864952</v>
      </c>
      <c r="AJ41" s="843">
        <v>1.30903426</v>
      </c>
      <c r="AK41" s="843">
        <v>1.51176186</v>
      </c>
      <c r="AL41" s="843">
        <v>1.4251186200000001</v>
      </c>
      <c r="AM41" s="843">
        <v>1.3765356100000001</v>
      </c>
      <c r="AN41" s="843">
        <v>1.2053403300000001</v>
      </c>
      <c r="AO41" s="843">
        <v>1.2640906200000002</v>
      </c>
      <c r="AP41" s="843">
        <v>1.04201564</v>
      </c>
      <c r="AQ41" s="843">
        <v>1.01320839</v>
      </c>
      <c r="AR41" s="843">
        <v>0.97756821999999999</v>
      </c>
      <c r="AS41" s="843">
        <v>1.11871374</v>
      </c>
      <c r="AT41" s="843">
        <v>0.98844832000000005</v>
      </c>
      <c r="AU41" s="843">
        <v>1.3092847299999999</v>
      </c>
      <c r="AV41" s="843">
        <v>1.27273364</v>
      </c>
      <c r="AW41" s="843">
        <v>0.81131850000000005</v>
      </c>
      <c r="AX41" s="843">
        <v>0.81930950000000002</v>
      </c>
      <c r="AY41" s="843">
        <v>0.85245090000000001</v>
      </c>
      <c r="AZ41" s="843">
        <v>0.74687551000000008</v>
      </c>
      <c r="BA41" s="843">
        <v>0.72694596999999994</v>
      </c>
      <c r="BB41" s="843">
        <v>0.36208768999999996</v>
      </c>
      <c r="BC41" s="843">
        <v>0.23066812000000003</v>
      </c>
      <c r="BD41" s="843">
        <v>0.24405977999999998</v>
      </c>
      <c r="BE41" s="843">
        <v>0.25227676999999998</v>
      </c>
      <c r="BF41" s="843">
        <v>0.24375025</v>
      </c>
      <c r="BG41" s="844">
        <v>0.35830021000000001</v>
      </c>
      <c r="BH41" s="880">
        <v>0.35419796999999997</v>
      </c>
      <c r="BI41" s="875">
        <v>0.36119773999999999</v>
      </c>
      <c r="BJ41" s="875">
        <v>0.36235640999999996</v>
      </c>
      <c r="BK41" s="875">
        <v>0.39989142</v>
      </c>
      <c r="BL41" s="875">
        <v>0.39846996999999995</v>
      </c>
      <c r="BM41" s="875">
        <v>0.33978878999999995</v>
      </c>
      <c r="BN41" s="875">
        <v>0.36381722999999999</v>
      </c>
      <c r="BO41" s="875">
        <v>2.54297269</v>
      </c>
      <c r="BP41" s="875">
        <v>2.2374503699999999</v>
      </c>
      <c r="BQ41" s="875">
        <v>2.0874465099999999</v>
      </c>
      <c r="BR41" s="875">
        <v>1.8746427999999999</v>
      </c>
      <c r="BS41" s="875">
        <v>1.4887859900000002</v>
      </c>
      <c r="BT41" s="875">
        <v>1.2045232000000001</v>
      </c>
      <c r="BU41" s="875">
        <v>1.0837054400000001</v>
      </c>
      <c r="BV41" s="875">
        <v>0.89506249999999987</v>
      </c>
      <c r="BW41" s="875">
        <v>0.75036230000000004</v>
      </c>
      <c r="BX41" s="875">
        <v>0.57132547000000011</v>
      </c>
      <c r="BY41" s="875">
        <v>0.52914781</v>
      </c>
      <c r="BZ41" s="875">
        <v>0.63896408999999998</v>
      </c>
      <c r="CA41" s="875">
        <v>0.57437948999999999</v>
      </c>
      <c r="CB41" s="875">
        <v>0.51882867999999993</v>
      </c>
      <c r="CC41" s="875">
        <v>0.68072688000000003</v>
      </c>
      <c r="CD41" s="875">
        <v>0.52285970000000004</v>
      </c>
      <c r="CE41" s="875">
        <v>0.51437451000000001</v>
      </c>
      <c r="CF41" s="875">
        <v>0.48719140000000005</v>
      </c>
      <c r="CG41" s="875">
        <v>0.42552722000000004</v>
      </c>
      <c r="CH41" s="875">
        <v>0.39722900999999994</v>
      </c>
      <c r="CI41" s="875">
        <v>0.36940772999999999</v>
      </c>
      <c r="CJ41" s="875">
        <v>0.36653124000000004</v>
      </c>
      <c r="CK41" s="875">
        <v>0.28337787000000003</v>
      </c>
      <c r="CL41" s="875">
        <v>0.30021001000000003</v>
      </c>
      <c r="CM41" s="875">
        <v>0.28515431999999996</v>
      </c>
      <c r="CN41" s="875">
        <v>0.37293921000000008</v>
      </c>
      <c r="CO41" s="875">
        <v>0.49764842000000004</v>
      </c>
      <c r="CP41" s="875">
        <v>0.36592247</v>
      </c>
      <c r="CQ41" s="875">
        <v>0.25118241000000002</v>
      </c>
      <c r="CR41" s="875">
        <v>0.27674666999999997</v>
      </c>
      <c r="CS41" s="875">
        <v>0.27608162999999997</v>
      </c>
      <c r="CT41" s="875">
        <v>0.46219247000000002</v>
      </c>
      <c r="CU41" s="875">
        <v>0.56687575000000001</v>
      </c>
      <c r="CV41" s="875">
        <v>0.53270629000000003</v>
      </c>
      <c r="CW41" s="875">
        <v>0.60319575999999997</v>
      </c>
      <c r="CX41" s="875">
        <v>0.41461442999999998</v>
      </c>
      <c r="CY41" s="875">
        <v>0.31843502000000001</v>
      </c>
      <c r="CZ41" s="875">
        <v>0.30499907999999998</v>
      </c>
      <c r="DA41" s="875">
        <v>0.30876005000000001</v>
      </c>
      <c r="DB41" s="875">
        <v>0.42037141</v>
      </c>
      <c r="DC41" s="875">
        <v>0.40252679000000002</v>
      </c>
      <c r="DD41" s="875">
        <v>0.55342272999999997</v>
      </c>
      <c r="DE41" s="875">
        <v>0.64217281000000004</v>
      </c>
      <c r="DF41" s="875">
        <v>0.71022571000000001</v>
      </c>
      <c r="DG41" s="875">
        <v>0.64493073999999995</v>
      </c>
      <c r="DH41" s="875">
        <v>0.68237418000000005</v>
      </c>
      <c r="DI41" s="875">
        <v>0.94961397000000003</v>
      </c>
      <c r="DJ41" s="875">
        <v>0.87858758000000003</v>
      </c>
      <c r="DK41" s="875">
        <v>0.91519410000000001</v>
      </c>
      <c r="DL41" s="875">
        <v>0.96344719999999995</v>
      </c>
      <c r="DM41" s="875">
        <v>0.87638466999999998</v>
      </c>
      <c r="DN41" s="875">
        <v>0.84080500000000002</v>
      </c>
      <c r="DO41" s="875">
        <v>0.86569633999999995</v>
      </c>
      <c r="DP41" s="875">
        <v>0.72011053999999997</v>
      </c>
      <c r="DQ41" s="875">
        <v>0.74036040000000003</v>
      </c>
      <c r="DR41" s="875">
        <v>0.78825100999999997</v>
      </c>
      <c r="DS41" s="875">
        <v>0.71948924999999997</v>
      </c>
      <c r="DT41" s="875">
        <v>0.75144358</v>
      </c>
      <c r="DU41" s="875">
        <v>0.65806865999999997</v>
      </c>
      <c r="DV41" s="875">
        <v>0.75942299000000002</v>
      </c>
      <c r="DW41" s="875">
        <v>0.78439424000000002</v>
      </c>
      <c r="DX41" s="875">
        <v>0.84094745000000004</v>
      </c>
      <c r="DY41" s="875">
        <v>0.87639286000000005</v>
      </c>
      <c r="DZ41" s="875">
        <v>0.93074446</v>
      </c>
      <c r="EA41" s="875">
        <v>1.1749112399999999</v>
      </c>
      <c r="EB41" s="875">
        <v>1.0346146899999999</v>
      </c>
      <c r="EC41" s="875">
        <v>0.97046854000000005</v>
      </c>
      <c r="ED41" s="875">
        <v>0.79904686000000003</v>
      </c>
      <c r="EE41" s="875">
        <v>0.84896824000000004</v>
      </c>
      <c r="EF41" s="875">
        <v>0.79743527000000003</v>
      </c>
      <c r="EG41" s="875">
        <v>0.71983266000000001</v>
      </c>
      <c r="EH41" s="875">
        <v>0.57756521000000005</v>
      </c>
      <c r="EI41" s="875">
        <v>0.79472564000000001</v>
      </c>
      <c r="EJ41" s="875">
        <v>0.74540386999999997</v>
      </c>
      <c r="EK41" s="875">
        <v>0.71356430999999998</v>
      </c>
      <c r="EL41" s="875">
        <v>0.76069372000000002</v>
      </c>
      <c r="EM41" s="875">
        <v>0.9022268</v>
      </c>
      <c r="EN41" s="875">
        <v>1.1920693899999999</v>
      </c>
      <c r="EO41" s="875">
        <v>2.24545394</v>
      </c>
      <c r="EP41" s="875">
        <v>2.24234416</v>
      </c>
      <c r="EQ41" s="875">
        <v>2.05899163</v>
      </c>
      <c r="ER41" s="875">
        <v>2.3381619699999998</v>
      </c>
      <c r="ES41" s="875">
        <v>2.3028763699999999</v>
      </c>
      <c r="ET41" s="875">
        <v>1.2642968800000001</v>
      </c>
      <c r="EU41" s="1934" t="s">
        <v>4093</v>
      </c>
    </row>
    <row r="42" spans="1:151" ht="21">
      <c r="A42" s="1930" t="s">
        <v>2753</v>
      </c>
      <c r="B42" s="839">
        <v>5.8456962900000002</v>
      </c>
      <c r="C42" s="839">
        <v>11.641728110000001</v>
      </c>
      <c r="D42" s="839">
        <v>11.7986714</v>
      </c>
      <c r="E42" s="839">
        <v>11.528846189999999</v>
      </c>
      <c r="F42" s="839">
        <v>12.642920699999999</v>
      </c>
      <c r="G42" s="839">
        <v>12.418843679999998</v>
      </c>
      <c r="H42" s="839">
        <v>12.69945442</v>
      </c>
      <c r="I42" s="839">
        <v>12.14054653</v>
      </c>
      <c r="J42" s="839">
        <v>11.87837206</v>
      </c>
      <c r="K42" s="839">
        <v>12.909481400000001</v>
      </c>
      <c r="L42" s="839">
        <v>14.622503099999999</v>
      </c>
      <c r="M42" s="840">
        <v>17.463360510000001</v>
      </c>
      <c r="N42" s="840">
        <v>18.227402000000001</v>
      </c>
      <c r="O42" s="840">
        <v>19.243801899999998</v>
      </c>
      <c r="P42" s="840">
        <v>19.956937660000001</v>
      </c>
      <c r="Q42" s="840">
        <v>21.895244680000001</v>
      </c>
      <c r="R42" s="840">
        <v>22.407884060000001</v>
      </c>
      <c r="S42" s="840">
        <v>23.435352459999997</v>
      </c>
      <c r="T42" s="840">
        <v>23.888962599999999</v>
      </c>
      <c r="U42" s="840">
        <v>23.777534170000003</v>
      </c>
      <c r="V42" s="840">
        <v>22.104970219999998</v>
      </c>
      <c r="W42" s="840">
        <v>22.926018829999997</v>
      </c>
      <c r="X42" s="840">
        <v>19.831526539999999</v>
      </c>
      <c r="Y42" s="840">
        <v>16.25520105</v>
      </c>
      <c r="Z42" s="840">
        <v>17.8761446</v>
      </c>
      <c r="AA42" s="840">
        <v>24.85120925</v>
      </c>
      <c r="AB42" s="840">
        <v>24.912655430000001</v>
      </c>
      <c r="AC42" s="840">
        <v>23.103572600000003</v>
      </c>
      <c r="AD42" s="840">
        <v>16.729958960000001</v>
      </c>
      <c r="AE42" s="840">
        <v>15.625813689999999</v>
      </c>
      <c r="AF42" s="840">
        <v>13.662674119999998</v>
      </c>
      <c r="AG42" s="840">
        <v>9.2629029700000007</v>
      </c>
      <c r="AH42" s="840">
        <v>8.2040035000000007</v>
      </c>
      <c r="AI42" s="840">
        <v>7.1197514800000006</v>
      </c>
      <c r="AJ42" s="840">
        <v>5.9400475199999994</v>
      </c>
      <c r="AK42" s="840">
        <v>8.1816562400000006</v>
      </c>
      <c r="AL42" s="840">
        <v>6.9794332699999995</v>
      </c>
      <c r="AM42" s="840">
        <v>5.3034782400000005</v>
      </c>
      <c r="AN42" s="840">
        <v>6.2810444699999994</v>
      </c>
      <c r="AO42" s="840">
        <v>7.7013336199999998</v>
      </c>
      <c r="AP42" s="840">
        <v>7.2386184099999999</v>
      </c>
      <c r="AQ42" s="840">
        <v>6.55026463</v>
      </c>
      <c r="AR42" s="840">
        <v>7.8653235300000004</v>
      </c>
      <c r="AS42" s="840">
        <v>7.3642977900000002</v>
      </c>
      <c r="AT42" s="840">
        <v>7.1553115999999992</v>
      </c>
      <c r="AU42" s="840">
        <v>7.6251227199999994</v>
      </c>
      <c r="AV42" s="840">
        <v>7.7161766299999996</v>
      </c>
      <c r="AW42" s="840">
        <v>8.0982421999999996</v>
      </c>
      <c r="AX42" s="840">
        <v>8.44990548</v>
      </c>
      <c r="AY42" s="840">
        <v>7.1245930199999998</v>
      </c>
      <c r="AZ42" s="840">
        <v>7.2635064400000005</v>
      </c>
      <c r="BA42" s="840">
        <v>9.4091806399999989</v>
      </c>
      <c r="BB42" s="840">
        <v>8.1711611099999999</v>
      </c>
      <c r="BC42" s="840">
        <v>8.8343874399999986</v>
      </c>
      <c r="BD42" s="840">
        <v>9.3302172799999994</v>
      </c>
      <c r="BE42" s="840">
        <v>10.904056970000001</v>
      </c>
      <c r="BF42" s="840">
        <v>11.579935800000001</v>
      </c>
      <c r="BG42" s="841">
        <v>11.490849019999999</v>
      </c>
      <c r="BH42" s="879">
        <v>10.28794038</v>
      </c>
      <c r="BI42" s="874">
        <v>9.9360364800000003</v>
      </c>
      <c r="BJ42" s="874">
        <v>10.2567837</v>
      </c>
      <c r="BK42" s="874">
        <v>9.8484997300000003</v>
      </c>
      <c r="BL42" s="874">
        <v>10.009957369999999</v>
      </c>
      <c r="BM42" s="874">
        <v>8.7690910199999994</v>
      </c>
      <c r="BN42" s="874">
        <v>8.7050275900000003</v>
      </c>
      <c r="BO42" s="874">
        <v>8.5850033299999993</v>
      </c>
      <c r="BP42" s="874">
        <v>8.0071247200000002</v>
      </c>
      <c r="BQ42" s="874">
        <v>8.0900523300000007</v>
      </c>
      <c r="BR42" s="874">
        <v>6.5080206500000006</v>
      </c>
      <c r="BS42" s="874">
        <v>7.7243724500000006</v>
      </c>
      <c r="BT42" s="874">
        <v>7.5878137199999998</v>
      </c>
      <c r="BU42" s="874">
        <v>7.3052534600000003</v>
      </c>
      <c r="BV42" s="874">
        <v>8.9965813400000005</v>
      </c>
      <c r="BW42" s="874">
        <v>9.1421620800000003</v>
      </c>
      <c r="BX42" s="874">
        <v>7.4082468300000004</v>
      </c>
      <c r="BY42" s="874">
        <v>6.9190941600000002</v>
      </c>
      <c r="BZ42" s="874">
        <v>7.2253165900000003</v>
      </c>
      <c r="CA42" s="874">
        <v>7.0666413800000001</v>
      </c>
      <c r="CB42" s="874">
        <v>7.3574147400000003</v>
      </c>
      <c r="CC42" s="874">
        <v>8.5956423100000006</v>
      </c>
      <c r="CD42" s="874">
        <v>10.40441992</v>
      </c>
      <c r="CE42" s="874">
        <v>9.9859854900000009</v>
      </c>
      <c r="CF42" s="874">
        <v>9.1100718000000001</v>
      </c>
      <c r="CG42" s="874">
        <v>7.8570524299999995</v>
      </c>
      <c r="CH42" s="874">
        <v>7.17674769</v>
      </c>
      <c r="CI42" s="874">
        <v>7.0352918099999995</v>
      </c>
      <c r="CJ42" s="874">
        <v>4.3038112399999999</v>
      </c>
      <c r="CK42" s="874">
        <v>4.06156922</v>
      </c>
      <c r="CL42" s="874">
        <v>4.4104561100000002</v>
      </c>
      <c r="CM42" s="874">
        <v>3.43361436</v>
      </c>
      <c r="CN42" s="874">
        <v>2.3866094700000002</v>
      </c>
      <c r="CO42" s="874">
        <v>6.3576695599999997</v>
      </c>
      <c r="CP42" s="874">
        <v>10.42170737</v>
      </c>
      <c r="CQ42" s="874">
        <v>9.9682035999999989</v>
      </c>
      <c r="CR42" s="874">
        <v>8.9338484200000003</v>
      </c>
      <c r="CS42" s="874">
        <v>7.5665558200000005</v>
      </c>
      <c r="CT42" s="874">
        <v>6.5650010999999999</v>
      </c>
      <c r="CU42" s="874">
        <v>5.6161246199999999</v>
      </c>
      <c r="CV42" s="874">
        <v>6.4903774700000003</v>
      </c>
      <c r="CW42" s="874">
        <v>6.2705032100000002</v>
      </c>
      <c r="CX42" s="874">
        <v>6.0261546800000003</v>
      </c>
      <c r="CY42" s="874">
        <v>5.8797332100000004</v>
      </c>
      <c r="CZ42" s="874">
        <v>6.0827555899999997</v>
      </c>
      <c r="DA42" s="874">
        <v>10.788874460000001</v>
      </c>
      <c r="DB42" s="874">
        <v>13.221831440000001</v>
      </c>
      <c r="DC42" s="874">
        <v>13.94613073</v>
      </c>
      <c r="DD42" s="874">
        <v>11.53019216</v>
      </c>
      <c r="DE42" s="874">
        <v>9.4727990500000008</v>
      </c>
      <c r="DF42" s="874">
        <v>8.1273966800000004</v>
      </c>
      <c r="DG42" s="874">
        <v>9.8421134000000006</v>
      </c>
      <c r="DH42" s="874">
        <v>9.6585899000000008</v>
      </c>
      <c r="DI42" s="874">
        <v>9.6012151600000006</v>
      </c>
      <c r="DJ42" s="874">
        <v>9.2292090699999996</v>
      </c>
      <c r="DK42" s="874">
        <v>7.2927833800000004</v>
      </c>
      <c r="DL42" s="874">
        <v>7.7583772</v>
      </c>
      <c r="DM42" s="874">
        <v>12.2240144</v>
      </c>
      <c r="DN42" s="874">
        <v>12.24632744</v>
      </c>
      <c r="DO42" s="874">
        <v>12.957733380000001</v>
      </c>
      <c r="DP42" s="874">
        <v>12.13351653</v>
      </c>
      <c r="DQ42" s="874">
        <v>14.44447188</v>
      </c>
      <c r="DR42" s="874">
        <v>13.179296320000001</v>
      </c>
      <c r="DS42" s="874">
        <v>12.21066291</v>
      </c>
      <c r="DT42" s="874">
        <v>11.03931246</v>
      </c>
      <c r="DU42" s="874">
        <v>9.23354344</v>
      </c>
      <c r="DV42" s="874">
        <v>12.36248337</v>
      </c>
      <c r="DW42" s="874">
        <v>8.8667041500000003</v>
      </c>
      <c r="DX42" s="874">
        <v>6.4418602299999996</v>
      </c>
      <c r="DY42" s="874">
        <v>11.20906695</v>
      </c>
      <c r="DZ42" s="874">
        <v>16.196677170000001</v>
      </c>
      <c r="EA42" s="874">
        <v>16.12896439</v>
      </c>
      <c r="EB42" s="874">
        <v>18.308585770000001</v>
      </c>
      <c r="EC42" s="874">
        <v>17.746443559999999</v>
      </c>
      <c r="ED42" s="874">
        <v>13.48008903</v>
      </c>
      <c r="EE42" s="874">
        <v>12.806562530000001</v>
      </c>
      <c r="EF42" s="874">
        <v>10.60882857</v>
      </c>
      <c r="EG42" s="874">
        <v>9.4260508299999994</v>
      </c>
      <c r="EH42" s="874">
        <v>8.6093703399999999</v>
      </c>
      <c r="EI42" s="874">
        <v>7.9405157900000001</v>
      </c>
      <c r="EJ42" s="874">
        <v>7.35606472</v>
      </c>
      <c r="EK42" s="874">
        <v>12.22049127</v>
      </c>
      <c r="EL42" s="874">
        <v>21.674990269999999</v>
      </c>
      <c r="EM42" s="874">
        <v>20.631776290000001</v>
      </c>
      <c r="EN42" s="874">
        <v>19.279229669999999</v>
      </c>
      <c r="EO42" s="874">
        <v>17.822007599999999</v>
      </c>
      <c r="EP42" s="874">
        <v>15.67608959</v>
      </c>
      <c r="EQ42" s="874">
        <v>13.25118638</v>
      </c>
      <c r="ER42" s="874">
        <v>12.45693133</v>
      </c>
      <c r="ES42" s="874">
        <v>9.9769018799999998</v>
      </c>
      <c r="ET42" s="874">
        <v>8.4288626900000008</v>
      </c>
      <c r="EU42" s="1930" t="s">
        <v>4082</v>
      </c>
    </row>
    <row r="43" spans="1:151" ht="21">
      <c r="A43" s="1929" t="s">
        <v>2019</v>
      </c>
      <c r="B43" s="842">
        <v>0.74496059999999997</v>
      </c>
      <c r="C43" s="842">
        <v>0.62480106000000002</v>
      </c>
      <c r="D43" s="842">
        <v>0.77256924000000005</v>
      </c>
      <c r="E43" s="842">
        <v>0.87989472000000002</v>
      </c>
      <c r="F43" s="842">
        <v>0.96379518000000008</v>
      </c>
      <c r="G43" s="842">
        <v>0.11327276</v>
      </c>
      <c r="H43" s="842">
        <v>0</v>
      </c>
      <c r="I43" s="842">
        <v>0</v>
      </c>
      <c r="J43" s="842">
        <v>0</v>
      </c>
      <c r="K43" s="842">
        <v>0</v>
      </c>
      <c r="L43" s="842">
        <v>0</v>
      </c>
      <c r="M43" s="843">
        <v>0</v>
      </c>
      <c r="N43" s="843">
        <v>0</v>
      </c>
      <c r="O43" s="843">
        <v>0</v>
      </c>
      <c r="P43" s="843">
        <v>0</v>
      </c>
      <c r="Q43" s="843">
        <v>3.5293499999999998E-2</v>
      </c>
      <c r="R43" s="843">
        <v>3.9218379999999997E-2</v>
      </c>
      <c r="S43" s="843">
        <v>5.4113959999999996E-2</v>
      </c>
      <c r="T43" s="843">
        <v>5.5675459999999996E-2</v>
      </c>
      <c r="U43" s="843">
        <v>5.7650660000000006E-2</v>
      </c>
      <c r="V43" s="843">
        <v>0.10469941000000001</v>
      </c>
      <c r="W43" s="843">
        <v>0</v>
      </c>
      <c r="X43" s="843">
        <v>0</v>
      </c>
      <c r="Y43" s="843">
        <v>0</v>
      </c>
      <c r="Z43" s="843">
        <v>0</v>
      </c>
      <c r="AA43" s="843">
        <v>0</v>
      </c>
      <c r="AB43" s="843">
        <v>0</v>
      </c>
      <c r="AC43" s="843">
        <v>0</v>
      </c>
      <c r="AD43" s="843">
        <v>0</v>
      </c>
      <c r="AE43" s="843">
        <v>0</v>
      </c>
      <c r="AF43" s="843">
        <v>0</v>
      </c>
      <c r="AG43" s="843">
        <v>0</v>
      </c>
      <c r="AH43" s="843">
        <v>0</v>
      </c>
      <c r="AI43" s="843">
        <v>0</v>
      </c>
      <c r="AJ43" s="843">
        <v>0</v>
      </c>
      <c r="AK43" s="843">
        <v>0</v>
      </c>
      <c r="AL43" s="843">
        <v>0</v>
      </c>
      <c r="AM43" s="843">
        <v>0</v>
      </c>
      <c r="AN43" s="843">
        <v>0</v>
      </c>
      <c r="AO43" s="843">
        <v>0</v>
      </c>
      <c r="AP43" s="843">
        <v>0</v>
      </c>
      <c r="AQ43" s="843">
        <v>0</v>
      </c>
      <c r="AR43" s="843">
        <v>0</v>
      </c>
      <c r="AS43" s="843">
        <v>0</v>
      </c>
      <c r="AT43" s="843">
        <v>0</v>
      </c>
      <c r="AU43" s="843">
        <v>0</v>
      </c>
      <c r="AV43" s="843">
        <v>0</v>
      </c>
      <c r="AW43" s="843">
        <v>0.22310820000000001</v>
      </c>
      <c r="AX43" s="843">
        <v>0.241479</v>
      </c>
      <c r="AY43" s="843">
        <v>0.22018499999999999</v>
      </c>
      <c r="AZ43" s="843">
        <v>0.17227948999999998</v>
      </c>
      <c r="BA43" s="843">
        <v>0.14666652999999999</v>
      </c>
      <c r="BB43" s="843">
        <v>0</v>
      </c>
      <c r="BC43" s="843">
        <v>0</v>
      </c>
      <c r="BD43" s="843">
        <v>0</v>
      </c>
      <c r="BE43" s="843">
        <v>0</v>
      </c>
      <c r="BF43" s="843">
        <v>0</v>
      </c>
      <c r="BG43" s="844">
        <v>0</v>
      </c>
      <c r="BH43" s="880">
        <v>0</v>
      </c>
      <c r="BI43" s="875">
        <v>0</v>
      </c>
      <c r="BJ43" s="875">
        <v>0</v>
      </c>
      <c r="BK43" s="875">
        <v>0</v>
      </c>
      <c r="BL43" s="875">
        <v>0</v>
      </c>
      <c r="BM43" s="875">
        <v>0</v>
      </c>
      <c r="BN43" s="875">
        <v>0</v>
      </c>
      <c r="BO43" s="875">
        <v>0</v>
      </c>
      <c r="BP43" s="875">
        <v>0</v>
      </c>
      <c r="BQ43" s="875">
        <v>0</v>
      </c>
      <c r="BR43" s="875">
        <v>0</v>
      </c>
      <c r="BS43" s="875">
        <v>0</v>
      </c>
      <c r="BT43" s="875">
        <v>0</v>
      </c>
      <c r="BU43" s="875">
        <v>0</v>
      </c>
      <c r="BV43" s="875">
        <v>0</v>
      </c>
      <c r="BW43" s="875">
        <v>0</v>
      </c>
      <c r="BX43" s="875">
        <v>0</v>
      </c>
      <c r="BY43" s="875">
        <v>0</v>
      </c>
      <c r="BZ43" s="875">
        <v>0</v>
      </c>
      <c r="CA43" s="875">
        <v>0</v>
      </c>
      <c r="CB43" s="875">
        <v>0</v>
      </c>
      <c r="CC43" s="875">
        <v>0</v>
      </c>
      <c r="CD43" s="875">
        <v>0</v>
      </c>
      <c r="CE43" s="875">
        <v>0</v>
      </c>
      <c r="CF43" s="875">
        <v>0</v>
      </c>
      <c r="CG43" s="875">
        <v>0</v>
      </c>
      <c r="CH43" s="875">
        <v>0</v>
      </c>
      <c r="CI43" s="875">
        <v>0</v>
      </c>
      <c r="CJ43" s="875">
        <v>0</v>
      </c>
      <c r="CK43" s="875">
        <v>0</v>
      </c>
      <c r="CL43" s="875">
        <v>0</v>
      </c>
      <c r="CM43" s="875">
        <v>0</v>
      </c>
      <c r="CN43" s="875">
        <v>0</v>
      </c>
      <c r="CO43" s="875">
        <v>0</v>
      </c>
      <c r="CP43" s="875">
        <v>0</v>
      </c>
      <c r="CQ43" s="875">
        <v>0</v>
      </c>
      <c r="CR43" s="875">
        <v>0</v>
      </c>
      <c r="CS43" s="875">
        <v>0</v>
      </c>
      <c r="CT43" s="875">
        <v>0</v>
      </c>
      <c r="CU43" s="875">
        <v>0</v>
      </c>
      <c r="CV43" s="875">
        <v>0</v>
      </c>
      <c r="CW43" s="875">
        <v>0</v>
      </c>
      <c r="CX43" s="875">
        <v>0</v>
      </c>
      <c r="CY43" s="875">
        <v>0</v>
      </c>
      <c r="CZ43" s="875">
        <v>0</v>
      </c>
      <c r="DA43" s="875">
        <v>0</v>
      </c>
      <c r="DB43" s="875">
        <v>0</v>
      </c>
      <c r="DC43" s="875">
        <v>0</v>
      </c>
      <c r="DD43" s="875">
        <v>0</v>
      </c>
      <c r="DE43" s="875">
        <v>0</v>
      </c>
      <c r="DF43" s="875">
        <v>0</v>
      </c>
      <c r="DG43" s="875">
        <v>0</v>
      </c>
      <c r="DH43" s="875">
        <v>0</v>
      </c>
      <c r="DI43" s="875">
        <v>0</v>
      </c>
      <c r="DJ43" s="875">
        <v>0</v>
      </c>
      <c r="DK43" s="875">
        <v>0</v>
      </c>
      <c r="DL43" s="875">
        <v>0</v>
      </c>
      <c r="DM43" s="875">
        <v>0</v>
      </c>
      <c r="DN43" s="875">
        <v>0</v>
      </c>
      <c r="DO43" s="875">
        <v>0</v>
      </c>
      <c r="DP43" s="875">
        <v>0</v>
      </c>
      <c r="DQ43" s="875">
        <v>0</v>
      </c>
      <c r="DR43" s="875">
        <v>0</v>
      </c>
      <c r="DS43" s="875">
        <v>0</v>
      </c>
      <c r="DT43" s="875">
        <v>0</v>
      </c>
      <c r="DU43" s="875">
        <v>0</v>
      </c>
      <c r="DV43" s="875">
        <v>0</v>
      </c>
      <c r="DW43" s="875">
        <v>0</v>
      </c>
      <c r="DX43" s="875">
        <v>0</v>
      </c>
      <c r="DY43" s="875">
        <v>0</v>
      </c>
      <c r="DZ43" s="875">
        <v>0</v>
      </c>
      <c r="EA43" s="875">
        <v>0</v>
      </c>
      <c r="EB43" s="875">
        <v>0</v>
      </c>
      <c r="EC43" s="875">
        <v>0</v>
      </c>
      <c r="ED43" s="875">
        <v>0</v>
      </c>
      <c r="EE43" s="875">
        <v>0</v>
      </c>
      <c r="EF43" s="875">
        <v>0</v>
      </c>
      <c r="EG43" s="875">
        <v>0</v>
      </c>
      <c r="EH43" s="875">
        <v>0</v>
      </c>
      <c r="EI43" s="875">
        <v>0</v>
      </c>
      <c r="EJ43" s="875">
        <v>0</v>
      </c>
      <c r="EK43" s="875">
        <v>0</v>
      </c>
      <c r="EL43" s="875">
        <v>0</v>
      </c>
      <c r="EM43" s="875">
        <v>0</v>
      </c>
      <c r="EN43" s="875">
        <v>0</v>
      </c>
      <c r="EO43" s="875">
        <v>0</v>
      </c>
      <c r="EP43" s="875">
        <v>0</v>
      </c>
      <c r="EQ43" s="875">
        <v>0</v>
      </c>
      <c r="ER43" s="875">
        <v>0</v>
      </c>
      <c r="ES43" s="875">
        <v>0</v>
      </c>
      <c r="ET43" s="875">
        <v>0.17</v>
      </c>
      <c r="EU43" s="1934" t="s">
        <v>4093</v>
      </c>
    </row>
    <row r="44" spans="1:151" ht="21">
      <c r="A44" s="1931"/>
      <c r="B44" s="842"/>
      <c r="C44" s="842"/>
      <c r="D44" s="842"/>
      <c r="E44" s="842"/>
      <c r="F44" s="842"/>
      <c r="G44" s="842"/>
      <c r="H44" s="842"/>
      <c r="I44" s="842"/>
      <c r="J44" s="842"/>
      <c r="K44" s="842"/>
      <c r="L44" s="842"/>
      <c r="M44" s="843"/>
      <c r="N44" s="843"/>
      <c r="O44" s="843"/>
      <c r="P44" s="843"/>
      <c r="Q44" s="843"/>
      <c r="R44" s="843"/>
      <c r="S44" s="843"/>
      <c r="T44" s="843"/>
      <c r="U44" s="843"/>
      <c r="V44" s="843"/>
      <c r="W44" s="843"/>
      <c r="X44" s="843"/>
      <c r="Y44" s="843"/>
      <c r="Z44" s="843"/>
      <c r="AA44" s="843"/>
      <c r="AB44" s="843"/>
      <c r="AC44" s="843"/>
      <c r="AD44" s="843"/>
      <c r="AE44" s="843"/>
      <c r="AF44" s="843"/>
      <c r="AG44" s="843"/>
      <c r="AH44" s="843"/>
      <c r="AI44" s="843"/>
      <c r="AJ44" s="843"/>
      <c r="AK44" s="843"/>
      <c r="AL44" s="843"/>
      <c r="AM44" s="843"/>
      <c r="AN44" s="843"/>
      <c r="AO44" s="843"/>
      <c r="AP44" s="843"/>
      <c r="AQ44" s="843"/>
      <c r="AR44" s="843"/>
      <c r="AS44" s="843"/>
      <c r="AT44" s="843"/>
      <c r="AU44" s="843"/>
      <c r="AV44" s="843"/>
      <c r="AW44" s="843"/>
      <c r="AX44" s="843"/>
      <c r="AY44" s="843"/>
      <c r="AZ44" s="843"/>
      <c r="BA44" s="843"/>
      <c r="BB44" s="843"/>
      <c r="BC44" s="843"/>
      <c r="BD44" s="843"/>
      <c r="BE44" s="843"/>
      <c r="BF44" s="843"/>
      <c r="BG44" s="844"/>
      <c r="BH44" s="880"/>
      <c r="BI44" s="875"/>
      <c r="BJ44" s="875"/>
      <c r="BK44" s="875"/>
      <c r="BL44" s="875"/>
      <c r="BM44" s="875"/>
      <c r="BN44" s="875"/>
      <c r="BO44" s="875"/>
      <c r="BP44" s="875"/>
      <c r="BQ44" s="875"/>
      <c r="BR44" s="875"/>
      <c r="BS44" s="875"/>
      <c r="BT44" s="875"/>
      <c r="BU44" s="875"/>
      <c r="BV44" s="875"/>
      <c r="BW44" s="875"/>
      <c r="BX44" s="875"/>
      <c r="BY44" s="875"/>
      <c r="BZ44" s="875"/>
      <c r="CA44" s="875"/>
      <c r="CB44" s="875"/>
      <c r="CC44" s="875"/>
      <c r="CD44" s="875"/>
      <c r="CE44" s="875"/>
      <c r="CF44" s="875"/>
      <c r="CG44" s="875"/>
      <c r="CH44" s="875"/>
      <c r="CI44" s="875"/>
      <c r="CJ44" s="875"/>
      <c r="CK44" s="875"/>
      <c r="CL44" s="875"/>
      <c r="CM44" s="875"/>
      <c r="CN44" s="875"/>
      <c r="CO44" s="875"/>
      <c r="CP44" s="875"/>
      <c r="CQ44" s="875"/>
      <c r="CR44" s="875"/>
      <c r="CS44" s="875"/>
      <c r="CT44" s="875"/>
      <c r="CU44" s="875"/>
      <c r="CV44" s="875"/>
      <c r="CW44" s="875"/>
      <c r="CX44" s="875"/>
      <c r="CY44" s="875"/>
      <c r="CZ44" s="875"/>
      <c r="DA44" s="875"/>
      <c r="DB44" s="875"/>
      <c r="DC44" s="875"/>
      <c r="DD44" s="875"/>
      <c r="DE44" s="875"/>
      <c r="DF44" s="875"/>
      <c r="DG44" s="875"/>
      <c r="DH44" s="875"/>
      <c r="DI44" s="875"/>
      <c r="DJ44" s="875"/>
      <c r="DK44" s="875"/>
      <c r="DL44" s="875"/>
      <c r="DM44" s="875"/>
      <c r="DN44" s="875"/>
      <c r="DO44" s="875"/>
      <c r="DP44" s="875"/>
      <c r="DQ44" s="875"/>
      <c r="DR44" s="875"/>
      <c r="DS44" s="875"/>
      <c r="DT44" s="875"/>
      <c r="DU44" s="875"/>
      <c r="DV44" s="875"/>
      <c r="DW44" s="875"/>
      <c r="DX44" s="875"/>
      <c r="DY44" s="875"/>
      <c r="DZ44" s="875"/>
      <c r="EA44" s="875"/>
      <c r="EB44" s="875"/>
      <c r="EC44" s="875"/>
      <c r="ED44" s="875"/>
      <c r="EE44" s="875"/>
      <c r="EF44" s="875"/>
      <c r="EG44" s="875"/>
      <c r="EH44" s="875"/>
      <c r="EI44" s="875"/>
      <c r="EJ44" s="875"/>
      <c r="EK44" s="875"/>
      <c r="EL44" s="875"/>
      <c r="EM44" s="875"/>
      <c r="EN44" s="875"/>
      <c r="EO44" s="875"/>
      <c r="EP44" s="875"/>
      <c r="EQ44" s="875"/>
      <c r="ER44" s="875"/>
      <c r="ES44" s="875"/>
      <c r="ET44" s="875"/>
      <c r="EU44" s="1931"/>
    </row>
    <row r="45" spans="1:151" ht="21">
      <c r="A45" s="1928" t="s">
        <v>2754</v>
      </c>
      <c r="B45" s="839">
        <v>254.91224844000004</v>
      </c>
      <c r="C45" s="839">
        <v>336.08086899</v>
      </c>
      <c r="D45" s="839">
        <v>344.61621990000003</v>
      </c>
      <c r="E45" s="839">
        <v>351.30920232000005</v>
      </c>
      <c r="F45" s="839">
        <v>364.63253543000002</v>
      </c>
      <c r="G45" s="839">
        <v>368.45649758000002</v>
      </c>
      <c r="H45" s="839">
        <v>391.76143791999993</v>
      </c>
      <c r="I45" s="839">
        <v>404.15924959999995</v>
      </c>
      <c r="J45" s="839">
        <v>420.40139606000002</v>
      </c>
      <c r="K45" s="839">
        <v>434.07278160999999</v>
      </c>
      <c r="L45" s="839">
        <v>439.02793542999996</v>
      </c>
      <c r="M45" s="840">
        <v>458.53626041000001</v>
      </c>
      <c r="N45" s="840">
        <v>459.27021924999997</v>
      </c>
      <c r="O45" s="840">
        <v>469.52837610999995</v>
      </c>
      <c r="P45" s="840">
        <v>480.34387959999998</v>
      </c>
      <c r="Q45" s="840">
        <v>504.52229461999997</v>
      </c>
      <c r="R45" s="840">
        <v>522.15300094999998</v>
      </c>
      <c r="S45" s="840">
        <v>535.93811602000005</v>
      </c>
      <c r="T45" s="840">
        <v>549.25232406999999</v>
      </c>
      <c r="U45" s="840">
        <v>564.32817735999993</v>
      </c>
      <c r="V45" s="840">
        <v>580.20637402</v>
      </c>
      <c r="W45" s="840">
        <v>605.55513754000003</v>
      </c>
      <c r="X45" s="840">
        <v>626.59448809000003</v>
      </c>
      <c r="Y45" s="840">
        <v>648.15164330000005</v>
      </c>
      <c r="Z45" s="840">
        <v>646.00538529000005</v>
      </c>
      <c r="AA45" s="840">
        <v>732.81247062</v>
      </c>
      <c r="AB45" s="840">
        <v>716.78375733000007</v>
      </c>
      <c r="AC45" s="840">
        <v>714.17547403000003</v>
      </c>
      <c r="AD45" s="840">
        <v>714.14701046999994</v>
      </c>
      <c r="AE45" s="840">
        <v>711.01081307999993</v>
      </c>
      <c r="AF45" s="840">
        <v>721.49903562000009</v>
      </c>
      <c r="AG45" s="840">
        <v>712.5336731299999</v>
      </c>
      <c r="AH45" s="840">
        <v>701.42899364000004</v>
      </c>
      <c r="AI45" s="840">
        <v>710.08473129000004</v>
      </c>
      <c r="AJ45" s="840">
        <v>706.42468344000008</v>
      </c>
      <c r="AK45" s="840">
        <v>839.58523839999998</v>
      </c>
      <c r="AL45" s="840">
        <v>774.69465694999997</v>
      </c>
      <c r="AM45" s="840">
        <v>750.8324214700001</v>
      </c>
      <c r="AN45" s="840">
        <v>731.00484392999988</v>
      </c>
      <c r="AO45" s="840">
        <v>704.4123773</v>
      </c>
      <c r="AP45" s="840">
        <v>684.4330559</v>
      </c>
      <c r="AQ45" s="840">
        <v>684.53532829999995</v>
      </c>
      <c r="AR45" s="840">
        <v>613.43762842000001</v>
      </c>
      <c r="AS45" s="840">
        <v>616.63342840999996</v>
      </c>
      <c r="AT45" s="840">
        <v>608.41516393999996</v>
      </c>
      <c r="AU45" s="840">
        <v>595.99878790000002</v>
      </c>
      <c r="AV45" s="840">
        <v>609.40591042000005</v>
      </c>
      <c r="AW45" s="840">
        <v>619.50395245000004</v>
      </c>
      <c r="AX45" s="840">
        <v>636.27823821000004</v>
      </c>
      <c r="AY45" s="840">
        <v>589.42301175</v>
      </c>
      <c r="AZ45" s="840">
        <v>567.80593791000001</v>
      </c>
      <c r="BA45" s="840">
        <v>553.20448796999995</v>
      </c>
      <c r="BB45" s="840">
        <v>537.71068102000004</v>
      </c>
      <c r="BC45" s="840">
        <v>526.12865892000002</v>
      </c>
      <c r="BD45" s="840">
        <v>516.33496865999996</v>
      </c>
      <c r="BE45" s="840">
        <v>504.27156843</v>
      </c>
      <c r="BF45" s="840">
        <v>497.77902853000001</v>
      </c>
      <c r="BG45" s="841">
        <v>497.83431258000007</v>
      </c>
      <c r="BH45" s="879">
        <v>496.60644350999996</v>
      </c>
      <c r="BI45" s="874">
        <v>486.76452816000005</v>
      </c>
      <c r="BJ45" s="874">
        <v>478.06174126999997</v>
      </c>
      <c r="BK45" s="874">
        <v>467.39545499999997</v>
      </c>
      <c r="BL45" s="874">
        <v>460.46186316000001</v>
      </c>
      <c r="BM45" s="874">
        <v>459.25270590000002</v>
      </c>
      <c r="BN45" s="874">
        <v>455.76357720999999</v>
      </c>
      <c r="BO45" s="874">
        <v>456.01525992000001</v>
      </c>
      <c r="BP45" s="874">
        <v>450.55377052</v>
      </c>
      <c r="BQ45" s="874">
        <v>453.03435495999997</v>
      </c>
      <c r="BR45" s="874">
        <v>451.15864266999995</v>
      </c>
      <c r="BS45" s="874">
        <v>459.31252555000003</v>
      </c>
      <c r="BT45" s="874">
        <v>463.80561921999998</v>
      </c>
      <c r="BU45" s="874">
        <v>467.11091258000005</v>
      </c>
      <c r="BV45" s="874">
        <v>460.49612428</v>
      </c>
      <c r="BW45" s="874">
        <v>460.40156905000003</v>
      </c>
      <c r="BX45" s="874">
        <v>455.67001815999998</v>
      </c>
      <c r="BY45" s="874">
        <v>464.51221828000001</v>
      </c>
      <c r="BZ45" s="874">
        <v>469.49392057</v>
      </c>
      <c r="CA45" s="874">
        <v>470.72299055999997</v>
      </c>
      <c r="CB45" s="874">
        <v>471.53276241000003</v>
      </c>
      <c r="CC45" s="874">
        <v>485.95193548000009</v>
      </c>
      <c r="CD45" s="874">
        <v>514.35902352999994</v>
      </c>
      <c r="CE45" s="874">
        <v>537.96682145</v>
      </c>
      <c r="CF45" s="874">
        <v>562.27635996000004</v>
      </c>
      <c r="CG45" s="874">
        <v>582.66392840000003</v>
      </c>
      <c r="CH45" s="874">
        <v>599.86841015000005</v>
      </c>
      <c r="CI45" s="874">
        <v>631.58087638000006</v>
      </c>
      <c r="CJ45" s="874">
        <v>640.75749416999997</v>
      </c>
      <c r="CK45" s="874">
        <v>624.70181091999984</v>
      </c>
      <c r="CL45" s="874">
        <v>625.07626111000002</v>
      </c>
      <c r="CM45" s="874">
        <v>640.12589619999994</v>
      </c>
      <c r="CN45" s="874">
        <v>655.16499750000014</v>
      </c>
      <c r="CO45" s="874">
        <v>690.02043420999996</v>
      </c>
      <c r="CP45" s="874">
        <v>734.83067288999996</v>
      </c>
      <c r="CQ45" s="874">
        <v>748.26118393000013</v>
      </c>
      <c r="CR45" s="874">
        <v>763.14488310000002</v>
      </c>
      <c r="CS45" s="874">
        <v>780.95665246999999</v>
      </c>
      <c r="CT45" s="874">
        <v>803.23198867999997</v>
      </c>
      <c r="CU45" s="874">
        <v>845.35869241</v>
      </c>
      <c r="CV45" s="874">
        <v>880.51343086999998</v>
      </c>
      <c r="CW45" s="874">
        <v>935.26871000999995</v>
      </c>
      <c r="CX45" s="874">
        <v>972.01405670999998</v>
      </c>
      <c r="CY45" s="874">
        <v>1021.9802797900001</v>
      </c>
      <c r="CZ45" s="874">
        <v>1059.5465320999999</v>
      </c>
      <c r="DA45" s="874">
        <v>1102.0599028700001</v>
      </c>
      <c r="DB45" s="874">
        <v>1156.16613504</v>
      </c>
      <c r="DC45" s="874">
        <v>1211.3834116099999</v>
      </c>
      <c r="DD45" s="874">
        <v>1267.0245228199999</v>
      </c>
      <c r="DE45" s="874">
        <v>1360.3121243600001</v>
      </c>
      <c r="DF45" s="874">
        <v>1384.0581138299999</v>
      </c>
      <c r="DG45" s="874">
        <v>1423.5684340299999</v>
      </c>
      <c r="DH45" s="874">
        <v>1463.2460495</v>
      </c>
      <c r="DI45" s="874">
        <v>1527.2283693700001</v>
      </c>
      <c r="DJ45" s="874">
        <v>1579.68942573</v>
      </c>
      <c r="DK45" s="874">
        <v>1643.0052079</v>
      </c>
      <c r="DL45" s="874">
        <v>1673.52670358</v>
      </c>
      <c r="DM45" s="874">
        <v>1734.4449702500001</v>
      </c>
      <c r="DN45" s="874">
        <v>1824.96572739</v>
      </c>
      <c r="DO45" s="874">
        <v>1881.8345353899999</v>
      </c>
      <c r="DP45" s="874">
        <v>1928.8872992900001</v>
      </c>
      <c r="DQ45" s="874">
        <v>1999.0520908200001</v>
      </c>
      <c r="DR45" s="874">
        <v>2030.0206968099999</v>
      </c>
      <c r="DS45" s="874">
        <v>2072.7992411800001</v>
      </c>
      <c r="DT45" s="874">
        <v>2125.70706445</v>
      </c>
      <c r="DU45" s="874">
        <v>2212.4322145599999</v>
      </c>
      <c r="DV45" s="874">
        <v>2282.3614816499999</v>
      </c>
      <c r="DW45" s="874">
        <v>2357.1945209300002</v>
      </c>
      <c r="DX45" s="874">
        <v>2400.3719115200001</v>
      </c>
      <c r="DY45" s="874">
        <v>2477.97588073</v>
      </c>
      <c r="DZ45" s="874">
        <v>2544.1163253499999</v>
      </c>
      <c r="EA45" s="874">
        <v>2601.7727856400002</v>
      </c>
      <c r="EB45" s="874">
        <v>2670.1011762600001</v>
      </c>
      <c r="EC45" s="874">
        <v>2740.8647605599999</v>
      </c>
      <c r="ED45" s="874">
        <v>2762.3312279199999</v>
      </c>
      <c r="EE45" s="874">
        <v>2822.0341669600002</v>
      </c>
      <c r="EF45" s="874">
        <v>2856.1505339099999</v>
      </c>
      <c r="EG45" s="874">
        <v>2933.3373319399998</v>
      </c>
      <c r="EH45" s="874">
        <v>2993.0924729899998</v>
      </c>
      <c r="EI45" s="874">
        <v>3026.9392991499999</v>
      </c>
      <c r="EJ45" s="874">
        <v>3102.10048499</v>
      </c>
      <c r="EK45" s="874">
        <v>3177.7894399500001</v>
      </c>
      <c r="EL45" s="874">
        <v>3255.6288922499998</v>
      </c>
      <c r="EM45" s="874">
        <v>3334.8215300900001</v>
      </c>
      <c r="EN45" s="874">
        <v>3388.2185605300001</v>
      </c>
      <c r="EO45" s="874">
        <v>3476.6762204400002</v>
      </c>
      <c r="EP45" s="874">
        <v>3497.98584888</v>
      </c>
      <c r="EQ45" s="874">
        <v>3530.1789436700001</v>
      </c>
      <c r="ER45" s="874">
        <v>3561.15281813</v>
      </c>
      <c r="ES45" s="874">
        <v>3606.9205264299999</v>
      </c>
      <c r="ET45" s="874">
        <v>3649.5910435800001</v>
      </c>
      <c r="EU45" s="1928" t="s">
        <v>4084</v>
      </c>
    </row>
    <row r="46" spans="1:151" ht="21">
      <c r="A46" s="1929" t="s">
        <v>2019</v>
      </c>
      <c r="B46" s="842">
        <v>0.13108032</v>
      </c>
      <c r="C46" s="842">
        <v>2.7783799899999999</v>
      </c>
      <c r="D46" s="842">
        <v>2.6203197600000001</v>
      </c>
      <c r="E46" s="842">
        <v>2.6593602400000003</v>
      </c>
      <c r="F46" s="842">
        <v>3.05872257</v>
      </c>
      <c r="G46" s="842">
        <v>2.9994339999999999</v>
      </c>
      <c r="H46" s="842">
        <v>2.7801518700000001</v>
      </c>
      <c r="I46" s="842">
        <v>2.8462409900000001</v>
      </c>
      <c r="J46" s="842">
        <v>3.2415905399999998</v>
      </c>
      <c r="K46" s="842">
        <v>3.37330291</v>
      </c>
      <c r="L46" s="842">
        <v>3.3361808699999997</v>
      </c>
      <c r="M46" s="843">
        <v>3.5118721100000001</v>
      </c>
      <c r="N46" s="843">
        <v>3.3651053999999996</v>
      </c>
      <c r="O46" s="843">
        <v>3.5014470299999996</v>
      </c>
      <c r="P46" s="843">
        <v>3.3817613900000003</v>
      </c>
      <c r="Q46" s="843">
        <v>3.7770272000000005</v>
      </c>
      <c r="R46" s="843">
        <v>3.8229890200000001</v>
      </c>
      <c r="S46" s="843">
        <v>3.8948274700000001</v>
      </c>
      <c r="T46" s="843">
        <v>3.6312510699999998</v>
      </c>
      <c r="U46" s="843">
        <v>3.73416039</v>
      </c>
      <c r="V46" s="843">
        <v>4.1289160699999998</v>
      </c>
      <c r="W46" s="843">
        <v>0.56497395000000006</v>
      </c>
      <c r="X46" s="843">
        <v>0.61336134000000009</v>
      </c>
      <c r="Y46" s="843">
        <v>0.56913939999999996</v>
      </c>
      <c r="Z46" s="843">
        <v>0.61198116000000002</v>
      </c>
      <c r="AA46" s="843">
        <v>0.79337811999999996</v>
      </c>
      <c r="AB46" s="843">
        <v>0.7642253200000001</v>
      </c>
      <c r="AC46" s="843">
        <v>0.74185915999999996</v>
      </c>
      <c r="AD46" s="843">
        <v>0.82446678000000007</v>
      </c>
      <c r="AE46" s="843">
        <v>0.79770414999999995</v>
      </c>
      <c r="AF46" s="843">
        <v>0.77796043000000004</v>
      </c>
      <c r="AG46" s="843">
        <v>0.72905710999999995</v>
      </c>
      <c r="AH46" s="843">
        <v>0.70518155000000005</v>
      </c>
      <c r="AI46" s="843">
        <v>0.67891301999999998</v>
      </c>
      <c r="AJ46" s="843">
        <v>0.66320383999999999</v>
      </c>
      <c r="AK46" s="843">
        <v>1.1284507100000001</v>
      </c>
      <c r="AL46" s="843">
        <v>1.0712188300000001</v>
      </c>
      <c r="AM46" s="843">
        <v>1.0636267799999999</v>
      </c>
      <c r="AN46" s="843">
        <v>1.02917872</v>
      </c>
      <c r="AO46" s="843">
        <v>0.96241662000000006</v>
      </c>
      <c r="AP46" s="843">
        <v>0.93761779999999995</v>
      </c>
      <c r="AQ46" s="843">
        <v>0.94433476000000005</v>
      </c>
      <c r="AR46" s="843">
        <v>0.95064019</v>
      </c>
      <c r="AS46" s="843">
        <v>0.95425682000000001</v>
      </c>
      <c r="AT46" s="843">
        <v>0.92751340999999998</v>
      </c>
      <c r="AU46" s="843">
        <v>0.91075415999999998</v>
      </c>
      <c r="AV46" s="843">
        <v>1.4081505799999998</v>
      </c>
      <c r="AW46" s="843">
        <v>1.2141010599999997</v>
      </c>
      <c r="AX46" s="843">
        <v>1.4186940300000002</v>
      </c>
      <c r="AY46" s="843">
        <v>1.2853066800000001</v>
      </c>
      <c r="AZ46" s="843">
        <v>1.2496700200000002</v>
      </c>
      <c r="BA46" s="843">
        <v>1.2119621199999999</v>
      </c>
      <c r="BB46" s="843">
        <v>1.68229918</v>
      </c>
      <c r="BC46" s="843">
        <v>1.7709711800000001</v>
      </c>
      <c r="BD46" s="843">
        <v>1.89478444</v>
      </c>
      <c r="BE46" s="843">
        <v>1.84956177</v>
      </c>
      <c r="BF46" s="843">
        <v>1.8097430000000001</v>
      </c>
      <c r="BG46" s="844">
        <v>1.8927597599999997</v>
      </c>
      <c r="BH46" s="880">
        <v>1.8506247199999999</v>
      </c>
      <c r="BI46" s="875">
        <v>2.0531439200000001</v>
      </c>
      <c r="BJ46" s="875">
        <v>2.0136400000000001</v>
      </c>
      <c r="BK46" s="875">
        <v>2.0379183699999999</v>
      </c>
      <c r="BL46" s="875">
        <v>2.0149176799999999</v>
      </c>
      <c r="BM46" s="875">
        <v>2.2387650299999997</v>
      </c>
      <c r="BN46" s="875">
        <v>2.2106121600000002</v>
      </c>
      <c r="BO46" s="875">
        <v>2.1838973099999999</v>
      </c>
      <c r="BP46" s="875">
        <v>2.1675853800000002</v>
      </c>
      <c r="BQ46" s="875">
        <v>2.1416406499999998</v>
      </c>
      <c r="BR46" s="875">
        <v>2.1171660599999997</v>
      </c>
      <c r="BS46" s="875">
        <v>2.0787803299999998</v>
      </c>
      <c r="BT46" s="875">
        <v>2.1238464100000001</v>
      </c>
      <c r="BU46" s="875">
        <v>2.0967998200000002</v>
      </c>
      <c r="BV46" s="875">
        <v>2.07507968</v>
      </c>
      <c r="BW46" s="875">
        <v>2.4379778999999999</v>
      </c>
      <c r="BX46" s="875">
        <v>2.6076961399999998</v>
      </c>
      <c r="BY46" s="875">
        <v>2.56409815</v>
      </c>
      <c r="BZ46" s="875">
        <v>2.55059755</v>
      </c>
      <c r="CA46" s="875">
        <v>2.5733717499999997</v>
      </c>
      <c r="CB46" s="875">
        <v>2.6054126700000002</v>
      </c>
      <c r="CC46" s="875">
        <v>2.59669382</v>
      </c>
      <c r="CD46" s="875">
        <v>2.6993103899999999</v>
      </c>
      <c r="CE46" s="875">
        <v>2.7518784100000002</v>
      </c>
      <c r="CF46" s="875">
        <v>2.8132330200000002</v>
      </c>
      <c r="CG46" s="875">
        <v>2.8369794800000001</v>
      </c>
      <c r="CH46" s="875">
        <v>3.0027530499999999</v>
      </c>
      <c r="CI46" s="875">
        <v>3.1153031499999999</v>
      </c>
      <c r="CJ46" s="875">
        <v>2.1614582599999999</v>
      </c>
      <c r="CK46" s="875">
        <v>2.1099926399999998</v>
      </c>
      <c r="CL46" s="875">
        <v>1.9451714500000001</v>
      </c>
      <c r="CM46" s="875">
        <v>1.8613330800000001</v>
      </c>
      <c r="CN46" s="875">
        <v>1.8413788800000002</v>
      </c>
      <c r="CO46" s="875">
        <v>1.9304636099999999</v>
      </c>
      <c r="CP46" s="875">
        <v>2.0489393300000001</v>
      </c>
      <c r="CQ46" s="875">
        <v>2.2315318099999999</v>
      </c>
      <c r="CR46" s="875">
        <v>2.4746140699999999</v>
      </c>
      <c r="CS46" s="875">
        <v>2.6678929</v>
      </c>
      <c r="CT46" s="875">
        <v>2.6860783399999999</v>
      </c>
      <c r="CU46" s="875">
        <v>2.8197865800000002</v>
      </c>
      <c r="CV46" s="875">
        <v>2.8482472599999999</v>
      </c>
      <c r="CW46" s="875">
        <v>3.1984155900000002</v>
      </c>
      <c r="CX46" s="875">
        <v>3.6509966899999999</v>
      </c>
      <c r="CY46" s="875">
        <v>4.1925488099999999</v>
      </c>
      <c r="CZ46" s="875">
        <v>4.1116676500000002</v>
      </c>
      <c r="DA46" s="875">
        <v>4.2923157500000002</v>
      </c>
      <c r="DB46" s="875">
        <v>4.7927179400000002</v>
      </c>
      <c r="DC46" s="875">
        <v>4.7569175899999996</v>
      </c>
      <c r="DD46" s="875">
        <v>4.4105267599999998</v>
      </c>
      <c r="DE46" s="875">
        <v>4.4311057900000002</v>
      </c>
      <c r="DF46" s="875">
        <v>4.3453763800000003</v>
      </c>
      <c r="DG46" s="875">
        <v>4.4748686700000002</v>
      </c>
      <c r="DH46" s="875">
        <v>4.5794012899999998</v>
      </c>
      <c r="DI46" s="875">
        <v>5.0454184099999999</v>
      </c>
      <c r="DJ46" s="875">
        <v>4.9127252800000001</v>
      </c>
      <c r="DK46" s="875">
        <v>4.8213111099999999</v>
      </c>
      <c r="DL46" s="875">
        <v>4.8841485200000001</v>
      </c>
      <c r="DM46" s="875">
        <v>4.5110881899999997</v>
      </c>
      <c r="DN46" s="875">
        <v>5.0157098700000002</v>
      </c>
      <c r="DO46" s="875">
        <v>4.9999448600000003</v>
      </c>
      <c r="DP46" s="875">
        <v>4.9547945100000002</v>
      </c>
      <c r="DQ46" s="875">
        <v>5.2702261300000002</v>
      </c>
      <c r="DR46" s="875">
        <v>5.4359837899999999</v>
      </c>
      <c r="DS46" s="875">
        <v>5.5593522699999998</v>
      </c>
      <c r="DT46" s="875">
        <v>6.0361530800000001</v>
      </c>
      <c r="DU46" s="875">
        <v>6.4973474700000002</v>
      </c>
      <c r="DV46" s="875">
        <v>6.6789757099999996</v>
      </c>
      <c r="DW46" s="875">
        <v>6.9023165500000001</v>
      </c>
      <c r="DX46" s="875">
        <v>7.0183688200000001</v>
      </c>
      <c r="DY46" s="875">
        <v>7.4097378599999999</v>
      </c>
      <c r="DZ46" s="875">
        <v>7.4076073999999998</v>
      </c>
      <c r="EA46" s="875">
        <v>7.8346649299999997</v>
      </c>
      <c r="EB46" s="875">
        <v>7.7882781899999998</v>
      </c>
      <c r="EC46" s="875">
        <v>8.2024461899999999</v>
      </c>
      <c r="ED46" s="875">
        <v>7.8983919</v>
      </c>
      <c r="EE46" s="875">
        <v>8.3456652800000004</v>
      </c>
      <c r="EF46" s="875">
        <v>8.1470549499999994</v>
      </c>
      <c r="EG46" s="875">
        <v>8.0706237999999999</v>
      </c>
      <c r="EH46" s="875">
        <v>8.5090863599999995</v>
      </c>
      <c r="EI46" s="875">
        <v>8.7738869200000007</v>
      </c>
      <c r="EJ46" s="875">
        <v>9.0922448100000004</v>
      </c>
      <c r="EK46" s="875">
        <v>8.8760854400000007</v>
      </c>
      <c r="EL46" s="875">
        <v>8.8135820500000008</v>
      </c>
      <c r="EM46" s="875">
        <v>8.9871321399999999</v>
      </c>
      <c r="EN46" s="875">
        <v>9.0321176800000007</v>
      </c>
      <c r="EO46" s="875">
        <v>9.1964913900000003</v>
      </c>
      <c r="EP46" s="875">
        <v>9.2938496300000004</v>
      </c>
      <c r="EQ46" s="875">
        <v>9.9260844099999996</v>
      </c>
      <c r="ER46" s="875">
        <v>10.443611880000001</v>
      </c>
      <c r="ES46" s="875">
        <v>10.945967639999999</v>
      </c>
      <c r="ET46" s="875">
        <v>13.345455230000001</v>
      </c>
      <c r="EU46" s="1934" t="s">
        <v>4093</v>
      </c>
    </row>
    <row r="47" spans="1:151" ht="21">
      <c r="A47" s="1930" t="s">
        <v>189</v>
      </c>
      <c r="B47" s="839">
        <v>194.09190794000003</v>
      </c>
      <c r="C47" s="839">
        <v>194.93850375999997</v>
      </c>
      <c r="D47" s="839">
        <v>198.12436617</v>
      </c>
      <c r="E47" s="839">
        <v>199.30053117</v>
      </c>
      <c r="F47" s="839">
        <v>205.70900700999999</v>
      </c>
      <c r="G47" s="839">
        <v>206.57320738000001</v>
      </c>
      <c r="H47" s="839">
        <v>222.96828968999998</v>
      </c>
      <c r="I47" s="839">
        <v>228.39333905999999</v>
      </c>
      <c r="J47" s="839">
        <v>235.70850641000001</v>
      </c>
      <c r="K47" s="839">
        <v>242.76190866000002</v>
      </c>
      <c r="L47" s="839">
        <v>244.44164385999997</v>
      </c>
      <c r="M47" s="840">
        <v>259.04906238000001</v>
      </c>
      <c r="N47" s="840">
        <v>261.75945378</v>
      </c>
      <c r="O47" s="840">
        <v>266.09799297999996</v>
      </c>
      <c r="P47" s="840">
        <v>275.47307289999998</v>
      </c>
      <c r="Q47" s="840">
        <v>287.15825830999995</v>
      </c>
      <c r="R47" s="840">
        <v>295.70869255000002</v>
      </c>
      <c r="S47" s="840">
        <v>303.42727644000001</v>
      </c>
      <c r="T47" s="840">
        <v>313.58138358999997</v>
      </c>
      <c r="U47" s="840">
        <v>328.12886795999998</v>
      </c>
      <c r="V47" s="840">
        <v>337.50268732999996</v>
      </c>
      <c r="W47" s="840">
        <v>346.01852508000002</v>
      </c>
      <c r="X47" s="840">
        <v>357.35409972000002</v>
      </c>
      <c r="Y47" s="840">
        <v>363.28745099000002</v>
      </c>
      <c r="Z47" s="840">
        <v>358.83227847000001</v>
      </c>
      <c r="AA47" s="840">
        <v>358.87817694</v>
      </c>
      <c r="AB47" s="840">
        <v>361.60496795</v>
      </c>
      <c r="AC47" s="840">
        <v>364.27973922000001</v>
      </c>
      <c r="AD47" s="840">
        <v>366.21296150999996</v>
      </c>
      <c r="AE47" s="840">
        <v>363.55937625999996</v>
      </c>
      <c r="AF47" s="840">
        <v>363.75390327000002</v>
      </c>
      <c r="AG47" s="840">
        <v>370.35051697</v>
      </c>
      <c r="AH47" s="840">
        <v>375.64405887999999</v>
      </c>
      <c r="AI47" s="840">
        <v>381.88793835999996</v>
      </c>
      <c r="AJ47" s="840">
        <v>393.09086045999999</v>
      </c>
      <c r="AK47" s="840">
        <v>401.84378499000002</v>
      </c>
      <c r="AL47" s="840">
        <v>336.95056748999997</v>
      </c>
      <c r="AM47" s="840">
        <v>328.77275318000005</v>
      </c>
      <c r="AN47" s="840">
        <v>324.34332909999995</v>
      </c>
      <c r="AO47" s="840">
        <v>319.58743635999997</v>
      </c>
      <c r="AP47" s="840">
        <v>310.94883529999998</v>
      </c>
      <c r="AQ47" s="840">
        <v>311.77145194999997</v>
      </c>
      <c r="AR47" s="840">
        <v>253.40229417</v>
      </c>
      <c r="AS47" s="840">
        <v>258.09228235</v>
      </c>
      <c r="AT47" s="840">
        <v>260.39739005000001</v>
      </c>
      <c r="AU47" s="840">
        <v>252.65657300999996</v>
      </c>
      <c r="AV47" s="840">
        <v>256.65210906000004</v>
      </c>
      <c r="AW47" s="840">
        <v>269.57177759000001</v>
      </c>
      <c r="AX47" s="840">
        <v>266.90510870999998</v>
      </c>
      <c r="AY47" s="840">
        <v>261.02975593000002</v>
      </c>
      <c r="AZ47" s="840">
        <v>251.78853728999999</v>
      </c>
      <c r="BA47" s="840">
        <v>246.78617264000002</v>
      </c>
      <c r="BB47" s="840">
        <v>240.38340897999998</v>
      </c>
      <c r="BC47" s="840">
        <v>236.75498862000003</v>
      </c>
      <c r="BD47" s="840">
        <v>234.68715417999999</v>
      </c>
      <c r="BE47" s="840">
        <v>228.37622250999999</v>
      </c>
      <c r="BF47" s="840">
        <v>229.27763962000003</v>
      </c>
      <c r="BG47" s="841">
        <v>235.64246501</v>
      </c>
      <c r="BH47" s="879">
        <v>242.10269839999998</v>
      </c>
      <c r="BI47" s="874">
        <v>240.92543745000003</v>
      </c>
      <c r="BJ47" s="874">
        <v>238.52937216999999</v>
      </c>
      <c r="BK47" s="874">
        <v>237.61812699999999</v>
      </c>
      <c r="BL47" s="874">
        <v>239.64929303</v>
      </c>
      <c r="BM47" s="874">
        <v>248.47468455000001</v>
      </c>
      <c r="BN47" s="874">
        <v>251.23315884000002</v>
      </c>
      <c r="BO47" s="874">
        <v>256.10686415999999</v>
      </c>
      <c r="BP47" s="874">
        <v>258.08538743000003</v>
      </c>
      <c r="BQ47" s="874">
        <v>269.78148957999997</v>
      </c>
      <c r="BR47" s="874">
        <v>272.47750643999996</v>
      </c>
      <c r="BS47" s="874">
        <v>282.76595544000003</v>
      </c>
      <c r="BT47" s="874">
        <v>287.45522668000001</v>
      </c>
      <c r="BU47" s="874">
        <v>307.85871350000002</v>
      </c>
      <c r="BV47" s="874">
        <v>309.15751165</v>
      </c>
      <c r="BW47" s="874">
        <v>311.65220942000002</v>
      </c>
      <c r="BX47" s="874">
        <v>312.29521656999998</v>
      </c>
      <c r="BY47" s="874">
        <v>324.50054019999999</v>
      </c>
      <c r="BZ47" s="874">
        <v>333.26234872999999</v>
      </c>
      <c r="CA47" s="874">
        <v>340.25703765999998</v>
      </c>
      <c r="CB47" s="874">
        <v>350.59791472000001</v>
      </c>
      <c r="CC47" s="874">
        <v>367.67218347000005</v>
      </c>
      <c r="CD47" s="874">
        <v>398.00484957999998</v>
      </c>
      <c r="CE47" s="874">
        <v>422.53184838999999</v>
      </c>
      <c r="CF47" s="874">
        <v>445.29694531000001</v>
      </c>
      <c r="CG47" s="874">
        <v>475.53058712000001</v>
      </c>
      <c r="CH47" s="874">
        <v>494.12909919999998</v>
      </c>
      <c r="CI47" s="874">
        <v>526.06052349000004</v>
      </c>
      <c r="CJ47" s="874">
        <v>546.40557878999994</v>
      </c>
      <c r="CK47" s="874">
        <v>537.07086327999991</v>
      </c>
      <c r="CL47" s="874">
        <v>539.72901458000001</v>
      </c>
      <c r="CM47" s="874">
        <v>558.63255520999996</v>
      </c>
      <c r="CN47" s="874">
        <v>576.4650546900001</v>
      </c>
      <c r="CO47" s="874">
        <v>612.25519094999993</v>
      </c>
      <c r="CP47" s="874">
        <v>659.65482788999998</v>
      </c>
      <c r="CQ47" s="874">
        <v>676.32417529000008</v>
      </c>
      <c r="CR47" s="874">
        <v>694.27200973000004</v>
      </c>
      <c r="CS47" s="874">
        <v>715.83179847999997</v>
      </c>
      <c r="CT47" s="874">
        <v>742.81915914000001</v>
      </c>
      <c r="CU47" s="874">
        <v>779.48867820999999</v>
      </c>
      <c r="CV47" s="874">
        <v>817.39037604999999</v>
      </c>
      <c r="CW47" s="874">
        <v>872.44310619999999</v>
      </c>
      <c r="CX47" s="874">
        <v>912.13887147000003</v>
      </c>
      <c r="CY47" s="874">
        <v>961.76951517999998</v>
      </c>
      <c r="CZ47" s="874">
        <v>998.85894813000004</v>
      </c>
      <c r="DA47" s="874">
        <v>1041.28702004</v>
      </c>
      <c r="DB47" s="874">
        <v>1091.7739497</v>
      </c>
      <c r="DC47" s="874">
        <v>1147.61763909</v>
      </c>
      <c r="DD47" s="874">
        <v>1206.7188251299999</v>
      </c>
      <c r="DE47" s="874">
        <v>1296.7480891099999</v>
      </c>
      <c r="DF47" s="874">
        <v>1327.49949309</v>
      </c>
      <c r="DG47" s="874">
        <v>1367.4860012500001</v>
      </c>
      <c r="DH47" s="874">
        <v>1410.9655256599999</v>
      </c>
      <c r="DI47" s="874">
        <v>1476.2750867100001</v>
      </c>
      <c r="DJ47" s="874">
        <v>1527.0054530800001</v>
      </c>
      <c r="DK47" s="874">
        <v>1589.81839027</v>
      </c>
      <c r="DL47" s="874">
        <v>1621.0810513900001</v>
      </c>
      <c r="DM47" s="874">
        <v>1682.3284806300001</v>
      </c>
      <c r="DN47" s="874">
        <v>1765.70058535</v>
      </c>
      <c r="DO47" s="874">
        <v>1821.7719290499999</v>
      </c>
      <c r="DP47" s="874">
        <v>1870.1474149200001</v>
      </c>
      <c r="DQ47" s="874">
        <v>1943.1909543700001</v>
      </c>
      <c r="DR47" s="874">
        <v>1974.9768696199999</v>
      </c>
      <c r="DS47" s="874">
        <v>2022.00613112</v>
      </c>
      <c r="DT47" s="874">
        <v>2076.2457996399999</v>
      </c>
      <c r="DU47" s="874">
        <v>2154.27875756</v>
      </c>
      <c r="DV47" s="874">
        <v>2220.26702153</v>
      </c>
      <c r="DW47" s="874">
        <v>2294.5516968000002</v>
      </c>
      <c r="DX47" s="874">
        <v>2337.0476434799998</v>
      </c>
      <c r="DY47" s="874">
        <v>2413.0988676500001</v>
      </c>
      <c r="DZ47" s="874">
        <v>2477.6755214200002</v>
      </c>
      <c r="EA47" s="874">
        <v>2540.7171548400001</v>
      </c>
      <c r="EB47" s="874">
        <v>2607.29982402</v>
      </c>
      <c r="EC47" s="874">
        <v>2678.7959307900001</v>
      </c>
      <c r="ED47" s="874">
        <v>2700.8958899700001</v>
      </c>
      <c r="EE47" s="874">
        <v>2763.2357708200002</v>
      </c>
      <c r="EF47" s="874">
        <v>2799.2009913699999</v>
      </c>
      <c r="EG47" s="874">
        <v>2878.4550491700002</v>
      </c>
      <c r="EH47" s="874">
        <v>2946.2812811099998</v>
      </c>
      <c r="EI47" s="874">
        <v>2981.9768788299998</v>
      </c>
      <c r="EJ47" s="874">
        <v>3058.9386586400001</v>
      </c>
      <c r="EK47" s="874">
        <v>3134.91764896</v>
      </c>
      <c r="EL47" s="874">
        <v>3213.8198689400001</v>
      </c>
      <c r="EM47" s="874">
        <v>3295.54637938</v>
      </c>
      <c r="EN47" s="874">
        <v>3350.0661002799998</v>
      </c>
      <c r="EO47" s="874">
        <v>3435.5027882899999</v>
      </c>
      <c r="EP47" s="874">
        <v>3458.6125831300001</v>
      </c>
      <c r="EQ47" s="874">
        <v>3492.7799418999998</v>
      </c>
      <c r="ER47" s="874">
        <v>3524.4978975200002</v>
      </c>
      <c r="ES47" s="874">
        <v>3572.3237477100001</v>
      </c>
      <c r="ET47" s="874">
        <v>3616.2502509400001</v>
      </c>
      <c r="EU47" s="1930" t="s">
        <v>212</v>
      </c>
    </row>
    <row r="48" spans="1:151" ht="21">
      <c r="A48" s="1929" t="s">
        <v>2019</v>
      </c>
      <c r="B48" s="842">
        <v>1.3031639999999999E-2</v>
      </c>
      <c r="C48" s="842">
        <v>1.2360090000000001E-2</v>
      </c>
      <c r="D48" s="842">
        <v>1.201674E-2</v>
      </c>
      <c r="E48" s="842">
        <v>1.166824E-2</v>
      </c>
      <c r="F48" s="842">
        <v>1.131451E-2</v>
      </c>
      <c r="G48" s="842">
        <v>2.9555479999999999E-2</v>
      </c>
      <c r="H48" s="842">
        <v>2.9191060000000001E-2</v>
      </c>
      <c r="I48" s="842">
        <v>2.8821180000000002E-2</v>
      </c>
      <c r="J48" s="842">
        <v>2.8445749999999999E-2</v>
      </c>
      <c r="K48" s="842">
        <v>2.806469E-2</v>
      </c>
      <c r="L48" s="842">
        <v>2.767791E-2</v>
      </c>
      <c r="M48" s="843">
        <v>2.7285330000000003E-2</v>
      </c>
      <c r="N48" s="843">
        <v>1.7600000000000001E-2</v>
      </c>
      <c r="O48" s="843">
        <v>1.66E-2</v>
      </c>
      <c r="P48" s="843">
        <v>1.5599999999999999E-2</v>
      </c>
      <c r="Q48" s="843">
        <v>1.46E-2</v>
      </c>
      <c r="R48" s="843">
        <v>1.3599999999999999E-2</v>
      </c>
      <c r="S48" s="843">
        <v>1.26E-2</v>
      </c>
      <c r="T48" s="843">
        <v>1.1599999999999999E-2</v>
      </c>
      <c r="U48" s="843">
        <v>0</v>
      </c>
      <c r="V48" s="843">
        <v>0</v>
      </c>
      <c r="W48" s="843">
        <v>1.7159650000000002E-2</v>
      </c>
      <c r="X48" s="843">
        <v>5.8465800000000005E-2</v>
      </c>
      <c r="Y48" s="843">
        <v>5.6864449999999997E-2</v>
      </c>
      <c r="Z48" s="843">
        <v>0.11618781</v>
      </c>
      <c r="AA48" s="843">
        <v>0.15233335999999997</v>
      </c>
      <c r="AB48" s="843">
        <v>0.14766542000000002</v>
      </c>
      <c r="AC48" s="843">
        <v>0.14251351999999998</v>
      </c>
      <c r="AD48" s="843">
        <v>0.13733912000000001</v>
      </c>
      <c r="AE48" s="843">
        <v>0.13206883</v>
      </c>
      <c r="AF48" s="843">
        <v>9.8506389999999999E-2</v>
      </c>
      <c r="AG48" s="843">
        <v>9.4042509999999996E-2</v>
      </c>
      <c r="AH48" s="843">
        <v>9.2799190000000004E-2</v>
      </c>
      <c r="AI48" s="843">
        <v>8.5735539999999999E-2</v>
      </c>
      <c r="AJ48" s="843">
        <v>9.6709960000000011E-2</v>
      </c>
      <c r="AK48" s="843">
        <v>0.11858309</v>
      </c>
      <c r="AL48" s="843">
        <v>0.10126071</v>
      </c>
      <c r="AM48" s="843">
        <v>9.3965999999999994E-2</v>
      </c>
      <c r="AN48" s="843">
        <v>9.02834E-2</v>
      </c>
      <c r="AO48" s="843">
        <v>8.8257970000000005E-2</v>
      </c>
      <c r="AP48" s="843">
        <v>7.9723789999999989E-2</v>
      </c>
      <c r="AQ48" s="843">
        <v>7.2456199999999998E-2</v>
      </c>
      <c r="AR48" s="843">
        <v>6.7603160000000009E-2</v>
      </c>
      <c r="AS48" s="843">
        <v>6.0420519999999998E-2</v>
      </c>
      <c r="AT48" s="843">
        <v>5.4665160000000004E-2</v>
      </c>
      <c r="AU48" s="843">
        <v>5.0139339999999998E-2</v>
      </c>
      <c r="AV48" s="843">
        <v>4.7899199999999996E-2</v>
      </c>
      <c r="AW48" s="843">
        <v>4.2823930000000003E-2</v>
      </c>
      <c r="AX48" s="843">
        <v>0.15278976</v>
      </c>
      <c r="AY48" s="843">
        <v>0.13684307000000001</v>
      </c>
      <c r="AZ48" s="843">
        <v>0.12086097</v>
      </c>
      <c r="BA48" s="843">
        <v>0.10595712</v>
      </c>
      <c r="BB48" s="843">
        <v>0.57829624000000002</v>
      </c>
      <c r="BC48" s="843">
        <v>0.66858085</v>
      </c>
      <c r="BD48" s="843">
        <v>0.80169718000000001</v>
      </c>
      <c r="BE48" s="843">
        <v>0.77137871999999996</v>
      </c>
      <c r="BF48" s="843">
        <v>0.74061001000000004</v>
      </c>
      <c r="BG48" s="844">
        <v>0.83763986999999995</v>
      </c>
      <c r="BH48" s="880">
        <v>0.80406739000000005</v>
      </c>
      <c r="BI48" s="875">
        <v>1.01508709</v>
      </c>
      <c r="BJ48" s="875">
        <v>0.97904325000000003</v>
      </c>
      <c r="BK48" s="875">
        <v>1.0117622399999999</v>
      </c>
      <c r="BL48" s="875">
        <v>0.99732189999999998</v>
      </c>
      <c r="BM48" s="875">
        <v>1.2202941299999999</v>
      </c>
      <c r="BN48" s="875">
        <v>1.1995362599999999</v>
      </c>
      <c r="BO48" s="875">
        <v>1.17877141</v>
      </c>
      <c r="BP48" s="875">
        <v>1.16586458</v>
      </c>
      <c r="BQ48" s="875">
        <v>1.1484147499999999</v>
      </c>
      <c r="BR48" s="875">
        <v>1.12989016</v>
      </c>
      <c r="BS48" s="875">
        <v>1.09745443</v>
      </c>
      <c r="BT48" s="875">
        <v>1.1484705100000001</v>
      </c>
      <c r="BU48" s="875">
        <v>1.1273739199999999</v>
      </c>
      <c r="BV48" s="875">
        <v>1.10905378</v>
      </c>
      <c r="BW48" s="875">
        <v>1.475352</v>
      </c>
      <c r="BX48" s="875">
        <v>1.64780993</v>
      </c>
      <c r="BY48" s="875">
        <v>1.60761194</v>
      </c>
      <c r="BZ48" s="875">
        <v>1.61673092</v>
      </c>
      <c r="CA48" s="875">
        <v>1.6228981999999998</v>
      </c>
      <c r="CB48" s="875">
        <v>1.6635538700000001</v>
      </c>
      <c r="CC48" s="875">
        <v>1.66420799</v>
      </c>
      <c r="CD48" s="875">
        <v>1.77825758</v>
      </c>
      <c r="CE48" s="875">
        <v>1.8429245000000001</v>
      </c>
      <c r="CF48" s="875">
        <v>1.91649227</v>
      </c>
      <c r="CG48" s="875">
        <v>1.9518346799999999</v>
      </c>
      <c r="CH48" s="875">
        <v>2.1305623300000001</v>
      </c>
      <c r="CI48" s="875">
        <v>2.25536563</v>
      </c>
      <c r="CJ48" s="875">
        <v>1.3139114299999999</v>
      </c>
      <c r="CK48" s="875">
        <v>1.27573877</v>
      </c>
      <c r="CL48" s="875">
        <v>1.12369231</v>
      </c>
      <c r="CM48" s="875">
        <v>1.0525463500000001</v>
      </c>
      <c r="CN48" s="875">
        <v>1.04608122</v>
      </c>
      <c r="CO48" s="875">
        <v>1.1341812199999999</v>
      </c>
      <c r="CP48" s="875">
        <v>1.2638042199999999</v>
      </c>
      <c r="CQ48" s="875">
        <v>1.46136745</v>
      </c>
      <c r="CR48" s="875">
        <v>1.71973237</v>
      </c>
      <c r="CS48" s="875">
        <v>1.92390835</v>
      </c>
      <c r="CT48" s="875">
        <v>1.9575673</v>
      </c>
      <c r="CU48" s="875">
        <v>2.1064788600000002</v>
      </c>
      <c r="CV48" s="875">
        <v>2.15084133</v>
      </c>
      <c r="CW48" s="875">
        <v>2.5171875400000001</v>
      </c>
      <c r="CX48" s="875">
        <v>2.9855615499999999</v>
      </c>
      <c r="CY48" s="875">
        <v>3.5434117999999999</v>
      </c>
      <c r="CZ48" s="875">
        <v>3.4788721800000002</v>
      </c>
      <c r="DA48" s="875">
        <v>3.7471072400000001</v>
      </c>
      <c r="DB48" s="875">
        <v>4.2341112000000001</v>
      </c>
      <c r="DC48" s="875">
        <v>4.1983108500000004</v>
      </c>
      <c r="DD48" s="875">
        <v>4.4105267599999998</v>
      </c>
      <c r="DE48" s="875">
        <v>4.4311057900000002</v>
      </c>
      <c r="DF48" s="875">
        <v>4.3453763800000003</v>
      </c>
      <c r="DG48" s="875">
        <v>4.4748686700000002</v>
      </c>
      <c r="DH48" s="875">
        <v>4.5794012899999998</v>
      </c>
      <c r="DI48" s="875">
        <v>5.0454184099999999</v>
      </c>
      <c r="DJ48" s="875">
        <v>4.9127252800000001</v>
      </c>
      <c r="DK48" s="875">
        <v>4.8213111099999999</v>
      </c>
      <c r="DL48" s="875">
        <v>4.8841485200000001</v>
      </c>
      <c r="DM48" s="875">
        <v>4.5110881899999997</v>
      </c>
      <c r="DN48" s="875">
        <v>5.0157098700000002</v>
      </c>
      <c r="DO48" s="875">
        <v>4.9999448600000003</v>
      </c>
      <c r="DP48" s="875">
        <v>4.9547945100000002</v>
      </c>
      <c r="DQ48" s="875">
        <v>5.2702261300000002</v>
      </c>
      <c r="DR48" s="875">
        <v>5.4359837899999999</v>
      </c>
      <c r="DS48" s="875">
        <v>5.5593522699999998</v>
      </c>
      <c r="DT48" s="875">
        <v>6.0361530800000001</v>
      </c>
      <c r="DU48" s="875">
        <v>6.14034747</v>
      </c>
      <c r="DV48" s="875">
        <v>6.3507753600000001</v>
      </c>
      <c r="DW48" s="875">
        <v>6.6033536000000002</v>
      </c>
      <c r="DX48" s="875">
        <v>6.7495808799999999</v>
      </c>
      <c r="DY48" s="875">
        <v>7.1710895800000003</v>
      </c>
      <c r="DZ48" s="875">
        <v>7.1994407999999996</v>
      </c>
      <c r="EA48" s="875">
        <v>7.6413155100000001</v>
      </c>
      <c r="EB48" s="875">
        <v>7.6182477300000002</v>
      </c>
      <c r="EC48" s="875">
        <v>8.0474455799999998</v>
      </c>
      <c r="ED48" s="875">
        <v>7.7584396199999999</v>
      </c>
      <c r="EE48" s="875">
        <v>8.2208365699999995</v>
      </c>
      <c r="EF48" s="875">
        <v>8.0481097800000008</v>
      </c>
      <c r="EG48" s="875">
        <v>7.9871556500000001</v>
      </c>
      <c r="EH48" s="875">
        <v>8.4425022900000002</v>
      </c>
      <c r="EI48" s="875">
        <v>8.7228043500000005</v>
      </c>
      <c r="EJ48" s="875">
        <v>9.0567386800000005</v>
      </c>
      <c r="EK48" s="875">
        <v>8.8562250999999996</v>
      </c>
      <c r="EL48" s="875">
        <v>8.8094457500000001</v>
      </c>
      <c r="EM48" s="875">
        <v>8.9871321399999999</v>
      </c>
      <c r="EN48" s="875">
        <v>9.0321176800000007</v>
      </c>
      <c r="EO48" s="875">
        <v>9.1964913900000003</v>
      </c>
      <c r="EP48" s="875">
        <v>9.2938496300000004</v>
      </c>
      <c r="EQ48" s="875">
        <v>9.9260844099999996</v>
      </c>
      <c r="ER48" s="875">
        <v>10.443611880000001</v>
      </c>
      <c r="ES48" s="875">
        <v>10.945967639999999</v>
      </c>
      <c r="ET48" s="875">
        <v>13.345455230000001</v>
      </c>
      <c r="EU48" s="1934" t="s">
        <v>4093</v>
      </c>
    </row>
    <row r="49" spans="1:151" ht="21">
      <c r="A49" s="1930" t="s">
        <v>2753</v>
      </c>
      <c r="B49" s="839">
        <v>60.8203405</v>
      </c>
      <c r="C49" s="839">
        <v>141.14236523000002</v>
      </c>
      <c r="D49" s="839">
        <v>146.49185373</v>
      </c>
      <c r="E49" s="839">
        <v>152.00867115000003</v>
      </c>
      <c r="F49" s="839">
        <v>158.92352842000003</v>
      </c>
      <c r="G49" s="839">
        <v>161.8832902</v>
      </c>
      <c r="H49" s="839">
        <v>168.79314822999999</v>
      </c>
      <c r="I49" s="839">
        <v>175.76591053999999</v>
      </c>
      <c r="J49" s="839">
        <v>184.69288965000001</v>
      </c>
      <c r="K49" s="839">
        <v>191.31087294999998</v>
      </c>
      <c r="L49" s="839">
        <v>194.58629157000001</v>
      </c>
      <c r="M49" s="840">
        <v>199.48719803</v>
      </c>
      <c r="N49" s="840">
        <v>197.51076547</v>
      </c>
      <c r="O49" s="840">
        <v>203.43038313</v>
      </c>
      <c r="P49" s="840">
        <v>204.8708067</v>
      </c>
      <c r="Q49" s="840">
        <v>217.36403631000002</v>
      </c>
      <c r="R49" s="840">
        <v>226.44430839999998</v>
      </c>
      <c r="S49" s="840">
        <v>232.51083958000001</v>
      </c>
      <c r="T49" s="840">
        <v>235.67094048000001</v>
      </c>
      <c r="U49" s="840">
        <v>236.1993094</v>
      </c>
      <c r="V49" s="840">
        <v>242.70368669000001</v>
      </c>
      <c r="W49" s="840">
        <v>259.53661246000001</v>
      </c>
      <c r="X49" s="840">
        <v>269.24038837000001</v>
      </c>
      <c r="Y49" s="840">
        <v>284.86419231000002</v>
      </c>
      <c r="Z49" s="840">
        <v>287.17310681999999</v>
      </c>
      <c r="AA49" s="840">
        <v>373.93429368</v>
      </c>
      <c r="AB49" s="840">
        <v>355.17878938000007</v>
      </c>
      <c r="AC49" s="840">
        <v>349.89573481000002</v>
      </c>
      <c r="AD49" s="840">
        <v>347.93404895999998</v>
      </c>
      <c r="AE49" s="840">
        <v>347.45143681999997</v>
      </c>
      <c r="AF49" s="840">
        <v>357.74513235000001</v>
      </c>
      <c r="AG49" s="840">
        <v>342.18315615999995</v>
      </c>
      <c r="AH49" s="840">
        <v>325.78493476</v>
      </c>
      <c r="AI49" s="840">
        <v>328.19679293000002</v>
      </c>
      <c r="AJ49" s="840">
        <v>313.33382298000004</v>
      </c>
      <c r="AK49" s="840">
        <v>437.74145341000002</v>
      </c>
      <c r="AL49" s="840">
        <v>437.74408946</v>
      </c>
      <c r="AM49" s="840">
        <v>422.05966828999999</v>
      </c>
      <c r="AN49" s="840">
        <v>406.66151482999999</v>
      </c>
      <c r="AO49" s="840">
        <v>384.82494094000003</v>
      </c>
      <c r="AP49" s="840">
        <v>373.48422059999996</v>
      </c>
      <c r="AQ49" s="840">
        <v>372.76387635000003</v>
      </c>
      <c r="AR49" s="840">
        <v>360.03533425000006</v>
      </c>
      <c r="AS49" s="840">
        <v>358.54114605999996</v>
      </c>
      <c r="AT49" s="840">
        <v>348.01777389</v>
      </c>
      <c r="AU49" s="840">
        <v>343.34221489000004</v>
      </c>
      <c r="AV49" s="840">
        <v>352.75380136000007</v>
      </c>
      <c r="AW49" s="840">
        <v>349.93217486000003</v>
      </c>
      <c r="AX49" s="840">
        <v>369.37312950000006</v>
      </c>
      <c r="AY49" s="840">
        <v>328.39325581999998</v>
      </c>
      <c r="AZ49" s="840">
        <v>316.01740061999999</v>
      </c>
      <c r="BA49" s="840">
        <v>306.41831532999998</v>
      </c>
      <c r="BB49" s="840">
        <v>297.32727204000003</v>
      </c>
      <c r="BC49" s="840">
        <v>289.37367030000001</v>
      </c>
      <c r="BD49" s="840">
        <v>281.64781448000002</v>
      </c>
      <c r="BE49" s="840">
        <v>275.89534592000001</v>
      </c>
      <c r="BF49" s="840">
        <v>268.50138891</v>
      </c>
      <c r="BG49" s="841">
        <v>262.19184757000005</v>
      </c>
      <c r="BH49" s="879">
        <v>254.50374511000001</v>
      </c>
      <c r="BI49" s="874">
        <v>245.83909070999999</v>
      </c>
      <c r="BJ49" s="874">
        <v>239.53236909999998</v>
      </c>
      <c r="BK49" s="874">
        <v>229.77732800000001</v>
      </c>
      <c r="BL49" s="874">
        <v>220.81257012999998</v>
      </c>
      <c r="BM49" s="874">
        <v>210.77802134999999</v>
      </c>
      <c r="BN49" s="874">
        <v>204.53041837000001</v>
      </c>
      <c r="BO49" s="874">
        <v>199.90839576000002</v>
      </c>
      <c r="BP49" s="874">
        <v>192.46838308999997</v>
      </c>
      <c r="BQ49" s="874">
        <v>183.25286537999997</v>
      </c>
      <c r="BR49" s="874">
        <v>178.68113622999999</v>
      </c>
      <c r="BS49" s="874">
        <v>176.54657011</v>
      </c>
      <c r="BT49" s="874">
        <v>176.35039253999997</v>
      </c>
      <c r="BU49" s="874">
        <v>159.25219908000003</v>
      </c>
      <c r="BV49" s="874">
        <v>151.33861263</v>
      </c>
      <c r="BW49" s="874">
        <v>148.74935962999999</v>
      </c>
      <c r="BX49" s="874">
        <v>143.37480159</v>
      </c>
      <c r="BY49" s="874">
        <v>140.01167808000002</v>
      </c>
      <c r="BZ49" s="874">
        <v>136.23157184000002</v>
      </c>
      <c r="CA49" s="874">
        <v>130.46595289999999</v>
      </c>
      <c r="CB49" s="874">
        <v>120.93484769000001</v>
      </c>
      <c r="CC49" s="874">
        <v>118.27975201000001</v>
      </c>
      <c r="CD49" s="874">
        <v>116.35417395</v>
      </c>
      <c r="CE49" s="874">
        <v>115.43497306</v>
      </c>
      <c r="CF49" s="874">
        <v>116.97941465000001</v>
      </c>
      <c r="CG49" s="874">
        <v>107.13334128000001</v>
      </c>
      <c r="CH49" s="874">
        <v>105.73931095</v>
      </c>
      <c r="CI49" s="874">
        <v>105.52035289000001</v>
      </c>
      <c r="CJ49" s="874">
        <v>94.351915379999994</v>
      </c>
      <c r="CK49" s="874">
        <v>87.630947639999988</v>
      </c>
      <c r="CL49" s="874">
        <v>85.347246529999993</v>
      </c>
      <c r="CM49" s="874">
        <v>81.493340989999993</v>
      </c>
      <c r="CN49" s="874">
        <v>78.69994281000001</v>
      </c>
      <c r="CO49" s="874">
        <v>77.765243260000005</v>
      </c>
      <c r="CP49" s="874">
        <v>75.175844999999995</v>
      </c>
      <c r="CQ49" s="874">
        <v>71.937008640000002</v>
      </c>
      <c r="CR49" s="874">
        <v>68.872873369999994</v>
      </c>
      <c r="CS49" s="874">
        <v>65.124853989999991</v>
      </c>
      <c r="CT49" s="874">
        <v>60.412829539999997</v>
      </c>
      <c r="CU49" s="874">
        <v>65.8700142</v>
      </c>
      <c r="CV49" s="874">
        <v>63.12305482</v>
      </c>
      <c r="CW49" s="874">
        <v>62.825603809999997</v>
      </c>
      <c r="CX49" s="874">
        <v>59.87518524</v>
      </c>
      <c r="CY49" s="874">
        <v>60.210764609999998</v>
      </c>
      <c r="CZ49" s="874">
        <v>60.687583969999999</v>
      </c>
      <c r="DA49" s="874">
        <v>60.77288283</v>
      </c>
      <c r="DB49" s="874">
        <v>64.392185339999997</v>
      </c>
      <c r="DC49" s="874">
        <v>63.765772519999999</v>
      </c>
      <c r="DD49" s="874">
        <v>60.305697690000002</v>
      </c>
      <c r="DE49" s="874">
        <v>63.564035250000003</v>
      </c>
      <c r="DF49" s="874">
        <v>56.558620740000002</v>
      </c>
      <c r="DG49" s="874">
        <v>56.082432779999998</v>
      </c>
      <c r="DH49" s="874">
        <v>52.280523840000001</v>
      </c>
      <c r="DI49" s="874">
        <v>50.953282659999999</v>
      </c>
      <c r="DJ49" s="874">
        <v>52.683972650000001</v>
      </c>
      <c r="DK49" s="874">
        <v>53.18681763</v>
      </c>
      <c r="DL49" s="874">
        <v>52.445652189999997</v>
      </c>
      <c r="DM49" s="874">
        <v>52.116489620000003</v>
      </c>
      <c r="DN49" s="874">
        <v>59.265142040000001</v>
      </c>
      <c r="DO49" s="874">
        <v>60.062606340000002</v>
      </c>
      <c r="DP49" s="874">
        <v>58.739884369999999</v>
      </c>
      <c r="DQ49" s="874">
        <v>55.861136449999997</v>
      </c>
      <c r="DR49" s="874">
        <v>55.043827190000002</v>
      </c>
      <c r="DS49" s="874">
        <v>50.793110059999997</v>
      </c>
      <c r="DT49" s="874">
        <v>49.461264810000003</v>
      </c>
      <c r="DU49" s="874">
        <v>58.153457000000003</v>
      </c>
      <c r="DV49" s="874">
        <v>62.094460120000001</v>
      </c>
      <c r="DW49" s="874">
        <v>62.642824130000001</v>
      </c>
      <c r="DX49" s="874">
        <v>63.32426804</v>
      </c>
      <c r="DY49" s="874">
        <v>64.877013079999998</v>
      </c>
      <c r="DZ49" s="874">
        <v>66.440803930000001</v>
      </c>
      <c r="EA49" s="874">
        <v>61.055630800000003</v>
      </c>
      <c r="EB49" s="874">
        <v>62.80135224</v>
      </c>
      <c r="EC49" s="874">
        <v>62.068829770000001</v>
      </c>
      <c r="ED49" s="874">
        <v>61.435337949999997</v>
      </c>
      <c r="EE49" s="874">
        <v>58.798396140000001</v>
      </c>
      <c r="EF49" s="874">
        <v>56.949542540000003</v>
      </c>
      <c r="EG49" s="874">
        <v>54.882282770000003</v>
      </c>
      <c r="EH49" s="874">
        <v>46.811191880000003</v>
      </c>
      <c r="EI49" s="874">
        <v>44.96242032</v>
      </c>
      <c r="EJ49" s="874">
        <v>43.161826349999998</v>
      </c>
      <c r="EK49" s="874">
        <v>42.871790990000001</v>
      </c>
      <c r="EL49" s="874">
        <v>41.809023310000001</v>
      </c>
      <c r="EM49" s="874">
        <v>39.275150709999998</v>
      </c>
      <c r="EN49" s="874">
        <v>38.152460249999997</v>
      </c>
      <c r="EO49" s="874">
        <v>41.173432149999996</v>
      </c>
      <c r="EP49" s="874">
        <v>39.373265750000002</v>
      </c>
      <c r="EQ49" s="874">
        <v>37.399001769999998</v>
      </c>
      <c r="ER49" s="874">
        <v>36.654920609999998</v>
      </c>
      <c r="ES49" s="874">
        <v>34.596778720000003</v>
      </c>
      <c r="ET49" s="874">
        <v>33.340792639999997</v>
      </c>
      <c r="EU49" s="1930" t="s">
        <v>4082</v>
      </c>
    </row>
    <row r="50" spans="1:151" ht="21">
      <c r="A50" s="1933" t="s">
        <v>2019</v>
      </c>
      <c r="B50" s="845">
        <v>0.11804867999999999</v>
      </c>
      <c r="C50" s="845">
        <v>2.7660198999999999</v>
      </c>
      <c r="D50" s="845">
        <v>2.6083030200000001</v>
      </c>
      <c r="E50" s="845">
        <v>2.6476920000000002</v>
      </c>
      <c r="F50" s="845">
        <v>3.04740806</v>
      </c>
      <c r="G50" s="845">
        <v>2.96987852</v>
      </c>
      <c r="H50" s="845">
        <v>2.75096081</v>
      </c>
      <c r="I50" s="845">
        <v>2.8174198100000001</v>
      </c>
      <c r="J50" s="845">
        <v>3.2131447899999999</v>
      </c>
      <c r="K50" s="845">
        <v>3.3452382200000002</v>
      </c>
      <c r="L50" s="845">
        <v>3.3085029599999998</v>
      </c>
      <c r="M50" s="846">
        <v>3.4845867799999999</v>
      </c>
      <c r="N50" s="846">
        <v>3.3475053999999997</v>
      </c>
      <c r="O50" s="846">
        <v>3.4848470299999996</v>
      </c>
      <c r="P50" s="846">
        <v>3.3661613900000003</v>
      </c>
      <c r="Q50" s="846">
        <v>3.7624272000000003</v>
      </c>
      <c r="R50" s="846">
        <v>3.8093890200000002</v>
      </c>
      <c r="S50" s="846">
        <v>3.8822274700000001</v>
      </c>
      <c r="T50" s="846">
        <v>3.6196510699999997</v>
      </c>
      <c r="U50" s="846">
        <v>3.73416039</v>
      </c>
      <c r="V50" s="846">
        <v>4.1289160699999998</v>
      </c>
      <c r="W50" s="846">
        <v>0.54781430000000009</v>
      </c>
      <c r="X50" s="846">
        <v>0.55489554000000008</v>
      </c>
      <c r="Y50" s="846">
        <v>0.51227495000000001</v>
      </c>
      <c r="Z50" s="846">
        <v>0.49579334999999997</v>
      </c>
      <c r="AA50" s="846">
        <v>0.64104475999999999</v>
      </c>
      <c r="AB50" s="846">
        <v>0.61655990000000005</v>
      </c>
      <c r="AC50" s="846">
        <v>0.59934564000000001</v>
      </c>
      <c r="AD50" s="846">
        <v>0.68712766000000003</v>
      </c>
      <c r="AE50" s="846">
        <v>0.66563531999999992</v>
      </c>
      <c r="AF50" s="846">
        <v>0.67945404000000009</v>
      </c>
      <c r="AG50" s="846">
        <v>0.63501459999999998</v>
      </c>
      <c r="AH50" s="846">
        <v>0.61238236000000001</v>
      </c>
      <c r="AI50" s="846">
        <v>0.59317748000000003</v>
      </c>
      <c r="AJ50" s="846">
        <v>0.56649388000000001</v>
      </c>
      <c r="AK50" s="846">
        <v>1.0098676200000001</v>
      </c>
      <c r="AL50" s="846">
        <v>0.96995812000000003</v>
      </c>
      <c r="AM50" s="846">
        <v>0.96966078</v>
      </c>
      <c r="AN50" s="846">
        <v>0.93889531999999998</v>
      </c>
      <c r="AO50" s="846">
        <v>0.87415865000000004</v>
      </c>
      <c r="AP50" s="846">
        <v>0.85789400999999998</v>
      </c>
      <c r="AQ50" s="846">
        <v>0.87187856000000008</v>
      </c>
      <c r="AR50" s="846">
        <v>0.88303703</v>
      </c>
      <c r="AS50" s="846">
        <v>0.89383630000000003</v>
      </c>
      <c r="AT50" s="846">
        <v>0.87284824999999999</v>
      </c>
      <c r="AU50" s="846">
        <v>0.86061482</v>
      </c>
      <c r="AV50" s="846">
        <v>1.3602513799999998</v>
      </c>
      <c r="AW50" s="846">
        <v>1.1712771299999998</v>
      </c>
      <c r="AX50" s="846">
        <v>1.2659042700000001</v>
      </c>
      <c r="AY50" s="846">
        <v>1.1484636100000001</v>
      </c>
      <c r="AZ50" s="846">
        <v>1.1288090500000001</v>
      </c>
      <c r="BA50" s="846">
        <v>1.1060049999999999</v>
      </c>
      <c r="BB50" s="846">
        <v>1.10400294</v>
      </c>
      <c r="BC50" s="846">
        <v>1.10239033</v>
      </c>
      <c r="BD50" s="846">
        <v>1.0930872600000001</v>
      </c>
      <c r="BE50" s="846">
        <v>1.07818305</v>
      </c>
      <c r="BF50" s="846">
        <v>1.0691329899999999</v>
      </c>
      <c r="BG50" s="847">
        <v>1.0551198899999998</v>
      </c>
      <c r="BH50" s="881">
        <v>1.04655733</v>
      </c>
      <c r="BI50" s="877">
        <v>1.0380568299999999</v>
      </c>
      <c r="BJ50" s="877">
        <v>1.03459675</v>
      </c>
      <c r="BK50" s="877">
        <v>1.0261561299999999</v>
      </c>
      <c r="BL50" s="877">
        <v>1.0175957799999999</v>
      </c>
      <c r="BM50" s="877">
        <v>1.0184709000000001</v>
      </c>
      <c r="BN50" s="877">
        <v>1.0110759</v>
      </c>
      <c r="BO50" s="877">
        <v>1.0051259000000001</v>
      </c>
      <c r="BP50" s="877">
        <v>1.0017208</v>
      </c>
      <c r="BQ50" s="877">
        <v>0.99322589999999999</v>
      </c>
      <c r="BR50" s="877">
        <v>0.98727589999999998</v>
      </c>
      <c r="BS50" s="877">
        <v>0.98132589999999997</v>
      </c>
      <c r="BT50" s="877">
        <v>0.97537590000000007</v>
      </c>
      <c r="BU50" s="877">
        <v>0.96942590000000006</v>
      </c>
      <c r="BV50" s="877">
        <v>0.96602589999999999</v>
      </c>
      <c r="BW50" s="877">
        <v>0.96262590000000003</v>
      </c>
      <c r="BX50" s="877">
        <v>0.95988620999999996</v>
      </c>
      <c r="BY50" s="877">
        <v>0.95648621</v>
      </c>
      <c r="BZ50" s="877">
        <v>0.93386663000000003</v>
      </c>
      <c r="CA50" s="877">
        <v>0.95047355</v>
      </c>
      <c r="CB50" s="877">
        <v>0.9418588</v>
      </c>
      <c r="CC50" s="877">
        <v>0.93248582999999996</v>
      </c>
      <c r="CD50" s="877">
        <v>0.92105281000000006</v>
      </c>
      <c r="CE50" s="877">
        <v>0.90895391000000003</v>
      </c>
      <c r="CF50" s="877">
        <v>0.89674074999999998</v>
      </c>
      <c r="CG50" s="877">
        <v>0.88514480000000006</v>
      </c>
      <c r="CH50" s="877">
        <v>0.87219071999999997</v>
      </c>
      <c r="CI50" s="877">
        <v>0.85993752000000001</v>
      </c>
      <c r="CJ50" s="877">
        <v>0.84754682999999997</v>
      </c>
      <c r="CK50" s="877">
        <v>0.83425386999999995</v>
      </c>
      <c r="CL50" s="877">
        <v>0.82147914</v>
      </c>
      <c r="CM50" s="877">
        <v>0.80878673000000001</v>
      </c>
      <c r="CN50" s="877">
        <v>0.79529766000000002</v>
      </c>
      <c r="CO50" s="877">
        <v>0.79628239000000001</v>
      </c>
      <c r="CP50" s="877">
        <v>0.78513511000000002</v>
      </c>
      <c r="CQ50" s="877">
        <v>0.77016435999999999</v>
      </c>
      <c r="CR50" s="877">
        <v>0.75488169999999999</v>
      </c>
      <c r="CS50" s="877">
        <v>0.74398455000000008</v>
      </c>
      <c r="CT50" s="877">
        <v>0.72851104</v>
      </c>
      <c r="CU50" s="877">
        <v>0.71330771999999998</v>
      </c>
      <c r="CV50" s="877">
        <v>0.69740592999999995</v>
      </c>
      <c r="CW50" s="877">
        <v>0.68122804999999997</v>
      </c>
      <c r="CX50" s="877">
        <v>0.66543514000000004</v>
      </c>
      <c r="CY50" s="877">
        <v>0.64913701000000001</v>
      </c>
      <c r="CZ50" s="877">
        <v>0.63279547000000003</v>
      </c>
      <c r="DA50" s="877">
        <v>0.54520851000000004</v>
      </c>
      <c r="DB50" s="877">
        <v>0.55860673999999999</v>
      </c>
      <c r="DC50" s="877">
        <v>0.55860673999999999</v>
      </c>
      <c r="DD50" s="877">
        <v>0</v>
      </c>
      <c r="DE50" s="877">
        <v>0</v>
      </c>
      <c r="DF50" s="877">
        <v>0</v>
      </c>
      <c r="DG50" s="877">
        <v>0</v>
      </c>
      <c r="DH50" s="877">
        <v>0</v>
      </c>
      <c r="DI50" s="877">
        <v>0</v>
      </c>
      <c r="DJ50" s="877">
        <v>0</v>
      </c>
      <c r="DK50" s="877">
        <v>0</v>
      </c>
      <c r="DL50" s="877">
        <v>0</v>
      </c>
      <c r="DM50" s="877">
        <v>0</v>
      </c>
      <c r="DN50" s="877">
        <v>0</v>
      </c>
      <c r="DO50" s="877">
        <v>0</v>
      </c>
      <c r="DP50" s="877">
        <v>0</v>
      </c>
      <c r="DQ50" s="877">
        <v>0</v>
      </c>
      <c r="DR50" s="877">
        <v>0</v>
      </c>
      <c r="DS50" s="877">
        <v>0</v>
      </c>
      <c r="DT50" s="877">
        <v>0</v>
      </c>
      <c r="DU50" s="877">
        <v>0.35699999999999998</v>
      </c>
      <c r="DV50" s="877">
        <v>0.32820034999999997</v>
      </c>
      <c r="DW50" s="877">
        <v>0.29896295000000001</v>
      </c>
      <c r="DX50" s="877">
        <v>0.26878794</v>
      </c>
      <c r="DY50" s="877">
        <v>0.23864827999999999</v>
      </c>
      <c r="DZ50" s="877">
        <v>0.20816660000000001</v>
      </c>
      <c r="EA50" s="877">
        <v>0.19334941999999999</v>
      </c>
      <c r="EB50" s="877">
        <v>0.17003045999999999</v>
      </c>
      <c r="EC50" s="877">
        <v>0.15500061000000001</v>
      </c>
      <c r="ED50" s="877">
        <v>0.13995228000000001</v>
      </c>
      <c r="EE50" s="877">
        <v>0.12482871</v>
      </c>
      <c r="EF50" s="877">
        <v>9.8945169999999999E-2</v>
      </c>
      <c r="EG50" s="877">
        <v>8.3468150000000005E-2</v>
      </c>
      <c r="EH50" s="877">
        <v>6.6584069999999995E-2</v>
      </c>
      <c r="EI50" s="877">
        <v>5.1082570000000001E-2</v>
      </c>
      <c r="EJ50" s="877">
        <v>3.5506129999999997E-2</v>
      </c>
      <c r="EK50" s="877">
        <v>1.9860340000000001E-2</v>
      </c>
      <c r="EL50" s="877">
        <v>4.1362999999999999E-3</v>
      </c>
      <c r="EM50" s="877">
        <v>0</v>
      </c>
      <c r="EN50" s="877">
        <v>0</v>
      </c>
      <c r="EO50" s="877">
        <v>0</v>
      </c>
      <c r="EP50" s="877">
        <v>0</v>
      </c>
      <c r="EQ50" s="877">
        <v>0</v>
      </c>
      <c r="ER50" s="877">
        <v>0</v>
      </c>
      <c r="ES50" s="877">
        <v>0</v>
      </c>
      <c r="ET50" s="877">
        <v>0</v>
      </c>
      <c r="EU50" s="1956" t="s">
        <v>4093</v>
      </c>
    </row>
    <row r="51" spans="1:151" s="792" customFormat="1" ht="39" customHeight="1">
      <c r="A51" s="2479" t="s">
        <v>3295</v>
      </c>
      <c r="B51" s="2479"/>
      <c r="C51" s="2479"/>
      <c r="D51" s="2479"/>
      <c r="E51" s="2479"/>
      <c r="F51" s="2479"/>
      <c r="G51" s="2479"/>
      <c r="H51" s="2479"/>
      <c r="I51" s="2479"/>
      <c r="J51" s="2479"/>
      <c r="K51" s="2479"/>
      <c r="L51" s="2479"/>
      <c r="M51" s="2479"/>
      <c r="N51" s="2479"/>
      <c r="O51" s="2479"/>
      <c r="P51" s="2479"/>
      <c r="Q51" s="2479"/>
      <c r="R51" s="2479"/>
      <c r="S51" s="2479"/>
      <c r="T51" s="2479"/>
      <c r="U51" s="2479"/>
      <c r="V51" s="2479"/>
      <c r="W51" s="2479"/>
      <c r="X51" s="2479"/>
      <c r="Y51" s="2479"/>
      <c r="Z51" s="2479"/>
      <c r="AA51" s="2479"/>
      <c r="AB51" s="2479"/>
      <c r="AC51" s="2479"/>
      <c r="AD51" s="2479"/>
      <c r="AE51" s="2479"/>
      <c r="AF51" s="2479"/>
      <c r="AG51" s="2479"/>
      <c r="AH51" s="2479"/>
      <c r="AI51" s="2479"/>
      <c r="AJ51" s="2479"/>
      <c r="AK51" s="2479"/>
      <c r="AL51" s="2479"/>
      <c r="AM51" s="2479"/>
      <c r="AN51" s="2479"/>
      <c r="AO51" s="2479"/>
      <c r="AP51" s="2479"/>
      <c r="AQ51" s="2479"/>
      <c r="AR51" s="2479"/>
      <c r="AS51" s="2479"/>
      <c r="AT51" s="2479"/>
      <c r="AU51" s="2479"/>
      <c r="AV51" s="2479"/>
      <c r="AW51" s="2479"/>
      <c r="AX51" s="2479"/>
      <c r="AY51" s="2479"/>
      <c r="AZ51" s="2479"/>
      <c r="BA51" s="2479"/>
      <c r="BB51" s="2479"/>
      <c r="BC51" s="2479"/>
      <c r="BD51" s="2479"/>
      <c r="BE51" s="2479"/>
      <c r="BF51" s="2479"/>
      <c r="BG51" s="2479"/>
      <c r="BH51" s="2479"/>
      <c r="BI51" s="2479"/>
      <c r="BJ51" s="2479"/>
      <c r="BK51" s="2479"/>
      <c r="BL51" s="2479"/>
      <c r="BM51" s="2479"/>
      <c r="BN51" s="2479"/>
      <c r="BO51" s="2479"/>
      <c r="BP51" s="2479"/>
      <c r="BQ51" s="2479"/>
      <c r="BR51" s="2479"/>
      <c r="BS51" s="2479"/>
      <c r="BT51" s="2479"/>
      <c r="BU51" s="2479"/>
      <c r="BV51" s="2479"/>
      <c r="BW51" s="2479"/>
      <c r="BX51" s="2479"/>
      <c r="BY51" s="2479"/>
      <c r="BZ51" s="2479"/>
      <c r="CA51" s="2479"/>
      <c r="CB51" s="2479"/>
      <c r="CC51" s="2479"/>
      <c r="CD51" s="2479"/>
      <c r="CE51" s="2479"/>
      <c r="CF51" s="2479"/>
      <c r="CG51" s="2479"/>
      <c r="CH51" s="2479"/>
      <c r="CI51" s="2479"/>
      <c r="CJ51" s="2479"/>
      <c r="CK51" s="2479"/>
      <c r="CL51" s="2479"/>
      <c r="CM51" s="2479"/>
      <c r="CN51" s="2479"/>
      <c r="CO51" s="2479"/>
      <c r="CP51" s="2479"/>
      <c r="CQ51" s="2479"/>
      <c r="CR51" s="2479"/>
      <c r="CS51" s="2479"/>
      <c r="CT51" s="2479"/>
      <c r="CU51" s="2479"/>
      <c r="CV51" s="2479"/>
      <c r="CW51" s="2479"/>
      <c r="CX51" s="2479"/>
      <c r="CY51" s="2479"/>
      <c r="CZ51" s="2479"/>
      <c r="DA51" s="2479"/>
      <c r="DB51" s="2479"/>
      <c r="DC51" s="2479"/>
      <c r="DD51" s="2479"/>
      <c r="DE51" s="2479"/>
      <c r="DF51" s="2479"/>
      <c r="DG51" s="2479"/>
      <c r="DH51" s="2479"/>
      <c r="DI51" s="2479"/>
      <c r="DJ51" s="2479"/>
      <c r="DK51" s="2479"/>
      <c r="DL51" s="2479"/>
      <c r="DM51" s="2479"/>
      <c r="DN51" s="2479"/>
      <c r="DO51" s="2479"/>
      <c r="DP51" s="2479"/>
      <c r="DQ51" s="2479"/>
      <c r="DR51" s="2479"/>
      <c r="DS51" s="2479"/>
      <c r="DT51" s="2479"/>
      <c r="DU51" s="2479"/>
      <c r="DV51" s="2479"/>
      <c r="DW51" s="2479"/>
      <c r="DX51" s="2479"/>
      <c r="DY51" s="2479"/>
      <c r="DZ51" s="2479"/>
      <c r="EA51" s="2480"/>
      <c r="EB51" s="2480"/>
      <c r="EC51" s="2479"/>
      <c r="ED51" s="1856"/>
      <c r="EE51" s="1896"/>
      <c r="EF51" s="1901"/>
      <c r="EG51" s="1904"/>
      <c r="EH51" s="1911"/>
      <c r="EI51" s="1961"/>
      <c r="EU51" s="792" t="s">
        <v>3970</v>
      </c>
    </row>
  </sheetData>
  <mergeCells count="16">
    <mergeCell ref="A2:EU2"/>
    <mergeCell ref="A3:EU3"/>
    <mergeCell ref="A5:EU5"/>
    <mergeCell ref="EU6:EU8"/>
    <mergeCell ref="A51:EC51"/>
    <mergeCell ref="CE6:CG6"/>
    <mergeCell ref="Z6:AK6"/>
    <mergeCell ref="B6:M6"/>
    <mergeCell ref="N6:Y6"/>
    <mergeCell ref="AL6:AW6"/>
    <mergeCell ref="BG6:BI6"/>
    <mergeCell ref="CU6:DE6"/>
    <mergeCell ref="DF6:DQ6"/>
    <mergeCell ref="DR6:EC6"/>
    <mergeCell ref="ED6:EN6"/>
    <mergeCell ref="EP6:ET6"/>
  </mergeCells>
  <pageMargins left="0.7" right="0.7" top="0.75" bottom="0.75" header="0.3" footer="0.3"/>
  <pageSetup scale="23"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3">
    <tabColor rgb="FF92D050"/>
  </sheetPr>
  <dimension ref="A1:EU55"/>
  <sheetViews>
    <sheetView showGridLines="0" view="pageBreakPreview" zoomScale="64" zoomScaleNormal="100" zoomScaleSheetLayoutView="64" workbookViewId="0">
      <selection activeCell="ER65" sqref="ER65"/>
    </sheetView>
  </sheetViews>
  <sheetFormatPr defaultColWidth="9.140625" defaultRowHeight="14.25"/>
  <cols>
    <col min="1" max="1" width="57.7109375" style="808" customWidth="1"/>
    <col min="2" max="12" width="13.5703125" style="287" hidden="1" customWidth="1"/>
    <col min="13" max="13" width="19" style="287" hidden="1" customWidth="1"/>
    <col min="14" max="23" width="13.5703125" style="287" hidden="1" customWidth="1"/>
    <col min="24" max="24" width="13.28515625" style="287" hidden="1" customWidth="1"/>
    <col min="25" max="25" width="18.140625" style="287" hidden="1" customWidth="1"/>
    <col min="26" max="32" width="14.7109375" style="287" hidden="1" customWidth="1"/>
    <col min="33" max="33" width="18" style="287" hidden="1" customWidth="1"/>
    <col min="34" max="34" width="20.42578125" style="287" hidden="1" customWidth="1"/>
    <col min="35" max="35" width="18.5703125" style="287" hidden="1" customWidth="1"/>
    <col min="36" max="36" width="18.140625" style="287" hidden="1" customWidth="1"/>
    <col min="37" max="37" width="19.28515625" style="287" hidden="1" customWidth="1"/>
    <col min="38" max="44" width="14.7109375" style="287" hidden="1" customWidth="1"/>
    <col min="45" max="45" width="18" style="287" hidden="1" customWidth="1"/>
    <col min="46" max="60" width="19.7109375" style="287" hidden="1" customWidth="1"/>
    <col min="61" max="61" width="13.5703125" style="287" customWidth="1"/>
    <col min="62" max="72" width="19.7109375" style="287" hidden="1" customWidth="1"/>
    <col min="73" max="73" width="13.5703125" style="287" customWidth="1"/>
    <col min="74" max="82" width="19.7109375" style="287" hidden="1" customWidth="1"/>
    <col min="83" max="84" width="19.28515625" style="287" hidden="1" customWidth="1"/>
    <col min="85" max="85" width="13.5703125" style="287" customWidth="1"/>
    <col min="86" max="90" width="19.28515625" style="287" hidden="1" customWidth="1"/>
    <col min="91" max="96" width="20.28515625" style="287" hidden="1" customWidth="1"/>
    <col min="97" max="97" width="13.5703125" style="287" customWidth="1"/>
    <col min="98" max="108" width="13.5703125" style="287" hidden="1" customWidth="1"/>
    <col min="109" max="109" width="13.5703125" style="287" customWidth="1"/>
    <col min="110" max="120" width="13.5703125" style="287" hidden="1" customWidth="1"/>
    <col min="121" max="121" width="13.5703125" style="287" customWidth="1"/>
    <col min="122" max="132" width="13.5703125" style="287" hidden="1" customWidth="1"/>
    <col min="133" max="133" width="13.5703125" style="287" customWidth="1"/>
    <col min="134" max="144" width="13.5703125" style="287" hidden="1" customWidth="1"/>
    <col min="145" max="150" width="13.5703125" style="287" customWidth="1"/>
    <col min="151" max="151" width="51" style="287" customWidth="1"/>
    <col min="152" max="16384" width="9.140625" style="287"/>
  </cols>
  <sheetData>
    <row r="1" spans="1:151" ht="15.75" customHeight="1"/>
    <row r="2" spans="1:151" s="697" customFormat="1" ht="30" customHeight="1">
      <c r="A2" s="2488" t="s">
        <v>3303</v>
      </c>
      <c r="B2" s="2488"/>
      <c r="C2" s="2488"/>
      <c r="D2" s="2488"/>
      <c r="E2" s="2488"/>
      <c r="F2" s="2488"/>
      <c r="G2" s="2488"/>
      <c r="H2" s="2488"/>
      <c r="I2" s="2488"/>
      <c r="J2" s="2488"/>
      <c r="K2" s="2488"/>
      <c r="L2" s="2488"/>
      <c r="M2" s="2488"/>
      <c r="N2" s="2488"/>
      <c r="O2" s="2488"/>
      <c r="P2" s="2488"/>
      <c r="Q2" s="2488"/>
      <c r="R2" s="2488"/>
      <c r="S2" s="2488"/>
      <c r="T2" s="2488"/>
      <c r="U2" s="2488"/>
      <c r="V2" s="2488"/>
      <c r="W2" s="2488"/>
      <c r="X2" s="2488"/>
      <c r="Y2" s="2488"/>
      <c r="Z2" s="2488"/>
      <c r="AA2" s="2488"/>
      <c r="AB2" s="2488"/>
      <c r="AC2" s="2488"/>
      <c r="AD2" s="2488"/>
      <c r="AE2" s="2488"/>
      <c r="AF2" s="2488"/>
      <c r="AG2" s="2488"/>
      <c r="AH2" s="2488"/>
      <c r="AI2" s="2488"/>
      <c r="AJ2" s="2488"/>
      <c r="AK2" s="2488"/>
      <c r="AL2" s="2488"/>
      <c r="AM2" s="2488"/>
      <c r="AN2" s="2488"/>
      <c r="AO2" s="2488"/>
      <c r="AP2" s="2488"/>
      <c r="AQ2" s="2488"/>
      <c r="AR2" s="2488"/>
      <c r="AS2" s="2488"/>
      <c r="AT2" s="2488"/>
      <c r="AU2" s="2488"/>
      <c r="AV2" s="2488"/>
      <c r="AW2" s="2488"/>
      <c r="AX2" s="2488"/>
      <c r="AY2" s="2488"/>
      <c r="AZ2" s="2488"/>
      <c r="BA2" s="2488"/>
      <c r="BB2" s="2488"/>
      <c r="BC2" s="2488"/>
      <c r="BD2" s="2488"/>
      <c r="BE2" s="2488"/>
      <c r="BF2" s="2488"/>
      <c r="BG2" s="2488"/>
      <c r="BH2" s="2488"/>
      <c r="BI2" s="2488"/>
      <c r="BJ2" s="2488"/>
      <c r="BK2" s="2488"/>
      <c r="BL2" s="2488"/>
      <c r="BM2" s="2488"/>
      <c r="BN2" s="2488"/>
      <c r="BO2" s="2488"/>
      <c r="BP2" s="2488"/>
      <c r="BQ2" s="2488"/>
      <c r="BR2" s="2488"/>
      <c r="BS2" s="2488"/>
      <c r="BT2" s="2488"/>
      <c r="BU2" s="2488"/>
      <c r="BV2" s="2488"/>
      <c r="BW2" s="2488"/>
      <c r="BX2" s="2488"/>
      <c r="BY2" s="2488"/>
      <c r="BZ2" s="2488"/>
      <c r="CA2" s="2488"/>
      <c r="CB2" s="2488"/>
      <c r="CC2" s="2488"/>
      <c r="CD2" s="2488"/>
      <c r="CE2" s="2488"/>
      <c r="CF2" s="2488"/>
      <c r="CG2" s="2488"/>
      <c r="CH2" s="2488"/>
      <c r="CI2" s="2488"/>
      <c r="CJ2" s="2488"/>
      <c r="CK2" s="2488"/>
      <c r="CL2" s="2488"/>
      <c r="CM2" s="2488"/>
      <c r="CN2" s="2488"/>
      <c r="CO2" s="2488"/>
      <c r="CP2" s="2488"/>
      <c r="CQ2" s="2488"/>
      <c r="CR2" s="2488"/>
      <c r="CS2" s="2488"/>
      <c r="CT2" s="2488"/>
      <c r="CU2" s="2488"/>
      <c r="CV2" s="2488"/>
      <c r="CW2" s="2488"/>
      <c r="CX2" s="2488"/>
      <c r="CY2" s="2488"/>
      <c r="CZ2" s="2488"/>
      <c r="DA2" s="2488"/>
      <c r="DB2" s="2488"/>
      <c r="DC2" s="2488"/>
      <c r="DD2" s="2488"/>
      <c r="DE2" s="2488"/>
      <c r="DF2" s="2488"/>
      <c r="DG2" s="2488"/>
      <c r="DH2" s="2488"/>
      <c r="DI2" s="2488"/>
      <c r="DJ2" s="2488"/>
      <c r="DK2" s="2488"/>
      <c r="DL2" s="2488"/>
      <c r="DM2" s="2488"/>
      <c r="DN2" s="2488"/>
      <c r="DO2" s="2488"/>
      <c r="DP2" s="2488"/>
      <c r="DQ2" s="2488"/>
      <c r="DR2" s="2488"/>
      <c r="DS2" s="2488"/>
      <c r="DT2" s="2488"/>
      <c r="DU2" s="2488"/>
      <c r="DV2" s="2488"/>
      <c r="DW2" s="2488"/>
      <c r="DX2" s="2488"/>
      <c r="DY2" s="2488"/>
      <c r="DZ2" s="2488"/>
      <c r="EA2" s="2488"/>
      <c r="EB2" s="2488"/>
      <c r="EC2" s="2488"/>
      <c r="ED2" s="2488"/>
      <c r="EE2" s="2488"/>
      <c r="EF2" s="2488"/>
      <c r="EG2" s="2488"/>
      <c r="EH2" s="2488"/>
      <c r="EI2" s="2488"/>
      <c r="EJ2" s="2488"/>
      <c r="EK2" s="2488"/>
      <c r="EL2" s="2488"/>
      <c r="EM2" s="2488"/>
      <c r="EN2" s="2488"/>
      <c r="EO2" s="2488"/>
      <c r="EP2" s="2488"/>
      <c r="EQ2" s="2488"/>
      <c r="ER2" s="2488"/>
      <c r="ES2" s="2488"/>
      <c r="ET2" s="2488"/>
      <c r="EU2" s="2488"/>
    </row>
    <row r="3" spans="1:151" s="697" customFormat="1" ht="36" customHeight="1">
      <c r="A3" s="2474" t="s">
        <v>3287</v>
      </c>
      <c r="B3" s="2474"/>
      <c r="C3" s="2474"/>
      <c r="D3" s="2474"/>
      <c r="E3" s="2474"/>
      <c r="F3" s="2474"/>
      <c r="G3" s="2474"/>
      <c r="H3" s="2474"/>
      <c r="I3" s="2474"/>
      <c r="J3" s="2474"/>
      <c r="K3" s="2474"/>
      <c r="L3" s="2474"/>
      <c r="M3" s="2474"/>
      <c r="N3" s="2474"/>
      <c r="O3" s="2474"/>
      <c r="P3" s="2474"/>
      <c r="Q3" s="2474"/>
      <c r="R3" s="2474"/>
      <c r="S3" s="2474"/>
      <c r="T3" s="2474"/>
      <c r="U3" s="2474"/>
      <c r="V3" s="2474"/>
      <c r="W3" s="2474"/>
      <c r="X3" s="2474"/>
      <c r="Y3" s="2474"/>
      <c r="Z3" s="2474"/>
      <c r="AA3" s="2474"/>
      <c r="AB3" s="2474"/>
      <c r="AC3" s="2474"/>
      <c r="AD3" s="2474"/>
      <c r="AE3" s="2474"/>
      <c r="AF3" s="2474"/>
      <c r="AG3" s="2474"/>
      <c r="AH3" s="2474"/>
      <c r="AI3" s="2474"/>
      <c r="AJ3" s="2474"/>
      <c r="AK3" s="2474"/>
      <c r="AL3" s="2474"/>
      <c r="AM3" s="2474"/>
      <c r="AN3" s="2474"/>
      <c r="AO3" s="2474"/>
      <c r="AP3" s="2474"/>
      <c r="AQ3" s="2474"/>
      <c r="AR3" s="2474"/>
      <c r="AS3" s="2474"/>
      <c r="AT3" s="2474"/>
      <c r="AU3" s="2474"/>
      <c r="AV3" s="2474"/>
      <c r="AW3" s="2474"/>
      <c r="AX3" s="2474"/>
      <c r="AY3" s="2474"/>
      <c r="AZ3" s="2474"/>
      <c r="BA3" s="2474"/>
      <c r="BB3" s="2474"/>
      <c r="BC3" s="2474"/>
      <c r="BD3" s="2474"/>
      <c r="BE3" s="2474"/>
      <c r="BF3" s="2474"/>
      <c r="BG3" s="2474"/>
      <c r="BH3" s="2474"/>
      <c r="BI3" s="2474"/>
      <c r="BJ3" s="2474"/>
      <c r="BK3" s="2474"/>
      <c r="BL3" s="2474"/>
      <c r="BM3" s="2474"/>
      <c r="BN3" s="2474"/>
      <c r="BO3" s="2474"/>
      <c r="BP3" s="2474"/>
      <c r="BQ3" s="2474"/>
      <c r="BR3" s="2474"/>
      <c r="BS3" s="2474"/>
      <c r="BT3" s="2474"/>
      <c r="BU3" s="2474"/>
      <c r="BV3" s="2474"/>
      <c r="BW3" s="2474"/>
      <c r="BX3" s="2474"/>
      <c r="BY3" s="2474"/>
      <c r="BZ3" s="2474"/>
      <c r="CA3" s="2474"/>
      <c r="CB3" s="2474"/>
      <c r="CC3" s="2474"/>
      <c r="CD3" s="2474"/>
      <c r="CE3" s="2474"/>
      <c r="CF3" s="2474"/>
      <c r="CG3" s="2474"/>
      <c r="CH3" s="2474"/>
      <c r="CI3" s="2474"/>
      <c r="CJ3" s="2474"/>
      <c r="CK3" s="2474"/>
      <c r="CL3" s="2474"/>
      <c r="CM3" s="2474"/>
      <c r="CN3" s="2474"/>
      <c r="CO3" s="2474"/>
      <c r="CP3" s="2474"/>
      <c r="CQ3" s="2474"/>
      <c r="CR3" s="2474"/>
      <c r="CS3" s="2474"/>
      <c r="CT3" s="2474"/>
      <c r="CU3" s="2474"/>
      <c r="CV3" s="2474"/>
      <c r="CW3" s="2474"/>
      <c r="CX3" s="2474"/>
      <c r="CY3" s="2474"/>
      <c r="CZ3" s="2474"/>
      <c r="DA3" s="2474"/>
      <c r="DB3" s="2474"/>
      <c r="DC3" s="2474"/>
      <c r="DD3" s="2474"/>
      <c r="DE3" s="2474"/>
      <c r="DF3" s="2474"/>
      <c r="DG3" s="2474"/>
      <c r="DH3" s="2474"/>
      <c r="DI3" s="2474"/>
      <c r="DJ3" s="2474"/>
      <c r="DK3" s="2474"/>
      <c r="DL3" s="2474"/>
      <c r="DM3" s="2474"/>
      <c r="DN3" s="2474"/>
      <c r="DO3" s="2474"/>
      <c r="DP3" s="2474"/>
      <c r="DQ3" s="2474"/>
      <c r="DR3" s="2474"/>
      <c r="DS3" s="2474"/>
      <c r="DT3" s="2474"/>
      <c r="DU3" s="2474"/>
      <c r="DV3" s="2474"/>
      <c r="DW3" s="2474"/>
      <c r="DX3" s="2474"/>
      <c r="DY3" s="2474"/>
      <c r="DZ3" s="2474"/>
      <c r="EA3" s="2474"/>
      <c r="EB3" s="2474"/>
      <c r="EC3" s="2474"/>
      <c r="ED3" s="2474"/>
      <c r="EE3" s="2474"/>
      <c r="EF3" s="2474"/>
      <c r="EG3" s="2474"/>
      <c r="EH3" s="2474"/>
      <c r="EI3" s="2474"/>
      <c r="EJ3" s="2474"/>
      <c r="EK3" s="2474"/>
      <c r="EL3" s="2474"/>
      <c r="EM3" s="2474"/>
      <c r="EN3" s="2474"/>
      <c r="EO3" s="2474"/>
      <c r="EP3" s="2474"/>
      <c r="EQ3" s="2474"/>
      <c r="ER3" s="2474"/>
      <c r="ES3" s="2474"/>
      <c r="ET3" s="2474"/>
      <c r="EU3" s="2474"/>
    </row>
    <row r="4" spans="1:151" ht="19.5" customHeight="1">
      <c r="A4" s="809"/>
      <c r="B4" s="541"/>
      <c r="C4" s="541"/>
      <c r="D4" s="541"/>
      <c r="E4" s="541"/>
      <c r="F4" s="541"/>
      <c r="G4" s="541"/>
      <c r="H4" s="541"/>
      <c r="I4" s="541"/>
      <c r="J4" s="541"/>
      <c r="K4" s="541"/>
      <c r="L4" s="541"/>
      <c r="M4" s="541"/>
      <c r="N4" s="541"/>
      <c r="O4" s="541"/>
      <c r="P4" s="541"/>
      <c r="Q4" s="541"/>
      <c r="R4" s="541"/>
      <c r="S4" s="541"/>
      <c r="T4" s="541"/>
      <c r="U4" s="541"/>
      <c r="V4" s="541"/>
      <c r="W4" s="541"/>
      <c r="X4" s="541"/>
      <c r="Y4" s="541"/>
      <c r="Z4" s="541"/>
      <c r="AA4" s="541"/>
      <c r="AB4" s="541"/>
      <c r="AC4" s="541"/>
      <c r="AD4" s="541"/>
      <c r="AE4" s="541"/>
      <c r="AF4" s="541"/>
      <c r="AG4" s="541"/>
      <c r="AH4" s="541"/>
      <c r="AI4" s="541"/>
      <c r="AJ4" s="541"/>
      <c r="AK4" s="541"/>
      <c r="AL4" s="541"/>
      <c r="AM4" s="541"/>
      <c r="AN4" s="541"/>
      <c r="AO4" s="541"/>
      <c r="AP4" s="541"/>
      <c r="AQ4" s="541"/>
      <c r="AR4" s="541"/>
      <c r="AS4" s="541"/>
      <c r="AT4" s="541"/>
      <c r="AU4" s="541"/>
      <c r="AV4" s="541"/>
      <c r="AW4" s="541"/>
      <c r="AX4" s="541"/>
      <c r="AY4" s="541"/>
      <c r="AZ4" s="541"/>
      <c r="BA4" s="541"/>
      <c r="BB4" s="541"/>
      <c r="BC4" s="541"/>
      <c r="BD4" s="541"/>
      <c r="BE4" s="541"/>
      <c r="BF4" s="541"/>
      <c r="BG4" s="541"/>
      <c r="BH4" s="541"/>
      <c r="BI4" s="541"/>
      <c r="BJ4" s="541"/>
      <c r="BK4" s="541"/>
      <c r="BL4" s="541"/>
      <c r="BM4" s="541"/>
      <c r="BN4" s="541"/>
      <c r="BO4" s="541"/>
      <c r="BP4" s="541"/>
      <c r="BQ4" s="541"/>
      <c r="BR4" s="541"/>
      <c r="BS4" s="541"/>
      <c r="BT4" s="541"/>
      <c r="BU4" s="541"/>
      <c r="BV4" s="541"/>
      <c r="BW4" s="541"/>
      <c r="BX4" s="541"/>
      <c r="BY4" s="541"/>
      <c r="BZ4" s="541"/>
      <c r="CA4" s="541"/>
      <c r="CB4" s="541"/>
      <c r="CC4" s="541"/>
      <c r="CD4" s="541"/>
      <c r="CE4" s="541"/>
      <c r="CF4" s="541"/>
      <c r="CG4" s="541"/>
      <c r="CH4" s="541"/>
      <c r="CI4" s="541"/>
      <c r="CJ4" s="541"/>
      <c r="CK4" s="541"/>
      <c r="CL4" s="541"/>
      <c r="CM4" s="541"/>
      <c r="CN4" s="541"/>
      <c r="CO4" s="541"/>
      <c r="CP4" s="541"/>
      <c r="CQ4" s="541"/>
      <c r="CR4" s="541"/>
      <c r="CS4" s="541"/>
      <c r="CT4" s="541"/>
      <c r="CU4" s="541"/>
      <c r="CV4" s="541"/>
      <c r="CW4" s="541"/>
      <c r="CX4" s="541"/>
      <c r="CY4" s="541"/>
      <c r="CZ4" s="541"/>
      <c r="DA4" s="541"/>
      <c r="DB4" s="541"/>
      <c r="DC4" s="541"/>
      <c r="DD4" s="541"/>
      <c r="DE4" s="541"/>
      <c r="DF4" s="541"/>
      <c r="DG4" s="541"/>
      <c r="DH4" s="541"/>
      <c r="DI4" s="541"/>
      <c r="DJ4" s="541"/>
      <c r="DK4" s="541"/>
      <c r="DL4" s="541"/>
      <c r="DM4" s="541"/>
      <c r="DN4" s="541"/>
      <c r="DO4" s="541"/>
      <c r="DP4" s="541"/>
      <c r="DQ4" s="541"/>
      <c r="DR4" s="541"/>
      <c r="DS4" s="541"/>
      <c r="DT4" s="541"/>
      <c r="DU4" s="541"/>
      <c r="DV4" s="541"/>
      <c r="DW4" s="541"/>
      <c r="DX4" s="541"/>
      <c r="DY4" s="541"/>
      <c r="DZ4" s="541"/>
      <c r="EA4" s="541"/>
      <c r="EB4" s="541"/>
      <c r="EC4" s="541"/>
      <c r="ED4" s="541"/>
      <c r="EE4" s="541"/>
      <c r="EF4" s="541"/>
      <c r="EG4" s="541"/>
      <c r="EH4" s="541"/>
      <c r="EI4" s="541"/>
      <c r="EJ4" s="541"/>
      <c r="EK4" s="541"/>
      <c r="EL4" s="541"/>
      <c r="EM4" s="541"/>
      <c r="EN4" s="541"/>
      <c r="EO4" s="541"/>
      <c r="EP4" s="541"/>
      <c r="EQ4" s="541"/>
      <c r="ER4" s="541"/>
      <c r="ES4" s="541"/>
      <c r="ET4" s="541"/>
      <c r="EU4" s="541"/>
    </row>
    <row r="5" spans="1:151" s="418" customFormat="1" ht="19.5" customHeight="1">
      <c r="A5" s="2493"/>
      <c r="B5" s="2493"/>
      <c r="C5" s="2493"/>
      <c r="D5" s="2493"/>
      <c r="E5" s="2493"/>
      <c r="F5" s="2493"/>
      <c r="G5" s="2493"/>
      <c r="H5" s="2493"/>
      <c r="I5" s="2493"/>
      <c r="J5" s="2493"/>
      <c r="K5" s="2493"/>
      <c r="L5" s="2493"/>
      <c r="M5" s="2493"/>
      <c r="N5" s="2493"/>
      <c r="O5" s="2493"/>
      <c r="P5" s="2493"/>
      <c r="Q5" s="2493"/>
      <c r="R5" s="2493"/>
      <c r="S5" s="2493"/>
      <c r="T5" s="2493"/>
      <c r="U5" s="2493"/>
      <c r="V5" s="2493"/>
      <c r="W5" s="2493"/>
      <c r="X5" s="2493"/>
      <c r="Y5" s="2493"/>
      <c r="Z5" s="2493"/>
      <c r="AA5" s="2493"/>
      <c r="AB5" s="2493"/>
      <c r="AC5" s="2493"/>
      <c r="AD5" s="2493"/>
      <c r="AE5" s="2493"/>
      <c r="AF5" s="2493"/>
      <c r="AG5" s="2493"/>
      <c r="AH5" s="2493"/>
      <c r="AI5" s="2493"/>
      <c r="AJ5" s="2493"/>
      <c r="AK5" s="2493"/>
      <c r="AL5" s="2493"/>
      <c r="AM5" s="2493"/>
      <c r="AN5" s="2493"/>
      <c r="AO5" s="2493"/>
      <c r="AP5" s="2493"/>
      <c r="AQ5" s="2493"/>
      <c r="AR5" s="2493"/>
      <c r="AS5" s="2493"/>
      <c r="AT5" s="2493"/>
      <c r="AU5" s="2493"/>
      <c r="AV5" s="2493"/>
      <c r="AW5" s="2493"/>
      <c r="AX5" s="2493"/>
      <c r="AY5" s="2493"/>
      <c r="AZ5" s="2493"/>
      <c r="BA5" s="2493"/>
      <c r="BB5" s="2493"/>
      <c r="BC5" s="2493"/>
      <c r="BD5" s="2493"/>
      <c r="BE5" s="2493"/>
      <c r="BF5" s="2493"/>
      <c r="BG5" s="2493"/>
      <c r="BH5" s="2493"/>
      <c r="BI5" s="2493"/>
      <c r="BJ5" s="2493"/>
      <c r="BK5" s="2493"/>
      <c r="BL5" s="2493"/>
      <c r="BM5" s="2493"/>
      <c r="BN5" s="2493"/>
      <c r="BO5" s="2493"/>
      <c r="BP5" s="2493"/>
      <c r="BQ5" s="2493"/>
      <c r="BR5" s="2493"/>
      <c r="BS5" s="2493"/>
      <c r="BT5" s="2493"/>
      <c r="BU5" s="2493"/>
      <c r="BV5" s="2493"/>
      <c r="BW5" s="2493"/>
      <c r="BX5" s="2493"/>
      <c r="BY5" s="2493"/>
      <c r="BZ5" s="2493"/>
      <c r="CA5" s="2493"/>
      <c r="CB5" s="2493"/>
      <c r="CC5" s="2493"/>
      <c r="CD5" s="2493"/>
      <c r="CE5" s="2493"/>
      <c r="CF5" s="2493"/>
      <c r="CG5" s="2493"/>
      <c r="CH5" s="2493"/>
      <c r="CI5" s="2493"/>
      <c r="CJ5" s="2493"/>
      <c r="CK5" s="2493"/>
      <c r="CL5" s="2493"/>
      <c r="CM5" s="2493"/>
      <c r="CN5" s="2493"/>
      <c r="CO5" s="2493"/>
      <c r="CP5" s="2493"/>
      <c r="CQ5" s="2493"/>
      <c r="CR5" s="2493"/>
      <c r="CS5" s="2493"/>
      <c r="CT5" s="2493"/>
      <c r="CU5" s="2493"/>
      <c r="CV5" s="2493"/>
      <c r="CW5" s="2493"/>
      <c r="CX5" s="2493"/>
      <c r="CY5" s="2493"/>
      <c r="CZ5" s="2493"/>
      <c r="DA5" s="2493"/>
      <c r="DB5" s="2493"/>
      <c r="DC5" s="2493"/>
      <c r="DD5" s="2493"/>
      <c r="DE5" s="2493"/>
      <c r="DF5" s="2493"/>
      <c r="DG5" s="2493"/>
      <c r="DH5" s="2493"/>
      <c r="DI5" s="2493"/>
      <c r="DJ5" s="2493"/>
      <c r="DK5" s="2493"/>
      <c r="DL5" s="2493"/>
      <c r="DM5" s="2493"/>
      <c r="DN5" s="2493"/>
      <c r="DO5" s="2493"/>
      <c r="DP5" s="2493"/>
      <c r="DQ5" s="2493"/>
      <c r="DR5" s="2493"/>
      <c r="DS5" s="2493"/>
      <c r="DT5" s="2493"/>
      <c r="DU5" s="2493"/>
      <c r="DV5" s="2493"/>
      <c r="DW5" s="2493"/>
      <c r="DX5" s="2493"/>
      <c r="DY5" s="2493"/>
      <c r="DZ5" s="2493"/>
      <c r="EA5" s="2493"/>
      <c r="EB5" s="2493"/>
      <c r="EC5" s="2493"/>
      <c r="ED5" s="2493"/>
      <c r="EE5" s="2493"/>
      <c r="EF5" s="2493"/>
      <c r="EG5" s="2493"/>
      <c r="EH5" s="2493"/>
      <c r="EI5" s="2493"/>
      <c r="EJ5" s="2493"/>
      <c r="EK5" s="2493"/>
      <c r="EL5" s="2493"/>
      <c r="EM5" s="2493"/>
      <c r="EN5" s="2493"/>
      <c r="EO5" s="2493"/>
      <c r="EP5" s="2493"/>
      <c r="EQ5" s="2493"/>
      <c r="ER5" s="2493"/>
      <c r="ES5" s="2493"/>
      <c r="ET5" s="2493"/>
      <c r="EU5" s="1912" t="s">
        <v>4088</v>
      </c>
    </row>
    <row r="6" spans="1:151" ht="36.75" customHeight="1">
      <c r="A6" s="1939"/>
      <c r="B6" s="2494">
        <v>2013</v>
      </c>
      <c r="C6" s="2494"/>
      <c r="D6" s="2494"/>
      <c r="E6" s="2494"/>
      <c r="F6" s="2494"/>
      <c r="G6" s="2494"/>
      <c r="H6" s="2494"/>
      <c r="I6" s="2494"/>
      <c r="J6" s="2494"/>
      <c r="K6" s="2494"/>
      <c r="L6" s="2494"/>
      <c r="M6" s="2494"/>
      <c r="N6" s="2494">
        <v>2014</v>
      </c>
      <c r="O6" s="2494"/>
      <c r="P6" s="2494"/>
      <c r="Q6" s="2494"/>
      <c r="R6" s="2494"/>
      <c r="S6" s="2494"/>
      <c r="T6" s="2494"/>
      <c r="U6" s="2494"/>
      <c r="V6" s="2494"/>
      <c r="W6" s="2494"/>
      <c r="X6" s="2494"/>
      <c r="Y6" s="2494"/>
      <c r="Z6" s="2494">
        <v>2015</v>
      </c>
      <c r="AA6" s="2494"/>
      <c r="AB6" s="2494"/>
      <c r="AC6" s="2494"/>
      <c r="AD6" s="2494"/>
      <c r="AE6" s="2494"/>
      <c r="AF6" s="2494"/>
      <c r="AG6" s="2494"/>
      <c r="AH6" s="2494"/>
      <c r="AI6" s="2494"/>
      <c r="AJ6" s="2494"/>
      <c r="AK6" s="2494"/>
      <c r="AL6" s="848">
        <v>2016</v>
      </c>
      <c r="AM6" s="848"/>
      <c r="AN6" s="848"/>
      <c r="AO6" s="848"/>
      <c r="AP6" s="848"/>
      <c r="AQ6" s="848"/>
      <c r="AR6" s="848"/>
      <c r="AS6" s="848"/>
      <c r="AT6" s="848"/>
      <c r="AU6" s="848"/>
      <c r="AV6" s="2494">
        <v>2016</v>
      </c>
      <c r="AW6" s="2494"/>
      <c r="AX6" s="848">
        <v>2017</v>
      </c>
      <c r="AY6" s="848"/>
      <c r="AZ6" s="848"/>
      <c r="BA6" s="848"/>
      <c r="BB6" s="848"/>
      <c r="BC6" s="848"/>
      <c r="BD6" s="848"/>
      <c r="BE6" s="848"/>
      <c r="BF6" s="848"/>
      <c r="BG6" s="848"/>
      <c r="BH6" s="888"/>
      <c r="BI6" s="951">
        <v>2017</v>
      </c>
      <c r="BJ6" s="889">
        <v>2018</v>
      </c>
      <c r="BK6" s="889"/>
      <c r="BL6" s="889"/>
      <c r="BM6" s="889"/>
      <c r="BN6" s="889"/>
      <c r="BO6" s="889"/>
      <c r="BP6" s="889"/>
      <c r="BQ6" s="889"/>
      <c r="BR6" s="889"/>
      <c r="BS6" s="889"/>
      <c r="BT6" s="889"/>
      <c r="BU6" s="951">
        <v>2018</v>
      </c>
      <c r="BV6" s="2495">
        <v>2019</v>
      </c>
      <c r="BW6" s="2495"/>
      <c r="BX6" s="2495"/>
      <c r="BY6" s="2495"/>
      <c r="BZ6" s="2495"/>
      <c r="CA6" s="2495"/>
      <c r="CB6" s="2495"/>
      <c r="CC6" s="2495"/>
      <c r="CD6" s="2495"/>
      <c r="CE6" s="2495"/>
      <c r="CF6" s="2495"/>
      <c r="CG6" s="2495"/>
      <c r="CH6" s="890">
        <v>2020</v>
      </c>
      <c r="CI6" s="890">
        <v>2020</v>
      </c>
      <c r="CJ6" s="890">
        <v>2020</v>
      </c>
      <c r="CK6" s="890">
        <v>2020</v>
      </c>
      <c r="CL6" s="890">
        <v>2020</v>
      </c>
      <c r="CM6" s="890">
        <v>2020</v>
      </c>
      <c r="CN6" s="890">
        <v>2020</v>
      </c>
      <c r="CO6" s="890">
        <v>2020</v>
      </c>
      <c r="CP6" s="890">
        <v>2020</v>
      </c>
      <c r="CQ6" s="890">
        <v>2020</v>
      </c>
      <c r="CR6" s="890">
        <v>2020</v>
      </c>
      <c r="CS6" s="890">
        <v>2020</v>
      </c>
      <c r="CT6" s="2496">
        <v>2021</v>
      </c>
      <c r="CU6" s="2497"/>
      <c r="CV6" s="2497"/>
      <c r="CW6" s="2497"/>
      <c r="CX6" s="2497"/>
      <c r="CY6" s="2497"/>
      <c r="CZ6" s="2497"/>
      <c r="DA6" s="2497"/>
      <c r="DB6" s="2497"/>
      <c r="DC6" s="2497"/>
      <c r="DD6" s="2497"/>
      <c r="DE6" s="2498"/>
      <c r="DF6" s="2499">
        <v>2022</v>
      </c>
      <c r="DG6" s="2497"/>
      <c r="DH6" s="2497"/>
      <c r="DI6" s="2497"/>
      <c r="DJ6" s="2497"/>
      <c r="DK6" s="2497"/>
      <c r="DL6" s="2497"/>
      <c r="DM6" s="2497"/>
      <c r="DN6" s="2497"/>
      <c r="DO6" s="2497"/>
      <c r="DP6" s="2497"/>
      <c r="DQ6" s="2498"/>
      <c r="DR6" s="2499">
        <v>2023</v>
      </c>
      <c r="DS6" s="2497"/>
      <c r="DT6" s="2497"/>
      <c r="DU6" s="2497"/>
      <c r="DV6" s="2497"/>
      <c r="DW6" s="2497"/>
      <c r="DX6" s="2497"/>
      <c r="DY6" s="2497"/>
      <c r="DZ6" s="2497"/>
      <c r="EA6" s="2497"/>
      <c r="EB6" s="2497"/>
      <c r="EC6" s="2498"/>
      <c r="ED6" s="2499">
        <v>2024</v>
      </c>
      <c r="EE6" s="2497"/>
      <c r="EF6" s="2497"/>
      <c r="EG6" s="2497"/>
      <c r="EH6" s="2497"/>
      <c r="EI6" s="2497"/>
      <c r="EJ6" s="2497"/>
      <c r="EK6" s="2497"/>
      <c r="EL6" s="2497"/>
      <c r="EM6" s="2497"/>
      <c r="EN6" s="2497"/>
      <c r="EO6" s="2498"/>
      <c r="EP6" s="2499">
        <v>2025</v>
      </c>
      <c r="EQ6" s="2497"/>
      <c r="ER6" s="2497"/>
      <c r="ES6" s="2497"/>
      <c r="ET6" s="2498"/>
      <c r="EU6" s="1942"/>
    </row>
    <row r="7" spans="1:151" ht="36.75" customHeight="1">
      <c r="A7" s="2489"/>
      <c r="B7" s="849" t="s">
        <v>1961</v>
      </c>
      <c r="C7" s="849" t="s">
        <v>1972</v>
      </c>
      <c r="D7" s="849" t="s">
        <v>1971</v>
      </c>
      <c r="E7" s="849" t="s">
        <v>1970</v>
      </c>
      <c r="F7" s="849" t="s">
        <v>1969</v>
      </c>
      <c r="G7" s="849" t="s">
        <v>1968</v>
      </c>
      <c r="H7" s="849" t="s">
        <v>1967</v>
      </c>
      <c r="I7" s="849" t="s">
        <v>1966</v>
      </c>
      <c r="J7" s="849" t="s">
        <v>1965</v>
      </c>
      <c r="K7" s="849" t="s">
        <v>1964</v>
      </c>
      <c r="L7" s="849" t="s">
        <v>1963</v>
      </c>
      <c r="M7" s="849" t="s">
        <v>1962</v>
      </c>
      <c r="N7" s="849" t="s">
        <v>1961</v>
      </c>
      <c r="O7" s="849" t="s">
        <v>1972</v>
      </c>
      <c r="P7" s="849" t="s">
        <v>1971</v>
      </c>
      <c r="Q7" s="849" t="s">
        <v>1970</v>
      </c>
      <c r="R7" s="849" t="s">
        <v>1969</v>
      </c>
      <c r="S7" s="849" t="s">
        <v>1968</v>
      </c>
      <c r="T7" s="849" t="s">
        <v>1967</v>
      </c>
      <c r="U7" s="849" t="s">
        <v>1966</v>
      </c>
      <c r="V7" s="849" t="s">
        <v>1965</v>
      </c>
      <c r="W7" s="849" t="s">
        <v>1964</v>
      </c>
      <c r="X7" s="849" t="s">
        <v>1963</v>
      </c>
      <c r="Y7" s="849" t="s">
        <v>1962</v>
      </c>
      <c r="Z7" s="849" t="s">
        <v>1961</v>
      </c>
      <c r="AA7" s="849" t="s">
        <v>1972</v>
      </c>
      <c r="AB7" s="849" t="s">
        <v>1971</v>
      </c>
      <c r="AC7" s="849" t="s">
        <v>1970</v>
      </c>
      <c r="AD7" s="849" t="s">
        <v>1969</v>
      </c>
      <c r="AE7" s="849" t="s">
        <v>1973</v>
      </c>
      <c r="AF7" s="849" t="s">
        <v>1967</v>
      </c>
      <c r="AG7" s="849" t="s">
        <v>1966</v>
      </c>
      <c r="AH7" s="849" t="s">
        <v>1965</v>
      </c>
      <c r="AI7" s="849" t="s">
        <v>1964</v>
      </c>
      <c r="AJ7" s="849" t="s">
        <v>1963</v>
      </c>
      <c r="AK7" s="849" t="s">
        <v>1962</v>
      </c>
      <c r="AL7" s="849" t="s">
        <v>1961</v>
      </c>
      <c r="AM7" s="849" t="s">
        <v>1972</v>
      </c>
      <c r="AN7" s="849" t="s">
        <v>1971</v>
      </c>
      <c r="AO7" s="849" t="s">
        <v>1970</v>
      </c>
      <c r="AP7" s="849" t="s">
        <v>1969</v>
      </c>
      <c r="AQ7" s="849" t="s">
        <v>1968</v>
      </c>
      <c r="AR7" s="849" t="s">
        <v>1967</v>
      </c>
      <c r="AS7" s="849" t="s">
        <v>1966</v>
      </c>
      <c r="AT7" s="849" t="s">
        <v>1965</v>
      </c>
      <c r="AU7" s="849" t="s">
        <v>1964</v>
      </c>
      <c r="AV7" s="849" t="s">
        <v>1963</v>
      </c>
      <c r="AW7" s="849" t="s">
        <v>1962</v>
      </c>
      <c r="AX7" s="849" t="s">
        <v>1961</v>
      </c>
      <c r="AY7" s="849" t="s">
        <v>1960</v>
      </c>
      <c r="AZ7" s="849" t="s">
        <v>1959</v>
      </c>
      <c r="BA7" s="849" t="s">
        <v>1958</v>
      </c>
      <c r="BB7" s="849" t="s">
        <v>1978</v>
      </c>
      <c r="BC7" s="849" t="s">
        <v>1979</v>
      </c>
      <c r="BD7" s="849" t="s">
        <v>1988</v>
      </c>
      <c r="BE7" s="849" t="s">
        <v>1998</v>
      </c>
      <c r="BF7" s="849" t="s">
        <v>2008</v>
      </c>
      <c r="BG7" s="849" t="s">
        <v>2021</v>
      </c>
      <c r="BH7" s="884" t="s">
        <v>2032</v>
      </c>
      <c r="BI7" s="906" t="s">
        <v>1962</v>
      </c>
      <c r="BJ7" s="906" t="s">
        <v>1961</v>
      </c>
      <c r="BK7" s="906" t="s">
        <v>1960</v>
      </c>
      <c r="BL7" s="906" t="s">
        <v>1959</v>
      </c>
      <c r="BM7" s="906" t="s">
        <v>1958</v>
      </c>
      <c r="BN7" s="906" t="s">
        <v>1978</v>
      </c>
      <c r="BO7" s="906" t="s">
        <v>1979</v>
      </c>
      <c r="BP7" s="906" t="s">
        <v>1988</v>
      </c>
      <c r="BQ7" s="906" t="s">
        <v>1998</v>
      </c>
      <c r="BR7" s="906" t="s">
        <v>2008</v>
      </c>
      <c r="BS7" s="906" t="s">
        <v>2021</v>
      </c>
      <c r="BT7" s="906" t="s">
        <v>2032</v>
      </c>
      <c r="BU7" s="906" t="s">
        <v>1962</v>
      </c>
      <c r="BV7" s="906" t="s">
        <v>1961</v>
      </c>
      <c r="BW7" s="906" t="s">
        <v>1960</v>
      </c>
      <c r="BX7" s="906" t="s">
        <v>1959</v>
      </c>
      <c r="BY7" s="906" t="s">
        <v>1958</v>
      </c>
      <c r="BZ7" s="906" t="s">
        <v>1978</v>
      </c>
      <c r="CA7" s="906" t="s">
        <v>1979</v>
      </c>
      <c r="CB7" s="906" t="s">
        <v>1988</v>
      </c>
      <c r="CC7" s="906" t="s">
        <v>1998</v>
      </c>
      <c r="CD7" s="906" t="s">
        <v>2008</v>
      </c>
      <c r="CE7" s="906" t="s">
        <v>2021</v>
      </c>
      <c r="CF7" s="906" t="s">
        <v>2032</v>
      </c>
      <c r="CG7" s="906" t="s">
        <v>1962</v>
      </c>
      <c r="CH7" s="906" t="s">
        <v>1961</v>
      </c>
      <c r="CI7" s="906" t="s">
        <v>1960</v>
      </c>
      <c r="CJ7" s="906" t="s">
        <v>1959</v>
      </c>
      <c r="CK7" s="906" t="s">
        <v>1958</v>
      </c>
      <c r="CL7" s="906" t="s">
        <v>1978</v>
      </c>
      <c r="CM7" s="906" t="s">
        <v>2426</v>
      </c>
      <c r="CN7" s="906" t="s">
        <v>2432</v>
      </c>
      <c r="CO7" s="906" t="s">
        <v>1998</v>
      </c>
      <c r="CP7" s="906" t="s">
        <v>2008</v>
      </c>
      <c r="CQ7" s="906" t="s">
        <v>2021</v>
      </c>
      <c r="CR7" s="906" t="s">
        <v>2032</v>
      </c>
      <c r="CS7" s="906" t="s">
        <v>1962</v>
      </c>
      <c r="CT7" s="906" t="s">
        <v>1961</v>
      </c>
      <c r="CU7" s="906" t="s">
        <v>1960</v>
      </c>
      <c r="CV7" s="906" t="s">
        <v>1959</v>
      </c>
      <c r="CW7" s="906" t="s">
        <v>1958</v>
      </c>
      <c r="CX7" s="906" t="s">
        <v>1978</v>
      </c>
      <c r="CY7" s="906" t="s">
        <v>1979</v>
      </c>
      <c r="CZ7" s="906" t="s">
        <v>1988</v>
      </c>
      <c r="DA7" s="906" t="s">
        <v>1998</v>
      </c>
      <c r="DB7" s="906" t="s">
        <v>2655</v>
      </c>
      <c r="DC7" s="906" t="s">
        <v>2021</v>
      </c>
      <c r="DD7" s="906" t="s">
        <v>2032</v>
      </c>
      <c r="DE7" s="906" t="s">
        <v>1962</v>
      </c>
      <c r="DF7" s="906" t="s">
        <v>1961</v>
      </c>
      <c r="DG7" s="906" t="s">
        <v>1960</v>
      </c>
      <c r="DH7" s="906" t="s">
        <v>1959</v>
      </c>
      <c r="DI7" s="906" t="s">
        <v>1958</v>
      </c>
      <c r="DJ7" s="906" t="s">
        <v>1978</v>
      </c>
      <c r="DK7" s="906" t="s">
        <v>1979</v>
      </c>
      <c r="DL7" s="906" t="s">
        <v>1988</v>
      </c>
      <c r="DM7" s="906" t="s">
        <v>1998</v>
      </c>
      <c r="DN7" s="906" t="s">
        <v>2008</v>
      </c>
      <c r="DO7" s="906" t="s">
        <v>2021</v>
      </c>
      <c r="DP7" s="906" t="s">
        <v>2032</v>
      </c>
      <c r="DQ7" s="906" t="s">
        <v>1962</v>
      </c>
      <c r="DR7" s="906" t="s">
        <v>1961</v>
      </c>
      <c r="DS7" s="906" t="s">
        <v>1960</v>
      </c>
      <c r="DT7" s="906" t="s">
        <v>1959</v>
      </c>
      <c r="DU7" s="906" t="s">
        <v>1958</v>
      </c>
      <c r="DV7" s="906" t="s">
        <v>1978</v>
      </c>
      <c r="DW7" s="906" t="s">
        <v>1979</v>
      </c>
      <c r="DX7" s="906" t="s">
        <v>1988</v>
      </c>
      <c r="DY7" s="906" t="s">
        <v>1998</v>
      </c>
      <c r="DZ7" s="906" t="s">
        <v>2008</v>
      </c>
      <c r="EA7" s="906" t="s">
        <v>2021</v>
      </c>
      <c r="EB7" s="906" t="s">
        <v>2032</v>
      </c>
      <c r="EC7" s="906" t="s">
        <v>1962</v>
      </c>
      <c r="ED7" s="906" t="s">
        <v>1961</v>
      </c>
      <c r="EE7" s="906" t="s">
        <v>1960</v>
      </c>
      <c r="EF7" s="906" t="s">
        <v>1959</v>
      </c>
      <c r="EG7" s="906" t="s">
        <v>1958</v>
      </c>
      <c r="EH7" s="906" t="s">
        <v>1978</v>
      </c>
      <c r="EI7" s="906" t="s">
        <v>1979</v>
      </c>
      <c r="EJ7" s="906" t="s">
        <v>1988</v>
      </c>
      <c r="EK7" s="906" t="s">
        <v>1998</v>
      </c>
      <c r="EL7" s="906" t="s">
        <v>2008</v>
      </c>
      <c r="EM7" s="906" t="s">
        <v>2021</v>
      </c>
      <c r="EN7" s="906" t="s">
        <v>2032</v>
      </c>
      <c r="EO7" s="906" t="s">
        <v>1962</v>
      </c>
      <c r="EP7" s="906" t="s">
        <v>1961</v>
      </c>
      <c r="EQ7" s="906" t="s">
        <v>1960</v>
      </c>
      <c r="ER7" s="906" t="s">
        <v>1959</v>
      </c>
      <c r="ES7" s="906" t="s">
        <v>1958</v>
      </c>
      <c r="ET7" s="906" t="s">
        <v>1978</v>
      </c>
      <c r="EU7" s="2491"/>
    </row>
    <row r="8" spans="1:151" s="334" customFormat="1" ht="39.75" customHeight="1">
      <c r="A8" s="2490"/>
      <c r="B8" s="1935"/>
      <c r="C8" s="1935"/>
      <c r="D8" s="1935"/>
      <c r="E8" s="1935"/>
      <c r="F8" s="1935"/>
      <c r="G8" s="1935"/>
      <c r="H8" s="1935"/>
      <c r="I8" s="1935"/>
      <c r="J8" s="1935"/>
      <c r="K8" s="1935"/>
      <c r="L8" s="1935"/>
      <c r="M8" s="1935"/>
      <c r="N8" s="1935"/>
      <c r="O8" s="1935"/>
      <c r="P8" s="1935"/>
      <c r="Q8" s="1935"/>
      <c r="R8" s="1935"/>
      <c r="S8" s="1935"/>
      <c r="T8" s="1935"/>
      <c r="U8" s="1935"/>
      <c r="V8" s="1935"/>
      <c r="W8" s="1935"/>
      <c r="X8" s="1935"/>
      <c r="Y8" s="1935"/>
      <c r="Z8" s="1935"/>
      <c r="AA8" s="1935"/>
      <c r="AB8" s="1935"/>
      <c r="AC8" s="1935"/>
      <c r="AD8" s="1935"/>
      <c r="AE8" s="1935"/>
      <c r="AF8" s="1935"/>
      <c r="AG8" s="1935"/>
      <c r="AH8" s="1935"/>
      <c r="AI8" s="1935"/>
      <c r="AJ8" s="1935"/>
      <c r="AK8" s="1935"/>
      <c r="AL8" s="1935"/>
      <c r="AM8" s="1935"/>
      <c r="AN8" s="1935"/>
      <c r="AO8" s="1935"/>
      <c r="AP8" s="1935"/>
      <c r="AQ8" s="1935"/>
      <c r="AR8" s="1935"/>
      <c r="AS8" s="1935"/>
      <c r="AT8" s="1935"/>
      <c r="AU8" s="1935"/>
      <c r="AV8" s="1935"/>
      <c r="AW8" s="1935"/>
      <c r="AX8" s="1935"/>
      <c r="AY8" s="1935"/>
      <c r="AZ8" s="1935"/>
      <c r="BA8" s="1935"/>
      <c r="BB8" s="1935"/>
      <c r="BC8" s="1935"/>
      <c r="BD8" s="1935"/>
      <c r="BE8" s="1935"/>
      <c r="BF8" s="1935"/>
      <c r="BG8" s="1936"/>
      <c r="BH8" s="1937"/>
      <c r="BI8" s="1938" t="s">
        <v>3191</v>
      </c>
      <c r="BJ8" s="1938"/>
      <c r="BK8" s="1938"/>
      <c r="BL8" s="1938"/>
      <c r="BM8" s="1938"/>
      <c r="BN8" s="1938"/>
      <c r="BO8" s="1938"/>
      <c r="BP8" s="1938"/>
      <c r="BQ8" s="1938"/>
      <c r="BR8" s="1938"/>
      <c r="BS8" s="1938"/>
      <c r="BT8" s="1938"/>
      <c r="BU8" s="1938" t="s">
        <v>3191</v>
      </c>
      <c r="BV8" s="1938"/>
      <c r="BW8" s="1938"/>
      <c r="BX8" s="1938"/>
      <c r="BY8" s="1938"/>
      <c r="BZ8" s="1938"/>
      <c r="CA8" s="1938"/>
      <c r="CB8" s="1938"/>
      <c r="CC8" s="1938"/>
      <c r="CD8" s="1938"/>
      <c r="CE8" s="1938"/>
      <c r="CF8" s="1938"/>
      <c r="CG8" s="1938" t="s">
        <v>3191</v>
      </c>
      <c r="CH8" s="1938"/>
      <c r="CI8" s="1938"/>
      <c r="CJ8" s="1938"/>
      <c r="CK8" s="1938"/>
      <c r="CL8" s="1938"/>
      <c r="CM8" s="1938"/>
      <c r="CN8" s="1938"/>
      <c r="CO8" s="1938"/>
      <c r="CP8" s="1938"/>
      <c r="CQ8" s="1938"/>
      <c r="CR8" s="1938"/>
      <c r="CS8" s="1938" t="s">
        <v>3191</v>
      </c>
      <c r="CT8" s="1938"/>
      <c r="CU8" s="1938"/>
      <c r="CV8" s="1938"/>
      <c r="CW8" s="1938"/>
      <c r="CX8" s="1938"/>
      <c r="CY8" s="1938"/>
      <c r="CZ8" s="1938"/>
      <c r="DA8" s="1938"/>
      <c r="DB8" s="1938"/>
      <c r="DC8" s="1938"/>
      <c r="DD8" s="1938"/>
      <c r="DE8" s="1938" t="s">
        <v>3191</v>
      </c>
      <c r="DF8" s="1938"/>
      <c r="DG8" s="1938"/>
      <c r="DH8" s="1938"/>
      <c r="DI8" s="1938"/>
      <c r="DJ8" s="1938"/>
      <c r="DK8" s="1938"/>
      <c r="DL8" s="1938"/>
      <c r="DM8" s="1938"/>
      <c r="DN8" s="1938"/>
      <c r="DO8" s="1938"/>
      <c r="DP8" s="1938"/>
      <c r="DQ8" s="1938" t="s">
        <v>3191</v>
      </c>
      <c r="DR8" s="1938"/>
      <c r="DS8" s="1938"/>
      <c r="DT8" s="1938"/>
      <c r="DU8" s="1938"/>
      <c r="DV8" s="1938"/>
      <c r="DW8" s="1938"/>
      <c r="DX8" s="1938"/>
      <c r="DY8" s="1938"/>
      <c r="DZ8" s="1938"/>
      <c r="EA8" s="1938"/>
      <c r="EB8" s="1938"/>
      <c r="EC8" s="1938" t="s">
        <v>3191</v>
      </c>
      <c r="ED8" s="1938" t="s">
        <v>3120</v>
      </c>
      <c r="EE8" s="1938" t="s">
        <v>3121</v>
      </c>
      <c r="EF8" s="1938" t="s">
        <v>3122</v>
      </c>
      <c r="EG8" s="1938" t="s">
        <v>3123</v>
      </c>
      <c r="EH8" s="1938" t="s">
        <v>1978</v>
      </c>
      <c r="EI8" s="1938" t="s">
        <v>3124</v>
      </c>
      <c r="EJ8" s="1938" t="s">
        <v>3125</v>
      </c>
      <c r="EK8" s="1938" t="s">
        <v>3126</v>
      </c>
      <c r="EL8" s="1938" t="s">
        <v>3127</v>
      </c>
      <c r="EM8" s="1938" t="s">
        <v>3190</v>
      </c>
      <c r="EN8" s="1938" t="s">
        <v>3424</v>
      </c>
      <c r="EO8" s="1938" t="s">
        <v>3191</v>
      </c>
      <c r="EP8" s="1938" t="s">
        <v>3120</v>
      </c>
      <c r="EQ8" s="1938" t="s">
        <v>3121</v>
      </c>
      <c r="ER8" s="1938" t="s">
        <v>3122</v>
      </c>
      <c r="ES8" s="1938" t="s">
        <v>3123</v>
      </c>
      <c r="ET8" s="1938" t="s">
        <v>1978</v>
      </c>
      <c r="EU8" s="2492"/>
    </row>
    <row r="9" spans="1:151" ht="21">
      <c r="A9" s="1930" t="s">
        <v>2755</v>
      </c>
      <c r="B9" s="850">
        <v>2545.2802623900002</v>
      </c>
      <c r="C9" s="850">
        <v>2061.7468417099999</v>
      </c>
      <c r="D9" s="850">
        <v>2091.2889946699997</v>
      </c>
      <c r="E9" s="850">
        <v>2109.2477075500001</v>
      </c>
      <c r="F9" s="850">
        <v>2131.6553745599999</v>
      </c>
      <c r="G9" s="850">
        <v>2161.65420786</v>
      </c>
      <c r="H9" s="850">
        <v>2166.3154032599996</v>
      </c>
      <c r="I9" s="850">
        <v>2206.2575045100002</v>
      </c>
      <c r="J9" s="850">
        <v>2196.72959614</v>
      </c>
      <c r="K9" s="850">
        <v>2226.3389585700002</v>
      </c>
      <c r="L9" s="850">
        <v>2243.1629202000004</v>
      </c>
      <c r="M9" s="840">
        <v>2219.2283902700001</v>
      </c>
      <c r="N9" s="840">
        <v>2210.9896951999999</v>
      </c>
      <c r="O9" s="840">
        <v>2240.14235426</v>
      </c>
      <c r="P9" s="840">
        <v>2272.40865102</v>
      </c>
      <c r="Q9" s="840">
        <v>2321.8739110800002</v>
      </c>
      <c r="R9" s="840">
        <v>2385.2508984700003</v>
      </c>
      <c r="S9" s="840">
        <v>2428.4529536400005</v>
      </c>
      <c r="T9" s="840">
        <v>2458.2199005100001</v>
      </c>
      <c r="U9" s="840">
        <v>2488.34812272</v>
      </c>
      <c r="V9" s="840">
        <v>2535.67808719</v>
      </c>
      <c r="W9" s="840">
        <v>2540.11589288</v>
      </c>
      <c r="X9" s="840">
        <v>2592.1318579399999</v>
      </c>
      <c r="Y9" s="840">
        <v>2680.0801637600002</v>
      </c>
      <c r="Z9" s="840">
        <v>2648.2543647099997</v>
      </c>
      <c r="AA9" s="840">
        <v>2971.2822920100002</v>
      </c>
      <c r="AB9" s="840">
        <v>2947.4025940699999</v>
      </c>
      <c r="AC9" s="840">
        <v>2959.6171893400006</v>
      </c>
      <c r="AD9" s="840">
        <v>2911.0506619300004</v>
      </c>
      <c r="AE9" s="840">
        <v>2887.6607627200001</v>
      </c>
      <c r="AF9" s="840">
        <v>2862.1415149800005</v>
      </c>
      <c r="AG9" s="840">
        <v>2848.7809637700002</v>
      </c>
      <c r="AH9" s="840">
        <v>2434.07461939</v>
      </c>
      <c r="AI9" s="840">
        <v>2545.9615709599998</v>
      </c>
      <c r="AJ9" s="840">
        <v>2534.4815229100004</v>
      </c>
      <c r="AK9" s="840">
        <v>3157.3044150599999</v>
      </c>
      <c r="AL9" s="840">
        <v>2912.0296419199999</v>
      </c>
      <c r="AM9" s="840">
        <v>2856.1714261600005</v>
      </c>
      <c r="AN9" s="840">
        <v>2799.5562245900001</v>
      </c>
      <c r="AO9" s="840">
        <v>2675.8283182199998</v>
      </c>
      <c r="AP9" s="840">
        <v>2619.5450756</v>
      </c>
      <c r="AQ9" s="840">
        <v>2680.5901613400001</v>
      </c>
      <c r="AR9" s="840">
        <v>2564.5300578299998</v>
      </c>
      <c r="AS9" s="840">
        <v>2503.2051395399999</v>
      </c>
      <c r="AT9" s="840">
        <v>2554.6688971200001</v>
      </c>
      <c r="AU9" s="840">
        <v>2482.4186583199998</v>
      </c>
      <c r="AV9" s="840">
        <v>2382.0426857900002</v>
      </c>
      <c r="AW9" s="840">
        <v>2466.1209143400001</v>
      </c>
      <c r="AX9" s="840">
        <v>2430.8938365399999</v>
      </c>
      <c r="AY9" s="840">
        <v>2312.0636114500003</v>
      </c>
      <c r="AZ9" s="840">
        <v>2207.6584723000001</v>
      </c>
      <c r="BA9" s="840">
        <v>2194.6563012500001</v>
      </c>
      <c r="BB9" s="840">
        <v>2187.5608126100001</v>
      </c>
      <c r="BC9" s="840">
        <v>2173.1752837500003</v>
      </c>
      <c r="BD9" s="840">
        <v>2137.0045377900001</v>
      </c>
      <c r="BE9" s="840">
        <v>2083.4093307000003</v>
      </c>
      <c r="BF9" s="840">
        <v>2176.8072253</v>
      </c>
      <c r="BG9" s="840">
        <v>2104.0158762599999</v>
      </c>
      <c r="BH9" s="885">
        <v>2091.4603310099997</v>
      </c>
      <c r="BI9" s="874">
        <v>2055.0724328000001</v>
      </c>
      <c r="BJ9" s="874">
        <v>2016.2785655200003</v>
      </c>
      <c r="BK9" s="874">
        <v>1984.4978217599999</v>
      </c>
      <c r="BL9" s="874">
        <v>1986.7088693000001</v>
      </c>
      <c r="BM9" s="874">
        <v>1975.1988343</v>
      </c>
      <c r="BN9" s="874">
        <v>1982.2242698800001</v>
      </c>
      <c r="BO9" s="874">
        <v>2022.7014435700003</v>
      </c>
      <c r="BP9" s="874">
        <v>2013.6922771500001</v>
      </c>
      <c r="BQ9" s="874">
        <v>2031.8779201299999</v>
      </c>
      <c r="BR9" s="874">
        <v>2061.7102180500001</v>
      </c>
      <c r="BS9" s="874">
        <v>2057.1696781199998</v>
      </c>
      <c r="BT9" s="874">
        <v>2075.5315256800004</v>
      </c>
      <c r="BU9" s="874">
        <v>2370.73479671</v>
      </c>
      <c r="BV9" s="874">
        <v>2263.8090061399998</v>
      </c>
      <c r="BW9" s="874">
        <v>2284.6553790399998</v>
      </c>
      <c r="BX9" s="874">
        <v>2301.7151081399998</v>
      </c>
      <c r="BY9" s="874">
        <v>2263.9712495800004</v>
      </c>
      <c r="BZ9" s="874">
        <v>2276.8219025500002</v>
      </c>
      <c r="CA9" s="874">
        <v>2293.1630829699998</v>
      </c>
      <c r="CB9" s="874">
        <v>2279.0723337700001</v>
      </c>
      <c r="CC9" s="874">
        <v>2287.9956283699998</v>
      </c>
      <c r="CD9" s="874">
        <v>2372.6289579099998</v>
      </c>
      <c r="CE9" s="874">
        <v>2403.9295606699998</v>
      </c>
      <c r="CF9" s="874">
        <v>2327.1678500899998</v>
      </c>
      <c r="CG9" s="874">
        <v>2478.6897817899999</v>
      </c>
      <c r="CH9" s="874">
        <v>2414.2416905399996</v>
      </c>
      <c r="CI9" s="874">
        <v>2509.13364744</v>
      </c>
      <c r="CJ9" s="874">
        <v>2491.16302649</v>
      </c>
      <c r="CK9" s="874">
        <v>2438.4841425700001</v>
      </c>
      <c r="CL9" s="874">
        <v>2397.2323801900002</v>
      </c>
      <c r="CM9" s="874">
        <v>2378.5687752399999</v>
      </c>
      <c r="CN9" s="874">
        <v>2362.6748973000003</v>
      </c>
      <c r="CO9" s="874">
        <v>2378.7448912700002</v>
      </c>
      <c r="CP9" s="874">
        <v>2481.0149246299998</v>
      </c>
      <c r="CQ9" s="874">
        <v>2532.0973747600001</v>
      </c>
      <c r="CR9" s="874">
        <v>2579.8380709799999</v>
      </c>
      <c r="CS9" s="874">
        <v>2598.7064799199998</v>
      </c>
      <c r="CT9" s="874">
        <v>2599.13769533</v>
      </c>
      <c r="CU9" s="874">
        <v>2504.10766956</v>
      </c>
      <c r="CV9" s="874">
        <v>2507.9805126299998</v>
      </c>
      <c r="CW9" s="874">
        <v>2549.8556796299999</v>
      </c>
      <c r="CX9" s="874">
        <v>2551.2740627100002</v>
      </c>
      <c r="CY9" s="874">
        <v>2549.45211036</v>
      </c>
      <c r="CZ9" s="874">
        <v>2551.4528833899999</v>
      </c>
      <c r="DA9" s="874">
        <v>2539.6236270300001</v>
      </c>
      <c r="DB9" s="874">
        <v>2570.6308972100001</v>
      </c>
      <c r="DC9" s="874">
        <v>2777.5857918800002</v>
      </c>
      <c r="DD9" s="874">
        <v>2859.9485050799999</v>
      </c>
      <c r="DE9" s="874">
        <v>2982.27763271</v>
      </c>
      <c r="DF9" s="874">
        <v>2960.8306106</v>
      </c>
      <c r="DG9" s="874">
        <v>3029.3681515600001</v>
      </c>
      <c r="DH9" s="874">
        <v>3069.5291242100002</v>
      </c>
      <c r="DI9" s="874">
        <v>3126.6944463599998</v>
      </c>
      <c r="DJ9" s="874">
        <v>3130.2660092400001</v>
      </c>
      <c r="DK9" s="874">
        <v>3141.3452931400002</v>
      </c>
      <c r="DL9" s="874">
        <v>3106.4631285099999</v>
      </c>
      <c r="DM9" s="874">
        <v>3122.5418065899999</v>
      </c>
      <c r="DN9" s="874">
        <v>3194.685129</v>
      </c>
      <c r="DO9" s="874">
        <v>3262.3167929400001</v>
      </c>
      <c r="DP9" s="874">
        <v>3332.2321433699999</v>
      </c>
      <c r="DQ9" s="874">
        <v>3293.35058394</v>
      </c>
      <c r="DR9" s="874">
        <v>3237.8077508000001</v>
      </c>
      <c r="DS9" s="874">
        <v>3233.9765252699999</v>
      </c>
      <c r="DT9" s="874">
        <v>3284.0716008600002</v>
      </c>
      <c r="DU9" s="874">
        <v>3329.8905477399999</v>
      </c>
      <c r="DV9" s="874">
        <v>3346.6835495</v>
      </c>
      <c r="DW9" s="874">
        <v>3400.0921406000002</v>
      </c>
      <c r="DX9" s="874">
        <v>3362.6243152799998</v>
      </c>
      <c r="DY9" s="874">
        <v>3406.8716277600001</v>
      </c>
      <c r="DZ9" s="874">
        <v>3486.7570254299999</v>
      </c>
      <c r="EA9" s="874">
        <v>3433.6060745200002</v>
      </c>
      <c r="EB9" s="874">
        <v>3505.5060087699999</v>
      </c>
      <c r="EC9" s="874">
        <v>3476.8485448800002</v>
      </c>
      <c r="ED9" s="874">
        <v>3444.1798715599998</v>
      </c>
      <c r="EE9" s="874">
        <v>3495.0056662299999</v>
      </c>
      <c r="EF9" s="874">
        <v>3666.9534031200001</v>
      </c>
      <c r="EG9" s="874">
        <v>3711.7674126299999</v>
      </c>
      <c r="EH9" s="874">
        <v>3775.4744507099999</v>
      </c>
      <c r="EI9" s="874">
        <v>3817.1343310799998</v>
      </c>
      <c r="EJ9" s="874">
        <v>3815.3547920000001</v>
      </c>
      <c r="EK9" s="874">
        <v>3781.8794767099998</v>
      </c>
      <c r="EL9" s="874">
        <v>3970.3546434</v>
      </c>
      <c r="EM9" s="874">
        <v>3952.19427662</v>
      </c>
      <c r="EN9" s="874">
        <v>3989.0245798000001</v>
      </c>
      <c r="EO9" s="874">
        <v>4075.6535540899999</v>
      </c>
      <c r="EP9" s="874">
        <v>3997.6815154699998</v>
      </c>
      <c r="EQ9" s="874">
        <v>4055.37194645</v>
      </c>
      <c r="ER9" s="874">
        <v>4056.3704750000002</v>
      </c>
      <c r="ES9" s="874">
        <v>4039.1641089899999</v>
      </c>
      <c r="ET9" s="874">
        <v>4101.0017712700001</v>
      </c>
      <c r="EU9" s="1918" t="s">
        <v>1159</v>
      </c>
    </row>
    <row r="10" spans="1:151" ht="21">
      <c r="A10" s="1931" t="s">
        <v>1974</v>
      </c>
      <c r="B10" s="851">
        <v>210.72833975000003</v>
      </c>
      <c r="C10" s="851">
        <v>201.05194611000002</v>
      </c>
      <c r="D10" s="851">
        <v>200.77101477000002</v>
      </c>
      <c r="E10" s="851">
        <v>182.57117439000001</v>
      </c>
      <c r="F10" s="851">
        <v>182.31003233999999</v>
      </c>
      <c r="G10" s="851">
        <v>181.90070266000001</v>
      </c>
      <c r="H10" s="851">
        <v>163.44056279</v>
      </c>
      <c r="I10" s="851">
        <v>163.60144422000002</v>
      </c>
      <c r="J10" s="851">
        <v>145.77561133</v>
      </c>
      <c r="K10" s="851">
        <v>143.84403387</v>
      </c>
      <c r="L10" s="851">
        <v>143.75529684999998</v>
      </c>
      <c r="M10" s="843">
        <v>127.61027175000001</v>
      </c>
      <c r="N10" s="843">
        <v>127.48503804999999</v>
      </c>
      <c r="O10" s="843">
        <v>127.75840142</v>
      </c>
      <c r="P10" s="843">
        <v>112.34727477999999</v>
      </c>
      <c r="Q10" s="843">
        <v>114.17179481000001</v>
      </c>
      <c r="R10" s="843">
        <v>113.13557847</v>
      </c>
      <c r="S10" s="843">
        <v>95.009887490000011</v>
      </c>
      <c r="T10" s="843">
        <v>93.125419820000005</v>
      </c>
      <c r="U10" s="843">
        <v>93.076374579999992</v>
      </c>
      <c r="V10" s="843">
        <v>93.026645209999984</v>
      </c>
      <c r="W10" s="843">
        <v>92.965047209999994</v>
      </c>
      <c r="X10" s="843">
        <v>92.131315860000001</v>
      </c>
      <c r="Y10" s="843">
        <v>91.94710164</v>
      </c>
      <c r="Z10" s="843">
        <v>91.813687250000001</v>
      </c>
      <c r="AA10" s="843">
        <v>121.87857197</v>
      </c>
      <c r="AB10" s="843">
        <v>121.75668434000001</v>
      </c>
      <c r="AC10" s="843">
        <v>121.73516959</v>
      </c>
      <c r="AD10" s="843">
        <v>121.80862947</v>
      </c>
      <c r="AE10" s="843">
        <v>121.64354408999999</v>
      </c>
      <c r="AF10" s="843">
        <v>121.80281561000001</v>
      </c>
      <c r="AG10" s="843">
        <v>121.58338336999999</v>
      </c>
      <c r="AH10" s="843">
        <v>121.73925660999998</v>
      </c>
      <c r="AI10" s="843">
        <v>122.20909334000001</v>
      </c>
      <c r="AJ10" s="843">
        <v>121.71696152</v>
      </c>
      <c r="AK10" s="843">
        <v>178.34354354000001</v>
      </c>
      <c r="AL10" s="843">
        <v>179.82826930999997</v>
      </c>
      <c r="AM10" s="843">
        <v>173.59997388000002</v>
      </c>
      <c r="AN10" s="843">
        <v>171.10552432</v>
      </c>
      <c r="AO10" s="843">
        <v>167.20699867000002</v>
      </c>
      <c r="AP10" s="843">
        <v>163.02528090999999</v>
      </c>
      <c r="AQ10" s="843">
        <v>168.69307613999999</v>
      </c>
      <c r="AR10" s="843">
        <v>173.7077171</v>
      </c>
      <c r="AS10" s="843">
        <v>178.89733331000002</v>
      </c>
      <c r="AT10" s="843">
        <v>177.54111907000004</v>
      </c>
      <c r="AU10" s="843">
        <v>167.19110432000002</v>
      </c>
      <c r="AV10" s="843">
        <v>168.31782424000002</v>
      </c>
      <c r="AW10" s="843">
        <v>173.32560854000002</v>
      </c>
      <c r="AX10" s="843">
        <v>171.53802653</v>
      </c>
      <c r="AY10" s="843">
        <v>157.34411894000002</v>
      </c>
      <c r="AZ10" s="843">
        <v>155.25292331</v>
      </c>
      <c r="BA10" s="843">
        <v>140.11120951000001</v>
      </c>
      <c r="BB10" s="843">
        <v>159.83952693999998</v>
      </c>
      <c r="BC10" s="843">
        <v>159.57914094</v>
      </c>
      <c r="BD10" s="843">
        <v>152.78520368</v>
      </c>
      <c r="BE10" s="843">
        <v>144.57737838</v>
      </c>
      <c r="BF10" s="843">
        <v>144.69899185999998</v>
      </c>
      <c r="BG10" s="843">
        <v>131.66550365000001</v>
      </c>
      <c r="BH10" s="886">
        <v>131.47594361</v>
      </c>
      <c r="BI10" s="875">
        <v>104.20263365999999</v>
      </c>
      <c r="BJ10" s="875">
        <v>92.689036590000001</v>
      </c>
      <c r="BK10" s="875">
        <v>93.408224070000003</v>
      </c>
      <c r="BL10" s="875">
        <v>90.854440240000002</v>
      </c>
      <c r="BM10" s="875">
        <v>77.545824570000008</v>
      </c>
      <c r="BN10" s="875">
        <v>77.800447579999997</v>
      </c>
      <c r="BO10" s="875">
        <v>77.723400350000006</v>
      </c>
      <c r="BP10" s="875">
        <v>64.237752880000002</v>
      </c>
      <c r="BQ10" s="875">
        <v>102.87787882000001</v>
      </c>
      <c r="BR10" s="875">
        <v>102.68763328</v>
      </c>
      <c r="BS10" s="875">
        <v>88.554188229999994</v>
      </c>
      <c r="BT10" s="875">
        <v>76.318497440000002</v>
      </c>
      <c r="BU10" s="875">
        <v>96.202012019999998</v>
      </c>
      <c r="BV10" s="875">
        <v>38.25018008</v>
      </c>
      <c r="BW10" s="875">
        <v>38.158766350000001</v>
      </c>
      <c r="BX10" s="875">
        <v>38.483514249999999</v>
      </c>
      <c r="BY10" s="875">
        <v>12.10047295</v>
      </c>
      <c r="BZ10" s="875">
        <v>11.66881837</v>
      </c>
      <c r="CA10" s="875">
        <v>11.687493969999998</v>
      </c>
      <c r="CB10" s="875">
        <v>11.752212470000002</v>
      </c>
      <c r="CC10" s="875">
        <v>11.67856963</v>
      </c>
      <c r="CD10" s="875">
        <v>11.502353499999998</v>
      </c>
      <c r="CE10" s="875">
        <v>13.16579546</v>
      </c>
      <c r="CF10" s="875">
        <v>14.5535923</v>
      </c>
      <c r="CG10" s="875">
        <v>11.222574190000001</v>
      </c>
      <c r="CH10" s="875">
        <v>11.400066629999998</v>
      </c>
      <c r="CI10" s="875">
        <v>11.474553080000002</v>
      </c>
      <c r="CJ10" s="875">
        <v>11.81805348</v>
      </c>
      <c r="CK10" s="875">
        <v>12.012692649999998</v>
      </c>
      <c r="CL10" s="875">
        <v>10.9793217</v>
      </c>
      <c r="CM10" s="875">
        <v>10.746123109999999</v>
      </c>
      <c r="CN10" s="875">
        <v>10.690615039999999</v>
      </c>
      <c r="CO10" s="875">
        <v>10.685676540000001</v>
      </c>
      <c r="CP10" s="875">
        <v>11.16006915</v>
      </c>
      <c r="CQ10" s="875">
        <v>11.375937049999999</v>
      </c>
      <c r="CR10" s="875">
        <v>11.444378589999999</v>
      </c>
      <c r="CS10" s="875">
        <v>11.614221300000001</v>
      </c>
      <c r="CT10" s="875">
        <v>11.87564218</v>
      </c>
      <c r="CU10" s="875">
        <v>13.582138390000001</v>
      </c>
      <c r="CV10" s="875">
        <v>14.31555097</v>
      </c>
      <c r="CW10" s="875">
        <v>14.205448329999999</v>
      </c>
      <c r="CX10" s="875">
        <v>18.818514100000002</v>
      </c>
      <c r="CY10" s="875">
        <v>15.94230823</v>
      </c>
      <c r="CZ10" s="875">
        <v>16.544833499999999</v>
      </c>
      <c r="DA10" s="875">
        <v>14.00236743</v>
      </c>
      <c r="DB10" s="875">
        <v>14.63769447</v>
      </c>
      <c r="DC10" s="875">
        <v>65.943382479999997</v>
      </c>
      <c r="DD10" s="875">
        <v>66.151392749999999</v>
      </c>
      <c r="DE10" s="875">
        <v>74.340017619999998</v>
      </c>
      <c r="DF10" s="875">
        <v>76.414512049999999</v>
      </c>
      <c r="DG10" s="875">
        <v>74.457225620000003</v>
      </c>
      <c r="DH10" s="875">
        <v>72.886955529999994</v>
      </c>
      <c r="DI10" s="875">
        <v>75.743050960000005</v>
      </c>
      <c r="DJ10" s="875">
        <v>74.900554830000004</v>
      </c>
      <c r="DK10" s="875">
        <v>73.806275319999997</v>
      </c>
      <c r="DL10" s="875">
        <v>74.624624900000001</v>
      </c>
      <c r="DM10" s="875">
        <v>67.34479924</v>
      </c>
      <c r="DN10" s="875">
        <v>64.477835450000001</v>
      </c>
      <c r="DO10" s="875">
        <v>58.015686600000002</v>
      </c>
      <c r="DP10" s="875">
        <v>58.577398879999997</v>
      </c>
      <c r="DQ10" s="875">
        <v>23.52515382</v>
      </c>
      <c r="DR10" s="875">
        <v>27.935211670000001</v>
      </c>
      <c r="DS10" s="875">
        <v>27.925893869999999</v>
      </c>
      <c r="DT10" s="875">
        <v>27.931964239999999</v>
      </c>
      <c r="DU10" s="875">
        <v>27.297500039999999</v>
      </c>
      <c r="DV10" s="875">
        <v>26.71491923</v>
      </c>
      <c r="DW10" s="875">
        <v>26.81205361</v>
      </c>
      <c r="DX10" s="875">
        <v>25.539233729999999</v>
      </c>
      <c r="DY10" s="875">
        <v>25.290198369999999</v>
      </c>
      <c r="DZ10" s="875">
        <v>25.894561620000001</v>
      </c>
      <c r="EA10" s="875">
        <v>25.52373974</v>
      </c>
      <c r="EB10" s="875">
        <v>15.0992488</v>
      </c>
      <c r="EC10" s="875">
        <v>14.880518</v>
      </c>
      <c r="ED10" s="875">
        <v>13.92821885</v>
      </c>
      <c r="EE10" s="875">
        <v>61.365970799999999</v>
      </c>
      <c r="EF10" s="875">
        <v>166.80683938999999</v>
      </c>
      <c r="EG10" s="875">
        <v>166.24254762999999</v>
      </c>
      <c r="EH10" s="875">
        <v>151.89519146999999</v>
      </c>
      <c r="EI10" s="875">
        <v>150.85448585</v>
      </c>
      <c r="EJ10" s="875">
        <v>151.14571753999999</v>
      </c>
      <c r="EK10" s="875">
        <v>124.89915228</v>
      </c>
      <c r="EL10" s="875">
        <v>125.99204512999999</v>
      </c>
      <c r="EM10" s="875">
        <v>48.63777185</v>
      </c>
      <c r="EN10" s="875">
        <v>47.363406019999999</v>
      </c>
      <c r="EO10" s="875">
        <v>37.028694450000003</v>
      </c>
      <c r="EP10" s="875">
        <v>35.365868390000003</v>
      </c>
      <c r="EQ10" s="875">
        <v>35.256629539999999</v>
      </c>
      <c r="ER10" s="875">
        <v>36.34309726</v>
      </c>
      <c r="ES10" s="875">
        <v>36.614413519999999</v>
      </c>
      <c r="ET10" s="875">
        <v>36.429828120000003</v>
      </c>
      <c r="EU10" s="1920" t="s">
        <v>4086</v>
      </c>
    </row>
    <row r="11" spans="1:151" ht="21">
      <c r="A11" s="1931" t="s">
        <v>1975</v>
      </c>
      <c r="B11" s="850">
        <f>+B9-B10</f>
        <v>2334.5519226400002</v>
      </c>
      <c r="C11" s="850">
        <f t="shared" ref="C11:V11" si="0">+C9-C10</f>
        <v>1860.6948955999999</v>
      </c>
      <c r="D11" s="850">
        <f t="shared" si="0"/>
        <v>1890.5179798999998</v>
      </c>
      <c r="E11" s="850">
        <f t="shared" si="0"/>
        <v>1926.67653316</v>
      </c>
      <c r="F11" s="850">
        <f t="shared" si="0"/>
        <v>1949.34534222</v>
      </c>
      <c r="G11" s="850">
        <f t="shared" si="0"/>
        <v>1979.7535052000001</v>
      </c>
      <c r="H11" s="850">
        <f t="shared" si="0"/>
        <v>2002.8748404699995</v>
      </c>
      <c r="I11" s="850">
        <f t="shared" si="0"/>
        <v>2042.6560602900001</v>
      </c>
      <c r="J11" s="850">
        <f t="shared" si="0"/>
        <v>2050.9539848099998</v>
      </c>
      <c r="K11" s="850">
        <f t="shared" si="0"/>
        <v>2082.4949247</v>
      </c>
      <c r="L11" s="850">
        <f t="shared" si="0"/>
        <v>2099.4076233500004</v>
      </c>
      <c r="M11" s="843">
        <f t="shared" si="0"/>
        <v>2091.6181185200003</v>
      </c>
      <c r="N11" s="840">
        <f t="shared" si="0"/>
        <v>2083.5046571499997</v>
      </c>
      <c r="O11" s="840">
        <f t="shared" si="0"/>
        <v>2112.3839528399999</v>
      </c>
      <c r="P11" s="840">
        <f t="shared" si="0"/>
        <v>2160.0613762399998</v>
      </c>
      <c r="Q11" s="840">
        <f t="shared" si="0"/>
        <v>2207.7021162700003</v>
      </c>
      <c r="R11" s="840">
        <f t="shared" si="0"/>
        <v>2272.1153200000003</v>
      </c>
      <c r="S11" s="840">
        <f t="shared" si="0"/>
        <v>2333.4430661500005</v>
      </c>
      <c r="T11" s="840">
        <f t="shared" si="0"/>
        <v>2365.0944806900002</v>
      </c>
      <c r="U11" s="840">
        <f t="shared" si="0"/>
        <v>2395.27174814</v>
      </c>
      <c r="V11" s="840">
        <f t="shared" si="0"/>
        <v>2442.6514419800001</v>
      </c>
      <c r="W11" s="840">
        <v>2447.1508456699999</v>
      </c>
      <c r="X11" s="840">
        <v>2500.0005420799998</v>
      </c>
      <c r="Y11" s="843">
        <v>2588.1330621200004</v>
      </c>
      <c r="Z11" s="840">
        <v>2556.4406774599997</v>
      </c>
      <c r="AA11" s="840">
        <v>2849.4037200400003</v>
      </c>
      <c r="AB11" s="843">
        <f>+AB9-AB10</f>
        <v>2825.6459097299999</v>
      </c>
      <c r="AC11" s="843">
        <v>2837.8820197500004</v>
      </c>
      <c r="AD11" s="843">
        <v>2789.2420324600002</v>
      </c>
      <c r="AE11" s="843">
        <v>2766.0172186300001</v>
      </c>
      <c r="AF11" s="843">
        <v>2740.3386993700005</v>
      </c>
      <c r="AG11" s="843">
        <v>2727.1975804000003</v>
      </c>
      <c r="AH11" s="843">
        <f>+AH9-AH10</f>
        <v>2312.3353627799997</v>
      </c>
      <c r="AI11" s="843">
        <v>2423.7524776199998</v>
      </c>
      <c r="AJ11" s="843">
        <f>+AJ9-AJ10</f>
        <v>2412.7645613900004</v>
      </c>
      <c r="AK11" s="843">
        <f>+AK9-AK10</f>
        <v>2978.9608715199997</v>
      </c>
      <c r="AL11" s="843">
        <v>2732.2013726099999</v>
      </c>
      <c r="AM11" s="843">
        <f>+AM9-AM10</f>
        <v>2682.5714522800004</v>
      </c>
      <c r="AN11" s="843">
        <f>+AN9-AN10</f>
        <v>2628.4507002700002</v>
      </c>
      <c r="AO11" s="843">
        <f>+AO9-AO10</f>
        <v>2508.62131955</v>
      </c>
      <c r="AP11" s="843">
        <v>2456.5197946899998</v>
      </c>
      <c r="AQ11" s="843">
        <v>2511.8970852000002</v>
      </c>
      <c r="AR11" s="843">
        <v>2390.8223407299997</v>
      </c>
      <c r="AS11" s="843">
        <v>2324.3078062300001</v>
      </c>
      <c r="AT11" s="843">
        <f>+AT9-AT10</f>
        <v>2377.12777805</v>
      </c>
      <c r="AU11" s="843">
        <v>2315.2275540000001</v>
      </c>
      <c r="AV11" s="843">
        <v>2213.7248615500002</v>
      </c>
      <c r="AW11" s="843">
        <v>2292.7953058000003</v>
      </c>
      <c r="AX11" s="843">
        <v>2259.3558100099999</v>
      </c>
      <c r="AY11" s="843">
        <v>2154.7194925100002</v>
      </c>
      <c r="AZ11" s="843">
        <v>2052.4055489900002</v>
      </c>
      <c r="BA11" s="843">
        <v>2054.5450917399999</v>
      </c>
      <c r="BB11" s="843">
        <v>2027.72128567</v>
      </c>
      <c r="BC11" s="843">
        <v>2013.5961428100004</v>
      </c>
      <c r="BD11" s="843">
        <f>+BD9-BD10</f>
        <v>1984.2193341100001</v>
      </c>
      <c r="BE11" s="843">
        <v>1938.8319523200003</v>
      </c>
      <c r="BF11" s="843">
        <v>2032.10823344</v>
      </c>
      <c r="BG11" s="843">
        <v>1972.3503726099998</v>
      </c>
      <c r="BH11" s="886">
        <v>1959.9843873999996</v>
      </c>
      <c r="BI11" s="875">
        <v>1950.8697991400002</v>
      </c>
      <c r="BJ11" s="875">
        <v>1923.5895289300001</v>
      </c>
      <c r="BK11" s="875">
        <v>1891.0895976899999</v>
      </c>
      <c r="BL11" s="875">
        <v>1895.85442906</v>
      </c>
      <c r="BM11" s="875">
        <v>1897.6530097300001</v>
      </c>
      <c r="BN11" s="875">
        <v>1904.4238223</v>
      </c>
      <c r="BO11" s="875">
        <v>1944.9780432200002</v>
      </c>
      <c r="BP11" s="875">
        <v>1949.4545242700001</v>
      </c>
      <c r="BQ11" s="875">
        <v>1929.0000413099999</v>
      </c>
      <c r="BR11" s="875">
        <v>1959.0225847700001</v>
      </c>
      <c r="BS11" s="875">
        <v>1968.6154898899999</v>
      </c>
      <c r="BT11" s="875">
        <v>1999.2130282400003</v>
      </c>
      <c r="BU11" s="875">
        <v>2274.53278469</v>
      </c>
      <c r="BV11" s="875">
        <v>2225.5588260599998</v>
      </c>
      <c r="BW11" s="875">
        <v>2246.4966126899999</v>
      </c>
      <c r="BX11" s="875">
        <v>2263.2315938899997</v>
      </c>
      <c r="BY11" s="875">
        <v>2251.8707766300004</v>
      </c>
      <c r="BZ11" s="875">
        <v>2265.1530841800004</v>
      </c>
      <c r="CA11" s="875">
        <v>2281.4755889999997</v>
      </c>
      <c r="CB11" s="875">
        <v>2267.3201213000002</v>
      </c>
      <c r="CC11" s="875">
        <v>2276.31705874</v>
      </c>
      <c r="CD11" s="875">
        <v>2361.1266044099998</v>
      </c>
      <c r="CE11" s="875">
        <f t="shared" ref="CE11:CO11" si="1">+CE9-CE10</f>
        <v>2390.7637652099997</v>
      </c>
      <c r="CF11" s="875">
        <f t="shared" si="1"/>
        <v>2312.6142577899996</v>
      </c>
      <c r="CG11" s="875">
        <f t="shared" si="1"/>
        <v>2467.4672075999997</v>
      </c>
      <c r="CH11" s="875">
        <f t="shared" si="1"/>
        <v>2402.8416239099997</v>
      </c>
      <c r="CI11" s="875">
        <f t="shared" si="1"/>
        <v>2497.6590943599999</v>
      </c>
      <c r="CJ11" s="875">
        <f t="shared" si="1"/>
        <v>2479.3449730100001</v>
      </c>
      <c r="CK11" s="875">
        <f t="shared" si="1"/>
        <v>2426.4714499199999</v>
      </c>
      <c r="CL11" s="875">
        <f t="shared" si="1"/>
        <v>2386.2530584900001</v>
      </c>
      <c r="CM11" s="875">
        <f t="shared" si="1"/>
        <v>2367.8226521299998</v>
      </c>
      <c r="CN11" s="875">
        <f t="shared" si="1"/>
        <v>2351.9842822600003</v>
      </c>
      <c r="CO11" s="875">
        <f t="shared" si="1"/>
        <v>2368.0592147300003</v>
      </c>
      <c r="CP11" s="875">
        <f>+CP9-CP10</f>
        <v>2469.85485548</v>
      </c>
      <c r="CQ11" s="875">
        <f>+CQ9-CQ10</f>
        <v>2520.7214377099999</v>
      </c>
      <c r="CR11" s="875">
        <f>+CR9-CR10</f>
        <v>2568.3936923900001</v>
      </c>
      <c r="CS11" s="875">
        <v>2587.0922586199999</v>
      </c>
      <c r="CT11" s="875">
        <v>2587.2620531500002</v>
      </c>
      <c r="CU11" s="875">
        <v>2490.5255311699998</v>
      </c>
      <c r="CV11" s="875">
        <v>2493.6649616599998</v>
      </c>
      <c r="CW11" s="875">
        <v>2535.6502313000001</v>
      </c>
      <c r="CX11" s="875">
        <v>2532.4555486099998</v>
      </c>
      <c r="CY11" s="875">
        <v>2533.50980213</v>
      </c>
      <c r="CZ11" s="875">
        <v>2534.9080498899998</v>
      </c>
      <c r="DA11" s="875">
        <v>2525.6212596</v>
      </c>
      <c r="DB11" s="875">
        <v>2555.99320274</v>
      </c>
      <c r="DC11" s="875">
        <v>2711.6424093999999</v>
      </c>
      <c r="DD11" s="875">
        <v>2793.7971123299999</v>
      </c>
      <c r="DE11" s="875">
        <v>2907.9376150899998</v>
      </c>
      <c r="DF11" s="875">
        <v>2884.4160985499998</v>
      </c>
      <c r="DG11" s="875">
        <v>2954.9109259400002</v>
      </c>
      <c r="DH11" s="875">
        <v>2996.6421686799999</v>
      </c>
      <c r="DI11" s="875">
        <v>3050.9513953999999</v>
      </c>
      <c r="DJ11" s="875">
        <v>3055.36545441</v>
      </c>
      <c r="DK11" s="875">
        <v>3067.53901782</v>
      </c>
      <c r="DL11" s="875">
        <v>3031.8385036099999</v>
      </c>
      <c r="DM11" s="875">
        <v>3055.1970073500001</v>
      </c>
      <c r="DN11" s="875">
        <v>3130.20729355</v>
      </c>
      <c r="DO11" s="875">
        <v>3204.3011063399999</v>
      </c>
      <c r="DP11" s="875">
        <v>3273.6547444900002</v>
      </c>
      <c r="DQ11" s="875">
        <v>3269.82543012</v>
      </c>
      <c r="DR11" s="875">
        <v>3209.87253913</v>
      </c>
      <c r="DS11" s="875">
        <v>3206.0506313999999</v>
      </c>
      <c r="DT11" s="875">
        <v>3256.1396366200001</v>
      </c>
      <c r="DU11" s="875">
        <v>3302.5930477000002</v>
      </c>
      <c r="DV11" s="875">
        <v>3319.9686302700002</v>
      </c>
      <c r="DW11" s="875">
        <v>3373.2800869900002</v>
      </c>
      <c r="DX11" s="875">
        <v>3337.0850815499998</v>
      </c>
      <c r="DY11" s="875">
        <v>3381.5814293899998</v>
      </c>
      <c r="DZ11" s="875">
        <v>3460.86246381</v>
      </c>
      <c r="EA11" s="875">
        <v>3408.0823347800001</v>
      </c>
      <c r="EB11" s="875">
        <v>3490.4067599700002</v>
      </c>
      <c r="EC11" s="875">
        <v>3461.9680268799998</v>
      </c>
      <c r="ED11" s="875">
        <v>3430.2516527100001</v>
      </c>
      <c r="EE11" s="875">
        <v>3433.6396954299998</v>
      </c>
      <c r="EF11" s="875">
        <v>3500.1465637299998</v>
      </c>
      <c r="EG11" s="875">
        <v>3545.5248649999999</v>
      </c>
      <c r="EH11" s="875">
        <v>3623.5792592399998</v>
      </c>
      <c r="EI11" s="875">
        <v>3666.2798452299999</v>
      </c>
      <c r="EJ11" s="875">
        <v>3664.20907446</v>
      </c>
      <c r="EK11" s="875">
        <v>3656.9803244300001</v>
      </c>
      <c r="EL11" s="875">
        <v>3844.36259827</v>
      </c>
      <c r="EM11" s="875">
        <v>3903.5565047700002</v>
      </c>
      <c r="EN11" s="875">
        <v>3941.6611737799999</v>
      </c>
      <c r="EO11" s="875">
        <v>4038.6248596400001</v>
      </c>
      <c r="EP11" s="875">
        <v>3962.31564708</v>
      </c>
      <c r="EQ11" s="875">
        <v>4020.1153169099998</v>
      </c>
      <c r="ER11" s="875">
        <v>4020.0273777399998</v>
      </c>
      <c r="ES11" s="875">
        <v>4002.5496954700002</v>
      </c>
      <c r="ET11" s="875">
        <v>4064.5719431500002</v>
      </c>
      <c r="EU11" s="1920" t="s">
        <v>4085</v>
      </c>
    </row>
    <row r="12" spans="1:151" ht="21">
      <c r="A12" s="1929"/>
      <c r="B12" s="851"/>
      <c r="C12" s="851"/>
      <c r="D12" s="851"/>
      <c r="E12" s="851"/>
      <c r="F12" s="851"/>
      <c r="G12" s="851"/>
      <c r="H12" s="851"/>
      <c r="I12" s="851"/>
      <c r="J12" s="851"/>
      <c r="K12" s="851"/>
      <c r="L12" s="851"/>
      <c r="M12" s="843"/>
      <c r="N12" s="843"/>
      <c r="O12" s="843"/>
      <c r="P12" s="843"/>
      <c r="Q12" s="843"/>
      <c r="R12" s="843"/>
      <c r="S12" s="843"/>
      <c r="T12" s="843"/>
      <c r="U12" s="843"/>
      <c r="V12" s="843"/>
      <c r="W12" s="843"/>
      <c r="X12" s="843"/>
      <c r="Y12" s="843"/>
      <c r="Z12" s="843"/>
      <c r="AA12" s="843"/>
      <c r="AB12" s="843"/>
      <c r="AC12" s="843"/>
      <c r="AD12" s="843"/>
      <c r="AE12" s="843"/>
      <c r="AF12" s="843"/>
      <c r="AG12" s="843"/>
      <c r="AH12" s="843"/>
      <c r="AI12" s="843"/>
      <c r="AJ12" s="843"/>
      <c r="AK12" s="843"/>
      <c r="AL12" s="843"/>
      <c r="AM12" s="843"/>
      <c r="AN12" s="843"/>
      <c r="AO12" s="843"/>
      <c r="AP12" s="843"/>
      <c r="AQ12" s="843"/>
      <c r="AR12" s="843"/>
      <c r="AS12" s="843"/>
      <c r="AT12" s="843"/>
      <c r="AU12" s="843"/>
      <c r="AV12" s="843"/>
      <c r="AW12" s="843"/>
      <c r="AX12" s="843"/>
      <c r="AY12" s="843"/>
      <c r="AZ12" s="843"/>
      <c r="BA12" s="843"/>
      <c r="BB12" s="843"/>
      <c r="BC12" s="843"/>
      <c r="BD12" s="843"/>
      <c r="BE12" s="843"/>
      <c r="BF12" s="843"/>
      <c r="BG12" s="843"/>
      <c r="BH12" s="886"/>
      <c r="BI12" s="875"/>
      <c r="BJ12" s="875"/>
      <c r="BK12" s="875"/>
      <c r="BL12" s="875"/>
      <c r="BM12" s="875"/>
      <c r="BN12" s="875"/>
      <c r="BO12" s="875"/>
      <c r="BP12" s="875"/>
      <c r="BQ12" s="875"/>
      <c r="BR12" s="875"/>
      <c r="BS12" s="875"/>
      <c r="BT12" s="875"/>
      <c r="BU12" s="875"/>
      <c r="BV12" s="875"/>
      <c r="BW12" s="875"/>
      <c r="BX12" s="875"/>
      <c r="BY12" s="875"/>
      <c r="BZ12" s="875"/>
      <c r="CA12" s="875"/>
      <c r="CB12" s="875"/>
      <c r="CC12" s="875"/>
      <c r="CD12" s="875"/>
      <c r="CE12" s="875"/>
      <c r="CF12" s="875"/>
      <c r="CG12" s="875"/>
      <c r="CH12" s="875"/>
      <c r="CI12" s="875"/>
      <c r="CJ12" s="875"/>
      <c r="CK12" s="875"/>
      <c r="CL12" s="875"/>
      <c r="CM12" s="876"/>
      <c r="CN12" s="876"/>
      <c r="CO12" s="876"/>
      <c r="CP12" s="876"/>
      <c r="CQ12" s="876"/>
      <c r="CR12" s="876"/>
      <c r="CS12" s="876"/>
      <c r="CT12" s="876"/>
      <c r="CU12" s="876"/>
      <c r="CV12" s="876"/>
      <c r="CW12" s="876"/>
      <c r="CX12" s="876"/>
      <c r="CY12" s="876"/>
      <c r="CZ12" s="876"/>
      <c r="DA12" s="876"/>
      <c r="DB12" s="876"/>
      <c r="DC12" s="876"/>
      <c r="DD12" s="876"/>
      <c r="DE12" s="876"/>
      <c r="DF12" s="876"/>
      <c r="DG12" s="876"/>
      <c r="DH12" s="876"/>
      <c r="DI12" s="876"/>
      <c r="DJ12" s="876"/>
      <c r="DK12" s="876"/>
      <c r="DL12" s="876"/>
      <c r="DM12" s="876"/>
      <c r="DN12" s="876"/>
      <c r="DO12" s="876"/>
      <c r="DP12" s="876"/>
      <c r="DQ12" s="876"/>
      <c r="DR12" s="876"/>
      <c r="DS12" s="876"/>
      <c r="DT12" s="876"/>
      <c r="DU12" s="876"/>
      <c r="DV12" s="876"/>
      <c r="DW12" s="876"/>
      <c r="DX12" s="876"/>
      <c r="DY12" s="876"/>
      <c r="DZ12" s="876"/>
      <c r="EA12" s="876"/>
      <c r="EB12" s="876"/>
      <c r="EC12" s="876"/>
      <c r="ED12" s="876"/>
      <c r="EE12" s="876"/>
      <c r="EF12" s="876"/>
      <c r="EG12" s="876"/>
      <c r="EH12" s="876"/>
      <c r="EI12" s="876"/>
      <c r="EJ12" s="876"/>
      <c r="EK12" s="876"/>
      <c r="EL12" s="876"/>
      <c r="EM12" s="876"/>
      <c r="EN12" s="876"/>
      <c r="EO12" s="876"/>
      <c r="EP12" s="876"/>
      <c r="EQ12" s="876"/>
      <c r="ER12" s="876"/>
      <c r="ES12" s="876"/>
      <c r="ET12" s="876"/>
      <c r="EU12" s="1919"/>
    </row>
    <row r="13" spans="1:151" ht="21">
      <c r="A13" s="1930" t="s">
        <v>2756</v>
      </c>
      <c r="B13" s="850">
        <v>547.79937386000006</v>
      </c>
      <c r="C13" s="850">
        <v>461.15776901999993</v>
      </c>
      <c r="D13" s="850">
        <v>466.24857670000006</v>
      </c>
      <c r="E13" s="850">
        <v>468.33977585000002</v>
      </c>
      <c r="F13" s="850">
        <v>476.01826601000005</v>
      </c>
      <c r="G13" s="850">
        <v>484.09310134000003</v>
      </c>
      <c r="H13" s="850">
        <v>499.55653000999996</v>
      </c>
      <c r="I13" s="850">
        <v>501.93890012999998</v>
      </c>
      <c r="J13" s="850">
        <v>501.91481623999999</v>
      </c>
      <c r="K13" s="850">
        <v>517.66920114999994</v>
      </c>
      <c r="L13" s="850">
        <v>519.23505612999998</v>
      </c>
      <c r="M13" s="840">
        <v>472.84640899999999</v>
      </c>
      <c r="N13" s="840">
        <v>466.84179797000002</v>
      </c>
      <c r="O13" s="840">
        <v>489.90728141</v>
      </c>
      <c r="P13" s="840">
        <v>511.79192601000005</v>
      </c>
      <c r="Q13" s="840">
        <v>489.74004228000001</v>
      </c>
      <c r="R13" s="840">
        <v>432.98985758999999</v>
      </c>
      <c r="S13" s="840">
        <v>445.96218444000004</v>
      </c>
      <c r="T13" s="840">
        <v>442.78126667000004</v>
      </c>
      <c r="U13" s="840">
        <v>440.68610980999995</v>
      </c>
      <c r="V13" s="840">
        <v>443.17699164999999</v>
      </c>
      <c r="W13" s="840">
        <v>454.12003304999996</v>
      </c>
      <c r="X13" s="840">
        <v>463.57214304000001</v>
      </c>
      <c r="Y13" s="840">
        <v>507.04773160000002</v>
      </c>
      <c r="Z13" s="840">
        <v>487.24472751000002</v>
      </c>
      <c r="AA13" s="840">
        <v>573.94706654000004</v>
      </c>
      <c r="AB13" s="840">
        <v>572.55932051000002</v>
      </c>
      <c r="AC13" s="840">
        <v>563.29354675000013</v>
      </c>
      <c r="AD13" s="840">
        <v>563.29354675000013</v>
      </c>
      <c r="AE13" s="840">
        <v>527.31939884000008</v>
      </c>
      <c r="AF13" s="840">
        <v>508.21417700999996</v>
      </c>
      <c r="AG13" s="840">
        <v>469.17125914000007</v>
      </c>
      <c r="AH13" s="840">
        <v>452.03731624</v>
      </c>
      <c r="AI13" s="840">
        <v>469.33049527999998</v>
      </c>
      <c r="AJ13" s="840">
        <v>462.11960958999998</v>
      </c>
      <c r="AK13" s="840">
        <v>583.78429917000005</v>
      </c>
      <c r="AL13" s="840">
        <v>542.40457465999998</v>
      </c>
      <c r="AM13" s="840">
        <v>527.97769134000009</v>
      </c>
      <c r="AN13" s="840">
        <v>520.59306574999994</v>
      </c>
      <c r="AO13" s="840">
        <v>461.66289203999997</v>
      </c>
      <c r="AP13" s="840">
        <v>470.37813511000002</v>
      </c>
      <c r="AQ13" s="840">
        <v>501.41213126000002</v>
      </c>
      <c r="AR13" s="840">
        <v>435.33138190000005</v>
      </c>
      <c r="AS13" s="840">
        <v>466.75259310000001</v>
      </c>
      <c r="AT13" s="840">
        <v>466.27957695000003</v>
      </c>
      <c r="AU13" s="840">
        <v>485.93955225999997</v>
      </c>
      <c r="AV13" s="840">
        <v>506.78018202999999</v>
      </c>
      <c r="AW13" s="840">
        <v>566.40946628000006</v>
      </c>
      <c r="AX13" s="840">
        <v>536.33875986999999</v>
      </c>
      <c r="AY13" s="840">
        <v>494.51614584000004</v>
      </c>
      <c r="AZ13" s="840">
        <v>538.28363132000004</v>
      </c>
      <c r="BA13" s="840">
        <v>543.91402454000013</v>
      </c>
      <c r="BB13" s="840">
        <v>533.93324058000007</v>
      </c>
      <c r="BC13" s="840">
        <v>483.73679694999998</v>
      </c>
      <c r="BD13" s="840">
        <v>427.55483678000002</v>
      </c>
      <c r="BE13" s="840">
        <v>389.51799836999999</v>
      </c>
      <c r="BF13" s="840">
        <v>473.85874780000006</v>
      </c>
      <c r="BG13" s="840">
        <v>416.36924562000002</v>
      </c>
      <c r="BH13" s="885">
        <v>401.73100927000007</v>
      </c>
      <c r="BI13" s="874">
        <v>348.22463987000003</v>
      </c>
      <c r="BJ13" s="874">
        <v>415.30128669000004</v>
      </c>
      <c r="BK13" s="874">
        <v>411.59684244000005</v>
      </c>
      <c r="BL13" s="874">
        <v>406.08091301000002</v>
      </c>
      <c r="BM13" s="874">
        <v>403.30476075000001</v>
      </c>
      <c r="BN13" s="874">
        <v>408.70475506000002</v>
      </c>
      <c r="BO13" s="874">
        <v>430.10997729999997</v>
      </c>
      <c r="BP13" s="874">
        <v>430.46671923000002</v>
      </c>
      <c r="BQ13" s="874">
        <v>428.75811389</v>
      </c>
      <c r="BR13" s="874">
        <v>467.33237649</v>
      </c>
      <c r="BS13" s="874">
        <v>477.63909032999999</v>
      </c>
      <c r="BT13" s="874">
        <v>510.59061911000003</v>
      </c>
      <c r="BU13" s="874">
        <v>571.7083161999999</v>
      </c>
      <c r="BV13" s="874">
        <v>482.17855266999999</v>
      </c>
      <c r="BW13" s="874">
        <v>482.55965781999998</v>
      </c>
      <c r="BX13" s="874">
        <v>483.04261182000005</v>
      </c>
      <c r="BY13" s="874">
        <v>478.32262721999996</v>
      </c>
      <c r="BZ13" s="874">
        <v>483.55668523999998</v>
      </c>
      <c r="CA13" s="874">
        <v>496.07422679000001</v>
      </c>
      <c r="CB13" s="874">
        <v>491.18875980000001</v>
      </c>
      <c r="CC13" s="874">
        <v>506.34737457</v>
      </c>
      <c r="CD13" s="874">
        <v>540.86798296999996</v>
      </c>
      <c r="CE13" s="874">
        <v>558.92817216000003</v>
      </c>
      <c r="CF13" s="874">
        <v>608.86660346999997</v>
      </c>
      <c r="CG13" s="874">
        <v>601.69282852000003</v>
      </c>
      <c r="CH13" s="874">
        <v>571.89430760000005</v>
      </c>
      <c r="CI13" s="874">
        <v>640.07710951000001</v>
      </c>
      <c r="CJ13" s="874">
        <v>645.47851074000005</v>
      </c>
      <c r="CK13" s="874">
        <v>675.10669726000015</v>
      </c>
      <c r="CL13" s="874">
        <v>680.18874404000007</v>
      </c>
      <c r="CM13" s="874">
        <v>663.59134124000002</v>
      </c>
      <c r="CN13" s="874">
        <v>675.50304216000006</v>
      </c>
      <c r="CO13" s="874">
        <v>674.41674845</v>
      </c>
      <c r="CP13" s="874">
        <v>651.93101971999999</v>
      </c>
      <c r="CQ13" s="874">
        <v>640.87907584999994</v>
      </c>
      <c r="CR13" s="874">
        <v>675.45890695999992</v>
      </c>
      <c r="CS13" s="874">
        <v>653.05127392999998</v>
      </c>
      <c r="CT13" s="874">
        <v>664.67954511000005</v>
      </c>
      <c r="CU13" s="874">
        <v>704.31695648000004</v>
      </c>
      <c r="CV13" s="874">
        <v>691.79864625000005</v>
      </c>
      <c r="CW13" s="874">
        <v>708.16397651</v>
      </c>
      <c r="CX13" s="874">
        <v>718.93468077</v>
      </c>
      <c r="CY13" s="874">
        <v>724.43980620000002</v>
      </c>
      <c r="CZ13" s="874">
        <v>751.00939098000003</v>
      </c>
      <c r="DA13" s="874">
        <v>751.57026893</v>
      </c>
      <c r="DB13" s="874">
        <v>778.31647277000002</v>
      </c>
      <c r="DC13" s="874">
        <v>885.70539861999998</v>
      </c>
      <c r="DD13" s="874">
        <v>935.30369561999998</v>
      </c>
      <c r="DE13" s="874">
        <v>967.45121948999997</v>
      </c>
      <c r="DF13" s="874">
        <v>970.51608670999997</v>
      </c>
      <c r="DG13" s="874">
        <v>1017.96249505</v>
      </c>
      <c r="DH13" s="874">
        <v>1044.10107513</v>
      </c>
      <c r="DI13" s="874">
        <v>1127.53605739</v>
      </c>
      <c r="DJ13" s="874">
        <v>1077.89437051</v>
      </c>
      <c r="DK13" s="874">
        <v>1090.2201935400001</v>
      </c>
      <c r="DL13" s="874">
        <v>1078.8626527399999</v>
      </c>
      <c r="DM13" s="874">
        <v>1097.2248855</v>
      </c>
      <c r="DN13" s="874">
        <v>1127.61839693</v>
      </c>
      <c r="DO13" s="874">
        <v>1127.49190101</v>
      </c>
      <c r="DP13" s="874">
        <v>1119.25537635</v>
      </c>
      <c r="DQ13" s="874">
        <v>1103.02309485</v>
      </c>
      <c r="DR13" s="874">
        <v>1073.8989260599999</v>
      </c>
      <c r="DS13" s="874">
        <v>1063.01777483</v>
      </c>
      <c r="DT13" s="874">
        <v>1052.7651534900001</v>
      </c>
      <c r="DU13" s="874">
        <v>1083.78074262</v>
      </c>
      <c r="DV13" s="874">
        <v>1095.6290489200001</v>
      </c>
      <c r="DW13" s="874">
        <v>1114.0128395500001</v>
      </c>
      <c r="DX13" s="874">
        <v>1065.1543059400001</v>
      </c>
      <c r="DY13" s="874">
        <v>1101.7440268800001</v>
      </c>
      <c r="DZ13" s="874">
        <v>1161.85065343</v>
      </c>
      <c r="EA13" s="874">
        <v>1166.5357950600001</v>
      </c>
      <c r="EB13" s="874">
        <v>1204.03085493</v>
      </c>
      <c r="EC13" s="874">
        <v>1196.3240258400001</v>
      </c>
      <c r="ED13" s="874">
        <v>1148.8878860299999</v>
      </c>
      <c r="EE13" s="874">
        <v>1139.9844257</v>
      </c>
      <c r="EF13" s="874">
        <v>1133.47972198</v>
      </c>
      <c r="EG13" s="874">
        <v>1142.26838215</v>
      </c>
      <c r="EH13" s="874">
        <v>1173.05966571</v>
      </c>
      <c r="EI13" s="874">
        <v>1139.32266749</v>
      </c>
      <c r="EJ13" s="874">
        <v>1164.9872221400001</v>
      </c>
      <c r="EK13" s="874">
        <v>1160.3763232700001</v>
      </c>
      <c r="EL13" s="874">
        <v>1259.1946907199999</v>
      </c>
      <c r="EM13" s="874">
        <v>1237.2205679399999</v>
      </c>
      <c r="EN13" s="874">
        <v>1270.6530760999999</v>
      </c>
      <c r="EO13" s="874">
        <v>1393.7479196100001</v>
      </c>
      <c r="EP13" s="874">
        <v>1387.7606233500001</v>
      </c>
      <c r="EQ13" s="874">
        <v>1445.0903571399999</v>
      </c>
      <c r="ER13" s="874">
        <v>1437.7995778500001</v>
      </c>
      <c r="ES13" s="874">
        <v>1419.6596498900001</v>
      </c>
      <c r="ET13" s="874">
        <v>1464.34330092</v>
      </c>
      <c r="EU13" s="1918" t="s">
        <v>4083</v>
      </c>
    </row>
    <row r="14" spans="1:151" ht="21">
      <c r="A14" s="1931" t="s">
        <v>1974</v>
      </c>
      <c r="B14" s="851">
        <v>5.5077418599999994</v>
      </c>
      <c r="C14" s="851">
        <v>2.63905915</v>
      </c>
      <c r="D14" s="851">
        <v>2.4680260000000001</v>
      </c>
      <c r="E14" s="851">
        <v>2.5342519999999999</v>
      </c>
      <c r="F14" s="851">
        <v>2.3572949100000002</v>
      </c>
      <c r="G14" s="851">
        <v>2.39434814</v>
      </c>
      <c r="H14" s="851">
        <v>2.21869454</v>
      </c>
      <c r="I14" s="851">
        <v>2.2175730099999997</v>
      </c>
      <c r="J14" s="851">
        <v>2.1327968099999999</v>
      </c>
      <c r="K14" s="851">
        <v>0.15235691000000001</v>
      </c>
      <c r="L14" s="851">
        <v>0.29234622999999998</v>
      </c>
      <c r="M14" s="843">
        <v>2.1634501200000003</v>
      </c>
      <c r="N14" s="843">
        <v>2.1362026600000004</v>
      </c>
      <c r="O14" s="843">
        <v>2.3648737299999998</v>
      </c>
      <c r="P14" s="843">
        <v>5.0940708700000004</v>
      </c>
      <c r="Q14" s="843">
        <v>6.8845715300000005</v>
      </c>
      <c r="R14" s="843">
        <v>2.0787792600000001</v>
      </c>
      <c r="S14" s="843">
        <v>2.06074666</v>
      </c>
      <c r="T14" s="843">
        <v>7.6648350000000004E-2</v>
      </c>
      <c r="U14" s="843">
        <v>5.512247E-2</v>
      </c>
      <c r="V14" s="843">
        <v>4.9718999999999999E-2</v>
      </c>
      <c r="W14" s="843">
        <v>4.4072029999999998E-2</v>
      </c>
      <c r="X14" s="843">
        <v>0.35506119000000003</v>
      </c>
      <c r="Y14" s="843">
        <v>0.23989473</v>
      </c>
      <c r="Z14" s="843">
        <v>0.23989473</v>
      </c>
      <c r="AA14" s="843">
        <v>0.79525460999999997</v>
      </c>
      <c r="AB14" s="843">
        <v>0.82855666000000006</v>
      </c>
      <c r="AC14" s="843">
        <v>0.80778344000000002</v>
      </c>
      <c r="AD14" s="843">
        <v>0.80778344000000002</v>
      </c>
      <c r="AE14" s="843">
        <v>0.6689949300000001</v>
      </c>
      <c r="AF14" s="843">
        <v>0.65812754000000007</v>
      </c>
      <c r="AG14" s="843">
        <v>0.65335885999999999</v>
      </c>
      <c r="AH14" s="843">
        <v>0.65129349999999997</v>
      </c>
      <c r="AI14" s="843">
        <v>0.92715848999999995</v>
      </c>
      <c r="AJ14" s="843">
        <v>0.92853869</v>
      </c>
      <c r="AK14" s="843">
        <v>1.0040299799999999</v>
      </c>
      <c r="AL14" s="843">
        <v>0.46686704999999995</v>
      </c>
      <c r="AM14" s="843">
        <v>0.46204220000000001</v>
      </c>
      <c r="AN14" s="843">
        <v>0.40823673000000005</v>
      </c>
      <c r="AO14" s="843">
        <v>0.31593367</v>
      </c>
      <c r="AP14" s="843">
        <v>0.25302477000000001</v>
      </c>
      <c r="AQ14" s="843">
        <v>0.31974582000000001</v>
      </c>
      <c r="AR14" s="843">
        <v>0.27171142999999998</v>
      </c>
      <c r="AS14" s="843">
        <v>0.22597698999999999</v>
      </c>
      <c r="AT14" s="843">
        <v>0.17776233</v>
      </c>
      <c r="AU14" s="843">
        <v>0.71739769999999992</v>
      </c>
      <c r="AV14" s="843">
        <v>0.64323420999999992</v>
      </c>
      <c r="AW14" s="843">
        <v>2.1314711800000001</v>
      </c>
      <c r="AX14" s="843">
        <v>2.0823724100000001</v>
      </c>
      <c r="AY14" s="843">
        <v>1.9746137099999999</v>
      </c>
      <c r="AZ14" s="843">
        <v>1.97565612</v>
      </c>
      <c r="BA14" s="843">
        <v>1.8584068</v>
      </c>
      <c r="BB14" s="843">
        <v>1.6786282299999997</v>
      </c>
      <c r="BC14" s="843">
        <v>1.5753026999999999</v>
      </c>
      <c r="BD14" s="843">
        <v>8.106130460000001</v>
      </c>
      <c r="BE14" s="843">
        <v>0.16636626000000002</v>
      </c>
      <c r="BF14" s="843">
        <v>0.11708536</v>
      </c>
      <c r="BG14" s="843">
        <v>0.32004645000000004</v>
      </c>
      <c r="BH14" s="886">
        <v>0.29585921999999998</v>
      </c>
      <c r="BI14" s="875">
        <v>0.48639188</v>
      </c>
      <c r="BJ14" s="875">
        <v>2.1503560500000001</v>
      </c>
      <c r="BK14" s="875">
        <v>2.7630819099999999</v>
      </c>
      <c r="BL14" s="875">
        <v>0.31837223000000003</v>
      </c>
      <c r="BM14" s="875">
        <v>0.20333888999999999</v>
      </c>
      <c r="BN14" s="875">
        <v>0.6787724100000001</v>
      </c>
      <c r="BO14" s="875">
        <v>0.66258715999999995</v>
      </c>
      <c r="BP14" s="875">
        <v>0.32717798000000003</v>
      </c>
      <c r="BQ14" s="875">
        <v>0.33957270999999994</v>
      </c>
      <c r="BR14" s="875">
        <v>0.26435327999999997</v>
      </c>
      <c r="BS14" s="875">
        <v>0.22467983</v>
      </c>
      <c r="BT14" s="875">
        <v>0.23786702999999998</v>
      </c>
      <c r="BU14" s="875">
        <v>19.977685779999998</v>
      </c>
      <c r="BV14" s="875">
        <v>0.48522019</v>
      </c>
      <c r="BW14" s="875">
        <v>0.47515215</v>
      </c>
      <c r="BX14" s="875">
        <v>0.49968954999999998</v>
      </c>
      <c r="BY14" s="875">
        <v>0.69937490000000002</v>
      </c>
      <c r="BZ14" s="875">
        <v>0.28276412999999995</v>
      </c>
      <c r="CA14" s="875">
        <v>0.41418199999999999</v>
      </c>
      <c r="CB14" s="875">
        <v>0.40737653000000001</v>
      </c>
      <c r="CC14" s="875">
        <v>0.41175471000000002</v>
      </c>
      <c r="CD14" s="875">
        <v>0.29879290999999997</v>
      </c>
      <c r="CE14" s="875">
        <v>2.0134930600000001</v>
      </c>
      <c r="CF14" s="875">
        <v>3.3967754100000001</v>
      </c>
      <c r="CG14" s="875">
        <v>0.14336361</v>
      </c>
      <c r="CH14" s="875">
        <v>0.39326959</v>
      </c>
      <c r="CI14" s="875">
        <v>0.37409959000000004</v>
      </c>
      <c r="CJ14" s="875">
        <v>0.78994218999999999</v>
      </c>
      <c r="CK14" s="875">
        <v>1.1140366799999999</v>
      </c>
      <c r="CL14" s="875">
        <v>0.50187667000000002</v>
      </c>
      <c r="CM14" s="875">
        <v>0.3212313</v>
      </c>
      <c r="CN14" s="875">
        <v>0.33090890000000001</v>
      </c>
      <c r="CO14" s="875">
        <v>0.37815460000000001</v>
      </c>
      <c r="CP14" s="875">
        <v>0.25926663999999999</v>
      </c>
      <c r="CQ14" s="875">
        <v>0.53626451000000008</v>
      </c>
      <c r="CR14" s="875">
        <v>0.61434560999999999</v>
      </c>
      <c r="CS14" s="875">
        <v>0.75184340000000005</v>
      </c>
      <c r="CT14" s="875">
        <v>1.0246679999999999</v>
      </c>
      <c r="CU14" s="875">
        <v>2.4499153300000001</v>
      </c>
      <c r="CV14" s="875">
        <v>3.1986954700000001</v>
      </c>
      <c r="CW14" s="875">
        <v>2.8694846200000002</v>
      </c>
      <c r="CX14" s="875">
        <v>7.51834442</v>
      </c>
      <c r="CY14" s="875">
        <v>4.7008598800000003</v>
      </c>
      <c r="CZ14" s="875">
        <v>5.3360558400000002</v>
      </c>
      <c r="DA14" s="875">
        <v>2.6319630300000001</v>
      </c>
      <c r="DB14" s="875">
        <v>3.2997145300000001</v>
      </c>
      <c r="DC14" s="875">
        <v>42.403330850000003</v>
      </c>
      <c r="DD14" s="875">
        <v>42.402950109999999</v>
      </c>
      <c r="DE14" s="875">
        <v>44.521829850000003</v>
      </c>
      <c r="DF14" s="875">
        <v>46.639314540000001</v>
      </c>
      <c r="DG14" s="875">
        <v>45.234396709999999</v>
      </c>
      <c r="DH14" s="875">
        <v>43.679613359999998</v>
      </c>
      <c r="DI14" s="875">
        <v>45.583866970000003</v>
      </c>
      <c r="DJ14" s="875">
        <v>44.762636539999995</v>
      </c>
      <c r="DK14" s="875">
        <v>43.473463250000002</v>
      </c>
      <c r="DL14" s="875">
        <v>44.330679629999999</v>
      </c>
      <c r="DM14" s="875">
        <v>38.177557749999998</v>
      </c>
      <c r="DN14" s="875">
        <v>34.4314106</v>
      </c>
      <c r="DO14" s="875">
        <v>29.182469900000001</v>
      </c>
      <c r="DP14" s="875">
        <v>27.811703250000001</v>
      </c>
      <c r="DQ14" s="875">
        <v>0.12651493</v>
      </c>
      <c r="DR14" s="875">
        <v>4.2684375899999996</v>
      </c>
      <c r="DS14" s="875">
        <v>4.31986413</v>
      </c>
      <c r="DT14" s="875">
        <v>4.3180392799999998</v>
      </c>
      <c r="DU14" s="875">
        <v>3.8348396999999999</v>
      </c>
      <c r="DV14" s="875">
        <v>3.37831489</v>
      </c>
      <c r="DW14" s="875">
        <v>3.3015791999999999</v>
      </c>
      <c r="DX14" s="875">
        <v>2.2355079500000001</v>
      </c>
      <c r="DY14" s="875">
        <v>2.2585728899999999</v>
      </c>
      <c r="DZ14" s="875">
        <v>2.5916023899999998</v>
      </c>
      <c r="EA14" s="875">
        <v>1.47954586</v>
      </c>
      <c r="EB14" s="875">
        <v>1.4498287700000001</v>
      </c>
      <c r="EC14" s="875">
        <v>1.3779375300000001</v>
      </c>
      <c r="ED14" s="875">
        <v>0.59342698000000005</v>
      </c>
      <c r="EE14" s="875">
        <v>0.33279955</v>
      </c>
      <c r="EF14" s="875">
        <v>0.26953853999999999</v>
      </c>
      <c r="EG14" s="875">
        <v>0.33860684000000002</v>
      </c>
      <c r="EH14" s="875">
        <v>0.48107171999999998</v>
      </c>
      <c r="EI14" s="875">
        <v>0.43068561</v>
      </c>
      <c r="EJ14" s="875">
        <v>0.38334380000000001</v>
      </c>
      <c r="EK14" s="875">
        <v>0.43366624999999998</v>
      </c>
      <c r="EL14" s="875">
        <v>0.48878717999999999</v>
      </c>
      <c r="EM14" s="875">
        <v>0.47661130000000002</v>
      </c>
      <c r="EN14" s="875">
        <v>0.41111818999999999</v>
      </c>
      <c r="EO14" s="875">
        <v>1.7261759299999999</v>
      </c>
      <c r="EP14" s="875">
        <v>0.35359638999999998</v>
      </c>
      <c r="EQ14" s="875">
        <v>0.43286951000000001</v>
      </c>
      <c r="ER14" s="875">
        <v>0.40880336</v>
      </c>
      <c r="ES14" s="875">
        <v>0.38450821000000002</v>
      </c>
      <c r="ET14" s="875">
        <v>0.40934471</v>
      </c>
      <c r="EU14" s="1920" t="s">
        <v>4086</v>
      </c>
    </row>
    <row r="15" spans="1:151" ht="21">
      <c r="A15" s="1931" t="s">
        <v>1975</v>
      </c>
      <c r="B15" s="851">
        <f>+B13-B14</f>
        <v>542.29163200000005</v>
      </c>
      <c r="C15" s="851">
        <f t="shared" ref="C15:V15" si="2">+C13-C14</f>
        <v>458.51870986999995</v>
      </c>
      <c r="D15" s="851">
        <f t="shared" si="2"/>
        <v>463.78055070000005</v>
      </c>
      <c r="E15" s="851">
        <f t="shared" si="2"/>
        <v>465.80552385000004</v>
      </c>
      <c r="F15" s="851">
        <f t="shared" si="2"/>
        <v>473.66097110000004</v>
      </c>
      <c r="G15" s="851">
        <f t="shared" si="2"/>
        <v>481.69875320000006</v>
      </c>
      <c r="H15" s="851">
        <f t="shared" si="2"/>
        <v>497.33783546999996</v>
      </c>
      <c r="I15" s="851">
        <f t="shared" si="2"/>
        <v>499.72132711999996</v>
      </c>
      <c r="J15" s="851">
        <f t="shared" si="2"/>
        <v>499.78201942999999</v>
      </c>
      <c r="K15" s="851">
        <f t="shared" si="2"/>
        <v>517.51684423999995</v>
      </c>
      <c r="L15" s="851">
        <f t="shared" si="2"/>
        <v>518.94270989999995</v>
      </c>
      <c r="M15" s="843">
        <f>+M13-M14</f>
        <v>470.68295888</v>
      </c>
      <c r="N15" s="843">
        <f t="shared" si="2"/>
        <v>464.70559531000004</v>
      </c>
      <c r="O15" s="843">
        <f t="shared" si="2"/>
        <v>487.54240768</v>
      </c>
      <c r="P15" s="843">
        <f t="shared" si="2"/>
        <v>506.69785514000006</v>
      </c>
      <c r="Q15" s="843">
        <f t="shared" si="2"/>
        <v>482.85547074999999</v>
      </c>
      <c r="R15" s="843">
        <f t="shared" si="2"/>
        <v>430.91107833000001</v>
      </c>
      <c r="S15" s="843">
        <f t="shared" si="2"/>
        <v>443.90143778000004</v>
      </c>
      <c r="T15" s="843">
        <f t="shared" si="2"/>
        <v>442.70461832000001</v>
      </c>
      <c r="U15" s="843">
        <f t="shared" si="2"/>
        <v>440.63098733999993</v>
      </c>
      <c r="V15" s="843">
        <f t="shared" si="2"/>
        <v>443.12727265000001</v>
      </c>
      <c r="W15" s="843">
        <v>454.07596101999997</v>
      </c>
      <c r="X15" s="843">
        <v>463.21708185</v>
      </c>
      <c r="Y15" s="843">
        <v>506.80783687000002</v>
      </c>
      <c r="Z15" s="843">
        <v>487.00483278000002</v>
      </c>
      <c r="AA15" s="843">
        <v>573.15181193000001</v>
      </c>
      <c r="AB15" s="843">
        <f>+AB13-AB14</f>
        <v>571.73076385000002</v>
      </c>
      <c r="AC15" s="843">
        <v>562.48576331000015</v>
      </c>
      <c r="AD15" s="843">
        <v>562.48576331000015</v>
      </c>
      <c r="AE15" s="843">
        <v>526.65040391000002</v>
      </c>
      <c r="AF15" s="843">
        <v>507.55604946999995</v>
      </c>
      <c r="AG15" s="843">
        <v>468.51790028000005</v>
      </c>
      <c r="AH15" s="843">
        <f>+AH13-AH14</f>
        <v>451.38602273999999</v>
      </c>
      <c r="AI15" s="843">
        <v>468.40333678999997</v>
      </c>
      <c r="AJ15" s="843">
        <f>+AJ13-AJ14</f>
        <v>461.1910709</v>
      </c>
      <c r="AK15" s="843">
        <f>+AK13-AK14</f>
        <v>582.78026919000001</v>
      </c>
      <c r="AL15" s="843">
        <v>541.93770760999996</v>
      </c>
      <c r="AM15" s="843">
        <f>+AM13-AM14</f>
        <v>527.51564914000005</v>
      </c>
      <c r="AN15" s="843">
        <f>+AN13-AN14</f>
        <v>520.18482901999994</v>
      </c>
      <c r="AO15" s="843">
        <f>+AO13-AO14</f>
        <v>461.34695836999998</v>
      </c>
      <c r="AP15" s="843">
        <v>470.12511033999999</v>
      </c>
      <c r="AQ15" s="843">
        <v>501.09238544000004</v>
      </c>
      <c r="AR15" s="843">
        <v>435.05967047000007</v>
      </c>
      <c r="AS15" s="843">
        <v>466.52661611000002</v>
      </c>
      <c r="AT15" s="843">
        <f>+AT13-AT14</f>
        <v>466.10181462000003</v>
      </c>
      <c r="AU15" s="843">
        <v>485.22215455999998</v>
      </c>
      <c r="AV15" s="843">
        <v>506.13694781999999</v>
      </c>
      <c r="AW15" s="843">
        <v>564.27799510000011</v>
      </c>
      <c r="AX15" s="843">
        <v>534.25638746000004</v>
      </c>
      <c r="AY15" s="843">
        <v>492.54153213000006</v>
      </c>
      <c r="AZ15" s="843">
        <v>536.30797519999999</v>
      </c>
      <c r="BA15" s="843">
        <v>542.05561774000012</v>
      </c>
      <c r="BB15" s="843">
        <v>532.25461235000012</v>
      </c>
      <c r="BC15" s="843">
        <v>482.16149424999998</v>
      </c>
      <c r="BD15" s="843">
        <f>+BD13-BD14</f>
        <v>419.44870632000004</v>
      </c>
      <c r="BE15" s="843">
        <v>389.35163210999997</v>
      </c>
      <c r="BF15" s="843">
        <v>473.74166244000008</v>
      </c>
      <c r="BG15" s="843">
        <v>416.04919917000001</v>
      </c>
      <c r="BH15" s="886">
        <v>401.43515005000006</v>
      </c>
      <c r="BI15" s="875">
        <v>347.73824799000005</v>
      </c>
      <c r="BJ15" s="875">
        <v>413.15093064000001</v>
      </c>
      <c r="BK15" s="875">
        <v>408.83376053000006</v>
      </c>
      <c r="BL15" s="875">
        <v>405.76254077999999</v>
      </c>
      <c r="BM15" s="875">
        <v>403.10142186000002</v>
      </c>
      <c r="BN15" s="875">
        <v>408.02598265</v>
      </c>
      <c r="BO15" s="875">
        <v>429.44739013999998</v>
      </c>
      <c r="BP15" s="875">
        <v>430.13954125000004</v>
      </c>
      <c r="BQ15" s="875">
        <v>428.41854117999998</v>
      </c>
      <c r="BR15" s="875">
        <v>467.06802320999998</v>
      </c>
      <c r="BS15" s="875">
        <v>477.41441049999997</v>
      </c>
      <c r="BT15" s="875">
        <v>510.35275208000002</v>
      </c>
      <c r="BU15" s="875">
        <v>551.7306304199999</v>
      </c>
      <c r="BV15" s="875">
        <v>481.69333247999998</v>
      </c>
      <c r="BW15" s="875">
        <v>482.08450567</v>
      </c>
      <c r="BX15" s="875">
        <v>482.54292227000002</v>
      </c>
      <c r="BY15" s="875">
        <v>477.62325231999995</v>
      </c>
      <c r="BZ15" s="875">
        <v>483.27392111</v>
      </c>
      <c r="CA15" s="875">
        <v>495.66004479000003</v>
      </c>
      <c r="CB15" s="875">
        <v>490.78138326999999</v>
      </c>
      <c r="CC15" s="875">
        <v>505.93561985999997</v>
      </c>
      <c r="CD15" s="875">
        <v>540.56919005999998</v>
      </c>
      <c r="CE15" s="875">
        <f t="shared" ref="CE15:CO15" si="3">+CE13-CE14</f>
        <v>556.91467910000006</v>
      </c>
      <c r="CF15" s="875">
        <f t="shared" si="3"/>
        <v>605.46982805999994</v>
      </c>
      <c r="CG15" s="875">
        <f t="shared" si="3"/>
        <v>601.54946490999998</v>
      </c>
      <c r="CH15" s="875">
        <f t="shared" si="3"/>
        <v>571.50103801</v>
      </c>
      <c r="CI15" s="875">
        <f t="shared" si="3"/>
        <v>639.70300992</v>
      </c>
      <c r="CJ15" s="875">
        <f t="shared" si="3"/>
        <v>644.68856855000001</v>
      </c>
      <c r="CK15" s="875">
        <f t="shared" si="3"/>
        <v>673.99266058000012</v>
      </c>
      <c r="CL15" s="875">
        <f t="shared" si="3"/>
        <v>679.68686737000007</v>
      </c>
      <c r="CM15" s="875">
        <f t="shared" si="3"/>
        <v>663.27010994</v>
      </c>
      <c r="CN15" s="875">
        <f t="shared" si="3"/>
        <v>675.17213326000001</v>
      </c>
      <c r="CO15" s="875">
        <f t="shared" si="3"/>
        <v>674.03859384999998</v>
      </c>
      <c r="CP15" s="875">
        <f>+CP13-CP14</f>
        <v>651.67175308000003</v>
      </c>
      <c r="CQ15" s="875">
        <f>+CQ13-CQ14</f>
        <v>640.34281133999991</v>
      </c>
      <c r="CR15" s="875">
        <f>+CR13-CR14</f>
        <v>674.84456134999994</v>
      </c>
      <c r="CS15" s="875">
        <v>652.29943053</v>
      </c>
      <c r="CT15" s="875">
        <v>663.65487711000003</v>
      </c>
      <c r="CU15" s="875">
        <v>701.86704114999998</v>
      </c>
      <c r="CV15" s="875">
        <v>688.59995077999997</v>
      </c>
      <c r="CW15" s="875">
        <v>705.29449189000002</v>
      </c>
      <c r="CX15" s="875">
        <v>711.41633635000005</v>
      </c>
      <c r="CY15" s="875">
        <v>719.73894631999997</v>
      </c>
      <c r="CZ15" s="875">
        <v>745.67333513999995</v>
      </c>
      <c r="DA15" s="875">
        <v>748.93830590000005</v>
      </c>
      <c r="DB15" s="875">
        <v>775.01675823999994</v>
      </c>
      <c r="DC15" s="875">
        <v>843.30206777000001</v>
      </c>
      <c r="DD15" s="875">
        <v>892.90074550999998</v>
      </c>
      <c r="DE15" s="875">
        <v>922.92938963999995</v>
      </c>
      <c r="DF15" s="875">
        <v>923.87677216999998</v>
      </c>
      <c r="DG15" s="875">
        <v>972.72809833999997</v>
      </c>
      <c r="DH15" s="875">
        <v>1000.42146177</v>
      </c>
      <c r="DI15" s="875">
        <v>1081.9521904200001</v>
      </c>
      <c r="DJ15" s="875">
        <v>1033.1317339700001</v>
      </c>
      <c r="DK15" s="875">
        <v>1046.74673029</v>
      </c>
      <c r="DL15" s="875">
        <v>1034.5319731100001</v>
      </c>
      <c r="DM15" s="875">
        <v>1059.04732775</v>
      </c>
      <c r="DN15" s="875">
        <v>1093.1869863300001</v>
      </c>
      <c r="DO15" s="875">
        <v>1098.3094311100001</v>
      </c>
      <c r="DP15" s="875">
        <v>1091.4436731000001</v>
      </c>
      <c r="DQ15" s="875">
        <v>1102.89657992</v>
      </c>
      <c r="DR15" s="875">
        <v>1069.63048847</v>
      </c>
      <c r="DS15" s="875">
        <v>1058.6979107</v>
      </c>
      <c r="DT15" s="875">
        <v>1048.4471142100001</v>
      </c>
      <c r="DU15" s="875">
        <v>1079.94590292</v>
      </c>
      <c r="DV15" s="875">
        <v>1092.2507340300001</v>
      </c>
      <c r="DW15" s="875">
        <v>1110.71126035</v>
      </c>
      <c r="DX15" s="875">
        <v>1062.91879799</v>
      </c>
      <c r="DY15" s="875">
        <v>1099.48545399</v>
      </c>
      <c r="DZ15" s="875">
        <v>1159.25905104</v>
      </c>
      <c r="EA15" s="875">
        <v>1165.0562491999999</v>
      </c>
      <c r="EB15" s="875">
        <v>1202.58102616</v>
      </c>
      <c r="EC15" s="875">
        <v>1194.9460883100001</v>
      </c>
      <c r="ED15" s="875">
        <v>1148.2944590499999</v>
      </c>
      <c r="EE15" s="875">
        <v>1139.6516261500001</v>
      </c>
      <c r="EF15" s="875">
        <v>1133.21018344</v>
      </c>
      <c r="EG15" s="875">
        <v>1141.92977531</v>
      </c>
      <c r="EH15" s="875">
        <v>1172.5785939899999</v>
      </c>
      <c r="EI15" s="875">
        <v>1138.89198188</v>
      </c>
      <c r="EJ15" s="875">
        <v>1164.6038783399999</v>
      </c>
      <c r="EK15" s="875">
        <v>1159.9426570200001</v>
      </c>
      <c r="EL15" s="875">
        <v>1258.70590354</v>
      </c>
      <c r="EM15" s="875">
        <v>1236.7439566400001</v>
      </c>
      <c r="EN15" s="875">
        <v>1270.2419579100001</v>
      </c>
      <c r="EO15" s="875">
        <v>1392.0217436800001</v>
      </c>
      <c r="EP15" s="875">
        <v>1387.4070269599999</v>
      </c>
      <c r="EQ15" s="875">
        <v>1444.6574876300001</v>
      </c>
      <c r="ER15" s="875">
        <v>1437.39077449</v>
      </c>
      <c r="ES15" s="875">
        <v>1419.2751416799999</v>
      </c>
      <c r="ET15" s="875">
        <v>1463.9339562099999</v>
      </c>
      <c r="EU15" s="1920" t="s">
        <v>4085</v>
      </c>
    </row>
    <row r="16" spans="1:151" ht="21">
      <c r="A16" s="1928"/>
      <c r="B16" s="850"/>
      <c r="C16" s="850"/>
      <c r="D16" s="850"/>
      <c r="E16" s="850"/>
      <c r="F16" s="850"/>
      <c r="G16" s="850"/>
      <c r="H16" s="850"/>
      <c r="I16" s="850"/>
      <c r="J16" s="850"/>
      <c r="K16" s="850"/>
      <c r="L16" s="850"/>
      <c r="M16" s="840"/>
      <c r="N16" s="840"/>
      <c r="O16" s="840"/>
      <c r="P16" s="840"/>
      <c r="Q16" s="840"/>
      <c r="R16" s="840"/>
      <c r="S16" s="840"/>
      <c r="T16" s="840"/>
      <c r="U16" s="840"/>
      <c r="V16" s="840"/>
      <c r="W16" s="840"/>
      <c r="X16" s="840"/>
      <c r="Y16" s="840"/>
      <c r="Z16" s="840"/>
      <c r="AA16" s="840"/>
      <c r="AB16" s="840"/>
      <c r="AC16" s="840"/>
      <c r="AD16" s="840"/>
      <c r="AE16" s="840"/>
      <c r="AF16" s="840"/>
      <c r="AG16" s="840"/>
      <c r="AH16" s="840"/>
      <c r="AI16" s="840"/>
      <c r="AJ16" s="840"/>
      <c r="AK16" s="840"/>
      <c r="AL16" s="840"/>
      <c r="AM16" s="840"/>
      <c r="AN16" s="840"/>
      <c r="AO16" s="840"/>
      <c r="AP16" s="840"/>
      <c r="AQ16" s="840"/>
      <c r="AR16" s="840"/>
      <c r="AS16" s="840"/>
      <c r="AT16" s="840"/>
      <c r="AU16" s="840"/>
      <c r="AV16" s="840"/>
      <c r="AW16" s="840"/>
      <c r="AX16" s="840"/>
      <c r="AY16" s="840"/>
      <c r="AZ16" s="840"/>
      <c r="BA16" s="840"/>
      <c r="BB16" s="840"/>
      <c r="BC16" s="840"/>
      <c r="BD16" s="840"/>
      <c r="BE16" s="840"/>
      <c r="BF16" s="840"/>
      <c r="BG16" s="840"/>
      <c r="BH16" s="885"/>
      <c r="BI16" s="874"/>
      <c r="BJ16" s="874"/>
      <c r="BK16" s="874"/>
      <c r="BL16" s="874"/>
      <c r="BM16" s="874"/>
      <c r="BN16" s="874"/>
      <c r="BO16" s="874"/>
      <c r="BP16" s="874"/>
      <c r="BQ16" s="874"/>
      <c r="BR16" s="874"/>
      <c r="BS16" s="874"/>
      <c r="BT16" s="874"/>
      <c r="BU16" s="874"/>
      <c r="BV16" s="874"/>
      <c r="BW16" s="874"/>
      <c r="BX16" s="874"/>
      <c r="BY16" s="874"/>
      <c r="BZ16" s="874"/>
      <c r="CA16" s="874"/>
      <c r="CB16" s="874"/>
      <c r="CC16" s="874"/>
      <c r="CD16" s="874"/>
      <c r="CE16" s="874"/>
      <c r="CF16" s="874"/>
      <c r="CG16" s="874"/>
      <c r="CH16" s="874"/>
      <c r="CI16" s="874"/>
      <c r="CJ16" s="874"/>
      <c r="CK16" s="874"/>
      <c r="CL16" s="874"/>
      <c r="CM16" s="876"/>
      <c r="CN16" s="876"/>
      <c r="CO16" s="876"/>
      <c r="CP16" s="876"/>
      <c r="CQ16" s="876"/>
      <c r="CR16" s="876"/>
      <c r="CS16" s="876"/>
      <c r="CT16" s="876"/>
      <c r="CU16" s="876"/>
      <c r="CV16" s="876"/>
      <c r="CW16" s="876"/>
      <c r="CX16" s="876"/>
      <c r="CY16" s="876"/>
      <c r="CZ16" s="876"/>
      <c r="DA16" s="876"/>
      <c r="DB16" s="876"/>
      <c r="DC16" s="876"/>
      <c r="DD16" s="876"/>
      <c r="DE16" s="876"/>
      <c r="DF16" s="876"/>
      <c r="DG16" s="876"/>
      <c r="DH16" s="876"/>
      <c r="DI16" s="876"/>
      <c r="DJ16" s="876"/>
      <c r="DK16" s="876"/>
      <c r="DL16" s="876"/>
      <c r="DM16" s="876"/>
      <c r="DN16" s="876"/>
      <c r="DO16" s="876"/>
      <c r="DP16" s="876"/>
      <c r="DQ16" s="876"/>
      <c r="DR16" s="876"/>
      <c r="DS16" s="876"/>
      <c r="DT16" s="876"/>
      <c r="DU16" s="876"/>
      <c r="DV16" s="876"/>
      <c r="DW16" s="876"/>
      <c r="DX16" s="876"/>
      <c r="DY16" s="876"/>
      <c r="DZ16" s="876"/>
      <c r="EA16" s="876"/>
      <c r="EB16" s="876"/>
      <c r="EC16" s="876"/>
      <c r="ED16" s="876"/>
      <c r="EE16" s="876"/>
      <c r="EF16" s="876"/>
      <c r="EG16" s="876"/>
      <c r="EH16" s="876"/>
      <c r="EI16" s="876"/>
      <c r="EJ16" s="876"/>
      <c r="EK16" s="876"/>
      <c r="EL16" s="876"/>
      <c r="EM16" s="876"/>
      <c r="EN16" s="876"/>
      <c r="EO16" s="876"/>
      <c r="EP16" s="876"/>
      <c r="EQ16" s="876"/>
      <c r="ER16" s="876"/>
      <c r="ES16" s="876"/>
      <c r="ET16" s="876"/>
      <c r="EU16" s="1921"/>
    </row>
    <row r="17" spans="1:151" ht="21">
      <c r="A17" s="1952" t="s">
        <v>189</v>
      </c>
      <c r="B17" s="851">
        <v>360.45105895</v>
      </c>
      <c r="C17" s="851">
        <v>318.24233717999994</v>
      </c>
      <c r="D17" s="851">
        <v>313.43647246</v>
      </c>
      <c r="E17" s="851">
        <v>321.85083830999997</v>
      </c>
      <c r="F17" s="851">
        <v>334.12885825000001</v>
      </c>
      <c r="G17" s="851">
        <v>339.79430869000004</v>
      </c>
      <c r="H17" s="851">
        <v>361.71528766</v>
      </c>
      <c r="I17" s="851">
        <v>366.94614264000001</v>
      </c>
      <c r="J17" s="851">
        <v>358.76903904</v>
      </c>
      <c r="K17" s="851">
        <v>365.45385947999995</v>
      </c>
      <c r="L17" s="851">
        <v>364.07256399000005</v>
      </c>
      <c r="M17" s="840">
        <v>330.06307307999998</v>
      </c>
      <c r="N17" s="843">
        <v>316.35718559999998</v>
      </c>
      <c r="O17" s="843">
        <v>336.98047983999999</v>
      </c>
      <c r="P17" s="843">
        <v>344.98320585000005</v>
      </c>
      <c r="Q17" s="843">
        <v>322.91731682</v>
      </c>
      <c r="R17" s="843">
        <v>264.36694292999999</v>
      </c>
      <c r="S17" s="843">
        <v>274.35295033000006</v>
      </c>
      <c r="T17" s="843">
        <v>270.74685861000006</v>
      </c>
      <c r="U17" s="843">
        <v>269.53188184999999</v>
      </c>
      <c r="V17" s="843">
        <v>279.76783842000003</v>
      </c>
      <c r="W17" s="843">
        <v>281.97814194</v>
      </c>
      <c r="X17" s="843">
        <v>293.53989395000002</v>
      </c>
      <c r="Y17" s="840">
        <v>324.57534614000002</v>
      </c>
      <c r="Z17" s="843">
        <v>324.57534614000002</v>
      </c>
      <c r="AA17" s="843">
        <v>305.508174</v>
      </c>
      <c r="AB17" s="840">
        <v>304.52716656000001</v>
      </c>
      <c r="AC17" s="840">
        <v>287.61634137000004</v>
      </c>
      <c r="AD17" s="840">
        <v>255.97855405999999</v>
      </c>
      <c r="AE17" s="840">
        <v>246.47158616000002</v>
      </c>
      <c r="AF17" s="840">
        <v>237.40004367</v>
      </c>
      <c r="AG17" s="840">
        <v>237.86356160000003</v>
      </c>
      <c r="AH17" s="840">
        <v>203.50431107</v>
      </c>
      <c r="AI17" s="840">
        <v>242.72090075</v>
      </c>
      <c r="AJ17" s="840">
        <v>202.07795525</v>
      </c>
      <c r="AK17" s="840">
        <v>184.02105592000001</v>
      </c>
      <c r="AL17" s="840">
        <v>159.40219552000002</v>
      </c>
      <c r="AM17" s="840">
        <v>160.21408177000001</v>
      </c>
      <c r="AN17" s="840">
        <v>140.60697213999998</v>
      </c>
      <c r="AO17" s="840">
        <v>128.49288503</v>
      </c>
      <c r="AP17" s="840">
        <v>130.34616259000001</v>
      </c>
      <c r="AQ17" s="840">
        <v>138.47085386000003</v>
      </c>
      <c r="AR17" s="840">
        <v>167.38797790000001</v>
      </c>
      <c r="AS17" s="840">
        <v>182.07254061</v>
      </c>
      <c r="AT17" s="840">
        <v>185.56536626000002</v>
      </c>
      <c r="AU17" s="840">
        <v>190.90417069</v>
      </c>
      <c r="AV17" s="840">
        <v>193.89083522000001</v>
      </c>
      <c r="AW17" s="840">
        <v>237.55405096000001</v>
      </c>
      <c r="AX17" s="840">
        <v>219.55976458000001</v>
      </c>
      <c r="AY17" s="840">
        <v>214.63326011000001</v>
      </c>
      <c r="AZ17" s="840">
        <v>248.24516326</v>
      </c>
      <c r="BA17" s="840">
        <v>253.49772682000003</v>
      </c>
      <c r="BB17" s="840">
        <v>255.56670777000002</v>
      </c>
      <c r="BC17" s="840">
        <v>234.99510544000003</v>
      </c>
      <c r="BD17" s="840">
        <v>155.45955909000003</v>
      </c>
      <c r="BE17" s="840">
        <v>149.00460891</v>
      </c>
      <c r="BF17" s="840">
        <v>153.77621406</v>
      </c>
      <c r="BG17" s="840">
        <v>158.63819907000001</v>
      </c>
      <c r="BH17" s="885">
        <v>139.16558626000003</v>
      </c>
      <c r="BI17" s="874">
        <v>133.14141452000001</v>
      </c>
      <c r="BJ17" s="874">
        <v>157.83559736000001</v>
      </c>
      <c r="BK17" s="874">
        <v>167.30818128999999</v>
      </c>
      <c r="BL17" s="874">
        <v>164.62750359</v>
      </c>
      <c r="BM17" s="874">
        <v>160.60483623000002</v>
      </c>
      <c r="BN17" s="874">
        <v>166.34017061000003</v>
      </c>
      <c r="BO17" s="874">
        <v>178.54988994999999</v>
      </c>
      <c r="BP17" s="874">
        <v>174.38570898</v>
      </c>
      <c r="BQ17" s="874">
        <v>182.85013850000001</v>
      </c>
      <c r="BR17" s="874">
        <v>180.84660663999998</v>
      </c>
      <c r="BS17" s="874">
        <v>183.08964907000001</v>
      </c>
      <c r="BT17" s="874">
        <v>213.45002787000001</v>
      </c>
      <c r="BU17" s="874">
        <v>263.06649168000001</v>
      </c>
      <c r="BV17" s="874">
        <v>235.82993969</v>
      </c>
      <c r="BW17" s="874">
        <v>239.37729684000001</v>
      </c>
      <c r="BX17" s="874">
        <v>228.21902999000002</v>
      </c>
      <c r="BY17" s="874">
        <v>222.96469893</v>
      </c>
      <c r="BZ17" s="874">
        <v>230.34543789</v>
      </c>
      <c r="CA17" s="874">
        <v>248.29188327</v>
      </c>
      <c r="CB17" s="874">
        <v>250.23764731</v>
      </c>
      <c r="CC17" s="874">
        <v>275.1613433</v>
      </c>
      <c r="CD17" s="874">
        <v>284.31871843000005</v>
      </c>
      <c r="CE17" s="874">
        <v>298.47361185</v>
      </c>
      <c r="CF17" s="874">
        <v>329.35263246</v>
      </c>
      <c r="CG17" s="874">
        <v>336.04326756</v>
      </c>
      <c r="CH17" s="874">
        <v>317.42122813999998</v>
      </c>
      <c r="CI17" s="874">
        <v>365.36718913000004</v>
      </c>
      <c r="CJ17" s="874">
        <v>402.64771755999999</v>
      </c>
      <c r="CK17" s="874">
        <v>442.10030165000006</v>
      </c>
      <c r="CL17" s="874">
        <v>477.45576204000002</v>
      </c>
      <c r="CM17" s="874">
        <v>468.29573277000003</v>
      </c>
      <c r="CN17" s="874">
        <v>485.50756532000003</v>
      </c>
      <c r="CO17" s="874">
        <v>485.92494305999998</v>
      </c>
      <c r="CP17" s="874">
        <v>460.13635391999998</v>
      </c>
      <c r="CQ17" s="874">
        <v>447.90406089999993</v>
      </c>
      <c r="CR17" s="874">
        <v>479.89091425999993</v>
      </c>
      <c r="CS17" s="874">
        <v>471.31668482000003</v>
      </c>
      <c r="CT17" s="874">
        <v>490.27216124</v>
      </c>
      <c r="CU17" s="874">
        <v>519.11666673000002</v>
      </c>
      <c r="CV17" s="874">
        <v>502.20995213999998</v>
      </c>
      <c r="CW17" s="874">
        <v>506.78810271999998</v>
      </c>
      <c r="CX17" s="874">
        <v>508.20650544</v>
      </c>
      <c r="CY17" s="874">
        <v>500.25022797999998</v>
      </c>
      <c r="CZ17" s="874">
        <v>510.37582484000001</v>
      </c>
      <c r="DA17" s="874">
        <v>491.40866926000001</v>
      </c>
      <c r="DB17" s="874">
        <v>486.02634595000001</v>
      </c>
      <c r="DC17" s="874">
        <v>517.46571122</v>
      </c>
      <c r="DD17" s="874">
        <v>550.48439597000004</v>
      </c>
      <c r="DE17" s="874">
        <v>566.48155052000004</v>
      </c>
      <c r="DF17" s="874">
        <v>538.77258428000005</v>
      </c>
      <c r="DG17" s="874">
        <v>580.18168495999998</v>
      </c>
      <c r="DH17" s="874">
        <v>594.67004765000001</v>
      </c>
      <c r="DI17" s="874">
        <v>675.64715052999998</v>
      </c>
      <c r="DJ17" s="874">
        <v>620.91431474000001</v>
      </c>
      <c r="DK17" s="874">
        <v>627.85407011999996</v>
      </c>
      <c r="DL17" s="874">
        <v>633.92985876</v>
      </c>
      <c r="DM17" s="874">
        <v>646.27646086000004</v>
      </c>
      <c r="DN17" s="874">
        <v>676.63606945000004</v>
      </c>
      <c r="DO17" s="874">
        <v>690.33925867999994</v>
      </c>
      <c r="DP17" s="874">
        <v>699.07398133000004</v>
      </c>
      <c r="DQ17" s="874">
        <v>734.98486840999999</v>
      </c>
      <c r="DR17" s="874">
        <v>715.38807298999996</v>
      </c>
      <c r="DS17" s="874">
        <v>702.93222160000005</v>
      </c>
      <c r="DT17" s="874">
        <v>710.93280763999996</v>
      </c>
      <c r="DU17" s="874">
        <v>735.26582646999998</v>
      </c>
      <c r="DV17" s="874">
        <v>744.78299484000001</v>
      </c>
      <c r="DW17" s="874">
        <v>752.10293591000004</v>
      </c>
      <c r="DX17" s="874">
        <v>738.53002537999998</v>
      </c>
      <c r="DY17" s="874">
        <v>758.34435919999999</v>
      </c>
      <c r="DZ17" s="874">
        <v>796.45914569000001</v>
      </c>
      <c r="EA17" s="874">
        <v>791.48623136000003</v>
      </c>
      <c r="EB17" s="874">
        <v>819.31239854</v>
      </c>
      <c r="EC17" s="874">
        <v>823.44251924000002</v>
      </c>
      <c r="ED17" s="874">
        <v>785.56919701000004</v>
      </c>
      <c r="EE17" s="874">
        <v>788.97981824999999</v>
      </c>
      <c r="EF17" s="874">
        <v>781.00819674000002</v>
      </c>
      <c r="EG17" s="874">
        <v>795.87121032000005</v>
      </c>
      <c r="EH17" s="874">
        <v>824.25679371000001</v>
      </c>
      <c r="EI17" s="874">
        <v>792.08020101</v>
      </c>
      <c r="EJ17" s="874">
        <v>804.99283928</v>
      </c>
      <c r="EK17" s="874">
        <v>800.57546720000005</v>
      </c>
      <c r="EL17" s="874">
        <v>886.96783688000005</v>
      </c>
      <c r="EM17" s="874">
        <v>892.00167574</v>
      </c>
      <c r="EN17" s="874">
        <v>914.21535891999997</v>
      </c>
      <c r="EO17" s="874">
        <v>1011.79597525</v>
      </c>
      <c r="EP17" s="874">
        <v>1012.60860421</v>
      </c>
      <c r="EQ17" s="874">
        <v>1043.29979039</v>
      </c>
      <c r="ER17" s="874">
        <v>1051.8744439300001</v>
      </c>
      <c r="ES17" s="874">
        <v>1044.87418637</v>
      </c>
      <c r="ET17" s="874">
        <v>1109.1018322299999</v>
      </c>
      <c r="EU17" s="1922" t="s">
        <v>212</v>
      </c>
    </row>
    <row r="18" spans="1:151" ht="21">
      <c r="A18" s="1953" t="s">
        <v>1974</v>
      </c>
      <c r="B18" s="850">
        <v>2.68189615</v>
      </c>
      <c r="C18" s="850">
        <v>2.63905915</v>
      </c>
      <c r="D18" s="850">
        <v>2.4680260000000001</v>
      </c>
      <c r="E18" s="850">
        <v>2.5342519999999999</v>
      </c>
      <c r="F18" s="850">
        <v>2.3572949100000002</v>
      </c>
      <c r="G18" s="850">
        <v>2.39434814</v>
      </c>
      <c r="H18" s="850">
        <v>2.21869454</v>
      </c>
      <c r="I18" s="850">
        <v>2.2175730099999997</v>
      </c>
      <c r="J18" s="850">
        <v>2.1327968099999999</v>
      </c>
      <c r="K18" s="850">
        <v>0.15235691000000001</v>
      </c>
      <c r="L18" s="850">
        <v>0.29234622999999998</v>
      </c>
      <c r="M18" s="843">
        <v>2.1634501200000003</v>
      </c>
      <c r="N18" s="840">
        <v>2.1362026600000004</v>
      </c>
      <c r="O18" s="840">
        <v>2.3648737299999998</v>
      </c>
      <c r="P18" s="840">
        <v>5.0940708700000004</v>
      </c>
      <c r="Q18" s="840">
        <v>6.8845715300000005</v>
      </c>
      <c r="R18" s="840">
        <v>2.0787792600000001</v>
      </c>
      <c r="S18" s="840">
        <v>2.06074666</v>
      </c>
      <c r="T18" s="840">
        <v>7.6648350000000004E-2</v>
      </c>
      <c r="U18" s="840">
        <v>5.512247E-2</v>
      </c>
      <c r="V18" s="840">
        <v>4.9718999999999999E-2</v>
      </c>
      <c r="W18" s="840">
        <v>4.4072029999999998E-2</v>
      </c>
      <c r="X18" s="840">
        <v>0.35506119000000003</v>
      </c>
      <c r="Y18" s="843">
        <v>0.23989473</v>
      </c>
      <c r="Z18" s="840">
        <v>0.23989473</v>
      </c>
      <c r="AA18" s="840">
        <v>0.79525460999999997</v>
      </c>
      <c r="AB18" s="843">
        <v>0.82855666000000006</v>
      </c>
      <c r="AC18" s="843">
        <v>0.80240469999999997</v>
      </c>
      <c r="AD18" s="843">
        <v>0.67687842000000009</v>
      </c>
      <c r="AE18" s="843">
        <v>0.6689949300000001</v>
      </c>
      <c r="AF18" s="843">
        <v>0.65812754000000007</v>
      </c>
      <c r="AG18" s="843">
        <v>0.65335885999999999</v>
      </c>
      <c r="AH18" s="843">
        <v>0.65129349999999997</v>
      </c>
      <c r="AI18" s="843">
        <v>0.92715848999999995</v>
      </c>
      <c r="AJ18" s="843">
        <v>0.92354548999999997</v>
      </c>
      <c r="AK18" s="843">
        <v>0.52880282999999995</v>
      </c>
      <c r="AL18" s="843">
        <v>0.39843284999999995</v>
      </c>
      <c r="AM18" s="843">
        <v>0.39511707000000001</v>
      </c>
      <c r="AN18" s="843">
        <v>0.29604895000000003</v>
      </c>
      <c r="AO18" s="843">
        <v>0.25150086999999999</v>
      </c>
      <c r="AP18" s="843">
        <v>0.25302477000000001</v>
      </c>
      <c r="AQ18" s="843">
        <v>0.31974582000000001</v>
      </c>
      <c r="AR18" s="843">
        <v>0.27171142999999998</v>
      </c>
      <c r="AS18" s="843">
        <v>0.22597698999999999</v>
      </c>
      <c r="AT18" s="843">
        <v>0.17776233</v>
      </c>
      <c r="AU18" s="843">
        <v>0.71739769999999992</v>
      </c>
      <c r="AV18" s="843">
        <v>0.64323420999999992</v>
      </c>
      <c r="AW18" s="843">
        <v>2.1314711800000001</v>
      </c>
      <c r="AX18" s="843">
        <v>2.0823724100000001</v>
      </c>
      <c r="AY18" s="843">
        <v>1.9746137099999999</v>
      </c>
      <c r="AZ18" s="843">
        <v>1.97565612</v>
      </c>
      <c r="BA18" s="843">
        <v>1.8584068</v>
      </c>
      <c r="BB18" s="843">
        <v>1.6786282299999997</v>
      </c>
      <c r="BC18" s="843">
        <v>1.5753026999999999</v>
      </c>
      <c r="BD18" s="843">
        <v>0.20477506000000001</v>
      </c>
      <c r="BE18" s="843">
        <v>0.16636626000000002</v>
      </c>
      <c r="BF18" s="843">
        <v>0.11708536</v>
      </c>
      <c r="BG18" s="843">
        <v>0.32004645000000004</v>
      </c>
      <c r="BH18" s="886">
        <v>0.29585921999999998</v>
      </c>
      <c r="BI18" s="875">
        <v>0.48638323</v>
      </c>
      <c r="BJ18" s="875">
        <v>0.45024704999999998</v>
      </c>
      <c r="BK18" s="875">
        <v>0.38293305999999999</v>
      </c>
      <c r="BL18" s="875">
        <v>0.31836331000000001</v>
      </c>
      <c r="BM18" s="875">
        <v>0.20333010999999998</v>
      </c>
      <c r="BN18" s="875">
        <v>0.33927396000000004</v>
      </c>
      <c r="BO18" s="875">
        <v>0.32308872</v>
      </c>
      <c r="BP18" s="875">
        <v>0.32716949000000001</v>
      </c>
      <c r="BQ18" s="875">
        <v>0.33956424999999996</v>
      </c>
      <c r="BR18" s="875">
        <v>0.26434484999999996</v>
      </c>
      <c r="BS18" s="875">
        <v>0.22467161999999999</v>
      </c>
      <c r="BT18" s="875">
        <v>0.23785877999999999</v>
      </c>
      <c r="BU18" s="875">
        <v>18.474877489999997</v>
      </c>
      <c r="BV18" s="875">
        <v>0.48521154999999999</v>
      </c>
      <c r="BW18" s="875">
        <v>0.47514391</v>
      </c>
      <c r="BX18" s="875">
        <v>0.49967707</v>
      </c>
      <c r="BY18" s="875">
        <v>0.69936680000000007</v>
      </c>
      <c r="BZ18" s="875">
        <v>0.28275606999999997</v>
      </c>
      <c r="CA18" s="875">
        <v>0.41417377</v>
      </c>
      <c r="CB18" s="875">
        <v>0.40736844999999999</v>
      </c>
      <c r="CC18" s="875">
        <v>0.41174671000000002</v>
      </c>
      <c r="CD18" s="875">
        <v>0.29878485999999999</v>
      </c>
      <c r="CE18" s="875">
        <v>0.51238484000000006</v>
      </c>
      <c r="CF18" s="875">
        <v>0.62058140000000006</v>
      </c>
      <c r="CG18" s="875">
        <v>0.14326959</v>
      </c>
      <c r="CH18" s="875">
        <v>0.39326959</v>
      </c>
      <c r="CI18" s="875">
        <v>0.37409959000000004</v>
      </c>
      <c r="CJ18" s="875">
        <v>0.78994218999999999</v>
      </c>
      <c r="CK18" s="875">
        <v>1.1140366799999999</v>
      </c>
      <c r="CL18" s="875">
        <v>0.50187667000000002</v>
      </c>
      <c r="CM18" s="875">
        <v>0.3212313</v>
      </c>
      <c r="CN18" s="875">
        <v>0.33090890000000001</v>
      </c>
      <c r="CO18" s="875">
        <v>0.37815460000000001</v>
      </c>
      <c r="CP18" s="875">
        <v>0.25926663999999999</v>
      </c>
      <c r="CQ18" s="875">
        <v>0.53626451000000008</v>
      </c>
      <c r="CR18" s="875">
        <v>0.61434560999999999</v>
      </c>
      <c r="CS18" s="875">
        <v>0.75184340000000005</v>
      </c>
      <c r="CT18" s="875">
        <v>1.0246679999999999</v>
      </c>
      <c r="CU18" s="875">
        <v>2.4499153300000001</v>
      </c>
      <c r="CV18" s="875">
        <v>3.1986954700000001</v>
      </c>
      <c r="CW18" s="875">
        <v>2.8694846200000002</v>
      </c>
      <c r="CX18" s="875">
        <v>7.51834442</v>
      </c>
      <c r="CY18" s="875">
        <v>4.7008598800000003</v>
      </c>
      <c r="CZ18" s="875">
        <v>5.3360558400000002</v>
      </c>
      <c r="DA18" s="875">
        <v>2.6319630300000001</v>
      </c>
      <c r="DB18" s="875">
        <v>1.6285136899999999</v>
      </c>
      <c r="DC18" s="875">
        <v>1.6033249000000001</v>
      </c>
      <c r="DD18" s="875">
        <v>1.60294435</v>
      </c>
      <c r="DE18" s="875">
        <v>3.7218240699999998</v>
      </c>
      <c r="DF18" s="875">
        <v>5.8393088500000001</v>
      </c>
      <c r="DG18" s="875">
        <v>4.4343910199999996</v>
      </c>
      <c r="DH18" s="875">
        <v>2.87960767</v>
      </c>
      <c r="DI18" s="875">
        <v>4.7838615999999998</v>
      </c>
      <c r="DJ18" s="875">
        <v>3.9626365400000001</v>
      </c>
      <c r="DK18" s="875">
        <v>2.6734632500000002</v>
      </c>
      <c r="DL18" s="875">
        <v>3.5306796299999998</v>
      </c>
      <c r="DM18" s="875">
        <v>1.7323910899999999</v>
      </c>
      <c r="DN18" s="875">
        <v>2.3864106</v>
      </c>
      <c r="DO18" s="875">
        <v>1.5149699000000001</v>
      </c>
      <c r="DP18" s="875">
        <v>0.14420325000000001</v>
      </c>
      <c r="DQ18" s="875">
        <v>0.12651493</v>
      </c>
      <c r="DR18" s="875">
        <v>1.843759E-2</v>
      </c>
      <c r="DS18" s="875">
        <v>6.9864129999999997E-2</v>
      </c>
      <c r="DT18" s="875">
        <v>6.8039279999999994E-2</v>
      </c>
      <c r="DU18" s="875">
        <v>0.1161857</v>
      </c>
      <c r="DV18" s="875">
        <v>0.11431489</v>
      </c>
      <c r="DW18" s="875">
        <v>0.11407920000000001</v>
      </c>
      <c r="DX18" s="875">
        <v>0.11050794999999999</v>
      </c>
      <c r="DY18" s="875">
        <v>0.13357289</v>
      </c>
      <c r="DZ18" s="875">
        <v>0.12660239000000001</v>
      </c>
      <c r="EA18" s="875">
        <v>0.10461086999999999</v>
      </c>
      <c r="EB18" s="875">
        <v>0.1025966</v>
      </c>
      <c r="EC18" s="875">
        <v>5.85467E-2</v>
      </c>
      <c r="ED18" s="875">
        <v>8.8275530000000005E-2</v>
      </c>
      <c r="EE18" s="875">
        <v>0.13200000000000001</v>
      </c>
      <c r="EF18" s="875">
        <v>9.7000000000000003E-2</v>
      </c>
      <c r="EG18" s="875">
        <v>0.19441309000000001</v>
      </c>
      <c r="EH18" s="875">
        <v>0.19547007</v>
      </c>
      <c r="EI18" s="875">
        <v>0.17377097</v>
      </c>
      <c r="EJ18" s="875">
        <v>0.16888629999999999</v>
      </c>
      <c r="EK18" s="875">
        <v>0.26197897999999997</v>
      </c>
      <c r="EL18" s="875">
        <v>0.36005210999999998</v>
      </c>
      <c r="EM18" s="875">
        <v>0.36185204999999998</v>
      </c>
      <c r="EN18" s="875">
        <v>0.31039528</v>
      </c>
      <c r="EO18" s="875">
        <v>1.6395561000000001</v>
      </c>
      <c r="EP18" s="875">
        <v>0.28117072999999998</v>
      </c>
      <c r="EQ18" s="875">
        <v>0.37474478</v>
      </c>
      <c r="ER18" s="875">
        <v>0.36506894000000001</v>
      </c>
      <c r="ES18" s="875">
        <v>0.35527226000000001</v>
      </c>
      <c r="ET18" s="875">
        <v>0.40934471</v>
      </c>
      <c r="EU18" s="1924" t="s">
        <v>4086</v>
      </c>
    </row>
    <row r="19" spans="1:151" ht="21">
      <c r="A19" s="1953" t="s">
        <v>1975</v>
      </c>
      <c r="B19" s="851">
        <f>+B17-B18</f>
        <v>357.7691628</v>
      </c>
      <c r="C19" s="851">
        <f t="shared" ref="C19:V19" si="4">+C17-C18</f>
        <v>315.60327802999996</v>
      </c>
      <c r="D19" s="851">
        <f t="shared" si="4"/>
        <v>310.96844646</v>
      </c>
      <c r="E19" s="851">
        <f t="shared" si="4"/>
        <v>319.31658630999999</v>
      </c>
      <c r="F19" s="851">
        <f t="shared" si="4"/>
        <v>331.77156334</v>
      </c>
      <c r="G19" s="851">
        <f t="shared" si="4"/>
        <v>337.39996055000006</v>
      </c>
      <c r="H19" s="851">
        <f t="shared" si="4"/>
        <v>359.49659312</v>
      </c>
      <c r="I19" s="851">
        <f t="shared" si="4"/>
        <v>364.72856962999998</v>
      </c>
      <c r="J19" s="851">
        <f t="shared" si="4"/>
        <v>356.63624222999999</v>
      </c>
      <c r="K19" s="851">
        <f t="shared" si="4"/>
        <v>365.30150256999997</v>
      </c>
      <c r="L19" s="851">
        <f t="shared" si="4"/>
        <v>363.78021776000003</v>
      </c>
      <c r="M19" s="843">
        <f>+M17-M18</f>
        <v>327.89962295999999</v>
      </c>
      <c r="N19" s="843">
        <f t="shared" si="4"/>
        <v>314.22098294</v>
      </c>
      <c r="O19" s="843">
        <f t="shared" si="4"/>
        <v>334.61560610999999</v>
      </c>
      <c r="P19" s="843">
        <f t="shared" si="4"/>
        <v>339.88913498000005</v>
      </c>
      <c r="Q19" s="843">
        <f t="shared" si="4"/>
        <v>316.03274528999998</v>
      </c>
      <c r="R19" s="843">
        <f t="shared" si="4"/>
        <v>262.28816367000002</v>
      </c>
      <c r="S19" s="843">
        <f t="shared" si="4"/>
        <v>272.29220367000005</v>
      </c>
      <c r="T19" s="843">
        <f t="shared" si="4"/>
        <v>270.67021026000003</v>
      </c>
      <c r="U19" s="843">
        <f t="shared" si="4"/>
        <v>269.47675937999998</v>
      </c>
      <c r="V19" s="843">
        <f t="shared" si="4"/>
        <v>279.71811942000005</v>
      </c>
      <c r="W19" s="843">
        <v>281.93406991000001</v>
      </c>
      <c r="X19" s="843">
        <v>293.18483276000001</v>
      </c>
      <c r="Y19" s="843">
        <v>324.33545141000002</v>
      </c>
      <c r="Z19" s="843">
        <v>324.33545141000002</v>
      </c>
      <c r="AA19" s="843">
        <v>304.71291939000002</v>
      </c>
      <c r="AB19" s="843">
        <f>+AB17-AB18</f>
        <v>303.69860990000001</v>
      </c>
      <c r="AC19" s="843">
        <v>286.81393667000003</v>
      </c>
      <c r="AD19" s="843">
        <v>255.30167563999998</v>
      </c>
      <c r="AE19" s="843">
        <v>245.80259123000002</v>
      </c>
      <c r="AF19" s="843">
        <v>236.74191612999999</v>
      </c>
      <c r="AG19" s="843">
        <v>237.21020274000003</v>
      </c>
      <c r="AH19" s="843">
        <f>+AH17-AH18</f>
        <v>202.85301756999999</v>
      </c>
      <c r="AI19" s="843">
        <v>241.79374225999999</v>
      </c>
      <c r="AJ19" s="843">
        <f>+AJ17-AJ18</f>
        <v>201.15440975999999</v>
      </c>
      <c r="AK19" s="843">
        <f>+AK17-AK18</f>
        <v>183.49225309000002</v>
      </c>
      <c r="AL19" s="843">
        <v>159.00376267000001</v>
      </c>
      <c r="AM19" s="843">
        <f>+AM17-AM18</f>
        <v>159.81896470000001</v>
      </c>
      <c r="AN19" s="843">
        <f>+AN17-AN18</f>
        <v>140.31092318999998</v>
      </c>
      <c r="AO19" s="843">
        <f>+AO17-AO18</f>
        <v>128.24138416</v>
      </c>
      <c r="AP19" s="843">
        <v>130.09313782000001</v>
      </c>
      <c r="AQ19" s="843">
        <v>138.15110804000003</v>
      </c>
      <c r="AR19" s="843">
        <v>167.11626647</v>
      </c>
      <c r="AS19" s="843">
        <v>181.84656362000001</v>
      </c>
      <c r="AT19" s="843">
        <f>+AT17-AT18</f>
        <v>185.38760393000001</v>
      </c>
      <c r="AU19" s="843">
        <v>190.18677299000001</v>
      </c>
      <c r="AV19" s="843">
        <v>193.24760101000001</v>
      </c>
      <c r="AW19" s="843">
        <v>235.42257978000001</v>
      </c>
      <c r="AX19" s="843">
        <v>217.47739217</v>
      </c>
      <c r="AY19" s="843">
        <v>212.65864640000001</v>
      </c>
      <c r="AZ19" s="843">
        <v>246.26950714</v>
      </c>
      <c r="BA19" s="843">
        <v>251.63932002000001</v>
      </c>
      <c r="BB19" s="843">
        <v>253.88807954000004</v>
      </c>
      <c r="BC19" s="843">
        <v>233.41980274000002</v>
      </c>
      <c r="BD19" s="843">
        <f>+BD17-BD18</f>
        <v>155.25478403000002</v>
      </c>
      <c r="BE19" s="843">
        <v>148.83824265000001</v>
      </c>
      <c r="BF19" s="843">
        <v>153.6591287</v>
      </c>
      <c r="BG19" s="843">
        <v>158.31815262000001</v>
      </c>
      <c r="BH19" s="886">
        <v>138.86972704000001</v>
      </c>
      <c r="BI19" s="875">
        <v>132.65503129000001</v>
      </c>
      <c r="BJ19" s="875">
        <v>157.38535031000001</v>
      </c>
      <c r="BK19" s="875">
        <v>166.92524822999999</v>
      </c>
      <c r="BL19" s="875">
        <v>164.30914028000001</v>
      </c>
      <c r="BM19" s="875">
        <v>160.40150612000002</v>
      </c>
      <c r="BN19" s="875">
        <v>166.00089665000002</v>
      </c>
      <c r="BO19" s="875">
        <v>166.00089665000002</v>
      </c>
      <c r="BP19" s="875">
        <v>166.00089665000002</v>
      </c>
      <c r="BQ19" s="875">
        <v>166.00089665000002</v>
      </c>
      <c r="BR19" s="875">
        <v>166.00089665000002</v>
      </c>
      <c r="BS19" s="875">
        <v>166.00089665000002</v>
      </c>
      <c r="BT19" s="875">
        <v>166.00089665000002</v>
      </c>
      <c r="BU19" s="875">
        <v>166.00089665000002</v>
      </c>
      <c r="BV19" s="875">
        <v>166.00089665000002</v>
      </c>
      <c r="BW19" s="875">
        <v>166.00089665000002</v>
      </c>
      <c r="BX19" s="875">
        <v>166.00089665000002</v>
      </c>
      <c r="BY19" s="875">
        <v>166.00089665000002</v>
      </c>
      <c r="BZ19" s="875">
        <v>166.00089665000002</v>
      </c>
      <c r="CA19" s="875">
        <v>166.00089665000002</v>
      </c>
      <c r="CB19" s="875">
        <v>166.00089665000002</v>
      </c>
      <c r="CC19" s="875">
        <v>166.00089665000002</v>
      </c>
      <c r="CD19" s="875">
        <f t="shared" ref="CD19:CO19" si="5">+CD17-CD18</f>
        <v>284.01993357000003</v>
      </c>
      <c r="CE19" s="875">
        <f t="shared" si="5"/>
        <v>297.96122701000002</v>
      </c>
      <c r="CF19" s="875">
        <f t="shared" si="5"/>
        <v>328.73205106</v>
      </c>
      <c r="CG19" s="875">
        <f t="shared" si="5"/>
        <v>335.89999797000002</v>
      </c>
      <c r="CH19" s="875">
        <f t="shared" si="5"/>
        <v>317.02795854999999</v>
      </c>
      <c r="CI19" s="875">
        <f t="shared" si="5"/>
        <v>364.99308954000003</v>
      </c>
      <c r="CJ19" s="875">
        <f t="shared" si="5"/>
        <v>401.85777537000001</v>
      </c>
      <c r="CK19" s="875">
        <f t="shared" si="5"/>
        <v>440.98626497000004</v>
      </c>
      <c r="CL19" s="875">
        <f t="shared" si="5"/>
        <v>476.95388537000002</v>
      </c>
      <c r="CM19" s="875">
        <f t="shared" si="5"/>
        <v>467.97450147000001</v>
      </c>
      <c r="CN19" s="875">
        <f t="shared" si="5"/>
        <v>485.17665642000003</v>
      </c>
      <c r="CO19" s="875">
        <f t="shared" si="5"/>
        <v>485.54678845999996</v>
      </c>
      <c r="CP19" s="875">
        <f>+CP17-CP18</f>
        <v>459.87708727999996</v>
      </c>
      <c r="CQ19" s="875">
        <f>+CQ17-CQ18</f>
        <v>447.36779638999991</v>
      </c>
      <c r="CR19" s="875">
        <f>+CR17-CR18</f>
        <v>479.27656864999994</v>
      </c>
      <c r="CS19" s="875">
        <v>470.56484142000005</v>
      </c>
      <c r="CT19" s="875">
        <v>489.24749323999998</v>
      </c>
      <c r="CU19" s="875">
        <v>516.66675139999995</v>
      </c>
      <c r="CV19" s="875">
        <v>499.01125667000002</v>
      </c>
      <c r="CW19" s="875">
        <v>503.9186181</v>
      </c>
      <c r="CX19" s="875">
        <v>500.68816102</v>
      </c>
      <c r="CY19" s="875">
        <v>495.54936809999998</v>
      </c>
      <c r="CZ19" s="875">
        <v>505.03976899999998</v>
      </c>
      <c r="DA19" s="875">
        <v>488.77670623</v>
      </c>
      <c r="DB19" s="875">
        <v>484.39783225999997</v>
      </c>
      <c r="DC19" s="875">
        <v>515.86238632000004</v>
      </c>
      <c r="DD19" s="875">
        <v>548.88145162000001</v>
      </c>
      <c r="DE19" s="875">
        <v>562.75972645000002</v>
      </c>
      <c r="DF19" s="875">
        <v>532.93327542999998</v>
      </c>
      <c r="DG19" s="875">
        <v>575.74729393999996</v>
      </c>
      <c r="DH19" s="875">
        <v>591.79043997999997</v>
      </c>
      <c r="DI19" s="875">
        <v>670.86328892999995</v>
      </c>
      <c r="DJ19" s="875">
        <v>616.95167820000006</v>
      </c>
      <c r="DK19" s="875">
        <v>625.18060687000002</v>
      </c>
      <c r="DL19" s="875">
        <v>630.39917912999999</v>
      </c>
      <c r="DM19" s="875">
        <v>644.54406976999996</v>
      </c>
      <c r="DN19" s="875">
        <v>674.24965884999995</v>
      </c>
      <c r="DO19" s="875">
        <v>688.82428877999996</v>
      </c>
      <c r="DP19" s="875">
        <v>698.92977808000001</v>
      </c>
      <c r="DQ19" s="875">
        <v>734.85835348000001</v>
      </c>
      <c r="DR19" s="875">
        <v>715.36963539999999</v>
      </c>
      <c r="DS19" s="875">
        <v>702.86235747000001</v>
      </c>
      <c r="DT19" s="875">
        <v>710.86476835999997</v>
      </c>
      <c r="DU19" s="875">
        <v>735.14964077000002</v>
      </c>
      <c r="DV19" s="875">
        <v>744.66867994999996</v>
      </c>
      <c r="DW19" s="875">
        <v>751.98885671000005</v>
      </c>
      <c r="DX19" s="875">
        <v>738.41951743000004</v>
      </c>
      <c r="DY19" s="875">
        <v>758.21078631</v>
      </c>
      <c r="DZ19" s="875">
        <v>796.3325433</v>
      </c>
      <c r="EA19" s="875">
        <v>791.38162049000005</v>
      </c>
      <c r="EB19" s="875">
        <v>819.20980194000003</v>
      </c>
      <c r="EC19" s="875">
        <v>823.38397253999995</v>
      </c>
      <c r="ED19" s="875">
        <v>785.48092148000001</v>
      </c>
      <c r="EE19" s="875">
        <v>788.84781825000005</v>
      </c>
      <c r="EF19" s="875">
        <v>780.91119674000004</v>
      </c>
      <c r="EG19" s="875">
        <v>795.67679723000003</v>
      </c>
      <c r="EH19" s="875">
        <v>824.06132363999996</v>
      </c>
      <c r="EI19" s="875">
        <v>791.90643004000003</v>
      </c>
      <c r="EJ19" s="875">
        <v>804.82395297999994</v>
      </c>
      <c r="EK19" s="875">
        <v>800.31348821999995</v>
      </c>
      <c r="EL19" s="875">
        <v>886.60778476999997</v>
      </c>
      <c r="EM19" s="875">
        <v>891.63982368999996</v>
      </c>
      <c r="EN19" s="875">
        <v>913.90496364000001</v>
      </c>
      <c r="EO19" s="875">
        <v>1010.15641915</v>
      </c>
      <c r="EP19" s="875">
        <v>1012.32743348</v>
      </c>
      <c r="EQ19" s="875">
        <v>1042.9250456100001</v>
      </c>
      <c r="ER19" s="875">
        <v>1051.50937499</v>
      </c>
      <c r="ES19" s="875">
        <v>1044.51891411</v>
      </c>
      <c r="ET19" s="875">
        <v>1108.69248752</v>
      </c>
      <c r="EU19" s="1924" t="s">
        <v>4085</v>
      </c>
    </row>
    <row r="20" spans="1:151" ht="21">
      <c r="A20" s="1952"/>
      <c r="B20" s="850"/>
      <c r="C20" s="850"/>
      <c r="D20" s="850"/>
      <c r="E20" s="850"/>
      <c r="F20" s="850"/>
      <c r="G20" s="850"/>
      <c r="H20" s="850"/>
      <c r="I20" s="850"/>
      <c r="J20" s="850"/>
      <c r="K20" s="850"/>
      <c r="L20" s="850"/>
      <c r="M20" s="840"/>
      <c r="N20" s="840"/>
      <c r="O20" s="840"/>
      <c r="P20" s="840"/>
      <c r="Q20" s="840"/>
      <c r="R20" s="840"/>
      <c r="S20" s="840"/>
      <c r="T20" s="840"/>
      <c r="U20" s="840"/>
      <c r="V20" s="840"/>
      <c r="W20" s="840"/>
      <c r="X20" s="840"/>
      <c r="Y20" s="840"/>
      <c r="Z20" s="840"/>
      <c r="AA20" s="840"/>
      <c r="AB20" s="840"/>
      <c r="AC20" s="840"/>
      <c r="AD20" s="840"/>
      <c r="AE20" s="840"/>
      <c r="AF20" s="840"/>
      <c r="AG20" s="840"/>
      <c r="AH20" s="840"/>
      <c r="AI20" s="840"/>
      <c r="AJ20" s="840"/>
      <c r="AK20" s="840"/>
      <c r="AL20" s="840"/>
      <c r="AM20" s="840"/>
      <c r="AN20" s="840"/>
      <c r="AO20" s="840"/>
      <c r="AP20" s="840"/>
      <c r="AQ20" s="840"/>
      <c r="AR20" s="840"/>
      <c r="AS20" s="840"/>
      <c r="AT20" s="840"/>
      <c r="AU20" s="840"/>
      <c r="AV20" s="840"/>
      <c r="AW20" s="840"/>
      <c r="AX20" s="840"/>
      <c r="AY20" s="840"/>
      <c r="AZ20" s="840"/>
      <c r="BA20" s="840"/>
      <c r="BB20" s="840"/>
      <c r="BC20" s="840"/>
      <c r="BD20" s="840"/>
      <c r="BE20" s="840"/>
      <c r="BF20" s="840"/>
      <c r="BG20" s="840"/>
      <c r="BH20" s="885"/>
      <c r="BI20" s="874"/>
      <c r="BJ20" s="874"/>
      <c r="BK20" s="874"/>
      <c r="BL20" s="874"/>
      <c r="BM20" s="874"/>
      <c r="BN20" s="874"/>
      <c r="BO20" s="874"/>
      <c r="BP20" s="874"/>
      <c r="BQ20" s="874"/>
      <c r="BR20" s="874"/>
      <c r="BS20" s="874"/>
      <c r="BT20" s="874"/>
      <c r="BU20" s="874"/>
      <c r="BV20" s="874"/>
      <c r="BW20" s="874"/>
      <c r="BX20" s="874"/>
      <c r="BY20" s="874"/>
      <c r="BZ20" s="874"/>
      <c r="CA20" s="874"/>
      <c r="CB20" s="874"/>
      <c r="CC20" s="874"/>
      <c r="CD20" s="874"/>
      <c r="CE20" s="874"/>
      <c r="CF20" s="874"/>
      <c r="CG20" s="874"/>
      <c r="CH20" s="874"/>
      <c r="CI20" s="874"/>
      <c r="CJ20" s="874"/>
      <c r="CK20" s="874"/>
      <c r="CL20" s="874"/>
      <c r="CM20" s="876"/>
      <c r="CN20" s="876"/>
      <c r="CO20" s="876"/>
      <c r="CP20" s="876"/>
      <c r="CQ20" s="876"/>
      <c r="CR20" s="876"/>
      <c r="CS20" s="876"/>
      <c r="CT20" s="876"/>
      <c r="CU20" s="876"/>
      <c r="CV20" s="876"/>
      <c r="CW20" s="876"/>
      <c r="CX20" s="876"/>
      <c r="CY20" s="876"/>
      <c r="CZ20" s="876"/>
      <c r="DA20" s="876"/>
      <c r="DB20" s="876"/>
      <c r="DC20" s="876"/>
      <c r="DD20" s="876"/>
      <c r="DE20" s="876"/>
      <c r="DF20" s="876"/>
      <c r="DG20" s="876"/>
      <c r="DH20" s="876"/>
      <c r="DI20" s="876"/>
      <c r="DJ20" s="876"/>
      <c r="DK20" s="876"/>
      <c r="DL20" s="876"/>
      <c r="DM20" s="876"/>
      <c r="DN20" s="876"/>
      <c r="DO20" s="876"/>
      <c r="DP20" s="876"/>
      <c r="DQ20" s="876"/>
      <c r="DR20" s="876"/>
      <c r="DS20" s="876"/>
      <c r="DT20" s="876"/>
      <c r="DU20" s="876"/>
      <c r="DV20" s="876"/>
      <c r="DW20" s="876"/>
      <c r="DX20" s="876"/>
      <c r="DY20" s="876"/>
      <c r="DZ20" s="876"/>
      <c r="EA20" s="876"/>
      <c r="EB20" s="876"/>
      <c r="EC20" s="876"/>
      <c r="ED20" s="876"/>
      <c r="EE20" s="876"/>
      <c r="EF20" s="876"/>
      <c r="EG20" s="876"/>
      <c r="EH20" s="876"/>
      <c r="EI20" s="876"/>
      <c r="EJ20" s="876"/>
      <c r="EK20" s="876"/>
      <c r="EL20" s="876"/>
      <c r="EM20" s="876"/>
      <c r="EN20" s="876"/>
      <c r="EO20" s="876"/>
      <c r="EP20" s="876"/>
      <c r="EQ20" s="876"/>
      <c r="ER20" s="876"/>
      <c r="ES20" s="876"/>
      <c r="ET20" s="876"/>
      <c r="EU20" s="1922"/>
    </row>
    <row r="21" spans="1:151" ht="21">
      <c r="A21" s="1952" t="s">
        <v>2757</v>
      </c>
      <c r="B21" s="851">
        <v>187.34831491000003</v>
      </c>
      <c r="C21" s="851">
        <v>142.91543184</v>
      </c>
      <c r="D21" s="851">
        <v>152.81210424000002</v>
      </c>
      <c r="E21" s="851">
        <v>146.48893754000002</v>
      </c>
      <c r="F21" s="851">
        <v>141.88940776000001</v>
      </c>
      <c r="G21" s="851">
        <v>144.29879265</v>
      </c>
      <c r="H21" s="851">
        <v>137.84124234999999</v>
      </c>
      <c r="I21" s="851">
        <v>134.99275749</v>
      </c>
      <c r="J21" s="851">
        <v>143.1457772</v>
      </c>
      <c r="K21" s="851">
        <v>152.21534166999999</v>
      </c>
      <c r="L21" s="851">
        <v>155.16249213999998</v>
      </c>
      <c r="M21" s="840">
        <v>142.78333591999998</v>
      </c>
      <c r="N21" s="843">
        <v>150.48461237000001</v>
      </c>
      <c r="O21" s="843">
        <v>152.92680157000001</v>
      </c>
      <c r="P21" s="843">
        <v>166.80872016000001</v>
      </c>
      <c r="Q21" s="843">
        <v>166.82272545999999</v>
      </c>
      <c r="R21" s="843">
        <v>168.62291465999999</v>
      </c>
      <c r="S21" s="843">
        <v>171.60923410999999</v>
      </c>
      <c r="T21" s="843">
        <v>172.03440806</v>
      </c>
      <c r="U21" s="843">
        <v>171.15422795999999</v>
      </c>
      <c r="V21" s="843">
        <v>163.40915322999999</v>
      </c>
      <c r="W21" s="843">
        <v>172.14189110999999</v>
      </c>
      <c r="X21" s="843">
        <v>170.03224908999999</v>
      </c>
      <c r="Y21" s="840">
        <v>182.47238546</v>
      </c>
      <c r="Z21" s="843">
        <v>162.66938137</v>
      </c>
      <c r="AA21" s="843">
        <v>268.43889254000004</v>
      </c>
      <c r="AB21" s="840">
        <v>268.03215395000001</v>
      </c>
      <c r="AC21" s="840">
        <v>275.67720538000003</v>
      </c>
      <c r="AD21" s="840">
        <v>272.44533132000004</v>
      </c>
      <c r="AE21" s="840">
        <v>280.84781268</v>
      </c>
      <c r="AF21" s="840">
        <v>270.81413333999996</v>
      </c>
      <c r="AG21" s="840">
        <v>231.30769754000002</v>
      </c>
      <c r="AH21" s="840">
        <v>248.53300517000002</v>
      </c>
      <c r="AI21" s="840">
        <v>226.60959452999998</v>
      </c>
      <c r="AJ21" s="840">
        <v>260.04165433999998</v>
      </c>
      <c r="AK21" s="840">
        <v>399.76324325000002</v>
      </c>
      <c r="AL21" s="840">
        <v>383.00237914000002</v>
      </c>
      <c r="AM21" s="840">
        <v>367.76360957000003</v>
      </c>
      <c r="AN21" s="840">
        <v>379.98609360999995</v>
      </c>
      <c r="AO21" s="840">
        <v>333.17000701000001</v>
      </c>
      <c r="AP21" s="840">
        <v>340.03197252000001</v>
      </c>
      <c r="AQ21" s="840">
        <v>362.94127739999999</v>
      </c>
      <c r="AR21" s="840">
        <v>267.94340400000004</v>
      </c>
      <c r="AS21" s="840">
        <v>284.68005249000004</v>
      </c>
      <c r="AT21" s="840">
        <f>AT13-AT17</f>
        <v>280.71421069000002</v>
      </c>
      <c r="AU21" s="840">
        <v>295.03538156999997</v>
      </c>
      <c r="AV21" s="840">
        <v>312.88934681000001</v>
      </c>
      <c r="AW21" s="840">
        <v>328.85541532000002</v>
      </c>
      <c r="AX21" s="840">
        <v>316.77899529000001</v>
      </c>
      <c r="AY21" s="840">
        <v>279.88288573</v>
      </c>
      <c r="AZ21" s="840">
        <v>290.03846806000001</v>
      </c>
      <c r="BA21" s="840">
        <v>290.41629772000005</v>
      </c>
      <c r="BB21" s="840">
        <v>278.36653281000002</v>
      </c>
      <c r="BC21" s="840">
        <v>248.74169150999998</v>
      </c>
      <c r="BD21" s="840">
        <v>272.09527768999999</v>
      </c>
      <c r="BE21" s="840">
        <v>240.51338946000001</v>
      </c>
      <c r="BF21" s="840">
        <v>320.08253374000003</v>
      </c>
      <c r="BG21" s="840">
        <v>257.73104654999997</v>
      </c>
      <c r="BH21" s="885">
        <v>262.56542301000002</v>
      </c>
      <c r="BI21" s="874">
        <v>215.08322535000002</v>
      </c>
      <c r="BJ21" s="874">
        <v>257.46568933000003</v>
      </c>
      <c r="BK21" s="874">
        <v>244.28866115000005</v>
      </c>
      <c r="BL21" s="874">
        <v>241.45340942000001</v>
      </c>
      <c r="BM21" s="874">
        <v>242.69992452</v>
      </c>
      <c r="BN21" s="874">
        <v>242.36458445</v>
      </c>
      <c r="BO21" s="874">
        <v>251.56008734999998</v>
      </c>
      <c r="BP21" s="874">
        <v>256.08101025000002</v>
      </c>
      <c r="BQ21" s="874">
        <v>245.90797538999999</v>
      </c>
      <c r="BR21" s="874">
        <v>286.48576985</v>
      </c>
      <c r="BS21" s="874">
        <v>294.54944125999998</v>
      </c>
      <c r="BT21" s="874">
        <v>297.14059124000005</v>
      </c>
      <c r="BU21" s="874">
        <v>308.64182451999989</v>
      </c>
      <c r="BV21" s="874">
        <v>246.34861297999998</v>
      </c>
      <c r="BW21" s="874">
        <v>243.18236097999997</v>
      </c>
      <c r="BX21" s="874">
        <v>254.82358183000002</v>
      </c>
      <c r="BY21" s="874">
        <v>255.35792828999996</v>
      </c>
      <c r="BZ21" s="874">
        <v>253.21124734999998</v>
      </c>
      <c r="CA21" s="874">
        <v>247.78234352000001</v>
      </c>
      <c r="CB21" s="874">
        <v>240.95111249000001</v>
      </c>
      <c r="CC21" s="874">
        <v>231.18603127</v>
      </c>
      <c r="CD21" s="874">
        <v>256.54926453999997</v>
      </c>
      <c r="CE21" s="874">
        <v>260.45456031000003</v>
      </c>
      <c r="CF21" s="874">
        <v>279.51397100999998</v>
      </c>
      <c r="CG21" s="874">
        <v>265.64956096000003</v>
      </c>
      <c r="CH21" s="874">
        <v>254.47307946000001</v>
      </c>
      <c r="CI21" s="874">
        <v>274.70992037999997</v>
      </c>
      <c r="CJ21" s="874">
        <v>242.83079318</v>
      </c>
      <c r="CK21" s="874">
        <v>233.00639561000003</v>
      </c>
      <c r="CL21" s="874">
        <v>202.73298199999999</v>
      </c>
      <c r="CM21" s="874">
        <v>195.29560846999999</v>
      </c>
      <c r="CN21" s="874">
        <v>189.99547684000001</v>
      </c>
      <c r="CO21" s="874">
        <v>188.49180539</v>
      </c>
      <c r="CP21" s="874">
        <v>191.79466580000002</v>
      </c>
      <c r="CQ21" s="874">
        <v>192.97501495</v>
      </c>
      <c r="CR21" s="874">
        <v>195.56799269999999</v>
      </c>
      <c r="CS21" s="874">
        <v>181.73458911</v>
      </c>
      <c r="CT21" s="874">
        <v>174.40738386999999</v>
      </c>
      <c r="CU21" s="874">
        <v>185.20028975</v>
      </c>
      <c r="CV21" s="874">
        <v>189.58869411000001</v>
      </c>
      <c r="CW21" s="874">
        <v>201.37587379000001</v>
      </c>
      <c r="CX21" s="874">
        <v>210.72817533</v>
      </c>
      <c r="CY21" s="874">
        <v>224.18957821999999</v>
      </c>
      <c r="CZ21" s="874">
        <v>240.63356614</v>
      </c>
      <c r="DA21" s="874">
        <v>260.16159966999999</v>
      </c>
      <c r="DB21" s="874">
        <v>292.29012682000001</v>
      </c>
      <c r="DC21" s="874">
        <v>368.23968739999998</v>
      </c>
      <c r="DD21" s="874">
        <v>384.81929965</v>
      </c>
      <c r="DE21" s="874">
        <v>400.96966896999999</v>
      </c>
      <c r="DF21" s="874">
        <v>431.74350242999998</v>
      </c>
      <c r="DG21" s="874">
        <v>437.78081008999999</v>
      </c>
      <c r="DH21" s="874">
        <v>449.43102748000001</v>
      </c>
      <c r="DI21" s="874">
        <v>451.88890686000002</v>
      </c>
      <c r="DJ21" s="874">
        <v>456.98005577000004</v>
      </c>
      <c r="DK21" s="874">
        <v>462.36612342000001</v>
      </c>
      <c r="DL21" s="874">
        <v>444.93279397999999</v>
      </c>
      <c r="DM21" s="874">
        <v>450.94842463999998</v>
      </c>
      <c r="DN21" s="874">
        <v>450.98232747999998</v>
      </c>
      <c r="DO21" s="874">
        <v>437.15264232999999</v>
      </c>
      <c r="DP21" s="874">
        <v>420.18139502000002</v>
      </c>
      <c r="DQ21" s="874">
        <v>368.03822644000002</v>
      </c>
      <c r="DR21" s="874">
        <v>358.51085307</v>
      </c>
      <c r="DS21" s="874">
        <v>360.08555323000002</v>
      </c>
      <c r="DT21" s="874">
        <v>341.83234585000002</v>
      </c>
      <c r="DU21" s="874">
        <v>348.51491614999998</v>
      </c>
      <c r="DV21" s="874">
        <v>350.84605407999999</v>
      </c>
      <c r="DW21" s="874">
        <v>361.90990363999998</v>
      </c>
      <c r="DX21" s="874">
        <v>326.62428055999999</v>
      </c>
      <c r="DY21" s="874">
        <v>343.39966767999999</v>
      </c>
      <c r="DZ21" s="874">
        <v>365.39150774000001</v>
      </c>
      <c r="EA21" s="874">
        <v>375.04956370000002</v>
      </c>
      <c r="EB21" s="874">
        <v>384.71845638999997</v>
      </c>
      <c r="EC21" s="874">
        <v>372.88150660000002</v>
      </c>
      <c r="ED21" s="874">
        <v>363.31868902000002</v>
      </c>
      <c r="EE21" s="874">
        <v>351.00460744999998</v>
      </c>
      <c r="EF21" s="874">
        <v>352.47152524000001</v>
      </c>
      <c r="EG21" s="874">
        <v>346.39717182999999</v>
      </c>
      <c r="EH21" s="874">
        <v>348.80287199999998</v>
      </c>
      <c r="EI21" s="874">
        <v>347.24246648000002</v>
      </c>
      <c r="EJ21" s="874">
        <v>359.99438285999997</v>
      </c>
      <c r="EK21" s="874">
        <v>359.80085607000001</v>
      </c>
      <c r="EL21" s="874">
        <v>372.22685383999999</v>
      </c>
      <c r="EM21" s="874">
        <v>345.21889220000003</v>
      </c>
      <c r="EN21" s="874">
        <v>356.43771717999999</v>
      </c>
      <c r="EO21" s="874">
        <v>381.95194436000003</v>
      </c>
      <c r="EP21" s="874">
        <v>375.15201913999999</v>
      </c>
      <c r="EQ21" s="874">
        <v>401.79056674999998</v>
      </c>
      <c r="ER21" s="874">
        <v>385.92513392000001</v>
      </c>
      <c r="ES21" s="874">
        <v>374.78546352000001</v>
      </c>
      <c r="ET21" s="874">
        <v>355.24146868999998</v>
      </c>
      <c r="EU21" s="1922" t="s">
        <v>4087</v>
      </c>
    </row>
    <row r="22" spans="1:151" ht="21">
      <c r="A22" s="1953" t="s">
        <v>1974</v>
      </c>
      <c r="B22" s="851">
        <v>2.8258457099999998</v>
      </c>
      <c r="C22" s="851">
        <v>0</v>
      </c>
      <c r="D22" s="851">
        <v>0</v>
      </c>
      <c r="E22" s="851">
        <v>0</v>
      </c>
      <c r="F22" s="851">
        <v>0</v>
      </c>
      <c r="G22" s="851">
        <v>0</v>
      </c>
      <c r="H22" s="851">
        <v>0</v>
      </c>
      <c r="I22" s="851">
        <v>0</v>
      </c>
      <c r="J22" s="851">
        <v>0</v>
      </c>
      <c r="K22" s="851">
        <v>0</v>
      </c>
      <c r="L22" s="851">
        <v>0</v>
      </c>
      <c r="M22" s="843">
        <v>0</v>
      </c>
      <c r="N22" s="843">
        <v>0</v>
      </c>
      <c r="O22" s="843">
        <v>0</v>
      </c>
      <c r="P22" s="843">
        <v>0</v>
      </c>
      <c r="Q22" s="843">
        <v>0</v>
      </c>
      <c r="R22" s="843">
        <v>0</v>
      </c>
      <c r="S22" s="843">
        <v>0</v>
      </c>
      <c r="T22" s="843">
        <v>0</v>
      </c>
      <c r="U22" s="843">
        <v>0</v>
      </c>
      <c r="V22" s="843">
        <v>0</v>
      </c>
      <c r="W22" s="843">
        <v>0</v>
      </c>
      <c r="X22" s="843">
        <v>0</v>
      </c>
      <c r="Y22" s="843">
        <v>0</v>
      </c>
      <c r="Z22" s="843">
        <v>0</v>
      </c>
      <c r="AA22" s="843">
        <v>0</v>
      </c>
      <c r="AB22" s="843">
        <v>0</v>
      </c>
      <c r="AC22" s="843">
        <v>5.3787399999999999E-3</v>
      </c>
      <c r="AD22" s="843">
        <v>0</v>
      </c>
      <c r="AE22" s="843">
        <v>0</v>
      </c>
      <c r="AF22" s="843">
        <v>0</v>
      </c>
      <c r="AG22" s="843">
        <v>0</v>
      </c>
      <c r="AH22" s="843">
        <v>0</v>
      </c>
      <c r="AI22" s="843">
        <v>0</v>
      </c>
      <c r="AJ22" s="843">
        <v>4.9931999999999997E-3</v>
      </c>
      <c r="AK22" s="843">
        <v>0.47522715000000004</v>
      </c>
      <c r="AL22" s="843">
        <v>6.8434200000000001E-2</v>
      </c>
      <c r="AM22" s="843">
        <v>6.6925129999999999E-2</v>
      </c>
      <c r="AN22" s="843">
        <v>0.11218778</v>
      </c>
      <c r="AO22" s="843">
        <v>6.4432799999999998E-2</v>
      </c>
      <c r="AP22" s="843">
        <v>0</v>
      </c>
      <c r="AQ22" s="843">
        <v>0</v>
      </c>
      <c r="AR22" s="843">
        <v>0</v>
      </c>
      <c r="AS22" s="843">
        <v>0</v>
      </c>
      <c r="AT22" s="843">
        <f>AT14-AT18</f>
        <v>0</v>
      </c>
      <c r="AU22" s="843">
        <v>0</v>
      </c>
      <c r="AV22" s="843">
        <v>0</v>
      </c>
      <c r="AW22" s="843">
        <v>0</v>
      </c>
      <c r="AX22" s="843">
        <v>0</v>
      </c>
      <c r="AY22" s="843">
        <v>0</v>
      </c>
      <c r="AZ22" s="843">
        <v>0</v>
      </c>
      <c r="BA22" s="843">
        <v>0</v>
      </c>
      <c r="BB22" s="843">
        <v>0</v>
      </c>
      <c r="BC22" s="843">
        <v>0</v>
      </c>
      <c r="BD22" s="843">
        <v>7.9013554000000008</v>
      </c>
      <c r="BE22" s="843">
        <v>0</v>
      </c>
      <c r="BF22" s="843">
        <v>0</v>
      </c>
      <c r="BG22" s="843">
        <v>0</v>
      </c>
      <c r="BH22" s="886">
        <v>0</v>
      </c>
      <c r="BI22" s="875">
        <v>8.6499999999989363E-6</v>
      </c>
      <c r="BJ22" s="875">
        <v>1.7001090000000001</v>
      </c>
      <c r="BK22" s="875">
        <v>2.3801488499999999</v>
      </c>
      <c r="BL22" s="875">
        <v>8.9200000000233537E-6</v>
      </c>
      <c r="BM22" s="875">
        <v>8.7800000000137768E-6</v>
      </c>
      <c r="BN22" s="875">
        <v>0.33949845000000006</v>
      </c>
      <c r="BO22" s="875">
        <v>0.33949843999999996</v>
      </c>
      <c r="BP22" s="875">
        <v>8.4900000000276421E-6</v>
      </c>
      <c r="BQ22" s="875">
        <v>8.4599999999879216E-6</v>
      </c>
      <c r="BR22" s="875">
        <v>8.4300000000037123E-6</v>
      </c>
      <c r="BS22" s="875">
        <v>8.2100000000084883E-6</v>
      </c>
      <c r="BT22" s="875">
        <v>8.2499999999874341E-6</v>
      </c>
      <c r="BU22" s="875">
        <v>1.5028082900000008</v>
      </c>
      <c r="BV22" s="875">
        <v>8.6400000000041999E-6</v>
      </c>
      <c r="BW22" s="875">
        <v>8.2399999999926976E-6</v>
      </c>
      <c r="BX22" s="875">
        <v>1.2479999999981395E-5</v>
      </c>
      <c r="BY22" s="875">
        <v>8.0999999999553651E-6</v>
      </c>
      <c r="BZ22" s="875">
        <v>8.0599999999764194E-6</v>
      </c>
      <c r="CA22" s="875">
        <v>8.2299999999979612E-6</v>
      </c>
      <c r="CB22" s="875">
        <v>8.0800000000214034E-6</v>
      </c>
      <c r="CC22" s="875">
        <v>8.0000000000080007E-6</v>
      </c>
      <c r="CD22" s="875">
        <v>8.0500000000000009E-6</v>
      </c>
      <c r="CE22" s="875">
        <v>1.5011082200000001</v>
      </c>
      <c r="CF22" s="875">
        <v>2.7761940100000002</v>
      </c>
      <c r="CG22" s="875">
        <v>9.4019999999999998E-5</v>
      </c>
      <c r="CH22" s="875">
        <v>0</v>
      </c>
      <c r="CI22" s="875">
        <v>0</v>
      </c>
      <c r="CJ22" s="875">
        <v>0</v>
      </c>
      <c r="CK22" s="875">
        <v>0</v>
      </c>
      <c r="CL22" s="875">
        <v>0</v>
      </c>
      <c r="CM22" s="875">
        <v>0</v>
      </c>
      <c r="CN22" s="875">
        <v>0</v>
      </c>
      <c r="CO22" s="875">
        <v>0</v>
      </c>
      <c r="CP22" s="875">
        <v>0</v>
      </c>
      <c r="CQ22" s="875">
        <v>0</v>
      </c>
      <c r="CR22" s="875">
        <v>0</v>
      </c>
      <c r="CS22" s="875">
        <v>0</v>
      </c>
      <c r="CT22" s="875">
        <v>0</v>
      </c>
      <c r="CU22" s="875">
        <v>0</v>
      </c>
      <c r="CV22" s="875">
        <v>0</v>
      </c>
      <c r="CW22" s="875">
        <v>0</v>
      </c>
      <c r="CX22" s="875">
        <v>0</v>
      </c>
      <c r="CY22" s="875">
        <v>0</v>
      </c>
      <c r="CZ22" s="875">
        <v>0</v>
      </c>
      <c r="DA22" s="875">
        <v>0</v>
      </c>
      <c r="DB22" s="875">
        <v>1.67120084</v>
      </c>
      <c r="DC22" s="875">
        <v>40.800005949999999</v>
      </c>
      <c r="DD22" s="875">
        <v>40.800005759999998</v>
      </c>
      <c r="DE22" s="875">
        <v>40.800005779999999</v>
      </c>
      <c r="DF22" s="875">
        <v>40.800005689999999</v>
      </c>
      <c r="DG22" s="875">
        <v>40.800005689999999</v>
      </c>
      <c r="DH22" s="875">
        <v>40.800005689999999</v>
      </c>
      <c r="DI22" s="875">
        <v>40.800005370000001</v>
      </c>
      <c r="DJ22" s="875">
        <v>40.799999999999997</v>
      </c>
      <c r="DK22" s="875">
        <v>40.799999999999997</v>
      </c>
      <c r="DL22" s="875">
        <v>40.799999999999997</v>
      </c>
      <c r="DM22" s="875">
        <v>36.445166659999998</v>
      </c>
      <c r="DN22" s="875">
        <v>32.045000000000002</v>
      </c>
      <c r="DO22" s="875">
        <v>27.6675</v>
      </c>
      <c r="DP22" s="875">
        <v>27.6675</v>
      </c>
      <c r="DQ22" s="875">
        <v>0</v>
      </c>
      <c r="DR22" s="875">
        <v>4.25</v>
      </c>
      <c r="DS22" s="875">
        <v>4.25</v>
      </c>
      <c r="DT22" s="875">
        <v>4.25</v>
      </c>
      <c r="DU22" s="875">
        <v>3.7186539999999999</v>
      </c>
      <c r="DV22" s="875">
        <v>3.2639999999999998</v>
      </c>
      <c r="DW22" s="875">
        <v>3.1875</v>
      </c>
      <c r="DX22" s="875">
        <v>2.125</v>
      </c>
      <c r="DY22" s="875">
        <v>2.125</v>
      </c>
      <c r="DZ22" s="875">
        <v>2.4649999999999999</v>
      </c>
      <c r="EA22" s="875">
        <v>1.3749349900000001</v>
      </c>
      <c r="EB22" s="875">
        <v>1.3472321700000001</v>
      </c>
      <c r="EC22" s="875">
        <v>1.3193908299999999</v>
      </c>
      <c r="ED22" s="875">
        <v>0.50515144999999995</v>
      </c>
      <c r="EE22" s="875">
        <v>0.20079954999999999</v>
      </c>
      <c r="EF22" s="875">
        <v>0.17253853999999999</v>
      </c>
      <c r="EG22" s="875">
        <v>0.14419375000000001</v>
      </c>
      <c r="EH22" s="875">
        <v>0.28560164999999998</v>
      </c>
      <c r="EI22" s="875">
        <v>0.25691464000000003</v>
      </c>
      <c r="EJ22" s="875">
        <v>0.2144575</v>
      </c>
      <c r="EK22" s="875">
        <v>0.17168727</v>
      </c>
      <c r="EL22" s="875">
        <v>0.12873507000000001</v>
      </c>
      <c r="EM22" s="875">
        <v>0.11475924999999999</v>
      </c>
      <c r="EN22" s="875">
        <v>0.10072291</v>
      </c>
      <c r="EO22" s="875">
        <v>8.6619829999999995E-2</v>
      </c>
      <c r="EP22" s="875">
        <v>7.2425660000000003E-2</v>
      </c>
      <c r="EQ22" s="875">
        <v>5.8124729999999999E-2</v>
      </c>
      <c r="ER22" s="875">
        <v>4.3734420000000003E-2</v>
      </c>
      <c r="ES22" s="875">
        <v>2.923595E-2</v>
      </c>
      <c r="ET22" s="875">
        <v>0</v>
      </c>
      <c r="EU22" s="1924" t="s">
        <v>4086</v>
      </c>
    </row>
    <row r="23" spans="1:151" ht="21">
      <c r="A23" s="1953" t="s">
        <v>1975</v>
      </c>
      <c r="B23" s="850">
        <f>+B21-B22</f>
        <v>184.52246920000002</v>
      </c>
      <c r="C23" s="851">
        <f t="shared" ref="C23:V23" si="6">+C21-C22</f>
        <v>142.91543184</v>
      </c>
      <c r="D23" s="851">
        <f t="shared" si="6"/>
        <v>152.81210424000002</v>
      </c>
      <c r="E23" s="851">
        <f t="shared" si="6"/>
        <v>146.48893754000002</v>
      </c>
      <c r="F23" s="851">
        <f t="shared" si="6"/>
        <v>141.88940776000001</v>
      </c>
      <c r="G23" s="851">
        <f t="shared" si="6"/>
        <v>144.29879265</v>
      </c>
      <c r="H23" s="851">
        <f t="shared" si="6"/>
        <v>137.84124234999999</v>
      </c>
      <c r="I23" s="851">
        <f t="shared" si="6"/>
        <v>134.99275749</v>
      </c>
      <c r="J23" s="851">
        <f t="shared" si="6"/>
        <v>143.1457772</v>
      </c>
      <c r="K23" s="851">
        <f t="shared" si="6"/>
        <v>152.21534166999999</v>
      </c>
      <c r="L23" s="851">
        <f t="shared" si="6"/>
        <v>155.16249213999998</v>
      </c>
      <c r="M23" s="843">
        <f t="shared" si="6"/>
        <v>142.78333591999998</v>
      </c>
      <c r="N23" s="843">
        <f t="shared" si="6"/>
        <v>150.48461237000001</v>
      </c>
      <c r="O23" s="843">
        <f t="shared" si="6"/>
        <v>152.92680157000001</v>
      </c>
      <c r="P23" s="840">
        <f t="shared" si="6"/>
        <v>166.80872016000001</v>
      </c>
      <c r="Q23" s="840">
        <f t="shared" si="6"/>
        <v>166.82272545999999</v>
      </c>
      <c r="R23" s="840">
        <f t="shared" si="6"/>
        <v>168.62291465999999</v>
      </c>
      <c r="S23" s="840">
        <f t="shared" si="6"/>
        <v>171.60923410999999</v>
      </c>
      <c r="T23" s="840">
        <f t="shared" si="6"/>
        <v>172.03440806</v>
      </c>
      <c r="U23" s="840">
        <f t="shared" si="6"/>
        <v>171.15422795999999</v>
      </c>
      <c r="V23" s="840">
        <f t="shared" si="6"/>
        <v>163.40915322999999</v>
      </c>
      <c r="W23" s="840">
        <v>172.14189110999999</v>
      </c>
      <c r="X23" s="840">
        <v>170.03224908999999</v>
      </c>
      <c r="Y23" s="843">
        <v>182.47238546</v>
      </c>
      <c r="Z23" s="840">
        <v>162.66938137</v>
      </c>
      <c r="AA23" s="843">
        <v>268.43889254000004</v>
      </c>
      <c r="AB23" s="843">
        <f>+AB21-AB22</f>
        <v>268.03215395000001</v>
      </c>
      <c r="AC23" s="843">
        <v>275.67182664000001</v>
      </c>
      <c r="AD23" s="843">
        <v>272.44533132000004</v>
      </c>
      <c r="AE23" s="843">
        <v>280.84781268</v>
      </c>
      <c r="AF23" s="843">
        <v>270.81413333999996</v>
      </c>
      <c r="AG23" s="843">
        <v>231.30769754000002</v>
      </c>
      <c r="AH23" s="843">
        <f>+AH21-AH22</f>
        <v>248.53300517000002</v>
      </c>
      <c r="AI23" s="843">
        <v>226.60959452999998</v>
      </c>
      <c r="AJ23" s="843">
        <f>+AJ21-AJ22</f>
        <v>260.03666113999998</v>
      </c>
      <c r="AK23" s="843">
        <f>+AK21-AK22</f>
        <v>399.28801609999999</v>
      </c>
      <c r="AL23" s="843">
        <v>382.93394494</v>
      </c>
      <c r="AM23" s="843">
        <f>+AM21-AM22</f>
        <v>367.69668444000001</v>
      </c>
      <c r="AN23" s="843">
        <f>+AN21-AN22</f>
        <v>379.87390582999996</v>
      </c>
      <c r="AO23" s="843">
        <f>+AO21-AO22</f>
        <v>333.10557420999999</v>
      </c>
      <c r="AP23" s="843">
        <v>340.03197252000001</v>
      </c>
      <c r="AQ23" s="843">
        <v>362.94127739999999</v>
      </c>
      <c r="AR23" s="843">
        <v>267.94340400000004</v>
      </c>
      <c r="AS23" s="843">
        <v>284.68005249000004</v>
      </c>
      <c r="AT23" s="843">
        <f>AT15-AT19</f>
        <v>280.71421069000002</v>
      </c>
      <c r="AU23" s="843">
        <v>295.03538156999997</v>
      </c>
      <c r="AV23" s="843">
        <v>312.88934681000001</v>
      </c>
      <c r="AW23" s="843">
        <v>328.85541532000013</v>
      </c>
      <c r="AX23" s="843">
        <v>316.77899529000001</v>
      </c>
      <c r="AY23" s="843">
        <v>279.88288573</v>
      </c>
      <c r="AZ23" s="843">
        <v>290.03846806000001</v>
      </c>
      <c r="BA23" s="843">
        <v>290.41629772000005</v>
      </c>
      <c r="BB23" s="843">
        <v>278.36653281000002</v>
      </c>
      <c r="BC23" s="843">
        <v>248.74169150999998</v>
      </c>
      <c r="BD23" s="843">
        <f>+BD21-BD22</f>
        <v>264.19392228999999</v>
      </c>
      <c r="BE23" s="843">
        <v>240.51338946000001</v>
      </c>
      <c r="BF23" s="843">
        <v>320.08253374000003</v>
      </c>
      <c r="BG23" s="843">
        <v>257.73104654999997</v>
      </c>
      <c r="BH23" s="886">
        <v>262.56542301000002</v>
      </c>
      <c r="BI23" s="875">
        <v>215.08321670000001</v>
      </c>
      <c r="BJ23" s="875">
        <v>255.76558033000003</v>
      </c>
      <c r="BK23" s="875">
        <v>241.90851230000004</v>
      </c>
      <c r="BL23" s="875">
        <v>241.45340050000001</v>
      </c>
      <c r="BM23" s="875">
        <v>242.69991573999999</v>
      </c>
      <c r="BN23" s="875">
        <v>242.02508599999999</v>
      </c>
      <c r="BO23" s="875">
        <v>263.44649348999997</v>
      </c>
      <c r="BP23" s="875">
        <v>264.13864460000002</v>
      </c>
      <c r="BQ23" s="875">
        <v>262.41764452999996</v>
      </c>
      <c r="BR23" s="875">
        <v>301.06712655999996</v>
      </c>
      <c r="BS23" s="875">
        <v>311.41351384999996</v>
      </c>
      <c r="BT23" s="875">
        <v>344.35185543</v>
      </c>
      <c r="BU23" s="875">
        <v>385.72973376999988</v>
      </c>
      <c r="BV23" s="875">
        <v>315.69243582999997</v>
      </c>
      <c r="BW23" s="875">
        <v>316.08360901999998</v>
      </c>
      <c r="BX23" s="875">
        <v>316.54202562</v>
      </c>
      <c r="BY23" s="875">
        <v>311.62235566999993</v>
      </c>
      <c r="BZ23" s="875">
        <v>317.27302445999999</v>
      </c>
      <c r="CA23" s="875">
        <v>329.65914814000001</v>
      </c>
      <c r="CB23" s="875">
        <v>324.78048661999998</v>
      </c>
      <c r="CC23" s="875">
        <v>339.93472320999996</v>
      </c>
      <c r="CD23" s="875">
        <f t="shared" ref="CD23:CN23" si="7">+CD15-CD19</f>
        <v>256.54925648999995</v>
      </c>
      <c r="CE23" s="875">
        <f t="shared" si="7"/>
        <v>258.95345209000004</v>
      </c>
      <c r="CF23" s="875">
        <f t="shared" si="7"/>
        <v>276.73777699999994</v>
      </c>
      <c r="CG23" s="875">
        <f t="shared" si="7"/>
        <v>265.64946693999997</v>
      </c>
      <c r="CH23" s="875">
        <f t="shared" si="7"/>
        <v>254.47307946000001</v>
      </c>
      <c r="CI23" s="875">
        <f t="shared" si="7"/>
        <v>274.70992037999997</v>
      </c>
      <c r="CJ23" s="875">
        <f t="shared" si="7"/>
        <v>242.83079318</v>
      </c>
      <c r="CK23" s="875">
        <f t="shared" si="7"/>
        <v>233.00639561000008</v>
      </c>
      <c r="CL23" s="875">
        <f t="shared" si="7"/>
        <v>202.73298200000005</v>
      </c>
      <c r="CM23" s="875">
        <f t="shared" si="7"/>
        <v>195.29560846999999</v>
      </c>
      <c r="CN23" s="875">
        <f t="shared" si="7"/>
        <v>189.99547683999998</v>
      </c>
      <c r="CO23" s="875">
        <f>+CO21-CO22</f>
        <v>188.49180539</v>
      </c>
      <c r="CP23" s="875">
        <f>+CP21-CP22</f>
        <v>191.79466580000002</v>
      </c>
      <c r="CQ23" s="875">
        <f>+CQ21-CQ22</f>
        <v>192.97501495</v>
      </c>
      <c r="CR23" s="875">
        <f>+CR21-CR22</f>
        <v>195.56799269999999</v>
      </c>
      <c r="CS23" s="875">
        <v>181.73458911</v>
      </c>
      <c r="CT23" s="875">
        <v>174.40738386999999</v>
      </c>
      <c r="CU23" s="875">
        <v>185.20028975</v>
      </c>
      <c r="CV23" s="875">
        <v>189.58869411000001</v>
      </c>
      <c r="CW23" s="875">
        <v>201.37587379000001</v>
      </c>
      <c r="CX23" s="875">
        <v>210.72817533</v>
      </c>
      <c r="CY23" s="875">
        <v>224.18957821999999</v>
      </c>
      <c r="CZ23" s="875">
        <v>240.63356614</v>
      </c>
      <c r="DA23" s="875">
        <v>260.16159966999999</v>
      </c>
      <c r="DB23" s="875">
        <v>290.61892597999997</v>
      </c>
      <c r="DC23" s="875">
        <v>327.43968145000002</v>
      </c>
      <c r="DD23" s="875">
        <v>344.01929388999997</v>
      </c>
      <c r="DE23" s="875">
        <v>360.16966318999999</v>
      </c>
      <c r="DF23" s="875">
        <v>390.94349674</v>
      </c>
      <c r="DG23" s="875">
        <v>396.98080440000001</v>
      </c>
      <c r="DH23" s="875">
        <v>408.63102178999998</v>
      </c>
      <c r="DI23" s="875">
        <v>411.08890149000001</v>
      </c>
      <c r="DJ23" s="875">
        <v>416.18005577000002</v>
      </c>
      <c r="DK23" s="875">
        <v>421.56612342</v>
      </c>
      <c r="DL23" s="875">
        <v>404.13279397999997</v>
      </c>
      <c r="DM23" s="875">
        <v>414.50325798</v>
      </c>
      <c r="DN23" s="875">
        <v>418.93732748000002</v>
      </c>
      <c r="DO23" s="875">
        <v>409.48514232999997</v>
      </c>
      <c r="DP23" s="875">
        <v>392.51389502000001</v>
      </c>
      <c r="DQ23" s="875">
        <v>368.03822644000002</v>
      </c>
      <c r="DR23" s="875">
        <v>354.26085307</v>
      </c>
      <c r="DS23" s="875">
        <v>355.83555323000002</v>
      </c>
      <c r="DT23" s="875">
        <v>337.58234585000002</v>
      </c>
      <c r="DU23" s="875">
        <v>344.79626215000002</v>
      </c>
      <c r="DV23" s="875">
        <v>347.58205407999998</v>
      </c>
      <c r="DW23" s="875">
        <v>358.72240363999998</v>
      </c>
      <c r="DX23" s="875">
        <v>324.49928055999999</v>
      </c>
      <c r="DY23" s="875">
        <v>341.27466767999999</v>
      </c>
      <c r="DZ23" s="875">
        <v>362.92650773999998</v>
      </c>
      <c r="EA23" s="875">
        <v>373.67462870999998</v>
      </c>
      <c r="EB23" s="875">
        <v>383.37122421999999</v>
      </c>
      <c r="EC23" s="875">
        <v>371.56211576999999</v>
      </c>
      <c r="ED23" s="875">
        <v>362.81353756999999</v>
      </c>
      <c r="EE23" s="875">
        <v>350.80380789999998</v>
      </c>
      <c r="EF23" s="875">
        <v>352.2989867</v>
      </c>
      <c r="EG23" s="875">
        <v>346.25297807999999</v>
      </c>
      <c r="EH23" s="875">
        <v>348.51727034999999</v>
      </c>
      <c r="EI23" s="875">
        <v>346.98555184000003</v>
      </c>
      <c r="EJ23" s="875">
        <v>359.77992535999999</v>
      </c>
      <c r="EK23" s="875">
        <v>359.6291688</v>
      </c>
      <c r="EL23" s="875">
        <v>372.09811876999999</v>
      </c>
      <c r="EM23" s="875">
        <v>345.10413295000001</v>
      </c>
      <c r="EN23" s="875">
        <v>356.33699426999999</v>
      </c>
      <c r="EO23" s="875">
        <v>381.86532453000001</v>
      </c>
      <c r="EP23" s="875">
        <v>375.07959348000003</v>
      </c>
      <c r="EQ23" s="875">
        <v>401.73244202000001</v>
      </c>
      <c r="ER23" s="875">
        <v>385.88139949999999</v>
      </c>
      <c r="ES23" s="875">
        <v>374.75622757000002</v>
      </c>
      <c r="ET23" s="875">
        <v>355.24146868999998</v>
      </c>
      <c r="EU23" s="1924" t="s">
        <v>4085</v>
      </c>
    </row>
    <row r="24" spans="1:151" ht="21">
      <c r="A24" s="1929"/>
      <c r="B24" s="851"/>
      <c r="C24" s="851"/>
      <c r="D24" s="851"/>
      <c r="E24" s="851"/>
      <c r="F24" s="851"/>
      <c r="G24" s="851"/>
      <c r="H24" s="851"/>
      <c r="I24" s="851"/>
      <c r="J24" s="851"/>
      <c r="K24" s="851"/>
      <c r="L24" s="851"/>
      <c r="M24" s="843"/>
      <c r="N24" s="843"/>
      <c r="O24" s="843"/>
      <c r="P24" s="843"/>
      <c r="Q24" s="843"/>
      <c r="R24" s="843"/>
      <c r="S24" s="843"/>
      <c r="T24" s="843"/>
      <c r="U24" s="843"/>
      <c r="V24" s="843"/>
      <c r="W24" s="843"/>
      <c r="X24" s="843"/>
      <c r="Y24" s="843"/>
      <c r="Z24" s="843"/>
      <c r="AA24" s="843"/>
      <c r="AB24" s="843"/>
      <c r="AC24" s="843"/>
      <c r="AD24" s="843"/>
      <c r="AE24" s="843"/>
      <c r="AF24" s="843"/>
      <c r="AG24" s="843"/>
      <c r="AH24" s="843"/>
      <c r="AI24" s="843"/>
      <c r="AJ24" s="843"/>
      <c r="AK24" s="843"/>
      <c r="AL24" s="843"/>
      <c r="AM24" s="843"/>
      <c r="AN24" s="843"/>
      <c r="AO24" s="843"/>
      <c r="AP24" s="843"/>
      <c r="AQ24" s="843"/>
      <c r="AR24" s="843"/>
      <c r="AS24" s="843"/>
      <c r="AT24" s="843"/>
      <c r="AU24" s="843"/>
      <c r="AV24" s="843"/>
      <c r="AW24" s="843"/>
      <c r="AX24" s="843"/>
      <c r="AY24" s="843"/>
      <c r="AZ24" s="843"/>
      <c r="BA24" s="843"/>
      <c r="BB24" s="843"/>
      <c r="BC24" s="843"/>
      <c r="BD24" s="843"/>
      <c r="BE24" s="843"/>
      <c r="BF24" s="843"/>
      <c r="BG24" s="843"/>
      <c r="BH24" s="886"/>
      <c r="BI24" s="875"/>
      <c r="BJ24" s="875"/>
      <c r="BK24" s="875"/>
      <c r="BL24" s="875"/>
      <c r="BM24" s="875"/>
      <c r="BN24" s="875"/>
      <c r="BO24" s="875"/>
      <c r="BP24" s="875"/>
      <c r="BQ24" s="875"/>
      <c r="BR24" s="875"/>
      <c r="BS24" s="875"/>
      <c r="BT24" s="875"/>
      <c r="BU24" s="875"/>
      <c r="BV24" s="875"/>
      <c r="BW24" s="875"/>
      <c r="BX24" s="875"/>
      <c r="BY24" s="875"/>
      <c r="BZ24" s="875"/>
      <c r="CA24" s="875"/>
      <c r="CB24" s="875"/>
      <c r="CC24" s="875"/>
      <c r="CD24" s="875"/>
      <c r="CE24" s="875"/>
      <c r="CF24" s="875"/>
      <c r="CG24" s="875"/>
      <c r="CH24" s="875"/>
      <c r="CI24" s="875"/>
      <c r="CJ24" s="875"/>
      <c r="CK24" s="875"/>
      <c r="CL24" s="875"/>
      <c r="CM24" s="876"/>
      <c r="CN24" s="876"/>
      <c r="CO24" s="876"/>
      <c r="CP24" s="876"/>
      <c r="CQ24" s="876"/>
      <c r="CR24" s="876"/>
      <c r="CS24" s="876"/>
      <c r="CT24" s="876"/>
      <c r="CU24" s="876"/>
      <c r="CV24" s="876"/>
      <c r="CW24" s="876"/>
      <c r="CX24" s="876"/>
      <c r="CY24" s="876"/>
      <c r="CZ24" s="876"/>
      <c r="DA24" s="876"/>
      <c r="DB24" s="876"/>
      <c r="DC24" s="876"/>
      <c r="DD24" s="876"/>
      <c r="DE24" s="876"/>
      <c r="DF24" s="876"/>
      <c r="DG24" s="876"/>
      <c r="DH24" s="876"/>
      <c r="DI24" s="876"/>
      <c r="DJ24" s="876"/>
      <c r="DK24" s="876"/>
      <c r="DL24" s="876"/>
      <c r="DM24" s="876"/>
      <c r="DN24" s="876"/>
      <c r="DO24" s="876"/>
      <c r="DP24" s="876"/>
      <c r="DQ24" s="876"/>
      <c r="DR24" s="876"/>
      <c r="DS24" s="876"/>
      <c r="DT24" s="876"/>
      <c r="DU24" s="876"/>
      <c r="DV24" s="876"/>
      <c r="DW24" s="876"/>
      <c r="DX24" s="876"/>
      <c r="DY24" s="876"/>
      <c r="DZ24" s="876"/>
      <c r="EA24" s="876"/>
      <c r="EB24" s="876"/>
      <c r="EC24" s="876"/>
      <c r="ED24" s="876"/>
      <c r="EE24" s="876"/>
      <c r="EF24" s="876"/>
      <c r="EG24" s="876"/>
      <c r="EH24" s="876"/>
      <c r="EI24" s="876"/>
      <c r="EJ24" s="876"/>
      <c r="EK24" s="876"/>
      <c r="EL24" s="876"/>
      <c r="EM24" s="876"/>
      <c r="EN24" s="876"/>
      <c r="EO24" s="876"/>
      <c r="EP24" s="876"/>
      <c r="EQ24" s="876"/>
      <c r="ER24" s="876"/>
      <c r="ES24" s="876"/>
      <c r="ET24" s="876"/>
      <c r="EU24" s="1919"/>
    </row>
    <row r="25" spans="1:151" ht="21">
      <c r="A25" s="1930" t="s">
        <v>2758</v>
      </c>
      <c r="B25" s="850">
        <v>1997.4808885300001</v>
      </c>
      <c r="C25" s="851">
        <v>1600.5890726900002</v>
      </c>
      <c r="D25" s="851">
        <v>1625.0404179699999</v>
      </c>
      <c r="E25" s="851">
        <v>1640.9079317000001</v>
      </c>
      <c r="F25" s="851">
        <v>1655.63710855</v>
      </c>
      <c r="G25" s="851">
        <v>1677.5611065200001</v>
      </c>
      <c r="H25" s="851">
        <v>1666.7588732499999</v>
      </c>
      <c r="I25" s="851">
        <v>1704.3186043800001</v>
      </c>
      <c r="J25" s="851">
        <v>1694.8147798999998</v>
      </c>
      <c r="K25" s="851">
        <v>1708.6697574200002</v>
      </c>
      <c r="L25" s="851">
        <v>1723.9278640700002</v>
      </c>
      <c r="M25" s="840">
        <v>1746.3819812699999</v>
      </c>
      <c r="N25" s="843">
        <v>1744.1478972300001</v>
      </c>
      <c r="O25" s="843">
        <v>1750.2350728500001</v>
      </c>
      <c r="P25" s="840">
        <v>1760.61672501</v>
      </c>
      <c r="Q25" s="840">
        <v>1832.1338688000001</v>
      </c>
      <c r="R25" s="840">
        <v>1952.2610408800001</v>
      </c>
      <c r="S25" s="840">
        <v>1982.4907692000004</v>
      </c>
      <c r="T25" s="840">
        <v>2015.43863384</v>
      </c>
      <c r="U25" s="840">
        <v>2047.6620129100002</v>
      </c>
      <c r="V25" s="840">
        <v>2092.5010955400003</v>
      </c>
      <c r="W25" s="840">
        <v>2085.99585983</v>
      </c>
      <c r="X25" s="840">
        <v>2128.5597149</v>
      </c>
      <c r="Y25" s="840">
        <v>2173.0324321600001</v>
      </c>
      <c r="Z25" s="840">
        <v>2167.3374378999997</v>
      </c>
      <c r="AA25" s="843">
        <v>2397.3352254700003</v>
      </c>
      <c r="AB25" s="840">
        <v>2374.8432735599999</v>
      </c>
      <c r="AC25" s="840">
        <v>2396.3236425900004</v>
      </c>
      <c r="AD25" s="840">
        <v>2396.3236425900004</v>
      </c>
      <c r="AE25" s="840">
        <v>2360.3413638800002</v>
      </c>
      <c r="AF25" s="840">
        <v>2353.9273379700003</v>
      </c>
      <c r="AG25" s="840">
        <v>2379.6097046300001</v>
      </c>
      <c r="AH25" s="840">
        <v>1982.0373031499998</v>
      </c>
      <c r="AI25" s="840">
        <v>2076.6310756799999</v>
      </c>
      <c r="AJ25" s="840">
        <v>2072.3619133200004</v>
      </c>
      <c r="AK25" s="840">
        <v>2573.5201158899999</v>
      </c>
      <c r="AL25" s="840">
        <v>2369.6250672599999</v>
      </c>
      <c r="AM25" s="840">
        <v>2328.1937348200004</v>
      </c>
      <c r="AN25" s="840">
        <v>2278.9631588400002</v>
      </c>
      <c r="AO25" s="840">
        <v>2214.1654261799999</v>
      </c>
      <c r="AP25" s="840">
        <v>2149.1669404899999</v>
      </c>
      <c r="AQ25" s="840">
        <v>2179.1780300800001</v>
      </c>
      <c r="AR25" s="840">
        <v>2129.1986759299998</v>
      </c>
      <c r="AS25" s="840">
        <v>2036.4525464399999</v>
      </c>
      <c r="AT25" s="840">
        <f>AT9-AT13</f>
        <v>2088.3893201700002</v>
      </c>
      <c r="AU25" s="840">
        <v>1996.4791060599998</v>
      </c>
      <c r="AV25" s="840">
        <v>1875.2625037600001</v>
      </c>
      <c r="AW25" s="840">
        <v>1899.7114480600001</v>
      </c>
      <c r="AX25" s="840">
        <v>1894.5550766699998</v>
      </c>
      <c r="AY25" s="840">
        <v>1817.5474656100002</v>
      </c>
      <c r="AZ25" s="840">
        <v>1669.37484098</v>
      </c>
      <c r="BA25" s="840">
        <v>1650.7422767099999</v>
      </c>
      <c r="BB25" s="840">
        <v>1653.62757203</v>
      </c>
      <c r="BC25" s="840">
        <v>1689.4384868000002</v>
      </c>
      <c r="BD25" s="840">
        <v>1709.4497010099999</v>
      </c>
      <c r="BE25" s="840">
        <v>1693.8913323300001</v>
      </c>
      <c r="BF25" s="840">
        <v>1702.9484775000001</v>
      </c>
      <c r="BG25" s="840">
        <v>1687.6466306399998</v>
      </c>
      <c r="BH25" s="885">
        <v>1689.7293217399997</v>
      </c>
      <c r="BI25" s="874">
        <v>1706.8477929300002</v>
      </c>
      <c r="BJ25" s="874">
        <v>1600.9772788300002</v>
      </c>
      <c r="BK25" s="874">
        <v>1572.9009793199998</v>
      </c>
      <c r="BL25" s="874">
        <v>1580.6279562899999</v>
      </c>
      <c r="BM25" s="874">
        <v>1571.89407355</v>
      </c>
      <c r="BN25" s="874">
        <v>1573.51951482</v>
      </c>
      <c r="BO25" s="874">
        <v>1592.5914662700002</v>
      </c>
      <c r="BP25" s="874">
        <v>1583.22555792</v>
      </c>
      <c r="BQ25" s="874">
        <v>1603.1198062399999</v>
      </c>
      <c r="BR25" s="874">
        <v>1594.37784156</v>
      </c>
      <c r="BS25" s="874">
        <v>1579.5305877899998</v>
      </c>
      <c r="BT25" s="874">
        <v>1564.9409065700004</v>
      </c>
      <c r="BU25" s="874">
        <v>1799.0264805100001</v>
      </c>
      <c r="BV25" s="874">
        <v>1781.6304534699998</v>
      </c>
      <c r="BW25" s="874">
        <v>1802.0957212199999</v>
      </c>
      <c r="BX25" s="874">
        <v>1818.6724963199997</v>
      </c>
      <c r="BY25" s="874">
        <v>1785.6486223600004</v>
      </c>
      <c r="BZ25" s="874">
        <v>1793.2652173100003</v>
      </c>
      <c r="CA25" s="874">
        <v>1797.0888561799998</v>
      </c>
      <c r="CB25" s="874">
        <v>1787.88357397</v>
      </c>
      <c r="CC25" s="874">
        <v>1781.6482537999998</v>
      </c>
      <c r="CD25" s="874">
        <v>1831.7609749399999</v>
      </c>
      <c r="CE25" s="874">
        <v>1845.00138851</v>
      </c>
      <c r="CF25" s="874">
        <v>1718.3012466199998</v>
      </c>
      <c r="CG25" s="874">
        <v>1876.9969532699997</v>
      </c>
      <c r="CH25" s="874">
        <v>1842.3473829399998</v>
      </c>
      <c r="CI25" s="874">
        <v>1869.0565379299999</v>
      </c>
      <c r="CJ25" s="874">
        <v>1845.6845157499999</v>
      </c>
      <c r="CK25" s="874">
        <v>1763.37744531</v>
      </c>
      <c r="CL25" s="874">
        <v>1717.0436361500001</v>
      </c>
      <c r="CM25" s="874">
        <v>1714.9774339999999</v>
      </c>
      <c r="CN25" s="874">
        <v>1687.1718551400002</v>
      </c>
      <c r="CO25" s="874">
        <v>1704.3281428200003</v>
      </c>
      <c r="CP25" s="874">
        <v>1829.08390491</v>
      </c>
      <c r="CQ25" s="874">
        <v>1891.2182989100002</v>
      </c>
      <c r="CR25" s="874">
        <v>1904.37916402</v>
      </c>
      <c r="CS25" s="874">
        <v>1945.65520599</v>
      </c>
      <c r="CT25" s="874">
        <v>1934.4581502200001</v>
      </c>
      <c r="CU25" s="874">
        <v>1799.7907130799999</v>
      </c>
      <c r="CV25" s="874">
        <v>1816.18186638</v>
      </c>
      <c r="CW25" s="874">
        <v>1841.6917031200001</v>
      </c>
      <c r="CX25" s="874">
        <v>1832.3393819400001</v>
      </c>
      <c r="CY25" s="874">
        <v>1825.01230416</v>
      </c>
      <c r="CZ25" s="874">
        <v>1800.4434924100001</v>
      </c>
      <c r="DA25" s="874">
        <v>1788.0533581</v>
      </c>
      <c r="DB25" s="874">
        <v>1792.31442444</v>
      </c>
      <c r="DC25" s="874">
        <v>1891.8803932599999</v>
      </c>
      <c r="DD25" s="874">
        <v>1924.64480946</v>
      </c>
      <c r="DE25" s="874">
        <v>2014.8264132199999</v>
      </c>
      <c r="DF25" s="874">
        <v>1990.3145238899999</v>
      </c>
      <c r="DG25" s="874">
        <v>2011.40565651</v>
      </c>
      <c r="DH25" s="874">
        <v>2025.4280490799999</v>
      </c>
      <c r="DI25" s="874">
        <v>1999.15838897</v>
      </c>
      <c r="DJ25" s="874">
        <v>2052.3716387300001</v>
      </c>
      <c r="DK25" s="874">
        <v>2051.1250995999999</v>
      </c>
      <c r="DL25" s="874">
        <v>2027.60047577</v>
      </c>
      <c r="DM25" s="874">
        <v>2025.3169210900001</v>
      </c>
      <c r="DN25" s="874">
        <v>2067.0667320699999</v>
      </c>
      <c r="DO25" s="874">
        <v>2134.8248919299999</v>
      </c>
      <c r="DP25" s="874">
        <v>2212.9767670199999</v>
      </c>
      <c r="DQ25" s="874">
        <v>2190.3274890900002</v>
      </c>
      <c r="DR25" s="874">
        <v>2163.90882474</v>
      </c>
      <c r="DS25" s="874">
        <v>2170.9587504400001</v>
      </c>
      <c r="DT25" s="874">
        <v>2231.3064473700001</v>
      </c>
      <c r="DU25" s="874">
        <v>2246.1098051200001</v>
      </c>
      <c r="DV25" s="874">
        <v>2251.05450058</v>
      </c>
      <c r="DW25" s="874">
        <v>2286.0793010500001</v>
      </c>
      <c r="DX25" s="874">
        <v>2297.4700093400002</v>
      </c>
      <c r="DY25" s="874">
        <v>2305.12760088</v>
      </c>
      <c r="DZ25" s="874">
        <v>2324.9063719999999</v>
      </c>
      <c r="EA25" s="874">
        <v>2267.0702794600002</v>
      </c>
      <c r="EB25" s="874">
        <v>2301.4751538400001</v>
      </c>
      <c r="EC25" s="874">
        <v>2280.5245190400001</v>
      </c>
      <c r="ED25" s="874">
        <v>2295.2919855300001</v>
      </c>
      <c r="EE25" s="874">
        <v>2355.0212405299999</v>
      </c>
      <c r="EF25" s="874">
        <v>2533.4736811399998</v>
      </c>
      <c r="EG25" s="874">
        <v>2569.4990304799999</v>
      </c>
      <c r="EH25" s="874">
        <v>2602.4147849999999</v>
      </c>
      <c r="EI25" s="874">
        <v>2677.8116635900001</v>
      </c>
      <c r="EJ25" s="874">
        <v>2650.36756986</v>
      </c>
      <c r="EK25" s="874">
        <v>2621.50315344</v>
      </c>
      <c r="EL25" s="874">
        <v>2711.1599526800001</v>
      </c>
      <c r="EM25" s="874">
        <v>2714.9737086800001</v>
      </c>
      <c r="EN25" s="874">
        <v>2718.3715037000002</v>
      </c>
      <c r="EO25" s="874">
        <v>2681.9056344800001</v>
      </c>
      <c r="EP25" s="874">
        <v>2609.9208921200002</v>
      </c>
      <c r="EQ25" s="874">
        <v>2610.2815893100001</v>
      </c>
      <c r="ER25" s="874">
        <v>2618.5708971499998</v>
      </c>
      <c r="ES25" s="874">
        <v>2619.5044591000001</v>
      </c>
      <c r="ET25" s="874">
        <v>2636.6584703499998</v>
      </c>
      <c r="EU25" s="1918" t="s">
        <v>4084</v>
      </c>
    </row>
    <row r="26" spans="1:151" ht="21">
      <c r="A26" s="1931" t="s">
        <v>1974</v>
      </c>
      <c r="B26" s="851">
        <v>205.22059789000002</v>
      </c>
      <c r="C26" s="851">
        <v>198.41288696000001</v>
      </c>
      <c r="D26" s="851">
        <v>198.30298877000001</v>
      </c>
      <c r="E26" s="851">
        <v>180.03692239</v>
      </c>
      <c r="F26" s="851">
        <v>179.95273742999998</v>
      </c>
      <c r="G26" s="851">
        <v>179.50635452</v>
      </c>
      <c r="H26" s="851">
        <v>161.22186825</v>
      </c>
      <c r="I26" s="851">
        <v>161.38387121000002</v>
      </c>
      <c r="J26" s="851">
        <v>143.64281452</v>
      </c>
      <c r="K26" s="851">
        <v>143.69167696</v>
      </c>
      <c r="L26" s="851">
        <v>143.46295061999999</v>
      </c>
      <c r="M26" s="843">
        <v>125.44682163</v>
      </c>
      <c r="N26" s="843">
        <v>125.34883538999999</v>
      </c>
      <c r="O26" s="843">
        <v>125.39352769</v>
      </c>
      <c r="P26" s="843">
        <v>107.25320391</v>
      </c>
      <c r="Q26" s="843">
        <v>107.28722328000001</v>
      </c>
      <c r="R26" s="843">
        <v>111.05679920999999</v>
      </c>
      <c r="S26" s="843">
        <v>92.949140830000005</v>
      </c>
      <c r="T26" s="843">
        <v>93.048771470000005</v>
      </c>
      <c r="U26" s="843">
        <v>93.021252109999992</v>
      </c>
      <c r="V26" s="843">
        <v>92.976926209999988</v>
      </c>
      <c r="W26" s="843">
        <v>92.920975179999999</v>
      </c>
      <c r="X26" s="843">
        <v>91.77625467</v>
      </c>
      <c r="Y26" s="843">
        <v>91.707206909999996</v>
      </c>
      <c r="Z26" s="843">
        <v>91.137016410000001</v>
      </c>
      <c r="AA26" s="843">
        <v>121.08331736</v>
      </c>
      <c r="AB26" s="843">
        <v>120.92812768</v>
      </c>
      <c r="AC26" s="843">
        <v>120.92738615</v>
      </c>
      <c r="AD26" s="843">
        <v>120.92738615</v>
      </c>
      <c r="AE26" s="843">
        <v>120.97454916</v>
      </c>
      <c r="AF26" s="843">
        <v>121.14468807000002</v>
      </c>
      <c r="AG26" s="843">
        <v>120.93002451</v>
      </c>
      <c r="AH26" s="843">
        <v>121.08796310999999</v>
      </c>
      <c r="AI26" s="843">
        <v>121.28193485000001</v>
      </c>
      <c r="AJ26" s="843">
        <v>120.78842283</v>
      </c>
      <c r="AK26" s="843">
        <v>177.33951356</v>
      </c>
      <c r="AL26" s="843">
        <v>179.36140225999998</v>
      </c>
      <c r="AM26" s="843">
        <v>173.13793168000001</v>
      </c>
      <c r="AN26" s="843">
        <v>170.69728759</v>
      </c>
      <c r="AO26" s="843">
        <v>166.89106500000003</v>
      </c>
      <c r="AP26" s="843">
        <v>162.77225614</v>
      </c>
      <c r="AQ26" s="843">
        <v>168.37333031999998</v>
      </c>
      <c r="AR26" s="843">
        <v>173.43600566999999</v>
      </c>
      <c r="AS26" s="843">
        <v>178.67135632000003</v>
      </c>
      <c r="AT26" s="843">
        <f>AT10-AT14</f>
        <v>177.36335674000003</v>
      </c>
      <c r="AU26" s="843">
        <v>166.47370662000003</v>
      </c>
      <c r="AV26" s="843">
        <v>167.67459003000002</v>
      </c>
      <c r="AW26" s="843">
        <v>171.19413736000001</v>
      </c>
      <c r="AX26" s="843">
        <v>169.45565411999999</v>
      </c>
      <c r="AY26" s="843">
        <v>155.36950523000002</v>
      </c>
      <c r="AZ26" s="843">
        <v>153.27726719</v>
      </c>
      <c r="BA26" s="843">
        <v>138.25280271</v>
      </c>
      <c r="BB26" s="843">
        <v>158.16089871</v>
      </c>
      <c r="BC26" s="843">
        <v>158.00383823999999</v>
      </c>
      <c r="BD26" s="843">
        <v>144.67907321999999</v>
      </c>
      <c r="BE26" s="843">
        <v>144.41101212000001</v>
      </c>
      <c r="BF26" s="843">
        <v>144.58190649999997</v>
      </c>
      <c r="BG26" s="843">
        <v>131.3454572</v>
      </c>
      <c r="BH26" s="886">
        <v>131.18008438999999</v>
      </c>
      <c r="BI26" s="875">
        <v>103.71624177999999</v>
      </c>
      <c r="BJ26" s="875">
        <v>90.538680540000001</v>
      </c>
      <c r="BK26" s="875">
        <v>90.645142160000006</v>
      </c>
      <c r="BL26" s="875">
        <v>90.536068010000008</v>
      </c>
      <c r="BM26" s="875">
        <v>77.34248568000001</v>
      </c>
      <c r="BN26" s="875">
        <v>77.121675170000003</v>
      </c>
      <c r="BO26" s="875">
        <v>77.060813190000005</v>
      </c>
      <c r="BP26" s="875">
        <v>63.9105749</v>
      </c>
      <c r="BQ26" s="875">
        <v>102.53830611000001</v>
      </c>
      <c r="BR26" s="875">
        <v>102.42328000000001</v>
      </c>
      <c r="BS26" s="875">
        <v>88.329508399999995</v>
      </c>
      <c r="BT26" s="875">
        <v>76.080630409999998</v>
      </c>
      <c r="BU26" s="875">
        <v>76.224326239999996</v>
      </c>
      <c r="BV26" s="875">
        <v>37.76495989</v>
      </c>
      <c r="BW26" s="875">
        <v>37.683614200000001</v>
      </c>
      <c r="BX26" s="875">
        <v>37.9838247</v>
      </c>
      <c r="BY26" s="875">
        <v>11.40109805</v>
      </c>
      <c r="BZ26" s="875">
        <v>11.38605424</v>
      </c>
      <c r="CA26" s="875">
        <v>11.273311969999998</v>
      </c>
      <c r="CB26" s="875">
        <v>11.344835940000001</v>
      </c>
      <c r="CC26" s="875">
        <v>11.26681492</v>
      </c>
      <c r="CD26" s="875">
        <v>11.203560589999999</v>
      </c>
      <c r="CE26" s="875">
        <v>11.1523024</v>
      </c>
      <c r="CF26" s="875">
        <v>11.15681689</v>
      </c>
      <c r="CG26" s="875">
        <v>11.079210580000002</v>
      </c>
      <c r="CH26" s="875">
        <v>11.006797039999999</v>
      </c>
      <c r="CI26" s="875">
        <v>11.100453490000001</v>
      </c>
      <c r="CJ26" s="875">
        <v>11.02811129</v>
      </c>
      <c r="CK26" s="875">
        <v>10.898655969999998</v>
      </c>
      <c r="CL26" s="875">
        <v>10.47744503</v>
      </c>
      <c r="CM26" s="875">
        <v>10.42489181</v>
      </c>
      <c r="CN26" s="875">
        <v>10.359706139999998</v>
      </c>
      <c r="CO26" s="875">
        <v>10.307521940000001</v>
      </c>
      <c r="CP26" s="875">
        <v>10.90080251</v>
      </c>
      <c r="CQ26" s="875">
        <v>10.839672539999999</v>
      </c>
      <c r="CR26" s="875">
        <v>10.83003298</v>
      </c>
      <c r="CS26" s="875">
        <v>10.8623779</v>
      </c>
      <c r="CT26" s="875">
        <v>10.85097418</v>
      </c>
      <c r="CU26" s="875">
        <v>11.132223059999999</v>
      </c>
      <c r="CV26" s="875">
        <v>11.1168555</v>
      </c>
      <c r="CW26" s="875">
        <v>11.33596371</v>
      </c>
      <c r="CX26" s="875">
        <v>11.30016968</v>
      </c>
      <c r="CY26" s="875">
        <v>11.241448350000001</v>
      </c>
      <c r="CZ26" s="875">
        <v>11.208777660000001</v>
      </c>
      <c r="DA26" s="875">
        <v>11.3704044</v>
      </c>
      <c r="DB26" s="875">
        <v>11.33797994</v>
      </c>
      <c r="DC26" s="875">
        <v>23.540051630000001</v>
      </c>
      <c r="DD26" s="875">
        <v>23.74844264</v>
      </c>
      <c r="DE26" s="875">
        <v>29.818187770000002</v>
      </c>
      <c r="DF26" s="875">
        <v>29.775197510000002</v>
      </c>
      <c r="DG26" s="875">
        <v>29.22282891</v>
      </c>
      <c r="DH26" s="875">
        <v>29.20734217</v>
      </c>
      <c r="DI26" s="875">
        <v>30.159183989999999</v>
      </c>
      <c r="DJ26" s="875">
        <v>30.137918290000002</v>
      </c>
      <c r="DK26" s="875">
        <v>30.332812069999999</v>
      </c>
      <c r="DL26" s="875">
        <v>30.293945269999998</v>
      </c>
      <c r="DM26" s="875">
        <v>29.167241489999999</v>
      </c>
      <c r="DN26" s="875">
        <v>30.046424850000001</v>
      </c>
      <c r="DO26" s="875">
        <v>28.833216700000001</v>
      </c>
      <c r="DP26" s="875">
        <v>30.76569563</v>
      </c>
      <c r="DQ26" s="875">
        <v>23.398638890000001</v>
      </c>
      <c r="DR26" s="875">
        <v>23.66677408</v>
      </c>
      <c r="DS26" s="875">
        <v>23.60602974</v>
      </c>
      <c r="DT26" s="875">
        <v>23.613924959999999</v>
      </c>
      <c r="DU26" s="875">
        <v>23.462660339999999</v>
      </c>
      <c r="DV26" s="875">
        <v>23.336604340000001</v>
      </c>
      <c r="DW26" s="875">
        <v>23.51047441</v>
      </c>
      <c r="DX26" s="875">
        <v>23.303725780000001</v>
      </c>
      <c r="DY26" s="875">
        <v>23.031625479999999</v>
      </c>
      <c r="DZ26" s="875">
        <v>23.302959229999999</v>
      </c>
      <c r="EA26" s="875">
        <v>24.044193880000002</v>
      </c>
      <c r="EB26" s="875">
        <v>13.64942003</v>
      </c>
      <c r="EC26" s="875">
        <v>13.50258047</v>
      </c>
      <c r="ED26" s="875">
        <v>13.33479187</v>
      </c>
      <c r="EE26" s="875">
        <v>61.033171250000002</v>
      </c>
      <c r="EF26" s="875">
        <v>166.53730085000001</v>
      </c>
      <c r="EG26" s="875">
        <v>165.90394079000001</v>
      </c>
      <c r="EH26" s="875">
        <v>151.41411975</v>
      </c>
      <c r="EI26" s="875">
        <v>150.42380023999999</v>
      </c>
      <c r="EJ26" s="875">
        <v>150.76237373999999</v>
      </c>
      <c r="EK26" s="875">
        <v>124.46548602999999</v>
      </c>
      <c r="EL26" s="875">
        <v>125.50325795000001</v>
      </c>
      <c r="EM26" s="875">
        <v>48.161160549999998</v>
      </c>
      <c r="EN26" s="875">
        <v>46.952287830000003</v>
      </c>
      <c r="EO26" s="875">
        <v>35.30251852</v>
      </c>
      <c r="EP26" s="875">
        <v>35.012272000000003</v>
      </c>
      <c r="EQ26" s="875">
        <v>34.823760030000003</v>
      </c>
      <c r="ER26" s="875">
        <v>35.9342939</v>
      </c>
      <c r="ES26" s="875">
        <v>36.229905309999999</v>
      </c>
      <c r="ET26" s="875">
        <v>36.020483409999997</v>
      </c>
      <c r="EU26" s="1920" t="s">
        <v>4086</v>
      </c>
    </row>
    <row r="27" spans="1:151" ht="21">
      <c r="A27" s="1931" t="s">
        <v>1975</v>
      </c>
      <c r="B27" s="850">
        <f>+B25-B26</f>
        <v>1792.2602906400002</v>
      </c>
      <c r="C27" s="851">
        <f t="shared" ref="C27:V27" si="8">+C25-C26</f>
        <v>1402.1761857300003</v>
      </c>
      <c r="D27" s="851">
        <f t="shared" si="8"/>
        <v>1426.7374292</v>
      </c>
      <c r="E27" s="851">
        <f t="shared" si="8"/>
        <v>1460.8710093100001</v>
      </c>
      <c r="F27" s="851">
        <f t="shared" si="8"/>
        <v>1475.6843711199999</v>
      </c>
      <c r="G27" s="851">
        <f t="shared" si="8"/>
        <v>1498.054752</v>
      </c>
      <c r="H27" s="851">
        <f t="shared" si="8"/>
        <v>1505.5370049999999</v>
      </c>
      <c r="I27" s="851">
        <f t="shared" si="8"/>
        <v>1542.9347331700001</v>
      </c>
      <c r="J27" s="851">
        <f t="shared" si="8"/>
        <v>1551.1719653799998</v>
      </c>
      <c r="K27" s="851">
        <f t="shared" si="8"/>
        <v>1564.9780804600002</v>
      </c>
      <c r="L27" s="851">
        <f t="shared" si="8"/>
        <v>1580.4649134500003</v>
      </c>
      <c r="M27" s="843">
        <f t="shared" si="8"/>
        <v>1620.9351596399999</v>
      </c>
      <c r="N27" s="843">
        <f t="shared" si="8"/>
        <v>1618.7990618400001</v>
      </c>
      <c r="O27" s="843">
        <f t="shared" si="8"/>
        <v>1624.8415451600001</v>
      </c>
      <c r="P27" s="840">
        <f t="shared" si="8"/>
        <v>1653.3635211000001</v>
      </c>
      <c r="Q27" s="840">
        <f t="shared" si="8"/>
        <v>1724.84664552</v>
      </c>
      <c r="R27" s="840">
        <f t="shared" si="8"/>
        <v>1841.2042416700001</v>
      </c>
      <c r="S27" s="840">
        <f t="shared" si="8"/>
        <v>1889.5416283700004</v>
      </c>
      <c r="T27" s="840">
        <f t="shared" si="8"/>
        <v>1922.3898623699999</v>
      </c>
      <c r="U27" s="840">
        <f t="shared" si="8"/>
        <v>1954.6407608000002</v>
      </c>
      <c r="V27" s="840">
        <f t="shared" si="8"/>
        <v>1999.5241693300004</v>
      </c>
      <c r="W27" s="840">
        <v>1993.0748846500001</v>
      </c>
      <c r="X27" s="840">
        <v>2036.7834602299999</v>
      </c>
      <c r="Y27" s="843">
        <v>2081.3252252500001</v>
      </c>
      <c r="Z27" s="840">
        <v>2076.2004214899998</v>
      </c>
      <c r="AA27" s="843">
        <v>2276.2519081100004</v>
      </c>
      <c r="AB27" s="843">
        <f>+AB25-AB26</f>
        <v>2253.9151458799997</v>
      </c>
      <c r="AC27" s="843">
        <v>2275.3962564400003</v>
      </c>
      <c r="AD27" s="843">
        <v>2275.3962564400003</v>
      </c>
      <c r="AE27" s="843">
        <v>2239.3668147200001</v>
      </c>
      <c r="AF27" s="843">
        <v>2232.7826499000003</v>
      </c>
      <c r="AG27" s="843">
        <v>2258.6796801200003</v>
      </c>
      <c r="AH27" s="843">
        <f>+AH25-AH26</f>
        <v>1860.9493400399999</v>
      </c>
      <c r="AI27" s="843">
        <v>1955.3491408299999</v>
      </c>
      <c r="AJ27" s="843">
        <f>+AJ25-AJ26</f>
        <v>1951.5734904900005</v>
      </c>
      <c r="AK27" s="843">
        <f>+AK25-AK26</f>
        <v>2396.1806023300001</v>
      </c>
      <c r="AL27" s="843">
        <v>2190.2636649999999</v>
      </c>
      <c r="AM27" s="843">
        <f>+AM25-AM26</f>
        <v>2155.0558031400005</v>
      </c>
      <c r="AN27" s="843">
        <f>+AN25-AN26</f>
        <v>2108.2658712500001</v>
      </c>
      <c r="AO27" s="843">
        <f>+AO25-AO26</f>
        <v>2047.2743611799999</v>
      </c>
      <c r="AP27" s="843">
        <v>1986.3946843499998</v>
      </c>
      <c r="AQ27" s="843">
        <v>2010.8046997600002</v>
      </c>
      <c r="AR27" s="843">
        <v>1955.7626702599998</v>
      </c>
      <c r="AS27" s="843">
        <v>1857.7811901199998</v>
      </c>
      <c r="AT27" s="843">
        <f>AT11-AT15</f>
        <v>1911.02596343</v>
      </c>
      <c r="AU27" s="843">
        <v>1830.00539944</v>
      </c>
      <c r="AV27" s="843">
        <v>1707.5879137300003</v>
      </c>
      <c r="AW27" s="843">
        <v>1728.5173107000001</v>
      </c>
      <c r="AX27" s="843">
        <v>1725.0994225499999</v>
      </c>
      <c r="AY27" s="843">
        <v>1662.1779603800003</v>
      </c>
      <c r="AZ27" s="843">
        <v>1516.0975737900001</v>
      </c>
      <c r="BA27" s="843">
        <v>1512.4894739999997</v>
      </c>
      <c r="BB27" s="843">
        <v>1495.4666733199999</v>
      </c>
      <c r="BC27" s="843">
        <v>1531.4346485600004</v>
      </c>
      <c r="BD27" s="843">
        <f>BD11-BD15</f>
        <v>1564.7706277900002</v>
      </c>
      <c r="BE27" s="843">
        <v>1549.4803202100002</v>
      </c>
      <c r="BF27" s="843">
        <v>1558.366571</v>
      </c>
      <c r="BG27" s="843">
        <v>1556.3011734399997</v>
      </c>
      <c r="BH27" s="886">
        <v>1558.5492373499997</v>
      </c>
      <c r="BI27" s="875">
        <v>1603.1315511500002</v>
      </c>
      <c r="BJ27" s="875">
        <v>1510.4385982900001</v>
      </c>
      <c r="BK27" s="875">
        <v>1482.2558371599998</v>
      </c>
      <c r="BL27" s="875">
        <v>1490.0918882800001</v>
      </c>
      <c r="BM27" s="875">
        <v>1494.55158787</v>
      </c>
      <c r="BN27" s="875">
        <v>1496.3978396499999</v>
      </c>
      <c r="BO27" s="875">
        <v>1515.5306530800003</v>
      </c>
      <c r="BP27" s="875">
        <v>1519.31498302</v>
      </c>
      <c r="BQ27" s="875">
        <v>1500.58150013</v>
      </c>
      <c r="BR27" s="875">
        <v>1491.95456156</v>
      </c>
      <c r="BS27" s="875">
        <v>1491.2010793899999</v>
      </c>
      <c r="BT27" s="875">
        <v>1488.8602761600002</v>
      </c>
      <c r="BU27" s="875">
        <v>1722.8021542700001</v>
      </c>
      <c r="BV27" s="875">
        <v>1743.8654935799998</v>
      </c>
      <c r="BW27" s="875">
        <v>1764.4121070199999</v>
      </c>
      <c r="BX27" s="875">
        <v>1780.6886716199997</v>
      </c>
      <c r="BY27" s="875">
        <v>1774.2475243100005</v>
      </c>
      <c r="BZ27" s="875">
        <v>1781.8791630700005</v>
      </c>
      <c r="CA27" s="875">
        <v>1785.8155442099996</v>
      </c>
      <c r="CB27" s="875">
        <v>1776.5387380300003</v>
      </c>
      <c r="CC27" s="875">
        <v>1770.3814388800001</v>
      </c>
      <c r="CD27" s="875">
        <v>1820.5574143499998</v>
      </c>
      <c r="CE27" s="875">
        <f t="shared" ref="CE27:CN27" si="9">+CE11-CE15</f>
        <v>1833.8490861099997</v>
      </c>
      <c r="CF27" s="875">
        <f t="shared" si="9"/>
        <v>1707.1444297299995</v>
      </c>
      <c r="CG27" s="875">
        <f t="shared" si="9"/>
        <v>1865.9177426899996</v>
      </c>
      <c r="CH27" s="875">
        <f t="shared" si="9"/>
        <v>1831.3405858999997</v>
      </c>
      <c r="CI27" s="875">
        <f t="shared" si="9"/>
        <v>1857.9560844399998</v>
      </c>
      <c r="CJ27" s="875">
        <f t="shared" si="9"/>
        <v>1834.65640446</v>
      </c>
      <c r="CK27" s="875">
        <f t="shared" si="9"/>
        <v>1752.4787893399998</v>
      </c>
      <c r="CL27" s="875">
        <f t="shared" si="9"/>
        <v>1706.56619112</v>
      </c>
      <c r="CM27" s="875">
        <f t="shared" si="9"/>
        <v>1704.5525421899997</v>
      </c>
      <c r="CN27" s="875">
        <f t="shared" si="9"/>
        <v>1676.8121490000003</v>
      </c>
      <c r="CO27" s="875">
        <f>+CO25-CO26</f>
        <v>1694.0206208800003</v>
      </c>
      <c r="CP27" s="875">
        <f>+CP25-CP26</f>
        <v>1818.1831024000001</v>
      </c>
      <c r="CQ27" s="875">
        <f>+CQ25-CQ26</f>
        <v>1880.3786263700001</v>
      </c>
      <c r="CR27" s="875">
        <f>+CR25-CR26</f>
        <v>1893.54913104</v>
      </c>
      <c r="CS27" s="875">
        <v>1934.7928280900001</v>
      </c>
      <c r="CT27" s="875">
        <v>1923.60717604</v>
      </c>
      <c r="CU27" s="875">
        <v>1788.65849002</v>
      </c>
      <c r="CV27" s="875">
        <v>1805.06501088</v>
      </c>
      <c r="CW27" s="875">
        <v>1830.3557394100001</v>
      </c>
      <c r="CX27" s="875">
        <v>1821.0392122600001</v>
      </c>
      <c r="CY27" s="875">
        <v>1813.7708558100001</v>
      </c>
      <c r="CZ27" s="875">
        <v>1789.23471475</v>
      </c>
      <c r="DA27" s="875">
        <v>1776.6829537000001</v>
      </c>
      <c r="DB27" s="875">
        <v>1780.9764445000001</v>
      </c>
      <c r="DC27" s="875">
        <v>1868.34034163</v>
      </c>
      <c r="DD27" s="875">
        <v>1900.8963668199999</v>
      </c>
      <c r="DE27" s="875">
        <v>1985.0082254500001</v>
      </c>
      <c r="DF27" s="875">
        <v>1960.5393263799999</v>
      </c>
      <c r="DG27" s="875">
        <v>1982.1828276000001</v>
      </c>
      <c r="DH27" s="875">
        <v>1996.22070691</v>
      </c>
      <c r="DI27" s="875">
        <v>1968.9992049800001</v>
      </c>
      <c r="DJ27" s="875">
        <v>2022.2337204400001</v>
      </c>
      <c r="DK27" s="875">
        <v>2020.7922875300001</v>
      </c>
      <c r="DL27" s="875">
        <v>1997.3065305</v>
      </c>
      <c r="DM27" s="875">
        <v>1996.1496795999999</v>
      </c>
      <c r="DN27" s="875">
        <v>2037.0203072199999</v>
      </c>
      <c r="DO27" s="875">
        <v>2105.9916752300001</v>
      </c>
      <c r="DP27" s="875">
        <v>2182.2110713900001</v>
      </c>
      <c r="DQ27" s="875">
        <v>2166.9288501999999</v>
      </c>
      <c r="DR27" s="875">
        <v>2140.2420506600001</v>
      </c>
      <c r="DS27" s="875">
        <v>2147.3527207000002</v>
      </c>
      <c r="DT27" s="875">
        <v>2207.69252241</v>
      </c>
      <c r="DU27" s="875">
        <v>2222.64714478</v>
      </c>
      <c r="DV27" s="875">
        <v>2227.7178962399998</v>
      </c>
      <c r="DW27" s="875">
        <v>2262.5688266400002</v>
      </c>
      <c r="DX27" s="875">
        <v>2274.16628356</v>
      </c>
      <c r="DY27" s="875">
        <v>2282.0959754</v>
      </c>
      <c r="DZ27" s="875">
        <v>2301.60341277</v>
      </c>
      <c r="EA27" s="875">
        <v>2243.0260855800002</v>
      </c>
      <c r="EB27" s="875">
        <v>2287.8257338100002</v>
      </c>
      <c r="EC27" s="875">
        <v>2267.0219385700002</v>
      </c>
      <c r="ED27" s="875">
        <v>2281.95719366</v>
      </c>
      <c r="EE27" s="875">
        <v>2293.9880692800002</v>
      </c>
      <c r="EF27" s="875">
        <v>2366.9363802900002</v>
      </c>
      <c r="EG27" s="875">
        <v>2403.5950896899999</v>
      </c>
      <c r="EH27" s="875">
        <v>2451.0006652500001</v>
      </c>
      <c r="EI27" s="875">
        <v>2527.3878633499999</v>
      </c>
      <c r="EJ27" s="875">
        <v>2499.6051961200001</v>
      </c>
      <c r="EK27" s="875">
        <v>2497.0376674099998</v>
      </c>
      <c r="EL27" s="875">
        <v>2585.6566947299998</v>
      </c>
      <c r="EM27" s="875">
        <v>2666.8125481299999</v>
      </c>
      <c r="EN27" s="875">
        <v>2671.4192158699998</v>
      </c>
      <c r="EO27" s="875">
        <v>2646.6031159600002</v>
      </c>
      <c r="EP27" s="875">
        <v>2574.9086201199998</v>
      </c>
      <c r="EQ27" s="875">
        <v>2575.4578292800002</v>
      </c>
      <c r="ER27" s="875">
        <v>2582.63660325</v>
      </c>
      <c r="ES27" s="875">
        <v>2583.27455379</v>
      </c>
      <c r="ET27" s="875">
        <v>2600.6379869399998</v>
      </c>
      <c r="EU27" s="1920" t="s">
        <v>4085</v>
      </c>
    </row>
    <row r="28" spans="1:151" ht="21">
      <c r="A28" s="1929"/>
      <c r="B28" s="851"/>
      <c r="C28" s="851"/>
      <c r="D28" s="851"/>
      <c r="E28" s="851"/>
      <c r="F28" s="851"/>
      <c r="G28" s="851"/>
      <c r="H28" s="851"/>
      <c r="I28" s="851"/>
      <c r="J28" s="851"/>
      <c r="K28" s="851"/>
      <c r="L28" s="851"/>
      <c r="M28" s="843"/>
      <c r="N28" s="843"/>
      <c r="O28" s="843"/>
      <c r="P28" s="843"/>
      <c r="Q28" s="843"/>
      <c r="R28" s="843"/>
      <c r="S28" s="843"/>
      <c r="T28" s="843"/>
      <c r="U28" s="843"/>
      <c r="V28" s="843"/>
      <c r="W28" s="843"/>
      <c r="X28" s="843"/>
      <c r="Y28" s="843"/>
      <c r="Z28" s="843"/>
      <c r="AA28" s="843"/>
      <c r="AB28" s="843"/>
      <c r="AC28" s="843"/>
      <c r="AD28" s="843"/>
      <c r="AE28" s="843"/>
      <c r="AF28" s="843"/>
      <c r="AG28" s="843"/>
      <c r="AH28" s="843"/>
      <c r="AI28" s="843"/>
      <c r="AJ28" s="843"/>
      <c r="AK28" s="843"/>
      <c r="AL28" s="843"/>
      <c r="AM28" s="843"/>
      <c r="AN28" s="843"/>
      <c r="AO28" s="843"/>
      <c r="AP28" s="843"/>
      <c r="AQ28" s="843"/>
      <c r="AR28" s="843"/>
      <c r="AS28" s="843"/>
      <c r="AT28" s="843"/>
      <c r="AU28" s="843"/>
      <c r="AV28" s="843"/>
      <c r="AW28" s="843"/>
      <c r="AX28" s="843"/>
      <c r="AY28" s="843"/>
      <c r="AZ28" s="843"/>
      <c r="BA28" s="843"/>
      <c r="BB28" s="843"/>
      <c r="BC28" s="843"/>
      <c r="BD28" s="843"/>
      <c r="BE28" s="843"/>
      <c r="BF28" s="843"/>
      <c r="BG28" s="843"/>
      <c r="BH28" s="886"/>
      <c r="BI28" s="875"/>
      <c r="BJ28" s="875"/>
      <c r="BK28" s="875"/>
      <c r="BL28" s="875"/>
      <c r="BM28" s="875"/>
      <c r="BN28" s="875"/>
      <c r="BO28" s="875"/>
      <c r="BP28" s="875"/>
      <c r="BQ28" s="875"/>
      <c r="BR28" s="875"/>
      <c r="BS28" s="875"/>
      <c r="BT28" s="875"/>
      <c r="BU28" s="875"/>
      <c r="BV28" s="875"/>
      <c r="BW28" s="875"/>
      <c r="BX28" s="875"/>
      <c r="BY28" s="875"/>
      <c r="BZ28" s="875"/>
      <c r="CA28" s="875"/>
      <c r="CB28" s="875"/>
      <c r="CC28" s="875"/>
      <c r="CD28" s="875"/>
      <c r="CE28" s="875"/>
      <c r="CF28" s="875"/>
      <c r="CG28" s="875"/>
      <c r="CH28" s="875"/>
      <c r="CI28" s="875"/>
      <c r="CJ28" s="875"/>
      <c r="CK28" s="875"/>
      <c r="CL28" s="875"/>
      <c r="CM28" s="876"/>
      <c r="CN28" s="876"/>
      <c r="CO28" s="876"/>
      <c r="CP28" s="876"/>
      <c r="CQ28" s="876"/>
      <c r="CR28" s="876"/>
      <c r="CS28" s="876"/>
      <c r="CT28" s="876"/>
      <c r="CU28" s="876"/>
      <c r="CV28" s="876"/>
      <c r="CW28" s="876"/>
      <c r="CX28" s="876"/>
      <c r="CY28" s="876"/>
      <c r="CZ28" s="876"/>
      <c r="DA28" s="876"/>
      <c r="DB28" s="876"/>
      <c r="DC28" s="876"/>
      <c r="DD28" s="876"/>
      <c r="DE28" s="876"/>
      <c r="DF28" s="876"/>
      <c r="DG28" s="876"/>
      <c r="DH28" s="876"/>
      <c r="DI28" s="876"/>
      <c r="DJ28" s="876"/>
      <c r="DK28" s="876"/>
      <c r="DL28" s="876"/>
      <c r="DM28" s="876"/>
      <c r="DN28" s="876"/>
      <c r="DO28" s="876"/>
      <c r="DP28" s="876"/>
      <c r="DQ28" s="876"/>
      <c r="DR28" s="876"/>
      <c r="DS28" s="876"/>
      <c r="DT28" s="876"/>
      <c r="DU28" s="876"/>
      <c r="DV28" s="876"/>
      <c r="DW28" s="876"/>
      <c r="DX28" s="876"/>
      <c r="DY28" s="876"/>
      <c r="DZ28" s="876"/>
      <c r="EA28" s="876"/>
      <c r="EB28" s="876"/>
      <c r="EC28" s="876"/>
      <c r="ED28" s="876"/>
      <c r="EE28" s="876"/>
      <c r="EF28" s="876"/>
      <c r="EG28" s="876"/>
      <c r="EH28" s="876"/>
      <c r="EI28" s="876"/>
      <c r="EJ28" s="876"/>
      <c r="EK28" s="876"/>
      <c r="EL28" s="876"/>
      <c r="EM28" s="876"/>
      <c r="EN28" s="876"/>
      <c r="EO28" s="876"/>
      <c r="EP28" s="876"/>
      <c r="EQ28" s="876"/>
      <c r="ER28" s="876"/>
      <c r="ES28" s="876"/>
      <c r="ET28" s="876"/>
      <c r="EU28" s="1919"/>
    </row>
    <row r="29" spans="1:151" ht="21">
      <c r="A29" s="1952" t="s">
        <v>189</v>
      </c>
      <c r="B29" s="851">
        <v>1051.2971380200001</v>
      </c>
      <c r="C29" s="851">
        <v>863.21059308999997</v>
      </c>
      <c r="D29" s="851">
        <v>882.10763730999997</v>
      </c>
      <c r="E29" s="851">
        <v>905.16051578999998</v>
      </c>
      <c r="F29" s="851">
        <v>913.04574754999999</v>
      </c>
      <c r="G29" s="851">
        <v>933.40657168000007</v>
      </c>
      <c r="H29" s="851">
        <v>924.4305399399999</v>
      </c>
      <c r="I29" s="851">
        <v>957.31052016000001</v>
      </c>
      <c r="J29" s="851">
        <v>958.96515810999995</v>
      </c>
      <c r="K29" s="851">
        <v>973.4908184200001</v>
      </c>
      <c r="L29" s="851">
        <v>988.51506726000014</v>
      </c>
      <c r="M29" s="840">
        <v>1010.60045113</v>
      </c>
      <c r="N29" s="843">
        <v>1008.4523689499999</v>
      </c>
      <c r="O29" s="843">
        <v>1020.0525263799999</v>
      </c>
      <c r="P29" s="843">
        <v>1051.4977110699999</v>
      </c>
      <c r="Q29" s="843">
        <v>1120.87929244</v>
      </c>
      <c r="R29" s="843">
        <v>1244.2217160900002</v>
      </c>
      <c r="S29" s="843">
        <v>1299.8950151300003</v>
      </c>
      <c r="T29" s="843">
        <v>1338.0773258300001</v>
      </c>
      <c r="U29" s="843">
        <v>1367.87690959</v>
      </c>
      <c r="V29" s="843">
        <v>1407.27796491</v>
      </c>
      <c r="W29" s="843">
        <v>1397.6033922100003</v>
      </c>
      <c r="X29" s="843">
        <v>1429.5477786399999</v>
      </c>
      <c r="Y29" s="840">
        <v>1454.6981517000002</v>
      </c>
      <c r="Z29" s="843">
        <v>1439.30056423</v>
      </c>
      <c r="AA29" s="843">
        <v>1397.4730488100001</v>
      </c>
      <c r="AB29" s="840">
        <v>1381.4198528599998</v>
      </c>
      <c r="AC29" s="840">
        <v>1378.8735066000002</v>
      </c>
      <c r="AD29" s="840">
        <v>1364.9657972800001</v>
      </c>
      <c r="AE29" s="840">
        <v>1359.8761961599998</v>
      </c>
      <c r="AF29" s="840">
        <v>1369.3943097500003</v>
      </c>
      <c r="AG29" s="840">
        <v>1407.00302829</v>
      </c>
      <c r="AH29" s="840">
        <v>1063.3913725</v>
      </c>
      <c r="AI29" s="840">
        <v>1188.3039646399998</v>
      </c>
      <c r="AJ29" s="840">
        <v>1190.0924234700003</v>
      </c>
      <c r="AK29" s="840">
        <v>1275.0371968100001</v>
      </c>
      <c r="AL29" s="840">
        <v>1051.23363582</v>
      </c>
      <c r="AM29" s="840">
        <v>1044.0403782600001</v>
      </c>
      <c r="AN29" s="840">
        <v>996.13653473000011</v>
      </c>
      <c r="AO29" s="840">
        <v>982.64020602000005</v>
      </c>
      <c r="AP29" s="840">
        <v>974.92539325999985</v>
      </c>
      <c r="AQ29" s="840">
        <v>975.89528699000005</v>
      </c>
      <c r="AR29" s="840">
        <v>1065.5010931499999</v>
      </c>
      <c r="AS29" s="840">
        <v>1068.76417406</v>
      </c>
      <c r="AT29" s="840">
        <v>1075.32838874</v>
      </c>
      <c r="AU29" s="840">
        <v>1075.0922423699999</v>
      </c>
      <c r="AV29" s="840">
        <v>1108.1851466799999</v>
      </c>
      <c r="AW29" s="840">
        <v>1156.56883939</v>
      </c>
      <c r="AX29" s="840">
        <v>1147.4345868799999</v>
      </c>
      <c r="AY29" s="840">
        <v>1149.84479816</v>
      </c>
      <c r="AZ29" s="840">
        <v>1015.70771472</v>
      </c>
      <c r="BA29" s="840">
        <v>1022.98958147</v>
      </c>
      <c r="BB29" s="840">
        <v>987.22345579</v>
      </c>
      <c r="BC29" s="840">
        <v>964.8867610100001</v>
      </c>
      <c r="BD29" s="840">
        <v>1060.38014567</v>
      </c>
      <c r="BE29" s="840">
        <v>1052.1236565500001</v>
      </c>
      <c r="BF29" s="840">
        <v>1039.3215700200001</v>
      </c>
      <c r="BG29" s="840">
        <v>1031.05925112</v>
      </c>
      <c r="BH29" s="885">
        <v>1010.0085459899999</v>
      </c>
      <c r="BI29" s="874">
        <v>1016.04957896</v>
      </c>
      <c r="BJ29" s="874">
        <v>956.43121764000011</v>
      </c>
      <c r="BK29" s="874">
        <v>966.02915640999993</v>
      </c>
      <c r="BL29" s="874">
        <v>958.65102236999996</v>
      </c>
      <c r="BM29" s="874">
        <v>961.82977522999988</v>
      </c>
      <c r="BN29" s="874">
        <v>959.67023933999997</v>
      </c>
      <c r="BO29" s="874">
        <v>966.37262088</v>
      </c>
      <c r="BP29" s="874">
        <v>971.03824875000009</v>
      </c>
      <c r="BQ29" s="874">
        <v>967.93412117000003</v>
      </c>
      <c r="BR29" s="874">
        <v>961.64227309</v>
      </c>
      <c r="BS29" s="874">
        <v>961.10813742999994</v>
      </c>
      <c r="BT29" s="874">
        <v>963.34728621000011</v>
      </c>
      <c r="BU29" s="874">
        <v>1014.26243864</v>
      </c>
      <c r="BV29" s="874">
        <v>1023.9082962</v>
      </c>
      <c r="BW29" s="874">
        <v>1033.1972142899999</v>
      </c>
      <c r="BX29" s="874">
        <v>1046.28096248</v>
      </c>
      <c r="BY29" s="874">
        <v>1052.9426929600002</v>
      </c>
      <c r="BZ29" s="874">
        <v>1056.23704722</v>
      </c>
      <c r="CA29" s="874">
        <v>1063.4354048999999</v>
      </c>
      <c r="CB29" s="874">
        <v>1027.1542900200002</v>
      </c>
      <c r="CC29" s="874">
        <v>1034.79060226</v>
      </c>
      <c r="CD29" s="874">
        <v>1058.78640051</v>
      </c>
      <c r="CE29" s="874">
        <v>1065.14296881</v>
      </c>
      <c r="CF29" s="874">
        <v>1076.2088567799999</v>
      </c>
      <c r="CG29" s="874">
        <v>1089.2130721799999</v>
      </c>
      <c r="CH29" s="874">
        <v>1057.5495068799999</v>
      </c>
      <c r="CI29" s="874">
        <v>1075.9409679299999</v>
      </c>
      <c r="CJ29" s="874">
        <v>1078.4753086999999</v>
      </c>
      <c r="CK29" s="874">
        <v>1021.2088854299999</v>
      </c>
      <c r="CL29" s="874">
        <v>1004.5878224200001</v>
      </c>
      <c r="CM29" s="874">
        <v>1004.15911483</v>
      </c>
      <c r="CN29" s="874">
        <v>976.8937150700001</v>
      </c>
      <c r="CO29" s="874">
        <v>992.67951362000008</v>
      </c>
      <c r="CP29" s="874">
        <v>1025.9400593599999</v>
      </c>
      <c r="CQ29" s="874">
        <v>1049.9637622800001</v>
      </c>
      <c r="CR29" s="874">
        <v>1075.0392859399999</v>
      </c>
      <c r="CS29" s="874">
        <v>1147.1576494899998</v>
      </c>
      <c r="CT29" s="874">
        <v>1144.93400548</v>
      </c>
      <c r="CU29" s="874">
        <v>1155.10478334</v>
      </c>
      <c r="CV29" s="874">
        <v>1195.09323331</v>
      </c>
      <c r="CW29" s="874">
        <v>1214.11629455</v>
      </c>
      <c r="CX29" s="874">
        <v>1210.9710471400001</v>
      </c>
      <c r="CY29" s="874">
        <v>1262.82692146</v>
      </c>
      <c r="CZ29" s="874">
        <v>1243.6465908499999</v>
      </c>
      <c r="DA29" s="874">
        <v>1233.1549781599999</v>
      </c>
      <c r="DB29" s="874">
        <v>1242.79904579</v>
      </c>
      <c r="DC29" s="874">
        <v>1230.22625498</v>
      </c>
      <c r="DD29" s="874">
        <v>1274.7829105599999</v>
      </c>
      <c r="DE29" s="874">
        <v>1389.2305498799999</v>
      </c>
      <c r="DF29" s="874">
        <v>1376.6963197</v>
      </c>
      <c r="DG29" s="874">
        <v>1398.6838827500001</v>
      </c>
      <c r="DH29" s="874">
        <v>1414.06039059</v>
      </c>
      <c r="DI29" s="874">
        <v>1388.3925193099999</v>
      </c>
      <c r="DJ29" s="874">
        <v>1439.59264749</v>
      </c>
      <c r="DK29" s="874">
        <v>1456.3210184699999</v>
      </c>
      <c r="DL29" s="874">
        <v>1428.8285920400001</v>
      </c>
      <c r="DM29" s="874">
        <v>1428.27844921</v>
      </c>
      <c r="DN29" s="874">
        <v>1473.79725001</v>
      </c>
      <c r="DO29" s="874">
        <v>1528.37586237</v>
      </c>
      <c r="DP29" s="874">
        <v>1584.5292902799999</v>
      </c>
      <c r="DQ29" s="874">
        <v>1603.3771462</v>
      </c>
      <c r="DR29" s="874">
        <v>1577.5519429999999</v>
      </c>
      <c r="DS29" s="874">
        <v>1589.8142436099999</v>
      </c>
      <c r="DT29" s="874">
        <v>1625.6033918799999</v>
      </c>
      <c r="DU29" s="874">
        <v>1636.2413974799999</v>
      </c>
      <c r="DV29" s="874">
        <v>1642.2242879299999</v>
      </c>
      <c r="DW29" s="874">
        <v>1669.9802912</v>
      </c>
      <c r="DX29" s="874">
        <v>1650.69891869</v>
      </c>
      <c r="DY29" s="874">
        <v>1667.19780977</v>
      </c>
      <c r="DZ29" s="874">
        <v>1689.9629520999999</v>
      </c>
      <c r="EA29" s="874">
        <v>1646.65474885</v>
      </c>
      <c r="EB29" s="874">
        <v>1676.9653615899999</v>
      </c>
      <c r="EC29" s="874">
        <v>1707.35678753</v>
      </c>
      <c r="ED29" s="874">
        <v>1731.5636373499999</v>
      </c>
      <c r="EE29" s="874">
        <v>1739.59655073</v>
      </c>
      <c r="EF29" s="874">
        <v>1800.9954832000001</v>
      </c>
      <c r="EG29" s="874">
        <v>1857.92893639</v>
      </c>
      <c r="EH29" s="874">
        <v>1894.8473199099999</v>
      </c>
      <c r="EI29" s="874">
        <v>1979.9669597699999</v>
      </c>
      <c r="EJ29" s="874">
        <v>1958.17040114</v>
      </c>
      <c r="EK29" s="874">
        <v>1950.8474610000001</v>
      </c>
      <c r="EL29" s="874">
        <v>2039.7870485399999</v>
      </c>
      <c r="EM29" s="874">
        <v>2051.0578994799998</v>
      </c>
      <c r="EN29" s="874">
        <v>2066.6979743500001</v>
      </c>
      <c r="EO29" s="874">
        <v>2072.81045103</v>
      </c>
      <c r="EP29" s="874">
        <v>2025.9323541900001</v>
      </c>
      <c r="EQ29" s="874">
        <v>2030.3485858900001</v>
      </c>
      <c r="ER29" s="874">
        <v>2044.2066055800001</v>
      </c>
      <c r="ES29" s="874">
        <v>2049.3610008000001</v>
      </c>
      <c r="ET29" s="874">
        <v>2067.3196414600002</v>
      </c>
      <c r="EU29" s="1922" t="s">
        <v>212</v>
      </c>
    </row>
    <row r="30" spans="1:151" ht="21">
      <c r="A30" s="1953" t="s">
        <v>1974</v>
      </c>
      <c r="B30" s="851">
        <v>3.5438626200000001</v>
      </c>
      <c r="C30" s="851">
        <v>3.4575012799999998</v>
      </c>
      <c r="D30" s="851">
        <v>3.3476030899999998</v>
      </c>
      <c r="E30" s="851">
        <v>3.2374337299999998</v>
      </c>
      <c r="F30" s="851">
        <v>2.1991751699999997</v>
      </c>
      <c r="G30" s="851">
        <v>1.7754475700000001</v>
      </c>
      <c r="H30" s="851">
        <v>1.5948678000000001</v>
      </c>
      <c r="I30" s="851">
        <v>1.7772183700000002</v>
      </c>
      <c r="J30" s="851">
        <v>1.7345310700000001</v>
      </c>
      <c r="K30" s="851">
        <v>1.78339351</v>
      </c>
      <c r="L30" s="851">
        <v>1.5727561799999998</v>
      </c>
      <c r="M30" s="843">
        <v>1.6424446799999999</v>
      </c>
      <c r="N30" s="843">
        <v>1.5918023700000001</v>
      </c>
      <c r="O30" s="843">
        <v>1.6049320499999999</v>
      </c>
      <c r="P30" s="843">
        <v>1.5796806799999998</v>
      </c>
      <c r="Q30" s="843">
        <v>1.5462502499999999</v>
      </c>
      <c r="R30" s="843">
        <v>5.3023439699999999</v>
      </c>
      <c r="S30" s="843">
        <v>5.3074589000000003</v>
      </c>
      <c r="T30" s="843">
        <v>5.4182640499999994</v>
      </c>
      <c r="U30" s="843">
        <v>5.36839567</v>
      </c>
      <c r="V30" s="843">
        <v>5.3240697699999995</v>
      </c>
      <c r="W30" s="843">
        <v>5.2681187400000002</v>
      </c>
      <c r="X30" s="843">
        <v>4.1233982300000003</v>
      </c>
      <c r="Y30" s="843">
        <v>3.96492887</v>
      </c>
      <c r="Z30" s="843">
        <v>3.34767437</v>
      </c>
      <c r="AA30" s="843">
        <v>3.5906461800000002</v>
      </c>
      <c r="AB30" s="843">
        <v>3.5547388300000002</v>
      </c>
      <c r="AC30" s="843">
        <v>3.53214585</v>
      </c>
      <c r="AD30" s="843">
        <v>3.6589865699999997</v>
      </c>
      <c r="AE30" s="843">
        <v>3.6254759399999998</v>
      </c>
      <c r="AF30" s="843">
        <v>3.54926414</v>
      </c>
      <c r="AG30" s="843">
        <v>3.5032754800000001</v>
      </c>
      <c r="AH30" s="843">
        <v>4.01008926</v>
      </c>
      <c r="AI30" s="843">
        <v>4.0608173999999995</v>
      </c>
      <c r="AJ30" s="843">
        <v>4.0432933499999999</v>
      </c>
      <c r="AK30" s="843">
        <v>4.16292259</v>
      </c>
      <c r="AL30" s="843">
        <v>1.69327747</v>
      </c>
      <c r="AM30" s="843">
        <v>1.6847077099999999</v>
      </c>
      <c r="AN30" s="843">
        <v>1.86719144</v>
      </c>
      <c r="AO30" s="843">
        <v>1.93758754</v>
      </c>
      <c r="AP30" s="843">
        <v>1.8480308000000001</v>
      </c>
      <c r="AQ30" s="843">
        <v>2.2375954300000003</v>
      </c>
      <c r="AR30" s="843">
        <v>2.4268213300000001</v>
      </c>
      <c r="AS30" s="843">
        <v>2.6519140099999996</v>
      </c>
      <c r="AT30" s="843">
        <v>2.5902101800000001</v>
      </c>
      <c r="AU30" s="843">
        <v>2.5286353199999998</v>
      </c>
      <c r="AV30" s="843">
        <v>11.7338779</v>
      </c>
      <c r="AW30" s="843">
        <v>11.816196400000001</v>
      </c>
      <c r="AX30" s="843">
        <v>11.767152449999999</v>
      </c>
      <c r="AY30" s="843">
        <v>11.650934400000001</v>
      </c>
      <c r="AZ30" s="843">
        <v>11.553162560000001</v>
      </c>
      <c r="BA30" s="843">
        <v>11.479703710000001</v>
      </c>
      <c r="BB30" s="843">
        <v>11.310909029999999</v>
      </c>
      <c r="BC30" s="843">
        <v>11.20070823</v>
      </c>
      <c r="BD30" s="843">
        <v>11.11828401</v>
      </c>
      <c r="BE30" s="843">
        <v>10.89785305</v>
      </c>
      <c r="BF30" s="843">
        <v>11.18711498</v>
      </c>
      <c r="BG30" s="843">
        <v>11.084037369999999</v>
      </c>
      <c r="BH30" s="886">
        <v>10.981226919999999</v>
      </c>
      <c r="BI30" s="875">
        <v>10.840376710000001</v>
      </c>
      <c r="BJ30" s="875">
        <v>10.77751217</v>
      </c>
      <c r="BK30" s="875">
        <v>10.701140429999999</v>
      </c>
      <c r="BL30" s="875">
        <v>10.64202459</v>
      </c>
      <c r="BM30" s="875">
        <v>10.567771369999999</v>
      </c>
      <c r="BN30" s="875">
        <v>10.39085167</v>
      </c>
      <c r="BO30" s="875">
        <v>10.37367792</v>
      </c>
      <c r="BP30" s="875">
        <v>10.34334877</v>
      </c>
      <c r="BQ30" s="875">
        <v>10.290430560000001</v>
      </c>
      <c r="BR30" s="875">
        <v>10.336641</v>
      </c>
      <c r="BS30" s="875">
        <v>10.373628070000001</v>
      </c>
      <c r="BT30" s="875">
        <v>10.590361420000001</v>
      </c>
      <c r="BU30" s="875">
        <v>10.647549029999999</v>
      </c>
      <c r="BV30" s="875">
        <v>10.61796111</v>
      </c>
      <c r="BW30" s="875">
        <v>10.58178126</v>
      </c>
      <c r="BX30" s="875">
        <v>10.927345789999999</v>
      </c>
      <c r="BY30" s="875">
        <v>10.547937340000001</v>
      </c>
      <c r="BZ30" s="875">
        <v>10.57874427</v>
      </c>
      <c r="CA30" s="875">
        <v>10.511925289999999</v>
      </c>
      <c r="CB30" s="875">
        <v>10.629458140000001</v>
      </c>
      <c r="CC30" s="875">
        <v>10.59784282</v>
      </c>
      <c r="CD30" s="875">
        <v>10.580902349999999</v>
      </c>
      <c r="CE30" s="875">
        <v>10.5765098</v>
      </c>
      <c r="CF30" s="875">
        <v>10.62791223</v>
      </c>
      <c r="CG30" s="875">
        <v>10.597242300000001</v>
      </c>
      <c r="CH30" s="875">
        <v>10.572241529999999</v>
      </c>
      <c r="CI30" s="875">
        <v>10.713374400000001</v>
      </c>
      <c r="CJ30" s="875">
        <v>10.688598929999999</v>
      </c>
      <c r="CK30" s="875">
        <v>10.607110369999999</v>
      </c>
      <c r="CL30" s="875">
        <v>10.233971739999999</v>
      </c>
      <c r="CM30" s="875">
        <v>10.229623500000001</v>
      </c>
      <c r="CN30" s="875">
        <v>10.212965539999999</v>
      </c>
      <c r="CO30" s="875">
        <v>10.209457</v>
      </c>
      <c r="CP30" s="875">
        <v>10.85161604</v>
      </c>
      <c r="CQ30" s="875">
        <v>10.839672539999999</v>
      </c>
      <c r="CR30" s="875">
        <v>10.83003298</v>
      </c>
      <c r="CS30" s="875">
        <v>10.8623779</v>
      </c>
      <c r="CT30" s="875">
        <v>10.85097418</v>
      </c>
      <c r="CU30" s="875">
        <v>11.132223059999999</v>
      </c>
      <c r="CV30" s="875">
        <v>11.1168555</v>
      </c>
      <c r="CW30" s="875">
        <v>11.33596371</v>
      </c>
      <c r="CX30" s="875">
        <v>11.30016968</v>
      </c>
      <c r="CY30" s="875">
        <v>11.241448350000001</v>
      </c>
      <c r="CZ30" s="875">
        <v>11.208777660000001</v>
      </c>
      <c r="DA30" s="875">
        <v>11.3704044</v>
      </c>
      <c r="DB30" s="875">
        <v>11.33797994</v>
      </c>
      <c r="DC30" s="875">
        <v>11.64005163</v>
      </c>
      <c r="DD30" s="875">
        <v>11.84844264</v>
      </c>
      <c r="DE30" s="875">
        <v>17.918187769999999</v>
      </c>
      <c r="DF30" s="875">
        <v>17.87519751</v>
      </c>
      <c r="DG30" s="875">
        <v>17.322828909999998</v>
      </c>
      <c r="DH30" s="875">
        <v>17.307342169999998</v>
      </c>
      <c r="DI30" s="875">
        <v>18.25918399</v>
      </c>
      <c r="DJ30" s="875">
        <v>18.23791829</v>
      </c>
      <c r="DK30" s="875">
        <v>18.34781207</v>
      </c>
      <c r="DL30" s="875">
        <v>18.313479099999999</v>
      </c>
      <c r="DM30" s="875">
        <v>18.459762900000001</v>
      </c>
      <c r="DN30" s="875">
        <v>20.62515286</v>
      </c>
      <c r="DO30" s="875">
        <v>20.555549450000001</v>
      </c>
      <c r="DP30" s="875">
        <v>22.498029890000002</v>
      </c>
      <c r="DQ30" s="875">
        <v>23.21601064</v>
      </c>
      <c r="DR30" s="875">
        <v>23.546886799999999</v>
      </c>
      <c r="DS30" s="875">
        <v>23.491617389999998</v>
      </c>
      <c r="DT30" s="875">
        <v>23.504975380000001</v>
      </c>
      <c r="DU30" s="875">
        <v>23.359199919999998</v>
      </c>
      <c r="DV30" s="875">
        <v>23.238642939999998</v>
      </c>
      <c r="DW30" s="875">
        <v>23.163071080000002</v>
      </c>
      <c r="DX30" s="875">
        <v>22.969791900000001</v>
      </c>
      <c r="DY30" s="875">
        <v>22.711186309999999</v>
      </c>
      <c r="DZ30" s="875">
        <v>22.99616236</v>
      </c>
      <c r="EA30" s="875">
        <v>23.751042330000001</v>
      </c>
      <c r="EB30" s="875">
        <v>13.370028019999999</v>
      </c>
      <c r="EC30" s="875">
        <v>13.236993289999999</v>
      </c>
      <c r="ED30" s="875">
        <v>13.082999170000001</v>
      </c>
      <c r="EE30" s="875">
        <v>13.2566851</v>
      </c>
      <c r="EF30" s="875">
        <v>13.073939230000001</v>
      </c>
      <c r="EG30" s="875">
        <v>12.76681924</v>
      </c>
      <c r="EH30" s="875">
        <v>12.52910675</v>
      </c>
      <c r="EI30" s="875">
        <v>12.12327395</v>
      </c>
      <c r="EJ30" s="875">
        <v>11.52968551</v>
      </c>
      <c r="EK30" s="875">
        <v>11.448757779999999</v>
      </c>
      <c r="EL30" s="875">
        <v>12.230403389999999</v>
      </c>
      <c r="EM30" s="875">
        <v>11.89150927</v>
      </c>
      <c r="EN30" s="875">
        <v>11.624644910000001</v>
      </c>
      <c r="EO30" s="875">
        <v>11.91165807</v>
      </c>
      <c r="EP30" s="875">
        <v>11.7342654</v>
      </c>
      <c r="EQ30" s="875">
        <v>11.576174269999999</v>
      </c>
      <c r="ER30" s="875">
        <v>11.523845809999999</v>
      </c>
      <c r="ES30" s="875">
        <v>10.878838200000001</v>
      </c>
      <c r="ET30" s="875">
        <v>10.76094331</v>
      </c>
      <c r="EU30" s="1924" t="s">
        <v>4086</v>
      </c>
    </row>
    <row r="31" spans="1:151" ht="21">
      <c r="A31" s="1953" t="s">
        <v>1975</v>
      </c>
      <c r="B31" s="850">
        <f>+B29-B30</f>
        <v>1047.7532754000001</v>
      </c>
      <c r="C31" s="850">
        <f t="shared" ref="C31:V31" si="10">+C29-C30</f>
        <v>859.75309181</v>
      </c>
      <c r="D31" s="850">
        <f t="shared" si="10"/>
        <v>878.76003421999997</v>
      </c>
      <c r="E31" s="850">
        <f t="shared" si="10"/>
        <v>901.92308205999996</v>
      </c>
      <c r="F31" s="850">
        <f t="shared" si="10"/>
        <v>910.84657238</v>
      </c>
      <c r="G31" s="850">
        <f t="shared" si="10"/>
        <v>931.63112411000009</v>
      </c>
      <c r="H31" s="850">
        <f t="shared" si="10"/>
        <v>922.83567213999993</v>
      </c>
      <c r="I31" s="850">
        <f t="shared" si="10"/>
        <v>955.53330179</v>
      </c>
      <c r="J31" s="850">
        <f t="shared" si="10"/>
        <v>957.23062703999994</v>
      </c>
      <c r="K31" s="850">
        <f t="shared" si="10"/>
        <v>971.7074249100001</v>
      </c>
      <c r="L31" s="850">
        <f t="shared" si="10"/>
        <v>986.94231108000008</v>
      </c>
      <c r="M31" s="843">
        <f t="shared" si="10"/>
        <v>1008.95800645</v>
      </c>
      <c r="N31" s="840">
        <f t="shared" si="10"/>
        <v>1006.86056658</v>
      </c>
      <c r="O31" s="840">
        <f t="shared" si="10"/>
        <v>1018.4475943299999</v>
      </c>
      <c r="P31" s="840">
        <f t="shared" si="10"/>
        <v>1049.91803039</v>
      </c>
      <c r="Q31" s="840">
        <f t="shared" si="10"/>
        <v>1119.33304219</v>
      </c>
      <c r="R31" s="840">
        <f t="shared" si="10"/>
        <v>1238.9193721200002</v>
      </c>
      <c r="S31" s="840">
        <f t="shared" si="10"/>
        <v>1294.5875562300002</v>
      </c>
      <c r="T31" s="840">
        <f t="shared" si="10"/>
        <v>1332.65906178</v>
      </c>
      <c r="U31" s="840">
        <f t="shared" si="10"/>
        <v>1362.50851392</v>
      </c>
      <c r="V31" s="840">
        <f t="shared" si="10"/>
        <v>1401.95389514</v>
      </c>
      <c r="W31" s="840">
        <v>1392.3352734700002</v>
      </c>
      <c r="X31" s="840">
        <v>1425.4243804099999</v>
      </c>
      <c r="Y31" s="843">
        <v>1450.7332228300002</v>
      </c>
      <c r="Z31" s="840">
        <v>1435.9528898599999</v>
      </c>
      <c r="AA31" s="840">
        <v>1393.8824026300001</v>
      </c>
      <c r="AB31" s="843">
        <f>+AB29-AB30</f>
        <v>1377.8651140299999</v>
      </c>
      <c r="AC31" s="843">
        <v>1375.3413607500001</v>
      </c>
      <c r="AD31" s="843">
        <v>1361.30681071</v>
      </c>
      <c r="AE31" s="843">
        <v>1356.2507202199999</v>
      </c>
      <c r="AF31" s="843">
        <v>1365.8450456100002</v>
      </c>
      <c r="AG31" s="843">
        <v>1403.49975281</v>
      </c>
      <c r="AH31" s="843">
        <f>+AH29-AH30</f>
        <v>1059.3812832399999</v>
      </c>
      <c r="AI31" s="843">
        <v>1184.2431472399999</v>
      </c>
      <c r="AJ31" s="843">
        <f>+AJ29-AJ30</f>
        <v>1186.0491301200002</v>
      </c>
      <c r="AK31" s="843">
        <f>+AK29-AK30</f>
        <v>1270.87427422</v>
      </c>
      <c r="AL31" s="843">
        <v>1049.5403583499999</v>
      </c>
      <c r="AM31" s="843">
        <f>+AM29-AM30</f>
        <v>1042.35567055</v>
      </c>
      <c r="AN31" s="843">
        <f>+AN29-AN30</f>
        <v>994.26934329000005</v>
      </c>
      <c r="AO31" s="843">
        <f>+AO29-AO30</f>
        <v>980.70261848000007</v>
      </c>
      <c r="AP31" s="843">
        <v>973.0773624599999</v>
      </c>
      <c r="AQ31" s="843">
        <v>973.65769155999999</v>
      </c>
      <c r="AR31" s="843">
        <v>1063.0742718199999</v>
      </c>
      <c r="AS31" s="843">
        <v>1066.11226005</v>
      </c>
      <c r="AT31" s="843">
        <f>+AT29-AT30</f>
        <v>1072.7381785600001</v>
      </c>
      <c r="AU31" s="843">
        <v>1072.56360705</v>
      </c>
      <c r="AV31" s="843">
        <v>1096.45126878</v>
      </c>
      <c r="AW31" s="843">
        <v>1144.7526429899999</v>
      </c>
      <c r="AX31" s="843">
        <v>1135.66743443</v>
      </c>
      <c r="AY31" s="843">
        <v>1138.1938637599999</v>
      </c>
      <c r="AZ31" s="843">
        <v>1004.15455216</v>
      </c>
      <c r="BA31" s="843">
        <v>1011.50987776</v>
      </c>
      <c r="BB31" s="843">
        <v>975.91254676000005</v>
      </c>
      <c r="BC31" s="843">
        <v>953.68605278000007</v>
      </c>
      <c r="BD31" s="843">
        <f>+BD29-BD30</f>
        <v>1049.26186166</v>
      </c>
      <c r="BE31" s="843">
        <v>1041.2258035</v>
      </c>
      <c r="BF31" s="843">
        <v>1028.1344550400001</v>
      </c>
      <c r="BG31" s="843">
        <v>1019.97521375</v>
      </c>
      <c r="BH31" s="886">
        <v>999.02731906999986</v>
      </c>
      <c r="BI31" s="875">
        <v>1005.20920225</v>
      </c>
      <c r="BJ31" s="875">
        <v>945.65370547000009</v>
      </c>
      <c r="BK31" s="875">
        <v>955.32801597999992</v>
      </c>
      <c r="BL31" s="875">
        <v>948.00899777999996</v>
      </c>
      <c r="BM31" s="875">
        <v>951.26200385999994</v>
      </c>
      <c r="BN31" s="875">
        <v>949.27938767000001</v>
      </c>
      <c r="BO31" s="875">
        <v>955.99894296000002</v>
      </c>
      <c r="BP31" s="875">
        <v>960.69489998000006</v>
      </c>
      <c r="BQ31" s="875">
        <v>957.64369061000002</v>
      </c>
      <c r="BR31" s="875">
        <v>951.30563209000002</v>
      </c>
      <c r="BS31" s="875">
        <v>950.73450935999995</v>
      </c>
      <c r="BT31" s="875">
        <v>952.75692479000008</v>
      </c>
      <c r="BU31" s="875">
        <v>1003.61488961</v>
      </c>
      <c r="BV31" s="875">
        <v>1013.29033509</v>
      </c>
      <c r="BW31" s="875">
        <v>1022.61543303</v>
      </c>
      <c r="BX31" s="875">
        <v>1035.3536166900001</v>
      </c>
      <c r="BY31" s="875">
        <v>1042.3947556200001</v>
      </c>
      <c r="BZ31" s="875">
        <v>1045.65830295</v>
      </c>
      <c r="CA31" s="875">
        <v>1052.92347961</v>
      </c>
      <c r="CB31" s="875">
        <v>1016.5248318800002</v>
      </c>
      <c r="CC31" s="875">
        <v>1024.1927594399999</v>
      </c>
      <c r="CD31" s="875">
        <v>1048.2054981599999</v>
      </c>
      <c r="CE31" s="875">
        <f t="shared" ref="CE31:CO31" si="11">+CE29-CE30</f>
        <v>1054.56645901</v>
      </c>
      <c r="CF31" s="875">
        <f t="shared" si="11"/>
        <v>1065.5809445499999</v>
      </c>
      <c r="CG31" s="875">
        <f t="shared" si="11"/>
        <v>1078.6158298799999</v>
      </c>
      <c r="CH31" s="875">
        <f t="shared" si="11"/>
        <v>1046.9772653499999</v>
      </c>
      <c r="CI31" s="875">
        <f t="shared" si="11"/>
        <v>1065.2275935299999</v>
      </c>
      <c r="CJ31" s="875">
        <f t="shared" si="11"/>
        <v>1067.78670977</v>
      </c>
      <c r="CK31" s="875">
        <f t="shared" si="11"/>
        <v>1010.6017750599999</v>
      </c>
      <c r="CL31" s="875">
        <f t="shared" si="11"/>
        <v>994.35385068000005</v>
      </c>
      <c r="CM31" s="875">
        <f t="shared" si="11"/>
        <v>993.92949133000002</v>
      </c>
      <c r="CN31" s="875">
        <f t="shared" si="11"/>
        <v>966.68074953000007</v>
      </c>
      <c r="CO31" s="875">
        <f t="shared" si="11"/>
        <v>982.47005662000004</v>
      </c>
      <c r="CP31" s="875">
        <f>+CP29-CP30</f>
        <v>1015.0884433199999</v>
      </c>
      <c r="CQ31" s="875">
        <f>+CQ29-CQ30</f>
        <v>1039.12408974</v>
      </c>
      <c r="CR31" s="875">
        <f>+CR29-CR30</f>
        <v>1064.20925296</v>
      </c>
      <c r="CS31" s="875">
        <v>1136.2952715899999</v>
      </c>
      <c r="CT31" s="875">
        <v>1134.0830312999999</v>
      </c>
      <c r="CU31" s="875">
        <v>1143.9725602799999</v>
      </c>
      <c r="CV31" s="875">
        <v>1183.97637781</v>
      </c>
      <c r="CW31" s="875">
        <v>1202.78033084</v>
      </c>
      <c r="CX31" s="875">
        <v>1199.6708774599999</v>
      </c>
      <c r="CY31" s="875">
        <v>1251.5854731100001</v>
      </c>
      <c r="CZ31" s="875">
        <v>1232.43781319</v>
      </c>
      <c r="DA31" s="875">
        <v>1221.7845737600001</v>
      </c>
      <c r="DB31" s="875">
        <v>1231.4610658500001</v>
      </c>
      <c r="DC31" s="875">
        <v>1218.58620335</v>
      </c>
      <c r="DD31" s="875">
        <v>1262.9344679200001</v>
      </c>
      <c r="DE31" s="875">
        <v>1371.3123621100001</v>
      </c>
      <c r="DF31" s="875">
        <v>1358.8211221900001</v>
      </c>
      <c r="DG31" s="875">
        <v>1381.3610538400001</v>
      </c>
      <c r="DH31" s="875">
        <v>1396.7530484199999</v>
      </c>
      <c r="DI31" s="875">
        <v>1370.13333532</v>
      </c>
      <c r="DJ31" s="875">
        <v>1421.3547292000001</v>
      </c>
      <c r="DK31" s="875">
        <v>1437.9732064</v>
      </c>
      <c r="DL31" s="875">
        <v>1410.5151129400001</v>
      </c>
      <c r="DM31" s="875">
        <v>1409.81868631</v>
      </c>
      <c r="DN31" s="875">
        <v>1453.1720971499999</v>
      </c>
      <c r="DO31" s="875">
        <v>1507.8203129200001</v>
      </c>
      <c r="DP31" s="875">
        <v>1562.0312603899999</v>
      </c>
      <c r="DQ31" s="875">
        <v>1580.16113556</v>
      </c>
      <c r="DR31" s="875">
        <v>1554.0050561999999</v>
      </c>
      <c r="DS31" s="875">
        <v>1566.3226262200001</v>
      </c>
      <c r="DT31" s="875">
        <v>1602.0984165</v>
      </c>
      <c r="DU31" s="875">
        <v>1612.8821975599999</v>
      </c>
      <c r="DV31" s="875">
        <v>1618.9856449900001</v>
      </c>
      <c r="DW31" s="875">
        <v>1646.81722012</v>
      </c>
      <c r="DX31" s="875">
        <v>1627.72912679</v>
      </c>
      <c r="DY31" s="875">
        <v>1644.4866234599999</v>
      </c>
      <c r="DZ31" s="875">
        <v>1666.96678974</v>
      </c>
      <c r="EA31" s="875">
        <v>1622.90370652</v>
      </c>
      <c r="EB31" s="875">
        <v>1663.5953335700001</v>
      </c>
      <c r="EC31" s="875">
        <v>1694.1197942399999</v>
      </c>
      <c r="ED31" s="875">
        <v>1718.4806381799999</v>
      </c>
      <c r="EE31" s="875">
        <v>1726.3398656300001</v>
      </c>
      <c r="EF31" s="875">
        <v>1787.9215439699999</v>
      </c>
      <c r="EG31" s="875">
        <v>1845.1621171500001</v>
      </c>
      <c r="EH31" s="875">
        <v>1882.3182131599999</v>
      </c>
      <c r="EI31" s="875">
        <v>1967.84368582</v>
      </c>
      <c r="EJ31" s="875">
        <v>1946.6407156299999</v>
      </c>
      <c r="EK31" s="875">
        <v>1939.39870322</v>
      </c>
      <c r="EL31" s="875">
        <v>2027.5566451499999</v>
      </c>
      <c r="EM31" s="875">
        <v>2039.1663902099999</v>
      </c>
      <c r="EN31" s="875">
        <v>2055.0733294400002</v>
      </c>
      <c r="EO31" s="875">
        <v>2060.8987929599998</v>
      </c>
      <c r="EP31" s="875">
        <v>2014.1980887899999</v>
      </c>
      <c r="EQ31" s="875">
        <v>2018.77241162</v>
      </c>
      <c r="ER31" s="875">
        <v>2032.6827597700001</v>
      </c>
      <c r="ES31" s="875">
        <v>2038.4821626</v>
      </c>
      <c r="ET31" s="875">
        <v>2056.5586981500001</v>
      </c>
      <c r="EU31" s="1924" t="s">
        <v>4085</v>
      </c>
    </row>
    <row r="32" spans="1:151" ht="21">
      <c r="A32" s="1954"/>
      <c r="B32" s="851"/>
      <c r="C32" s="851"/>
      <c r="D32" s="851"/>
      <c r="E32" s="851"/>
      <c r="F32" s="851"/>
      <c r="G32" s="851"/>
      <c r="H32" s="851"/>
      <c r="I32" s="851"/>
      <c r="J32" s="851"/>
      <c r="K32" s="851"/>
      <c r="L32" s="851"/>
      <c r="M32" s="843"/>
      <c r="N32" s="843"/>
      <c r="O32" s="843"/>
      <c r="P32" s="843"/>
      <c r="Q32" s="843"/>
      <c r="R32" s="843"/>
      <c r="S32" s="843"/>
      <c r="T32" s="843"/>
      <c r="U32" s="843"/>
      <c r="V32" s="843"/>
      <c r="W32" s="843"/>
      <c r="X32" s="843"/>
      <c r="Y32" s="843"/>
      <c r="Z32" s="843"/>
      <c r="AA32" s="843"/>
      <c r="AB32" s="843"/>
      <c r="AC32" s="843"/>
      <c r="AD32" s="843"/>
      <c r="AE32" s="843"/>
      <c r="AF32" s="843"/>
      <c r="AG32" s="843"/>
      <c r="AH32" s="843"/>
      <c r="AI32" s="843"/>
      <c r="AJ32" s="843"/>
      <c r="AK32" s="843"/>
      <c r="AL32" s="843"/>
      <c r="AM32" s="843"/>
      <c r="AN32" s="843"/>
      <c r="AO32" s="843"/>
      <c r="AP32" s="843"/>
      <c r="AQ32" s="843"/>
      <c r="AR32" s="843"/>
      <c r="AS32" s="843"/>
      <c r="AT32" s="843"/>
      <c r="AU32" s="843"/>
      <c r="AV32" s="843"/>
      <c r="AW32" s="843"/>
      <c r="AX32" s="843"/>
      <c r="AY32" s="843"/>
      <c r="AZ32" s="843"/>
      <c r="BA32" s="843"/>
      <c r="BB32" s="843"/>
      <c r="BC32" s="843"/>
      <c r="BD32" s="843"/>
      <c r="BE32" s="843"/>
      <c r="BF32" s="843"/>
      <c r="BG32" s="843"/>
      <c r="BH32" s="886"/>
      <c r="BI32" s="875"/>
      <c r="BJ32" s="875"/>
      <c r="BK32" s="875"/>
      <c r="BL32" s="875"/>
      <c r="BM32" s="875"/>
      <c r="BN32" s="875"/>
      <c r="BO32" s="875"/>
      <c r="BP32" s="875"/>
      <c r="BQ32" s="875"/>
      <c r="BR32" s="875"/>
      <c r="BS32" s="875"/>
      <c r="BT32" s="875"/>
      <c r="BU32" s="875"/>
      <c r="BV32" s="875"/>
      <c r="BW32" s="875"/>
      <c r="BX32" s="875"/>
      <c r="BY32" s="875"/>
      <c r="BZ32" s="875"/>
      <c r="CA32" s="875"/>
      <c r="CB32" s="875"/>
      <c r="CC32" s="875"/>
      <c r="CD32" s="875"/>
      <c r="CE32" s="875"/>
      <c r="CF32" s="875"/>
      <c r="CG32" s="875"/>
      <c r="CH32" s="875"/>
      <c r="CI32" s="875"/>
      <c r="CJ32" s="875"/>
      <c r="CK32" s="875"/>
      <c r="CL32" s="875"/>
      <c r="CM32" s="876"/>
      <c r="CN32" s="876"/>
      <c r="CO32" s="876"/>
      <c r="CP32" s="876"/>
      <c r="CQ32" s="876"/>
      <c r="CR32" s="876"/>
      <c r="CS32" s="876"/>
      <c r="CT32" s="876"/>
      <c r="CU32" s="876"/>
      <c r="CV32" s="876"/>
      <c r="CW32" s="876"/>
      <c r="CX32" s="876"/>
      <c r="CY32" s="876"/>
      <c r="CZ32" s="876"/>
      <c r="DA32" s="876"/>
      <c r="DB32" s="876"/>
      <c r="DC32" s="876"/>
      <c r="DD32" s="876"/>
      <c r="DE32" s="876"/>
      <c r="DF32" s="876"/>
      <c r="DG32" s="876"/>
      <c r="DH32" s="876"/>
      <c r="DI32" s="876"/>
      <c r="DJ32" s="876"/>
      <c r="DK32" s="876"/>
      <c r="DL32" s="876"/>
      <c r="DM32" s="876"/>
      <c r="DN32" s="876"/>
      <c r="DO32" s="876"/>
      <c r="DP32" s="876"/>
      <c r="DQ32" s="876"/>
      <c r="DR32" s="876"/>
      <c r="DS32" s="876"/>
      <c r="DT32" s="876"/>
      <c r="DU32" s="876"/>
      <c r="DV32" s="876"/>
      <c r="DW32" s="876"/>
      <c r="DX32" s="876"/>
      <c r="DY32" s="876"/>
      <c r="DZ32" s="876"/>
      <c r="EA32" s="876"/>
      <c r="EB32" s="876"/>
      <c r="EC32" s="876"/>
      <c r="ED32" s="876"/>
      <c r="EE32" s="876"/>
      <c r="EF32" s="876"/>
      <c r="EG32" s="876"/>
      <c r="EH32" s="876"/>
      <c r="EI32" s="876"/>
      <c r="EJ32" s="876"/>
      <c r="EK32" s="876"/>
      <c r="EL32" s="876"/>
      <c r="EM32" s="876"/>
      <c r="EN32" s="876"/>
      <c r="EO32" s="876"/>
      <c r="EP32" s="876"/>
      <c r="EQ32" s="876"/>
      <c r="ER32" s="876"/>
      <c r="ES32" s="876"/>
      <c r="ET32" s="876"/>
      <c r="EU32" s="1923"/>
    </row>
    <row r="33" spans="1:151" ht="21">
      <c r="A33" s="1952" t="s">
        <v>2757</v>
      </c>
      <c r="B33" s="850">
        <v>946.18375050999998</v>
      </c>
      <c r="C33" s="850">
        <v>737.37847960000011</v>
      </c>
      <c r="D33" s="850">
        <v>742.93278065999993</v>
      </c>
      <c r="E33" s="850">
        <v>735.74741590999997</v>
      </c>
      <c r="F33" s="850">
        <v>742.59136100000001</v>
      </c>
      <c r="G33" s="850">
        <v>744.15453484</v>
      </c>
      <c r="H33" s="850">
        <v>742.32833331000006</v>
      </c>
      <c r="I33" s="850">
        <v>747.00808422</v>
      </c>
      <c r="J33" s="850">
        <v>735.84962179000001</v>
      </c>
      <c r="K33" s="850">
        <v>735.17893900000013</v>
      </c>
      <c r="L33" s="850">
        <v>735.41279681000003</v>
      </c>
      <c r="M33" s="840">
        <v>735.78153013999997</v>
      </c>
      <c r="N33" s="840">
        <v>735.69552828000008</v>
      </c>
      <c r="O33" s="840">
        <v>730.18254647000003</v>
      </c>
      <c r="P33" s="840">
        <v>709.11901394000006</v>
      </c>
      <c r="Q33" s="840">
        <v>711.25457635999999</v>
      </c>
      <c r="R33" s="840">
        <v>708.03932479000002</v>
      </c>
      <c r="S33" s="840">
        <v>682.59575407</v>
      </c>
      <c r="T33" s="840">
        <v>677.3613080099999</v>
      </c>
      <c r="U33" s="840">
        <v>679.78510332000008</v>
      </c>
      <c r="V33" s="840">
        <v>685.22313063000001</v>
      </c>
      <c r="W33" s="840">
        <v>688.39246761999993</v>
      </c>
      <c r="X33" s="840">
        <v>699.01193625999997</v>
      </c>
      <c r="Y33" s="840">
        <v>718.33428045999995</v>
      </c>
      <c r="Z33" s="840">
        <v>728.03687366999998</v>
      </c>
      <c r="AA33" s="840">
        <v>999.86217666000005</v>
      </c>
      <c r="AB33" s="840">
        <v>993.42342070000007</v>
      </c>
      <c r="AC33" s="840">
        <v>1017.45013599</v>
      </c>
      <c r="AD33" s="840">
        <v>1017.66097927</v>
      </c>
      <c r="AE33" s="840">
        <v>1000.4651677200002</v>
      </c>
      <c r="AF33" s="840">
        <v>984.53302822000012</v>
      </c>
      <c r="AG33" s="840">
        <v>972.60667634000004</v>
      </c>
      <c r="AH33" s="840">
        <v>918.64593064999985</v>
      </c>
      <c r="AI33" s="840">
        <v>888.32711103999998</v>
      </c>
      <c r="AJ33" s="840">
        <v>882.26948985000001</v>
      </c>
      <c r="AK33" s="840">
        <v>1298.4829190800001</v>
      </c>
      <c r="AL33" s="840">
        <v>1318.3914314399999</v>
      </c>
      <c r="AM33" s="840">
        <v>1284.1533565600002</v>
      </c>
      <c r="AN33" s="840">
        <v>1282.82662411</v>
      </c>
      <c r="AO33" s="840">
        <v>1231.5252201599999</v>
      </c>
      <c r="AP33" s="840">
        <v>1174.2415472299999</v>
      </c>
      <c r="AQ33" s="840">
        <v>1203.2827430900002</v>
      </c>
      <c r="AR33" s="840">
        <v>1063.6975827800002</v>
      </c>
      <c r="AS33" s="840">
        <v>967.68837237999992</v>
      </c>
      <c r="AT33" s="840">
        <f>AT25-AT29</f>
        <v>1013.0609314300002</v>
      </c>
      <c r="AU33" s="840">
        <v>921.38686368999993</v>
      </c>
      <c r="AV33" s="840">
        <v>767.07735708000018</v>
      </c>
      <c r="AW33" s="840">
        <v>743.14260867000007</v>
      </c>
      <c r="AX33" s="840">
        <v>747.12048978999997</v>
      </c>
      <c r="AY33" s="840">
        <v>667.70266745000004</v>
      </c>
      <c r="AZ33" s="840">
        <v>653.66712626000003</v>
      </c>
      <c r="BA33" s="840">
        <v>627.75269524000009</v>
      </c>
      <c r="BB33" s="840">
        <v>666.40411624000001</v>
      </c>
      <c r="BC33" s="840">
        <v>724.55172579000009</v>
      </c>
      <c r="BD33" s="840">
        <v>649.06955533999997</v>
      </c>
      <c r="BE33" s="840">
        <v>641.76767577999999</v>
      </c>
      <c r="BF33" s="840">
        <v>663.62690748</v>
      </c>
      <c r="BG33" s="840">
        <v>656.58737951999979</v>
      </c>
      <c r="BH33" s="885">
        <v>679.7207757499998</v>
      </c>
      <c r="BI33" s="874">
        <v>690.79821397000023</v>
      </c>
      <c r="BJ33" s="874">
        <v>644.54606119000005</v>
      </c>
      <c r="BK33" s="874">
        <v>606.87182290999988</v>
      </c>
      <c r="BL33" s="874">
        <v>621.97693391999996</v>
      </c>
      <c r="BM33" s="874">
        <v>610.06429832000015</v>
      </c>
      <c r="BN33" s="874">
        <v>613.84927548000007</v>
      </c>
      <c r="BO33" s="874">
        <v>626.21884539000018</v>
      </c>
      <c r="BP33" s="874">
        <v>612.18730916999993</v>
      </c>
      <c r="BQ33" s="874">
        <v>635.18568506999986</v>
      </c>
      <c r="BR33" s="874">
        <v>632.73556846999998</v>
      </c>
      <c r="BS33" s="874">
        <v>618.42245035999986</v>
      </c>
      <c r="BT33" s="874">
        <v>601.59362036000027</v>
      </c>
      <c r="BU33" s="874">
        <v>784.76404187000003</v>
      </c>
      <c r="BV33" s="874">
        <v>757.7221572699998</v>
      </c>
      <c r="BW33" s="874">
        <v>768.89850692999994</v>
      </c>
      <c r="BX33" s="874">
        <v>772.39153383999974</v>
      </c>
      <c r="BY33" s="874">
        <v>732.70592940000029</v>
      </c>
      <c r="BZ33" s="874">
        <v>737.02817009000023</v>
      </c>
      <c r="CA33" s="874">
        <v>733.6534512799999</v>
      </c>
      <c r="CB33" s="874">
        <v>760.72928394999985</v>
      </c>
      <c r="CC33" s="874">
        <v>746.85765153999978</v>
      </c>
      <c r="CD33" s="874">
        <v>772.97457442999996</v>
      </c>
      <c r="CE33" s="874">
        <v>779.85841970000001</v>
      </c>
      <c r="CF33" s="874">
        <v>642.0923898399999</v>
      </c>
      <c r="CG33" s="874">
        <v>787.78388108999991</v>
      </c>
      <c r="CH33" s="874">
        <v>784.79787605999991</v>
      </c>
      <c r="CI33" s="874">
        <v>793.11556999999993</v>
      </c>
      <c r="CJ33" s="874">
        <v>767.20920705000003</v>
      </c>
      <c r="CK33" s="874">
        <v>742.16855987999998</v>
      </c>
      <c r="CL33" s="874">
        <v>712.45581373000005</v>
      </c>
      <c r="CM33" s="874">
        <v>710.81831917</v>
      </c>
      <c r="CN33" s="874">
        <v>710.27814007000006</v>
      </c>
      <c r="CO33" s="874">
        <v>711.64862920000007</v>
      </c>
      <c r="CP33" s="874">
        <v>803.14384555000004</v>
      </c>
      <c r="CQ33" s="874">
        <v>841.25453662999996</v>
      </c>
      <c r="CR33" s="874">
        <v>829.33987808000006</v>
      </c>
      <c r="CS33" s="874">
        <v>798.49755650000009</v>
      </c>
      <c r="CT33" s="874">
        <v>789.52414474</v>
      </c>
      <c r="CU33" s="874">
        <v>644.68592974000001</v>
      </c>
      <c r="CV33" s="874">
        <v>621.08863307000001</v>
      </c>
      <c r="CW33" s="874">
        <v>627.57540857000004</v>
      </c>
      <c r="CX33" s="874">
        <v>621.36833479999996</v>
      </c>
      <c r="CY33" s="874">
        <v>562.18538269999999</v>
      </c>
      <c r="CZ33" s="874">
        <v>556.79690156000004</v>
      </c>
      <c r="DA33" s="874">
        <v>554.89837994000004</v>
      </c>
      <c r="DB33" s="874">
        <v>549.51537865</v>
      </c>
      <c r="DC33" s="874">
        <v>661.65413827999998</v>
      </c>
      <c r="DD33" s="874">
        <v>649.86189890000003</v>
      </c>
      <c r="DE33" s="874">
        <v>625.59586334000005</v>
      </c>
      <c r="DF33" s="874">
        <v>613.61820419000003</v>
      </c>
      <c r="DG33" s="874">
        <v>612.72177376000002</v>
      </c>
      <c r="DH33" s="874">
        <v>611.36765849000005</v>
      </c>
      <c r="DI33" s="874">
        <v>610.76586966000002</v>
      </c>
      <c r="DJ33" s="874">
        <v>612.77899123999987</v>
      </c>
      <c r="DK33" s="874">
        <v>594.80408112999999</v>
      </c>
      <c r="DL33" s="874">
        <v>598.77188373000001</v>
      </c>
      <c r="DM33" s="874">
        <v>597.03847187999997</v>
      </c>
      <c r="DN33" s="874">
        <v>593.26948205999997</v>
      </c>
      <c r="DO33" s="874">
        <v>606.44902955999999</v>
      </c>
      <c r="DP33" s="874">
        <v>628.44747673999996</v>
      </c>
      <c r="DQ33" s="874">
        <v>586.95034289</v>
      </c>
      <c r="DR33" s="874">
        <v>586.35688173999995</v>
      </c>
      <c r="DS33" s="874">
        <v>581.14450682999995</v>
      </c>
      <c r="DT33" s="874">
        <v>605.70305549</v>
      </c>
      <c r="DU33" s="874">
        <v>609.86840763999999</v>
      </c>
      <c r="DV33" s="874">
        <v>608.83021265000002</v>
      </c>
      <c r="DW33" s="874">
        <v>616.09900985000002</v>
      </c>
      <c r="DX33" s="874">
        <v>646.77109065000002</v>
      </c>
      <c r="DY33" s="874">
        <v>637.92979111</v>
      </c>
      <c r="DZ33" s="874">
        <v>634.94341989999998</v>
      </c>
      <c r="EA33" s="874">
        <v>620.41553061000002</v>
      </c>
      <c r="EB33" s="874">
        <v>624.50979225000003</v>
      </c>
      <c r="EC33" s="874">
        <v>573.16773150999995</v>
      </c>
      <c r="ED33" s="874">
        <v>563.72834818000001</v>
      </c>
      <c r="EE33" s="874">
        <v>615.42468980000001</v>
      </c>
      <c r="EF33" s="874">
        <v>732.47819793999997</v>
      </c>
      <c r="EG33" s="874">
        <v>711.57009409</v>
      </c>
      <c r="EH33" s="874">
        <v>707.56746509000004</v>
      </c>
      <c r="EI33" s="874">
        <v>697.84470381999995</v>
      </c>
      <c r="EJ33" s="874">
        <v>692.19716872000004</v>
      </c>
      <c r="EK33" s="874">
        <v>670.65569244000005</v>
      </c>
      <c r="EL33" s="874">
        <v>671.37290413999995</v>
      </c>
      <c r="EM33" s="874">
        <v>663.91580920000001</v>
      </c>
      <c r="EN33" s="874">
        <v>651.67352934999997</v>
      </c>
      <c r="EO33" s="874">
        <v>609.09518345000004</v>
      </c>
      <c r="EP33" s="874">
        <v>583.98853793000001</v>
      </c>
      <c r="EQ33" s="874">
        <v>579.93300341999998</v>
      </c>
      <c r="ER33" s="874">
        <v>574.36429156999998</v>
      </c>
      <c r="ES33" s="874">
        <v>570.14345830000002</v>
      </c>
      <c r="ET33" s="874">
        <v>569.33882888999995</v>
      </c>
      <c r="EU33" s="1922" t="s">
        <v>4087</v>
      </c>
    </row>
    <row r="34" spans="1:151" ht="21">
      <c r="A34" s="1953" t="s">
        <v>1974</v>
      </c>
      <c r="B34" s="851">
        <v>201.67673527000002</v>
      </c>
      <c r="C34" s="851">
        <v>194.95538568000001</v>
      </c>
      <c r="D34" s="851">
        <v>194.95538568000001</v>
      </c>
      <c r="E34" s="851">
        <v>176.79948866000001</v>
      </c>
      <c r="F34" s="851">
        <v>177.75356226</v>
      </c>
      <c r="G34" s="851">
        <v>177.73090694999999</v>
      </c>
      <c r="H34" s="851">
        <v>159.62700045</v>
      </c>
      <c r="I34" s="851">
        <v>159.60665284000001</v>
      </c>
      <c r="J34" s="851">
        <v>141.90828345</v>
      </c>
      <c r="K34" s="851">
        <v>141.90828345</v>
      </c>
      <c r="L34" s="851">
        <v>141.89019443999999</v>
      </c>
      <c r="M34" s="843">
        <v>123.80437695000001</v>
      </c>
      <c r="N34" s="843">
        <v>123.75703301999999</v>
      </c>
      <c r="O34" s="843">
        <v>123.78859564</v>
      </c>
      <c r="P34" s="843">
        <v>105.67352323</v>
      </c>
      <c r="Q34" s="843">
        <v>105.74097303000001</v>
      </c>
      <c r="R34" s="843">
        <v>105.75445524</v>
      </c>
      <c r="S34" s="843">
        <v>87.641681930000004</v>
      </c>
      <c r="T34" s="843">
        <v>87.630507420000001</v>
      </c>
      <c r="U34" s="843">
        <v>87.652856439999994</v>
      </c>
      <c r="V34" s="843">
        <v>87.652856439999994</v>
      </c>
      <c r="W34" s="843">
        <v>87.652856439999994</v>
      </c>
      <c r="X34" s="843">
        <v>87.652856439999994</v>
      </c>
      <c r="Y34" s="843">
        <v>87.742278040000002</v>
      </c>
      <c r="Z34" s="843">
        <v>87.789342040000008</v>
      </c>
      <c r="AA34" s="843">
        <v>117.49267118</v>
      </c>
      <c r="AB34" s="843">
        <v>117.37338885</v>
      </c>
      <c r="AC34" s="843">
        <v>117.3952403</v>
      </c>
      <c r="AD34" s="843">
        <v>117.47276448000001</v>
      </c>
      <c r="AE34" s="843">
        <v>117.34907321999999</v>
      </c>
      <c r="AF34" s="843">
        <v>117.59542393000001</v>
      </c>
      <c r="AG34" s="843">
        <v>117.42674903</v>
      </c>
      <c r="AH34" s="843">
        <v>117.07787384999999</v>
      </c>
      <c r="AI34" s="843">
        <v>117.22111745000001</v>
      </c>
      <c r="AJ34" s="843">
        <v>116.74512948</v>
      </c>
      <c r="AK34" s="843">
        <v>173.17659097000001</v>
      </c>
      <c r="AL34" s="843">
        <v>177.66812478999998</v>
      </c>
      <c r="AM34" s="843">
        <v>171.45322397000001</v>
      </c>
      <c r="AN34" s="843">
        <v>168.83009615</v>
      </c>
      <c r="AO34" s="843">
        <v>164.95347746000002</v>
      </c>
      <c r="AP34" s="843">
        <v>160.92422533999999</v>
      </c>
      <c r="AQ34" s="843">
        <v>166.13573488999998</v>
      </c>
      <c r="AR34" s="843">
        <v>171.00918433999999</v>
      </c>
      <c r="AS34" s="843">
        <v>176.01944231000002</v>
      </c>
      <c r="AT34" s="843">
        <f>AT26-AT30</f>
        <v>174.77314656000001</v>
      </c>
      <c r="AU34" s="843">
        <v>163.94507130000002</v>
      </c>
      <c r="AV34" s="843">
        <v>155.94071213000001</v>
      </c>
      <c r="AW34" s="843">
        <v>159.37794096000002</v>
      </c>
      <c r="AX34" s="843">
        <v>157.68850166999999</v>
      </c>
      <c r="AY34" s="843">
        <v>143.71857083</v>
      </c>
      <c r="AZ34" s="843">
        <v>141.72410463</v>
      </c>
      <c r="BA34" s="843">
        <v>126.773099</v>
      </c>
      <c r="BB34" s="843">
        <v>146.84998967999999</v>
      </c>
      <c r="BC34" s="843">
        <v>146.80313000999999</v>
      </c>
      <c r="BD34" s="843">
        <v>133.56078921</v>
      </c>
      <c r="BE34" s="843">
        <v>133.51315907</v>
      </c>
      <c r="BF34" s="843">
        <v>133.39479151999998</v>
      </c>
      <c r="BG34" s="843">
        <v>120.26141982999999</v>
      </c>
      <c r="BH34" s="886">
        <v>120.19885746999999</v>
      </c>
      <c r="BI34" s="875">
        <v>92.875865069999989</v>
      </c>
      <c r="BJ34" s="875">
        <v>79.761168370000007</v>
      </c>
      <c r="BK34" s="875">
        <v>79.944001730000011</v>
      </c>
      <c r="BL34" s="875">
        <v>79.894043420000003</v>
      </c>
      <c r="BM34" s="875">
        <v>66.774714310000007</v>
      </c>
      <c r="BN34" s="875">
        <v>66.7308235</v>
      </c>
      <c r="BO34" s="875">
        <v>66.687135269999999</v>
      </c>
      <c r="BP34" s="875">
        <v>53.567226130000002</v>
      </c>
      <c r="BQ34" s="875">
        <v>92.247875550000003</v>
      </c>
      <c r="BR34" s="875">
        <v>92.086639000000005</v>
      </c>
      <c r="BS34" s="875">
        <v>77.955880329999999</v>
      </c>
      <c r="BT34" s="875">
        <v>65.490268990000004</v>
      </c>
      <c r="BU34" s="875">
        <v>65.576777210000003</v>
      </c>
      <c r="BV34" s="875">
        <v>27.146998780000001</v>
      </c>
      <c r="BW34" s="875">
        <v>27.101832940000001</v>
      </c>
      <c r="BX34" s="875">
        <v>27.056478910000003</v>
      </c>
      <c r="BY34" s="875">
        <v>0.85316070999999916</v>
      </c>
      <c r="BZ34" s="875">
        <v>0.80730997000000038</v>
      </c>
      <c r="CA34" s="875">
        <v>0.76138667999999932</v>
      </c>
      <c r="CB34" s="875">
        <v>0.71537780000000062</v>
      </c>
      <c r="CC34" s="875">
        <v>0.66897209999999951</v>
      </c>
      <c r="CD34" s="875">
        <v>0.62265824000000003</v>
      </c>
      <c r="CE34" s="875">
        <v>0.57579259999999999</v>
      </c>
      <c r="CF34" s="875">
        <v>0.52890466000000003</v>
      </c>
      <c r="CG34" s="875">
        <v>0.48196828000000003</v>
      </c>
      <c r="CH34" s="875">
        <v>0.43455551000000003</v>
      </c>
      <c r="CI34" s="875">
        <v>0.38707909000000001</v>
      </c>
      <c r="CJ34" s="875">
        <v>0.33951236000000001</v>
      </c>
      <c r="CK34" s="875">
        <v>0.29154559999999996</v>
      </c>
      <c r="CL34" s="875">
        <v>0.24347329000000001</v>
      </c>
      <c r="CM34" s="875">
        <v>0.19526831</v>
      </c>
      <c r="CN34" s="875">
        <v>0.1467406</v>
      </c>
      <c r="CO34" s="875">
        <v>9.8064940000000003E-2</v>
      </c>
      <c r="CP34" s="875">
        <v>4.9186470000000003E-2</v>
      </c>
      <c r="CQ34" s="875">
        <v>0</v>
      </c>
      <c r="CR34" s="875">
        <v>0</v>
      </c>
      <c r="CS34" s="875">
        <v>0</v>
      </c>
      <c r="CT34" s="875">
        <v>0</v>
      </c>
      <c r="CU34" s="875">
        <v>0</v>
      </c>
      <c r="CV34" s="875">
        <v>0</v>
      </c>
      <c r="CW34" s="875">
        <v>0</v>
      </c>
      <c r="CX34" s="875">
        <v>0</v>
      </c>
      <c r="CY34" s="875">
        <v>0</v>
      </c>
      <c r="CZ34" s="875">
        <v>0</v>
      </c>
      <c r="DA34" s="875">
        <v>0</v>
      </c>
      <c r="DB34" s="875">
        <v>0</v>
      </c>
      <c r="DC34" s="875">
        <v>11.9</v>
      </c>
      <c r="DD34" s="875">
        <v>11.9</v>
      </c>
      <c r="DE34" s="875">
        <v>11.9</v>
      </c>
      <c r="DF34" s="875">
        <v>11.9</v>
      </c>
      <c r="DG34" s="875">
        <v>11.9</v>
      </c>
      <c r="DH34" s="875">
        <v>11.9</v>
      </c>
      <c r="DI34" s="875">
        <v>11.9</v>
      </c>
      <c r="DJ34" s="875">
        <v>11.9</v>
      </c>
      <c r="DK34" s="875">
        <v>11.984999999999999</v>
      </c>
      <c r="DL34" s="875">
        <v>11.98046617</v>
      </c>
      <c r="DM34" s="875">
        <v>10.707478589999999</v>
      </c>
      <c r="DN34" s="875">
        <v>9.4212719899999993</v>
      </c>
      <c r="DO34" s="875">
        <v>8.2776672500000004</v>
      </c>
      <c r="DP34" s="875">
        <v>8.26766574</v>
      </c>
      <c r="DQ34" s="875">
        <v>0.18262824999999999</v>
      </c>
      <c r="DR34" s="875">
        <v>0.11988728</v>
      </c>
      <c r="DS34" s="875">
        <v>0.11441235</v>
      </c>
      <c r="DT34" s="875">
        <v>0.10894958</v>
      </c>
      <c r="DU34" s="875">
        <v>0.10346042</v>
      </c>
      <c r="DV34" s="875">
        <v>9.7961400000000004E-2</v>
      </c>
      <c r="DW34" s="875">
        <v>0.34740333000000001</v>
      </c>
      <c r="DX34" s="875">
        <v>0.33393388000000002</v>
      </c>
      <c r="DY34" s="875">
        <v>0.32043917</v>
      </c>
      <c r="DZ34" s="875">
        <v>0.30679687</v>
      </c>
      <c r="EA34" s="875">
        <v>0.29315154999999998</v>
      </c>
      <c r="EB34" s="875">
        <v>0.27939201000000002</v>
      </c>
      <c r="EC34" s="875">
        <v>0.26558717999999998</v>
      </c>
      <c r="ED34" s="875">
        <v>0.25179269999999998</v>
      </c>
      <c r="EE34" s="875">
        <v>47.776486149999997</v>
      </c>
      <c r="EF34" s="875">
        <v>153.46336162</v>
      </c>
      <c r="EG34" s="875">
        <v>153.13712154999999</v>
      </c>
      <c r="EH34" s="875">
        <v>138.88501299999999</v>
      </c>
      <c r="EI34" s="875">
        <v>138.30052628999999</v>
      </c>
      <c r="EJ34" s="875">
        <v>139.23268823000001</v>
      </c>
      <c r="EK34" s="875">
        <v>113.01672825</v>
      </c>
      <c r="EL34" s="875">
        <v>113.27285456</v>
      </c>
      <c r="EM34" s="875">
        <v>36.269651279999998</v>
      </c>
      <c r="EN34" s="875">
        <v>35.327642920000002</v>
      </c>
      <c r="EO34" s="875">
        <v>23.390860450000002</v>
      </c>
      <c r="EP34" s="875">
        <v>23.278006600000001</v>
      </c>
      <c r="EQ34" s="875">
        <v>23.24758576</v>
      </c>
      <c r="ER34" s="875">
        <v>24.410448089999999</v>
      </c>
      <c r="ES34" s="875">
        <v>25.351067109999999</v>
      </c>
      <c r="ET34" s="875">
        <v>25.259540099999999</v>
      </c>
      <c r="EU34" s="1924" t="s">
        <v>4086</v>
      </c>
    </row>
    <row r="35" spans="1:151" ht="21">
      <c r="A35" s="1955" t="s">
        <v>1975</v>
      </c>
      <c r="B35" s="852">
        <f>+B33-B34</f>
        <v>744.50701523999999</v>
      </c>
      <c r="C35" s="852">
        <f t="shared" ref="C35:V35" si="12">+C33-C34</f>
        <v>542.42309392000016</v>
      </c>
      <c r="D35" s="852">
        <f t="shared" si="12"/>
        <v>547.97739497999987</v>
      </c>
      <c r="E35" s="852">
        <f t="shared" si="12"/>
        <v>558.94792725000002</v>
      </c>
      <c r="F35" s="852">
        <f t="shared" si="12"/>
        <v>564.83779874000004</v>
      </c>
      <c r="G35" s="852">
        <f t="shared" si="12"/>
        <v>566.42362789000003</v>
      </c>
      <c r="H35" s="852">
        <f t="shared" si="12"/>
        <v>582.70133286000009</v>
      </c>
      <c r="I35" s="852">
        <f t="shared" si="12"/>
        <v>587.40143137999996</v>
      </c>
      <c r="J35" s="852">
        <f t="shared" si="12"/>
        <v>593.94133834000002</v>
      </c>
      <c r="K35" s="852">
        <f t="shared" si="12"/>
        <v>593.27065555000013</v>
      </c>
      <c r="L35" s="852">
        <f t="shared" si="12"/>
        <v>593.52260237000007</v>
      </c>
      <c r="M35" s="846">
        <f t="shared" si="12"/>
        <v>611.97715318999997</v>
      </c>
      <c r="N35" s="853">
        <f t="shared" si="12"/>
        <v>611.93849526000008</v>
      </c>
      <c r="O35" s="853">
        <f t="shared" si="12"/>
        <v>606.39395082999999</v>
      </c>
      <c r="P35" s="853">
        <f t="shared" si="12"/>
        <v>603.44549071000006</v>
      </c>
      <c r="Q35" s="853">
        <f t="shared" si="12"/>
        <v>605.51360333000002</v>
      </c>
      <c r="R35" s="853">
        <f t="shared" si="12"/>
        <v>602.28486955000005</v>
      </c>
      <c r="S35" s="853">
        <f t="shared" si="12"/>
        <v>594.95407213999999</v>
      </c>
      <c r="T35" s="853">
        <f t="shared" si="12"/>
        <v>589.73080058999994</v>
      </c>
      <c r="U35" s="853">
        <f t="shared" si="12"/>
        <v>592.13224688000014</v>
      </c>
      <c r="V35" s="853">
        <f t="shared" si="12"/>
        <v>597.57027418999996</v>
      </c>
      <c r="W35" s="853">
        <v>600.73961117999988</v>
      </c>
      <c r="X35" s="853">
        <v>611.35907982000003</v>
      </c>
      <c r="Y35" s="846">
        <v>630.59200241999997</v>
      </c>
      <c r="Z35" s="853">
        <v>640.24753162999991</v>
      </c>
      <c r="AA35" s="853">
        <v>882.36950548000004</v>
      </c>
      <c r="AB35" s="846">
        <f>+AB33-AB34</f>
        <v>876.0500318500001</v>
      </c>
      <c r="AC35" s="846">
        <v>900.05489569000008</v>
      </c>
      <c r="AD35" s="846">
        <v>900.18821478999996</v>
      </c>
      <c r="AE35" s="846">
        <v>883.11609450000014</v>
      </c>
      <c r="AF35" s="846">
        <v>866.93760429000008</v>
      </c>
      <c r="AG35" s="846">
        <v>855.17992731000004</v>
      </c>
      <c r="AH35" s="846">
        <f>+AH33-AH34</f>
        <v>801.56805679999991</v>
      </c>
      <c r="AI35" s="846">
        <v>771.10599359000003</v>
      </c>
      <c r="AJ35" s="846">
        <f>+AJ33-AJ34</f>
        <v>765.52436037000007</v>
      </c>
      <c r="AK35" s="846">
        <f>+AK33-AK34</f>
        <v>1125.3063281100001</v>
      </c>
      <c r="AL35" s="846">
        <v>1140.7233066499998</v>
      </c>
      <c r="AM35" s="846">
        <f>+AM33-AM34</f>
        <v>1112.7001325900003</v>
      </c>
      <c r="AN35" s="846">
        <f>+AN33-AN34</f>
        <v>1113.9965279600001</v>
      </c>
      <c r="AO35" s="846">
        <f>+AO33-AO34</f>
        <v>1066.5717427</v>
      </c>
      <c r="AP35" s="846">
        <v>1013.3173218899999</v>
      </c>
      <c r="AQ35" s="846">
        <v>1037.1470082000001</v>
      </c>
      <c r="AR35" s="846">
        <v>892.68839844000013</v>
      </c>
      <c r="AS35" s="846">
        <v>791.66893006999987</v>
      </c>
      <c r="AT35" s="846">
        <f>AT27-AT31</f>
        <v>838.28778487</v>
      </c>
      <c r="AU35" s="846">
        <v>757.44179239000005</v>
      </c>
      <c r="AV35" s="846">
        <v>611.13664495000035</v>
      </c>
      <c r="AW35" s="846">
        <v>583.76466771000014</v>
      </c>
      <c r="AX35" s="846">
        <v>589.43198811999991</v>
      </c>
      <c r="AY35" s="846">
        <v>523.98409662000006</v>
      </c>
      <c r="AZ35" s="846">
        <v>511.94302163000003</v>
      </c>
      <c r="BA35" s="846">
        <v>500.97959624000009</v>
      </c>
      <c r="BB35" s="846">
        <v>519.55412655999999</v>
      </c>
      <c r="BC35" s="846">
        <v>577.74859578000007</v>
      </c>
      <c r="BD35" s="846">
        <f>+BD33-BD34</f>
        <v>515.50876612999991</v>
      </c>
      <c r="BE35" s="846">
        <v>508.25451670999996</v>
      </c>
      <c r="BF35" s="846">
        <v>530.23211595999999</v>
      </c>
      <c r="BG35" s="846">
        <v>536.32595968999976</v>
      </c>
      <c r="BH35" s="887">
        <v>559.5219182799998</v>
      </c>
      <c r="BI35" s="877">
        <v>597.9223489000002</v>
      </c>
      <c r="BJ35" s="877">
        <v>564.7848928200001</v>
      </c>
      <c r="BK35" s="877">
        <v>526.92782117999991</v>
      </c>
      <c r="BL35" s="877">
        <v>542.08289049999996</v>
      </c>
      <c r="BM35" s="877">
        <v>543.28958401000011</v>
      </c>
      <c r="BN35" s="877">
        <v>547.11845198000003</v>
      </c>
      <c r="BO35" s="877">
        <v>559.5317101200003</v>
      </c>
      <c r="BP35" s="877">
        <v>558.62008303999994</v>
      </c>
      <c r="BQ35" s="877">
        <v>542.93780951999997</v>
      </c>
      <c r="BR35" s="877">
        <v>540.64892946999998</v>
      </c>
      <c r="BS35" s="877">
        <v>540.46657002999996</v>
      </c>
      <c r="BT35" s="877">
        <v>536.10335137000015</v>
      </c>
      <c r="BU35" s="877">
        <v>719.1872646600001</v>
      </c>
      <c r="BV35" s="877">
        <v>730.57515848999981</v>
      </c>
      <c r="BW35" s="877">
        <v>741.79667398999993</v>
      </c>
      <c r="BX35" s="877">
        <v>745.33505492999961</v>
      </c>
      <c r="BY35" s="877">
        <v>731.8527686900004</v>
      </c>
      <c r="BZ35" s="877">
        <v>736.22086012000045</v>
      </c>
      <c r="CA35" s="877">
        <v>732.89206459999969</v>
      </c>
      <c r="CB35" s="877">
        <v>760.01390615000014</v>
      </c>
      <c r="CC35" s="877">
        <v>746.18867944000021</v>
      </c>
      <c r="CD35" s="877">
        <f t="shared" ref="CD35:CN35" si="13">+CD27-CD31</f>
        <v>772.35191618999988</v>
      </c>
      <c r="CE35" s="877">
        <f t="shared" si="13"/>
        <v>779.28262709999967</v>
      </c>
      <c r="CF35" s="877">
        <f t="shared" si="13"/>
        <v>641.56348517999959</v>
      </c>
      <c r="CG35" s="877">
        <f t="shared" si="13"/>
        <v>787.30191280999975</v>
      </c>
      <c r="CH35" s="877">
        <f t="shared" si="13"/>
        <v>784.3633205499998</v>
      </c>
      <c r="CI35" s="877">
        <f t="shared" si="13"/>
        <v>792.72849090999989</v>
      </c>
      <c r="CJ35" s="877">
        <f t="shared" si="13"/>
        <v>766.86969468999996</v>
      </c>
      <c r="CK35" s="877">
        <f t="shared" si="13"/>
        <v>741.87701427999991</v>
      </c>
      <c r="CL35" s="877">
        <f t="shared" si="13"/>
        <v>712.21234043999993</v>
      </c>
      <c r="CM35" s="877">
        <f t="shared" si="13"/>
        <v>710.62305085999969</v>
      </c>
      <c r="CN35" s="877">
        <f t="shared" si="13"/>
        <v>710.13139947000025</v>
      </c>
      <c r="CO35" s="877">
        <f>+CO33-CO34</f>
        <v>711.5505642600001</v>
      </c>
      <c r="CP35" s="877">
        <f>+CP33-CP34</f>
        <v>803.09465908000004</v>
      </c>
      <c r="CQ35" s="877">
        <f>+CQ33-CQ34</f>
        <v>841.25453662999996</v>
      </c>
      <c r="CR35" s="877">
        <f>+CR33-CR34</f>
        <v>829.33987808000006</v>
      </c>
      <c r="CS35" s="877">
        <v>798.49755650000009</v>
      </c>
      <c r="CT35" s="877">
        <v>789.52414474</v>
      </c>
      <c r="CU35" s="877">
        <v>644.68592974000001</v>
      </c>
      <c r="CV35" s="877">
        <v>621.08863307000001</v>
      </c>
      <c r="CW35" s="877">
        <v>627.57540857000004</v>
      </c>
      <c r="CX35" s="877">
        <v>621.36833479999996</v>
      </c>
      <c r="CY35" s="877">
        <v>562.18538269999999</v>
      </c>
      <c r="CZ35" s="877">
        <v>556.79690156000004</v>
      </c>
      <c r="DA35" s="877">
        <v>554.89837994000004</v>
      </c>
      <c r="DB35" s="877">
        <v>549.51537865</v>
      </c>
      <c r="DC35" s="877">
        <v>649.75413828000001</v>
      </c>
      <c r="DD35" s="877">
        <v>637.96189890000005</v>
      </c>
      <c r="DE35" s="877">
        <v>613.69586333999996</v>
      </c>
      <c r="DF35" s="877">
        <v>601.71820419000005</v>
      </c>
      <c r="DG35" s="877">
        <v>600.82177376000004</v>
      </c>
      <c r="DH35" s="877">
        <v>599.46765848999996</v>
      </c>
      <c r="DI35" s="877">
        <v>598.86586966000004</v>
      </c>
      <c r="DJ35" s="877">
        <v>600.87899123999989</v>
      </c>
      <c r="DK35" s="877">
        <v>582.81908112999997</v>
      </c>
      <c r="DL35" s="877">
        <v>586.79141756000001</v>
      </c>
      <c r="DM35" s="877">
        <v>586.33099329000004</v>
      </c>
      <c r="DN35" s="877">
        <v>583.84821007000005</v>
      </c>
      <c r="DO35" s="877">
        <v>598.17136230999995</v>
      </c>
      <c r="DP35" s="877">
        <v>620.17981099999997</v>
      </c>
      <c r="DQ35" s="877">
        <v>586.76771464000001</v>
      </c>
      <c r="DR35" s="877">
        <v>586.23699446000001</v>
      </c>
      <c r="DS35" s="877">
        <v>581.03009448</v>
      </c>
      <c r="DT35" s="877">
        <v>605.59410591000005</v>
      </c>
      <c r="DU35" s="877">
        <v>609.76494721999995</v>
      </c>
      <c r="DV35" s="877">
        <v>608.73225124999999</v>
      </c>
      <c r="DW35" s="877">
        <v>615.75160652</v>
      </c>
      <c r="DX35" s="877">
        <v>646.43715677</v>
      </c>
      <c r="DY35" s="877">
        <v>637.60935194000001</v>
      </c>
      <c r="DZ35" s="877">
        <v>634.63662303000001</v>
      </c>
      <c r="EA35" s="877">
        <v>620.12237905999996</v>
      </c>
      <c r="EB35" s="877">
        <v>624.23040023999999</v>
      </c>
      <c r="EC35" s="877">
        <v>572.90214433000006</v>
      </c>
      <c r="ED35" s="877">
        <v>563.47655548</v>
      </c>
      <c r="EE35" s="877">
        <v>567.64820365000003</v>
      </c>
      <c r="EF35" s="877">
        <v>579.01483631999997</v>
      </c>
      <c r="EG35" s="877">
        <v>558.43297254000004</v>
      </c>
      <c r="EH35" s="877">
        <v>568.68245208999997</v>
      </c>
      <c r="EI35" s="877">
        <v>559.54417752999996</v>
      </c>
      <c r="EJ35" s="877">
        <v>552.96448049000003</v>
      </c>
      <c r="EK35" s="877">
        <v>557.63896419000002</v>
      </c>
      <c r="EL35" s="877">
        <v>558.10004958000002</v>
      </c>
      <c r="EM35" s="877">
        <v>627.64615791999995</v>
      </c>
      <c r="EN35" s="877">
        <v>616.34588642999995</v>
      </c>
      <c r="EO35" s="877">
        <v>585.70432300000004</v>
      </c>
      <c r="EP35" s="877">
        <v>560.71053132999998</v>
      </c>
      <c r="EQ35" s="877">
        <v>556.68541765999998</v>
      </c>
      <c r="ER35" s="877">
        <v>549.95384348000005</v>
      </c>
      <c r="ES35" s="877">
        <v>544.79239118999999</v>
      </c>
      <c r="ET35" s="877">
        <v>544.07928878999996</v>
      </c>
      <c r="EU35" s="1925" t="s">
        <v>4085</v>
      </c>
    </row>
    <row r="36" spans="1:151" s="792" customFormat="1" ht="39" customHeight="1">
      <c r="A36" s="2479" t="s">
        <v>3295</v>
      </c>
      <c r="B36" s="2479"/>
      <c r="C36" s="2479"/>
      <c r="D36" s="2479"/>
      <c r="E36" s="2479"/>
      <c r="F36" s="2479"/>
      <c r="G36" s="2479"/>
      <c r="H36" s="2479"/>
      <c r="I36" s="2479"/>
      <c r="J36" s="2479"/>
      <c r="K36" s="2479"/>
      <c r="L36" s="2479"/>
      <c r="M36" s="2479"/>
      <c r="N36" s="2479"/>
      <c r="O36" s="2479"/>
      <c r="P36" s="2479"/>
      <c r="Q36" s="2479"/>
      <c r="R36" s="2479"/>
      <c r="S36" s="2479"/>
      <c r="T36" s="2479"/>
      <c r="U36" s="2479"/>
      <c r="V36" s="2479"/>
      <c r="W36" s="2479"/>
      <c r="X36" s="2479"/>
      <c r="Y36" s="2479"/>
      <c r="Z36" s="2479"/>
      <c r="AA36" s="2479"/>
      <c r="AB36" s="2479"/>
      <c r="AC36" s="2479"/>
      <c r="AD36" s="2479"/>
      <c r="AE36" s="2479"/>
      <c r="AF36" s="2479"/>
      <c r="AG36" s="2479"/>
      <c r="AH36" s="2479"/>
      <c r="AI36" s="2479"/>
      <c r="AJ36" s="2479"/>
      <c r="AK36" s="2479"/>
      <c r="AL36" s="2479"/>
      <c r="AM36" s="2479"/>
      <c r="AN36" s="2479"/>
      <c r="AO36" s="2479"/>
      <c r="AP36" s="2479"/>
      <c r="AQ36" s="2479"/>
      <c r="AR36" s="2479"/>
      <c r="AS36" s="2479"/>
      <c r="AT36" s="2479"/>
      <c r="AU36" s="2479"/>
      <c r="AV36" s="2479"/>
      <c r="AW36" s="2479"/>
      <c r="AX36" s="2479"/>
      <c r="AY36" s="2479"/>
      <c r="AZ36" s="2479"/>
      <c r="BA36" s="2479"/>
      <c r="BB36" s="2479"/>
      <c r="BC36" s="2479"/>
      <c r="BD36" s="2479"/>
      <c r="BE36" s="2479"/>
      <c r="BF36" s="2479"/>
      <c r="BG36" s="2479"/>
      <c r="BH36" s="2479"/>
      <c r="BI36" s="2479"/>
      <c r="BJ36" s="2479"/>
      <c r="BK36" s="2479"/>
      <c r="BL36" s="2479"/>
      <c r="BM36" s="2479"/>
      <c r="BN36" s="2479"/>
      <c r="BO36" s="2479"/>
      <c r="BP36" s="2479"/>
      <c r="BQ36" s="2479"/>
      <c r="BR36" s="2479"/>
      <c r="BS36" s="2479"/>
      <c r="BT36" s="2479"/>
      <c r="BU36" s="2479"/>
      <c r="BV36" s="2479"/>
      <c r="BW36" s="2479"/>
      <c r="BX36" s="2479"/>
      <c r="BY36" s="2479"/>
      <c r="BZ36" s="2479"/>
      <c r="CA36" s="2479"/>
      <c r="CB36" s="2479"/>
      <c r="CC36" s="2479"/>
      <c r="CD36" s="2479"/>
      <c r="CE36" s="2479"/>
      <c r="CF36" s="2479"/>
      <c r="CG36" s="2479"/>
      <c r="CH36" s="2479"/>
      <c r="CI36" s="2479"/>
      <c r="CJ36" s="2479"/>
      <c r="CK36" s="2479"/>
      <c r="CL36" s="2479"/>
      <c r="CM36" s="2479"/>
      <c r="CN36" s="2479"/>
      <c r="CO36" s="2479"/>
      <c r="CP36" s="2479"/>
      <c r="CQ36" s="2479"/>
      <c r="CR36" s="2479"/>
      <c r="CS36" s="2479"/>
      <c r="CT36" s="2479"/>
      <c r="CU36" s="2479"/>
      <c r="CV36" s="2479"/>
      <c r="CW36" s="2479"/>
      <c r="CX36" s="2479"/>
      <c r="CY36" s="2479"/>
      <c r="CZ36" s="2479"/>
      <c r="DA36" s="2479"/>
      <c r="DB36" s="2479"/>
      <c r="DC36" s="2479"/>
      <c r="DD36" s="2479"/>
      <c r="DE36" s="2479"/>
      <c r="DF36" s="2479"/>
      <c r="DG36" s="2479"/>
      <c r="DH36" s="2479"/>
      <c r="DI36" s="2479"/>
      <c r="DJ36" s="2479"/>
      <c r="DK36" s="2479"/>
      <c r="DL36" s="2479"/>
      <c r="DM36" s="2479"/>
      <c r="DN36" s="2479"/>
      <c r="DO36" s="2479"/>
      <c r="DP36" s="2479"/>
      <c r="DQ36" s="2479"/>
      <c r="DR36" s="2479"/>
      <c r="DS36" s="2479"/>
      <c r="DT36" s="2479"/>
      <c r="DU36" s="2479"/>
      <c r="DV36" s="2479"/>
      <c r="DW36" s="2479"/>
      <c r="DX36" s="2479"/>
      <c r="DY36" s="2479"/>
      <c r="DZ36" s="2479"/>
      <c r="EA36" s="2480"/>
      <c r="EB36" s="2480"/>
      <c r="EC36" s="2480"/>
      <c r="ED36" s="2480"/>
      <c r="EE36" s="2480"/>
      <c r="EF36" s="2480"/>
      <c r="EG36" s="2480"/>
      <c r="EH36" s="2480"/>
      <c r="EI36" s="2480"/>
      <c r="EJ36" s="2480"/>
      <c r="EK36" s="2480"/>
      <c r="EL36" s="2480"/>
      <c r="EM36" s="2480"/>
      <c r="EN36" s="2480"/>
      <c r="EO36" s="2480"/>
      <c r="EP36" s="2480"/>
      <c r="EQ36" s="2480"/>
      <c r="ER36" s="2480"/>
      <c r="ES36" s="2480"/>
      <c r="ET36" s="2479"/>
    </row>
    <row r="37" spans="1:151" ht="18">
      <c r="A37" s="810"/>
      <c r="B37" s="289"/>
      <c r="C37" s="289"/>
      <c r="D37" s="289"/>
      <c r="E37" s="289"/>
      <c r="F37" s="289"/>
      <c r="G37" s="289"/>
      <c r="H37" s="289"/>
      <c r="I37" s="289"/>
      <c r="J37" s="289"/>
      <c r="K37" s="289"/>
      <c r="L37" s="289"/>
      <c r="M37" s="289"/>
      <c r="N37" s="289"/>
      <c r="O37" s="289"/>
      <c r="P37" s="289"/>
      <c r="Q37" s="289"/>
      <c r="R37" s="289"/>
      <c r="S37" s="289"/>
      <c r="T37" s="289"/>
      <c r="U37" s="289"/>
      <c r="V37" s="289"/>
      <c r="W37" s="289"/>
      <c r="X37" s="289"/>
      <c r="Y37" s="289"/>
      <c r="Z37" s="289"/>
      <c r="AA37" s="289"/>
      <c r="AB37" s="289"/>
      <c r="AC37" s="289"/>
      <c r="AD37" s="289"/>
      <c r="AE37" s="289"/>
      <c r="AF37" s="289"/>
      <c r="AG37" s="289"/>
      <c r="AH37" s="289"/>
      <c r="AI37" s="289"/>
      <c r="AJ37" s="289"/>
      <c r="AK37" s="289"/>
      <c r="AL37" s="289"/>
      <c r="AM37" s="289"/>
      <c r="AN37" s="289"/>
      <c r="AO37" s="289"/>
      <c r="AP37" s="289"/>
      <c r="AQ37" s="289"/>
      <c r="AR37" s="289"/>
      <c r="AS37" s="289"/>
      <c r="AT37" s="289"/>
      <c r="AU37" s="289"/>
      <c r="AV37" s="289"/>
      <c r="AW37" s="289"/>
      <c r="AX37" s="289"/>
      <c r="AY37" s="289"/>
      <c r="AZ37" s="289"/>
      <c r="BA37" s="289"/>
      <c r="BB37" s="289"/>
      <c r="BC37" s="289"/>
      <c r="BD37" s="289"/>
      <c r="BE37" s="289"/>
      <c r="BF37" s="289"/>
      <c r="BG37" s="289"/>
      <c r="BH37" s="289"/>
      <c r="BI37" s="289"/>
      <c r="BJ37" s="289"/>
      <c r="BK37" s="289"/>
      <c r="BL37" s="289"/>
      <c r="BM37" s="289"/>
      <c r="BN37" s="289"/>
      <c r="BO37" s="289"/>
      <c r="BP37" s="289"/>
      <c r="BQ37" s="289"/>
      <c r="BR37" s="289"/>
      <c r="BS37" s="289"/>
      <c r="BT37" s="289"/>
      <c r="BU37" s="289"/>
      <c r="BV37" s="289"/>
      <c r="BW37" s="289"/>
      <c r="BX37" s="289"/>
      <c r="BY37" s="289"/>
      <c r="BZ37" s="289"/>
      <c r="CA37" s="289"/>
      <c r="CB37" s="289"/>
      <c r="CC37" s="289"/>
      <c r="CD37" s="289"/>
      <c r="CE37" s="289"/>
      <c r="CF37" s="289"/>
      <c r="CG37" s="289"/>
      <c r="CH37" s="289"/>
      <c r="CI37" s="289"/>
      <c r="CJ37" s="289"/>
      <c r="CK37" s="289"/>
      <c r="CL37" s="289"/>
    </row>
    <row r="38" spans="1:151" ht="18">
      <c r="A38" s="811"/>
      <c r="B38" s="288"/>
      <c r="C38" s="288"/>
      <c r="D38" s="288"/>
      <c r="E38" s="288"/>
      <c r="F38" s="288"/>
      <c r="G38" s="288"/>
      <c r="H38" s="288"/>
      <c r="I38" s="288"/>
      <c r="J38" s="288"/>
      <c r="K38" s="288"/>
      <c r="L38" s="288"/>
      <c r="M38" s="288"/>
      <c r="N38" s="288"/>
      <c r="O38" s="288"/>
      <c r="P38" s="288"/>
      <c r="Q38" s="288"/>
      <c r="R38" s="288"/>
      <c r="S38" s="288"/>
      <c r="T38" s="288"/>
      <c r="U38" s="288"/>
      <c r="V38" s="288"/>
      <c r="W38" s="288"/>
      <c r="X38" s="288"/>
      <c r="Y38" s="288"/>
      <c r="Z38" s="288"/>
      <c r="AA38" s="288"/>
      <c r="AB38" s="288"/>
      <c r="AC38" s="288"/>
      <c r="AD38" s="288"/>
      <c r="AE38" s="288"/>
      <c r="AF38" s="288"/>
      <c r="AG38" s="288"/>
      <c r="AH38" s="288"/>
      <c r="AI38" s="288"/>
      <c r="AJ38" s="288"/>
      <c r="AK38" s="288"/>
      <c r="AL38" s="288"/>
      <c r="AM38" s="288"/>
      <c r="AN38" s="288"/>
      <c r="AO38" s="288"/>
      <c r="AP38" s="288"/>
      <c r="AQ38" s="288"/>
      <c r="AR38" s="288"/>
      <c r="AS38" s="288"/>
      <c r="AT38" s="288"/>
      <c r="AU38" s="288"/>
      <c r="AV38" s="288"/>
      <c r="AW38" s="288"/>
      <c r="AX38" s="288"/>
      <c r="AY38" s="288"/>
      <c r="AZ38" s="288"/>
      <c r="BA38" s="288"/>
      <c r="BB38" s="288"/>
      <c r="BC38" s="288"/>
      <c r="BD38" s="288"/>
      <c r="BE38" s="288"/>
      <c r="BF38" s="288"/>
      <c r="BG38" s="288"/>
      <c r="BH38" s="288"/>
      <c r="BI38" s="288"/>
      <c r="BJ38" s="288"/>
      <c r="BK38" s="288"/>
      <c r="BL38" s="288"/>
      <c r="BM38" s="288"/>
      <c r="BN38" s="288"/>
      <c r="BO38" s="288"/>
      <c r="BP38" s="288"/>
      <c r="BQ38" s="288"/>
      <c r="BR38" s="288"/>
      <c r="BS38" s="288"/>
      <c r="BT38" s="288"/>
      <c r="BU38" s="288"/>
      <c r="BV38" s="288"/>
      <c r="BW38" s="288"/>
      <c r="BX38" s="288"/>
      <c r="BY38" s="288"/>
      <c r="BZ38" s="288"/>
      <c r="CA38" s="288"/>
      <c r="CB38" s="288"/>
      <c r="CC38" s="288"/>
      <c r="CD38" s="288"/>
      <c r="CE38" s="288"/>
      <c r="CF38" s="288"/>
      <c r="CG38" s="288"/>
      <c r="CH38" s="288"/>
      <c r="CI38" s="288"/>
      <c r="CJ38" s="288"/>
      <c r="CK38" s="288"/>
      <c r="CL38" s="288"/>
    </row>
    <row r="39" spans="1:151" ht="18">
      <c r="A39" s="810"/>
      <c r="B39" s="289"/>
      <c r="C39" s="289"/>
      <c r="D39" s="289"/>
      <c r="E39" s="289"/>
      <c r="F39" s="289"/>
      <c r="G39" s="289"/>
      <c r="H39" s="289"/>
      <c r="I39" s="289"/>
      <c r="J39" s="289"/>
      <c r="K39" s="289"/>
      <c r="L39" s="289"/>
      <c r="M39" s="289"/>
      <c r="N39" s="289"/>
      <c r="O39" s="289"/>
      <c r="P39" s="289"/>
      <c r="Q39" s="289"/>
      <c r="R39" s="289"/>
      <c r="S39" s="289"/>
      <c r="T39" s="289"/>
      <c r="U39" s="289"/>
      <c r="V39" s="289"/>
      <c r="W39" s="289"/>
      <c r="X39" s="289"/>
      <c r="Y39" s="289"/>
      <c r="Z39" s="289"/>
      <c r="AA39" s="289"/>
      <c r="AB39" s="289"/>
      <c r="AC39" s="289"/>
      <c r="AD39" s="289"/>
      <c r="AE39" s="289"/>
      <c r="AF39" s="289"/>
      <c r="AG39" s="289"/>
      <c r="AH39" s="289"/>
      <c r="AI39" s="289"/>
      <c r="AJ39" s="289"/>
      <c r="AK39" s="289"/>
      <c r="AL39" s="289"/>
      <c r="AM39" s="289"/>
      <c r="AN39" s="289"/>
      <c r="AO39" s="289"/>
      <c r="AP39" s="289"/>
      <c r="AQ39" s="289"/>
      <c r="AR39" s="289"/>
      <c r="AS39" s="289"/>
      <c r="AT39" s="289"/>
      <c r="AU39" s="289"/>
      <c r="AV39" s="289"/>
      <c r="AW39" s="289"/>
      <c r="AX39" s="289"/>
      <c r="AY39" s="289"/>
      <c r="AZ39" s="289"/>
      <c r="BA39" s="289"/>
      <c r="BB39" s="289"/>
      <c r="BC39" s="289"/>
      <c r="BD39" s="289"/>
      <c r="BE39" s="289"/>
      <c r="BF39" s="289"/>
      <c r="BG39" s="289"/>
      <c r="BH39" s="289"/>
      <c r="BI39" s="289"/>
      <c r="BJ39" s="289"/>
      <c r="BK39" s="289"/>
      <c r="BL39" s="289"/>
      <c r="BM39" s="289"/>
      <c r="BN39" s="289"/>
      <c r="BO39" s="289"/>
      <c r="BP39" s="289"/>
      <c r="BQ39" s="289"/>
      <c r="BR39" s="289"/>
      <c r="BS39" s="289"/>
      <c r="BT39" s="289"/>
      <c r="BU39" s="289"/>
      <c r="BV39" s="289"/>
      <c r="BW39" s="289"/>
      <c r="BX39" s="289"/>
      <c r="BY39" s="289"/>
      <c r="BZ39" s="289"/>
      <c r="CA39" s="289"/>
      <c r="CB39" s="289"/>
      <c r="CC39" s="289"/>
      <c r="CD39" s="289"/>
      <c r="CE39" s="289"/>
      <c r="CF39" s="289"/>
      <c r="CG39" s="289"/>
      <c r="CH39" s="289"/>
      <c r="CI39" s="289"/>
      <c r="CJ39" s="289"/>
      <c r="CK39" s="289"/>
      <c r="CL39" s="289"/>
    </row>
    <row r="40" spans="1:151" ht="18">
      <c r="A40" s="811"/>
      <c r="B40" s="288"/>
      <c r="C40" s="288"/>
      <c r="D40" s="288"/>
      <c r="E40" s="288"/>
      <c r="F40" s="288"/>
      <c r="G40" s="288"/>
      <c r="H40" s="288"/>
      <c r="I40" s="288"/>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row>
    <row r="41" spans="1:151" ht="18">
      <c r="A41" s="810"/>
      <c r="B41" s="289"/>
      <c r="C41" s="289"/>
      <c r="D41" s="289"/>
      <c r="E41" s="289"/>
      <c r="F41" s="289"/>
      <c r="G41" s="289"/>
      <c r="H41" s="289"/>
      <c r="I41" s="289"/>
      <c r="J41" s="289"/>
      <c r="K41" s="289"/>
      <c r="L41" s="289"/>
      <c r="M41" s="289"/>
      <c r="N41" s="289"/>
      <c r="O41" s="289"/>
      <c r="P41" s="289"/>
      <c r="Q41" s="289"/>
      <c r="R41" s="289"/>
      <c r="S41" s="289"/>
      <c r="T41" s="289"/>
      <c r="U41" s="289"/>
      <c r="V41" s="289"/>
      <c r="W41" s="289"/>
      <c r="X41" s="289"/>
      <c r="Y41" s="289"/>
      <c r="Z41" s="289"/>
      <c r="AA41" s="289"/>
      <c r="AB41" s="289"/>
      <c r="AC41" s="289"/>
      <c r="AD41" s="289"/>
      <c r="AE41" s="289"/>
      <c r="AF41" s="289"/>
      <c r="AG41" s="289"/>
      <c r="AH41" s="289"/>
      <c r="AI41" s="289"/>
      <c r="AJ41" s="289"/>
      <c r="AK41" s="289"/>
      <c r="AL41" s="289"/>
      <c r="AM41" s="289"/>
      <c r="AN41" s="289"/>
      <c r="AO41" s="289"/>
      <c r="AP41" s="289"/>
      <c r="AQ41" s="289"/>
      <c r="AR41" s="289"/>
      <c r="AS41" s="289"/>
      <c r="AT41" s="289"/>
      <c r="AU41" s="289"/>
      <c r="AV41" s="289"/>
      <c r="AW41" s="289"/>
      <c r="AX41" s="289"/>
      <c r="AY41" s="289"/>
      <c r="AZ41" s="289"/>
      <c r="BA41" s="289"/>
      <c r="BB41" s="289"/>
      <c r="BC41" s="289"/>
      <c r="BD41" s="289"/>
      <c r="BE41" s="289"/>
      <c r="BF41" s="289"/>
      <c r="BG41" s="289"/>
      <c r="BH41" s="289"/>
      <c r="BI41" s="289"/>
      <c r="BJ41" s="289"/>
      <c r="BK41" s="289"/>
      <c r="BL41" s="289"/>
      <c r="BM41" s="289"/>
      <c r="BN41" s="289"/>
      <c r="BO41" s="289"/>
      <c r="BP41" s="289"/>
      <c r="BQ41" s="289"/>
      <c r="BR41" s="289"/>
      <c r="BS41" s="289"/>
      <c r="BT41" s="289"/>
      <c r="BU41" s="289"/>
      <c r="BV41" s="289"/>
      <c r="BW41" s="289"/>
      <c r="BX41" s="289"/>
      <c r="BY41" s="289"/>
      <c r="BZ41" s="289"/>
      <c r="CA41" s="289"/>
      <c r="CB41" s="289"/>
      <c r="CC41" s="289"/>
      <c r="CD41" s="289"/>
      <c r="CE41" s="289"/>
      <c r="CF41" s="289"/>
      <c r="CG41" s="289"/>
      <c r="CH41" s="289"/>
      <c r="CI41" s="289"/>
      <c r="CJ41" s="289"/>
      <c r="CK41" s="289"/>
      <c r="CL41" s="289"/>
    </row>
    <row r="42" spans="1:151" ht="18">
      <c r="A42" s="812"/>
      <c r="B42" s="289"/>
      <c r="C42" s="289"/>
      <c r="D42" s="289"/>
      <c r="E42" s="289"/>
      <c r="F42" s="289"/>
      <c r="G42" s="289"/>
      <c r="H42" s="289"/>
      <c r="I42" s="289"/>
      <c r="J42" s="289"/>
      <c r="K42" s="289"/>
      <c r="L42" s="289"/>
      <c r="M42" s="289"/>
      <c r="N42" s="289"/>
      <c r="O42" s="289"/>
      <c r="P42" s="289"/>
      <c r="Q42" s="289"/>
      <c r="R42" s="289"/>
      <c r="S42" s="289"/>
      <c r="T42" s="289"/>
      <c r="U42" s="289"/>
      <c r="V42" s="289"/>
      <c r="W42" s="289"/>
      <c r="X42" s="289"/>
      <c r="Y42" s="289"/>
      <c r="Z42" s="289"/>
      <c r="AA42" s="289"/>
      <c r="AB42" s="289"/>
      <c r="AC42" s="289"/>
      <c r="AD42" s="289"/>
      <c r="AE42" s="289"/>
      <c r="AF42" s="289"/>
      <c r="AG42" s="289"/>
      <c r="AH42" s="289"/>
      <c r="AI42" s="289"/>
      <c r="AJ42" s="289"/>
      <c r="AK42" s="289"/>
      <c r="AL42" s="289"/>
      <c r="AM42" s="289"/>
      <c r="AN42" s="289"/>
      <c r="AO42" s="289"/>
      <c r="AP42" s="289"/>
      <c r="AQ42" s="289"/>
      <c r="AR42" s="289"/>
      <c r="AS42" s="289"/>
      <c r="AT42" s="289"/>
      <c r="AU42" s="289"/>
      <c r="AV42" s="289"/>
      <c r="AW42" s="289"/>
      <c r="AX42" s="289"/>
      <c r="AY42" s="289"/>
      <c r="AZ42" s="289"/>
      <c r="BA42" s="289"/>
      <c r="BB42" s="289"/>
      <c r="BC42" s="289"/>
      <c r="BD42" s="289"/>
      <c r="BE42" s="289"/>
      <c r="BF42" s="289"/>
      <c r="BG42" s="289"/>
      <c r="BH42" s="289"/>
      <c r="BI42" s="289"/>
      <c r="BJ42" s="289"/>
      <c r="BK42" s="289"/>
      <c r="BL42" s="289"/>
      <c r="BM42" s="289"/>
      <c r="BN42" s="289"/>
      <c r="BO42" s="289"/>
      <c r="BP42" s="289"/>
      <c r="BQ42" s="289"/>
      <c r="BR42" s="289"/>
      <c r="BS42" s="289"/>
      <c r="BT42" s="289"/>
      <c r="BU42" s="289"/>
      <c r="BV42" s="289"/>
      <c r="BW42" s="289"/>
      <c r="BX42" s="289"/>
      <c r="BY42" s="289"/>
      <c r="BZ42" s="289"/>
      <c r="CA42" s="289"/>
      <c r="CB42" s="289"/>
      <c r="CC42" s="289"/>
      <c r="CD42" s="289"/>
      <c r="CE42" s="289"/>
      <c r="CF42" s="289"/>
      <c r="CG42" s="289"/>
      <c r="CH42" s="289"/>
      <c r="CI42" s="289"/>
      <c r="CJ42" s="289"/>
      <c r="CK42" s="289"/>
      <c r="CL42" s="289"/>
    </row>
    <row r="43" spans="1:151" ht="18">
      <c r="A43" s="813"/>
      <c r="B43" s="288"/>
      <c r="C43" s="288"/>
      <c r="D43" s="288"/>
      <c r="E43" s="288"/>
      <c r="F43" s="288"/>
      <c r="G43" s="288"/>
      <c r="H43" s="288"/>
      <c r="I43" s="288"/>
      <c r="J43" s="288"/>
      <c r="K43" s="288"/>
      <c r="L43" s="288"/>
      <c r="M43" s="288"/>
      <c r="N43" s="288"/>
      <c r="O43" s="288"/>
      <c r="P43" s="288"/>
      <c r="Q43" s="288"/>
      <c r="R43" s="288"/>
      <c r="S43" s="288"/>
      <c r="T43" s="288"/>
      <c r="U43" s="288"/>
      <c r="V43" s="288"/>
      <c r="W43" s="288"/>
      <c r="X43" s="288"/>
      <c r="Y43" s="288"/>
      <c r="Z43" s="288"/>
      <c r="AA43" s="288"/>
      <c r="AB43" s="288"/>
      <c r="AC43" s="288"/>
      <c r="AD43" s="288"/>
      <c r="AE43" s="288"/>
      <c r="AF43" s="288"/>
      <c r="AG43" s="288"/>
      <c r="AH43" s="288"/>
      <c r="AI43" s="288"/>
      <c r="AJ43" s="288"/>
      <c r="AK43" s="288"/>
      <c r="AL43" s="288"/>
      <c r="AM43" s="288"/>
      <c r="AN43" s="288"/>
      <c r="AO43" s="288"/>
      <c r="AP43" s="288"/>
      <c r="AQ43" s="288"/>
      <c r="AR43" s="288"/>
      <c r="AS43" s="288"/>
      <c r="AT43" s="288"/>
      <c r="AU43" s="288"/>
      <c r="AV43" s="288"/>
      <c r="AW43" s="288"/>
      <c r="AX43" s="288"/>
      <c r="AY43" s="288"/>
      <c r="AZ43" s="288"/>
      <c r="BA43" s="288"/>
      <c r="BB43" s="288"/>
      <c r="BC43" s="288"/>
      <c r="BD43" s="288"/>
      <c r="BE43" s="288"/>
      <c r="BF43" s="288"/>
      <c r="BG43" s="288"/>
      <c r="BH43" s="288"/>
      <c r="BI43" s="288"/>
      <c r="BJ43" s="288"/>
      <c r="BK43" s="288"/>
      <c r="BL43" s="288"/>
      <c r="BM43" s="288"/>
      <c r="BN43" s="288"/>
      <c r="BO43" s="288"/>
      <c r="BP43" s="288"/>
      <c r="BQ43" s="288"/>
      <c r="BR43" s="288"/>
      <c r="BS43" s="288"/>
      <c r="BT43" s="288"/>
      <c r="BU43" s="288"/>
      <c r="BV43" s="288"/>
      <c r="BW43" s="288"/>
      <c r="BX43" s="288"/>
      <c r="BY43" s="288"/>
      <c r="BZ43" s="288"/>
      <c r="CA43" s="288"/>
      <c r="CB43" s="288"/>
      <c r="CC43" s="288"/>
      <c r="CD43" s="288"/>
      <c r="CE43" s="288"/>
      <c r="CF43" s="288"/>
      <c r="CG43" s="288"/>
      <c r="CH43" s="288"/>
      <c r="CI43" s="288"/>
      <c r="CJ43" s="288"/>
      <c r="CK43" s="288"/>
      <c r="CL43" s="288"/>
    </row>
    <row r="44" spans="1:151" ht="18">
      <c r="A44" s="810"/>
      <c r="B44" s="289"/>
      <c r="C44" s="289"/>
      <c r="D44" s="289"/>
      <c r="E44" s="289"/>
      <c r="F44" s="289"/>
      <c r="G44" s="289"/>
      <c r="H44" s="289"/>
      <c r="I44" s="289"/>
      <c r="J44" s="289"/>
      <c r="K44" s="289"/>
      <c r="L44" s="289"/>
      <c r="M44" s="289"/>
      <c r="N44" s="289"/>
      <c r="O44" s="289"/>
      <c r="P44" s="289"/>
      <c r="Q44" s="289"/>
      <c r="R44" s="289"/>
      <c r="S44" s="289"/>
      <c r="T44" s="289"/>
      <c r="U44" s="289"/>
      <c r="V44" s="289"/>
      <c r="W44" s="289"/>
      <c r="X44" s="289"/>
      <c r="Y44" s="289"/>
      <c r="Z44" s="289"/>
      <c r="AA44" s="289"/>
      <c r="AB44" s="289"/>
      <c r="AC44" s="289"/>
      <c r="AD44" s="289"/>
      <c r="AE44" s="289"/>
      <c r="AF44" s="289"/>
      <c r="AG44" s="289"/>
      <c r="AH44" s="289"/>
      <c r="AI44" s="289"/>
      <c r="AJ44" s="289"/>
      <c r="AK44" s="289"/>
      <c r="AL44" s="289"/>
      <c r="AM44" s="289"/>
      <c r="AN44" s="289"/>
      <c r="AO44" s="289"/>
      <c r="AP44" s="289"/>
      <c r="AQ44" s="289"/>
      <c r="AR44" s="289"/>
      <c r="AS44" s="289"/>
      <c r="AT44" s="289"/>
      <c r="AU44" s="289"/>
      <c r="AV44" s="289"/>
      <c r="AW44" s="289"/>
      <c r="AX44" s="289"/>
      <c r="AY44" s="289"/>
      <c r="AZ44" s="289"/>
      <c r="BA44" s="289"/>
      <c r="BB44" s="289"/>
      <c r="BC44" s="289"/>
      <c r="BD44" s="289"/>
      <c r="BE44" s="289"/>
      <c r="BF44" s="289"/>
      <c r="BG44" s="289"/>
      <c r="BH44" s="289"/>
      <c r="BI44" s="289"/>
      <c r="BJ44" s="289"/>
      <c r="BK44" s="289"/>
      <c r="BL44" s="289"/>
      <c r="BM44" s="289"/>
      <c r="BN44" s="289"/>
      <c r="BO44" s="289"/>
      <c r="BP44" s="289"/>
      <c r="BQ44" s="289"/>
      <c r="BR44" s="289"/>
      <c r="BS44" s="289"/>
      <c r="BT44" s="289"/>
      <c r="BU44" s="289"/>
      <c r="BV44" s="289"/>
      <c r="BW44" s="289"/>
      <c r="BX44" s="289"/>
      <c r="BY44" s="289"/>
      <c r="BZ44" s="289"/>
      <c r="CA44" s="289"/>
      <c r="CB44" s="289"/>
      <c r="CC44" s="289"/>
      <c r="CD44" s="289"/>
      <c r="CE44" s="289"/>
      <c r="CF44" s="289"/>
      <c r="CG44" s="289"/>
      <c r="CH44" s="289"/>
      <c r="CI44" s="289"/>
      <c r="CJ44" s="289"/>
      <c r="CK44" s="289"/>
      <c r="CL44" s="289"/>
    </row>
    <row r="45" spans="1:151" ht="18">
      <c r="A45" s="811"/>
      <c r="B45" s="288"/>
      <c r="C45" s="288"/>
      <c r="D45" s="288"/>
      <c r="E45" s="288"/>
      <c r="F45" s="288"/>
      <c r="G45" s="288"/>
      <c r="H45" s="288"/>
      <c r="I45" s="288"/>
      <c r="J45" s="288"/>
      <c r="K45" s="288"/>
      <c r="L45" s="288"/>
      <c r="M45" s="288"/>
      <c r="N45" s="288"/>
      <c r="O45" s="288"/>
      <c r="P45" s="288"/>
      <c r="Q45" s="288"/>
      <c r="R45" s="288"/>
      <c r="S45" s="288"/>
      <c r="T45" s="288"/>
      <c r="U45" s="288"/>
      <c r="V45" s="288"/>
      <c r="W45" s="288"/>
      <c r="X45" s="288"/>
      <c r="Y45" s="288"/>
      <c r="Z45" s="288"/>
      <c r="AA45" s="288"/>
      <c r="AB45" s="288"/>
      <c r="AC45" s="288"/>
      <c r="AD45" s="288"/>
      <c r="AE45" s="288"/>
      <c r="AF45" s="288"/>
      <c r="AG45" s="288"/>
      <c r="AH45" s="288"/>
      <c r="AI45" s="288"/>
      <c r="AJ45" s="288"/>
      <c r="AK45" s="288"/>
      <c r="AL45" s="288"/>
      <c r="AM45" s="288"/>
      <c r="AN45" s="288"/>
      <c r="AO45" s="288"/>
      <c r="AP45" s="288"/>
      <c r="AQ45" s="288"/>
      <c r="AR45" s="288"/>
      <c r="AS45" s="288"/>
      <c r="AT45" s="288"/>
      <c r="AU45" s="288"/>
      <c r="AV45" s="288"/>
      <c r="AW45" s="288"/>
      <c r="AX45" s="288"/>
      <c r="AY45" s="288"/>
      <c r="AZ45" s="288"/>
      <c r="BA45" s="288"/>
      <c r="BB45" s="288"/>
      <c r="BC45" s="288"/>
      <c r="BD45" s="288"/>
      <c r="BE45" s="288"/>
      <c r="BF45" s="288"/>
      <c r="BG45" s="288"/>
      <c r="BH45" s="288"/>
      <c r="BI45" s="288"/>
      <c r="BJ45" s="288"/>
      <c r="BK45" s="288"/>
      <c r="BL45" s="288"/>
      <c r="BM45" s="288"/>
      <c r="BN45" s="288"/>
      <c r="BO45" s="288"/>
      <c r="BP45" s="288"/>
      <c r="BQ45" s="288"/>
      <c r="BR45" s="288"/>
      <c r="BS45" s="288"/>
      <c r="BT45" s="288"/>
      <c r="BU45" s="288"/>
      <c r="BV45" s="288"/>
      <c r="BW45" s="288"/>
      <c r="BX45" s="288"/>
      <c r="BY45" s="288"/>
      <c r="BZ45" s="288"/>
      <c r="CA45" s="288"/>
      <c r="CB45" s="288"/>
      <c r="CC45" s="288"/>
      <c r="CD45" s="288"/>
      <c r="CE45" s="288"/>
      <c r="CF45" s="288"/>
      <c r="CG45" s="288"/>
      <c r="CH45" s="288"/>
      <c r="CI45" s="288"/>
      <c r="CJ45" s="288"/>
      <c r="CK45" s="288"/>
      <c r="CL45" s="288"/>
    </row>
    <row r="46" spans="1:151" ht="18">
      <c r="A46" s="810"/>
      <c r="B46" s="289"/>
      <c r="C46" s="289"/>
      <c r="D46" s="289"/>
      <c r="E46" s="289"/>
      <c r="F46" s="289"/>
      <c r="G46" s="289"/>
      <c r="H46" s="289"/>
      <c r="I46" s="289"/>
      <c r="J46" s="289"/>
      <c r="K46" s="289"/>
      <c r="L46" s="289"/>
      <c r="M46" s="289"/>
      <c r="N46" s="289"/>
      <c r="O46" s="289"/>
      <c r="P46" s="289"/>
      <c r="Q46" s="289"/>
      <c r="R46" s="289"/>
      <c r="S46" s="289"/>
      <c r="T46" s="289"/>
      <c r="U46" s="289"/>
      <c r="V46" s="289"/>
      <c r="W46" s="289"/>
      <c r="X46" s="289"/>
      <c r="Y46" s="289"/>
      <c r="Z46" s="289"/>
      <c r="AA46" s="289"/>
      <c r="AB46" s="289"/>
      <c r="AC46" s="289"/>
      <c r="AD46" s="289"/>
      <c r="AE46" s="289"/>
      <c r="AF46" s="289"/>
      <c r="AG46" s="289"/>
      <c r="AH46" s="289"/>
      <c r="AI46" s="289"/>
      <c r="AJ46" s="289"/>
      <c r="AK46" s="289"/>
      <c r="AL46" s="289"/>
      <c r="AM46" s="289"/>
      <c r="AN46" s="289"/>
      <c r="AO46" s="289"/>
      <c r="AP46" s="289"/>
      <c r="AQ46" s="289"/>
      <c r="AR46" s="289"/>
      <c r="AS46" s="289"/>
      <c r="AT46" s="289"/>
      <c r="AU46" s="289"/>
      <c r="AV46" s="289"/>
      <c r="AW46" s="289"/>
      <c r="AX46" s="289"/>
      <c r="AY46" s="289"/>
      <c r="AZ46" s="289"/>
      <c r="BA46" s="289"/>
      <c r="BB46" s="289"/>
      <c r="BC46" s="289"/>
      <c r="BD46" s="289"/>
      <c r="BE46" s="289"/>
      <c r="BF46" s="289"/>
      <c r="BG46" s="289"/>
      <c r="BH46" s="289"/>
      <c r="BI46" s="289"/>
      <c r="BJ46" s="289"/>
      <c r="BK46" s="289"/>
      <c r="BL46" s="289"/>
      <c r="BM46" s="289"/>
      <c r="BN46" s="289"/>
      <c r="BO46" s="289"/>
      <c r="BP46" s="289"/>
      <c r="BQ46" s="289"/>
      <c r="BR46" s="289"/>
      <c r="BS46" s="289"/>
      <c r="BT46" s="289"/>
      <c r="BU46" s="289"/>
      <c r="BV46" s="289"/>
      <c r="BW46" s="289"/>
      <c r="BX46" s="289"/>
      <c r="BY46" s="289"/>
      <c r="BZ46" s="289"/>
      <c r="CA46" s="289"/>
      <c r="CB46" s="289"/>
      <c r="CC46" s="289"/>
      <c r="CD46" s="289"/>
      <c r="CE46" s="289"/>
      <c r="CF46" s="289"/>
      <c r="CG46" s="289"/>
      <c r="CH46" s="289"/>
      <c r="CI46" s="289"/>
      <c r="CJ46" s="289"/>
      <c r="CK46" s="289"/>
      <c r="CL46" s="289"/>
      <c r="CM46" s="416"/>
      <c r="CN46" s="416"/>
      <c r="CO46" s="416"/>
      <c r="CP46" s="416"/>
      <c r="CQ46" s="416"/>
      <c r="CR46" s="416"/>
      <c r="CS46" s="416"/>
      <c r="CT46" s="416"/>
      <c r="CU46" s="416"/>
      <c r="CV46" s="416"/>
      <c r="CW46" s="416"/>
      <c r="CX46" s="416"/>
      <c r="CY46" s="416"/>
      <c r="CZ46" s="416"/>
      <c r="DA46" s="416"/>
      <c r="DB46" s="416"/>
      <c r="DC46" s="416"/>
      <c r="DD46" s="416"/>
      <c r="DE46" s="416"/>
      <c r="DF46" s="416"/>
      <c r="DG46" s="416"/>
      <c r="DH46" s="416"/>
      <c r="DI46" s="416"/>
      <c r="DJ46" s="416"/>
      <c r="DK46" s="416"/>
      <c r="DL46" s="416"/>
      <c r="DM46" s="416"/>
      <c r="DN46" s="416"/>
      <c r="DO46" s="416"/>
      <c r="DP46" s="416"/>
      <c r="DQ46" s="416"/>
      <c r="DR46" s="416"/>
      <c r="DS46" s="416"/>
      <c r="DT46" s="416"/>
      <c r="DU46" s="416"/>
      <c r="DV46" s="416"/>
      <c r="DW46" s="416"/>
      <c r="DX46" s="416"/>
      <c r="DY46" s="416"/>
      <c r="DZ46" s="416"/>
      <c r="EA46" s="416"/>
      <c r="EB46" s="416"/>
      <c r="EC46" s="416"/>
      <c r="ED46" s="416"/>
      <c r="EE46" s="416"/>
      <c r="EF46" s="416"/>
      <c r="EG46" s="416"/>
      <c r="EH46" s="416"/>
      <c r="EI46" s="416"/>
      <c r="EJ46" s="416"/>
      <c r="EK46" s="416"/>
      <c r="EL46" s="416"/>
      <c r="EM46" s="416"/>
      <c r="EN46" s="416"/>
      <c r="EO46" s="416"/>
      <c r="EP46" s="416"/>
      <c r="EQ46" s="416"/>
      <c r="ER46" s="416"/>
      <c r="ES46" s="416"/>
      <c r="ET46" s="416"/>
    </row>
    <row r="47" spans="1:151" ht="18">
      <c r="A47" s="811"/>
      <c r="B47" s="288"/>
      <c r="C47" s="288"/>
      <c r="D47" s="288"/>
      <c r="E47" s="288"/>
      <c r="F47" s="288"/>
      <c r="G47" s="288"/>
      <c r="H47" s="288"/>
      <c r="I47" s="288"/>
      <c r="J47" s="288"/>
      <c r="K47" s="288"/>
      <c r="L47" s="288"/>
      <c r="M47" s="288"/>
      <c r="N47" s="288"/>
      <c r="O47" s="288"/>
      <c r="P47" s="288"/>
      <c r="Q47" s="288"/>
      <c r="R47" s="288"/>
      <c r="S47" s="288"/>
      <c r="T47" s="288"/>
      <c r="U47" s="288"/>
      <c r="V47" s="288"/>
      <c r="W47" s="288"/>
      <c r="X47" s="288"/>
      <c r="Y47" s="288"/>
      <c r="Z47" s="288"/>
      <c r="AA47" s="288"/>
      <c r="AB47" s="288"/>
      <c r="AC47" s="288"/>
      <c r="AD47" s="288"/>
      <c r="AE47" s="288"/>
      <c r="AF47" s="288"/>
      <c r="AG47" s="288"/>
      <c r="AH47" s="288"/>
      <c r="AI47" s="288"/>
      <c r="AJ47" s="288"/>
      <c r="AK47" s="288"/>
      <c r="AL47" s="288"/>
      <c r="AM47" s="288"/>
      <c r="AN47" s="288"/>
      <c r="AO47" s="288"/>
      <c r="AP47" s="288"/>
      <c r="AQ47" s="288"/>
      <c r="AR47" s="288"/>
      <c r="AS47" s="288"/>
      <c r="AT47" s="288"/>
      <c r="AU47" s="288"/>
      <c r="AV47" s="288"/>
      <c r="AW47" s="288"/>
      <c r="AX47" s="288"/>
      <c r="AY47" s="288"/>
      <c r="AZ47" s="288"/>
      <c r="BA47" s="288"/>
      <c r="BB47" s="288"/>
      <c r="BC47" s="288"/>
      <c r="BD47" s="288"/>
      <c r="BE47" s="288"/>
      <c r="BF47" s="288"/>
      <c r="BG47" s="288"/>
      <c r="BH47" s="288"/>
      <c r="BI47" s="288"/>
      <c r="BJ47" s="288"/>
      <c r="BK47" s="288"/>
      <c r="BL47" s="288"/>
      <c r="BM47" s="288"/>
      <c r="BN47" s="288"/>
      <c r="BO47" s="288"/>
      <c r="BP47" s="288"/>
      <c r="BQ47" s="288"/>
      <c r="BR47" s="288"/>
      <c r="BS47" s="288"/>
      <c r="BT47" s="288"/>
      <c r="BU47" s="288"/>
      <c r="BV47" s="288"/>
      <c r="BW47" s="288"/>
      <c r="BX47" s="288"/>
      <c r="BY47" s="288"/>
      <c r="BZ47" s="288"/>
      <c r="CA47" s="288"/>
      <c r="CB47" s="288"/>
      <c r="CC47" s="288"/>
      <c r="CD47" s="288"/>
      <c r="CE47" s="288"/>
      <c r="CF47" s="288"/>
      <c r="CG47" s="288"/>
      <c r="CH47" s="288"/>
      <c r="CI47" s="288"/>
      <c r="CJ47" s="288"/>
      <c r="CK47" s="288"/>
      <c r="CL47" s="288"/>
      <c r="CM47" s="416"/>
      <c r="CN47" s="416"/>
      <c r="CO47" s="416"/>
      <c r="CP47" s="416"/>
      <c r="CQ47" s="416"/>
      <c r="CR47" s="416"/>
      <c r="CS47" s="416"/>
      <c r="CT47" s="416"/>
      <c r="CU47" s="416"/>
      <c r="CV47" s="416"/>
      <c r="CW47" s="416"/>
      <c r="CX47" s="416"/>
      <c r="CY47" s="416"/>
      <c r="CZ47" s="416"/>
      <c r="DA47" s="416"/>
      <c r="DB47" s="416"/>
      <c r="DC47" s="416"/>
      <c r="DD47" s="416"/>
      <c r="DE47" s="416"/>
      <c r="DF47" s="416"/>
      <c r="DG47" s="416"/>
      <c r="DH47" s="416"/>
      <c r="DI47" s="416"/>
      <c r="DJ47" s="416"/>
      <c r="DK47" s="416"/>
      <c r="DL47" s="416"/>
      <c r="DM47" s="416"/>
      <c r="DN47" s="416"/>
      <c r="DO47" s="416"/>
      <c r="DP47" s="416"/>
      <c r="DQ47" s="416"/>
      <c r="DR47" s="416"/>
      <c r="DS47" s="416"/>
      <c r="DT47" s="416"/>
      <c r="DU47" s="416"/>
      <c r="DV47" s="416"/>
      <c r="DW47" s="416"/>
      <c r="DX47" s="416"/>
      <c r="DY47" s="416"/>
      <c r="DZ47" s="416"/>
      <c r="EA47" s="416"/>
      <c r="EB47" s="416"/>
      <c r="EC47" s="416"/>
      <c r="ED47" s="416"/>
      <c r="EE47" s="416"/>
      <c r="EF47" s="416"/>
      <c r="EG47" s="416"/>
      <c r="EH47" s="416"/>
      <c r="EI47" s="416"/>
      <c r="EJ47" s="416"/>
      <c r="EK47" s="416"/>
      <c r="EL47" s="416"/>
      <c r="EM47" s="416"/>
      <c r="EN47" s="416"/>
      <c r="EO47" s="416"/>
      <c r="EP47" s="416"/>
      <c r="EQ47" s="416"/>
      <c r="ER47" s="416"/>
      <c r="ES47" s="416"/>
      <c r="ET47" s="416"/>
    </row>
    <row r="48" spans="1:151" ht="18">
      <c r="A48" s="810"/>
      <c r="B48" s="289"/>
      <c r="C48" s="289"/>
      <c r="D48" s="289"/>
      <c r="E48" s="289"/>
      <c r="F48" s="289"/>
      <c r="G48" s="289"/>
      <c r="H48" s="289"/>
      <c r="I48" s="289"/>
      <c r="J48" s="289"/>
      <c r="K48" s="289"/>
      <c r="L48" s="289"/>
      <c r="M48" s="289"/>
      <c r="N48" s="289"/>
      <c r="O48" s="289"/>
      <c r="P48" s="289"/>
      <c r="Q48" s="289"/>
      <c r="R48" s="289"/>
      <c r="S48" s="289"/>
      <c r="T48" s="289"/>
      <c r="U48" s="289"/>
      <c r="V48" s="289"/>
      <c r="W48" s="289"/>
      <c r="X48" s="289"/>
      <c r="Y48" s="289"/>
      <c r="Z48" s="289"/>
      <c r="AA48" s="289"/>
      <c r="AB48" s="289"/>
      <c r="AC48" s="289"/>
      <c r="AD48" s="289"/>
      <c r="AE48" s="289"/>
      <c r="AF48" s="289"/>
      <c r="AG48" s="289"/>
      <c r="AH48" s="289"/>
      <c r="AI48" s="289"/>
      <c r="AJ48" s="289"/>
      <c r="AK48" s="289"/>
      <c r="AL48" s="289"/>
      <c r="AM48" s="289"/>
      <c r="AN48" s="289"/>
      <c r="AO48" s="289"/>
      <c r="AP48" s="289"/>
      <c r="AQ48" s="289"/>
      <c r="AR48" s="289"/>
      <c r="AS48" s="289"/>
      <c r="AT48" s="289"/>
      <c r="AU48" s="289"/>
      <c r="AV48" s="289"/>
      <c r="AW48" s="289"/>
      <c r="AX48" s="289"/>
      <c r="AY48" s="289"/>
      <c r="AZ48" s="289"/>
      <c r="BA48" s="289"/>
      <c r="BB48" s="289"/>
      <c r="BC48" s="289"/>
      <c r="BD48" s="289"/>
      <c r="BE48" s="289"/>
      <c r="BF48" s="289"/>
      <c r="BG48" s="289"/>
      <c r="BH48" s="289"/>
      <c r="BI48" s="289"/>
      <c r="BJ48" s="289"/>
      <c r="BK48" s="289"/>
      <c r="BL48" s="289"/>
      <c r="BM48" s="289"/>
      <c r="BN48" s="289"/>
      <c r="BO48" s="289"/>
      <c r="BP48" s="289"/>
      <c r="BQ48" s="289"/>
      <c r="BR48" s="289"/>
      <c r="BS48" s="289"/>
      <c r="BT48" s="289"/>
      <c r="BU48" s="289"/>
      <c r="BV48" s="289"/>
      <c r="BW48" s="289"/>
      <c r="BX48" s="289"/>
      <c r="BY48" s="289"/>
      <c r="BZ48" s="289"/>
      <c r="CA48" s="289"/>
      <c r="CB48" s="289"/>
      <c r="CC48" s="289"/>
      <c r="CD48" s="289"/>
      <c r="CE48" s="289"/>
      <c r="CF48" s="289"/>
      <c r="CG48" s="289"/>
      <c r="CH48" s="289"/>
      <c r="CI48" s="289"/>
      <c r="CJ48" s="289"/>
      <c r="CK48" s="289"/>
      <c r="CL48" s="289"/>
      <c r="CM48" s="416"/>
      <c r="CN48" s="416"/>
      <c r="CO48" s="416"/>
      <c r="CP48" s="416"/>
      <c r="CQ48" s="416"/>
      <c r="CR48" s="416"/>
      <c r="CS48" s="416"/>
      <c r="CT48" s="416"/>
      <c r="CU48" s="416"/>
      <c r="CV48" s="416"/>
      <c r="CW48" s="416"/>
      <c r="CX48" s="416"/>
      <c r="CY48" s="416"/>
      <c r="CZ48" s="416"/>
      <c r="DA48" s="416"/>
      <c r="DB48" s="416"/>
      <c r="DC48" s="416"/>
      <c r="DD48" s="416"/>
      <c r="DE48" s="416"/>
      <c r="DF48" s="416"/>
      <c r="DG48" s="416"/>
      <c r="DH48" s="416"/>
      <c r="DI48" s="416"/>
      <c r="DJ48" s="416"/>
      <c r="DK48" s="416"/>
      <c r="DL48" s="416"/>
      <c r="DM48" s="416"/>
      <c r="DN48" s="416"/>
      <c r="DO48" s="416"/>
      <c r="DP48" s="416"/>
      <c r="DQ48" s="416"/>
      <c r="DR48" s="416"/>
      <c r="DS48" s="416"/>
      <c r="DT48" s="416"/>
      <c r="DU48" s="416"/>
      <c r="DV48" s="416"/>
      <c r="DW48" s="416"/>
      <c r="DX48" s="416"/>
      <c r="DY48" s="416"/>
      <c r="DZ48" s="416"/>
      <c r="EA48" s="416"/>
      <c r="EB48" s="416"/>
      <c r="EC48" s="416"/>
      <c r="ED48" s="416"/>
      <c r="EE48" s="416"/>
      <c r="EF48" s="416"/>
      <c r="EG48" s="416"/>
      <c r="EH48" s="416"/>
      <c r="EI48" s="416"/>
      <c r="EJ48" s="416"/>
      <c r="EK48" s="416"/>
      <c r="EL48" s="416"/>
      <c r="EM48" s="416"/>
      <c r="EN48" s="416"/>
      <c r="EO48" s="416"/>
      <c r="EP48" s="416"/>
      <c r="EQ48" s="416"/>
      <c r="ER48" s="416"/>
      <c r="ES48" s="416"/>
      <c r="ET48" s="416"/>
    </row>
    <row r="49" spans="1:150" ht="18">
      <c r="A49" s="814"/>
      <c r="B49" s="290"/>
      <c r="C49" s="290"/>
      <c r="D49" s="290"/>
      <c r="E49" s="290"/>
      <c r="F49" s="290"/>
      <c r="G49" s="290"/>
      <c r="H49" s="290"/>
      <c r="I49" s="290"/>
      <c r="J49" s="290"/>
      <c r="K49" s="290"/>
      <c r="L49" s="290"/>
      <c r="M49" s="290"/>
      <c r="N49" s="290"/>
      <c r="O49" s="290"/>
      <c r="P49" s="290"/>
      <c r="Q49" s="290"/>
      <c r="R49" s="290"/>
      <c r="S49" s="290"/>
      <c r="T49" s="290"/>
      <c r="U49" s="290"/>
      <c r="V49" s="290"/>
      <c r="W49" s="290"/>
      <c r="X49" s="290"/>
      <c r="Y49" s="290"/>
      <c r="Z49" s="290"/>
      <c r="AA49" s="290"/>
      <c r="AB49" s="290"/>
      <c r="AC49" s="290"/>
      <c r="AD49" s="290"/>
      <c r="AE49" s="290"/>
      <c r="AF49" s="290"/>
      <c r="AG49" s="290"/>
      <c r="AH49" s="290"/>
      <c r="AI49" s="290"/>
      <c r="AJ49" s="290"/>
      <c r="AK49" s="290"/>
      <c r="AL49" s="290"/>
      <c r="AM49" s="290"/>
      <c r="AN49" s="290"/>
      <c r="AO49" s="290"/>
      <c r="AP49" s="290"/>
      <c r="AQ49" s="290"/>
      <c r="AR49" s="290"/>
      <c r="AS49" s="290"/>
      <c r="AT49" s="290"/>
      <c r="AU49" s="290"/>
      <c r="AV49" s="290"/>
      <c r="AW49" s="290"/>
      <c r="AX49" s="290"/>
      <c r="AY49" s="290"/>
      <c r="AZ49" s="290"/>
      <c r="BA49" s="290"/>
      <c r="BB49" s="290"/>
      <c r="BC49" s="290"/>
      <c r="BD49" s="290"/>
      <c r="BE49" s="290"/>
      <c r="BF49" s="290"/>
      <c r="BG49" s="290"/>
      <c r="BH49" s="290"/>
      <c r="BI49" s="290"/>
      <c r="BJ49" s="290"/>
      <c r="BK49" s="290"/>
      <c r="BL49" s="290"/>
      <c r="BM49" s="290"/>
      <c r="BN49" s="290"/>
      <c r="BO49" s="290"/>
      <c r="BP49" s="290"/>
      <c r="BQ49" s="290"/>
      <c r="BR49" s="290"/>
      <c r="BS49" s="290"/>
      <c r="BT49" s="290"/>
      <c r="BU49" s="290"/>
      <c r="BV49" s="290"/>
      <c r="BW49" s="290"/>
      <c r="BX49" s="290"/>
      <c r="BY49" s="290"/>
      <c r="BZ49" s="290"/>
      <c r="CA49" s="290"/>
      <c r="CB49" s="290"/>
      <c r="CC49" s="290"/>
      <c r="CD49" s="290"/>
      <c r="CE49" s="290"/>
      <c r="CF49" s="290"/>
      <c r="CG49" s="290"/>
      <c r="CH49" s="290"/>
      <c r="CI49" s="290"/>
      <c r="CJ49" s="290"/>
      <c r="CK49" s="290"/>
      <c r="CL49" s="290"/>
      <c r="CM49" s="416"/>
      <c r="CN49" s="416"/>
      <c r="CO49" s="416"/>
      <c r="CP49" s="416"/>
      <c r="CQ49" s="416"/>
      <c r="CR49" s="416"/>
      <c r="CS49" s="416"/>
      <c r="CT49" s="416"/>
      <c r="CU49" s="416"/>
      <c r="CV49" s="416"/>
      <c r="CW49" s="416"/>
      <c r="CX49" s="416"/>
      <c r="CY49" s="416"/>
      <c r="CZ49" s="416"/>
      <c r="DA49" s="416"/>
      <c r="DB49" s="416"/>
      <c r="DC49" s="416"/>
      <c r="DD49" s="416"/>
      <c r="DE49" s="416"/>
      <c r="DF49" s="416"/>
      <c r="DG49" s="416"/>
      <c r="DH49" s="416"/>
      <c r="DI49" s="416"/>
      <c r="DJ49" s="416"/>
      <c r="DK49" s="416"/>
      <c r="DL49" s="416"/>
      <c r="DM49" s="416"/>
      <c r="DN49" s="416"/>
      <c r="DO49" s="416"/>
      <c r="DP49" s="416"/>
      <c r="DQ49" s="416"/>
      <c r="DR49" s="416"/>
      <c r="DS49" s="416"/>
      <c r="DT49" s="416"/>
      <c r="DU49" s="416"/>
      <c r="DV49" s="416"/>
      <c r="DW49" s="416"/>
      <c r="DX49" s="416"/>
      <c r="DY49" s="416"/>
      <c r="DZ49" s="416"/>
      <c r="EA49" s="416"/>
      <c r="EB49" s="416"/>
      <c r="EC49" s="416"/>
      <c r="ED49" s="416"/>
      <c r="EE49" s="416"/>
      <c r="EF49" s="416"/>
      <c r="EG49" s="416"/>
      <c r="EH49" s="416"/>
      <c r="EI49" s="416"/>
      <c r="EJ49" s="416"/>
      <c r="EK49" s="416"/>
      <c r="EL49" s="416"/>
      <c r="EM49" s="416"/>
      <c r="EN49" s="416"/>
      <c r="EO49" s="416"/>
      <c r="EP49" s="416"/>
      <c r="EQ49" s="416"/>
      <c r="ER49" s="416"/>
      <c r="ES49" s="416"/>
      <c r="ET49" s="416"/>
    </row>
    <row r="50" spans="1:150" ht="18">
      <c r="A50" s="815"/>
      <c r="B50" s="290"/>
      <c r="C50" s="290"/>
      <c r="D50" s="290"/>
      <c r="E50" s="290"/>
      <c r="F50" s="290"/>
      <c r="G50" s="290"/>
      <c r="H50" s="290"/>
      <c r="I50" s="290"/>
      <c r="J50" s="290"/>
      <c r="K50" s="290"/>
      <c r="L50" s="290"/>
      <c r="M50" s="290"/>
      <c r="N50" s="290"/>
      <c r="O50" s="290"/>
      <c r="P50" s="290"/>
      <c r="Q50" s="290"/>
      <c r="R50" s="290"/>
      <c r="S50" s="290"/>
      <c r="T50" s="290"/>
      <c r="U50" s="290"/>
      <c r="V50" s="290"/>
      <c r="W50" s="290"/>
      <c r="X50" s="290"/>
      <c r="Y50" s="290"/>
      <c r="Z50" s="290"/>
      <c r="AA50" s="290"/>
      <c r="AB50" s="290"/>
      <c r="AC50" s="290"/>
      <c r="AD50" s="290"/>
      <c r="AE50" s="290"/>
      <c r="AF50" s="290"/>
      <c r="AG50" s="290"/>
      <c r="AH50" s="290"/>
      <c r="AI50" s="290"/>
      <c r="AJ50" s="290"/>
      <c r="AK50" s="290"/>
      <c r="AL50" s="290"/>
      <c r="AM50" s="290"/>
      <c r="AN50" s="290"/>
      <c r="AO50" s="290"/>
      <c r="AP50" s="290"/>
      <c r="AQ50" s="290"/>
      <c r="AR50" s="290"/>
      <c r="AS50" s="290"/>
      <c r="AT50" s="290"/>
      <c r="AU50" s="290"/>
      <c r="AV50" s="290"/>
      <c r="AW50" s="290"/>
      <c r="AX50" s="290"/>
      <c r="AY50" s="290"/>
      <c r="AZ50" s="290"/>
      <c r="BA50" s="290"/>
      <c r="BB50" s="290"/>
      <c r="BC50" s="290"/>
      <c r="BD50" s="290"/>
      <c r="BE50" s="290"/>
      <c r="BF50" s="290"/>
      <c r="BG50" s="290"/>
      <c r="BH50" s="290"/>
      <c r="BI50" s="290"/>
      <c r="BJ50" s="290"/>
      <c r="BK50" s="290"/>
      <c r="BL50" s="290"/>
      <c r="BM50" s="290"/>
      <c r="BN50" s="290"/>
      <c r="BO50" s="290"/>
      <c r="BP50" s="290"/>
      <c r="BQ50" s="290"/>
      <c r="BR50" s="290"/>
      <c r="BS50" s="290"/>
      <c r="BT50" s="290"/>
      <c r="BU50" s="290"/>
      <c r="BV50" s="290"/>
      <c r="BW50" s="290"/>
      <c r="BX50" s="290"/>
      <c r="BY50" s="290"/>
      <c r="BZ50" s="290"/>
      <c r="CA50" s="290"/>
      <c r="CB50" s="290"/>
      <c r="CC50" s="290"/>
      <c r="CD50" s="290"/>
      <c r="CE50" s="290"/>
      <c r="CF50" s="290"/>
      <c r="CG50" s="290"/>
      <c r="CH50" s="290"/>
      <c r="CI50" s="290"/>
      <c r="CJ50" s="290"/>
      <c r="CK50" s="290"/>
      <c r="CL50" s="290"/>
      <c r="CM50" s="416"/>
      <c r="CN50" s="416"/>
      <c r="CO50" s="416"/>
      <c r="CP50" s="416"/>
      <c r="CQ50" s="416"/>
      <c r="CR50" s="416"/>
      <c r="CS50" s="416"/>
      <c r="CT50" s="416"/>
      <c r="CU50" s="416"/>
      <c r="CV50" s="416"/>
      <c r="CW50" s="416"/>
      <c r="CX50" s="416"/>
      <c r="CY50" s="416"/>
      <c r="CZ50" s="416"/>
      <c r="DA50" s="416"/>
      <c r="DB50" s="416"/>
      <c r="DC50" s="416"/>
      <c r="DD50" s="416"/>
      <c r="DE50" s="416"/>
      <c r="DF50" s="416"/>
      <c r="DG50" s="416"/>
      <c r="DH50" s="416"/>
      <c r="DI50" s="416"/>
      <c r="DJ50" s="416"/>
      <c r="DK50" s="416"/>
      <c r="DL50" s="416"/>
      <c r="DM50" s="416"/>
      <c r="DN50" s="416"/>
      <c r="DO50" s="416"/>
      <c r="DP50" s="416"/>
      <c r="DQ50" s="416"/>
      <c r="DR50" s="416"/>
      <c r="DS50" s="416"/>
      <c r="DT50" s="416"/>
      <c r="DU50" s="416"/>
      <c r="DV50" s="416"/>
      <c r="DW50" s="416"/>
      <c r="DX50" s="416"/>
      <c r="DY50" s="416"/>
      <c r="DZ50" s="416"/>
      <c r="EA50" s="416"/>
      <c r="EB50" s="416"/>
      <c r="EC50" s="416"/>
      <c r="ED50" s="416"/>
      <c r="EE50" s="416"/>
      <c r="EF50" s="416"/>
      <c r="EG50" s="416"/>
      <c r="EH50" s="416"/>
      <c r="EI50" s="416"/>
      <c r="EJ50" s="416"/>
      <c r="EK50" s="416"/>
      <c r="EL50" s="416"/>
      <c r="EM50" s="416"/>
      <c r="EN50" s="416"/>
      <c r="EO50" s="416"/>
      <c r="EP50" s="416"/>
      <c r="EQ50" s="416"/>
      <c r="ER50" s="416"/>
      <c r="ES50" s="416"/>
      <c r="ET50" s="416"/>
    </row>
    <row r="51" spans="1:150">
      <c r="A51" s="816"/>
      <c r="B51" s="416"/>
      <c r="C51" s="416"/>
      <c r="D51" s="416"/>
      <c r="E51" s="416"/>
      <c r="F51" s="416"/>
      <c r="G51" s="416"/>
      <c r="H51" s="416"/>
      <c r="I51" s="416"/>
      <c r="J51" s="416"/>
      <c r="K51" s="416"/>
      <c r="L51" s="416"/>
      <c r="M51" s="416"/>
      <c r="N51" s="416"/>
      <c r="O51" s="416"/>
      <c r="P51" s="416"/>
      <c r="Q51" s="416"/>
      <c r="R51" s="416"/>
      <c r="S51" s="416"/>
      <c r="T51" s="416"/>
      <c r="U51" s="416"/>
      <c r="V51" s="416"/>
      <c r="W51" s="416"/>
      <c r="X51" s="416"/>
      <c r="Y51" s="416"/>
      <c r="Z51" s="416"/>
      <c r="AA51" s="416"/>
      <c r="AB51" s="416"/>
      <c r="AC51" s="416"/>
      <c r="AD51" s="416"/>
      <c r="AE51" s="416"/>
      <c r="AF51" s="416"/>
      <c r="AG51" s="416"/>
      <c r="AH51" s="416"/>
      <c r="AI51" s="416"/>
      <c r="AJ51" s="416"/>
      <c r="AK51" s="416"/>
      <c r="AL51" s="416"/>
      <c r="AM51" s="416"/>
      <c r="AN51" s="416"/>
      <c r="AO51" s="416"/>
      <c r="AP51" s="416"/>
      <c r="AQ51" s="416"/>
      <c r="AR51" s="416"/>
      <c r="AS51" s="416"/>
      <c r="AT51" s="416"/>
      <c r="AU51" s="416"/>
      <c r="AV51" s="416"/>
      <c r="AW51" s="416"/>
      <c r="AX51" s="416"/>
      <c r="AY51" s="416"/>
      <c r="AZ51" s="416"/>
      <c r="BA51" s="416"/>
      <c r="BB51" s="416"/>
      <c r="BC51" s="416"/>
      <c r="BD51" s="416"/>
      <c r="BE51" s="416"/>
      <c r="BF51" s="416"/>
      <c r="BG51" s="416"/>
      <c r="BH51" s="416"/>
      <c r="BI51" s="416"/>
      <c r="BJ51" s="416"/>
      <c r="BK51" s="416"/>
      <c r="BL51" s="416"/>
      <c r="BM51" s="416"/>
      <c r="BN51" s="416"/>
      <c r="BO51" s="416"/>
      <c r="BP51" s="416"/>
      <c r="BQ51" s="416"/>
      <c r="BR51" s="416"/>
      <c r="BS51" s="416"/>
      <c r="BT51" s="416"/>
      <c r="BU51" s="416"/>
      <c r="BV51" s="416"/>
      <c r="BW51" s="416"/>
      <c r="BX51" s="416"/>
      <c r="BY51" s="416"/>
      <c r="BZ51" s="416"/>
      <c r="CA51" s="416"/>
      <c r="CB51" s="416"/>
      <c r="CC51" s="416"/>
      <c r="CD51" s="416"/>
      <c r="CE51" s="416"/>
      <c r="CF51" s="416"/>
      <c r="CG51" s="416"/>
      <c r="CH51" s="416"/>
      <c r="CI51" s="416"/>
      <c r="CJ51" s="416"/>
      <c r="CK51" s="416"/>
      <c r="CL51" s="416"/>
      <c r="CM51" s="416"/>
      <c r="CN51" s="416"/>
      <c r="CO51" s="416"/>
      <c r="CP51" s="416"/>
      <c r="CQ51" s="416"/>
      <c r="CR51" s="416"/>
      <c r="CS51" s="416"/>
      <c r="CT51" s="416"/>
      <c r="CU51" s="416"/>
      <c r="CV51" s="416"/>
      <c r="CW51" s="416"/>
      <c r="CX51" s="416"/>
      <c r="CY51" s="416"/>
      <c r="CZ51" s="416"/>
      <c r="DA51" s="416"/>
      <c r="DB51" s="416"/>
      <c r="DC51" s="416"/>
      <c r="DD51" s="416"/>
      <c r="DE51" s="416"/>
      <c r="DF51" s="416"/>
      <c r="DG51" s="416"/>
      <c r="DH51" s="416"/>
      <c r="DI51" s="416"/>
      <c r="DJ51" s="416"/>
      <c r="DK51" s="416"/>
      <c r="DL51" s="416"/>
      <c r="DM51" s="416"/>
      <c r="DN51" s="416"/>
      <c r="DO51" s="416"/>
      <c r="DP51" s="416"/>
      <c r="DQ51" s="416"/>
      <c r="DR51" s="416"/>
      <c r="DS51" s="416"/>
      <c r="DT51" s="416"/>
      <c r="DU51" s="416"/>
      <c r="DV51" s="416"/>
      <c r="DW51" s="416"/>
      <c r="DX51" s="416"/>
      <c r="DY51" s="416"/>
      <c r="DZ51" s="416"/>
      <c r="EA51" s="416"/>
      <c r="EB51" s="416"/>
      <c r="EC51" s="416"/>
      <c r="ED51" s="416"/>
      <c r="EE51" s="416"/>
      <c r="EF51" s="416"/>
      <c r="EG51" s="416"/>
      <c r="EH51" s="416"/>
      <c r="EI51" s="416"/>
      <c r="EJ51" s="416"/>
      <c r="EK51" s="416"/>
      <c r="EL51" s="416"/>
      <c r="EM51" s="416"/>
      <c r="EN51" s="416"/>
      <c r="EO51" s="416"/>
      <c r="EP51" s="416"/>
      <c r="EQ51" s="416"/>
      <c r="ER51" s="416"/>
      <c r="ES51" s="416"/>
      <c r="ET51" s="416"/>
    </row>
    <row r="52" spans="1:150">
      <c r="A52" s="816"/>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c r="AN52" s="416"/>
      <c r="AO52" s="416"/>
      <c r="AP52" s="416"/>
      <c r="AQ52" s="416"/>
      <c r="AR52" s="416"/>
      <c r="AS52" s="416"/>
      <c r="AT52" s="416"/>
      <c r="AU52" s="416"/>
      <c r="AV52" s="416"/>
      <c r="AW52" s="416"/>
      <c r="AX52" s="416"/>
      <c r="AY52" s="416"/>
      <c r="AZ52" s="416"/>
      <c r="BA52" s="416"/>
      <c r="BB52" s="416"/>
      <c r="BC52" s="416"/>
      <c r="BD52" s="416"/>
      <c r="BE52" s="416"/>
      <c r="BF52" s="416"/>
      <c r="BG52" s="416"/>
      <c r="BH52" s="416"/>
      <c r="BI52" s="416"/>
      <c r="BJ52" s="416"/>
      <c r="BK52" s="416"/>
      <c r="BL52" s="416"/>
      <c r="BM52" s="416"/>
      <c r="BN52" s="416"/>
      <c r="BO52" s="416"/>
      <c r="BP52" s="416"/>
      <c r="BQ52" s="416"/>
      <c r="BR52" s="416"/>
      <c r="BS52" s="416"/>
      <c r="BT52" s="416"/>
      <c r="BU52" s="416"/>
      <c r="BV52" s="416"/>
      <c r="BW52" s="416"/>
      <c r="BX52" s="416"/>
      <c r="BY52" s="416"/>
      <c r="BZ52" s="416"/>
      <c r="CA52" s="416"/>
      <c r="CB52" s="416"/>
      <c r="CC52" s="416"/>
      <c r="CD52" s="416"/>
      <c r="CE52" s="416"/>
      <c r="CF52" s="416"/>
      <c r="CG52" s="416"/>
      <c r="CH52" s="416"/>
      <c r="CI52" s="416"/>
      <c r="CJ52" s="416"/>
      <c r="CK52" s="416"/>
      <c r="CL52" s="416"/>
      <c r="CM52" s="416"/>
      <c r="CN52" s="416"/>
      <c r="CO52" s="416"/>
      <c r="CP52" s="416"/>
      <c r="CQ52" s="416"/>
      <c r="CR52" s="416"/>
      <c r="CS52" s="416"/>
      <c r="CT52" s="416"/>
      <c r="CU52" s="416"/>
      <c r="CV52" s="416"/>
      <c r="CW52" s="416"/>
      <c r="CX52" s="416"/>
      <c r="CY52" s="416"/>
      <c r="CZ52" s="416"/>
      <c r="DA52" s="416"/>
      <c r="DB52" s="416"/>
      <c r="DC52" s="416"/>
      <c r="DD52" s="416"/>
      <c r="DE52" s="416"/>
      <c r="DF52" s="416"/>
      <c r="DG52" s="416"/>
      <c r="DH52" s="416"/>
      <c r="DI52" s="416"/>
      <c r="DJ52" s="416"/>
      <c r="DK52" s="416"/>
      <c r="DL52" s="416"/>
      <c r="DM52" s="416"/>
      <c r="DN52" s="416"/>
      <c r="DO52" s="416"/>
      <c r="DP52" s="416"/>
      <c r="DQ52" s="416"/>
      <c r="DR52" s="416"/>
      <c r="DS52" s="416"/>
      <c r="DT52" s="416"/>
      <c r="DU52" s="416"/>
      <c r="DV52" s="416"/>
      <c r="DW52" s="416"/>
      <c r="DX52" s="416"/>
      <c r="DY52" s="416"/>
      <c r="DZ52" s="416"/>
      <c r="EA52" s="416"/>
      <c r="EB52" s="416"/>
      <c r="EC52" s="416"/>
      <c r="ED52" s="416"/>
      <c r="EE52" s="416"/>
      <c r="EF52" s="416"/>
      <c r="EG52" s="416"/>
      <c r="EH52" s="416"/>
      <c r="EI52" s="416"/>
      <c r="EJ52" s="416"/>
      <c r="EK52" s="416"/>
      <c r="EL52" s="416"/>
      <c r="EM52" s="416"/>
      <c r="EN52" s="416"/>
      <c r="EO52" s="416"/>
      <c r="EP52" s="416"/>
      <c r="EQ52" s="416"/>
      <c r="ER52" s="416"/>
      <c r="ES52" s="416"/>
      <c r="ET52" s="416"/>
    </row>
    <row r="53" spans="1:150">
      <c r="A53" s="816"/>
      <c r="B53" s="416"/>
      <c r="C53" s="416"/>
      <c r="D53" s="416"/>
      <c r="E53" s="416"/>
      <c r="F53" s="416"/>
      <c r="G53" s="416"/>
      <c r="H53" s="416"/>
      <c r="I53" s="416"/>
      <c r="J53" s="416"/>
      <c r="K53" s="416"/>
      <c r="L53" s="416"/>
      <c r="M53" s="416"/>
      <c r="N53" s="416"/>
      <c r="O53" s="416"/>
      <c r="P53" s="416"/>
      <c r="Q53" s="416"/>
      <c r="R53" s="416"/>
      <c r="S53" s="416"/>
      <c r="T53" s="416"/>
      <c r="U53" s="416"/>
      <c r="V53" s="416"/>
      <c r="W53" s="416"/>
      <c r="X53" s="416"/>
      <c r="Y53" s="416"/>
      <c r="Z53" s="416"/>
      <c r="AA53" s="416"/>
      <c r="AB53" s="416"/>
      <c r="AC53" s="416"/>
      <c r="AD53" s="416"/>
      <c r="AE53" s="416"/>
      <c r="AF53" s="416"/>
      <c r="AG53" s="416"/>
      <c r="AH53" s="416"/>
      <c r="AI53" s="416"/>
      <c r="AJ53" s="416"/>
      <c r="AK53" s="416"/>
      <c r="AL53" s="416"/>
      <c r="AM53" s="416"/>
      <c r="AN53" s="416"/>
      <c r="AO53" s="416"/>
      <c r="AP53" s="416"/>
      <c r="AQ53" s="416"/>
      <c r="AR53" s="416"/>
      <c r="AS53" s="416"/>
      <c r="AT53" s="416"/>
      <c r="AU53" s="416"/>
      <c r="AV53" s="416"/>
      <c r="AW53" s="416"/>
      <c r="AX53" s="416"/>
      <c r="AY53" s="416"/>
      <c r="AZ53" s="416"/>
      <c r="BA53" s="416"/>
      <c r="BB53" s="416"/>
      <c r="BC53" s="416"/>
      <c r="BD53" s="416"/>
      <c r="BE53" s="416"/>
      <c r="BF53" s="416"/>
      <c r="BG53" s="416"/>
      <c r="BH53" s="416"/>
      <c r="BI53" s="416"/>
      <c r="BJ53" s="416"/>
      <c r="BK53" s="416"/>
      <c r="BL53" s="416"/>
      <c r="BM53" s="416"/>
      <c r="BN53" s="416"/>
      <c r="BO53" s="416"/>
      <c r="BP53" s="416"/>
      <c r="BQ53" s="416"/>
      <c r="BR53" s="416"/>
      <c r="BS53" s="416"/>
      <c r="BT53" s="416"/>
      <c r="BU53" s="416"/>
      <c r="BV53" s="416"/>
      <c r="BW53" s="416"/>
      <c r="BX53" s="416"/>
      <c r="BY53" s="416"/>
      <c r="BZ53" s="416"/>
      <c r="CA53" s="416"/>
      <c r="CB53" s="416"/>
      <c r="CC53" s="416"/>
      <c r="CD53" s="416"/>
      <c r="CE53" s="416"/>
      <c r="CF53" s="416"/>
      <c r="CG53" s="416"/>
      <c r="CH53" s="416"/>
      <c r="CI53" s="416"/>
      <c r="CJ53" s="416"/>
      <c r="CK53" s="416"/>
      <c r="CL53" s="416"/>
      <c r="CM53" s="416"/>
      <c r="CN53" s="416"/>
      <c r="CO53" s="416"/>
      <c r="CP53" s="416"/>
      <c r="CQ53" s="416"/>
      <c r="CR53" s="416"/>
      <c r="CS53" s="416"/>
      <c r="CT53" s="416"/>
      <c r="CU53" s="416"/>
      <c r="CV53" s="416"/>
      <c r="CW53" s="416"/>
      <c r="CX53" s="416"/>
      <c r="CY53" s="416"/>
      <c r="CZ53" s="416"/>
      <c r="DA53" s="416"/>
      <c r="DB53" s="416"/>
      <c r="DC53" s="416"/>
      <c r="DD53" s="416"/>
      <c r="DE53" s="416"/>
      <c r="DF53" s="416"/>
      <c r="DG53" s="416"/>
      <c r="DH53" s="416"/>
      <c r="DI53" s="416"/>
      <c r="DJ53" s="416"/>
      <c r="DK53" s="416"/>
      <c r="DL53" s="416"/>
      <c r="DM53" s="416"/>
      <c r="DN53" s="416"/>
      <c r="DO53" s="416"/>
      <c r="DP53" s="416"/>
      <c r="DQ53" s="416"/>
      <c r="DR53" s="416"/>
      <c r="DS53" s="416"/>
      <c r="DT53" s="416"/>
      <c r="DU53" s="416"/>
      <c r="DV53" s="416"/>
      <c r="DW53" s="416"/>
      <c r="DX53" s="416"/>
      <c r="DY53" s="416"/>
      <c r="DZ53" s="416"/>
      <c r="EA53" s="416"/>
      <c r="EB53" s="416"/>
      <c r="EC53" s="416"/>
      <c r="ED53" s="416"/>
      <c r="EE53" s="416"/>
      <c r="EF53" s="416"/>
      <c r="EG53" s="416"/>
      <c r="EH53" s="416"/>
      <c r="EI53" s="416"/>
      <c r="EJ53" s="416"/>
      <c r="EK53" s="416"/>
      <c r="EL53" s="416"/>
      <c r="EM53" s="416"/>
      <c r="EN53" s="416"/>
      <c r="EO53" s="416"/>
      <c r="EP53" s="416"/>
      <c r="EQ53" s="416"/>
      <c r="ER53" s="416"/>
      <c r="ES53" s="416"/>
      <c r="ET53" s="416"/>
    </row>
    <row r="54" spans="1:150">
      <c r="A54" s="816"/>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c r="BS54" s="416"/>
      <c r="BT54" s="416"/>
      <c r="BU54" s="416"/>
      <c r="BV54" s="416"/>
      <c r="BW54" s="416"/>
      <c r="BX54" s="416"/>
      <c r="BY54" s="416"/>
      <c r="BZ54" s="416"/>
      <c r="CA54" s="416"/>
      <c r="CB54" s="416"/>
      <c r="CC54" s="416"/>
      <c r="CD54" s="416"/>
      <c r="CE54" s="416"/>
      <c r="CF54" s="416"/>
      <c r="CG54" s="416"/>
      <c r="CH54" s="416"/>
      <c r="CI54" s="416"/>
      <c r="CJ54" s="416"/>
      <c r="CK54" s="416"/>
      <c r="CL54" s="416"/>
      <c r="CM54" s="416"/>
      <c r="CN54" s="416"/>
      <c r="CO54" s="416"/>
      <c r="CP54" s="416"/>
      <c r="CQ54" s="416"/>
      <c r="CR54" s="416"/>
      <c r="CS54" s="416"/>
      <c r="CT54" s="416"/>
      <c r="CU54" s="416"/>
      <c r="CV54" s="416"/>
      <c r="CW54" s="416"/>
      <c r="CX54" s="416"/>
      <c r="CY54" s="416"/>
      <c r="CZ54" s="416"/>
      <c r="DA54" s="416"/>
      <c r="DB54" s="416"/>
      <c r="DC54" s="416"/>
      <c r="DD54" s="416"/>
      <c r="DE54" s="416"/>
      <c r="DF54" s="416"/>
      <c r="DG54" s="416"/>
      <c r="DH54" s="416"/>
      <c r="DI54" s="416"/>
      <c r="DJ54" s="416"/>
      <c r="DK54" s="416"/>
      <c r="DL54" s="416"/>
      <c r="DM54" s="416"/>
      <c r="DN54" s="416"/>
      <c r="DO54" s="416"/>
      <c r="DP54" s="416"/>
      <c r="DQ54" s="416"/>
      <c r="DR54" s="416"/>
      <c r="DS54" s="416"/>
      <c r="DT54" s="416"/>
      <c r="DU54" s="416"/>
      <c r="DV54" s="416"/>
      <c r="DW54" s="416"/>
      <c r="DX54" s="416"/>
      <c r="DY54" s="416"/>
      <c r="DZ54" s="416"/>
      <c r="EA54" s="416"/>
      <c r="EB54" s="416"/>
      <c r="EC54" s="416"/>
      <c r="ED54" s="416"/>
      <c r="EE54" s="416"/>
      <c r="EF54" s="416"/>
      <c r="EG54" s="416"/>
      <c r="EH54" s="416"/>
      <c r="EI54" s="416"/>
      <c r="EJ54" s="416"/>
      <c r="EK54" s="416"/>
      <c r="EL54" s="416"/>
      <c r="EM54" s="416"/>
      <c r="EN54" s="416"/>
      <c r="EO54" s="416"/>
      <c r="EP54" s="416"/>
      <c r="EQ54" s="416"/>
      <c r="ER54" s="416"/>
      <c r="ES54" s="416"/>
      <c r="ET54" s="416"/>
    </row>
    <row r="55" spans="1:150">
      <c r="A55" s="816"/>
      <c r="B55" s="416"/>
      <c r="C55" s="416"/>
      <c r="D55" s="416"/>
      <c r="E55" s="416"/>
      <c r="F55" s="416"/>
      <c r="G55" s="416"/>
      <c r="H55" s="416"/>
      <c r="I55" s="416"/>
      <c r="J55" s="416"/>
      <c r="K55" s="416"/>
      <c r="L55" s="416"/>
      <c r="M55" s="416"/>
      <c r="N55" s="416"/>
      <c r="O55" s="416"/>
      <c r="P55" s="416"/>
      <c r="Q55" s="416"/>
      <c r="R55" s="416"/>
      <c r="S55" s="416"/>
      <c r="T55" s="416"/>
      <c r="U55" s="416"/>
      <c r="V55" s="416"/>
      <c r="W55" s="416"/>
      <c r="X55" s="416"/>
      <c r="Y55" s="416"/>
      <c r="Z55" s="416"/>
      <c r="AA55" s="416"/>
      <c r="AB55" s="416"/>
      <c r="AC55" s="416"/>
      <c r="AD55" s="416"/>
      <c r="AE55" s="416"/>
      <c r="AF55" s="416"/>
      <c r="AG55" s="416"/>
      <c r="AH55" s="416"/>
      <c r="AI55" s="416"/>
      <c r="AJ55" s="416"/>
      <c r="AK55" s="416"/>
      <c r="AL55" s="416"/>
      <c r="AM55" s="416"/>
      <c r="AN55" s="416"/>
      <c r="AO55" s="416"/>
      <c r="AP55" s="416"/>
      <c r="AQ55" s="416"/>
      <c r="AR55" s="416"/>
      <c r="AS55" s="416"/>
      <c r="AT55" s="416"/>
      <c r="AU55" s="416"/>
      <c r="AV55" s="416"/>
      <c r="AW55" s="416"/>
      <c r="AX55" s="416"/>
      <c r="AY55" s="416"/>
      <c r="AZ55" s="416"/>
      <c r="BA55" s="416"/>
      <c r="BB55" s="416"/>
      <c r="BC55" s="416"/>
      <c r="BD55" s="416"/>
      <c r="BE55" s="416"/>
      <c r="BF55" s="416"/>
      <c r="BG55" s="416"/>
      <c r="BH55" s="416"/>
      <c r="BI55" s="416"/>
      <c r="BJ55" s="416"/>
      <c r="BK55" s="416"/>
      <c r="BL55" s="416"/>
      <c r="BM55" s="416"/>
      <c r="BN55" s="416"/>
      <c r="BO55" s="416"/>
      <c r="BP55" s="416"/>
      <c r="BQ55" s="416"/>
      <c r="BR55" s="416"/>
      <c r="BS55" s="416"/>
      <c r="BT55" s="416"/>
      <c r="BU55" s="416"/>
      <c r="BV55" s="416"/>
      <c r="BW55" s="416"/>
      <c r="BX55" s="416"/>
      <c r="BY55" s="416"/>
      <c r="BZ55" s="416"/>
      <c r="CA55" s="416"/>
      <c r="CB55" s="416"/>
      <c r="CC55" s="416"/>
      <c r="CD55" s="416"/>
      <c r="CE55" s="416"/>
      <c r="CF55" s="416"/>
      <c r="CG55" s="416"/>
      <c r="CH55" s="416"/>
      <c r="CI55" s="416"/>
      <c r="CJ55" s="416"/>
      <c r="CK55" s="416"/>
      <c r="CL55" s="416"/>
      <c r="CM55" s="416"/>
      <c r="CN55" s="416"/>
      <c r="CO55" s="416"/>
      <c r="CP55" s="416"/>
      <c r="CQ55" s="416"/>
      <c r="CR55" s="416"/>
      <c r="CS55" s="416"/>
      <c r="CT55" s="416"/>
      <c r="CU55" s="416"/>
      <c r="CV55" s="416"/>
      <c r="CW55" s="416"/>
      <c r="CX55" s="416"/>
      <c r="CY55" s="416"/>
      <c r="CZ55" s="416"/>
      <c r="DA55" s="416"/>
      <c r="DB55" s="416"/>
      <c r="DC55" s="416"/>
      <c r="DD55" s="416"/>
      <c r="DE55" s="416"/>
      <c r="DF55" s="416"/>
      <c r="DG55" s="416"/>
      <c r="DH55" s="416"/>
      <c r="DI55" s="416"/>
      <c r="DJ55" s="416"/>
      <c r="DK55" s="416"/>
      <c r="DL55" s="416"/>
      <c r="DM55" s="416"/>
      <c r="DN55" s="416"/>
      <c r="DO55" s="416"/>
      <c r="DP55" s="416"/>
      <c r="DQ55" s="416"/>
      <c r="DR55" s="416"/>
      <c r="DS55" s="416"/>
      <c r="DT55" s="416"/>
      <c r="DU55" s="416"/>
      <c r="DV55" s="416"/>
      <c r="DW55" s="416"/>
      <c r="DX55" s="416"/>
      <c r="DY55" s="416"/>
      <c r="DZ55" s="416"/>
      <c r="EA55" s="416"/>
      <c r="EB55" s="416"/>
      <c r="EC55" s="416"/>
      <c r="ED55" s="416"/>
      <c r="EE55" s="416"/>
      <c r="EF55" s="416"/>
      <c r="EG55" s="416"/>
      <c r="EH55" s="416"/>
      <c r="EI55" s="416"/>
      <c r="EJ55" s="416"/>
      <c r="EK55" s="416"/>
      <c r="EL55" s="416"/>
      <c r="EM55" s="416"/>
      <c r="EN55" s="416"/>
      <c r="EO55" s="416"/>
      <c r="EP55" s="416"/>
      <c r="EQ55" s="416"/>
      <c r="ER55" s="416"/>
      <c r="ES55" s="416"/>
      <c r="ET55" s="416"/>
    </row>
  </sheetData>
  <mergeCells count="16">
    <mergeCell ref="A2:EU2"/>
    <mergeCell ref="A3:EU3"/>
    <mergeCell ref="A7:A8"/>
    <mergeCell ref="EU7:EU8"/>
    <mergeCell ref="A36:ET36"/>
    <mergeCell ref="A5:ET5"/>
    <mergeCell ref="B6:M6"/>
    <mergeCell ref="N6:Y6"/>
    <mergeCell ref="Z6:AK6"/>
    <mergeCell ref="AV6:AW6"/>
    <mergeCell ref="BV6:CG6"/>
    <mergeCell ref="CT6:DE6"/>
    <mergeCell ref="DF6:DQ6"/>
    <mergeCell ref="DR6:EC6"/>
    <mergeCell ref="ED6:EO6"/>
    <mergeCell ref="EP6:ET6"/>
  </mergeCells>
  <pageMargins left="0.7" right="0.7" top="0.75" bottom="0.75" header="0.3" footer="0.3"/>
  <pageSetup scale="25" orientation="portrait" r:id="rId1"/>
  <rowBreaks count="1" manualBreakCount="1">
    <brk id="36"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4">
    <tabColor rgb="FF92D050"/>
  </sheetPr>
  <dimension ref="A2:EV53"/>
  <sheetViews>
    <sheetView showGridLines="0" view="pageBreakPreview" zoomScale="62" zoomScaleNormal="100" zoomScaleSheetLayoutView="62" workbookViewId="0">
      <selection activeCell="EV46" sqref="EV46"/>
    </sheetView>
  </sheetViews>
  <sheetFormatPr defaultColWidth="9.140625" defaultRowHeight="15"/>
  <cols>
    <col min="1" max="1" width="61.140625" style="824" customWidth="1"/>
    <col min="2" max="12" width="13.5703125" style="339" hidden="1" customWidth="1"/>
    <col min="13" max="13" width="19" style="339" hidden="1" customWidth="1"/>
    <col min="14" max="23" width="13.5703125" style="339" hidden="1" customWidth="1"/>
    <col min="24" max="24" width="13.28515625" style="339" hidden="1" customWidth="1"/>
    <col min="25" max="25" width="17.28515625" style="339" hidden="1" customWidth="1"/>
    <col min="26" max="27" width="14.7109375" style="339" hidden="1" customWidth="1"/>
    <col min="28" max="34" width="16.7109375" style="339" hidden="1" customWidth="1"/>
    <col min="35" max="35" width="18.5703125" style="339" hidden="1" customWidth="1"/>
    <col min="36" max="38" width="16.7109375" style="339" hidden="1" customWidth="1"/>
    <col min="39" max="46" width="14.7109375" style="339" hidden="1" customWidth="1"/>
    <col min="47" max="47" width="20.5703125" style="339" hidden="1" customWidth="1"/>
    <col min="48" max="48" width="18" style="339" hidden="1" customWidth="1"/>
    <col min="49" max="61" width="17.85546875" style="339" hidden="1" customWidth="1"/>
    <col min="62" max="62" width="14.140625" style="339" customWidth="1"/>
    <col min="63" max="73" width="17.85546875" style="339" hidden="1" customWidth="1"/>
    <col min="74" max="74" width="14.140625" style="339" customWidth="1"/>
    <col min="75" max="83" width="17.85546875" style="339" hidden="1" customWidth="1"/>
    <col min="84" max="85" width="16.28515625" style="339" hidden="1" customWidth="1"/>
    <col min="86" max="86" width="14.140625" style="339" customWidth="1"/>
    <col min="87" max="91" width="16.28515625" style="339" hidden="1" customWidth="1"/>
    <col min="92" max="97" width="15" style="339" hidden="1" customWidth="1"/>
    <col min="98" max="98" width="14.140625" style="339" customWidth="1"/>
    <col min="99" max="109" width="14.140625" style="339" hidden="1" customWidth="1"/>
    <col min="110" max="110" width="14.140625" style="339" customWidth="1"/>
    <col min="111" max="121" width="14.140625" style="339" hidden="1" customWidth="1"/>
    <col min="122" max="122" width="14.140625" style="339" customWidth="1"/>
    <col min="123" max="133" width="14.140625" style="339" hidden="1" customWidth="1"/>
    <col min="134" max="134" width="14.140625" style="339" customWidth="1"/>
    <col min="135" max="145" width="14.140625" style="339" hidden="1" customWidth="1"/>
    <col min="146" max="151" width="14.140625" style="339" customWidth="1"/>
    <col min="152" max="152" width="61.28515625" style="339" customWidth="1"/>
    <col min="153" max="16384" width="9.140625" style="339"/>
  </cols>
  <sheetData>
    <row r="2" spans="1:152" ht="25.5" customHeight="1">
      <c r="A2" s="2473" t="s">
        <v>3302</v>
      </c>
      <c r="B2" s="2473"/>
      <c r="C2" s="2473"/>
      <c r="D2" s="2473"/>
      <c r="E2" s="2473"/>
      <c r="F2" s="2473"/>
      <c r="G2" s="2473"/>
      <c r="H2" s="2473"/>
      <c r="I2" s="2473"/>
      <c r="J2" s="2473"/>
      <c r="K2" s="2473"/>
      <c r="L2" s="2473"/>
      <c r="M2" s="2473"/>
      <c r="N2" s="2473"/>
      <c r="O2" s="2473"/>
      <c r="P2" s="2473"/>
      <c r="Q2" s="2473"/>
      <c r="R2" s="2473"/>
      <c r="S2" s="2473"/>
      <c r="T2" s="2473"/>
      <c r="U2" s="2473"/>
      <c r="V2" s="2473"/>
      <c r="W2" s="2473"/>
      <c r="X2" s="2473"/>
      <c r="Y2" s="2473"/>
      <c r="Z2" s="2473"/>
      <c r="AA2" s="2473"/>
      <c r="AB2" s="2473"/>
      <c r="AC2" s="2473"/>
      <c r="AD2" s="2473"/>
      <c r="AE2" s="2473"/>
      <c r="AF2" s="2473"/>
      <c r="AG2" s="2473"/>
      <c r="AH2" s="2473"/>
      <c r="AI2" s="2473"/>
      <c r="AJ2" s="2473"/>
      <c r="AK2" s="2473"/>
      <c r="AL2" s="2473"/>
      <c r="AM2" s="2473"/>
      <c r="AN2" s="2473"/>
      <c r="AO2" s="2473"/>
      <c r="AP2" s="2473"/>
      <c r="AQ2" s="2473"/>
      <c r="AR2" s="2473"/>
      <c r="AS2" s="2473"/>
      <c r="AT2" s="2473"/>
      <c r="AU2" s="2473"/>
      <c r="AV2" s="2473"/>
      <c r="AW2" s="2473"/>
      <c r="AX2" s="2473"/>
      <c r="AY2" s="2473"/>
      <c r="AZ2" s="2473"/>
      <c r="BA2" s="2473"/>
      <c r="BB2" s="2473"/>
      <c r="BC2" s="2473"/>
      <c r="BD2" s="2473"/>
      <c r="BE2" s="2473"/>
      <c r="BF2" s="2473"/>
      <c r="BG2" s="2473"/>
      <c r="BH2" s="2473"/>
      <c r="BI2" s="2473"/>
      <c r="BJ2" s="2473"/>
      <c r="BK2" s="2473"/>
      <c r="BL2" s="2473"/>
      <c r="BM2" s="2473"/>
      <c r="BN2" s="2473"/>
      <c r="BO2" s="2473"/>
      <c r="BP2" s="2473"/>
      <c r="BQ2" s="2473"/>
      <c r="BR2" s="2473"/>
      <c r="BS2" s="2473"/>
      <c r="BT2" s="2473"/>
      <c r="BU2" s="2473"/>
      <c r="BV2" s="2473"/>
      <c r="BW2" s="2473"/>
      <c r="BX2" s="2473"/>
      <c r="BY2" s="2473"/>
      <c r="BZ2" s="2473"/>
      <c r="CA2" s="2473"/>
      <c r="CB2" s="2473"/>
      <c r="CC2" s="2473"/>
      <c r="CD2" s="2473"/>
      <c r="CE2" s="2473"/>
      <c r="CF2" s="2473"/>
      <c r="CG2" s="2473"/>
      <c r="CH2" s="2473"/>
      <c r="CI2" s="2473"/>
      <c r="CJ2" s="2473"/>
      <c r="CK2" s="2473"/>
      <c r="CL2" s="2473"/>
      <c r="CM2" s="2473"/>
      <c r="CN2" s="2473"/>
      <c r="CO2" s="2473"/>
      <c r="CP2" s="2473"/>
      <c r="CQ2" s="2473"/>
      <c r="CR2" s="2473"/>
      <c r="CS2" s="2473"/>
      <c r="CT2" s="2473"/>
      <c r="CU2" s="2473"/>
      <c r="CV2" s="2473"/>
      <c r="CW2" s="2473"/>
      <c r="CX2" s="2473"/>
      <c r="CY2" s="2473"/>
      <c r="CZ2" s="2473"/>
      <c r="DA2" s="2473"/>
      <c r="DB2" s="2473"/>
      <c r="DC2" s="2473"/>
      <c r="DD2" s="2473"/>
      <c r="DE2" s="2473"/>
      <c r="DF2" s="2473"/>
      <c r="DG2" s="2473"/>
      <c r="DH2" s="2473"/>
      <c r="DI2" s="2473"/>
      <c r="DJ2" s="2473"/>
      <c r="DK2" s="2473"/>
      <c r="DL2" s="2473"/>
      <c r="DM2" s="2473"/>
      <c r="DN2" s="2473"/>
      <c r="DO2" s="2473"/>
      <c r="DP2" s="2473"/>
      <c r="DQ2" s="2473"/>
      <c r="DR2" s="2473"/>
      <c r="DS2" s="2473"/>
      <c r="DT2" s="2473"/>
      <c r="DU2" s="2473"/>
      <c r="DV2" s="2473"/>
      <c r="DW2" s="2473"/>
      <c r="DX2" s="2473"/>
      <c r="DY2" s="2473"/>
      <c r="DZ2" s="2473"/>
      <c r="EA2" s="2473"/>
      <c r="EB2" s="2473"/>
      <c r="EC2" s="2473"/>
      <c r="ED2" s="2473"/>
      <c r="EE2" s="2473"/>
      <c r="EF2" s="2473"/>
      <c r="EG2" s="2473"/>
      <c r="EH2" s="2473"/>
      <c r="EI2" s="2473"/>
      <c r="EJ2" s="2473"/>
      <c r="EK2" s="2473"/>
      <c r="EL2" s="2473"/>
      <c r="EM2" s="2473"/>
      <c r="EN2" s="2473"/>
      <c r="EO2" s="2473"/>
      <c r="EP2" s="2473"/>
      <c r="EQ2" s="2473"/>
      <c r="ER2" s="2473"/>
      <c r="ES2" s="2473"/>
      <c r="ET2" s="2473"/>
      <c r="EU2" s="2473"/>
      <c r="EV2" s="2473"/>
    </row>
    <row r="3" spans="1:152" ht="36.75" customHeight="1">
      <c r="A3" s="2474" t="s">
        <v>3288</v>
      </c>
      <c r="B3" s="2474"/>
      <c r="C3" s="2474"/>
      <c r="D3" s="2474"/>
      <c r="E3" s="2474"/>
      <c r="F3" s="2474"/>
      <c r="G3" s="2474"/>
      <c r="H3" s="2474"/>
      <c r="I3" s="2474"/>
      <c r="J3" s="2474"/>
      <c r="K3" s="2474"/>
      <c r="L3" s="2474"/>
      <c r="M3" s="2474"/>
      <c r="N3" s="2474"/>
      <c r="O3" s="2474"/>
      <c r="P3" s="2474"/>
      <c r="Q3" s="2474"/>
      <c r="R3" s="2474"/>
      <c r="S3" s="2474"/>
      <c r="T3" s="2474"/>
      <c r="U3" s="2474"/>
      <c r="V3" s="2474"/>
      <c r="W3" s="2474"/>
      <c r="X3" s="2474"/>
      <c r="Y3" s="2474"/>
      <c r="Z3" s="2474"/>
      <c r="AA3" s="2474"/>
      <c r="AB3" s="2474"/>
      <c r="AC3" s="2474"/>
      <c r="AD3" s="2474"/>
      <c r="AE3" s="2474"/>
      <c r="AF3" s="2474"/>
      <c r="AG3" s="2474"/>
      <c r="AH3" s="2474"/>
      <c r="AI3" s="2474"/>
      <c r="AJ3" s="2474"/>
      <c r="AK3" s="2474"/>
      <c r="AL3" s="2474"/>
      <c r="AM3" s="2474"/>
      <c r="AN3" s="2474"/>
      <c r="AO3" s="2474"/>
      <c r="AP3" s="2474"/>
      <c r="AQ3" s="2474"/>
      <c r="AR3" s="2474"/>
      <c r="AS3" s="2474"/>
      <c r="AT3" s="2474"/>
      <c r="AU3" s="2474"/>
      <c r="AV3" s="2474"/>
      <c r="AW3" s="2474"/>
      <c r="AX3" s="2474"/>
      <c r="AY3" s="2474"/>
      <c r="AZ3" s="2474"/>
      <c r="BA3" s="2474"/>
      <c r="BB3" s="2474"/>
      <c r="BC3" s="2474"/>
      <c r="BD3" s="2474"/>
      <c r="BE3" s="2474"/>
      <c r="BF3" s="2474"/>
      <c r="BG3" s="2474"/>
      <c r="BH3" s="2474"/>
      <c r="BI3" s="2474"/>
      <c r="BJ3" s="2474"/>
      <c r="BK3" s="2474"/>
      <c r="BL3" s="2474"/>
      <c r="BM3" s="2474"/>
      <c r="BN3" s="2474"/>
      <c r="BO3" s="2474"/>
      <c r="BP3" s="2474"/>
      <c r="BQ3" s="2474"/>
      <c r="BR3" s="2474"/>
      <c r="BS3" s="2474"/>
      <c r="BT3" s="2474"/>
      <c r="BU3" s="2474"/>
      <c r="BV3" s="2474"/>
      <c r="BW3" s="2474"/>
      <c r="BX3" s="2474"/>
      <c r="BY3" s="2474"/>
      <c r="BZ3" s="2474"/>
      <c r="CA3" s="2474"/>
      <c r="CB3" s="2474"/>
      <c r="CC3" s="2474"/>
      <c r="CD3" s="2474"/>
      <c r="CE3" s="2474"/>
      <c r="CF3" s="2474"/>
      <c r="CG3" s="2474"/>
      <c r="CH3" s="2474"/>
      <c r="CI3" s="2474"/>
      <c r="CJ3" s="2474"/>
      <c r="CK3" s="2474"/>
      <c r="CL3" s="2474"/>
      <c r="CM3" s="2474"/>
      <c r="CN3" s="2474"/>
      <c r="CO3" s="2474"/>
      <c r="CP3" s="2474"/>
      <c r="CQ3" s="2474"/>
      <c r="CR3" s="2474"/>
      <c r="CS3" s="2474"/>
      <c r="CT3" s="2474"/>
      <c r="CU3" s="2474"/>
      <c r="CV3" s="2474"/>
      <c r="CW3" s="2474"/>
      <c r="CX3" s="2474"/>
      <c r="CY3" s="2474"/>
      <c r="CZ3" s="2474"/>
      <c r="DA3" s="2474"/>
      <c r="DB3" s="2474"/>
      <c r="DC3" s="2474"/>
      <c r="DD3" s="2474"/>
      <c r="DE3" s="2474"/>
      <c r="DF3" s="2474"/>
      <c r="DG3" s="2474"/>
      <c r="DH3" s="2474"/>
      <c r="DI3" s="2474"/>
      <c r="DJ3" s="2474"/>
      <c r="DK3" s="2474"/>
      <c r="DL3" s="2474"/>
      <c r="DM3" s="2474"/>
      <c r="DN3" s="2474"/>
      <c r="DO3" s="2474"/>
      <c r="DP3" s="2474"/>
      <c r="DQ3" s="2474"/>
      <c r="DR3" s="2474"/>
      <c r="DS3" s="2474"/>
      <c r="DT3" s="2474"/>
      <c r="DU3" s="2474"/>
      <c r="DV3" s="2474"/>
      <c r="DW3" s="2474"/>
      <c r="DX3" s="2474"/>
      <c r="DY3" s="2474"/>
      <c r="DZ3" s="2474"/>
      <c r="EA3" s="2474"/>
      <c r="EB3" s="2474"/>
      <c r="EC3" s="2474"/>
      <c r="ED3" s="2474"/>
      <c r="EE3" s="2474"/>
      <c r="EF3" s="2474"/>
      <c r="EG3" s="2474"/>
      <c r="EH3" s="2474"/>
      <c r="EI3" s="2474"/>
      <c r="EJ3" s="2474"/>
      <c r="EK3" s="2474"/>
      <c r="EL3" s="2474"/>
      <c r="EM3" s="2474"/>
      <c r="EN3" s="2474"/>
      <c r="EO3" s="2474"/>
      <c r="EP3" s="2474"/>
      <c r="EQ3" s="2474"/>
      <c r="ER3" s="2474"/>
      <c r="ES3" s="2474"/>
      <c r="ET3" s="2474"/>
      <c r="EU3" s="2474"/>
      <c r="EV3" s="2474"/>
    </row>
    <row r="4" spans="1:152" ht="19.5" customHeight="1">
      <c r="A4" s="809"/>
      <c r="B4" s="541"/>
      <c r="C4" s="541"/>
      <c r="D4" s="541"/>
      <c r="E4" s="541"/>
      <c r="F4" s="541"/>
      <c r="G4" s="541"/>
      <c r="H4" s="541"/>
      <c r="I4" s="541"/>
      <c r="J4" s="541"/>
      <c r="K4" s="541"/>
      <c r="L4" s="541"/>
      <c r="M4" s="541"/>
      <c r="N4" s="541"/>
      <c r="O4" s="541"/>
      <c r="P4" s="541"/>
      <c r="Q4" s="541"/>
      <c r="R4" s="541"/>
      <c r="S4" s="541"/>
      <c r="T4" s="541"/>
      <c r="U4" s="541"/>
      <c r="V4" s="541"/>
      <c r="W4" s="541"/>
      <c r="X4" s="541"/>
      <c r="Y4" s="541"/>
      <c r="Z4" s="541"/>
      <c r="AA4" s="541"/>
      <c r="AB4" s="541"/>
      <c r="AC4" s="541"/>
      <c r="AD4" s="541"/>
      <c r="AE4" s="541"/>
      <c r="AF4" s="541"/>
      <c r="AG4" s="541"/>
      <c r="AH4" s="541"/>
      <c r="AI4" s="541"/>
      <c r="AJ4" s="541"/>
      <c r="AK4" s="541"/>
      <c r="AL4" s="541"/>
      <c r="AM4" s="541"/>
      <c r="AN4" s="541"/>
      <c r="AO4" s="541"/>
      <c r="AP4" s="541"/>
      <c r="AQ4" s="541"/>
      <c r="AR4" s="541"/>
      <c r="AS4" s="541"/>
      <c r="AT4" s="541"/>
      <c r="AU4" s="541"/>
      <c r="AV4" s="541"/>
      <c r="AW4" s="541"/>
      <c r="AX4" s="541"/>
      <c r="AY4" s="541"/>
      <c r="AZ4" s="541"/>
      <c r="BA4" s="541"/>
      <c r="BB4" s="541"/>
      <c r="BC4" s="541"/>
      <c r="BD4" s="541"/>
      <c r="BE4" s="541"/>
      <c r="BF4" s="541"/>
      <c r="BG4" s="541"/>
      <c r="BH4" s="541"/>
      <c r="BI4" s="541"/>
      <c r="BJ4" s="541"/>
      <c r="BK4" s="541"/>
      <c r="BL4" s="541"/>
      <c r="BM4" s="541"/>
      <c r="BN4" s="541"/>
      <c r="BO4" s="541"/>
      <c r="BP4" s="541"/>
      <c r="BQ4" s="541"/>
      <c r="BR4" s="541"/>
      <c r="BS4" s="541"/>
      <c r="BT4" s="541"/>
      <c r="BU4" s="541"/>
      <c r="BV4" s="541"/>
      <c r="BW4" s="541"/>
      <c r="BX4" s="541"/>
      <c r="BY4" s="541"/>
      <c r="BZ4" s="541"/>
      <c r="CA4" s="541"/>
      <c r="CB4" s="541"/>
      <c r="CC4" s="541"/>
      <c r="CD4" s="541"/>
      <c r="CE4" s="541"/>
      <c r="CF4" s="541"/>
      <c r="CG4" s="541"/>
      <c r="CH4" s="541"/>
      <c r="CI4" s="541"/>
      <c r="CJ4" s="541"/>
      <c r="CK4" s="541"/>
      <c r="CL4" s="541"/>
      <c r="CM4" s="541"/>
      <c r="CN4" s="541"/>
      <c r="CO4" s="541"/>
      <c r="CP4" s="541"/>
      <c r="CQ4" s="541"/>
      <c r="CR4" s="541"/>
      <c r="CS4" s="541"/>
      <c r="CT4" s="541"/>
      <c r="CU4" s="541"/>
      <c r="CV4" s="541"/>
      <c r="CW4" s="541"/>
      <c r="CX4" s="541"/>
      <c r="CY4" s="541"/>
      <c r="CZ4" s="541"/>
      <c r="DA4" s="541"/>
      <c r="DB4" s="541"/>
      <c r="DC4" s="541"/>
      <c r="DD4" s="541"/>
      <c r="DE4" s="541"/>
      <c r="DF4" s="541"/>
      <c r="DG4" s="541"/>
      <c r="DH4" s="541"/>
      <c r="DI4" s="541"/>
      <c r="DJ4" s="541"/>
      <c r="DK4" s="541"/>
      <c r="DL4" s="541"/>
      <c r="DM4" s="541"/>
      <c r="DN4" s="541"/>
      <c r="DO4" s="541"/>
      <c r="DP4" s="541"/>
      <c r="DQ4" s="541"/>
      <c r="DR4" s="541"/>
      <c r="DS4" s="541"/>
      <c r="DT4" s="541"/>
      <c r="DU4" s="541"/>
      <c r="DV4" s="541"/>
      <c r="DW4" s="541"/>
      <c r="DX4" s="541"/>
      <c r="DY4" s="541"/>
      <c r="DZ4" s="541"/>
      <c r="EA4" s="541"/>
      <c r="EB4" s="541"/>
      <c r="EC4" s="541"/>
      <c r="ED4" s="541"/>
      <c r="EE4" s="541"/>
      <c r="EF4" s="541"/>
      <c r="EG4" s="541"/>
      <c r="EH4" s="541"/>
      <c r="EI4" s="541"/>
      <c r="EJ4" s="541"/>
      <c r="EK4" s="541"/>
      <c r="EL4" s="541"/>
      <c r="EM4" s="541"/>
      <c r="EN4" s="541"/>
      <c r="EO4" s="541"/>
      <c r="EP4" s="541"/>
      <c r="EQ4" s="541"/>
      <c r="ER4" s="541"/>
      <c r="ES4" s="541"/>
      <c r="ET4" s="541"/>
      <c r="EU4" s="541"/>
      <c r="EV4" s="809"/>
    </row>
    <row r="5" spans="1:152" ht="19.5" customHeight="1">
      <c r="A5" s="1926"/>
      <c r="B5" s="1926"/>
      <c r="C5" s="1926"/>
      <c r="D5" s="1926"/>
      <c r="E5" s="1926"/>
      <c r="F5" s="1926"/>
      <c r="G5" s="1926"/>
      <c r="H5" s="1926"/>
      <c r="I5" s="1926"/>
      <c r="J5" s="1926"/>
      <c r="K5" s="1926"/>
      <c r="L5" s="1926"/>
      <c r="M5" s="1926"/>
      <c r="N5" s="1926"/>
      <c r="O5" s="1926"/>
      <c r="P5" s="1926"/>
      <c r="Q5" s="1926"/>
      <c r="R5" s="1926"/>
      <c r="S5" s="1926"/>
      <c r="T5" s="1926"/>
      <c r="U5" s="1926"/>
      <c r="V5" s="1926"/>
      <c r="W5" s="1926"/>
      <c r="X5" s="1926"/>
      <c r="Y5" s="1926"/>
      <c r="Z5" s="1926"/>
      <c r="AA5" s="1926"/>
      <c r="AB5" s="1926"/>
      <c r="AC5" s="1926"/>
      <c r="AD5" s="1926"/>
      <c r="AE5" s="1926"/>
      <c r="AF5" s="1926"/>
      <c r="AG5" s="1926"/>
      <c r="AH5" s="1926"/>
      <c r="AI5" s="1926"/>
      <c r="AJ5" s="1926"/>
      <c r="AK5" s="1926"/>
      <c r="AL5" s="1926"/>
      <c r="AM5" s="1926"/>
      <c r="AN5" s="1926"/>
      <c r="AO5" s="1926"/>
      <c r="AP5" s="1926"/>
      <c r="AQ5" s="1926"/>
      <c r="AR5" s="1926"/>
      <c r="AS5" s="1926"/>
      <c r="AT5" s="1926"/>
      <c r="AU5" s="1926"/>
      <c r="AV5" s="1926"/>
      <c r="AW5" s="1926"/>
      <c r="AX5" s="1926"/>
      <c r="AY5" s="1926"/>
      <c r="AZ5" s="1926"/>
      <c r="BA5" s="1926"/>
      <c r="BB5" s="1926"/>
      <c r="BC5" s="1926"/>
      <c r="BD5" s="1926"/>
      <c r="BE5" s="1926"/>
      <c r="BF5" s="1926"/>
      <c r="BG5" s="1926"/>
      <c r="BH5" s="1926"/>
      <c r="BI5" s="1926"/>
      <c r="BJ5" s="1926"/>
      <c r="BK5" s="1926"/>
      <c r="BL5" s="1926"/>
      <c r="BM5" s="1926"/>
      <c r="BN5" s="1926"/>
      <c r="BO5" s="1926"/>
      <c r="BP5" s="1926"/>
      <c r="BQ5" s="1926"/>
      <c r="BR5" s="1926"/>
      <c r="BS5" s="1926"/>
      <c r="BT5" s="1926"/>
      <c r="BU5" s="1926"/>
      <c r="BV5" s="1926"/>
      <c r="BW5" s="1926"/>
      <c r="BX5" s="1926"/>
      <c r="BY5" s="1926"/>
      <c r="BZ5" s="1926"/>
      <c r="CA5" s="1926"/>
      <c r="CB5" s="1926"/>
      <c r="CC5" s="1926"/>
      <c r="CD5" s="1926"/>
      <c r="CE5" s="1926"/>
      <c r="CF5" s="1926"/>
      <c r="CG5" s="1926"/>
      <c r="CH5" s="1926"/>
      <c r="CI5" s="1926"/>
      <c r="CJ5" s="1926"/>
      <c r="CK5" s="1926"/>
      <c r="CL5" s="1926"/>
      <c r="CM5" s="1926"/>
      <c r="CN5" s="1926"/>
      <c r="CO5" s="1926"/>
      <c r="CP5" s="1926"/>
      <c r="CQ5" s="1926"/>
      <c r="CR5" s="1926"/>
      <c r="CS5" s="1926"/>
      <c r="CT5" s="1926"/>
      <c r="CU5" s="1926"/>
      <c r="CV5" s="1926"/>
      <c r="CW5" s="1926"/>
      <c r="CX5" s="1926"/>
      <c r="CY5" s="1926"/>
      <c r="CZ5" s="1926"/>
      <c r="DA5" s="1926"/>
      <c r="DB5" s="1926"/>
      <c r="DC5" s="1926"/>
      <c r="DD5" s="1926"/>
      <c r="DE5" s="1926"/>
      <c r="DF5" s="1926"/>
      <c r="DG5" s="1926"/>
      <c r="DH5" s="1926"/>
      <c r="DI5" s="1926"/>
      <c r="DJ5" s="1926"/>
      <c r="DK5" s="1926"/>
      <c r="DL5" s="1926"/>
      <c r="DM5" s="1926"/>
      <c r="DN5" s="1926"/>
      <c r="DO5" s="1926"/>
      <c r="DP5" s="1926"/>
      <c r="DQ5" s="1926"/>
      <c r="DR5" s="1926"/>
      <c r="DS5" s="1926"/>
      <c r="DT5" s="1926"/>
      <c r="DU5" s="1926"/>
      <c r="DV5" s="1926"/>
      <c r="DW5" s="1926"/>
      <c r="DX5" s="1926"/>
      <c r="DY5" s="1926"/>
      <c r="DZ5" s="1926"/>
      <c r="EA5" s="1926"/>
      <c r="EB5" s="1926"/>
      <c r="EC5" s="1926"/>
      <c r="ED5" s="1926"/>
      <c r="EE5" s="1926"/>
      <c r="EF5" s="1926"/>
      <c r="EG5" s="1926"/>
      <c r="EH5" s="1926"/>
      <c r="EI5" s="1926"/>
      <c r="EJ5" s="1926"/>
      <c r="EK5" s="1926"/>
      <c r="EL5" s="1926"/>
      <c r="EM5" s="1926"/>
      <c r="EN5" s="1926"/>
      <c r="EO5" s="1926"/>
      <c r="EP5" s="1926"/>
      <c r="EQ5" s="1926"/>
      <c r="ER5" s="1926"/>
      <c r="ES5" s="1926"/>
      <c r="ET5" s="1926"/>
      <c r="EU5" s="1926"/>
      <c r="EV5" s="1913" t="s">
        <v>4091</v>
      </c>
    </row>
    <row r="6" spans="1:152" ht="32.25" customHeight="1">
      <c r="A6" s="2500"/>
      <c r="B6" s="1914">
        <v>2013</v>
      </c>
      <c r="C6" s="1915"/>
      <c r="D6" s="1915"/>
      <c r="E6" s="1915"/>
      <c r="F6" s="1915"/>
      <c r="G6" s="1915"/>
      <c r="H6" s="1915"/>
      <c r="I6" s="1915"/>
      <c r="J6" s="1915"/>
      <c r="K6" s="1915"/>
      <c r="L6" s="1915"/>
      <c r="M6" s="1915">
        <v>2013</v>
      </c>
      <c r="N6" s="1915">
        <v>2014</v>
      </c>
      <c r="O6" s="1915"/>
      <c r="P6" s="1915"/>
      <c r="Q6" s="1915"/>
      <c r="R6" s="1915"/>
      <c r="S6" s="1915"/>
      <c r="T6" s="1915"/>
      <c r="U6" s="1915"/>
      <c r="V6" s="1915"/>
      <c r="W6" s="1915"/>
      <c r="X6" s="1915"/>
      <c r="Y6" s="1915">
        <v>2014</v>
      </c>
      <c r="Z6" s="2506">
        <v>2015</v>
      </c>
      <c r="AA6" s="2507"/>
      <c r="AB6" s="2507"/>
      <c r="AC6" s="2507"/>
      <c r="AD6" s="2507"/>
      <c r="AE6" s="2507"/>
      <c r="AF6" s="2507"/>
      <c r="AG6" s="2507"/>
      <c r="AH6" s="2507"/>
      <c r="AI6" s="2507"/>
      <c r="AJ6" s="2507"/>
      <c r="AK6" s="2507"/>
      <c r="AL6" s="2508"/>
      <c r="AM6" s="699">
        <v>2016</v>
      </c>
      <c r="AN6" s="699"/>
      <c r="AO6" s="699"/>
      <c r="AP6" s="699"/>
      <c r="AQ6" s="699"/>
      <c r="AR6" s="699"/>
      <c r="AS6" s="699"/>
      <c r="AT6" s="699"/>
      <c r="AU6" s="699"/>
      <c r="AV6" s="699"/>
      <c r="AW6" s="2506">
        <v>2016</v>
      </c>
      <c r="AX6" s="2508"/>
      <c r="AY6" s="699">
        <v>2017</v>
      </c>
      <c r="AZ6" s="699"/>
      <c r="BA6" s="699"/>
      <c r="BB6" s="699"/>
      <c r="BC6" s="699"/>
      <c r="BD6" s="699"/>
      <c r="BE6" s="699"/>
      <c r="BF6" s="699"/>
      <c r="BG6" s="699"/>
      <c r="BH6" s="699"/>
      <c r="BI6" s="856"/>
      <c r="BJ6" s="1916">
        <v>2017</v>
      </c>
      <c r="BK6" s="892">
        <v>2018</v>
      </c>
      <c r="BL6" s="892"/>
      <c r="BM6" s="892"/>
      <c r="BN6" s="892"/>
      <c r="BO6" s="892"/>
      <c r="BP6" s="892"/>
      <c r="BQ6" s="892"/>
      <c r="BR6" s="892"/>
      <c r="BS6" s="892"/>
      <c r="BT6" s="892"/>
      <c r="BU6" s="892"/>
      <c r="BV6" s="1916">
        <v>2018</v>
      </c>
      <c r="BW6" s="2481">
        <v>2019</v>
      </c>
      <c r="BX6" s="2482"/>
      <c r="BY6" s="2482"/>
      <c r="BZ6" s="2482"/>
      <c r="CA6" s="2482"/>
      <c r="CB6" s="2482"/>
      <c r="CC6" s="2482"/>
      <c r="CD6" s="2482"/>
      <c r="CE6" s="2482"/>
      <c r="CF6" s="2482"/>
      <c r="CG6" s="2482"/>
      <c r="CH6" s="2483"/>
      <c r="CI6" s="893">
        <v>2020</v>
      </c>
      <c r="CJ6" s="893">
        <v>2020</v>
      </c>
      <c r="CK6" s="893">
        <v>2020</v>
      </c>
      <c r="CL6" s="893">
        <v>2020</v>
      </c>
      <c r="CM6" s="893">
        <v>2020</v>
      </c>
      <c r="CN6" s="893">
        <v>2020</v>
      </c>
      <c r="CO6" s="893">
        <v>2020</v>
      </c>
      <c r="CP6" s="893">
        <v>2020</v>
      </c>
      <c r="CQ6" s="893">
        <v>2020</v>
      </c>
      <c r="CR6" s="893">
        <v>2020</v>
      </c>
      <c r="CS6" s="893">
        <v>2020</v>
      </c>
      <c r="CT6" s="893">
        <v>2020</v>
      </c>
      <c r="CU6" s="2496">
        <v>2021</v>
      </c>
      <c r="CV6" s="2497"/>
      <c r="CW6" s="2497"/>
      <c r="CX6" s="2497"/>
      <c r="CY6" s="2497"/>
      <c r="CZ6" s="2497"/>
      <c r="DA6" s="2497"/>
      <c r="DB6" s="2497"/>
      <c r="DC6" s="2497"/>
      <c r="DD6" s="2497"/>
      <c r="DE6" s="2497"/>
      <c r="DF6" s="2498"/>
      <c r="DG6" s="2509">
        <v>2022</v>
      </c>
      <c r="DH6" s="2510"/>
      <c r="DI6" s="2510"/>
      <c r="DJ6" s="2510"/>
      <c r="DK6" s="2510"/>
      <c r="DL6" s="2510"/>
      <c r="DM6" s="2510"/>
      <c r="DN6" s="2510"/>
      <c r="DO6" s="2510"/>
      <c r="DP6" s="2510"/>
      <c r="DQ6" s="2510"/>
      <c r="DR6" s="2511"/>
      <c r="DS6" s="2499">
        <v>2023</v>
      </c>
      <c r="DT6" s="2497"/>
      <c r="DU6" s="2497"/>
      <c r="DV6" s="2497"/>
      <c r="DW6" s="2497"/>
      <c r="DX6" s="2497"/>
      <c r="DY6" s="2497"/>
      <c r="DZ6" s="2497"/>
      <c r="EA6" s="2497"/>
      <c r="EB6" s="2497"/>
      <c r="EC6" s="2497"/>
      <c r="ED6" s="2498"/>
      <c r="EE6" s="2499">
        <v>2024</v>
      </c>
      <c r="EF6" s="2497"/>
      <c r="EG6" s="2497"/>
      <c r="EH6" s="2497"/>
      <c r="EI6" s="2497"/>
      <c r="EJ6" s="2497"/>
      <c r="EK6" s="2497"/>
      <c r="EL6" s="2497"/>
      <c r="EM6" s="2497"/>
      <c r="EN6" s="2497"/>
      <c r="EO6" s="2497"/>
      <c r="EP6" s="2498"/>
      <c r="EQ6" s="2499">
        <v>2025</v>
      </c>
      <c r="ER6" s="2497"/>
      <c r="ES6" s="2497"/>
      <c r="ET6" s="2497"/>
      <c r="EU6" s="2498"/>
      <c r="EV6" s="2503"/>
    </row>
    <row r="7" spans="1:152" ht="32.25" customHeight="1">
      <c r="A7" s="2501"/>
      <c r="B7" s="861" t="s">
        <v>1961</v>
      </c>
      <c r="C7" s="854" t="s">
        <v>1972</v>
      </c>
      <c r="D7" s="854" t="s">
        <v>1971</v>
      </c>
      <c r="E7" s="854" t="s">
        <v>1970</v>
      </c>
      <c r="F7" s="854" t="s">
        <v>1969</v>
      </c>
      <c r="G7" s="854" t="s">
        <v>1968</v>
      </c>
      <c r="H7" s="854" t="s">
        <v>1967</v>
      </c>
      <c r="I7" s="854" t="s">
        <v>1966</v>
      </c>
      <c r="J7" s="854" t="s">
        <v>1965</v>
      </c>
      <c r="K7" s="854" t="s">
        <v>1964</v>
      </c>
      <c r="L7" s="854" t="s">
        <v>1963</v>
      </c>
      <c r="M7" s="854" t="s">
        <v>1962</v>
      </c>
      <c r="N7" s="854" t="s">
        <v>1961</v>
      </c>
      <c r="O7" s="854" t="s">
        <v>1972</v>
      </c>
      <c r="P7" s="854" t="s">
        <v>1971</v>
      </c>
      <c r="Q7" s="854" t="s">
        <v>1970</v>
      </c>
      <c r="R7" s="854" t="s">
        <v>1969</v>
      </c>
      <c r="S7" s="854" t="s">
        <v>1968</v>
      </c>
      <c r="T7" s="854" t="s">
        <v>1967</v>
      </c>
      <c r="U7" s="854" t="s">
        <v>1966</v>
      </c>
      <c r="V7" s="854" t="s">
        <v>1965</v>
      </c>
      <c r="W7" s="854" t="s">
        <v>1964</v>
      </c>
      <c r="X7" s="854" t="s">
        <v>1963</v>
      </c>
      <c r="Y7" s="854" t="s">
        <v>1962</v>
      </c>
      <c r="Z7" s="854" t="s">
        <v>1976</v>
      </c>
      <c r="AA7" s="854" t="s">
        <v>1961</v>
      </c>
      <c r="AB7" s="854" t="s">
        <v>1972</v>
      </c>
      <c r="AC7" s="854" t="s">
        <v>1971</v>
      </c>
      <c r="AD7" s="854" t="s">
        <v>1970</v>
      </c>
      <c r="AE7" s="854" t="s">
        <v>1969</v>
      </c>
      <c r="AF7" s="854" t="s">
        <v>1973</v>
      </c>
      <c r="AG7" s="854" t="s">
        <v>1977</v>
      </c>
      <c r="AH7" s="854" t="s">
        <v>1966</v>
      </c>
      <c r="AI7" s="854" t="s">
        <v>1965</v>
      </c>
      <c r="AJ7" s="854" t="s">
        <v>1964</v>
      </c>
      <c r="AK7" s="854" t="s">
        <v>1963</v>
      </c>
      <c r="AL7" s="854" t="s">
        <v>1962</v>
      </c>
      <c r="AM7" s="854" t="s">
        <v>1961</v>
      </c>
      <c r="AN7" s="854" t="s">
        <v>1972</v>
      </c>
      <c r="AO7" s="854" t="s">
        <v>1971</v>
      </c>
      <c r="AP7" s="854" t="s">
        <v>1970</v>
      </c>
      <c r="AQ7" s="854" t="s">
        <v>1969</v>
      </c>
      <c r="AR7" s="854" t="s">
        <v>1968</v>
      </c>
      <c r="AS7" s="854" t="s">
        <v>1967</v>
      </c>
      <c r="AT7" s="855" t="s">
        <v>1966</v>
      </c>
      <c r="AU7" s="855" t="s">
        <v>1965</v>
      </c>
      <c r="AV7" s="855" t="s">
        <v>1964</v>
      </c>
      <c r="AW7" s="855" t="s">
        <v>1963</v>
      </c>
      <c r="AX7" s="854" t="s">
        <v>1962</v>
      </c>
      <c r="AY7" s="855" t="s">
        <v>1961</v>
      </c>
      <c r="AZ7" s="855" t="s">
        <v>1960</v>
      </c>
      <c r="BA7" s="855" t="s">
        <v>1959</v>
      </c>
      <c r="BB7" s="855" t="s">
        <v>1958</v>
      </c>
      <c r="BC7" s="855" t="s">
        <v>1978</v>
      </c>
      <c r="BD7" s="855" t="s">
        <v>1979</v>
      </c>
      <c r="BE7" s="854" t="s">
        <v>1988</v>
      </c>
      <c r="BF7" s="854" t="s">
        <v>1998</v>
      </c>
      <c r="BG7" s="854" t="s">
        <v>2008</v>
      </c>
      <c r="BH7" s="854" t="s">
        <v>2021</v>
      </c>
      <c r="BI7" s="857" t="s">
        <v>2032</v>
      </c>
      <c r="BJ7" s="906" t="s">
        <v>1962</v>
      </c>
      <c r="BK7" s="906" t="s">
        <v>1961</v>
      </c>
      <c r="BL7" s="906" t="s">
        <v>1960</v>
      </c>
      <c r="BM7" s="906" t="s">
        <v>1959</v>
      </c>
      <c r="BN7" s="906" t="s">
        <v>1958</v>
      </c>
      <c r="BO7" s="906" t="s">
        <v>1978</v>
      </c>
      <c r="BP7" s="906" t="s">
        <v>1979</v>
      </c>
      <c r="BQ7" s="906" t="s">
        <v>1988</v>
      </c>
      <c r="BR7" s="906" t="s">
        <v>1998</v>
      </c>
      <c r="BS7" s="906" t="s">
        <v>2008</v>
      </c>
      <c r="BT7" s="906" t="s">
        <v>2021</v>
      </c>
      <c r="BU7" s="906" t="s">
        <v>2032</v>
      </c>
      <c r="BV7" s="906" t="s">
        <v>1962</v>
      </c>
      <c r="BW7" s="906" t="s">
        <v>1961</v>
      </c>
      <c r="BX7" s="906" t="s">
        <v>1960</v>
      </c>
      <c r="BY7" s="906" t="s">
        <v>1959</v>
      </c>
      <c r="BZ7" s="906" t="s">
        <v>1958</v>
      </c>
      <c r="CA7" s="906" t="s">
        <v>1978</v>
      </c>
      <c r="CB7" s="906" t="s">
        <v>1979</v>
      </c>
      <c r="CC7" s="906" t="s">
        <v>1988</v>
      </c>
      <c r="CD7" s="906" t="s">
        <v>1998</v>
      </c>
      <c r="CE7" s="906" t="s">
        <v>2008</v>
      </c>
      <c r="CF7" s="906" t="s">
        <v>2021</v>
      </c>
      <c r="CG7" s="906" t="s">
        <v>2032</v>
      </c>
      <c r="CH7" s="906" t="s">
        <v>1962</v>
      </c>
      <c r="CI7" s="906" t="s">
        <v>1961</v>
      </c>
      <c r="CJ7" s="906" t="s">
        <v>1960</v>
      </c>
      <c r="CK7" s="906" t="s">
        <v>1959</v>
      </c>
      <c r="CL7" s="906" t="s">
        <v>1958</v>
      </c>
      <c r="CM7" s="906" t="s">
        <v>1978</v>
      </c>
      <c r="CN7" s="906" t="s">
        <v>2426</v>
      </c>
      <c r="CO7" s="906" t="s">
        <v>2432</v>
      </c>
      <c r="CP7" s="906" t="s">
        <v>1998</v>
      </c>
      <c r="CQ7" s="906" t="s">
        <v>2008</v>
      </c>
      <c r="CR7" s="906" t="s">
        <v>2021</v>
      </c>
      <c r="CS7" s="906" t="s">
        <v>2032</v>
      </c>
      <c r="CT7" s="906" t="s">
        <v>1962</v>
      </c>
      <c r="CU7" s="906" t="s">
        <v>1961</v>
      </c>
      <c r="CV7" s="906" t="s">
        <v>1960</v>
      </c>
      <c r="CW7" s="906" t="s">
        <v>1959</v>
      </c>
      <c r="CX7" s="906" t="s">
        <v>1958</v>
      </c>
      <c r="CY7" s="906" t="s">
        <v>1978</v>
      </c>
      <c r="CZ7" s="906" t="s">
        <v>1979</v>
      </c>
      <c r="DA7" s="906" t="s">
        <v>1988</v>
      </c>
      <c r="DB7" s="906" t="s">
        <v>1998</v>
      </c>
      <c r="DC7" s="906" t="s">
        <v>2655</v>
      </c>
      <c r="DD7" s="906" t="s">
        <v>2021</v>
      </c>
      <c r="DE7" s="906" t="s">
        <v>2032</v>
      </c>
      <c r="DF7" s="906" t="s">
        <v>1962</v>
      </c>
      <c r="DG7" s="1346" t="s">
        <v>1961</v>
      </c>
      <c r="DH7" s="1346" t="s">
        <v>1960</v>
      </c>
      <c r="DI7" s="1346" t="s">
        <v>1959</v>
      </c>
      <c r="DJ7" s="1346" t="s">
        <v>1958</v>
      </c>
      <c r="DK7" s="1346" t="s">
        <v>1978</v>
      </c>
      <c r="DL7" s="1346" t="s">
        <v>1979</v>
      </c>
      <c r="DM7" s="1346" t="s">
        <v>1988</v>
      </c>
      <c r="DN7" s="1346" t="s">
        <v>1998</v>
      </c>
      <c r="DO7" s="1346" t="s">
        <v>2008</v>
      </c>
      <c r="DP7" s="1346" t="s">
        <v>2021</v>
      </c>
      <c r="DQ7" s="1346" t="s">
        <v>2032</v>
      </c>
      <c r="DR7" s="1346" t="s">
        <v>1962</v>
      </c>
      <c r="DS7" s="906" t="s">
        <v>1961</v>
      </c>
      <c r="DT7" s="906" t="s">
        <v>1960</v>
      </c>
      <c r="DU7" s="906" t="s">
        <v>1959</v>
      </c>
      <c r="DV7" s="906" t="s">
        <v>1958</v>
      </c>
      <c r="DW7" s="906" t="s">
        <v>1978</v>
      </c>
      <c r="DX7" s="906" t="s">
        <v>1979</v>
      </c>
      <c r="DY7" s="906" t="s">
        <v>1988</v>
      </c>
      <c r="DZ7" s="906" t="s">
        <v>1998</v>
      </c>
      <c r="EA7" s="906" t="s">
        <v>2008</v>
      </c>
      <c r="EB7" s="906" t="s">
        <v>2021</v>
      </c>
      <c r="EC7" s="906" t="s">
        <v>2032</v>
      </c>
      <c r="ED7" s="906" t="s">
        <v>1962</v>
      </c>
      <c r="EE7" s="906" t="s">
        <v>1961</v>
      </c>
      <c r="EF7" s="906" t="s">
        <v>1960</v>
      </c>
      <c r="EG7" s="906" t="s">
        <v>1959</v>
      </c>
      <c r="EH7" s="906" t="s">
        <v>1958</v>
      </c>
      <c r="EI7" s="906" t="s">
        <v>1978</v>
      </c>
      <c r="EJ7" s="906" t="s">
        <v>1979</v>
      </c>
      <c r="EK7" s="906" t="s">
        <v>1988</v>
      </c>
      <c r="EL7" s="906" t="s">
        <v>1998</v>
      </c>
      <c r="EM7" s="906" t="s">
        <v>2008</v>
      </c>
      <c r="EN7" s="906" t="s">
        <v>2021</v>
      </c>
      <c r="EO7" s="906" t="s">
        <v>2032</v>
      </c>
      <c r="EP7" s="906" t="s">
        <v>1962</v>
      </c>
      <c r="EQ7" s="906" t="s">
        <v>1961</v>
      </c>
      <c r="ER7" s="906" t="s">
        <v>1960</v>
      </c>
      <c r="ES7" s="906" t="s">
        <v>1959</v>
      </c>
      <c r="ET7" s="906" t="s">
        <v>1958</v>
      </c>
      <c r="EU7" s="906" t="s">
        <v>1978</v>
      </c>
      <c r="EV7" s="2504"/>
    </row>
    <row r="8" spans="1:152" s="334" customFormat="1" ht="39.75" customHeight="1">
      <c r="A8" s="2502"/>
      <c r="B8" s="1948"/>
      <c r="C8" s="1948"/>
      <c r="D8" s="1948"/>
      <c r="E8" s="1948"/>
      <c r="F8" s="1948"/>
      <c r="G8" s="1948"/>
      <c r="H8" s="1948"/>
      <c r="I8" s="1948"/>
      <c r="J8" s="1948"/>
      <c r="K8" s="1948"/>
      <c r="L8" s="1948"/>
      <c r="M8" s="1948"/>
      <c r="N8" s="1948"/>
      <c r="O8" s="1948"/>
      <c r="P8" s="1948"/>
      <c r="Q8" s="1948"/>
      <c r="R8" s="1948"/>
      <c r="S8" s="1948"/>
      <c r="T8" s="1948"/>
      <c r="U8" s="1948"/>
      <c r="V8" s="1948"/>
      <c r="W8" s="1948"/>
      <c r="X8" s="1948"/>
      <c r="Y8" s="1948"/>
      <c r="Z8" s="1948"/>
      <c r="AA8" s="1948"/>
      <c r="AB8" s="1948"/>
      <c r="AC8" s="1948"/>
      <c r="AD8" s="1948"/>
      <c r="AE8" s="1948"/>
      <c r="AF8" s="1948"/>
      <c r="AG8" s="1948"/>
      <c r="AH8" s="1948"/>
      <c r="AI8" s="1948"/>
      <c r="AJ8" s="1948"/>
      <c r="AK8" s="1948"/>
      <c r="AL8" s="1948"/>
      <c r="AM8" s="1948"/>
      <c r="AN8" s="1948"/>
      <c r="AO8" s="1948"/>
      <c r="AP8" s="1948"/>
      <c r="AQ8" s="1948"/>
      <c r="AR8" s="1948"/>
      <c r="AS8" s="1948"/>
      <c r="AT8" s="1948"/>
      <c r="AU8" s="1948"/>
      <c r="AV8" s="1948"/>
      <c r="AW8" s="1948"/>
      <c r="AX8" s="1948"/>
      <c r="AY8" s="1948"/>
      <c r="AZ8" s="1948"/>
      <c r="BA8" s="1948"/>
      <c r="BB8" s="1948"/>
      <c r="BC8" s="1948"/>
      <c r="BD8" s="1948"/>
      <c r="BE8" s="1948"/>
      <c r="BF8" s="1948"/>
      <c r="BG8" s="903"/>
      <c r="BH8" s="904"/>
      <c r="BI8" s="1938" t="s">
        <v>3191</v>
      </c>
      <c r="BJ8" s="1938" t="s">
        <v>3191</v>
      </c>
      <c r="BK8" s="1938"/>
      <c r="BL8" s="1938"/>
      <c r="BM8" s="1938"/>
      <c r="BN8" s="1938"/>
      <c r="BO8" s="1938"/>
      <c r="BP8" s="1938"/>
      <c r="BQ8" s="1938"/>
      <c r="BR8" s="1938"/>
      <c r="BS8" s="1938"/>
      <c r="BT8" s="1938"/>
      <c r="BU8" s="1938" t="s">
        <v>3191</v>
      </c>
      <c r="BV8" s="1938" t="s">
        <v>3191</v>
      </c>
      <c r="BW8" s="1938"/>
      <c r="BX8" s="1938"/>
      <c r="BY8" s="1938"/>
      <c r="BZ8" s="1938"/>
      <c r="CA8" s="1938"/>
      <c r="CB8" s="1938"/>
      <c r="CC8" s="1938"/>
      <c r="CD8" s="1938"/>
      <c r="CE8" s="1938"/>
      <c r="CF8" s="1938"/>
      <c r="CG8" s="1938" t="s">
        <v>3191</v>
      </c>
      <c r="CH8" s="1938" t="s">
        <v>3191</v>
      </c>
      <c r="CI8" s="1938"/>
      <c r="CJ8" s="1938"/>
      <c r="CK8" s="1938"/>
      <c r="CL8" s="1938"/>
      <c r="CM8" s="1938"/>
      <c r="CN8" s="1938"/>
      <c r="CO8" s="1938"/>
      <c r="CP8" s="1938"/>
      <c r="CQ8" s="1938"/>
      <c r="CR8" s="1938"/>
      <c r="CS8" s="1938" t="s">
        <v>3191</v>
      </c>
      <c r="CT8" s="1938" t="s">
        <v>3191</v>
      </c>
      <c r="CU8" s="1938"/>
      <c r="CV8" s="1938"/>
      <c r="CW8" s="1938"/>
      <c r="CX8" s="1938"/>
      <c r="CY8" s="1938"/>
      <c r="CZ8" s="1938"/>
      <c r="DA8" s="1938"/>
      <c r="DB8" s="1938"/>
      <c r="DC8" s="1938"/>
      <c r="DD8" s="1938"/>
      <c r="DE8" s="1938" t="s">
        <v>3191</v>
      </c>
      <c r="DF8" s="1938" t="s">
        <v>3191</v>
      </c>
      <c r="DG8" s="1938"/>
      <c r="DH8" s="1938"/>
      <c r="DI8" s="1938"/>
      <c r="DJ8" s="1938"/>
      <c r="DK8" s="1938"/>
      <c r="DL8" s="1938"/>
      <c r="DM8" s="1938"/>
      <c r="DN8" s="1938"/>
      <c r="DO8" s="1938"/>
      <c r="DP8" s="1938"/>
      <c r="DQ8" s="1938" t="s">
        <v>3191</v>
      </c>
      <c r="DR8" s="1938" t="s">
        <v>3191</v>
      </c>
      <c r="DS8" s="1938"/>
      <c r="DT8" s="1938"/>
      <c r="DU8" s="1938"/>
      <c r="DV8" s="1938"/>
      <c r="DW8" s="1938"/>
      <c r="DX8" s="1938"/>
      <c r="DY8" s="1938"/>
      <c r="DZ8" s="1938"/>
      <c r="EA8" s="1938"/>
      <c r="EB8" s="1938"/>
      <c r="EC8" s="1938" t="s">
        <v>3191</v>
      </c>
      <c r="ED8" s="1938" t="s">
        <v>3191</v>
      </c>
      <c r="EE8" s="1938" t="s">
        <v>3120</v>
      </c>
      <c r="EF8" s="1938" t="s">
        <v>3121</v>
      </c>
      <c r="EG8" s="1938" t="s">
        <v>3122</v>
      </c>
      <c r="EH8" s="1938" t="s">
        <v>3123</v>
      </c>
      <c r="EI8" s="1938" t="s">
        <v>1978</v>
      </c>
      <c r="EJ8" s="1938" t="s">
        <v>3124</v>
      </c>
      <c r="EK8" s="1938" t="s">
        <v>3125</v>
      </c>
      <c r="EL8" s="1938" t="s">
        <v>3126</v>
      </c>
      <c r="EM8" s="1938" t="s">
        <v>3127</v>
      </c>
      <c r="EN8" s="1938" t="s">
        <v>3190</v>
      </c>
      <c r="EO8" s="1938" t="s">
        <v>3424</v>
      </c>
      <c r="EP8" s="1938" t="s">
        <v>3191</v>
      </c>
      <c r="EQ8" s="1938" t="s">
        <v>3120</v>
      </c>
      <c r="ER8" s="1938" t="s">
        <v>3121</v>
      </c>
      <c r="ES8" s="1938" t="s">
        <v>3122</v>
      </c>
      <c r="ET8" s="1938" t="s">
        <v>3123</v>
      </c>
      <c r="EU8" s="1938" t="s">
        <v>1978</v>
      </c>
      <c r="EV8" s="2505"/>
    </row>
    <row r="9" spans="1:152" ht="21">
      <c r="A9" s="1930" t="s">
        <v>2755</v>
      </c>
      <c r="B9" s="862">
        <v>105.60011256000001</v>
      </c>
      <c r="C9" s="692">
        <v>114.24578094</v>
      </c>
      <c r="D9" s="692">
        <v>113.97123705000001</v>
      </c>
      <c r="E9" s="692">
        <v>114.12138906000001</v>
      </c>
      <c r="F9" s="692">
        <v>111.37901713000001</v>
      </c>
      <c r="G9" s="692">
        <v>142.61656519000002</v>
      </c>
      <c r="H9" s="692">
        <v>144.08715753000001</v>
      </c>
      <c r="I9" s="692">
        <v>144.24804773000002</v>
      </c>
      <c r="J9" s="692">
        <v>194.41175276000001</v>
      </c>
      <c r="K9" s="692">
        <v>134.66931400999999</v>
      </c>
      <c r="L9" s="692">
        <v>134.62406406000002</v>
      </c>
      <c r="M9" s="693">
        <v>124.95512670000001</v>
      </c>
      <c r="N9" s="693">
        <v>124.80824687999998</v>
      </c>
      <c r="O9" s="693">
        <v>125.00565813</v>
      </c>
      <c r="P9" s="693">
        <v>125.39533259000001</v>
      </c>
      <c r="Q9" s="693">
        <v>120.56247141</v>
      </c>
      <c r="R9" s="693">
        <v>154.12319878</v>
      </c>
      <c r="S9" s="693">
        <v>80.603619979999991</v>
      </c>
      <c r="T9" s="693">
        <v>81.087695370000006</v>
      </c>
      <c r="U9" s="693">
        <v>80.881242159999999</v>
      </c>
      <c r="V9" s="693">
        <v>74.95358816000001</v>
      </c>
      <c r="W9" s="693">
        <v>71.724015960000003</v>
      </c>
      <c r="X9" s="693">
        <v>67.566328909999996</v>
      </c>
      <c r="Y9" s="693">
        <v>61.10191086999999</v>
      </c>
      <c r="Z9" s="693">
        <v>61.10191086999999</v>
      </c>
      <c r="AA9" s="693">
        <v>101.09084375</v>
      </c>
      <c r="AB9" s="693">
        <v>117.08735831</v>
      </c>
      <c r="AC9" s="693">
        <v>116.65805771999999</v>
      </c>
      <c r="AD9" s="693">
        <v>117.63569192</v>
      </c>
      <c r="AE9" s="693">
        <v>117.33302420000001</v>
      </c>
      <c r="AF9" s="693">
        <v>115.0996227</v>
      </c>
      <c r="AG9" s="693">
        <v>114.55282405999998</v>
      </c>
      <c r="AH9" s="693">
        <v>68.411117079999997</v>
      </c>
      <c r="AI9" s="693">
        <v>68.274432439999998</v>
      </c>
      <c r="AJ9" s="693">
        <v>137.60144632999999</v>
      </c>
      <c r="AK9" s="693">
        <v>149.99696</v>
      </c>
      <c r="AL9" s="693">
        <v>181.11935259999998</v>
      </c>
      <c r="AM9" s="693">
        <v>178.93343339</v>
      </c>
      <c r="AN9" s="693">
        <v>170.21498265999998</v>
      </c>
      <c r="AO9" s="693">
        <v>169.33655242000003</v>
      </c>
      <c r="AP9" s="693">
        <v>167.37961919999998</v>
      </c>
      <c r="AQ9" s="693">
        <v>165.93781584000001</v>
      </c>
      <c r="AR9" s="693">
        <v>268.95391513999999</v>
      </c>
      <c r="AS9" s="693">
        <v>254.53764158000004</v>
      </c>
      <c r="AT9" s="693">
        <v>256.97157655999996</v>
      </c>
      <c r="AU9" s="693">
        <v>256.98802446000008</v>
      </c>
      <c r="AV9" s="693">
        <v>260.42991877000003</v>
      </c>
      <c r="AW9" s="693">
        <v>466.18580246999994</v>
      </c>
      <c r="AX9" s="693">
        <v>472.66086626000003</v>
      </c>
      <c r="AY9" s="693">
        <v>327.58225526000001</v>
      </c>
      <c r="AZ9" s="693">
        <v>297.83420001999997</v>
      </c>
      <c r="BA9" s="693">
        <v>293.94586943999997</v>
      </c>
      <c r="BB9" s="693">
        <v>429.96568051999998</v>
      </c>
      <c r="BC9" s="693">
        <v>428.74997167999993</v>
      </c>
      <c r="BD9" s="693">
        <v>428.72081939000003</v>
      </c>
      <c r="BE9" s="693">
        <v>265.08731266000007</v>
      </c>
      <c r="BF9" s="693">
        <v>256.50174501999999</v>
      </c>
      <c r="BG9" s="693">
        <v>251.21038282999999</v>
      </c>
      <c r="BH9" s="693">
        <v>213.59875038000001</v>
      </c>
      <c r="BI9" s="858">
        <v>309.71322092999998</v>
      </c>
      <c r="BJ9" s="874">
        <v>215.59824989000001</v>
      </c>
      <c r="BK9" s="874">
        <v>215.5081476</v>
      </c>
      <c r="BL9" s="874">
        <v>209.76563938999999</v>
      </c>
      <c r="BM9" s="874">
        <v>211.78296318000002</v>
      </c>
      <c r="BN9" s="874">
        <v>211.82697447000001</v>
      </c>
      <c r="BO9" s="874">
        <v>208.76143995000001</v>
      </c>
      <c r="BP9" s="874">
        <v>208.70451044999999</v>
      </c>
      <c r="BQ9" s="874">
        <v>210.57181072</v>
      </c>
      <c r="BR9" s="874">
        <v>202.31794216999998</v>
      </c>
      <c r="BS9" s="874">
        <v>200.46549587999999</v>
      </c>
      <c r="BT9" s="874">
        <v>190.76791687999997</v>
      </c>
      <c r="BU9" s="874">
        <v>190.63270231999999</v>
      </c>
      <c r="BV9" s="874">
        <v>342.04078730000003</v>
      </c>
      <c r="BW9" s="874">
        <v>370.91365987</v>
      </c>
      <c r="BX9" s="874">
        <v>370.16473431999998</v>
      </c>
      <c r="BY9" s="874">
        <v>369.13140736000003</v>
      </c>
      <c r="BZ9" s="874">
        <v>373.12296426000006</v>
      </c>
      <c r="CA9" s="874">
        <v>373.09053128999994</v>
      </c>
      <c r="CB9" s="874">
        <v>373.98671657</v>
      </c>
      <c r="CC9" s="874">
        <v>371.05687373000006</v>
      </c>
      <c r="CD9" s="874">
        <v>339.55006192999997</v>
      </c>
      <c r="CE9" s="874">
        <v>490.34353333000001</v>
      </c>
      <c r="CF9" s="874">
        <v>509.74141729000002</v>
      </c>
      <c r="CG9" s="874">
        <v>581.10745771000006</v>
      </c>
      <c r="CH9" s="874">
        <v>589.48088998000003</v>
      </c>
      <c r="CI9" s="874">
        <v>594.10143878000008</v>
      </c>
      <c r="CJ9" s="874">
        <v>593.81704666000007</v>
      </c>
      <c r="CK9" s="874">
        <v>592.7249453500001</v>
      </c>
      <c r="CL9" s="874">
        <v>591.05934764999995</v>
      </c>
      <c r="CM9" s="874">
        <v>591.25840889999995</v>
      </c>
      <c r="CN9" s="874">
        <v>528.36327950999998</v>
      </c>
      <c r="CO9" s="874">
        <v>531.13333698999998</v>
      </c>
      <c r="CP9" s="874">
        <v>522.54439936999995</v>
      </c>
      <c r="CQ9" s="874">
        <v>499.21446546000004</v>
      </c>
      <c r="CR9" s="874">
        <v>499.89612171000005</v>
      </c>
      <c r="CS9" s="874">
        <v>498.64728910000002</v>
      </c>
      <c r="CT9" s="874">
        <v>507.35427750000002</v>
      </c>
      <c r="CU9" s="874">
        <v>490.96189819</v>
      </c>
      <c r="CV9" s="874">
        <v>490.39742289999998</v>
      </c>
      <c r="CW9" s="874">
        <v>489.63037322999998</v>
      </c>
      <c r="CX9" s="874">
        <v>499.14561572999997</v>
      </c>
      <c r="CY9" s="874">
        <v>494.09345325999999</v>
      </c>
      <c r="CZ9" s="874">
        <v>466.16306940999999</v>
      </c>
      <c r="DA9" s="874">
        <v>462.71752470000001</v>
      </c>
      <c r="DB9" s="874">
        <v>469.61422119999997</v>
      </c>
      <c r="DC9" s="874">
        <v>468.89206789999997</v>
      </c>
      <c r="DD9" s="874">
        <v>465.15443046000001</v>
      </c>
      <c r="DE9" s="874">
        <v>457.63924663</v>
      </c>
      <c r="DF9" s="874">
        <v>462.79192707999999</v>
      </c>
      <c r="DG9" s="874">
        <v>451.95474725000003</v>
      </c>
      <c r="DH9" s="874">
        <v>434.13006897999998</v>
      </c>
      <c r="DI9" s="874">
        <v>436.89270148999998</v>
      </c>
      <c r="DJ9" s="874">
        <v>432.85800519999998</v>
      </c>
      <c r="DK9" s="874">
        <v>419.15604752000002</v>
      </c>
      <c r="DL9" s="874">
        <v>402.01053668999998</v>
      </c>
      <c r="DM9" s="874">
        <v>389.52698802999998</v>
      </c>
      <c r="DN9" s="874">
        <v>359.73674825000001</v>
      </c>
      <c r="DO9" s="874">
        <v>361.50367191999999</v>
      </c>
      <c r="DP9" s="874">
        <v>392.47515770000001</v>
      </c>
      <c r="DQ9" s="874">
        <v>381.69147516999999</v>
      </c>
      <c r="DR9" s="874">
        <v>385.49710412000002</v>
      </c>
      <c r="DS9" s="874">
        <v>412.94644068999997</v>
      </c>
      <c r="DT9" s="874">
        <v>418.67551236000003</v>
      </c>
      <c r="DU9" s="874">
        <v>425.99188239</v>
      </c>
      <c r="DV9" s="874">
        <v>429.33469600000001</v>
      </c>
      <c r="DW9" s="874">
        <v>419.51901660999999</v>
      </c>
      <c r="DX9" s="874">
        <v>400.45803783999997</v>
      </c>
      <c r="DY9" s="874">
        <v>389.23534162999999</v>
      </c>
      <c r="DZ9" s="874">
        <v>375.68114305</v>
      </c>
      <c r="EA9" s="874">
        <v>372.25311664999998</v>
      </c>
      <c r="EB9" s="874">
        <v>366.21069555000003</v>
      </c>
      <c r="EC9" s="874">
        <v>353.37052734999997</v>
      </c>
      <c r="ED9" s="874">
        <v>332.10318666000001</v>
      </c>
      <c r="EE9" s="874">
        <v>527.94817781999996</v>
      </c>
      <c r="EF9" s="874">
        <v>488.17322006000001</v>
      </c>
      <c r="EG9" s="874">
        <v>383.00786065</v>
      </c>
      <c r="EH9" s="874">
        <v>425.52107367000002</v>
      </c>
      <c r="EI9" s="874">
        <v>425.61648366999998</v>
      </c>
      <c r="EJ9" s="874">
        <v>422.12141150000002</v>
      </c>
      <c r="EK9" s="874">
        <v>420.80378653999998</v>
      </c>
      <c r="EL9" s="874">
        <v>434.96063118000001</v>
      </c>
      <c r="EM9" s="874">
        <v>439.13994855999999</v>
      </c>
      <c r="EN9" s="874">
        <v>508.63077039000001</v>
      </c>
      <c r="EO9" s="874">
        <v>458.62442969</v>
      </c>
      <c r="EP9" s="874">
        <v>413.73034307</v>
      </c>
      <c r="EQ9" s="874">
        <v>426.15448550000002</v>
      </c>
      <c r="ER9" s="874">
        <v>393.98817229000002</v>
      </c>
      <c r="ES9" s="874">
        <v>381.54740984</v>
      </c>
      <c r="ET9" s="874">
        <v>380.60936157999998</v>
      </c>
      <c r="EU9" s="874">
        <v>376.56342565</v>
      </c>
      <c r="EV9" s="1918" t="s">
        <v>1159</v>
      </c>
    </row>
    <row r="10" spans="1:152" ht="21">
      <c r="A10" s="1931" t="s">
        <v>1974</v>
      </c>
      <c r="B10" s="863">
        <v>99.833261400000012</v>
      </c>
      <c r="C10" s="694">
        <v>109.18165262000001</v>
      </c>
      <c r="D10" s="694">
        <v>108.95689246000002</v>
      </c>
      <c r="E10" s="694">
        <v>109.14540098000002</v>
      </c>
      <c r="F10" s="694">
        <v>109.25280531000001</v>
      </c>
      <c r="G10" s="694">
        <v>139.30455628999999</v>
      </c>
      <c r="H10" s="694">
        <v>139.64007945</v>
      </c>
      <c r="I10" s="694">
        <v>139.67610478</v>
      </c>
      <c r="J10" s="694">
        <v>189.86615598</v>
      </c>
      <c r="K10" s="694">
        <v>130.03386656000001</v>
      </c>
      <c r="L10" s="694">
        <v>129.96822206000002</v>
      </c>
      <c r="M10" s="695">
        <v>120.06069436999999</v>
      </c>
      <c r="N10" s="695">
        <v>120.05746053</v>
      </c>
      <c r="O10" s="695">
        <v>120.16770789000002</v>
      </c>
      <c r="P10" s="695">
        <v>120.18054233999999</v>
      </c>
      <c r="Q10" s="695">
        <v>115.2232376</v>
      </c>
      <c r="R10" s="695">
        <v>152.14953231999999</v>
      </c>
      <c r="S10" s="695">
        <v>79.153501110000008</v>
      </c>
      <c r="T10" s="695">
        <v>78.996829550000001</v>
      </c>
      <c r="U10" s="695">
        <v>78.732712110000008</v>
      </c>
      <c r="V10" s="695">
        <v>72.828690399999999</v>
      </c>
      <c r="W10" s="695">
        <v>69.5330589</v>
      </c>
      <c r="X10" s="695">
        <v>65.303776110000001</v>
      </c>
      <c r="Y10" s="695">
        <v>58.838362320000002</v>
      </c>
      <c r="Z10" s="695">
        <v>58.838362320000002</v>
      </c>
      <c r="AA10" s="695">
        <v>98.861545399999997</v>
      </c>
      <c r="AB10" s="695">
        <v>114.45075898</v>
      </c>
      <c r="AC10" s="695">
        <v>114.02617991</v>
      </c>
      <c r="AD10" s="695">
        <v>114.17508303000001</v>
      </c>
      <c r="AE10" s="695">
        <v>113.89396886</v>
      </c>
      <c r="AF10" s="695">
        <v>111.68409274000001</v>
      </c>
      <c r="AG10" s="695">
        <v>111.42322095999999</v>
      </c>
      <c r="AH10" s="695">
        <v>66.117156039999998</v>
      </c>
      <c r="AI10" s="695">
        <v>66.12176925</v>
      </c>
      <c r="AJ10" s="695">
        <v>135.63681607999999</v>
      </c>
      <c r="AK10" s="695">
        <v>148.16076641000001</v>
      </c>
      <c r="AL10" s="695">
        <v>178.84997107000001</v>
      </c>
      <c r="AM10" s="695">
        <v>176.48653781999997</v>
      </c>
      <c r="AN10" s="695">
        <v>167.83024379</v>
      </c>
      <c r="AO10" s="695">
        <v>166.93833645000001</v>
      </c>
      <c r="AP10" s="695">
        <v>164.85291329</v>
      </c>
      <c r="AQ10" s="695">
        <v>163.43100534000001</v>
      </c>
      <c r="AR10" s="695">
        <v>266.44610976000001</v>
      </c>
      <c r="AS10" s="695">
        <v>252.24556739000005</v>
      </c>
      <c r="AT10" s="695">
        <v>254.95421341000002</v>
      </c>
      <c r="AU10" s="695">
        <v>254.63632139000001</v>
      </c>
      <c r="AV10" s="695">
        <v>255.52576239000001</v>
      </c>
      <c r="AW10" s="695">
        <v>260.15105939000006</v>
      </c>
      <c r="AX10" s="695">
        <v>467.58128439000001</v>
      </c>
      <c r="AY10" s="695">
        <v>322.37858838999995</v>
      </c>
      <c r="AZ10" s="695">
        <v>293.86066755999997</v>
      </c>
      <c r="BA10" s="695">
        <v>290.25207656000003</v>
      </c>
      <c r="BB10" s="695">
        <v>425.62606955999996</v>
      </c>
      <c r="BC10" s="695">
        <v>425.50000281999996</v>
      </c>
      <c r="BD10" s="695">
        <v>425.52510793000005</v>
      </c>
      <c r="BE10" s="695">
        <v>261.93860000000001</v>
      </c>
      <c r="BF10" s="695">
        <v>253.44900000000001</v>
      </c>
      <c r="BG10" s="695">
        <v>247.37909999999999</v>
      </c>
      <c r="BH10" s="695">
        <v>210.82480000000001</v>
      </c>
      <c r="BI10" s="859">
        <v>306.26224999999999</v>
      </c>
      <c r="BJ10" s="875">
        <v>208.66177350000001</v>
      </c>
      <c r="BK10" s="875">
        <v>208.66177350000001</v>
      </c>
      <c r="BL10" s="875">
        <v>202.74784477</v>
      </c>
      <c r="BM10" s="875">
        <v>202.6995</v>
      </c>
      <c r="BN10" s="875">
        <v>202.6995</v>
      </c>
      <c r="BO10" s="875">
        <v>202.6995</v>
      </c>
      <c r="BP10" s="875">
        <v>202.6995</v>
      </c>
      <c r="BQ10" s="875">
        <v>199.29949999999999</v>
      </c>
      <c r="BR10" s="875">
        <v>190.79949999999999</v>
      </c>
      <c r="BS10" s="875">
        <v>189.09950000000001</v>
      </c>
      <c r="BT10" s="875">
        <v>178.89949999999999</v>
      </c>
      <c r="BU10" s="875">
        <v>178.89949999999999</v>
      </c>
      <c r="BV10" s="875">
        <v>308.9495</v>
      </c>
      <c r="BW10" s="875">
        <v>308.9495</v>
      </c>
      <c r="BX10" s="875">
        <v>308.9495</v>
      </c>
      <c r="BY10" s="875">
        <v>308.9495</v>
      </c>
      <c r="BZ10" s="875">
        <v>308.9495</v>
      </c>
      <c r="CA10" s="875">
        <v>308.9495</v>
      </c>
      <c r="CB10" s="875">
        <v>308.9495</v>
      </c>
      <c r="CC10" s="875">
        <v>307.24950000000001</v>
      </c>
      <c r="CD10" s="875">
        <v>278.34949999999998</v>
      </c>
      <c r="CE10" s="875">
        <v>427.9495</v>
      </c>
      <c r="CF10" s="875">
        <v>412.64949999999999</v>
      </c>
      <c r="CG10" s="875">
        <v>501.04950000000002</v>
      </c>
      <c r="CH10" s="875">
        <v>501.04950000000002</v>
      </c>
      <c r="CI10" s="875">
        <v>495.55</v>
      </c>
      <c r="CJ10" s="875">
        <v>495.55</v>
      </c>
      <c r="CK10" s="875">
        <v>495.55</v>
      </c>
      <c r="CL10" s="875">
        <v>495.55</v>
      </c>
      <c r="CM10" s="875">
        <v>495.55</v>
      </c>
      <c r="CN10" s="875">
        <v>435.2</v>
      </c>
      <c r="CO10" s="875">
        <v>426.7</v>
      </c>
      <c r="CP10" s="875">
        <v>418.2</v>
      </c>
      <c r="CQ10" s="875">
        <v>266.05</v>
      </c>
      <c r="CR10" s="875">
        <v>396.1</v>
      </c>
      <c r="CS10" s="875">
        <v>396.10806205</v>
      </c>
      <c r="CT10" s="875">
        <v>396.10806205</v>
      </c>
      <c r="CU10" s="875">
        <v>396.10363931000001</v>
      </c>
      <c r="CV10" s="875">
        <v>396.1</v>
      </c>
      <c r="CW10" s="875">
        <v>396.1</v>
      </c>
      <c r="CX10" s="875">
        <v>396.1</v>
      </c>
      <c r="CY10" s="875">
        <v>396.1</v>
      </c>
      <c r="CZ10" s="875">
        <v>374.42500000000001</v>
      </c>
      <c r="DA10" s="875">
        <v>374.42500000000001</v>
      </c>
      <c r="DB10" s="875">
        <v>374.42500000000001</v>
      </c>
      <c r="DC10" s="875">
        <v>374.42500000000001</v>
      </c>
      <c r="DD10" s="875">
        <v>374.42500000000001</v>
      </c>
      <c r="DE10" s="875">
        <v>374.42500000000001</v>
      </c>
      <c r="DF10" s="875">
        <v>353.245</v>
      </c>
      <c r="DG10" s="875">
        <v>353.28958333000003</v>
      </c>
      <c r="DH10" s="875">
        <v>337.95039630000002</v>
      </c>
      <c r="DI10" s="875">
        <v>337.91075222000001</v>
      </c>
      <c r="DJ10" s="875">
        <v>337.87078543000001</v>
      </c>
      <c r="DK10" s="875">
        <v>323.09736650999997</v>
      </c>
      <c r="DL10" s="875">
        <v>301.38159123000003</v>
      </c>
      <c r="DM10" s="875">
        <v>301.34061893000001</v>
      </c>
      <c r="DN10" s="875">
        <v>285.99933048999998</v>
      </c>
      <c r="DO10" s="875">
        <v>285.92311740999997</v>
      </c>
      <c r="DP10" s="875">
        <v>314.52628662000001</v>
      </c>
      <c r="DQ10" s="875">
        <v>295.79374996000001</v>
      </c>
      <c r="DR10" s="875">
        <v>294.12383328999999</v>
      </c>
      <c r="DS10" s="875">
        <v>321.11232280000002</v>
      </c>
      <c r="DT10" s="875">
        <v>327.97589310000001</v>
      </c>
      <c r="DU10" s="875">
        <v>332.8677907</v>
      </c>
      <c r="DV10" s="875">
        <v>332.85591410000001</v>
      </c>
      <c r="DW10" s="875">
        <v>318.11066978000002</v>
      </c>
      <c r="DX10" s="875">
        <v>296.42916374999999</v>
      </c>
      <c r="DY10" s="875">
        <v>296.40295615000002</v>
      </c>
      <c r="DZ10" s="875">
        <v>281.092691</v>
      </c>
      <c r="EA10" s="875">
        <v>281.13242585</v>
      </c>
      <c r="EB10" s="875">
        <v>281.11834428999998</v>
      </c>
      <c r="EC10" s="875">
        <v>266.37078876999999</v>
      </c>
      <c r="ED10" s="875">
        <v>244.73155449000001</v>
      </c>
      <c r="EE10" s="875">
        <v>448.1180339</v>
      </c>
      <c r="EF10" s="875">
        <v>408.14986567</v>
      </c>
      <c r="EG10" s="875">
        <v>302.16492640000001</v>
      </c>
      <c r="EH10" s="875">
        <v>302.14654406</v>
      </c>
      <c r="EI10" s="875">
        <v>302.24804582000002</v>
      </c>
      <c r="EJ10" s="875">
        <v>302.22937863999999</v>
      </c>
      <c r="EK10" s="875">
        <v>303.67933135999999</v>
      </c>
      <c r="EL10" s="875">
        <v>305.36523299999999</v>
      </c>
      <c r="EM10" s="875">
        <v>299.28026417000001</v>
      </c>
      <c r="EN10" s="875">
        <v>368.64833170999998</v>
      </c>
      <c r="EO10" s="875">
        <v>323.2024983</v>
      </c>
      <c r="EP10" s="875">
        <v>284.19381308000004</v>
      </c>
      <c r="EQ10" s="875">
        <v>298.93319961999998</v>
      </c>
      <c r="ER10" s="875">
        <v>262.82760755999999</v>
      </c>
      <c r="ES10" s="875">
        <v>249.44664208</v>
      </c>
      <c r="ET10" s="875">
        <v>249.34385164</v>
      </c>
      <c r="EU10" s="875">
        <v>249.24188049</v>
      </c>
      <c r="EV10" s="1920" t="s">
        <v>4086</v>
      </c>
    </row>
    <row r="11" spans="1:152" ht="21">
      <c r="A11" s="1931" t="s">
        <v>1975</v>
      </c>
      <c r="B11" s="862">
        <f t="shared" ref="B11:V11" si="0">+B9-B10</f>
        <v>5.7668511600000016</v>
      </c>
      <c r="C11" s="692">
        <f t="shared" si="0"/>
        <v>5.0641283199999947</v>
      </c>
      <c r="D11" s="692">
        <f t="shared" si="0"/>
        <v>5.0143445899999932</v>
      </c>
      <c r="E11" s="692">
        <f t="shared" si="0"/>
        <v>4.9759880799999934</v>
      </c>
      <c r="F11" s="692">
        <f t="shared" si="0"/>
        <v>2.1262118199999946</v>
      </c>
      <c r="G11" s="692">
        <f t="shared" si="0"/>
        <v>3.3120089000000235</v>
      </c>
      <c r="H11" s="692">
        <f t="shared" si="0"/>
        <v>4.4470780800000114</v>
      </c>
      <c r="I11" s="692">
        <f t="shared" si="0"/>
        <v>4.5719429500000217</v>
      </c>
      <c r="J11" s="692">
        <f t="shared" si="0"/>
        <v>4.545596780000011</v>
      </c>
      <c r="K11" s="692">
        <f t="shared" si="0"/>
        <v>4.6354474499999867</v>
      </c>
      <c r="L11" s="692">
        <f t="shared" si="0"/>
        <v>4.6558420000000069</v>
      </c>
      <c r="M11" s="695">
        <f t="shared" si="0"/>
        <v>4.894432330000015</v>
      </c>
      <c r="N11" s="693">
        <f t="shared" si="0"/>
        <v>4.7507863499999843</v>
      </c>
      <c r="O11" s="693">
        <f t="shared" si="0"/>
        <v>4.8379502399999836</v>
      </c>
      <c r="P11" s="693">
        <f t="shared" si="0"/>
        <v>5.2147902500000214</v>
      </c>
      <c r="Q11" s="693">
        <f t="shared" si="0"/>
        <v>5.3392338099999961</v>
      </c>
      <c r="R11" s="693">
        <f t="shared" si="0"/>
        <v>1.973666460000004</v>
      </c>
      <c r="S11" s="693">
        <f t="shared" si="0"/>
        <v>1.450118869999983</v>
      </c>
      <c r="T11" s="693">
        <f t="shared" si="0"/>
        <v>2.0908658200000048</v>
      </c>
      <c r="U11" s="693">
        <f t="shared" si="0"/>
        <v>2.1485300499999909</v>
      </c>
      <c r="V11" s="693">
        <f t="shared" si="0"/>
        <v>2.1248977600000103</v>
      </c>
      <c r="W11" s="693">
        <v>2.1909570600000023</v>
      </c>
      <c r="X11" s="693">
        <v>2.2625527999999946</v>
      </c>
      <c r="Y11" s="695">
        <v>2.2635485499999888</v>
      </c>
      <c r="Z11" s="693">
        <v>2.2635485499999888</v>
      </c>
      <c r="AA11" s="693">
        <v>2.2292983500000076</v>
      </c>
      <c r="AB11" s="695">
        <v>2.6365993299999957</v>
      </c>
      <c r="AC11" s="695">
        <v>2.6318778099999918</v>
      </c>
      <c r="AD11" s="695">
        <v>3.4606088899999889</v>
      </c>
      <c r="AE11" s="695">
        <v>3.4390553400000101</v>
      </c>
      <c r="AF11" s="695">
        <v>3.4155299599999864</v>
      </c>
      <c r="AG11" s="695">
        <v>3.1296030999999829</v>
      </c>
      <c r="AH11" s="695">
        <v>2.2939610399999992</v>
      </c>
      <c r="AI11" s="695">
        <f>+AI9-AI10</f>
        <v>2.1526631899999984</v>
      </c>
      <c r="AJ11" s="695">
        <v>1.964630249999999</v>
      </c>
      <c r="AK11" s="695">
        <f>+AK9-AK10</f>
        <v>1.8361935899999935</v>
      </c>
      <c r="AL11" s="695">
        <f>+AL9-AL10</f>
        <v>2.2693815299999756</v>
      </c>
      <c r="AM11" s="695">
        <v>2.4468955700000379</v>
      </c>
      <c r="AN11" s="695">
        <f>+AN9-AN10</f>
        <v>2.3847388699999783</v>
      </c>
      <c r="AO11" s="695">
        <f>+AO9-AO10</f>
        <v>2.3982159700000238</v>
      </c>
      <c r="AP11" s="695">
        <f>+AP9-AP10</f>
        <v>2.5267059099999756</v>
      </c>
      <c r="AQ11" s="695">
        <f>+AQ9-AQ10</f>
        <v>2.5068105000000003</v>
      </c>
      <c r="AR11" s="695">
        <v>2.5078053799999793</v>
      </c>
      <c r="AS11" s="695">
        <f>+AS9-AS10</f>
        <v>2.2920741899999939</v>
      </c>
      <c r="AT11" s="695">
        <f>+AT9-AT10</f>
        <v>2.0173631499999374</v>
      </c>
      <c r="AU11" s="695">
        <f>+AU9-AU10</f>
        <v>2.3517030700000703</v>
      </c>
      <c r="AV11" s="695">
        <v>4.9041563800000176</v>
      </c>
      <c r="AW11" s="695">
        <v>206.03474307999988</v>
      </c>
      <c r="AX11" s="695">
        <v>5.0795818700000268</v>
      </c>
      <c r="AY11" s="695">
        <v>5.2036668700000632</v>
      </c>
      <c r="AZ11" s="695">
        <v>3.9735324600000013</v>
      </c>
      <c r="BA11" s="695">
        <v>3.6937928799999327</v>
      </c>
      <c r="BB11" s="695">
        <v>4.3396109600000159</v>
      </c>
      <c r="BC11" s="695">
        <v>3.2499688599999672</v>
      </c>
      <c r="BD11" s="695">
        <v>3.1957114599999841</v>
      </c>
      <c r="BE11" s="695">
        <f>+BE9-BE10</f>
        <v>3.1487126600000579</v>
      </c>
      <c r="BF11" s="695">
        <v>3.0527450199999748</v>
      </c>
      <c r="BG11" s="695">
        <v>3.8312828299999921</v>
      </c>
      <c r="BH11" s="695">
        <v>2.7739503800000023</v>
      </c>
      <c r="BI11" s="859">
        <v>3.4509709299999827</v>
      </c>
      <c r="BJ11" s="875">
        <v>6.9364763899999957</v>
      </c>
      <c r="BK11" s="875">
        <f>+BK9-BK10</f>
        <v>6.8463740999999914</v>
      </c>
      <c r="BL11" s="875">
        <v>7.0177946199999894</v>
      </c>
      <c r="BM11" s="875">
        <v>9.0834631800000238</v>
      </c>
      <c r="BN11" s="875">
        <v>9.1274744700000099</v>
      </c>
      <c r="BO11" s="875">
        <v>6.06193995000001</v>
      </c>
      <c r="BP11" s="875">
        <v>6.0050104499999861</v>
      </c>
      <c r="BQ11" s="875">
        <v>11.272310720000007</v>
      </c>
      <c r="BR11" s="875">
        <v>11.518442169999986</v>
      </c>
      <c r="BS11" s="875">
        <v>11.365995879999986</v>
      </c>
      <c r="BT11" s="875">
        <v>11.868416879999984</v>
      </c>
      <c r="BU11" s="875">
        <v>11.733202320000004</v>
      </c>
      <c r="BV11" s="875">
        <v>33.091287300000033</v>
      </c>
      <c r="BW11" s="875">
        <v>61.964159870000003</v>
      </c>
      <c r="BX11" s="875">
        <v>61.215234319999979</v>
      </c>
      <c r="BY11" s="875">
        <v>60.181907360000025</v>
      </c>
      <c r="BZ11" s="875">
        <v>64.17346426000006</v>
      </c>
      <c r="CA11" s="875">
        <v>64.141031289999944</v>
      </c>
      <c r="CB11" s="875">
        <v>65.037216569999998</v>
      </c>
      <c r="CC11" s="875">
        <v>63.807373730000052</v>
      </c>
      <c r="CD11" s="875">
        <v>61.200561929999992</v>
      </c>
      <c r="CE11" s="875">
        <v>62.394033330000013</v>
      </c>
      <c r="CF11" s="875">
        <f t="shared" ref="CF11:CP11" si="1">+CF9-CF10</f>
        <v>97.091917290000026</v>
      </c>
      <c r="CG11" s="875">
        <f t="shared" si="1"/>
        <v>80.057957710000039</v>
      </c>
      <c r="CH11" s="875">
        <f t="shared" si="1"/>
        <v>88.431389980000006</v>
      </c>
      <c r="CI11" s="875">
        <f t="shared" si="1"/>
        <v>98.551438780000069</v>
      </c>
      <c r="CJ11" s="875">
        <f t="shared" si="1"/>
        <v>98.267046660000062</v>
      </c>
      <c r="CK11" s="875">
        <f t="shared" si="1"/>
        <v>97.174945350000087</v>
      </c>
      <c r="CL11" s="875">
        <f t="shared" si="1"/>
        <v>95.509347649999938</v>
      </c>
      <c r="CM11" s="875">
        <f t="shared" si="1"/>
        <v>95.708408899999938</v>
      </c>
      <c r="CN11" s="875">
        <f t="shared" si="1"/>
        <v>93.163279509999995</v>
      </c>
      <c r="CO11" s="875">
        <f t="shared" si="1"/>
        <v>104.43333698999999</v>
      </c>
      <c r="CP11" s="875">
        <f t="shared" si="1"/>
        <v>104.34439936999996</v>
      </c>
      <c r="CQ11" s="875">
        <f>+CQ9-CQ10</f>
        <v>233.16446546000003</v>
      </c>
      <c r="CR11" s="875">
        <f>+CR9-CR10</f>
        <v>103.79612171000002</v>
      </c>
      <c r="CS11" s="875">
        <f>+CS9-CS10</f>
        <v>102.53922705000002</v>
      </c>
      <c r="CT11" s="875">
        <f>+CT9-CT10</f>
        <v>111.24621545000002</v>
      </c>
      <c r="CU11" s="875">
        <v>94.858258879999994</v>
      </c>
      <c r="CV11" s="875">
        <f>+CV9-CV10</f>
        <v>94.297422899999958</v>
      </c>
      <c r="CW11" s="875">
        <f>+CW9-CW10</f>
        <v>93.530373229999952</v>
      </c>
      <c r="CX11" s="875">
        <v>103.04561572999995</v>
      </c>
      <c r="CY11" s="875">
        <v>97.993453259999967</v>
      </c>
      <c r="CZ11" s="875">
        <v>91.73806940999998</v>
      </c>
      <c r="DA11" s="875">
        <v>88.292524700000001</v>
      </c>
      <c r="DB11" s="875">
        <v>95.189221199999963</v>
      </c>
      <c r="DC11" s="875">
        <v>94.467067899999961</v>
      </c>
      <c r="DD11" s="875">
        <f>DD9-DD10</f>
        <v>90.729430460000003</v>
      </c>
      <c r="DE11" s="875">
        <v>83.214246629999991</v>
      </c>
      <c r="DF11" s="875">
        <v>109.54692707999999</v>
      </c>
      <c r="DG11" s="875">
        <v>98.665163919999998</v>
      </c>
      <c r="DH11" s="875">
        <f>DH9-DH10</f>
        <v>96.179672679999953</v>
      </c>
      <c r="DI11" s="875">
        <v>98.981949269999973</v>
      </c>
      <c r="DJ11" s="875">
        <f>DJ9-DJ10</f>
        <v>94.987219769999967</v>
      </c>
      <c r="DK11" s="875">
        <v>96.058681010000043</v>
      </c>
      <c r="DL11" s="875">
        <v>100.62894545999995</v>
      </c>
      <c r="DM11" s="875">
        <v>88.186369099999979</v>
      </c>
      <c r="DN11" s="875">
        <v>73.737417760000028</v>
      </c>
      <c r="DO11" s="875">
        <f>DO9-DO10</f>
        <v>75.580554510000013</v>
      </c>
      <c r="DP11" s="875">
        <f>DP9-DP10</f>
        <v>77.948871080000004</v>
      </c>
      <c r="DQ11" s="875">
        <v>85.897725209999976</v>
      </c>
      <c r="DR11" s="875">
        <f>DR9-DR10</f>
        <v>91.373270830000024</v>
      </c>
      <c r="DS11" s="875">
        <f>DS9-DS10</f>
        <v>91.834117889999959</v>
      </c>
      <c r="DT11" s="875">
        <v>90.69961926000002</v>
      </c>
      <c r="DU11" s="875">
        <v>93.12409169</v>
      </c>
      <c r="DV11" s="875">
        <f>DV9-DV10</f>
        <v>96.478781900000001</v>
      </c>
      <c r="DW11" s="875">
        <f>DW9-DW10</f>
        <v>101.40834682999997</v>
      </c>
      <c r="DX11" s="875">
        <v>104.02887408999999</v>
      </c>
      <c r="DY11" s="875">
        <v>92.832385479999971</v>
      </c>
      <c r="DZ11" s="875">
        <f>DZ9-DZ10</f>
        <v>94.588452050000001</v>
      </c>
      <c r="EA11" s="875">
        <f>EA9-EA10</f>
        <v>91.120690799999977</v>
      </c>
      <c r="EB11" s="875">
        <v>85.092351260000044</v>
      </c>
      <c r="EC11" s="875">
        <v>86.999738579999985</v>
      </c>
      <c r="ED11" s="875">
        <v>87.371632169999998</v>
      </c>
      <c r="EE11" s="875">
        <v>79.830143919999955</v>
      </c>
      <c r="EF11" s="875">
        <v>80.023354390000009</v>
      </c>
      <c r="EG11" s="875">
        <v>80.842934249999985</v>
      </c>
      <c r="EH11" s="875">
        <v>123.37452961000002</v>
      </c>
      <c r="EI11" s="875">
        <v>123.36843784999996</v>
      </c>
      <c r="EJ11" s="875">
        <v>119.89203286000003</v>
      </c>
      <c r="EK11" s="875">
        <f>EK9-EK10</f>
        <v>117.12445517999998</v>
      </c>
      <c r="EL11" s="875">
        <v>129.59539818000002</v>
      </c>
      <c r="EM11" s="875">
        <v>139.85968438999998</v>
      </c>
      <c r="EN11" s="875">
        <v>139.98243868000003</v>
      </c>
      <c r="EO11" s="875">
        <f>EO9-EO10</f>
        <v>135.42193139</v>
      </c>
      <c r="EP11" s="875">
        <v>129.53652998999996</v>
      </c>
      <c r="EQ11" s="875">
        <v>127.22128588000004</v>
      </c>
      <c r="ER11" s="875">
        <v>131.16056473000003</v>
      </c>
      <c r="ES11" s="875">
        <v>132.10076776</v>
      </c>
      <c r="ET11" s="875">
        <v>131.26550993999999</v>
      </c>
      <c r="EU11" s="875">
        <f>EU9-EU10</f>
        <v>127.32154516</v>
      </c>
      <c r="EV11" s="1920" t="s">
        <v>4085</v>
      </c>
    </row>
    <row r="12" spans="1:152" ht="21">
      <c r="A12" s="1929"/>
      <c r="B12" s="863"/>
      <c r="C12" s="694"/>
      <c r="D12" s="694"/>
      <c r="E12" s="694"/>
      <c r="F12" s="694"/>
      <c r="G12" s="694"/>
      <c r="H12" s="694"/>
      <c r="I12" s="694"/>
      <c r="J12" s="694"/>
      <c r="K12" s="694"/>
      <c r="L12" s="694"/>
      <c r="M12" s="695"/>
      <c r="N12" s="695"/>
      <c r="O12" s="695"/>
      <c r="P12" s="695"/>
      <c r="Q12" s="695"/>
      <c r="R12" s="695"/>
      <c r="S12" s="695"/>
      <c r="T12" s="695"/>
      <c r="U12" s="695"/>
      <c r="V12" s="695"/>
      <c r="W12" s="695"/>
      <c r="X12" s="695"/>
      <c r="Y12" s="695"/>
      <c r="Z12" s="695"/>
      <c r="AA12" s="695"/>
      <c r="AB12" s="695"/>
      <c r="AC12" s="695"/>
      <c r="AD12" s="695"/>
      <c r="AE12" s="695"/>
      <c r="AF12" s="695"/>
      <c r="AG12" s="695"/>
      <c r="AH12" s="695"/>
      <c r="AI12" s="695"/>
      <c r="AJ12" s="695"/>
      <c r="AK12" s="695"/>
      <c r="AL12" s="695"/>
      <c r="AM12" s="695"/>
      <c r="AN12" s="695"/>
      <c r="AO12" s="695"/>
      <c r="AP12" s="695"/>
      <c r="AQ12" s="695"/>
      <c r="AR12" s="695"/>
      <c r="AS12" s="695"/>
      <c r="AT12" s="695"/>
      <c r="AU12" s="695"/>
      <c r="AV12" s="695"/>
      <c r="AW12" s="695"/>
      <c r="AX12" s="695"/>
      <c r="AY12" s="695"/>
      <c r="AZ12" s="695"/>
      <c r="BA12" s="695"/>
      <c r="BB12" s="695"/>
      <c r="BC12" s="695"/>
      <c r="BD12" s="695"/>
      <c r="BE12" s="695"/>
      <c r="BF12" s="695"/>
      <c r="BG12" s="695"/>
      <c r="BH12" s="695"/>
      <c r="BI12" s="859"/>
      <c r="BJ12" s="875"/>
      <c r="BK12" s="875"/>
      <c r="BL12" s="875"/>
      <c r="BM12" s="875"/>
      <c r="BN12" s="875"/>
      <c r="BO12" s="875"/>
      <c r="BP12" s="875"/>
      <c r="BQ12" s="875"/>
      <c r="BR12" s="875"/>
      <c r="BS12" s="875"/>
      <c r="BT12" s="875"/>
      <c r="BU12" s="875"/>
      <c r="BV12" s="875"/>
      <c r="BW12" s="875"/>
      <c r="BX12" s="875"/>
      <c r="BY12" s="875"/>
      <c r="BZ12" s="875"/>
      <c r="CA12" s="875"/>
      <c r="CB12" s="875"/>
      <c r="CC12" s="875"/>
      <c r="CD12" s="875"/>
      <c r="CE12" s="875"/>
      <c r="CF12" s="875"/>
      <c r="CG12" s="875"/>
      <c r="CH12" s="875"/>
      <c r="CI12" s="875"/>
      <c r="CJ12" s="875"/>
      <c r="CK12" s="875"/>
      <c r="CL12" s="875"/>
      <c r="CM12" s="875"/>
      <c r="CN12" s="875"/>
      <c r="CO12" s="875"/>
      <c r="CP12" s="875"/>
      <c r="CQ12" s="875"/>
      <c r="CR12" s="875"/>
      <c r="CS12" s="875"/>
      <c r="CT12" s="875"/>
      <c r="CU12" s="875"/>
      <c r="CV12" s="875"/>
      <c r="CW12" s="875"/>
      <c r="CX12" s="875"/>
      <c r="CY12" s="875"/>
      <c r="CZ12" s="875"/>
      <c r="DA12" s="875"/>
      <c r="DB12" s="875"/>
      <c r="DC12" s="875"/>
      <c r="DD12" s="875"/>
      <c r="DE12" s="875"/>
      <c r="DF12" s="875"/>
      <c r="DG12" s="875"/>
      <c r="DH12" s="875"/>
      <c r="DI12" s="875"/>
      <c r="DJ12" s="875"/>
      <c r="DK12" s="875"/>
      <c r="DL12" s="875"/>
      <c r="DM12" s="875"/>
      <c r="DN12" s="875"/>
      <c r="DO12" s="875"/>
      <c r="DP12" s="875"/>
      <c r="DQ12" s="875"/>
      <c r="DR12" s="875"/>
      <c r="DS12" s="875"/>
      <c r="DT12" s="875"/>
      <c r="DU12" s="875"/>
      <c r="DV12" s="875"/>
      <c r="DW12" s="875"/>
      <c r="DX12" s="875"/>
      <c r="DY12" s="875"/>
      <c r="DZ12" s="875"/>
      <c r="EA12" s="875"/>
      <c r="EB12" s="875"/>
      <c r="EC12" s="875"/>
      <c r="ED12" s="875"/>
      <c r="EE12" s="875"/>
      <c r="EF12" s="875"/>
      <c r="EG12" s="875"/>
      <c r="EH12" s="875"/>
      <c r="EI12" s="875"/>
      <c r="EJ12" s="875"/>
      <c r="EK12" s="875"/>
      <c r="EL12" s="875"/>
      <c r="EM12" s="875"/>
      <c r="EN12" s="875"/>
      <c r="EO12" s="875"/>
      <c r="EP12" s="875"/>
      <c r="EQ12" s="875"/>
      <c r="ER12" s="875"/>
      <c r="ES12" s="875"/>
      <c r="ET12" s="875"/>
      <c r="EU12" s="875"/>
      <c r="EV12" s="1919"/>
    </row>
    <row r="13" spans="1:152" ht="21">
      <c r="A13" s="1930" t="s">
        <v>2756</v>
      </c>
      <c r="B13" s="862">
        <v>2.8740968499999999</v>
      </c>
      <c r="C13" s="692">
        <v>5.6771662999999997</v>
      </c>
      <c r="D13" s="692">
        <v>5.6291031500000006</v>
      </c>
      <c r="E13" s="692">
        <v>5.6767836799999998</v>
      </c>
      <c r="F13" s="692">
        <v>3.0375995699999998</v>
      </c>
      <c r="G13" s="692">
        <v>35.588423130000002</v>
      </c>
      <c r="H13" s="692">
        <v>37.596644469999994</v>
      </c>
      <c r="I13" s="692">
        <v>37.631974410000005</v>
      </c>
      <c r="J13" s="692">
        <v>87.696098110000008</v>
      </c>
      <c r="K13" s="692">
        <v>27.852188869999999</v>
      </c>
      <c r="L13" s="692">
        <v>27.823703610000003</v>
      </c>
      <c r="M13" s="693">
        <v>17.855383409999998</v>
      </c>
      <c r="N13" s="693">
        <v>18.709724860000001</v>
      </c>
      <c r="O13" s="693">
        <v>18.756983009999999</v>
      </c>
      <c r="P13" s="693">
        <v>18.778273210000002</v>
      </c>
      <c r="Q13" s="693">
        <v>13.86679805</v>
      </c>
      <c r="R13" s="693">
        <v>47.34396228</v>
      </c>
      <c r="S13" s="693">
        <v>4.7781582800000004</v>
      </c>
      <c r="T13" s="693">
        <v>5.5584936800000007</v>
      </c>
      <c r="U13" s="693">
        <v>5.450318610000001</v>
      </c>
      <c r="V13" s="693">
        <v>5.2488262399999996</v>
      </c>
      <c r="W13" s="693">
        <v>5.2819258000000007</v>
      </c>
      <c r="X13" s="693">
        <v>5.2819258000000007</v>
      </c>
      <c r="Y13" s="693">
        <v>5.2045707000000005</v>
      </c>
      <c r="Z13" s="693">
        <v>5.2045707000000005</v>
      </c>
      <c r="AA13" s="693">
        <v>5.5570183500000008</v>
      </c>
      <c r="AB13" s="693">
        <v>7.2793911200000005</v>
      </c>
      <c r="AC13" s="693">
        <v>7.1328719299999994</v>
      </c>
      <c r="AD13" s="693">
        <v>8.1722276300000001</v>
      </c>
      <c r="AE13" s="693">
        <v>8.0734267099999997</v>
      </c>
      <c r="AF13" s="693">
        <v>8.2065346699999999</v>
      </c>
      <c r="AG13" s="693">
        <v>8.8711795200000001</v>
      </c>
      <c r="AH13" s="693">
        <v>8.30218934</v>
      </c>
      <c r="AI13" s="693">
        <v>8.2979213500000011</v>
      </c>
      <c r="AJ13" s="693">
        <v>8.1013510399999991</v>
      </c>
      <c r="AK13" s="693">
        <v>20.627401850000002</v>
      </c>
      <c r="AL13" s="693">
        <v>23.194922470000002</v>
      </c>
      <c r="AM13" s="693">
        <v>19.90441899</v>
      </c>
      <c r="AN13" s="693">
        <v>13.163477129999999</v>
      </c>
      <c r="AO13" s="693">
        <v>13.416103699999999</v>
      </c>
      <c r="AP13" s="693">
        <v>13.205179729999999</v>
      </c>
      <c r="AQ13" s="693">
        <v>12.768704100000001</v>
      </c>
      <c r="AR13" s="693">
        <v>13.140022990000002</v>
      </c>
      <c r="AS13" s="693">
        <v>0.15270802999999999</v>
      </c>
      <c r="AT13" s="693">
        <v>0.36757821000000002</v>
      </c>
      <c r="AU13" s="693">
        <v>0.61966862</v>
      </c>
      <c r="AV13" s="693">
        <v>0.93228266999999998</v>
      </c>
      <c r="AW13" s="693">
        <v>0.87204466999999997</v>
      </c>
      <c r="AX13" s="693">
        <v>0.88605076999999999</v>
      </c>
      <c r="AY13" s="693">
        <v>0.9394104900000001</v>
      </c>
      <c r="AZ13" s="693">
        <v>0.70028387000000003</v>
      </c>
      <c r="BA13" s="693">
        <v>0.77639049999999998</v>
      </c>
      <c r="BB13" s="693">
        <v>140.49145525999998</v>
      </c>
      <c r="BC13" s="693">
        <v>140.44904</v>
      </c>
      <c r="BD13" s="693">
        <v>140.457292</v>
      </c>
      <c r="BE13" s="693">
        <v>0.88446800000000003</v>
      </c>
      <c r="BF13" s="693">
        <v>0.85050000000000003</v>
      </c>
      <c r="BG13" s="693">
        <v>0.85009999999999997</v>
      </c>
      <c r="BH13" s="693">
        <v>0.85009999999999997</v>
      </c>
      <c r="BI13" s="858">
        <v>98.850049999999996</v>
      </c>
      <c r="BJ13" s="874">
        <v>0.816048</v>
      </c>
      <c r="BK13" s="874">
        <v>0.816048</v>
      </c>
      <c r="BL13" s="874">
        <v>0.85246633000000005</v>
      </c>
      <c r="BM13" s="874">
        <v>0.81599706000000005</v>
      </c>
      <c r="BN13" s="874">
        <v>0.81599706000000005</v>
      </c>
      <c r="BO13" s="874">
        <v>0.81599706000000005</v>
      </c>
      <c r="BP13" s="874">
        <v>1.0359970600000001</v>
      </c>
      <c r="BQ13" s="874">
        <v>0.81599706000000005</v>
      </c>
      <c r="BR13" s="874">
        <v>0.88701006000000016</v>
      </c>
      <c r="BS13" s="874">
        <v>0.88659006000000007</v>
      </c>
      <c r="BT13" s="874">
        <v>0.86796406000000015</v>
      </c>
      <c r="BU13" s="874">
        <v>0.87556606000000015</v>
      </c>
      <c r="BV13" s="874">
        <v>0.81627306000000011</v>
      </c>
      <c r="BW13" s="874">
        <v>0.81599706000000005</v>
      </c>
      <c r="BX13" s="874">
        <v>0.81599706000000005</v>
      </c>
      <c r="BY13" s="874">
        <v>0.85869706000000001</v>
      </c>
      <c r="BZ13" s="874">
        <v>5.3198520600000005</v>
      </c>
      <c r="CA13" s="874">
        <v>6.1031830400000002</v>
      </c>
      <c r="CB13" s="874">
        <v>5.9651149399999994</v>
      </c>
      <c r="CC13" s="874">
        <v>5.5109333500000002</v>
      </c>
      <c r="CD13" s="874">
        <v>3.3473536199999998</v>
      </c>
      <c r="CE13" s="874">
        <v>5.0256536199999999</v>
      </c>
      <c r="CF13" s="874">
        <v>4.7232755800000001</v>
      </c>
      <c r="CG13" s="874">
        <v>4.41426593</v>
      </c>
      <c r="CH13" s="874">
        <v>12.232467199999999</v>
      </c>
      <c r="CI13" s="874">
        <v>12.26686754</v>
      </c>
      <c r="CJ13" s="874">
        <v>14.979392259999999</v>
      </c>
      <c r="CK13" s="874">
        <v>12.536416449999999</v>
      </c>
      <c r="CL13" s="874">
        <v>11.443610749999999</v>
      </c>
      <c r="CM13" s="874">
        <v>10.408226000000001</v>
      </c>
      <c r="CN13" s="874">
        <v>9.8113780399999992</v>
      </c>
      <c r="CO13" s="874">
        <v>17.626181409999997</v>
      </c>
      <c r="CP13" s="874">
        <v>17.67343782</v>
      </c>
      <c r="CQ13" s="874">
        <v>8.2604716099999997</v>
      </c>
      <c r="CR13" s="874">
        <v>8.3248418300000004</v>
      </c>
      <c r="CS13" s="874">
        <v>8.4334663400000007</v>
      </c>
      <c r="CT13" s="874">
        <v>15.77184445</v>
      </c>
      <c r="CU13" s="874">
        <v>9.1074707099999994</v>
      </c>
      <c r="CV13" s="874">
        <v>9.3147063299999999</v>
      </c>
      <c r="CW13" s="874">
        <v>10.324791579999999</v>
      </c>
      <c r="CX13" s="874">
        <v>10.417638459999999</v>
      </c>
      <c r="CY13" s="874">
        <v>9.91790007</v>
      </c>
      <c r="CZ13" s="874">
        <v>9.9598734800000006</v>
      </c>
      <c r="DA13" s="874">
        <v>10.232001350000001</v>
      </c>
      <c r="DB13" s="874">
        <v>17.563568650000001</v>
      </c>
      <c r="DC13" s="874">
        <v>19.262387579999999</v>
      </c>
      <c r="DD13" s="874">
        <v>19.288741219999999</v>
      </c>
      <c r="DE13" s="874">
        <v>21.14849049</v>
      </c>
      <c r="DF13" s="874">
        <v>20.29505172</v>
      </c>
      <c r="DG13" s="874">
        <v>13.45003333</v>
      </c>
      <c r="DH13" s="874">
        <v>13.11406302</v>
      </c>
      <c r="DI13" s="874">
        <v>5.3825272899999996</v>
      </c>
      <c r="DJ13" s="874">
        <v>8.1184653699999991</v>
      </c>
      <c r="DK13" s="874">
        <v>8.0094093300000004</v>
      </c>
      <c r="DL13" s="874">
        <v>19.88551245</v>
      </c>
      <c r="DM13" s="874">
        <v>20.127247010000001</v>
      </c>
      <c r="DN13" s="874">
        <v>6.3009873599999997</v>
      </c>
      <c r="DO13" s="874">
        <v>9.0571378800000009</v>
      </c>
      <c r="DP13" s="874">
        <v>8.6594223199999991</v>
      </c>
      <c r="DQ13" s="874">
        <v>7.3743855900000002</v>
      </c>
      <c r="DR13" s="874">
        <v>9.0760900200000005</v>
      </c>
      <c r="DS13" s="874">
        <v>9.2034101800000006</v>
      </c>
      <c r="DT13" s="874">
        <v>5.9431387300000003</v>
      </c>
      <c r="DU13" s="874">
        <v>4.3075684799999996</v>
      </c>
      <c r="DV13" s="874">
        <v>8.8378806999999995</v>
      </c>
      <c r="DW13" s="874">
        <v>14.731244050000001</v>
      </c>
      <c r="DX13" s="874">
        <v>17.696043979999999</v>
      </c>
      <c r="DY13" s="874">
        <v>12.80248913</v>
      </c>
      <c r="DZ13" s="874">
        <v>14.69115274</v>
      </c>
      <c r="EA13" s="874">
        <v>13.673789230000001</v>
      </c>
      <c r="EB13" s="874">
        <v>8.8868704600000008</v>
      </c>
      <c r="EC13" s="874">
        <v>9.4180778699999994</v>
      </c>
      <c r="ED13" s="874">
        <v>11.325291529999999</v>
      </c>
      <c r="EE13" s="874">
        <v>6.5081812899999996</v>
      </c>
      <c r="EF13" s="874">
        <v>6.3179737400000002</v>
      </c>
      <c r="EG13" s="874">
        <v>9.92933384</v>
      </c>
      <c r="EH13" s="874">
        <v>11.282580360000001</v>
      </c>
      <c r="EI13" s="874">
        <v>10.99527503</v>
      </c>
      <c r="EJ13" s="874">
        <v>9.8434596400000007</v>
      </c>
      <c r="EK13" s="874">
        <v>10.830849929999999</v>
      </c>
      <c r="EL13" s="874">
        <v>20.87744738</v>
      </c>
      <c r="EM13" s="874">
        <v>19.558145079999999</v>
      </c>
      <c r="EN13" s="874">
        <v>10.739294299999999</v>
      </c>
      <c r="EO13" s="874">
        <v>10.1630182</v>
      </c>
      <c r="EP13" s="874">
        <v>11.137748290000001</v>
      </c>
      <c r="EQ13" s="874">
        <v>10.06589831</v>
      </c>
      <c r="ER13" s="874">
        <v>15.111576919999999</v>
      </c>
      <c r="ES13" s="874">
        <v>15.48235629</v>
      </c>
      <c r="ET13" s="874">
        <v>14.96607511</v>
      </c>
      <c r="EU13" s="874">
        <v>12.729306169999999</v>
      </c>
      <c r="EV13" s="1918" t="s">
        <v>4083</v>
      </c>
    </row>
    <row r="14" spans="1:152" ht="21">
      <c r="A14" s="1931" t="s">
        <v>1974</v>
      </c>
      <c r="B14" s="863">
        <v>0</v>
      </c>
      <c r="C14" s="694">
        <v>2.7385004300000002</v>
      </c>
      <c r="D14" s="694">
        <v>2.6726596000000002</v>
      </c>
      <c r="E14" s="694">
        <v>2.7278809399999999</v>
      </c>
      <c r="F14" s="694">
        <v>2.8654030399999999</v>
      </c>
      <c r="G14" s="694">
        <v>32.72177473</v>
      </c>
      <c r="H14" s="694">
        <v>33.655512889999997</v>
      </c>
      <c r="I14" s="694">
        <v>33.650943060000003</v>
      </c>
      <c r="J14" s="694">
        <v>83.723708830000007</v>
      </c>
      <c r="K14" s="694">
        <v>23.78030442</v>
      </c>
      <c r="L14" s="694">
        <v>23.753940010000001</v>
      </c>
      <c r="M14" s="695">
        <v>13.789444079999999</v>
      </c>
      <c r="N14" s="695">
        <v>14.63156671</v>
      </c>
      <c r="O14" s="695">
        <v>14.68387617</v>
      </c>
      <c r="P14" s="695">
        <v>14.70000492</v>
      </c>
      <c r="Q14" s="695">
        <v>9.7204927899999998</v>
      </c>
      <c r="R14" s="695">
        <v>46.702109489999998</v>
      </c>
      <c r="S14" s="695">
        <v>4.66469603</v>
      </c>
      <c r="T14" s="695">
        <v>5.4504879500000003</v>
      </c>
      <c r="U14" s="695">
        <v>5.3634673600000005</v>
      </c>
      <c r="V14" s="695">
        <v>5.1646304599999997</v>
      </c>
      <c r="W14" s="695">
        <v>5.1216602500000006</v>
      </c>
      <c r="X14" s="695">
        <v>5.1216602500000006</v>
      </c>
      <c r="Y14" s="695">
        <v>4.9400510800000008</v>
      </c>
      <c r="Z14" s="695">
        <v>4.9400510800000008</v>
      </c>
      <c r="AA14" s="695">
        <v>5.3302484000000003</v>
      </c>
      <c r="AB14" s="695">
        <v>7.0609506200000007</v>
      </c>
      <c r="AC14" s="695">
        <v>6.9243017</v>
      </c>
      <c r="AD14" s="695">
        <v>7.1201833799999994</v>
      </c>
      <c r="AE14" s="695">
        <v>7.0290342199999998</v>
      </c>
      <c r="AF14" s="695">
        <v>7.1699508499999993</v>
      </c>
      <c r="AG14" s="695">
        <v>7.9315527599999998</v>
      </c>
      <c r="AH14" s="695">
        <v>8.1318709200000008</v>
      </c>
      <c r="AI14" s="695">
        <v>8.134775320000001</v>
      </c>
      <c r="AJ14" s="695">
        <v>7.9454957799999999</v>
      </c>
      <c r="AK14" s="695">
        <v>20.48154809</v>
      </c>
      <c r="AL14" s="695">
        <v>23.04907021</v>
      </c>
      <c r="AM14" s="695">
        <v>19.688568229999998</v>
      </c>
      <c r="AN14" s="695">
        <v>12.94840187</v>
      </c>
      <c r="AO14" s="695">
        <v>13.201789939999999</v>
      </c>
      <c r="AP14" s="695">
        <v>12.990761529999999</v>
      </c>
      <c r="AQ14" s="695">
        <v>12.5550879</v>
      </c>
      <c r="AR14" s="695">
        <v>12.927557520000002</v>
      </c>
      <c r="AS14" s="695">
        <v>1.0605599999999999E-3</v>
      </c>
      <c r="AT14" s="695">
        <v>0.26570658000000003</v>
      </c>
      <c r="AU14" s="695">
        <v>0.51981456000000004</v>
      </c>
      <c r="AV14" s="695">
        <v>0.52525555999999995</v>
      </c>
      <c r="AW14" s="695">
        <v>0.27815255999999999</v>
      </c>
      <c r="AX14" s="695">
        <v>0.28437756000000003</v>
      </c>
      <c r="AY14" s="695">
        <v>0.30770656000000002</v>
      </c>
      <c r="AZ14" s="695">
        <v>0.28066756000000004</v>
      </c>
      <c r="BA14" s="695">
        <v>0.55287655999999996</v>
      </c>
      <c r="BB14" s="695">
        <v>139.60606955999998</v>
      </c>
      <c r="BC14" s="695">
        <v>139.56400281999998</v>
      </c>
      <c r="BD14" s="695">
        <v>139.57230793000002</v>
      </c>
      <c r="BE14" s="695">
        <v>0</v>
      </c>
      <c r="BF14" s="695">
        <v>0</v>
      </c>
      <c r="BG14" s="695">
        <v>0</v>
      </c>
      <c r="BH14" s="695">
        <v>0</v>
      </c>
      <c r="BI14" s="859">
        <v>98</v>
      </c>
      <c r="BJ14" s="875">
        <v>0</v>
      </c>
      <c r="BK14" s="875">
        <v>0</v>
      </c>
      <c r="BL14" s="875">
        <v>3.6421269999999999E-2</v>
      </c>
      <c r="BM14" s="875">
        <v>0</v>
      </c>
      <c r="BN14" s="875">
        <v>0</v>
      </c>
      <c r="BO14" s="875">
        <v>0</v>
      </c>
      <c r="BP14" s="875">
        <v>0</v>
      </c>
      <c r="BQ14" s="875">
        <v>0</v>
      </c>
      <c r="BR14" s="875">
        <v>0</v>
      </c>
      <c r="BS14" s="875">
        <v>0</v>
      </c>
      <c r="BT14" s="875">
        <v>0</v>
      </c>
      <c r="BU14" s="875">
        <v>0</v>
      </c>
      <c r="BV14" s="875">
        <v>0</v>
      </c>
      <c r="BW14" s="875">
        <v>0</v>
      </c>
      <c r="BX14" s="875">
        <v>0</v>
      </c>
      <c r="BY14" s="875">
        <v>0</v>
      </c>
      <c r="BZ14" s="875">
        <v>0</v>
      </c>
      <c r="CA14" s="875">
        <v>0</v>
      </c>
      <c r="CB14" s="875">
        <v>0</v>
      </c>
      <c r="CC14" s="875">
        <v>0</v>
      </c>
      <c r="CD14" s="875">
        <v>0</v>
      </c>
      <c r="CE14" s="875">
        <v>0</v>
      </c>
      <c r="CF14" s="875">
        <v>0</v>
      </c>
      <c r="CG14" s="875">
        <v>0</v>
      </c>
      <c r="CH14" s="875">
        <v>0</v>
      </c>
      <c r="CI14" s="875">
        <v>0</v>
      </c>
      <c r="CJ14" s="875">
        <v>0</v>
      </c>
      <c r="CK14" s="875">
        <v>0</v>
      </c>
      <c r="CL14" s="875">
        <v>0</v>
      </c>
      <c r="CM14" s="875">
        <v>0</v>
      </c>
      <c r="CN14" s="875">
        <v>0</v>
      </c>
      <c r="CO14" s="875">
        <v>0</v>
      </c>
      <c r="CP14" s="875">
        <v>0</v>
      </c>
      <c r="CQ14" s="875">
        <v>0</v>
      </c>
      <c r="CR14" s="875">
        <v>0</v>
      </c>
      <c r="CS14" s="875">
        <v>8.0620499999999994E-3</v>
      </c>
      <c r="CT14" s="875">
        <v>8.0620499999999994E-3</v>
      </c>
      <c r="CU14" s="875">
        <v>3.6393100000000002E-3</v>
      </c>
      <c r="CV14" s="875">
        <v>0</v>
      </c>
      <c r="CW14" s="875">
        <v>0</v>
      </c>
      <c r="CX14" s="875">
        <v>0</v>
      </c>
      <c r="CY14" s="875">
        <v>0</v>
      </c>
      <c r="CZ14" s="875">
        <v>0</v>
      </c>
      <c r="DA14" s="875">
        <v>0</v>
      </c>
      <c r="DB14" s="875">
        <v>0</v>
      </c>
      <c r="DC14" s="875">
        <v>0</v>
      </c>
      <c r="DD14" s="875">
        <v>0</v>
      </c>
      <c r="DE14" s="875">
        <v>0</v>
      </c>
      <c r="DF14" s="875">
        <v>0.3</v>
      </c>
      <c r="DG14" s="875">
        <v>0.3</v>
      </c>
      <c r="DH14" s="875">
        <v>0.26794900999999999</v>
      </c>
      <c r="DI14" s="875">
        <v>0.23551254999999999</v>
      </c>
      <c r="DJ14" s="875">
        <v>0.20277876</v>
      </c>
      <c r="DK14" s="875">
        <v>0.16993079</v>
      </c>
      <c r="DL14" s="875">
        <v>0.13644006</v>
      </c>
      <c r="DM14" s="875">
        <v>0.1027981</v>
      </c>
      <c r="DN14" s="875">
        <v>6.8847759999999994E-2</v>
      </c>
      <c r="DO14" s="875">
        <v>0</v>
      </c>
      <c r="DP14" s="875">
        <v>0</v>
      </c>
      <c r="DQ14" s="875">
        <v>0</v>
      </c>
      <c r="DR14" s="875">
        <v>0.02</v>
      </c>
      <c r="DS14" s="875">
        <v>1.8509680000000001E-2</v>
      </c>
      <c r="DT14" s="875">
        <v>1.6948350000000001E-2</v>
      </c>
      <c r="DU14" s="875">
        <v>1.544062E-2</v>
      </c>
      <c r="DV14" s="875">
        <v>1.382917E-2</v>
      </c>
      <c r="DW14" s="875">
        <v>1.2183329999999999E-2</v>
      </c>
      <c r="DX14" s="875">
        <v>1.052578E-2</v>
      </c>
      <c r="DY14" s="875">
        <v>0</v>
      </c>
      <c r="DZ14" s="875">
        <v>0</v>
      </c>
      <c r="EA14" s="875">
        <v>0.05</v>
      </c>
      <c r="EB14" s="875">
        <v>4.6183589999999997E-2</v>
      </c>
      <c r="EC14" s="875">
        <v>4.222654E-2</v>
      </c>
      <c r="ED14" s="875">
        <v>8.8257409999999994E-2</v>
      </c>
      <c r="EE14" s="875">
        <v>8.0001970000000006E-2</v>
      </c>
      <c r="EF14" s="875">
        <v>7.2098889999999999E-2</v>
      </c>
      <c r="EG14" s="875">
        <v>6.4091480000000006E-2</v>
      </c>
      <c r="EH14" s="875">
        <v>5.5974290000000003E-2</v>
      </c>
      <c r="EI14" s="875">
        <v>4.7741199999999998E-2</v>
      </c>
      <c r="EJ14" s="875">
        <v>3.933917E-2</v>
      </c>
      <c r="EK14" s="875">
        <v>1.5037980099999999</v>
      </c>
      <c r="EL14" s="875">
        <v>2.0044250400000001</v>
      </c>
      <c r="EM14" s="875">
        <v>2</v>
      </c>
      <c r="EN14" s="875">
        <v>2.0299999999999998</v>
      </c>
      <c r="EO14" s="875">
        <v>2.0299999999999998</v>
      </c>
      <c r="EP14" s="875">
        <v>1.8875766100000002</v>
      </c>
      <c r="EQ14" s="875">
        <v>2.558941E-2</v>
      </c>
      <c r="ER14" s="875">
        <v>2.0232268699999998</v>
      </c>
      <c r="ES14" s="875">
        <v>2.0208365399999999</v>
      </c>
      <c r="ET14" s="875">
        <v>2.0183786700000002</v>
      </c>
      <c r="EU14" s="875">
        <v>2.0159113899999999</v>
      </c>
      <c r="EV14" s="1920" t="s">
        <v>4086</v>
      </c>
    </row>
    <row r="15" spans="1:152" ht="21">
      <c r="A15" s="1931" t="s">
        <v>1975</v>
      </c>
      <c r="B15" s="863">
        <f>+B13-B14</f>
        <v>2.8740968499999999</v>
      </c>
      <c r="C15" s="694">
        <f t="shared" ref="C15:T15" si="2">+C13-C14</f>
        <v>2.9386658699999995</v>
      </c>
      <c r="D15" s="694">
        <f t="shared" si="2"/>
        <v>2.9564435500000004</v>
      </c>
      <c r="E15" s="694">
        <f t="shared" si="2"/>
        <v>2.9489027399999999</v>
      </c>
      <c r="F15" s="694">
        <f t="shared" si="2"/>
        <v>0.1721965299999999</v>
      </c>
      <c r="G15" s="694">
        <f t="shared" si="2"/>
        <v>2.8666484000000025</v>
      </c>
      <c r="H15" s="694">
        <f t="shared" si="2"/>
        <v>3.9411315799999969</v>
      </c>
      <c r="I15" s="694">
        <f t="shared" si="2"/>
        <v>3.9810313500000021</v>
      </c>
      <c r="J15" s="694">
        <f t="shared" si="2"/>
        <v>3.9723892800000016</v>
      </c>
      <c r="K15" s="694">
        <f t="shared" si="2"/>
        <v>4.0718844499999989</v>
      </c>
      <c r="L15" s="694">
        <f t="shared" si="2"/>
        <v>4.0697636000000017</v>
      </c>
      <c r="M15" s="695">
        <f t="shared" si="2"/>
        <v>4.0659393299999991</v>
      </c>
      <c r="N15" s="695">
        <f t="shared" si="2"/>
        <v>4.0781581500000019</v>
      </c>
      <c r="O15" s="695">
        <f t="shared" si="2"/>
        <v>4.0731068399999995</v>
      </c>
      <c r="P15" s="695">
        <f t="shared" si="2"/>
        <v>4.0782682900000022</v>
      </c>
      <c r="Q15" s="695">
        <f t="shared" si="2"/>
        <v>4.1463052600000001</v>
      </c>
      <c r="R15" s="695">
        <f t="shared" si="2"/>
        <v>0.64185279000000151</v>
      </c>
      <c r="S15" s="695">
        <f t="shared" si="2"/>
        <v>0.11346225000000043</v>
      </c>
      <c r="T15" s="695">
        <f t="shared" si="2"/>
        <v>0.10800573000000036</v>
      </c>
      <c r="U15" s="695">
        <f>+U13-U14</f>
        <v>8.6851250000000491E-2</v>
      </c>
      <c r="V15" s="695">
        <f>+V13-V14</f>
        <v>8.4195779999999942E-2</v>
      </c>
      <c r="W15" s="695">
        <v>0.16026555000000009</v>
      </c>
      <c r="X15" s="695">
        <v>0.16026555000000009</v>
      </c>
      <c r="Y15" s="695">
        <v>0.26451961999999973</v>
      </c>
      <c r="Z15" s="695">
        <v>0.26451961999999973</v>
      </c>
      <c r="AA15" s="695">
        <v>0.22676995000000044</v>
      </c>
      <c r="AB15" s="695">
        <v>0.21844049999999982</v>
      </c>
      <c r="AC15" s="695">
        <v>0.20857022999999941</v>
      </c>
      <c r="AD15" s="695">
        <v>1.0520442500000007</v>
      </c>
      <c r="AE15" s="695">
        <v>1.0443924899999999</v>
      </c>
      <c r="AF15" s="695">
        <v>1.0365838200000006</v>
      </c>
      <c r="AG15" s="695">
        <v>0.93962676000000034</v>
      </c>
      <c r="AH15" s="695">
        <v>0.17031841999999919</v>
      </c>
      <c r="AI15" s="695">
        <f>+AI13-AI14</f>
        <v>0.16314603000000005</v>
      </c>
      <c r="AJ15" s="695">
        <v>0.15585525999999916</v>
      </c>
      <c r="AK15" s="695">
        <f>+AK13-AK14</f>
        <v>0.14585376000000139</v>
      </c>
      <c r="AL15" s="695">
        <f>+AL13-AL14</f>
        <v>0.14585226000000162</v>
      </c>
      <c r="AM15" s="695">
        <v>0.21585076000000214</v>
      </c>
      <c r="AN15" s="695">
        <f>+AN13-AN14</f>
        <v>0.21507525999999899</v>
      </c>
      <c r="AO15" s="695">
        <f>+AO13-AO14</f>
        <v>0.21431375999999958</v>
      </c>
      <c r="AP15" s="695">
        <f>+AP13-AP14</f>
        <v>0.21441820000000078</v>
      </c>
      <c r="AQ15" s="695">
        <f>+AQ13-AQ14</f>
        <v>0.21361620000000059</v>
      </c>
      <c r="AR15" s="695">
        <v>0.21246546999999971</v>
      </c>
      <c r="AS15" s="695">
        <f>+AS13-AS14</f>
        <v>0.15164747000000001</v>
      </c>
      <c r="AT15" s="695">
        <f>+AT13-AT14</f>
        <v>0.10187162999999999</v>
      </c>
      <c r="AU15" s="695">
        <f>+AU13-AU14</f>
        <v>9.9854059999999967E-2</v>
      </c>
      <c r="AV15" s="695">
        <v>0.40702711000000003</v>
      </c>
      <c r="AW15" s="695">
        <v>0.59389210999999997</v>
      </c>
      <c r="AX15" s="695">
        <v>0.60167320999999996</v>
      </c>
      <c r="AY15" s="695">
        <v>0.63170393000000002</v>
      </c>
      <c r="AZ15" s="695">
        <v>0.41961630999999999</v>
      </c>
      <c r="BA15" s="695">
        <v>0.22351394000000002</v>
      </c>
      <c r="BB15" s="695">
        <v>0.8853857000000005</v>
      </c>
      <c r="BC15" s="695">
        <v>0.88503718000001186</v>
      </c>
      <c r="BD15" s="695">
        <v>0.88498406999997314</v>
      </c>
      <c r="BE15" s="695">
        <f>+BE13-BE14</f>
        <v>0.88446800000000003</v>
      </c>
      <c r="BF15" s="695">
        <v>0.85050000000000003</v>
      </c>
      <c r="BG15" s="695">
        <v>0.85009999999999997</v>
      </c>
      <c r="BH15" s="695">
        <v>0.85009999999999997</v>
      </c>
      <c r="BI15" s="859">
        <v>0.85004999999999598</v>
      </c>
      <c r="BJ15" s="875">
        <v>0.816048</v>
      </c>
      <c r="BK15" s="875">
        <f>+BK13-BK14</f>
        <v>0.816048</v>
      </c>
      <c r="BL15" s="875">
        <v>0.8160450600000001</v>
      </c>
      <c r="BM15" s="875">
        <v>0.81599706000000005</v>
      </c>
      <c r="BN15" s="875">
        <v>0.81599706000000005</v>
      </c>
      <c r="BO15" s="875">
        <v>0.81599706000000005</v>
      </c>
      <c r="BP15" s="875">
        <v>1.0359970600000001</v>
      </c>
      <c r="BQ15" s="875">
        <v>0.81599706000000005</v>
      </c>
      <c r="BR15" s="875">
        <v>0.88701006000000016</v>
      </c>
      <c r="BS15" s="875">
        <v>0.88659006000000007</v>
      </c>
      <c r="BT15" s="875">
        <v>0.86796406000000015</v>
      </c>
      <c r="BU15" s="875">
        <v>0.87556606000000015</v>
      </c>
      <c r="BV15" s="875">
        <v>0.81627306000000011</v>
      </c>
      <c r="BW15" s="875">
        <v>0.81599706000000005</v>
      </c>
      <c r="BX15" s="875">
        <v>0.81599706000000005</v>
      </c>
      <c r="BY15" s="875">
        <v>0.85869706000000001</v>
      </c>
      <c r="BZ15" s="875">
        <v>5.3198520600000005</v>
      </c>
      <c r="CA15" s="875">
        <v>6.1031830400000002</v>
      </c>
      <c r="CB15" s="875">
        <v>5.9651149399999994</v>
      </c>
      <c r="CC15" s="875">
        <v>5.5109333500000002</v>
      </c>
      <c r="CD15" s="875">
        <v>3.3473536199999998</v>
      </c>
      <c r="CE15" s="875">
        <v>5.0256536199999999</v>
      </c>
      <c r="CF15" s="875">
        <f t="shared" ref="CF15:CP15" si="3">+CF13-CF14</f>
        <v>4.7232755800000001</v>
      </c>
      <c r="CG15" s="875">
        <f t="shared" si="3"/>
        <v>4.41426593</v>
      </c>
      <c r="CH15" s="875">
        <f t="shared" si="3"/>
        <v>12.232467199999999</v>
      </c>
      <c r="CI15" s="875">
        <f t="shared" si="3"/>
        <v>12.26686754</v>
      </c>
      <c r="CJ15" s="875">
        <f t="shared" si="3"/>
        <v>14.979392259999999</v>
      </c>
      <c r="CK15" s="875">
        <f t="shared" si="3"/>
        <v>12.536416449999999</v>
      </c>
      <c r="CL15" s="875">
        <f t="shared" si="3"/>
        <v>11.443610749999999</v>
      </c>
      <c r="CM15" s="875">
        <f t="shared" si="3"/>
        <v>10.408226000000001</v>
      </c>
      <c r="CN15" s="875">
        <f t="shared" si="3"/>
        <v>9.8113780399999992</v>
      </c>
      <c r="CO15" s="875">
        <f t="shared" si="3"/>
        <v>17.626181409999997</v>
      </c>
      <c r="CP15" s="875">
        <f t="shared" si="3"/>
        <v>17.67343782</v>
      </c>
      <c r="CQ15" s="875">
        <f>+CQ13-CQ14</f>
        <v>8.2604716099999997</v>
      </c>
      <c r="CR15" s="875">
        <f>+CR13-CR14</f>
        <v>8.3248418300000004</v>
      </c>
      <c r="CS15" s="875">
        <f>+CS13-CS14</f>
        <v>8.4254042900000012</v>
      </c>
      <c r="CT15" s="875">
        <f>+CT13-CT14</f>
        <v>15.7637824</v>
      </c>
      <c r="CU15" s="875">
        <v>9.1038313999999989</v>
      </c>
      <c r="CV15" s="875">
        <f>+CV13-CV14</f>
        <v>9.3147063299999999</v>
      </c>
      <c r="CW15" s="875">
        <v>10.324791579999999</v>
      </c>
      <c r="CX15" s="875">
        <v>10.417638459999999</v>
      </c>
      <c r="CY15" s="875">
        <v>9.91790007</v>
      </c>
      <c r="CZ15" s="875">
        <v>9.9598734800000006</v>
      </c>
      <c r="DA15" s="875">
        <v>10.232001350000001</v>
      </c>
      <c r="DB15" s="875">
        <v>17.563568650000001</v>
      </c>
      <c r="DC15" s="875">
        <v>19.262387579999999</v>
      </c>
      <c r="DD15" s="875">
        <f>DD13-DD14</f>
        <v>19.288741219999999</v>
      </c>
      <c r="DE15" s="875">
        <v>21.14849049</v>
      </c>
      <c r="DF15" s="875">
        <v>19.995051719999999</v>
      </c>
      <c r="DG15" s="875">
        <v>13.150033329999999</v>
      </c>
      <c r="DH15" s="875">
        <f>DH13-DH14</f>
        <v>12.846114009999999</v>
      </c>
      <c r="DI15" s="875">
        <v>5.1470147399999995</v>
      </c>
      <c r="DJ15" s="875">
        <f>DJ13-DJ14</f>
        <v>7.915686609999999</v>
      </c>
      <c r="DK15" s="875">
        <v>7.83947854</v>
      </c>
      <c r="DL15" s="875">
        <v>19.749072389999998</v>
      </c>
      <c r="DM15" s="875">
        <v>20.02444891</v>
      </c>
      <c r="DN15" s="875">
        <v>6.2321396</v>
      </c>
      <c r="DO15" s="875">
        <f>DO13-DO14</f>
        <v>9.0571378800000009</v>
      </c>
      <c r="DP15" s="875">
        <f>DP13-DP14</f>
        <v>8.6594223199999991</v>
      </c>
      <c r="DQ15" s="875">
        <v>7.3743855900000002</v>
      </c>
      <c r="DR15" s="875">
        <f>DR13-DR14</f>
        <v>9.056090020000001</v>
      </c>
      <c r="DS15" s="875">
        <f>DS13-DS14</f>
        <v>9.1849005000000012</v>
      </c>
      <c r="DT15" s="875">
        <v>5.9261903800000004</v>
      </c>
      <c r="DU15" s="875">
        <v>4.2921278599999999</v>
      </c>
      <c r="DV15" s="875">
        <f>DV13-DV14</f>
        <v>8.8240515300000002</v>
      </c>
      <c r="DW15" s="875">
        <f>DW13-DW14</f>
        <v>14.719060720000002</v>
      </c>
      <c r="DX15" s="875">
        <v>17.685518200000001</v>
      </c>
      <c r="DY15" s="875">
        <v>12.80248913</v>
      </c>
      <c r="DZ15" s="875">
        <f>DZ13-DZ14</f>
        <v>14.69115274</v>
      </c>
      <c r="EA15" s="875">
        <f>EA13-EA14</f>
        <v>13.62378923</v>
      </c>
      <c r="EB15" s="875">
        <v>8.8406868700000008</v>
      </c>
      <c r="EC15" s="875">
        <v>9.3758513299999997</v>
      </c>
      <c r="ED15" s="875">
        <v>11.237034119999999</v>
      </c>
      <c r="EE15" s="875">
        <v>6.4281793199999999</v>
      </c>
      <c r="EF15" s="875">
        <v>6.2458748499999999</v>
      </c>
      <c r="EG15" s="875">
        <v>9.8652423599999999</v>
      </c>
      <c r="EH15" s="875">
        <v>11.226606070000001</v>
      </c>
      <c r="EI15" s="875">
        <v>10.947533829999999</v>
      </c>
      <c r="EJ15" s="875">
        <v>9.8041204700000009</v>
      </c>
      <c r="EK15" s="875">
        <f>EK13-EK14</f>
        <v>9.3270519199999988</v>
      </c>
      <c r="EL15" s="875">
        <v>18.873022339999999</v>
      </c>
      <c r="EM15" s="875">
        <v>17.558145079999999</v>
      </c>
      <c r="EN15" s="875">
        <v>8.7092942999999998</v>
      </c>
      <c r="EO15" s="875">
        <f>EO13-EO14</f>
        <v>8.1330182000000004</v>
      </c>
      <c r="EP15" s="875">
        <v>9.2501716800000011</v>
      </c>
      <c r="EQ15" s="875">
        <v>10.040308899999999</v>
      </c>
      <c r="ER15" s="875">
        <v>13.088350049999999</v>
      </c>
      <c r="ES15" s="875">
        <v>13.461519750000001</v>
      </c>
      <c r="ET15" s="875">
        <v>12.94769644</v>
      </c>
      <c r="EU15" s="875">
        <f>EU13-EU14</f>
        <v>10.71339478</v>
      </c>
      <c r="EV15" s="1920" t="s">
        <v>4085</v>
      </c>
    </row>
    <row r="16" spans="1:152" ht="21">
      <c r="A16" s="1928"/>
      <c r="B16" s="862"/>
      <c r="C16" s="692"/>
      <c r="D16" s="692"/>
      <c r="E16" s="692"/>
      <c r="F16" s="692"/>
      <c r="G16" s="692"/>
      <c r="H16" s="692"/>
      <c r="I16" s="692"/>
      <c r="J16" s="692"/>
      <c r="K16" s="692"/>
      <c r="L16" s="692"/>
      <c r="M16" s="693"/>
      <c r="N16" s="693"/>
      <c r="O16" s="693"/>
      <c r="P16" s="693"/>
      <c r="Q16" s="693"/>
      <c r="R16" s="693"/>
      <c r="S16" s="693"/>
      <c r="T16" s="693"/>
      <c r="U16" s="693"/>
      <c r="V16" s="693"/>
      <c r="W16" s="693"/>
      <c r="X16" s="693"/>
      <c r="Y16" s="693"/>
      <c r="Z16" s="693"/>
      <c r="AA16" s="693"/>
      <c r="AB16" s="693"/>
      <c r="AC16" s="693"/>
      <c r="AD16" s="693"/>
      <c r="AE16" s="693"/>
      <c r="AF16" s="693"/>
      <c r="AG16" s="693"/>
      <c r="AH16" s="693"/>
      <c r="AI16" s="693"/>
      <c r="AJ16" s="693"/>
      <c r="AK16" s="693"/>
      <c r="AL16" s="693"/>
      <c r="AM16" s="693"/>
      <c r="AN16" s="693"/>
      <c r="AO16" s="693"/>
      <c r="AP16" s="693"/>
      <c r="AQ16" s="693"/>
      <c r="AR16" s="693"/>
      <c r="AS16" s="693"/>
      <c r="AT16" s="693"/>
      <c r="AU16" s="693"/>
      <c r="AV16" s="693"/>
      <c r="AW16" s="693"/>
      <c r="AX16" s="693"/>
      <c r="AY16" s="693"/>
      <c r="AZ16" s="693"/>
      <c r="BA16" s="693"/>
      <c r="BB16" s="693"/>
      <c r="BC16" s="693"/>
      <c r="BD16" s="693"/>
      <c r="BE16" s="693"/>
      <c r="BF16" s="693"/>
      <c r="BG16" s="693"/>
      <c r="BH16" s="693"/>
      <c r="BI16" s="858"/>
      <c r="BJ16" s="874"/>
      <c r="BK16" s="874"/>
      <c r="BL16" s="874"/>
      <c r="BM16" s="874"/>
      <c r="BN16" s="874"/>
      <c r="BO16" s="874"/>
      <c r="BP16" s="874"/>
      <c r="BQ16" s="874"/>
      <c r="BR16" s="874"/>
      <c r="BS16" s="874"/>
      <c r="BT16" s="874"/>
      <c r="BU16" s="874"/>
      <c r="BV16" s="874"/>
      <c r="BW16" s="874"/>
      <c r="BX16" s="874"/>
      <c r="BY16" s="874"/>
      <c r="BZ16" s="874"/>
      <c r="CA16" s="874"/>
      <c r="CB16" s="874"/>
      <c r="CC16" s="874"/>
      <c r="CD16" s="874"/>
      <c r="CE16" s="874"/>
      <c r="CF16" s="874"/>
      <c r="CG16" s="874"/>
      <c r="CH16" s="874"/>
      <c r="CI16" s="874"/>
      <c r="CJ16" s="874"/>
      <c r="CK16" s="874"/>
      <c r="CL16" s="874"/>
      <c r="CM16" s="874"/>
      <c r="CN16" s="874"/>
      <c r="CO16" s="874"/>
      <c r="CP16" s="874"/>
      <c r="CQ16" s="874"/>
      <c r="CR16" s="874"/>
      <c r="CS16" s="874"/>
      <c r="CT16" s="874"/>
      <c r="CU16" s="874"/>
      <c r="CV16" s="874"/>
      <c r="CW16" s="874"/>
      <c r="CX16" s="874"/>
      <c r="CY16" s="874"/>
      <c r="CZ16" s="874"/>
      <c r="DA16" s="874"/>
      <c r="DB16" s="874"/>
      <c r="DC16" s="874"/>
      <c r="DD16" s="874"/>
      <c r="DE16" s="874"/>
      <c r="DF16" s="874"/>
      <c r="DG16" s="874"/>
      <c r="DH16" s="874"/>
      <c r="DI16" s="874"/>
      <c r="DJ16" s="874"/>
      <c r="DK16" s="874"/>
      <c r="DL16" s="874"/>
      <c r="DM16" s="874"/>
      <c r="DN16" s="874"/>
      <c r="DO16" s="874"/>
      <c r="DP16" s="874"/>
      <c r="DQ16" s="874"/>
      <c r="DR16" s="874"/>
      <c r="DS16" s="874"/>
      <c r="DT16" s="874"/>
      <c r="DU16" s="874"/>
      <c r="DV16" s="874"/>
      <c r="DW16" s="874"/>
      <c r="DX16" s="874"/>
      <c r="DY16" s="874"/>
      <c r="DZ16" s="874"/>
      <c r="EA16" s="874"/>
      <c r="EB16" s="874"/>
      <c r="EC16" s="874"/>
      <c r="ED16" s="874"/>
      <c r="EE16" s="874"/>
      <c r="EF16" s="874"/>
      <c r="EG16" s="874"/>
      <c r="EH16" s="874"/>
      <c r="EI16" s="874"/>
      <c r="EJ16" s="874"/>
      <c r="EK16" s="874"/>
      <c r="EL16" s="874"/>
      <c r="EM16" s="874"/>
      <c r="EN16" s="874"/>
      <c r="EO16" s="874"/>
      <c r="EP16" s="874"/>
      <c r="EQ16" s="874"/>
      <c r="ER16" s="874"/>
      <c r="ES16" s="874"/>
      <c r="ET16" s="874"/>
      <c r="EU16" s="874"/>
      <c r="EV16" s="1921"/>
    </row>
    <row r="17" spans="1:152" ht="21">
      <c r="A17" s="1952" t="s">
        <v>189</v>
      </c>
      <c r="B17" s="863">
        <v>2.8740968499999999</v>
      </c>
      <c r="C17" s="694">
        <v>2.9386658699999999</v>
      </c>
      <c r="D17" s="694">
        <v>2.9564435499999999</v>
      </c>
      <c r="E17" s="694">
        <v>2.9489027400000003</v>
      </c>
      <c r="F17" s="694">
        <v>0.32219652999999998</v>
      </c>
      <c r="G17" s="694">
        <v>32.866648400000003</v>
      </c>
      <c r="H17" s="694">
        <v>33.941131579999997</v>
      </c>
      <c r="I17" s="694">
        <v>33.981031350000002</v>
      </c>
      <c r="J17" s="694">
        <v>83.972389280000002</v>
      </c>
      <c r="K17" s="694">
        <v>24.071884449999999</v>
      </c>
      <c r="L17" s="694">
        <v>24.069763600000002</v>
      </c>
      <c r="M17" s="693">
        <v>14.065939329999999</v>
      </c>
      <c r="N17" s="695">
        <v>14.07815815</v>
      </c>
      <c r="O17" s="695">
        <v>14.073106839999999</v>
      </c>
      <c r="P17" s="695">
        <v>14.07826829</v>
      </c>
      <c r="Q17" s="695">
        <v>9.1463052600000001</v>
      </c>
      <c r="R17" s="695">
        <v>42.691471790000001</v>
      </c>
      <c r="S17" s="695">
        <v>0.11346225</v>
      </c>
      <c r="T17" s="695">
        <v>0.10800572999999999</v>
      </c>
      <c r="U17" s="695">
        <v>8.802625E-2</v>
      </c>
      <c r="V17" s="695">
        <v>8.4195779999999998E-2</v>
      </c>
      <c r="W17" s="695">
        <v>0.16035554999999999</v>
      </c>
      <c r="X17" s="695">
        <v>0.24299873999999999</v>
      </c>
      <c r="Y17" s="693">
        <v>0.26457962000000002</v>
      </c>
      <c r="Z17" s="695">
        <v>0.26457962000000002</v>
      </c>
      <c r="AA17" s="695">
        <v>0.22688995000000001</v>
      </c>
      <c r="AB17" s="693">
        <v>0.2187405</v>
      </c>
      <c r="AC17" s="693">
        <v>0.20887023000000002</v>
      </c>
      <c r="AD17" s="693">
        <v>0.20044687999999999</v>
      </c>
      <c r="AE17" s="693">
        <v>0.19370482</v>
      </c>
      <c r="AF17" s="693">
        <v>0.18688191000000001</v>
      </c>
      <c r="AG17" s="693">
        <v>0.17809070999999999</v>
      </c>
      <c r="AH17" s="693">
        <v>0.17103574999999999</v>
      </c>
      <c r="AI17" s="693">
        <v>0.16386485999999997</v>
      </c>
      <c r="AJ17" s="693">
        <v>0.15657558999999999</v>
      </c>
      <c r="AK17" s="693">
        <v>0.14657559000000001</v>
      </c>
      <c r="AL17" s="693">
        <v>0.14657559000000001</v>
      </c>
      <c r="AM17" s="693">
        <v>0.21657558999999998</v>
      </c>
      <c r="AN17" s="693">
        <v>0.21580158999999999</v>
      </c>
      <c r="AO17" s="693">
        <v>0.21504159</v>
      </c>
      <c r="AP17" s="693">
        <v>0.21514702999999999</v>
      </c>
      <c r="AQ17" s="693">
        <v>0.21434502999999999</v>
      </c>
      <c r="AR17" s="693">
        <v>0.21352603000000001</v>
      </c>
      <c r="AS17" s="693">
        <v>0.15270802999999999</v>
      </c>
      <c r="AT17" s="693">
        <v>0.10293319000000001</v>
      </c>
      <c r="AU17" s="693">
        <v>0.10091662</v>
      </c>
      <c r="AV17" s="693">
        <v>8.0470669999999994E-2</v>
      </c>
      <c r="AW17" s="693">
        <v>5.8098669999999998E-2</v>
      </c>
      <c r="AX17" s="693">
        <v>5.3821769999999998E-2</v>
      </c>
      <c r="AY17" s="693">
        <v>5.3795839999999998E-2</v>
      </c>
      <c r="AZ17" s="693">
        <v>5.3708870000000006E-2</v>
      </c>
      <c r="BA17" s="693">
        <v>5.2142500000000001E-2</v>
      </c>
      <c r="BB17" s="693">
        <v>1.15526E-3</v>
      </c>
      <c r="BC17" s="693">
        <v>0</v>
      </c>
      <c r="BD17" s="693">
        <v>0</v>
      </c>
      <c r="BE17" s="693">
        <v>0</v>
      </c>
      <c r="BF17" s="693">
        <v>0</v>
      </c>
      <c r="BG17" s="693">
        <v>0</v>
      </c>
      <c r="BH17" s="693">
        <v>0</v>
      </c>
      <c r="BI17" s="858">
        <v>98</v>
      </c>
      <c r="BJ17" s="874">
        <v>0</v>
      </c>
      <c r="BK17" s="874">
        <v>0</v>
      </c>
      <c r="BL17" s="874">
        <v>3.6421269999999999E-2</v>
      </c>
      <c r="BM17" s="874">
        <v>0</v>
      </c>
      <c r="BN17" s="874">
        <v>0</v>
      </c>
      <c r="BO17" s="874">
        <v>0</v>
      </c>
      <c r="BP17" s="874">
        <v>0.22</v>
      </c>
      <c r="BQ17" s="874">
        <v>0</v>
      </c>
      <c r="BR17" s="874">
        <v>0</v>
      </c>
      <c r="BS17" s="874">
        <v>0</v>
      </c>
      <c r="BT17" s="874">
        <v>5.2999999999999999E-2</v>
      </c>
      <c r="BU17" s="874">
        <v>0.06</v>
      </c>
      <c r="BV17" s="874">
        <v>0</v>
      </c>
      <c r="BW17" s="874">
        <v>0</v>
      </c>
      <c r="BX17" s="874">
        <v>0</v>
      </c>
      <c r="BY17" s="874">
        <v>4.2700000000000002E-2</v>
      </c>
      <c r="BZ17" s="874">
        <v>2.7526000000000002</v>
      </c>
      <c r="CA17" s="874">
        <v>3.3806359800000001</v>
      </c>
      <c r="CB17" s="874">
        <v>3.0725678799999998</v>
      </c>
      <c r="CC17" s="874">
        <v>2.6066149799999998</v>
      </c>
      <c r="CD17" s="874">
        <v>0.48499999999999999</v>
      </c>
      <c r="CE17" s="874">
        <v>1.825</v>
      </c>
      <c r="CF17" s="874">
        <v>1.7795585199999999</v>
      </c>
      <c r="CG17" s="874">
        <v>1.28561075</v>
      </c>
      <c r="CH17" s="874">
        <v>0.5605</v>
      </c>
      <c r="CI17" s="874">
        <v>0.44965034000000004</v>
      </c>
      <c r="CJ17" s="874">
        <v>0</v>
      </c>
      <c r="CK17" s="874">
        <v>0.03</v>
      </c>
      <c r="CL17" s="874">
        <v>0.61293882</v>
      </c>
      <c r="CM17" s="874">
        <v>0.102275</v>
      </c>
      <c r="CN17" s="874">
        <v>5.4274999999999997E-2</v>
      </c>
      <c r="CO17" s="874">
        <v>0.36679872999999996</v>
      </c>
      <c r="CP17" s="874">
        <v>0.83308603000000003</v>
      </c>
      <c r="CQ17" s="874">
        <v>0.47480538</v>
      </c>
      <c r="CR17" s="874">
        <v>0.57940265000000002</v>
      </c>
      <c r="CS17" s="874">
        <v>0.60308402000000005</v>
      </c>
      <c r="CT17" s="874">
        <v>0.60273133000000001</v>
      </c>
      <c r="CU17" s="874">
        <v>0.86684991</v>
      </c>
      <c r="CV17" s="874">
        <v>1.0713492099999999</v>
      </c>
      <c r="CW17" s="874">
        <v>2.6106340399999999</v>
      </c>
      <c r="CX17" s="874">
        <v>2.1730809199999999</v>
      </c>
      <c r="CY17" s="874">
        <v>2.1469450700000001</v>
      </c>
      <c r="CZ17" s="874">
        <v>2.1902029700000001</v>
      </c>
      <c r="DA17" s="874">
        <v>2.1348768200000001</v>
      </c>
      <c r="DB17" s="874">
        <v>8.9820553000000007</v>
      </c>
      <c r="DC17" s="874">
        <v>8.9468869400000006</v>
      </c>
      <c r="DD17" s="874">
        <v>8.9525543899999995</v>
      </c>
      <c r="DE17" s="874">
        <v>10.852725019999999</v>
      </c>
      <c r="DF17" s="874">
        <v>9.9531312500000002</v>
      </c>
      <c r="DG17" s="874">
        <v>3.1072278199999999</v>
      </c>
      <c r="DH17" s="874">
        <v>2.8498285499999998</v>
      </c>
      <c r="DI17" s="874">
        <v>3.06533853</v>
      </c>
      <c r="DJ17" s="874">
        <v>4.7875149300000004</v>
      </c>
      <c r="DK17" s="874">
        <v>4.7301467300000004</v>
      </c>
      <c r="DL17" s="874">
        <v>4.7049705800000003</v>
      </c>
      <c r="DM17" s="874">
        <v>5.6444419300000002</v>
      </c>
      <c r="DN17" s="874">
        <v>6.1875797500000003</v>
      </c>
      <c r="DO17" s="874">
        <v>6.3937451899999997</v>
      </c>
      <c r="DP17" s="874">
        <v>6.5410887999999998</v>
      </c>
      <c r="DQ17" s="874">
        <v>6.4556837099999997</v>
      </c>
      <c r="DR17" s="874">
        <v>8.1220766799999993</v>
      </c>
      <c r="DS17" s="874">
        <v>8.2516578999999997</v>
      </c>
      <c r="DT17" s="874">
        <v>4.9752378100000003</v>
      </c>
      <c r="DU17" s="874">
        <v>3.3397823600000001</v>
      </c>
      <c r="DV17" s="874">
        <v>3.6645288300000001</v>
      </c>
      <c r="DW17" s="874">
        <v>2.74624405</v>
      </c>
      <c r="DX17" s="874">
        <v>2.9910439800000002</v>
      </c>
      <c r="DY17" s="874">
        <v>3.5013020799999999</v>
      </c>
      <c r="DZ17" s="874">
        <v>4.7208573700000001</v>
      </c>
      <c r="EA17" s="874">
        <v>4.1245191400000003</v>
      </c>
      <c r="EB17" s="874">
        <v>4.4739647099999997</v>
      </c>
      <c r="EC17" s="874">
        <v>4.4073155799999997</v>
      </c>
      <c r="ED17" s="874">
        <v>4.1793010700000002</v>
      </c>
      <c r="EE17" s="874">
        <v>3.4994253899999999</v>
      </c>
      <c r="EF17" s="874">
        <v>3.3045767599999998</v>
      </c>
      <c r="EG17" s="874">
        <v>6.90540486</v>
      </c>
      <c r="EH17" s="874">
        <v>6.5598916699999998</v>
      </c>
      <c r="EI17" s="874">
        <v>6.3262799200000002</v>
      </c>
      <c r="EJ17" s="874">
        <v>5.5522946299999996</v>
      </c>
      <c r="EK17" s="874">
        <v>6.6287343200000004</v>
      </c>
      <c r="EL17" s="874">
        <v>6.9828210799999999</v>
      </c>
      <c r="EM17" s="874">
        <v>6.7565486799999999</v>
      </c>
      <c r="EN17" s="874">
        <v>7.9698983300000004</v>
      </c>
      <c r="EO17" s="874">
        <v>7.3936222300000001</v>
      </c>
      <c r="EP17" s="874">
        <v>9.272754260000001</v>
      </c>
      <c r="EQ17" s="874">
        <v>7.1886852000000001</v>
      </c>
      <c r="ER17" s="874">
        <v>9.3490692000000006</v>
      </c>
      <c r="ES17" s="874">
        <v>9.7387907699999996</v>
      </c>
      <c r="ET17" s="874">
        <v>9.20933913</v>
      </c>
      <c r="EU17" s="874">
        <v>8.7038281600000005</v>
      </c>
      <c r="EV17" s="1922" t="s">
        <v>212</v>
      </c>
    </row>
    <row r="18" spans="1:152" ht="21">
      <c r="A18" s="1953" t="s">
        <v>1974</v>
      </c>
      <c r="B18" s="862">
        <v>0</v>
      </c>
      <c r="C18" s="692">
        <v>0</v>
      </c>
      <c r="D18" s="692">
        <v>0</v>
      </c>
      <c r="E18" s="692">
        <v>0</v>
      </c>
      <c r="F18" s="692">
        <v>0.15</v>
      </c>
      <c r="G18" s="692">
        <v>30</v>
      </c>
      <c r="H18" s="692">
        <v>30</v>
      </c>
      <c r="I18" s="692">
        <v>30</v>
      </c>
      <c r="J18" s="692">
        <v>80</v>
      </c>
      <c r="K18" s="692">
        <v>20</v>
      </c>
      <c r="L18" s="692">
        <v>20</v>
      </c>
      <c r="M18" s="695">
        <v>10</v>
      </c>
      <c r="N18" s="693">
        <v>10</v>
      </c>
      <c r="O18" s="693">
        <v>10</v>
      </c>
      <c r="P18" s="693">
        <v>10</v>
      </c>
      <c r="Q18" s="693">
        <v>5</v>
      </c>
      <c r="R18" s="693">
        <v>42.049619</v>
      </c>
      <c r="S18" s="693">
        <v>0</v>
      </c>
      <c r="T18" s="693">
        <v>0</v>
      </c>
      <c r="U18" s="693">
        <v>1.175E-3</v>
      </c>
      <c r="V18" s="693">
        <v>0</v>
      </c>
      <c r="W18" s="693">
        <v>9.0000000000000006E-5</v>
      </c>
      <c r="X18" s="693">
        <v>9.0000000000000006E-5</v>
      </c>
      <c r="Y18" s="695">
        <v>6.0000000000000002E-5</v>
      </c>
      <c r="Z18" s="693">
        <v>6.0000000000000002E-5</v>
      </c>
      <c r="AA18" s="693">
        <v>1.2E-4</v>
      </c>
      <c r="AB18" s="695">
        <v>2.9999999999999997E-4</v>
      </c>
      <c r="AC18" s="695">
        <v>2.9999999999999997E-4</v>
      </c>
      <c r="AD18" s="695">
        <v>9.9499999999999996E-6</v>
      </c>
      <c r="AE18" s="695">
        <v>1.4880899999999999E-3</v>
      </c>
      <c r="AF18" s="695">
        <v>1.58059E-3</v>
      </c>
      <c r="AG18" s="695">
        <v>7.1733000000000007E-4</v>
      </c>
      <c r="AH18" s="695">
        <v>7.1733000000000007E-4</v>
      </c>
      <c r="AI18" s="695">
        <v>7.1883000000000005E-4</v>
      </c>
      <c r="AJ18" s="695">
        <v>7.2033000000000004E-4</v>
      </c>
      <c r="AK18" s="695">
        <v>7.2183000000000002E-4</v>
      </c>
      <c r="AL18" s="695">
        <v>7.2333E-4</v>
      </c>
      <c r="AM18" s="695">
        <v>7.2483000000000009E-4</v>
      </c>
      <c r="AN18" s="695">
        <v>7.2633000000000007E-4</v>
      </c>
      <c r="AO18" s="695">
        <v>7.2783000000000006E-4</v>
      </c>
      <c r="AP18" s="695">
        <v>7.2883000000000008E-4</v>
      </c>
      <c r="AQ18" s="695">
        <v>7.2883000000000008E-4</v>
      </c>
      <c r="AR18" s="695">
        <v>1.0605599999999999E-3</v>
      </c>
      <c r="AS18" s="695">
        <v>1.0605599999999999E-3</v>
      </c>
      <c r="AT18" s="695">
        <v>1.06156E-3</v>
      </c>
      <c r="AU18" s="695">
        <v>1.0625599999999999E-3</v>
      </c>
      <c r="AV18" s="695">
        <v>1.0635599999999999E-3</v>
      </c>
      <c r="AW18" s="695">
        <v>1.06456E-3</v>
      </c>
      <c r="AX18" s="695">
        <v>1.0655599999999999E-3</v>
      </c>
      <c r="AY18" s="695">
        <v>1.06656E-3</v>
      </c>
      <c r="AZ18" s="695">
        <v>1.0675599999999999E-3</v>
      </c>
      <c r="BA18" s="695">
        <v>1.0685599999999999E-3</v>
      </c>
      <c r="BB18" s="695">
        <v>1.06956E-3</v>
      </c>
      <c r="BC18" s="695">
        <v>2.8199999999999997E-6</v>
      </c>
      <c r="BD18" s="695">
        <v>2.8199999999999997E-6</v>
      </c>
      <c r="BE18" s="695">
        <v>0</v>
      </c>
      <c r="BF18" s="695">
        <v>0</v>
      </c>
      <c r="BG18" s="695">
        <v>0</v>
      </c>
      <c r="BH18" s="695">
        <v>0</v>
      </c>
      <c r="BI18" s="859">
        <v>98</v>
      </c>
      <c r="BJ18" s="875">
        <v>0</v>
      </c>
      <c r="BK18" s="875">
        <v>0</v>
      </c>
      <c r="BL18" s="875">
        <v>3.6421269999999999E-2</v>
      </c>
      <c r="BM18" s="875">
        <v>0</v>
      </c>
      <c r="BN18" s="875">
        <v>0</v>
      </c>
      <c r="BO18" s="875">
        <v>0</v>
      </c>
      <c r="BP18" s="875">
        <v>0</v>
      </c>
      <c r="BQ18" s="875">
        <v>0</v>
      </c>
      <c r="BR18" s="875">
        <v>0</v>
      </c>
      <c r="BS18" s="875">
        <v>0</v>
      </c>
      <c r="BT18" s="875">
        <v>0</v>
      </c>
      <c r="BU18" s="875">
        <v>0</v>
      </c>
      <c r="BV18" s="875">
        <v>0</v>
      </c>
      <c r="BW18" s="875">
        <v>0</v>
      </c>
      <c r="BX18" s="875">
        <v>0</v>
      </c>
      <c r="BY18" s="875">
        <v>0</v>
      </c>
      <c r="BZ18" s="875">
        <v>0</v>
      </c>
      <c r="CA18" s="875">
        <v>0</v>
      </c>
      <c r="CB18" s="875">
        <v>0</v>
      </c>
      <c r="CC18" s="875">
        <v>0</v>
      </c>
      <c r="CD18" s="875">
        <v>0</v>
      </c>
      <c r="CE18" s="875">
        <v>0</v>
      </c>
      <c r="CF18" s="875">
        <v>0</v>
      </c>
      <c r="CG18" s="875">
        <v>0</v>
      </c>
      <c r="CH18" s="875">
        <v>0</v>
      </c>
      <c r="CI18" s="875">
        <v>0</v>
      </c>
      <c r="CJ18" s="875">
        <v>0</v>
      </c>
      <c r="CK18" s="875">
        <v>0</v>
      </c>
      <c r="CL18" s="875">
        <v>0</v>
      </c>
      <c r="CM18" s="875">
        <v>0</v>
      </c>
      <c r="CN18" s="875">
        <v>0</v>
      </c>
      <c r="CO18" s="875">
        <v>0</v>
      </c>
      <c r="CP18" s="875">
        <v>0</v>
      </c>
      <c r="CQ18" s="875">
        <v>0</v>
      </c>
      <c r="CR18" s="875">
        <v>0</v>
      </c>
      <c r="CS18" s="875">
        <v>0</v>
      </c>
      <c r="CT18" s="875">
        <v>0</v>
      </c>
      <c r="CU18" s="875">
        <v>0</v>
      </c>
      <c r="CV18" s="875">
        <v>0</v>
      </c>
      <c r="CW18" s="875">
        <v>0</v>
      </c>
      <c r="CX18" s="875">
        <v>0</v>
      </c>
      <c r="CY18" s="875">
        <v>0</v>
      </c>
      <c r="CZ18" s="875">
        <v>0</v>
      </c>
      <c r="DA18" s="875">
        <v>0</v>
      </c>
      <c r="DB18" s="875">
        <v>0</v>
      </c>
      <c r="DC18" s="875">
        <v>0</v>
      </c>
      <c r="DD18" s="875">
        <v>0</v>
      </c>
      <c r="DE18" s="875">
        <v>0</v>
      </c>
      <c r="DF18" s="875">
        <v>0.3</v>
      </c>
      <c r="DG18" s="875">
        <v>0.3</v>
      </c>
      <c r="DH18" s="875">
        <v>0.26794900999999999</v>
      </c>
      <c r="DI18" s="875">
        <v>0.23551254999999999</v>
      </c>
      <c r="DJ18" s="875">
        <v>0.20277876</v>
      </c>
      <c r="DK18" s="875">
        <v>0.16993079</v>
      </c>
      <c r="DL18" s="875">
        <v>0.13644006</v>
      </c>
      <c r="DM18" s="875">
        <v>0.1027981</v>
      </c>
      <c r="DN18" s="875">
        <v>6.8847759999999994E-2</v>
      </c>
      <c r="DO18" s="875">
        <v>0</v>
      </c>
      <c r="DP18" s="875">
        <v>0</v>
      </c>
      <c r="DQ18" s="875">
        <v>0</v>
      </c>
      <c r="DR18" s="875">
        <v>0.02</v>
      </c>
      <c r="DS18" s="875">
        <v>1.8509680000000001E-2</v>
      </c>
      <c r="DT18" s="875">
        <v>1.6948350000000001E-2</v>
      </c>
      <c r="DU18" s="875">
        <v>1.544062E-2</v>
      </c>
      <c r="DV18" s="875">
        <v>1.382917E-2</v>
      </c>
      <c r="DW18" s="875">
        <v>1.2183329999999999E-2</v>
      </c>
      <c r="DX18" s="875">
        <v>1.052578E-2</v>
      </c>
      <c r="DY18" s="875">
        <v>0</v>
      </c>
      <c r="DZ18" s="875">
        <v>0</v>
      </c>
      <c r="EA18" s="875">
        <v>0.05</v>
      </c>
      <c r="EB18" s="875">
        <v>4.6183589999999997E-2</v>
      </c>
      <c r="EC18" s="875">
        <v>4.222654E-2</v>
      </c>
      <c r="ED18" s="875">
        <v>8.8257409999999994E-2</v>
      </c>
      <c r="EE18" s="875">
        <v>8.0001970000000006E-2</v>
      </c>
      <c r="EF18" s="875">
        <v>7.2098889999999999E-2</v>
      </c>
      <c r="EG18" s="875">
        <v>6.4091480000000006E-2</v>
      </c>
      <c r="EH18" s="875">
        <v>5.5974290000000003E-2</v>
      </c>
      <c r="EI18" s="875">
        <v>4.7741199999999998E-2</v>
      </c>
      <c r="EJ18" s="875">
        <v>3.933917E-2</v>
      </c>
      <c r="EK18" s="875">
        <v>1.5037980099999999</v>
      </c>
      <c r="EL18" s="875">
        <v>2.0044250400000001</v>
      </c>
      <c r="EM18" s="875">
        <v>2</v>
      </c>
      <c r="EN18" s="875">
        <v>2.0299999999999998</v>
      </c>
      <c r="EO18" s="875">
        <v>2.0299999999999998</v>
      </c>
      <c r="EP18" s="875">
        <v>1.8875766100000002</v>
      </c>
      <c r="EQ18" s="875">
        <v>2.558941E-2</v>
      </c>
      <c r="ER18" s="875">
        <v>2.0232268699999998</v>
      </c>
      <c r="ES18" s="875">
        <v>2.0208365399999999</v>
      </c>
      <c r="ET18" s="875">
        <v>2.0183786700000002</v>
      </c>
      <c r="EU18" s="875">
        <v>2.0159113899999999</v>
      </c>
      <c r="EV18" s="1924" t="s">
        <v>4086</v>
      </c>
    </row>
    <row r="19" spans="1:152" ht="21">
      <c r="A19" s="1953" t="s">
        <v>1975</v>
      </c>
      <c r="B19" s="863">
        <f>+B17-B18</f>
        <v>2.8740968499999999</v>
      </c>
      <c r="C19" s="694">
        <f t="shared" ref="C19:V19" si="4">+C17-C18</f>
        <v>2.9386658699999999</v>
      </c>
      <c r="D19" s="694">
        <f t="shared" si="4"/>
        <v>2.9564435499999999</v>
      </c>
      <c r="E19" s="694">
        <f t="shared" si="4"/>
        <v>2.9489027400000003</v>
      </c>
      <c r="F19" s="694">
        <f t="shared" si="4"/>
        <v>0.17219652999999999</v>
      </c>
      <c r="G19" s="694">
        <f t="shared" si="4"/>
        <v>2.8666484000000025</v>
      </c>
      <c r="H19" s="694">
        <f t="shared" si="4"/>
        <v>3.9411315799999969</v>
      </c>
      <c r="I19" s="694">
        <f t="shared" si="4"/>
        <v>3.9810313500000021</v>
      </c>
      <c r="J19" s="694">
        <f t="shared" si="4"/>
        <v>3.9723892800000016</v>
      </c>
      <c r="K19" s="694">
        <f t="shared" si="4"/>
        <v>4.0718844499999989</v>
      </c>
      <c r="L19" s="694">
        <f t="shared" si="4"/>
        <v>4.0697636000000017</v>
      </c>
      <c r="M19" s="695">
        <f t="shared" si="4"/>
        <v>4.0659393299999991</v>
      </c>
      <c r="N19" s="695">
        <f t="shared" si="4"/>
        <v>4.0781581500000001</v>
      </c>
      <c r="O19" s="695">
        <f t="shared" si="4"/>
        <v>4.0731068399999995</v>
      </c>
      <c r="P19" s="695">
        <f t="shared" si="4"/>
        <v>4.0782682900000005</v>
      </c>
      <c r="Q19" s="695">
        <f t="shared" si="4"/>
        <v>4.1463052600000001</v>
      </c>
      <c r="R19" s="695">
        <f t="shared" si="4"/>
        <v>0.64185279000000151</v>
      </c>
      <c r="S19" s="695">
        <f t="shared" si="4"/>
        <v>0.11346225</v>
      </c>
      <c r="T19" s="695">
        <f t="shared" si="4"/>
        <v>0.10800572999999999</v>
      </c>
      <c r="U19" s="695">
        <f t="shared" si="4"/>
        <v>8.6851250000000005E-2</v>
      </c>
      <c r="V19" s="695">
        <f t="shared" si="4"/>
        <v>8.4195779999999998E-2</v>
      </c>
      <c r="W19" s="695">
        <v>0.16026554999999998</v>
      </c>
      <c r="X19" s="695">
        <v>0.24290873999999998</v>
      </c>
      <c r="Y19" s="695">
        <v>0.26451962000000001</v>
      </c>
      <c r="Z19" s="695">
        <v>0.26451962000000001</v>
      </c>
      <c r="AA19" s="695">
        <v>0.22676995</v>
      </c>
      <c r="AB19" s="695">
        <v>0.21844050000000001</v>
      </c>
      <c r="AC19" s="695">
        <v>0.20857023000000002</v>
      </c>
      <c r="AD19" s="695">
        <v>0.20043692999999999</v>
      </c>
      <c r="AE19" s="695">
        <v>0.19221673</v>
      </c>
      <c r="AF19" s="695">
        <v>0.18530132000000002</v>
      </c>
      <c r="AG19" s="695">
        <v>0.17737338</v>
      </c>
      <c r="AH19" s="695">
        <v>0.17031842</v>
      </c>
      <c r="AI19" s="695">
        <f>+AI17-AI18</f>
        <v>0.16314602999999997</v>
      </c>
      <c r="AJ19" s="695">
        <v>0.15585526</v>
      </c>
      <c r="AK19" s="695">
        <f>+AK17-AK18</f>
        <v>0.14585376</v>
      </c>
      <c r="AL19" s="695">
        <f>+AL17-AL18</f>
        <v>0.14585226000000001</v>
      </c>
      <c r="AM19" s="695">
        <v>0.21585075999999997</v>
      </c>
      <c r="AN19" s="695">
        <f>+AN17-AN18</f>
        <v>0.21507525999999999</v>
      </c>
      <c r="AO19" s="695">
        <f>+AO17-AO18</f>
        <v>0.21431375999999999</v>
      </c>
      <c r="AP19" s="695">
        <f>+AP17-AP18</f>
        <v>0.21441819999999998</v>
      </c>
      <c r="AQ19" s="695">
        <f>+AQ17-AQ18</f>
        <v>0.21361619999999998</v>
      </c>
      <c r="AR19" s="695">
        <v>0.21246547000000002</v>
      </c>
      <c r="AS19" s="695">
        <f>+AS17-AS18</f>
        <v>0.15164747000000001</v>
      </c>
      <c r="AT19" s="695">
        <f>+AT17-AT18</f>
        <v>0.10187163</v>
      </c>
      <c r="AU19" s="695">
        <f>+AU17-AU18</f>
        <v>9.9854059999999994E-2</v>
      </c>
      <c r="AV19" s="695">
        <v>7.9407109999999989E-2</v>
      </c>
      <c r="AW19" s="695">
        <v>5.7034109999999999E-2</v>
      </c>
      <c r="AX19" s="695">
        <v>5.2756209999999998E-2</v>
      </c>
      <c r="AY19" s="695">
        <v>5.2729279999999996E-2</v>
      </c>
      <c r="AZ19" s="695">
        <v>5.2641310000000004E-2</v>
      </c>
      <c r="BA19" s="695">
        <v>5.1073939999999998E-2</v>
      </c>
      <c r="BB19" s="695">
        <v>8.5699999999999969E-5</v>
      </c>
      <c r="BC19" s="695">
        <v>-2.8199999999999997E-6</v>
      </c>
      <c r="BD19" s="695">
        <v>-2.8199999999999997E-6</v>
      </c>
      <c r="BE19" s="695">
        <f>+BE17-BE18</f>
        <v>0</v>
      </c>
      <c r="BF19" s="695">
        <v>0</v>
      </c>
      <c r="BG19" s="695">
        <v>0</v>
      </c>
      <c r="BH19" s="695">
        <v>0</v>
      </c>
      <c r="BI19" s="859">
        <v>0</v>
      </c>
      <c r="BJ19" s="875">
        <v>0</v>
      </c>
      <c r="BK19" s="875">
        <f>+BK17-BK18</f>
        <v>0</v>
      </c>
      <c r="BL19" s="875">
        <v>0</v>
      </c>
      <c r="BM19" s="875">
        <v>0</v>
      </c>
      <c r="BN19" s="875">
        <v>0</v>
      </c>
      <c r="BO19" s="875">
        <v>0</v>
      </c>
      <c r="BP19" s="875">
        <v>0.22</v>
      </c>
      <c r="BQ19" s="875">
        <v>0</v>
      </c>
      <c r="BR19" s="875">
        <v>0</v>
      </c>
      <c r="BS19" s="875">
        <v>0</v>
      </c>
      <c r="BT19" s="875">
        <v>5.2999999999999999E-2</v>
      </c>
      <c r="BU19" s="875">
        <v>0.06</v>
      </c>
      <c r="BV19" s="875">
        <v>0</v>
      </c>
      <c r="BW19" s="875">
        <v>0</v>
      </c>
      <c r="BX19" s="875">
        <v>0</v>
      </c>
      <c r="BY19" s="875">
        <v>4.2700000000000002E-2</v>
      </c>
      <c r="BZ19" s="875">
        <v>2.7526000000000002</v>
      </c>
      <c r="CA19" s="875">
        <v>3.3806359800000001</v>
      </c>
      <c r="CB19" s="875">
        <v>3.0725678799999998</v>
      </c>
      <c r="CC19" s="875">
        <v>2.6066149799999998</v>
      </c>
      <c r="CD19" s="875">
        <v>0.48499999999999999</v>
      </c>
      <c r="CE19" s="875">
        <v>1.825</v>
      </c>
      <c r="CF19" s="875">
        <f t="shared" ref="CF19:CP19" si="5">+CF17-CF18</f>
        <v>1.7795585199999999</v>
      </c>
      <c r="CG19" s="875">
        <f t="shared" si="5"/>
        <v>1.28561075</v>
      </c>
      <c r="CH19" s="875">
        <f t="shared" si="5"/>
        <v>0.5605</v>
      </c>
      <c r="CI19" s="875">
        <f t="shared" si="5"/>
        <v>0.44965034000000004</v>
      </c>
      <c r="CJ19" s="875">
        <f t="shared" si="5"/>
        <v>0</v>
      </c>
      <c r="CK19" s="875">
        <f t="shared" si="5"/>
        <v>0.03</v>
      </c>
      <c r="CL19" s="875">
        <f t="shared" si="5"/>
        <v>0.61293882</v>
      </c>
      <c r="CM19" s="875">
        <f t="shared" si="5"/>
        <v>0.102275</v>
      </c>
      <c r="CN19" s="875">
        <f t="shared" si="5"/>
        <v>5.4274999999999997E-2</v>
      </c>
      <c r="CO19" s="875">
        <f t="shared" si="5"/>
        <v>0.36679872999999996</v>
      </c>
      <c r="CP19" s="875">
        <f t="shared" si="5"/>
        <v>0.83308603000000003</v>
      </c>
      <c r="CQ19" s="875">
        <f>+CQ17-CQ18</f>
        <v>0.47480538</v>
      </c>
      <c r="CR19" s="875">
        <f>+CR17-CR18</f>
        <v>0.57940265000000002</v>
      </c>
      <c r="CS19" s="875">
        <f>+CS17-CS18</f>
        <v>0.60308402000000005</v>
      </c>
      <c r="CT19" s="875">
        <f>+CT17-CT18</f>
        <v>0.60273133000000001</v>
      </c>
      <c r="CU19" s="875">
        <v>0.86684991</v>
      </c>
      <c r="CV19" s="875">
        <f>+CV17-CV18</f>
        <v>1.0713492099999999</v>
      </c>
      <c r="CW19" s="875">
        <v>2.6106340399999999</v>
      </c>
      <c r="CX19" s="875">
        <v>2.1730809199999999</v>
      </c>
      <c r="CY19" s="875">
        <v>2.1469450700000001</v>
      </c>
      <c r="CZ19" s="875">
        <v>2.1902029700000001</v>
      </c>
      <c r="DA19" s="875">
        <v>2.1348768200000001</v>
      </c>
      <c r="DB19" s="875">
        <v>8.9820553000000007</v>
      </c>
      <c r="DC19" s="875">
        <v>8.9468869400000006</v>
      </c>
      <c r="DD19" s="875">
        <f>DD17-DD18</f>
        <v>8.9525543899999995</v>
      </c>
      <c r="DE19" s="875">
        <v>10.852725019999999</v>
      </c>
      <c r="DF19" s="875">
        <v>9.6531312499999995</v>
      </c>
      <c r="DG19" s="875">
        <v>2.80722782</v>
      </c>
      <c r="DH19" s="875">
        <f>DH17-DH18</f>
        <v>2.5818795399999996</v>
      </c>
      <c r="DI19" s="875">
        <v>2.8298259799999999</v>
      </c>
      <c r="DJ19" s="875">
        <f>DJ17-DJ18</f>
        <v>4.5847361700000002</v>
      </c>
      <c r="DK19" s="875">
        <v>4.5602159400000009</v>
      </c>
      <c r="DL19" s="875">
        <v>4.5685305200000004</v>
      </c>
      <c r="DM19" s="875">
        <v>5.5416438299999999</v>
      </c>
      <c r="DN19" s="875">
        <v>6.1187319900000006</v>
      </c>
      <c r="DO19" s="875">
        <f>DO17-DO18</f>
        <v>6.3937451899999997</v>
      </c>
      <c r="DP19" s="875">
        <f>DP17-DP18</f>
        <v>6.5410887999999998</v>
      </c>
      <c r="DQ19" s="875">
        <v>6.4556837099999997</v>
      </c>
      <c r="DR19" s="875">
        <f>DR17-DR18</f>
        <v>8.1020766799999997</v>
      </c>
      <c r="DS19" s="875">
        <f>DS17-DS18</f>
        <v>8.2331482200000004</v>
      </c>
      <c r="DT19" s="875">
        <v>4.9582894600000005</v>
      </c>
      <c r="DU19" s="875">
        <v>3.3243417399999999</v>
      </c>
      <c r="DV19" s="875">
        <f>DV17-DV18</f>
        <v>3.6506996599999999</v>
      </c>
      <c r="DW19" s="875">
        <f>DW17-DW18</f>
        <v>2.73406072</v>
      </c>
      <c r="DX19" s="875">
        <v>2.9805182000000001</v>
      </c>
      <c r="DY19" s="875">
        <v>3.5013020799999999</v>
      </c>
      <c r="DZ19" s="875">
        <f>DZ17-DZ18</f>
        <v>4.7208573700000001</v>
      </c>
      <c r="EA19" s="875">
        <f>EA17-EA18</f>
        <v>4.0745191400000005</v>
      </c>
      <c r="EB19" s="875">
        <v>4.4277811199999997</v>
      </c>
      <c r="EC19" s="875">
        <v>4.36508904</v>
      </c>
      <c r="ED19" s="875">
        <v>4.0910436600000004</v>
      </c>
      <c r="EE19" s="875">
        <v>3.4194234199999998</v>
      </c>
      <c r="EF19" s="875">
        <v>3.2324778699999999</v>
      </c>
      <c r="EG19" s="875">
        <v>6.8413133799999999</v>
      </c>
      <c r="EH19" s="875">
        <v>6.5039173799999999</v>
      </c>
      <c r="EI19" s="875">
        <v>6.2785387200000002</v>
      </c>
      <c r="EJ19" s="875">
        <v>5.5129554599999997</v>
      </c>
      <c r="EK19" s="875">
        <f>EK17-EK18</f>
        <v>5.1249363100000007</v>
      </c>
      <c r="EL19" s="875">
        <v>4.9783960399999998</v>
      </c>
      <c r="EM19" s="875">
        <v>4.7565486799999999</v>
      </c>
      <c r="EN19" s="875">
        <v>5.9398983300000001</v>
      </c>
      <c r="EO19" s="875">
        <f>EO17-EO18</f>
        <v>5.3636222300000007</v>
      </c>
      <c r="EP19" s="875">
        <v>7.385177650000001</v>
      </c>
      <c r="EQ19" s="875">
        <v>7.1630957899999999</v>
      </c>
      <c r="ER19" s="875">
        <v>7.3258423300000004</v>
      </c>
      <c r="ES19" s="875">
        <v>7.7179542300000001</v>
      </c>
      <c r="ET19" s="875">
        <v>7.1909604599999994</v>
      </c>
      <c r="EU19" s="875">
        <f>EU17-EU18</f>
        <v>6.6879167700000011</v>
      </c>
      <c r="EV19" s="1924" t="s">
        <v>4085</v>
      </c>
    </row>
    <row r="20" spans="1:152" ht="21">
      <c r="A20" s="1952"/>
      <c r="B20" s="862"/>
      <c r="C20" s="692"/>
      <c r="D20" s="692"/>
      <c r="E20" s="692"/>
      <c r="F20" s="692"/>
      <c r="G20" s="692"/>
      <c r="H20" s="692"/>
      <c r="I20" s="692"/>
      <c r="J20" s="692"/>
      <c r="K20" s="692"/>
      <c r="L20" s="692"/>
      <c r="M20" s="693"/>
      <c r="N20" s="693"/>
      <c r="O20" s="693"/>
      <c r="P20" s="693"/>
      <c r="Q20" s="693"/>
      <c r="R20" s="693"/>
      <c r="S20" s="693"/>
      <c r="T20" s="693"/>
      <c r="U20" s="693"/>
      <c r="V20" s="693"/>
      <c r="W20" s="693"/>
      <c r="X20" s="693"/>
      <c r="Y20" s="693"/>
      <c r="Z20" s="693"/>
      <c r="AA20" s="693"/>
      <c r="AB20" s="693"/>
      <c r="AC20" s="693"/>
      <c r="AD20" s="693"/>
      <c r="AE20" s="693"/>
      <c r="AF20" s="693"/>
      <c r="AG20" s="693"/>
      <c r="AH20" s="693"/>
      <c r="AI20" s="693"/>
      <c r="AJ20" s="693"/>
      <c r="AK20" s="693"/>
      <c r="AL20" s="693"/>
      <c r="AM20" s="693"/>
      <c r="AN20" s="693"/>
      <c r="AO20" s="693"/>
      <c r="AP20" s="693"/>
      <c r="AQ20" s="693"/>
      <c r="AR20" s="693"/>
      <c r="AS20" s="693"/>
      <c r="AT20" s="693"/>
      <c r="AU20" s="693"/>
      <c r="AV20" s="693"/>
      <c r="AW20" s="693"/>
      <c r="AX20" s="693"/>
      <c r="AY20" s="693"/>
      <c r="AZ20" s="693"/>
      <c r="BA20" s="693"/>
      <c r="BB20" s="693"/>
      <c r="BC20" s="693"/>
      <c r="BD20" s="693"/>
      <c r="BE20" s="693"/>
      <c r="BF20" s="693"/>
      <c r="BG20" s="693"/>
      <c r="BH20" s="693"/>
      <c r="BI20" s="858"/>
      <c r="BJ20" s="874"/>
      <c r="BK20" s="874"/>
      <c r="BL20" s="874"/>
      <c r="BM20" s="874"/>
      <c r="BN20" s="874"/>
      <c r="BO20" s="874"/>
      <c r="BP20" s="874"/>
      <c r="BQ20" s="874"/>
      <c r="BR20" s="874"/>
      <c r="BS20" s="874"/>
      <c r="BT20" s="874"/>
      <c r="BU20" s="874"/>
      <c r="BV20" s="874"/>
      <c r="BW20" s="874"/>
      <c r="BX20" s="874"/>
      <c r="BY20" s="874"/>
      <c r="BZ20" s="874"/>
      <c r="CA20" s="874"/>
      <c r="CB20" s="874"/>
      <c r="CC20" s="874"/>
      <c r="CD20" s="874"/>
      <c r="CE20" s="874"/>
      <c r="CF20" s="874"/>
      <c r="CG20" s="874"/>
      <c r="CH20" s="874"/>
      <c r="CI20" s="874"/>
      <c r="CJ20" s="874"/>
      <c r="CK20" s="874"/>
      <c r="CL20" s="874"/>
      <c r="CM20" s="874"/>
      <c r="CN20" s="874"/>
      <c r="CO20" s="874"/>
      <c r="CP20" s="874"/>
      <c r="CQ20" s="874"/>
      <c r="CR20" s="874"/>
      <c r="CS20" s="874"/>
      <c r="CT20" s="874"/>
      <c r="CU20" s="874"/>
      <c r="CV20" s="874"/>
      <c r="CW20" s="874"/>
      <c r="CX20" s="874"/>
      <c r="CY20" s="874"/>
      <c r="CZ20" s="874"/>
      <c r="DA20" s="874"/>
      <c r="DB20" s="874"/>
      <c r="DC20" s="874"/>
      <c r="DD20" s="874"/>
      <c r="DE20" s="874"/>
      <c r="DF20" s="874"/>
      <c r="DG20" s="874"/>
      <c r="DH20" s="874"/>
      <c r="DI20" s="874"/>
      <c r="DJ20" s="874"/>
      <c r="DK20" s="874"/>
      <c r="DL20" s="874"/>
      <c r="DM20" s="874"/>
      <c r="DN20" s="874"/>
      <c r="DO20" s="874"/>
      <c r="DP20" s="874"/>
      <c r="DQ20" s="874"/>
      <c r="DR20" s="874"/>
      <c r="DS20" s="874"/>
      <c r="DT20" s="874"/>
      <c r="DU20" s="874"/>
      <c r="DV20" s="874"/>
      <c r="DW20" s="874"/>
      <c r="DX20" s="874"/>
      <c r="DY20" s="874"/>
      <c r="DZ20" s="874"/>
      <c r="EA20" s="874"/>
      <c r="EB20" s="874"/>
      <c r="EC20" s="874"/>
      <c r="ED20" s="874"/>
      <c r="EE20" s="874"/>
      <c r="EF20" s="874"/>
      <c r="EG20" s="874"/>
      <c r="EH20" s="874"/>
      <c r="EI20" s="874"/>
      <c r="EJ20" s="874"/>
      <c r="EK20" s="874"/>
      <c r="EL20" s="874"/>
      <c r="EM20" s="874"/>
      <c r="EN20" s="874"/>
      <c r="EO20" s="874"/>
      <c r="EP20" s="874"/>
      <c r="EQ20" s="874"/>
      <c r="ER20" s="874"/>
      <c r="ES20" s="874"/>
      <c r="ET20" s="874"/>
      <c r="EU20" s="874"/>
      <c r="EV20" s="1922"/>
    </row>
    <row r="21" spans="1:152" ht="21">
      <c r="A21" s="1952" t="s">
        <v>2757</v>
      </c>
      <c r="B21" s="863">
        <v>0</v>
      </c>
      <c r="C21" s="694">
        <v>2.7385004300000002</v>
      </c>
      <c r="D21" s="694">
        <v>2.6726596000000002</v>
      </c>
      <c r="E21" s="694">
        <v>2.7278809399999999</v>
      </c>
      <c r="F21" s="694">
        <v>2.71540304</v>
      </c>
      <c r="G21" s="694">
        <v>2.7217747299999999</v>
      </c>
      <c r="H21" s="694">
        <v>3.6555128900000002</v>
      </c>
      <c r="I21" s="694">
        <v>3.6509430599999999</v>
      </c>
      <c r="J21" s="694">
        <v>3.7237088300000001</v>
      </c>
      <c r="K21" s="694">
        <v>3.7803044199999998</v>
      </c>
      <c r="L21" s="694">
        <v>3.75394001</v>
      </c>
      <c r="M21" s="693">
        <v>3.78944408</v>
      </c>
      <c r="N21" s="695">
        <v>4.6315667099999995</v>
      </c>
      <c r="O21" s="695">
        <v>4.6838761699999996</v>
      </c>
      <c r="P21" s="695">
        <v>4.7000049199999996</v>
      </c>
      <c r="Q21" s="695">
        <v>4.7204927899999998</v>
      </c>
      <c r="R21" s="695">
        <v>4.6524904899999999</v>
      </c>
      <c r="S21" s="695">
        <v>4.66469603</v>
      </c>
      <c r="T21" s="695">
        <v>5.4504879500000003</v>
      </c>
      <c r="U21" s="695">
        <v>5.3622923600000005</v>
      </c>
      <c r="V21" s="695">
        <v>5.1646304599999997</v>
      </c>
      <c r="W21" s="695">
        <v>5.1215702500000004</v>
      </c>
      <c r="X21" s="695">
        <v>5.1215702500000004</v>
      </c>
      <c r="Y21" s="693">
        <v>4.9399910800000004</v>
      </c>
      <c r="Z21" s="695">
        <v>4.9399910800000004</v>
      </c>
      <c r="AA21" s="695">
        <v>5.3301284000000004</v>
      </c>
      <c r="AB21" s="693">
        <v>7.0606506200000005</v>
      </c>
      <c r="AC21" s="693">
        <v>6.9240016999999998</v>
      </c>
      <c r="AD21" s="693">
        <v>7.9717807499999997</v>
      </c>
      <c r="AE21" s="693">
        <v>7.8797218899999999</v>
      </c>
      <c r="AF21" s="693">
        <v>8.0196527599999996</v>
      </c>
      <c r="AG21" s="693">
        <v>8.6930888100000008</v>
      </c>
      <c r="AH21" s="693">
        <v>8.1311535900000003</v>
      </c>
      <c r="AI21" s="693">
        <v>8.1340564900000007</v>
      </c>
      <c r="AJ21" s="693">
        <v>7.9447754499999999</v>
      </c>
      <c r="AK21" s="693">
        <v>20.480826260000001</v>
      </c>
      <c r="AL21" s="693">
        <v>23.04834688</v>
      </c>
      <c r="AM21" s="693">
        <v>19.687843399999998</v>
      </c>
      <c r="AN21" s="693">
        <v>12.947675539999999</v>
      </c>
      <c r="AO21" s="693">
        <v>13.201062109999999</v>
      </c>
      <c r="AP21" s="693">
        <v>12.990032699999999</v>
      </c>
      <c r="AQ21" s="693">
        <v>12.55435907</v>
      </c>
      <c r="AR21" s="693">
        <v>12.926496960000001</v>
      </c>
      <c r="AS21" s="693">
        <v>0</v>
      </c>
      <c r="AT21" s="693">
        <v>0.26464502000000001</v>
      </c>
      <c r="AU21" s="693">
        <f>AU13-AU17</f>
        <v>0.51875199999999999</v>
      </c>
      <c r="AV21" s="693">
        <v>0.85181200000000001</v>
      </c>
      <c r="AW21" s="693">
        <v>0.81394599999999995</v>
      </c>
      <c r="AX21" s="693">
        <v>0.832229</v>
      </c>
      <c r="AY21" s="693">
        <v>0.88561465000000006</v>
      </c>
      <c r="AZ21" s="693">
        <v>0.64657500000000001</v>
      </c>
      <c r="BA21" s="693">
        <v>0.724248</v>
      </c>
      <c r="BB21" s="693">
        <v>140.49029999999999</v>
      </c>
      <c r="BC21" s="693">
        <v>140.44904</v>
      </c>
      <c r="BD21" s="693">
        <v>140.457292</v>
      </c>
      <c r="BE21" s="693">
        <v>0.88446800000000003</v>
      </c>
      <c r="BF21" s="693">
        <v>0.85050000000000003</v>
      </c>
      <c r="BG21" s="693">
        <v>0.85009999999999997</v>
      </c>
      <c r="BH21" s="693">
        <v>0.85009999999999997</v>
      </c>
      <c r="BI21" s="858">
        <v>0.85004999999999598</v>
      </c>
      <c r="BJ21" s="874">
        <v>0.816048</v>
      </c>
      <c r="BK21" s="874">
        <f>+BK13-BK17</f>
        <v>0.816048</v>
      </c>
      <c r="BL21" s="874">
        <v>0.8160450600000001</v>
      </c>
      <c r="BM21" s="874">
        <v>0.81599706000000005</v>
      </c>
      <c r="BN21" s="874">
        <v>0.81599706000000005</v>
      </c>
      <c r="BO21" s="874">
        <v>0.81599706000000005</v>
      </c>
      <c r="BP21" s="874">
        <v>0.81599706000000016</v>
      </c>
      <c r="BQ21" s="874">
        <v>0.81599706000000005</v>
      </c>
      <c r="BR21" s="874">
        <v>0.88701006000000016</v>
      </c>
      <c r="BS21" s="874">
        <v>0.88659006000000007</v>
      </c>
      <c r="BT21" s="874">
        <v>0.8149640600000001</v>
      </c>
      <c r="BU21" s="874">
        <v>0.81556606000000009</v>
      </c>
      <c r="BV21" s="874">
        <v>0.81627306000000011</v>
      </c>
      <c r="BW21" s="874">
        <v>0.81599706000000005</v>
      </c>
      <c r="BX21" s="874">
        <v>0.81599706000000005</v>
      </c>
      <c r="BY21" s="874">
        <v>0.81599706000000005</v>
      </c>
      <c r="BZ21" s="874">
        <v>2.5672520600000004</v>
      </c>
      <c r="CA21" s="874">
        <v>2.7225470600000001</v>
      </c>
      <c r="CB21" s="874">
        <v>2.8925470599999996</v>
      </c>
      <c r="CC21" s="874">
        <v>2.9043183700000004</v>
      </c>
      <c r="CD21" s="874">
        <v>2.8623536199999999</v>
      </c>
      <c r="CE21" s="874">
        <v>3.2006536200000002</v>
      </c>
      <c r="CF21" s="874">
        <v>2.94371706</v>
      </c>
      <c r="CG21" s="874">
        <v>3.12865518</v>
      </c>
      <c r="CH21" s="874">
        <v>11.671967199999999</v>
      </c>
      <c r="CI21" s="874">
        <v>11.8172172</v>
      </c>
      <c r="CJ21" s="874">
        <v>14.979392259999999</v>
      </c>
      <c r="CK21" s="874">
        <v>12.50641645</v>
      </c>
      <c r="CL21" s="874">
        <v>10.830671929999999</v>
      </c>
      <c r="CM21" s="874">
        <v>10.305951</v>
      </c>
      <c r="CN21" s="874">
        <v>9.7571030399999987</v>
      </c>
      <c r="CO21" s="874">
        <v>17.259382679999998</v>
      </c>
      <c r="CP21" s="874">
        <v>16.84035179</v>
      </c>
      <c r="CQ21" s="874">
        <v>7.7856662300000004</v>
      </c>
      <c r="CR21" s="874">
        <v>7.74543918</v>
      </c>
      <c r="CS21" s="874">
        <v>7.83038232</v>
      </c>
      <c r="CT21" s="874">
        <v>15.16911312</v>
      </c>
      <c r="CU21" s="874">
        <v>8.2406208000000003</v>
      </c>
      <c r="CV21" s="874">
        <v>8.2433571200000006</v>
      </c>
      <c r="CW21" s="874">
        <v>7.7141575400000004</v>
      </c>
      <c r="CX21" s="874">
        <v>8.2445575400000006</v>
      </c>
      <c r="CY21" s="874">
        <v>7.7709549999999998</v>
      </c>
      <c r="CZ21" s="874">
        <v>7.7696705100000001</v>
      </c>
      <c r="DA21" s="874">
        <v>8.0971245300000003</v>
      </c>
      <c r="DB21" s="874">
        <v>8.5815133499999998</v>
      </c>
      <c r="DC21" s="874">
        <v>10.31550064</v>
      </c>
      <c r="DD21" s="874">
        <v>10.336186830000001</v>
      </c>
      <c r="DE21" s="874">
        <v>10.295765469999999</v>
      </c>
      <c r="DF21" s="874">
        <v>10.34192047</v>
      </c>
      <c r="DG21" s="874">
        <v>10.34280551</v>
      </c>
      <c r="DH21" s="874">
        <v>10.26423447</v>
      </c>
      <c r="DI21" s="874">
        <v>2.3171887600000001</v>
      </c>
      <c r="DJ21" s="874">
        <v>3.3309504400000001</v>
      </c>
      <c r="DK21" s="874">
        <v>3.2792626</v>
      </c>
      <c r="DL21" s="874">
        <v>15.180541870000001</v>
      </c>
      <c r="DM21" s="874">
        <v>14.48280508</v>
      </c>
      <c r="DN21" s="874">
        <v>0.11340761000000001</v>
      </c>
      <c r="DO21" s="874">
        <v>2.6633926899999998</v>
      </c>
      <c r="DP21" s="874">
        <v>2.1183335200000002</v>
      </c>
      <c r="DQ21" s="874">
        <v>0.91870187999999997</v>
      </c>
      <c r="DR21" s="874">
        <v>0.95401334000000004</v>
      </c>
      <c r="DS21" s="874">
        <v>0.95175228000000001</v>
      </c>
      <c r="DT21" s="874">
        <v>0.96790092000000005</v>
      </c>
      <c r="DU21" s="874">
        <v>0.96778611999999997</v>
      </c>
      <c r="DV21" s="874">
        <v>5.1733518700000003</v>
      </c>
      <c r="DW21" s="874">
        <v>11.984999999999999</v>
      </c>
      <c r="DX21" s="874">
        <v>14.705</v>
      </c>
      <c r="DY21" s="874">
        <v>9.3011870499999993</v>
      </c>
      <c r="DZ21" s="874">
        <v>9.9702953700000005</v>
      </c>
      <c r="EA21" s="874">
        <v>9.5492700900000003</v>
      </c>
      <c r="EB21" s="874">
        <v>4.4129057500000002</v>
      </c>
      <c r="EC21" s="874">
        <v>5.0107622899999997</v>
      </c>
      <c r="ED21" s="874">
        <v>7.1459904600000002</v>
      </c>
      <c r="EE21" s="874">
        <v>3.0087559000000001</v>
      </c>
      <c r="EF21" s="874">
        <v>3.01339698</v>
      </c>
      <c r="EG21" s="874">
        <v>3.02392898</v>
      </c>
      <c r="EH21" s="874">
        <v>4.72268869</v>
      </c>
      <c r="EI21" s="874">
        <v>4.66899511</v>
      </c>
      <c r="EJ21" s="874">
        <v>4.2911650100000003</v>
      </c>
      <c r="EK21" s="874">
        <v>4.2021156099999999</v>
      </c>
      <c r="EL21" s="874">
        <v>13.894626300000001</v>
      </c>
      <c r="EM21" s="874">
        <v>12.801596399999999</v>
      </c>
      <c r="EN21" s="874">
        <v>2.7693959700000002</v>
      </c>
      <c r="EO21" s="874">
        <v>2.7693959700000002</v>
      </c>
      <c r="EP21" s="874">
        <v>1.8649940300000001</v>
      </c>
      <c r="EQ21" s="874">
        <v>2.87721311</v>
      </c>
      <c r="ER21" s="874">
        <v>5.7625077200000003</v>
      </c>
      <c r="ES21" s="874">
        <v>5.7435655199999998</v>
      </c>
      <c r="ET21" s="874">
        <v>5.7567359800000002</v>
      </c>
      <c r="EU21" s="874">
        <v>4.0254780099999996</v>
      </c>
      <c r="EV21" s="1922" t="s">
        <v>4087</v>
      </c>
    </row>
    <row r="22" spans="1:152" ht="21">
      <c r="A22" s="1953" t="s">
        <v>1974</v>
      </c>
      <c r="B22" s="863">
        <v>0</v>
      </c>
      <c r="C22" s="694">
        <v>2.7385004300000002</v>
      </c>
      <c r="D22" s="694">
        <v>2.6726596000000002</v>
      </c>
      <c r="E22" s="694">
        <v>2.7278809399999999</v>
      </c>
      <c r="F22" s="694">
        <v>2.71540304</v>
      </c>
      <c r="G22" s="694">
        <v>2.7217747299999999</v>
      </c>
      <c r="H22" s="694">
        <v>3.6555128900000002</v>
      </c>
      <c r="I22" s="694">
        <v>3.6509430599999999</v>
      </c>
      <c r="J22" s="694">
        <v>3.7237088300000001</v>
      </c>
      <c r="K22" s="694">
        <v>3.7803044199999998</v>
      </c>
      <c r="L22" s="694">
        <v>3.75394001</v>
      </c>
      <c r="M22" s="695">
        <v>3.78944408</v>
      </c>
      <c r="N22" s="695">
        <v>4.6315667099999995</v>
      </c>
      <c r="O22" s="695">
        <v>4.6838761699999996</v>
      </c>
      <c r="P22" s="695">
        <v>4.7000049199999996</v>
      </c>
      <c r="Q22" s="695">
        <v>4.7204927899999998</v>
      </c>
      <c r="R22" s="695">
        <v>4.6524904899999999</v>
      </c>
      <c r="S22" s="695">
        <v>4.66469603</v>
      </c>
      <c r="T22" s="695">
        <v>5.4504879500000003</v>
      </c>
      <c r="U22" s="695">
        <v>5.3622923600000005</v>
      </c>
      <c r="V22" s="695">
        <v>5.1646304599999997</v>
      </c>
      <c r="W22" s="695">
        <v>5.1215702500000004</v>
      </c>
      <c r="X22" s="695">
        <v>5.1215702500000004</v>
      </c>
      <c r="Y22" s="695">
        <v>4.9399910800000004</v>
      </c>
      <c r="Z22" s="695">
        <v>4.9399910800000004</v>
      </c>
      <c r="AA22" s="695">
        <v>5.3301284000000004</v>
      </c>
      <c r="AB22" s="695">
        <v>7.0606506200000005</v>
      </c>
      <c r="AC22" s="695">
        <v>6.9240016999999998</v>
      </c>
      <c r="AD22" s="695">
        <v>7.1201734299999995</v>
      </c>
      <c r="AE22" s="695">
        <v>7.0275461300000002</v>
      </c>
      <c r="AF22" s="695">
        <v>7.1683702599999997</v>
      </c>
      <c r="AG22" s="695">
        <v>7.9308354300000001</v>
      </c>
      <c r="AH22" s="695">
        <v>8.1311535900000003</v>
      </c>
      <c r="AI22" s="695">
        <v>8.1340564900000007</v>
      </c>
      <c r="AJ22" s="695">
        <v>7.9447754499999999</v>
      </c>
      <c r="AK22" s="695">
        <v>20.480826260000001</v>
      </c>
      <c r="AL22" s="695">
        <v>23.04834688</v>
      </c>
      <c r="AM22" s="695">
        <v>19.687843399999998</v>
      </c>
      <c r="AN22" s="695">
        <v>12.947675539999999</v>
      </c>
      <c r="AO22" s="695">
        <v>13.201062109999999</v>
      </c>
      <c r="AP22" s="695">
        <v>12.990032699999999</v>
      </c>
      <c r="AQ22" s="695">
        <v>12.55435907</v>
      </c>
      <c r="AR22" s="695">
        <v>12.926496960000001</v>
      </c>
      <c r="AS22" s="695">
        <v>0</v>
      </c>
      <c r="AT22" s="695">
        <v>0.26464502000000001</v>
      </c>
      <c r="AU22" s="695">
        <f>AU14-AU18</f>
        <v>0.51875199999999999</v>
      </c>
      <c r="AV22" s="695">
        <v>0.52419199999999999</v>
      </c>
      <c r="AW22" s="695">
        <v>0.277088</v>
      </c>
      <c r="AX22" s="695">
        <v>0.28331200000000001</v>
      </c>
      <c r="AY22" s="695">
        <v>0.30664000000000002</v>
      </c>
      <c r="AZ22" s="695">
        <v>0.27960000000000002</v>
      </c>
      <c r="BA22" s="695">
        <v>0.55180799999999997</v>
      </c>
      <c r="BB22" s="695">
        <v>139.60499999999999</v>
      </c>
      <c r="BC22" s="695">
        <v>139.56399999999999</v>
      </c>
      <c r="BD22" s="695">
        <v>139.57220000000001</v>
      </c>
      <c r="BE22" s="695">
        <v>0</v>
      </c>
      <c r="BF22" s="695">
        <v>0</v>
      </c>
      <c r="BG22" s="695">
        <v>0</v>
      </c>
      <c r="BH22" s="695">
        <v>0</v>
      </c>
      <c r="BI22" s="859">
        <v>0</v>
      </c>
      <c r="BJ22" s="875">
        <v>0</v>
      </c>
      <c r="BK22" s="875">
        <f>+BK14-BK18</f>
        <v>0</v>
      </c>
      <c r="BL22" s="875">
        <v>0</v>
      </c>
      <c r="BM22" s="875">
        <v>0</v>
      </c>
      <c r="BN22" s="875">
        <v>0</v>
      </c>
      <c r="BO22" s="875">
        <v>0</v>
      </c>
      <c r="BP22" s="875">
        <v>0</v>
      </c>
      <c r="BQ22" s="875">
        <v>0</v>
      </c>
      <c r="BR22" s="875">
        <v>0</v>
      </c>
      <c r="BS22" s="875">
        <v>0</v>
      </c>
      <c r="BT22" s="875">
        <v>0</v>
      </c>
      <c r="BU22" s="875">
        <v>0</v>
      </c>
      <c r="BV22" s="875">
        <v>0</v>
      </c>
      <c r="BW22" s="875">
        <v>0</v>
      </c>
      <c r="BX22" s="875">
        <v>0</v>
      </c>
      <c r="BY22" s="875">
        <v>0</v>
      </c>
      <c r="BZ22" s="875">
        <v>0</v>
      </c>
      <c r="CA22" s="875">
        <v>0</v>
      </c>
      <c r="CB22" s="875">
        <v>0</v>
      </c>
      <c r="CC22" s="875">
        <v>0</v>
      </c>
      <c r="CD22" s="875">
        <v>0</v>
      </c>
      <c r="CE22" s="875">
        <v>0</v>
      </c>
      <c r="CF22" s="875">
        <v>0</v>
      </c>
      <c r="CG22" s="875">
        <v>0</v>
      </c>
      <c r="CH22" s="875">
        <v>0</v>
      </c>
      <c r="CI22" s="875">
        <v>0</v>
      </c>
      <c r="CJ22" s="875">
        <v>0</v>
      </c>
      <c r="CK22" s="875">
        <v>0</v>
      </c>
      <c r="CL22" s="875">
        <v>0</v>
      </c>
      <c r="CM22" s="875">
        <v>0</v>
      </c>
      <c r="CN22" s="875">
        <v>0</v>
      </c>
      <c r="CO22" s="875">
        <v>0</v>
      </c>
      <c r="CP22" s="875">
        <v>0</v>
      </c>
      <c r="CQ22" s="875">
        <v>0</v>
      </c>
      <c r="CR22" s="875">
        <v>0</v>
      </c>
      <c r="CS22" s="875">
        <v>8.0620499999999994E-3</v>
      </c>
      <c r="CT22" s="875">
        <v>8.0620499999999994E-3</v>
      </c>
      <c r="CU22" s="875">
        <v>3.6393100000000002E-3</v>
      </c>
      <c r="CV22" s="875">
        <v>0</v>
      </c>
      <c r="CW22" s="875">
        <v>0</v>
      </c>
      <c r="CX22" s="875">
        <v>0</v>
      </c>
      <c r="CY22" s="875">
        <v>0</v>
      </c>
      <c r="CZ22" s="875">
        <v>0</v>
      </c>
      <c r="DA22" s="875">
        <v>0</v>
      </c>
      <c r="DB22" s="875">
        <v>0</v>
      </c>
      <c r="DC22" s="875">
        <v>0</v>
      </c>
      <c r="DD22" s="875">
        <v>0</v>
      </c>
      <c r="DE22" s="875">
        <v>0</v>
      </c>
      <c r="DF22" s="875">
        <v>0</v>
      </c>
      <c r="DG22" s="875">
        <v>0</v>
      </c>
      <c r="DH22" s="875">
        <v>0</v>
      </c>
      <c r="DI22" s="875">
        <v>0</v>
      </c>
      <c r="DJ22" s="875">
        <v>0</v>
      </c>
      <c r="DK22" s="875">
        <v>0</v>
      </c>
      <c r="DL22" s="875">
        <v>0</v>
      </c>
      <c r="DM22" s="875">
        <v>0</v>
      </c>
      <c r="DN22" s="875">
        <v>0</v>
      </c>
      <c r="DO22" s="875">
        <v>0</v>
      </c>
      <c r="DP22" s="875">
        <v>0</v>
      </c>
      <c r="DQ22" s="875">
        <v>0</v>
      </c>
      <c r="DR22" s="875">
        <v>0</v>
      </c>
      <c r="DS22" s="875">
        <v>0</v>
      </c>
      <c r="DT22" s="875">
        <v>0</v>
      </c>
      <c r="DU22" s="875">
        <v>0</v>
      </c>
      <c r="DV22" s="875">
        <v>0</v>
      </c>
      <c r="DW22" s="875">
        <v>0</v>
      </c>
      <c r="DX22" s="875">
        <v>0</v>
      </c>
      <c r="DY22" s="875">
        <v>0</v>
      </c>
      <c r="DZ22" s="875">
        <v>0</v>
      </c>
      <c r="EA22" s="875">
        <v>0</v>
      </c>
      <c r="EB22" s="875">
        <v>0</v>
      </c>
      <c r="EC22" s="875">
        <v>0</v>
      </c>
      <c r="ED22" s="875">
        <v>0</v>
      </c>
      <c r="EE22" s="875">
        <v>0</v>
      </c>
      <c r="EF22" s="875">
        <v>0</v>
      </c>
      <c r="EG22" s="875">
        <v>0</v>
      </c>
      <c r="EH22" s="875">
        <v>0</v>
      </c>
      <c r="EI22" s="875">
        <v>0</v>
      </c>
      <c r="EJ22" s="875">
        <v>0</v>
      </c>
      <c r="EK22" s="875">
        <v>0</v>
      </c>
      <c r="EL22" s="875">
        <v>0</v>
      </c>
      <c r="EM22" s="875">
        <v>0</v>
      </c>
      <c r="EN22" s="875">
        <v>0</v>
      </c>
      <c r="EO22" s="875">
        <v>0</v>
      </c>
      <c r="EP22" s="875">
        <v>0</v>
      </c>
      <c r="EQ22" s="875">
        <v>0</v>
      </c>
      <c r="ER22" s="875">
        <v>0</v>
      </c>
      <c r="ES22" s="875">
        <v>0</v>
      </c>
      <c r="ET22" s="875">
        <v>0</v>
      </c>
      <c r="EU22" s="875">
        <v>0</v>
      </c>
      <c r="EV22" s="1924" t="s">
        <v>4086</v>
      </c>
    </row>
    <row r="23" spans="1:152" ht="21">
      <c r="A23" s="1953" t="s">
        <v>1975</v>
      </c>
      <c r="B23" s="862">
        <f t="shared" ref="B23:V23" si="6">+B21-B22</f>
        <v>0</v>
      </c>
      <c r="C23" s="694">
        <f t="shared" si="6"/>
        <v>0</v>
      </c>
      <c r="D23" s="694">
        <f t="shared" si="6"/>
        <v>0</v>
      </c>
      <c r="E23" s="694">
        <f t="shared" si="6"/>
        <v>0</v>
      </c>
      <c r="F23" s="694">
        <f t="shared" si="6"/>
        <v>0</v>
      </c>
      <c r="G23" s="694">
        <f t="shared" si="6"/>
        <v>0</v>
      </c>
      <c r="H23" s="694">
        <f t="shared" si="6"/>
        <v>0</v>
      </c>
      <c r="I23" s="694">
        <f t="shared" si="6"/>
        <v>0</v>
      </c>
      <c r="J23" s="694">
        <f t="shared" si="6"/>
        <v>0</v>
      </c>
      <c r="K23" s="694">
        <f t="shared" si="6"/>
        <v>0</v>
      </c>
      <c r="L23" s="694">
        <f t="shared" si="6"/>
        <v>0</v>
      </c>
      <c r="M23" s="695">
        <f t="shared" si="6"/>
        <v>0</v>
      </c>
      <c r="N23" s="695">
        <f t="shared" si="6"/>
        <v>0</v>
      </c>
      <c r="O23" s="695">
        <f t="shared" si="6"/>
        <v>0</v>
      </c>
      <c r="P23" s="693">
        <f t="shared" si="6"/>
        <v>0</v>
      </c>
      <c r="Q23" s="693">
        <f t="shared" si="6"/>
        <v>0</v>
      </c>
      <c r="R23" s="693">
        <f t="shared" si="6"/>
        <v>0</v>
      </c>
      <c r="S23" s="693">
        <f t="shared" si="6"/>
        <v>0</v>
      </c>
      <c r="T23" s="693">
        <f t="shared" si="6"/>
        <v>0</v>
      </c>
      <c r="U23" s="693">
        <f t="shared" si="6"/>
        <v>0</v>
      </c>
      <c r="V23" s="693">
        <f t="shared" si="6"/>
        <v>0</v>
      </c>
      <c r="W23" s="693">
        <v>0</v>
      </c>
      <c r="X23" s="693">
        <v>0</v>
      </c>
      <c r="Y23" s="695">
        <v>0</v>
      </c>
      <c r="Z23" s="693">
        <v>0</v>
      </c>
      <c r="AA23" s="695">
        <v>0</v>
      </c>
      <c r="AB23" s="695">
        <v>0</v>
      </c>
      <c r="AC23" s="695">
        <v>0</v>
      </c>
      <c r="AD23" s="695">
        <v>0.85160732000000028</v>
      </c>
      <c r="AE23" s="695">
        <v>0.85217575999999973</v>
      </c>
      <c r="AF23" s="695">
        <v>0.85128249999999994</v>
      </c>
      <c r="AG23" s="695">
        <v>0.76225338000000065</v>
      </c>
      <c r="AH23" s="695">
        <v>0</v>
      </c>
      <c r="AI23" s="695">
        <f>+AI21-AI22</f>
        <v>0</v>
      </c>
      <c r="AJ23" s="695">
        <v>0</v>
      </c>
      <c r="AK23" s="695">
        <f>+AK21-AK22</f>
        <v>0</v>
      </c>
      <c r="AL23" s="695">
        <f>+AL21-AL22</f>
        <v>0</v>
      </c>
      <c r="AM23" s="695">
        <v>0</v>
      </c>
      <c r="AN23" s="695">
        <f>+AN21-AN22</f>
        <v>0</v>
      </c>
      <c r="AO23" s="695">
        <f>+AO21-AO22</f>
        <v>0</v>
      </c>
      <c r="AP23" s="695">
        <f>+AP21-AP22</f>
        <v>0</v>
      </c>
      <c r="AQ23" s="695">
        <f>+AQ21-AQ22</f>
        <v>0</v>
      </c>
      <c r="AR23" s="695">
        <v>0</v>
      </c>
      <c r="AS23" s="695">
        <f>+AS21-AS22</f>
        <v>0</v>
      </c>
      <c r="AT23" s="695">
        <f>+AT21-AT22</f>
        <v>0</v>
      </c>
      <c r="AU23" s="695">
        <f>AU15-AU19</f>
        <v>0</v>
      </c>
      <c r="AV23" s="695">
        <v>0.32762000000000002</v>
      </c>
      <c r="AW23" s="695">
        <v>0.53685799999999995</v>
      </c>
      <c r="AX23" s="695">
        <v>0.54891699999999999</v>
      </c>
      <c r="AY23" s="695">
        <v>0.57897465000000004</v>
      </c>
      <c r="AZ23" s="695">
        <v>0.366975</v>
      </c>
      <c r="BA23" s="695">
        <v>0.17244000000000004</v>
      </c>
      <c r="BB23" s="695">
        <v>0.88530000000000086</v>
      </c>
      <c r="BC23" s="695">
        <v>0.8850400000000036</v>
      </c>
      <c r="BD23" s="695">
        <v>0.885091999999986</v>
      </c>
      <c r="BE23" s="695">
        <f>+BE21-BE22</f>
        <v>0.88446800000000003</v>
      </c>
      <c r="BF23" s="695">
        <v>0.85050000000000003</v>
      </c>
      <c r="BG23" s="695">
        <v>0.85009999999999997</v>
      </c>
      <c r="BH23" s="695">
        <v>0.85009999999999997</v>
      </c>
      <c r="BI23" s="859">
        <v>0.85004999999999598</v>
      </c>
      <c r="BJ23" s="875">
        <v>0.816048</v>
      </c>
      <c r="BK23" s="875">
        <f>+BK21-BK22</f>
        <v>0.816048</v>
      </c>
      <c r="BL23" s="875">
        <v>0.8160450600000001</v>
      </c>
      <c r="BM23" s="875">
        <v>0.81599706000000005</v>
      </c>
      <c r="BN23" s="875">
        <v>0.81599706000000005</v>
      </c>
      <c r="BO23" s="875">
        <v>0.81599706000000005</v>
      </c>
      <c r="BP23" s="875">
        <v>0.81599706000000016</v>
      </c>
      <c r="BQ23" s="875">
        <v>0.81599706000000005</v>
      </c>
      <c r="BR23" s="875">
        <v>0.88701006000000016</v>
      </c>
      <c r="BS23" s="875">
        <v>0.88659006000000007</v>
      </c>
      <c r="BT23" s="875">
        <v>0.8149640600000001</v>
      </c>
      <c r="BU23" s="875">
        <v>0.81556606000000009</v>
      </c>
      <c r="BV23" s="875">
        <v>0.81627306000000011</v>
      </c>
      <c r="BW23" s="875">
        <v>0.81599706000000005</v>
      </c>
      <c r="BX23" s="875">
        <v>0.81599706000000005</v>
      </c>
      <c r="BY23" s="875">
        <v>0.81599706000000005</v>
      </c>
      <c r="BZ23" s="875">
        <v>2.5672520600000004</v>
      </c>
      <c r="CA23" s="875">
        <v>2.7225470600000001</v>
      </c>
      <c r="CB23" s="875">
        <v>2.8925470599999996</v>
      </c>
      <c r="CC23" s="875">
        <v>2.9043183700000004</v>
      </c>
      <c r="CD23" s="875">
        <v>2.8623536199999999</v>
      </c>
      <c r="CE23" s="875">
        <v>3.2006536200000002</v>
      </c>
      <c r="CF23" s="875">
        <f t="shared" ref="CF23:CP23" si="7">+CF21-CF22</f>
        <v>2.94371706</v>
      </c>
      <c r="CG23" s="875">
        <f t="shared" si="7"/>
        <v>3.12865518</v>
      </c>
      <c r="CH23" s="875">
        <f t="shared" si="7"/>
        <v>11.671967199999999</v>
      </c>
      <c r="CI23" s="875">
        <f t="shared" si="7"/>
        <v>11.8172172</v>
      </c>
      <c r="CJ23" s="875">
        <f t="shared" si="7"/>
        <v>14.979392259999999</v>
      </c>
      <c r="CK23" s="875">
        <f t="shared" si="7"/>
        <v>12.50641645</v>
      </c>
      <c r="CL23" s="875">
        <f t="shared" si="7"/>
        <v>10.830671929999999</v>
      </c>
      <c r="CM23" s="875">
        <f t="shared" si="7"/>
        <v>10.305951</v>
      </c>
      <c r="CN23" s="875">
        <f t="shared" si="7"/>
        <v>9.7571030399999987</v>
      </c>
      <c r="CO23" s="875">
        <f t="shared" si="7"/>
        <v>17.259382679999998</v>
      </c>
      <c r="CP23" s="875">
        <f t="shared" si="7"/>
        <v>16.84035179</v>
      </c>
      <c r="CQ23" s="875">
        <f>+CQ21-CQ22</f>
        <v>7.7856662300000004</v>
      </c>
      <c r="CR23" s="875">
        <f>+CR21-CR22</f>
        <v>7.74543918</v>
      </c>
      <c r="CS23" s="875">
        <f>+CS21-CS22</f>
        <v>7.8223202699999996</v>
      </c>
      <c r="CT23" s="875">
        <f>+CT21-CT22</f>
        <v>15.161051070000001</v>
      </c>
      <c r="CU23" s="875">
        <v>8.2369814899999998</v>
      </c>
      <c r="CV23" s="875">
        <f>+CV21-CV22</f>
        <v>8.2433571200000006</v>
      </c>
      <c r="CW23" s="875">
        <v>7.7141575400000004</v>
      </c>
      <c r="CX23" s="875">
        <v>8.2445575400000006</v>
      </c>
      <c r="CY23" s="875">
        <v>7.7709549999999998</v>
      </c>
      <c r="CZ23" s="875">
        <v>7.7696705100000001</v>
      </c>
      <c r="DA23" s="875">
        <v>8.0971245300000003</v>
      </c>
      <c r="DB23" s="875">
        <v>8.5815133499999998</v>
      </c>
      <c r="DC23" s="875">
        <v>10.31550064</v>
      </c>
      <c r="DD23" s="875">
        <f>DD21-DD22</f>
        <v>10.336186830000001</v>
      </c>
      <c r="DE23" s="875">
        <v>10.295765469999999</v>
      </c>
      <c r="DF23" s="875">
        <v>10.34192047</v>
      </c>
      <c r="DG23" s="875">
        <v>10.34280551</v>
      </c>
      <c r="DH23" s="875">
        <f>DH21-DH22</f>
        <v>10.26423447</v>
      </c>
      <c r="DI23" s="875">
        <v>2.3171887600000001</v>
      </c>
      <c r="DJ23" s="875">
        <f>DJ21-DJ22</f>
        <v>3.3309504400000001</v>
      </c>
      <c r="DK23" s="875">
        <v>3.2792626</v>
      </c>
      <c r="DL23" s="875">
        <v>15.180541870000001</v>
      </c>
      <c r="DM23" s="875">
        <v>14.48280508</v>
      </c>
      <c r="DN23" s="875">
        <v>0.11340761000000001</v>
      </c>
      <c r="DO23" s="875">
        <f>DO21-DO22</f>
        <v>2.6633926899999998</v>
      </c>
      <c r="DP23" s="875">
        <f>DP21-DP22</f>
        <v>2.1183335200000002</v>
      </c>
      <c r="DQ23" s="875">
        <v>0.91870187999999997</v>
      </c>
      <c r="DR23" s="875">
        <f>DR21-DR22</f>
        <v>0.95401334000000004</v>
      </c>
      <c r="DS23" s="875">
        <f>DS21-DS22</f>
        <v>0.95175228000000001</v>
      </c>
      <c r="DT23" s="875">
        <v>0.96790092000000005</v>
      </c>
      <c r="DU23" s="875">
        <v>0.96778611999999997</v>
      </c>
      <c r="DV23" s="875">
        <f>DV21-DV22</f>
        <v>5.1733518700000003</v>
      </c>
      <c r="DW23" s="875">
        <f>DW21-DW22</f>
        <v>11.984999999999999</v>
      </c>
      <c r="DX23" s="875">
        <v>14.705</v>
      </c>
      <c r="DY23" s="875">
        <v>9.3011870499999993</v>
      </c>
      <c r="DZ23" s="875">
        <f>DZ21-DZ22</f>
        <v>9.9702953700000005</v>
      </c>
      <c r="EA23" s="875">
        <f>EA21-EA22</f>
        <v>9.5492700900000003</v>
      </c>
      <c r="EB23" s="875">
        <v>4.4129057500000002</v>
      </c>
      <c r="EC23" s="875">
        <v>5.0107622899999997</v>
      </c>
      <c r="ED23" s="875">
        <v>7.1459904600000002</v>
      </c>
      <c r="EE23" s="875">
        <v>3.0087559000000001</v>
      </c>
      <c r="EF23" s="875">
        <v>3.01339698</v>
      </c>
      <c r="EG23" s="875">
        <v>3.02392898</v>
      </c>
      <c r="EH23" s="875">
        <v>4.72268869</v>
      </c>
      <c r="EI23" s="875">
        <v>4.66899511</v>
      </c>
      <c r="EJ23" s="875">
        <v>4.2911650100000003</v>
      </c>
      <c r="EK23" s="875">
        <f>EK21-EK22</f>
        <v>4.2021156099999999</v>
      </c>
      <c r="EL23" s="875">
        <v>13.894626300000001</v>
      </c>
      <c r="EM23" s="875">
        <v>12.801596399999999</v>
      </c>
      <c r="EN23" s="875">
        <v>2.7693959700000002</v>
      </c>
      <c r="EO23" s="875">
        <f>EO21-EO22</f>
        <v>2.7693959700000002</v>
      </c>
      <c r="EP23" s="875">
        <v>1.8649940300000001</v>
      </c>
      <c r="EQ23" s="875">
        <v>2.87721311</v>
      </c>
      <c r="ER23" s="875">
        <v>5.7625077200000003</v>
      </c>
      <c r="ES23" s="875">
        <v>5.7435655199999998</v>
      </c>
      <c r="ET23" s="875">
        <v>5.7567359800000002</v>
      </c>
      <c r="EU23" s="875">
        <f>EU21-EU22</f>
        <v>4.0254780099999996</v>
      </c>
      <c r="EV23" s="1924" t="s">
        <v>4085</v>
      </c>
    </row>
    <row r="24" spans="1:152" ht="21">
      <c r="A24" s="1929"/>
      <c r="B24" s="863"/>
      <c r="C24" s="694"/>
      <c r="D24" s="694"/>
      <c r="E24" s="694"/>
      <c r="F24" s="694"/>
      <c r="G24" s="694"/>
      <c r="H24" s="694"/>
      <c r="I24" s="694"/>
      <c r="J24" s="694"/>
      <c r="K24" s="694"/>
      <c r="L24" s="694"/>
      <c r="M24" s="695"/>
      <c r="N24" s="695"/>
      <c r="O24" s="695"/>
      <c r="P24" s="695"/>
      <c r="Q24" s="695"/>
      <c r="R24" s="695"/>
      <c r="S24" s="695"/>
      <c r="T24" s="695"/>
      <c r="U24" s="695"/>
      <c r="V24" s="695"/>
      <c r="W24" s="695"/>
      <c r="X24" s="695"/>
      <c r="Y24" s="695"/>
      <c r="Z24" s="695"/>
      <c r="AA24" s="695"/>
      <c r="AB24" s="695"/>
      <c r="AC24" s="695"/>
      <c r="AD24" s="695"/>
      <c r="AE24" s="695"/>
      <c r="AF24" s="695"/>
      <c r="AG24" s="695"/>
      <c r="AH24" s="695"/>
      <c r="AI24" s="695"/>
      <c r="AJ24" s="695"/>
      <c r="AK24" s="695"/>
      <c r="AL24" s="695"/>
      <c r="AM24" s="695"/>
      <c r="AN24" s="695"/>
      <c r="AO24" s="695"/>
      <c r="AP24" s="695"/>
      <c r="AQ24" s="695"/>
      <c r="AR24" s="695"/>
      <c r="AS24" s="695"/>
      <c r="AT24" s="695"/>
      <c r="AU24" s="695"/>
      <c r="AV24" s="695"/>
      <c r="AW24" s="695"/>
      <c r="AX24" s="695"/>
      <c r="AY24" s="695"/>
      <c r="AZ24" s="695"/>
      <c r="BA24" s="695"/>
      <c r="BB24" s="695"/>
      <c r="BC24" s="695"/>
      <c r="BD24" s="695"/>
      <c r="BE24" s="695"/>
      <c r="BF24" s="695"/>
      <c r="BG24" s="695"/>
      <c r="BH24" s="695"/>
      <c r="BI24" s="859"/>
      <c r="BJ24" s="875"/>
      <c r="BK24" s="875"/>
      <c r="BL24" s="875"/>
      <c r="BM24" s="875"/>
      <c r="BN24" s="875"/>
      <c r="BO24" s="875"/>
      <c r="BP24" s="875"/>
      <c r="BQ24" s="875"/>
      <c r="BR24" s="875"/>
      <c r="BS24" s="875"/>
      <c r="BT24" s="875"/>
      <c r="BU24" s="875"/>
      <c r="BV24" s="875"/>
      <c r="BW24" s="875"/>
      <c r="BX24" s="875"/>
      <c r="BY24" s="875"/>
      <c r="BZ24" s="875"/>
      <c r="CA24" s="875"/>
      <c r="CB24" s="875"/>
      <c r="CC24" s="875"/>
      <c r="CD24" s="875"/>
      <c r="CE24" s="875"/>
      <c r="CF24" s="875"/>
      <c r="CG24" s="875"/>
      <c r="CH24" s="875"/>
      <c r="CI24" s="875"/>
      <c r="CJ24" s="875"/>
      <c r="CK24" s="875"/>
      <c r="CL24" s="875"/>
      <c r="CM24" s="875"/>
      <c r="CN24" s="875"/>
      <c r="CO24" s="875"/>
      <c r="CP24" s="875"/>
      <c r="CQ24" s="875"/>
      <c r="CR24" s="875"/>
      <c r="CS24" s="875"/>
      <c r="CT24" s="875"/>
      <c r="CU24" s="875"/>
      <c r="CV24" s="875"/>
      <c r="CW24" s="875"/>
      <c r="CX24" s="875"/>
      <c r="CY24" s="875"/>
      <c r="CZ24" s="875"/>
      <c r="DA24" s="875"/>
      <c r="DB24" s="875"/>
      <c r="DC24" s="875"/>
      <c r="DD24" s="875"/>
      <c r="DE24" s="875"/>
      <c r="DF24" s="875"/>
      <c r="DG24" s="875"/>
      <c r="DH24" s="875"/>
      <c r="DI24" s="875"/>
      <c r="DJ24" s="875"/>
      <c r="DK24" s="875"/>
      <c r="DL24" s="875"/>
      <c r="DM24" s="875"/>
      <c r="DN24" s="875"/>
      <c r="DO24" s="875"/>
      <c r="DP24" s="875"/>
      <c r="DQ24" s="875"/>
      <c r="DR24" s="875"/>
      <c r="DS24" s="875"/>
      <c r="DT24" s="875"/>
      <c r="DU24" s="875"/>
      <c r="DV24" s="875"/>
      <c r="DW24" s="875"/>
      <c r="DX24" s="875"/>
      <c r="DY24" s="875"/>
      <c r="DZ24" s="875"/>
      <c r="EA24" s="875"/>
      <c r="EB24" s="875"/>
      <c r="EC24" s="875"/>
      <c r="ED24" s="875"/>
      <c r="EE24" s="875"/>
      <c r="EF24" s="875"/>
      <c r="EG24" s="875"/>
      <c r="EH24" s="875"/>
      <c r="EI24" s="875"/>
      <c r="EJ24" s="875"/>
      <c r="EK24" s="875"/>
      <c r="EL24" s="875"/>
      <c r="EM24" s="875"/>
      <c r="EN24" s="875"/>
      <c r="EO24" s="875"/>
      <c r="EP24" s="875"/>
      <c r="EQ24" s="875"/>
      <c r="ER24" s="875"/>
      <c r="ES24" s="875"/>
      <c r="ET24" s="875"/>
      <c r="EU24" s="875"/>
      <c r="EV24" s="1919"/>
    </row>
    <row r="25" spans="1:152" ht="21">
      <c r="A25" s="1930" t="s">
        <v>2758</v>
      </c>
      <c r="B25" s="862">
        <v>102.72601571000001</v>
      </c>
      <c r="C25" s="694">
        <v>108.56861464000001</v>
      </c>
      <c r="D25" s="694">
        <v>108.34213390000001</v>
      </c>
      <c r="E25" s="694">
        <v>108.44460538000001</v>
      </c>
      <c r="F25" s="694">
        <v>108.34141756000001</v>
      </c>
      <c r="G25" s="694">
        <v>107.02814206000001</v>
      </c>
      <c r="H25" s="694">
        <v>106.49051306000001</v>
      </c>
      <c r="I25" s="694">
        <v>106.61607332000001</v>
      </c>
      <c r="J25" s="694">
        <v>106.71565464999999</v>
      </c>
      <c r="K25" s="694">
        <v>106.81712514</v>
      </c>
      <c r="L25" s="694">
        <v>106.80036045000001</v>
      </c>
      <c r="M25" s="693">
        <v>107.09974329000001</v>
      </c>
      <c r="N25" s="695">
        <v>106.09852201999999</v>
      </c>
      <c r="O25" s="695">
        <v>106.24867512</v>
      </c>
      <c r="P25" s="693">
        <v>106.61705938</v>
      </c>
      <c r="Q25" s="693">
        <v>106.69567336</v>
      </c>
      <c r="R25" s="693">
        <v>106.7792365</v>
      </c>
      <c r="S25" s="693">
        <v>75.825461699999991</v>
      </c>
      <c r="T25" s="693">
        <v>75.529201690000008</v>
      </c>
      <c r="U25" s="693">
        <v>75.430923550000003</v>
      </c>
      <c r="V25" s="693">
        <v>69.70476192000001</v>
      </c>
      <c r="W25" s="693">
        <v>66.442090160000006</v>
      </c>
      <c r="X25" s="693">
        <v>62.258308859999993</v>
      </c>
      <c r="Y25" s="693">
        <v>55.897340169999993</v>
      </c>
      <c r="Z25" s="693">
        <v>55.897340169999993</v>
      </c>
      <c r="AA25" s="695">
        <v>95.533825399999998</v>
      </c>
      <c r="AB25" s="693">
        <v>109.80796719</v>
      </c>
      <c r="AC25" s="693">
        <v>109.52518578999999</v>
      </c>
      <c r="AD25" s="693">
        <v>109.46346429</v>
      </c>
      <c r="AE25" s="693">
        <v>109.25959749</v>
      </c>
      <c r="AF25" s="693">
        <v>106.89308803</v>
      </c>
      <c r="AG25" s="693">
        <v>105.68164453999998</v>
      </c>
      <c r="AH25" s="693">
        <v>60.108927739999999</v>
      </c>
      <c r="AI25" s="693">
        <v>59.976511089999995</v>
      </c>
      <c r="AJ25" s="693">
        <v>129.50009528999999</v>
      </c>
      <c r="AK25" s="693">
        <v>129.36955814999999</v>
      </c>
      <c r="AL25" s="693">
        <v>157.92443012999999</v>
      </c>
      <c r="AM25" s="693">
        <v>159.02901439999999</v>
      </c>
      <c r="AN25" s="693">
        <v>157.05150552999999</v>
      </c>
      <c r="AO25" s="693">
        <v>155.92044872000002</v>
      </c>
      <c r="AP25" s="693">
        <v>154.17443946999998</v>
      </c>
      <c r="AQ25" s="693">
        <v>153.16911174000001</v>
      </c>
      <c r="AR25" s="693">
        <v>255.81389215000002</v>
      </c>
      <c r="AS25" s="693">
        <v>254.38493355000003</v>
      </c>
      <c r="AT25" s="693">
        <v>256.60399834999998</v>
      </c>
      <c r="AU25" s="693">
        <f>AU9-AU13</f>
        <v>256.36835584000005</v>
      </c>
      <c r="AV25" s="693">
        <v>259.49763610000002</v>
      </c>
      <c r="AW25" s="693">
        <v>465.31375779999996</v>
      </c>
      <c r="AX25" s="693">
        <v>471.77481549000004</v>
      </c>
      <c r="AY25" s="693">
        <v>326.64284477000001</v>
      </c>
      <c r="AZ25" s="693">
        <v>297.13391614999995</v>
      </c>
      <c r="BA25" s="693">
        <v>293.16947893999998</v>
      </c>
      <c r="BB25" s="693">
        <v>289.47422525999997</v>
      </c>
      <c r="BC25" s="693">
        <v>288.30093167999996</v>
      </c>
      <c r="BD25" s="693">
        <v>288.26352739000004</v>
      </c>
      <c r="BE25" s="693">
        <v>264.20284466000004</v>
      </c>
      <c r="BF25" s="693">
        <v>255.65124502</v>
      </c>
      <c r="BG25" s="693">
        <v>250.36028282999999</v>
      </c>
      <c r="BH25" s="693">
        <v>212.74865038000002</v>
      </c>
      <c r="BI25" s="858">
        <v>210.86317092999997</v>
      </c>
      <c r="BJ25" s="874">
        <v>214.78220189000001</v>
      </c>
      <c r="BK25" s="874">
        <v>214.69209960000001</v>
      </c>
      <c r="BL25" s="874">
        <v>208.91317305999999</v>
      </c>
      <c r="BM25" s="874">
        <v>210.96696612000002</v>
      </c>
      <c r="BN25" s="874">
        <v>211.01097741000001</v>
      </c>
      <c r="BO25" s="874">
        <v>207.94544289000001</v>
      </c>
      <c r="BP25" s="874">
        <v>207.66851338999999</v>
      </c>
      <c r="BQ25" s="874">
        <v>209.75581366</v>
      </c>
      <c r="BR25" s="874">
        <v>201.43093210999999</v>
      </c>
      <c r="BS25" s="874">
        <v>199.57890581999999</v>
      </c>
      <c r="BT25" s="874">
        <v>189.89995281999998</v>
      </c>
      <c r="BU25" s="874">
        <v>189.75713625999998</v>
      </c>
      <c r="BV25" s="874">
        <v>341.22451424000002</v>
      </c>
      <c r="BW25" s="874">
        <v>370.09766281000003</v>
      </c>
      <c r="BX25" s="874">
        <v>369.34873726000001</v>
      </c>
      <c r="BY25" s="874">
        <v>368.27271030000003</v>
      </c>
      <c r="BZ25" s="874">
        <v>367.80311220000004</v>
      </c>
      <c r="CA25" s="874">
        <v>366.98734824999997</v>
      </c>
      <c r="CB25" s="874">
        <v>368.02160163000002</v>
      </c>
      <c r="CC25" s="874">
        <v>365.54594038000005</v>
      </c>
      <c r="CD25" s="874">
        <v>336.20270830999999</v>
      </c>
      <c r="CE25" s="874">
        <v>485.31787971</v>
      </c>
      <c r="CF25" s="874">
        <v>505.01814171000001</v>
      </c>
      <c r="CG25" s="874">
        <v>576.69319178000001</v>
      </c>
      <c r="CH25" s="874">
        <v>577.24842278000006</v>
      </c>
      <c r="CI25" s="874">
        <v>581.83457124000006</v>
      </c>
      <c r="CJ25" s="874">
        <v>578.83765440000002</v>
      </c>
      <c r="CK25" s="874">
        <v>580.18852890000005</v>
      </c>
      <c r="CL25" s="874">
        <v>579.6157369</v>
      </c>
      <c r="CM25" s="874">
        <v>580.85018289999994</v>
      </c>
      <c r="CN25" s="874">
        <v>518.55190146999996</v>
      </c>
      <c r="CO25" s="874">
        <v>513.50715558000002</v>
      </c>
      <c r="CP25" s="874">
        <v>504.87096155</v>
      </c>
      <c r="CQ25" s="874">
        <v>490.95399385000002</v>
      </c>
      <c r="CR25" s="874">
        <v>491.57127988000002</v>
      </c>
      <c r="CS25" s="874">
        <v>490.21382276000003</v>
      </c>
      <c r="CT25" s="874">
        <v>491.58243305000002</v>
      </c>
      <c r="CU25" s="874">
        <v>481.85442748000003</v>
      </c>
      <c r="CV25" s="874">
        <v>481.08271657</v>
      </c>
      <c r="CW25" s="874">
        <v>479.30558165000002</v>
      </c>
      <c r="CX25" s="874">
        <v>488.72797727</v>
      </c>
      <c r="CY25" s="874">
        <v>484.17555319000002</v>
      </c>
      <c r="CZ25" s="874">
        <v>456.20319592999999</v>
      </c>
      <c r="DA25" s="874">
        <v>452.48552334999999</v>
      </c>
      <c r="DB25" s="874">
        <v>452.05065255</v>
      </c>
      <c r="DC25" s="874">
        <v>449.62968031999998</v>
      </c>
      <c r="DD25" s="874">
        <v>445.86568923999999</v>
      </c>
      <c r="DE25" s="874">
        <v>436.49075613999997</v>
      </c>
      <c r="DF25" s="874">
        <v>442.49687535999999</v>
      </c>
      <c r="DG25" s="874">
        <v>438.50471391999997</v>
      </c>
      <c r="DH25" s="874">
        <v>421.01600595999997</v>
      </c>
      <c r="DI25" s="874">
        <v>431.51017419999999</v>
      </c>
      <c r="DJ25" s="874">
        <v>424.73953983000001</v>
      </c>
      <c r="DK25" s="874">
        <v>411.14663818999998</v>
      </c>
      <c r="DL25" s="874">
        <v>382.12502424000002</v>
      </c>
      <c r="DM25" s="874">
        <v>369.39974102000002</v>
      </c>
      <c r="DN25" s="874">
        <v>353.43576088999998</v>
      </c>
      <c r="DO25" s="874">
        <v>352.44653404000002</v>
      </c>
      <c r="DP25" s="874">
        <v>383.81573537999998</v>
      </c>
      <c r="DQ25" s="874">
        <v>374.31708958000002</v>
      </c>
      <c r="DR25" s="874">
        <v>376.42101409999998</v>
      </c>
      <c r="DS25" s="874">
        <v>403.74303050999998</v>
      </c>
      <c r="DT25" s="874">
        <v>412.73237362999998</v>
      </c>
      <c r="DU25" s="874">
        <v>421.68431391000001</v>
      </c>
      <c r="DV25" s="874">
        <v>420.49681529999998</v>
      </c>
      <c r="DW25" s="874">
        <v>404.78777256000001</v>
      </c>
      <c r="DX25" s="874">
        <v>382.76199386000002</v>
      </c>
      <c r="DY25" s="874">
        <v>376.43285250000002</v>
      </c>
      <c r="DZ25" s="874">
        <v>360.98999031</v>
      </c>
      <c r="EA25" s="874">
        <v>358.57932742000003</v>
      </c>
      <c r="EB25" s="874">
        <v>357.32382509000001</v>
      </c>
      <c r="EC25" s="874">
        <v>343.95244947999998</v>
      </c>
      <c r="ED25" s="874">
        <v>320.77789512999999</v>
      </c>
      <c r="EE25" s="874">
        <v>521.43999653000003</v>
      </c>
      <c r="EF25" s="874">
        <v>481.85524631999999</v>
      </c>
      <c r="EG25" s="874">
        <v>373.07852681000003</v>
      </c>
      <c r="EH25" s="874">
        <v>414.23849331000002</v>
      </c>
      <c r="EI25" s="874">
        <v>414.62120864000002</v>
      </c>
      <c r="EJ25" s="874">
        <v>412.27795185999997</v>
      </c>
      <c r="EK25" s="874">
        <v>409.97293660999998</v>
      </c>
      <c r="EL25" s="874">
        <v>414.08318379999997</v>
      </c>
      <c r="EM25" s="874">
        <v>419.58180348000002</v>
      </c>
      <c r="EN25" s="874">
        <v>497.89147609000003</v>
      </c>
      <c r="EO25" s="874">
        <v>448.46141148999999</v>
      </c>
      <c r="EP25" s="874">
        <v>402.59259478000001</v>
      </c>
      <c r="EQ25" s="874">
        <v>416.08858719</v>
      </c>
      <c r="ER25" s="874">
        <v>378.87659537000002</v>
      </c>
      <c r="ES25" s="874">
        <v>366.06505355000002</v>
      </c>
      <c r="ET25" s="874">
        <v>365.64328647000002</v>
      </c>
      <c r="EU25" s="874">
        <v>363.83411948000003</v>
      </c>
      <c r="EV25" s="1918" t="s">
        <v>4084</v>
      </c>
    </row>
    <row r="26" spans="1:152" ht="21">
      <c r="A26" s="1931" t="s">
        <v>1974</v>
      </c>
      <c r="B26" s="863">
        <v>99.833261400000012</v>
      </c>
      <c r="C26" s="694">
        <v>106.44315219000001</v>
      </c>
      <c r="D26" s="694">
        <v>106.28423286000002</v>
      </c>
      <c r="E26" s="694">
        <v>106.41752004000001</v>
      </c>
      <c r="F26" s="694">
        <v>106.38740227000001</v>
      </c>
      <c r="G26" s="694">
        <v>106.58278156</v>
      </c>
      <c r="H26" s="694">
        <v>105.98456656</v>
      </c>
      <c r="I26" s="694">
        <v>106.02516172000001</v>
      </c>
      <c r="J26" s="694">
        <v>106.14244715</v>
      </c>
      <c r="K26" s="694">
        <v>106.25356214000001</v>
      </c>
      <c r="L26" s="694">
        <v>106.21428205000001</v>
      </c>
      <c r="M26" s="695">
        <v>106.27125029</v>
      </c>
      <c r="N26" s="695">
        <v>105.42589382</v>
      </c>
      <c r="O26" s="695">
        <v>105.48383172000001</v>
      </c>
      <c r="P26" s="695">
        <v>105.48053741999999</v>
      </c>
      <c r="Q26" s="695">
        <v>105.50274481000001</v>
      </c>
      <c r="R26" s="695">
        <v>105.44742282999999</v>
      </c>
      <c r="S26" s="695">
        <v>74.488805080000006</v>
      </c>
      <c r="T26" s="695">
        <v>73.546341600000005</v>
      </c>
      <c r="U26" s="695">
        <v>73.369244750000007</v>
      </c>
      <c r="V26" s="695">
        <v>67.664059940000001</v>
      </c>
      <c r="W26" s="695">
        <v>64.411398649999995</v>
      </c>
      <c r="X26" s="695">
        <v>60.238754799999995</v>
      </c>
      <c r="Y26" s="695">
        <v>53.898311239999998</v>
      </c>
      <c r="Z26" s="695">
        <v>53.898311239999998</v>
      </c>
      <c r="AA26" s="695">
        <v>93.531296999999995</v>
      </c>
      <c r="AB26" s="695">
        <v>107.38980836</v>
      </c>
      <c r="AC26" s="695">
        <v>107.10187821</v>
      </c>
      <c r="AD26" s="695">
        <v>107.05489965000001</v>
      </c>
      <c r="AE26" s="695">
        <v>106.86493464</v>
      </c>
      <c r="AF26" s="695">
        <v>104.51414189</v>
      </c>
      <c r="AG26" s="695">
        <v>103.49166819999999</v>
      </c>
      <c r="AH26" s="695">
        <v>57.98528512</v>
      </c>
      <c r="AI26" s="695">
        <v>57.986993929999997</v>
      </c>
      <c r="AJ26" s="695">
        <v>127.6913203</v>
      </c>
      <c r="AK26" s="695">
        <v>127.67921832</v>
      </c>
      <c r="AL26" s="695">
        <v>155.80090086000001</v>
      </c>
      <c r="AM26" s="695">
        <v>156.79796958999998</v>
      </c>
      <c r="AN26" s="695">
        <v>154.88184192</v>
      </c>
      <c r="AO26" s="695">
        <v>153.73654651000001</v>
      </c>
      <c r="AP26" s="695">
        <v>151.86215176000002</v>
      </c>
      <c r="AQ26" s="695">
        <v>150.87591744000002</v>
      </c>
      <c r="AR26" s="695">
        <v>253.51855224000002</v>
      </c>
      <c r="AS26" s="695">
        <v>252.24450683000003</v>
      </c>
      <c r="AT26" s="695">
        <v>254.68850683000002</v>
      </c>
      <c r="AU26" s="695">
        <f>AU10-AU14</f>
        <v>254.11650683000002</v>
      </c>
      <c r="AV26" s="695">
        <v>255.00050683000001</v>
      </c>
      <c r="AW26" s="695">
        <v>259.87290683000003</v>
      </c>
      <c r="AX26" s="695">
        <v>467.29690683000001</v>
      </c>
      <c r="AY26" s="695">
        <v>322.07088182999996</v>
      </c>
      <c r="AZ26" s="695">
        <v>293.58</v>
      </c>
      <c r="BA26" s="695">
        <v>289.69920000000002</v>
      </c>
      <c r="BB26" s="695">
        <v>286.02</v>
      </c>
      <c r="BC26" s="695">
        <v>285.93599999999998</v>
      </c>
      <c r="BD26" s="695">
        <v>285.95280000000002</v>
      </c>
      <c r="BE26" s="695">
        <v>261.93860000000001</v>
      </c>
      <c r="BF26" s="695">
        <v>253.44900000000001</v>
      </c>
      <c r="BG26" s="695">
        <v>247.37909999999999</v>
      </c>
      <c r="BH26" s="695">
        <v>210.82480000000001</v>
      </c>
      <c r="BI26" s="859">
        <v>208.26224999999999</v>
      </c>
      <c r="BJ26" s="875">
        <v>208.66177350000001</v>
      </c>
      <c r="BK26" s="875">
        <v>208.66177350000001</v>
      </c>
      <c r="BL26" s="875">
        <v>202.7114235</v>
      </c>
      <c r="BM26" s="875">
        <v>202.6995</v>
      </c>
      <c r="BN26" s="875">
        <v>202.6995</v>
      </c>
      <c r="BO26" s="875">
        <v>202.6995</v>
      </c>
      <c r="BP26" s="875">
        <v>202.6995</v>
      </c>
      <c r="BQ26" s="875">
        <v>199.29949999999999</v>
      </c>
      <c r="BR26" s="875">
        <v>190.79949999999999</v>
      </c>
      <c r="BS26" s="875">
        <v>189.09950000000001</v>
      </c>
      <c r="BT26" s="875">
        <v>178.89949999999999</v>
      </c>
      <c r="BU26" s="875">
        <v>178.89949999999999</v>
      </c>
      <c r="BV26" s="875">
        <v>308.9495</v>
      </c>
      <c r="BW26" s="875">
        <v>308.9495</v>
      </c>
      <c r="BX26" s="875">
        <v>308.9495</v>
      </c>
      <c r="BY26" s="875">
        <v>308.9495</v>
      </c>
      <c r="BZ26" s="875">
        <v>308.9495</v>
      </c>
      <c r="CA26" s="875">
        <v>308.9495</v>
      </c>
      <c r="CB26" s="875">
        <v>308.9495</v>
      </c>
      <c r="CC26" s="875">
        <v>307.24950000000001</v>
      </c>
      <c r="CD26" s="875">
        <v>278.34949999999998</v>
      </c>
      <c r="CE26" s="875">
        <v>427.9495</v>
      </c>
      <c r="CF26" s="875">
        <v>412.64949999999999</v>
      </c>
      <c r="CG26" s="875">
        <v>501.04950000000002</v>
      </c>
      <c r="CH26" s="875">
        <v>501.04950000000002</v>
      </c>
      <c r="CI26" s="875">
        <v>495.55</v>
      </c>
      <c r="CJ26" s="875">
        <v>495.55</v>
      </c>
      <c r="CK26" s="875">
        <v>495.55</v>
      </c>
      <c r="CL26" s="875">
        <v>495.55</v>
      </c>
      <c r="CM26" s="875">
        <v>495.55</v>
      </c>
      <c r="CN26" s="875">
        <v>435.2</v>
      </c>
      <c r="CO26" s="875">
        <v>426.7</v>
      </c>
      <c r="CP26" s="875">
        <v>418.2</v>
      </c>
      <c r="CQ26" s="875">
        <v>266.05</v>
      </c>
      <c r="CR26" s="875">
        <v>396.1</v>
      </c>
      <c r="CS26" s="875">
        <v>396.1</v>
      </c>
      <c r="CT26" s="875">
        <v>396.1</v>
      </c>
      <c r="CU26" s="875">
        <v>396.1</v>
      </c>
      <c r="CV26" s="875">
        <v>396.1</v>
      </c>
      <c r="CW26" s="875">
        <v>396.1</v>
      </c>
      <c r="CX26" s="875">
        <v>396.1</v>
      </c>
      <c r="CY26" s="875">
        <v>396.1</v>
      </c>
      <c r="CZ26" s="875">
        <v>374.42500000000001</v>
      </c>
      <c r="DA26" s="875">
        <v>374.42500000000001</v>
      </c>
      <c r="DB26" s="875">
        <v>374.42500000000001</v>
      </c>
      <c r="DC26" s="875">
        <v>374.42500000000001</v>
      </c>
      <c r="DD26" s="875">
        <v>374.42500000000001</v>
      </c>
      <c r="DE26" s="875">
        <v>374.42500000000001</v>
      </c>
      <c r="DF26" s="875">
        <v>352.94499999999999</v>
      </c>
      <c r="DG26" s="875">
        <v>352.98958333000002</v>
      </c>
      <c r="DH26" s="875">
        <v>337.68244729000003</v>
      </c>
      <c r="DI26" s="875">
        <v>337.67523967</v>
      </c>
      <c r="DJ26" s="875">
        <v>337.66800667000001</v>
      </c>
      <c r="DK26" s="875">
        <v>322.92743572000001</v>
      </c>
      <c r="DL26" s="875">
        <v>301.24515116999999</v>
      </c>
      <c r="DM26" s="875">
        <v>301.23782082999998</v>
      </c>
      <c r="DN26" s="875">
        <v>285.93048272999999</v>
      </c>
      <c r="DO26" s="875">
        <v>285.92311740999997</v>
      </c>
      <c r="DP26" s="875">
        <v>314.52628662000001</v>
      </c>
      <c r="DQ26" s="875">
        <v>295.79374996000001</v>
      </c>
      <c r="DR26" s="875">
        <v>294.10383329000001</v>
      </c>
      <c r="DS26" s="875">
        <v>321.09381311999999</v>
      </c>
      <c r="DT26" s="875">
        <v>327.95894475</v>
      </c>
      <c r="DU26" s="875">
        <v>332.85235008000001</v>
      </c>
      <c r="DV26" s="875">
        <v>332.84208493</v>
      </c>
      <c r="DW26" s="875">
        <v>318.09848645</v>
      </c>
      <c r="DX26" s="875">
        <v>296.41863797000002</v>
      </c>
      <c r="DY26" s="875">
        <v>296.40295615000002</v>
      </c>
      <c r="DZ26" s="875">
        <v>281.092691</v>
      </c>
      <c r="EA26" s="875">
        <v>281.08242584999999</v>
      </c>
      <c r="EB26" s="875">
        <v>281.07216069999998</v>
      </c>
      <c r="EC26" s="875">
        <v>266.32856222999999</v>
      </c>
      <c r="ED26" s="875">
        <v>244.64329708</v>
      </c>
      <c r="EE26" s="875">
        <v>448.03803192999999</v>
      </c>
      <c r="EF26" s="875">
        <v>408.07776677999999</v>
      </c>
      <c r="EG26" s="875">
        <v>302.10083492000001</v>
      </c>
      <c r="EH26" s="875">
        <v>302.09056977</v>
      </c>
      <c r="EI26" s="875">
        <v>302.20030462</v>
      </c>
      <c r="EJ26" s="875">
        <v>302.19003946999999</v>
      </c>
      <c r="EK26" s="875">
        <v>302.17553335000002</v>
      </c>
      <c r="EL26" s="875">
        <v>303.36080795999999</v>
      </c>
      <c r="EM26" s="875">
        <v>297.28026417000001</v>
      </c>
      <c r="EN26" s="875">
        <v>366.61833171000001</v>
      </c>
      <c r="EO26" s="875">
        <v>321.17249829999997</v>
      </c>
      <c r="EP26" s="875">
        <v>282.30623647000004</v>
      </c>
      <c r="EQ26" s="875">
        <v>298.90761020999997</v>
      </c>
      <c r="ER26" s="875">
        <v>260.80438069000002</v>
      </c>
      <c r="ES26" s="875">
        <v>247.42580554</v>
      </c>
      <c r="ET26" s="875">
        <v>247.32547296999999</v>
      </c>
      <c r="EU26" s="875">
        <v>247.22596909999999</v>
      </c>
      <c r="EV26" s="1920" t="s">
        <v>4086</v>
      </c>
    </row>
    <row r="27" spans="1:152" ht="21">
      <c r="A27" s="1931" t="s">
        <v>1975</v>
      </c>
      <c r="B27" s="862">
        <f t="shared" ref="B27:V27" si="8">+B25-B26</f>
        <v>2.8927543100000008</v>
      </c>
      <c r="C27" s="694">
        <f t="shared" si="8"/>
        <v>2.1254624500000006</v>
      </c>
      <c r="D27" s="694">
        <f t="shared" si="8"/>
        <v>2.0579010399999902</v>
      </c>
      <c r="E27" s="694">
        <f t="shared" si="8"/>
        <v>2.0270853399999993</v>
      </c>
      <c r="F27" s="694">
        <f t="shared" si="8"/>
        <v>1.954015290000001</v>
      </c>
      <c r="G27" s="694">
        <f t="shared" si="8"/>
        <v>0.44536050000000671</v>
      </c>
      <c r="H27" s="694">
        <f t="shared" si="8"/>
        <v>0.5059465000000074</v>
      </c>
      <c r="I27" s="694">
        <f t="shared" si="8"/>
        <v>0.59091159999999832</v>
      </c>
      <c r="J27" s="694">
        <f t="shared" si="8"/>
        <v>0.57320749999999521</v>
      </c>
      <c r="K27" s="694">
        <f t="shared" si="8"/>
        <v>0.56356299999998782</v>
      </c>
      <c r="L27" s="694">
        <f t="shared" si="8"/>
        <v>0.58607840000000522</v>
      </c>
      <c r="M27" s="695">
        <f t="shared" si="8"/>
        <v>0.82849300000000881</v>
      </c>
      <c r="N27" s="695">
        <f t="shared" si="8"/>
        <v>0.67262819999999124</v>
      </c>
      <c r="O27" s="695">
        <f t="shared" si="8"/>
        <v>0.76484339999998951</v>
      </c>
      <c r="P27" s="693">
        <f t="shared" si="8"/>
        <v>1.1365219600000103</v>
      </c>
      <c r="Q27" s="693">
        <f t="shared" si="8"/>
        <v>1.1929285499999907</v>
      </c>
      <c r="R27" s="693">
        <f t="shared" si="8"/>
        <v>1.3318136700000025</v>
      </c>
      <c r="S27" s="693">
        <f t="shared" si="8"/>
        <v>1.3366566199999852</v>
      </c>
      <c r="T27" s="693">
        <f t="shared" si="8"/>
        <v>1.9828600900000026</v>
      </c>
      <c r="U27" s="693">
        <f t="shared" si="8"/>
        <v>2.0616787999999957</v>
      </c>
      <c r="V27" s="693">
        <f t="shared" si="8"/>
        <v>2.0407019800000086</v>
      </c>
      <c r="W27" s="693">
        <v>2.0306915100000111</v>
      </c>
      <c r="X27" s="693">
        <v>2.0195540599999973</v>
      </c>
      <c r="Y27" s="695">
        <v>1.9990289299999944</v>
      </c>
      <c r="Z27" s="693">
        <v>1.9990289299999944</v>
      </c>
      <c r="AA27" s="695">
        <v>2.0025284000000028</v>
      </c>
      <c r="AB27" s="695">
        <v>2.4181588299999959</v>
      </c>
      <c r="AC27" s="695">
        <v>2.4233075799999995</v>
      </c>
      <c r="AD27" s="695">
        <v>2.4085646399999945</v>
      </c>
      <c r="AE27" s="695">
        <v>2.3946628500000031</v>
      </c>
      <c r="AF27" s="695">
        <v>2.3789461399999965</v>
      </c>
      <c r="AG27" s="695">
        <v>2.189976339999987</v>
      </c>
      <c r="AH27" s="695">
        <v>2.1236426199999983</v>
      </c>
      <c r="AI27" s="695">
        <f>+AI25-AI26</f>
        <v>1.9895171599999983</v>
      </c>
      <c r="AJ27" s="695">
        <v>1.8087749899999892</v>
      </c>
      <c r="AK27" s="695">
        <f>+AK25-AK26</f>
        <v>1.690339829999985</v>
      </c>
      <c r="AL27" s="695">
        <f>+AL25-AL26</f>
        <v>2.1235292699999775</v>
      </c>
      <c r="AM27" s="695">
        <v>2.2310448100000144</v>
      </c>
      <c r="AN27" s="695">
        <f>+AN25-AN26</f>
        <v>2.1696636099999864</v>
      </c>
      <c r="AO27" s="695">
        <f>+AO25-AO26</f>
        <v>2.1839022100000136</v>
      </c>
      <c r="AP27" s="695">
        <f>+AP25-AP26</f>
        <v>2.3122877099999641</v>
      </c>
      <c r="AQ27" s="695">
        <f>+AQ25-AQ26</f>
        <v>2.2931942999999819</v>
      </c>
      <c r="AR27" s="695">
        <v>2.2953399099999956</v>
      </c>
      <c r="AS27" s="695">
        <f>+AS25-AS26</f>
        <v>2.1404267199999936</v>
      </c>
      <c r="AT27" s="695">
        <f>+AT25-AT26</f>
        <v>1.9154915199999607</v>
      </c>
      <c r="AU27" s="695">
        <f>AU11-AU15</f>
        <v>2.2518490100000701</v>
      </c>
      <c r="AV27" s="695">
        <v>4.4971292700000181</v>
      </c>
      <c r="AW27" s="695">
        <v>205.44085096999987</v>
      </c>
      <c r="AX27" s="695">
        <v>4.4779086600000273</v>
      </c>
      <c r="AY27" s="695">
        <v>4.5719629400000628</v>
      </c>
      <c r="AZ27" s="695">
        <v>3.5539161499999636</v>
      </c>
      <c r="BA27" s="695">
        <v>3.4702789399999574</v>
      </c>
      <c r="BB27" s="695">
        <v>3.454225259999987</v>
      </c>
      <c r="BC27" s="695">
        <v>2.3649316799999838</v>
      </c>
      <c r="BD27" s="695">
        <v>2.3107273900000109</v>
      </c>
      <c r="BE27" s="695">
        <f>+BE25-BE26</f>
        <v>2.2642446600000312</v>
      </c>
      <c r="BF27" s="695">
        <v>2.2022450199999923</v>
      </c>
      <c r="BG27" s="695">
        <v>2.9811828299999945</v>
      </c>
      <c r="BH27" s="695">
        <v>1.9238503800000046</v>
      </c>
      <c r="BI27" s="859">
        <v>2.6009209299999725</v>
      </c>
      <c r="BJ27" s="875">
        <v>6.1204283900000007</v>
      </c>
      <c r="BK27" s="875">
        <f>+BK25-BK26</f>
        <v>6.0303260999999964</v>
      </c>
      <c r="BL27" s="875">
        <v>6.201749559999989</v>
      </c>
      <c r="BM27" s="875">
        <v>8.267466120000023</v>
      </c>
      <c r="BN27" s="875">
        <v>8.3114774100000091</v>
      </c>
      <c r="BO27" s="875">
        <v>5.24594289000001</v>
      </c>
      <c r="BP27" s="875">
        <v>4.9690133899999864</v>
      </c>
      <c r="BQ27" s="875">
        <v>10.456313660000006</v>
      </c>
      <c r="BR27" s="875">
        <v>10.631432109999986</v>
      </c>
      <c r="BS27" s="875">
        <v>10.479405819999986</v>
      </c>
      <c r="BT27" s="875">
        <v>11.000452819999984</v>
      </c>
      <c r="BU27" s="875">
        <v>10.857636260000003</v>
      </c>
      <c r="BV27" s="875">
        <v>32.275014240000033</v>
      </c>
      <c r="BW27" s="875">
        <v>61.148162810000002</v>
      </c>
      <c r="BX27" s="875">
        <v>60.399237259999978</v>
      </c>
      <c r="BY27" s="875">
        <v>59.323210300000028</v>
      </c>
      <c r="BZ27" s="875">
        <v>58.853612200000057</v>
      </c>
      <c r="CA27" s="875">
        <v>58.037848249999946</v>
      </c>
      <c r="CB27" s="875">
        <v>59.072101629999999</v>
      </c>
      <c r="CC27" s="875">
        <v>58.29644038000005</v>
      </c>
      <c r="CD27" s="875">
        <v>57.853208309999992</v>
      </c>
      <c r="CE27" s="875">
        <v>57.368379710000013</v>
      </c>
      <c r="CF27" s="875">
        <f t="shared" ref="CF27:CN27" si="9">+CF11-CF15</f>
        <v>92.36864171000002</v>
      </c>
      <c r="CG27" s="875">
        <f t="shared" si="9"/>
        <v>75.64369178000004</v>
      </c>
      <c r="CH27" s="875">
        <f t="shared" si="9"/>
        <v>76.198922780000004</v>
      </c>
      <c r="CI27" s="875">
        <f t="shared" si="9"/>
        <v>86.284571240000076</v>
      </c>
      <c r="CJ27" s="875">
        <f t="shared" si="9"/>
        <v>83.287654400000065</v>
      </c>
      <c r="CK27" s="875">
        <f t="shared" si="9"/>
        <v>84.638528900000082</v>
      </c>
      <c r="CL27" s="875">
        <f t="shared" si="9"/>
        <v>84.065736899999933</v>
      </c>
      <c r="CM27" s="875">
        <f t="shared" si="9"/>
        <v>85.300182899999939</v>
      </c>
      <c r="CN27" s="875">
        <f t="shared" si="9"/>
        <v>83.351901470000001</v>
      </c>
      <c r="CO27" s="875">
        <f t="shared" ref="CO27:CT27" si="10">+CO25-CO26</f>
        <v>86.807155580000028</v>
      </c>
      <c r="CP27" s="875">
        <f t="shared" si="10"/>
        <v>86.670961550000015</v>
      </c>
      <c r="CQ27" s="875">
        <f t="shared" si="10"/>
        <v>224.90399385000001</v>
      </c>
      <c r="CR27" s="875">
        <f t="shared" si="10"/>
        <v>95.471279879999997</v>
      </c>
      <c r="CS27" s="875">
        <f t="shared" si="10"/>
        <v>94.113822760000005</v>
      </c>
      <c r="CT27" s="875">
        <f t="shared" si="10"/>
        <v>95.482433049999997</v>
      </c>
      <c r="CU27" s="875">
        <v>85.754427480000004</v>
      </c>
      <c r="CV27" s="875">
        <f>+CV25-CV26</f>
        <v>84.98271656999998</v>
      </c>
      <c r="CW27" s="875">
        <v>83.205581649999999</v>
      </c>
      <c r="CX27" s="875">
        <v>92.627977269999974</v>
      </c>
      <c r="CY27" s="875">
        <v>88.075553189999994</v>
      </c>
      <c r="CZ27" s="875">
        <v>81.778195929999981</v>
      </c>
      <c r="DA27" s="875">
        <v>78.060523349999983</v>
      </c>
      <c r="DB27" s="875">
        <v>77.625652549999984</v>
      </c>
      <c r="DC27" s="875">
        <v>75.204680319999966</v>
      </c>
      <c r="DD27" s="875">
        <f>DD25-DD26</f>
        <v>71.440689239999983</v>
      </c>
      <c r="DE27" s="875">
        <v>62.065756139999962</v>
      </c>
      <c r="DF27" s="875">
        <v>89.551875359999997</v>
      </c>
      <c r="DG27" s="875">
        <v>85.515130589999956</v>
      </c>
      <c r="DH27" s="875">
        <f>DH25-DH26</f>
        <v>83.333558669999945</v>
      </c>
      <c r="DI27" s="875">
        <v>93.834934529999998</v>
      </c>
      <c r="DJ27" s="875">
        <f>DJ25-DJ26</f>
        <v>87.071533160000001</v>
      </c>
      <c r="DK27" s="875">
        <v>88.219202469999971</v>
      </c>
      <c r="DL27" s="875">
        <v>80.879873070000031</v>
      </c>
      <c r="DM27" s="875">
        <v>68.161920190000046</v>
      </c>
      <c r="DN27" s="875">
        <v>67.505278159999989</v>
      </c>
      <c r="DO27" s="875">
        <f>DO25-DO26</f>
        <v>66.523416630000042</v>
      </c>
      <c r="DP27" s="875">
        <f>DP25-DP26</f>
        <v>69.289448759999971</v>
      </c>
      <c r="DQ27" s="875">
        <v>78.523339620000002</v>
      </c>
      <c r="DR27" s="875">
        <f>DR25-DR26</f>
        <v>82.317180809999968</v>
      </c>
      <c r="DS27" s="875">
        <f>DS25-DS26</f>
        <v>82.64921738999999</v>
      </c>
      <c r="DT27" s="875">
        <v>84.773428879999983</v>
      </c>
      <c r="DU27" s="875">
        <v>88.831963830000007</v>
      </c>
      <c r="DV27" s="875">
        <f>DV25-DV26</f>
        <v>87.654730369999982</v>
      </c>
      <c r="DW27" s="875">
        <f>DW25-DW26</f>
        <v>86.689286110000012</v>
      </c>
      <c r="DX27" s="875">
        <v>86.343355889999998</v>
      </c>
      <c r="DY27" s="875">
        <v>80.029896350000001</v>
      </c>
      <c r="DZ27" s="875">
        <f>DZ25-DZ26</f>
        <v>79.897299309999994</v>
      </c>
      <c r="EA27" s="875">
        <f>EA25-EA26</f>
        <v>77.496901570000034</v>
      </c>
      <c r="EB27" s="875">
        <v>76.25166439000003</v>
      </c>
      <c r="EC27" s="875">
        <v>77.623887249999996</v>
      </c>
      <c r="ED27" s="875">
        <v>76.134598049999994</v>
      </c>
      <c r="EE27" s="875">
        <v>73.401964600000042</v>
      </c>
      <c r="EF27" s="875">
        <v>73.777479540000002</v>
      </c>
      <c r="EG27" s="875">
        <v>70.977691890000017</v>
      </c>
      <c r="EH27" s="875">
        <v>112.14792354000002</v>
      </c>
      <c r="EI27" s="875">
        <v>112.42090402000002</v>
      </c>
      <c r="EJ27" s="875">
        <v>110.08791238999999</v>
      </c>
      <c r="EK27" s="875">
        <f>EK25-EK26</f>
        <v>107.79740325999995</v>
      </c>
      <c r="EL27" s="875">
        <v>110.72237583999998</v>
      </c>
      <c r="EM27" s="875">
        <v>122.30153931000001</v>
      </c>
      <c r="EN27" s="875">
        <v>131.27314438000002</v>
      </c>
      <c r="EO27" s="875">
        <f>EO25-EO26</f>
        <v>127.28891319000002</v>
      </c>
      <c r="EP27" s="875">
        <v>120.28635830999997</v>
      </c>
      <c r="EQ27" s="875">
        <v>117.18097698000003</v>
      </c>
      <c r="ER27" s="875">
        <v>118.07221468</v>
      </c>
      <c r="ES27" s="875">
        <v>118.63924801000002</v>
      </c>
      <c r="ET27" s="875">
        <v>118.31781350000003</v>
      </c>
      <c r="EU27" s="875">
        <f>EU25-EU26</f>
        <v>116.60815038000004</v>
      </c>
      <c r="EV27" s="1920" t="s">
        <v>4085</v>
      </c>
    </row>
    <row r="28" spans="1:152" ht="21">
      <c r="A28" s="1929"/>
      <c r="B28" s="863"/>
      <c r="C28" s="694"/>
      <c r="D28" s="694"/>
      <c r="E28" s="694"/>
      <c r="F28" s="694"/>
      <c r="G28" s="694"/>
      <c r="H28" s="694"/>
      <c r="I28" s="694"/>
      <c r="J28" s="694"/>
      <c r="K28" s="694"/>
      <c r="L28" s="694"/>
      <c r="M28" s="695"/>
      <c r="N28" s="695"/>
      <c r="O28" s="695"/>
      <c r="P28" s="695"/>
      <c r="Q28" s="695"/>
      <c r="R28" s="695"/>
      <c r="S28" s="695"/>
      <c r="T28" s="695"/>
      <c r="U28" s="695"/>
      <c r="V28" s="695"/>
      <c r="W28" s="695"/>
      <c r="X28" s="695"/>
      <c r="Y28" s="695"/>
      <c r="Z28" s="695"/>
      <c r="AA28" s="695"/>
      <c r="AB28" s="695"/>
      <c r="AC28" s="695"/>
      <c r="AD28" s="695"/>
      <c r="AE28" s="695"/>
      <c r="AF28" s="695"/>
      <c r="AG28" s="695"/>
      <c r="AH28" s="695"/>
      <c r="AI28" s="695"/>
      <c r="AJ28" s="695"/>
      <c r="AK28" s="695"/>
      <c r="AL28" s="695"/>
      <c r="AM28" s="695"/>
      <c r="AN28" s="695"/>
      <c r="AO28" s="695"/>
      <c r="AP28" s="695"/>
      <c r="AQ28" s="695"/>
      <c r="AR28" s="695"/>
      <c r="AS28" s="695"/>
      <c r="AT28" s="695"/>
      <c r="AU28" s="695"/>
      <c r="AV28" s="695"/>
      <c r="AW28" s="695"/>
      <c r="AX28" s="695"/>
      <c r="AY28" s="695"/>
      <c r="AZ28" s="695"/>
      <c r="BA28" s="695"/>
      <c r="BB28" s="695"/>
      <c r="BC28" s="695"/>
      <c r="BD28" s="695"/>
      <c r="BE28" s="695"/>
      <c r="BF28" s="695"/>
      <c r="BG28" s="695"/>
      <c r="BH28" s="695"/>
      <c r="BI28" s="859"/>
      <c r="BJ28" s="875"/>
      <c r="BK28" s="875"/>
      <c r="BL28" s="875"/>
      <c r="BM28" s="875"/>
      <c r="BN28" s="875"/>
      <c r="BO28" s="875"/>
      <c r="BP28" s="875"/>
      <c r="BQ28" s="875"/>
      <c r="BR28" s="875"/>
      <c r="BS28" s="875"/>
      <c r="BT28" s="875"/>
      <c r="BU28" s="875"/>
      <c r="BV28" s="875"/>
      <c r="BW28" s="875"/>
      <c r="BX28" s="875"/>
      <c r="BY28" s="875"/>
      <c r="BZ28" s="875"/>
      <c r="CA28" s="875"/>
      <c r="CB28" s="875"/>
      <c r="CC28" s="875"/>
      <c r="CD28" s="875"/>
      <c r="CE28" s="875"/>
      <c r="CF28" s="875"/>
      <c r="CG28" s="875"/>
      <c r="CH28" s="875"/>
      <c r="CI28" s="875"/>
      <c r="CJ28" s="875"/>
      <c r="CK28" s="875"/>
      <c r="CL28" s="875"/>
      <c r="CM28" s="875"/>
      <c r="CN28" s="875"/>
      <c r="CO28" s="875"/>
      <c r="CP28" s="875"/>
      <c r="CQ28" s="875"/>
      <c r="CR28" s="875"/>
      <c r="CS28" s="875"/>
      <c r="CT28" s="875"/>
      <c r="CU28" s="875"/>
      <c r="CV28" s="875"/>
      <c r="CW28" s="875"/>
      <c r="CX28" s="875"/>
      <c r="CY28" s="875"/>
      <c r="CZ28" s="875"/>
      <c r="DA28" s="875"/>
      <c r="DB28" s="875"/>
      <c r="DC28" s="875"/>
      <c r="DD28" s="875"/>
      <c r="DE28" s="875"/>
      <c r="DF28" s="875"/>
      <c r="DG28" s="875"/>
      <c r="DH28" s="875"/>
      <c r="DI28" s="875"/>
      <c r="DJ28" s="875"/>
      <c r="DK28" s="875"/>
      <c r="DL28" s="875"/>
      <c r="DM28" s="875"/>
      <c r="DN28" s="875"/>
      <c r="DO28" s="875"/>
      <c r="DP28" s="875"/>
      <c r="DQ28" s="875"/>
      <c r="DR28" s="875"/>
      <c r="DS28" s="875"/>
      <c r="DT28" s="875"/>
      <c r="DU28" s="875"/>
      <c r="DV28" s="875"/>
      <c r="DW28" s="875"/>
      <c r="DX28" s="875"/>
      <c r="DY28" s="875"/>
      <c r="DZ28" s="875"/>
      <c r="EA28" s="875"/>
      <c r="EB28" s="875"/>
      <c r="EC28" s="875"/>
      <c r="ED28" s="875"/>
      <c r="EE28" s="875"/>
      <c r="EF28" s="875"/>
      <c r="EG28" s="875"/>
      <c r="EH28" s="875"/>
      <c r="EI28" s="875"/>
      <c r="EJ28" s="875"/>
      <c r="EK28" s="875"/>
      <c r="EL28" s="875"/>
      <c r="EM28" s="875"/>
      <c r="EN28" s="875"/>
      <c r="EO28" s="875"/>
      <c r="EP28" s="875"/>
      <c r="EQ28" s="875"/>
      <c r="ER28" s="875"/>
      <c r="ES28" s="875"/>
      <c r="ET28" s="875"/>
      <c r="EU28" s="875"/>
      <c r="EV28" s="1919"/>
    </row>
    <row r="29" spans="1:152" ht="21">
      <c r="A29" s="1952" t="s">
        <v>189</v>
      </c>
      <c r="B29" s="863">
        <v>102.42453111000002</v>
      </c>
      <c r="C29" s="694">
        <v>101.70884353000001</v>
      </c>
      <c r="D29" s="694">
        <v>101.65635028000001</v>
      </c>
      <c r="E29" s="694">
        <v>101.64458174000001</v>
      </c>
      <c r="F29" s="694">
        <v>101.59897269000001</v>
      </c>
      <c r="G29" s="694">
        <v>100.1832624</v>
      </c>
      <c r="H29" s="694">
        <v>100.30126240000001</v>
      </c>
      <c r="I29" s="694">
        <v>100.43426140000001</v>
      </c>
      <c r="J29" s="694">
        <v>100.41590093999999</v>
      </c>
      <c r="K29" s="694">
        <v>100.45155379000001</v>
      </c>
      <c r="L29" s="694">
        <v>100.50499395000001</v>
      </c>
      <c r="M29" s="693">
        <v>100.72720725000001</v>
      </c>
      <c r="N29" s="695">
        <v>100.57086774</v>
      </c>
      <c r="O29" s="695">
        <v>100.66899729000001</v>
      </c>
      <c r="P29" s="695">
        <v>100.64642674</v>
      </c>
      <c r="Q29" s="695">
        <v>100.71789001</v>
      </c>
      <c r="R29" s="695">
        <v>100.89540627999999</v>
      </c>
      <c r="S29" s="695">
        <v>69.955786869999997</v>
      </c>
      <c r="T29" s="695">
        <v>69.853752950000001</v>
      </c>
      <c r="U29" s="695">
        <v>69.746160020000005</v>
      </c>
      <c r="V29" s="695">
        <v>64.184370560000005</v>
      </c>
      <c r="W29" s="695">
        <v>60.96970701</v>
      </c>
      <c r="X29" s="695">
        <v>56.845041179999996</v>
      </c>
      <c r="Y29" s="693">
        <v>50.600888649999995</v>
      </c>
      <c r="Z29" s="695">
        <v>50.600888649999995</v>
      </c>
      <c r="AA29" s="695">
        <v>50.346050239999997</v>
      </c>
      <c r="AB29" s="693">
        <v>49.374283579999997</v>
      </c>
      <c r="AC29" s="693">
        <v>49.286077309999996</v>
      </c>
      <c r="AD29" s="693">
        <v>49.107607730000005</v>
      </c>
      <c r="AE29" s="693">
        <v>48.928590470000003</v>
      </c>
      <c r="AF29" s="693">
        <v>46.547880760000005</v>
      </c>
      <c r="AG29" s="693">
        <v>46.36426286999999</v>
      </c>
      <c r="AH29" s="693">
        <v>0.79509401999999996</v>
      </c>
      <c r="AI29" s="693">
        <v>0.84137280000000003</v>
      </c>
      <c r="AJ29" s="693">
        <v>70.57170241</v>
      </c>
      <c r="AK29" s="693">
        <v>70.467120410000007</v>
      </c>
      <c r="AL29" s="693">
        <v>70.419156450000003</v>
      </c>
      <c r="AM29" s="693">
        <v>70.5091994</v>
      </c>
      <c r="AN29" s="693">
        <v>70.505287780000003</v>
      </c>
      <c r="AO29" s="693">
        <v>70.541653230000009</v>
      </c>
      <c r="AP29" s="693">
        <v>70.540339590000002</v>
      </c>
      <c r="AQ29" s="693">
        <v>70.538772570000006</v>
      </c>
      <c r="AR29" s="693">
        <v>170.53475010000002</v>
      </c>
      <c r="AS29" s="693">
        <v>170.37969514000002</v>
      </c>
      <c r="AT29" s="693">
        <v>170.15605697000001</v>
      </c>
      <c r="AU29" s="693">
        <v>170.55087729000002</v>
      </c>
      <c r="AV29" s="693">
        <v>172.82853878000003</v>
      </c>
      <c r="AW29" s="693">
        <v>172.81913374000001</v>
      </c>
      <c r="AX29" s="693">
        <v>172.80839894000002</v>
      </c>
      <c r="AY29" s="693">
        <v>3.0786035999999997</v>
      </c>
      <c r="AZ29" s="693">
        <v>2.9807361499999998</v>
      </c>
      <c r="BA29" s="693">
        <v>2.9650297400000003</v>
      </c>
      <c r="BB29" s="693">
        <v>2.9553927599999996</v>
      </c>
      <c r="BC29" s="693">
        <v>1.95134568</v>
      </c>
      <c r="BD29" s="693">
        <v>1.9396695900000001</v>
      </c>
      <c r="BE29" s="693">
        <v>1.9359709599999999</v>
      </c>
      <c r="BF29" s="693">
        <v>1.9164770200000001</v>
      </c>
      <c r="BG29" s="693">
        <v>1.9052659599999999</v>
      </c>
      <c r="BH29" s="693">
        <v>0.89043850999999996</v>
      </c>
      <c r="BI29" s="858">
        <v>0.88637007999999995</v>
      </c>
      <c r="BJ29" s="874">
        <v>0.88637007999999995</v>
      </c>
      <c r="BK29" s="874">
        <v>0.85998198000000003</v>
      </c>
      <c r="BL29" s="874">
        <v>0.85319076000000005</v>
      </c>
      <c r="BM29" s="874">
        <v>0.84891092000000001</v>
      </c>
      <c r="BN29" s="874">
        <v>0.84459498</v>
      </c>
      <c r="BO29" s="874">
        <v>0.7927826899999999</v>
      </c>
      <c r="BP29" s="874">
        <v>0.77263594999999996</v>
      </c>
      <c r="BQ29" s="874">
        <v>0.76893624999999999</v>
      </c>
      <c r="BR29" s="874">
        <v>0.74005490000000007</v>
      </c>
      <c r="BS29" s="874">
        <v>0.63496277000000001</v>
      </c>
      <c r="BT29" s="874">
        <v>0.3196503</v>
      </c>
      <c r="BU29" s="874">
        <v>0.17683373999999999</v>
      </c>
      <c r="BV29" s="874">
        <v>0.17276676999999999</v>
      </c>
      <c r="BW29" s="874">
        <v>0.16860033999999999</v>
      </c>
      <c r="BX29" s="874">
        <v>0.16434305999999999</v>
      </c>
      <c r="BY29" s="874">
        <v>0.16</v>
      </c>
      <c r="BZ29" s="874">
        <v>0.19850000000000001</v>
      </c>
      <c r="CA29" s="874">
        <v>0.21914624999999999</v>
      </c>
      <c r="CB29" s="874">
        <v>0.21779962999999999</v>
      </c>
      <c r="CC29" s="874">
        <v>0.25544844999999999</v>
      </c>
      <c r="CD29" s="874">
        <v>0.29635938000000001</v>
      </c>
      <c r="CE29" s="874">
        <v>0.29049578000000004</v>
      </c>
      <c r="CF29" s="874">
        <v>0.28363678000000003</v>
      </c>
      <c r="CG29" s="874">
        <v>0.49642378000000004</v>
      </c>
      <c r="CH29" s="874">
        <v>0.50451277999999999</v>
      </c>
      <c r="CI29" s="874">
        <v>0.47486658000000004</v>
      </c>
      <c r="CJ29" s="874">
        <v>0.45108908000000003</v>
      </c>
      <c r="CK29" s="874">
        <v>0.27968908000000003</v>
      </c>
      <c r="CL29" s="874">
        <v>0.26768908000000002</v>
      </c>
      <c r="CM29" s="874">
        <v>0.31978908</v>
      </c>
      <c r="CN29" s="874">
        <v>0.30074298999999999</v>
      </c>
      <c r="CO29" s="874">
        <v>0.33967509999999995</v>
      </c>
      <c r="CP29" s="874">
        <v>0.35350007</v>
      </c>
      <c r="CQ29" s="874">
        <v>0.41739736999999999</v>
      </c>
      <c r="CR29" s="874">
        <v>0.54571504000000004</v>
      </c>
      <c r="CS29" s="874">
        <v>0.69856979000000008</v>
      </c>
      <c r="CT29" s="874">
        <v>0.65880846999999998</v>
      </c>
      <c r="CU29" s="874">
        <v>0.64705281999999997</v>
      </c>
      <c r="CV29" s="874">
        <v>0.61856909000000004</v>
      </c>
      <c r="CW29" s="874">
        <v>0.71111603000000001</v>
      </c>
      <c r="CX29" s="874">
        <v>0.67366988000000005</v>
      </c>
      <c r="CY29" s="874">
        <v>1.2456321800000001</v>
      </c>
      <c r="CZ29" s="874">
        <v>1.29669199</v>
      </c>
      <c r="DA29" s="874">
        <v>1.2722749</v>
      </c>
      <c r="DB29" s="874">
        <v>1.1140137000000001</v>
      </c>
      <c r="DC29" s="874">
        <v>1.14861196</v>
      </c>
      <c r="DD29" s="874">
        <v>1.03379903</v>
      </c>
      <c r="DE29" s="874">
        <v>1.0837964899999999</v>
      </c>
      <c r="DF29" s="874">
        <v>1.4348065299999999</v>
      </c>
      <c r="DG29" s="874">
        <v>1.8587417500000001</v>
      </c>
      <c r="DH29" s="874">
        <v>2.0034793999999998</v>
      </c>
      <c r="DI29" s="874">
        <v>2.0042363399999998</v>
      </c>
      <c r="DJ29" s="874">
        <v>2.0254473100000001</v>
      </c>
      <c r="DK29" s="874">
        <v>2.11462197</v>
      </c>
      <c r="DL29" s="874">
        <v>2.1271785699999999</v>
      </c>
      <c r="DM29" s="874">
        <v>2.1280477800000002</v>
      </c>
      <c r="DN29" s="874">
        <v>2.1127762799999998</v>
      </c>
      <c r="DO29" s="874">
        <v>2.0201018500000001</v>
      </c>
      <c r="DP29" s="874">
        <v>2.05921523</v>
      </c>
      <c r="DQ29" s="874">
        <v>1.98951452</v>
      </c>
      <c r="DR29" s="874">
        <v>2.00661589</v>
      </c>
      <c r="DS29" s="874">
        <v>1.9632521199999999</v>
      </c>
      <c r="DT29" s="874">
        <v>1.9655655299999999</v>
      </c>
      <c r="DU29" s="874">
        <v>4.4526657900000002</v>
      </c>
      <c r="DV29" s="874">
        <v>4.4602689099999999</v>
      </c>
      <c r="DW29" s="874">
        <v>4.54253573</v>
      </c>
      <c r="DX29" s="874">
        <v>4.5025647700000002</v>
      </c>
      <c r="DY29" s="874">
        <v>4.4213491300000003</v>
      </c>
      <c r="DZ29" s="874">
        <v>4.4776889999999998</v>
      </c>
      <c r="EA29" s="874">
        <v>3.3174402600000001</v>
      </c>
      <c r="EB29" s="874">
        <v>3.3051423799999999</v>
      </c>
      <c r="EC29" s="874">
        <v>4.7330985700000001</v>
      </c>
      <c r="ED29" s="874">
        <v>4.6694644199999997</v>
      </c>
      <c r="EE29" s="874">
        <v>4.4961696900000003</v>
      </c>
      <c r="EF29" s="874">
        <v>5.0564205700000002</v>
      </c>
      <c r="EG29" s="874">
        <v>4.8969459799999999</v>
      </c>
      <c r="EH29" s="874">
        <v>5.6853750300000003</v>
      </c>
      <c r="EI29" s="874">
        <v>5.7365104000000002</v>
      </c>
      <c r="EJ29" s="874">
        <v>5.8018823700000004</v>
      </c>
      <c r="EK29" s="874">
        <v>5.31244081</v>
      </c>
      <c r="EL29" s="874">
        <v>6.8354424800000002</v>
      </c>
      <c r="EM29" s="874">
        <v>6.8386224799999997</v>
      </c>
      <c r="EN29" s="874">
        <v>10.88545809</v>
      </c>
      <c r="EO29" s="874">
        <v>8.2619938800000003</v>
      </c>
      <c r="EP29" s="874">
        <v>7.7199001299999992</v>
      </c>
      <c r="EQ29" s="874">
        <v>7.3557108900000001</v>
      </c>
      <c r="ER29" s="874">
        <v>8.3878429200000006</v>
      </c>
      <c r="ES29" s="874">
        <v>8.1426122500000009</v>
      </c>
      <c r="ET29" s="874">
        <v>9.1172992300000004</v>
      </c>
      <c r="EU29" s="874">
        <v>10.354994250000001</v>
      </c>
      <c r="EV29" s="1922" t="s">
        <v>212</v>
      </c>
    </row>
    <row r="30" spans="1:152" ht="21">
      <c r="A30" s="1953" t="s">
        <v>1974</v>
      </c>
      <c r="B30" s="863">
        <v>99.833261400000012</v>
      </c>
      <c r="C30" s="694">
        <v>99.833261400000012</v>
      </c>
      <c r="D30" s="694">
        <v>99.833261400000012</v>
      </c>
      <c r="E30" s="694">
        <v>99.833261400000012</v>
      </c>
      <c r="F30" s="694">
        <v>99.833261400000012</v>
      </c>
      <c r="G30" s="694">
        <v>100.0132614</v>
      </c>
      <c r="H30" s="694">
        <v>100.06126140000001</v>
      </c>
      <c r="I30" s="694">
        <v>100.10926140000001</v>
      </c>
      <c r="J30" s="694">
        <v>100.10863893999999</v>
      </c>
      <c r="K30" s="694">
        <v>100.12804779000001</v>
      </c>
      <c r="L30" s="694">
        <v>100.13148795000001</v>
      </c>
      <c r="M30" s="695">
        <v>100.13092625</v>
      </c>
      <c r="N30" s="695">
        <v>100.13036274</v>
      </c>
      <c r="O30" s="695">
        <v>100.12849229000001</v>
      </c>
      <c r="P30" s="695">
        <v>100.10675707999999</v>
      </c>
      <c r="Q30" s="695">
        <v>100.10553954000001</v>
      </c>
      <c r="R30" s="695">
        <v>100.12796840999999</v>
      </c>
      <c r="S30" s="695">
        <v>69.155395380000002</v>
      </c>
      <c r="T30" s="695">
        <v>69.058152059999998</v>
      </c>
      <c r="U30" s="695">
        <v>68.953679640000004</v>
      </c>
      <c r="V30" s="695">
        <v>63.411258979999999</v>
      </c>
      <c r="W30" s="695">
        <v>60.194055499999997</v>
      </c>
      <c r="X30" s="695">
        <v>56.067976719999997</v>
      </c>
      <c r="Y30" s="695">
        <v>49.830488969999998</v>
      </c>
      <c r="Z30" s="695">
        <v>49.830488969999998</v>
      </c>
      <c r="AA30" s="695">
        <v>49.579062439999994</v>
      </c>
      <c r="AB30" s="695">
        <v>48.60970777</v>
      </c>
      <c r="AC30" s="695">
        <v>48.514305069999999</v>
      </c>
      <c r="AD30" s="695">
        <v>48.341717340000002</v>
      </c>
      <c r="AE30" s="695">
        <v>48.168516090000004</v>
      </c>
      <c r="AF30" s="695">
        <v>45.792637060000004</v>
      </c>
      <c r="AG30" s="695">
        <v>45.614056979999994</v>
      </c>
      <c r="AH30" s="695">
        <v>9.9994059999999996E-2</v>
      </c>
      <c r="AI30" s="695">
        <v>9.9994059999999996E-2</v>
      </c>
      <c r="AJ30" s="695">
        <v>69.820419060000006</v>
      </c>
      <c r="AK30" s="695">
        <v>69.820419060000006</v>
      </c>
      <c r="AL30" s="695">
        <v>69.820419060000006</v>
      </c>
      <c r="AM30" s="695">
        <v>69.819415669999998</v>
      </c>
      <c r="AN30" s="695">
        <v>69.819415669999998</v>
      </c>
      <c r="AO30" s="695">
        <v>69.819363840000008</v>
      </c>
      <c r="AP30" s="695">
        <v>69.819363840000008</v>
      </c>
      <c r="AQ30" s="695">
        <v>69.819363840000008</v>
      </c>
      <c r="AR30" s="695">
        <v>169.81930683000002</v>
      </c>
      <c r="AS30" s="695">
        <v>169.81930683000002</v>
      </c>
      <c r="AT30" s="695">
        <v>169.81930683000002</v>
      </c>
      <c r="AU30" s="695">
        <v>169.81930683000002</v>
      </c>
      <c r="AV30" s="695">
        <v>169.81930683000002</v>
      </c>
      <c r="AW30" s="695">
        <v>169.81930683000002</v>
      </c>
      <c r="AX30" s="695">
        <v>169.81930683000002</v>
      </c>
      <c r="AY30" s="695">
        <v>9.8881830000000004E-2</v>
      </c>
      <c r="AZ30" s="695">
        <v>0</v>
      </c>
      <c r="BA30" s="695">
        <v>0</v>
      </c>
      <c r="BB30" s="695">
        <v>0</v>
      </c>
      <c r="BC30" s="695">
        <v>0</v>
      </c>
      <c r="BD30" s="695">
        <v>0</v>
      </c>
      <c r="BE30" s="695">
        <v>0</v>
      </c>
      <c r="BF30" s="695">
        <v>0</v>
      </c>
      <c r="BG30" s="695">
        <v>0</v>
      </c>
      <c r="BH30" s="695">
        <v>0</v>
      </c>
      <c r="BI30" s="859">
        <v>0</v>
      </c>
      <c r="BJ30" s="875">
        <v>0</v>
      </c>
      <c r="BK30" s="875">
        <v>0</v>
      </c>
      <c r="BL30" s="875">
        <v>0</v>
      </c>
      <c r="BM30" s="875">
        <v>0</v>
      </c>
      <c r="BN30" s="875">
        <v>0</v>
      </c>
      <c r="BO30" s="875">
        <v>0</v>
      </c>
      <c r="BP30" s="875">
        <v>0</v>
      </c>
      <c r="BQ30" s="875">
        <v>0</v>
      </c>
      <c r="BR30" s="875">
        <v>0</v>
      </c>
      <c r="BS30" s="875">
        <v>0</v>
      </c>
      <c r="BT30" s="875">
        <v>0</v>
      </c>
      <c r="BU30" s="875">
        <v>0</v>
      </c>
      <c r="BV30" s="875">
        <v>0</v>
      </c>
      <c r="BW30" s="875">
        <v>0</v>
      </c>
      <c r="BX30" s="875">
        <v>0</v>
      </c>
      <c r="BY30" s="875">
        <v>0</v>
      </c>
      <c r="BZ30" s="875">
        <v>0</v>
      </c>
      <c r="CA30" s="875">
        <v>0</v>
      </c>
      <c r="CB30" s="875">
        <v>0</v>
      </c>
      <c r="CC30" s="875">
        <v>0</v>
      </c>
      <c r="CD30" s="875">
        <v>0</v>
      </c>
      <c r="CE30" s="875">
        <v>0</v>
      </c>
      <c r="CF30" s="875">
        <v>0</v>
      </c>
      <c r="CG30" s="875">
        <v>0</v>
      </c>
      <c r="CH30" s="875">
        <v>0</v>
      </c>
      <c r="CI30" s="875">
        <v>0</v>
      </c>
      <c r="CJ30" s="875">
        <v>0</v>
      </c>
      <c r="CK30" s="875">
        <v>0</v>
      </c>
      <c r="CL30" s="875">
        <v>0</v>
      </c>
      <c r="CM30" s="875">
        <v>0</v>
      </c>
      <c r="CN30" s="875">
        <v>0</v>
      </c>
      <c r="CO30" s="875">
        <v>0</v>
      </c>
      <c r="CP30" s="875">
        <v>0</v>
      </c>
      <c r="CQ30" s="875">
        <v>0</v>
      </c>
      <c r="CR30" s="875">
        <v>0</v>
      </c>
      <c r="CS30" s="875">
        <v>0</v>
      </c>
      <c r="CT30" s="875">
        <v>0</v>
      </c>
      <c r="CU30" s="875">
        <v>0</v>
      </c>
      <c r="CV30" s="875">
        <v>0</v>
      </c>
      <c r="CW30" s="875">
        <v>0</v>
      </c>
      <c r="CX30" s="875">
        <v>0</v>
      </c>
      <c r="CY30" s="875">
        <v>0</v>
      </c>
      <c r="CZ30" s="875">
        <v>0</v>
      </c>
      <c r="DA30" s="875">
        <v>0</v>
      </c>
      <c r="DB30" s="875">
        <v>0</v>
      </c>
      <c r="DC30" s="875">
        <v>0</v>
      </c>
      <c r="DD30" s="875">
        <v>0</v>
      </c>
      <c r="DE30" s="875">
        <v>0</v>
      </c>
      <c r="DF30" s="875">
        <v>0.19500000000000001</v>
      </c>
      <c r="DG30" s="875">
        <v>0.23958333000000001</v>
      </c>
      <c r="DH30" s="875">
        <v>0.23244729</v>
      </c>
      <c r="DI30" s="875">
        <v>0.22523967</v>
      </c>
      <c r="DJ30" s="875">
        <v>0.21800667000000001</v>
      </c>
      <c r="DK30" s="875">
        <v>0.21076903999999999</v>
      </c>
      <c r="DL30" s="875">
        <v>0.20348448999999999</v>
      </c>
      <c r="DM30" s="875">
        <v>0.19615415</v>
      </c>
      <c r="DN30" s="875">
        <v>0.18881605000000001</v>
      </c>
      <c r="DO30" s="875">
        <v>0.18145073</v>
      </c>
      <c r="DP30" s="875">
        <v>0.14624993999999999</v>
      </c>
      <c r="DQ30" s="875">
        <v>0.1354166</v>
      </c>
      <c r="DR30" s="875">
        <v>0.28999993000000002</v>
      </c>
      <c r="DS30" s="875">
        <v>0.28458326</v>
      </c>
      <c r="DT30" s="875">
        <v>0.27916658999999999</v>
      </c>
      <c r="DU30" s="875">
        <v>0.27374991999999998</v>
      </c>
      <c r="DV30" s="875">
        <v>0.26348476999999998</v>
      </c>
      <c r="DW30" s="875">
        <v>0.25321961999999998</v>
      </c>
      <c r="DX30" s="875">
        <v>0.24837113999999999</v>
      </c>
      <c r="DY30" s="875">
        <v>0.23268932000000001</v>
      </c>
      <c r="DZ30" s="875">
        <v>0.22242417</v>
      </c>
      <c r="EA30" s="875">
        <v>0.21215902</v>
      </c>
      <c r="EB30" s="875">
        <v>0.20189387</v>
      </c>
      <c r="EC30" s="875">
        <v>0.19162872</v>
      </c>
      <c r="ED30" s="875">
        <v>0.18136357</v>
      </c>
      <c r="EE30" s="875">
        <v>0.17109842</v>
      </c>
      <c r="EF30" s="875">
        <v>0.16083327</v>
      </c>
      <c r="EG30" s="875">
        <v>0.15056812</v>
      </c>
      <c r="EH30" s="875">
        <v>0.14030297</v>
      </c>
      <c r="EI30" s="875">
        <v>0.25003782000000002</v>
      </c>
      <c r="EJ30" s="875">
        <v>0.23977266999999999</v>
      </c>
      <c r="EK30" s="875">
        <v>0.22526655000000001</v>
      </c>
      <c r="EL30" s="875">
        <v>1.41054116</v>
      </c>
      <c r="EM30" s="875">
        <v>1.3958076399999999</v>
      </c>
      <c r="EN30" s="875">
        <v>2.3809469399999998</v>
      </c>
      <c r="EO30" s="875">
        <v>2.2684469200000001</v>
      </c>
      <c r="EP30" s="875">
        <v>2.5081819199999997</v>
      </c>
      <c r="EQ30" s="875">
        <v>2.5005556599999998</v>
      </c>
      <c r="ER30" s="875">
        <v>2.40438069</v>
      </c>
      <c r="ES30" s="875">
        <v>2.3070555399999999</v>
      </c>
      <c r="ET30" s="875">
        <v>2.20672297</v>
      </c>
      <c r="EU30" s="875">
        <v>2.1072191</v>
      </c>
      <c r="EV30" s="1924" t="s">
        <v>4086</v>
      </c>
    </row>
    <row r="31" spans="1:152" ht="21">
      <c r="A31" s="1953" t="s">
        <v>1975</v>
      </c>
      <c r="B31" s="862">
        <f t="shared" ref="B31:V31" si="11">+B29-B30</f>
        <v>2.5912697100000059</v>
      </c>
      <c r="C31" s="692">
        <f t="shared" si="11"/>
        <v>1.875582129999998</v>
      </c>
      <c r="D31" s="692">
        <f t="shared" si="11"/>
        <v>1.8230888800000002</v>
      </c>
      <c r="E31" s="692">
        <f t="shared" si="11"/>
        <v>1.8113203399999946</v>
      </c>
      <c r="F31" s="692">
        <f t="shared" si="11"/>
        <v>1.7657112899999987</v>
      </c>
      <c r="G31" s="692">
        <f t="shared" si="11"/>
        <v>0.17000099999999918</v>
      </c>
      <c r="H31" s="692">
        <f t="shared" si="11"/>
        <v>0.24000100000000657</v>
      </c>
      <c r="I31" s="692">
        <f t="shared" si="11"/>
        <v>0.32500000000000284</v>
      </c>
      <c r="J31" s="692">
        <f t="shared" si="11"/>
        <v>0.30726199999999437</v>
      </c>
      <c r="K31" s="692">
        <f t="shared" si="11"/>
        <v>0.32350599999999474</v>
      </c>
      <c r="L31" s="692">
        <f t="shared" si="11"/>
        <v>0.37350600000000611</v>
      </c>
      <c r="M31" s="695">
        <f t="shared" si="11"/>
        <v>0.59628100000000472</v>
      </c>
      <c r="N31" s="693">
        <f t="shared" si="11"/>
        <v>0.4405050000000017</v>
      </c>
      <c r="O31" s="693">
        <f t="shared" si="11"/>
        <v>0.54050499999999602</v>
      </c>
      <c r="P31" s="693">
        <f t="shared" si="11"/>
        <v>0.53966966000000127</v>
      </c>
      <c r="Q31" s="693">
        <f t="shared" si="11"/>
        <v>0.61235046999999554</v>
      </c>
      <c r="R31" s="693">
        <f t="shared" si="11"/>
        <v>0.76743786999999486</v>
      </c>
      <c r="S31" s="693">
        <f t="shared" si="11"/>
        <v>0.80039148999999554</v>
      </c>
      <c r="T31" s="693">
        <f t="shared" si="11"/>
        <v>0.79560089000000289</v>
      </c>
      <c r="U31" s="693">
        <f t="shared" si="11"/>
        <v>0.79248038000000065</v>
      </c>
      <c r="V31" s="693">
        <f t="shared" si="11"/>
        <v>0.77311158000000546</v>
      </c>
      <c r="W31" s="693">
        <v>0.77565151000000299</v>
      </c>
      <c r="X31" s="693">
        <v>0.77706445999999829</v>
      </c>
      <c r="Y31" s="695">
        <v>0.77039967999999703</v>
      </c>
      <c r="Z31" s="693">
        <v>0.77039967999999703</v>
      </c>
      <c r="AA31" s="693">
        <v>0.76698780000000255</v>
      </c>
      <c r="AB31" s="695">
        <v>0.76457580999999664</v>
      </c>
      <c r="AC31" s="695">
        <v>0.77177223999999711</v>
      </c>
      <c r="AD31" s="695">
        <v>0.7658903900000027</v>
      </c>
      <c r="AE31" s="695">
        <v>0.76007437999999894</v>
      </c>
      <c r="AF31" s="695">
        <v>0.75524370000000118</v>
      </c>
      <c r="AG31" s="695">
        <v>0.7502058899999966</v>
      </c>
      <c r="AH31" s="695">
        <v>0.69509995999999996</v>
      </c>
      <c r="AI31" s="695">
        <f>+AI29-AI30</f>
        <v>0.74137874000000004</v>
      </c>
      <c r="AJ31" s="695">
        <v>0.75128334999999424</v>
      </c>
      <c r="AK31" s="695">
        <f>+AK29-AK30</f>
        <v>0.64670135000000073</v>
      </c>
      <c r="AL31" s="695">
        <f>+AL29-AL30</f>
        <v>0.59873738999999659</v>
      </c>
      <c r="AM31" s="695">
        <v>0.68978373000000204</v>
      </c>
      <c r="AN31" s="695">
        <f>+AN29-AN30</f>
        <v>0.68587211000000536</v>
      </c>
      <c r="AO31" s="695">
        <f>+AO29-AO30</f>
        <v>0.72228939000000025</v>
      </c>
      <c r="AP31" s="695">
        <f>+AP29-AP30</f>
        <v>0.72097574999999381</v>
      </c>
      <c r="AQ31" s="695">
        <f>+AQ29-AQ30</f>
        <v>0.71940872999999783</v>
      </c>
      <c r="AR31" s="695">
        <v>0.71544327000000862</v>
      </c>
      <c r="AS31" s="695">
        <f>+AS29-AS30</f>
        <v>0.56038831000000755</v>
      </c>
      <c r="AT31" s="695">
        <f>+AT29-AT30</f>
        <v>0.33675013999999237</v>
      </c>
      <c r="AU31" s="695">
        <f>+AU29-AU30</f>
        <v>0.73157046000000037</v>
      </c>
      <c r="AV31" s="695">
        <v>3.0092319500000144</v>
      </c>
      <c r="AW31" s="695">
        <v>2.9998269099999959</v>
      </c>
      <c r="AX31" s="695">
        <v>2.9890921100000014</v>
      </c>
      <c r="AY31" s="695">
        <v>2.9797217699999998</v>
      </c>
      <c r="AZ31" s="695">
        <v>2.9807361499999998</v>
      </c>
      <c r="BA31" s="695">
        <v>2.9650297400000003</v>
      </c>
      <c r="BB31" s="695">
        <v>2.9553927599999996</v>
      </c>
      <c r="BC31" s="695">
        <v>1.95134568</v>
      </c>
      <c r="BD31" s="695">
        <v>1.9396695900000001</v>
      </c>
      <c r="BE31" s="695">
        <f>+BE29-BE30</f>
        <v>1.9359709599999999</v>
      </c>
      <c r="BF31" s="695">
        <v>1.9164770200000001</v>
      </c>
      <c r="BG31" s="695">
        <v>1.9052659599999999</v>
      </c>
      <c r="BH31" s="695">
        <v>0.89043850999999996</v>
      </c>
      <c r="BI31" s="859">
        <v>0.88637007999999995</v>
      </c>
      <c r="BJ31" s="875">
        <v>0.88637007999999995</v>
      </c>
      <c r="BK31" s="875">
        <f>+BK29-BK30</f>
        <v>0.85998198000000003</v>
      </c>
      <c r="BL31" s="875">
        <v>0.85319076000000005</v>
      </c>
      <c r="BM31" s="875">
        <v>0.84891092000000001</v>
      </c>
      <c r="BN31" s="875">
        <v>0.84459498</v>
      </c>
      <c r="BO31" s="875">
        <v>0.7927826899999999</v>
      </c>
      <c r="BP31" s="875">
        <v>0.77263594999999996</v>
      </c>
      <c r="BQ31" s="875">
        <v>0.76893624999999999</v>
      </c>
      <c r="BR31" s="875">
        <v>0.74005490000000007</v>
      </c>
      <c r="BS31" s="875">
        <v>0.63496277000000001</v>
      </c>
      <c r="BT31" s="875">
        <v>0.3196503</v>
      </c>
      <c r="BU31" s="875">
        <v>0.17683373999999999</v>
      </c>
      <c r="BV31" s="875">
        <v>0.17276676999999999</v>
      </c>
      <c r="BW31" s="875">
        <v>0.16860033999999999</v>
      </c>
      <c r="BX31" s="875">
        <v>0.16434305999999999</v>
      </c>
      <c r="BY31" s="875">
        <v>0.16</v>
      </c>
      <c r="BZ31" s="875">
        <v>0.19850000000000001</v>
      </c>
      <c r="CA31" s="875">
        <v>0.21914624999999999</v>
      </c>
      <c r="CB31" s="875">
        <v>0.21779962999999999</v>
      </c>
      <c r="CC31" s="875">
        <v>0.25544844999999999</v>
      </c>
      <c r="CD31" s="875">
        <v>0.29635938000000001</v>
      </c>
      <c r="CE31" s="875">
        <v>0.29049578000000004</v>
      </c>
      <c r="CF31" s="875">
        <f t="shared" ref="CF31:CP31" si="12">+CF29-CF30</f>
        <v>0.28363678000000003</v>
      </c>
      <c r="CG31" s="875">
        <f t="shared" si="12"/>
        <v>0.49642378000000004</v>
      </c>
      <c r="CH31" s="875">
        <f t="shared" si="12"/>
        <v>0.50451277999999999</v>
      </c>
      <c r="CI31" s="875">
        <f t="shared" si="12"/>
        <v>0.47486658000000004</v>
      </c>
      <c r="CJ31" s="875">
        <f t="shared" si="12"/>
        <v>0.45108908000000003</v>
      </c>
      <c r="CK31" s="875">
        <f t="shared" si="12"/>
        <v>0.27968908000000003</v>
      </c>
      <c r="CL31" s="875">
        <f t="shared" si="12"/>
        <v>0.26768908000000002</v>
      </c>
      <c r="CM31" s="875">
        <f t="shared" si="12"/>
        <v>0.31978908</v>
      </c>
      <c r="CN31" s="875">
        <f t="shared" si="12"/>
        <v>0.30074298999999999</v>
      </c>
      <c r="CO31" s="875">
        <f t="shared" si="12"/>
        <v>0.33967509999999995</v>
      </c>
      <c r="CP31" s="875">
        <f t="shared" si="12"/>
        <v>0.35350007</v>
      </c>
      <c r="CQ31" s="875">
        <f>+CQ29-CQ30</f>
        <v>0.41739736999999999</v>
      </c>
      <c r="CR31" s="875">
        <f>+CR29-CR30</f>
        <v>0.54571504000000004</v>
      </c>
      <c r="CS31" s="875">
        <f>+CS29-CS30</f>
        <v>0.69856979000000008</v>
      </c>
      <c r="CT31" s="875">
        <f>+CT29-CT30</f>
        <v>0.65880846999999998</v>
      </c>
      <c r="CU31" s="875">
        <v>0.64705281999999997</v>
      </c>
      <c r="CV31" s="875">
        <f>+CV29-CV30</f>
        <v>0.61856909000000004</v>
      </c>
      <c r="CW31" s="875">
        <v>0.71111603000000001</v>
      </c>
      <c r="CX31" s="875">
        <v>0.67366988000000005</v>
      </c>
      <c r="CY31" s="875">
        <v>1.2456321800000001</v>
      </c>
      <c r="CZ31" s="875">
        <v>1.29669199</v>
      </c>
      <c r="DA31" s="875">
        <v>1.2722749</v>
      </c>
      <c r="DB31" s="875">
        <v>1.1140137000000001</v>
      </c>
      <c r="DC31" s="875">
        <v>1.14861196</v>
      </c>
      <c r="DD31" s="875">
        <f>DD29-DD30</f>
        <v>1.03379903</v>
      </c>
      <c r="DE31" s="875">
        <v>1.0837964899999999</v>
      </c>
      <c r="DF31" s="875">
        <v>1.2398065299999999</v>
      </c>
      <c r="DG31" s="875">
        <v>1.61915842</v>
      </c>
      <c r="DH31" s="875">
        <f>DH29-DH30</f>
        <v>1.7710321099999997</v>
      </c>
      <c r="DI31" s="875">
        <v>1.7789966699999997</v>
      </c>
      <c r="DJ31" s="875">
        <f>DJ29-DJ30</f>
        <v>1.80744064</v>
      </c>
      <c r="DK31" s="875">
        <v>1.90385293</v>
      </c>
      <c r="DL31" s="875">
        <v>1.92369408</v>
      </c>
      <c r="DM31" s="875">
        <v>1.9318936300000003</v>
      </c>
      <c r="DN31" s="875">
        <v>1.9239602299999998</v>
      </c>
      <c r="DO31" s="875">
        <f>DO29-DO30</f>
        <v>1.8386511200000002</v>
      </c>
      <c r="DP31" s="875">
        <f>DP29-DP30</f>
        <v>1.91296529</v>
      </c>
      <c r="DQ31" s="875">
        <v>1.8540979200000001</v>
      </c>
      <c r="DR31" s="875">
        <f>DR29-DR30</f>
        <v>1.7166159599999999</v>
      </c>
      <c r="DS31" s="875">
        <f>DS29-DS30</f>
        <v>1.6786688599999999</v>
      </c>
      <c r="DT31" s="875">
        <v>1.6863989399999999</v>
      </c>
      <c r="DU31" s="875">
        <v>4.17891587</v>
      </c>
      <c r="DV31" s="875">
        <f>DV29-DV30</f>
        <v>4.1967841400000001</v>
      </c>
      <c r="DW31" s="875">
        <f>DW29-DW30</f>
        <v>4.2893161099999997</v>
      </c>
      <c r="DX31" s="875">
        <v>4.2541936300000005</v>
      </c>
      <c r="DY31" s="875">
        <v>4.1886598099999999</v>
      </c>
      <c r="DZ31" s="875">
        <f>DZ29-DZ30</f>
        <v>4.2552648299999998</v>
      </c>
      <c r="EA31" s="875">
        <f>EA29-EA30</f>
        <v>3.1052812400000001</v>
      </c>
      <c r="EB31" s="875">
        <v>3.1032485099999998</v>
      </c>
      <c r="EC31" s="875">
        <v>4.5414698500000004</v>
      </c>
      <c r="ED31" s="875">
        <v>4.4881008499999995</v>
      </c>
      <c r="EE31" s="875">
        <v>4.3250712700000005</v>
      </c>
      <c r="EF31" s="875">
        <v>4.8955872999999999</v>
      </c>
      <c r="EG31" s="875">
        <v>4.7463778599999999</v>
      </c>
      <c r="EH31" s="875">
        <v>5.5450720600000007</v>
      </c>
      <c r="EI31" s="875">
        <v>5.48647258</v>
      </c>
      <c r="EJ31" s="875">
        <v>5.5621097000000006</v>
      </c>
      <c r="EK31" s="875">
        <f>EK29-EK30</f>
        <v>5.0871742600000003</v>
      </c>
      <c r="EL31" s="875">
        <v>5.42490132</v>
      </c>
      <c r="EM31" s="875">
        <v>5.4428148399999996</v>
      </c>
      <c r="EN31" s="875">
        <v>8.5045111500000008</v>
      </c>
      <c r="EO31" s="875">
        <f>EO29-EO30</f>
        <v>5.9935469599999998</v>
      </c>
      <c r="EP31" s="875">
        <v>5.211718209999999</v>
      </c>
      <c r="EQ31" s="875">
        <v>4.8551552300000003</v>
      </c>
      <c r="ER31" s="875">
        <v>5.9834622300000007</v>
      </c>
      <c r="ES31" s="875">
        <v>5.8355567100000005</v>
      </c>
      <c r="ET31" s="875">
        <v>6.9105762600000009</v>
      </c>
      <c r="EU31" s="875">
        <f>EU29-EU30</f>
        <v>8.2477751500000007</v>
      </c>
      <c r="EV31" s="1924" t="s">
        <v>4085</v>
      </c>
    </row>
    <row r="32" spans="1:152" ht="21">
      <c r="A32" s="1954"/>
      <c r="B32" s="863"/>
      <c r="C32" s="694"/>
      <c r="D32" s="694"/>
      <c r="E32" s="694"/>
      <c r="F32" s="694"/>
      <c r="G32" s="694"/>
      <c r="H32" s="694"/>
      <c r="I32" s="694"/>
      <c r="J32" s="694"/>
      <c r="K32" s="694"/>
      <c r="L32" s="694"/>
      <c r="M32" s="695"/>
      <c r="N32" s="695"/>
      <c r="O32" s="695"/>
      <c r="P32" s="695"/>
      <c r="Q32" s="695"/>
      <c r="R32" s="695"/>
      <c r="S32" s="695"/>
      <c r="T32" s="695"/>
      <c r="U32" s="695"/>
      <c r="V32" s="695"/>
      <c r="W32" s="695"/>
      <c r="X32" s="695"/>
      <c r="Y32" s="695"/>
      <c r="Z32" s="695"/>
      <c r="AA32" s="695"/>
      <c r="AB32" s="695"/>
      <c r="AC32" s="695"/>
      <c r="AD32" s="695"/>
      <c r="AE32" s="695"/>
      <c r="AF32" s="695"/>
      <c r="AG32" s="695"/>
      <c r="AH32" s="695"/>
      <c r="AI32" s="695"/>
      <c r="AJ32" s="695"/>
      <c r="AK32" s="695"/>
      <c r="AL32" s="695"/>
      <c r="AM32" s="695"/>
      <c r="AN32" s="695"/>
      <c r="AO32" s="695"/>
      <c r="AP32" s="695"/>
      <c r="AQ32" s="695"/>
      <c r="AR32" s="695"/>
      <c r="AS32" s="695"/>
      <c r="AT32" s="695"/>
      <c r="AU32" s="695"/>
      <c r="AV32" s="695"/>
      <c r="AW32" s="695"/>
      <c r="AX32" s="695"/>
      <c r="AY32" s="695"/>
      <c r="AZ32" s="695"/>
      <c r="BA32" s="695"/>
      <c r="BB32" s="695"/>
      <c r="BC32" s="695"/>
      <c r="BD32" s="695"/>
      <c r="BE32" s="695"/>
      <c r="BF32" s="695"/>
      <c r="BG32" s="695"/>
      <c r="BH32" s="695"/>
      <c r="BI32" s="859"/>
      <c r="BJ32" s="875"/>
      <c r="BK32" s="875"/>
      <c r="BL32" s="875"/>
      <c r="BM32" s="875"/>
      <c r="BN32" s="875"/>
      <c r="BO32" s="875"/>
      <c r="BP32" s="875"/>
      <c r="BQ32" s="875"/>
      <c r="BR32" s="875"/>
      <c r="BS32" s="875"/>
      <c r="BT32" s="875"/>
      <c r="BU32" s="875"/>
      <c r="BV32" s="875"/>
      <c r="BW32" s="875"/>
      <c r="BX32" s="875"/>
      <c r="BY32" s="875"/>
      <c r="BZ32" s="875"/>
      <c r="CA32" s="875"/>
      <c r="CB32" s="875"/>
      <c r="CC32" s="875"/>
      <c r="CD32" s="875"/>
      <c r="CE32" s="875"/>
      <c r="CF32" s="875"/>
      <c r="CG32" s="875"/>
      <c r="CH32" s="875"/>
      <c r="CI32" s="875"/>
      <c r="CJ32" s="875"/>
      <c r="CK32" s="875"/>
      <c r="CL32" s="875"/>
      <c r="CM32" s="875"/>
      <c r="CN32" s="875"/>
      <c r="CO32" s="875"/>
      <c r="CP32" s="875"/>
      <c r="CQ32" s="875"/>
      <c r="CR32" s="875"/>
      <c r="CS32" s="875"/>
      <c r="CT32" s="875"/>
      <c r="CU32" s="875"/>
      <c r="CV32" s="875"/>
      <c r="CW32" s="875"/>
      <c r="CX32" s="875"/>
      <c r="CY32" s="875"/>
      <c r="CZ32" s="875"/>
      <c r="DA32" s="875"/>
      <c r="DB32" s="875"/>
      <c r="DC32" s="875"/>
      <c r="DD32" s="875"/>
      <c r="DE32" s="875"/>
      <c r="DF32" s="875"/>
      <c r="DG32" s="875"/>
      <c r="DH32" s="875"/>
      <c r="DI32" s="875"/>
      <c r="DJ32" s="875"/>
      <c r="DK32" s="875"/>
      <c r="DL32" s="875"/>
      <c r="DM32" s="875"/>
      <c r="DN32" s="875"/>
      <c r="DO32" s="875"/>
      <c r="DP32" s="875"/>
      <c r="DQ32" s="875"/>
      <c r="DR32" s="875"/>
      <c r="DS32" s="875"/>
      <c r="DT32" s="875"/>
      <c r="DU32" s="875"/>
      <c r="DV32" s="875"/>
      <c r="DW32" s="875"/>
      <c r="DX32" s="875"/>
      <c r="DY32" s="875"/>
      <c r="DZ32" s="875"/>
      <c r="EA32" s="875"/>
      <c r="EB32" s="875"/>
      <c r="EC32" s="875"/>
      <c r="ED32" s="875"/>
      <c r="EE32" s="875"/>
      <c r="EF32" s="875"/>
      <c r="EG32" s="875"/>
      <c r="EH32" s="875"/>
      <c r="EI32" s="875"/>
      <c r="EJ32" s="875"/>
      <c r="EK32" s="875"/>
      <c r="EL32" s="875"/>
      <c r="EM32" s="875"/>
      <c r="EN32" s="875"/>
      <c r="EO32" s="875"/>
      <c r="EP32" s="875"/>
      <c r="EQ32" s="875"/>
      <c r="ER32" s="875"/>
      <c r="ES32" s="875"/>
      <c r="ET32" s="875"/>
      <c r="EU32" s="875"/>
      <c r="EV32" s="1923"/>
    </row>
    <row r="33" spans="1:152" ht="21">
      <c r="A33" s="1952" t="s">
        <v>2757</v>
      </c>
      <c r="B33" s="862">
        <v>0.30148459999999999</v>
      </c>
      <c r="C33" s="692">
        <v>6.8597711099999996</v>
      </c>
      <c r="D33" s="692">
        <v>6.6857836199999996</v>
      </c>
      <c r="E33" s="692">
        <v>6.80002364</v>
      </c>
      <c r="F33" s="692">
        <v>6.7424448699999999</v>
      </c>
      <c r="G33" s="692">
        <v>6.8448796600000001</v>
      </c>
      <c r="H33" s="692">
        <v>6.1892506599999999</v>
      </c>
      <c r="I33" s="692">
        <v>6.1818119200000003</v>
      </c>
      <c r="J33" s="692">
        <v>6.2997537100000001</v>
      </c>
      <c r="K33" s="692">
        <v>6.3655713499999997</v>
      </c>
      <c r="L33" s="692">
        <v>6.2953664999999992</v>
      </c>
      <c r="M33" s="693">
        <v>6.37253604</v>
      </c>
      <c r="N33" s="693">
        <v>5.5276542800000001</v>
      </c>
      <c r="O33" s="693">
        <v>5.5796778299999996</v>
      </c>
      <c r="P33" s="693">
        <v>5.9706326399999998</v>
      </c>
      <c r="Q33" s="693">
        <v>5.9777833499999993</v>
      </c>
      <c r="R33" s="693">
        <v>5.8838302200000001</v>
      </c>
      <c r="S33" s="693">
        <v>5.8696748300000001</v>
      </c>
      <c r="T33" s="693">
        <v>5.6754487400000002</v>
      </c>
      <c r="U33" s="693">
        <v>5.6847635299999997</v>
      </c>
      <c r="V33" s="693">
        <v>5.5203913599999996</v>
      </c>
      <c r="W33" s="693">
        <v>5.4723831500000006</v>
      </c>
      <c r="X33" s="693">
        <v>5.4132676799999997</v>
      </c>
      <c r="Y33" s="693">
        <v>5.2964515199999997</v>
      </c>
      <c r="Z33" s="693">
        <v>5.2964515199999997</v>
      </c>
      <c r="AA33" s="693">
        <v>45.187775160000001</v>
      </c>
      <c r="AB33" s="693">
        <v>60.433683610000003</v>
      </c>
      <c r="AC33" s="693">
        <v>60.239108480000006</v>
      </c>
      <c r="AD33" s="693">
        <v>60.355856559999999</v>
      </c>
      <c r="AE33" s="693">
        <v>60.331007019999994</v>
      </c>
      <c r="AF33" s="693">
        <v>60.345207270000003</v>
      </c>
      <c r="AG33" s="693">
        <v>59.317381669999996</v>
      </c>
      <c r="AH33" s="693">
        <v>59.313833719999998</v>
      </c>
      <c r="AI33" s="693">
        <v>59.135138289999993</v>
      </c>
      <c r="AJ33" s="693">
        <v>58.928392880000004</v>
      </c>
      <c r="AK33" s="693">
        <v>58.902437739999996</v>
      </c>
      <c r="AL33" s="693">
        <v>87.505273679999988</v>
      </c>
      <c r="AM33" s="693">
        <v>88.519814999999994</v>
      </c>
      <c r="AN33" s="693">
        <v>86.546217749999997</v>
      </c>
      <c r="AO33" s="693">
        <v>85.378795490000002</v>
      </c>
      <c r="AP33" s="693">
        <v>83.634099879999994</v>
      </c>
      <c r="AQ33" s="693">
        <v>82.630339169999999</v>
      </c>
      <c r="AR33" s="693">
        <v>85.279142050000004</v>
      </c>
      <c r="AS33" s="693">
        <v>84.005238410000004</v>
      </c>
      <c r="AT33" s="693">
        <v>86.447941380000003</v>
      </c>
      <c r="AU33" s="693">
        <f>AU25-AU29</f>
        <v>85.817478550000033</v>
      </c>
      <c r="AV33" s="693">
        <v>86.669097319999992</v>
      </c>
      <c r="AW33" s="693">
        <v>292.49462405999998</v>
      </c>
      <c r="AX33" s="693">
        <v>298.96641655000002</v>
      </c>
      <c r="AY33" s="693">
        <v>323.56424117</v>
      </c>
      <c r="AZ33" s="693">
        <v>294.15317999999996</v>
      </c>
      <c r="BA33" s="693">
        <v>290.2044492</v>
      </c>
      <c r="BB33" s="693">
        <v>286.51883249999997</v>
      </c>
      <c r="BC33" s="693">
        <v>286.34958599999999</v>
      </c>
      <c r="BD33" s="693">
        <v>286.32385780000004</v>
      </c>
      <c r="BE33" s="693">
        <v>262.26687370000002</v>
      </c>
      <c r="BF33" s="693">
        <v>253.734768</v>
      </c>
      <c r="BG33" s="693">
        <v>248.45501686999998</v>
      </c>
      <c r="BH33" s="693">
        <v>211.85821187000002</v>
      </c>
      <c r="BI33" s="858">
        <v>209.97680084999996</v>
      </c>
      <c r="BJ33" s="874">
        <v>213.89583181</v>
      </c>
      <c r="BK33" s="874">
        <f>+BK25-BK29</f>
        <v>213.83211762000002</v>
      </c>
      <c r="BL33" s="874">
        <v>208.0599823</v>
      </c>
      <c r="BM33" s="874">
        <v>210.11805520000001</v>
      </c>
      <c r="BN33" s="874">
        <v>210.16638243</v>
      </c>
      <c r="BO33" s="874">
        <v>207.15266020000001</v>
      </c>
      <c r="BP33" s="874">
        <v>206.89587743999999</v>
      </c>
      <c r="BQ33" s="874">
        <v>208.98687741000001</v>
      </c>
      <c r="BR33" s="874">
        <v>200.69087721</v>
      </c>
      <c r="BS33" s="874">
        <v>198.94394305</v>
      </c>
      <c r="BT33" s="874">
        <v>189.58030251999998</v>
      </c>
      <c r="BU33" s="874">
        <v>189.58030251999998</v>
      </c>
      <c r="BV33" s="874">
        <v>341.05174747000001</v>
      </c>
      <c r="BW33" s="874">
        <v>369.92906247000002</v>
      </c>
      <c r="BX33" s="874">
        <v>369.18439419999999</v>
      </c>
      <c r="BY33" s="874">
        <v>368.1127103</v>
      </c>
      <c r="BZ33" s="874">
        <v>367.60461220000002</v>
      </c>
      <c r="CA33" s="874">
        <v>366.76820199999997</v>
      </c>
      <c r="CB33" s="874">
        <v>367.80380200000002</v>
      </c>
      <c r="CC33" s="874">
        <v>365.29049193000003</v>
      </c>
      <c r="CD33" s="874">
        <v>335.90634892999998</v>
      </c>
      <c r="CE33" s="874">
        <v>485.02738392999998</v>
      </c>
      <c r="CF33" s="874">
        <v>504.73450493000001</v>
      </c>
      <c r="CG33" s="874">
        <v>576.19676800000002</v>
      </c>
      <c r="CH33" s="874">
        <v>576.74391000000003</v>
      </c>
      <c r="CI33" s="874">
        <v>581.35970466000003</v>
      </c>
      <c r="CJ33" s="874">
        <v>578.38656532000005</v>
      </c>
      <c r="CK33" s="874">
        <v>579.90883982000003</v>
      </c>
      <c r="CL33" s="874">
        <v>579.34804782000003</v>
      </c>
      <c r="CM33" s="874">
        <v>580.53039381999997</v>
      </c>
      <c r="CN33" s="874">
        <v>518.25115847999996</v>
      </c>
      <c r="CO33" s="874">
        <v>513.16748047999999</v>
      </c>
      <c r="CP33" s="874">
        <v>504.51746148000001</v>
      </c>
      <c r="CQ33" s="874">
        <v>490.53659648000001</v>
      </c>
      <c r="CR33" s="874">
        <v>491.02556484000002</v>
      </c>
      <c r="CS33" s="874">
        <v>489.51525297000001</v>
      </c>
      <c r="CT33" s="874">
        <v>490.92362458000002</v>
      </c>
      <c r="CU33" s="874">
        <v>481.20737466000003</v>
      </c>
      <c r="CV33" s="874">
        <v>480.46414748000001</v>
      </c>
      <c r="CW33" s="874">
        <v>478.59446561999999</v>
      </c>
      <c r="CX33" s="874">
        <v>488.05430739000002</v>
      </c>
      <c r="CY33" s="874">
        <v>482.92992100999999</v>
      </c>
      <c r="CZ33" s="874">
        <v>454.90650393999999</v>
      </c>
      <c r="DA33" s="874">
        <v>451.21324844999998</v>
      </c>
      <c r="DB33" s="874">
        <v>450.93663885000001</v>
      </c>
      <c r="DC33" s="874">
        <v>448.48106835999999</v>
      </c>
      <c r="DD33" s="874">
        <v>444.83189020999998</v>
      </c>
      <c r="DE33" s="874">
        <v>435.40695964999998</v>
      </c>
      <c r="DF33" s="874">
        <v>441.06206882999999</v>
      </c>
      <c r="DG33" s="874">
        <v>436.64597216999999</v>
      </c>
      <c r="DH33" s="874">
        <v>419.01252656000003</v>
      </c>
      <c r="DI33" s="874">
        <v>429.50593786000002</v>
      </c>
      <c r="DJ33" s="874">
        <v>422.71409252000001</v>
      </c>
      <c r="DK33" s="874">
        <v>409.03201622</v>
      </c>
      <c r="DL33" s="874">
        <v>379.99784567</v>
      </c>
      <c r="DM33" s="874">
        <v>367.27169323999999</v>
      </c>
      <c r="DN33" s="874">
        <v>351.32298460999999</v>
      </c>
      <c r="DO33" s="874">
        <v>350.42643219000001</v>
      </c>
      <c r="DP33" s="874">
        <v>381.75652014999997</v>
      </c>
      <c r="DQ33" s="874">
        <v>372.32757506000002</v>
      </c>
      <c r="DR33" s="874">
        <v>374.41439821</v>
      </c>
      <c r="DS33" s="874">
        <v>401.77977838999999</v>
      </c>
      <c r="DT33" s="874">
        <v>410.76680809999999</v>
      </c>
      <c r="DU33" s="874">
        <v>417.23164811999999</v>
      </c>
      <c r="DV33" s="874">
        <v>416.03654639000001</v>
      </c>
      <c r="DW33" s="874">
        <v>400.24523683000001</v>
      </c>
      <c r="DX33" s="874">
        <v>378.25942909000003</v>
      </c>
      <c r="DY33" s="874">
        <v>372.01150337000001</v>
      </c>
      <c r="DZ33" s="874">
        <v>356.51230131</v>
      </c>
      <c r="EA33" s="874">
        <v>355.26188716000001</v>
      </c>
      <c r="EB33" s="874">
        <v>354.01868271000001</v>
      </c>
      <c r="EC33" s="874">
        <v>339.21935091</v>
      </c>
      <c r="ED33" s="874">
        <v>316.10843070999999</v>
      </c>
      <c r="EE33" s="874">
        <v>516.94382684000004</v>
      </c>
      <c r="EF33" s="874">
        <v>476.79882574999999</v>
      </c>
      <c r="EG33" s="874">
        <v>368.18158082999997</v>
      </c>
      <c r="EH33" s="874">
        <v>408.55311827999998</v>
      </c>
      <c r="EI33" s="874">
        <v>408.88469823999998</v>
      </c>
      <c r="EJ33" s="874">
        <v>406.47606948999999</v>
      </c>
      <c r="EK33" s="874">
        <v>404.66049579999998</v>
      </c>
      <c r="EL33" s="874">
        <v>407.24774131999999</v>
      </c>
      <c r="EM33" s="874">
        <v>412.74318099999999</v>
      </c>
      <c r="EN33" s="874">
        <v>487.00601799999998</v>
      </c>
      <c r="EO33" s="874">
        <v>440.19941761000001</v>
      </c>
      <c r="EP33" s="874">
        <v>394.87269465000003</v>
      </c>
      <c r="EQ33" s="874">
        <v>408.73287629999999</v>
      </c>
      <c r="ER33" s="874">
        <v>370.48875244999999</v>
      </c>
      <c r="ES33" s="874">
        <v>357.9224413</v>
      </c>
      <c r="ET33" s="874">
        <v>356.52598724000001</v>
      </c>
      <c r="EU33" s="874">
        <v>353.47912523000002</v>
      </c>
      <c r="EV33" s="1922" t="s">
        <v>4087</v>
      </c>
    </row>
    <row r="34" spans="1:152" ht="21">
      <c r="A34" s="1953" t="s">
        <v>1974</v>
      </c>
      <c r="B34" s="863">
        <v>0</v>
      </c>
      <c r="C34" s="694">
        <v>6.6098907899999997</v>
      </c>
      <c r="D34" s="694">
        <v>6.4509714599999999</v>
      </c>
      <c r="E34" s="694">
        <v>6.5842586399999998</v>
      </c>
      <c r="F34" s="694">
        <v>6.5541408700000003</v>
      </c>
      <c r="G34" s="694">
        <v>6.5695201599999997</v>
      </c>
      <c r="H34" s="694">
        <v>5.92330516</v>
      </c>
      <c r="I34" s="694">
        <v>5.9159003200000004</v>
      </c>
      <c r="J34" s="694">
        <v>6.0338082100000001</v>
      </c>
      <c r="K34" s="694">
        <v>6.1255143499999996</v>
      </c>
      <c r="L34" s="694">
        <v>6.0827940999999992</v>
      </c>
      <c r="M34" s="695">
        <v>6.1403240400000003</v>
      </c>
      <c r="N34" s="695">
        <v>5.2955310799999999</v>
      </c>
      <c r="O34" s="695">
        <v>5.3553394299999999</v>
      </c>
      <c r="P34" s="695">
        <v>5.3737803399999997</v>
      </c>
      <c r="Q34" s="695">
        <v>5.3972052699999997</v>
      </c>
      <c r="R34" s="695">
        <v>5.3194544199999996</v>
      </c>
      <c r="S34" s="695">
        <v>5.3334096999999998</v>
      </c>
      <c r="T34" s="695">
        <v>4.4881895400000005</v>
      </c>
      <c r="U34" s="695">
        <v>4.4155651100000002</v>
      </c>
      <c r="V34" s="695">
        <v>4.2528009600000001</v>
      </c>
      <c r="W34" s="695">
        <v>4.2173431500000005</v>
      </c>
      <c r="X34" s="695">
        <v>4.2173431500000005</v>
      </c>
      <c r="Y34" s="695">
        <v>4.0678222699999997</v>
      </c>
      <c r="Z34" s="695">
        <v>4.0678222699999997</v>
      </c>
      <c r="AA34" s="695">
        <v>43.952234560000001</v>
      </c>
      <c r="AB34" s="695">
        <v>58.780100590000004</v>
      </c>
      <c r="AC34" s="695">
        <v>58.587573140000003</v>
      </c>
      <c r="AD34" s="695">
        <v>58.713182310000001</v>
      </c>
      <c r="AE34" s="695">
        <v>58.696418549999997</v>
      </c>
      <c r="AF34" s="695">
        <v>58.721504830000001</v>
      </c>
      <c r="AG34" s="695">
        <v>57.877611219999999</v>
      </c>
      <c r="AH34" s="695">
        <v>57.88529106</v>
      </c>
      <c r="AI34" s="695">
        <v>57.886999869999997</v>
      </c>
      <c r="AJ34" s="695">
        <v>57.870901240000002</v>
      </c>
      <c r="AK34" s="695">
        <v>57.858799259999998</v>
      </c>
      <c r="AL34" s="695">
        <v>85.980481799999993</v>
      </c>
      <c r="AM34" s="695">
        <v>86.978553919999996</v>
      </c>
      <c r="AN34" s="695">
        <v>85.062426250000001</v>
      </c>
      <c r="AO34" s="695">
        <v>83.917182670000003</v>
      </c>
      <c r="AP34" s="695">
        <v>82.042787919999995</v>
      </c>
      <c r="AQ34" s="695">
        <v>81.056553600000001</v>
      </c>
      <c r="AR34" s="695">
        <v>83.699245410000003</v>
      </c>
      <c r="AS34" s="695">
        <v>82.425200000000004</v>
      </c>
      <c r="AT34" s="695">
        <v>84.869200000000006</v>
      </c>
      <c r="AU34" s="695">
        <f>AU26-AU30</f>
        <v>84.297200000000004</v>
      </c>
      <c r="AV34" s="695">
        <v>85.18119999999999</v>
      </c>
      <c r="AW34" s="695">
        <v>90.053600000000017</v>
      </c>
      <c r="AX34" s="695">
        <v>297.4776</v>
      </c>
      <c r="AY34" s="695">
        <v>321.97199999999998</v>
      </c>
      <c r="AZ34" s="695">
        <v>293.58</v>
      </c>
      <c r="BA34" s="695">
        <v>289.69920000000002</v>
      </c>
      <c r="BB34" s="695">
        <v>286.02</v>
      </c>
      <c r="BC34" s="695">
        <v>285.93599999999998</v>
      </c>
      <c r="BD34" s="695">
        <v>285.95280000000002</v>
      </c>
      <c r="BE34" s="695">
        <v>261.93860000000001</v>
      </c>
      <c r="BF34" s="695">
        <v>253.44900000000001</v>
      </c>
      <c r="BG34" s="695">
        <v>247.37909999999999</v>
      </c>
      <c r="BH34" s="695">
        <v>210.82480000000001</v>
      </c>
      <c r="BI34" s="859">
        <v>208.26224999999999</v>
      </c>
      <c r="BJ34" s="875">
        <v>208.66177350000001</v>
      </c>
      <c r="BK34" s="875">
        <f>+BK26-BK30</f>
        <v>208.66177350000001</v>
      </c>
      <c r="BL34" s="875">
        <v>202.7114235</v>
      </c>
      <c r="BM34" s="875">
        <v>202.6995</v>
      </c>
      <c r="BN34" s="875">
        <v>202.6995</v>
      </c>
      <c r="BO34" s="875">
        <v>202.6995</v>
      </c>
      <c r="BP34" s="875">
        <v>202.6995</v>
      </c>
      <c r="BQ34" s="875">
        <v>199.29949999999999</v>
      </c>
      <c r="BR34" s="875">
        <v>190.79949999999999</v>
      </c>
      <c r="BS34" s="875">
        <v>189.09950000000001</v>
      </c>
      <c r="BT34" s="875">
        <v>178.89949999999999</v>
      </c>
      <c r="BU34" s="875">
        <v>178.89949999999999</v>
      </c>
      <c r="BV34" s="875">
        <v>308.9495</v>
      </c>
      <c r="BW34" s="875">
        <v>308.9495</v>
      </c>
      <c r="BX34" s="875">
        <v>308.9495</v>
      </c>
      <c r="BY34" s="875">
        <v>308.9495</v>
      </c>
      <c r="BZ34" s="875">
        <v>308.9495</v>
      </c>
      <c r="CA34" s="875">
        <v>308.9495</v>
      </c>
      <c r="CB34" s="875">
        <v>308.9495</v>
      </c>
      <c r="CC34" s="875">
        <v>307.24950000000001</v>
      </c>
      <c r="CD34" s="875">
        <v>278.34949999999998</v>
      </c>
      <c r="CE34" s="875">
        <v>427.9495</v>
      </c>
      <c r="CF34" s="875">
        <v>412.64949999999999</v>
      </c>
      <c r="CG34" s="875">
        <v>501.04950000000002</v>
      </c>
      <c r="CH34" s="875">
        <v>501.04950000000002</v>
      </c>
      <c r="CI34" s="875">
        <v>495.55</v>
      </c>
      <c r="CJ34" s="875">
        <v>495.55</v>
      </c>
      <c r="CK34" s="875">
        <v>495.55</v>
      </c>
      <c r="CL34" s="875">
        <v>495.55</v>
      </c>
      <c r="CM34" s="875">
        <v>495.55</v>
      </c>
      <c r="CN34" s="875">
        <v>435.2</v>
      </c>
      <c r="CO34" s="875">
        <v>426.7</v>
      </c>
      <c r="CP34" s="875">
        <v>418.2</v>
      </c>
      <c r="CQ34" s="875">
        <v>266.05</v>
      </c>
      <c r="CR34" s="875">
        <v>396.1</v>
      </c>
      <c r="CS34" s="875">
        <v>396.1</v>
      </c>
      <c r="CT34" s="875">
        <v>396.1</v>
      </c>
      <c r="CU34" s="875">
        <v>396.1</v>
      </c>
      <c r="CV34" s="875">
        <v>396.1</v>
      </c>
      <c r="CW34" s="875">
        <v>396.1</v>
      </c>
      <c r="CX34" s="875">
        <v>396.1</v>
      </c>
      <c r="CY34" s="875">
        <v>396.1</v>
      </c>
      <c r="CZ34" s="875">
        <v>374.42500000000001</v>
      </c>
      <c r="DA34" s="875">
        <v>374.42500000000001</v>
      </c>
      <c r="DB34" s="875">
        <v>374.42500000000001</v>
      </c>
      <c r="DC34" s="875">
        <v>374.42500000000001</v>
      </c>
      <c r="DD34" s="875">
        <v>374.42500000000001</v>
      </c>
      <c r="DE34" s="875">
        <v>374.42500000000001</v>
      </c>
      <c r="DF34" s="875">
        <v>352.75</v>
      </c>
      <c r="DG34" s="875">
        <v>352.75</v>
      </c>
      <c r="DH34" s="875">
        <v>337.45</v>
      </c>
      <c r="DI34" s="875">
        <v>337.45</v>
      </c>
      <c r="DJ34" s="875">
        <v>337.45</v>
      </c>
      <c r="DK34" s="875">
        <v>322.71666668</v>
      </c>
      <c r="DL34" s="875">
        <v>301.04166667999999</v>
      </c>
      <c r="DM34" s="875">
        <v>301.04166667999999</v>
      </c>
      <c r="DN34" s="875">
        <v>285.74166667999998</v>
      </c>
      <c r="DO34" s="875">
        <v>285.74166667999998</v>
      </c>
      <c r="DP34" s="875">
        <v>314.38003667999999</v>
      </c>
      <c r="DQ34" s="875">
        <v>295.65833335999997</v>
      </c>
      <c r="DR34" s="875">
        <v>293.81383335999999</v>
      </c>
      <c r="DS34" s="875">
        <v>320.80922986000002</v>
      </c>
      <c r="DT34" s="875">
        <v>327.67977816000001</v>
      </c>
      <c r="DU34" s="875">
        <v>332.57860016000001</v>
      </c>
      <c r="DV34" s="875">
        <v>332.57860016000001</v>
      </c>
      <c r="DW34" s="875">
        <v>317.84526683000001</v>
      </c>
      <c r="DX34" s="875">
        <v>296.17026683</v>
      </c>
      <c r="DY34" s="875">
        <v>296.17026683</v>
      </c>
      <c r="DZ34" s="875">
        <v>280.87026682999999</v>
      </c>
      <c r="EA34" s="875">
        <v>280.87026682999999</v>
      </c>
      <c r="EB34" s="875">
        <v>280.87026682999999</v>
      </c>
      <c r="EC34" s="875">
        <v>266.13693351000001</v>
      </c>
      <c r="ED34" s="875">
        <v>244.46193350999999</v>
      </c>
      <c r="EE34" s="875">
        <v>447.86693351000002</v>
      </c>
      <c r="EF34" s="875">
        <v>407.91693350999998</v>
      </c>
      <c r="EG34" s="875">
        <v>301.95026680000001</v>
      </c>
      <c r="EH34" s="875">
        <v>301.95026680000001</v>
      </c>
      <c r="EI34" s="875">
        <v>301.95026680000001</v>
      </c>
      <c r="EJ34" s="875">
        <v>301.95026680000001</v>
      </c>
      <c r="EK34" s="875">
        <v>301.95026680000001</v>
      </c>
      <c r="EL34" s="875">
        <v>301.95026680000001</v>
      </c>
      <c r="EM34" s="875">
        <v>295.88445653000002</v>
      </c>
      <c r="EN34" s="875">
        <v>364.23738477000001</v>
      </c>
      <c r="EO34" s="875">
        <v>318.90405138</v>
      </c>
      <c r="EP34" s="875">
        <v>279.79805455000002</v>
      </c>
      <c r="EQ34" s="875">
        <v>296.40705455</v>
      </c>
      <c r="ER34" s="875">
        <v>258.39999999999998</v>
      </c>
      <c r="ES34" s="875">
        <v>245.11875000000001</v>
      </c>
      <c r="ET34" s="875">
        <v>245.11875000000001</v>
      </c>
      <c r="EU34" s="875">
        <v>245.11875000000001</v>
      </c>
      <c r="EV34" s="1924" t="s">
        <v>4086</v>
      </c>
    </row>
    <row r="35" spans="1:152" ht="21">
      <c r="A35" s="1955" t="s">
        <v>1975</v>
      </c>
      <c r="B35" s="864">
        <f t="shared" ref="B35:V35" si="13">+B33-B34</f>
        <v>0.30148459999999999</v>
      </c>
      <c r="C35" s="700">
        <f t="shared" si="13"/>
        <v>0.24988031999999993</v>
      </c>
      <c r="D35" s="700">
        <f t="shared" si="13"/>
        <v>0.23481215999999971</v>
      </c>
      <c r="E35" s="700">
        <f t="shared" si="13"/>
        <v>0.21576500000000021</v>
      </c>
      <c r="F35" s="700">
        <f t="shared" si="13"/>
        <v>0.18830399999999958</v>
      </c>
      <c r="G35" s="700">
        <f t="shared" si="13"/>
        <v>0.27535950000000042</v>
      </c>
      <c r="H35" s="700">
        <f t="shared" si="13"/>
        <v>0.26594549999999995</v>
      </c>
      <c r="I35" s="700">
        <f t="shared" si="13"/>
        <v>0.26591159999999991</v>
      </c>
      <c r="J35" s="700">
        <f t="shared" si="13"/>
        <v>0.26594549999999995</v>
      </c>
      <c r="K35" s="700">
        <f t="shared" si="13"/>
        <v>0.24005700000000019</v>
      </c>
      <c r="L35" s="700">
        <f t="shared" si="13"/>
        <v>0.21257239999999999</v>
      </c>
      <c r="M35" s="696">
        <f t="shared" si="13"/>
        <v>0.23221199999999964</v>
      </c>
      <c r="N35" s="698">
        <f t="shared" si="13"/>
        <v>0.2321232000000002</v>
      </c>
      <c r="O35" s="698">
        <f t="shared" si="13"/>
        <v>0.22433839999999972</v>
      </c>
      <c r="P35" s="698">
        <f t="shared" si="13"/>
        <v>0.59685230000000011</v>
      </c>
      <c r="Q35" s="698">
        <f t="shared" si="13"/>
        <v>0.58057807999999955</v>
      </c>
      <c r="R35" s="698">
        <f t="shared" si="13"/>
        <v>0.56437580000000054</v>
      </c>
      <c r="S35" s="698">
        <f t="shared" si="13"/>
        <v>0.53626513000000031</v>
      </c>
      <c r="T35" s="698">
        <f t="shared" si="13"/>
        <v>1.1872591999999997</v>
      </c>
      <c r="U35" s="698">
        <f t="shared" si="13"/>
        <v>1.2691984199999995</v>
      </c>
      <c r="V35" s="698">
        <f t="shared" si="13"/>
        <v>1.2675903999999996</v>
      </c>
      <c r="W35" s="698">
        <v>1.2550400000000002</v>
      </c>
      <c r="X35" s="698">
        <v>1.1959245299999992</v>
      </c>
      <c r="Y35" s="696">
        <v>1.22862925</v>
      </c>
      <c r="Z35" s="698">
        <v>1.22862925</v>
      </c>
      <c r="AA35" s="698">
        <v>1.2355406000000002</v>
      </c>
      <c r="AB35" s="696">
        <v>1.6535830199999992</v>
      </c>
      <c r="AC35" s="696">
        <v>1.6515353400000023</v>
      </c>
      <c r="AD35" s="696">
        <v>1.6426742499999989</v>
      </c>
      <c r="AE35" s="696">
        <v>1.6345884699999971</v>
      </c>
      <c r="AF35" s="696">
        <v>1.6237024400000024</v>
      </c>
      <c r="AG35" s="696">
        <v>1.4397704499999975</v>
      </c>
      <c r="AH35" s="696">
        <v>1.428542659999998</v>
      </c>
      <c r="AI35" s="696">
        <f>+AI33-AI34</f>
        <v>1.2481384199999965</v>
      </c>
      <c r="AJ35" s="696">
        <v>1.0574916400000021</v>
      </c>
      <c r="AK35" s="696">
        <f>+AK33-AK34</f>
        <v>1.0436384799999985</v>
      </c>
      <c r="AL35" s="696">
        <f>+AL33-AL34</f>
        <v>1.5247918799999951</v>
      </c>
      <c r="AM35" s="696">
        <v>1.5412610799999982</v>
      </c>
      <c r="AN35" s="696">
        <f>+AN33-AN34</f>
        <v>1.4837914999999953</v>
      </c>
      <c r="AO35" s="696">
        <f>+AO33-AO34</f>
        <v>1.4616128199999991</v>
      </c>
      <c r="AP35" s="696">
        <f>+AP33-AP34</f>
        <v>1.5913119599999987</v>
      </c>
      <c r="AQ35" s="696">
        <f>+AQ33-AQ34</f>
        <v>1.5737855699999983</v>
      </c>
      <c r="AR35" s="696">
        <v>1.5798966400000012</v>
      </c>
      <c r="AS35" s="696">
        <f>+AS33-AS34</f>
        <v>1.5800384100000002</v>
      </c>
      <c r="AT35" s="696">
        <f>+AT33-AT34</f>
        <v>1.5787413799999968</v>
      </c>
      <c r="AU35" s="696">
        <f>AU27-AU31</f>
        <v>1.5202785500000697</v>
      </c>
      <c r="AV35" s="696">
        <v>1.4878973200000036</v>
      </c>
      <c r="AW35" s="696">
        <v>202.44102405999988</v>
      </c>
      <c r="AX35" s="696">
        <v>1.4888165500000259</v>
      </c>
      <c r="AY35" s="696">
        <v>1.5922411700000629</v>
      </c>
      <c r="AZ35" s="696">
        <v>0.57317999999997937</v>
      </c>
      <c r="BA35" s="696">
        <v>0.50524919999998019</v>
      </c>
      <c r="BB35" s="696">
        <v>0.4988324999999918</v>
      </c>
      <c r="BC35" s="696">
        <v>0.41358600000000934</v>
      </c>
      <c r="BD35" s="696">
        <v>0.37105780000001687</v>
      </c>
      <c r="BE35" s="696">
        <f>+BE33-BE34</f>
        <v>0.3282737000000111</v>
      </c>
      <c r="BF35" s="696">
        <v>0.28576799999999025</v>
      </c>
      <c r="BG35" s="696">
        <v>1.0759168699999861</v>
      </c>
      <c r="BH35" s="696">
        <v>1.033411870000009</v>
      </c>
      <c r="BI35" s="860">
        <v>1.7145508499999664</v>
      </c>
      <c r="BJ35" s="877">
        <v>5.2340583099999947</v>
      </c>
      <c r="BK35" s="877">
        <f>+BK33-BK34</f>
        <v>5.17034412000001</v>
      </c>
      <c r="BL35" s="877">
        <v>5.3485588000000064</v>
      </c>
      <c r="BM35" s="877">
        <v>7.4185552000000143</v>
      </c>
      <c r="BN35" s="877">
        <v>7.4668824299999983</v>
      </c>
      <c r="BO35" s="877">
        <v>4.4531602000000134</v>
      </c>
      <c r="BP35" s="877">
        <v>4.196377439999992</v>
      </c>
      <c r="BQ35" s="877">
        <v>9.6873774100000105</v>
      </c>
      <c r="BR35" s="877">
        <v>9.8913772100000017</v>
      </c>
      <c r="BS35" s="877">
        <v>9.8444430499999953</v>
      </c>
      <c r="BT35" s="877">
        <v>10.680802519999986</v>
      </c>
      <c r="BU35" s="877">
        <v>10.680802519999986</v>
      </c>
      <c r="BV35" s="877">
        <v>32.102247470000009</v>
      </c>
      <c r="BW35" s="877">
        <v>60.979562470000019</v>
      </c>
      <c r="BX35" s="877">
        <v>60.234894199999985</v>
      </c>
      <c r="BY35" s="877">
        <v>59.163210300000003</v>
      </c>
      <c r="BZ35" s="877">
        <v>58.655112200000019</v>
      </c>
      <c r="CA35" s="877">
        <v>57.818701999999973</v>
      </c>
      <c r="CB35" s="877">
        <v>58.854302000000018</v>
      </c>
      <c r="CC35" s="877">
        <v>58.040991930000018</v>
      </c>
      <c r="CD35" s="877">
        <v>57.556848930000001</v>
      </c>
      <c r="CE35" s="877">
        <v>57.077883929999985</v>
      </c>
      <c r="CF35" s="877">
        <f t="shared" ref="CF35:CP35" si="14">+CF33-CF34</f>
        <v>92.085004930000025</v>
      </c>
      <c r="CG35" s="877">
        <f t="shared" si="14"/>
        <v>75.147267999999997</v>
      </c>
      <c r="CH35" s="877">
        <f t="shared" si="14"/>
        <v>75.694410000000005</v>
      </c>
      <c r="CI35" s="877">
        <f t="shared" si="14"/>
        <v>85.809704660000023</v>
      </c>
      <c r="CJ35" s="877">
        <f t="shared" si="14"/>
        <v>82.836565320000034</v>
      </c>
      <c r="CK35" s="877">
        <f t="shared" si="14"/>
        <v>84.358839820000014</v>
      </c>
      <c r="CL35" s="877">
        <f t="shared" si="14"/>
        <v>83.798047820000022</v>
      </c>
      <c r="CM35" s="877">
        <f t="shared" si="14"/>
        <v>84.980393819999961</v>
      </c>
      <c r="CN35" s="877">
        <f t="shared" si="14"/>
        <v>83.05115847999997</v>
      </c>
      <c r="CO35" s="877">
        <f t="shared" si="14"/>
        <v>86.467480480000006</v>
      </c>
      <c r="CP35" s="877">
        <f t="shared" si="14"/>
        <v>86.31746148000002</v>
      </c>
      <c r="CQ35" s="877">
        <f>+CQ33-CQ34</f>
        <v>224.48659648</v>
      </c>
      <c r="CR35" s="877">
        <f>+CR33-CR34</f>
        <v>94.925564839999993</v>
      </c>
      <c r="CS35" s="877">
        <f>+CS33-CS34</f>
        <v>93.415252969999983</v>
      </c>
      <c r="CT35" s="877">
        <f>+CT33-CT34</f>
        <v>94.823624580000001</v>
      </c>
      <c r="CU35" s="877">
        <v>85.107374660000005</v>
      </c>
      <c r="CV35" s="877">
        <f>+CV33-CV34</f>
        <v>84.364147479999986</v>
      </c>
      <c r="CW35" s="877">
        <v>82.494465619999971</v>
      </c>
      <c r="CX35" s="877">
        <v>91.954307389999997</v>
      </c>
      <c r="CY35" s="877">
        <v>86.829921009999964</v>
      </c>
      <c r="CZ35" s="877">
        <v>80.481503939999982</v>
      </c>
      <c r="DA35" s="877">
        <v>76.788248449999969</v>
      </c>
      <c r="DB35" s="877">
        <v>76.511638849999997</v>
      </c>
      <c r="DC35" s="877">
        <v>74.056068359999983</v>
      </c>
      <c r="DD35" s="877">
        <f>DD33-DD34</f>
        <v>70.406890209999972</v>
      </c>
      <c r="DE35" s="877">
        <v>60.981959649999965</v>
      </c>
      <c r="DF35" s="877">
        <v>88.312068829999987</v>
      </c>
      <c r="DG35" s="877">
        <v>83.895972169999993</v>
      </c>
      <c r="DH35" s="877">
        <f>DH33-DH34</f>
        <v>81.562526560000038</v>
      </c>
      <c r="DI35" s="877">
        <v>92.055937860000029</v>
      </c>
      <c r="DJ35" s="877">
        <f>DJ33-DJ34</f>
        <v>85.26409252000002</v>
      </c>
      <c r="DK35" s="877">
        <v>86.31534954</v>
      </c>
      <c r="DL35" s="877">
        <v>78.956178990000012</v>
      </c>
      <c r="DM35" s="877">
        <v>66.230026559999999</v>
      </c>
      <c r="DN35" s="877">
        <v>65.581317930000012</v>
      </c>
      <c r="DO35" s="877">
        <f>DO33-DO34</f>
        <v>64.684765510000034</v>
      </c>
      <c r="DP35" s="877">
        <f>DP33-DP34</f>
        <v>67.376483469999982</v>
      </c>
      <c r="DQ35" s="877">
        <v>76.669241700000043</v>
      </c>
      <c r="DR35" s="877">
        <f>DR33-DR34</f>
        <v>80.600564850000012</v>
      </c>
      <c r="DS35" s="877">
        <f>DS33-DS34</f>
        <v>80.970548529999974</v>
      </c>
      <c r="DT35" s="877">
        <v>83.087029939999979</v>
      </c>
      <c r="DU35" s="877">
        <v>84.653047959999981</v>
      </c>
      <c r="DV35" s="877">
        <f>DV33-DV34</f>
        <v>83.457946230000005</v>
      </c>
      <c r="DW35" s="877">
        <f>DW33-DW34</f>
        <v>82.399969999999996</v>
      </c>
      <c r="DX35" s="877">
        <v>82.089162260000023</v>
      </c>
      <c r="DY35" s="877">
        <v>75.841236540000011</v>
      </c>
      <c r="DZ35" s="877">
        <f>DZ33-DZ34</f>
        <v>75.642034480000007</v>
      </c>
      <c r="EA35" s="877">
        <f>EA33-EA34</f>
        <v>74.391620330000023</v>
      </c>
      <c r="EB35" s="877">
        <v>73.148415880000016</v>
      </c>
      <c r="EC35" s="877">
        <v>73.082417399999997</v>
      </c>
      <c r="ED35" s="877">
        <f>ED33-ED34</f>
        <v>71.646497199999999</v>
      </c>
      <c r="EE35" s="877">
        <v>69.076893330000019</v>
      </c>
      <c r="EF35" s="877">
        <v>68.881892240000013</v>
      </c>
      <c r="EG35" s="877">
        <v>66.231314029999965</v>
      </c>
      <c r="EH35" s="877">
        <v>106.60285147999997</v>
      </c>
      <c r="EI35" s="877">
        <v>106.93443143999997</v>
      </c>
      <c r="EJ35" s="877">
        <v>104.52580268999998</v>
      </c>
      <c r="EK35" s="877">
        <f>EK33-EK34</f>
        <v>102.71022899999997</v>
      </c>
      <c r="EL35" s="875">
        <v>105.29747451999998</v>
      </c>
      <c r="EM35" s="875">
        <v>116.85872446999997</v>
      </c>
      <c r="EN35" s="875">
        <v>122.76863322999998</v>
      </c>
      <c r="EO35" s="875">
        <f>EO33-EO34</f>
        <v>121.29536623000001</v>
      </c>
      <c r="EP35" s="875">
        <v>115.07464010000001</v>
      </c>
      <c r="EQ35" s="875">
        <v>112.32582174999999</v>
      </c>
      <c r="ER35" s="875">
        <v>112.08875245000002</v>
      </c>
      <c r="ES35" s="875">
        <v>112.8036913</v>
      </c>
      <c r="ET35" s="875">
        <v>111.40723724</v>
      </c>
      <c r="EU35" s="875">
        <f>EU33-EU34</f>
        <v>108.36037523000002</v>
      </c>
      <c r="EV35" s="1925" t="s">
        <v>4085</v>
      </c>
    </row>
    <row r="36" spans="1:152" s="792" customFormat="1" ht="39" customHeight="1">
      <c r="A36" s="2479" t="s">
        <v>3295</v>
      </c>
      <c r="B36" s="2479"/>
      <c r="C36" s="2479"/>
      <c r="D36" s="2479"/>
      <c r="E36" s="2479"/>
      <c r="F36" s="2479"/>
      <c r="G36" s="2479"/>
      <c r="H36" s="2479"/>
      <c r="I36" s="2479"/>
      <c r="J36" s="2479"/>
      <c r="K36" s="2479"/>
      <c r="L36" s="2479"/>
      <c r="M36" s="2479"/>
      <c r="N36" s="2479"/>
      <c r="O36" s="2479"/>
      <c r="P36" s="2479"/>
      <c r="Q36" s="2479"/>
      <c r="R36" s="2479"/>
      <c r="S36" s="2479"/>
      <c r="T36" s="2479"/>
      <c r="U36" s="2479"/>
      <c r="V36" s="2479"/>
      <c r="W36" s="2479"/>
      <c r="X36" s="2479"/>
      <c r="Y36" s="2479"/>
      <c r="Z36" s="2479"/>
      <c r="AA36" s="2479"/>
      <c r="AB36" s="2479"/>
      <c r="AC36" s="2479"/>
      <c r="AD36" s="2479"/>
      <c r="AE36" s="2479"/>
      <c r="AF36" s="2479"/>
      <c r="AG36" s="2479"/>
      <c r="AH36" s="2479"/>
      <c r="AI36" s="2479"/>
      <c r="AJ36" s="2479"/>
      <c r="AK36" s="2479"/>
      <c r="AL36" s="2479"/>
      <c r="AM36" s="2479"/>
      <c r="AN36" s="2479"/>
      <c r="AO36" s="2479"/>
      <c r="AP36" s="2479"/>
      <c r="AQ36" s="2479"/>
      <c r="AR36" s="2479"/>
      <c r="AS36" s="2479"/>
      <c r="AT36" s="2479"/>
      <c r="AU36" s="2479"/>
      <c r="AV36" s="2479"/>
      <c r="AW36" s="2479"/>
      <c r="AX36" s="2479"/>
      <c r="AY36" s="2479"/>
      <c r="AZ36" s="2479"/>
      <c r="BA36" s="2479"/>
      <c r="BB36" s="2479"/>
      <c r="BC36" s="2479"/>
      <c r="BD36" s="2479"/>
      <c r="BE36" s="2479"/>
      <c r="BF36" s="2479"/>
      <c r="BG36" s="2479"/>
      <c r="BH36" s="2479"/>
      <c r="BI36" s="2479"/>
      <c r="BJ36" s="2479"/>
      <c r="BK36" s="2479"/>
      <c r="BL36" s="2479"/>
      <c r="BM36" s="2479"/>
      <c r="BN36" s="2479"/>
      <c r="BO36" s="2479"/>
      <c r="BP36" s="2479"/>
      <c r="BQ36" s="2479"/>
      <c r="BR36" s="2479"/>
      <c r="BS36" s="2479"/>
      <c r="BT36" s="2479"/>
      <c r="BU36" s="2479"/>
      <c r="BV36" s="2479"/>
      <c r="BW36" s="2479"/>
      <c r="BX36" s="2479"/>
      <c r="BY36" s="2479"/>
      <c r="BZ36" s="2479"/>
      <c r="CA36" s="2479"/>
      <c r="CB36" s="2479"/>
      <c r="CC36" s="2479"/>
      <c r="CD36" s="2479"/>
      <c r="CE36" s="2479"/>
      <c r="CF36" s="2479"/>
      <c r="CG36" s="2479"/>
      <c r="CH36" s="2479"/>
      <c r="CI36" s="2479"/>
      <c r="CJ36" s="2479"/>
      <c r="CK36" s="2479"/>
      <c r="CL36" s="2479"/>
      <c r="CM36" s="2479"/>
      <c r="CN36" s="2479"/>
      <c r="CO36" s="2479"/>
      <c r="CP36" s="2479"/>
      <c r="CQ36" s="2479"/>
      <c r="CR36" s="2479"/>
      <c r="CS36" s="2479"/>
      <c r="CT36" s="2479"/>
      <c r="CU36" s="2479"/>
      <c r="CV36" s="2479"/>
      <c r="CW36" s="2479"/>
      <c r="CX36" s="2479"/>
      <c r="CY36" s="2479"/>
      <c r="CZ36" s="2479"/>
      <c r="DA36" s="2479"/>
      <c r="DB36" s="2479"/>
      <c r="DC36" s="2479"/>
      <c r="DD36" s="2479"/>
      <c r="DE36" s="2479"/>
      <c r="DF36" s="2479"/>
      <c r="DG36" s="2479"/>
      <c r="DH36" s="2479"/>
      <c r="DI36" s="2479"/>
      <c r="DJ36" s="2479"/>
      <c r="DK36" s="2479"/>
      <c r="DL36" s="2479"/>
      <c r="DM36" s="2479"/>
      <c r="DN36" s="2479"/>
      <c r="DO36" s="2479"/>
      <c r="DP36" s="2479"/>
      <c r="DQ36" s="2479"/>
      <c r="DR36" s="2479"/>
      <c r="DS36" s="2479"/>
      <c r="DT36" s="2479"/>
      <c r="DU36" s="2479"/>
      <c r="DV36" s="2479"/>
      <c r="DW36" s="2479"/>
      <c r="DX36" s="2479"/>
      <c r="DY36" s="2479"/>
      <c r="DZ36" s="2479"/>
      <c r="EA36" s="2479"/>
      <c r="EB36" s="2480"/>
      <c r="EC36" s="2480"/>
      <c r="ED36" s="2480"/>
      <c r="EE36" s="2480"/>
      <c r="EF36" s="2480"/>
      <c r="EG36" s="2480"/>
      <c r="EH36" s="2480"/>
      <c r="EI36" s="2480"/>
      <c r="EJ36" s="2480"/>
      <c r="EK36" s="2480"/>
      <c r="EL36" s="2480"/>
      <c r="EM36" s="2480"/>
      <c r="EN36" s="2480"/>
      <c r="EO36" s="2480"/>
      <c r="EP36" s="2480"/>
      <c r="EQ36" s="2480"/>
      <c r="ER36" s="2480"/>
      <c r="ES36" s="2480"/>
      <c r="ET36" s="2480"/>
      <c r="EU36" s="2479"/>
    </row>
    <row r="37" spans="1:152" ht="18">
      <c r="A37" s="817"/>
      <c r="B37" s="285"/>
      <c r="C37" s="285"/>
      <c r="D37" s="285"/>
      <c r="E37" s="285"/>
      <c r="F37" s="285"/>
      <c r="G37" s="285"/>
      <c r="H37" s="285"/>
      <c r="I37" s="285"/>
      <c r="J37" s="285"/>
      <c r="K37" s="285"/>
      <c r="L37" s="285"/>
      <c r="M37" s="285"/>
      <c r="N37" s="285"/>
      <c r="O37" s="285"/>
      <c r="P37" s="285"/>
      <c r="Q37" s="285"/>
      <c r="R37" s="285"/>
      <c r="S37" s="285"/>
      <c r="T37" s="285"/>
      <c r="U37" s="285"/>
      <c r="V37" s="285"/>
      <c r="W37" s="285"/>
      <c r="X37" s="285"/>
      <c r="Y37" s="285"/>
      <c r="Z37" s="285"/>
      <c r="AA37" s="285"/>
      <c r="AB37" s="285"/>
      <c r="AC37" s="285"/>
      <c r="AD37" s="285"/>
      <c r="AE37" s="285"/>
      <c r="AF37" s="285"/>
      <c r="AG37" s="285"/>
      <c r="AH37" s="285"/>
      <c r="AI37" s="285"/>
      <c r="AJ37" s="285"/>
      <c r="AK37" s="285"/>
      <c r="AL37" s="285"/>
      <c r="AM37" s="285"/>
      <c r="AN37" s="285"/>
      <c r="AO37" s="285"/>
      <c r="AP37" s="285"/>
      <c r="AQ37" s="285"/>
      <c r="AR37" s="285"/>
      <c r="AS37" s="285"/>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row>
    <row r="38" spans="1:152" ht="18">
      <c r="A38" s="818"/>
      <c r="B38" s="286"/>
      <c r="C38" s="286"/>
      <c r="D38" s="286"/>
      <c r="E38" s="286"/>
      <c r="F38" s="286"/>
      <c r="G38" s="286"/>
      <c r="H38" s="286"/>
      <c r="I38" s="286"/>
      <c r="J38" s="286"/>
      <c r="K38" s="286"/>
      <c r="L38" s="286"/>
      <c r="M38" s="286"/>
      <c r="N38" s="286"/>
      <c r="O38" s="286"/>
      <c r="P38" s="286"/>
      <c r="Q38" s="286"/>
      <c r="R38" s="286"/>
      <c r="S38" s="286"/>
      <c r="T38" s="286"/>
      <c r="U38" s="286"/>
      <c r="V38" s="286"/>
      <c r="W38" s="286"/>
      <c r="X38" s="286"/>
      <c r="Y38" s="286"/>
      <c r="Z38" s="286"/>
      <c r="AA38" s="286"/>
      <c r="AB38" s="286"/>
      <c r="AC38" s="286"/>
      <c r="AD38" s="286"/>
      <c r="AE38" s="286"/>
      <c r="AF38" s="286"/>
      <c r="AG38" s="286"/>
      <c r="AH38" s="286"/>
      <c r="AI38" s="286"/>
      <c r="AJ38" s="286"/>
      <c r="AK38" s="286"/>
      <c r="AL38" s="286"/>
      <c r="AM38" s="286"/>
      <c r="AN38" s="286"/>
      <c r="AO38" s="286"/>
      <c r="AP38" s="286"/>
      <c r="AQ38" s="286"/>
      <c r="AR38" s="286"/>
      <c r="AS38" s="286"/>
      <c r="AT38" s="286"/>
      <c r="AU38" s="286"/>
      <c r="AV38" s="286"/>
      <c r="AW38" s="286"/>
      <c r="AX38" s="286"/>
      <c r="AY38" s="286"/>
      <c r="AZ38" s="286"/>
      <c r="BA38" s="286"/>
      <c r="BB38" s="286"/>
      <c r="BC38" s="286"/>
      <c r="BD38" s="286"/>
      <c r="BE38" s="286"/>
      <c r="BF38" s="286"/>
      <c r="BG38" s="286"/>
      <c r="BH38" s="286"/>
      <c r="BI38" s="286"/>
      <c r="BJ38" s="286"/>
      <c r="BK38" s="286"/>
      <c r="BL38" s="286"/>
      <c r="BM38" s="286"/>
      <c r="BN38" s="286"/>
      <c r="BO38" s="286"/>
      <c r="BP38" s="286"/>
      <c r="BQ38" s="286"/>
      <c r="BR38" s="286"/>
      <c r="BS38" s="286"/>
      <c r="BT38" s="286"/>
      <c r="BU38" s="286"/>
      <c r="BV38" s="286"/>
      <c r="BW38" s="286"/>
      <c r="BX38" s="286"/>
      <c r="BY38" s="286"/>
      <c r="BZ38" s="286"/>
      <c r="CA38" s="286"/>
      <c r="CB38" s="286"/>
      <c r="CC38" s="286"/>
      <c r="CD38" s="286"/>
      <c r="CE38" s="286"/>
    </row>
    <row r="39" spans="1:152" ht="18">
      <c r="A39" s="817"/>
      <c r="B39" s="285"/>
      <c r="C39" s="285"/>
      <c r="D39" s="285"/>
      <c r="E39" s="285"/>
      <c r="F39" s="285"/>
      <c r="G39" s="285"/>
      <c r="H39" s="285"/>
      <c r="I39" s="285"/>
      <c r="J39" s="285"/>
      <c r="K39" s="285"/>
      <c r="L39" s="285"/>
      <c r="M39" s="285"/>
      <c r="N39" s="285"/>
      <c r="O39" s="285"/>
      <c r="P39" s="285"/>
      <c r="Q39" s="285"/>
      <c r="R39" s="285"/>
      <c r="S39" s="285"/>
      <c r="T39" s="285"/>
      <c r="U39" s="285"/>
      <c r="V39" s="285"/>
      <c r="W39" s="285"/>
      <c r="X39" s="285"/>
      <c r="Y39" s="285"/>
      <c r="Z39" s="285"/>
      <c r="AA39" s="285"/>
      <c r="AB39" s="285"/>
      <c r="AC39" s="285"/>
      <c r="AD39" s="285"/>
      <c r="AE39" s="285"/>
      <c r="AF39" s="285"/>
      <c r="AG39" s="285"/>
      <c r="AH39" s="285"/>
      <c r="AI39" s="285"/>
      <c r="AJ39" s="285"/>
      <c r="AK39" s="285"/>
      <c r="AL39" s="285"/>
      <c r="AM39" s="285"/>
      <c r="AN39" s="285"/>
      <c r="AO39" s="285"/>
      <c r="AP39" s="285"/>
      <c r="AQ39" s="285"/>
      <c r="AR39" s="285"/>
      <c r="AS39" s="285"/>
      <c r="AT39" s="285"/>
      <c r="AU39" s="285"/>
      <c r="AV39" s="285"/>
      <c r="AW39" s="285"/>
      <c r="AX39" s="285"/>
      <c r="AY39" s="285"/>
      <c r="AZ39" s="285"/>
      <c r="BA39" s="285"/>
      <c r="BB39" s="285"/>
      <c r="BC39" s="285"/>
      <c r="BD39" s="285"/>
      <c r="BE39" s="285"/>
      <c r="BF39" s="285"/>
      <c r="BG39" s="285"/>
      <c r="BH39" s="285"/>
      <c r="BI39" s="285"/>
      <c r="BJ39" s="285"/>
      <c r="BK39" s="285"/>
      <c r="BL39" s="285"/>
      <c r="BM39" s="285"/>
      <c r="BN39" s="285"/>
      <c r="BO39" s="285"/>
      <c r="BP39" s="285"/>
      <c r="BQ39" s="285"/>
      <c r="BR39" s="285"/>
      <c r="BS39" s="285"/>
      <c r="BT39" s="285"/>
      <c r="BU39" s="285"/>
      <c r="BV39" s="285"/>
      <c r="BW39" s="285"/>
      <c r="BX39" s="285"/>
      <c r="BY39" s="285"/>
      <c r="BZ39" s="285"/>
      <c r="CA39" s="285"/>
      <c r="CB39" s="285"/>
      <c r="CC39" s="285"/>
      <c r="CD39" s="285"/>
      <c r="CE39" s="285"/>
    </row>
    <row r="40" spans="1:152" ht="18">
      <c r="A40" s="818"/>
      <c r="B40" s="286"/>
      <c r="C40" s="286"/>
      <c r="D40" s="286"/>
      <c r="E40" s="286"/>
      <c r="F40" s="286"/>
      <c r="G40" s="286"/>
      <c r="H40" s="286"/>
      <c r="I40" s="286"/>
      <c r="J40" s="286"/>
      <c r="K40" s="286"/>
      <c r="L40" s="286"/>
      <c r="M40" s="286"/>
      <c r="N40" s="286"/>
      <c r="O40" s="286"/>
      <c r="P40" s="286"/>
      <c r="Q40" s="286"/>
      <c r="R40" s="286"/>
      <c r="S40" s="286"/>
      <c r="T40" s="286"/>
      <c r="U40" s="286"/>
      <c r="V40" s="286"/>
      <c r="W40" s="286"/>
      <c r="X40" s="286"/>
      <c r="Y40" s="286"/>
      <c r="Z40" s="286"/>
      <c r="AA40" s="286"/>
      <c r="AB40" s="286"/>
      <c r="AC40" s="286"/>
      <c r="AD40" s="286"/>
      <c r="AE40" s="286"/>
      <c r="AF40" s="286"/>
      <c r="AG40" s="286"/>
      <c r="AH40" s="286"/>
      <c r="AI40" s="286"/>
      <c r="AJ40" s="286"/>
      <c r="AK40" s="286"/>
      <c r="AL40" s="286"/>
      <c r="AM40" s="286"/>
      <c r="AN40" s="286"/>
      <c r="AO40" s="286"/>
      <c r="AP40" s="286"/>
      <c r="AQ40" s="286"/>
      <c r="AR40" s="286"/>
      <c r="AS40" s="286"/>
      <c r="AT40" s="286"/>
      <c r="AU40" s="286"/>
      <c r="AV40" s="286"/>
      <c r="AW40" s="286"/>
      <c r="AX40" s="286"/>
      <c r="AY40" s="286"/>
      <c r="AZ40" s="286"/>
      <c r="BA40" s="286"/>
      <c r="BB40" s="286"/>
      <c r="BC40" s="286"/>
      <c r="BD40" s="286"/>
      <c r="BE40" s="286"/>
      <c r="BF40" s="286"/>
      <c r="BG40" s="286"/>
      <c r="BH40" s="286"/>
      <c r="BI40" s="286"/>
      <c r="BJ40" s="286"/>
      <c r="BK40" s="286"/>
      <c r="BL40" s="286"/>
      <c r="BM40" s="286"/>
      <c r="BN40" s="286"/>
      <c r="BO40" s="286"/>
      <c r="BP40" s="286"/>
      <c r="BQ40" s="286"/>
      <c r="BR40" s="286"/>
      <c r="BS40" s="286"/>
      <c r="BT40" s="286"/>
      <c r="BU40" s="286"/>
      <c r="BV40" s="286"/>
      <c r="BW40" s="286"/>
      <c r="BX40" s="286"/>
      <c r="BY40" s="286"/>
      <c r="BZ40" s="286"/>
      <c r="CA40" s="286"/>
      <c r="CB40" s="286"/>
      <c r="CC40" s="286"/>
      <c r="CD40" s="286"/>
      <c r="CE40" s="286"/>
    </row>
    <row r="41" spans="1:152" ht="18">
      <c r="A41" s="817"/>
      <c r="B41" s="285"/>
      <c r="C41" s="285"/>
      <c r="D41" s="285"/>
      <c r="E41" s="285"/>
      <c r="F41" s="285"/>
      <c r="G41" s="285"/>
      <c r="H41" s="285"/>
      <c r="I41" s="285"/>
      <c r="J41" s="285"/>
      <c r="K41" s="285"/>
      <c r="L41" s="285"/>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5"/>
      <c r="AR41" s="285"/>
      <c r="AS41" s="285"/>
      <c r="AT41" s="285"/>
      <c r="AU41" s="285"/>
      <c r="AV41" s="285"/>
      <c r="AW41" s="285"/>
      <c r="AX41" s="285"/>
      <c r="AY41" s="285"/>
      <c r="AZ41" s="285"/>
      <c r="BA41" s="285"/>
      <c r="BB41" s="285"/>
      <c r="BC41" s="285"/>
      <c r="BD41" s="285"/>
      <c r="BE41" s="285"/>
      <c r="BF41" s="285"/>
      <c r="BG41" s="285"/>
      <c r="BH41" s="285"/>
      <c r="BI41" s="285"/>
      <c r="BJ41" s="285"/>
      <c r="BK41" s="285"/>
      <c r="BL41" s="285"/>
      <c r="BM41" s="285"/>
      <c r="BN41" s="285"/>
      <c r="BO41" s="285"/>
      <c r="BP41" s="285"/>
      <c r="BQ41" s="285"/>
      <c r="BR41" s="285"/>
      <c r="BS41" s="285"/>
      <c r="BT41" s="285"/>
      <c r="BU41" s="285"/>
      <c r="BV41" s="285"/>
      <c r="BW41" s="285"/>
      <c r="BX41" s="285"/>
      <c r="BY41" s="285"/>
      <c r="BZ41" s="285"/>
      <c r="CA41" s="285"/>
      <c r="CB41" s="285"/>
      <c r="CC41" s="285"/>
      <c r="CD41" s="285"/>
      <c r="CE41" s="285"/>
    </row>
    <row r="42" spans="1:152" ht="18">
      <c r="A42" s="819"/>
      <c r="B42" s="285"/>
      <c r="C42" s="285"/>
      <c r="D42" s="285"/>
      <c r="E42" s="285"/>
      <c r="F42" s="285"/>
      <c r="G42" s="285"/>
      <c r="H42" s="285"/>
      <c r="I42" s="285"/>
      <c r="J42" s="285"/>
      <c r="K42" s="285"/>
      <c r="L42" s="285"/>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5"/>
      <c r="AR42" s="285"/>
      <c r="AS42" s="285"/>
      <c r="AT42" s="285"/>
      <c r="AU42" s="285"/>
      <c r="AV42" s="285"/>
      <c r="AW42" s="285"/>
      <c r="AX42" s="285"/>
      <c r="AY42" s="285"/>
      <c r="AZ42" s="285"/>
      <c r="BA42" s="285"/>
      <c r="BB42" s="285"/>
      <c r="BC42" s="285"/>
      <c r="BD42" s="285"/>
      <c r="BE42" s="285"/>
      <c r="BF42" s="285"/>
      <c r="BG42" s="285"/>
      <c r="BH42" s="285"/>
      <c r="BI42" s="285"/>
      <c r="BJ42" s="285"/>
      <c r="BK42" s="285"/>
      <c r="BL42" s="285"/>
      <c r="BM42" s="285"/>
      <c r="BN42" s="285"/>
      <c r="BO42" s="285"/>
      <c r="BP42" s="285"/>
      <c r="BQ42" s="285"/>
      <c r="BR42" s="285"/>
      <c r="BS42" s="285"/>
      <c r="BT42" s="285"/>
      <c r="BU42" s="285"/>
      <c r="BV42" s="285"/>
      <c r="BW42" s="285"/>
      <c r="BX42" s="285"/>
      <c r="BY42" s="285"/>
      <c r="BZ42" s="285"/>
      <c r="CA42" s="285"/>
      <c r="CB42" s="285"/>
      <c r="CC42" s="285"/>
      <c r="CD42" s="285"/>
      <c r="CE42" s="285"/>
    </row>
    <row r="43" spans="1:152" ht="18">
      <c r="A43" s="820"/>
      <c r="B43" s="286"/>
      <c r="C43" s="286"/>
      <c r="D43" s="286"/>
      <c r="E43" s="286"/>
      <c r="F43" s="286"/>
      <c r="G43" s="286"/>
      <c r="H43" s="286"/>
      <c r="I43" s="286"/>
      <c r="J43" s="286"/>
      <c r="K43" s="286"/>
      <c r="L43" s="286"/>
      <c r="M43" s="286"/>
      <c r="N43" s="286"/>
      <c r="O43" s="286"/>
      <c r="P43" s="286"/>
      <c r="Q43" s="286"/>
      <c r="R43" s="286"/>
      <c r="S43" s="286"/>
      <c r="T43" s="286"/>
      <c r="U43" s="286"/>
      <c r="V43" s="286"/>
      <c r="W43" s="286"/>
      <c r="X43" s="286"/>
      <c r="Y43" s="286"/>
      <c r="Z43" s="286"/>
      <c r="AA43" s="286"/>
      <c r="AB43" s="286"/>
      <c r="AC43" s="286"/>
      <c r="AD43" s="286"/>
      <c r="AE43" s="286"/>
      <c r="AF43" s="286"/>
      <c r="AG43" s="286"/>
      <c r="AH43" s="286"/>
      <c r="AI43" s="286"/>
      <c r="AJ43" s="286"/>
      <c r="AK43" s="286"/>
      <c r="AL43" s="286"/>
      <c r="AM43" s="286"/>
      <c r="AN43" s="286"/>
      <c r="AO43" s="286"/>
      <c r="AP43" s="286"/>
      <c r="AQ43" s="286"/>
      <c r="AR43" s="286"/>
      <c r="AS43" s="286"/>
      <c r="AT43" s="286"/>
      <c r="AU43" s="286"/>
      <c r="AV43" s="286"/>
      <c r="AW43" s="286"/>
      <c r="AX43" s="286"/>
      <c r="AY43" s="286"/>
      <c r="AZ43" s="286"/>
      <c r="BA43" s="286"/>
      <c r="BB43" s="286"/>
      <c r="BC43" s="286"/>
      <c r="BD43" s="286"/>
      <c r="BE43" s="286"/>
      <c r="BF43" s="286"/>
      <c r="BG43" s="286"/>
      <c r="BH43" s="286"/>
      <c r="BI43" s="286"/>
      <c r="BJ43" s="286"/>
      <c r="BK43" s="286"/>
      <c r="BL43" s="286"/>
      <c r="BM43" s="286"/>
      <c r="BN43" s="286"/>
      <c r="BO43" s="286"/>
      <c r="BP43" s="286"/>
      <c r="BQ43" s="286"/>
      <c r="BR43" s="286"/>
      <c r="BS43" s="286"/>
      <c r="BT43" s="286"/>
      <c r="BU43" s="286"/>
      <c r="BV43" s="286"/>
      <c r="BW43" s="286"/>
      <c r="BX43" s="286"/>
      <c r="BY43" s="286"/>
      <c r="BZ43" s="286"/>
      <c r="CA43" s="286"/>
      <c r="CB43" s="286"/>
      <c r="CC43" s="286"/>
      <c r="CD43" s="286"/>
      <c r="CE43" s="286"/>
    </row>
    <row r="44" spans="1:152" ht="18">
      <c r="A44" s="817"/>
      <c r="B44" s="285"/>
      <c r="C44" s="285"/>
      <c r="D44" s="285"/>
      <c r="E44" s="285"/>
      <c r="F44" s="285"/>
      <c r="G44" s="285"/>
      <c r="H44" s="285"/>
      <c r="I44" s="285"/>
      <c r="J44" s="285"/>
      <c r="K44" s="285"/>
      <c r="L44" s="285"/>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5"/>
      <c r="AR44" s="285"/>
      <c r="AS44" s="285"/>
      <c r="AT44" s="285"/>
      <c r="AU44" s="285"/>
      <c r="AV44" s="285"/>
      <c r="AW44" s="285"/>
      <c r="AX44" s="285"/>
      <c r="AY44" s="285"/>
      <c r="AZ44" s="285"/>
      <c r="BA44" s="285"/>
      <c r="BB44" s="285"/>
      <c r="BC44" s="285"/>
      <c r="BD44" s="285"/>
      <c r="BE44" s="285"/>
      <c r="BF44" s="285"/>
      <c r="BG44" s="285"/>
      <c r="BH44" s="285"/>
      <c r="BI44" s="285"/>
      <c r="BJ44" s="285"/>
      <c r="BK44" s="285"/>
      <c r="BL44" s="285"/>
      <c r="BM44" s="285"/>
      <c r="BN44" s="285"/>
      <c r="BO44" s="285"/>
      <c r="BP44" s="285"/>
      <c r="BQ44" s="285"/>
      <c r="BR44" s="285"/>
      <c r="BS44" s="285"/>
      <c r="BT44" s="285"/>
      <c r="BU44" s="285"/>
      <c r="BV44" s="285"/>
      <c r="BW44" s="285"/>
      <c r="BX44" s="285"/>
      <c r="BY44" s="285"/>
      <c r="BZ44" s="285"/>
      <c r="CA44" s="285"/>
      <c r="CB44" s="285"/>
      <c r="CC44" s="285"/>
      <c r="CD44" s="285"/>
      <c r="CE44" s="285"/>
    </row>
    <row r="45" spans="1:152" ht="18">
      <c r="A45" s="818"/>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6"/>
      <c r="AE45" s="286"/>
      <c r="AF45" s="286"/>
      <c r="AG45" s="286"/>
      <c r="AH45" s="286"/>
      <c r="AI45" s="286"/>
      <c r="AJ45" s="286"/>
      <c r="AK45" s="286"/>
      <c r="AL45" s="286"/>
      <c r="AM45" s="286"/>
      <c r="AN45" s="286"/>
      <c r="AO45" s="286"/>
      <c r="AP45" s="286"/>
      <c r="AQ45" s="286"/>
      <c r="AR45" s="286"/>
      <c r="AS45" s="286"/>
      <c r="AT45" s="286"/>
      <c r="AU45" s="286"/>
      <c r="AV45" s="286"/>
      <c r="AW45" s="286"/>
      <c r="AX45" s="286"/>
      <c r="AY45" s="286"/>
      <c r="AZ45" s="286"/>
      <c r="BA45" s="286"/>
      <c r="BB45" s="286"/>
      <c r="BC45" s="286"/>
      <c r="BD45" s="286"/>
      <c r="BE45" s="286"/>
      <c r="BF45" s="286"/>
      <c r="BG45" s="286"/>
      <c r="BH45" s="286"/>
      <c r="BI45" s="286"/>
      <c r="BJ45" s="286"/>
      <c r="BK45" s="286"/>
      <c r="BL45" s="286"/>
      <c r="BM45" s="286"/>
      <c r="BN45" s="286"/>
      <c r="BO45" s="286"/>
      <c r="BP45" s="286"/>
      <c r="BQ45" s="286"/>
      <c r="BR45" s="286"/>
      <c r="BS45" s="286"/>
      <c r="BT45" s="286"/>
      <c r="BU45" s="286"/>
      <c r="BV45" s="286"/>
      <c r="BW45" s="286"/>
      <c r="BX45" s="286"/>
      <c r="BY45" s="286"/>
      <c r="BZ45" s="286"/>
      <c r="CA45" s="286"/>
      <c r="CB45" s="286"/>
      <c r="CC45" s="286"/>
      <c r="CD45" s="286"/>
      <c r="CE45" s="286"/>
    </row>
    <row r="46" spans="1:152" ht="18">
      <c r="A46" s="817"/>
      <c r="B46" s="285"/>
      <c r="C46" s="285"/>
      <c r="D46" s="285"/>
      <c r="E46" s="285"/>
      <c r="F46" s="285"/>
      <c r="G46" s="285"/>
      <c r="H46" s="285"/>
      <c r="I46" s="285"/>
      <c r="J46" s="285"/>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5"/>
      <c r="AR46" s="285"/>
      <c r="AS46" s="285"/>
      <c r="AT46" s="285"/>
      <c r="AU46" s="285"/>
      <c r="AV46" s="285"/>
      <c r="AW46" s="285"/>
      <c r="AX46" s="285"/>
      <c r="AY46" s="285"/>
      <c r="AZ46" s="285"/>
      <c r="BA46" s="285"/>
      <c r="BB46" s="285"/>
      <c r="BC46" s="285"/>
      <c r="BD46" s="285"/>
      <c r="BE46" s="285"/>
      <c r="BF46" s="285"/>
      <c r="BG46" s="285"/>
      <c r="BH46" s="285"/>
      <c r="BI46" s="285"/>
      <c r="BJ46" s="285"/>
      <c r="BK46" s="285"/>
      <c r="BL46" s="285"/>
      <c r="BM46" s="285"/>
      <c r="BN46" s="285"/>
      <c r="BO46" s="285"/>
      <c r="BP46" s="285"/>
      <c r="BQ46" s="285"/>
      <c r="BR46" s="285"/>
      <c r="BS46" s="285"/>
      <c r="BT46" s="285"/>
      <c r="BU46" s="285"/>
      <c r="BV46" s="285"/>
      <c r="BW46" s="285"/>
      <c r="BX46" s="285"/>
      <c r="BY46" s="285"/>
      <c r="BZ46" s="285"/>
      <c r="CA46" s="285"/>
      <c r="CB46" s="285"/>
      <c r="CC46" s="285"/>
      <c r="CD46" s="285"/>
      <c r="CE46" s="285"/>
    </row>
    <row r="47" spans="1:152" ht="18">
      <c r="A47" s="818"/>
      <c r="B47" s="286"/>
      <c r="C47" s="286"/>
      <c r="D47" s="286"/>
      <c r="E47" s="286"/>
      <c r="F47" s="286"/>
      <c r="G47" s="286"/>
      <c r="H47" s="286"/>
      <c r="I47" s="286"/>
      <c r="J47" s="286"/>
      <c r="K47" s="286"/>
      <c r="L47" s="286"/>
      <c r="M47" s="286"/>
      <c r="N47" s="286"/>
      <c r="O47" s="286"/>
      <c r="P47" s="286"/>
      <c r="Q47" s="286"/>
      <c r="R47" s="286"/>
      <c r="S47" s="286"/>
      <c r="T47" s="286"/>
      <c r="U47" s="286"/>
      <c r="V47" s="286"/>
      <c r="W47" s="286"/>
      <c r="X47" s="286"/>
      <c r="Y47" s="286"/>
      <c r="Z47" s="286"/>
      <c r="AA47" s="286"/>
      <c r="AB47" s="286"/>
      <c r="AC47" s="286"/>
      <c r="AD47" s="286"/>
      <c r="AE47" s="286"/>
      <c r="AF47" s="286"/>
      <c r="AG47" s="286"/>
      <c r="AH47" s="286"/>
      <c r="AI47" s="286"/>
      <c r="AJ47" s="286"/>
      <c r="AK47" s="286"/>
      <c r="AL47" s="286"/>
      <c r="AM47" s="286"/>
      <c r="AN47" s="286"/>
      <c r="AO47" s="286"/>
      <c r="AP47" s="286"/>
      <c r="AQ47" s="286"/>
      <c r="AR47" s="286"/>
      <c r="AS47" s="286"/>
      <c r="AT47" s="286"/>
      <c r="AU47" s="286"/>
      <c r="AV47" s="286"/>
      <c r="AW47" s="286"/>
      <c r="AX47" s="286"/>
      <c r="AY47" s="286"/>
      <c r="AZ47" s="286"/>
      <c r="BA47" s="286"/>
      <c r="BB47" s="286"/>
      <c r="BC47" s="286"/>
      <c r="BD47" s="286"/>
      <c r="BE47" s="286"/>
      <c r="BF47" s="286"/>
      <c r="BG47" s="286"/>
      <c r="BH47" s="286"/>
      <c r="BI47" s="286"/>
      <c r="BJ47" s="286"/>
      <c r="BK47" s="286"/>
      <c r="BL47" s="286"/>
      <c r="BM47" s="286"/>
      <c r="BN47" s="286"/>
      <c r="BO47" s="286"/>
      <c r="BP47" s="286"/>
      <c r="BQ47" s="286"/>
      <c r="BR47" s="286"/>
      <c r="BS47" s="286"/>
      <c r="BT47" s="286"/>
      <c r="BU47" s="286"/>
      <c r="BV47" s="286"/>
      <c r="BW47" s="286"/>
      <c r="BX47" s="286"/>
      <c r="BY47" s="286"/>
      <c r="BZ47" s="286"/>
      <c r="CA47" s="286"/>
      <c r="CB47" s="286"/>
      <c r="CC47" s="286"/>
      <c r="CD47" s="286"/>
      <c r="CE47" s="286"/>
    </row>
    <row r="48" spans="1:152" ht="18">
      <c r="A48" s="817"/>
      <c r="B48" s="285"/>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5"/>
      <c r="AR48" s="285"/>
      <c r="AS48" s="285"/>
      <c r="AT48" s="285"/>
      <c r="AU48" s="285"/>
      <c r="AV48" s="285"/>
      <c r="AW48" s="285"/>
      <c r="AX48" s="285"/>
      <c r="AY48" s="285"/>
      <c r="AZ48" s="285"/>
      <c r="BA48" s="285"/>
      <c r="BB48" s="285"/>
      <c r="BC48" s="285"/>
      <c r="BD48" s="285"/>
      <c r="BE48" s="285"/>
      <c r="BF48" s="285"/>
      <c r="BG48" s="285"/>
      <c r="BH48" s="285"/>
      <c r="BI48" s="285"/>
      <c r="BJ48" s="285"/>
      <c r="BK48" s="285"/>
      <c r="BL48" s="285"/>
      <c r="BM48" s="285"/>
      <c r="BN48" s="285"/>
      <c r="BO48" s="285"/>
      <c r="BP48" s="285"/>
      <c r="BQ48" s="285"/>
      <c r="BR48" s="285"/>
      <c r="BS48" s="285"/>
      <c r="BT48" s="285"/>
      <c r="BU48" s="285"/>
      <c r="BV48" s="285"/>
      <c r="BW48" s="285"/>
      <c r="BX48" s="285"/>
      <c r="BY48" s="285"/>
      <c r="BZ48" s="285"/>
      <c r="CA48" s="285"/>
      <c r="CB48" s="285"/>
      <c r="CC48" s="285"/>
      <c r="CD48" s="285"/>
      <c r="CE48" s="285"/>
    </row>
    <row r="49" spans="1:83" ht="18">
      <c r="A49" s="821"/>
      <c r="B49" s="343"/>
      <c r="C49" s="343"/>
      <c r="D49" s="343"/>
      <c r="E49" s="343"/>
      <c r="F49" s="343"/>
      <c r="G49" s="343"/>
      <c r="H49" s="343"/>
      <c r="I49" s="343"/>
      <c r="J49" s="343"/>
      <c r="K49" s="343"/>
      <c r="L49" s="343"/>
      <c r="M49" s="343"/>
      <c r="N49" s="343"/>
      <c r="O49" s="343"/>
      <c r="P49" s="343"/>
      <c r="Q49" s="343"/>
      <c r="R49" s="343"/>
      <c r="S49" s="343"/>
      <c r="T49" s="343"/>
      <c r="U49" s="343"/>
      <c r="V49" s="343"/>
      <c r="W49" s="343"/>
      <c r="X49" s="343"/>
      <c r="Y49" s="343"/>
      <c r="Z49" s="343"/>
      <c r="AA49" s="343"/>
      <c r="AB49" s="343"/>
      <c r="AC49" s="343"/>
      <c r="AD49" s="343"/>
      <c r="AE49" s="343"/>
      <c r="AF49" s="343"/>
      <c r="AG49" s="343"/>
      <c r="AH49" s="343"/>
      <c r="AI49" s="343"/>
      <c r="AJ49" s="343"/>
      <c r="AK49" s="343"/>
      <c r="AL49" s="343"/>
      <c r="AM49" s="343"/>
      <c r="AN49" s="343"/>
      <c r="AO49" s="343"/>
      <c r="AP49" s="343"/>
      <c r="AQ49" s="343"/>
      <c r="AR49" s="343"/>
      <c r="AS49" s="343"/>
      <c r="AT49" s="343"/>
      <c r="AU49" s="343"/>
      <c r="AV49" s="343"/>
      <c r="AW49" s="343"/>
      <c r="AX49" s="343"/>
      <c r="AY49" s="343"/>
      <c r="AZ49" s="343"/>
      <c r="BA49" s="343"/>
      <c r="BB49" s="343"/>
      <c r="BC49" s="343"/>
      <c r="BD49" s="343"/>
      <c r="BE49" s="343"/>
      <c r="BF49" s="343"/>
      <c r="BG49" s="343"/>
      <c r="BH49" s="343"/>
      <c r="BI49" s="343"/>
      <c r="BJ49" s="343"/>
      <c r="BK49" s="343"/>
      <c r="BL49" s="343"/>
      <c r="BM49" s="343"/>
      <c r="BN49" s="343"/>
      <c r="BO49" s="343"/>
      <c r="BP49" s="343"/>
      <c r="BQ49" s="343"/>
      <c r="BR49" s="343"/>
      <c r="BS49" s="343"/>
      <c r="BT49" s="343"/>
      <c r="BU49" s="343"/>
      <c r="BV49" s="343"/>
      <c r="BW49" s="343"/>
      <c r="BX49" s="343"/>
      <c r="BY49" s="343"/>
      <c r="BZ49" s="343"/>
      <c r="CA49" s="343"/>
      <c r="CB49" s="343"/>
      <c r="CC49" s="343"/>
      <c r="CD49" s="343"/>
      <c r="CE49" s="343"/>
    </row>
    <row r="50" spans="1:83" ht="18.75">
      <c r="A50" s="822"/>
      <c r="B50" s="343"/>
      <c r="C50" s="343"/>
      <c r="D50" s="343"/>
      <c r="E50" s="343"/>
      <c r="F50" s="343"/>
      <c r="G50" s="343"/>
      <c r="H50" s="343"/>
      <c r="I50" s="343"/>
      <c r="J50" s="343"/>
      <c r="K50" s="343"/>
      <c r="L50" s="343"/>
      <c r="M50" s="343"/>
      <c r="N50" s="343"/>
      <c r="O50" s="343"/>
      <c r="P50" s="343"/>
      <c r="Q50" s="343"/>
      <c r="R50" s="343"/>
      <c r="S50" s="343"/>
      <c r="T50" s="343"/>
      <c r="U50" s="343"/>
      <c r="V50" s="343"/>
      <c r="W50" s="343"/>
      <c r="X50" s="343"/>
      <c r="Y50" s="343"/>
      <c r="Z50" s="343"/>
      <c r="AA50" s="343"/>
      <c r="AB50" s="343"/>
      <c r="AC50" s="343"/>
      <c r="AD50" s="343"/>
      <c r="AE50" s="343"/>
      <c r="AF50" s="343"/>
      <c r="AG50" s="343"/>
      <c r="AH50" s="343"/>
      <c r="AI50" s="343"/>
      <c r="AJ50" s="343"/>
      <c r="AK50" s="343"/>
      <c r="AL50" s="343"/>
      <c r="AM50" s="343"/>
      <c r="AN50" s="343"/>
      <c r="AO50" s="343"/>
      <c r="AP50" s="343"/>
      <c r="AQ50" s="343"/>
      <c r="AR50" s="343"/>
      <c r="AS50" s="343"/>
      <c r="AT50" s="343"/>
      <c r="AU50" s="343"/>
      <c r="AV50" s="343"/>
      <c r="AW50" s="343"/>
      <c r="AX50" s="343"/>
      <c r="AY50" s="343"/>
      <c r="AZ50" s="343"/>
      <c r="BA50" s="343"/>
      <c r="BB50" s="343"/>
      <c r="BC50" s="343"/>
      <c r="BD50" s="343"/>
      <c r="BE50" s="343"/>
      <c r="BF50" s="343"/>
      <c r="BG50" s="343"/>
      <c r="BH50" s="343"/>
      <c r="BI50" s="343"/>
      <c r="BJ50" s="343"/>
      <c r="BK50" s="343"/>
      <c r="BL50" s="343"/>
      <c r="BM50" s="343"/>
      <c r="BN50" s="343"/>
      <c r="BO50" s="343"/>
      <c r="BP50" s="343"/>
      <c r="BQ50" s="343"/>
      <c r="BR50" s="343"/>
      <c r="BS50" s="343"/>
      <c r="BT50" s="343"/>
      <c r="BU50" s="343"/>
      <c r="BV50" s="343"/>
      <c r="BW50" s="343"/>
      <c r="BX50" s="343"/>
      <c r="BY50" s="343"/>
      <c r="BZ50" s="343"/>
      <c r="CA50" s="343"/>
      <c r="CB50" s="343"/>
      <c r="CC50" s="343"/>
      <c r="CD50" s="343"/>
      <c r="CE50" s="343"/>
    </row>
    <row r="51" spans="1:83">
      <c r="A51" s="823"/>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row>
    <row r="52" spans="1:83">
      <c r="A52" s="823"/>
      <c r="B52" s="417"/>
      <c r="C52" s="417"/>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c r="AC52" s="417"/>
      <c r="AD52" s="417"/>
      <c r="AE52" s="417"/>
      <c r="AF52" s="417"/>
      <c r="AG52" s="417"/>
      <c r="AH52" s="417"/>
      <c r="AI52" s="417"/>
      <c r="AJ52" s="417"/>
      <c r="AK52" s="417"/>
      <c r="AL52" s="417"/>
      <c r="AM52" s="417"/>
      <c r="AN52" s="417"/>
      <c r="AO52" s="417"/>
      <c r="AP52" s="417"/>
      <c r="AQ52" s="417"/>
      <c r="AR52" s="417"/>
      <c r="AS52" s="417"/>
      <c r="AT52" s="417"/>
      <c r="AU52" s="417"/>
      <c r="AV52" s="417"/>
      <c r="AW52" s="417"/>
      <c r="AX52" s="417"/>
    </row>
    <row r="53" spans="1:83">
      <c r="A53" s="823"/>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7"/>
      <c r="AQ53" s="417"/>
      <c r="AR53" s="417"/>
      <c r="AS53" s="417"/>
      <c r="AT53" s="417"/>
      <c r="AU53" s="417"/>
      <c r="AV53" s="417"/>
      <c r="AW53" s="417"/>
      <c r="AX53" s="417"/>
    </row>
  </sheetData>
  <mergeCells count="13">
    <mergeCell ref="A2:EV2"/>
    <mergeCell ref="A3:EV3"/>
    <mergeCell ref="A6:A8"/>
    <mergeCell ref="EV6:EV8"/>
    <mergeCell ref="A36:EU36"/>
    <mergeCell ref="Z6:AL6"/>
    <mergeCell ref="AW6:AX6"/>
    <mergeCell ref="BW6:CH6"/>
    <mergeCell ref="CU6:DF6"/>
    <mergeCell ref="DG6:DR6"/>
    <mergeCell ref="DS6:ED6"/>
    <mergeCell ref="EE6:EP6"/>
    <mergeCell ref="EQ6:EU6"/>
  </mergeCells>
  <pageMargins left="0.7" right="0.7" top="0.75" bottom="0.75" header="0.3" footer="0.3"/>
  <pageSetup scale="23"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5">
    <tabColor rgb="FF92D050"/>
  </sheetPr>
  <dimension ref="A2:EU52"/>
  <sheetViews>
    <sheetView showGridLines="0" view="pageBreakPreview" zoomScale="60" zoomScaleNormal="100" workbookViewId="0">
      <selection activeCell="EU47" sqref="EU47"/>
    </sheetView>
  </sheetViews>
  <sheetFormatPr defaultColWidth="9.140625" defaultRowHeight="15"/>
  <cols>
    <col min="1" max="1" width="61.42578125" style="824" customWidth="1"/>
    <col min="2" max="12" width="13.5703125" style="339" hidden="1" customWidth="1"/>
    <col min="13" max="13" width="19" style="339" hidden="1" customWidth="1"/>
    <col min="14" max="23" width="13.5703125" style="339" hidden="1" customWidth="1"/>
    <col min="24" max="24" width="13.28515625" style="339" hidden="1" customWidth="1"/>
    <col min="25" max="25" width="18.140625" style="339" hidden="1" customWidth="1"/>
    <col min="26" max="33" width="14.7109375" style="339" hidden="1" customWidth="1"/>
    <col min="34" max="34" width="17.85546875" style="339" hidden="1" customWidth="1"/>
    <col min="35" max="35" width="18.140625" style="339" hidden="1" customWidth="1"/>
    <col min="36" max="36" width="15.85546875" style="339" hidden="1" customWidth="1"/>
    <col min="37" max="37" width="16.85546875" style="339" hidden="1" customWidth="1"/>
    <col min="38" max="44" width="14.7109375" style="339" hidden="1" customWidth="1"/>
    <col min="45" max="60" width="14.28515625" style="339" hidden="1" customWidth="1"/>
    <col min="61" max="61" width="14" style="339" customWidth="1"/>
    <col min="62" max="72" width="14.28515625" style="339" hidden="1" customWidth="1"/>
    <col min="73" max="73" width="14" style="339" customWidth="1"/>
    <col min="74" max="82" width="14.28515625" style="339" hidden="1" customWidth="1"/>
    <col min="83" max="84" width="16.5703125" style="339" hidden="1" customWidth="1"/>
    <col min="85" max="85" width="14" style="339" customWidth="1"/>
    <col min="86" max="90" width="16.28515625" style="339" hidden="1" customWidth="1"/>
    <col min="91" max="96" width="16" style="339" hidden="1" customWidth="1"/>
    <col min="97" max="97" width="14" style="339" customWidth="1"/>
    <col min="98" max="108" width="14" style="339" hidden="1" customWidth="1"/>
    <col min="109" max="109" width="14" style="339" customWidth="1"/>
    <col min="110" max="120" width="14" style="339" hidden="1" customWidth="1"/>
    <col min="121" max="121" width="14" style="339" customWidth="1"/>
    <col min="122" max="132" width="14" style="339" hidden="1" customWidth="1"/>
    <col min="133" max="133" width="14" style="339" customWidth="1"/>
    <col min="134" max="144" width="14" style="339" hidden="1" customWidth="1"/>
    <col min="145" max="150" width="14" style="339" customWidth="1"/>
    <col min="151" max="151" width="55" style="339" customWidth="1"/>
    <col min="152" max="16384" width="9.140625" style="339"/>
  </cols>
  <sheetData>
    <row r="2" spans="1:151" ht="27" customHeight="1">
      <c r="A2" s="2473" t="s">
        <v>3301</v>
      </c>
      <c r="B2" s="2473"/>
      <c r="C2" s="2473"/>
      <c r="D2" s="2473"/>
      <c r="E2" s="2473"/>
      <c r="F2" s="2473"/>
      <c r="G2" s="2473"/>
      <c r="H2" s="2473"/>
      <c r="I2" s="2473"/>
      <c r="J2" s="2473"/>
      <c r="K2" s="2473"/>
      <c r="L2" s="2473"/>
      <c r="M2" s="2473"/>
      <c r="N2" s="2473"/>
      <c r="O2" s="2473"/>
      <c r="P2" s="2473"/>
      <c r="Q2" s="2473"/>
      <c r="R2" s="2473"/>
      <c r="S2" s="2473"/>
      <c r="T2" s="2473"/>
      <c r="U2" s="2473"/>
      <c r="V2" s="2473"/>
      <c r="W2" s="2473"/>
      <c r="X2" s="2473"/>
      <c r="Y2" s="2473"/>
      <c r="Z2" s="2473"/>
      <c r="AA2" s="2473"/>
      <c r="AB2" s="2473"/>
      <c r="AC2" s="2473"/>
      <c r="AD2" s="2473"/>
      <c r="AE2" s="2473"/>
      <c r="AF2" s="2473"/>
      <c r="AG2" s="2473"/>
      <c r="AH2" s="2473"/>
      <c r="AI2" s="2473"/>
      <c r="AJ2" s="2473"/>
      <c r="AK2" s="2473"/>
      <c r="AL2" s="2473"/>
      <c r="AM2" s="2473"/>
      <c r="AN2" s="2473"/>
      <c r="AO2" s="2473"/>
      <c r="AP2" s="2473"/>
      <c r="AQ2" s="2473"/>
      <c r="AR2" s="2473"/>
      <c r="AS2" s="2473"/>
      <c r="AT2" s="2473"/>
      <c r="AU2" s="2473"/>
      <c r="AV2" s="2473"/>
      <c r="AW2" s="2473"/>
      <c r="AX2" s="2473"/>
      <c r="AY2" s="2473"/>
      <c r="AZ2" s="2473"/>
      <c r="BA2" s="2473"/>
      <c r="BB2" s="2473"/>
      <c r="BC2" s="2473"/>
      <c r="BD2" s="2473"/>
      <c r="BE2" s="2473"/>
      <c r="BF2" s="2473"/>
      <c r="BG2" s="2473"/>
      <c r="BH2" s="2473"/>
      <c r="BI2" s="2473"/>
      <c r="BJ2" s="2473"/>
      <c r="BK2" s="2473"/>
      <c r="BL2" s="2473"/>
      <c r="BM2" s="2473"/>
      <c r="BN2" s="2473"/>
      <c r="BO2" s="2473"/>
      <c r="BP2" s="2473"/>
      <c r="BQ2" s="2473"/>
      <c r="BR2" s="2473"/>
      <c r="BS2" s="2473"/>
      <c r="BT2" s="2473"/>
      <c r="BU2" s="2473"/>
      <c r="BV2" s="2473"/>
      <c r="BW2" s="2473"/>
      <c r="BX2" s="2473"/>
      <c r="BY2" s="2473"/>
      <c r="BZ2" s="2473"/>
      <c r="CA2" s="2473"/>
      <c r="CB2" s="2473"/>
      <c r="CC2" s="2473"/>
      <c r="CD2" s="2473"/>
      <c r="CE2" s="2473"/>
      <c r="CF2" s="2473"/>
      <c r="CG2" s="2473"/>
      <c r="CH2" s="2473"/>
      <c r="CI2" s="2473"/>
      <c r="CJ2" s="2473"/>
      <c r="CK2" s="2473"/>
      <c r="CL2" s="2473"/>
      <c r="CM2" s="2473"/>
      <c r="CN2" s="2473"/>
      <c r="CO2" s="2473"/>
      <c r="CP2" s="2473"/>
      <c r="CQ2" s="2473"/>
      <c r="CR2" s="2473"/>
      <c r="CS2" s="2473"/>
      <c r="CT2" s="2473"/>
      <c r="CU2" s="2473"/>
      <c r="CV2" s="2473"/>
      <c r="CW2" s="2473"/>
      <c r="CX2" s="2473"/>
      <c r="CY2" s="2473"/>
      <c r="CZ2" s="2473"/>
      <c r="DA2" s="2473"/>
      <c r="DB2" s="2473"/>
      <c r="DC2" s="2473"/>
      <c r="DD2" s="2473"/>
      <c r="DE2" s="2473"/>
      <c r="DF2" s="2473"/>
      <c r="DG2" s="2473"/>
      <c r="DH2" s="2473"/>
      <c r="DI2" s="2473"/>
      <c r="DJ2" s="2473"/>
      <c r="DK2" s="2473"/>
      <c r="DL2" s="2473"/>
      <c r="DM2" s="2473"/>
      <c r="DN2" s="2473"/>
      <c r="DO2" s="2473"/>
      <c r="DP2" s="2473"/>
      <c r="DQ2" s="2473"/>
      <c r="DR2" s="2473"/>
      <c r="DS2" s="2473"/>
      <c r="DT2" s="2473"/>
      <c r="DU2" s="2473"/>
      <c r="DV2" s="2473"/>
      <c r="DW2" s="2473"/>
      <c r="DX2" s="2473"/>
      <c r="DY2" s="2473"/>
      <c r="DZ2" s="2473"/>
      <c r="EA2" s="2473"/>
      <c r="EB2" s="2473"/>
      <c r="EC2" s="2473"/>
      <c r="ED2" s="2473"/>
      <c r="EE2" s="2473"/>
      <c r="EF2" s="2473"/>
      <c r="EG2" s="2473"/>
      <c r="EH2" s="2473"/>
      <c r="EI2" s="2473"/>
      <c r="EJ2" s="2473"/>
      <c r="EK2" s="2473"/>
      <c r="EL2" s="2473"/>
      <c r="EM2" s="2473"/>
      <c r="EN2" s="2473"/>
      <c r="EO2" s="2473"/>
      <c r="EP2" s="2473"/>
      <c r="EQ2" s="2473"/>
      <c r="ER2" s="2473"/>
      <c r="ES2" s="2473"/>
      <c r="ET2" s="2473"/>
      <c r="EU2" s="2473"/>
    </row>
    <row r="3" spans="1:151" ht="44.25" customHeight="1">
      <c r="A3" s="2474" t="s">
        <v>3289</v>
      </c>
      <c r="B3" s="2474"/>
      <c r="C3" s="2474"/>
      <c r="D3" s="2474"/>
      <c r="E3" s="2474"/>
      <c r="F3" s="2474"/>
      <c r="G3" s="2474"/>
      <c r="H3" s="2474"/>
      <c r="I3" s="2474"/>
      <c r="J3" s="2474"/>
      <c r="K3" s="2474"/>
      <c r="L3" s="2474"/>
      <c r="M3" s="2474"/>
      <c r="N3" s="2474"/>
      <c r="O3" s="2474"/>
      <c r="P3" s="2474"/>
      <c r="Q3" s="2474"/>
      <c r="R3" s="2474"/>
      <c r="S3" s="2474"/>
      <c r="T3" s="2474"/>
      <c r="U3" s="2474"/>
      <c r="V3" s="2474"/>
      <c r="W3" s="2474"/>
      <c r="X3" s="2474"/>
      <c r="Y3" s="2474"/>
      <c r="Z3" s="2474"/>
      <c r="AA3" s="2474"/>
      <c r="AB3" s="2474"/>
      <c r="AC3" s="2474"/>
      <c r="AD3" s="2474"/>
      <c r="AE3" s="2474"/>
      <c r="AF3" s="2474"/>
      <c r="AG3" s="2474"/>
      <c r="AH3" s="2474"/>
      <c r="AI3" s="2474"/>
      <c r="AJ3" s="2474"/>
      <c r="AK3" s="2474"/>
      <c r="AL3" s="2474"/>
      <c r="AM3" s="2474"/>
      <c r="AN3" s="2474"/>
      <c r="AO3" s="2474"/>
      <c r="AP3" s="2474"/>
      <c r="AQ3" s="2474"/>
      <c r="AR3" s="2474"/>
      <c r="AS3" s="2474"/>
      <c r="AT3" s="2474"/>
      <c r="AU3" s="2474"/>
      <c r="AV3" s="2474"/>
      <c r="AW3" s="2474"/>
      <c r="AX3" s="2474"/>
      <c r="AY3" s="2474"/>
      <c r="AZ3" s="2474"/>
      <c r="BA3" s="2474"/>
      <c r="BB3" s="2474"/>
      <c r="BC3" s="2474"/>
      <c r="BD3" s="2474"/>
      <c r="BE3" s="2474"/>
      <c r="BF3" s="2474"/>
      <c r="BG3" s="2474"/>
      <c r="BH3" s="2474"/>
      <c r="BI3" s="2474"/>
      <c r="BJ3" s="2474"/>
      <c r="BK3" s="2474"/>
      <c r="BL3" s="2474"/>
      <c r="BM3" s="2474"/>
      <c r="BN3" s="2474"/>
      <c r="BO3" s="2474"/>
      <c r="BP3" s="2474"/>
      <c r="BQ3" s="2474"/>
      <c r="BR3" s="2474"/>
      <c r="BS3" s="2474"/>
      <c r="BT3" s="2474"/>
      <c r="BU3" s="2474"/>
      <c r="BV3" s="2474"/>
      <c r="BW3" s="2474"/>
      <c r="BX3" s="2474"/>
      <c r="BY3" s="2474"/>
      <c r="BZ3" s="2474"/>
      <c r="CA3" s="2474"/>
      <c r="CB3" s="2474"/>
      <c r="CC3" s="2474"/>
      <c r="CD3" s="2474"/>
      <c r="CE3" s="2474"/>
      <c r="CF3" s="2474"/>
      <c r="CG3" s="2474"/>
      <c r="CH3" s="2474"/>
      <c r="CI3" s="2474"/>
      <c r="CJ3" s="2474"/>
      <c r="CK3" s="2474"/>
      <c r="CL3" s="2474"/>
      <c r="CM3" s="2474"/>
      <c r="CN3" s="2474"/>
      <c r="CO3" s="2474"/>
      <c r="CP3" s="2474"/>
      <c r="CQ3" s="2474"/>
      <c r="CR3" s="2474"/>
      <c r="CS3" s="2474"/>
      <c r="CT3" s="2474"/>
      <c r="CU3" s="2474"/>
      <c r="CV3" s="2474"/>
      <c r="CW3" s="2474"/>
      <c r="CX3" s="2474"/>
      <c r="CY3" s="2474"/>
      <c r="CZ3" s="2474"/>
      <c r="DA3" s="2474"/>
      <c r="DB3" s="2474"/>
      <c r="DC3" s="2474"/>
      <c r="DD3" s="2474"/>
      <c r="DE3" s="2474"/>
      <c r="DF3" s="2474"/>
      <c r="DG3" s="2474"/>
      <c r="DH3" s="2474"/>
      <c r="DI3" s="2474"/>
      <c r="DJ3" s="2474"/>
      <c r="DK3" s="2474"/>
      <c r="DL3" s="2474"/>
      <c r="DM3" s="2474"/>
      <c r="DN3" s="2474"/>
      <c r="DO3" s="2474"/>
      <c r="DP3" s="2474"/>
      <c r="DQ3" s="2474"/>
      <c r="DR3" s="2474"/>
      <c r="DS3" s="2474"/>
      <c r="DT3" s="2474"/>
      <c r="DU3" s="2474"/>
      <c r="DV3" s="2474"/>
      <c r="DW3" s="2474"/>
      <c r="DX3" s="2474"/>
      <c r="DY3" s="2474"/>
      <c r="DZ3" s="2474"/>
      <c r="EA3" s="2474"/>
      <c r="EB3" s="2474"/>
      <c r="EC3" s="2474"/>
      <c r="ED3" s="2474"/>
      <c r="EE3" s="2474"/>
      <c r="EF3" s="2474"/>
      <c r="EG3" s="2474"/>
      <c r="EH3" s="2474"/>
      <c r="EI3" s="2474"/>
      <c r="EJ3" s="2474"/>
      <c r="EK3" s="2474"/>
      <c r="EL3" s="2474"/>
      <c r="EM3" s="2474"/>
      <c r="EN3" s="2474"/>
      <c r="EO3" s="2474"/>
      <c r="EP3" s="2474"/>
      <c r="EQ3" s="2474"/>
      <c r="ER3" s="2474"/>
      <c r="ES3" s="2474"/>
      <c r="ET3" s="2474"/>
      <c r="EU3" s="2474"/>
    </row>
    <row r="4" spans="1:151" ht="20.25" customHeight="1">
      <c r="A4" s="807"/>
      <c r="B4" s="540"/>
      <c r="C4" s="540"/>
      <c r="D4" s="540"/>
      <c r="E4" s="540"/>
      <c r="F4" s="540"/>
      <c r="G4" s="540"/>
      <c r="H4" s="540"/>
      <c r="I4" s="540"/>
      <c r="J4" s="540"/>
      <c r="K4" s="540"/>
      <c r="L4" s="540"/>
      <c r="M4" s="540"/>
      <c r="N4" s="540"/>
      <c r="O4" s="540"/>
      <c r="P4" s="540"/>
      <c r="Q4" s="540"/>
      <c r="R4" s="540"/>
      <c r="S4" s="540"/>
      <c r="T4" s="540"/>
      <c r="U4" s="540"/>
      <c r="V4" s="540"/>
      <c r="W4" s="540"/>
      <c r="X4" s="540"/>
      <c r="Y4" s="540"/>
      <c r="Z4" s="540"/>
      <c r="AA4" s="540"/>
      <c r="AB4" s="540"/>
      <c r="AC4" s="540"/>
      <c r="AD4" s="540"/>
      <c r="AE4" s="540"/>
      <c r="AF4" s="540"/>
      <c r="AG4" s="540"/>
      <c r="AH4" s="540"/>
      <c r="AI4" s="540"/>
      <c r="AJ4" s="540"/>
      <c r="AK4" s="540"/>
      <c r="AL4" s="540"/>
      <c r="AM4" s="540"/>
      <c r="AN4" s="540"/>
      <c r="AO4" s="540"/>
      <c r="AP4" s="540"/>
      <c r="AQ4" s="540"/>
      <c r="AR4" s="540"/>
      <c r="AS4" s="540"/>
      <c r="AT4" s="540"/>
      <c r="AU4" s="540"/>
      <c r="AV4" s="540"/>
      <c r="AW4" s="540"/>
      <c r="AX4" s="540"/>
      <c r="AY4" s="540"/>
      <c r="AZ4" s="540"/>
      <c r="BA4" s="540"/>
      <c r="BB4" s="540"/>
      <c r="BC4" s="540"/>
      <c r="BD4" s="540"/>
      <c r="BE4" s="540"/>
      <c r="BF4" s="540"/>
      <c r="BG4" s="540"/>
      <c r="BH4" s="540"/>
      <c r="BI4" s="540"/>
      <c r="BJ4" s="540"/>
      <c r="BK4" s="540"/>
      <c r="BL4" s="540"/>
      <c r="BM4" s="540"/>
      <c r="BN4" s="540"/>
      <c r="BO4" s="540"/>
      <c r="BP4" s="540"/>
      <c r="BQ4" s="540"/>
      <c r="BR4" s="540"/>
      <c r="BS4" s="540"/>
      <c r="BT4" s="540"/>
      <c r="BU4" s="540"/>
      <c r="BV4" s="540"/>
      <c r="BW4" s="540"/>
      <c r="BX4" s="540"/>
      <c r="BY4" s="540"/>
      <c r="BZ4" s="540"/>
      <c r="CA4" s="540"/>
      <c r="CB4" s="540"/>
      <c r="CC4" s="540"/>
      <c r="CD4" s="540"/>
      <c r="CE4" s="540"/>
      <c r="CF4" s="540"/>
      <c r="CG4" s="540"/>
      <c r="CH4" s="540"/>
      <c r="CI4" s="540"/>
      <c r="CJ4" s="540"/>
      <c r="CK4" s="540"/>
      <c r="CL4" s="540"/>
      <c r="CM4" s="540"/>
      <c r="CN4" s="540"/>
      <c r="CO4" s="540"/>
      <c r="CP4" s="540"/>
      <c r="CQ4" s="540"/>
      <c r="CR4" s="540"/>
      <c r="CS4" s="540"/>
      <c r="CT4" s="540"/>
      <c r="CU4" s="540"/>
      <c r="CV4" s="540"/>
      <c r="CW4" s="540"/>
      <c r="CX4" s="540"/>
      <c r="CY4" s="540"/>
      <c r="CZ4" s="540"/>
      <c r="DA4" s="540"/>
      <c r="DB4" s="540"/>
      <c r="DC4" s="540"/>
      <c r="DD4" s="540"/>
      <c r="DE4" s="540"/>
      <c r="DF4" s="540"/>
      <c r="DG4" s="540"/>
      <c r="DH4" s="540"/>
      <c r="DI4" s="540"/>
      <c r="DJ4" s="540"/>
      <c r="DK4" s="540"/>
      <c r="DL4" s="540"/>
      <c r="DM4" s="540"/>
      <c r="DN4" s="540"/>
      <c r="DO4" s="540"/>
      <c r="DP4" s="540"/>
      <c r="DQ4" s="540"/>
      <c r="DR4" s="540"/>
      <c r="DS4" s="540"/>
      <c r="DT4" s="540"/>
      <c r="DU4" s="540"/>
      <c r="DV4" s="540"/>
      <c r="DW4" s="540"/>
      <c r="DX4" s="540"/>
      <c r="DY4" s="540"/>
      <c r="DZ4" s="540"/>
      <c r="EA4" s="540"/>
      <c r="EB4" s="540"/>
      <c r="EC4" s="540"/>
      <c r="ED4" s="540"/>
      <c r="EE4" s="540"/>
      <c r="EF4" s="540"/>
      <c r="EG4" s="540"/>
      <c r="EH4" s="540"/>
      <c r="EI4" s="540"/>
      <c r="EJ4" s="540"/>
      <c r="EK4" s="540"/>
      <c r="EL4" s="540"/>
      <c r="EM4" s="540"/>
      <c r="EN4" s="540"/>
      <c r="EO4" s="540"/>
      <c r="EP4" s="540"/>
      <c r="EQ4" s="540"/>
      <c r="ER4" s="540"/>
      <c r="ES4" s="540"/>
      <c r="ET4" s="540"/>
      <c r="EU4" s="807"/>
    </row>
    <row r="5" spans="1:151" ht="20.25" customHeight="1">
      <c r="A5" s="1927"/>
      <c r="B5" s="1927"/>
      <c r="C5" s="1927"/>
      <c r="D5" s="1927"/>
      <c r="E5" s="1927"/>
      <c r="F5" s="1927"/>
      <c r="G5" s="1927"/>
      <c r="H5" s="1927"/>
      <c r="I5" s="1927"/>
      <c r="J5" s="1927"/>
      <c r="K5" s="1927"/>
      <c r="L5" s="1927"/>
      <c r="M5" s="1927"/>
      <c r="N5" s="1927"/>
      <c r="O5" s="1927"/>
      <c r="P5" s="1927"/>
      <c r="Q5" s="1927"/>
      <c r="R5" s="1927"/>
      <c r="S5" s="1927"/>
      <c r="T5" s="1927"/>
      <c r="U5" s="1927"/>
      <c r="V5" s="1927"/>
      <c r="W5" s="1927"/>
      <c r="X5" s="1927"/>
      <c r="Y5" s="1927"/>
      <c r="Z5" s="1927"/>
      <c r="AA5" s="1927"/>
      <c r="AB5" s="1927"/>
      <c r="AC5" s="1927"/>
      <c r="AD5" s="1927"/>
      <c r="AE5" s="1927"/>
      <c r="AF5" s="1927"/>
      <c r="AG5" s="1927"/>
      <c r="AH5" s="1927"/>
      <c r="AI5" s="1927"/>
      <c r="AJ5" s="1927"/>
      <c r="AK5" s="1927"/>
      <c r="AL5" s="1927"/>
      <c r="AM5" s="1927"/>
      <c r="AN5" s="1927"/>
      <c r="AO5" s="1927"/>
      <c r="AP5" s="1927"/>
      <c r="AQ5" s="1927"/>
      <c r="AR5" s="1927"/>
      <c r="AS5" s="1927"/>
      <c r="AT5" s="1927"/>
      <c r="AU5" s="1927"/>
      <c r="AV5" s="1927"/>
      <c r="AW5" s="1927"/>
      <c r="AX5" s="1927"/>
      <c r="AY5" s="1927"/>
      <c r="AZ5" s="1927"/>
      <c r="BA5" s="1927"/>
      <c r="BB5" s="1927"/>
      <c r="BC5" s="1927"/>
      <c r="BD5" s="1927"/>
      <c r="BE5" s="1927"/>
      <c r="BF5" s="1927"/>
      <c r="BG5" s="1927"/>
      <c r="BH5" s="1927"/>
      <c r="BI5" s="1927"/>
      <c r="BJ5" s="1927"/>
      <c r="BK5" s="1927"/>
      <c r="BL5" s="1927"/>
      <c r="BM5" s="1927"/>
      <c r="BN5" s="1927"/>
      <c r="BO5" s="1927"/>
      <c r="BP5" s="1927"/>
      <c r="BQ5" s="1927"/>
      <c r="BR5" s="1927"/>
      <c r="BS5" s="1927"/>
      <c r="BT5" s="1927"/>
      <c r="BU5" s="1927"/>
      <c r="BV5" s="1927"/>
      <c r="BW5" s="1927"/>
      <c r="BX5" s="1927"/>
      <c r="BY5" s="1927"/>
      <c r="BZ5" s="1927"/>
      <c r="CA5" s="1927"/>
      <c r="CB5" s="1927"/>
      <c r="CC5" s="1927"/>
      <c r="CD5" s="1927"/>
      <c r="CE5" s="1927"/>
      <c r="CF5" s="1927"/>
      <c r="CG5" s="1927"/>
      <c r="CH5" s="1927"/>
      <c r="CI5" s="1927"/>
      <c r="CJ5" s="1927"/>
      <c r="CK5" s="1927"/>
      <c r="CL5" s="1927"/>
      <c r="CM5" s="1927"/>
      <c r="CN5" s="1927"/>
      <c r="CO5" s="1927"/>
      <c r="CP5" s="1927"/>
      <c r="CQ5" s="1927"/>
      <c r="CR5" s="1927"/>
      <c r="CS5" s="1927"/>
      <c r="CT5" s="1927"/>
      <c r="CU5" s="1927"/>
      <c r="CV5" s="1927"/>
      <c r="CW5" s="1927"/>
      <c r="CX5" s="1927"/>
      <c r="CY5" s="1927"/>
      <c r="CZ5" s="1927"/>
      <c r="DA5" s="1927"/>
      <c r="DB5" s="1927"/>
      <c r="DC5" s="1927"/>
      <c r="DD5" s="1927"/>
      <c r="DE5" s="1927"/>
      <c r="DF5" s="1927"/>
      <c r="DG5" s="1927"/>
      <c r="DH5" s="1927"/>
      <c r="DI5" s="1927"/>
      <c r="DJ5" s="1927"/>
      <c r="DK5" s="1927"/>
      <c r="DL5" s="1927"/>
      <c r="DM5" s="1927"/>
      <c r="DN5" s="1927"/>
      <c r="DO5" s="1927"/>
      <c r="DP5" s="1927"/>
      <c r="DQ5" s="1927"/>
      <c r="DR5" s="1927"/>
      <c r="DS5" s="1927"/>
      <c r="DT5" s="1927"/>
      <c r="DU5" s="1927"/>
      <c r="DV5" s="1927"/>
      <c r="DW5" s="1927"/>
      <c r="DX5" s="1927"/>
      <c r="DY5" s="1927"/>
      <c r="DZ5" s="1927"/>
      <c r="EA5" s="1927"/>
      <c r="EB5" s="1927"/>
      <c r="EC5" s="1927"/>
      <c r="ED5" s="1927"/>
      <c r="EE5" s="1927"/>
      <c r="EF5" s="1927"/>
      <c r="EG5" s="1927"/>
      <c r="EH5" s="1927"/>
      <c r="EI5" s="1927"/>
      <c r="EJ5" s="1927"/>
      <c r="EK5" s="1927"/>
      <c r="EL5" s="1927"/>
      <c r="EM5" s="1927"/>
      <c r="EN5" s="1927"/>
      <c r="EO5" s="1927"/>
      <c r="EP5" s="1927"/>
      <c r="EQ5" s="1927"/>
      <c r="ER5" s="1927"/>
      <c r="ES5" s="1927"/>
      <c r="ET5" s="1927"/>
      <c r="EU5" s="1917" t="s">
        <v>158</v>
      </c>
    </row>
    <row r="6" spans="1:151" ht="30" customHeight="1">
      <c r="A6" s="2512"/>
      <c r="B6" s="2518">
        <v>2013</v>
      </c>
      <c r="C6" s="2518"/>
      <c r="D6" s="2518"/>
      <c r="E6" s="2518"/>
      <c r="F6" s="2518"/>
      <c r="G6" s="2518"/>
      <c r="H6" s="2518"/>
      <c r="I6" s="2518"/>
      <c r="J6" s="2518"/>
      <c r="K6" s="2518"/>
      <c r="L6" s="2518"/>
      <c r="M6" s="2518"/>
      <c r="N6" s="2518">
        <v>2014</v>
      </c>
      <c r="O6" s="2518"/>
      <c r="P6" s="2518"/>
      <c r="Q6" s="2518"/>
      <c r="R6" s="2518"/>
      <c r="S6" s="2518"/>
      <c r="T6" s="2518"/>
      <c r="U6" s="2518"/>
      <c r="V6" s="2518"/>
      <c r="W6" s="2518"/>
      <c r="X6" s="2518"/>
      <c r="Y6" s="2518"/>
      <c r="Z6" s="2518">
        <v>2015</v>
      </c>
      <c r="AA6" s="2518"/>
      <c r="AB6" s="2518"/>
      <c r="AC6" s="2518"/>
      <c r="AD6" s="2518"/>
      <c r="AE6" s="2518"/>
      <c r="AF6" s="2518"/>
      <c r="AG6" s="2518"/>
      <c r="AH6" s="2518"/>
      <c r="AI6" s="2518"/>
      <c r="AJ6" s="2518"/>
      <c r="AK6" s="2518"/>
      <c r="AL6" s="865">
        <v>2016</v>
      </c>
      <c r="AM6" s="865"/>
      <c r="AN6" s="865"/>
      <c r="AO6" s="865"/>
      <c r="AP6" s="865"/>
      <c r="AQ6" s="865"/>
      <c r="AR6" s="865"/>
      <c r="AS6" s="865"/>
      <c r="AT6" s="865"/>
      <c r="AU6" s="865"/>
      <c r="AV6" s="2518">
        <v>2016</v>
      </c>
      <c r="AW6" s="2518"/>
      <c r="AX6" s="865">
        <v>2017</v>
      </c>
      <c r="AY6" s="865"/>
      <c r="AZ6" s="865"/>
      <c r="BA6" s="865"/>
      <c r="BB6" s="865"/>
      <c r="BC6" s="865"/>
      <c r="BD6" s="865"/>
      <c r="BE6" s="865"/>
      <c r="BF6" s="865"/>
      <c r="BG6" s="865"/>
      <c r="BH6" s="895"/>
      <c r="BI6" s="891">
        <v>2017</v>
      </c>
      <c r="BJ6" s="892">
        <v>2018</v>
      </c>
      <c r="BK6" s="892"/>
      <c r="BL6" s="892"/>
      <c r="BM6" s="892"/>
      <c r="BN6" s="892"/>
      <c r="BO6" s="892"/>
      <c r="BP6" s="892"/>
      <c r="BQ6" s="892"/>
      <c r="BR6" s="892"/>
      <c r="BS6" s="892"/>
      <c r="BT6" s="892"/>
      <c r="BU6" s="891">
        <v>2018</v>
      </c>
      <c r="BV6" s="2519">
        <v>2019</v>
      </c>
      <c r="BW6" s="2519"/>
      <c r="BX6" s="2519"/>
      <c r="BY6" s="2519"/>
      <c r="BZ6" s="2519"/>
      <c r="CA6" s="2519"/>
      <c r="CB6" s="2519"/>
      <c r="CC6" s="2519"/>
      <c r="CD6" s="2519"/>
      <c r="CE6" s="2519"/>
      <c r="CF6" s="2519"/>
      <c r="CG6" s="2519"/>
      <c r="CH6" s="893">
        <v>2020</v>
      </c>
      <c r="CI6" s="893">
        <v>2020</v>
      </c>
      <c r="CJ6" s="893">
        <v>2020</v>
      </c>
      <c r="CK6" s="893">
        <v>2020</v>
      </c>
      <c r="CL6" s="893">
        <v>2020</v>
      </c>
      <c r="CM6" s="893">
        <v>2020</v>
      </c>
      <c r="CN6" s="893">
        <v>2020</v>
      </c>
      <c r="CO6" s="893">
        <v>2020</v>
      </c>
      <c r="CP6" s="893">
        <v>2020</v>
      </c>
      <c r="CQ6" s="893">
        <v>2020</v>
      </c>
      <c r="CR6" s="893">
        <v>2020</v>
      </c>
      <c r="CS6" s="893">
        <v>2020</v>
      </c>
      <c r="CT6" s="2496">
        <v>2021</v>
      </c>
      <c r="CU6" s="2497"/>
      <c r="CV6" s="2497"/>
      <c r="CW6" s="2497"/>
      <c r="CX6" s="2497"/>
      <c r="CY6" s="2497"/>
      <c r="CZ6" s="2497"/>
      <c r="DA6" s="2497"/>
      <c r="DB6" s="2497"/>
      <c r="DC6" s="2497"/>
      <c r="DD6" s="2497"/>
      <c r="DE6" s="2498"/>
      <c r="DF6" s="2499">
        <v>2022</v>
      </c>
      <c r="DG6" s="2497"/>
      <c r="DH6" s="2497"/>
      <c r="DI6" s="2497"/>
      <c r="DJ6" s="2497"/>
      <c r="DK6" s="2497"/>
      <c r="DL6" s="2497"/>
      <c r="DM6" s="2497"/>
      <c r="DN6" s="2497"/>
      <c r="DO6" s="2497"/>
      <c r="DP6" s="2497"/>
      <c r="DQ6" s="2498"/>
      <c r="DR6" s="2499">
        <v>2023</v>
      </c>
      <c r="DS6" s="2497"/>
      <c r="DT6" s="2497"/>
      <c r="DU6" s="2497"/>
      <c r="DV6" s="2497"/>
      <c r="DW6" s="2497"/>
      <c r="DX6" s="2497"/>
      <c r="DY6" s="2497"/>
      <c r="DZ6" s="2497"/>
      <c r="EA6" s="2497"/>
      <c r="EB6" s="2497"/>
      <c r="EC6" s="2498"/>
      <c r="ED6" s="2114">
        <v>2024</v>
      </c>
      <c r="EE6" s="2115"/>
      <c r="EF6" s="2115"/>
      <c r="EG6" s="2115"/>
      <c r="EH6" s="2115"/>
      <c r="EI6" s="2115"/>
      <c r="EJ6" s="2115"/>
      <c r="EK6" s="2115"/>
      <c r="EL6" s="2115"/>
      <c r="EM6" s="2115"/>
      <c r="EN6" s="2115"/>
      <c r="EO6" s="2112">
        <v>2024</v>
      </c>
      <c r="EP6" s="2499">
        <v>2025</v>
      </c>
      <c r="EQ6" s="2497"/>
      <c r="ER6" s="2497"/>
      <c r="ES6" s="2497"/>
      <c r="ET6" s="2498"/>
      <c r="EU6" s="2514"/>
    </row>
    <row r="7" spans="1:151" ht="30" customHeight="1">
      <c r="A7" s="2513"/>
      <c r="B7" s="838" t="s">
        <v>1961</v>
      </c>
      <c r="C7" s="838" t="s">
        <v>1972</v>
      </c>
      <c r="D7" s="838" t="s">
        <v>1971</v>
      </c>
      <c r="E7" s="838" t="s">
        <v>1970</v>
      </c>
      <c r="F7" s="838" t="s">
        <v>1969</v>
      </c>
      <c r="G7" s="838" t="s">
        <v>1968</v>
      </c>
      <c r="H7" s="838" t="s">
        <v>1967</v>
      </c>
      <c r="I7" s="838" t="s">
        <v>1966</v>
      </c>
      <c r="J7" s="838" t="s">
        <v>1965</v>
      </c>
      <c r="K7" s="838" t="s">
        <v>1964</v>
      </c>
      <c r="L7" s="838" t="s">
        <v>1963</v>
      </c>
      <c r="M7" s="838" t="s">
        <v>1962</v>
      </c>
      <c r="N7" s="838" t="s">
        <v>1961</v>
      </c>
      <c r="O7" s="838" t="s">
        <v>1972</v>
      </c>
      <c r="P7" s="838" t="s">
        <v>1971</v>
      </c>
      <c r="Q7" s="838" t="s">
        <v>1970</v>
      </c>
      <c r="R7" s="838" t="s">
        <v>1969</v>
      </c>
      <c r="S7" s="838" t="s">
        <v>1968</v>
      </c>
      <c r="T7" s="838" t="s">
        <v>1967</v>
      </c>
      <c r="U7" s="838" t="s">
        <v>1966</v>
      </c>
      <c r="V7" s="838" t="s">
        <v>1965</v>
      </c>
      <c r="W7" s="838" t="s">
        <v>1964</v>
      </c>
      <c r="X7" s="838" t="s">
        <v>1963</v>
      </c>
      <c r="Y7" s="838" t="s">
        <v>1962</v>
      </c>
      <c r="Z7" s="838" t="s">
        <v>1961</v>
      </c>
      <c r="AA7" s="838" t="s">
        <v>1972</v>
      </c>
      <c r="AB7" s="838" t="s">
        <v>1971</v>
      </c>
      <c r="AC7" s="838" t="s">
        <v>1970</v>
      </c>
      <c r="AD7" s="838" t="s">
        <v>1969</v>
      </c>
      <c r="AE7" s="838" t="s">
        <v>1973</v>
      </c>
      <c r="AF7" s="838" t="s">
        <v>1977</v>
      </c>
      <c r="AG7" s="838" t="s">
        <v>1966</v>
      </c>
      <c r="AH7" s="838" t="s">
        <v>1965</v>
      </c>
      <c r="AI7" s="838" t="s">
        <v>1964</v>
      </c>
      <c r="AJ7" s="838" t="s">
        <v>1963</v>
      </c>
      <c r="AK7" s="838" t="s">
        <v>1962</v>
      </c>
      <c r="AL7" s="838" t="s">
        <v>1961</v>
      </c>
      <c r="AM7" s="838" t="s">
        <v>1972</v>
      </c>
      <c r="AN7" s="838" t="s">
        <v>1971</v>
      </c>
      <c r="AO7" s="838" t="s">
        <v>1970</v>
      </c>
      <c r="AP7" s="838" t="s">
        <v>1969</v>
      </c>
      <c r="AQ7" s="838" t="s">
        <v>1968</v>
      </c>
      <c r="AR7" s="838" t="s">
        <v>1967</v>
      </c>
      <c r="AS7" s="866" t="s">
        <v>1966</v>
      </c>
      <c r="AT7" s="866" t="s">
        <v>1965</v>
      </c>
      <c r="AU7" s="866" t="s">
        <v>1964</v>
      </c>
      <c r="AV7" s="866" t="s">
        <v>1963</v>
      </c>
      <c r="AW7" s="838" t="s">
        <v>1962</v>
      </c>
      <c r="AX7" s="866" t="s">
        <v>1961</v>
      </c>
      <c r="AY7" s="866" t="s">
        <v>1960</v>
      </c>
      <c r="AZ7" s="866" t="s">
        <v>1959</v>
      </c>
      <c r="BA7" s="866" t="s">
        <v>1958</v>
      </c>
      <c r="BB7" s="866" t="s">
        <v>1978</v>
      </c>
      <c r="BC7" s="866" t="s">
        <v>1979</v>
      </c>
      <c r="BD7" s="838" t="s">
        <v>1988</v>
      </c>
      <c r="BE7" s="838" t="s">
        <v>1998</v>
      </c>
      <c r="BF7" s="838" t="s">
        <v>2008</v>
      </c>
      <c r="BG7" s="838" t="s">
        <v>2021</v>
      </c>
      <c r="BH7" s="878" t="s">
        <v>2032</v>
      </c>
      <c r="BI7" s="906" t="s">
        <v>1962</v>
      </c>
      <c r="BJ7" s="906" t="s">
        <v>1961</v>
      </c>
      <c r="BK7" s="906" t="s">
        <v>1960</v>
      </c>
      <c r="BL7" s="906" t="s">
        <v>1959</v>
      </c>
      <c r="BM7" s="906" t="s">
        <v>1958</v>
      </c>
      <c r="BN7" s="906" t="s">
        <v>1978</v>
      </c>
      <c r="BO7" s="906" t="s">
        <v>1979</v>
      </c>
      <c r="BP7" s="906" t="s">
        <v>1988</v>
      </c>
      <c r="BQ7" s="906" t="s">
        <v>1998</v>
      </c>
      <c r="BR7" s="906" t="s">
        <v>2008</v>
      </c>
      <c r="BS7" s="906" t="s">
        <v>2021</v>
      </c>
      <c r="BT7" s="906" t="s">
        <v>2032</v>
      </c>
      <c r="BU7" s="906" t="s">
        <v>1962</v>
      </c>
      <c r="BV7" s="906" t="s">
        <v>1961</v>
      </c>
      <c r="BW7" s="906" t="s">
        <v>1960</v>
      </c>
      <c r="BX7" s="906" t="s">
        <v>1959</v>
      </c>
      <c r="BY7" s="906" t="s">
        <v>1958</v>
      </c>
      <c r="BZ7" s="906" t="s">
        <v>1978</v>
      </c>
      <c r="CA7" s="906" t="s">
        <v>1979</v>
      </c>
      <c r="CB7" s="906" t="s">
        <v>1988</v>
      </c>
      <c r="CC7" s="906" t="s">
        <v>1998</v>
      </c>
      <c r="CD7" s="906" t="s">
        <v>2008</v>
      </c>
      <c r="CE7" s="906" t="s">
        <v>2021</v>
      </c>
      <c r="CF7" s="906" t="s">
        <v>2032</v>
      </c>
      <c r="CG7" s="906" t="s">
        <v>1962</v>
      </c>
      <c r="CH7" s="906" t="s">
        <v>1961</v>
      </c>
      <c r="CI7" s="906" t="s">
        <v>1960</v>
      </c>
      <c r="CJ7" s="906" t="s">
        <v>1959</v>
      </c>
      <c r="CK7" s="906" t="s">
        <v>1958</v>
      </c>
      <c r="CL7" s="906" t="s">
        <v>1978</v>
      </c>
      <c r="CM7" s="906" t="s">
        <v>2426</v>
      </c>
      <c r="CN7" s="906" t="s">
        <v>2432</v>
      </c>
      <c r="CO7" s="906" t="s">
        <v>1998</v>
      </c>
      <c r="CP7" s="906" t="s">
        <v>2008</v>
      </c>
      <c r="CQ7" s="906" t="s">
        <v>2021</v>
      </c>
      <c r="CR7" s="906" t="s">
        <v>2032</v>
      </c>
      <c r="CS7" s="906" t="s">
        <v>1962</v>
      </c>
      <c r="CT7" s="906" t="s">
        <v>1961</v>
      </c>
      <c r="CU7" s="906" t="s">
        <v>1960</v>
      </c>
      <c r="CV7" s="906" t="s">
        <v>1959</v>
      </c>
      <c r="CW7" s="906" t="s">
        <v>1958</v>
      </c>
      <c r="CX7" s="906" t="s">
        <v>1978</v>
      </c>
      <c r="CY7" s="906" t="s">
        <v>1979</v>
      </c>
      <c r="CZ7" s="906" t="s">
        <v>1988</v>
      </c>
      <c r="DA7" s="906" t="s">
        <v>1998</v>
      </c>
      <c r="DB7" s="906" t="s">
        <v>2008</v>
      </c>
      <c r="DC7" s="906" t="s">
        <v>2021</v>
      </c>
      <c r="DD7" s="906" t="s">
        <v>2032</v>
      </c>
      <c r="DE7" s="906" t="s">
        <v>1962</v>
      </c>
      <c r="DF7" s="906" t="s">
        <v>1961</v>
      </c>
      <c r="DG7" s="906" t="s">
        <v>1960</v>
      </c>
      <c r="DH7" s="906" t="s">
        <v>1959</v>
      </c>
      <c r="DI7" s="906" t="s">
        <v>1958</v>
      </c>
      <c r="DJ7" s="906" t="s">
        <v>1978</v>
      </c>
      <c r="DK7" s="906" t="s">
        <v>1979</v>
      </c>
      <c r="DL7" s="906" t="s">
        <v>1988</v>
      </c>
      <c r="DM7" s="906" t="s">
        <v>1998</v>
      </c>
      <c r="DN7" s="906" t="s">
        <v>2008</v>
      </c>
      <c r="DO7" s="906" t="s">
        <v>2021</v>
      </c>
      <c r="DP7" s="906" t="s">
        <v>2032</v>
      </c>
      <c r="DQ7" s="906" t="s">
        <v>1962</v>
      </c>
      <c r="DR7" s="906" t="s">
        <v>1961</v>
      </c>
      <c r="DS7" s="906" t="s">
        <v>1960</v>
      </c>
      <c r="DT7" s="906" t="s">
        <v>1959</v>
      </c>
      <c r="DU7" s="906" t="s">
        <v>1958</v>
      </c>
      <c r="DV7" s="906" t="s">
        <v>1978</v>
      </c>
      <c r="DW7" s="906" t="s">
        <v>1979</v>
      </c>
      <c r="DX7" s="906" t="s">
        <v>1988</v>
      </c>
      <c r="DY7" s="906" t="s">
        <v>1998</v>
      </c>
      <c r="DZ7" s="906" t="s">
        <v>2008</v>
      </c>
      <c r="EA7" s="906" t="s">
        <v>2021</v>
      </c>
      <c r="EB7" s="906" t="s">
        <v>2032</v>
      </c>
      <c r="EC7" s="906" t="s">
        <v>1962</v>
      </c>
      <c r="ED7" s="906" t="s">
        <v>1961</v>
      </c>
      <c r="EE7" s="906" t="s">
        <v>1960</v>
      </c>
      <c r="EF7" s="906" t="s">
        <v>1959</v>
      </c>
      <c r="EG7" s="906" t="s">
        <v>1958</v>
      </c>
      <c r="EH7" s="906" t="s">
        <v>1978</v>
      </c>
      <c r="EI7" s="906" t="s">
        <v>1979</v>
      </c>
      <c r="EJ7" s="906" t="s">
        <v>1988</v>
      </c>
      <c r="EK7" s="906" t="s">
        <v>1998</v>
      </c>
      <c r="EL7" s="906" t="s">
        <v>2008</v>
      </c>
      <c r="EM7" s="906" t="s">
        <v>2021</v>
      </c>
      <c r="EN7" s="906" t="s">
        <v>2032</v>
      </c>
      <c r="EO7" s="906" t="s">
        <v>1962</v>
      </c>
      <c r="EP7" s="906" t="s">
        <v>1961</v>
      </c>
      <c r="EQ7" s="906" t="s">
        <v>1960</v>
      </c>
      <c r="ER7" s="906" t="s">
        <v>1959</v>
      </c>
      <c r="ES7" s="906" t="s">
        <v>1958</v>
      </c>
      <c r="ET7" s="906" t="s">
        <v>1978</v>
      </c>
      <c r="EU7" s="2515"/>
    </row>
    <row r="8" spans="1:151" s="334" customFormat="1" ht="39.75" customHeight="1">
      <c r="A8" s="2513"/>
      <c r="B8" s="1948"/>
      <c r="C8" s="1948"/>
      <c r="D8" s="1948"/>
      <c r="E8" s="1948"/>
      <c r="F8" s="1948"/>
      <c r="G8" s="1948"/>
      <c r="H8" s="1948"/>
      <c r="I8" s="1948"/>
      <c r="J8" s="1948"/>
      <c r="K8" s="1948"/>
      <c r="L8" s="1948"/>
      <c r="M8" s="1948"/>
      <c r="N8" s="1948"/>
      <c r="O8" s="1948"/>
      <c r="P8" s="1948"/>
      <c r="Q8" s="1948"/>
      <c r="R8" s="1948"/>
      <c r="S8" s="1948"/>
      <c r="T8" s="1948"/>
      <c r="U8" s="1948"/>
      <c r="V8" s="1948"/>
      <c r="W8" s="1948"/>
      <c r="X8" s="1948"/>
      <c r="Y8" s="1948"/>
      <c r="Z8" s="1948"/>
      <c r="AA8" s="1948"/>
      <c r="AB8" s="1948"/>
      <c r="AC8" s="1948"/>
      <c r="AD8" s="1948"/>
      <c r="AE8" s="1948"/>
      <c r="AF8" s="1948"/>
      <c r="AG8" s="1948"/>
      <c r="AH8" s="1948"/>
      <c r="AI8" s="1948"/>
      <c r="AJ8" s="1948"/>
      <c r="AK8" s="1948"/>
      <c r="AL8" s="1948"/>
      <c r="AM8" s="1948"/>
      <c r="AN8" s="1948"/>
      <c r="AO8" s="1948"/>
      <c r="AP8" s="1948"/>
      <c r="AQ8" s="1948"/>
      <c r="AR8" s="1948"/>
      <c r="AS8" s="1948"/>
      <c r="AT8" s="1948"/>
      <c r="AU8" s="1948"/>
      <c r="AV8" s="1948"/>
      <c r="AW8" s="1948"/>
      <c r="AX8" s="1948"/>
      <c r="AY8" s="1948"/>
      <c r="AZ8" s="1948"/>
      <c r="BA8" s="1948"/>
      <c r="BB8" s="1948"/>
      <c r="BC8" s="1948"/>
      <c r="BD8" s="1948"/>
      <c r="BE8" s="1948"/>
      <c r="BF8" s="1948"/>
      <c r="BG8" s="903"/>
      <c r="BH8" s="904"/>
      <c r="BI8" s="1938" t="s">
        <v>3191</v>
      </c>
      <c r="BJ8" s="1938" t="s">
        <v>3191</v>
      </c>
      <c r="BK8" s="1938"/>
      <c r="BL8" s="1938"/>
      <c r="BM8" s="1938"/>
      <c r="BN8" s="1938"/>
      <c r="BO8" s="1938"/>
      <c r="BP8" s="1938"/>
      <c r="BQ8" s="1938"/>
      <c r="BR8" s="1938"/>
      <c r="BS8" s="1938"/>
      <c r="BT8" s="1938"/>
      <c r="BU8" s="1938" t="s">
        <v>3191</v>
      </c>
      <c r="BV8" s="1938" t="s">
        <v>3191</v>
      </c>
      <c r="BW8" s="1938"/>
      <c r="BX8" s="1938"/>
      <c r="BY8" s="1938"/>
      <c r="BZ8" s="1938"/>
      <c r="CA8" s="1938"/>
      <c r="CB8" s="1938"/>
      <c r="CC8" s="1938"/>
      <c r="CD8" s="1938"/>
      <c r="CE8" s="1938"/>
      <c r="CF8" s="1938"/>
      <c r="CG8" s="1938" t="s">
        <v>3191</v>
      </c>
      <c r="CH8" s="1938" t="s">
        <v>3191</v>
      </c>
      <c r="CI8" s="1938"/>
      <c r="CJ8" s="1938"/>
      <c r="CK8" s="1938"/>
      <c r="CL8" s="1938"/>
      <c r="CM8" s="1938"/>
      <c r="CN8" s="1938"/>
      <c r="CO8" s="1938"/>
      <c r="CP8" s="1938"/>
      <c r="CQ8" s="1938"/>
      <c r="CR8" s="1938"/>
      <c r="CS8" s="1938" t="s">
        <v>3191</v>
      </c>
      <c r="CT8" s="1938" t="s">
        <v>3191</v>
      </c>
      <c r="CU8" s="1938"/>
      <c r="CV8" s="1938"/>
      <c r="CW8" s="1938"/>
      <c r="CX8" s="1938"/>
      <c r="CY8" s="1938"/>
      <c r="CZ8" s="1938"/>
      <c r="DA8" s="1938"/>
      <c r="DB8" s="1938"/>
      <c r="DC8" s="1938"/>
      <c r="DD8" s="1938"/>
      <c r="DE8" s="1938" t="s">
        <v>3191</v>
      </c>
      <c r="DF8" s="1938" t="s">
        <v>3191</v>
      </c>
      <c r="DG8" s="1938"/>
      <c r="DH8" s="1938"/>
      <c r="DI8" s="1938"/>
      <c r="DJ8" s="1938"/>
      <c r="DK8" s="1938"/>
      <c r="DL8" s="1938"/>
      <c r="DM8" s="1938"/>
      <c r="DN8" s="1938"/>
      <c r="DO8" s="1938"/>
      <c r="DP8" s="1938"/>
      <c r="DQ8" s="1938" t="s">
        <v>3191</v>
      </c>
      <c r="DR8" s="1938" t="s">
        <v>3191</v>
      </c>
      <c r="DS8" s="1938"/>
      <c r="DT8" s="1938"/>
      <c r="DU8" s="1938"/>
      <c r="DV8" s="1938"/>
      <c r="DW8" s="1938"/>
      <c r="DX8" s="1938"/>
      <c r="DY8" s="1938"/>
      <c r="DZ8" s="1938"/>
      <c r="EA8" s="1938"/>
      <c r="EB8" s="1938"/>
      <c r="EC8" s="1938" t="s">
        <v>3191</v>
      </c>
      <c r="ED8" s="1938" t="s">
        <v>3120</v>
      </c>
      <c r="EE8" s="1938" t="s">
        <v>3121</v>
      </c>
      <c r="EF8" s="1938" t="s">
        <v>3122</v>
      </c>
      <c r="EG8" s="1938" t="s">
        <v>3123</v>
      </c>
      <c r="EH8" s="1938" t="s">
        <v>1978</v>
      </c>
      <c r="EI8" s="1938" t="s">
        <v>3124</v>
      </c>
      <c r="EJ8" s="1938" t="s">
        <v>3125</v>
      </c>
      <c r="EK8" s="1938" t="s">
        <v>3126</v>
      </c>
      <c r="EL8" s="1938" t="s">
        <v>3127</v>
      </c>
      <c r="EM8" s="1938" t="s">
        <v>3190</v>
      </c>
      <c r="EN8" s="1938" t="s">
        <v>3424</v>
      </c>
      <c r="EO8" s="1938" t="s">
        <v>3191</v>
      </c>
      <c r="EP8" s="1938" t="s">
        <v>3120</v>
      </c>
      <c r="EQ8" s="1938" t="s">
        <v>3121</v>
      </c>
      <c r="ER8" s="1938" t="s">
        <v>3122</v>
      </c>
      <c r="ES8" s="1938" t="s">
        <v>3123</v>
      </c>
      <c r="ET8" s="1938" t="s">
        <v>1978</v>
      </c>
      <c r="EU8" s="2516"/>
    </row>
    <row r="9" spans="1:151" ht="21">
      <c r="A9" s="1930" t="s">
        <v>2755</v>
      </c>
      <c r="B9" s="839">
        <v>371.37485794999998</v>
      </c>
      <c r="C9" s="839">
        <v>280.68035514999997</v>
      </c>
      <c r="D9" s="839">
        <v>281.22185160999999</v>
      </c>
      <c r="E9" s="839">
        <v>287.03130585000002</v>
      </c>
      <c r="F9" s="839">
        <v>178.76377816000002</v>
      </c>
      <c r="G9" s="839">
        <v>175.03233437</v>
      </c>
      <c r="H9" s="839">
        <v>177.31042966999999</v>
      </c>
      <c r="I9" s="839">
        <v>174.28806896000003</v>
      </c>
      <c r="J9" s="839">
        <v>173.90711790000003</v>
      </c>
      <c r="K9" s="839">
        <v>173.14828112000001</v>
      </c>
      <c r="L9" s="839">
        <v>164.53433554000003</v>
      </c>
      <c r="M9" s="840">
        <v>163.20123968000001</v>
      </c>
      <c r="N9" s="840">
        <v>160.71689906</v>
      </c>
      <c r="O9" s="840">
        <v>160.46908085000001</v>
      </c>
      <c r="P9" s="840">
        <v>161.51403843000003</v>
      </c>
      <c r="Q9" s="840">
        <v>138.43867263000001</v>
      </c>
      <c r="R9" s="840">
        <v>142.12255864000002</v>
      </c>
      <c r="S9" s="840">
        <v>144.79102319</v>
      </c>
      <c r="T9" s="840">
        <v>142.04191179</v>
      </c>
      <c r="U9" s="840">
        <v>144.24005866000002</v>
      </c>
      <c r="V9" s="840">
        <v>146.06559233000002</v>
      </c>
      <c r="W9" s="840">
        <v>148.89360317000001</v>
      </c>
      <c r="X9" s="840">
        <v>148.7892569</v>
      </c>
      <c r="Y9" s="840">
        <v>134.72375214000002</v>
      </c>
      <c r="Z9" s="840">
        <v>134.59415387000001</v>
      </c>
      <c r="AA9" s="840">
        <v>152.31823054</v>
      </c>
      <c r="AB9" s="840">
        <v>151.20703358</v>
      </c>
      <c r="AC9" s="840">
        <v>150.88162495999998</v>
      </c>
      <c r="AD9" s="840">
        <v>158.84689413000001</v>
      </c>
      <c r="AE9" s="840">
        <v>165.13177231999998</v>
      </c>
      <c r="AF9" s="840">
        <v>164.97885882</v>
      </c>
      <c r="AG9" s="840">
        <v>174.28674838000001</v>
      </c>
      <c r="AH9" s="840">
        <v>103.07259006000001</v>
      </c>
      <c r="AI9" s="840">
        <v>109.51482437999999</v>
      </c>
      <c r="AJ9" s="840">
        <v>104.74286409999999</v>
      </c>
      <c r="AK9" s="840">
        <v>135.42070587000001</v>
      </c>
      <c r="AL9" s="840">
        <v>131.40524945999999</v>
      </c>
      <c r="AM9" s="840">
        <v>128.94843634</v>
      </c>
      <c r="AN9" s="840">
        <v>128.82772116000001</v>
      </c>
      <c r="AO9" s="840">
        <v>128.87074984</v>
      </c>
      <c r="AP9" s="840">
        <v>122.35909971000001</v>
      </c>
      <c r="AQ9" s="840">
        <v>119.96831184000001</v>
      </c>
      <c r="AR9" s="840">
        <v>117.08372646000001</v>
      </c>
      <c r="AS9" s="840">
        <v>113.33478391999999</v>
      </c>
      <c r="AT9" s="840">
        <v>115.00534913</v>
      </c>
      <c r="AU9" s="840">
        <v>105.9276667</v>
      </c>
      <c r="AV9" s="840">
        <v>135.64527134000002</v>
      </c>
      <c r="AW9" s="840">
        <v>123.56784676000001</v>
      </c>
      <c r="AX9" s="840">
        <v>128.87327235000001</v>
      </c>
      <c r="AY9" s="840">
        <v>118.27619371999998</v>
      </c>
      <c r="AZ9" s="840">
        <v>119.04739961000001</v>
      </c>
      <c r="BA9" s="840">
        <v>119.22344769</v>
      </c>
      <c r="BB9" s="840">
        <v>127.60648642</v>
      </c>
      <c r="BC9" s="840">
        <v>120.09532649000001</v>
      </c>
      <c r="BD9" s="840">
        <v>117.05413166</v>
      </c>
      <c r="BE9" s="840">
        <v>112.35640069</v>
      </c>
      <c r="BF9" s="840">
        <v>107.00080903</v>
      </c>
      <c r="BG9" s="840">
        <v>105.86911676</v>
      </c>
      <c r="BH9" s="885">
        <v>102.44545586999999</v>
      </c>
      <c r="BI9" s="874">
        <v>99.875117109999991</v>
      </c>
      <c r="BJ9" s="874">
        <v>90.240412829999997</v>
      </c>
      <c r="BK9" s="874">
        <v>101.59994817</v>
      </c>
      <c r="BL9" s="874">
        <v>99.883356630000009</v>
      </c>
      <c r="BM9" s="874">
        <v>96.823836300000011</v>
      </c>
      <c r="BN9" s="874">
        <v>93.840992059999991</v>
      </c>
      <c r="BO9" s="874">
        <v>87.873353510000001</v>
      </c>
      <c r="BP9" s="874">
        <v>82.337467709999999</v>
      </c>
      <c r="BQ9" s="874">
        <v>90.605755200000004</v>
      </c>
      <c r="BR9" s="874">
        <v>85.885595480000006</v>
      </c>
      <c r="BS9" s="874">
        <v>84.765388059999992</v>
      </c>
      <c r="BT9" s="874">
        <v>82.044815629999988</v>
      </c>
      <c r="BU9" s="874">
        <v>77.111194799999993</v>
      </c>
      <c r="BV9" s="874">
        <v>75.937350960000003</v>
      </c>
      <c r="BW9" s="874">
        <v>73.447471460000003</v>
      </c>
      <c r="BX9" s="874">
        <v>75.018134799999999</v>
      </c>
      <c r="BY9" s="874">
        <v>74.814509780000009</v>
      </c>
      <c r="BZ9" s="874">
        <v>71.28229669000001</v>
      </c>
      <c r="CA9" s="874">
        <v>71.160310750000008</v>
      </c>
      <c r="CB9" s="874">
        <v>37.267150730000004</v>
      </c>
      <c r="CC9" s="874">
        <v>34.743146689999996</v>
      </c>
      <c r="CD9" s="874">
        <v>33.829707839999998</v>
      </c>
      <c r="CE9" s="874">
        <v>32.563461630000006</v>
      </c>
      <c r="CF9" s="874">
        <v>30.051031290000001</v>
      </c>
      <c r="CG9" s="874">
        <v>29.914680269999998</v>
      </c>
      <c r="CH9" s="874">
        <v>28.784889160000002</v>
      </c>
      <c r="CI9" s="874">
        <v>25.905592429999999</v>
      </c>
      <c r="CJ9" s="874">
        <v>26.10718194</v>
      </c>
      <c r="CK9" s="874">
        <v>24.227120580000001</v>
      </c>
      <c r="CL9" s="874">
        <v>23.694239969999998</v>
      </c>
      <c r="CM9" s="874">
        <v>23.336812760000001</v>
      </c>
      <c r="CN9" s="874">
        <v>22.140004189999999</v>
      </c>
      <c r="CO9" s="874">
        <v>12.325194809999999</v>
      </c>
      <c r="CP9" s="874">
        <v>12.9484838</v>
      </c>
      <c r="CQ9" s="874">
        <v>2.39123748</v>
      </c>
      <c r="CR9" s="874">
        <v>7.5252334899999997</v>
      </c>
      <c r="CS9" s="874">
        <v>5.3777110399999994</v>
      </c>
      <c r="CT9" s="874">
        <v>268.28105054999997</v>
      </c>
      <c r="CU9" s="874">
        <v>265.97732522000001</v>
      </c>
      <c r="CV9" s="874">
        <v>267.58293235000002</v>
      </c>
      <c r="CW9" s="874">
        <v>267.46906082999999</v>
      </c>
      <c r="CX9" s="874">
        <v>264.82072332000001</v>
      </c>
      <c r="CY9" s="874">
        <v>264.55922588999999</v>
      </c>
      <c r="CZ9" s="874">
        <v>259.76599436999999</v>
      </c>
      <c r="DA9" s="874">
        <v>256.55882308000002</v>
      </c>
      <c r="DB9" s="874">
        <v>255.61844984999999</v>
      </c>
      <c r="DC9" s="874">
        <v>255.86154368999999</v>
      </c>
      <c r="DD9" s="874">
        <v>255.77459844000001</v>
      </c>
      <c r="DE9" s="874">
        <v>256.07872295999999</v>
      </c>
      <c r="DF9" s="874">
        <v>255.72944038</v>
      </c>
      <c r="DG9" s="874">
        <v>255.79744651999999</v>
      </c>
      <c r="DH9" s="874">
        <v>257.69415103</v>
      </c>
      <c r="DI9" s="874">
        <v>257.58624103</v>
      </c>
      <c r="DJ9" s="874">
        <v>259.55549444000002</v>
      </c>
      <c r="DK9" s="874">
        <v>259.79918151999999</v>
      </c>
      <c r="DL9" s="874">
        <v>217.30785442000001</v>
      </c>
      <c r="DM9" s="874">
        <v>215.01245506000001</v>
      </c>
      <c r="DN9" s="874">
        <v>240.96042359</v>
      </c>
      <c r="DO9" s="874">
        <v>233.41907734</v>
      </c>
      <c r="DP9" s="874">
        <v>242.28323825000001</v>
      </c>
      <c r="DQ9" s="874">
        <v>231.04088942000001</v>
      </c>
      <c r="DR9" s="874">
        <v>189.6296553</v>
      </c>
      <c r="DS9" s="874">
        <v>192.41927181</v>
      </c>
      <c r="DT9" s="874">
        <v>208.07349857</v>
      </c>
      <c r="DU9" s="874">
        <v>210.70521676999999</v>
      </c>
      <c r="DV9" s="874">
        <v>240.9300738</v>
      </c>
      <c r="DW9" s="874">
        <v>270.33778192</v>
      </c>
      <c r="DX9" s="874">
        <v>262.95360976000001</v>
      </c>
      <c r="DY9" s="874">
        <v>286.41465613999998</v>
      </c>
      <c r="DZ9" s="874">
        <v>324.24537481999999</v>
      </c>
      <c r="EA9" s="874">
        <v>340.65460597999999</v>
      </c>
      <c r="EB9" s="874">
        <v>349.70952745</v>
      </c>
      <c r="EC9" s="874">
        <v>378.04751641000001</v>
      </c>
      <c r="ED9" s="874">
        <v>328.96143050000001</v>
      </c>
      <c r="EE9" s="874">
        <v>338.95553083999999</v>
      </c>
      <c r="EF9" s="874">
        <v>362.39984759999999</v>
      </c>
      <c r="EG9" s="874">
        <v>361.94658055000002</v>
      </c>
      <c r="EH9" s="874">
        <v>383.38934932000001</v>
      </c>
      <c r="EI9" s="874">
        <v>372.44733273999998</v>
      </c>
      <c r="EJ9" s="874">
        <v>362.13055849</v>
      </c>
      <c r="EK9" s="874">
        <v>358.82656322000003</v>
      </c>
      <c r="EL9" s="874">
        <v>363.27634269999999</v>
      </c>
      <c r="EM9" s="874">
        <v>356.55084568000001</v>
      </c>
      <c r="EN9" s="874">
        <v>353.43028709999999</v>
      </c>
      <c r="EO9" s="874">
        <v>306.48619237999998</v>
      </c>
      <c r="EP9" s="874">
        <v>312.32203339</v>
      </c>
      <c r="EQ9" s="874">
        <v>320.08000564999998</v>
      </c>
      <c r="ER9" s="874">
        <v>322.30891686000001</v>
      </c>
      <c r="ES9" s="874">
        <v>324.72266764</v>
      </c>
      <c r="ET9" s="874">
        <v>323.04942708999999</v>
      </c>
      <c r="EU9" s="1918" t="s">
        <v>1159</v>
      </c>
    </row>
    <row r="10" spans="1:151" ht="21">
      <c r="A10" s="1931" t="s">
        <v>1974</v>
      </c>
      <c r="B10" s="842">
        <v>226.93125953999999</v>
      </c>
      <c r="C10" s="842">
        <v>226.31229095999998</v>
      </c>
      <c r="D10" s="842">
        <v>226.30729095999999</v>
      </c>
      <c r="E10" s="842">
        <v>220.49555925000001</v>
      </c>
      <c r="F10" s="842">
        <v>113.70055925000001</v>
      </c>
      <c r="G10" s="842">
        <v>106.5400594</v>
      </c>
      <c r="H10" s="842">
        <v>106.24833840000001</v>
      </c>
      <c r="I10" s="842">
        <v>103.12080854000001</v>
      </c>
      <c r="J10" s="842">
        <v>102.8465084</v>
      </c>
      <c r="K10" s="842">
        <v>102.6165084</v>
      </c>
      <c r="L10" s="842">
        <v>93.90580854000001</v>
      </c>
      <c r="M10" s="843">
        <v>91.95650839999999</v>
      </c>
      <c r="N10" s="843">
        <v>89.05440883</v>
      </c>
      <c r="O10" s="843">
        <v>88.705808539999992</v>
      </c>
      <c r="P10" s="843">
        <v>86.555108689999997</v>
      </c>
      <c r="Q10" s="843">
        <v>84.805108689999997</v>
      </c>
      <c r="R10" s="843">
        <v>84.43937154000001</v>
      </c>
      <c r="S10" s="843">
        <v>84.088671690000012</v>
      </c>
      <c r="T10" s="843">
        <v>83.737971830000006</v>
      </c>
      <c r="U10" s="843">
        <v>83.389371540000013</v>
      </c>
      <c r="V10" s="843">
        <v>83.039371540000005</v>
      </c>
      <c r="W10" s="843">
        <v>82.739371540000008</v>
      </c>
      <c r="X10" s="843">
        <v>82.42080854000001</v>
      </c>
      <c r="Y10" s="843">
        <v>82.070808540000002</v>
      </c>
      <c r="Z10" s="843">
        <v>81.970808540000007</v>
      </c>
      <c r="AA10" s="843">
        <v>92.015725040000007</v>
      </c>
      <c r="AB10" s="843">
        <v>91.306626919999999</v>
      </c>
      <c r="AC10" s="843">
        <v>90.495860800000003</v>
      </c>
      <c r="AD10" s="843">
        <v>97.146759790000004</v>
      </c>
      <c r="AE10" s="843">
        <v>95.819570179999999</v>
      </c>
      <c r="AF10" s="843">
        <v>94.546667860000014</v>
      </c>
      <c r="AG10" s="843">
        <v>100.80315203000001</v>
      </c>
      <c r="AH10" s="843">
        <v>35.993458540000006</v>
      </c>
      <c r="AI10" s="843">
        <v>37.116718299999995</v>
      </c>
      <c r="AJ10" s="843">
        <v>32.776145640000003</v>
      </c>
      <c r="AK10" s="843">
        <v>32.133548529999999</v>
      </c>
      <c r="AL10" s="843">
        <v>31.39442798</v>
      </c>
      <c r="AM10" s="843">
        <v>30.285577610000001</v>
      </c>
      <c r="AN10" s="843">
        <v>29.50121386</v>
      </c>
      <c r="AO10" s="843">
        <v>32.281423410000002</v>
      </c>
      <c r="AP10" s="843">
        <v>30.193132200000001</v>
      </c>
      <c r="AQ10" s="843">
        <v>28.086202829999998</v>
      </c>
      <c r="AR10" s="843">
        <v>26.39009274</v>
      </c>
      <c r="AS10" s="843">
        <v>24.508873170000001</v>
      </c>
      <c r="AT10" s="843">
        <v>25.982158550000001</v>
      </c>
      <c r="AU10" s="843">
        <v>23.432755660000002</v>
      </c>
      <c r="AV10" s="843">
        <v>49.645195659999999</v>
      </c>
      <c r="AW10" s="843">
        <v>51.666771699999998</v>
      </c>
      <c r="AX10" s="843">
        <v>54.262324899999996</v>
      </c>
      <c r="AY10" s="843">
        <v>51.674734899999997</v>
      </c>
      <c r="AZ10" s="843">
        <v>65.08411246</v>
      </c>
      <c r="BA10" s="843">
        <v>65.939891240000009</v>
      </c>
      <c r="BB10" s="843">
        <v>65.748473700000005</v>
      </c>
      <c r="BC10" s="843">
        <v>57.915310600000005</v>
      </c>
      <c r="BD10" s="843">
        <v>55.264352819999999</v>
      </c>
      <c r="BE10" s="843">
        <v>54.577801829999999</v>
      </c>
      <c r="BF10" s="843">
        <v>54.331089810000002</v>
      </c>
      <c r="BG10" s="843">
        <v>53.604283550000005</v>
      </c>
      <c r="BH10" s="886">
        <v>52.750414829999997</v>
      </c>
      <c r="BI10" s="875">
        <v>51.612337960000005</v>
      </c>
      <c r="BJ10" s="875">
        <v>42.36714345</v>
      </c>
      <c r="BK10" s="875">
        <v>40.99879207</v>
      </c>
      <c r="BL10" s="875">
        <v>39.328081230000002</v>
      </c>
      <c r="BM10" s="875">
        <v>38.16989006</v>
      </c>
      <c r="BN10" s="875">
        <v>36.866625620000001</v>
      </c>
      <c r="BO10" s="875">
        <v>35.859079789999996</v>
      </c>
      <c r="BP10" s="875">
        <v>34.817243409999996</v>
      </c>
      <c r="BQ10" s="875">
        <v>45.438266660000004</v>
      </c>
      <c r="BR10" s="875">
        <v>40.729273570000004</v>
      </c>
      <c r="BS10" s="875">
        <v>39.672666399999997</v>
      </c>
      <c r="BT10" s="875">
        <v>38.616435339999995</v>
      </c>
      <c r="BU10" s="875">
        <v>37.068372289999999</v>
      </c>
      <c r="BV10" s="875">
        <v>35.945855510000001</v>
      </c>
      <c r="BW10" s="875">
        <v>35.118421040000001</v>
      </c>
      <c r="BX10" s="875">
        <v>36.69912704</v>
      </c>
      <c r="BY10" s="875">
        <v>36.505678580000001</v>
      </c>
      <c r="BZ10" s="875">
        <v>34.452527740000001</v>
      </c>
      <c r="CA10" s="875">
        <v>34.465849560000002</v>
      </c>
      <c r="CB10" s="875">
        <v>31.25086254</v>
      </c>
      <c r="CC10" s="875">
        <v>30.352338619999998</v>
      </c>
      <c r="CD10" s="875">
        <v>29.449716079999998</v>
      </c>
      <c r="CE10" s="875">
        <v>28.314360640000004</v>
      </c>
      <c r="CF10" s="875">
        <v>27.55791511</v>
      </c>
      <c r="CG10" s="875">
        <v>27.31313725</v>
      </c>
      <c r="CH10" s="875">
        <v>26.348063369999998</v>
      </c>
      <c r="CI10" s="875">
        <v>25.395275239999997</v>
      </c>
      <c r="CJ10" s="875">
        <v>25.764858279999999</v>
      </c>
      <c r="CK10" s="875">
        <v>24.190285169999999</v>
      </c>
      <c r="CL10" s="875">
        <v>23.45346017</v>
      </c>
      <c r="CM10" s="875">
        <v>22.908304080000001</v>
      </c>
      <c r="CN10" s="875">
        <v>21.774004189999999</v>
      </c>
      <c r="CO10" s="875">
        <v>11.905194809999999</v>
      </c>
      <c r="CP10" s="875">
        <v>11.430273440000001</v>
      </c>
      <c r="CQ10" s="875">
        <v>0.91559407999999998</v>
      </c>
      <c r="CR10" s="875">
        <v>5.5972986599999999</v>
      </c>
      <c r="CS10" s="875">
        <v>3.4722591599999997</v>
      </c>
      <c r="CT10" s="875">
        <v>258.48572328</v>
      </c>
      <c r="CU10" s="875">
        <v>256.17170568</v>
      </c>
      <c r="CV10" s="875">
        <v>257.5</v>
      </c>
      <c r="CW10" s="875">
        <v>255.7</v>
      </c>
      <c r="CX10" s="875">
        <v>255.2</v>
      </c>
      <c r="CY10" s="875">
        <v>255</v>
      </c>
      <c r="CZ10" s="875">
        <v>256.10124980000001</v>
      </c>
      <c r="DA10" s="875">
        <v>255</v>
      </c>
      <c r="DB10" s="875">
        <v>255</v>
      </c>
      <c r="DC10" s="875">
        <v>255</v>
      </c>
      <c r="DD10" s="875">
        <v>255</v>
      </c>
      <c r="DE10" s="875">
        <v>255</v>
      </c>
      <c r="DF10" s="875">
        <v>255</v>
      </c>
      <c r="DG10" s="875">
        <v>255</v>
      </c>
      <c r="DH10" s="875">
        <v>255</v>
      </c>
      <c r="DI10" s="875">
        <v>255</v>
      </c>
      <c r="DJ10" s="875">
        <v>255</v>
      </c>
      <c r="DK10" s="875">
        <v>255</v>
      </c>
      <c r="DL10" s="875">
        <v>212.5</v>
      </c>
      <c r="DM10" s="875">
        <v>212.5</v>
      </c>
      <c r="DN10" s="875">
        <v>237.184</v>
      </c>
      <c r="DO10" s="875">
        <v>230.06244519000001</v>
      </c>
      <c r="DP10" s="875">
        <v>240.27335149000001</v>
      </c>
      <c r="DQ10" s="875">
        <v>228.31997842000001</v>
      </c>
      <c r="DR10" s="875">
        <v>185.40361494999999</v>
      </c>
      <c r="DS10" s="875">
        <v>183.14157581000001</v>
      </c>
      <c r="DT10" s="875">
        <v>199.15740824</v>
      </c>
      <c r="DU10" s="875">
        <v>201.39077915999999</v>
      </c>
      <c r="DV10" s="875">
        <v>229.19583703999999</v>
      </c>
      <c r="DW10" s="875">
        <v>257.21084524000003</v>
      </c>
      <c r="DX10" s="875">
        <v>247.80310592999999</v>
      </c>
      <c r="DY10" s="875">
        <v>269.86791536999999</v>
      </c>
      <c r="DZ10" s="875">
        <v>307.85537169000003</v>
      </c>
      <c r="EA10" s="875">
        <v>328.84181409000001</v>
      </c>
      <c r="EB10" s="875">
        <v>328.84181409000001</v>
      </c>
      <c r="EC10" s="875">
        <v>361.01696808999998</v>
      </c>
      <c r="ED10" s="875">
        <v>310.86696809</v>
      </c>
      <c r="EE10" s="875">
        <v>321.04594528000001</v>
      </c>
      <c r="EF10" s="875">
        <v>344.42953288000001</v>
      </c>
      <c r="EG10" s="875">
        <v>343.27106695999998</v>
      </c>
      <c r="EH10" s="875">
        <v>364.59611002999998</v>
      </c>
      <c r="EI10" s="875">
        <v>353.84121303000001</v>
      </c>
      <c r="EJ10" s="875">
        <v>343.25788814999999</v>
      </c>
      <c r="EK10" s="875">
        <v>339.63407346000002</v>
      </c>
      <c r="EL10" s="875">
        <v>346.76299963000002</v>
      </c>
      <c r="EM10" s="875">
        <v>353.66124896000002</v>
      </c>
      <c r="EN10" s="875">
        <v>350.03031329999999</v>
      </c>
      <c r="EO10" s="875">
        <v>302.87005216</v>
      </c>
      <c r="EP10" s="875">
        <v>306.75405216000001</v>
      </c>
      <c r="EQ10" s="875">
        <v>314.55092622000001</v>
      </c>
      <c r="ER10" s="875">
        <v>317.25793399999998</v>
      </c>
      <c r="ES10" s="875">
        <v>317.96059366999998</v>
      </c>
      <c r="ET10" s="875">
        <v>315.98757413999999</v>
      </c>
      <c r="EU10" s="1920" t="s">
        <v>4086</v>
      </c>
    </row>
    <row r="11" spans="1:151" ht="21">
      <c r="A11" s="1931" t="s">
        <v>1975</v>
      </c>
      <c r="B11" s="839">
        <f>+B9-B10</f>
        <v>144.44359840999999</v>
      </c>
      <c r="C11" s="839">
        <f t="shared" ref="C11:V11" si="0">+C9-C10</f>
        <v>54.368064189999984</v>
      </c>
      <c r="D11" s="839">
        <f t="shared" si="0"/>
        <v>54.914560649999999</v>
      </c>
      <c r="E11" s="839">
        <f t="shared" si="0"/>
        <v>66.53574660000001</v>
      </c>
      <c r="F11" s="839">
        <f t="shared" si="0"/>
        <v>65.063218910000003</v>
      </c>
      <c r="G11" s="839">
        <f t="shared" si="0"/>
        <v>68.492274969999997</v>
      </c>
      <c r="H11" s="839">
        <f t="shared" si="0"/>
        <v>71.062091269999982</v>
      </c>
      <c r="I11" s="839">
        <f t="shared" si="0"/>
        <v>71.167260420000019</v>
      </c>
      <c r="J11" s="839">
        <f t="shared" si="0"/>
        <v>71.060609500000027</v>
      </c>
      <c r="K11" s="839">
        <f t="shared" si="0"/>
        <v>70.531772720000006</v>
      </c>
      <c r="L11" s="839">
        <f t="shared" si="0"/>
        <v>70.62852700000002</v>
      </c>
      <c r="M11" s="843">
        <f t="shared" si="0"/>
        <v>71.244731280000025</v>
      </c>
      <c r="N11" s="840">
        <f t="shared" si="0"/>
        <v>71.662490230000003</v>
      </c>
      <c r="O11" s="840">
        <f t="shared" si="0"/>
        <v>71.763272310000019</v>
      </c>
      <c r="P11" s="840">
        <f t="shared" si="0"/>
        <v>74.958929740000031</v>
      </c>
      <c r="Q11" s="840">
        <f t="shared" si="0"/>
        <v>53.633563940000016</v>
      </c>
      <c r="R11" s="840">
        <f t="shared" si="0"/>
        <v>57.683187100000012</v>
      </c>
      <c r="S11" s="840">
        <f t="shared" si="0"/>
        <v>60.702351499999992</v>
      </c>
      <c r="T11" s="840">
        <f t="shared" si="0"/>
        <v>58.303939959999994</v>
      </c>
      <c r="U11" s="840">
        <f t="shared" si="0"/>
        <v>60.850687120000003</v>
      </c>
      <c r="V11" s="840">
        <f t="shared" si="0"/>
        <v>63.026220790000011</v>
      </c>
      <c r="W11" s="840">
        <v>66.154231629999998</v>
      </c>
      <c r="X11" s="840">
        <v>66.368448359999988</v>
      </c>
      <c r="Y11" s="843">
        <v>52.652943600000015</v>
      </c>
      <c r="Z11" s="840">
        <v>52.623345330000006</v>
      </c>
      <c r="AA11" s="840">
        <v>60.302505499999995</v>
      </c>
      <c r="AB11" s="843">
        <v>59.900406660000002</v>
      </c>
      <c r="AC11" s="843">
        <v>60.385764159999979</v>
      </c>
      <c r="AD11" s="843">
        <v>61.700134340000005</v>
      </c>
      <c r="AE11" s="843">
        <v>69.312202139999982</v>
      </c>
      <c r="AF11" s="843">
        <v>70.432190959999986</v>
      </c>
      <c r="AG11" s="843">
        <v>73.483596349999999</v>
      </c>
      <c r="AH11" s="843">
        <f>+AH9-AH10</f>
        <v>67.079131520000004</v>
      </c>
      <c r="AI11" s="843">
        <v>72.398106079999991</v>
      </c>
      <c r="AJ11" s="843">
        <f>+AJ9-AJ10</f>
        <v>71.966718459999981</v>
      </c>
      <c r="AK11" s="843">
        <f>+AK9-AK10</f>
        <v>103.28715734000001</v>
      </c>
      <c r="AL11" s="843">
        <v>100.01082147999999</v>
      </c>
      <c r="AM11" s="843">
        <f>+AM9-AM10</f>
        <v>98.662858729999996</v>
      </c>
      <c r="AN11" s="843">
        <f>+AN9-AN10</f>
        <v>99.326507300000003</v>
      </c>
      <c r="AO11" s="843">
        <f>+AO9-AO10</f>
        <v>96.58932643</v>
      </c>
      <c r="AP11" s="843">
        <f>+AP9-AP10</f>
        <v>92.165967510000002</v>
      </c>
      <c r="AQ11" s="843">
        <v>91.882109010000022</v>
      </c>
      <c r="AR11" s="843">
        <f>+AR9-AR10</f>
        <v>90.693633720000008</v>
      </c>
      <c r="AS11" s="843">
        <f>+AS9-AS10</f>
        <v>88.825910749999991</v>
      </c>
      <c r="AT11" s="843">
        <f>+AT9-AT10</f>
        <v>89.023190580000005</v>
      </c>
      <c r="AU11" s="843">
        <v>82.494911040000005</v>
      </c>
      <c r="AV11" s="843">
        <v>86.000075680000023</v>
      </c>
      <c r="AW11" s="843">
        <v>71.901075060000011</v>
      </c>
      <c r="AX11" s="843">
        <v>74.610947450000012</v>
      </c>
      <c r="AY11" s="843">
        <v>66.601458819999976</v>
      </c>
      <c r="AZ11" s="843">
        <v>53.963287150000014</v>
      </c>
      <c r="BA11" s="843">
        <v>53.283556449999992</v>
      </c>
      <c r="BB11" s="843">
        <v>61.858012719999991</v>
      </c>
      <c r="BC11" s="843">
        <v>62.18001589</v>
      </c>
      <c r="BD11" s="843">
        <f>+BD9-BD10</f>
        <v>61.789778839999997</v>
      </c>
      <c r="BE11" s="843">
        <v>57.778598860000002</v>
      </c>
      <c r="BF11" s="843">
        <v>52.669719219999998</v>
      </c>
      <c r="BG11" s="843">
        <v>52.264833209999992</v>
      </c>
      <c r="BH11" s="886">
        <v>49.695041039999992</v>
      </c>
      <c r="BI11" s="875">
        <v>48.262779149999986</v>
      </c>
      <c r="BJ11" s="875">
        <v>47.873269379999996</v>
      </c>
      <c r="BK11" s="875">
        <v>60.601156100000004</v>
      </c>
      <c r="BL11" s="875">
        <v>60.555275400000006</v>
      </c>
      <c r="BM11" s="875">
        <v>58.65394624000001</v>
      </c>
      <c r="BN11" s="875">
        <v>56.97436643999999</v>
      </c>
      <c r="BO11" s="875">
        <v>52.014273720000006</v>
      </c>
      <c r="BP11" s="875">
        <v>47.520224300000002</v>
      </c>
      <c r="BQ11" s="875">
        <v>45.167488540000001</v>
      </c>
      <c r="BR11" s="875">
        <v>45.156321910000003</v>
      </c>
      <c r="BS11" s="875">
        <v>45.092721659999995</v>
      </c>
      <c r="BT11" s="875">
        <v>43.428380289999993</v>
      </c>
      <c r="BU11" s="875">
        <v>40.042822509999993</v>
      </c>
      <c r="BV11" s="875">
        <v>39.991495450000002</v>
      </c>
      <c r="BW11" s="875">
        <v>38.329050420000002</v>
      </c>
      <c r="BX11" s="875">
        <v>38.319007759999998</v>
      </c>
      <c r="BY11" s="875">
        <v>38.308831200000007</v>
      </c>
      <c r="BZ11" s="875">
        <v>36.829768950000009</v>
      </c>
      <c r="CA11" s="875">
        <v>36.694461190000006</v>
      </c>
      <c r="CB11" s="875">
        <v>6.0162881900000045</v>
      </c>
      <c r="CC11" s="875">
        <v>4.3908080699999985</v>
      </c>
      <c r="CD11" s="875">
        <v>4.3799917599999993</v>
      </c>
      <c r="CE11" s="875">
        <f t="shared" ref="CE11:CO11" si="1">+CE9-CE10</f>
        <v>4.2491009900000023</v>
      </c>
      <c r="CF11" s="875">
        <f t="shared" si="1"/>
        <v>2.4931161800000012</v>
      </c>
      <c r="CG11" s="875">
        <f t="shared" si="1"/>
        <v>2.6015430199999976</v>
      </c>
      <c r="CH11" s="875">
        <f t="shared" si="1"/>
        <v>2.4368257900000039</v>
      </c>
      <c r="CI11" s="875">
        <f t="shared" si="1"/>
        <v>0.51031719000000209</v>
      </c>
      <c r="CJ11" s="875">
        <f t="shared" si="1"/>
        <v>0.34232366000000169</v>
      </c>
      <c r="CK11" s="875">
        <f t="shared" si="1"/>
        <v>3.68354100000019E-2</v>
      </c>
      <c r="CL11" s="875">
        <f t="shared" si="1"/>
        <v>0.24077979999999854</v>
      </c>
      <c r="CM11" s="875">
        <f t="shared" si="1"/>
        <v>0.4285086800000002</v>
      </c>
      <c r="CN11" s="875">
        <f t="shared" si="1"/>
        <v>0.36599999999999966</v>
      </c>
      <c r="CO11" s="875">
        <f t="shared" si="1"/>
        <v>0.41999999999999993</v>
      </c>
      <c r="CP11" s="875">
        <f>+CP9-CP10</f>
        <v>1.5182103599999994</v>
      </c>
      <c r="CQ11" s="875">
        <f>+CQ9-CQ10</f>
        <v>1.4756434</v>
      </c>
      <c r="CR11" s="875">
        <f>+CR9-CR10</f>
        <v>1.9279348299999999</v>
      </c>
      <c r="CS11" s="875">
        <f>+CS9-CS10</f>
        <v>1.9054518799999998</v>
      </c>
      <c r="CT11" s="875">
        <v>9.7953272699999996</v>
      </c>
      <c r="CU11" s="875">
        <v>9.8056195400000004</v>
      </c>
      <c r="CV11" s="875">
        <v>10.08293235</v>
      </c>
      <c r="CW11" s="875">
        <v>11.769060830000001</v>
      </c>
      <c r="CX11" s="875">
        <v>9.6207233199999997</v>
      </c>
      <c r="CY11" s="875">
        <v>9.5592258900000004</v>
      </c>
      <c r="CZ11" s="875">
        <v>3.6647445699999999</v>
      </c>
      <c r="DA11" s="875">
        <v>1.55882308</v>
      </c>
      <c r="DB11" s="875">
        <v>0.61844984999999997</v>
      </c>
      <c r="DC11" s="875">
        <v>0.86154368999999997</v>
      </c>
      <c r="DD11" s="875">
        <v>0.77459844</v>
      </c>
      <c r="DE11" s="875">
        <v>1.0787229599999999</v>
      </c>
      <c r="DF11" s="875">
        <v>0.72944038</v>
      </c>
      <c r="DG11" s="875">
        <v>0.79744652000000005</v>
      </c>
      <c r="DH11" s="875">
        <v>2.69415103</v>
      </c>
      <c r="DI11" s="875">
        <v>2.5862410300000001</v>
      </c>
      <c r="DJ11" s="875">
        <v>4.5554944400000004</v>
      </c>
      <c r="DK11" s="875">
        <v>4.7991815200000003</v>
      </c>
      <c r="DL11" s="875">
        <v>4.80785442</v>
      </c>
      <c r="DM11" s="875">
        <v>2.5124550600000002</v>
      </c>
      <c r="DN11" s="875">
        <v>3.7764235899999998</v>
      </c>
      <c r="DO11" s="875">
        <v>3.3566321499999998</v>
      </c>
      <c r="DP11" s="875">
        <v>2.0098867600000001</v>
      </c>
      <c r="DQ11" s="875">
        <v>2.7209110000000001</v>
      </c>
      <c r="DR11" s="875">
        <v>4.2260403499999999</v>
      </c>
      <c r="DS11" s="875">
        <v>9.2776960000000006</v>
      </c>
      <c r="DT11" s="875">
        <v>8.9160903299999994</v>
      </c>
      <c r="DU11" s="875">
        <v>9.3144376100000006</v>
      </c>
      <c r="DV11" s="875">
        <v>11.73423676</v>
      </c>
      <c r="DW11" s="875">
        <v>13.12693668</v>
      </c>
      <c r="DX11" s="875">
        <v>15.15050383</v>
      </c>
      <c r="DY11" s="875">
        <v>16.54674077</v>
      </c>
      <c r="DZ11" s="875">
        <v>16.39000313</v>
      </c>
      <c r="EA11" s="875">
        <v>11.81279189</v>
      </c>
      <c r="EB11" s="875">
        <v>20.86771336</v>
      </c>
      <c r="EC11" s="875">
        <v>17.030548320000001</v>
      </c>
      <c r="ED11" s="875">
        <v>18.094462409999998</v>
      </c>
      <c r="EE11" s="875">
        <v>17.90958556</v>
      </c>
      <c r="EF11" s="875">
        <v>17.970314720000001</v>
      </c>
      <c r="EG11" s="875">
        <v>18.675513590000001</v>
      </c>
      <c r="EH11" s="875">
        <v>18.793239289999999</v>
      </c>
      <c r="EI11" s="875">
        <v>18.606119710000002</v>
      </c>
      <c r="EJ11" s="875">
        <v>18.872670339999999</v>
      </c>
      <c r="EK11" s="875">
        <v>19.192489760000001</v>
      </c>
      <c r="EL11" s="875">
        <v>16.513343070000001</v>
      </c>
      <c r="EM11" s="875">
        <v>2.8895967200000001</v>
      </c>
      <c r="EN11" s="875">
        <v>3.3999738000000002</v>
      </c>
      <c r="EO11" s="875">
        <v>3.6161402200000001</v>
      </c>
      <c r="EP11" s="875">
        <v>5.56798123</v>
      </c>
      <c r="EQ11" s="875">
        <v>5.5290794300000004</v>
      </c>
      <c r="ER11" s="875">
        <v>5.0509828600000004</v>
      </c>
      <c r="ES11" s="875">
        <v>6.7620739700000003</v>
      </c>
      <c r="ET11" s="875">
        <v>7.0618529499999996</v>
      </c>
      <c r="EU11" s="1920" t="s">
        <v>4085</v>
      </c>
    </row>
    <row r="12" spans="1:151" ht="21">
      <c r="A12" s="1929"/>
      <c r="B12" s="842"/>
      <c r="C12" s="842"/>
      <c r="D12" s="842"/>
      <c r="E12" s="842"/>
      <c r="F12" s="842"/>
      <c r="G12" s="842"/>
      <c r="H12" s="842"/>
      <c r="I12" s="842"/>
      <c r="J12" s="842"/>
      <c r="K12" s="842"/>
      <c r="L12" s="842"/>
      <c r="M12" s="843"/>
      <c r="N12" s="843"/>
      <c r="O12" s="843"/>
      <c r="P12" s="843"/>
      <c r="Q12" s="843"/>
      <c r="R12" s="843"/>
      <c r="S12" s="843"/>
      <c r="T12" s="843"/>
      <c r="U12" s="843"/>
      <c r="V12" s="843"/>
      <c r="W12" s="843"/>
      <c r="X12" s="843"/>
      <c r="Y12" s="843"/>
      <c r="Z12" s="843"/>
      <c r="AA12" s="843"/>
      <c r="AB12" s="843"/>
      <c r="AC12" s="843"/>
      <c r="AD12" s="843"/>
      <c r="AE12" s="843"/>
      <c r="AF12" s="843"/>
      <c r="AG12" s="843"/>
      <c r="AH12" s="843"/>
      <c r="AI12" s="843"/>
      <c r="AJ12" s="843"/>
      <c r="AK12" s="843"/>
      <c r="AL12" s="843"/>
      <c r="AM12" s="843"/>
      <c r="AN12" s="843"/>
      <c r="AO12" s="843"/>
      <c r="AP12" s="843"/>
      <c r="AQ12" s="843"/>
      <c r="AR12" s="843"/>
      <c r="AS12" s="843"/>
      <c r="AT12" s="843"/>
      <c r="AU12" s="843"/>
      <c r="AV12" s="843"/>
      <c r="AW12" s="843"/>
      <c r="AX12" s="843"/>
      <c r="AY12" s="843"/>
      <c r="AZ12" s="843"/>
      <c r="BA12" s="843"/>
      <c r="BB12" s="843"/>
      <c r="BC12" s="843"/>
      <c r="BD12" s="843"/>
      <c r="BE12" s="843"/>
      <c r="BF12" s="843"/>
      <c r="BG12" s="843"/>
      <c r="BH12" s="886"/>
      <c r="BI12" s="875"/>
      <c r="BJ12" s="875"/>
      <c r="BK12" s="875"/>
      <c r="BL12" s="875"/>
      <c r="BM12" s="875"/>
      <c r="BN12" s="875"/>
      <c r="BO12" s="875"/>
      <c r="BP12" s="875"/>
      <c r="BQ12" s="875"/>
      <c r="BR12" s="875"/>
      <c r="BS12" s="875"/>
      <c r="BT12" s="875"/>
      <c r="BU12" s="875"/>
      <c r="BV12" s="875"/>
      <c r="BW12" s="875"/>
      <c r="BX12" s="875"/>
      <c r="BY12" s="875"/>
      <c r="BZ12" s="875"/>
      <c r="CA12" s="875"/>
      <c r="CB12" s="875"/>
      <c r="CC12" s="875"/>
      <c r="CD12" s="875"/>
      <c r="CE12" s="875"/>
      <c r="CF12" s="875"/>
      <c r="CG12" s="875"/>
      <c r="CH12" s="875"/>
      <c r="CI12" s="875"/>
      <c r="CJ12" s="875"/>
      <c r="CK12" s="875"/>
      <c r="CL12" s="875"/>
      <c r="CM12" s="875"/>
      <c r="CN12" s="875"/>
      <c r="CO12" s="875"/>
      <c r="CP12" s="875"/>
      <c r="CQ12" s="875"/>
      <c r="CR12" s="875"/>
      <c r="CS12" s="875"/>
      <c r="CT12" s="875"/>
      <c r="CU12" s="875"/>
      <c r="CV12" s="875"/>
      <c r="CW12" s="875"/>
      <c r="CX12" s="875"/>
      <c r="CY12" s="875"/>
      <c r="CZ12" s="875"/>
      <c r="DA12" s="875"/>
      <c r="DB12" s="875"/>
      <c r="DC12" s="875"/>
      <c r="DD12" s="875"/>
      <c r="DE12" s="875"/>
      <c r="DF12" s="875"/>
      <c r="DG12" s="875"/>
      <c r="DH12" s="875"/>
      <c r="DI12" s="875"/>
      <c r="DJ12" s="875"/>
      <c r="DK12" s="875"/>
      <c r="DL12" s="875"/>
      <c r="DM12" s="875"/>
      <c r="DN12" s="875"/>
      <c r="DO12" s="875"/>
      <c r="DP12" s="875"/>
      <c r="DQ12" s="875"/>
      <c r="DR12" s="875"/>
      <c r="DS12" s="875"/>
      <c r="DT12" s="875"/>
      <c r="DU12" s="875"/>
      <c r="DV12" s="875"/>
      <c r="DW12" s="875"/>
      <c r="DX12" s="875"/>
      <c r="DY12" s="875"/>
      <c r="DZ12" s="875"/>
      <c r="EA12" s="875"/>
      <c r="EB12" s="875"/>
      <c r="EC12" s="875"/>
      <c r="ED12" s="875"/>
      <c r="EE12" s="875"/>
      <c r="EF12" s="875"/>
      <c r="EG12" s="875"/>
      <c r="EH12" s="875"/>
      <c r="EI12" s="875"/>
      <c r="EJ12" s="875"/>
      <c r="EK12" s="875"/>
      <c r="EL12" s="875"/>
      <c r="EM12" s="875"/>
      <c r="EN12" s="875"/>
      <c r="EO12" s="875"/>
      <c r="EP12" s="875"/>
      <c r="EQ12" s="875"/>
      <c r="ER12" s="875"/>
      <c r="ES12" s="875"/>
      <c r="ET12" s="875"/>
      <c r="EU12" s="1919"/>
    </row>
    <row r="13" spans="1:151" ht="21">
      <c r="A13" s="1930" t="s">
        <v>2756</v>
      </c>
      <c r="B13" s="839">
        <v>153.78120507</v>
      </c>
      <c r="C13" s="839">
        <v>148.65791475</v>
      </c>
      <c r="D13" s="839">
        <v>149.27022868999998</v>
      </c>
      <c r="E13" s="839">
        <v>143.65183855000001</v>
      </c>
      <c r="F13" s="839">
        <v>135.64749677</v>
      </c>
      <c r="G13" s="839">
        <v>130.74177667999999</v>
      </c>
      <c r="H13" s="839">
        <v>130.97984638</v>
      </c>
      <c r="I13" s="839">
        <v>129.03827950000002</v>
      </c>
      <c r="J13" s="839">
        <v>129.01520756000002</v>
      </c>
      <c r="K13" s="839">
        <v>129.59552644999999</v>
      </c>
      <c r="L13" s="839">
        <v>121.25965647000001</v>
      </c>
      <c r="M13" s="840">
        <v>119.35814605</v>
      </c>
      <c r="N13" s="840">
        <v>117.36450184</v>
      </c>
      <c r="O13" s="840">
        <v>117.60055367</v>
      </c>
      <c r="P13" s="840">
        <v>118.67695535000001</v>
      </c>
      <c r="Q13" s="840">
        <v>102.68353318000001</v>
      </c>
      <c r="R13" s="840">
        <v>106.42985264000001</v>
      </c>
      <c r="S13" s="840">
        <v>108.76789989000001</v>
      </c>
      <c r="T13" s="840">
        <v>107.82288138</v>
      </c>
      <c r="U13" s="840">
        <v>109.04100210000001</v>
      </c>
      <c r="V13" s="840">
        <v>112.24619067</v>
      </c>
      <c r="W13" s="840">
        <v>113.77042580000001</v>
      </c>
      <c r="X13" s="840">
        <v>113.55535021000001</v>
      </c>
      <c r="Y13" s="840">
        <v>103.86732886000001</v>
      </c>
      <c r="Z13" s="840">
        <v>103.90177465000001</v>
      </c>
      <c r="AA13" s="840">
        <v>91.067124990000011</v>
      </c>
      <c r="AB13" s="840">
        <v>90.604594680000005</v>
      </c>
      <c r="AC13" s="840">
        <v>91.359265249999993</v>
      </c>
      <c r="AD13" s="840">
        <v>93.157632090000007</v>
      </c>
      <c r="AE13" s="840">
        <v>101.16659505</v>
      </c>
      <c r="AF13" s="840">
        <v>104.94196506</v>
      </c>
      <c r="AG13" s="840">
        <v>108.35662965</v>
      </c>
      <c r="AH13" s="840">
        <v>49.770423029999996</v>
      </c>
      <c r="AI13" s="840">
        <v>57.555811949999999</v>
      </c>
      <c r="AJ13" s="840">
        <v>54.139758860000001</v>
      </c>
      <c r="AK13" s="840">
        <v>78.493067609999997</v>
      </c>
      <c r="AL13" s="840">
        <v>75.176960960000002</v>
      </c>
      <c r="AM13" s="840">
        <v>74.036391960000003</v>
      </c>
      <c r="AN13" s="840">
        <v>73.354791779999999</v>
      </c>
      <c r="AO13" s="840">
        <v>71.859168629999999</v>
      </c>
      <c r="AP13" s="840">
        <v>67.612506750000009</v>
      </c>
      <c r="AQ13" s="840">
        <v>67.095835660000006</v>
      </c>
      <c r="AR13" s="840">
        <v>67.364741790000011</v>
      </c>
      <c r="AS13" s="840">
        <v>65.259038129999993</v>
      </c>
      <c r="AT13" s="840">
        <v>64.880237039999997</v>
      </c>
      <c r="AU13" s="840">
        <v>64.275102779999997</v>
      </c>
      <c r="AV13" s="840">
        <v>67.552733880000005</v>
      </c>
      <c r="AW13" s="840">
        <v>66.67463592</v>
      </c>
      <c r="AX13" s="840">
        <v>69.268577239999999</v>
      </c>
      <c r="AY13" s="840">
        <v>61.794307159999995</v>
      </c>
      <c r="AZ13" s="840">
        <v>50.072883250000004</v>
      </c>
      <c r="BA13" s="840">
        <v>48.545962830000001</v>
      </c>
      <c r="BB13" s="840">
        <v>52.638946050000001</v>
      </c>
      <c r="BC13" s="840">
        <v>52.654097829999998</v>
      </c>
      <c r="BD13" s="840">
        <v>52.65178994</v>
      </c>
      <c r="BE13" s="840">
        <v>48.669767230000005</v>
      </c>
      <c r="BF13" s="840">
        <v>44.446705659999999</v>
      </c>
      <c r="BG13" s="840">
        <v>44.446705659999999</v>
      </c>
      <c r="BH13" s="885">
        <v>41.895587880000001</v>
      </c>
      <c r="BI13" s="874">
        <v>40.486970289999995</v>
      </c>
      <c r="BJ13" s="874">
        <v>40.516970289999996</v>
      </c>
      <c r="BK13" s="874">
        <v>40.512233129999998</v>
      </c>
      <c r="BL13" s="874">
        <v>40.489406039999999</v>
      </c>
      <c r="BM13" s="874">
        <v>40.032493000000002</v>
      </c>
      <c r="BN13" s="874">
        <v>39.967492999999997</v>
      </c>
      <c r="BO13" s="874">
        <v>35.028252999999999</v>
      </c>
      <c r="BP13" s="874">
        <v>35.029253000000004</v>
      </c>
      <c r="BQ13" s="874">
        <v>34.281489000000001</v>
      </c>
      <c r="BR13" s="874">
        <v>34.281489000000001</v>
      </c>
      <c r="BS13" s="874">
        <v>34.281489000000001</v>
      </c>
      <c r="BT13" s="874">
        <v>34.281489000000001</v>
      </c>
      <c r="BU13" s="874">
        <v>30.958452999999999</v>
      </c>
      <c r="BV13" s="874">
        <v>30.747237510000001</v>
      </c>
      <c r="BW13" s="874">
        <v>30.688452999999999</v>
      </c>
      <c r="BX13" s="874">
        <v>31.398453</v>
      </c>
      <c r="BY13" s="874">
        <v>32.080717</v>
      </c>
      <c r="BZ13" s="874">
        <v>31.4415306</v>
      </c>
      <c r="CA13" s="874">
        <v>32.218453000000004</v>
      </c>
      <c r="CB13" s="874">
        <v>2.1000000000000001E-2</v>
      </c>
      <c r="CC13" s="874">
        <v>0</v>
      </c>
      <c r="CD13" s="874">
        <v>0</v>
      </c>
      <c r="CE13" s="874">
        <v>0.03</v>
      </c>
      <c r="CF13" s="874">
        <v>0.03</v>
      </c>
      <c r="CG13" s="874">
        <v>0.89372143999999998</v>
      </c>
      <c r="CH13" s="874">
        <v>0.88461432000000007</v>
      </c>
      <c r="CI13" s="874">
        <v>0.71686643000000005</v>
      </c>
      <c r="CJ13" s="874">
        <v>2.036</v>
      </c>
      <c r="CK13" s="874">
        <v>1.3</v>
      </c>
      <c r="CL13" s="874">
        <v>1.516</v>
      </c>
      <c r="CM13" s="874">
        <v>1.94174388</v>
      </c>
      <c r="CN13" s="874">
        <v>2.0021421200000002</v>
      </c>
      <c r="CO13" s="874">
        <v>0.95909292999999995</v>
      </c>
      <c r="CP13" s="874">
        <v>1.26548393</v>
      </c>
      <c r="CQ13" s="874">
        <v>0.88787187000000001</v>
      </c>
      <c r="CR13" s="874">
        <v>5.7494072300000001</v>
      </c>
      <c r="CS13" s="874">
        <v>3.7100468199999996</v>
      </c>
      <c r="CT13" s="874">
        <v>11.7092613</v>
      </c>
      <c r="CU13" s="874">
        <v>9.48452582</v>
      </c>
      <c r="CV13" s="874">
        <v>11.21559536</v>
      </c>
      <c r="CW13" s="874">
        <v>11.12559536</v>
      </c>
      <c r="CX13" s="874">
        <v>8.5008375399999991</v>
      </c>
      <c r="CY13" s="874">
        <v>8.2499000000000002</v>
      </c>
      <c r="CZ13" s="874">
        <v>3.46744575</v>
      </c>
      <c r="DA13" s="874">
        <v>0.27100000000000002</v>
      </c>
      <c r="DB13" s="874">
        <v>0.32025057000000001</v>
      </c>
      <c r="DC13" s="874">
        <v>0.57429859000000005</v>
      </c>
      <c r="DD13" s="874">
        <v>0.49833171999999998</v>
      </c>
      <c r="DE13" s="874">
        <v>0.51682645000000005</v>
      </c>
      <c r="DF13" s="874">
        <v>0.39538617999999998</v>
      </c>
      <c r="DG13" s="874">
        <v>0.47737679</v>
      </c>
      <c r="DH13" s="874">
        <v>2.3483471699999998</v>
      </c>
      <c r="DI13" s="874">
        <v>2.1962793700000001</v>
      </c>
      <c r="DJ13" s="874">
        <v>2.4106611199999999</v>
      </c>
      <c r="DK13" s="874">
        <v>2.6719665099999999</v>
      </c>
      <c r="DL13" s="874">
        <v>2.6986054500000001</v>
      </c>
      <c r="DM13" s="874">
        <v>1.9727134099999999</v>
      </c>
      <c r="DN13" s="874">
        <v>3.20598882</v>
      </c>
      <c r="DO13" s="874">
        <v>2.7625262899999998</v>
      </c>
      <c r="DP13" s="874">
        <v>1.43855343</v>
      </c>
      <c r="DQ13" s="874">
        <v>1.87287516</v>
      </c>
      <c r="DR13" s="874">
        <v>3.3873726099999999</v>
      </c>
      <c r="DS13" s="874">
        <v>6.9602505299999997</v>
      </c>
      <c r="DT13" s="874">
        <v>6.5578963999999997</v>
      </c>
      <c r="DU13" s="874">
        <v>7.0018801499999999</v>
      </c>
      <c r="DV13" s="874">
        <v>9.4850048200000003</v>
      </c>
      <c r="DW13" s="874">
        <v>13.13405785</v>
      </c>
      <c r="DX13" s="874">
        <v>15.013605070000001</v>
      </c>
      <c r="DY13" s="874">
        <v>12.67139085</v>
      </c>
      <c r="DZ13" s="874">
        <v>11.53174447</v>
      </c>
      <c r="EA13" s="874">
        <v>6.5840635499999998</v>
      </c>
      <c r="EB13" s="874">
        <v>9.5141592799999994</v>
      </c>
      <c r="EC13" s="874">
        <v>6.5688306900000004</v>
      </c>
      <c r="ED13" s="874">
        <v>4.1499550300000001</v>
      </c>
      <c r="EE13" s="874">
        <v>6.1079965999999999</v>
      </c>
      <c r="EF13" s="874">
        <v>8.4713756300000007</v>
      </c>
      <c r="EG13" s="874">
        <v>12.502391680000001</v>
      </c>
      <c r="EH13" s="874">
        <v>12.741618519999999</v>
      </c>
      <c r="EI13" s="874">
        <v>13.670814590000001</v>
      </c>
      <c r="EJ13" s="874">
        <v>13.44827484</v>
      </c>
      <c r="EK13" s="874">
        <v>15.556035420000001</v>
      </c>
      <c r="EL13" s="874">
        <v>11.48131076</v>
      </c>
      <c r="EM13" s="874">
        <v>10.66654005</v>
      </c>
      <c r="EN13" s="874">
        <v>6.4835393899999998</v>
      </c>
      <c r="EO13" s="874">
        <v>1.72658047</v>
      </c>
      <c r="EP13" s="874">
        <v>6.6063984800000002</v>
      </c>
      <c r="EQ13" s="874">
        <v>10.079375799999999</v>
      </c>
      <c r="ER13" s="874">
        <v>15.90579513</v>
      </c>
      <c r="ES13" s="874">
        <v>15.974063040000001</v>
      </c>
      <c r="ET13" s="874">
        <v>20.714208960000001</v>
      </c>
      <c r="EU13" s="1918" t="s">
        <v>4083</v>
      </c>
    </row>
    <row r="14" spans="1:151" ht="21">
      <c r="A14" s="1931" t="s">
        <v>1974</v>
      </c>
      <c r="B14" s="842">
        <v>117.11030854000001</v>
      </c>
      <c r="C14" s="842">
        <v>116.60910796</v>
      </c>
      <c r="D14" s="842">
        <v>116.60910796</v>
      </c>
      <c r="E14" s="842">
        <v>111.03770825000001</v>
      </c>
      <c r="F14" s="842">
        <v>104.25770825000001</v>
      </c>
      <c r="G14" s="842">
        <v>97.137008399999999</v>
      </c>
      <c r="H14" s="842">
        <v>94.867008400000003</v>
      </c>
      <c r="I14" s="842">
        <v>92.066308540000009</v>
      </c>
      <c r="J14" s="842">
        <v>92.067008400000006</v>
      </c>
      <c r="K14" s="842">
        <v>92.067008400000006</v>
      </c>
      <c r="L14" s="842">
        <v>83.566308540000009</v>
      </c>
      <c r="M14" s="843">
        <v>81.767008399999995</v>
      </c>
      <c r="N14" s="843">
        <v>79.264908829999996</v>
      </c>
      <c r="O14" s="843">
        <v>79.266308539999997</v>
      </c>
      <c r="P14" s="843">
        <v>77.115608690000002</v>
      </c>
      <c r="Q14" s="843">
        <v>75.815608690000005</v>
      </c>
      <c r="R14" s="843">
        <v>75.816308540000009</v>
      </c>
      <c r="S14" s="843">
        <v>75.815608690000005</v>
      </c>
      <c r="T14" s="843">
        <v>75.814908830000007</v>
      </c>
      <c r="U14" s="843">
        <v>75.816308540000009</v>
      </c>
      <c r="V14" s="843">
        <v>75.816308540000009</v>
      </c>
      <c r="W14" s="843">
        <v>75.816308540000009</v>
      </c>
      <c r="X14" s="843">
        <v>75.816308540000009</v>
      </c>
      <c r="Y14" s="843">
        <v>75.816308540000009</v>
      </c>
      <c r="Z14" s="843">
        <v>75.816308540000009</v>
      </c>
      <c r="AA14" s="843">
        <v>61.273725040000002</v>
      </c>
      <c r="AB14" s="843">
        <v>61.264626919999998</v>
      </c>
      <c r="AC14" s="843">
        <v>61.266026629999999</v>
      </c>
      <c r="AD14" s="843">
        <v>61.27092562</v>
      </c>
      <c r="AE14" s="843">
        <v>61.263227210000004</v>
      </c>
      <c r="AF14" s="843">
        <v>61.271625470000004</v>
      </c>
      <c r="AG14" s="843">
        <v>61.261127639999998</v>
      </c>
      <c r="AH14" s="843">
        <v>1.5133652900000001</v>
      </c>
      <c r="AI14" s="843">
        <v>3.5</v>
      </c>
      <c r="AJ14" s="843">
        <v>0</v>
      </c>
      <c r="AK14" s="843">
        <v>0</v>
      </c>
      <c r="AL14" s="843">
        <v>1.4999999999999999E-2</v>
      </c>
      <c r="AM14" s="843">
        <v>1.4999999999999999E-2</v>
      </c>
      <c r="AN14" s="843">
        <v>5.5312109999999998E-2</v>
      </c>
      <c r="AO14" s="843">
        <v>1.4999999999999999E-2</v>
      </c>
      <c r="AP14" s="843">
        <v>7.4999999999999997E-3</v>
      </c>
      <c r="AQ14" s="843">
        <v>0</v>
      </c>
      <c r="AR14" s="843">
        <v>0</v>
      </c>
      <c r="AS14" s="843">
        <v>0</v>
      </c>
      <c r="AT14" s="843">
        <v>0</v>
      </c>
      <c r="AU14" s="843">
        <v>0</v>
      </c>
      <c r="AV14" s="843">
        <v>0</v>
      </c>
      <c r="AW14" s="843">
        <v>0</v>
      </c>
      <c r="AX14" s="843">
        <v>0</v>
      </c>
      <c r="AY14" s="843">
        <v>0</v>
      </c>
      <c r="AZ14" s="843">
        <v>0</v>
      </c>
      <c r="BA14" s="843">
        <v>0</v>
      </c>
      <c r="BB14" s="843">
        <v>0</v>
      </c>
      <c r="BC14" s="843">
        <v>0</v>
      </c>
      <c r="BD14" s="843">
        <v>0</v>
      </c>
      <c r="BE14" s="843">
        <v>0</v>
      </c>
      <c r="BF14" s="843">
        <v>0</v>
      </c>
      <c r="BG14" s="843">
        <v>0</v>
      </c>
      <c r="BH14" s="886">
        <v>0</v>
      </c>
      <c r="BI14" s="875">
        <v>0</v>
      </c>
      <c r="BJ14" s="875">
        <v>0</v>
      </c>
      <c r="BK14" s="875">
        <v>0</v>
      </c>
      <c r="BL14" s="875">
        <v>0</v>
      </c>
      <c r="BM14" s="875">
        <v>0</v>
      </c>
      <c r="BN14" s="875">
        <v>0</v>
      </c>
      <c r="BO14" s="875">
        <v>0</v>
      </c>
      <c r="BP14" s="875">
        <v>0</v>
      </c>
      <c r="BQ14" s="875">
        <v>0</v>
      </c>
      <c r="BR14" s="875">
        <v>0</v>
      </c>
      <c r="BS14" s="875">
        <v>0</v>
      </c>
      <c r="BT14" s="875">
        <v>0</v>
      </c>
      <c r="BU14" s="875">
        <v>0</v>
      </c>
      <c r="BV14" s="875">
        <v>0</v>
      </c>
      <c r="BW14" s="875">
        <v>0</v>
      </c>
      <c r="BX14" s="875">
        <v>0.71</v>
      </c>
      <c r="BY14" s="875">
        <v>1.3922639999999999</v>
      </c>
      <c r="BZ14" s="875">
        <v>0.62807760000000001</v>
      </c>
      <c r="CA14" s="875">
        <v>1.53</v>
      </c>
      <c r="CB14" s="875">
        <v>0</v>
      </c>
      <c r="CC14" s="875">
        <v>0</v>
      </c>
      <c r="CD14" s="875">
        <v>0</v>
      </c>
      <c r="CE14" s="875">
        <v>0</v>
      </c>
      <c r="CF14" s="875">
        <v>0</v>
      </c>
      <c r="CG14" s="875">
        <v>0.59165199999999996</v>
      </c>
      <c r="CH14" s="875">
        <v>0.58254488000000004</v>
      </c>
      <c r="CI14" s="875">
        <v>0.58086643000000004</v>
      </c>
      <c r="CJ14" s="875">
        <v>1.9</v>
      </c>
      <c r="CK14" s="875">
        <v>1.3</v>
      </c>
      <c r="CL14" s="875">
        <v>1.3</v>
      </c>
      <c r="CM14" s="875">
        <v>1.5257438800000001</v>
      </c>
      <c r="CN14" s="875">
        <v>1.6361421200000001</v>
      </c>
      <c r="CO14" s="875">
        <v>0.53909293000000003</v>
      </c>
      <c r="CP14" s="875">
        <v>0.83048393000000009</v>
      </c>
      <c r="CQ14" s="875">
        <v>0.48287186999999998</v>
      </c>
      <c r="CR14" s="875">
        <v>5.2494072300000001</v>
      </c>
      <c r="CS14" s="875">
        <v>3.2100468199999996</v>
      </c>
      <c r="CT14" s="875">
        <v>3.3100468200000002</v>
      </c>
      <c r="CU14" s="875">
        <v>1.08343046</v>
      </c>
      <c r="CV14" s="875">
        <v>2.5</v>
      </c>
      <c r="CW14" s="875">
        <v>0.7</v>
      </c>
      <c r="CX14" s="875">
        <v>0.2</v>
      </c>
      <c r="CY14" s="875">
        <v>0</v>
      </c>
      <c r="CZ14" s="875">
        <v>1.1012497999999999</v>
      </c>
      <c r="DA14" s="875">
        <v>0</v>
      </c>
      <c r="DB14" s="875">
        <v>0</v>
      </c>
      <c r="DC14" s="875">
        <v>0</v>
      </c>
      <c r="DD14" s="875">
        <v>0</v>
      </c>
      <c r="DE14" s="875">
        <v>0</v>
      </c>
      <c r="DF14" s="875">
        <v>0</v>
      </c>
      <c r="DG14" s="875">
        <v>0</v>
      </c>
      <c r="DH14" s="875">
        <v>0</v>
      </c>
      <c r="DI14" s="875">
        <v>0</v>
      </c>
      <c r="DJ14" s="875">
        <v>0</v>
      </c>
      <c r="DK14" s="875">
        <v>0</v>
      </c>
      <c r="DL14" s="875">
        <v>0</v>
      </c>
      <c r="DM14" s="875">
        <v>0</v>
      </c>
      <c r="DN14" s="875">
        <v>0</v>
      </c>
      <c r="DO14" s="875">
        <v>0</v>
      </c>
      <c r="DP14" s="875">
        <v>0</v>
      </c>
      <c r="DQ14" s="875">
        <v>0</v>
      </c>
      <c r="DR14" s="875">
        <v>0</v>
      </c>
      <c r="DS14" s="875">
        <v>0</v>
      </c>
      <c r="DT14" s="875">
        <v>0</v>
      </c>
      <c r="DU14" s="875">
        <v>0</v>
      </c>
      <c r="DV14" s="875">
        <v>0</v>
      </c>
      <c r="DW14" s="875">
        <v>2.1942907900000002</v>
      </c>
      <c r="DX14" s="875">
        <v>2.7205965499999998</v>
      </c>
      <c r="DY14" s="875">
        <v>1.010988</v>
      </c>
      <c r="DZ14" s="875">
        <v>0</v>
      </c>
      <c r="EA14" s="875">
        <v>0</v>
      </c>
      <c r="EB14" s="875">
        <v>0</v>
      </c>
      <c r="EC14" s="875">
        <v>1.010988</v>
      </c>
      <c r="ED14" s="875">
        <v>1.010988</v>
      </c>
      <c r="EE14" s="875">
        <v>3.1425296</v>
      </c>
      <c r="EF14" s="875">
        <v>5.4983844199999998</v>
      </c>
      <c r="EG14" s="875">
        <v>8.9408512699999996</v>
      </c>
      <c r="EH14" s="875">
        <v>9.0776258900000002</v>
      </c>
      <c r="EI14" s="875">
        <v>10.15095112</v>
      </c>
      <c r="EJ14" s="875">
        <v>9.6417489599999993</v>
      </c>
      <c r="EK14" s="875">
        <v>11.3710317</v>
      </c>
      <c r="EL14" s="875">
        <v>9.9029098799999993</v>
      </c>
      <c r="EM14" s="875">
        <v>9.1728421999999998</v>
      </c>
      <c r="EN14" s="875">
        <v>5.0319065399999996</v>
      </c>
      <c r="EO14" s="875">
        <v>0</v>
      </c>
      <c r="EP14" s="875">
        <v>3</v>
      </c>
      <c r="EQ14" s="875">
        <v>6.4277188699999996</v>
      </c>
      <c r="ER14" s="875">
        <v>12.84188799</v>
      </c>
      <c r="ES14" s="875">
        <v>11.52048666</v>
      </c>
      <c r="ET14" s="875">
        <v>15.84367452</v>
      </c>
      <c r="EU14" s="1920" t="s">
        <v>4086</v>
      </c>
    </row>
    <row r="15" spans="1:151" ht="21">
      <c r="A15" s="1931" t="s">
        <v>1975</v>
      </c>
      <c r="B15" s="842">
        <f>+B13-B14</f>
        <v>36.670896529999993</v>
      </c>
      <c r="C15" s="842">
        <f t="shared" ref="C15:V15" si="2">+C13-C14</f>
        <v>32.04880679</v>
      </c>
      <c r="D15" s="842">
        <f t="shared" si="2"/>
        <v>32.661120729999979</v>
      </c>
      <c r="E15" s="842">
        <f t="shared" si="2"/>
        <v>32.614130299999999</v>
      </c>
      <c r="F15" s="842">
        <f t="shared" si="2"/>
        <v>31.389788519999996</v>
      </c>
      <c r="G15" s="842">
        <f t="shared" si="2"/>
        <v>33.604768279999988</v>
      </c>
      <c r="H15" s="842">
        <f t="shared" si="2"/>
        <v>36.112837979999995</v>
      </c>
      <c r="I15" s="842">
        <f t="shared" si="2"/>
        <v>36.971970960000007</v>
      </c>
      <c r="J15" s="842">
        <f t="shared" si="2"/>
        <v>36.948199160000016</v>
      </c>
      <c r="K15" s="842">
        <f t="shared" si="2"/>
        <v>37.528518049999988</v>
      </c>
      <c r="L15" s="842">
        <f t="shared" si="2"/>
        <v>37.693347930000002</v>
      </c>
      <c r="M15" s="843">
        <f t="shared" si="2"/>
        <v>37.591137650000007</v>
      </c>
      <c r="N15" s="843">
        <f t="shared" si="2"/>
        <v>38.099593010000007</v>
      </c>
      <c r="O15" s="843">
        <f t="shared" si="2"/>
        <v>38.334245129999999</v>
      </c>
      <c r="P15" s="843">
        <f t="shared" si="2"/>
        <v>41.561346660000012</v>
      </c>
      <c r="Q15" s="843">
        <f t="shared" si="2"/>
        <v>26.867924490000007</v>
      </c>
      <c r="R15" s="843">
        <f t="shared" si="2"/>
        <v>30.613544099999999</v>
      </c>
      <c r="S15" s="843">
        <f t="shared" si="2"/>
        <v>32.952291200000005</v>
      </c>
      <c r="T15" s="843">
        <f t="shared" si="2"/>
        <v>32.007972549999991</v>
      </c>
      <c r="U15" s="843">
        <f t="shared" si="2"/>
        <v>33.224693560000006</v>
      </c>
      <c r="V15" s="843">
        <f t="shared" si="2"/>
        <v>36.429882129999996</v>
      </c>
      <c r="W15" s="843">
        <v>37.954117260000004</v>
      </c>
      <c r="X15" s="843">
        <v>37.739041670000006</v>
      </c>
      <c r="Y15" s="843">
        <v>28.051020320000006</v>
      </c>
      <c r="Z15" s="843">
        <v>28.085466109999999</v>
      </c>
      <c r="AA15" s="843">
        <v>29.793399950000008</v>
      </c>
      <c r="AB15" s="843">
        <v>29.339967760000008</v>
      </c>
      <c r="AC15" s="843">
        <v>30.093238619999994</v>
      </c>
      <c r="AD15" s="843">
        <v>31.886706470000007</v>
      </c>
      <c r="AE15" s="843">
        <v>39.903367839999994</v>
      </c>
      <c r="AF15" s="843">
        <v>43.670339589999998</v>
      </c>
      <c r="AG15" s="843">
        <v>47.095502010000004</v>
      </c>
      <c r="AH15" s="843">
        <f>+AH13-AH14</f>
        <v>48.257057739999993</v>
      </c>
      <c r="AI15" s="843">
        <v>54.055811949999999</v>
      </c>
      <c r="AJ15" s="843">
        <f>+AJ13-AJ14</f>
        <v>54.139758860000001</v>
      </c>
      <c r="AK15" s="843">
        <f>+AK13-AK14</f>
        <v>78.493067609999997</v>
      </c>
      <c r="AL15" s="843">
        <v>75.161960960000002</v>
      </c>
      <c r="AM15" s="843">
        <f>+AM13-AM14</f>
        <v>74.021391960000003</v>
      </c>
      <c r="AN15" s="843">
        <f>+AN13-AN14</f>
        <v>73.299479669999997</v>
      </c>
      <c r="AO15" s="843">
        <f>+AO13-AO14</f>
        <v>71.844168629999999</v>
      </c>
      <c r="AP15" s="843">
        <f>+AP13-AP14</f>
        <v>67.605006750000015</v>
      </c>
      <c r="AQ15" s="843">
        <v>67.095835660000006</v>
      </c>
      <c r="AR15" s="843">
        <f>+AR13-AR14</f>
        <v>67.364741790000011</v>
      </c>
      <c r="AS15" s="843">
        <f>+AS13-AS14</f>
        <v>65.259038129999993</v>
      </c>
      <c r="AT15" s="843">
        <f>+AT13-AT14</f>
        <v>64.880237039999997</v>
      </c>
      <c r="AU15" s="843">
        <v>64.275102779999997</v>
      </c>
      <c r="AV15" s="843">
        <v>67.552733880000005</v>
      </c>
      <c r="AW15" s="843">
        <v>66.67463592</v>
      </c>
      <c r="AX15" s="843">
        <v>69.268577239999999</v>
      </c>
      <c r="AY15" s="843">
        <v>61.794307159999995</v>
      </c>
      <c r="AZ15" s="843">
        <v>50.072883250000004</v>
      </c>
      <c r="BA15" s="843">
        <v>48.545962830000001</v>
      </c>
      <c r="BB15" s="843">
        <v>52.638946050000001</v>
      </c>
      <c r="BC15" s="843">
        <v>52.654097829999998</v>
      </c>
      <c r="BD15" s="843">
        <f>+BD13-BD14</f>
        <v>52.65178994</v>
      </c>
      <c r="BE15" s="843">
        <v>48.669767230000005</v>
      </c>
      <c r="BF15" s="843">
        <v>44.446705659999999</v>
      </c>
      <c r="BG15" s="843">
        <v>44.446705659999999</v>
      </c>
      <c r="BH15" s="886">
        <v>41.895587880000001</v>
      </c>
      <c r="BI15" s="875">
        <v>40.486970289999995</v>
      </c>
      <c r="BJ15" s="875">
        <v>40.516970289999996</v>
      </c>
      <c r="BK15" s="875">
        <v>40.512233129999998</v>
      </c>
      <c r="BL15" s="875">
        <v>40.489406039999999</v>
      </c>
      <c r="BM15" s="875">
        <v>40.032493000000002</v>
      </c>
      <c r="BN15" s="875">
        <v>39.967492999999997</v>
      </c>
      <c r="BO15" s="875">
        <v>35.028252999999999</v>
      </c>
      <c r="BP15" s="875">
        <v>35.029253000000004</v>
      </c>
      <c r="BQ15" s="875">
        <v>34.281489000000001</v>
      </c>
      <c r="BR15" s="875">
        <v>34.281489000000001</v>
      </c>
      <c r="BS15" s="875">
        <v>34.281489000000001</v>
      </c>
      <c r="BT15" s="875">
        <v>34.281489000000001</v>
      </c>
      <c r="BU15" s="875">
        <v>30.958452999999999</v>
      </c>
      <c r="BV15" s="875">
        <v>30.747237510000001</v>
      </c>
      <c r="BW15" s="875">
        <v>30.688452999999999</v>
      </c>
      <c r="BX15" s="875">
        <v>30.688452999999999</v>
      </c>
      <c r="BY15" s="875">
        <v>30.688452999999999</v>
      </c>
      <c r="BZ15" s="875">
        <v>30.813452999999999</v>
      </c>
      <c r="CA15" s="875">
        <v>30.688453000000003</v>
      </c>
      <c r="CB15" s="875">
        <v>2.1000000000000001E-2</v>
      </c>
      <c r="CC15" s="875">
        <v>0</v>
      </c>
      <c r="CD15" s="875">
        <v>0</v>
      </c>
      <c r="CE15" s="875">
        <f t="shared" ref="CE15:CO15" si="3">+CE13-CE14</f>
        <v>0.03</v>
      </c>
      <c r="CF15" s="875">
        <f t="shared" si="3"/>
        <v>0.03</v>
      </c>
      <c r="CG15" s="875">
        <f t="shared" si="3"/>
        <v>0.30206944000000002</v>
      </c>
      <c r="CH15" s="875">
        <f t="shared" si="3"/>
        <v>0.30206944000000002</v>
      </c>
      <c r="CI15" s="875">
        <f t="shared" si="3"/>
        <v>0.13600000000000001</v>
      </c>
      <c r="CJ15" s="875">
        <f t="shared" si="3"/>
        <v>0.13600000000000012</v>
      </c>
      <c r="CK15" s="875">
        <f t="shared" si="3"/>
        <v>0</v>
      </c>
      <c r="CL15" s="875">
        <f t="shared" si="3"/>
        <v>0.21599999999999997</v>
      </c>
      <c r="CM15" s="875">
        <f t="shared" si="3"/>
        <v>0.41599999999999993</v>
      </c>
      <c r="CN15" s="875">
        <f t="shared" si="3"/>
        <v>0.3660000000000001</v>
      </c>
      <c r="CO15" s="875">
        <f t="shared" si="3"/>
        <v>0.41999999999999993</v>
      </c>
      <c r="CP15" s="875">
        <f>+CP13-CP14</f>
        <v>0.43499999999999994</v>
      </c>
      <c r="CQ15" s="875">
        <f>+CQ13-CQ14</f>
        <v>0.40500000000000003</v>
      </c>
      <c r="CR15" s="875">
        <f>+CR13-CR14</f>
        <v>0.5</v>
      </c>
      <c r="CS15" s="875">
        <f>+CS13-CS14</f>
        <v>0.5</v>
      </c>
      <c r="CT15" s="875">
        <v>8.3992144799999995</v>
      </c>
      <c r="CU15" s="875">
        <v>8.4010953599999993</v>
      </c>
      <c r="CV15" s="875">
        <v>8.71559536</v>
      </c>
      <c r="CW15" s="875">
        <v>10.425595360000001</v>
      </c>
      <c r="CX15" s="875">
        <v>8.3008375399999998</v>
      </c>
      <c r="CY15" s="875">
        <v>8.2499000000000002</v>
      </c>
      <c r="CZ15" s="875">
        <v>2.3661959499999998</v>
      </c>
      <c r="DA15" s="875">
        <v>0.27100000000000002</v>
      </c>
      <c r="DB15" s="875">
        <v>0.32025057000000001</v>
      </c>
      <c r="DC15" s="875">
        <v>0.57429859000000005</v>
      </c>
      <c r="DD15" s="875">
        <v>0.49833171999999998</v>
      </c>
      <c r="DE15" s="875">
        <v>0.51682645000000005</v>
      </c>
      <c r="DF15" s="875">
        <v>0.39538617999999998</v>
      </c>
      <c r="DG15" s="875">
        <v>0.47737679</v>
      </c>
      <c r="DH15" s="875">
        <v>2.3483471699999998</v>
      </c>
      <c r="DI15" s="875">
        <v>2.1962793700000001</v>
      </c>
      <c r="DJ15" s="875">
        <v>2.4106611199999999</v>
      </c>
      <c r="DK15" s="875">
        <v>2.6719665099999999</v>
      </c>
      <c r="DL15" s="875">
        <v>2.6986054500000001</v>
      </c>
      <c r="DM15" s="875">
        <v>1.9727134099999999</v>
      </c>
      <c r="DN15" s="875">
        <v>3.20598882</v>
      </c>
      <c r="DO15" s="875">
        <v>2.7625262899999998</v>
      </c>
      <c r="DP15" s="875">
        <v>1.43855343</v>
      </c>
      <c r="DQ15" s="875">
        <v>1.87287516</v>
      </c>
      <c r="DR15" s="875">
        <v>3.3873726099999999</v>
      </c>
      <c r="DS15" s="875">
        <v>6.9602505299999997</v>
      </c>
      <c r="DT15" s="875">
        <v>6.5578963999999997</v>
      </c>
      <c r="DU15" s="875">
        <v>7.0018801499999999</v>
      </c>
      <c r="DV15" s="875">
        <v>9.4850048200000003</v>
      </c>
      <c r="DW15" s="875">
        <v>10.939767059999999</v>
      </c>
      <c r="DX15" s="875">
        <v>12.293008520000001</v>
      </c>
      <c r="DY15" s="875">
        <v>11.660402850000001</v>
      </c>
      <c r="DZ15" s="875">
        <v>11.53174447</v>
      </c>
      <c r="EA15" s="875">
        <v>6.5840635499999998</v>
      </c>
      <c r="EB15" s="875">
        <v>9.5141592799999994</v>
      </c>
      <c r="EC15" s="875">
        <v>5.5578426900000002</v>
      </c>
      <c r="ED15" s="875">
        <v>3.1389670299999999</v>
      </c>
      <c r="EE15" s="875">
        <v>2.9654669999999999</v>
      </c>
      <c r="EF15" s="875">
        <v>2.97299121</v>
      </c>
      <c r="EG15" s="875">
        <v>3.5615404100000001</v>
      </c>
      <c r="EH15" s="875">
        <v>3.6639926300000001</v>
      </c>
      <c r="EI15" s="875">
        <v>3.5198634700000002</v>
      </c>
      <c r="EJ15" s="875">
        <v>3.8065258800000001</v>
      </c>
      <c r="EK15" s="875">
        <v>4.1850037200000001</v>
      </c>
      <c r="EL15" s="875">
        <v>1.57840088</v>
      </c>
      <c r="EM15" s="875">
        <v>1.49369785</v>
      </c>
      <c r="EN15" s="875">
        <v>1.45163285</v>
      </c>
      <c r="EO15" s="875">
        <v>1.72658047</v>
      </c>
      <c r="EP15" s="875">
        <v>3.6063984800000002</v>
      </c>
      <c r="EQ15" s="875">
        <v>3.6516569300000001</v>
      </c>
      <c r="ER15" s="875">
        <v>3.06390714</v>
      </c>
      <c r="ES15" s="875">
        <v>4.4535763800000003</v>
      </c>
      <c r="ET15" s="875">
        <v>4.8705344400000001</v>
      </c>
      <c r="EU15" s="1920" t="s">
        <v>4085</v>
      </c>
    </row>
    <row r="16" spans="1:151" ht="21">
      <c r="A16" s="1928"/>
      <c r="B16" s="839"/>
      <c r="C16" s="839"/>
      <c r="D16" s="839"/>
      <c r="E16" s="839"/>
      <c r="F16" s="839"/>
      <c r="G16" s="839"/>
      <c r="H16" s="839"/>
      <c r="I16" s="839"/>
      <c r="J16" s="839"/>
      <c r="K16" s="839"/>
      <c r="L16" s="839"/>
      <c r="M16" s="840"/>
      <c r="N16" s="840"/>
      <c r="O16" s="840"/>
      <c r="P16" s="840"/>
      <c r="Q16" s="840"/>
      <c r="R16" s="840"/>
      <c r="S16" s="840"/>
      <c r="T16" s="840"/>
      <c r="U16" s="840"/>
      <c r="V16" s="840"/>
      <c r="W16" s="840"/>
      <c r="X16" s="840"/>
      <c r="Y16" s="840"/>
      <c r="Z16" s="840"/>
      <c r="AA16" s="840"/>
      <c r="AB16" s="840"/>
      <c r="AC16" s="840"/>
      <c r="AD16" s="840"/>
      <c r="AE16" s="840"/>
      <c r="AF16" s="840"/>
      <c r="AG16" s="840"/>
      <c r="AH16" s="840"/>
      <c r="AI16" s="840"/>
      <c r="AJ16" s="840"/>
      <c r="AK16" s="840"/>
      <c r="AL16" s="840"/>
      <c r="AM16" s="840"/>
      <c r="AN16" s="840"/>
      <c r="AO16" s="840"/>
      <c r="AP16" s="840"/>
      <c r="AQ16" s="840"/>
      <c r="AR16" s="840"/>
      <c r="AS16" s="840"/>
      <c r="AT16" s="840"/>
      <c r="AU16" s="840"/>
      <c r="AV16" s="840"/>
      <c r="AW16" s="840"/>
      <c r="AX16" s="840"/>
      <c r="AY16" s="840"/>
      <c r="AZ16" s="840"/>
      <c r="BA16" s="840"/>
      <c r="BB16" s="840"/>
      <c r="BC16" s="840"/>
      <c r="BD16" s="840"/>
      <c r="BE16" s="840"/>
      <c r="BF16" s="840"/>
      <c r="BG16" s="840"/>
      <c r="BH16" s="885"/>
      <c r="BI16" s="874"/>
      <c r="BJ16" s="874"/>
      <c r="BK16" s="874"/>
      <c r="BL16" s="874"/>
      <c r="BM16" s="874"/>
      <c r="BN16" s="874"/>
      <c r="BO16" s="874"/>
      <c r="BP16" s="874"/>
      <c r="BQ16" s="874"/>
      <c r="BR16" s="874"/>
      <c r="BS16" s="874"/>
      <c r="BT16" s="874"/>
      <c r="BU16" s="874"/>
      <c r="BV16" s="874"/>
      <c r="BW16" s="874"/>
      <c r="BX16" s="874"/>
      <c r="BY16" s="874"/>
      <c r="BZ16" s="874"/>
      <c r="CA16" s="874"/>
      <c r="CB16" s="874"/>
      <c r="CC16" s="874"/>
      <c r="CD16" s="874"/>
      <c r="CE16" s="874"/>
      <c r="CF16" s="874"/>
      <c r="CG16" s="874"/>
      <c r="CH16" s="874"/>
      <c r="CI16" s="874"/>
      <c r="CJ16" s="874"/>
      <c r="CK16" s="874"/>
      <c r="CL16" s="874"/>
      <c r="CM16" s="874"/>
      <c r="CN16" s="874"/>
      <c r="CO16" s="874"/>
      <c r="CP16" s="874"/>
      <c r="CQ16" s="874"/>
      <c r="CR16" s="874"/>
      <c r="CS16" s="874"/>
      <c r="CT16" s="874"/>
      <c r="CU16" s="874"/>
      <c r="CV16" s="874"/>
      <c r="CW16" s="874"/>
      <c r="CX16" s="874"/>
      <c r="CY16" s="874"/>
      <c r="CZ16" s="874"/>
      <c r="DA16" s="874"/>
      <c r="DB16" s="874"/>
      <c r="DC16" s="874"/>
      <c r="DD16" s="874"/>
      <c r="DE16" s="874"/>
      <c r="DF16" s="874"/>
      <c r="DG16" s="874"/>
      <c r="DH16" s="874"/>
      <c r="DI16" s="874"/>
      <c r="DJ16" s="874"/>
      <c r="DK16" s="874"/>
      <c r="DL16" s="874"/>
      <c r="DM16" s="874"/>
      <c r="DN16" s="874"/>
      <c r="DO16" s="874"/>
      <c r="DP16" s="874"/>
      <c r="DQ16" s="874"/>
      <c r="DR16" s="874"/>
      <c r="DS16" s="874"/>
      <c r="DT16" s="874"/>
      <c r="DU16" s="874"/>
      <c r="DV16" s="874"/>
      <c r="DW16" s="874"/>
      <c r="DX16" s="874"/>
      <c r="DY16" s="874"/>
      <c r="DZ16" s="874"/>
      <c r="EA16" s="874"/>
      <c r="EB16" s="874"/>
      <c r="EC16" s="874"/>
      <c r="ED16" s="874"/>
      <c r="EE16" s="874"/>
      <c r="EF16" s="874"/>
      <c r="EG16" s="874"/>
      <c r="EH16" s="874"/>
      <c r="EI16" s="874"/>
      <c r="EJ16" s="874"/>
      <c r="EK16" s="874"/>
      <c r="EL16" s="874"/>
      <c r="EM16" s="874"/>
      <c r="EN16" s="874"/>
      <c r="EO16" s="874"/>
      <c r="EP16" s="874"/>
      <c r="EQ16" s="874"/>
      <c r="ER16" s="874"/>
      <c r="ES16" s="874"/>
      <c r="ET16" s="874"/>
      <c r="EU16" s="1921"/>
    </row>
    <row r="17" spans="1:151" ht="21">
      <c r="A17" s="1952" t="s">
        <v>189</v>
      </c>
      <c r="B17" s="842">
        <v>143.28941817</v>
      </c>
      <c r="C17" s="842">
        <v>142.74571836000001</v>
      </c>
      <c r="D17" s="842">
        <v>143.51067287999999</v>
      </c>
      <c r="E17" s="842">
        <v>137.90608761000001</v>
      </c>
      <c r="F17" s="842">
        <v>130.05285143</v>
      </c>
      <c r="G17" s="842">
        <v>124.77006342999999</v>
      </c>
      <c r="H17" s="842">
        <v>125.01400687</v>
      </c>
      <c r="I17" s="842">
        <v>123.09126914000001</v>
      </c>
      <c r="J17" s="842">
        <v>123.06274892000002</v>
      </c>
      <c r="K17" s="842">
        <v>124.03148294</v>
      </c>
      <c r="L17" s="842">
        <v>115.67753450000001</v>
      </c>
      <c r="M17" s="840">
        <v>113.74180697</v>
      </c>
      <c r="N17" s="843">
        <v>111.796291</v>
      </c>
      <c r="O17" s="843">
        <v>112.030941</v>
      </c>
      <c r="P17" s="843">
        <v>110.08731800000001</v>
      </c>
      <c r="Q17" s="843">
        <v>94.093892000000011</v>
      </c>
      <c r="R17" s="843">
        <v>97.066356000000013</v>
      </c>
      <c r="S17" s="843">
        <v>99.416455280000008</v>
      </c>
      <c r="T17" s="843">
        <v>98.482691340000002</v>
      </c>
      <c r="U17" s="843">
        <v>99.565783470000014</v>
      </c>
      <c r="V17" s="843">
        <v>100.88402400000001</v>
      </c>
      <c r="W17" s="843">
        <v>102.42404060000001</v>
      </c>
      <c r="X17" s="843">
        <v>102.33627598000001</v>
      </c>
      <c r="Y17" s="840">
        <v>92.678778520000009</v>
      </c>
      <c r="Z17" s="843">
        <v>92.698378520000006</v>
      </c>
      <c r="AA17" s="843">
        <v>76.317830960000009</v>
      </c>
      <c r="AB17" s="840">
        <v>76.31356169</v>
      </c>
      <c r="AC17" s="840">
        <v>76.326973539999997</v>
      </c>
      <c r="AD17" s="840">
        <v>76.314382550000005</v>
      </c>
      <c r="AE17" s="840">
        <v>76.190177120000001</v>
      </c>
      <c r="AF17" s="840">
        <v>76.188161250000007</v>
      </c>
      <c r="AG17" s="840">
        <v>70.987826630000001</v>
      </c>
      <c r="AH17" s="840">
        <v>11.86063933</v>
      </c>
      <c r="AI17" s="840">
        <v>15.373805800000001</v>
      </c>
      <c r="AJ17" s="840">
        <v>7.2345771399999999</v>
      </c>
      <c r="AK17" s="840">
        <v>19.039946180000001</v>
      </c>
      <c r="AL17" s="840">
        <v>19.047642420000003</v>
      </c>
      <c r="AM17" s="840">
        <v>19.04212029</v>
      </c>
      <c r="AN17" s="840">
        <v>21.5380614</v>
      </c>
      <c r="AO17" s="840">
        <v>21.508768480000001</v>
      </c>
      <c r="AP17" s="840">
        <v>23.805118480000001</v>
      </c>
      <c r="AQ17" s="840">
        <v>23.795354270000001</v>
      </c>
      <c r="AR17" s="840">
        <v>23.793526440000001</v>
      </c>
      <c r="AS17" s="840">
        <v>23.08699631</v>
      </c>
      <c r="AT17" s="840">
        <v>23.789590760000003</v>
      </c>
      <c r="AU17" s="840">
        <v>25.4880438</v>
      </c>
      <c r="AV17" s="840">
        <v>25.486588260000001</v>
      </c>
      <c r="AW17" s="840">
        <v>25.672421440000001</v>
      </c>
      <c r="AX17" s="840">
        <v>25.670063160000002</v>
      </c>
      <c r="AY17" s="840">
        <v>27.997148639999999</v>
      </c>
      <c r="AZ17" s="840">
        <v>27.99561392</v>
      </c>
      <c r="BA17" s="840">
        <v>27.99405874</v>
      </c>
      <c r="BB17" s="840">
        <v>27.992488000000002</v>
      </c>
      <c r="BC17" s="840">
        <v>27.992488000000002</v>
      </c>
      <c r="BD17" s="840">
        <v>27.992488000000002</v>
      </c>
      <c r="BE17" s="840">
        <v>27.992488000000002</v>
      </c>
      <c r="BF17" s="840">
        <v>27.992488000000002</v>
      </c>
      <c r="BG17" s="840">
        <v>27.992488000000002</v>
      </c>
      <c r="BH17" s="885">
        <v>27.992488000000002</v>
      </c>
      <c r="BI17" s="874">
        <v>31.097487999999998</v>
      </c>
      <c r="BJ17" s="874">
        <v>31.127488</v>
      </c>
      <c r="BK17" s="874">
        <v>31.122750839999998</v>
      </c>
      <c r="BL17" s="874">
        <v>31.10047604</v>
      </c>
      <c r="BM17" s="874">
        <v>30.643563</v>
      </c>
      <c r="BN17" s="874">
        <v>30.578562999999999</v>
      </c>
      <c r="BO17" s="874">
        <v>25.639323000000001</v>
      </c>
      <c r="BP17" s="874">
        <v>27.340323000000001</v>
      </c>
      <c r="BQ17" s="874">
        <v>28.362123</v>
      </c>
      <c r="BR17" s="874">
        <v>28.362123</v>
      </c>
      <c r="BS17" s="874">
        <v>28.362123</v>
      </c>
      <c r="BT17" s="874">
        <v>28.362123</v>
      </c>
      <c r="BU17" s="874">
        <v>30.958197999999999</v>
      </c>
      <c r="BV17" s="874">
        <v>30.746982510000002</v>
      </c>
      <c r="BW17" s="874">
        <v>30.688198</v>
      </c>
      <c r="BX17" s="874">
        <v>31.398198000000001</v>
      </c>
      <c r="BY17" s="874">
        <v>30.688198</v>
      </c>
      <c r="BZ17" s="874">
        <v>30.813198</v>
      </c>
      <c r="CA17" s="874">
        <v>32.218198000000001</v>
      </c>
      <c r="CB17" s="874">
        <v>2.1000000000000001E-2</v>
      </c>
      <c r="CC17" s="874">
        <v>0</v>
      </c>
      <c r="CD17" s="874">
        <v>0</v>
      </c>
      <c r="CE17" s="874">
        <v>0.03</v>
      </c>
      <c r="CF17" s="874">
        <v>0.03</v>
      </c>
      <c r="CG17" s="874">
        <v>0.30206944000000002</v>
      </c>
      <c r="CH17" s="874">
        <v>0.30206944000000002</v>
      </c>
      <c r="CI17" s="874">
        <v>0.13600000000000001</v>
      </c>
      <c r="CJ17" s="874">
        <v>2.036</v>
      </c>
      <c r="CK17" s="874">
        <v>1.3</v>
      </c>
      <c r="CL17" s="874">
        <v>1.516</v>
      </c>
      <c r="CM17" s="874">
        <v>1.2345438799999999</v>
      </c>
      <c r="CN17" s="874">
        <v>2.0021421200000002</v>
      </c>
      <c r="CO17" s="874">
        <v>0.95909292999999995</v>
      </c>
      <c r="CP17" s="874">
        <v>1.26548393</v>
      </c>
      <c r="CQ17" s="874">
        <v>0.88787187000000001</v>
      </c>
      <c r="CR17" s="874">
        <v>5.7494072300000001</v>
      </c>
      <c r="CS17" s="874">
        <v>3.7100468199999996</v>
      </c>
      <c r="CT17" s="874">
        <v>3.8691659399999998</v>
      </c>
      <c r="CU17" s="874">
        <v>1.6444304599999999</v>
      </c>
      <c r="CV17" s="874">
        <v>3.0609999999999999</v>
      </c>
      <c r="CW17" s="874">
        <v>0.76100000000000001</v>
      </c>
      <c r="CX17" s="874">
        <v>0.31193754000000001</v>
      </c>
      <c r="CY17" s="874">
        <v>6.0999999999999999E-2</v>
      </c>
      <c r="CZ17" s="874">
        <v>1.1622498000000001</v>
      </c>
      <c r="DA17" s="874">
        <v>0.27100000000000002</v>
      </c>
      <c r="DB17" s="874">
        <v>0.32025057000000001</v>
      </c>
      <c r="DC17" s="874">
        <v>7.4498590000000003E-2</v>
      </c>
      <c r="DD17" s="874">
        <v>3.8709519999999997E-2</v>
      </c>
      <c r="DE17" s="874">
        <v>9.791619E-2</v>
      </c>
      <c r="DF17" s="874">
        <v>1.711207E-2</v>
      </c>
      <c r="DG17" s="874">
        <v>0.14028420999999999</v>
      </c>
      <c r="DH17" s="874">
        <v>2.05229822</v>
      </c>
      <c r="DI17" s="874">
        <v>1.941859</v>
      </c>
      <c r="DJ17" s="874">
        <v>2.1980635199999998</v>
      </c>
      <c r="DK17" s="874">
        <v>2.50117426</v>
      </c>
      <c r="DL17" s="874">
        <v>2.57019705</v>
      </c>
      <c r="DM17" s="874">
        <v>1.8866087199999999</v>
      </c>
      <c r="DN17" s="874">
        <v>3.11988413</v>
      </c>
      <c r="DO17" s="874">
        <v>2.7625262899999998</v>
      </c>
      <c r="DP17" s="874">
        <v>1.43855343</v>
      </c>
      <c r="DQ17" s="874">
        <v>1.87287516</v>
      </c>
      <c r="DR17" s="874">
        <v>2.8875726099999999</v>
      </c>
      <c r="DS17" s="874">
        <v>6.5005869699999996</v>
      </c>
      <c r="DT17" s="874">
        <v>6.1387977600000001</v>
      </c>
      <c r="DU17" s="874">
        <v>6.6237460600000002</v>
      </c>
      <c r="DV17" s="874">
        <v>8.8079112399999993</v>
      </c>
      <c r="DW17" s="874">
        <v>12.45696427</v>
      </c>
      <c r="DX17" s="874">
        <v>14.419130450000001</v>
      </c>
      <c r="DY17" s="874">
        <v>12.07691623</v>
      </c>
      <c r="DZ17" s="874">
        <v>10.97918028</v>
      </c>
      <c r="EA17" s="874">
        <v>6.0734231100000002</v>
      </c>
      <c r="EB17" s="874">
        <v>9.0456370199999991</v>
      </c>
      <c r="EC17" s="874">
        <v>6.14285499</v>
      </c>
      <c r="ED17" s="874">
        <v>3.8099550299999998</v>
      </c>
      <c r="EE17" s="874">
        <v>5.7679966</v>
      </c>
      <c r="EF17" s="874">
        <v>8.1313756300000009</v>
      </c>
      <c r="EG17" s="874">
        <v>11.73739168</v>
      </c>
      <c r="EH17" s="874">
        <v>11.976618520000001</v>
      </c>
      <c r="EI17" s="874">
        <v>12.90581459</v>
      </c>
      <c r="EJ17" s="874">
        <v>12.029267839999999</v>
      </c>
      <c r="EK17" s="874">
        <v>14.07253691</v>
      </c>
      <c r="EL17" s="874">
        <v>10.574175070000001</v>
      </c>
      <c r="EM17" s="874">
        <v>10.55252496</v>
      </c>
      <c r="EN17" s="874">
        <v>6.3977812900000002</v>
      </c>
      <c r="EO17" s="874">
        <v>1.66922752</v>
      </c>
      <c r="EP17" s="874">
        <v>6.6063984800000002</v>
      </c>
      <c r="EQ17" s="874">
        <v>10.079375799999999</v>
      </c>
      <c r="ER17" s="874">
        <v>15.90579513</v>
      </c>
      <c r="ES17" s="874">
        <v>15.974063040000001</v>
      </c>
      <c r="ET17" s="874">
        <v>20.714208960000001</v>
      </c>
      <c r="EU17" s="1922" t="s">
        <v>212</v>
      </c>
    </row>
    <row r="18" spans="1:151" ht="21">
      <c r="A18" s="1953" t="s">
        <v>1974</v>
      </c>
      <c r="B18" s="839">
        <v>111.620642</v>
      </c>
      <c r="C18" s="839">
        <v>111.116642</v>
      </c>
      <c r="D18" s="839">
        <v>111.116642</v>
      </c>
      <c r="E18" s="839">
        <v>105.54664200000001</v>
      </c>
      <c r="F18" s="839">
        <v>98.766642000000004</v>
      </c>
      <c r="G18" s="839">
        <v>91.646642</v>
      </c>
      <c r="H18" s="839">
        <v>89.376642000000004</v>
      </c>
      <c r="I18" s="839">
        <v>86.576642000000007</v>
      </c>
      <c r="J18" s="839">
        <v>86.576642000000007</v>
      </c>
      <c r="K18" s="839">
        <v>86.576642000000007</v>
      </c>
      <c r="L18" s="839">
        <v>78.076642000000007</v>
      </c>
      <c r="M18" s="843">
        <v>76.276641999999995</v>
      </c>
      <c r="N18" s="840">
        <v>73.776641999999995</v>
      </c>
      <c r="O18" s="840">
        <v>73.776641999999995</v>
      </c>
      <c r="P18" s="840">
        <v>71.626642000000004</v>
      </c>
      <c r="Q18" s="840">
        <v>70.326642000000007</v>
      </c>
      <c r="R18" s="840">
        <v>70.326642000000007</v>
      </c>
      <c r="S18" s="840">
        <v>70.326642000000007</v>
      </c>
      <c r="T18" s="840">
        <v>70.326642000000007</v>
      </c>
      <c r="U18" s="840">
        <v>70.326642000000007</v>
      </c>
      <c r="V18" s="840">
        <v>70.326642000000007</v>
      </c>
      <c r="W18" s="840">
        <v>70.326642000000007</v>
      </c>
      <c r="X18" s="840">
        <v>70.326642000000007</v>
      </c>
      <c r="Y18" s="843">
        <v>70.326642000000007</v>
      </c>
      <c r="Z18" s="840">
        <v>70.326642000000007</v>
      </c>
      <c r="AA18" s="840">
        <v>53.926642000000001</v>
      </c>
      <c r="AB18" s="843">
        <v>53.926642000000001</v>
      </c>
      <c r="AC18" s="843">
        <v>53.926642000000001</v>
      </c>
      <c r="AD18" s="843">
        <v>53.926642000000001</v>
      </c>
      <c r="AE18" s="843">
        <v>53.926642000000001</v>
      </c>
      <c r="AF18" s="843">
        <v>53.926642000000001</v>
      </c>
      <c r="AG18" s="843">
        <v>53.926642000000001</v>
      </c>
      <c r="AH18" s="843">
        <v>0</v>
      </c>
      <c r="AI18" s="843">
        <v>3.5</v>
      </c>
      <c r="AJ18" s="843">
        <v>0</v>
      </c>
      <c r="AK18" s="843">
        <v>0</v>
      </c>
      <c r="AL18" s="843">
        <v>1.4999999999999999E-2</v>
      </c>
      <c r="AM18" s="843">
        <v>1.4999999999999999E-2</v>
      </c>
      <c r="AN18" s="843">
        <v>5.5312109999999998E-2</v>
      </c>
      <c r="AO18" s="843">
        <v>1.4999999999999999E-2</v>
      </c>
      <c r="AP18" s="843">
        <v>7.4999999999999997E-3</v>
      </c>
      <c r="AQ18" s="843">
        <v>0</v>
      </c>
      <c r="AR18" s="843">
        <v>0</v>
      </c>
      <c r="AS18" s="843">
        <v>0</v>
      </c>
      <c r="AT18" s="843">
        <v>0</v>
      </c>
      <c r="AU18" s="843">
        <v>0</v>
      </c>
      <c r="AV18" s="843">
        <v>0</v>
      </c>
      <c r="AW18" s="843">
        <v>0</v>
      </c>
      <c r="AX18" s="843">
        <v>0</v>
      </c>
      <c r="AY18" s="843">
        <v>0</v>
      </c>
      <c r="AZ18" s="843">
        <v>0</v>
      </c>
      <c r="BA18" s="843">
        <v>0</v>
      </c>
      <c r="BB18" s="843">
        <v>0</v>
      </c>
      <c r="BC18" s="843">
        <v>0</v>
      </c>
      <c r="BD18" s="843">
        <v>0</v>
      </c>
      <c r="BE18" s="843">
        <v>0</v>
      </c>
      <c r="BF18" s="843">
        <v>0</v>
      </c>
      <c r="BG18" s="843">
        <v>0</v>
      </c>
      <c r="BH18" s="886">
        <v>0</v>
      </c>
      <c r="BI18" s="875">
        <v>0</v>
      </c>
      <c r="BJ18" s="875">
        <v>0</v>
      </c>
      <c r="BK18" s="875">
        <v>0</v>
      </c>
      <c r="BL18" s="875">
        <v>0</v>
      </c>
      <c r="BM18" s="875">
        <v>0</v>
      </c>
      <c r="BN18" s="875">
        <v>0</v>
      </c>
      <c r="BO18" s="875">
        <v>0</v>
      </c>
      <c r="BP18" s="875">
        <v>0</v>
      </c>
      <c r="BQ18" s="875">
        <v>0</v>
      </c>
      <c r="BR18" s="875">
        <v>0</v>
      </c>
      <c r="BS18" s="875">
        <v>0</v>
      </c>
      <c r="BT18" s="875">
        <v>0</v>
      </c>
      <c r="BU18" s="875">
        <v>0</v>
      </c>
      <c r="BV18" s="875">
        <v>0</v>
      </c>
      <c r="BW18" s="875">
        <v>0</v>
      </c>
      <c r="BX18" s="875">
        <v>0.71</v>
      </c>
      <c r="BY18" s="875">
        <v>0</v>
      </c>
      <c r="BZ18" s="875">
        <v>0</v>
      </c>
      <c r="CA18" s="875">
        <v>1.53</v>
      </c>
      <c r="CB18" s="875">
        <v>0</v>
      </c>
      <c r="CC18" s="875">
        <v>0</v>
      </c>
      <c r="CD18" s="875">
        <v>0</v>
      </c>
      <c r="CE18" s="875">
        <v>0</v>
      </c>
      <c r="CF18" s="875">
        <v>0</v>
      </c>
      <c r="CG18" s="875">
        <v>0</v>
      </c>
      <c r="CH18" s="875">
        <v>0</v>
      </c>
      <c r="CI18" s="875">
        <v>0</v>
      </c>
      <c r="CJ18" s="875">
        <v>1.9</v>
      </c>
      <c r="CK18" s="875">
        <v>1.3</v>
      </c>
      <c r="CL18" s="875">
        <v>1.3</v>
      </c>
      <c r="CM18" s="875">
        <v>0.81854388</v>
      </c>
      <c r="CN18" s="875">
        <v>1.6361421200000001</v>
      </c>
      <c r="CO18" s="875">
        <v>0.53909293000000003</v>
      </c>
      <c r="CP18" s="875">
        <v>0.83048393000000009</v>
      </c>
      <c r="CQ18" s="875">
        <v>0.48287186999999998</v>
      </c>
      <c r="CR18" s="875">
        <v>5.2494072300000001</v>
      </c>
      <c r="CS18" s="875">
        <v>3.2100468199999996</v>
      </c>
      <c r="CT18" s="875">
        <v>3.3100468200000002</v>
      </c>
      <c r="CU18" s="875">
        <v>1.08343046</v>
      </c>
      <c r="CV18" s="875">
        <v>2.5</v>
      </c>
      <c r="CW18" s="875">
        <v>0.7</v>
      </c>
      <c r="CX18" s="875">
        <v>0.2</v>
      </c>
      <c r="CY18" s="875">
        <v>0</v>
      </c>
      <c r="CZ18" s="875">
        <v>1.1012497999999999</v>
      </c>
      <c r="DA18" s="875">
        <v>0</v>
      </c>
      <c r="DB18" s="875">
        <v>0</v>
      </c>
      <c r="DC18" s="875">
        <v>0</v>
      </c>
      <c r="DD18" s="875">
        <v>0</v>
      </c>
      <c r="DE18" s="875">
        <v>0</v>
      </c>
      <c r="DF18" s="875">
        <v>0</v>
      </c>
      <c r="DG18" s="875">
        <v>0</v>
      </c>
      <c r="DH18" s="875">
        <v>0</v>
      </c>
      <c r="DI18" s="875">
        <v>0</v>
      </c>
      <c r="DJ18" s="875">
        <v>0</v>
      </c>
      <c r="DK18" s="875">
        <v>0</v>
      </c>
      <c r="DL18" s="875">
        <v>0</v>
      </c>
      <c r="DM18" s="875">
        <v>0</v>
      </c>
      <c r="DN18" s="875">
        <v>0</v>
      </c>
      <c r="DO18" s="875">
        <v>0</v>
      </c>
      <c r="DP18" s="875">
        <v>0</v>
      </c>
      <c r="DQ18" s="875">
        <v>0</v>
      </c>
      <c r="DR18" s="875">
        <v>0</v>
      </c>
      <c r="DS18" s="875">
        <v>0</v>
      </c>
      <c r="DT18" s="875">
        <v>0</v>
      </c>
      <c r="DU18" s="875">
        <v>0</v>
      </c>
      <c r="DV18" s="875">
        <v>0</v>
      </c>
      <c r="DW18" s="875">
        <v>2.1942907900000002</v>
      </c>
      <c r="DX18" s="875">
        <v>2.7205965499999998</v>
      </c>
      <c r="DY18" s="875">
        <v>1.010988</v>
      </c>
      <c r="DZ18" s="875">
        <v>0</v>
      </c>
      <c r="EA18" s="875">
        <v>0</v>
      </c>
      <c r="EB18" s="875">
        <v>0</v>
      </c>
      <c r="EC18" s="875">
        <v>1.010988</v>
      </c>
      <c r="ED18" s="875">
        <v>1.010988</v>
      </c>
      <c r="EE18" s="875">
        <v>3.1425296</v>
      </c>
      <c r="EF18" s="875">
        <v>5.4983844199999998</v>
      </c>
      <c r="EG18" s="875">
        <v>8.9408512699999996</v>
      </c>
      <c r="EH18" s="875">
        <v>9.0776258900000002</v>
      </c>
      <c r="EI18" s="875">
        <v>10.15095112</v>
      </c>
      <c r="EJ18" s="875">
        <v>9.6417489599999993</v>
      </c>
      <c r="EK18" s="875">
        <v>11.3710317</v>
      </c>
      <c r="EL18" s="875">
        <v>9.9029098799999993</v>
      </c>
      <c r="EM18" s="875">
        <v>9.1728421999999998</v>
      </c>
      <c r="EN18" s="875">
        <v>5.0319065399999996</v>
      </c>
      <c r="EO18" s="875">
        <v>0</v>
      </c>
      <c r="EP18" s="875">
        <v>3</v>
      </c>
      <c r="EQ18" s="875">
        <v>6.4277188699999996</v>
      </c>
      <c r="ER18" s="875">
        <v>12.84188799</v>
      </c>
      <c r="ES18" s="875">
        <v>11.52048666</v>
      </c>
      <c r="ET18" s="875">
        <v>15.84367452</v>
      </c>
      <c r="EU18" s="1924" t="s">
        <v>4086</v>
      </c>
    </row>
    <row r="19" spans="1:151" ht="21">
      <c r="A19" s="1953" t="s">
        <v>1975</v>
      </c>
      <c r="B19" s="842">
        <f>+B17-B18</f>
        <v>31.668776170000001</v>
      </c>
      <c r="C19" s="842">
        <f t="shared" ref="C19:V19" si="4">+C17-C18</f>
        <v>31.629076360000013</v>
      </c>
      <c r="D19" s="842">
        <f t="shared" si="4"/>
        <v>32.394030879999988</v>
      </c>
      <c r="E19" s="842">
        <f t="shared" si="4"/>
        <v>32.359445610000009</v>
      </c>
      <c r="F19" s="842">
        <f t="shared" si="4"/>
        <v>31.28620943</v>
      </c>
      <c r="G19" s="842">
        <f t="shared" si="4"/>
        <v>33.123421429999993</v>
      </c>
      <c r="H19" s="842">
        <f t="shared" si="4"/>
        <v>35.637364869999999</v>
      </c>
      <c r="I19" s="842">
        <f t="shared" si="4"/>
        <v>36.514627140000002</v>
      </c>
      <c r="J19" s="842">
        <f t="shared" si="4"/>
        <v>36.486106920000012</v>
      </c>
      <c r="K19" s="842">
        <f t="shared" si="4"/>
        <v>37.454840939999997</v>
      </c>
      <c r="L19" s="842">
        <f t="shared" si="4"/>
        <v>37.6008925</v>
      </c>
      <c r="M19" s="843">
        <f t="shared" si="4"/>
        <v>37.465164970000004</v>
      </c>
      <c r="N19" s="843">
        <f t="shared" si="4"/>
        <v>38.019649000000001</v>
      </c>
      <c r="O19" s="843">
        <f t="shared" si="4"/>
        <v>38.254299000000003</v>
      </c>
      <c r="P19" s="843">
        <f t="shared" si="4"/>
        <v>38.460676000000007</v>
      </c>
      <c r="Q19" s="843">
        <f t="shared" si="4"/>
        <v>23.767250000000004</v>
      </c>
      <c r="R19" s="843">
        <f t="shared" si="4"/>
        <v>26.739714000000006</v>
      </c>
      <c r="S19" s="843">
        <f t="shared" si="4"/>
        <v>29.089813280000001</v>
      </c>
      <c r="T19" s="843">
        <f t="shared" si="4"/>
        <v>28.156049339999996</v>
      </c>
      <c r="U19" s="843">
        <f t="shared" si="4"/>
        <v>29.239141470000007</v>
      </c>
      <c r="V19" s="843">
        <f t="shared" si="4"/>
        <v>30.557382000000004</v>
      </c>
      <c r="W19" s="843">
        <v>32.097398600000005</v>
      </c>
      <c r="X19" s="843">
        <v>32.009633980000004</v>
      </c>
      <c r="Y19" s="843">
        <v>22.352136520000002</v>
      </c>
      <c r="Z19" s="843">
        <v>22.371736519999999</v>
      </c>
      <c r="AA19" s="843">
        <v>22.391188960000008</v>
      </c>
      <c r="AB19" s="843">
        <v>22.386919689999999</v>
      </c>
      <c r="AC19" s="843">
        <v>22.400331539999996</v>
      </c>
      <c r="AD19" s="843">
        <v>22.387740550000004</v>
      </c>
      <c r="AE19" s="843">
        <v>22.26353512</v>
      </c>
      <c r="AF19" s="843">
        <v>22.261519250000006</v>
      </c>
      <c r="AG19" s="843">
        <v>17.06118463</v>
      </c>
      <c r="AH19" s="843">
        <f>+AH17-AH18</f>
        <v>11.86063933</v>
      </c>
      <c r="AI19" s="843">
        <v>11.873805800000001</v>
      </c>
      <c r="AJ19" s="843">
        <f>+AJ17-AJ18</f>
        <v>7.2345771399999999</v>
      </c>
      <c r="AK19" s="843">
        <f>+AK17-AK18</f>
        <v>19.039946180000001</v>
      </c>
      <c r="AL19" s="843">
        <v>19.032642420000002</v>
      </c>
      <c r="AM19" s="843">
        <f>+AM17-AM18</f>
        <v>19.027120289999999</v>
      </c>
      <c r="AN19" s="843">
        <f>+AN17-AN18</f>
        <v>21.482749290000001</v>
      </c>
      <c r="AO19" s="843">
        <f>+AO17-AO18</f>
        <v>21.49376848</v>
      </c>
      <c r="AP19" s="843">
        <f>+AP17-AP18</f>
        <v>23.797618480000001</v>
      </c>
      <c r="AQ19" s="843">
        <v>23.795354270000001</v>
      </c>
      <c r="AR19" s="843">
        <f>+AR17-AR18</f>
        <v>23.793526440000001</v>
      </c>
      <c r="AS19" s="843">
        <f>+AS17-AS18</f>
        <v>23.08699631</v>
      </c>
      <c r="AT19" s="843">
        <f>+AT17-AT18</f>
        <v>23.789590760000003</v>
      </c>
      <c r="AU19" s="843">
        <v>25.4880438</v>
      </c>
      <c r="AV19" s="843">
        <v>25.486588260000001</v>
      </c>
      <c r="AW19" s="843">
        <v>25.672421440000001</v>
      </c>
      <c r="AX19" s="843">
        <v>25.670063160000002</v>
      </c>
      <c r="AY19" s="843">
        <v>27.997148639999999</v>
      </c>
      <c r="AZ19" s="843">
        <v>27.99561392</v>
      </c>
      <c r="BA19" s="843">
        <v>27.99405874</v>
      </c>
      <c r="BB19" s="843">
        <v>27.992488000000002</v>
      </c>
      <c r="BC19" s="843">
        <v>27.992488000000002</v>
      </c>
      <c r="BD19" s="843">
        <f>+BD17-BD18</f>
        <v>27.992488000000002</v>
      </c>
      <c r="BE19" s="843">
        <v>27.992488000000002</v>
      </c>
      <c r="BF19" s="843">
        <v>27.992488000000002</v>
      </c>
      <c r="BG19" s="843">
        <v>27.992488000000002</v>
      </c>
      <c r="BH19" s="886">
        <v>27.992488000000002</v>
      </c>
      <c r="BI19" s="875">
        <v>31.097487999999998</v>
      </c>
      <c r="BJ19" s="875">
        <v>31.127488</v>
      </c>
      <c r="BK19" s="875">
        <v>31.122750839999998</v>
      </c>
      <c r="BL19" s="875">
        <v>31.10047604</v>
      </c>
      <c r="BM19" s="875">
        <v>30.643563</v>
      </c>
      <c r="BN19" s="875">
        <v>30.578562999999999</v>
      </c>
      <c r="BO19" s="875">
        <v>25.639323000000001</v>
      </c>
      <c r="BP19" s="875">
        <v>27.340323000000001</v>
      </c>
      <c r="BQ19" s="875">
        <v>28.362123</v>
      </c>
      <c r="BR19" s="875">
        <v>28.362123</v>
      </c>
      <c r="BS19" s="875">
        <v>28.362123</v>
      </c>
      <c r="BT19" s="875">
        <v>28.362123</v>
      </c>
      <c r="BU19" s="875">
        <v>30.958197999999999</v>
      </c>
      <c r="BV19" s="875">
        <v>30.746982510000002</v>
      </c>
      <c r="BW19" s="875">
        <v>30.688198</v>
      </c>
      <c r="BX19" s="875">
        <v>30.688198</v>
      </c>
      <c r="BY19" s="875">
        <v>30.688198</v>
      </c>
      <c r="BZ19" s="875">
        <v>30.813198</v>
      </c>
      <c r="CA19" s="875">
        <v>30.688198</v>
      </c>
      <c r="CB19" s="875">
        <v>2.1000000000000001E-2</v>
      </c>
      <c r="CC19" s="875">
        <v>0</v>
      </c>
      <c r="CD19" s="875">
        <v>0</v>
      </c>
      <c r="CE19" s="875">
        <f t="shared" ref="CE19:CO19" si="5">+CE17-CE18</f>
        <v>0.03</v>
      </c>
      <c r="CF19" s="875">
        <f t="shared" si="5"/>
        <v>0.03</v>
      </c>
      <c r="CG19" s="875">
        <f t="shared" si="5"/>
        <v>0.30206944000000002</v>
      </c>
      <c r="CH19" s="875">
        <f t="shared" si="5"/>
        <v>0.30206944000000002</v>
      </c>
      <c r="CI19" s="875">
        <f t="shared" si="5"/>
        <v>0.13600000000000001</v>
      </c>
      <c r="CJ19" s="875">
        <f t="shared" si="5"/>
        <v>0.13600000000000012</v>
      </c>
      <c r="CK19" s="875">
        <f t="shared" si="5"/>
        <v>0</v>
      </c>
      <c r="CL19" s="875">
        <f t="shared" si="5"/>
        <v>0.21599999999999997</v>
      </c>
      <c r="CM19" s="875">
        <f t="shared" si="5"/>
        <v>0.41599999999999993</v>
      </c>
      <c r="CN19" s="875">
        <f t="shared" si="5"/>
        <v>0.3660000000000001</v>
      </c>
      <c r="CO19" s="875">
        <f t="shared" si="5"/>
        <v>0.41999999999999993</v>
      </c>
      <c r="CP19" s="875">
        <f>+CP17-CP18</f>
        <v>0.43499999999999994</v>
      </c>
      <c r="CQ19" s="875">
        <f>+CQ17-CQ18</f>
        <v>0.40500000000000003</v>
      </c>
      <c r="CR19" s="875">
        <f>+CR17-CR18</f>
        <v>0.5</v>
      </c>
      <c r="CS19" s="875">
        <f>+CS17-CS18</f>
        <v>0.5</v>
      </c>
      <c r="CT19" s="875">
        <v>0.55911911999999997</v>
      </c>
      <c r="CU19" s="875">
        <v>0.56100000000000005</v>
      </c>
      <c r="CV19" s="875">
        <v>0.56100000000000005</v>
      </c>
      <c r="CW19" s="875">
        <v>6.0999999999999999E-2</v>
      </c>
      <c r="CX19" s="875">
        <v>0.11193754</v>
      </c>
      <c r="CY19" s="875">
        <v>6.0999999999999999E-2</v>
      </c>
      <c r="CZ19" s="875">
        <v>6.0999999999999999E-2</v>
      </c>
      <c r="DA19" s="875">
        <v>0.27100000000000002</v>
      </c>
      <c r="DB19" s="875">
        <v>0.32025057000000001</v>
      </c>
      <c r="DC19" s="875">
        <v>7.4498590000000003E-2</v>
      </c>
      <c r="DD19" s="875">
        <v>3.8709519999999997E-2</v>
      </c>
      <c r="DE19" s="875">
        <v>9.791619E-2</v>
      </c>
      <c r="DF19" s="875">
        <v>1.711207E-2</v>
      </c>
      <c r="DG19" s="875">
        <v>0.14028420999999999</v>
      </c>
      <c r="DH19" s="875">
        <v>2.05229822</v>
      </c>
      <c r="DI19" s="875">
        <v>1.941859</v>
      </c>
      <c r="DJ19" s="875">
        <v>2.1980635199999998</v>
      </c>
      <c r="DK19" s="875">
        <v>2.50117426</v>
      </c>
      <c r="DL19" s="875">
        <v>2.57019705</v>
      </c>
      <c r="DM19" s="875">
        <v>1.8866087199999999</v>
      </c>
      <c r="DN19" s="875">
        <v>3.11988413</v>
      </c>
      <c r="DO19" s="875">
        <v>2.7625262899999998</v>
      </c>
      <c r="DP19" s="875">
        <v>1.43855343</v>
      </c>
      <c r="DQ19" s="875">
        <v>1.87287516</v>
      </c>
      <c r="DR19" s="875">
        <v>2.8875726099999999</v>
      </c>
      <c r="DS19" s="875">
        <v>6.5005869699999996</v>
      </c>
      <c r="DT19" s="875">
        <v>6.1387977600000001</v>
      </c>
      <c r="DU19" s="875">
        <v>6.6237460600000002</v>
      </c>
      <c r="DV19" s="875">
        <v>8.8079112399999993</v>
      </c>
      <c r="DW19" s="875">
        <v>10.26267348</v>
      </c>
      <c r="DX19" s="875">
        <v>11.698533899999999</v>
      </c>
      <c r="DY19" s="875">
        <v>11.065928230000001</v>
      </c>
      <c r="DZ19" s="875">
        <v>10.97918028</v>
      </c>
      <c r="EA19" s="875">
        <v>6.0734231100000002</v>
      </c>
      <c r="EB19" s="875">
        <v>9.0456370199999991</v>
      </c>
      <c r="EC19" s="875">
        <v>5.1318669899999998</v>
      </c>
      <c r="ED19" s="875">
        <v>2.79896703</v>
      </c>
      <c r="EE19" s="875">
        <v>2.625467</v>
      </c>
      <c r="EF19" s="875">
        <v>2.6329912100000001</v>
      </c>
      <c r="EG19" s="875">
        <v>2.79654041</v>
      </c>
      <c r="EH19" s="875">
        <v>2.89899263</v>
      </c>
      <c r="EI19" s="875">
        <v>2.7548634700000001</v>
      </c>
      <c r="EJ19" s="875">
        <v>2.38751888</v>
      </c>
      <c r="EK19" s="875">
        <v>2.7015052100000001</v>
      </c>
      <c r="EL19" s="875">
        <v>0.67126518999999996</v>
      </c>
      <c r="EM19" s="875">
        <v>1.3796827599999999</v>
      </c>
      <c r="EN19" s="875">
        <v>1.3658747499999999</v>
      </c>
      <c r="EO19" s="875">
        <v>1.66922752</v>
      </c>
      <c r="EP19" s="875">
        <v>3.6063984800000002</v>
      </c>
      <c r="EQ19" s="875">
        <v>3.6516569300000001</v>
      </c>
      <c r="ER19" s="875">
        <v>3.06390714</v>
      </c>
      <c r="ES19" s="875">
        <v>4.4535763800000003</v>
      </c>
      <c r="ET19" s="875">
        <v>4.8705344400000001</v>
      </c>
      <c r="EU19" s="1924" t="s">
        <v>4085</v>
      </c>
    </row>
    <row r="20" spans="1:151" ht="21">
      <c r="A20" s="1952"/>
      <c r="B20" s="839"/>
      <c r="C20" s="839"/>
      <c r="D20" s="839"/>
      <c r="E20" s="839"/>
      <c r="F20" s="839"/>
      <c r="G20" s="839"/>
      <c r="H20" s="839"/>
      <c r="I20" s="839"/>
      <c r="J20" s="839"/>
      <c r="K20" s="839"/>
      <c r="L20" s="839"/>
      <c r="M20" s="840"/>
      <c r="N20" s="840"/>
      <c r="O20" s="840"/>
      <c r="P20" s="840"/>
      <c r="Q20" s="840"/>
      <c r="R20" s="840"/>
      <c r="S20" s="840"/>
      <c r="T20" s="840"/>
      <c r="U20" s="840"/>
      <c r="V20" s="840"/>
      <c r="W20" s="840"/>
      <c r="X20" s="840"/>
      <c r="Y20" s="840"/>
      <c r="Z20" s="840"/>
      <c r="AA20" s="840"/>
      <c r="AB20" s="840"/>
      <c r="AC20" s="840"/>
      <c r="AD20" s="840"/>
      <c r="AE20" s="840"/>
      <c r="AF20" s="840"/>
      <c r="AG20" s="840"/>
      <c r="AH20" s="840"/>
      <c r="AI20" s="840"/>
      <c r="AJ20" s="840"/>
      <c r="AK20" s="840"/>
      <c r="AL20" s="840"/>
      <c r="AM20" s="840"/>
      <c r="AN20" s="840"/>
      <c r="AO20" s="840"/>
      <c r="AP20" s="840"/>
      <c r="AQ20" s="840"/>
      <c r="AR20" s="840"/>
      <c r="AS20" s="840"/>
      <c r="AT20" s="840"/>
      <c r="AU20" s="840"/>
      <c r="AV20" s="840"/>
      <c r="AW20" s="840"/>
      <c r="AX20" s="840"/>
      <c r="AY20" s="840"/>
      <c r="AZ20" s="840"/>
      <c r="BA20" s="840"/>
      <c r="BB20" s="840"/>
      <c r="BC20" s="840"/>
      <c r="BD20" s="840"/>
      <c r="BE20" s="840"/>
      <c r="BF20" s="840"/>
      <c r="BG20" s="840"/>
      <c r="BH20" s="885"/>
      <c r="BI20" s="874"/>
      <c r="BJ20" s="874"/>
      <c r="BK20" s="874"/>
      <c r="BL20" s="874"/>
      <c r="BM20" s="874"/>
      <c r="BN20" s="874"/>
      <c r="BO20" s="874"/>
      <c r="BP20" s="874"/>
      <c r="BQ20" s="874"/>
      <c r="BR20" s="874"/>
      <c r="BS20" s="874"/>
      <c r="BT20" s="874"/>
      <c r="BU20" s="874"/>
      <c r="BV20" s="874"/>
      <c r="BW20" s="874"/>
      <c r="BX20" s="874"/>
      <c r="BY20" s="874"/>
      <c r="BZ20" s="874"/>
      <c r="CA20" s="874"/>
      <c r="CB20" s="874"/>
      <c r="CC20" s="874"/>
      <c r="CD20" s="874"/>
      <c r="CE20" s="874"/>
      <c r="CF20" s="874"/>
      <c r="CG20" s="874"/>
      <c r="CH20" s="874"/>
      <c r="CI20" s="874"/>
      <c r="CJ20" s="874"/>
      <c r="CK20" s="874"/>
      <c r="CL20" s="874"/>
      <c r="CM20" s="874"/>
      <c r="CN20" s="874"/>
      <c r="CO20" s="874"/>
      <c r="CP20" s="874"/>
      <c r="CQ20" s="874"/>
      <c r="CR20" s="874"/>
      <c r="CS20" s="874"/>
      <c r="CT20" s="874"/>
      <c r="CU20" s="874"/>
      <c r="CV20" s="874"/>
      <c r="CW20" s="874"/>
      <c r="CX20" s="874"/>
      <c r="CY20" s="874"/>
      <c r="CZ20" s="874"/>
      <c r="DA20" s="874"/>
      <c r="DB20" s="874"/>
      <c r="DC20" s="874"/>
      <c r="DD20" s="874"/>
      <c r="DE20" s="874"/>
      <c r="DF20" s="874"/>
      <c r="DG20" s="874"/>
      <c r="DH20" s="874"/>
      <c r="DI20" s="874"/>
      <c r="DJ20" s="874"/>
      <c r="DK20" s="874"/>
      <c r="DL20" s="874"/>
      <c r="DM20" s="874"/>
      <c r="DN20" s="874"/>
      <c r="DO20" s="874"/>
      <c r="DP20" s="874"/>
      <c r="DQ20" s="874"/>
      <c r="DR20" s="874"/>
      <c r="DS20" s="874"/>
      <c r="DT20" s="874"/>
      <c r="DU20" s="874"/>
      <c r="DV20" s="874"/>
      <c r="DW20" s="874"/>
      <c r="DX20" s="874"/>
      <c r="DY20" s="874"/>
      <c r="DZ20" s="874"/>
      <c r="EA20" s="874"/>
      <c r="EB20" s="874"/>
      <c r="EC20" s="874"/>
      <c r="ED20" s="874"/>
      <c r="EE20" s="874"/>
      <c r="EF20" s="874"/>
      <c r="EG20" s="874"/>
      <c r="EH20" s="874"/>
      <c r="EI20" s="874"/>
      <c r="EJ20" s="874"/>
      <c r="EK20" s="874"/>
      <c r="EL20" s="874"/>
      <c r="EM20" s="874"/>
      <c r="EN20" s="874"/>
      <c r="EO20" s="874"/>
      <c r="EP20" s="874"/>
      <c r="EQ20" s="874"/>
      <c r="ER20" s="874"/>
      <c r="ES20" s="874"/>
      <c r="ET20" s="874"/>
      <c r="EU20" s="1922"/>
    </row>
    <row r="21" spans="1:151" ht="21">
      <c r="A21" s="1952" t="s">
        <v>2757</v>
      </c>
      <c r="B21" s="842">
        <v>10.491786900000001</v>
      </c>
      <c r="C21" s="842">
        <v>5.9121963900000001</v>
      </c>
      <c r="D21" s="842">
        <v>5.7595558099999993</v>
      </c>
      <c r="E21" s="842">
        <v>5.7457509400000006</v>
      </c>
      <c r="F21" s="842">
        <v>5.5946453400000005</v>
      </c>
      <c r="G21" s="842">
        <v>5.9717132500000005</v>
      </c>
      <c r="H21" s="842">
        <v>5.9658395100000003</v>
      </c>
      <c r="I21" s="842">
        <v>5.9470103600000002</v>
      </c>
      <c r="J21" s="842">
        <v>5.9524586399999997</v>
      </c>
      <c r="K21" s="842">
        <v>5.5640435100000003</v>
      </c>
      <c r="L21" s="842">
        <v>5.5821219700000002</v>
      </c>
      <c r="M21" s="840">
        <v>5.6163390800000004</v>
      </c>
      <c r="N21" s="843">
        <v>5.5682108399999999</v>
      </c>
      <c r="O21" s="843">
        <v>5.5696126699999997</v>
      </c>
      <c r="P21" s="843">
        <v>8.5896373500000003</v>
      </c>
      <c r="Q21" s="843">
        <v>8.589641180000001</v>
      </c>
      <c r="R21" s="843">
        <v>9.3634966399999993</v>
      </c>
      <c r="S21" s="843">
        <v>9.3514446099999997</v>
      </c>
      <c r="T21" s="843">
        <v>9.3401900399999995</v>
      </c>
      <c r="U21" s="843">
        <v>9.4752186299999988</v>
      </c>
      <c r="V21" s="843">
        <v>11.362166669999999</v>
      </c>
      <c r="W21" s="843">
        <v>11.3463852</v>
      </c>
      <c r="X21" s="843">
        <v>11.21907423</v>
      </c>
      <c r="Y21" s="840">
        <v>11.188550340000001</v>
      </c>
      <c r="Z21" s="843">
        <v>11.20339613</v>
      </c>
      <c r="AA21" s="843">
        <v>14.749294030000001</v>
      </c>
      <c r="AB21" s="840">
        <v>14.29103299</v>
      </c>
      <c r="AC21" s="840">
        <v>15.032291709999999</v>
      </c>
      <c r="AD21" s="840">
        <v>16.843249539999999</v>
      </c>
      <c r="AE21" s="840">
        <v>24.976417929999997</v>
      </c>
      <c r="AF21" s="840">
        <v>28.753803809999997</v>
      </c>
      <c r="AG21" s="840">
        <v>37.368803019999994</v>
      </c>
      <c r="AH21" s="840">
        <v>37.909783699999998</v>
      </c>
      <c r="AI21" s="840">
        <v>42.182006149999999</v>
      </c>
      <c r="AJ21" s="840">
        <v>46.905181720000002</v>
      </c>
      <c r="AK21" s="840">
        <v>59.453121430000003</v>
      </c>
      <c r="AL21" s="840">
        <v>56.12931854</v>
      </c>
      <c r="AM21" s="840">
        <v>54.994271670000003</v>
      </c>
      <c r="AN21" s="840">
        <v>51.816730380000003</v>
      </c>
      <c r="AO21" s="840">
        <v>50.350400149999999</v>
      </c>
      <c r="AP21" s="840">
        <v>43.807388270000004</v>
      </c>
      <c r="AQ21" s="840">
        <v>43.300481390000002</v>
      </c>
      <c r="AR21" s="840">
        <v>43.571215350000003</v>
      </c>
      <c r="AS21" s="840">
        <v>42.172041819999997</v>
      </c>
      <c r="AT21" s="840">
        <f>AT13-AT17</f>
        <v>41.090646279999994</v>
      </c>
      <c r="AU21" s="840">
        <v>38.787058979999998</v>
      </c>
      <c r="AV21" s="840">
        <v>42.06614562</v>
      </c>
      <c r="AW21" s="840">
        <v>41.002214479999999</v>
      </c>
      <c r="AX21" s="840">
        <v>43.598514080000001</v>
      </c>
      <c r="AY21" s="840">
        <v>33.797158519999996</v>
      </c>
      <c r="AZ21" s="840">
        <v>22.07726933</v>
      </c>
      <c r="BA21" s="840">
        <v>20.551904090000001</v>
      </c>
      <c r="BB21" s="840">
        <v>24.646458050000003</v>
      </c>
      <c r="BC21" s="840">
        <v>24.661609829999996</v>
      </c>
      <c r="BD21" s="840">
        <v>24.659301940000002</v>
      </c>
      <c r="BE21" s="840">
        <v>20.67727923</v>
      </c>
      <c r="BF21" s="840">
        <v>16.454217659999998</v>
      </c>
      <c r="BG21" s="840">
        <v>16.454217659999998</v>
      </c>
      <c r="BH21" s="885">
        <v>13.903099879999999</v>
      </c>
      <c r="BI21" s="874">
        <v>9.3894822899999966</v>
      </c>
      <c r="BJ21" s="874">
        <v>9.3894822899999966</v>
      </c>
      <c r="BK21" s="874">
        <v>9.3894822900000001</v>
      </c>
      <c r="BL21" s="874">
        <v>9.3889299999999984</v>
      </c>
      <c r="BM21" s="874">
        <v>9.388930000000002</v>
      </c>
      <c r="BN21" s="874">
        <v>9.3889299999999984</v>
      </c>
      <c r="BO21" s="874">
        <v>9.3889299999999984</v>
      </c>
      <c r="BP21" s="874">
        <v>7.6889300000000027</v>
      </c>
      <c r="BQ21" s="874">
        <v>5.9193660000000001</v>
      </c>
      <c r="BR21" s="874">
        <v>5.9193660000000001</v>
      </c>
      <c r="BS21" s="874">
        <v>5.9193660000000001</v>
      </c>
      <c r="BT21" s="874">
        <v>5.9193660000000001</v>
      </c>
      <c r="BU21" s="874">
        <v>2.5499999999922807E-4</v>
      </c>
      <c r="BV21" s="874">
        <v>2.5499999999922807E-4</v>
      </c>
      <c r="BW21" s="874">
        <v>2.5499999999922807E-4</v>
      </c>
      <c r="BX21" s="874">
        <v>2.5499999999922807E-4</v>
      </c>
      <c r="BY21" s="874">
        <v>1.3925190000000001</v>
      </c>
      <c r="BZ21" s="874">
        <v>0.62833260000000024</v>
      </c>
      <c r="CA21" s="874">
        <v>2.5500000000278078E-4</v>
      </c>
      <c r="CB21" s="874">
        <v>0</v>
      </c>
      <c r="CC21" s="874">
        <v>0</v>
      </c>
      <c r="CD21" s="874">
        <v>0</v>
      </c>
      <c r="CE21" s="874">
        <v>0</v>
      </c>
      <c r="CF21" s="874">
        <v>0</v>
      </c>
      <c r="CG21" s="874">
        <v>0.59165199999999996</v>
      </c>
      <c r="CH21" s="874">
        <v>0.58254488000000004</v>
      </c>
      <c r="CI21" s="874">
        <v>0.58086643000000004</v>
      </c>
      <c r="CJ21" s="874">
        <v>0</v>
      </c>
      <c r="CK21" s="874">
        <v>0</v>
      </c>
      <c r="CL21" s="874">
        <v>0</v>
      </c>
      <c r="CM21" s="874">
        <v>0.70720000000000005</v>
      </c>
      <c r="CN21" s="874">
        <v>0</v>
      </c>
      <c r="CO21" s="874">
        <v>0</v>
      </c>
      <c r="CP21" s="874">
        <v>0</v>
      </c>
      <c r="CQ21" s="874">
        <v>0</v>
      </c>
      <c r="CR21" s="874">
        <v>0</v>
      </c>
      <c r="CS21" s="874">
        <v>0</v>
      </c>
      <c r="CT21" s="874">
        <v>7.8400953600000003</v>
      </c>
      <c r="CU21" s="874">
        <v>7.8400953600000003</v>
      </c>
      <c r="CV21" s="874">
        <v>8.1545953600000001</v>
      </c>
      <c r="CW21" s="874">
        <v>10.364595359999999</v>
      </c>
      <c r="CX21" s="874">
        <v>8.1889000000000003</v>
      </c>
      <c r="CY21" s="874">
        <v>8.1889000000000003</v>
      </c>
      <c r="CZ21" s="874">
        <v>2.3051959499999999</v>
      </c>
      <c r="DA21" s="874">
        <v>0</v>
      </c>
      <c r="DB21" s="874">
        <v>0</v>
      </c>
      <c r="DC21" s="874">
        <v>0.49980000000000002</v>
      </c>
      <c r="DD21" s="874">
        <v>0.45962219999999998</v>
      </c>
      <c r="DE21" s="874">
        <v>0.41891025999999998</v>
      </c>
      <c r="DF21" s="874">
        <v>0.37827411</v>
      </c>
      <c r="DG21" s="874">
        <v>0.33709257999999998</v>
      </c>
      <c r="DH21" s="874">
        <v>0.29604894999999998</v>
      </c>
      <c r="DI21" s="874">
        <v>0.25442037000000001</v>
      </c>
      <c r="DJ21" s="874">
        <v>0.2125976</v>
      </c>
      <c r="DK21" s="874">
        <v>0.17079225000000001</v>
      </c>
      <c r="DL21" s="874">
        <v>0.12840840000000001</v>
      </c>
      <c r="DM21" s="874">
        <v>8.6104689999999998E-2</v>
      </c>
      <c r="DN21" s="874">
        <v>8.6104689999999998E-2</v>
      </c>
      <c r="DO21" s="874">
        <v>0</v>
      </c>
      <c r="DP21" s="874">
        <v>0</v>
      </c>
      <c r="DQ21" s="874">
        <v>0</v>
      </c>
      <c r="DR21" s="874">
        <v>0.49980000000000002</v>
      </c>
      <c r="DS21" s="874">
        <v>0.45966356000000003</v>
      </c>
      <c r="DT21" s="874">
        <v>0.41909864000000002</v>
      </c>
      <c r="DU21" s="874">
        <v>0.37813408999999998</v>
      </c>
      <c r="DV21" s="874">
        <v>0.67709357999999997</v>
      </c>
      <c r="DW21" s="874">
        <v>0.67709357999999997</v>
      </c>
      <c r="DX21" s="874">
        <v>0.59447461999999995</v>
      </c>
      <c r="DY21" s="874">
        <v>0.59447461999999995</v>
      </c>
      <c r="DZ21" s="874">
        <v>0.55256419000000001</v>
      </c>
      <c r="EA21" s="874">
        <v>0.51064043999999997</v>
      </c>
      <c r="EB21" s="874">
        <v>0.46852226000000002</v>
      </c>
      <c r="EC21" s="874">
        <v>0.42597570000000001</v>
      </c>
      <c r="ED21" s="874">
        <v>0.34</v>
      </c>
      <c r="EE21" s="874">
        <v>0.34</v>
      </c>
      <c r="EF21" s="874">
        <v>0.34</v>
      </c>
      <c r="EG21" s="874">
        <v>0.76500000000000001</v>
      </c>
      <c r="EH21" s="874">
        <v>0.76500000000000001</v>
      </c>
      <c r="EI21" s="874">
        <v>0.76500000000000001</v>
      </c>
      <c r="EJ21" s="874">
        <v>1.4190069999999999</v>
      </c>
      <c r="EK21" s="874">
        <v>1.48349851</v>
      </c>
      <c r="EL21" s="874">
        <v>0.90713569000000005</v>
      </c>
      <c r="EM21" s="874">
        <v>0.11401509</v>
      </c>
      <c r="EN21" s="874">
        <v>8.5758100000000004E-2</v>
      </c>
      <c r="EO21" s="874">
        <v>5.735295E-2</v>
      </c>
      <c r="EP21" s="874">
        <v>0</v>
      </c>
      <c r="EQ21" s="874">
        <v>0</v>
      </c>
      <c r="ER21" s="874">
        <v>0</v>
      </c>
      <c r="ES21" s="874">
        <v>0</v>
      </c>
      <c r="ET21" s="874">
        <v>0</v>
      </c>
      <c r="EU21" s="1922" t="s">
        <v>4087</v>
      </c>
    </row>
    <row r="22" spans="1:151" ht="21">
      <c r="A22" s="1953" t="s">
        <v>1974</v>
      </c>
      <c r="B22" s="842">
        <v>5.48966654</v>
      </c>
      <c r="C22" s="842">
        <v>5.4924659599999996</v>
      </c>
      <c r="D22" s="842">
        <v>5.4924659599999996</v>
      </c>
      <c r="E22" s="842">
        <v>5.4910662500000003</v>
      </c>
      <c r="F22" s="842">
        <v>5.4910662500000003</v>
      </c>
      <c r="G22" s="842">
        <v>5.4903664000000001</v>
      </c>
      <c r="H22" s="842">
        <v>5.4903664000000001</v>
      </c>
      <c r="I22" s="842">
        <v>5.48966654</v>
      </c>
      <c r="J22" s="842">
        <v>5.4903664000000001</v>
      </c>
      <c r="K22" s="842">
        <v>5.4903664000000001</v>
      </c>
      <c r="L22" s="842">
        <v>5.48966654</v>
      </c>
      <c r="M22" s="843">
        <v>5.4903664000000001</v>
      </c>
      <c r="N22" s="843">
        <v>5.4882668299999997</v>
      </c>
      <c r="O22" s="843">
        <v>5.48966654</v>
      </c>
      <c r="P22" s="843">
        <v>5.4889666900000007</v>
      </c>
      <c r="Q22" s="843">
        <v>5.4889666900000007</v>
      </c>
      <c r="R22" s="843">
        <v>5.48966654</v>
      </c>
      <c r="S22" s="843">
        <v>5.4889666900000007</v>
      </c>
      <c r="T22" s="843">
        <v>5.4882668299999997</v>
      </c>
      <c r="U22" s="843">
        <v>5.48966654</v>
      </c>
      <c r="V22" s="843">
        <v>5.48966654</v>
      </c>
      <c r="W22" s="843">
        <v>5.48966654</v>
      </c>
      <c r="X22" s="843">
        <v>5.48966654</v>
      </c>
      <c r="Y22" s="843">
        <v>5.48966654</v>
      </c>
      <c r="Z22" s="843">
        <v>5.48966654</v>
      </c>
      <c r="AA22" s="843">
        <v>7.3470830400000002</v>
      </c>
      <c r="AB22" s="843">
        <v>7.3379849200000002</v>
      </c>
      <c r="AC22" s="843">
        <v>7.3393846299999996</v>
      </c>
      <c r="AD22" s="843">
        <v>7.3442836199999997</v>
      </c>
      <c r="AE22" s="843">
        <v>7.33658521</v>
      </c>
      <c r="AF22" s="843">
        <v>7.3449834699999998</v>
      </c>
      <c r="AG22" s="843">
        <v>7.3344856399999996</v>
      </c>
      <c r="AH22" s="843">
        <v>1.5133652900000001</v>
      </c>
      <c r="AI22" s="843">
        <v>0</v>
      </c>
      <c r="AJ22" s="843">
        <v>0</v>
      </c>
      <c r="AK22" s="843">
        <v>0</v>
      </c>
      <c r="AL22" s="843">
        <v>0</v>
      </c>
      <c r="AM22" s="843">
        <v>0</v>
      </c>
      <c r="AN22" s="843">
        <v>0</v>
      </c>
      <c r="AO22" s="843">
        <v>0</v>
      </c>
      <c r="AP22" s="843">
        <v>0</v>
      </c>
      <c r="AQ22" s="843">
        <v>0</v>
      </c>
      <c r="AR22" s="843">
        <v>0</v>
      </c>
      <c r="AS22" s="843">
        <v>0</v>
      </c>
      <c r="AT22" s="843">
        <f>AT14-AT18</f>
        <v>0</v>
      </c>
      <c r="AU22" s="843">
        <v>0</v>
      </c>
      <c r="AV22" s="843">
        <v>0</v>
      </c>
      <c r="AW22" s="843">
        <v>0</v>
      </c>
      <c r="AX22" s="843">
        <v>0</v>
      </c>
      <c r="AY22" s="843">
        <v>0</v>
      </c>
      <c r="AZ22" s="843">
        <v>0</v>
      </c>
      <c r="BA22" s="843">
        <v>0</v>
      </c>
      <c r="BB22" s="843">
        <v>0</v>
      </c>
      <c r="BC22" s="843">
        <v>0</v>
      </c>
      <c r="BD22" s="843">
        <v>0</v>
      </c>
      <c r="BE22" s="843">
        <v>0</v>
      </c>
      <c r="BF22" s="843">
        <v>0</v>
      </c>
      <c r="BG22" s="843">
        <v>0</v>
      </c>
      <c r="BH22" s="886">
        <v>0</v>
      </c>
      <c r="BI22" s="875">
        <v>0</v>
      </c>
      <c r="BJ22" s="875">
        <v>0</v>
      </c>
      <c r="BK22" s="875">
        <v>0</v>
      </c>
      <c r="BL22" s="875">
        <v>0</v>
      </c>
      <c r="BM22" s="875">
        <v>0</v>
      </c>
      <c r="BN22" s="875">
        <v>0</v>
      </c>
      <c r="BO22" s="875">
        <v>0</v>
      </c>
      <c r="BP22" s="875">
        <v>0</v>
      </c>
      <c r="BQ22" s="875">
        <v>0</v>
      </c>
      <c r="BR22" s="875">
        <v>0</v>
      </c>
      <c r="BS22" s="875">
        <v>0</v>
      </c>
      <c r="BT22" s="875">
        <v>0</v>
      </c>
      <c r="BU22" s="875">
        <v>0</v>
      </c>
      <c r="BV22" s="875">
        <v>0</v>
      </c>
      <c r="BW22" s="875">
        <v>0</v>
      </c>
      <c r="BX22" s="875">
        <v>0</v>
      </c>
      <c r="BY22" s="875">
        <v>1.3922639999999999</v>
      </c>
      <c r="BZ22" s="875">
        <v>0.62807760000000001</v>
      </c>
      <c r="CA22" s="875">
        <v>0</v>
      </c>
      <c r="CB22" s="875">
        <v>0</v>
      </c>
      <c r="CC22" s="875">
        <v>0</v>
      </c>
      <c r="CD22" s="875">
        <v>0</v>
      </c>
      <c r="CE22" s="875">
        <v>0</v>
      </c>
      <c r="CF22" s="875">
        <v>0</v>
      </c>
      <c r="CG22" s="875">
        <v>0.59165199999999996</v>
      </c>
      <c r="CH22" s="875">
        <v>0.58254488000000004</v>
      </c>
      <c r="CI22" s="875">
        <v>0.58086643000000004</v>
      </c>
      <c r="CJ22" s="875">
        <v>0</v>
      </c>
      <c r="CK22" s="875">
        <v>0</v>
      </c>
      <c r="CL22" s="875">
        <v>0</v>
      </c>
      <c r="CM22" s="875">
        <v>0.70720000000000005</v>
      </c>
      <c r="CN22" s="875">
        <v>0</v>
      </c>
      <c r="CO22" s="875">
        <v>0</v>
      </c>
      <c r="CP22" s="875">
        <v>0</v>
      </c>
      <c r="CQ22" s="875">
        <v>0</v>
      </c>
      <c r="CR22" s="875">
        <v>0</v>
      </c>
      <c r="CS22" s="875">
        <v>0</v>
      </c>
      <c r="CT22" s="875">
        <v>0</v>
      </c>
      <c r="CU22" s="875">
        <v>0</v>
      </c>
      <c r="CV22" s="875">
        <v>0</v>
      </c>
      <c r="CW22" s="875">
        <v>0</v>
      </c>
      <c r="CX22" s="875">
        <v>0</v>
      </c>
      <c r="CY22" s="875">
        <v>0</v>
      </c>
      <c r="CZ22" s="875">
        <v>0</v>
      </c>
      <c r="DA22" s="875">
        <v>0</v>
      </c>
      <c r="DB22" s="875">
        <v>0</v>
      </c>
      <c r="DC22" s="875">
        <v>0</v>
      </c>
      <c r="DD22" s="875">
        <v>0</v>
      </c>
      <c r="DE22" s="875">
        <v>0</v>
      </c>
      <c r="DF22" s="875">
        <v>0</v>
      </c>
      <c r="DG22" s="875">
        <v>0</v>
      </c>
      <c r="DH22" s="875">
        <v>0</v>
      </c>
      <c r="DI22" s="875">
        <v>0</v>
      </c>
      <c r="DJ22" s="875">
        <v>0</v>
      </c>
      <c r="DK22" s="875">
        <v>0</v>
      </c>
      <c r="DL22" s="875">
        <v>0</v>
      </c>
      <c r="DM22" s="875">
        <v>0</v>
      </c>
      <c r="DN22" s="875">
        <v>0</v>
      </c>
      <c r="DO22" s="875">
        <v>0</v>
      </c>
      <c r="DP22" s="875">
        <v>0</v>
      </c>
      <c r="DQ22" s="875">
        <v>0</v>
      </c>
      <c r="DR22" s="875">
        <v>0</v>
      </c>
      <c r="DS22" s="875">
        <v>0</v>
      </c>
      <c r="DT22" s="875">
        <v>0</v>
      </c>
      <c r="DU22" s="875">
        <v>0</v>
      </c>
      <c r="DV22" s="875">
        <v>0</v>
      </c>
      <c r="DW22" s="875">
        <v>0</v>
      </c>
      <c r="DX22" s="875">
        <v>0</v>
      </c>
      <c r="DY22" s="875">
        <v>0</v>
      </c>
      <c r="DZ22" s="875">
        <v>0</v>
      </c>
      <c r="EA22" s="875">
        <v>0</v>
      </c>
      <c r="EB22" s="875">
        <v>0</v>
      </c>
      <c r="EC22" s="875">
        <v>0</v>
      </c>
      <c r="ED22" s="875">
        <v>0</v>
      </c>
      <c r="EE22" s="875">
        <v>0</v>
      </c>
      <c r="EF22" s="875">
        <v>0</v>
      </c>
      <c r="EG22" s="875">
        <v>0</v>
      </c>
      <c r="EH22" s="875">
        <v>0</v>
      </c>
      <c r="EI22" s="875">
        <v>0</v>
      </c>
      <c r="EJ22" s="875">
        <v>0</v>
      </c>
      <c r="EK22" s="875">
        <v>0</v>
      </c>
      <c r="EL22" s="875">
        <v>0</v>
      </c>
      <c r="EM22" s="875">
        <v>0</v>
      </c>
      <c r="EN22" s="875">
        <v>0</v>
      </c>
      <c r="EO22" s="875">
        <v>0</v>
      </c>
      <c r="EP22" s="875">
        <v>0</v>
      </c>
      <c r="EQ22" s="875">
        <v>0</v>
      </c>
      <c r="ER22" s="875">
        <v>0</v>
      </c>
      <c r="ES22" s="875">
        <v>0</v>
      </c>
      <c r="ET22" s="875">
        <v>0</v>
      </c>
      <c r="EU22" s="1924" t="s">
        <v>4086</v>
      </c>
    </row>
    <row r="23" spans="1:151" ht="21">
      <c r="A23" s="1953" t="s">
        <v>1975</v>
      </c>
      <c r="B23" s="839">
        <f>+B21-B22</f>
        <v>5.002120360000001</v>
      </c>
      <c r="C23" s="842">
        <f t="shared" ref="C23:V23" si="6">+C21-C22</f>
        <v>0.41973043000000043</v>
      </c>
      <c r="D23" s="842">
        <f t="shared" si="6"/>
        <v>0.26708984999999963</v>
      </c>
      <c r="E23" s="842">
        <f t="shared" si="6"/>
        <v>0.25468469000000038</v>
      </c>
      <c r="F23" s="842">
        <f t="shared" si="6"/>
        <v>0.10357909000000021</v>
      </c>
      <c r="G23" s="842">
        <f t="shared" si="6"/>
        <v>0.48134685000000044</v>
      </c>
      <c r="H23" s="842">
        <f t="shared" si="6"/>
        <v>0.47547311000000025</v>
      </c>
      <c r="I23" s="842">
        <f t="shared" si="6"/>
        <v>0.45734382000000018</v>
      </c>
      <c r="J23" s="842">
        <f t="shared" si="6"/>
        <v>0.4620922399999996</v>
      </c>
      <c r="K23" s="842">
        <f t="shared" si="6"/>
        <v>7.3677110000000212E-2</v>
      </c>
      <c r="L23" s="842">
        <f t="shared" si="6"/>
        <v>9.2455430000000227E-2</v>
      </c>
      <c r="M23" s="843">
        <f t="shared" si="6"/>
        <v>0.12597268000000028</v>
      </c>
      <c r="N23" s="843">
        <f t="shared" si="6"/>
        <v>7.9944010000000176E-2</v>
      </c>
      <c r="O23" s="843">
        <f t="shared" si="6"/>
        <v>7.9946129999999727E-2</v>
      </c>
      <c r="P23" s="840">
        <f t="shared" si="6"/>
        <v>3.1006706599999996</v>
      </c>
      <c r="Q23" s="840">
        <f t="shared" si="6"/>
        <v>3.1006744900000003</v>
      </c>
      <c r="R23" s="840">
        <f t="shared" si="6"/>
        <v>3.8738300999999993</v>
      </c>
      <c r="S23" s="840">
        <f t="shared" si="6"/>
        <v>3.862477919999999</v>
      </c>
      <c r="T23" s="840">
        <f t="shared" si="6"/>
        <v>3.8519232099999998</v>
      </c>
      <c r="U23" s="840">
        <f t="shared" si="6"/>
        <v>3.9855520899999988</v>
      </c>
      <c r="V23" s="840">
        <f t="shared" si="6"/>
        <v>5.8725001299999988</v>
      </c>
      <c r="W23" s="840">
        <v>5.8567186600000003</v>
      </c>
      <c r="X23" s="840">
        <v>5.7294076900000004</v>
      </c>
      <c r="Y23" s="843">
        <v>5.6988838000000008</v>
      </c>
      <c r="Z23" s="840">
        <v>5.7137295899999998</v>
      </c>
      <c r="AA23" s="843">
        <v>7.4022109900000013</v>
      </c>
      <c r="AB23" s="843">
        <v>6.9530480699999995</v>
      </c>
      <c r="AC23" s="843">
        <v>7.6929070799999995</v>
      </c>
      <c r="AD23" s="843">
        <v>9.4989659199999998</v>
      </c>
      <c r="AE23" s="843">
        <v>17.639832719999998</v>
      </c>
      <c r="AF23" s="843">
        <v>21.408820339999998</v>
      </c>
      <c r="AG23" s="843">
        <v>30.034317379999994</v>
      </c>
      <c r="AH23" s="843">
        <f>+AH21-AH22</f>
        <v>36.396418409999995</v>
      </c>
      <c r="AI23" s="843">
        <v>42.182006149999999</v>
      </c>
      <c r="AJ23" s="843">
        <f>+AJ21-AJ22</f>
        <v>46.905181720000002</v>
      </c>
      <c r="AK23" s="843">
        <f>+AK21-AK22</f>
        <v>59.453121430000003</v>
      </c>
      <c r="AL23" s="843">
        <v>56.12931854</v>
      </c>
      <c r="AM23" s="843">
        <f>+AM21-AM22</f>
        <v>54.994271670000003</v>
      </c>
      <c r="AN23" s="843">
        <f>+AN21-AN22</f>
        <v>51.816730380000003</v>
      </c>
      <c r="AO23" s="843">
        <f>+AO21-AO22</f>
        <v>50.350400149999999</v>
      </c>
      <c r="AP23" s="843">
        <f>+AP21-AP22</f>
        <v>43.807388270000004</v>
      </c>
      <c r="AQ23" s="843">
        <v>43.300481390000002</v>
      </c>
      <c r="AR23" s="843">
        <f>+AR21-AR22</f>
        <v>43.571215350000003</v>
      </c>
      <c r="AS23" s="843">
        <f>+AS21-AS22</f>
        <v>42.172041819999997</v>
      </c>
      <c r="AT23" s="843">
        <f>AT15-AT19</f>
        <v>41.090646279999994</v>
      </c>
      <c r="AU23" s="843">
        <v>38.787058979999998</v>
      </c>
      <c r="AV23" s="843">
        <v>42.06614562</v>
      </c>
      <c r="AW23" s="843">
        <v>41.002214479999999</v>
      </c>
      <c r="AX23" s="843">
        <v>43.598514080000001</v>
      </c>
      <c r="AY23" s="843">
        <v>33.797158519999996</v>
      </c>
      <c r="AZ23" s="843">
        <v>22.07726933</v>
      </c>
      <c r="BA23" s="843">
        <v>20.551904090000001</v>
      </c>
      <c r="BB23" s="843">
        <v>24.646458050000003</v>
      </c>
      <c r="BC23" s="843">
        <v>24.661609829999996</v>
      </c>
      <c r="BD23" s="843">
        <f>+BD21-BD22</f>
        <v>24.659301940000002</v>
      </c>
      <c r="BE23" s="843">
        <v>20.67727923</v>
      </c>
      <c r="BF23" s="843">
        <v>16.454217659999998</v>
      </c>
      <c r="BG23" s="843">
        <v>16.454217659999998</v>
      </c>
      <c r="BH23" s="886">
        <v>13.903099879999999</v>
      </c>
      <c r="BI23" s="875">
        <v>9.3894822899999966</v>
      </c>
      <c r="BJ23" s="875">
        <v>9.3894822899999966</v>
      </c>
      <c r="BK23" s="875">
        <v>9.3894822900000001</v>
      </c>
      <c r="BL23" s="875">
        <v>9.3889299999999984</v>
      </c>
      <c r="BM23" s="875">
        <v>9.388930000000002</v>
      </c>
      <c r="BN23" s="875">
        <v>9.3889299999999984</v>
      </c>
      <c r="BO23" s="875">
        <v>9.3889299999999984</v>
      </c>
      <c r="BP23" s="875">
        <v>7.6889300000000027</v>
      </c>
      <c r="BQ23" s="875">
        <v>5.9193660000000001</v>
      </c>
      <c r="BR23" s="875">
        <v>5.9193660000000001</v>
      </c>
      <c r="BS23" s="875">
        <v>5.9193660000000001</v>
      </c>
      <c r="BT23" s="875">
        <v>5.9193660000000001</v>
      </c>
      <c r="BU23" s="875">
        <v>2.5499999999922807E-4</v>
      </c>
      <c r="BV23" s="875">
        <v>2.5499999999922807E-4</v>
      </c>
      <c r="BW23" s="875">
        <v>2.5499999999922807E-4</v>
      </c>
      <c r="BX23" s="875">
        <v>2.5499999999922807E-4</v>
      </c>
      <c r="BY23" s="875">
        <v>2.5500000000011624E-4</v>
      </c>
      <c r="BZ23" s="875">
        <v>2.5500000000022727E-4</v>
      </c>
      <c r="CA23" s="875">
        <v>2.5500000000278078E-4</v>
      </c>
      <c r="CB23" s="875">
        <v>0</v>
      </c>
      <c r="CC23" s="875">
        <v>0</v>
      </c>
      <c r="CD23" s="875">
        <v>0</v>
      </c>
      <c r="CE23" s="875">
        <f t="shared" ref="CE23:CO23" si="7">+CE21-CE22</f>
        <v>0</v>
      </c>
      <c r="CF23" s="875">
        <f t="shared" si="7"/>
        <v>0</v>
      </c>
      <c r="CG23" s="875">
        <f t="shared" si="7"/>
        <v>0</v>
      </c>
      <c r="CH23" s="875">
        <f t="shared" si="7"/>
        <v>0</v>
      </c>
      <c r="CI23" s="875">
        <f t="shared" si="7"/>
        <v>0</v>
      </c>
      <c r="CJ23" s="875">
        <f t="shared" si="7"/>
        <v>0</v>
      </c>
      <c r="CK23" s="875">
        <f t="shared" si="7"/>
        <v>0</v>
      </c>
      <c r="CL23" s="875">
        <f t="shared" si="7"/>
        <v>0</v>
      </c>
      <c r="CM23" s="875">
        <f t="shared" si="7"/>
        <v>0</v>
      </c>
      <c r="CN23" s="875">
        <f t="shared" si="7"/>
        <v>0</v>
      </c>
      <c r="CO23" s="875">
        <f t="shared" si="7"/>
        <v>0</v>
      </c>
      <c r="CP23" s="875">
        <f>+CP21-CP22</f>
        <v>0</v>
      </c>
      <c r="CQ23" s="875">
        <f>+CQ21-CQ22</f>
        <v>0</v>
      </c>
      <c r="CR23" s="875">
        <f>+CR21-CR22</f>
        <v>0</v>
      </c>
      <c r="CS23" s="875">
        <f>+CS21-CS22</f>
        <v>0</v>
      </c>
      <c r="CT23" s="875">
        <v>7.8400953600000003</v>
      </c>
      <c r="CU23" s="875">
        <v>7.8400953600000003</v>
      </c>
      <c r="CV23" s="875">
        <v>8.1545953600000001</v>
      </c>
      <c r="CW23" s="875">
        <v>10.364595359999999</v>
      </c>
      <c r="CX23" s="875">
        <v>8.1889000000000003</v>
      </c>
      <c r="CY23" s="875">
        <v>8.1889000000000003</v>
      </c>
      <c r="CZ23" s="875">
        <v>2.3051959499999999</v>
      </c>
      <c r="DA23" s="875">
        <v>0</v>
      </c>
      <c r="DB23" s="875">
        <v>0</v>
      </c>
      <c r="DC23" s="875">
        <v>0.49980000000000002</v>
      </c>
      <c r="DD23" s="875">
        <v>0.45962219999999998</v>
      </c>
      <c r="DE23" s="875">
        <v>0.41891025999999998</v>
      </c>
      <c r="DF23" s="875">
        <v>0.37827411</v>
      </c>
      <c r="DG23" s="875">
        <v>0.33709257999999998</v>
      </c>
      <c r="DH23" s="875">
        <v>0.29604894999999998</v>
      </c>
      <c r="DI23" s="875">
        <v>0.25442037000000001</v>
      </c>
      <c r="DJ23" s="875">
        <v>0.2125976</v>
      </c>
      <c r="DK23" s="875">
        <v>0.17079225000000001</v>
      </c>
      <c r="DL23" s="875">
        <v>0.12840840000000001</v>
      </c>
      <c r="DM23" s="875">
        <v>8.6104689999999998E-2</v>
      </c>
      <c r="DN23" s="875">
        <v>8.6104689999999998E-2</v>
      </c>
      <c r="DO23" s="875">
        <v>0</v>
      </c>
      <c r="DP23" s="875">
        <v>0</v>
      </c>
      <c r="DQ23" s="875">
        <v>0</v>
      </c>
      <c r="DR23" s="875">
        <v>0.49980000000000002</v>
      </c>
      <c r="DS23" s="875">
        <v>0.45966356000000003</v>
      </c>
      <c r="DT23" s="875">
        <v>0.41909864000000002</v>
      </c>
      <c r="DU23" s="875">
        <v>0.37813408999999998</v>
      </c>
      <c r="DV23" s="875">
        <v>0.67709357999999997</v>
      </c>
      <c r="DW23" s="875">
        <v>0.67709357999999997</v>
      </c>
      <c r="DX23" s="875">
        <v>0.59447461999999995</v>
      </c>
      <c r="DY23" s="875">
        <v>0.59447461999999995</v>
      </c>
      <c r="DZ23" s="875">
        <v>0.55256419000000001</v>
      </c>
      <c r="EA23" s="875">
        <v>0.51064043999999997</v>
      </c>
      <c r="EB23" s="875">
        <v>0.46852226000000002</v>
      </c>
      <c r="EC23" s="875">
        <v>0.42597570000000001</v>
      </c>
      <c r="ED23" s="875">
        <v>0.34</v>
      </c>
      <c r="EE23" s="875">
        <v>0.34</v>
      </c>
      <c r="EF23" s="875">
        <v>0.34</v>
      </c>
      <c r="EG23" s="875">
        <v>0.76500000000000001</v>
      </c>
      <c r="EH23" s="875">
        <v>0.76500000000000001</v>
      </c>
      <c r="EI23" s="875">
        <v>0.76500000000000001</v>
      </c>
      <c r="EJ23" s="875">
        <v>1.4190069999999999</v>
      </c>
      <c r="EK23" s="875">
        <v>1.48349851</v>
      </c>
      <c r="EL23" s="875">
        <v>0.90713569000000005</v>
      </c>
      <c r="EM23" s="875">
        <v>0.11401509</v>
      </c>
      <c r="EN23" s="875">
        <v>8.5758100000000004E-2</v>
      </c>
      <c r="EO23" s="875">
        <v>5.735295E-2</v>
      </c>
      <c r="EP23" s="875">
        <v>0</v>
      </c>
      <c r="EQ23" s="875">
        <v>0</v>
      </c>
      <c r="ER23" s="875">
        <v>0</v>
      </c>
      <c r="ES23" s="875">
        <v>0</v>
      </c>
      <c r="ET23" s="875">
        <v>0</v>
      </c>
      <c r="EU23" s="1924" t="s">
        <v>4085</v>
      </c>
    </row>
    <row r="24" spans="1:151" ht="21">
      <c r="A24" s="1929"/>
      <c r="B24" s="842"/>
      <c r="C24" s="842"/>
      <c r="D24" s="842"/>
      <c r="E24" s="842"/>
      <c r="F24" s="842"/>
      <c r="G24" s="842"/>
      <c r="H24" s="842"/>
      <c r="I24" s="842"/>
      <c r="J24" s="842"/>
      <c r="K24" s="842"/>
      <c r="L24" s="842"/>
      <c r="M24" s="843"/>
      <c r="N24" s="843"/>
      <c r="O24" s="843"/>
      <c r="P24" s="843"/>
      <c r="Q24" s="843"/>
      <c r="R24" s="843"/>
      <c r="S24" s="843"/>
      <c r="T24" s="843"/>
      <c r="U24" s="843"/>
      <c r="V24" s="843"/>
      <c r="W24" s="843"/>
      <c r="X24" s="843"/>
      <c r="Y24" s="843"/>
      <c r="Z24" s="843"/>
      <c r="AA24" s="843"/>
      <c r="AB24" s="843"/>
      <c r="AC24" s="843"/>
      <c r="AD24" s="843"/>
      <c r="AE24" s="843"/>
      <c r="AF24" s="843"/>
      <c r="AG24" s="843"/>
      <c r="AH24" s="843"/>
      <c r="AI24" s="843"/>
      <c r="AJ24" s="843"/>
      <c r="AK24" s="843"/>
      <c r="AL24" s="843"/>
      <c r="AM24" s="843"/>
      <c r="AN24" s="843"/>
      <c r="AO24" s="843"/>
      <c r="AP24" s="843"/>
      <c r="AQ24" s="843"/>
      <c r="AR24" s="843"/>
      <c r="AS24" s="843"/>
      <c r="AT24" s="843"/>
      <c r="AU24" s="843"/>
      <c r="AV24" s="843"/>
      <c r="AW24" s="843"/>
      <c r="AX24" s="843"/>
      <c r="AY24" s="843"/>
      <c r="AZ24" s="843"/>
      <c r="BA24" s="843"/>
      <c r="BB24" s="843"/>
      <c r="BC24" s="843"/>
      <c r="BD24" s="843"/>
      <c r="BE24" s="843"/>
      <c r="BF24" s="843"/>
      <c r="BG24" s="843"/>
      <c r="BH24" s="886"/>
      <c r="BI24" s="875"/>
      <c r="BJ24" s="875"/>
      <c r="BK24" s="875"/>
      <c r="BL24" s="875"/>
      <c r="BM24" s="875"/>
      <c r="BN24" s="875"/>
      <c r="BO24" s="875"/>
      <c r="BP24" s="875"/>
      <c r="BQ24" s="875"/>
      <c r="BR24" s="875"/>
      <c r="BS24" s="875"/>
      <c r="BT24" s="875"/>
      <c r="BU24" s="875"/>
      <c r="BV24" s="875"/>
      <c r="BW24" s="875"/>
      <c r="BX24" s="875"/>
      <c r="BY24" s="875"/>
      <c r="BZ24" s="875"/>
      <c r="CA24" s="875"/>
      <c r="CB24" s="875"/>
      <c r="CC24" s="875"/>
      <c r="CD24" s="875"/>
      <c r="CE24" s="875"/>
      <c r="CF24" s="875"/>
      <c r="CG24" s="875"/>
      <c r="CH24" s="875"/>
      <c r="CI24" s="875"/>
      <c r="CJ24" s="875"/>
      <c r="CK24" s="875"/>
      <c r="CL24" s="875"/>
      <c r="CM24" s="875"/>
      <c r="CN24" s="875"/>
      <c r="CO24" s="875"/>
      <c r="CP24" s="875"/>
      <c r="CQ24" s="875"/>
      <c r="CR24" s="875"/>
      <c r="CS24" s="875"/>
      <c r="CT24" s="875"/>
      <c r="CU24" s="875"/>
      <c r="CV24" s="875"/>
      <c r="CW24" s="875"/>
      <c r="CX24" s="875"/>
      <c r="CY24" s="875"/>
      <c r="CZ24" s="875"/>
      <c r="DA24" s="875"/>
      <c r="DB24" s="875"/>
      <c r="DC24" s="875"/>
      <c r="DD24" s="875"/>
      <c r="DE24" s="875"/>
      <c r="DF24" s="875"/>
      <c r="DG24" s="875"/>
      <c r="DH24" s="875"/>
      <c r="DI24" s="875"/>
      <c r="DJ24" s="875"/>
      <c r="DK24" s="875"/>
      <c r="DL24" s="875"/>
      <c r="DM24" s="875"/>
      <c r="DN24" s="875"/>
      <c r="DO24" s="875"/>
      <c r="DP24" s="875"/>
      <c r="DQ24" s="875"/>
      <c r="DR24" s="875"/>
      <c r="DS24" s="875"/>
      <c r="DT24" s="875"/>
      <c r="DU24" s="875"/>
      <c r="DV24" s="875"/>
      <c r="DW24" s="875"/>
      <c r="DX24" s="875"/>
      <c r="DY24" s="875"/>
      <c r="DZ24" s="875"/>
      <c r="EA24" s="875"/>
      <c r="EB24" s="875"/>
      <c r="EC24" s="875"/>
      <c r="ED24" s="875"/>
      <c r="EE24" s="875"/>
      <c r="EF24" s="875"/>
      <c r="EG24" s="875"/>
      <c r="EH24" s="875"/>
      <c r="EI24" s="875"/>
      <c r="EJ24" s="875"/>
      <c r="EK24" s="875"/>
      <c r="EL24" s="875"/>
      <c r="EM24" s="875"/>
      <c r="EN24" s="875"/>
      <c r="EO24" s="875"/>
      <c r="EP24" s="875"/>
      <c r="EQ24" s="875"/>
      <c r="ER24" s="875"/>
      <c r="ES24" s="875"/>
      <c r="ET24" s="875"/>
      <c r="EU24" s="1919"/>
    </row>
    <row r="25" spans="1:151" ht="21">
      <c r="A25" s="1930" t="s">
        <v>2758</v>
      </c>
      <c r="B25" s="839">
        <v>217.59365288000001</v>
      </c>
      <c r="C25" s="842">
        <v>132.02244039999999</v>
      </c>
      <c r="D25" s="842">
        <v>131.95162292000001</v>
      </c>
      <c r="E25" s="842">
        <v>143.37946730000002</v>
      </c>
      <c r="F25" s="842">
        <v>43.116281389999997</v>
      </c>
      <c r="G25" s="842">
        <v>44.29055769</v>
      </c>
      <c r="H25" s="842">
        <v>46.330583289999993</v>
      </c>
      <c r="I25" s="842">
        <v>45.249789460000002</v>
      </c>
      <c r="J25" s="842">
        <v>44.891910340000003</v>
      </c>
      <c r="K25" s="842">
        <v>43.552754670000006</v>
      </c>
      <c r="L25" s="842">
        <v>43.274679070000005</v>
      </c>
      <c r="M25" s="840">
        <v>43.843093629999998</v>
      </c>
      <c r="N25" s="843">
        <v>43.35239722</v>
      </c>
      <c r="O25" s="843">
        <v>42.868527180000001</v>
      </c>
      <c r="P25" s="840">
        <v>42.837083079999999</v>
      </c>
      <c r="Q25" s="840">
        <v>35.755139450000001</v>
      </c>
      <c r="R25" s="840">
        <v>35.692706000000001</v>
      </c>
      <c r="S25" s="840">
        <v>36.023123300000002</v>
      </c>
      <c r="T25" s="840">
        <v>34.219030410000002</v>
      </c>
      <c r="U25" s="840">
        <v>35.199056560000002</v>
      </c>
      <c r="V25" s="840">
        <v>33.819401659999997</v>
      </c>
      <c r="W25" s="840">
        <v>35.123177370000001</v>
      </c>
      <c r="X25" s="840">
        <v>35.233906689999998</v>
      </c>
      <c r="Y25" s="840">
        <v>30.856423279999998</v>
      </c>
      <c r="Z25" s="840">
        <v>30.692379219999999</v>
      </c>
      <c r="AA25" s="843">
        <v>61.251105549999998</v>
      </c>
      <c r="AB25" s="840">
        <v>60.602438899999996</v>
      </c>
      <c r="AC25" s="840">
        <v>59.522359709999996</v>
      </c>
      <c r="AD25" s="840">
        <v>65.689262040000003</v>
      </c>
      <c r="AE25" s="840">
        <v>63.965177269999998</v>
      </c>
      <c r="AF25" s="840">
        <v>60.036893759999998</v>
      </c>
      <c r="AG25" s="840">
        <v>65.930118730000004</v>
      </c>
      <c r="AH25" s="840">
        <v>53.302167030000007</v>
      </c>
      <c r="AI25" s="840">
        <v>51.959012429999994</v>
      </c>
      <c r="AJ25" s="840">
        <v>50.603105239999998</v>
      </c>
      <c r="AK25" s="840">
        <v>56.927638260000002</v>
      </c>
      <c r="AL25" s="840">
        <v>56.228288500000005</v>
      </c>
      <c r="AM25" s="840">
        <v>54.994271670000003</v>
      </c>
      <c r="AN25" s="840">
        <v>55.472929380000004</v>
      </c>
      <c r="AO25" s="840">
        <v>57.011581210000003</v>
      </c>
      <c r="AP25" s="840">
        <v>54.746592960000001</v>
      </c>
      <c r="AQ25" s="840">
        <v>52.87247618</v>
      </c>
      <c r="AR25" s="840">
        <v>49.718984670000005</v>
      </c>
      <c r="AS25" s="840">
        <v>48.075745789999999</v>
      </c>
      <c r="AT25" s="840">
        <f>AT9-AT13</f>
        <v>50.125112090000002</v>
      </c>
      <c r="AU25" s="840">
        <v>41.652563920000006</v>
      </c>
      <c r="AV25" s="840">
        <v>68.092537460000017</v>
      </c>
      <c r="AW25" s="840">
        <v>56.893210840000009</v>
      </c>
      <c r="AX25" s="840">
        <v>59.604695110000009</v>
      </c>
      <c r="AY25" s="840">
        <v>56.481886559999992</v>
      </c>
      <c r="AZ25" s="840">
        <v>68.97451636000001</v>
      </c>
      <c r="BA25" s="840">
        <v>70.677484860000007</v>
      </c>
      <c r="BB25" s="840">
        <v>74.967540369999995</v>
      </c>
      <c r="BC25" s="840">
        <v>67.441228660000007</v>
      </c>
      <c r="BD25" s="840">
        <v>64.402341719999995</v>
      </c>
      <c r="BE25" s="840">
        <v>63.686633459999996</v>
      </c>
      <c r="BF25" s="840">
        <v>62.55410337</v>
      </c>
      <c r="BG25" s="840">
        <v>61.422411099999998</v>
      </c>
      <c r="BH25" s="885">
        <v>60.549867989999989</v>
      </c>
      <c r="BI25" s="874">
        <v>59.388146819999996</v>
      </c>
      <c r="BJ25" s="874">
        <v>49.723442540000001</v>
      </c>
      <c r="BK25" s="874">
        <v>61.087715040000006</v>
      </c>
      <c r="BL25" s="874">
        <v>59.39395059000001</v>
      </c>
      <c r="BM25" s="874">
        <v>56.791343300000008</v>
      </c>
      <c r="BN25" s="874">
        <v>53.873499059999993</v>
      </c>
      <c r="BO25" s="874">
        <v>52.845100510000002</v>
      </c>
      <c r="BP25" s="874">
        <v>47.308214709999994</v>
      </c>
      <c r="BQ25" s="874">
        <v>56.324266200000004</v>
      </c>
      <c r="BR25" s="874">
        <v>51.604106480000006</v>
      </c>
      <c r="BS25" s="874">
        <v>50.483899059999992</v>
      </c>
      <c r="BT25" s="874">
        <v>47.763326629999987</v>
      </c>
      <c r="BU25" s="874">
        <v>46.152741799999994</v>
      </c>
      <c r="BV25" s="874">
        <v>45.190113449999998</v>
      </c>
      <c r="BW25" s="874">
        <v>42.759018460000007</v>
      </c>
      <c r="BX25" s="874">
        <v>43.619681799999995</v>
      </c>
      <c r="BY25" s="874">
        <v>42.733792780000009</v>
      </c>
      <c r="BZ25" s="874">
        <v>39.84076609000001</v>
      </c>
      <c r="CA25" s="874">
        <v>38.941857750000004</v>
      </c>
      <c r="CB25" s="874">
        <v>37.246150730000004</v>
      </c>
      <c r="CC25" s="874">
        <v>34.743146689999996</v>
      </c>
      <c r="CD25" s="874">
        <v>33.829707839999998</v>
      </c>
      <c r="CE25" s="874">
        <v>32.533461630000005</v>
      </c>
      <c r="CF25" s="874">
        <v>30.02103129</v>
      </c>
      <c r="CG25" s="874">
        <v>29.020958829999998</v>
      </c>
      <c r="CH25" s="874">
        <v>27.900274840000002</v>
      </c>
      <c r="CI25" s="874">
        <v>25.188725999999999</v>
      </c>
      <c r="CJ25" s="874">
        <v>24.071181939999999</v>
      </c>
      <c r="CK25" s="874">
        <v>22.92712058</v>
      </c>
      <c r="CL25" s="874">
        <v>22.178239969999996</v>
      </c>
      <c r="CM25" s="874">
        <v>21.39506888</v>
      </c>
      <c r="CN25" s="874">
        <v>20.137862070000001</v>
      </c>
      <c r="CO25" s="874">
        <v>11.366101879999999</v>
      </c>
      <c r="CP25" s="874">
        <v>11.68299987</v>
      </c>
      <c r="CQ25" s="874">
        <v>1.5033656099999999</v>
      </c>
      <c r="CR25" s="874">
        <v>1.7758262600000001</v>
      </c>
      <c r="CS25" s="874">
        <v>1.66766422</v>
      </c>
      <c r="CT25" s="874">
        <v>256.57178924999999</v>
      </c>
      <c r="CU25" s="874">
        <v>256.49279940000002</v>
      </c>
      <c r="CV25" s="874">
        <v>256.36733699000001</v>
      </c>
      <c r="CW25" s="874">
        <v>256.34346547000001</v>
      </c>
      <c r="CX25" s="874">
        <v>256.31988577999999</v>
      </c>
      <c r="CY25" s="874">
        <v>256.30932589000003</v>
      </c>
      <c r="CZ25" s="874">
        <v>256.29854862000002</v>
      </c>
      <c r="DA25" s="874">
        <v>256.28782308000001</v>
      </c>
      <c r="DB25" s="874">
        <v>255.29819928000001</v>
      </c>
      <c r="DC25" s="874">
        <v>255.28724510000001</v>
      </c>
      <c r="DD25" s="874">
        <v>255.27626672</v>
      </c>
      <c r="DE25" s="874">
        <v>255.56189651</v>
      </c>
      <c r="DF25" s="874">
        <v>255.3340542</v>
      </c>
      <c r="DG25" s="874">
        <v>255.32006973</v>
      </c>
      <c r="DH25" s="874">
        <v>255.34580385999999</v>
      </c>
      <c r="DI25" s="874">
        <v>255.38996166000001</v>
      </c>
      <c r="DJ25" s="874">
        <v>257.14483331999998</v>
      </c>
      <c r="DK25" s="874">
        <v>257.12721500999999</v>
      </c>
      <c r="DL25" s="874">
        <v>214.60924897000001</v>
      </c>
      <c r="DM25" s="874">
        <v>213.03974165</v>
      </c>
      <c r="DN25" s="874">
        <v>237.75443476999999</v>
      </c>
      <c r="DO25" s="874">
        <v>230.65655104999999</v>
      </c>
      <c r="DP25" s="874">
        <v>240.84468482</v>
      </c>
      <c r="DQ25" s="874">
        <v>229.16801426000001</v>
      </c>
      <c r="DR25" s="874">
        <v>186.24228269</v>
      </c>
      <c r="DS25" s="874">
        <v>185.45902128</v>
      </c>
      <c r="DT25" s="874">
        <v>201.51560216999999</v>
      </c>
      <c r="DU25" s="874">
        <v>203.70333661999999</v>
      </c>
      <c r="DV25" s="874">
        <v>231.44506898</v>
      </c>
      <c r="DW25" s="874">
        <v>257.20372407000002</v>
      </c>
      <c r="DX25" s="874">
        <v>247.94000468999999</v>
      </c>
      <c r="DY25" s="874">
        <v>273.74326529000001</v>
      </c>
      <c r="DZ25" s="874">
        <v>312.71363035000002</v>
      </c>
      <c r="EA25" s="874">
        <v>334.07054242999999</v>
      </c>
      <c r="EB25" s="874">
        <v>340.19536816999999</v>
      </c>
      <c r="EC25" s="874">
        <v>371.47868571999999</v>
      </c>
      <c r="ED25" s="874">
        <v>324.81147547</v>
      </c>
      <c r="EE25" s="874">
        <v>332.84753424000002</v>
      </c>
      <c r="EF25" s="874">
        <v>353.92847196999998</v>
      </c>
      <c r="EG25" s="874">
        <v>349.44418887</v>
      </c>
      <c r="EH25" s="874">
        <v>370.64773079999998</v>
      </c>
      <c r="EI25" s="874">
        <v>358.77651815000002</v>
      </c>
      <c r="EJ25" s="874">
        <v>348.68228364999999</v>
      </c>
      <c r="EK25" s="874">
        <v>343.27052780000002</v>
      </c>
      <c r="EL25" s="874">
        <v>351.79503194</v>
      </c>
      <c r="EM25" s="874">
        <v>345.88430562999997</v>
      </c>
      <c r="EN25" s="874">
        <v>346.94674771000001</v>
      </c>
      <c r="EO25" s="874">
        <v>304.75961190999999</v>
      </c>
      <c r="EP25" s="874">
        <v>305.71563491000001</v>
      </c>
      <c r="EQ25" s="874">
        <v>310.00062985</v>
      </c>
      <c r="ER25" s="874">
        <v>306.40312173000001</v>
      </c>
      <c r="ES25" s="874">
        <v>308.74860460000002</v>
      </c>
      <c r="ET25" s="874">
        <v>302.33521812999999</v>
      </c>
      <c r="EU25" s="1918" t="s">
        <v>4084</v>
      </c>
    </row>
    <row r="26" spans="1:151" ht="21">
      <c r="A26" s="1931" t="s">
        <v>1974</v>
      </c>
      <c r="B26" s="842">
        <v>109.82095099999999</v>
      </c>
      <c r="C26" s="842">
        <v>109.703183</v>
      </c>
      <c r="D26" s="842">
        <v>109.698183</v>
      </c>
      <c r="E26" s="842">
        <v>109.45785100000001</v>
      </c>
      <c r="F26" s="842">
        <v>9.4428509999999992</v>
      </c>
      <c r="G26" s="842">
        <v>9.4030509999999996</v>
      </c>
      <c r="H26" s="842">
        <v>11.38133</v>
      </c>
      <c r="I26" s="842">
        <v>11.054500000000001</v>
      </c>
      <c r="J26" s="842">
        <v>10.779500000000001</v>
      </c>
      <c r="K26" s="842">
        <v>10.5495</v>
      </c>
      <c r="L26" s="842">
        <v>10.339499999999999</v>
      </c>
      <c r="M26" s="843">
        <v>10.189500000000001</v>
      </c>
      <c r="N26" s="843">
        <v>9.7895000000000003</v>
      </c>
      <c r="O26" s="843">
        <v>9.4395000000000007</v>
      </c>
      <c r="P26" s="843">
        <v>9.4395000000000007</v>
      </c>
      <c r="Q26" s="843">
        <v>8.9894999999999996</v>
      </c>
      <c r="R26" s="843">
        <v>8.6230630000000001</v>
      </c>
      <c r="S26" s="843">
        <v>8.2730630000000005</v>
      </c>
      <c r="T26" s="843">
        <v>7.923063</v>
      </c>
      <c r="U26" s="843">
        <v>7.5730630000000003</v>
      </c>
      <c r="V26" s="843">
        <v>7.2230629999999998</v>
      </c>
      <c r="W26" s="843">
        <v>6.923063</v>
      </c>
      <c r="X26" s="843">
        <v>6.6044999999999998</v>
      </c>
      <c r="Y26" s="843">
        <v>6.2545000000000002</v>
      </c>
      <c r="Z26" s="843">
        <v>6.1544999999999996</v>
      </c>
      <c r="AA26" s="843">
        <v>30.742000000000001</v>
      </c>
      <c r="AB26" s="843">
        <v>30.042000000000002</v>
      </c>
      <c r="AC26" s="843">
        <v>29.22983417</v>
      </c>
      <c r="AD26" s="843">
        <v>35.875834170000005</v>
      </c>
      <c r="AE26" s="843">
        <v>34.556342969999996</v>
      </c>
      <c r="AF26" s="843">
        <v>33.275042390000003</v>
      </c>
      <c r="AG26" s="843">
        <v>39.542024390000002</v>
      </c>
      <c r="AH26" s="843">
        <v>34.480093250000003</v>
      </c>
      <c r="AI26" s="843">
        <v>33.616718299999995</v>
      </c>
      <c r="AJ26" s="843">
        <v>32.776145640000003</v>
      </c>
      <c r="AK26" s="843">
        <v>32.133548529999999</v>
      </c>
      <c r="AL26" s="843">
        <v>31.379427979999999</v>
      </c>
      <c r="AM26" s="843">
        <v>0</v>
      </c>
      <c r="AN26" s="843">
        <v>29.445901750000001</v>
      </c>
      <c r="AO26" s="843">
        <v>32.266423410000002</v>
      </c>
      <c r="AP26" s="843">
        <v>30.185632200000001</v>
      </c>
      <c r="AQ26" s="843">
        <v>28.086202829999998</v>
      </c>
      <c r="AR26" s="843">
        <v>26.39009274</v>
      </c>
      <c r="AS26" s="843">
        <v>24.508873170000001</v>
      </c>
      <c r="AT26" s="843">
        <f>AT10-AT14</f>
        <v>25.982158550000001</v>
      </c>
      <c r="AU26" s="843">
        <v>23.432755660000002</v>
      </c>
      <c r="AV26" s="843">
        <v>49.645195659999999</v>
      </c>
      <c r="AW26" s="843">
        <v>51.666771699999998</v>
      </c>
      <c r="AX26" s="843">
        <v>54.262324899999996</v>
      </c>
      <c r="AY26" s="843">
        <v>51.674734899999997</v>
      </c>
      <c r="AZ26" s="843">
        <v>65.08411246</v>
      </c>
      <c r="BA26" s="843">
        <v>65.939891240000009</v>
      </c>
      <c r="BB26" s="843">
        <v>65.748473700000005</v>
      </c>
      <c r="BC26" s="843">
        <v>57.915310600000005</v>
      </c>
      <c r="BD26" s="843">
        <v>55.264352819999999</v>
      </c>
      <c r="BE26" s="843">
        <v>54.577801829999999</v>
      </c>
      <c r="BF26" s="843">
        <v>54.331089810000002</v>
      </c>
      <c r="BG26" s="843">
        <v>53.604283550000005</v>
      </c>
      <c r="BH26" s="886">
        <v>52.750414829999997</v>
      </c>
      <c r="BI26" s="875">
        <v>51.612337960000005</v>
      </c>
      <c r="BJ26" s="875">
        <v>42.36714345</v>
      </c>
      <c r="BK26" s="875">
        <v>40.99879207</v>
      </c>
      <c r="BL26" s="875">
        <v>39.328081230000002</v>
      </c>
      <c r="BM26" s="875">
        <v>38.16989006</v>
      </c>
      <c r="BN26" s="875">
        <v>36.866625620000001</v>
      </c>
      <c r="BO26" s="875">
        <v>35.859079789999996</v>
      </c>
      <c r="BP26" s="875">
        <v>34.817243409999996</v>
      </c>
      <c r="BQ26" s="875">
        <v>45.438266660000004</v>
      </c>
      <c r="BR26" s="875">
        <v>40.729273570000004</v>
      </c>
      <c r="BS26" s="875">
        <v>39.672666399999997</v>
      </c>
      <c r="BT26" s="875">
        <v>38.616435339999995</v>
      </c>
      <c r="BU26" s="875">
        <v>37.068372289999999</v>
      </c>
      <c r="BV26" s="875">
        <v>35.945855510000001</v>
      </c>
      <c r="BW26" s="875">
        <v>35.118421040000001</v>
      </c>
      <c r="BX26" s="875">
        <v>35.98912704</v>
      </c>
      <c r="BY26" s="875">
        <v>35.113414580000004</v>
      </c>
      <c r="BZ26" s="875">
        <v>33.824450140000003</v>
      </c>
      <c r="CA26" s="875">
        <v>32.935849560000001</v>
      </c>
      <c r="CB26" s="875">
        <v>31.25086254</v>
      </c>
      <c r="CC26" s="875">
        <v>30.352338619999998</v>
      </c>
      <c r="CD26" s="875">
        <v>29.449716079999998</v>
      </c>
      <c r="CE26" s="875">
        <v>28.314360640000004</v>
      </c>
      <c r="CF26" s="875">
        <v>27.55791511</v>
      </c>
      <c r="CG26" s="875">
        <v>26.721485250000001</v>
      </c>
      <c r="CH26" s="875">
        <v>25.765518489999998</v>
      </c>
      <c r="CI26" s="875">
        <v>24.814408809999996</v>
      </c>
      <c r="CJ26" s="875">
        <v>23.86485828</v>
      </c>
      <c r="CK26" s="875">
        <v>22.890285169999999</v>
      </c>
      <c r="CL26" s="875">
        <v>22.153460169999999</v>
      </c>
      <c r="CM26" s="875">
        <v>21.3825602</v>
      </c>
      <c r="CN26" s="875">
        <v>20.137862070000001</v>
      </c>
      <c r="CO26" s="875">
        <v>11.366101879999999</v>
      </c>
      <c r="CP26" s="875">
        <v>10.599789510000001</v>
      </c>
      <c r="CQ26" s="875">
        <v>0.43272221</v>
      </c>
      <c r="CR26" s="875">
        <v>0.34789143</v>
      </c>
      <c r="CS26" s="875">
        <v>0.26221234000000004</v>
      </c>
      <c r="CT26" s="875">
        <v>255.17567646000001</v>
      </c>
      <c r="CU26" s="875">
        <v>255.08827522000001</v>
      </c>
      <c r="CV26" s="875">
        <v>255</v>
      </c>
      <c r="CW26" s="875">
        <v>255</v>
      </c>
      <c r="CX26" s="875">
        <v>255</v>
      </c>
      <c r="CY26" s="875">
        <v>255</v>
      </c>
      <c r="CZ26" s="875">
        <v>255</v>
      </c>
      <c r="DA26" s="875">
        <v>255</v>
      </c>
      <c r="DB26" s="875">
        <v>255</v>
      </c>
      <c r="DC26" s="875">
        <v>255</v>
      </c>
      <c r="DD26" s="875">
        <v>255</v>
      </c>
      <c r="DE26" s="875">
        <v>255</v>
      </c>
      <c r="DF26" s="875">
        <v>255</v>
      </c>
      <c r="DG26" s="875">
        <v>255</v>
      </c>
      <c r="DH26" s="875">
        <v>255</v>
      </c>
      <c r="DI26" s="875">
        <v>255</v>
      </c>
      <c r="DJ26" s="875">
        <v>255</v>
      </c>
      <c r="DK26" s="875">
        <v>255</v>
      </c>
      <c r="DL26" s="875">
        <v>212.5</v>
      </c>
      <c r="DM26" s="875">
        <v>212.5</v>
      </c>
      <c r="DN26" s="875">
        <v>237.184</v>
      </c>
      <c r="DO26" s="875">
        <v>230.06244519000001</v>
      </c>
      <c r="DP26" s="875">
        <v>240.27335149000001</v>
      </c>
      <c r="DQ26" s="875">
        <v>228.31997842000001</v>
      </c>
      <c r="DR26" s="875">
        <v>185.40361494999999</v>
      </c>
      <c r="DS26" s="875">
        <v>183.14157581000001</v>
      </c>
      <c r="DT26" s="875">
        <v>199.15740824</v>
      </c>
      <c r="DU26" s="875">
        <v>201.39077915999999</v>
      </c>
      <c r="DV26" s="875">
        <v>229.19583703999999</v>
      </c>
      <c r="DW26" s="875">
        <v>255.01655445</v>
      </c>
      <c r="DX26" s="875">
        <v>245.08250938</v>
      </c>
      <c r="DY26" s="875">
        <v>268.85692736999999</v>
      </c>
      <c r="DZ26" s="875">
        <v>307.85537169000003</v>
      </c>
      <c r="EA26" s="875">
        <v>328.84181409000001</v>
      </c>
      <c r="EB26" s="875">
        <v>328.84181409000001</v>
      </c>
      <c r="EC26" s="875">
        <v>360.00598008999998</v>
      </c>
      <c r="ED26" s="875">
        <v>309.85598009</v>
      </c>
      <c r="EE26" s="875">
        <v>317.90341568000002</v>
      </c>
      <c r="EF26" s="875">
        <v>338.93114845999997</v>
      </c>
      <c r="EG26" s="875">
        <v>334.33021568999999</v>
      </c>
      <c r="EH26" s="875">
        <v>355.51848414</v>
      </c>
      <c r="EI26" s="875">
        <v>343.69026191</v>
      </c>
      <c r="EJ26" s="875">
        <v>333.61613919000001</v>
      </c>
      <c r="EK26" s="875">
        <v>328.26304176000002</v>
      </c>
      <c r="EL26" s="875">
        <v>336.86008974999999</v>
      </c>
      <c r="EM26" s="875">
        <v>344.48840675999998</v>
      </c>
      <c r="EN26" s="875">
        <v>344.99840676000002</v>
      </c>
      <c r="EO26" s="875">
        <v>302.87005216</v>
      </c>
      <c r="EP26" s="875">
        <v>303.75405216000001</v>
      </c>
      <c r="EQ26" s="875">
        <v>308.12320734999997</v>
      </c>
      <c r="ER26" s="875">
        <v>304.41604601</v>
      </c>
      <c r="ES26" s="875">
        <v>306.44010701000002</v>
      </c>
      <c r="ET26" s="875">
        <v>300.14389962000001</v>
      </c>
      <c r="EU26" s="1920" t="s">
        <v>4086</v>
      </c>
    </row>
    <row r="27" spans="1:151" ht="21">
      <c r="A27" s="1931" t="s">
        <v>1975</v>
      </c>
      <c r="B27" s="839">
        <f>+B25-B26</f>
        <v>107.77270188000001</v>
      </c>
      <c r="C27" s="842">
        <f t="shared" ref="C27:V27" si="8">+C25-C26</f>
        <v>22.319257399999998</v>
      </c>
      <c r="D27" s="842">
        <f t="shared" si="8"/>
        <v>22.253439920000005</v>
      </c>
      <c r="E27" s="842">
        <f t="shared" si="8"/>
        <v>33.921616300000011</v>
      </c>
      <c r="F27" s="842">
        <f t="shared" si="8"/>
        <v>33.67343039</v>
      </c>
      <c r="G27" s="842">
        <f t="shared" si="8"/>
        <v>34.887506690000002</v>
      </c>
      <c r="H27" s="842">
        <f t="shared" si="8"/>
        <v>34.949253289999994</v>
      </c>
      <c r="I27" s="842">
        <f t="shared" si="8"/>
        <v>34.195289459999998</v>
      </c>
      <c r="J27" s="842">
        <f t="shared" si="8"/>
        <v>34.112410340000004</v>
      </c>
      <c r="K27" s="842">
        <f t="shared" si="8"/>
        <v>33.003254670000004</v>
      </c>
      <c r="L27" s="842">
        <f t="shared" si="8"/>
        <v>32.935179070000004</v>
      </c>
      <c r="M27" s="843">
        <f t="shared" si="8"/>
        <v>33.653593629999996</v>
      </c>
      <c r="N27" s="843">
        <f t="shared" si="8"/>
        <v>33.562897219999996</v>
      </c>
      <c r="O27" s="843">
        <f t="shared" si="8"/>
        <v>33.429027179999999</v>
      </c>
      <c r="P27" s="840">
        <f t="shared" si="8"/>
        <v>33.397583079999997</v>
      </c>
      <c r="Q27" s="840">
        <f t="shared" si="8"/>
        <v>26.765639450000002</v>
      </c>
      <c r="R27" s="840">
        <f t="shared" si="8"/>
        <v>27.069642999999999</v>
      </c>
      <c r="S27" s="840">
        <f t="shared" si="8"/>
        <v>27.750060300000001</v>
      </c>
      <c r="T27" s="840">
        <f t="shared" si="8"/>
        <v>26.295967410000003</v>
      </c>
      <c r="U27" s="840">
        <f t="shared" si="8"/>
        <v>27.625993560000001</v>
      </c>
      <c r="V27" s="840">
        <f t="shared" si="8"/>
        <v>26.596338659999997</v>
      </c>
      <c r="W27" s="840">
        <v>28.200114370000001</v>
      </c>
      <c r="X27" s="840">
        <v>28.629406689999996</v>
      </c>
      <c r="Y27" s="843">
        <v>24.601923279999998</v>
      </c>
      <c r="Z27" s="840">
        <v>24.537879220000001</v>
      </c>
      <c r="AA27" s="843">
        <v>30.509105549999997</v>
      </c>
      <c r="AB27" s="843">
        <v>30.560438899999994</v>
      </c>
      <c r="AC27" s="843">
        <v>30.292525539999996</v>
      </c>
      <c r="AD27" s="843">
        <v>29.813427869999998</v>
      </c>
      <c r="AE27" s="843">
        <v>29.408834300000002</v>
      </c>
      <c r="AF27" s="843">
        <v>26.761851369999995</v>
      </c>
      <c r="AG27" s="843">
        <v>26.388094340000002</v>
      </c>
      <c r="AH27" s="843">
        <f>+AH25-AH26</f>
        <v>18.822073780000004</v>
      </c>
      <c r="AI27" s="843">
        <v>18.342294129999999</v>
      </c>
      <c r="AJ27" s="843">
        <f>+AJ25-AJ26</f>
        <v>17.826959599999995</v>
      </c>
      <c r="AK27" s="843">
        <f>+AK25-AK26</f>
        <v>24.794089730000003</v>
      </c>
      <c r="AL27" s="843">
        <v>24.848860520000006</v>
      </c>
      <c r="AM27" s="843">
        <f>+AM25-AM26</f>
        <v>54.994271670000003</v>
      </c>
      <c r="AN27" s="843">
        <f>+AN25-AN26</f>
        <v>26.027027630000003</v>
      </c>
      <c r="AO27" s="843">
        <f>+AO25-AO26</f>
        <v>24.745157800000001</v>
      </c>
      <c r="AP27" s="843">
        <f>+AP25-AP26</f>
        <v>24.56096076</v>
      </c>
      <c r="AQ27" s="843">
        <v>24.786273350000002</v>
      </c>
      <c r="AR27" s="843">
        <f>+AR25-AR26</f>
        <v>23.328891930000005</v>
      </c>
      <c r="AS27" s="843">
        <f>+AS25-AS26</f>
        <v>23.566872619999998</v>
      </c>
      <c r="AT27" s="843">
        <f>AT11-AT15</f>
        <v>24.142953540000008</v>
      </c>
      <c r="AU27" s="843">
        <v>18.219808260000008</v>
      </c>
      <c r="AV27" s="843">
        <v>18.447341800000018</v>
      </c>
      <c r="AW27" s="843">
        <v>5.2264391400000108</v>
      </c>
      <c r="AX27" s="843">
        <v>5.3423702100000128</v>
      </c>
      <c r="AY27" s="843">
        <v>4.8071516599999953</v>
      </c>
      <c r="AZ27" s="843">
        <v>3.8904039000000097</v>
      </c>
      <c r="BA27" s="843">
        <v>4.7375936199999984</v>
      </c>
      <c r="BB27" s="843">
        <v>9.2190666699999895</v>
      </c>
      <c r="BC27" s="843">
        <v>9.5259180600000022</v>
      </c>
      <c r="BD27" s="843">
        <f>+BD25-BD26</f>
        <v>9.1379888999999963</v>
      </c>
      <c r="BE27" s="843">
        <v>9.1088316299999974</v>
      </c>
      <c r="BF27" s="843">
        <v>8.2230135599999983</v>
      </c>
      <c r="BG27" s="843">
        <v>7.8181275499999927</v>
      </c>
      <c r="BH27" s="886">
        <v>7.7994531599999917</v>
      </c>
      <c r="BI27" s="875">
        <v>7.7758088599999908</v>
      </c>
      <c r="BJ27" s="875">
        <v>7.3562990900000003</v>
      </c>
      <c r="BK27" s="875">
        <v>20.088922970000006</v>
      </c>
      <c r="BL27" s="875">
        <v>20.065869360000008</v>
      </c>
      <c r="BM27" s="875">
        <v>18.621453240000008</v>
      </c>
      <c r="BN27" s="875">
        <v>17.006873439999993</v>
      </c>
      <c r="BO27" s="875">
        <v>16.986020720000006</v>
      </c>
      <c r="BP27" s="875">
        <v>12.490971299999998</v>
      </c>
      <c r="BQ27" s="875">
        <v>10.88599954</v>
      </c>
      <c r="BR27" s="875">
        <v>10.874832910000002</v>
      </c>
      <c r="BS27" s="875">
        <v>10.811232659999995</v>
      </c>
      <c r="BT27" s="875">
        <v>9.1468912899999921</v>
      </c>
      <c r="BU27" s="875">
        <v>9.0843695099999948</v>
      </c>
      <c r="BV27" s="875">
        <v>9.2442579400000007</v>
      </c>
      <c r="BW27" s="875">
        <v>7.6405974200000024</v>
      </c>
      <c r="BX27" s="875">
        <v>7.630554759999999</v>
      </c>
      <c r="BY27" s="875">
        <v>7.6203782000000082</v>
      </c>
      <c r="BZ27" s="875">
        <v>6.0163159500000098</v>
      </c>
      <c r="CA27" s="875">
        <v>6.0060081900000029</v>
      </c>
      <c r="CB27" s="875">
        <v>5.9952881900000046</v>
      </c>
      <c r="CC27" s="875">
        <v>4.3908080699999985</v>
      </c>
      <c r="CD27" s="875">
        <v>4.3799917599999993</v>
      </c>
      <c r="CE27" s="875">
        <f t="shared" ref="CE27:CN27" si="9">+CE11-CE15</f>
        <v>4.219100990000002</v>
      </c>
      <c r="CF27" s="875">
        <f t="shared" si="9"/>
        <v>2.4631161800000014</v>
      </c>
      <c r="CG27" s="875">
        <f t="shared" si="9"/>
        <v>2.2994735799999977</v>
      </c>
      <c r="CH27" s="875">
        <f t="shared" si="9"/>
        <v>2.134756350000004</v>
      </c>
      <c r="CI27" s="875">
        <f t="shared" si="9"/>
        <v>0.37431719000000208</v>
      </c>
      <c r="CJ27" s="875">
        <f t="shared" si="9"/>
        <v>0.20632366000000157</v>
      </c>
      <c r="CK27" s="875">
        <f t="shared" si="9"/>
        <v>3.68354100000019E-2</v>
      </c>
      <c r="CL27" s="875">
        <f t="shared" si="9"/>
        <v>2.4779799999998575E-2</v>
      </c>
      <c r="CM27" s="875">
        <f t="shared" si="9"/>
        <v>1.2508680000000272E-2</v>
      </c>
      <c r="CN27" s="875">
        <f t="shared" si="9"/>
        <v>-4.4408920985006262E-16</v>
      </c>
      <c r="CO27" s="875">
        <f>+CO25-CO26</f>
        <v>0</v>
      </c>
      <c r="CP27" s="875">
        <f>+CP25-CP26</f>
        <v>1.0832103599999989</v>
      </c>
      <c r="CQ27" s="875">
        <f>+CQ25-CQ26</f>
        <v>1.0706433999999998</v>
      </c>
      <c r="CR27" s="875">
        <f>+CR25-CR26</f>
        <v>1.4279348300000001</v>
      </c>
      <c r="CS27" s="875">
        <f>+CS25-CS26</f>
        <v>1.40545188</v>
      </c>
      <c r="CT27" s="875">
        <v>1.3961127900000001</v>
      </c>
      <c r="CU27" s="875">
        <v>1.4045241799999999</v>
      </c>
      <c r="CV27" s="875">
        <v>1.3673369900000001</v>
      </c>
      <c r="CW27" s="875">
        <v>1.3434654699999999</v>
      </c>
      <c r="CX27" s="875">
        <v>1.3198857799999999</v>
      </c>
      <c r="CY27" s="875">
        <v>1.30932589</v>
      </c>
      <c r="CZ27" s="875">
        <v>1.29854862</v>
      </c>
      <c r="DA27" s="875">
        <v>1.2878230799999999</v>
      </c>
      <c r="DB27" s="875">
        <v>0.29819928000000001</v>
      </c>
      <c r="DC27" s="875">
        <v>0.28724509999999998</v>
      </c>
      <c r="DD27" s="875">
        <v>0.27626672000000002</v>
      </c>
      <c r="DE27" s="875">
        <v>0.56189650999999996</v>
      </c>
      <c r="DF27" s="875">
        <v>0.33405420000000002</v>
      </c>
      <c r="DG27" s="875">
        <v>0.32006973</v>
      </c>
      <c r="DH27" s="875">
        <v>0.34580386000000002</v>
      </c>
      <c r="DI27" s="875">
        <v>0.38996165999999999</v>
      </c>
      <c r="DJ27" s="875">
        <v>2.14483332</v>
      </c>
      <c r="DK27" s="875">
        <v>2.12721501</v>
      </c>
      <c r="DL27" s="875">
        <v>2.1092489699999999</v>
      </c>
      <c r="DM27" s="875">
        <v>0.53974164999999996</v>
      </c>
      <c r="DN27" s="875">
        <v>0.57043476999999998</v>
      </c>
      <c r="DO27" s="875">
        <v>0.59410585999999999</v>
      </c>
      <c r="DP27" s="875">
        <v>0.57133332999999997</v>
      </c>
      <c r="DQ27" s="875">
        <v>0.84803583999999999</v>
      </c>
      <c r="DR27" s="875">
        <v>0.83866773999999999</v>
      </c>
      <c r="DS27" s="875">
        <v>2.31744547</v>
      </c>
      <c r="DT27" s="875">
        <v>2.3581939300000001</v>
      </c>
      <c r="DU27" s="875">
        <v>2.3125574599999998</v>
      </c>
      <c r="DV27" s="875">
        <v>2.24923194</v>
      </c>
      <c r="DW27" s="875">
        <v>2.1871696200000001</v>
      </c>
      <c r="DX27" s="875">
        <v>2.85749531</v>
      </c>
      <c r="DY27" s="875">
        <v>4.8863379199999999</v>
      </c>
      <c r="DZ27" s="875">
        <v>4.8582586599999997</v>
      </c>
      <c r="EA27" s="875">
        <v>5.22872834</v>
      </c>
      <c r="EB27" s="875">
        <v>11.35355408</v>
      </c>
      <c r="EC27" s="875">
        <v>11.47270563</v>
      </c>
      <c r="ED27" s="875">
        <v>14.95549538</v>
      </c>
      <c r="EE27" s="875">
        <v>14.94411856</v>
      </c>
      <c r="EF27" s="875">
        <v>14.997323509999999</v>
      </c>
      <c r="EG27" s="875">
        <v>15.11397318</v>
      </c>
      <c r="EH27" s="875">
        <v>15.12924666</v>
      </c>
      <c r="EI27" s="875">
        <v>15.086256240000001</v>
      </c>
      <c r="EJ27" s="875">
        <v>15.06614446</v>
      </c>
      <c r="EK27" s="875">
        <v>15.00748604</v>
      </c>
      <c r="EL27" s="875">
        <v>14.934942189999999</v>
      </c>
      <c r="EM27" s="875">
        <v>1.3958988699999999</v>
      </c>
      <c r="EN27" s="875">
        <v>1.94834095</v>
      </c>
      <c r="EO27" s="875">
        <v>1.8895597500000001</v>
      </c>
      <c r="EP27" s="875">
        <v>1.96158275</v>
      </c>
      <c r="EQ27" s="875">
        <v>1.8774225</v>
      </c>
      <c r="ER27" s="875">
        <v>1.98707572</v>
      </c>
      <c r="ES27" s="875">
        <v>2.30849759</v>
      </c>
      <c r="ET27" s="875">
        <v>2.1913185099999999</v>
      </c>
      <c r="EU27" s="1920" t="s">
        <v>4085</v>
      </c>
    </row>
    <row r="28" spans="1:151" ht="21">
      <c r="A28" s="1929"/>
      <c r="B28" s="842"/>
      <c r="C28" s="842"/>
      <c r="D28" s="842"/>
      <c r="E28" s="842"/>
      <c r="F28" s="842"/>
      <c r="G28" s="842"/>
      <c r="H28" s="842"/>
      <c r="I28" s="842"/>
      <c r="J28" s="842"/>
      <c r="K28" s="842"/>
      <c r="L28" s="842"/>
      <c r="M28" s="843"/>
      <c r="N28" s="843"/>
      <c r="O28" s="843"/>
      <c r="P28" s="843"/>
      <c r="Q28" s="843"/>
      <c r="R28" s="843"/>
      <c r="S28" s="843"/>
      <c r="T28" s="843"/>
      <c r="U28" s="843"/>
      <c r="V28" s="843"/>
      <c r="W28" s="843"/>
      <c r="X28" s="843"/>
      <c r="Y28" s="843"/>
      <c r="Z28" s="843"/>
      <c r="AA28" s="843"/>
      <c r="AB28" s="843"/>
      <c r="AC28" s="843"/>
      <c r="AD28" s="843"/>
      <c r="AE28" s="843"/>
      <c r="AF28" s="843"/>
      <c r="AG28" s="843"/>
      <c r="AH28" s="843"/>
      <c r="AI28" s="843"/>
      <c r="AJ28" s="843"/>
      <c r="AK28" s="843"/>
      <c r="AL28" s="843"/>
      <c r="AM28" s="843"/>
      <c r="AN28" s="843"/>
      <c r="AO28" s="843"/>
      <c r="AP28" s="843"/>
      <c r="AQ28" s="843"/>
      <c r="AR28" s="843"/>
      <c r="AS28" s="843"/>
      <c r="AT28" s="843"/>
      <c r="AU28" s="843"/>
      <c r="AV28" s="843"/>
      <c r="AW28" s="843"/>
      <c r="AX28" s="843"/>
      <c r="AY28" s="843"/>
      <c r="AZ28" s="843"/>
      <c r="BA28" s="843"/>
      <c r="BB28" s="843"/>
      <c r="BC28" s="843"/>
      <c r="BD28" s="843"/>
      <c r="BE28" s="843"/>
      <c r="BF28" s="843"/>
      <c r="BG28" s="843"/>
      <c r="BH28" s="886"/>
      <c r="BI28" s="875"/>
      <c r="BJ28" s="875"/>
      <c r="BK28" s="875"/>
      <c r="BL28" s="875"/>
      <c r="BM28" s="875"/>
      <c r="BN28" s="875"/>
      <c r="BO28" s="875"/>
      <c r="BP28" s="875"/>
      <c r="BQ28" s="875"/>
      <c r="BR28" s="875"/>
      <c r="BS28" s="875"/>
      <c r="BT28" s="875"/>
      <c r="BU28" s="875"/>
      <c r="BV28" s="875"/>
      <c r="BW28" s="875"/>
      <c r="BX28" s="875"/>
      <c r="BY28" s="875"/>
      <c r="BZ28" s="875"/>
      <c r="CA28" s="875"/>
      <c r="CB28" s="875"/>
      <c r="CC28" s="875"/>
      <c r="CD28" s="875"/>
      <c r="CE28" s="875"/>
      <c r="CF28" s="875"/>
      <c r="CG28" s="875"/>
      <c r="CH28" s="875"/>
      <c r="CI28" s="875"/>
      <c r="CJ28" s="875"/>
      <c r="CK28" s="875"/>
      <c r="CL28" s="875"/>
      <c r="CM28" s="875"/>
      <c r="CN28" s="875"/>
      <c r="CO28" s="875"/>
      <c r="CP28" s="875"/>
      <c r="CQ28" s="875"/>
      <c r="CR28" s="875"/>
      <c r="CS28" s="875"/>
      <c r="CT28" s="875"/>
      <c r="CU28" s="875"/>
      <c r="CV28" s="875"/>
      <c r="CW28" s="875"/>
      <c r="CX28" s="875"/>
      <c r="CY28" s="875"/>
      <c r="CZ28" s="875"/>
      <c r="DA28" s="875"/>
      <c r="DB28" s="875"/>
      <c r="DC28" s="875"/>
      <c r="DD28" s="875"/>
      <c r="DE28" s="875"/>
      <c r="DF28" s="875"/>
      <c r="DG28" s="875"/>
      <c r="DH28" s="875"/>
      <c r="DI28" s="875"/>
      <c r="DJ28" s="875"/>
      <c r="DK28" s="875"/>
      <c r="DL28" s="875"/>
      <c r="DM28" s="875"/>
      <c r="DN28" s="875"/>
      <c r="DO28" s="875"/>
      <c r="DP28" s="875"/>
      <c r="DQ28" s="875"/>
      <c r="DR28" s="875"/>
      <c r="DS28" s="875"/>
      <c r="DT28" s="875"/>
      <c r="DU28" s="875"/>
      <c r="DV28" s="875"/>
      <c r="DW28" s="875"/>
      <c r="DX28" s="875"/>
      <c r="DY28" s="875"/>
      <c r="DZ28" s="875"/>
      <c r="EA28" s="875"/>
      <c r="EB28" s="875"/>
      <c r="EC28" s="875"/>
      <c r="ED28" s="875"/>
      <c r="EE28" s="875"/>
      <c r="EF28" s="875"/>
      <c r="EG28" s="875"/>
      <c r="EH28" s="875"/>
      <c r="EI28" s="875"/>
      <c r="EJ28" s="875"/>
      <c r="EK28" s="875"/>
      <c r="EL28" s="875"/>
      <c r="EM28" s="875"/>
      <c r="EN28" s="875"/>
      <c r="EO28" s="875"/>
      <c r="EP28" s="875"/>
      <c r="EQ28" s="875"/>
      <c r="ER28" s="875"/>
      <c r="ES28" s="875"/>
      <c r="ET28" s="875"/>
      <c r="EU28" s="1919"/>
    </row>
    <row r="29" spans="1:151" ht="21">
      <c r="A29" s="1952" t="s">
        <v>189</v>
      </c>
      <c r="B29" s="842">
        <v>202.89690722</v>
      </c>
      <c r="C29" s="842">
        <v>122.06082262</v>
      </c>
      <c r="D29" s="842">
        <v>122.01379801</v>
      </c>
      <c r="E29" s="842">
        <v>133.49290502000002</v>
      </c>
      <c r="F29" s="842">
        <v>33.415632160000001</v>
      </c>
      <c r="G29" s="842">
        <v>34.631376580000001</v>
      </c>
      <c r="H29" s="842">
        <v>36.696236839999997</v>
      </c>
      <c r="I29" s="842">
        <v>36.375384140000001</v>
      </c>
      <c r="J29" s="842">
        <v>36.022960480000002</v>
      </c>
      <c r="K29" s="842">
        <v>35.604460770000003</v>
      </c>
      <c r="L29" s="842">
        <v>35.327398340000002</v>
      </c>
      <c r="M29" s="840">
        <v>35.047598309999998</v>
      </c>
      <c r="N29" s="843">
        <v>34.558786089999998</v>
      </c>
      <c r="O29" s="843">
        <v>34.108385009999999</v>
      </c>
      <c r="P29" s="843">
        <v>34.08746198</v>
      </c>
      <c r="Q29" s="843">
        <v>27.069003500000001</v>
      </c>
      <c r="R29" s="843">
        <v>27.042250549999999</v>
      </c>
      <c r="S29" s="843">
        <v>27.383568500000003</v>
      </c>
      <c r="T29" s="843">
        <v>26.053087869999999</v>
      </c>
      <c r="U29" s="843">
        <v>27.043304730000003</v>
      </c>
      <c r="V29" s="843">
        <v>25.676000030000001</v>
      </c>
      <c r="W29" s="843">
        <v>26.568836820000001</v>
      </c>
      <c r="X29" s="843">
        <v>26.692254370000001</v>
      </c>
      <c r="Y29" s="840">
        <v>22.151104759999999</v>
      </c>
      <c r="Z29" s="843">
        <v>22.007424099999998</v>
      </c>
      <c r="AA29" s="843">
        <v>49.655092789999998</v>
      </c>
      <c r="AB29" s="840">
        <v>49.030803239999997</v>
      </c>
      <c r="AC29" s="840">
        <v>48.131590149999994</v>
      </c>
      <c r="AD29" s="840">
        <v>54.109282210000003</v>
      </c>
      <c r="AE29" s="840">
        <v>52.407863259999999</v>
      </c>
      <c r="AF29" s="840">
        <v>50.686190369999998</v>
      </c>
      <c r="AG29" s="840">
        <v>56.604038549999999</v>
      </c>
      <c r="AH29" s="840">
        <v>48.461007640000005</v>
      </c>
      <c r="AI29" s="840">
        <v>47.123910299999991</v>
      </c>
      <c r="AJ29" s="840">
        <v>45.777400350000001</v>
      </c>
      <c r="AK29" s="840">
        <v>49.789857480000002</v>
      </c>
      <c r="AL29" s="840">
        <v>48.929154150000002</v>
      </c>
      <c r="AM29" s="840">
        <v>47.805020820000003</v>
      </c>
      <c r="AN29" s="840">
        <v>46.960754520000002</v>
      </c>
      <c r="AO29" s="840">
        <v>48.722110290000003</v>
      </c>
      <c r="AP29" s="840">
        <v>46.578282980000004</v>
      </c>
      <c r="AQ29" s="840">
        <v>44.475148709999999</v>
      </c>
      <c r="AR29" s="840">
        <v>40.302461880000003</v>
      </c>
      <c r="AS29" s="840">
        <v>38.396333470000002</v>
      </c>
      <c r="AT29" s="840">
        <v>39.856745070000002</v>
      </c>
      <c r="AU29" s="840">
        <v>37.29468396</v>
      </c>
      <c r="AV29" s="840">
        <v>63.49387119</v>
      </c>
      <c r="AW29" s="840">
        <v>21.336589619999998</v>
      </c>
      <c r="AX29" s="840">
        <v>19.88609477</v>
      </c>
      <c r="AY29" s="840">
        <v>18.131269769999996</v>
      </c>
      <c r="AZ29" s="840">
        <v>17.284340650000004</v>
      </c>
      <c r="BA29" s="840">
        <v>17.109429429999999</v>
      </c>
      <c r="BB29" s="840">
        <v>16.664344249999999</v>
      </c>
      <c r="BC29" s="840">
        <v>16.353495289999998</v>
      </c>
      <c r="BD29" s="840">
        <v>15.86130153</v>
      </c>
      <c r="BE29" s="840">
        <v>15.157155590000002</v>
      </c>
      <c r="BF29" s="840">
        <v>14.912172380000001</v>
      </c>
      <c r="BG29" s="840">
        <v>14.175534890000002</v>
      </c>
      <c r="BH29" s="885">
        <v>13.322288329999999</v>
      </c>
      <c r="BI29" s="874">
        <v>12.681079710000001</v>
      </c>
      <c r="BJ29" s="874">
        <v>12.45504369</v>
      </c>
      <c r="BK29" s="874">
        <v>11.420944349999999</v>
      </c>
      <c r="BL29" s="874">
        <v>10.082761410000002</v>
      </c>
      <c r="BM29" s="874">
        <v>9.5381816599999993</v>
      </c>
      <c r="BN29" s="874">
        <v>8.8457748300000016</v>
      </c>
      <c r="BO29" s="874">
        <v>8.4462069900000003</v>
      </c>
      <c r="BP29" s="874">
        <v>8.0198547700000002</v>
      </c>
      <c r="BQ29" s="874">
        <v>7.1025138500000002</v>
      </c>
      <c r="BR29" s="874">
        <v>6.6617630500000002</v>
      </c>
      <c r="BS29" s="874">
        <v>6.22823248</v>
      </c>
      <c r="BT29" s="874">
        <v>6.22823248</v>
      </c>
      <c r="BU29" s="874">
        <v>4.8596286600000003</v>
      </c>
      <c r="BV29" s="874">
        <v>4.3657753499999989</v>
      </c>
      <c r="BW29" s="874">
        <v>4.1669706199999998</v>
      </c>
      <c r="BX29" s="874">
        <v>5.6661121999999997</v>
      </c>
      <c r="BY29" s="874">
        <v>5.4291366700000001</v>
      </c>
      <c r="BZ29" s="874">
        <v>4.7754521199999997</v>
      </c>
      <c r="CA29" s="874">
        <v>4.52097499</v>
      </c>
      <c r="CB29" s="874">
        <v>3.4783706599999999</v>
      </c>
      <c r="CC29" s="874">
        <v>3.22118584</v>
      </c>
      <c r="CD29" s="874">
        <v>2.96107129</v>
      </c>
      <c r="CE29" s="874">
        <v>2.4719541899999999</v>
      </c>
      <c r="CF29" s="874">
        <v>2.3607892000000001</v>
      </c>
      <c r="CG29" s="874">
        <v>2.1740627199999998</v>
      </c>
      <c r="CH29" s="874">
        <v>1.8666713099999999</v>
      </c>
      <c r="CI29" s="874">
        <v>1.5712985899999998</v>
      </c>
      <c r="CJ29" s="874">
        <v>1.2734999300000001</v>
      </c>
      <c r="CK29" s="874">
        <v>0.96257899000000002</v>
      </c>
      <c r="CL29" s="874">
        <v>0.87977084000000005</v>
      </c>
      <c r="CM29" s="874">
        <v>0.77623766999999999</v>
      </c>
      <c r="CN29" s="874">
        <v>0.68220828</v>
      </c>
      <c r="CO29" s="874">
        <v>0.59987235999999999</v>
      </c>
      <c r="CP29" s="874">
        <v>1.59992344</v>
      </c>
      <c r="CQ29" s="874">
        <v>1.5033656099999999</v>
      </c>
      <c r="CR29" s="874">
        <v>1.4058212600000002</v>
      </c>
      <c r="CS29" s="874">
        <v>1.3072802800000001</v>
      </c>
      <c r="CT29" s="874">
        <v>1.2207444000000001</v>
      </c>
      <c r="CU29" s="874">
        <v>1.1507376199999999</v>
      </c>
      <c r="CV29" s="874">
        <v>1.0345778800000001</v>
      </c>
      <c r="CW29" s="874">
        <v>1.0200710500000001</v>
      </c>
      <c r="CX29" s="874">
        <v>1.00577476</v>
      </c>
      <c r="CY29" s="874">
        <v>1.0047038800000001</v>
      </c>
      <c r="CZ29" s="874">
        <v>1.00361426</v>
      </c>
      <c r="DA29" s="874">
        <v>1.0025055700000001</v>
      </c>
      <c r="DB29" s="874">
        <v>2.2499330000000001E-2</v>
      </c>
      <c r="DC29" s="874">
        <v>2.1351499999999999E-2</v>
      </c>
      <c r="DD29" s="874">
        <v>2.018358E-2</v>
      </c>
      <c r="DE29" s="874">
        <v>0.31563233000000002</v>
      </c>
      <c r="DF29" s="874">
        <v>9.7786070000000003E-2</v>
      </c>
      <c r="DG29" s="874">
        <v>9.3704560000000006E-2</v>
      </c>
      <c r="DH29" s="874">
        <v>0.12951267</v>
      </c>
      <c r="DI29" s="874">
        <v>0.18390775000000001</v>
      </c>
      <c r="DJ29" s="874">
        <v>1.9489888099999999</v>
      </c>
      <c r="DK29" s="874">
        <v>1.9416044400000001</v>
      </c>
      <c r="DL29" s="874">
        <v>1.93398409</v>
      </c>
      <c r="DM29" s="874">
        <v>0.37493037000000001</v>
      </c>
      <c r="DN29" s="874">
        <v>0.41610783000000001</v>
      </c>
      <c r="DO29" s="874">
        <v>0.45033317</v>
      </c>
      <c r="DP29" s="874">
        <v>0.43812135000000002</v>
      </c>
      <c r="DQ29" s="874">
        <v>0.72557806000000002</v>
      </c>
      <c r="DR29" s="874">
        <v>0.72697666999999999</v>
      </c>
      <c r="DS29" s="874">
        <v>2.2165680600000002</v>
      </c>
      <c r="DT29" s="874">
        <v>2.2682270899999999</v>
      </c>
      <c r="DU29" s="874">
        <v>2.2335939200000001</v>
      </c>
      <c r="DV29" s="874">
        <v>2.1813250700000002</v>
      </c>
      <c r="DW29" s="874">
        <v>2.1303931199999999</v>
      </c>
      <c r="DX29" s="874">
        <v>2.81192339</v>
      </c>
      <c r="DY29" s="874">
        <v>4.8520250200000001</v>
      </c>
      <c r="DZ29" s="874">
        <v>4.8353153400000002</v>
      </c>
      <c r="EA29" s="874">
        <v>5.2172151600000003</v>
      </c>
      <c r="EB29" s="874">
        <v>11.35355408</v>
      </c>
      <c r="EC29" s="874">
        <v>11.31970563</v>
      </c>
      <c r="ED29" s="874">
        <v>14.80249538</v>
      </c>
      <c r="EE29" s="874">
        <v>14.794921950000001</v>
      </c>
      <c r="EF29" s="874">
        <v>14.851982230000001</v>
      </c>
      <c r="EG29" s="874">
        <v>14.97250972</v>
      </c>
      <c r="EH29" s="874">
        <v>14.991683650000001</v>
      </c>
      <c r="EI29" s="874">
        <v>14.95256292</v>
      </c>
      <c r="EJ29" s="874">
        <v>14.936448889999999</v>
      </c>
      <c r="EK29" s="874">
        <v>14.881759560000001</v>
      </c>
      <c r="EL29" s="874">
        <v>14.81318351</v>
      </c>
      <c r="EM29" s="874">
        <v>1.2781792599999999</v>
      </c>
      <c r="EN29" s="874">
        <v>1.83466028</v>
      </c>
      <c r="EO29" s="874">
        <v>1.7799194899999999</v>
      </c>
      <c r="EP29" s="874">
        <v>1.8560072400000001</v>
      </c>
      <c r="EQ29" s="874">
        <v>1.77595678</v>
      </c>
      <c r="ER29" s="874">
        <v>1.8897437500000001</v>
      </c>
      <c r="ES29" s="874">
        <v>2.2153613399999998</v>
      </c>
      <c r="ET29" s="874">
        <v>2.1913185099999999</v>
      </c>
      <c r="EU29" s="1922" t="s">
        <v>212</v>
      </c>
    </row>
    <row r="30" spans="1:151" ht="21">
      <c r="A30" s="1953" t="s">
        <v>1974</v>
      </c>
      <c r="B30" s="842">
        <v>109.82095099999999</v>
      </c>
      <c r="C30" s="842">
        <v>109.703183</v>
      </c>
      <c r="D30" s="842">
        <v>109.698183</v>
      </c>
      <c r="E30" s="842">
        <v>109.45785100000001</v>
      </c>
      <c r="F30" s="842">
        <v>9.4428509999999992</v>
      </c>
      <c r="G30" s="842">
        <v>9.4030509999999996</v>
      </c>
      <c r="H30" s="842">
        <v>11.38133</v>
      </c>
      <c r="I30" s="842">
        <v>11.054500000000001</v>
      </c>
      <c r="J30" s="842">
        <v>10.779500000000001</v>
      </c>
      <c r="K30" s="842">
        <v>10.5495</v>
      </c>
      <c r="L30" s="842">
        <v>10.339499999999999</v>
      </c>
      <c r="M30" s="843">
        <v>10.189500000000001</v>
      </c>
      <c r="N30" s="843">
        <v>9.7895000000000003</v>
      </c>
      <c r="O30" s="843">
        <v>9.4395000000000007</v>
      </c>
      <c r="P30" s="843">
        <v>9.4395000000000007</v>
      </c>
      <c r="Q30" s="843">
        <v>8.9894999999999996</v>
      </c>
      <c r="R30" s="843">
        <v>8.6230630000000001</v>
      </c>
      <c r="S30" s="843">
        <v>8.2730630000000005</v>
      </c>
      <c r="T30" s="843">
        <v>7.923063</v>
      </c>
      <c r="U30" s="843">
        <v>7.5730630000000003</v>
      </c>
      <c r="V30" s="843">
        <v>7.2230629999999998</v>
      </c>
      <c r="W30" s="843">
        <v>6.923063</v>
      </c>
      <c r="X30" s="843">
        <v>6.6044999999999998</v>
      </c>
      <c r="Y30" s="843">
        <v>6.2545000000000002</v>
      </c>
      <c r="Z30" s="843">
        <v>6.1544999999999996</v>
      </c>
      <c r="AA30" s="843">
        <v>30.742000000000001</v>
      </c>
      <c r="AB30" s="843">
        <v>30.042000000000002</v>
      </c>
      <c r="AC30" s="843">
        <v>29.22983417</v>
      </c>
      <c r="AD30" s="843">
        <v>35.875834170000005</v>
      </c>
      <c r="AE30" s="843">
        <v>34.556342969999996</v>
      </c>
      <c r="AF30" s="843">
        <v>33.275042390000003</v>
      </c>
      <c r="AG30" s="843">
        <v>39.542024390000002</v>
      </c>
      <c r="AH30" s="843">
        <v>34.480093250000003</v>
      </c>
      <c r="AI30" s="843">
        <v>33.616718299999995</v>
      </c>
      <c r="AJ30" s="843">
        <v>32.776145640000003</v>
      </c>
      <c r="AK30" s="843">
        <v>32.133548529999999</v>
      </c>
      <c r="AL30" s="843">
        <v>31.379427979999999</v>
      </c>
      <c r="AM30" s="843">
        <v>30.27057761</v>
      </c>
      <c r="AN30" s="843">
        <v>29.445901750000001</v>
      </c>
      <c r="AO30" s="843">
        <v>32.266423410000002</v>
      </c>
      <c r="AP30" s="843">
        <v>30.185632200000001</v>
      </c>
      <c r="AQ30" s="843">
        <v>28.086202829999998</v>
      </c>
      <c r="AR30" s="843">
        <v>26.39009274</v>
      </c>
      <c r="AS30" s="843">
        <v>24.508873170000001</v>
      </c>
      <c r="AT30" s="843">
        <v>25.982158550000001</v>
      </c>
      <c r="AU30" s="843">
        <v>23.432755660000002</v>
      </c>
      <c r="AV30" s="843">
        <v>49.645195659999999</v>
      </c>
      <c r="AW30" s="843">
        <v>20.803470699999998</v>
      </c>
      <c r="AX30" s="843">
        <v>19.3628599</v>
      </c>
      <c r="AY30" s="843">
        <v>17.685859899999997</v>
      </c>
      <c r="AZ30" s="843">
        <v>16.850378600000003</v>
      </c>
      <c r="BA30" s="843">
        <v>16.68432915</v>
      </c>
      <c r="BB30" s="843">
        <v>16.507377269999999</v>
      </c>
      <c r="BC30" s="843">
        <v>15.990351039999998</v>
      </c>
      <c r="BD30" s="843">
        <v>15.46105784</v>
      </c>
      <c r="BE30" s="843">
        <v>14.772166720000001</v>
      </c>
      <c r="BF30" s="843">
        <v>14.544175750000001</v>
      </c>
      <c r="BG30" s="843">
        <v>13.817369490000001</v>
      </c>
      <c r="BH30" s="886">
        <v>12.9658409</v>
      </c>
      <c r="BI30" s="875">
        <v>12.33881822</v>
      </c>
      <c r="BJ30" s="875">
        <v>12.11870633</v>
      </c>
      <c r="BK30" s="875">
        <v>11.093061449999999</v>
      </c>
      <c r="BL30" s="875">
        <v>9.7670019600000018</v>
      </c>
      <c r="BM30" s="875">
        <v>9.2330063199999994</v>
      </c>
      <c r="BN30" s="875">
        <v>8.5514651400000012</v>
      </c>
      <c r="BO30" s="875">
        <v>8.16276929</v>
      </c>
      <c r="BP30" s="875">
        <v>7.74749994</v>
      </c>
      <c r="BQ30" s="875">
        <v>6.8413807800000006</v>
      </c>
      <c r="BR30" s="875">
        <v>6.4117966100000006</v>
      </c>
      <c r="BS30" s="875">
        <v>5.99002985</v>
      </c>
      <c r="BT30" s="875">
        <v>5.99002985</v>
      </c>
      <c r="BU30" s="875">
        <v>4.6495835799999998</v>
      </c>
      <c r="BV30" s="875">
        <v>4.1656025099999994</v>
      </c>
      <c r="BW30" s="875">
        <v>3.9767082999999999</v>
      </c>
      <c r="BX30" s="875">
        <v>5.48589254</v>
      </c>
      <c r="BY30" s="875">
        <v>5.2590935700000001</v>
      </c>
      <c r="BZ30" s="875">
        <v>4.6157212699999999</v>
      </c>
      <c r="CA30" s="875">
        <v>4.3715519</v>
      </c>
      <c r="CB30" s="875">
        <v>3.33966757</v>
      </c>
      <c r="CC30" s="875">
        <v>3.0932128699999999</v>
      </c>
      <c r="CD30" s="875">
        <v>2.84391463</v>
      </c>
      <c r="CE30" s="875">
        <v>2.3658670000000002</v>
      </c>
      <c r="CF30" s="875">
        <v>2.2658670000000001</v>
      </c>
      <c r="CG30" s="875">
        <v>2.0904543799999997</v>
      </c>
      <c r="CH30" s="875">
        <v>1.7945276799999998</v>
      </c>
      <c r="CI30" s="875">
        <v>1.5107084099999999</v>
      </c>
      <c r="CJ30" s="875">
        <v>1.2247352300000001</v>
      </c>
      <c r="CK30" s="875">
        <v>0.92574358000000001</v>
      </c>
      <c r="CL30" s="875">
        <v>0.85499104000000004</v>
      </c>
      <c r="CM30" s="875">
        <v>0.76372898999999994</v>
      </c>
      <c r="CN30" s="875">
        <v>0.68220828</v>
      </c>
      <c r="CO30" s="875">
        <v>0.59987235999999999</v>
      </c>
      <c r="CP30" s="875">
        <v>0.51671308000000005</v>
      </c>
      <c r="CQ30" s="875">
        <v>0.43272221</v>
      </c>
      <c r="CR30" s="875">
        <v>0.34789143</v>
      </c>
      <c r="CS30" s="875">
        <v>0.26221234000000004</v>
      </c>
      <c r="CT30" s="875">
        <v>0.17567646000000001</v>
      </c>
      <c r="CU30" s="875">
        <v>8.8275220000000001E-2</v>
      </c>
      <c r="CV30" s="875">
        <v>0</v>
      </c>
      <c r="CW30" s="875">
        <v>0</v>
      </c>
      <c r="CX30" s="875">
        <v>0</v>
      </c>
      <c r="CY30" s="875">
        <v>0</v>
      </c>
      <c r="CZ30" s="875">
        <v>0</v>
      </c>
      <c r="DA30" s="875">
        <v>0</v>
      </c>
      <c r="DB30" s="875">
        <v>0</v>
      </c>
      <c r="DC30" s="875">
        <v>0</v>
      </c>
      <c r="DD30" s="875">
        <v>0</v>
      </c>
      <c r="DE30" s="875">
        <v>0</v>
      </c>
      <c r="DF30" s="875">
        <v>0</v>
      </c>
      <c r="DG30" s="875">
        <v>0</v>
      </c>
      <c r="DH30" s="875">
        <v>0</v>
      </c>
      <c r="DI30" s="875">
        <v>0</v>
      </c>
      <c r="DJ30" s="875">
        <v>0</v>
      </c>
      <c r="DK30" s="875">
        <v>0</v>
      </c>
      <c r="DL30" s="875">
        <v>0</v>
      </c>
      <c r="DM30" s="875">
        <v>0</v>
      </c>
      <c r="DN30" s="875">
        <v>0</v>
      </c>
      <c r="DO30" s="875">
        <v>0</v>
      </c>
      <c r="DP30" s="875">
        <v>0</v>
      </c>
      <c r="DQ30" s="875">
        <v>0</v>
      </c>
      <c r="DR30" s="875">
        <v>0</v>
      </c>
      <c r="DS30" s="875">
        <v>0</v>
      </c>
      <c r="DT30" s="875">
        <v>0</v>
      </c>
      <c r="DU30" s="875">
        <v>0</v>
      </c>
      <c r="DV30" s="875">
        <v>0</v>
      </c>
      <c r="DW30" s="875">
        <v>0</v>
      </c>
      <c r="DX30" s="875">
        <v>0</v>
      </c>
      <c r="DY30" s="875">
        <v>0</v>
      </c>
      <c r="DZ30" s="875">
        <v>0</v>
      </c>
      <c r="EA30" s="875">
        <v>0</v>
      </c>
      <c r="EB30" s="875">
        <v>0</v>
      </c>
      <c r="EC30" s="875">
        <v>0</v>
      </c>
      <c r="ED30" s="875">
        <v>0</v>
      </c>
      <c r="EE30" s="875">
        <v>0</v>
      </c>
      <c r="EF30" s="875">
        <v>0</v>
      </c>
      <c r="EG30" s="875">
        <v>0</v>
      </c>
      <c r="EH30" s="875">
        <v>0</v>
      </c>
      <c r="EI30" s="875">
        <v>0</v>
      </c>
      <c r="EJ30" s="875">
        <v>0</v>
      </c>
      <c r="EK30" s="875">
        <v>0</v>
      </c>
      <c r="EL30" s="875">
        <v>0</v>
      </c>
      <c r="EM30" s="875">
        <v>0</v>
      </c>
      <c r="EN30" s="875">
        <v>0</v>
      </c>
      <c r="EO30" s="875">
        <v>0</v>
      </c>
      <c r="EP30" s="875">
        <v>0</v>
      </c>
      <c r="EQ30" s="875">
        <v>0</v>
      </c>
      <c r="ER30" s="875">
        <v>0</v>
      </c>
      <c r="ES30" s="875">
        <v>0</v>
      </c>
      <c r="ET30" s="875">
        <v>0</v>
      </c>
      <c r="EU30" s="1924" t="s">
        <v>4086</v>
      </c>
    </row>
    <row r="31" spans="1:151" ht="21">
      <c r="A31" s="1953" t="s">
        <v>1975</v>
      </c>
      <c r="B31" s="839">
        <f>+B29-B30</f>
        <v>93.075956220000009</v>
      </c>
      <c r="C31" s="839">
        <f t="shared" ref="C31:V31" si="10">+C29-C30</f>
        <v>12.35763962</v>
      </c>
      <c r="D31" s="839">
        <f t="shared" si="10"/>
        <v>12.315615010000002</v>
      </c>
      <c r="E31" s="839">
        <f t="shared" si="10"/>
        <v>24.035054020000018</v>
      </c>
      <c r="F31" s="839">
        <f t="shared" si="10"/>
        <v>23.972781160000004</v>
      </c>
      <c r="G31" s="839">
        <f t="shared" si="10"/>
        <v>25.228325580000003</v>
      </c>
      <c r="H31" s="839">
        <f t="shared" si="10"/>
        <v>25.314906839999999</v>
      </c>
      <c r="I31" s="839">
        <f t="shared" si="10"/>
        <v>25.32088414</v>
      </c>
      <c r="J31" s="839">
        <f t="shared" si="10"/>
        <v>25.243460480000003</v>
      </c>
      <c r="K31" s="839">
        <f t="shared" si="10"/>
        <v>25.054960770000001</v>
      </c>
      <c r="L31" s="839">
        <f t="shared" si="10"/>
        <v>24.987898340000001</v>
      </c>
      <c r="M31" s="843">
        <f t="shared" si="10"/>
        <v>24.858098309999995</v>
      </c>
      <c r="N31" s="840">
        <f t="shared" si="10"/>
        <v>24.769286089999998</v>
      </c>
      <c r="O31" s="840">
        <f t="shared" si="10"/>
        <v>24.668885009999997</v>
      </c>
      <c r="P31" s="840">
        <f t="shared" si="10"/>
        <v>24.647961979999998</v>
      </c>
      <c r="Q31" s="840">
        <f t="shared" si="10"/>
        <v>18.079503500000001</v>
      </c>
      <c r="R31" s="840">
        <f t="shared" si="10"/>
        <v>18.419187549999997</v>
      </c>
      <c r="S31" s="840">
        <f t="shared" si="10"/>
        <v>19.110505500000002</v>
      </c>
      <c r="T31" s="840">
        <f t="shared" si="10"/>
        <v>18.13002487</v>
      </c>
      <c r="U31" s="840">
        <f t="shared" si="10"/>
        <v>19.470241730000001</v>
      </c>
      <c r="V31" s="840">
        <f t="shared" si="10"/>
        <v>18.452937030000001</v>
      </c>
      <c r="W31" s="840">
        <v>19.645773820000002</v>
      </c>
      <c r="X31" s="840">
        <v>20.087754369999999</v>
      </c>
      <c r="Y31" s="843">
        <v>15.896604759999999</v>
      </c>
      <c r="Z31" s="840">
        <v>15.852924099999999</v>
      </c>
      <c r="AA31" s="840">
        <v>18.913092789999997</v>
      </c>
      <c r="AB31" s="843">
        <v>18.988803239999996</v>
      </c>
      <c r="AC31" s="843">
        <v>18.901755979999994</v>
      </c>
      <c r="AD31" s="843">
        <v>18.233448039999999</v>
      </c>
      <c r="AE31" s="843">
        <v>17.851520290000003</v>
      </c>
      <c r="AF31" s="843">
        <v>17.411147979999996</v>
      </c>
      <c r="AG31" s="843">
        <v>17.062014159999997</v>
      </c>
      <c r="AH31" s="843">
        <f>+AH29-AH30</f>
        <v>13.980914390000002</v>
      </c>
      <c r="AI31" s="843">
        <v>13.507191999999996</v>
      </c>
      <c r="AJ31" s="843">
        <f>+AJ29-AJ30</f>
        <v>13.001254709999998</v>
      </c>
      <c r="AK31" s="843">
        <f>+AK29-AK30</f>
        <v>17.656308950000003</v>
      </c>
      <c r="AL31" s="843">
        <v>17.549726170000003</v>
      </c>
      <c r="AM31" s="843">
        <f>+AM29-AM30</f>
        <v>17.534443210000003</v>
      </c>
      <c r="AN31" s="843">
        <f>+AN29-AN30</f>
        <v>17.514852770000001</v>
      </c>
      <c r="AO31" s="843">
        <f>+AO29-AO30</f>
        <v>16.455686880000002</v>
      </c>
      <c r="AP31" s="843">
        <f>+AP29-AP30</f>
        <v>16.392650780000004</v>
      </c>
      <c r="AQ31" s="843">
        <v>16.388945880000001</v>
      </c>
      <c r="AR31" s="843">
        <f>+AR29-AR30</f>
        <v>13.912369140000003</v>
      </c>
      <c r="AS31" s="843">
        <f>+AS29-AS30</f>
        <v>13.887460300000001</v>
      </c>
      <c r="AT31" s="843">
        <f>+AT29-AT30</f>
        <v>13.874586520000001</v>
      </c>
      <c r="AU31" s="843">
        <v>13.861928299999999</v>
      </c>
      <c r="AV31" s="843">
        <v>13.848675530000001</v>
      </c>
      <c r="AW31" s="843">
        <v>0.53311891999999972</v>
      </c>
      <c r="AX31" s="843">
        <v>0.52323486999999957</v>
      </c>
      <c r="AY31" s="843">
        <v>0.44540986999999888</v>
      </c>
      <c r="AZ31" s="843">
        <v>0.43396205000000165</v>
      </c>
      <c r="BA31" s="843">
        <v>0.42510027999999878</v>
      </c>
      <c r="BB31" s="843">
        <v>0.15696697999999998</v>
      </c>
      <c r="BC31" s="843">
        <v>0.3631442499999995</v>
      </c>
      <c r="BD31" s="843">
        <f>+BD29-BD30</f>
        <v>0.40024368999999993</v>
      </c>
      <c r="BE31" s="843">
        <v>0.38498887000000082</v>
      </c>
      <c r="BF31" s="843">
        <v>0.36799663000000038</v>
      </c>
      <c r="BG31" s="843">
        <v>0.35816540000000074</v>
      </c>
      <c r="BH31" s="886">
        <v>0.35644742999999934</v>
      </c>
      <c r="BI31" s="875">
        <v>0.34226149000000028</v>
      </c>
      <c r="BJ31" s="875">
        <v>0.33633735999999992</v>
      </c>
      <c r="BK31" s="875">
        <v>0.32788290000000053</v>
      </c>
      <c r="BL31" s="875">
        <v>0.31575944999999983</v>
      </c>
      <c r="BM31" s="875">
        <v>0.30517533999999991</v>
      </c>
      <c r="BN31" s="875">
        <v>0.2943096900000004</v>
      </c>
      <c r="BO31" s="875">
        <v>0.28343770000000035</v>
      </c>
      <c r="BP31" s="875">
        <v>0.27235483000000027</v>
      </c>
      <c r="BQ31" s="875">
        <v>0.26113306999999963</v>
      </c>
      <c r="BR31" s="875">
        <v>0.24996643999999968</v>
      </c>
      <c r="BS31" s="875">
        <v>0.23820262999999997</v>
      </c>
      <c r="BT31" s="875">
        <v>0.23820262999999997</v>
      </c>
      <c r="BU31" s="875">
        <v>0.21004508000000044</v>
      </c>
      <c r="BV31" s="875">
        <v>0.20017283999999957</v>
      </c>
      <c r="BW31" s="875">
        <v>0.19026231999999998</v>
      </c>
      <c r="BX31" s="875">
        <v>0.18021965999999967</v>
      </c>
      <c r="BY31" s="875">
        <v>0.1700431</v>
      </c>
      <c r="BZ31" s="875">
        <v>0.15973084999999987</v>
      </c>
      <c r="CA31" s="875">
        <v>0.14942308999999998</v>
      </c>
      <c r="CB31" s="875">
        <v>0.13870308999999992</v>
      </c>
      <c r="CC31" s="875">
        <v>0.12797297000000007</v>
      </c>
      <c r="CD31" s="875">
        <v>0.11715666000000002</v>
      </c>
      <c r="CE31" s="875">
        <f t="shared" ref="CE31:CO31" si="11">+CE29-CE30</f>
        <v>0.10608718999999978</v>
      </c>
      <c r="CF31" s="875">
        <f t="shared" si="11"/>
        <v>9.4922200000000068E-2</v>
      </c>
      <c r="CG31" s="875">
        <f t="shared" si="11"/>
        <v>8.3608340000000059E-2</v>
      </c>
      <c r="CH31" s="875">
        <f t="shared" si="11"/>
        <v>7.2143630000000014E-2</v>
      </c>
      <c r="CI31" s="875">
        <f t="shared" si="11"/>
        <v>6.0590179999999938E-2</v>
      </c>
      <c r="CJ31" s="875">
        <f t="shared" si="11"/>
        <v>4.8764699999999994E-2</v>
      </c>
      <c r="CK31" s="875">
        <f t="shared" si="11"/>
        <v>3.6835410000000013E-2</v>
      </c>
      <c r="CL31" s="875">
        <f t="shared" si="11"/>
        <v>2.4779800000000018E-2</v>
      </c>
      <c r="CM31" s="875">
        <f t="shared" si="11"/>
        <v>1.250868000000005E-2</v>
      </c>
      <c r="CN31" s="875">
        <f t="shared" si="11"/>
        <v>0</v>
      </c>
      <c r="CO31" s="875">
        <f t="shared" si="11"/>
        <v>0</v>
      </c>
      <c r="CP31" s="875">
        <f>+CP29-CP30</f>
        <v>1.0832103599999998</v>
      </c>
      <c r="CQ31" s="875">
        <f>+CQ29-CQ30</f>
        <v>1.0706433999999998</v>
      </c>
      <c r="CR31" s="875">
        <f>+CR29-CR30</f>
        <v>1.0579298300000002</v>
      </c>
      <c r="CS31" s="875">
        <f>+CS29-CS30</f>
        <v>1.04506794</v>
      </c>
      <c r="CT31" s="875">
        <v>1.04506794</v>
      </c>
      <c r="CU31" s="875">
        <v>1.0624624</v>
      </c>
      <c r="CV31" s="875">
        <v>1.0345778800000001</v>
      </c>
      <c r="CW31" s="875">
        <v>1.0200710500000001</v>
      </c>
      <c r="CX31" s="875">
        <v>1.00577476</v>
      </c>
      <c r="CY31" s="875">
        <v>1.0047038800000001</v>
      </c>
      <c r="CZ31" s="875">
        <v>1.00361426</v>
      </c>
      <c r="DA31" s="875">
        <v>1.0025055700000001</v>
      </c>
      <c r="DB31" s="875">
        <v>2.2499330000000001E-2</v>
      </c>
      <c r="DC31" s="875">
        <v>2.1351499999999999E-2</v>
      </c>
      <c r="DD31" s="875">
        <v>2.018358E-2</v>
      </c>
      <c r="DE31" s="875">
        <v>0.31563233000000002</v>
      </c>
      <c r="DF31" s="875">
        <v>9.7786070000000003E-2</v>
      </c>
      <c r="DG31" s="875">
        <v>9.3704560000000006E-2</v>
      </c>
      <c r="DH31" s="875">
        <v>0.12951267</v>
      </c>
      <c r="DI31" s="875">
        <v>0.18390775000000001</v>
      </c>
      <c r="DJ31" s="875">
        <v>1.9489888099999999</v>
      </c>
      <c r="DK31" s="875">
        <v>1.9416044400000001</v>
      </c>
      <c r="DL31" s="875">
        <v>1.93398409</v>
      </c>
      <c r="DM31" s="875">
        <v>0.37493037000000001</v>
      </c>
      <c r="DN31" s="875">
        <v>0.41610783000000001</v>
      </c>
      <c r="DO31" s="875">
        <v>0.45033317</v>
      </c>
      <c r="DP31" s="875">
        <v>0.43812135000000002</v>
      </c>
      <c r="DQ31" s="875">
        <v>0.72557806000000002</v>
      </c>
      <c r="DR31" s="875">
        <v>0.72697666999999999</v>
      </c>
      <c r="DS31" s="875">
        <v>2.2165680600000002</v>
      </c>
      <c r="DT31" s="875">
        <v>2.2682270899999999</v>
      </c>
      <c r="DU31" s="875">
        <v>2.2335939200000001</v>
      </c>
      <c r="DV31" s="875">
        <v>2.1813250700000002</v>
      </c>
      <c r="DW31" s="875">
        <v>2.1303931199999999</v>
      </c>
      <c r="DX31" s="875">
        <v>2.81192339</v>
      </c>
      <c r="DY31" s="875">
        <v>4.8520250200000001</v>
      </c>
      <c r="DZ31" s="875">
        <v>4.8353153400000002</v>
      </c>
      <c r="EA31" s="875">
        <v>5.2172151600000003</v>
      </c>
      <c r="EB31" s="875">
        <v>11.35355408</v>
      </c>
      <c r="EC31" s="875">
        <v>11.31970563</v>
      </c>
      <c r="ED31" s="875">
        <v>14.80249538</v>
      </c>
      <c r="EE31" s="875">
        <v>14.794921950000001</v>
      </c>
      <c r="EF31" s="875">
        <v>14.851982230000001</v>
      </c>
      <c r="EG31" s="875">
        <v>14.97250972</v>
      </c>
      <c r="EH31" s="875">
        <v>14.991683650000001</v>
      </c>
      <c r="EI31" s="875">
        <v>14.95256292</v>
      </c>
      <c r="EJ31" s="875">
        <v>14.936448889999999</v>
      </c>
      <c r="EK31" s="875">
        <v>14.881759560000001</v>
      </c>
      <c r="EL31" s="875">
        <v>14.81318351</v>
      </c>
      <c r="EM31" s="875">
        <v>1.2781792599999999</v>
      </c>
      <c r="EN31" s="875">
        <v>1.83466028</v>
      </c>
      <c r="EO31" s="875">
        <v>1.7799194899999999</v>
      </c>
      <c r="EP31" s="875">
        <v>1.8560072400000001</v>
      </c>
      <c r="EQ31" s="875">
        <v>1.77595678</v>
      </c>
      <c r="ER31" s="875">
        <v>1.8897437500000001</v>
      </c>
      <c r="ES31" s="875">
        <v>2.2153613399999998</v>
      </c>
      <c r="ET31" s="875">
        <v>2.1913185099999999</v>
      </c>
      <c r="EU31" s="1924" t="s">
        <v>4085</v>
      </c>
    </row>
    <row r="32" spans="1:151" ht="21">
      <c r="A32" s="1954"/>
      <c r="B32" s="842"/>
      <c r="C32" s="842"/>
      <c r="D32" s="842"/>
      <c r="E32" s="842"/>
      <c r="F32" s="842"/>
      <c r="G32" s="842"/>
      <c r="H32" s="842"/>
      <c r="I32" s="842"/>
      <c r="J32" s="842"/>
      <c r="K32" s="842"/>
      <c r="L32" s="842"/>
      <c r="M32" s="843"/>
      <c r="N32" s="843"/>
      <c r="O32" s="843"/>
      <c r="P32" s="843"/>
      <c r="Q32" s="843"/>
      <c r="R32" s="843"/>
      <c r="S32" s="843"/>
      <c r="T32" s="843"/>
      <c r="U32" s="843"/>
      <c r="V32" s="843"/>
      <c r="W32" s="843"/>
      <c r="X32" s="843"/>
      <c r="Y32" s="843"/>
      <c r="Z32" s="843"/>
      <c r="AA32" s="843"/>
      <c r="AB32" s="843"/>
      <c r="AC32" s="843"/>
      <c r="AD32" s="843"/>
      <c r="AE32" s="843"/>
      <c r="AF32" s="843"/>
      <c r="AG32" s="843"/>
      <c r="AH32" s="843"/>
      <c r="AI32" s="843"/>
      <c r="AJ32" s="843"/>
      <c r="AK32" s="843"/>
      <c r="AL32" s="843"/>
      <c r="AM32" s="843"/>
      <c r="AN32" s="843"/>
      <c r="AO32" s="843"/>
      <c r="AP32" s="843"/>
      <c r="AQ32" s="843"/>
      <c r="AR32" s="843"/>
      <c r="AS32" s="843"/>
      <c r="AT32" s="843"/>
      <c r="AU32" s="843"/>
      <c r="AV32" s="843"/>
      <c r="AW32" s="843"/>
      <c r="AX32" s="843"/>
      <c r="AY32" s="843"/>
      <c r="AZ32" s="843"/>
      <c r="BA32" s="843"/>
      <c r="BB32" s="843"/>
      <c r="BC32" s="843"/>
      <c r="BD32" s="843"/>
      <c r="BE32" s="843"/>
      <c r="BF32" s="843"/>
      <c r="BG32" s="843"/>
      <c r="BH32" s="886"/>
      <c r="BI32" s="875"/>
      <c r="BJ32" s="875"/>
      <c r="BK32" s="875"/>
      <c r="BL32" s="875"/>
      <c r="BM32" s="875"/>
      <c r="BN32" s="875"/>
      <c r="BO32" s="875"/>
      <c r="BP32" s="875"/>
      <c r="BQ32" s="875"/>
      <c r="BR32" s="875"/>
      <c r="BS32" s="875"/>
      <c r="BT32" s="875"/>
      <c r="BU32" s="875"/>
      <c r="BV32" s="875"/>
      <c r="BW32" s="875"/>
      <c r="BX32" s="875"/>
      <c r="BY32" s="875"/>
      <c r="BZ32" s="875"/>
      <c r="CA32" s="875"/>
      <c r="CB32" s="875"/>
      <c r="CC32" s="875"/>
      <c r="CD32" s="875"/>
      <c r="CE32" s="875"/>
      <c r="CF32" s="875"/>
      <c r="CG32" s="875"/>
      <c r="CH32" s="875"/>
      <c r="CI32" s="875"/>
      <c r="CJ32" s="875"/>
      <c r="CK32" s="875"/>
      <c r="CL32" s="875"/>
      <c r="CM32" s="875"/>
      <c r="CN32" s="875"/>
      <c r="CO32" s="875"/>
      <c r="CP32" s="875"/>
      <c r="CQ32" s="875"/>
      <c r="CR32" s="875"/>
      <c r="CS32" s="875"/>
      <c r="CT32" s="875"/>
      <c r="CU32" s="875"/>
      <c r="CV32" s="875"/>
      <c r="CW32" s="875"/>
      <c r="CX32" s="875"/>
      <c r="CY32" s="875"/>
      <c r="CZ32" s="875"/>
      <c r="DA32" s="875"/>
      <c r="DB32" s="875"/>
      <c r="DC32" s="875"/>
      <c r="DD32" s="875"/>
      <c r="DE32" s="875"/>
      <c r="DF32" s="875"/>
      <c r="DG32" s="875"/>
      <c r="DH32" s="875"/>
      <c r="DI32" s="875"/>
      <c r="DJ32" s="875"/>
      <c r="DK32" s="875"/>
      <c r="DL32" s="875"/>
      <c r="DM32" s="875"/>
      <c r="DN32" s="875"/>
      <c r="DO32" s="875"/>
      <c r="DP32" s="875"/>
      <c r="DQ32" s="875"/>
      <c r="DR32" s="875"/>
      <c r="DS32" s="875"/>
      <c r="DT32" s="875"/>
      <c r="DU32" s="875"/>
      <c r="DV32" s="875"/>
      <c r="DW32" s="875"/>
      <c r="DX32" s="875"/>
      <c r="DY32" s="875"/>
      <c r="DZ32" s="875"/>
      <c r="EA32" s="875"/>
      <c r="EB32" s="875"/>
      <c r="EC32" s="875"/>
      <c r="ED32" s="875"/>
      <c r="EE32" s="875"/>
      <c r="EF32" s="875"/>
      <c r="EG32" s="875"/>
      <c r="EH32" s="875"/>
      <c r="EI32" s="875"/>
      <c r="EJ32" s="875"/>
      <c r="EK32" s="875"/>
      <c r="EL32" s="875"/>
      <c r="EM32" s="875"/>
      <c r="EN32" s="875"/>
      <c r="EO32" s="875"/>
      <c r="EP32" s="875"/>
      <c r="EQ32" s="875"/>
      <c r="ER32" s="875"/>
      <c r="ES32" s="875"/>
      <c r="ET32" s="875"/>
      <c r="EU32" s="1923"/>
    </row>
    <row r="33" spans="1:151" ht="21">
      <c r="A33" s="1952" t="s">
        <v>2757</v>
      </c>
      <c r="B33" s="839">
        <v>14.696745659999999</v>
      </c>
      <c r="C33" s="839">
        <v>9.9616177799999992</v>
      </c>
      <c r="D33" s="839">
        <v>9.9378249099999998</v>
      </c>
      <c r="E33" s="839">
        <v>9.8865622799999997</v>
      </c>
      <c r="F33" s="839">
        <v>9.7006492299999998</v>
      </c>
      <c r="G33" s="839">
        <v>9.6591811099999987</v>
      </c>
      <c r="H33" s="839">
        <v>9.6343464499999989</v>
      </c>
      <c r="I33" s="839">
        <v>8.874405320000001</v>
      </c>
      <c r="J33" s="839">
        <v>8.868949859999999</v>
      </c>
      <c r="K33" s="839">
        <v>7.9482939000000004</v>
      </c>
      <c r="L33" s="839">
        <v>7.9472807300000001</v>
      </c>
      <c r="M33" s="840">
        <v>8.7954953200000006</v>
      </c>
      <c r="N33" s="840">
        <v>8.7936111300000004</v>
      </c>
      <c r="O33" s="840">
        <v>8.76014217</v>
      </c>
      <c r="P33" s="840">
        <v>8.7496210999999988</v>
      </c>
      <c r="Q33" s="840">
        <v>8.6861359499999988</v>
      </c>
      <c r="R33" s="840">
        <v>8.650455449999999</v>
      </c>
      <c r="S33" s="840">
        <v>8.6395548000000009</v>
      </c>
      <c r="T33" s="840">
        <v>8.1659425399999996</v>
      </c>
      <c r="U33" s="840">
        <v>8.1557518299999998</v>
      </c>
      <c r="V33" s="840">
        <v>8.1434016299999996</v>
      </c>
      <c r="W33" s="840">
        <v>8.5543405500000009</v>
      </c>
      <c r="X33" s="840">
        <v>8.5416523200000007</v>
      </c>
      <c r="Y33" s="840">
        <v>8.7053185199999987</v>
      </c>
      <c r="Z33" s="840">
        <v>8.6849551199999997</v>
      </c>
      <c r="AA33" s="840">
        <v>11.596012759999999</v>
      </c>
      <c r="AB33" s="840">
        <v>11.57163566</v>
      </c>
      <c r="AC33" s="840">
        <v>11.390769560000001</v>
      </c>
      <c r="AD33" s="840">
        <v>11.579979829999999</v>
      </c>
      <c r="AE33" s="840">
        <v>11.557314009999999</v>
      </c>
      <c r="AF33" s="840">
        <v>9.3507033900000014</v>
      </c>
      <c r="AG33" s="840">
        <v>9.3260801799999999</v>
      </c>
      <c r="AH33" s="840">
        <v>4.8411593899999996</v>
      </c>
      <c r="AI33" s="840">
        <v>4.8351021300000001</v>
      </c>
      <c r="AJ33" s="840">
        <v>4.8257048899999999</v>
      </c>
      <c r="AK33" s="840">
        <v>7.1377807799999999</v>
      </c>
      <c r="AL33" s="840">
        <v>7.2991343499999992</v>
      </c>
      <c r="AM33" s="840">
        <v>7.10702356</v>
      </c>
      <c r="AN33" s="840">
        <v>8.51217486</v>
      </c>
      <c r="AO33" s="840">
        <v>8.2894709199999994</v>
      </c>
      <c r="AP33" s="840">
        <v>8.1683099800000001</v>
      </c>
      <c r="AQ33" s="840">
        <v>8.3973274700000005</v>
      </c>
      <c r="AR33" s="840">
        <v>9.4165227900000001</v>
      </c>
      <c r="AS33" s="840">
        <v>9.6794123199999991</v>
      </c>
      <c r="AT33" s="840">
        <f>AT25-AT29</f>
        <v>10.268367019999999</v>
      </c>
      <c r="AU33" s="840">
        <v>4.3578799600000053</v>
      </c>
      <c r="AV33" s="840">
        <v>4.5986662700000167</v>
      </c>
      <c r="AW33" s="840">
        <v>35.556621220000011</v>
      </c>
      <c r="AX33" s="840">
        <v>39.718600340000009</v>
      </c>
      <c r="AY33" s="840">
        <v>38.350616789999997</v>
      </c>
      <c r="AZ33" s="840">
        <v>51.690175710000005</v>
      </c>
      <c r="BA33" s="840">
        <v>53.568055430000008</v>
      </c>
      <c r="BB33" s="840">
        <v>58.303196119999996</v>
      </c>
      <c r="BC33" s="840">
        <v>51.087733370000002</v>
      </c>
      <c r="BD33" s="840">
        <v>48.541040189999997</v>
      </c>
      <c r="BE33" s="840">
        <v>48.529477869999994</v>
      </c>
      <c r="BF33" s="840">
        <v>47.641930989999999</v>
      </c>
      <c r="BG33" s="840">
        <v>47.246876209999996</v>
      </c>
      <c r="BH33" s="885">
        <v>47.227579659999989</v>
      </c>
      <c r="BI33" s="874">
        <v>46.707067109999997</v>
      </c>
      <c r="BJ33" s="874">
        <v>37.268398849999997</v>
      </c>
      <c r="BK33" s="874">
        <v>49.666770690000007</v>
      </c>
      <c r="BL33" s="874">
        <v>49.311189180000007</v>
      </c>
      <c r="BM33" s="874">
        <v>47.253161640000009</v>
      </c>
      <c r="BN33" s="874">
        <v>45.02772422999999</v>
      </c>
      <c r="BO33" s="874">
        <v>44.398893520000001</v>
      </c>
      <c r="BP33" s="874">
        <v>39.288359939999992</v>
      </c>
      <c r="BQ33" s="874">
        <v>49.221752350000003</v>
      </c>
      <c r="BR33" s="874">
        <v>44.942343430000008</v>
      </c>
      <c r="BS33" s="874">
        <v>44.255666579999989</v>
      </c>
      <c r="BT33" s="874">
        <v>41.535094149999985</v>
      </c>
      <c r="BU33" s="874">
        <v>41.293113139999996</v>
      </c>
      <c r="BV33" s="874">
        <v>40.824338099999999</v>
      </c>
      <c r="BW33" s="874">
        <v>38.592047840000006</v>
      </c>
      <c r="BX33" s="874">
        <v>37.953569599999994</v>
      </c>
      <c r="BY33" s="874">
        <v>37.30465611000001</v>
      </c>
      <c r="BZ33" s="874">
        <v>35.065313970000012</v>
      </c>
      <c r="CA33" s="874">
        <v>34.420882760000005</v>
      </c>
      <c r="CB33" s="874">
        <v>33.767780070000001</v>
      </c>
      <c r="CC33" s="874">
        <v>31.521960849999996</v>
      </c>
      <c r="CD33" s="874">
        <v>30.868636549999998</v>
      </c>
      <c r="CE33" s="874">
        <v>30.061507440000003</v>
      </c>
      <c r="CF33" s="874">
        <v>27.660242090000001</v>
      </c>
      <c r="CG33" s="874">
        <v>26.846896109999999</v>
      </c>
      <c r="CH33" s="874">
        <v>26.033603530000001</v>
      </c>
      <c r="CI33" s="874">
        <v>23.617427409999998</v>
      </c>
      <c r="CJ33" s="874">
        <v>22.797682009999999</v>
      </c>
      <c r="CK33" s="874">
        <v>21.96454159</v>
      </c>
      <c r="CL33" s="874">
        <v>21.298469129999997</v>
      </c>
      <c r="CM33" s="874">
        <v>20.61883121</v>
      </c>
      <c r="CN33" s="874">
        <v>19.45565379</v>
      </c>
      <c r="CO33" s="874">
        <v>10.76622952</v>
      </c>
      <c r="CP33" s="874">
        <v>10.08307643</v>
      </c>
      <c r="CQ33" s="874">
        <v>0</v>
      </c>
      <c r="CR33" s="874">
        <v>0.37000499999999997</v>
      </c>
      <c r="CS33" s="874">
        <v>0.36038394000000001</v>
      </c>
      <c r="CT33" s="874">
        <v>255.35104484999999</v>
      </c>
      <c r="CU33" s="874">
        <v>255.34206177999999</v>
      </c>
      <c r="CV33" s="874">
        <v>255.33275911000001</v>
      </c>
      <c r="CW33" s="874">
        <v>255.32339442</v>
      </c>
      <c r="CX33" s="874">
        <v>255.31411102000001</v>
      </c>
      <c r="CY33" s="874">
        <v>255.30462201</v>
      </c>
      <c r="CZ33" s="874">
        <v>255.29493436000001</v>
      </c>
      <c r="DA33" s="874">
        <v>255.28531751</v>
      </c>
      <c r="DB33" s="874">
        <v>255.27569994999999</v>
      </c>
      <c r="DC33" s="874">
        <v>255.2658936</v>
      </c>
      <c r="DD33" s="874">
        <v>255.25608313999999</v>
      </c>
      <c r="DE33" s="874">
        <v>255.24626418</v>
      </c>
      <c r="DF33" s="874">
        <v>255.23626813000001</v>
      </c>
      <c r="DG33" s="874">
        <v>255.22636517000001</v>
      </c>
      <c r="DH33" s="874">
        <v>255.21629118999999</v>
      </c>
      <c r="DI33" s="874">
        <v>255.20605391000001</v>
      </c>
      <c r="DJ33" s="874">
        <v>255.19584451</v>
      </c>
      <c r="DK33" s="874">
        <v>255.18561056999999</v>
      </c>
      <c r="DL33" s="874">
        <v>212.67526487999999</v>
      </c>
      <c r="DM33" s="874">
        <v>212.66481128000001</v>
      </c>
      <c r="DN33" s="874">
        <v>237.33832694</v>
      </c>
      <c r="DO33" s="874">
        <v>230.20621788</v>
      </c>
      <c r="DP33" s="874">
        <v>240.40656347000001</v>
      </c>
      <c r="DQ33" s="874">
        <v>228.4424362</v>
      </c>
      <c r="DR33" s="874">
        <v>185.51530602</v>
      </c>
      <c r="DS33" s="874">
        <v>183.24245321999999</v>
      </c>
      <c r="DT33" s="874">
        <v>199.24737508000001</v>
      </c>
      <c r="DU33" s="874">
        <v>201.46974270000001</v>
      </c>
      <c r="DV33" s="874">
        <v>229.26374390999999</v>
      </c>
      <c r="DW33" s="874">
        <v>255.07333095000001</v>
      </c>
      <c r="DX33" s="874">
        <v>245.12808129999999</v>
      </c>
      <c r="DY33" s="874">
        <v>268.89124027000003</v>
      </c>
      <c r="DZ33" s="874">
        <v>307.87831500999999</v>
      </c>
      <c r="EA33" s="874">
        <v>328.85332727000002</v>
      </c>
      <c r="EB33" s="874">
        <v>328.84181409000001</v>
      </c>
      <c r="EC33" s="874">
        <v>360.15898009</v>
      </c>
      <c r="ED33" s="874">
        <v>310.00898009000002</v>
      </c>
      <c r="EE33" s="874">
        <v>318.05261229000001</v>
      </c>
      <c r="EF33" s="874">
        <v>339.07648974</v>
      </c>
      <c r="EG33" s="874">
        <v>334.47167915</v>
      </c>
      <c r="EH33" s="874">
        <v>355.65604715000001</v>
      </c>
      <c r="EI33" s="874">
        <v>343.82395523000002</v>
      </c>
      <c r="EJ33" s="874">
        <v>333.74583475999998</v>
      </c>
      <c r="EK33" s="874">
        <v>328.38876823999999</v>
      </c>
      <c r="EL33" s="874">
        <v>336.98184843000001</v>
      </c>
      <c r="EM33" s="874">
        <v>344.60612637000003</v>
      </c>
      <c r="EN33" s="874">
        <v>345.11208742999997</v>
      </c>
      <c r="EO33" s="874">
        <v>302.97969241999999</v>
      </c>
      <c r="EP33" s="874">
        <v>303.85962767000001</v>
      </c>
      <c r="EQ33" s="874">
        <v>308.22467306999999</v>
      </c>
      <c r="ER33" s="874">
        <v>304.51337797999997</v>
      </c>
      <c r="ES33" s="874">
        <v>306.53324326000001</v>
      </c>
      <c r="ET33" s="874">
        <v>300.14389962000001</v>
      </c>
      <c r="EU33" s="1922" t="s">
        <v>4087</v>
      </c>
    </row>
    <row r="34" spans="1:151" ht="21">
      <c r="A34" s="1953" t="s">
        <v>1974</v>
      </c>
      <c r="B34" s="842">
        <v>0</v>
      </c>
      <c r="C34" s="842">
        <v>0</v>
      </c>
      <c r="D34" s="842">
        <v>0</v>
      </c>
      <c r="E34" s="842">
        <v>0</v>
      </c>
      <c r="F34" s="842">
        <v>0</v>
      </c>
      <c r="G34" s="842">
        <v>0</v>
      </c>
      <c r="H34" s="842">
        <v>0</v>
      </c>
      <c r="I34" s="842">
        <v>0</v>
      </c>
      <c r="J34" s="842">
        <v>0</v>
      </c>
      <c r="K34" s="842">
        <v>0</v>
      </c>
      <c r="L34" s="842">
        <v>0</v>
      </c>
      <c r="M34" s="843">
        <v>0</v>
      </c>
      <c r="N34" s="843">
        <v>0</v>
      </c>
      <c r="O34" s="843">
        <v>0</v>
      </c>
      <c r="P34" s="843">
        <v>0</v>
      </c>
      <c r="Q34" s="843">
        <v>0</v>
      </c>
      <c r="R34" s="843">
        <v>0</v>
      </c>
      <c r="S34" s="843">
        <v>0</v>
      </c>
      <c r="T34" s="843">
        <v>0</v>
      </c>
      <c r="U34" s="843">
        <v>0</v>
      </c>
      <c r="V34" s="843">
        <v>0</v>
      </c>
      <c r="W34" s="843">
        <v>0</v>
      </c>
      <c r="X34" s="843">
        <v>0</v>
      </c>
      <c r="Y34" s="843">
        <v>0</v>
      </c>
      <c r="Z34" s="843">
        <v>0</v>
      </c>
      <c r="AA34" s="843">
        <v>0</v>
      </c>
      <c r="AB34" s="843">
        <v>0</v>
      </c>
      <c r="AC34" s="843">
        <v>0</v>
      </c>
      <c r="AD34" s="843">
        <v>0</v>
      </c>
      <c r="AE34" s="843">
        <v>0</v>
      </c>
      <c r="AF34" s="843">
        <v>0</v>
      </c>
      <c r="AG34" s="843">
        <v>0</v>
      </c>
      <c r="AH34" s="843">
        <v>0</v>
      </c>
      <c r="AI34" s="843">
        <v>0</v>
      </c>
      <c r="AJ34" s="843">
        <v>0</v>
      </c>
      <c r="AK34" s="843">
        <v>0</v>
      </c>
      <c r="AL34" s="843">
        <v>0</v>
      </c>
      <c r="AM34" s="843">
        <v>0</v>
      </c>
      <c r="AN34" s="843">
        <v>0</v>
      </c>
      <c r="AO34" s="843">
        <v>0</v>
      </c>
      <c r="AP34" s="843">
        <v>0</v>
      </c>
      <c r="AQ34" s="843">
        <v>0</v>
      </c>
      <c r="AR34" s="843">
        <v>0</v>
      </c>
      <c r="AS34" s="843">
        <v>0</v>
      </c>
      <c r="AT34" s="843">
        <f>AT26-AT30</f>
        <v>0</v>
      </c>
      <c r="AU34" s="843">
        <v>0</v>
      </c>
      <c r="AV34" s="843">
        <v>0</v>
      </c>
      <c r="AW34" s="843">
        <v>30.863301</v>
      </c>
      <c r="AX34" s="843">
        <v>34.899464999999992</v>
      </c>
      <c r="AY34" s="843">
        <v>33.988875</v>
      </c>
      <c r="AZ34" s="843">
        <v>48.233733860000001</v>
      </c>
      <c r="BA34" s="843">
        <v>49.255562090000005</v>
      </c>
      <c r="BB34" s="843">
        <v>49.241096429999999</v>
      </c>
      <c r="BC34" s="843">
        <v>41.924959560000005</v>
      </c>
      <c r="BD34" s="843">
        <v>39.803294979999997</v>
      </c>
      <c r="BE34" s="843">
        <v>39.805635109999997</v>
      </c>
      <c r="BF34" s="843">
        <v>39.786914060000001</v>
      </c>
      <c r="BG34" s="843">
        <v>39.786914060000001</v>
      </c>
      <c r="BH34" s="886">
        <v>39.784573929999993</v>
      </c>
      <c r="BI34" s="875">
        <v>39.273519740000005</v>
      </c>
      <c r="BJ34" s="875">
        <v>30.248437119999998</v>
      </c>
      <c r="BK34" s="875">
        <v>29.90573062</v>
      </c>
      <c r="BL34" s="875">
        <v>29.56107927</v>
      </c>
      <c r="BM34" s="875">
        <v>28.936883739999999</v>
      </c>
      <c r="BN34" s="875">
        <v>28.315160479999999</v>
      </c>
      <c r="BO34" s="875">
        <v>27.696310499999996</v>
      </c>
      <c r="BP34" s="875">
        <v>27.069743469999995</v>
      </c>
      <c r="BQ34" s="875">
        <v>38.596885880000002</v>
      </c>
      <c r="BR34" s="875">
        <v>34.31747696</v>
      </c>
      <c r="BS34" s="875">
        <v>33.682636549999998</v>
      </c>
      <c r="BT34" s="875">
        <v>32.626405489999996</v>
      </c>
      <c r="BU34" s="875">
        <v>32.418788710000001</v>
      </c>
      <c r="BV34" s="875">
        <v>31.780253000000002</v>
      </c>
      <c r="BW34" s="875">
        <v>31.141712740000003</v>
      </c>
      <c r="BX34" s="875">
        <v>30.503234499999998</v>
      </c>
      <c r="BY34" s="875">
        <v>29.854321010000003</v>
      </c>
      <c r="BZ34" s="875">
        <v>29.208728870000002</v>
      </c>
      <c r="CA34" s="875">
        <v>28.564297660000001</v>
      </c>
      <c r="CB34" s="875">
        <v>27.91119497</v>
      </c>
      <c r="CC34" s="875">
        <v>27.259125749999999</v>
      </c>
      <c r="CD34" s="875">
        <v>26.605801449999998</v>
      </c>
      <c r="CE34" s="875">
        <v>25.948493640000002</v>
      </c>
      <c r="CF34" s="875">
        <v>25.29204811</v>
      </c>
      <c r="CG34" s="875">
        <v>24.63103087</v>
      </c>
      <c r="CH34" s="875">
        <v>23.97099081</v>
      </c>
      <c r="CI34" s="875">
        <v>23.303700399999997</v>
      </c>
      <c r="CJ34" s="875">
        <v>22.64012305</v>
      </c>
      <c r="CK34" s="875">
        <v>21.96454159</v>
      </c>
      <c r="CL34" s="875">
        <v>21.298469129999997</v>
      </c>
      <c r="CM34" s="875">
        <v>20.61883121</v>
      </c>
      <c r="CN34" s="875">
        <v>19.45565379</v>
      </c>
      <c r="CO34" s="875">
        <v>10.76622952</v>
      </c>
      <c r="CP34" s="875">
        <v>10.08307643</v>
      </c>
      <c r="CQ34" s="875">
        <v>0</v>
      </c>
      <c r="CR34" s="875">
        <v>0</v>
      </c>
      <c r="CS34" s="875">
        <v>0</v>
      </c>
      <c r="CT34" s="875">
        <v>255</v>
      </c>
      <c r="CU34" s="875">
        <v>255</v>
      </c>
      <c r="CV34" s="875">
        <v>255</v>
      </c>
      <c r="CW34" s="875">
        <v>255</v>
      </c>
      <c r="CX34" s="875">
        <v>255</v>
      </c>
      <c r="CY34" s="875">
        <v>255</v>
      </c>
      <c r="CZ34" s="875">
        <v>255</v>
      </c>
      <c r="DA34" s="875">
        <v>255</v>
      </c>
      <c r="DB34" s="875">
        <v>255</v>
      </c>
      <c r="DC34" s="875">
        <v>255</v>
      </c>
      <c r="DD34" s="875">
        <v>255</v>
      </c>
      <c r="DE34" s="875">
        <v>255</v>
      </c>
      <c r="DF34" s="875">
        <v>255</v>
      </c>
      <c r="DG34" s="875">
        <v>255</v>
      </c>
      <c r="DH34" s="875">
        <v>255</v>
      </c>
      <c r="DI34" s="875">
        <v>255</v>
      </c>
      <c r="DJ34" s="875">
        <v>255</v>
      </c>
      <c r="DK34" s="875">
        <v>255</v>
      </c>
      <c r="DL34" s="875">
        <v>212.5</v>
      </c>
      <c r="DM34" s="875">
        <v>212.5</v>
      </c>
      <c r="DN34" s="875">
        <v>237.184</v>
      </c>
      <c r="DO34" s="875">
        <v>230.06244519000001</v>
      </c>
      <c r="DP34" s="875">
        <v>240.27335149000001</v>
      </c>
      <c r="DQ34" s="875">
        <v>228.31997842000001</v>
      </c>
      <c r="DR34" s="875">
        <v>185.40361494999999</v>
      </c>
      <c r="DS34" s="875">
        <v>183.14157581000001</v>
      </c>
      <c r="DT34" s="875">
        <v>199.15740824</v>
      </c>
      <c r="DU34" s="875">
        <v>201.39077915999999</v>
      </c>
      <c r="DV34" s="875">
        <v>229.19583703999999</v>
      </c>
      <c r="DW34" s="875">
        <v>255.01655445</v>
      </c>
      <c r="DX34" s="875">
        <v>245.08250938</v>
      </c>
      <c r="DY34" s="875">
        <v>268.85692736999999</v>
      </c>
      <c r="DZ34" s="875">
        <v>307.85537169000003</v>
      </c>
      <c r="EA34" s="875">
        <v>328.84181409000001</v>
      </c>
      <c r="EB34" s="875">
        <v>328.84181409000001</v>
      </c>
      <c r="EC34" s="875">
        <v>360.00598008999998</v>
      </c>
      <c r="ED34" s="875">
        <v>309.85598009</v>
      </c>
      <c r="EE34" s="875">
        <v>317.90341568000002</v>
      </c>
      <c r="EF34" s="875">
        <v>338.93114845999997</v>
      </c>
      <c r="EG34" s="875">
        <v>334.33021568999999</v>
      </c>
      <c r="EH34" s="875">
        <v>355.51848414</v>
      </c>
      <c r="EI34" s="875">
        <v>343.69026191</v>
      </c>
      <c r="EJ34" s="875">
        <v>333.61613919000001</v>
      </c>
      <c r="EK34" s="875">
        <v>328.26304176000002</v>
      </c>
      <c r="EL34" s="875">
        <v>336.86008974999999</v>
      </c>
      <c r="EM34" s="875">
        <v>344.48840675999998</v>
      </c>
      <c r="EN34" s="875">
        <v>344.99840676000002</v>
      </c>
      <c r="EO34" s="875">
        <v>302.87005216</v>
      </c>
      <c r="EP34" s="875">
        <v>303.75405216000001</v>
      </c>
      <c r="EQ34" s="875">
        <v>308.12320734999997</v>
      </c>
      <c r="ER34" s="875">
        <v>304.41604601</v>
      </c>
      <c r="ES34" s="875">
        <v>306.44010701000002</v>
      </c>
      <c r="ET34" s="875">
        <v>300.14389962000001</v>
      </c>
      <c r="EU34" s="1924" t="s">
        <v>4086</v>
      </c>
    </row>
    <row r="35" spans="1:151" ht="21">
      <c r="A35" s="1955" t="s">
        <v>1975</v>
      </c>
      <c r="B35" s="867">
        <f>+B33-B34</f>
        <v>14.696745659999999</v>
      </c>
      <c r="C35" s="867">
        <f t="shared" ref="C35:V35" si="12">+C33-C34</f>
        <v>9.9616177799999992</v>
      </c>
      <c r="D35" s="867">
        <f t="shared" si="12"/>
        <v>9.9378249099999998</v>
      </c>
      <c r="E35" s="867">
        <f t="shared" si="12"/>
        <v>9.8865622799999997</v>
      </c>
      <c r="F35" s="867">
        <f t="shared" si="12"/>
        <v>9.7006492299999998</v>
      </c>
      <c r="G35" s="867">
        <f t="shared" si="12"/>
        <v>9.6591811099999987</v>
      </c>
      <c r="H35" s="867">
        <f t="shared" si="12"/>
        <v>9.6343464499999989</v>
      </c>
      <c r="I35" s="867">
        <f t="shared" si="12"/>
        <v>8.874405320000001</v>
      </c>
      <c r="J35" s="867">
        <f t="shared" si="12"/>
        <v>8.868949859999999</v>
      </c>
      <c r="K35" s="867">
        <f t="shared" si="12"/>
        <v>7.9482939000000004</v>
      </c>
      <c r="L35" s="867">
        <f t="shared" si="12"/>
        <v>7.9472807300000001</v>
      </c>
      <c r="M35" s="846">
        <f t="shared" si="12"/>
        <v>8.7954953200000006</v>
      </c>
      <c r="N35" s="853">
        <f t="shared" si="12"/>
        <v>8.7936111300000004</v>
      </c>
      <c r="O35" s="853">
        <f t="shared" si="12"/>
        <v>8.76014217</v>
      </c>
      <c r="P35" s="853">
        <f t="shared" si="12"/>
        <v>8.7496210999999988</v>
      </c>
      <c r="Q35" s="853">
        <f t="shared" si="12"/>
        <v>8.6861359499999988</v>
      </c>
      <c r="R35" s="853">
        <f t="shared" si="12"/>
        <v>8.650455449999999</v>
      </c>
      <c r="S35" s="853">
        <f t="shared" si="12"/>
        <v>8.6395548000000009</v>
      </c>
      <c r="T35" s="853">
        <f t="shared" si="12"/>
        <v>8.1659425399999996</v>
      </c>
      <c r="U35" s="853">
        <f t="shared" si="12"/>
        <v>8.1557518299999998</v>
      </c>
      <c r="V35" s="853">
        <f t="shared" si="12"/>
        <v>8.1434016299999996</v>
      </c>
      <c r="W35" s="853">
        <v>8.5543405500000009</v>
      </c>
      <c r="X35" s="853">
        <v>8.5416523200000007</v>
      </c>
      <c r="Y35" s="846">
        <v>8.7053185199999987</v>
      </c>
      <c r="Z35" s="853">
        <v>8.6849551199999997</v>
      </c>
      <c r="AA35" s="853">
        <v>11.596012759999999</v>
      </c>
      <c r="AB35" s="846">
        <v>11.57163566</v>
      </c>
      <c r="AC35" s="846">
        <v>11.390769560000001</v>
      </c>
      <c r="AD35" s="846">
        <v>11.579979829999999</v>
      </c>
      <c r="AE35" s="846">
        <v>11.557314009999999</v>
      </c>
      <c r="AF35" s="846">
        <v>9.3507033900000014</v>
      </c>
      <c r="AG35" s="846">
        <v>9.3260801799999999</v>
      </c>
      <c r="AH35" s="846">
        <f>+AH33-AH34</f>
        <v>4.8411593899999996</v>
      </c>
      <c r="AI35" s="846">
        <v>4.8351021300000001</v>
      </c>
      <c r="AJ35" s="846">
        <f>+AJ33-AJ34</f>
        <v>4.8257048899999999</v>
      </c>
      <c r="AK35" s="846">
        <f>+AK33-AK34</f>
        <v>7.1377807799999999</v>
      </c>
      <c r="AL35" s="846">
        <v>7.2991343499999992</v>
      </c>
      <c r="AM35" s="846">
        <f>+AM33-AM34</f>
        <v>7.10702356</v>
      </c>
      <c r="AN35" s="846">
        <f>+AN33-AN34</f>
        <v>8.51217486</v>
      </c>
      <c r="AO35" s="846">
        <f>+AO33-AO34</f>
        <v>8.2894709199999994</v>
      </c>
      <c r="AP35" s="846">
        <f>+AP33-AP34</f>
        <v>8.1683099800000001</v>
      </c>
      <c r="AQ35" s="846">
        <v>8.3973274700000005</v>
      </c>
      <c r="AR35" s="846">
        <f>+AR33-AR34</f>
        <v>9.4165227900000001</v>
      </c>
      <c r="AS35" s="846">
        <f>+AS33-AS34</f>
        <v>9.6794123199999991</v>
      </c>
      <c r="AT35" s="846">
        <f>AT27-AT31</f>
        <v>10.268367020000007</v>
      </c>
      <c r="AU35" s="846">
        <v>4.3578799600000089</v>
      </c>
      <c r="AV35" s="846">
        <v>4.5986662700000167</v>
      </c>
      <c r="AW35" s="846">
        <v>4.693320220000011</v>
      </c>
      <c r="AX35" s="846">
        <v>4.8191353400000132</v>
      </c>
      <c r="AY35" s="846">
        <v>4.3617417899999964</v>
      </c>
      <c r="AZ35" s="846">
        <v>3.4564418500000045</v>
      </c>
      <c r="BA35" s="846">
        <v>4.3124933400000032</v>
      </c>
      <c r="BB35" s="846">
        <v>9.0620996899999966</v>
      </c>
      <c r="BC35" s="846">
        <v>9.1627738099999974</v>
      </c>
      <c r="BD35" s="846">
        <f>+BD33-BD34</f>
        <v>8.7377452099999999</v>
      </c>
      <c r="BE35" s="846">
        <v>8.7238427599999966</v>
      </c>
      <c r="BF35" s="846">
        <v>7.8550169299999979</v>
      </c>
      <c r="BG35" s="846">
        <v>7.4599621499999955</v>
      </c>
      <c r="BH35" s="887">
        <v>7.4430057299999959</v>
      </c>
      <c r="BI35" s="894">
        <v>7.4335473699999923</v>
      </c>
      <c r="BJ35" s="894">
        <v>7.0199617299999986</v>
      </c>
      <c r="BK35" s="894">
        <v>19.761040070000007</v>
      </c>
      <c r="BL35" s="894">
        <v>19.750109910000006</v>
      </c>
      <c r="BM35" s="894">
        <v>18.31627790000001</v>
      </c>
      <c r="BN35" s="894">
        <v>16.71256374999999</v>
      </c>
      <c r="BO35" s="894">
        <v>16.702583020000006</v>
      </c>
      <c r="BP35" s="894">
        <v>12.218616469999997</v>
      </c>
      <c r="BQ35" s="894">
        <v>10.624866470000001</v>
      </c>
      <c r="BR35" s="894">
        <v>10.624866470000008</v>
      </c>
      <c r="BS35" s="894">
        <v>10.573030029999991</v>
      </c>
      <c r="BT35" s="894">
        <v>8.9086886599999886</v>
      </c>
      <c r="BU35" s="894">
        <v>8.8743244299999944</v>
      </c>
      <c r="BV35" s="894">
        <v>9.0440850999999967</v>
      </c>
      <c r="BW35" s="894">
        <v>7.4503351000000038</v>
      </c>
      <c r="BX35" s="894">
        <v>7.4503350999999967</v>
      </c>
      <c r="BY35" s="894">
        <v>7.4503351000000073</v>
      </c>
      <c r="BZ35" s="894">
        <v>5.8565851000000109</v>
      </c>
      <c r="CA35" s="894">
        <v>5.8565851000000038</v>
      </c>
      <c r="CB35" s="894">
        <v>5.8565851000000002</v>
      </c>
      <c r="CC35" s="894">
        <v>4.2628350999999967</v>
      </c>
      <c r="CD35" s="894">
        <v>4.2628351000000002</v>
      </c>
      <c r="CE35" s="894">
        <f t="shared" ref="CE35:CO35" si="13">+CE33-CE34</f>
        <v>4.1130138000000009</v>
      </c>
      <c r="CF35" s="894">
        <f t="shared" si="13"/>
        <v>2.3681939800000009</v>
      </c>
      <c r="CG35" s="894">
        <f t="shared" si="13"/>
        <v>2.2158652399999994</v>
      </c>
      <c r="CH35" s="894">
        <f t="shared" si="13"/>
        <v>2.0626127200000006</v>
      </c>
      <c r="CI35" s="894">
        <f t="shared" si="13"/>
        <v>0.31372701000000092</v>
      </c>
      <c r="CJ35" s="894">
        <f t="shared" si="13"/>
        <v>0.15755895999999936</v>
      </c>
      <c r="CK35" s="894">
        <f t="shared" si="13"/>
        <v>0</v>
      </c>
      <c r="CL35" s="894">
        <f t="shared" si="13"/>
        <v>0</v>
      </c>
      <c r="CM35" s="894">
        <f t="shared" si="13"/>
        <v>0</v>
      </c>
      <c r="CN35" s="894">
        <f t="shared" si="13"/>
        <v>0</v>
      </c>
      <c r="CO35" s="894">
        <f t="shared" si="13"/>
        <v>0</v>
      </c>
      <c r="CP35" s="894">
        <f>+CP33-CP34</f>
        <v>0</v>
      </c>
      <c r="CQ35" s="894">
        <f>+CQ33-CQ34</f>
        <v>0</v>
      </c>
      <c r="CR35" s="894">
        <f>+CR33-CR34</f>
        <v>0.37000499999999997</v>
      </c>
      <c r="CS35" s="894">
        <f>+CS33-CS34</f>
        <v>0.36038394000000001</v>
      </c>
      <c r="CT35" s="894">
        <v>0.35104485000000002</v>
      </c>
      <c r="CU35" s="894">
        <v>0.34206177999999998</v>
      </c>
      <c r="CV35" s="894">
        <v>0.33275911000000002</v>
      </c>
      <c r="CW35" s="894">
        <v>0.32339442000000002</v>
      </c>
      <c r="CX35" s="894">
        <v>0.31411102000000002</v>
      </c>
      <c r="CY35" s="894">
        <v>0.30462201</v>
      </c>
      <c r="CZ35" s="894">
        <v>0.29493436000000001</v>
      </c>
      <c r="DA35" s="894">
        <v>0.28531751</v>
      </c>
      <c r="DB35" s="894">
        <v>0.27569995000000003</v>
      </c>
      <c r="DC35" s="894">
        <v>0.26589360000000001</v>
      </c>
      <c r="DD35" s="894">
        <v>0.25608313999999999</v>
      </c>
      <c r="DE35" s="894">
        <v>0.24626418</v>
      </c>
      <c r="DF35" s="894">
        <v>0.23626812999999999</v>
      </c>
      <c r="DG35" s="894">
        <v>0.22636517</v>
      </c>
      <c r="DH35" s="894">
        <v>0.21629118999999999</v>
      </c>
      <c r="DI35" s="894">
        <v>0.20605391000000001</v>
      </c>
      <c r="DJ35" s="894">
        <v>0.19584451</v>
      </c>
      <c r="DK35" s="894">
        <v>0.18561057</v>
      </c>
      <c r="DL35" s="894">
        <v>0.17526488000000001</v>
      </c>
      <c r="DM35" s="894">
        <v>0.16481128</v>
      </c>
      <c r="DN35" s="894">
        <v>0.15432694</v>
      </c>
      <c r="DO35" s="894">
        <v>0.14377269000000001</v>
      </c>
      <c r="DP35" s="894">
        <v>0.13321198000000001</v>
      </c>
      <c r="DQ35" s="894">
        <v>0.12245778</v>
      </c>
      <c r="DR35" s="894">
        <v>0.11169107</v>
      </c>
      <c r="DS35" s="894">
        <v>0.10087741</v>
      </c>
      <c r="DT35" s="894">
        <v>8.9966840000000006E-2</v>
      </c>
      <c r="DU35" s="894">
        <v>7.8963539999999999E-2</v>
      </c>
      <c r="DV35" s="894">
        <v>6.7906869999999994E-2</v>
      </c>
      <c r="DW35" s="894">
        <v>5.6776500000000001E-2</v>
      </c>
      <c r="DX35" s="894">
        <v>4.5571920000000002E-2</v>
      </c>
      <c r="DY35" s="894">
        <v>3.43129E-2</v>
      </c>
      <c r="DZ35" s="894">
        <v>2.294332E-2</v>
      </c>
      <c r="EA35" s="894">
        <v>1.151318E-2</v>
      </c>
      <c r="EB35" s="894">
        <v>0</v>
      </c>
      <c r="EC35" s="894">
        <v>0.153</v>
      </c>
      <c r="ED35" s="894">
        <v>0.153</v>
      </c>
      <c r="EE35" s="894">
        <v>0.14919661000000001</v>
      </c>
      <c r="EF35" s="894">
        <v>0.14534127999999999</v>
      </c>
      <c r="EG35" s="894">
        <v>0.14146346000000001</v>
      </c>
      <c r="EH35" s="894">
        <v>0.13756301000000001</v>
      </c>
      <c r="EI35" s="894">
        <v>0.13369332</v>
      </c>
      <c r="EJ35" s="894">
        <v>0.12969557000000001</v>
      </c>
      <c r="EK35" s="894">
        <v>0.12572648</v>
      </c>
      <c r="EL35" s="894">
        <v>0.12175867999999999</v>
      </c>
      <c r="EM35" s="894">
        <v>0.11771961</v>
      </c>
      <c r="EN35" s="894">
        <v>0.11368067</v>
      </c>
      <c r="EO35" s="894">
        <v>0.10964026</v>
      </c>
      <c r="EP35" s="894">
        <v>0.10557551</v>
      </c>
      <c r="EQ35" s="894">
        <v>0.10146572</v>
      </c>
      <c r="ER35" s="894">
        <v>9.7331970000000004E-2</v>
      </c>
      <c r="ES35" s="894">
        <v>9.3136250000000004E-2</v>
      </c>
      <c r="ET35" s="894">
        <v>0</v>
      </c>
      <c r="EU35" s="1925" t="s">
        <v>4085</v>
      </c>
    </row>
    <row r="36" spans="1:151" s="792" customFormat="1" ht="39" customHeight="1">
      <c r="A36" s="2517" t="s">
        <v>3295</v>
      </c>
      <c r="B36" s="2517"/>
      <c r="C36" s="2517"/>
      <c r="D36" s="2517"/>
      <c r="E36" s="2517"/>
      <c r="F36" s="2517"/>
      <c r="G36" s="2517"/>
      <c r="H36" s="2517"/>
      <c r="I36" s="2517"/>
      <c r="J36" s="2517"/>
      <c r="K36" s="2517"/>
      <c r="L36" s="2517"/>
      <c r="M36" s="2517"/>
      <c r="N36" s="2517"/>
      <c r="O36" s="2517"/>
      <c r="P36" s="2517"/>
      <c r="Q36" s="2517"/>
      <c r="R36" s="2517"/>
      <c r="S36" s="2517"/>
      <c r="T36" s="2517"/>
      <c r="U36" s="2517"/>
      <c r="V36" s="2517"/>
      <c r="W36" s="2517"/>
      <c r="X36" s="2517"/>
      <c r="Y36" s="2517"/>
      <c r="Z36" s="2517"/>
      <c r="AA36" s="2517"/>
      <c r="AB36" s="2517"/>
      <c r="AC36" s="2517"/>
      <c r="AD36" s="2517"/>
      <c r="AE36" s="2517"/>
      <c r="AF36" s="2517"/>
      <c r="AG36" s="2517"/>
      <c r="AH36" s="2517"/>
      <c r="AI36" s="2517"/>
      <c r="AJ36" s="2517"/>
      <c r="AK36" s="2517"/>
      <c r="AL36" s="2517"/>
      <c r="AM36" s="2517"/>
      <c r="AN36" s="2517"/>
      <c r="AO36" s="2517"/>
      <c r="AP36" s="2517"/>
      <c r="AQ36" s="2517"/>
      <c r="AR36" s="2517"/>
      <c r="AS36" s="2517"/>
      <c r="AT36" s="2517"/>
      <c r="AU36" s="2517"/>
      <c r="AV36" s="2517"/>
      <c r="AW36" s="2517"/>
      <c r="AX36" s="2517"/>
      <c r="AY36" s="2517"/>
      <c r="AZ36" s="2517"/>
      <c r="BA36" s="2517"/>
      <c r="BB36" s="2517"/>
      <c r="BC36" s="2517"/>
      <c r="BD36" s="2517"/>
      <c r="BE36" s="2517"/>
      <c r="BF36" s="2517"/>
      <c r="BG36" s="2517"/>
      <c r="BH36" s="2517"/>
      <c r="BI36" s="2517"/>
      <c r="BJ36" s="2517"/>
      <c r="BK36" s="2517"/>
      <c r="BL36" s="2517"/>
      <c r="BM36" s="2517"/>
      <c r="BN36" s="2517"/>
      <c r="BO36" s="2517"/>
      <c r="BP36" s="2517"/>
      <c r="BQ36" s="2517"/>
      <c r="BR36" s="2517"/>
      <c r="BS36" s="2517"/>
      <c r="BT36" s="2517"/>
      <c r="BU36" s="2517"/>
      <c r="BV36" s="2517"/>
      <c r="BW36" s="2517"/>
      <c r="BX36" s="2517"/>
      <c r="BY36" s="2517"/>
      <c r="BZ36" s="2517"/>
      <c r="CA36" s="2517"/>
      <c r="CB36" s="2517"/>
      <c r="CC36" s="2517"/>
      <c r="CD36" s="2517"/>
      <c r="CE36" s="2517"/>
      <c r="CF36" s="2517"/>
      <c r="CG36" s="2517"/>
      <c r="CH36" s="2517"/>
      <c r="CI36" s="2517"/>
      <c r="CJ36" s="2517"/>
      <c r="CK36" s="2517"/>
      <c r="CL36" s="2517"/>
      <c r="CM36" s="2517"/>
      <c r="CN36" s="2517"/>
      <c r="CO36" s="2517"/>
      <c r="CP36" s="2517"/>
      <c r="CQ36" s="2517"/>
      <c r="CR36" s="2517"/>
      <c r="CS36" s="2517"/>
      <c r="CT36" s="2517"/>
      <c r="CU36" s="2517"/>
      <c r="CV36" s="2517"/>
      <c r="CW36" s="2517"/>
      <c r="CX36" s="2517"/>
      <c r="CY36" s="2517"/>
      <c r="CZ36" s="2517"/>
      <c r="DA36" s="2517"/>
      <c r="DB36" s="2517"/>
      <c r="DC36" s="2517"/>
      <c r="DD36" s="2517"/>
      <c r="DE36" s="2517"/>
      <c r="DF36" s="2517"/>
      <c r="DG36" s="2517"/>
      <c r="DH36" s="2517"/>
      <c r="DI36" s="2517"/>
      <c r="DJ36" s="2517"/>
      <c r="DK36" s="2517"/>
      <c r="DL36" s="2517"/>
      <c r="DM36" s="2517"/>
      <c r="DN36" s="2517"/>
      <c r="DO36" s="2517"/>
      <c r="DP36" s="2517"/>
      <c r="DQ36" s="2517"/>
      <c r="DR36" s="2517"/>
      <c r="DS36" s="2517"/>
      <c r="DT36" s="2517"/>
      <c r="DU36" s="2517"/>
      <c r="DV36" s="2517"/>
      <c r="DW36" s="2517"/>
      <c r="DX36" s="2517"/>
      <c r="DY36" s="2517"/>
      <c r="DZ36" s="2517"/>
      <c r="EA36" s="2517"/>
      <c r="EB36" s="2517"/>
      <c r="EC36" s="2517"/>
      <c r="ED36" s="2517"/>
      <c r="EE36" s="2517"/>
      <c r="EF36" s="2517"/>
      <c r="EG36" s="2517"/>
      <c r="EH36" s="2517"/>
      <c r="EI36" s="2517"/>
      <c r="EJ36" s="2517"/>
      <c r="EK36" s="2517"/>
      <c r="EL36" s="2517"/>
      <c r="EM36" s="2517"/>
      <c r="EN36" s="2517"/>
      <c r="EO36" s="2517"/>
      <c r="EP36" s="2517"/>
      <c r="EQ36" s="2517"/>
      <c r="ER36" s="2517"/>
      <c r="ES36" s="2517"/>
      <c r="ET36" s="2517"/>
    </row>
    <row r="37" spans="1:151" ht="18">
      <c r="A37" s="817"/>
      <c r="B37" s="285"/>
      <c r="C37" s="285"/>
      <c r="D37" s="285"/>
      <c r="E37" s="285"/>
      <c r="F37" s="285"/>
      <c r="G37" s="285"/>
      <c r="H37" s="285"/>
      <c r="I37" s="285"/>
      <c r="J37" s="285"/>
      <c r="K37" s="285"/>
      <c r="L37" s="285"/>
      <c r="M37" s="285"/>
      <c r="N37" s="285"/>
      <c r="O37" s="285"/>
      <c r="P37" s="285"/>
      <c r="Q37" s="285"/>
      <c r="R37" s="285"/>
      <c r="S37" s="285"/>
      <c r="T37" s="285"/>
      <c r="U37" s="285"/>
      <c r="V37" s="285"/>
      <c r="W37" s="285"/>
      <c r="X37" s="285"/>
      <c r="Y37" s="285"/>
      <c r="Z37" s="285"/>
      <c r="AA37" s="285"/>
      <c r="AB37" s="285"/>
      <c r="AC37" s="285"/>
      <c r="AD37" s="285"/>
      <c r="AE37" s="285"/>
      <c r="AF37" s="285"/>
      <c r="AG37" s="285"/>
      <c r="AH37" s="285"/>
      <c r="AI37" s="285"/>
      <c r="AJ37" s="285"/>
      <c r="AK37" s="285"/>
      <c r="AL37" s="285"/>
      <c r="AM37" s="285"/>
      <c r="AN37" s="285"/>
      <c r="AO37" s="285"/>
      <c r="AP37" s="285"/>
      <c r="AQ37" s="285"/>
      <c r="AR37" s="285"/>
      <c r="AS37" s="285"/>
      <c r="AT37" s="285"/>
      <c r="AU37" s="285"/>
      <c r="AV37" s="285"/>
      <c r="AW37" s="285"/>
      <c r="AX37" s="285"/>
      <c r="AY37" s="285"/>
      <c r="AZ37" s="285"/>
      <c r="BA37" s="285"/>
      <c r="BB37" s="285"/>
      <c r="BC37" s="285"/>
      <c r="BD37" s="285"/>
      <c r="BE37" s="285"/>
      <c r="BF37" s="285"/>
      <c r="BG37" s="285"/>
      <c r="BH37" s="285"/>
      <c r="BI37" s="285"/>
      <c r="BJ37" s="285"/>
      <c r="BK37" s="285"/>
      <c r="BL37" s="285"/>
      <c r="BM37" s="285"/>
      <c r="BN37" s="285"/>
      <c r="BO37" s="285"/>
      <c r="BP37" s="285"/>
      <c r="BQ37" s="285"/>
      <c r="BR37" s="285"/>
      <c r="BS37" s="285"/>
      <c r="BT37" s="285"/>
      <c r="BU37" s="285"/>
      <c r="BV37" s="285"/>
      <c r="BW37" s="285"/>
      <c r="BX37" s="285"/>
      <c r="BY37" s="285"/>
      <c r="BZ37" s="285"/>
      <c r="CA37" s="285"/>
      <c r="CB37" s="285"/>
      <c r="CC37" s="285"/>
      <c r="CD37" s="285"/>
      <c r="CE37" s="285"/>
      <c r="CF37" s="285"/>
      <c r="CG37" s="285"/>
    </row>
    <row r="38" spans="1:151" ht="18">
      <c r="A38" s="818"/>
      <c r="B38" s="286"/>
      <c r="C38" s="286"/>
      <c r="D38" s="286"/>
      <c r="E38" s="286"/>
      <c r="F38" s="286"/>
      <c r="G38" s="286"/>
      <c r="H38" s="286"/>
      <c r="I38" s="286"/>
      <c r="J38" s="286"/>
      <c r="K38" s="286"/>
      <c r="L38" s="286"/>
      <c r="M38" s="286"/>
      <c r="N38" s="286"/>
      <c r="O38" s="286"/>
      <c r="P38" s="286"/>
      <c r="Q38" s="286"/>
      <c r="R38" s="286"/>
      <c r="S38" s="286"/>
      <c r="T38" s="286"/>
      <c r="U38" s="286"/>
      <c r="V38" s="286"/>
      <c r="W38" s="286"/>
      <c r="X38" s="286"/>
      <c r="Y38" s="286"/>
      <c r="Z38" s="286"/>
      <c r="AA38" s="286"/>
      <c r="AB38" s="286"/>
      <c r="AC38" s="286"/>
      <c r="AD38" s="286"/>
      <c r="AE38" s="286"/>
      <c r="AF38" s="286"/>
      <c r="AG38" s="286"/>
      <c r="AH38" s="286"/>
      <c r="AI38" s="286"/>
      <c r="AJ38" s="286"/>
      <c r="AK38" s="286"/>
      <c r="AL38" s="286"/>
      <c r="AM38" s="286"/>
      <c r="AN38" s="286"/>
      <c r="AO38" s="286"/>
      <c r="AP38" s="286"/>
      <c r="AQ38" s="286"/>
      <c r="AR38" s="286"/>
      <c r="AS38" s="286"/>
      <c r="AT38" s="286"/>
      <c r="AU38" s="286"/>
      <c r="AV38" s="286"/>
      <c r="AW38" s="286"/>
      <c r="AX38" s="286"/>
      <c r="AY38" s="286"/>
      <c r="AZ38" s="286"/>
      <c r="BA38" s="286"/>
      <c r="BB38" s="286"/>
      <c r="BC38" s="286"/>
      <c r="BD38" s="286"/>
      <c r="BE38" s="286"/>
      <c r="BF38" s="286"/>
      <c r="BG38" s="286"/>
      <c r="BH38" s="286"/>
      <c r="BI38" s="286"/>
      <c r="BJ38" s="286"/>
      <c r="BK38" s="286"/>
      <c r="BL38" s="286"/>
      <c r="BM38" s="286"/>
      <c r="BN38" s="286"/>
      <c r="BO38" s="286"/>
      <c r="BP38" s="286"/>
      <c r="BQ38" s="286"/>
      <c r="BR38" s="286"/>
      <c r="BS38" s="286"/>
      <c r="BT38" s="286"/>
      <c r="BU38" s="286"/>
      <c r="BV38" s="286"/>
      <c r="BW38" s="286"/>
      <c r="BX38" s="286"/>
      <c r="BY38" s="286"/>
      <c r="BZ38" s="286"/>
      <c r="CA38" s="286"/>
      <c r="CB38" s="286"/>
      <c r="CC38" s="286"/>
      <c r="CD38" s="286"/>
      <c r="CE38" s="286"/>
      <c r="CF38" s="286"/>
      <c r="CG38" s="286"/>
    </row>
    <row r="39" spans="1:151" ht="18">
      <c r="A39" s="817"/>
      <c r="B39" s="285"/>
      <c r="C39" s="285"/>
      <c r="D39" s="285"/>
      <c r="E39" s="285"/>
      <c r="F39" s="285"/>
      <c r="G39" s="285"/>
      <c r="H39" s="285"/>
      <c r="I39" s="285"/>
      <c r="J39" s="285"/>
      <c r="K39" s="285"/>
      <c r="L39" s="285"/>
      <c r="M39" s="285"/>
      <c r="N39" s="285"/>
      <c r="O39" s="285"/>
      <c r="P39" s="285"/>
      <c r="Q39" s="285"/>
      <c r="R39" s="285"/>
      <c r="S39" s="285"/>
      <c r="T39" s="285"/>
      <c r="U39" s="285"/>
      <c r="V39" s="285"/>
      <c r="W39" s="285"/>
      <c r="X39" s="285"/>
      <c r="Y39" s="285"/>
      <c r="Z39" s="285"/>
      <c r="AA39" s="285"/>
      <c r="AB39" s="285"/>
      <c r="AC39" s="285"/>
      <c r="AD39" s="285"/>
      <c r="AE39" s="285"/>
      <c r="AF39" s="285"/>
      <c r="AG39" s="285"/>
      <c r="AH39" s="285"/>
      <c r="AI39" s="285"/>
      <c r="AJ39" s="285"/>
      <c r="AK39" s="285"/>
      <c r="AL39" s="285"/>
      <c r="AM39" s="285"/>
      <c r="AN39" s="285"/>
      <c r="AO39" s="285"/>
      <c r="AP39" s="285"/>
      <c r="AQ39" s="285"/>
      <c r="AR39" s="285"/>
      <c r="AS39" s="285"/>
      <c r="AT39" s="285"/>
      <c r="AU39" s="285"/>
      <c r="AV39" s="285"/>
      <c r="AW39" s="285"/>
      <c r="AX39" s="285"/>
      <c r="AY39" s="285"/>
      <c r="AZ39" s="285"/>
      <c r="BA39" s="285"/>
      <c r="BB39" s="285"/>
      <c r="BC39" s="285"/>
      <c r="BD39" s="285"/>
      <c r="BE39" s="285"/>
      <c r="BF39" s="285"/>
      <c r="BG39" s="285"/>
      <c r="BH39" s="285"/>
      <c r="BI39" s="285"/>
      <c r="BJ39" s="285"/>
      <c r="BK39" s="285"/>
      <c r="BL39" s="285"/>
      <c r="BM39" s="285"/>
      <c r="BN39" s="285"/>
      <c r="BO39" s="285"/>
      <c r="BP39" s="285"/>
      <c r="BQ39" s="285"/>
      <c r="BR39" s="285"/>
      <c r="BS39" s="285"/>
      <c r="BT39" s="285"/>
      <c r="BU39" s="285"/>
      <c r="BV39" s="285"/>
      <c r="BW39" s="285"/>
      <c r="BX39" s="285"/>
      <c r="BY39" s="285"/>
      <c r="BZ39" s="285"/>
      <c r="CA39" s="285"/>
      <c r="CB39" s="285"/>
      <c r="CC39" s="285"/>
      <c r="CD39" s="285"/>
      <c r="CE39" s="285"/>
      <c r="CF39" s="285"/>
      <c r="CG39" s="285"/>
    </row>
    <row r="40" spans="1:151" ht="18">
      <c r="A40" s="818"/>
      <c r="B40" s="286"/>
      <c r="C40" s="286"/>
      <c r="D40" s="286"/>
      <c r="E40" s="286"/>
      <c r="F40" s="286"/>
      <c r="G40" s="286"/>
      <c r="H40" s="286"/>
      <c r="I40" s="286"/>
      <c r="J40" s="286"/>
      <c r="K40" s="286"/>
      <c r="L40" s="286"/>
      <c r="M40" s="286"/>
      <c r="N40" s="286"/>
      <c r="O40" s="286"/>
      <c r="P40" s="286"/>
      <c r="Q40" s="286"/>
      <c r="R40" s="286"/>
      <c r="S40" s="286"/>
      <c r="T40" s="286"/>
      <c r="U40" s="286"/>
      <c r="V40" s="286"/>
      <c r="W40" s="286"/>
      <c r="X40" s="286"/>
      <c r="Y40" s="286"/>
      <c r="Z40" s="286"/>
      <c r="AA40" s="286"/>
      <c r="AB40" s="286"/>
      <c r="AC40" s="286"/>
      <c r="AD40" s="286"/>
      <c r="AE40" s="286"/>
      <c r="AF40" s="286"/>
      <c r="AG40" s="286"/>
      <c r="AH40" s="286"/>
      <c r="AI40" s="286"/>
      <c r="AJ40" s="286"/>
      <c r="AK40" s="286"/>
      <c r="AL40" s="286"/>
      <c r="AM40" s="286"/>
      <c r="AN40" s="286"/>
      <c r="AO40" s="286"/>
      <c r="AP40" s="286"/>
      <c r="AQ40" s="286"/>
      <c r="AR40" s="286"/>
      <c r="AS40" s="286"/>
      <c r="AT40" s="286"/>
      <c r="AU40" s="286"/>
      <c r="AV40" s="286"/>
      <c r="AW40" s="286"/>
      <c r="AX40" s="286"/>
      <c r="AY40" s="286"/>
      <c r="AZ40" s="286"/>
      <c r="BA40" s="286"/>
      <c r="BB40" s="286"/>
      <c r="BC40" s="286"/>
      <c r="BD40" s="286"/>
      <c r="BE40" s="286"/>
      <c r="BF40" s="286"/>
      <c r="BG40" s="286"/>
      <c r="BH40" s="286"/>
      <c r="BI40" s="286"/>
      <c r="BJ40" s="286"/>
      <c r="BK40" s="286"/>
      <c r="BL40" s="286"/>
      <c r="BM40" s="286"/>
      <c r="BN40" s="286"/>
      <c r="BO40" s="286"/>
      <c r="BP40" s="286"/>
      <c r="BQ40" s="286"/>
      <c r="BR40" s="286"/>
      <c r="BS40" s="286"/>
      <c r="BT40" s="286"/>
      <c r="BU40" s="286"/>
      <c r="BV40" s="286"/>
      <c r="BW40" s="286"/>
      <c r="BX40" s="286"/>
      <c r="BY40" s="286"/>
      <c r="BZ40" s="286"/>
      <c r="CA40" s="286"/>
      <c r="CB40" s="286"/>
      <c r="CC40" s="286"/>
      <c r="CD40" s="286"/>
      <c r="CE40" s="286"/>
      <c r="CF40" s="286"/>
      <c r="CG40" s="286"/>
    </row>
    <row r="41" spans="1:151" ht="18">
      <c r="A41" s="817"/>
      <c r="B41" s="285"/>
      <c r="C41" s="285"/>
      <c r="D41" s="285"/>
      <c r="E41" s="285"/>
      <c r="F41" s="285"/>
      <c r="G41" s="285"/>
      <c r="H41" s="285"/>
      <c r="I41" s="285"/>
      <c r="J41" s="285"/>
      <c r="K41" s="285"/>
      <c r="L41" s="285"/>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5"/>
      <c r="AR41" s="285"/>
      <c r="AS41" s="285"/>
      <c r="AT41" s="285"/>
      <c r="AU41" s="285"/>
      <c r="AV41" s="285"/>
      <c r="AW41" s="285"/>
      <c r="AX41" s="285"/>
      <c r="AY41" s="285"/>
      <c r="AZ41" s="285"/>
      <c r="BA41" s="285"/>
      <c r="BB41" s="285"/>
      <c r="BC41" s="285"/>
      <c r="BD41" s="285"/>
      <c r="BE41" s="285"/>
      <c r="BF41" s="285"/>
      <c r="BG41" s="285"/>
      <c r="BH41" s="285"/>
      <c r="BI41" s="285"/>
      <c r="BJ41" s="285"/>
      <c r="BK41" s="285"/>
      <c r="BL41" s="285"/>
      <c r="BM41" s="285"/>
      <c r="BN41" s="285"/>
      <c r="BO41" s="285"/>
      <c r="BP41" s="285"/>
      <c r="BQ41" s="285"/>
      <c r="BR41" s="285"/>
      <c r="BS41" s="285"/>
      <c r="BT41" s="285"/>
      <c r="BU41" s="285"/>
      <c r="BV41" s="285"/>
      <c r="BW41" s="285"/>
      <c r="BX41" s="285"/>
      <c r="BY41" s="285"/>
      <c r="BZ41" s="285"/>
      <c r="CA41" s="285"/>
      <c r="CB41" s="285"/>
      <c r="CC41" s="285"/>
      <c r="CD41" s="285"/>
      <c r="CE41" s="285"/>
      <c r="CF41" s="285"/>
      <c r="CG41" s="285"/>
    </row>
    <row r="42" spans="1:151" ht="18">
      <c r="A42" s="819"/>
      <c r="B42" s="285"/>
      <c r="C42" s="285"/>
      <c r="D42" s="285"/>
      <c r="E42" s="285"/>
      <c r="F42" s="285"/>
      <c r="G42" s="285"/>
      <c r="H42" s="285"/>
      <c r="I42" s="285"/>
      <c r="J42" s="285"/>
      <c r="K42" s="285"/>
      <c r="L42" s="285"/>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5"/>
      <c r="AR42" s="285"/>
      <c r="AS42" s="285"/>
      <c r="AT42" s="285"/>
      <c r="AU42" s="285"/>
      <c r="AV42" s="285"/>
      <c r="AW42" s="285"/>
      <c r="AX42" s="285"/>
      <c r="AY42" s="285"/>
      <c r="AZ42" s="285"/>
      <c r="BA42" s="285"/>
      <c r="BB42" s="285"/>
      <c r="BC42" s="285"/>
      <c r="BD42" s="285"/>
      <c r="BE42" s="285"/>
      <c r="BF42" s="285"/>
      <c r="BG42" s="285"/>
      <c r="BH42" s="285"/>
      <c r="BI42" s="285"/>
      <c r="BJ42" s="285"/>
      <c r="BK42" s="285"/>
      <c r="BL42" s="285"/>
      <c r="BM42" s="285"/>
      <c r="BN42" s="285"/>
      <c r="BO42" s="285"/>
      <c r="BP42" s="285"/>
      <c r="BQ42" s="285"/>
      <c r="BR42" s="285"/>
      <c r="BS42" s="285"/>
      <c r="BT42" s="285"/>
      <c r="BU42" s="285"/>
      <c r="BV42" s="285"/>
      <c r="BW42" s="285"/>
      <c r="BX42" s="285"/>
      <c r="BY42" s="285"/>
      <c r="BZ42" s="285"/>
      <c r="CA42" s="285"/>
      <c r="CB42" s="285"/>
      <c r="CC42" s="285"/>
      <c r="CD42" s="285"/>
      <c r="CE42" s="285"/>
      <c r="CF42" s="285"/>
      <c r="CG42" s="285"/>
    </row>
    <row r="43" spans="1:151" ht="18">
      <c r="A43" s="820"/>
      <c r="B43" s="286"/>
      <c r="C43" s="286"/>
      <c r="D43" s="286"/>
      <c r="E43" s="286"/>
      <c r="F43" s="286"/>
      <c r="G43" s="286"/>
      <c r="H43" s="286"/>
      <c r="I43" s="286"/>
      <c r="J43" s="286"/>
      <c r="K43" s="286"/>
      <c r="L43" s="286"/>
      <c r="M43" s="286"/>
      <c r="N43" s="286"/>
      <c r="O43" s="286"/>
      <c r="P43" s="286"/>
      <c r="Q43" s="286"/>
      <c r="R43" s="286"/>
      <c r="S43" s="286"/>
      <c r="T43" s="286"/>
      <c r="U43" s="286"/>
      <c r="V43" s="286"/>
      <c r="W43" s="286"/>
      <c r="X43" s="286"/>
      <c r="Y43" s="286"/>
      <c r="Z43" s="286"/>
      <c r="AA43" s="286"/>
      <c r="AB43" s="286"/>
      <c r="AC43" s="286"/>
      <c r="AD43" s="286"/>
      <c r="AE43" s="286"/>
      <c r="AF43" s="286"/>
      <c r="AG43" s="286"/>
      <c r="AH43" s="286"/>
      <c r="AI43" s="286"/>
      <c r="AJ43" s="286"/>
      <c r="AK43" s="286"/>
      <c r="AL43" s="286"/>
      <c r="AM43" s="286"/>
      <c r="AN43" s="286"/>
      <c r="AO43" s="286"/>
      <c r="AP43" s="286"/>
      <c r="AQ43" s="286"/>
      <c r="AR43" s="286"/>
      <c r="AS43" s="286"/>
      <c r="AT43" s="286"/>
      <c r="AU43" s="286"/>
      <c r="AV43" s="286"/>
      <c r="AW43" s="286"/>
      <c r="AX43" s="286"/>
      <c r="AY43" s="286"/>
      <c r="AZ43" s="286"/>
      <c r="BA43" s="286"/>
      <c r="BB43" s="286"/>
      <c r="BC43" s="286"/>
      <c r="BD43" s="286"/>
      <c r="BE43" s="286"/>
      <c r="BF43" s="286"/>
      <c r="BG43" s="286"/>
      <c r="BH43" s="286"/>
      <c r="BI43" s="286"/>
      <c r="BJ43" s="286"/>
      <c r="BK43" s="286"/>
      <c r="BL43" s="286"/>
      <c r="BM43" s="286"/>
      <c r="BN43" s="286"/>
      <c r="BO43" s="286"/>
      <c r="BP43" s="286"/>
      <c r="BQ43" s="286"/>
      <c r="BR43" s="286"/>
      <c r="BS43" s="286"/>
      <c r="BT43" s="286"/>
      <c r="BU43" s="286"/>
      <c r="BV43" s="286"/>
      <c r="BW43" s="286"/>
      <c r="BX43" s="286"/>
      <c r="BY43" s="286"/>
      <c r="BZ43" s="286"/>
      <c r="CA43" s="286"/>
      <c r="CB43" s="286"/>
      <c r="CC43" s="286"/>
      <c r="CD43" s="286"/>
      <c r="CE43" s="286"/>
      <c r="CF43" s="286"/>
      <c r="CG43" s="286"/>
    </row>
    <row r="44" spans="1:151" ht="18">
      <c r="A44" s="817"/>
      <c r="B44" s="285"/>
      <c r="C44" s="285"/>
      <c r="D44" s="285"/>
      <c r="E44" s="285"/>
      <c r="F44" s="285"/>
      <c r="G44" s="285"/>
      <c r="H44" s="285"/>
      <c r="I44" s="285"/>
      <c r="J44" s="285"/>
      <c r="K44" s="285"/>
      <c r="L44" s="285"/>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5"/>
      <c r="AR44" s="285"/>
      <c r="AS44" s="285"/>
      <c r="AT44" s="285"/>
      <c r="AU44" s="285"/>
      <c r="AV44" s="285"/>
      <c r="AW44" s="285"/>
      <c r="AX44" s="285"/>
      <c r="AY44" s="285"/>
      <c r="AZ44" s="285"/>
      <c r="BA44" s="285"/>
      <c r="BB44" s="285"/>
      <c r="BC44" s="285"/>
      <c r="BD44" s="285"/>
      <c r="BE44" s="285"/>
      <c r="BF44" s="285"/>
      <c r="BG44" s="285"/>
      <c r="BH44" s="285"/>
      <c r="BI44" s="285"/>
      <c r="BJ44" s="285"/>
      <c r="BK44" s="285"/>
      <c r="BL44" s="285"/>
      <c r="BM44" s="285"/>
      <c r="BN44" s="285"/>
      <c r="BO44" s="285"/>
      <c r="BP44" s="285"/>
      <c r="BQ44" s="285"/>
      <c r="BR44" s="285"/>
      <c r="BS44" s="285"/>
      <c r="BT44" s="285"/>
      <c r="BU44" s="285"/>
      <c r="BV44" s="285"/>
      <c r="BW44" s="285"/>
      <c r="BX44" s="285"/>
      <c r="BY44" s="285"/>
      <c r="BZ44" s="285"/>
      <c r="CA44" s="285"/>
      <c r="CB44" s="285"/>
      <c r="CC44" s="285"/>
      <c r="CD44" s="285"/>
      <c r="CE44" s="285"/>
      <c r="CF44" s="285"/>
      <c r="CG44" s="285"/>
    </row>
    <row r="45" spans="1:151" ht="18">
      <c r="A45" s="818"/>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6"/>
      <c r="AE45" s="286"/>
      <c r="AF45" s="286"/>
      <c r="AG45" s="286"/>
      <c r="AH45" s="286"/>
      <c r="AI45" s="286"/>
      <c r="AJ45" s="286"/>
      <c r="AK45" s="286"/>
      <c r="AL45" s="286"/>
      <c r="AM45" s="286"/>
      <c r="AN45" s="286"/>
      <c r="AO45" s="286"/>
      <c r="AP45" s="286"/>
      <c r="AQ45" s="286"/>
      <c r="AR45" s="286"/>
      <c r="AS45" s="286"/>
      <c r="AT45" s="286"/>
      <c r="AU45" s="286"/>
      <c r="AV45" s="286"/>
      <c r="AW45" s="286"/>
      <c r="AX45" s="286"/>
      <c r="AY45" s="286"/>
      <c r="AZ45" s="286"/>
      <c r="BA45" s="286"/>
      <c r="BB45" s="286"/>
      <c r="BC45" s="286"/>
      <c r="BD45" s="286"/>
      <c r="BE45" s="286"/>
      <c r="BF45" s="286"/>
      <c r="BG45" s="286"/>
      <c r="BH45" s="286"/>
      <c r="BI45" s="286"/>
      <c r="BJ45" s="286"/>
      <c r="BK45" s="286"/>
      <c r="BL45" s="286"/>
      <c r="BM45" s="286"/>
      <c r="BN45" s="286"/>
      <c r="BO45" s="286"/>
      <c r="BP45" s="286"/>
      <c r="BQ45" s="286"/>
      <c r="BR45" s="286"/>
      <c r="BS45" s="286"/>
      <c r="BT45" s="286"/>
      <c r="BU45" s="286"/>
      <c r="BV45" s="286"/>
      <c r="BW45" s="286"/>
      <c r="BX45" s="286"/>
      <c r="BY45" s="286"/>
      <c r="BZ45" s="286"/>
      <c r="CA45" s="286"/>
      <c r="CB45" s="286"/>
      <c r="CC45" s="286"/>
      <c r="CD45" s="286"/>
      <c r="CE45" s="286"/>
      <c r="CF45" s="286"/>
      <c r="CG45" s="286"/>
    </row>
    <row r="46" spans="1:151" ht="18">
      <c r="A46" s="817"/>
      <c r="B46" s="285"/>
      <c r="C46" s="285"/>
      <c r="D46" s="285"/>
      <c r="E46" s="285"/>
      <c r="F46" s="285"/>
      <c r="G46" s="285"/>
      <c r="H46" s="285"/>
      <c r="I46" s="285"/>
      <c r="J46" s="285"/>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5"/>
      <c r="AR46" s="285"/>
      <c r="AS46" s="285"/>
      <c r="AT46" s="285"/>
      <c r="AU46" s="285"/>
      <c r="AV46" s="285"/>
      <c r="AW46" s="285"/>
      <c r="AX46" s="285"/>
      <c r="AY46" s="285"/>
      <c r="AZ46" s="285"/>
      <c r="BA46" s="285"/>
      <c r="BB46" s="285"/>
      <c r="BC46" s="285"/>
      <c r="BD46" s="285"/>
      <c r="BE46" s="285"/>
      <c r="BF46" s="285"/>
      <c r="BG46" s="285"/>
      <c r="BH46" s="285"/>
      <c r="BI46" s="285"/>
      <c r="BJ46" s="285"/>
      <c r="BK46" s="285"/>
      <c r="BL46" s="285"/>
      <c r="BM46" s="285"/>
      <c r="BN46" s="285"/>
      <c r="BO46" s="285"/>
      <c r="BP46" s="285"/>
      <c r="BQ46" s="285"/>
      <c r="BR46" s="285"/>
      <c r="BS46" s="285"/>
      <c r="BT46" s="285"/>
      <c r="BU46" s="285"/>
      <c r="BV46" s="285"/>
      <c r="BW46" s="285"/>
      <c r="BX46" s="285"/>
      <c r="BY46" s="285"/>
      <c r="BZ46" s="285"/>
      <c r="CA46" s="285"/>
      <c r="CB46" s="285"/>
      <c r="CC46" s="285"/>
      <c r="CD46" s="285"/>
      <c r="CE46" s="285"/>
      <c r="CF46" s="285"/>
      <c r="CG46" s="285"/>
    </row>
    <row r="47" spans="1:151" ht="18">
      <c r="A47" s="818"/>
      <c r="B47" s="286"/>
      <c r="C47" s="286"/>
      <c r="D47" s="286"/>
      <c r="E47" s="286"/>
      <c r="F47" s="286"/>
      <c r="G47" s="286"/>
      <c r="H47" s="286"/>
      <c r="I47" s="286"/>
      <c r="J47" s="286"/>
      <c r="K47" s="286"/>
      <c r="L47" s="286"/>
      <c r="M47" s="286"/>
      <c r="N47" s="286"/>
      <c r="O47" s="286"/>
      <c r="P47" s="286"/>
      <c r="Q47" s="286"/>
      <c r="R47" s="286"/>
      <c r="S47" s="286"/>
      <c r="T47" s="286"/>
      <c r="U47" s="286"/>
      <c r="V47" s="286"/>
      <c r="W47" s="286"/>
      <c r="X47" s="286"/>
      <c r="Y47" s="286"/>
      <c r="Z47" s="286"/>
      <c r="AA47" s="286"/>
      <c r="AB47" s="286"/>
      <c r="AC47" s="286"/>
      <c r="AD47" s="286"/>
      <c r="AE47" s="286"/>
      <c r="AF47" s="286"/>
      <c r="AG47" s="286"/>
      <c r="AH47" s="286"/>
      <c r="AI47" s="286"/>
      <c r="AJ47" s="286"/>
      <c r="AK47" s="286"/>
      <c r="AL47" s="286"/>
      <c r="AM47" s="286"/>
      <c r="AN47" s="286"/>
      <c r="AO47" s="286"/>
      <c r="AP47" s="286"/>
      <c r="AQ47" s="286"/>
      <c r="AR47" s="286"/>
      <c r="AS47" s="286"/>
      <c r="AT47" s="286"/>
      <c r="AU47" s="286"/>
      <c r="AV47" s="286"/>
      <c r="AW47" s="286"/>
      <c r="AX47" s="286"/>
      <c r="AY47" s="286"/>
      <c r="AZ47" s="286"/>
      <c r="BA47" s="286"/>
      <c r="BB47" s="286"/>
      <c r="BC47" s="286"/>
      <c r="BD47" s="286"/>
      <c r="BE47" s="286"/>
      <c r="BF47" s="286"/>
      <c r="BG47" s="286"/>
      <c r="BH47" s="286"/>
      <c r="BI47" s="286"/>
      <c r="BJ47" s="286"/>
      <c r="BK47" s="286"/>
      <c r="BL47" s="286"/>
      <c r="BM47" s="286"/>
      <c r="BN47" s="286"/>
      <c r="BO47" s="286"/>
      <c r="BP47" s="286"/>
      <c r="BQ47" s="286"/>
      <c r="BR47" s="286"/>
      <c r="BS47" s="286"/>
      <c r="BT47" s="286"/>
      <c r="BU47" s="286"/>
      <c r="BV47" s="286"/>
      <c r="BW47" s="286"/>
      <c r="BX47" s="286"/>
      <c r="BY47" s="286"/>
      <c r="BZ47" s="286"/>
      <c r="CA47" s="286"/>
      <c r="CB47" s="286"/>
      <c r="CC47" s="286"/>
      <c r="CD47" s="286"/>
      <c r="CE47" s="286"/>
      <c r="CF47" s="286"/>
      <c r="CG47" s="286"/>
      <c r="CH47" s="417"/>
      <c r="CI47" s="417"/>
      <c r="CJ47" s="417"/>
    </row>
    <row r="48" spans="1:151" ht="18">
      <c r="A48" s="817"/>
      <c r="B48" s="285"/>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5"/>
      <c r="AR48" s="285"/>
      <c r="AS48" s="285"/>
      <c r="AT48" s="285"/>
      <c r="AU48" s="285"/>
      <c r="AV48" s="285"/>
      <c r="AW48" s="285"/>
      <c r="AX48" s="285"/>
      <c r="AY48" s="285"/>
      <c r="AZ48" s="285"/>
      <c r="BA48" s="285"/>
      <c r="BB48" s="285"/>
      <c r="BC48" s="285"/>
      <c r="BD48" s="285"/>
      <c r="BE48" s="285"/>
      <c r="BF48" s="285"/>
      <c r="BG48" s="285"/>
      <c r="BH48" s="285"/>
      <c r="BI48" s="285"/>
      <c r="BJ48" s="285"/>
      <c r="BK48" s="285"/>
      <c r="BL48" s="285"/>
      <c r="BM48" s="285"/>
      <c r="BN48" s="285"/>
      <c r="BO48" s="285"/>
      <c r="BP48" s="285"/>
      <c r="BQ48" s="285"/>
      <c r="BR48" s="285"/>
      <c r="BS48" s="285"/>
      <c r="BT48" s="285"/>
      <c r="BU48" s="285"/>
      <c r="BV48" s="285"/>
      <c r="BW48" s="285"/>
      <c r="BX48" s="285"/>
      <c r="BY48" s="285"/>
      <c r="BZ48" s="285"/>
      <c r="CA48" s="285"/>
      <c r="CB48" s="285"/>
      <c r="CC48" s="285"/>
      <c r="CD48" s="285"/>
      <c r="CE48" s="285"/>
      <c r="CF48" s="285"/>
      <c r="CG48" s="285"/>
      <c r="CH48" s="417"/>
      <c r="CI48" s="417"/>
      <c r="CJ48" s="417"/>
    </row>
    <row r="49" spans="1:88" ht="18">
      <c r="A49" s="821"/>
      <c r="B49" s="343"/>
      <c r="C49" s="343"/>
      <c r="D49" s="343"/>
      <c r="E49" s="343"/>
      <c r="F49" s="343"/>
      <c r="G49" s="343"/>
      <c r="H49" s="343"/>
      <c r="I49" s="343"/>
      <c r="J49" s="343"/>
      <c r="K49" s="343"/>
      <c r="L49" s="343"/>
      <c r="M49" s="343"/>
      <c r="N49" s="343"/>
      <c r="O49" s="343"/>
      <c r="P49" s="343"/>
      <c r="Q49" s="343"/>
      <c r="R49" s="343"/>
      <c r="S49" s="343"/>
      <c r="T49" s="343"/>
      <c r="U49" s="343"/>
      <c r="V49" s="343"/>
      <c r="W49" s="343"/>
      <c r="X49" s="343"/>
      <c r="Y49" s="343"/>
      <c r="Z49" s="343"/>
      <c r="AA49" s="343"/>
      <c r="AB49" s="343"/>
      <c r="AC49" s="343"/>
      <c r="AD49" s="343"/>
      <c r="AE49" s="343"/>
      <c r="AF49" s="343"/>
      <c r="AG49" s="343"/>
      <c r="AH49" s="343"/>
      <c r="AI49" s="343"/>
      <c r="AJ49" s="343"/>
      <c r="AK49" s="343"/>
      <c r="AL49" s="343"/>
      <c r="AM49" s="343"/>
      <c r="AN49" s="343"/>
      <c r="AO49" s="343"/>
      <c r="AP49" s="343"/>
      <c r="AQ49" s="343"/>
      <c r="AR49" s="343"/>
      <c r="AS49" s="343"/>
      <c r="AT49" s="343"/>
      <c r="AU49" s="343"/>
      <c r="AV49" s="343"/>
      <c r="AW49" s="343"/>
      <c r="AX49" s="343"/>
      <c r="AY49" s="343"/>
      <c r="AZ49" s="343"/>
      <c r="BA49" s="343"/>
      <c r="BB49" s="343"/>
      <c r="BC49" s="343"/>
      <c r="BD49" s="343"/>
      <c r="BE49" s="343"/>
      <c r="BF49" s="343"/>
      <c r="BG49" s="343"/>
      <c r="BH49" s="343"/>
      <c r="BI49" s="343"/>
      <c r="BJ49" s="343"/>
      <c r="BK49" s="343"/>
      <c r="BL49" s="343"/>
      <c r="BM49" s="343"/>
      <c r="BN49" s="343"/>
      <c r="BO49" s="343"/>
      <c r="BP49" s="343"/>
      <c r="BQ49" s="343"/>
      <c r="BR49" s="343"/>
      <c r="BS49" s="343"/>
      <c r="BT49" s="343"/>
      <c r="BU49" s="343"/>
      <c r="BV49" s="343"/>
      <c r="BW49" s="343"/>
      <c r="BX49" s="343"/>
      <c r="BY49" s="343"/>
      <c r="BZ49" s="343"/>
      <c r="CA49" s="343"/>
      <c r="CB49" s="343"/>
      <c r="CC49" s="343"/>
      <c r="CD49" s="343"/>
      <c r="CE49" s="343"/>
      <c r="CF49" s="343"/>
      <c r="CG49" s="343"/>
      <c r="CH49" s="417"/>
      <c r="CI49" s="417"/>
      <c r="CJ49" s="417"/>
    </row>
    <row r="50" spans="1:88" ht="18.75">
      <c r="A50" s="822"/>
      <c r="B50" s="343"/>
      <c r="C50" s="343"/>
      <c r="D50" s="343"/>
      <c r="E50" s="343"/>
      <c r="F50" s="343"/>
      <c r="G50" s="343"/>
      <c r="H50" s="343"/>
      <c r="I50" s="343"/>
      <c r="J50" s="343"/>
      <c r="K50" s="343"/>
      <c r="L50" s="343"/>
      <c r="M50" s="343"/>
      <c r="N50" s="343"/>
      <c r="O50" s="343"/>
      <c r="P50" s="343"/>
      <c r="Q50" s="343"/>
      <c r="R50" s="343"/>
      <c r="S50" s="343"/>
      <c r="T50" s="343"/>
      <c r="U50" s="343"/>
      <c r="V50" s="343"/>
      <c r="W50" s="343"/>
      <c r="X50" s="343"/>
      <c r="Y50" s="343"/>
      <c r="Z50" s="343"/>
      <c r="AA50" s="343"/>
      <c r="AB50" s="343"/>
      <c r="AC50" s="343"/>
      <c r="AD50" s="343"/>
      <c r="AE50" s="343"/>
      <c r="AF50" s="343"/>
      <c r="AG50" s="343"/>
      <c r="AH50" s="343"/>
      <c r="AI50" s="343"/>
      <c r="AJ50" s="343"/>
      <c r="AK50" s="343"/>
      <c r="AL50" s="343"/>
      <c r="AM50" s="343"/>
      <c r="AN50" s="343"/>
      <c r="AO50" s="343"/>
      <c r="AP50" s="343"/>
      <c r="AQ50" s="343"/>
      <c r="AR50" s="343"/>
      <c r="AS50" s="343"/>
      <c r="AT50" s="343"/>
      <c r="AU50" s="343"/>
      <c r="AV50" s="343"/>
      <c r="AW50" s="343"/>
      <c r="AX50" s="343"/>
      <c r="AY50" s="343"/>
      <c r="AZ50" s="343"/>
      <c r="BA50" s="343"/>
      <c r="BB50" s="343"/>
      <c r="BC50" s="343"/>
      <c r="BD50" s="343"/>
      <c r="BE50" s="343"/>
      <c r="BF50" s="343"/>
      <c r="BG50" s="343"/>
      <c r="BH50" s="343"/>
      <c r="BI50" s="343"/>
      <c r="BJ50" s="343"/>
      <c r="BK50" s="343"/>
      <c r="BL50" s="343"/>
      <c r="BM50" s="343"/>
      <c r="BN50" s="343"/>
      <c r="BO50" s="343"/>
      <c r="BP50" s="343"/>
      <c r="BQ50" s="343"/>
      <c r="BR50" s="343"/>
      <c r="BS50" s="343"/>
      <c r="BT50" s="343"/>
      <c r="BU50" s="343"/>
      <c r="BV50" s="343"/>
      <c r="BW50" s="343"/>
      <c r="BX50" s="343"/>
      <c r="BY50" s="343"/>
      <c r="BZ50" s="343"/>
      <c r="CA50" s="343"/>
      <c r="CB50" s="343"/>
      <c r="CC50" s="343"/>
      <c r="CD50" s="343"/>
      <c r="CE50" s="343"/>
      <c r="CF50" s="343"/>
      <c r="CG50" s="343"/>
      <c r="CH50" s="417"/>
      <c r="CI50" s="417"/>
      <c r="CJ50" s="417"/>
    </row>
    <row r="51" spans="1:88">
      <c r="A51" s="823"/>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c r="BS51" s="417"/>
      <c r="BT51" s="417"/>
      <c r="BU51" s="417"/>
      <c r="BV51" s="417"/>
      <c r="BW51" s="417"/>
      <c r="BX51" s="417"/>
      <c r="BY51" s="417"/>
      <c r="BZ51" s="417"/>
      <c r="CA51" s="417"/>
      <c r="CB51" s="417"/>
      <c r="CC51" s="417"/>
      <c r="CD51" s="417"/>
      <c r="CE51" s="417"/>
      <c r="CF51" s="417"/>
      <c r="CG51" s="417"/>
      <c r="CH51" s="417"/>
      <c r="CI51" s="417"/>
      <c r="CJ51" s="417"/>
    </row>
    <row r="52" spans="1:88">
      <c r="A52" s="823"/>
      <c r="B52" s="417"/>
      <c r="C52" s="417"/>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c r="AC52" s="417"/>
      <c r="AD52" s="417"/>
      <c r="AE52" s="417"/>
      <c r="AF52" s="417"/>
      <c r="AG52" s="417"/>
      <c r="AH52" s="417"/>
      <c r="AI52" s="417"/>
      <c r="AJ52" s="417"/>
      <c r="AK52" s="417"/>
      <c r="AL52" s="417"/>
      <c r="AM52" s="417"/>
      <c r="AN52" s="417"/>
      <c r="AO52" s="417"/>
      <c r="AP52" s="417"/>
      <c r="AQ52" s="417"/>
      <c r="AR52" s="417"/>
      <c r="AS52" s="417"/>
      <c r="AT52" s="417"/>
      <c r="AU52" s="417"/>
      <c r="AV52" s="417"/>
      <c r="AW52" s="417"/>
      <c r="AX52" s="417"/>
      <c r="AY52" s="417"/>
      <c r="AZ52" s="417"/>
      <c r="BA52" s="417"/>
      <c r="BB52" s="417"/>
      <c r="BC52" s="417"/>
      <c r="BD52" s="417"/>
      <c r="BE52" s="417"/>
      <c r="BF52" s="417"/>
      <c r="BG52" s="417"/>
      <c r="BH52" s="417"/>
      <c r="BI52" s="417"/>
      <c r="BJ52" s="417"/>
      <c r="BK52" s="417"/>
      <c r="BL52" s="417"/>
      <c r="BM52" s="417"/>
      <c r="BN52" s="417"/>
      <c r="BO52" s="417"/>
      <c r="BP52" s="417"/>
      <c r="BQ52" s="417"/>
      <c r="BR52" s="417"/>
      <c r="BS52" s="417"/>
      <c r="BT52" s="417"/>
      <c r="BU52" s="417"/>
      <c r="BV52" s="417"/>
      <c r="BW52" s="417"/>
      <c r="BX52" s="417"/>
      <c r="BY52" s="417"/>
      <c r="BZ52" s="417"/>
      <c r="CA52" s="417"/>
      <c r="CB52" s="417"/>
      <c r="CC52" s="417"/>
      <c r="CD52" s="417"/>
      <c r="CE52" s="417"/>
      <c r="CF52" s="417"/>
      <c r="CG52" s="417"/>
      <c r="CH52" s="417"/>
      <c r="CI52" s="417"/>
      <c r="CJ52" s="417"/>
    </row>
  </sheetData>
  <mergeCells count="14">
    <mergeCell ref="A2:EU2"/>
    <mergeCell ref="A3:EU3"/>
    <mergeCell ref="A6:A8"/>
    <mergeCell ref="EU6:EU8"/>
    <mergeCell ref="A36:ET36"/>
    <mergeCell ref="B6:M6"/>
    <mergeCell ref="N6:Y6"/>
    <mergeCell ref="Z6:AK6"/>
    <mergeCell ref="AV6:AW6"/>
    <mergeCell ref="BV6:CG6"/>
    <mergeCell ref="CT6:DE6"/>
    <mergeCell ref="DF6:DQ6"/>
    <mergeCell ref="DR6:EC6"/>
    <mergeCell ref="EP6:ET6"/>
  </mergeCells>
  <pageMargins left="0.7" right="0.7" top="0.75" bottom="0.75" header="0.3" footer="0.3"/>
  <pageSetup scale="13"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6">
    <tabColor rgb="FF92D050"/>
  </sheetPr>
  <dimension ref="A1:KC63"/>
  <sheetViews>
    <sheetView showGridLines="0" view="pageBreakPreview" zoomScale="60" zoomScaleNormal="100" workbookViewId="0">
      <selection activeCell="EU47" sqref="EU47"/>
    </sheetView>
  </sheetViews>
  <sheetFormatPr defaultColWidth="9.140625" defaultRowHeight="15"/>
  <cols>
    <col min="1" max="1" width="61.42578125" style="824" customWidth="1"/>
    <col min="2" max="12" width="13.5703125" style="339" hidden="1" customWidth="1"/>
    <col min="13" max="13" width="19" style="339" hidden="1" customWidth="1"/>
    <col min="14" max="23" width="13.5703125" style="339" hidden="1" customWidth="1"/>
    <col min="24" max="24" width="13.28515625" style="339" hidden="1" customWidth="1"/>
    <col min="25" max="25" width="18.140625" style="339" hidden="1" customWidth="1"/>
    <col min="26" max="33" width="14.7109375" style="339" hidden="1" customWidth="1"/>
    <col min="34" max="34" width="17.85546875" style="339" hidden="1" customWidth="1"/>
    <col min="35" max="35" width="18.140625" style="339" hidden="1" customWidth="1"/>
    <col min="36" max="36" width="18.5703125" style="339" hidden="1" customWidth="1"/>
    <col min="37" max="37" width="16.85546875" style="339" hidden="1" customWidth="1"/>
    <col min="38" max="45" width="14.7109375" style="339" hidden="1" customWidth="1"/>
    <col min="46" max="60" width="17.85546875" style="339" hidden="1" customWidth="1"/>
    <col min="61" max="61" width="14.42578125" style="339" customWidth="1"/>
    <col min="62" max="72" width="17.85546875" style="339" hidden="1" customWidth="1"/>
    <col min="73" max="73" width="14.42578125" style="339" customWidth="1"/>
    <col min="74" max="82" width="17.85546875" style="339" hidden="1" customWidth="1"/>
    <col min="83" max="84" width="17.42578125" style="339" hidden="1" customWidth="1"/>
    <col min="85" max="85" width="14.42578125" style="339" customWidth="1"/>
    <col min="86" max="90" width="19.28515625" style="339" hidden="1" customWidth="1"/>
    <col min="91" max="96" width="20.5703125" style="339" hidden="1" customWidth="1"/>
    <col min="97" max="97" width="14.42578125" style="339" customWidth="1"/>
    <col min="98" max="108" width="14.42578125" style="339" hidden="1" customWidth="1"/>
    <col min="109" max="109" width="14.42578125" style="339" customWidth="1"/>
    <col min="110" max="120" width="14.42578125" style="339" hidden="1" customWidth="1"/>
    <col min="121" max="121" width="14.42578125" style="339" customWidth="1"/>
    <col min="122" max="132" width="14.42578125" style="339" hidden="1" customWidth="1"/>
    <col min="133" max="133" width="14.42578125" style="339" customWidth="1"/>
    <col min="134" max="144" width="14.42578125" style="339" hidden="1" customWidth="1"/>
    <col min="145" max="150" width="14.42578125" style="339" customWidth="1"/>
    <col min="151" max="151" width="48.85546875" style="339" customWidth="1"/>
    <col min="152" max="153" width="9.140625" style="339"/>
    <col min="154" max="154" width="0" style="339" hidden="1" customWidth="1"/>
    <col min="155" max="16384" width="9.140625" style="339"/>
  </cols>
  <sheetData>
    <row r="1" spans="1:289" ht="19.5" customHeight="1"/>
    <row r="2" spans="1:289" ht="34.9" customHeight="1">
      <c r="A2" s="2520" t="s">
        <v>3300</v>
      </c>
      <c r="B2" s="2520"/>
      <c r="C2" s="2520"/>
      <c r="D2" s="2520"/>
      <c r="E2" s="2520"/>
      <c r="F2" s="2520"/>
      <c r="G2" s="2520"/>
      <c r="H2" s="2520"/>
      <c r="I2" s="2520"/>
      <c r="J2" s="2520"/>
      <c r="K2" s="2520"/>
      <c r="L2" s="2520"/>
      <c r="M2" s="2520"/>
      <c r="N2" s="2520"/>
      <c r="O2" s="2520"/>
      <c r="P2" s="2520"/>
      <c r="Q2" s="2520"/>
      <c r="R2" s="2520"/>
      <c r="S2" s="2520"/>
      <c r="T2" s="2520"/>
      <c r="U2" s="2520"/>
      <c r="V2" s="2520"/>
      <c r="W2" s="2520"/>
      <c r="X2" s="2520"/>
      <c r="Y2" s="2520"/>
      <c r="Z2" s="2520"/>
      <c r="AA2" s="2520"/>
      <c r="AB2" s="2520"/>
      <c r="AC2" s="2520"/>
      <c r="AD2" s="2520"/>
      <c r="AE2" s="2520"/>
      <c r="AF2" s="2520"/>
      <c r="AG2" s="2520"/>
      <c r="AH2" s="2520"/>
      <c r="AI2" s="2520"/>
      <c r="AJ2" s="2520"/>
      <c r="AK2" s="2520"/>
      <c r="AL2" s="2520"/>
      <c r="AM2" s="2520"/>
      <c r="AN2" s="2520"/>
      <c r="AO2" s="2520"/>
      <c r="AP2" s="2520"/>
      <c r="AQ2" s="2520"/>
      <c r="AR2" s="2520"/>
      <c r="AS2" s="2520"/>
      <c r="AT2" s="2520"/>
      <c r="AU2" s="2520"/>
      <c r="AV2" s="2520"/>
      <c r="AW2" s="2520"/>
      <c r="AX2" s="2520"/>
      <c r="AY2" s="2520"/>
      <c r="AZ2" s="2520"/>
      <c r="BA2" s="2520"/>
      <c r="BB2" s="2520"/>
      <c r="BC2" s="2520"/>
      <c r="BD2" s="2520"/>
      <c r="BE2" s="2520"/>
      <c r="BF2" s="2520"/>
      <c r="BG2" s="2520"/>
      <c r="BH2" s="2520"/>
      <c r="BI2" s="2520"/>
      <c r="BJ2" s="2520"/>
      <c r="BK2" s="2520"/>
      <c r="BL2" s="2520"/>
      <c r="BM2" s="2520"/>
      <c r="BN2" s="2520"/>
      <c r="BO2" s="2520"/>
      <c r="BP2" s="2520"/>
      <c r="BQ2" s="2520"/>
      <c r="BR2" s="2520"/>
      <c r="BS2" s="2520"/>
      <c r="BT2" s="2520"/>
      <c r="BU2" s="2520"/>
      <c r="BV2" s="2520"/>
      <c r="BW2" s="2520"/>
      <c r="BX2" s="2520"/>
      <c r="BY2" s="2520"/>
      <c r="BZ2" s="2520"/>
      <c r="CA2" s="2520"/>
      <c r="CB2" s="2520"/>
      <c r="CC2" s="2520"/>
      <c r="CD2" s="2520"/>
      <c r="CE2" s="2520"/>
      <c r="CF2" s="2520"/>
      <c r="CG2" s="2520"/>
      <c r="CH2" s="2520"/>
      <c r="CI2" s="2520"/>
      <c r="CJ2" s="2520"/>
      <c r="CK2" s="2520"/>
      <c r="CL2" s="2520"/>
      <c r="CM2" s="2520"/>
      <c r="CN2" s="2520"/>
      <c r="CO2" s="2520"/>
      <c r="CP2" s="2520"/>
      <c r="CQ2" s="2520"/>
      <c r="CR2" s="2520"/>
      <c r="CS2" s="2520"/>
      <c r="CT2" s="2520"/>
      <c r="CU2" s="2520"/>
      <c r="CV2" s="2520"/>
      <c r="CW2" s="2520"/>
      <c r="CX2" s="2520"/>
      <c r="CY2" s="2520"/>
      <c r="CZ2" s="2520"/>
      <c r="DA2" s="2520"/>
      <c r="DB2" s="2520"/>
      <c r="DC2" s="2520"/>
      <c r="DD2" s="2520"/>
      <c r="DE2" s="2520"/>
      <c r="DF2" s="2520"/>
      <c r="DG2" s="2520"/>
      <c r="DH2" s="2520"/>
      <c r="DI2" s="2520"/>
      <c r="DJ2" s="2520"/>
      <c r="DK2" s="2520"/>
      <c r="DL2" s="2520"/>
      <c r="DM2" s="2520"/>
      <c r="DN2" s="2520"/>
      <c r="DO2" s="2520"/>
      <c r="DP2" s="2520"/>
      <c r="DQ2" s="2520"/>
      <c r="DR2" s="2520"/>
      <c r="DS2" s="2520"/>
      <c r="DT2" s="2520"/>
      <c r="DU2" s="2520"/>
      <c r="DV2" s="2520"/>
      <c r="DW2" s="2520"/>
      <c r="DX2" s="2520"/>
      <c r="DY2" s="2520"/>
      <c r="DZ2" s="2520"/>
      <c r="EA2" s="2520"/>
      <c r="EB2" s="2520"/>
      <c r="EC2" s="2520"/>
      <c r="ED2" s="2520"/>
      <c r="EE2" s="2520"/>
      <c r="EF2" s="2520"/>
      <c r="EG2" s="2520"/>
      <c r="EH2" s="2520"/>
      <c r="EI2" s="2520"/>
      <c r="EJ2" s="2520"/>
      <c r="EK2" s="2520"/>
      <c r="EL2" s="2520"/>
      <c r="EM2" s="2520"/>
      <c r="EN2" s="2520"/>
      <c r="EO2" s="2520"/>
      <c r="EP2" s="2520"/>
      <c r="EQ2" s="2520"/>
      <c r="ER2" s="2520"/>
      <c r="ES2" s="2520"/>
      <c r="ET2" s="2520"/>
      <c r="EU2" s="2520"/>
    </row>
    <row r="3" spans="1:289" ht="40.5" customHeight="1">
      <c r="A3" s="2521" t="s">
        <v>3290</v>
      </c>
      <c r="B3" s="2521"/>
      <c r="C3" s="2521"/>
      <c r="D3" s="2521"/>
      <c r="E3" s="2521"/>
      <c r="F3" s="2521"/>
      <c r="G3" s="2521"/>
      <c r="H3" s="2521"/>
      <c r="I3" s="2521"/>
      <c r="J3" s="2521"/>
      <c r="K3" s="2521"/>
      <c r="L3" s="2521"/>
      <c r="M3" s="2521"/>
      <c r="N3" s="2521"/>
      <c r="O3" s="2521"/>
      <c r="P3" s="2521"/>
      <c r="Q3" s="2521"/>
      <c r="R3" s="2521"/>
      <c r="S3" s="2521"/>
      <c r="T3" s="2521"/>
      <c r="U3" s="2521"/>
      <c r="V3" s="2521"/>
      <c r="W3" s="2521"/>
      <c r="X3" s="2521"/>
      <c r="Y3" s="2521"/>
      <c r="Z3" s="2521"/>
      <c r="AA3" s="2521"/>
      <c r="AB3" s="2521"/>
      <c r="AC3" s="2521"/>
      <c r="AD3" s="2521"/>
      <c r="AE3" s="2521"/>
      <c r="AF3" s="2521"/>
      <c r="AG3" s="2521"/>
      <c r="AH3" s="2521"/>
      <c r="AI3" s="2521"/>
      <c r="AJ3" s="2521"/>
      <c r="AK3" s="2521"/>
      <c r="AL3" s="2521"/>
      <c r="AM3" s="2521"/>
      <c r="AN3" s="2521"/>
      <c r="AO3" s="2521"/>
      <c r="AP3" s="2521"/>
      <c r="AQ3" s="2521"/>
      <c r="AR3" s="2521"/>
      <c r="AS3" s="2521"/>
      <c r="AT3" s="2521"/>
      <c r="AU3" s="2521"/>
      <c r="AV3" s="2521"/>
      <c r="AW3" s="2521"/>
      <c r="AX3" s="2521"/>
      <c r="AY3" s="2521"/>
      <c r="AZ3" s="2521"/>
      <c r="BA3" s="2521"/>
      <c r="BB3" s="2521"/>
      <c r="BC3" s="2521"/>
      <c r="BD3" s="2521"/>
      <c r="BE3" s="2521"/>
      <c r="BF3" s="2521"/>
      <c r="BG3" s="2521"/>
      <c r="BH3" s="2521"/>
      <c r="BI3" s="2521"/>
      <c r="BJ3" s="2521"/>
      <c r="BK3" s="2521"/>
      <c r="BL3" s="2521"/>
      <c r="BM3" s="2521"/>
      <c r="BN3" s="2521"/>
      <c r="BO3" s="2521"/>
      <c r="BP3" s="2521"/>
      <c r="BQ3" s="2521"/>
      <c r="BR3" s="2521"/>
      <c r="BS3" s="2521"/>
      <c r="BT3" s="2521"/>
      <c r="BU3" s="2521"/>
      <c r="BV3" s="2521"/>
      <c r="BW3" s="2521"/>
      <c r="BX3" s="2521"/>
      <c r="BY3" s="2521"/>
      <c r="BZ3" s="2521"/>
      <c r="CA3" s="2521"/>
      <c r="CB3" s="2521"/>
      <c r="CC3" s="2521"/>
      <c r="CD3" s="2521"/>
      <c r="CE3" s="2521"/>
      <c r="CF3" s="2521"/>
      <c r="CG3" s="2521"/>
      <c r="CH3" s="2521"/>
      <c r="CI3" s="2521"/>
      <c r="CJ3" s="2521"/>
      <c r="CK3" s="2521"/>
      <c r="CL3" s="2521"/>
      <c r="CM3" s="2521"/>
      <c r="CN3" s="2521"/>
      <c r="CO3" s="2521"/>
      <c r="CP3" s="2521"/>
      <c r="CQ3" s="2521"/>
      <c r="CR3" s="2521"/>
      <c r="CS3" s="2521"/>
      <c r="CT3" s="2521"/>
      <c r="CU3" s="2521"/>
      <c r="CV3" s="2521"/>
      <c r="CW3" s="2521"/>
      <c r="CX3" s="2521"/>
      <c r="CY3" s="2521"/>
      <c r="CZ3" s="2521"/>
      <c r="DA3" s="2521"/>
      <c r="DB3" s="2521"/>
      <c r="DC3" s="2521"/>
      <c r="DD3" s="2521"/>
      <c r="DE3" s="2521"/>
      <c r="DF3" s="2521"/>
      <c r="DG3" s="2521"/>
      <c r="DH3" s="2521"/>
      <c r="DI3" s="2521"/>
      <c r="DJ3" s="2521"/>
      <c r="DK3" s="2521"/>
      <c r="DL3" s="2521"/>
      <c r="DM3" s="2521"/>
      <c r="DN3" s="2521"/>
      <c r="DO3" s="2521"/>
      <c r="DP3" s="2521"/>
      <c r="DQ3" s="2521"/>
      <c r="DR3" s="2521"/>
      <c r="DS3" s="2521"/>
      <c r="DT3" s="2521"/>
      <c r="DU3" s="2521"/>
      <c r="DV3" s="2521"/>
      <c r="DW3" s="2521"/>
      <c r="DX3" s="2521"/>
      <c r="DY3" s="2521"/>
      <c r="DZ3" s="2521"/>
      <c r="EA3" s="2521"/>
      <c r="EB3" s="2521"/>
      <c r="EC3" s="2521"/>
      <c r="ED3" s="2521"/>
      <c r="EE3" s="2521"/>
      <c r="EF3" s="2521"/>
      <c r="EG3" s="2521"/>
      <c r="EH3" s="2521"/>
      <c r="EI3" s="2521"/>
      <c r="EJ3" s="2521"/>
      <c r="EK3" s="2521"/>
      <c r="EL3" s="2521"/>
      <c r="EM3" s="2521"/>
      <c r="EN3" s="2521"/>
      <c r="EO3" s="2521"/>
      <c r="EP3" s="2521"/>
      <c r="EQ3" s="2521"/>
      <c r="ER3" s="2521"/>
      <c r="ES3" s="2521"/>
      <c r="ET3" s="2521"/>
      <c r="EU3" s="2521"/>
    </row>
    <row r="4" spans="1:289" ht="20.25" customHeight="1">
      <c r="A4" s="809"/>
      <c r="B4" s="541"/>
      <c r="C4" s="541"/>
      <c r="D4" s="541"/>
      <c r="E4" s="541"/>
      <c r="F4" s="541"/>
      <c r="G4" s="541"/>
      <c r="H4" s="541"/>
      <c r="I4" s="541"/>
      <c r="J4" s="541"/>
      <c r="K4" s="541"/>
      <c r="L4" s="541"/>
      <c r="M4" s="541"/>
      <c r="N4" s="541"/>
      <c r="O4" s="541"/>
      <c r="P4" s="541"/>
      <c r="Q4" s="541"/>
      <c r="R4" s="541"/>
      <c r="S4" s="541"/>
      <c r="T4" s="541"/>
      <c r="U4" s="541"/>
      <c r="V4" s="541"/>
      <c r="W4" s="541"/>
      <c r="X4" s="541"/>
      <c r="Y4" s="541"/>
      <c r="Z4" s="541"/>
      <c r="AA4" s="541"/>
      <c r="AB4" s="541"/>
      <c r="AC4" s="541"/>
      <c r="AD4" s="541"/>
      <c r="AE4" s="541"/>
      <c r="AF4" s="541"/>
      <c r="AG4" s="541"/>
      <c r="AH4" s="541"/>
      <c r="AI4" s="541"/>
      <c r="AJ4" s="541"/>
      <c r="AK4" s="541"/>
      <c r="AL4" s="541"/>
      <c r="AM4" s="541"/>
      <c r="AN4" s="541"/>
      <c r="AO4" s="541"/>
      <c r="AP4" s="541"/>
      <c r="AQ4" s="541"/>
      <c r="AR4" s="541"/>
      <c r="AS4" s="541"/>
      <c r="AT4" s="541"/>
      <c r="AU4" s="541"/>
      <c r="AV4" s="541"/>
      <c r="AW4" s="541"/>
      <c r="AX4" s="541"/>
      <c r="AY4" s="541"/>
      <c r="AZ4" s="541"/>
      <c r="BA4" s="541"/>
      <c r="BB4" s="541"/>
      <c r="BC4" s="541"/>
      <c r="BD4" s="541"/>
      <c r="BE4" s="541"/>
      <c r="BF4" s="541"/>
      <c r="BG4" s="541"/>
      <c r="BH4" s="541"/>
      <c r="BI4" s="541"/>
      <c r="BJ4" s="541"/>
      <c r="BK4" s="541"/>
      <c r="BL4" s="541"/>
      <c r="BM4" s="541"/>
      <c r="BN4" s="541"/>
      <c r="BO4" s="541"/>
      <c r="BP4" s="541"/>
      <c r="BQ4" s="541"/>
      <c r="BR4" s="541"/>
      <c r="BS4" s="541"/>
      <c r="BT4" s="541"/>
      <c r="BU4" s="541"/>
      <c r="BV4" s="541"/>
      <c r="BW4" s="541"/>
      <c r="BX4" s="541"/>
      <c r="BY4" s="541"/>
      <c r="BZ4" s="541"/>
      <c r="CA4" s="541"/>
      <c r="CB4" s="541"/>
      <c r="CC4" s="541"/>
      <c r="CD4" s="541"/>
      <c r="CE4" s="541"/>
      <c r="CF4" s="541"/>
      <c r="CG4" s="541"/>
      <c r="CH4" s="541"/>
      <c r="CI4" s="541"/>
      <c r="CJ4" s="541"/>
      <c r="CK4" s="541"/>
      <c r="CL4" s="541"/>
      <c r="CM4" s="541"/>
      <c r="CN4" s="541"/>
      <c r="CO4" s="541"/>
      <c r="CP4" s="541"/>
      <c r="CQ4" s="541"/>
      <c r="CR4" s="541"/>
      <c r="CS4" s="541"/>
      <c r="CT4" s="541"/>
      <c r="CU4" s="541"/>
      <c r="CV4" s="541"/>
      <c r="CW4" s="541"/>
      <c r="CX4" s="541"/>
      <c r="CY4" s="541"/>
      <c r="CZ4" s="541"/>
      <c r="DA4" s="541"/>
      <c r="DB4" s="541"/>
      <c r="DC4" s="541"/>
      <c r="DD4" s="541"/>
      <c r="DE4" s="541"/>
      <c r="DF4" s="541"/>
      <c r="DG4" s="541"/>
      <c r="DH4" s="541"/>
      <c r="DI4" s="541"/>
      <c r="DJ4" s="541"/>
      <c r="DK4" s="541"/>
      <c r="DL4" s="541"/>
      <c r="DM4" s="541"/>
      <c r="DN4" s="541"/>
      <c r="DO4" s="541"/>
      <c r="DP4" s="541"/>
      <c r="DQ4" s="541"/>
      <c r="DR4" s="541"/>
      <c r="DS4" s="541"/>
      <c r="DT4" s="541"/>
      <c r="DU4" s="541"/>
      <c r="DV4" s="541"/>
      <c r="DW4" s="541"/>
      <c r="DX4" s="541"/>
      <c r="DY4" s="541"/>
      <c r="DZ4" s="541"/>
      <c r="EA4" s="541"/>
      <c r="EB4" s="541"/>
      <c r="EC4" s="541"/>
      <c r="ED4" s="541"/>
      <c r="EE4" s="541"/>
      <c r="EF4" s="541"/>
      <c r="EG4" s="541"/>
      <c r="EH4" s="541"/>
      <c r="EI4" s="541"/>
      <c r="EJ4" s="541"/>
      <c r="EK4" s="541"/>
      <c r="EL4" s="541"/>
      <c r="EM4" s="541"/>
      <c r="EN4" s="541"/>
      <c r="EO4" s="541"/>
      <c r="EP4" s="541"/>
      <c r="EQ4" s="541"/>
      <c r="ER4" s="541"/>
      <c r="ES4" s="541"/>
      <c r="ET4" s="541"/>
      <c r="EU4" s="809"/>
    </row>
    <row r="5" spans="1:289" ht="20.25" customHeight="1">
      <c r="A5" s="2526"/>
      <c r="B5" s="2526"/>
      <c r="C5" s="2526"/>
      <c r="D5" s="2526"/>
      <c r="E5" s="2526"/>
      <c r="F5" s="2526"/>
      <c r="G5" s="2526"/>
      <c r="H5" s="2526"/>
      <c r="I5" s="2526"/>
      <c r="J5" s="2526"/>
      <c r="K5" s="2526"/>
      <c r="L5" s="2526"/>
      <c r="M5" s="2526"/>
      <c r="N5" s="2526"/>
      <c r="O5" s="2526"/>
      <c r="P5" s="2526"/>
      <c r="Q5" s="2526"/>
      <c r="R5" s="2526"/>
      <c r="S5" s="2526"/>
      <c r="T5" s="2526"/>
      <c r="U5" s="2526"/>
      <c r="V5" s="2526"/>
      <c r="W5" s="2526"/>
      <c r="X5" s="2526"/>
      <c r="Y5" s="2526"/>
      <c r="Z5" s="2526"/>
      <c r="AA5" s="2526"/>
      <c r="AB5" s="2526"/>
      <c r="AC5" s="2526"/>
      <c r="AD5" s="2526"/>
      <c r="AE5" s="2526"/>
      <c r="AF5" s="2526"/>
      <c r="AG5" s="2526"/>
      <c r="AH5" s="2526"/>
      <c r="AI5" s="2526"/>
      <c r="AJ5" s="2526"/>
      <c r="AK5" s="2526"/>
      <c r="AL5" s="2526"/>
      <c r="AM5" s="2526"/>
      <c r="AN5" s="2526"/>
      <c r="AO5" s="2526"/>
      <c r="AP5" s="2526"/>
      <c r="AQ5" s="2526"/>
      <c r="AR5" s="2526"/>
      <c r="AS5" s="2526"/>
      <c r="AT5" s="2526"/>
      <c r="AU5" s="2526"/>
      <c r="AV5" s="2526"/>
      <c r="AW5" s="2526"/>
      <c r="AX5" s="2526"/>
      <c r="AY5" s="2526"/>
      <c r="AZ5" s="2526"/>
      <c r="BA5" s="2526"/>
      <c r="BB5" s="2526"/>
      <c r="BC5" s="2526"/>
      <c r="BD5" s="2526"/>
      <c r="BE5" s="2526"/>
      <c r="BF5" s="2526"/>
      <c r="BG5" s="2526"/>
      <c r="BH5" s="2526"/>
      <c r="BI5" s="2526"/>
      <c r="BJ5" s="2526"/>
      <c r="BK5" s="2526"/>
      <c r="BL5" s="2526"/>
      <c r="BM5" s="2526"/>
      <c r="BN5" s="2526"/>
      <c r="BO5" s="2526"/>
      <c r="BP5" s="2526"/>
      <c r="BQ5" s="2526"/>
      <c r="BR5" s="2526"/>
      <c r="BS5" s="2526"/>
      <c r="BT5" s="2526"/>
      <c r="BU5" s="2526"/>
      <c r="BV5" s="2526"/>
      <c r="BW5" s="2526"/>
      <c r="BX5" s="2526"/>
      <c r="BY5" s="2526"/>
      <c r="BZ5" s="2526"/>
      <c r="CA5" s="2526"/>
      <c r="CB5" s="2526"/>
      <c r="CC5" s="2526"/>
      <c r="CD5" s="2526"/>
      <c r="CE5" s="2526"/>
      <c r="CF5" s="2526"/>
      <c r="CG5" s="2526"/>
      <c r="CH5" s="2526"/>
      <c r="CI5" s="2526"/>
      <c r="CJ5" s="2526"/>
      <c r="CK5" s="2526"/>
      <c r="CL5" s="2526"/>
      <c r="CM5" s="2526"/>
      <c r="CN5" s="2526"/>
      <c r="CO5" s="2526"/>
      <c r="CP5" s="2526"/>
      <c r="CQ5" s="2526"/>
      <c r="CR5" s="2526"/>
      <c r="CS5" s="2526"/>
      <c r="CT5" s="2526"/>
      <c r="CU5" s="2526"/>
      <c r="CV5" s="2526"/>
      <c r="CW5" s="2526"/>
      <c r="CX5" s="2526"/>
      <c r="CY5" s="2526"/>
      <c r="CZ5" s="2526"/>
      <c r="DA5" s="2526"/>
      <c r="DB5" s="2526"/>
      <c r="DC5" s="2526"/>
      <c r="DD5" s="2526"/>
      <c r="DE5" s="2526"/>
      <c r="DF5" s="2526"/>
      <c r="DG5" s="2526"/>
      <c r="DH5" s="2526"/>
      <c r="DI5" s="2526"/>
      <c r="DJ5" s="2526"/>
      <c r="DK5" s="2526"/>
      <c r="DL5" s="2526"/>
      <c r="DM5" s="2526"/>
      <c r="DN5" s="2526"/>
      <c r="DO5" s="2526"/>
      <c r="DP5" s="2526"/>
      <c r="DQ5" s="2526"/>
      <c r="DR5" s="2526"/>
      <c r="DS5" s="2526"/>
      <c r="DT5" s="2526"/>
      <c r="DU5" s="2526"/>
      <c r="DV5" s="2526"/>
      <c r="DW5" s="2526"/>
      <c r="DX5" s="2526"/>
      <c r="DY5" s="2526"/>
      <c r="DZ5" s="2526"/>
      <c r="EA5" s="2526"/>
      <c r="EB5" s="2526"/>
      <c r="EC5" s="2526"/>
      <c r="ED5" s="2526"/>
      <c r="EE5" s="2526"/>
      <c r="EF5" s="2526"/>
      <c r="EG5" s="2526"/>
      <c r="EH5" s="2526"/>
      <c r="EI5" s="2526"/>
      <c r="EJ5" s="2526"/>
      <c r="EK5" s="2526"/>
      <c r="EL5" s="2526"/>
      <c r="EM5" s="2526"/>
      <c r="EN5" s="2526"/>
      <c r="EO5" s="2526"/>
      <c r="EP5" s="2526"/>
      <c r="EQ5" s="2526"/>
      <c r="ER5" s="2526"/>
      <c r="ES5" s="2526"/>
      <c r="ET5" s="2526"/>
      <c r="EU5" s="1917" t="s">
        <v>158</v>
      </c>
      <c r="EV5" s="1927"/>
      <c r="EW5" s="1927"/>
      <c r="EX5" s="1927"/>
      <c r="EY5" s="1927"/>
      <c r="EZ5" s="1927"/>
      <c r="FA5" s="1927"/>
      <c r="FB5" s="1927"/>
      <c r="FC5" s="1927"/>
      <c r="FD5" s="1927"/>
      <c r="FE5" s="1927"/>
      <c r="FF5" s="1927"/>
      <c r="FG5" s="1927"/>
      <c r="FH5" s="1927"/>
      <c r="FI5" s="1927"/>
      <c r="FJ5" s="1927"/>
      <c r="FK5" s="1927"/>
      <c r="FL5" s="1927"/>
      <c r="FM5" s="1927"/>
      <c r="FN5" s="1927"/>
      <c r="FO5" s="1927"/>
      <c r="FP5" s="1927"/>
      <c r="FQ5" s="1927"/>
      <c r="FR5" s="1927"/>
      <c r="FS5" s="1927"/>
      <c r="FT5" s="1927"/>
      <c r="FU5" s="1927"/>
      <c r="FV5" s="1927"/>
      <c r="FW5" s="1927"/>
      <c r="FX5" s="1927"/>
      <c r="FY5" s="1927"/>
      <c r="FZ5" s="1927"/>
      <c r="GA5" s="1927"/>
      <c r="GB5" s="1927"/>
      <c r="GC5" s="1927"/>
      <c r="GD5" s="1927"/>
      <c r="GE5" s="1927"/>
      <c r="GF5" s="1927"/>
      <c r="GG5" s="1927"/>
      <c r="GH5" s="1927"/>
      <c r="GI5" s="1927"/>
      <c r="GJ5" s="1927"/>
      <c r="GK5" s="1927"/>
      <c r="GL5" s="1927"/>
      <c r="GM5" s="1927"/>
      <c r="GN5" s="1927"/>
      <c r="GO5" s="1927"/>
      <c r="GP5" s="1927"/>
      <c r="GQ5" s="1927"/>
      <c r="GR5" s="1927"/>
      <c r="GS5" s="1927"/>
      <c r="GT5" s="1927"/>
      <c r="GU5" s="1927"/>
      <c r="GV5" s="1927"/>
      <c r="GW5" s="1927"/>
      <c r="GX5" s="1927"/>
      <c r="GY5" s="1927"/>
      <c r="GZ5" s="1927"/>
      <c r="HA5" s="1927"/>
      <c r="HB5" s="1927"/>
      <c r="HC5" s="1927"/>
      <c r="HD5" s="1927"/>
      <c r="HE5" s="1927"/>
      <c r="HF5" s="1927"/>
      <c r="HG5" s="1927"/>
      <c r="HH5" s="1927"/>
      <c r="HI5" s="1927"/>
      <c r="HJ5" s="1927"/>
      <c r="HK5" s="1927"/>
      <c r="HL5" s="1927"/>
      <c r="HM5" s="1927"/>
      <c r="HN5" s="1927"/>
      <c r="HO5" s="1927"/>
      <c r="HP5" s="1927"/>
      <c r="HQ5" s="1927"/>
      <c r="HR5" s="1927"/>
      <c r="HS5" s="1927"/>
      <c r="HT5" s="1927"/>
      <c r="HU5" s="1927"/>
      <c r="HV5" s="1927"/>
      <c r="HW5" s="1927"/>
      <c r="HX5" s="1927"/>
      <c r="HY5" s="1927"/>
      <c r="HZ5" s="1927"/>
      <c r="IA5" s="1927"/>
      <c r="IB5" s="1927"/>
      <c r="IC5" s="1927"/>
      <c r="ID5" s="1927"/>
      <c r="IE5" s="1927"/>
      <c r="IF5" s="1927"/>
      <c r="IG5" s="1927"/>
      <c r="IH5" s="1927"/>
      <c r="II5" s="1927"/>
      <c r="IJ5" s="1927"/>
      <c r="IK5" s="1927"/>
      <c r="IL5" s="1927"/>
      <c r="IM5" s="1927"/>
      <c r="IN5" s="1927"/>
      <c r="IO5" s="1927"/>
      <c r="IP5" s="1927"/>
      <c r="IQ5" s="1927"/>
      <c r="IR5" s="1927"/>
      <c r="IS5" s="1927"/>
      <c r="IT5" s="1927"/>
      <c r="IU5" s="1927"/>
      <c r="IV5" s="1927"/>
      <c r="IW5" s="1927"/>
      <c r="IX5" s="1927"/>
      <c r="IY5" s="1927"/>
      <c r="IZ5" s="1927"/>
      <c r="JA5" s="1927"/>
      <c r="JB5" s="1927"/>
      <c r="JC5" s="1927"/>
      <c r="JD5" s="1927"/>
      <c r="JE5" s="1927"/>
      <c r="JF5" s="1927"/>
      <c r="JG5" s="1927"/>
      <c r="JH5" s="1927"/>
      <c r="JI5" s="1927"/>
      <c r="JJ5" s="1927"/>
      <c r="JK5" s="1927"/>
      <c r="JL5" s="1927"/>
      <c r="JM5" s="1927"/>
      <c r="JN5" s="1927"/>
      <c r="JO5" s="1927"/>
      <c r="JP5" s="1927"/>
      <c r="JQ5" s="1927"/>
      <c r="JR5" s="1927"/>
      <c r="JS5" s="1927"/>
      <c r="JT5" s="1927"/>
      <c r="JU5" s="1927"/>
      <c r="JV5" s="1927"/>
      <c r="JW5" s="1927"/>
      <c r="JX5" s="1927"/>
      <c r="JY5" s="1927"/>
      <c r="JZ5" s="1927"/>
      <c r="KA5" s="1927"/>
      <c r="KB5" s="1927"/>
      <c r="KC5" s="1927"/>
    </row>
    <row r="6" spans="1:289" ht="34.5" customHeight="1">
      <c r="A6" s="2522"/>
      <c r="B6" s="2494">
        <v>2013</v>
      </c>
      <c r="C6" s="2494"/>
      <c r="D6" s="2494"/>
      <c r="E6" s="2494"/>
      <c r="F6" s="2494"/>
      <c r="G6" s="2494"/>
      <c r="H6" s="2494"/>
      <c r="I6" s="2494"/>
      <c r="J6" s="2494"/>
      <c r="K6" s="2494"/>
      <c r="L6" s="2494"/>
      <c r="M6" s="2494">
        <v>2013</v>
      </c>
      <c r="N6" s="2494">
        <v>2014</v>
      </c>
      <c r="O6" s="2494"/>
      <c r="P6" s="2494"/>
      <c r="Q6" s="2494"/>
      <c r="R6" s="2494"/>
      <c r="S6" s="2494"/>
      <c r="T6" s="2494"/>
      <c r="U6" s="2494"/>
      <c r="V6" s="2494"/>
      <c r="W6" s="2494"/>
      <c r="X6" s="2494"/>
      <c r="Y6" s="2494">
        <v>2014</v>
      </c>
      <c r="Z6" s="2494">
        <v>2015</v>
      </c>
      <c r="AA6" s="2494"/>
      <c r="AB6" s="2494">
        <v>2015</v>
      </c>
      <c r="AC6" s="2494"/>
      <c r="AD6" s="2494"/>
      <c r="AE6" s="2494"/>
      <c r="AF6" s="2494"/>
      <c r="AG6" s="2494"/>
      <c r="AH6" s="2494"/>
      <c r="AI6" s="2494"/>
      <c r="AJ6" s="2494"/>
      <c r="AK6" s="2494"/>
      <c r="AL6" s="848">
        <v>2016</v>
      </c>
      <c r="AM6" s="848"/>
      <c r="AN6" s="848"/>
      <c r="AO6" s="848"/>
      <c r="AP6" s="848"/>
      <c r="AQ6" s="848"/>
      <c r="AR6" s="848"/>
      <c r="AS6" s="848"/>
      <c r="AT6" s="848"/>
      <c r="AU6" s="848"/>
      <c r="AV6" s="2494">
        <v>2016</v>
      </c>
      <c r="AW6" s="2494"/>
      <c r="AX6" s="848">
        <v>2017</v>
      </c>
      <c r="AY6" s="848"/>
      <c r="AZ6" s="848"/>
      <c r="BA6" s="848"/>
      <c r="BB6" s="848"/>
      <c r="BC6" s="848"/>
      <c r="BD6" s="848"/>
      <c r="BE6" s="848"/>
      <c r="BF6" s="848"/>
      <c r="BG6" s="848"/>
      <c r="BH6" s="888"/>
      <c r="BI6" s="891">
        <v>2017</v>
      </c>
      <c r="BJ6" s="892">
        <v>2018</v>
      </c>
      <c r="BK6" s="892"/>
      <c r="BL6" s="892"/>
      <c r="BM6" s="892"/>
      <c r="BN6" s="892"/>
      <c r="BO6" s="892"/>
      <c r="BP6" s="892"/>
      <c r="BQ6" s="892"/>
      <c r="BR6" s="892"/>
      <c r="BS6" s="892"/>
      <c r="BT6" s="892"/>
      <c r="BU6" s="891">
        <v>2018</v>
      </c>
      <c r="BV6" s="2519">
        <v>2019</v>
      </c>
      <c r="BW6" s="2519"/>
      <c r="BX6" s="2519"/>
      <c r="BY6" s="2519"/>
      <c r="BZ6" s="2519"/>
      <c r="CA6" s="2519"/>
      <c r="CB6" s="2519"/>
      <c r="CC6" s="2519"/>
      <c r="CD6" s="2519"/>
      <c r="CE6" s="2519"/>
      <c r="CF6" s="2519"/>
      <c r="CG6" s="2519"/>
      <c r="CH6" s="893">
        <v>2020</v>
      </c>
      <c r="CI6" s="893">
        <v>2020</v>
      </c>
      <c r="CJ6" s="893">
        <v>2020</v>
      </c>
      <c r="CK6" s="893">
        <v>2020</v>
      </c>
      <c r="CL6" s="893">
        <v>2020</v>
      </c>
      <c r="CM6" s="893">
        <v>2020</v>
      </c>
      <c r="CN6" s="893">
        <v>2020</v>
      </c>
      <c r="CO6" s="893">
        <v>2020</v>
      </c>
      <c r="CP6" s="893">
        <v>2020</v>
      </c>
      <c r="CQ6" s="893">
        <v>2020</v>
      </c>
      <c r="CR6" s="893">
        <v>2020</v>
      </c>
      <c r="CS6" s="893">
        <v>2020</v>
      </c>
      <c r="CT6" s="2496">
        <v>2021</v>
      </c>
      <c r="CU6" s="2497"/>
      <c r="CV6" s="2497"/>
      <c r="CW6" s="2497"/>
      <c r="CX6" s="2497"/>
      <c r="CY6" s="2497"/>
      <c r="CZ6" s="2497"/>
      <c r="DA6" s="2497"/>
      <c r="DB6" s="2497"/>
      <c r="DC6" s="2497"/>
      <c r="DD6" s="2497"/>
      <c r="DE6" s="2498"/>
      <c r="DF6" s="2499">
        <v>2022</v>
      </c>
      <c r="DG6" s="2497"/>
      <c r="DH6" s="2497"/>
      <c r="DI6" s="2497"/>
      <c r="DJ6" s="2497"/>
      <c r="DK6" s="2497"/>
      <c r="DL6" s="2497"/>
      <c r="DM6" s="2497"/>
      <c r="DN6" s="2497"/>
      <c r="DO6" s="2497"/>
      <c r="DP6" s="2497"/>
      <c r="DQ6" s="2498"/>
      <c r="DR6" s="2499">
        <v>2023</v>
      </c>
      <c r="DS6" s="2497"/>
      <c r="DT6" s="2497"/>
      <c r="DU6" s="2497"/>
      <c r="DV6" s="2497"/>
      <c r="DW6" s="2497"/>
      <c r="DX6" s="2497"/>
      <c r="DY6" s="2497"/>
      <c r="DZ6" s="2497"/>
      <c r="EA6" s="2497"/>
      <c r="EB6" s="2497"/>
      <c r="EC6" s="2498"/>
      <c r="ED6" s="2114">
        <v>2024</v>
      </c>
      <c r="EE6" s="2115"/>
      <c r="EF6" s="2115"/>
      <c r="EG6" s="2115"/>
      <c r="EH6" s="2115"/>
      <c r="EI6" s="2115"/>
      <c r="EJ6" s="2115"/>
      <c r="EK6" s="2115"/>
      <c r="EL6" s="2115"/>
      <c r="EM6" s="2115"/>
      <c r="EN6" s="2115"/>
      <c r="EO6" s="2112">
        <v>2024</v>
      </c>
      <c r="EP6" s="2499">
        <v>2025</v>
      </c>
      <c r="EQ6" s="2497"/>
      <c r="ER6" s="2497"/>
      <c r="ES6" s="2497"/>
      <c r="ET6" s="2498"/>
      <c r="EU6" s="2523"/>
    </row>
    <row r="7" spans="1:289" ht="34.5" customHeight="1">
      <c r="A7" s="2489"/>
      <c r="B7" s="849" t="s">
        <v>1961</v>
      </c>
      <c r="C7" s="849" t="s">
        <v>1972</v>
      </c>
      <c r="D7" s="849" t="s">
        <v>1971</v>
      </c>
      <c r="E7" s="849" t="s">
        <v>1970</v>
      </c>
      <c r="F7" s="849" t="s">
        <v>1969</v>
      </c>
      <c r="G7" s="849" t="s">
        <v>1968</v>
      </c>
      <c r="H7" s="849" t="s">
        <v>1967</v>
      </c>
      <c r="I7" s="849" t="s">
        <v>1966</v>
      </c>
      <c r="J7" s="849" t="s">
        <v>1965</v>
      </c>
      <c r="K7" s="849" t="s">
        <v>1964</v>
      </c>
      <c r="L7" s="849" t="s">
        <v>1963</v>
      </c>
      <c r="M7" s="849" t="s">
        <v>1962</v>
      </c>
      <c r="N7" s="849" t="s">
        <v>1961</v>
      </c>
      <c r="O7" s="849" t="s">
        <v>1972</v>
      </c>
      <c r="P7" s="849" t="s">
        <v>1971</v>
      </c>
      <c r="Q7" s="849" t="s">
        <v>1970</v>
      </c>
      <c r="R7" s="849" t="s">
        <v>1969</v>
      </c>
      <c r="S7" s="849" t="s">
        <v>1968</v>
      </c>
      <c r="T7" s="849" t="s">
        <v>1967</v>
      </c>
      <c r="U7" s="849" t="s">
        <v>1966</v>
      </c>
      <c r="V7" s="849" t="s">
        <v>1965</v>
      </c>
      <c r="W7" s="849" t="s">
        <v>1964</v>
      </c>
      <c r="X7" s="849" t="s">
        <v>1963</v>
      </c>
      <c r="Y7" s="849" t="s">
        <v>1962</v>
      </c>
      <c r="Z7" s="849" t="s">
        <v>1961</v>
      </c>
      <c r="AA7" s="849" t="s">
        <v>1972</v>
      </c>
      <c r="AB7" s="849" t="s">
        <v>1971</v>
      </c>
      <c r="AC7" s="849" t="s">
        <v>1970</v>
      </c>
      <c r="AD7" s="849" t="s">
        <v>1969</v>
      </c>
      <c r="AE7" s="849" t="s">
        <v>1973</v>
      </c>
      <c r="AF7" s="849" t="s">
        <v>1977</v>
      </c>
      <c r="AG7" s="849" t="s">
        <v>1966</v>
      </c>
      <c r="AH7" s="849" t="s">
        <v>1965</v>
      </c>
      <c r="AI7" s="849" t="s">
        <v>1964</v>
      </c>
      <c r="AJ7" s="849" t="s">
        <v>1963</v>
      </c>
      <c r="AK7" s="849" t="s">
        <v>1962</v>
      </c>
      <c r="AL7" s="849" t="s">
        <v>1961</v>
      </c>
      <c r="AM7" s="849" t="s">
        <v>1972</v>
      </c>
      <c r="AN7" s="849" t="s">
        <v>1971</v>
      </c>
      <c r="AO7" s="849" t="s">
        <v>1970</v>
      </c>
      <c r="AP7" s="849" t="s">
        <v>1969</v>
      </c>
      <c r="AQ7" s="849" t="s">
        <v>1968</v>
      </c>
      <c r="AR7" s="849" t="s">
        <v>1967</v>
      </c>
      <c r="AS7" s="849" t="s">
        <v>1966</v>
      </c>
      <c r="AT7" s="849" t="s">
        <v>1965</v>
      </c>
      <c r="AU7" s="849" t="s">
        <v>1964</v>
      </c>
      <c r="AV7" s="849" t="s">
        <v>1963</v>
      </c>
      <c r="AW7" s="849" t="s">
        <v>1962</v>
      </c>
      <c r="AX7" s="849" t="s">
        <v>1961</v>
      </c>
      <c r="AY7" s="849" t="s">
        <v>1960</v>
      </c>
      <c r="AZ7" s="849" t="s">
        <v>1959</v>
      </c>
      <c r="BA7" s="849" t="s">
        <v>1958</v>
      </c>
      <c r="BB7" s="849" t="s">
        <v>1978</v>
      </c>
      <c r="BC7" s="849" t="s">
        <v>1979</v>
      </c>
      <c r="BD7" s="849" t="s">
        <v>1988</v>
      </c>
      <c r="BE7" s="849" t="s">
        <v>1998</v>
      </c>
      <c r="BF7" s="849" t="s">
        <v>2008</v>
      </c>
      <c r="BG7" s="849" t="s">
        <v>2021</v>
      </c>
      <c r="BH7" s="884" t="s">
        <v>2032</v>
      </c>
      <c r="BI7" s="906" t="s">
        <v>1962</v>
      </c>
      <c r="BJ7" s="906" t="s">
        <v>1961</v>
      </c>
      <c r="BK7" s="906" t="s">
        <v>1960</v>
      </c>
      <c r="BL7" s="906" t="s">
        <v>1959</v>
      </c>
      <c r="BM7" s="906" t="s">
        <v>1958</v>
      </c>
      <c r="BN7" s="906" t="s">
        <v>1978</v>
      </c>
      <c r="BO7" s="906" t="s">
        <v>1979</v>
      </c>
      <c r="BP7" s="906" t="s">
        <v>1988</v>
      </c>
      <c r="BQ7" s="906" t="s">
        <v>1998</v>
      </c>
      <c r="BR7" s="906" t="s">
        <v>2008</v>
      </c>
      <c r="BS7" s="906" t="s">
        <v>2021</v>
      </c>
      <c r="BT7" s="906" t="s">
        <v>2032</v>
      </c>
      <c r="BU7" s="906" t="s">
        <v>1962</v>
      </c>
      <c r="BV7" s="906" t="s">
        <v>1961</v>
      </c>
      <c r="BW7" s="906" t="s">
        <v>1960</v>
      </c>
      <c r="BX7" s="906" t="s">
        <v>1959</v>
      </c>
      <c r="BY7" s="906" t="s">
        <v>1958</v>
      </c>
      <c r="BZ7" s="906" t="s">
        <v>1978</v>
      </c>
      <c r="CA7" s="906" t="s">
        <v>1979</v>
      </c>
      <c r="CB7" s="906" t="s">
        <v>1988</v>
      </c>
      <c r="CC7" s="906" t="s">
        <v>1998</v>
      </c>
      <c r="CD7" s="906" t="s">
        <v>2008</v>
      </c>
      <c r="CE7" s="906" t="s">
        <v>2021</v>
      </c>
      <c r="CF7" s="906" t="s">
        <v>2032</v>
      </c>
      <c r="CG7" s="906" t="s">
        <v>1962</v>
      </c>
      <c r="CH7" s="906" t="s">
        <v>1961</v>
      </c>
      <c r="CI7" s="906" t="s">
        <v>1960</v>
      </c>
      <c r="CJ7" s="906" t="s">
        <v>1959</v>
      </c>
      <c r="CK7" s="906" t="s">
        <v>1958</v>
      </c>
      <c r="CL7" s="906" t="s">
        <v>1978</v>
      </c>
      <c r="CM7" s="906" t="s">
        <v>2426</v>
      </c>
      <c r="CN7" s="906" t="s">
        <v>2432</v>
      </c>
      <c r="CO7" s="906" t="s">
        <v>1998</v>
      </c>
      <c r="CP7" s="906" t="s">
        <v>2008</v>
      </c>
      <c r="CQ7" s="906" t="s">
        <v>2021</v>
      </c>
      <c r="CR7" s="906" t="s">
        <v>2032</v>
      </c>
      <c r="CS7" s="906" t="s">
        <v>1962</v>
      </c>
      <c r="CT7" s="906" t="s">
        <v>1961</v>
      </c>
      <c r="CU7" s="906" t="s">
        <v>1960</v>
      </c>
      <c r="CV7" s="906" t="s">
        <v>1959</v>
      </c>
      <c r="CW7" s="906" t="s">
        <v>1958</v>
      </c>
      <c r="CX7" s="906" t="s">
        <v>1978</v>
      </c>
      <c r="CY7" s="906" t="s">
        <v>1979</v>
      </c>
      <c r="CZ7" s="906" t="s">
        <v>1988</v>
      </c>
      <c r="DA7" s="906" t="s">
        <v>1998</v>
      </c>
      <c r="DB7" s="906" t="s">
        <v>2008</v>
      </c>
      <c r="DC7" s="906" t="s">
        <v>2021</v>
      </c>
      <c r="DD7" s="906" t="s">
        <v>2032</v>
      </c>
      <c r="DE7" s="906" t="s">
        <v>1962</v>
      </c>
      <c r="DF7" s="906" t="s">
        <v>1961</v>
      </c>
      <c r="DG7" s="906" t="s">
        <v>1960</v>
      </c>
      <c r="DH7" s="906" t="s">
        <v>1959</v>
      </c>
      <c r="DI7" s="906" t="s">
        <v>1958</v>
      </c>
      <c r="DJ7" s="906" t="s">
        <v>1978</v>
      </c>
      <c r="DK7" s="906" t="s">
        <v>1979</v>
      </c>
      <c r="DL7" s="906" t="s">
        <v>1988</v>
      </c>
      <c r="DM7" s="906" t="s">
        <v>1998</v>
      </c>
      <c r="DN7" s="906" t="s">
        <v>2008</v>
      </c>
      <c r="DO7" s="906" t="s">
        <v>2021</v>
      </c>
      <c r="DP7" s="906" t="s">
        <v>2032</v>
      </c>
      <c r="DQ7" s="906" t="s">
        <v>1962</v>
      </c>
      <c r="DR7" s="906" t="s">
        <v>1961</v>
      </c>
      <c r="DS7" s="906" t="s">
        <v>1960</v>
      </c>
      <c r="DT7" s="906" t="s">
        <v>1959</v>
      </c>
      <c r="DU7" s="906" t="s">
        <v>1958</v>
      </c>
      <c r="DV7" s="906" t="s">
        <v>1978</v>
      </c>
      <c r="DW7" s="906" t="s">
        <v>1979</v>
      </c>
      <c r="DX7" s="906" t="s">
        <v>1988</v>
      </c>
      <c r="DY7" s="906" t="s">
        <v>1998</v>
      </c>
      <c r="DZ7" s="906" t="s">
        <v>2008</v>
      </c>
      <c r="EA7" s="906" t="s">
        <v>2021</v>
      </c>
      <c r="EB7" s="906" t="s">
        <v>2032</v>
      </c>
      <c r="EC7" s="906" t="s">
        <v>1962</v>
      </c>
      <c r="ED7" s="906" t="s">
        <v>1961</v>
      </c>
      <c r="EE7" s="906" t="s">
        <v>1960</v>
      </c>
      <c r="EF7" s="906" t="s">
        <v>1959</v>
      </c>
      <c r="EG7" s="906" t="s">
        <v>1958</v>
      </c>
      <c r="EH7" s="906" t="s">
        <v>1978</v>
      </c>
      <c r="EI7" s="906" t="s">
        <v>1979</v>
      </c>
      <c r="EJ7" s="906" t="s">
        <v>1988</v>
      </c>
      <c r="EK7" s="906" t="s">
        <v>1998</v>
      </c>
      <c r="EL7" s="906" t="s">
        <v>2008</v>
      </c>
      <c r="EM7" s="906" t="s">
        <v>2021</v>
      </c>
      <c r="EN7" s="906" t="s">
        <v>2032</v>
      </c>
      <c r="EO7" s="906" t="s">
        <v>1962</v>
      </c>
      <c r="EP7" s="906" t="s">
        <v>1961</v>
      </c>
      <c r="EQ7" s="906" t="s">
        <v>1960</v>
      </c>
      <c r="ER7" s="906" t="s">
        <v>1959</v>
      </c>
      <c r="ES7" s="906" t="s">
        <v>1958</v>
      </c>
      <c r="ET7" s="906" t="s">
        <v>1978</v>
      </c>
      <c r="EU7" s="2524"/>
    </row>
    <row r="8" spans="1:289" ht="34.5" customHeight="1">
      <c r="A8" s="2490"/>
      <c r="B8" s="1940"/>
      <c r="C8" s="1940"/>
      <c r="D8" s="1940"/>
      <c r="E8" s="1940"/>
      <c r="F8" s="1940"/>
      <c r="G8" s="1940"/>
      <c r="H8" s="1940"/>
      <c r="I8" s="1940"/>
      <c r="J8" s="1940"/>
      <c r="K8" s="1940"/>
      <c r="L8" s="1940"/>
      <c r="M8" s="1940"/>
      <c r="N8" s="1940"/>
      <c r="O8" s="1940"/>
      <c r="P8" s="1940"/>
      <c r="Q8" s="1940"/>
      <c r="R8" s="1940"/>
      <c r="S8" s="1940"/>
      <c r="T8" s="1940"/>
      <c r="U8" s="1940"/>
      <c r="V8" s="1940"/>
      <c r="W8" s="1940"/>
      <c r="X8" s="1940"/>
      <c r="Y8" s="1940"/>
      <c r="Z8" s="1940"/>
      <c r="AA8" s="1940"/>
      <c r="AB8" s="1940"/>
      <c r="AC8" s="1940"/>
      <c r="AD8" s="1940"/>
      <c r="AE8" s="1940"/>
      <c r="AF8" s="1940"/>
      <c r="AG8" s="1940"/>
      <c r="AH8" s="1940"/>
      <c r="AI8" s="1940"/>
      <c r="AJ8" s="1940"/>
      <c r="AK8" s="1940"/>
      <c r="AL8" s="1940"/>
      <c r="AM8" s="1940"/>
      <c r="AN8" s="1940"/>
      <c r="AO8" s="1940"/>
      <c r="AP8" s="1940"/>
      <c r="AQ8" s="1940"/>
      <c r="AR8" s="1940"/>
      <c r="AS8" s="1940"/>
      <c r="AT8" s="1940"/>
      <c r="AU8" s="1940"/>
      <c r="AV8" s="1940"/>
      <c r="AW8" s="1940"/>
      <c r="AX8" s="1940"/>
      <c r="AY8" s="1940"/>
      <c r="AZ8" s="1940"/>
      <c r="BA8" s="1940"/>
      <c r="BB8" s="1940"/>
      <c r="BC8" s="1940"/>
      <c r="BD8" s="1940"/>
      <c r="BE8" s="1940"/>
      <c r="BF8" s="1940"/>
      <c r="BG8" s="1940"/>
      <c r="BH8" s="1941"/>
      <c r="BI8" s="1938" t="s">
        <v>3191</v>
      </c>
      <c r="BJ8" s="1938" t="s">
        <v>3191</v>
      </c>
      <c r="BK8" s="1938"/>
      <c r="BL8" s="1938"/>
      <c r="BM8" s="1938"/>
      <c r="BN8" s="1938"/>
      <c r="BO8" s="1938"/>
      <c r="BP8" s="1938"/>
      <c r="BQ8" s="1938"/>
      <c r="BR8" s="1938"/>
      <c r="BS8" s="1938"/>
      <c r="BT8" s="1938"/>
      <c r="BU8" s="1938" t="s">
        <v>3191</v>
      </c>
      <c r="BV8" s="1938" t="s">
        <v>3191</v>
      </c>
      <c r="BW8" s="1938"/>
      <c r="BX8" s="1938"/>
      <c r="BY8" s="1938"/>
      <c r="BZ8" s="1938"/>
      <c r="CA8" s="1938"/>
      <c r="CB8" s="1938"/>
      <c r="CC8" s="1938"/>
      <c r="CD8" s="1938"/>
      <c r="CE8" s="1938"/>
      <c r="CF8" s="1938"/>
      <c r="CG8" s="1938" t="s">
        <v>3191</v>
      </c>
      <c r="CH8" s="1938" t="s">
        <v>3191</v>
      </c>
      <c r="CI8" s="1938"/>
      <c r="CJ8" s="1938"/>
      <c r="CK8" s="1938"/>
      <c r="CL8" s="1938"/>
      <c r="CM8" s="1938"/>
      <c r="CN8" s="1938"/>
      <c r="CO8" s="1938"/>
      <c r="CP8" s="1938"/>
      <c r="CQ8" s="1938"/>
      <c r="CR8" s="1938"/>
      <c r="CS8" s="1938" t="s">
        <v>3191</v>
      </c>
      <c r="CT8" s="1938" t="s">
        <v>3191</v>
      </c>
      <c r="CU8" s="1938"/>
      <c r="CV8" s="1938"/>
      <c r="CW8" s="1938"/>
      <c r="CX8" s="1938"/>
      <c r="CY8" s="1938"/>
      <c r="CZ8" s="1938"/>
      <c r="DA8" s="1938"/>
      <c r="DB8" s="1938"/>
      <c r="DC8" s="1938"/>
      <c r="DD8" s="1938"/>
      <c r="DE8" s="1938" t="s">
        <v>3191</v>
      </c>
      <c r="DF8" s="1938" t="s">
        <v>3191</v>
      </c>
      <c r="DG8" s="1938"/>
      <c r="DH8" s="1938"/>
      <c r="DI8" s="1938"/>
      <c r="DJ8" s="1938"/>
      <c r="DK8" s="1938"/>
      <c r="DL8" s="1938"/>
      <c r="DM8" s="1938"/>
      <c r="DN8" s="1938"/>
      <c r="DO8" s="1938"/>
      <c r="DP8" s="1938"/>
      <c r="DQ8" s="1938" t="s">
        <v>3191</v>
      </c>
      <c r="DR8" s="1938" t="s">
        <v>3191</v>
      </c>
      <c r="DS8" s="1938"/>
      <c r="DT8" s="1938"/>
      <c r="DU8" s="1938"/>
      <c r="DV8" s="1938"/>
      <c r="DW8" s="1938"/>
      <c r="DX8" s="1938"/>
      <c r="DY8" s="1938"/>
      <c r="DZ8" s="1938"/>
      <c r="EA8" s="1938"/>
      <c r="EB8" s="1938"/>
      <c r="EC8" s="1938" t="s">
        <v>3191</v>
      </c>
      <c r="ED8" s="1938" t="s">
        <v>3120</v>
      </c>
      <c r="EE8" s="1938" t="s">
        <v>3121</v>
      </c>
      <c r="EF8" s="1938" t="s">
        <v>3122</v>
      </c>
      <c r="EG8" s="1938" t="s">
        <v>3123</v>
      </c>
      <c r="EH8" s="1938" t="s">
        <v>1978</v>
      </c>
      <c r="EI8" s="1938" t="s">
        <v>3124</v>
      </c>
      <c r="EJ8" s="1938" t="s">
        <v>3125</v>
      </c>
      <c r="EK8" s="1938" t="s">
        <v>3126</v>
      </c>
      <c r="EL8" s="1938" t="s">
        <v>3127</v>
      </c>
      <c r="EM8" s="1938" t="s">
        <v>3190</v>
      </c>
      <c r="EN8" s="1938" t="s">
        <v>3424</v>
      </c>
      <c r="EO8" s="1938" t="s">
        <v>3191</v>
      </c>
      <c r="EP8" s="1938" t="s">
        <v>3120</v>
      </c>
      <c r="EQ8" s="1938" t="s">
        <v>3121</v>
      </c>
      <c r="ER8" s="1938" t="s">
        <v>3122</v>
      </c>
      <c r="ES8" s="1938" t="s">
        <v>3123</v>
      </c>
      <c r="ET8" s="1938" t="s">
        <v>1978</v>
      </c>
      <c r="EU8" s="2525"/>
    </row>
    <row r="9" spans="1:289" ht="21">
      <c r="A9" s="1930" t="s">
        <v>2755</v>
      </c>
      <c r="B9" s="850">
        <v>538.21071784000003</v>
      </c>
      <c r="C9" s="850">
        <v>581.61442864000003</v>
      </c>
      <c r="D9" s="850">
        <v>594.86463550000008</v>
      </c>
      <c r="E9" s="850">
        <v>601.23010456000009</v>
      </c>
      <c r="F9" s="850">
        <v>608.97354347999999</v>
      </c>
      <c r="G9" s="850">
        <v>670.45141332999992</v>
      </c>
      <c r="H9" s="850">
        <v>691.93332683999995</v>
      </c>
      <c r="I9" s="850">
        <v>695.00221781999994</v>
      </c>
      <c r="J9" s="850">
        <v>705.13805288000003</v>
      </c>
      <c r="K9" s="850">
        <v>721.95722597999998</v>
      </c>
      <c r="L9" s="850">
        <v>733.61118855000007</v>
      </c>
      <c r="M9" s="840">
        <v>732.72905534999995</v>
      </c>
      <c r="N9" s="840">
        <v>731.96219670000005</v>
      </c>
      <c r="O9" s="840">
        <v>733.15730945000007</v>
      </c>
      <c r="P9" s="840">
        <v>740.44047323999985</v>
      </c>
      <c r="Q9" s="840">
        <v>748.35909093999999</v>
      </c>
      <c r="R9" s="840">
        <v>755.62198443999989</v>
      </c>
      <c r="S9" s="840">
        <v>759.98028034999993</v>
      </c>
      <c r="T9" s="840">
        <v>760.72169521000001</v>
      </c>
      <c r="U9" s="840">
        <v>785.10259098000006</v>
      </c>
      <c r="V9" s="840">
        <v>806.35544091999998</v>
      </c>
      <c r="W9" s="840">
        <v>816.28137460000005</v>
      </c>
      <c r="X9" s="840">
        <v>835.7108486599999</v>
      </c>
      <c r="Y9" s="840">
        <v>845.88725850000014</v>
      </c>
      <c r="Z9" s="840">
        <v>841.01036349999981</v>
      </c>
      <c r="AA9" s="840">
        <v>934.9104918999999</v>
      </c>
      <c r="AB9" s="840">
        <v>930.83017056000006</v>
      </c>
      <c r="AC9" s="840">
        <v>935.57241469999974</v>
      </c>
      <c r="AD9" s="840">
        <v>933.02591963999987</v>
      </c>
      <c r="AE9" s="840">
        <v>935.86646063000001</v>
      </c>
      <c r="AF9" s="840">
        <v>944.62310505000005</v>
      </c>
      <c r="AG9" s="840">
        <v>946.88512248999996</v>
      </c>
      <c r="AH9" s="840">
        <v>755.42591412000002</v>
      </c>
      <c r="AI9" s="840">
        <v>683.37207753999996</v>
      </c>
      <c r="AJ9" s="840">
        <v>619.39311624999993</v>
      </c>
      <c r="AK9" s="840">
        <v>506.03210738000001</v>
      </c>
      <c r="AL9" s="840">
        <v>438.72581642</v>
      </c>
      <c r="AM9" s="840">
        <v>436.12073617999999</v>
      </c>
      <c r="AN9" s="840">
        <v>430.46344965999998</v>
      </c>
      <c r="AO9" s="840">
        <v>429.84970630000004</v>
      </c>
      <c r="AP9" s="840">
        <v>425.22783229999993</v>
      </c>
      <c r="AQ9" s="840">
        <v>422.65396430000004</v>
      </c>
      <c r="AR9" s="840">
        <v>397.80148007999992</v>
      </c>
      <c r="AS9" s="840">
        <v>398.41250269</v>
      </c>
      <c r="AT9" s="840">
        <v>407.43569630000002</v>
      </c>
      <c r="AU9" s="840">
        <v>397.91857561</v>
      </c>
      <c r="AV9" s="840">
        <v>416.94306967</v>
      </c>
      <c r="AW9" s="840">
        <v>436.42770843999995</v>
      </c>
      <c r="AX9" s="840">
        <v>430.22423482999994</v>
      </c>
      <c r="AY9" s="840">
        <v>431.86102641000002</v>
      </c>
      <c r="AZ9" s="840">
        <v>432.33633431000004</v>
      </c>
      <c r="BA9" s="840">
        <v>436.80675808999996</v>
      </c>
      <c r="BB9" s="840">
        <v>426.33598738000001</v>
      </c>
      <c r="BC9" s="840">
        <v>421.72397434000004</v>
      </c>
      <c r="BD9" s="840">
        <v>439.43915741000001</v>
      </c>
      <c r="BE9" s="840">
        <v>451.04971407999994</v>
      </c>
      <c r="BF9" s="840">
        <v>449.58215511000003</v>
      </c>
      <c r="BG9" s="840">
        <v>432.71039815</v>
      </c>
      <c r="BH9" s="885">
        <v>430.76417579999998</v>
      </c>
      <c r="BI9" s="874">
        <v>407.54898557000001</v>
      </c>
      <c r="BJ9" s="874">
        <v>401.39537050999996</v>
      </c>
      <c r="BK9" s="874">
        <v>394.33422171999996</v>
      </c>
      <c r="BL9" s="874">
        <v>403.47659927000001</v>
      </c>
      <c r="BM9" s="874">
        <v>411.42736009999999</v>
      </c>
      <c r="BN9" s="874">
        <v>421.65639979000002</v>
      </c>
      <c r="BO9" s="874">
        <v>420.59282950000005</v>
      </c>
      <c r="BP9" s="874">
        <v>418.04282558000006</v>
      </c>
      <c r="BQ9" s="874">
        <v>416.47752616999998</v>
      </c>
      <c r="BR9" s="874">
        <v>418.40752067</v>
      </c>
      <c r="BS9" s="874">
        <v>421.52792438</v>
      </c>
      <c r="BT9" s="874">
        <v>424.24412290999999</v>
      </c>
      <c r="BU9" s="874">
        <v>423.39805889999997</v>
      </c>
      <c r="BV9" s="874">
        <v>424.39075045999999</v>
      </c>
      <c r="BW9" s="874">
        <v>421.47231107000005</v>
      </c>
      <c r="BX9" s="874">
        <v>430.11766607999999</v>
      </c>
      <c r="BY9" s="874">
        <v>434.07224960000002</v>
      </c>
      <c r="BZ9" s="874">
        <v>451.97746569000003</v>
      </c>
      <c r="CA9" s="874">
        <v>456.49804322</v>
      </c>
      <c r="CB9" s="874">
        <v>456.05548060000007</v>
      </c>
      <c r="CC9" s="874">
        <v>460.23801298000001</v>
      </c>
      <c r="CD9" s="874">
        <v>469.47392559999997</v>
      </c>
      <c r="CE9" s="874">
        <v>473.02856401000003</v>
      </c>
      <c r="CF9" s="874">
        <v>472.37484481000001</v>
      </c>
      <c r="CG9" s="874">
        <v>485.13964082000007</v>
      </c>
      <c r="CH9" s="874">
        <v>482.03446362000005</v>
      </c>
      <c r="CI9" s="874">
        <v>476.02636567000002</v>
      </c>
      <c r="CJ9" s="874">
        <v>477.48468552999998</v>
      </c>
      <c r="CK9" s="874">
        <v>533.32108911</v>
      </c>
      <c r="CL9" s="874">
        <v>532.95972023000002</v>
      </c>
      <c r="CM9" s="874">
        <v>524.94022820999999</v>
      </c>
      <c r="CN9" s="874">
        <v>525.54540322000003</v>
      </c>
      <c r="CO9" s="874">
        <v>529.93283752000002</v>
      </c>
      <c r="CP9" s="874">
        <v>534.42749503999994</v>
      </c>
      <c r="CQ9" s="874">
        <v>523.18709729999989</v>
      </c>
      <c r="CR9" s="874">
        <v>524.92194959000005</v>
      </c>
      <c r="CS9" s="874">
        <v>531.28475893999996</v>
      </c>
      <c r="CT9" s="874">
        <v>537.99087044999999</v>
      </c>
      <c r="CU9" s="874">
        <v>534.84074794000003</v>
      </c>
      <c r="CV9" s="874">
        <v>540.71176303000004</v>
      </c>
      <c r="CW9" s="874">
        <v>533.94968663999998</v>
      </c>
      <c r="CX9" s="874">
        <v>536.11958943000002</v>
      </c>
      <c r="CY9" s="874">
        <v>538.22625913000002</v>
      </c>
      <c r="CZ9" s="874">
        <v>534.04471863000003</v>
      </c>
      <c r="DA9" s="874">
        <v>542.56642350000004</v>
      </c>
      <c r="DB9" s="874">
        <v>546.30608309000002</v>
      </c>
      <c r="DC9" s="874">
        <v>547.13436809999996</v>
      </c>
      <c r="DD9" s="874">
        <v>551.93139554000004</v>
      </c>
      <c r="DE9" s="874">
        <v>563.21427217999997</v>
      </c>
      <c r="DF9" s="874">
        <v>567.29357872000003</v>
      </c>
      <c r="DG9" s="874">
        <v>563.14749876999997</v>
      </c>
      <c r="DH9" s="874">
        <v>572.11871544999997</v>
      </c>
      <c r="DI9" s="874">
        <v>567.49188975000004</v>
      </c>
      <c r="DJ9" s="874">
        <v>572.22451254999999</v>
      </c>
      <c r="DK9" s="874">
        <v>571.59913631999996</v>
      </c>
      <c r="DL9" s="874">
        <v>571.21172114000001</v>
      </c>
      <c r="DM9" s="874">
        <v>573.13765513999999</v>
      </c>
      <c r="DN9" s="874">
        <v>591.77428609000003</v>
      </c>
      <c r="DO9" s="874">
        <v>597.12625885</v>
      </c>
      <c r="DP9" s="874">
        <v>595.89892781000003</v>
      </c>
      <c r="DQ9" s="874">
        <v>583.66742675</v>
      </c>
      <c r="DR9" s="874">
        <v>571.67550279</v>
      </c>
      <c r="DS9" s="874">
        <v>572.88910668999995</v>
      </c>
      <c r="DT9" s="874">
        <v>527.62397954000005</v>
      </c>
      <c r="DU9" s="874">
        <v>500.78854518999998</v>
      </c>
      <c r="DV9" s="874">
        <v>494.4355683</v>
      </c>
      <c r="DW9" s="874">
        <v>499.43349927999998</v>
      </c>
      <c r="DX9" s="874">
        <v>496.42099818999998</v>
      </c>
      <c r="DY9" s="874">
        <v>501.59506807000002</v>
      </c>
      <c r="DZ9" s="874">
        <v>522.40519725000001</v>
      </c>
      <c r="EA9" s="874">
        <v>491.88119259000001</v>
      </c>
      <c r="EB9" s="874">
        <v>495.80013974000002</v>
      </c>
      <c r="EC9" s="874">
        <v>487.10996204000003</v>
      </c>
      <c r="ED9" s="874">
        <v>474.97619331999999</v>
      </c>
      <c r="EE9" s="874">
        <v>467.44032426000001</v>
      </c>
      <c r="EF9" s="874">
        <v>451.25856865999998</v>
      </c>
      <c r="EG9" s="874">
        <v>426.58847859000002</v>
      </c>
      <c r="EH9" s="874">
        <v>418.95247243</v>
      </c>
      <c r="EI9" s="874">
        <v>414.57037456</v>
      </c>
      <c r="EJ9" s="874">
        <v>397.89047541999997</v>
      </c>
      <c r="EK9" s="874">
        <v>434.98623242999997</v>
      </c>
      <c r="EL9" s="874">
        <v>449.97740075000002</v>
      </c>
      <c r="EM9" s="874">
        <v>470.01404485</v>
      </c>
      <c r="EN9" s="874">
        <v>469.19644771999998</v>
      </c>
      <c r="EO9" s="874">
        <v>472.71137390000001</v>
      </c>
      <c r="EP9" s="874">
        <v>462.86976142999998</v>
      </c>
      <c r="EQ9" s="874">
        <v>461.07213306</v>
      </c>
      <c r="ER9" s="874">
        <v>460.80491302000001</v>
      </c>
      <c r="ES9" s="874">
        <v>446.44163591</v>
      </c>
      <c r="ET9" s="874">
        <v>440.50616196999999</v>
      </c>
      <c r="EU9" s="1918" t="s">
        <v>1159</v>
      </c>
      <c r="EY9" s="340"/>
      <c r="EZ9" s="341"/>
    </row>
    <row r="10" spans="1:289" ht="21">
      <c r="A10" s="1931" t="s">
        <v>1974</v>
      </c>
      <c r="B10" s="851">
        <v>2.4350116000000002</v>
      </c>
      <c r="C10" s="851">
        <v>2.4000490999999999</v>
      </c>
      <c r="D10" s="851">
        <v>2.3650866000000001</v>
      </c>
      <c r="E10" s="851">
        <v>2.3301240999999999</v>
      </c>
      <c r="F10" s="851">
        <v>2.2951616000000001</v>
      </c>
      <c r="G10" s="851">
        <v>2.2601990999999999</v>
      </c>
      <c r="H10" s="851">
        <v>4.7128861000000004</v>
      </c>
      <c r="I10" s="851">
        <v>4.6776064999999996</v>
      </c>
      <c r="J10" s="851">
        <v>4.6429611</v>
      </c>
      <c r="K10" s="851">
        <v>4.6079986000000002</v>
      </c>
      <c r="L10" s="851">
        <v>4.6576815000000007</v>
      </c>
      <c r="M10" s="843">
        <v>4.6079780399999999</v>
      </c>
      <c r="N10" s="843">
        <v>4.5985897400000004</v>
      </c>
      <c r="O10" s="843">
        <v>4.5992239399999999</v>
      </c>
      <c r="P10" s="843">
        <v>4.5329068399999999</v>
      </c>
      <c r="Q10" s="843">
        <v>4.5329068399999999</v>
      </c>
      <c r="R10" s="843">
        <v>4.5332239400000001</v>
      </c>
      <c r="S10" s="843">
        <v>4.5329068399999999</v>
      </c>
      <c r="T10" s="843">
        <v>4.5325897400000006</v>
      </c>
      <c r="U10" s="843">
        <v>4.5332239400000001</v>
      </c>
      <c r="V10" s="843">
        <v>4.5332239400000001</v>
      </c>
      <c r="W10" s="843">
        <v>4.5332239400000001</v>
      </c>
      <c r="X10" s="843">
        <v>4.5332239400000001</v>
      </c>
      <c r="Y10" s="843">
        <v>4.5132239399999996</v>
      </c>
      <c r="Z10" s="843">
        <v>4.5132239399999996</v>
      </c>
      <c r="AA10" s="843">
        <v>5.2809157999999998</v>
      </c>
      <c r="AB10" s="843">
        <v>5.2367935000000001</v>
      </c>
      <c r="AC10" s="843">
        <v>5.1924276999999996</v>
      </c>
      <c r="AD10" s="843">
        <v>5.1946474</v>
      </c>
      <c r="AE10" s="843">
        <v>5.1361593000000001</v>
      </c>
      <c r="AF10" s="843">
        <v>5.1399645000000005</v>
      </c>
      <c r="AG10" s="843">
        <v>5.1352080000000004</v>
      </c>
      <c r="AH10" s="843">
        <v>5.1352080000000004</v>
      </c>
      <c r="AI10" s="843">
        <v>5.1393303000000001</v>
      </c>
      <c r="AJ10" s="843">
        <v>5.1453552</v>
      </c>
      <c r="AK10" s="843">
        <v>6.7568574000000003</v>
      </c>
      <c r="AL10" s="843">
        <v>1.8120000000000001</v>
      </c>
      <c r="AM10" s="843">
        <v>1.512</v>
      </c>
      <c r="AN10" s="843">
        <v>1.49211001</v>
      </c>
      <c r="AO10" s="843">
        <v>1.3594380100000001</v>
      </c>
      <c r="AP10" s="843">
        <v>1.3294380100000001</v>
      </c>
      <c r="AQ10" s="843">
        <v>1.28772705</v>
      </c>
      <c r="AR10" s="843">
        <v>1.2599446699999999</v>
      </c>
      <c r="AS10" s="843">
        <v>1.23216229</v>
      </c>
      <c r="AT10" s="843">
        <v>1.2043799099999999</v>
      </c>
      <c r="AU10" s="843">
        <v>0.79559806999999994</v>
      </c>
      <c r="AV10" s="843">
        <v>0.76781568999999994</v>
      </c>
      <c r="AW10" s="843">
        <v>0.74003331000000006</v>
      </c>
      <c r="AX10" s="843">
        <v>0.71225093000000006</v>
      </c>
      <c r="AY10" s="843">
        <v>0.68446855000000006</v>
      </c>
      <c r="AZ10" s="843">
        <v>0.65668617000000007</v>
      </c>
      <c r="BA10" s="843">
        <v>0.62890379000000007</v>
      </c>
      <c r="BB10" s="843">
        <v>0.33201029999999998</v>
      </c>
      <c r="BC10" s="843">
        <v>0.33196376999999999</v>
      </c>
      <c r="BD10" s="843">
        <v>0.31225178999999997</v>
      </c>
      <c r="BE10" s="843">
        <v>0.29251167</v>
      </c>
      <c r="BF10" s="843">
        <v>0.27316576000000004</v>
      </c>
      <c r="BG10" s="843">
        <v>0.26532083000000001</v>
      </c>
      <c r="BH10" s="886">
        <v>0.25745569000000001</v>
      </c>
      <c r="BI10" s="875">
        <v>0.23711089000000002</v>
      </c>
      <c r="BJ10" s="875">
        <v>0.21676858999999998</v>
      </c>
      <c r="BK10" s="875">
        <v>0.19638897</v>
      </c>
      <c r="BL10" s="875">
        <v>0.17601037</v>
      </c>
      <c r="BM10" s="875">
        <v>0.15561701</v>
      </c>
      <c r="BN10" s="875">
        <v>0.13521554</v>
      </c>
      <c r="BO10" s="875">
        <v>0.10169458000000001</v>
      </c>
      <c r="BP10" s="875">
        <v>9.4379119999999997E-2</v>
      </c>
      <c r="BQ10" s="875">
        <v>7.3208999999999996E-2</v>
      </c>
      <c r="BR10" s="875">
        <v>5.3566000000000003E-2</v>
      </c>
      <c r="BS10" s="875">
        <v>3.3923000000000002E-2</v>
      </c>
      <c r="BT10" s="875">
        <v>0</v>
      </c>
      <c r="BU10" s="875">
        <v>0</v>
      </c>
      <c r="BV10" s="875">
        <v>0</v>
      </c>
      <c r="BW10" s="875">
        <v>0</v>
      </c>
      <c r="BX10" s="875">
        <v>0</v>
      </c>
      <c r="BY10" s="875">
        <v>0.2</v>
      </c>
      <c r="BZ10" s="875">
        <v>0.19939475000000001</v>
      </c>
      <c r="CA10" s="875">
        <v>0.19877891</v>
      </c>
      <c r="CB10" s="875">
        <v>0.19815229000000001</v>
      </c>
      <c r="CC10" s="875">
        <v>0.19751470999999998</v>
      </c>
      <c r="CD10" s="875">
        <v>0.19686595000000001</v>
      </c>
      <c r="CE10" s="875">
        <v>0.19620587</v>
      </c>
      <c r="CF10" s="875">
        <v>0.19535148000000002</v>
      </c>
      <c r="CG10" s="875">
        <v>0.19463659</v>
      </c>
      <c r="CH10" s="875">
        <v>0.19415546</v>
      </c>
      <c r="CI10" s="875">
        <v>0.19415546</v>
      </c>
      <c r="CJ10" s="875">
        <v>0.19327789000000001</v>
      </c>
      <c r="CK10" s="875">
        <v>0.19327789000000001</v>
      </c>
      <c r="CL10" s="875">
        <v>0.19327789000000001</v>
      </c>
      <c r="CM10" s="875">
        <v>0.19327789000000001</v>
      </c>
      <c r="CN10" s="875">
        <v>0.19327789000000001</v>
      </c>
      <c r="CO10" s="875">
        <v>0.19327789000000001</v>
      </c>
      <c r="CP10" s="875">
        <v>0.19217789000000002</v>
      </c>
      <c r="CQ10" s="875">
        <v>0.19217789000000002</v>
      </c>
      <c r="CR10" s="875">
        <v>0.19217789000000002</v>
      </c>
      <c r="CS10" s="875">
        <v>0.19217789000000002</v>
      </c>
      <c r="CT10" s="875">
        <v>4.7035910699999999</v>
      </c>
      <c r="CU10" s="875">
        <v>1.04529614</v>
      </c>
      <c r="CV10" s="875">
        <v>0.95865197000000002</v>
      </c>
      <c r="CW10" s="875">
        <v>0.84571169000000002</v>
      </c>
      <c r="CX10" s="875">
        <v>0.81857190999999996</v>
      </c>
      <c r="CY10" s="875">
        <v>0.75884673999999996</v>
      </c>
      <c r="CZ10" s="875">
        <v>0.75754462</v>
      </c>
      <c r="DA10" s="875">
        <v>0.48851023999999998</v>
      </c>
      <c r="DB10" s="875">
        <v>0.76564319000000003</v>
      </c>
      <c r="DC10" s="875">
        <v>0.74433475999999998</v>
      </c>
      <c r="DD10" s="875">
        <v>0</v>
      </c>
      <c r="DE10" s="875">
        <v>0</v>
      </c>
      <c r="DF10" s="875">
        <v>0</v>
      </c>
      <c r="DG10" s="875">
        <v>0</v>
      </c>
      <c r="DH10" s="875">
        <v>1.5418479899999999</v>
      </c>
      <c r="DI10" s="875">
        <v>1.4101077399999999</v>
      </c>
      <c r="DJ10" s="875">
        <v>1.4001077399999999</v>
      </c>
      <c r="DK10" s="875">
        <v>1.3993538700000001</v>
      </c>
      <c r="DL10" s="875">
        <v>1.39857751</v>
      </c>
      <c r="DM10" s="875">
        <v>1.3927888500000001</v>
      </c>
      <c r="DN10" s="875">
        <v>1.39198771</v>
      </c>
      <c r="DO10" s="875">
        <v>1.3862378099999999</v>
      </c>
      <c r="DP10" s="875">
        <v>1.3854048000000001</v>
      </c>
      <c r="DQ10" s="875">
        <v>1.3845083499999999</v>
      </c>
      <c r="DR10" s="875">
        <v>1.38365991</v>
      </c>
      <c r="DS10" s="875">
        <v>1.3827896399999999</v>
      </c>
      <c r="DT10" s="875">
        <v>1.38190934</v>
      </c>
      <c r="DU10" s="875">
        <v>1.3810170100000001</v>
      </c>
      <c r="DV10" s="875">
        <v>1.3801077399999999</v>
      </c>
      <c r="DW10" s="875">
        <v>1.3801077399999999</v>
      </c>
      <c r="DX10" s="875">
        <v>1.4106077400000001</v>
      </c>
      <c r="DY10" s="875">
        <v>1.40997236</v>
      </c>
      <c r="DZ10" s="875">
        <v>1.40932692</v>
      </c>
      <c r="EA10" s="875">
        <v>1.7087021</v>
      </c>
      <c r="EB10" s="875">
        <v>15.097480150000001</v>
      </c>
      <c r="EC10" s="875">
        <v>16.789948509999999</v>
      </c>
      <c r="ED10" s="875">
        <v>16.782457109999999</v>
      </c>
      <c r="EE10" s="875">
        <v>16.50194492</v>
      </c>
      <c r="EF10" s="875">
        <v>16.50123571</v>
      </c>
      <c r="EG10" s="875">
        <v>13.10207879</v>
      </c>
      <c r="EH10" s="875">
        <v>9.7159599599999993</v>
      </c>
      <c r="EI10" s="875">
        <v>7.50598192</v>
      </c>
      <c r="EJ10" s="875">
        <v>2.2189739999999999E-2</v>
      </c>
      <c r="EK10" s="875">
        <v>2.1411070000000001E-2</v>
      </c>
      <c r="EL10" s="875">
        <v>2.065438E-2</v>
      </c>
      <c r="EM10" s="875">
        <v>1.9841310000000001E-2</v>
      </c>
      <c r="EN10" s="875">
        <v>1.9037160000000001E-2</v>
      </c>
      <c r="EO10" s="875">
        <v>1.824038E-2</v>
      </c>
      <c r="EP10" s="875">
        <v>1.7391630000000002E-2</v>
      </c>
      <c r="EQ10" s="875">
        <v>1.65487E-2</v>
      </c>
      <c r="ER10" s="875">
        <v>1.5692419999999999E-2</v>
      </c>
      <c r="ES10" s="875">
        <v>1.482258E-2</v>
      </c>
      <c r="ET10" s="875">
        <v>1.393897E-2</v>
      </c>
      <c r="EU10" s="1920" t="s">
        <v>4086</v>
      </c>
      <c r="EZ10" s="342"/>
    </row>
    <row r="11" spans="1:289" ht="21">
      <c r="A11" s="1931" t="s">
        <v>1975</v>
      </c>
      <c r="B11" s="850">
        <f>+B9-B10</f>
        <v>535.77570623999998</v>
      </c>
      <c r="C11" s="850">
        <f t="shared" ref="C11:V11" si="0">+C9-C10</f>
        <v>579.21437953999998</v>
      </c>
      <c r="D11" s="850">
        <f t="shared" si="0"/>
        <v>592.49954890000004</v>
      </c>
      <c r="E11" s="850">
        <f t="shared" si="0"/>
        <v>598.89998046000005</v>
      </c>
      <c r="F11" s="850">
        <f t="shared" si="0"/>
        <v>606.67838187999996</v>
      </c>
      <c r="G11" s="850">
        <f t="shared" si="0"/>
        <v>668.1912142299999</v>
      </c>
      <c r="H11" s="850">
        <f t="shared" si="0"/>
        <v>687.22044073999996</v>
      </c>
      <c r="I11" s="850">
        <f t="shared" si="0"/>
        <v>690.32461131999992</v>
      </c>
      <c r="J11" s="850">
        <f t="shared" si="0"/>
        <v>700.49509178000005</v>
      </c>
      <c r="K11" s="850">
        <f t="shared" si="0"/>
        <v>717.34922738</v>
      </c>
      <c r="L11" s="850">
        <f t="shared" si="0"/>
        <v>728.9535070500001</v>
      </c>
      <c r="M11" s="843">
        <f t="shared" si="0"/>
        <v>728.12107730999992</v>
      </c>
      <c r="N11" s="840">
        <f t="shared" si="0"/>
        <v>727.36360696000008</v>
      </c>
      <c r="O11" s="840">
        <f t="shared" si="0"/>
        <v>728.55808551000007</v>
      </c>
      <c r="P11" s="840">
        <f t="shared" si="0"/>
        <v>735.90756639999984</v>
      </c>
      <c r="Q11" s="840">
        <f t="shared" si="0"/>
        <v>743.82618409999998</v>
      </c>
      <c r="R11" s="840">
        <f t="shared" si="0"/>
        <v>751.08876049999992</v>
      </c>
      <c r="S11" s="840">
        <f t="shared" si="0"/>
        <v>755.44737350999992</v>
      </c>
      <c r="T11" s="840">
        <f t="shared" si="0"/>
        <v>756.18910546999996</v>
      </c>
      <c r="U11" s="840">
        <f t="shared" si="0"/>
        <v>780.56936704000009</v>
      </c>
      <c r="V11" s="840">
        <f t="shared" si="0"/>
        <v>801.82221698000001</v>
      </c>
      <c r="W11" s="840">
        <v>811.74815066000008</v>
      </c>
      <c r="X11" s="840">
        <v>831.17762471999993</v>
      </c>
      <c r="Y11" s="843">
        <v>841.37403456000015</v>
      </c>
      <c r="Z11" s="840">
        <v>836.49713955999982</v>
      </c>
      <c r="AA11" s="840">
        <v>929.62957609999989</v>
      </c>
      <c r="AB11" s="843">
        <v>925.59337706000008</v>
      </c>
      <c r="AC11" s="843">
        <v>930.37998699999969</v>
      </c>
      <c r="AD11" s="843">
        <v>927.83127223999986</v>
      </c>
      <c r="AE11" s="843">
        <v>930.73030132999997</v>
      </c>
      <c r="AF11" s="843">
        <v>939.48314055000003</v>
      </c>
      <c r="AG11" s="843">
        <v>941.74991448999992</v>
      </c>
      <c r="AH11" s="843">
        <f>+AH9-AH10</f>
        <v>750.29070611999998</v>
      </c>
      <c r="AI11" s="843">
        <v>678.23274723999998</v>
      </c>
      <c r="AJ11" s="843">
        <v>614.24776104999989</v>
      </c>
      <c r="AK11" s="843">
        <f>+AK9-AK10</f>
        <v>499.27524998000001</v>
      </c>
      <c r="AL11" s="843">
        <v>436.91381641999999</v>
      </c>
      <c r="AM11" s="843">
        <f>+AM9-AM10</f>
        <v>434.60873617999999</v>
      </c>
      <c r="AN11" s="843">
        <f>+AN9-AN10</f>
        <v>428.97133965</v>
      </c>
      <c r="AO11" s="843">
        <f>+AO9-AO10</f>
        <v>428.49026829000002</v>
      </c>
      <c r="AP11" s="843">
        <f>+AP9-AP10</f>
        <v>423.89839428999994</v>
      </c>
      <c r="AQ11" s="843">
        <v>421.36623725000004</v>
      </c>
      <c r="AR11" s="843">
        <v>396.54153540999994</v>
      </c>
      <c r="AS11" s="843">
        <f>+AS9-AS10</f>
        <v>397.18034039999998</v>
      </c>
      <c r="AT11" s="843">
        <f>+AT9-AT10</f>
        <v>406.23131639000002</v>
      </c>
      <c r="AU11" s="843">
        <v>397.12297754000002</v>
      </c>
      <c r="AV11" s="843">
        <v>416.17525397999998</v>
      </c>
      <c r="AW11" s="843">
        <v>435.68767512999995</v>
      </c>
      <c r="AX11" s="843">
        <v>429.51198389999996</v>
      </c>
      <c r="AY11" s="843">
        <v>431.17655786</v>
      </c>
      <c r="AZ11" s="843">
        <v>431.67964814000004</v>
      </c>
      <c r="BA11" s="843">
        <v>436.17785429999998</v>
      </c>
      <c r="BB11" s="843">
        <v>426.00397708000003</v>
      </c>
      <c r="BC11" s="843">
        <v>421.39201057000002</v>
      </c>
      <c r="BD11" s="843">
        <f>+BD9-BD10</f>
        <v>439.12690562</v>
      </c>
      <c r="BE11" s="843">
        <v>450.75720240999993</v>
      </c>
      <c r="BF11" s="843">
        <v>449.30898935000005</v>
      </c>
      <c r="BG11" s="843">
        <v>432.44507732</v>
      </c>
      <c r="BH11" s="886">
        <v>430.50672011</v>
      </c>
      <c r="BI11" s="875">
        <v>407.31187468000002</v>
      </c>
      <c r="BJ11" s="875">
        <v>401.17860191999995</v>
      </c>
      <c r="BK11" s="875">
        <v>394.13783274999997</v>
      </c>
      <c r="BL11" s="875">
        <v>403.30058890000004</v>
      </c>
      <c r="BM11" s="875">
        <v>411.27174308999997</v>
      </c>
      <c r="BN11" s="875">
        <v>421.52118425000003</v>
      </c>
      <c r="BO11" s="875">
        <v>420.49113492000004</v>
      </c>
      <c r="BP11" s="875">
        <v>417.94844646000007</v>
      </c>
      <c r="BQ11" s="875">
        <v>416.40431716999996</v>
      </c>
      <c r="BR11" s="875">
        <v>418.35395467000001</v>
      </c>
      <c r="BS11" s="875">
        <v>421.49400137999999</v>
      </c>
      <c r="BT11" s="875">
        <v>424.24412290999999</v>
      </c>
      <c r="BU11" s="875">
        <v>423.39805889999997</v>
      </c>
      <c r="BV11" s="875">
        <v>424.39075045999999</v>
      </c>
      <c r="BW11" s="875">
        <v>421.47231107000005</v>
      </c>
      <c r="BX11" s="875">
        <v>430.11766607999999</v>
      </c>
      <c r="BY11" s="875">
        <v>433.87224960000003</v>
      </c>
      <c r="BZ11" s="875">
        <v>451.77807094000002</v>
      </c>
      <c r="CA11" s="875">
        <v>456.29926431000001</v>
      </c>
      <c r="CB11" s="875">
        <v>455.85732831000007</v>
      </c>
      <c r="CC11" s="875">
        <v>460.04049827</v>
      </c>
      <c r="CD11" s="875">
        <v>469.27705964999996</v>
      </c>
      <c r="CE11" s="875">
        <f t="shared" ref="CE11:CP11" si="1">+CE9-CE10</f>
        <v>472.83235814</v>
      </c>
      <c r="CF11" s="875">
        <f t="shared" si="1"/>
        <v>472.17949333000001</v>
      </c>
      <c r="CG11" s="875">
        <f t="shared" si="1"/>
        <v>484.94500423000005</v>
      </c>
      <c r="CH11" s="875">
        <f t="shared" si="1"/>
        <v>481.84030816000006</v>
      </c>
      <c r="CI11" s="875">
        <f t="shared" si="1"/>
        <v>475.83221021000003</v>
      </c>
      <c r="CJ11" s="875">
        <f t="shared" si="1"/>
        <v>477.29140763999999</v>
      </c>
      <c r="CK11" s="875">
        <f t="shared" si="1"/>
        <v>533.12781122000001</v>
      </c>
      <c r="CL11" s="875">
        <f t="shared" si="1"/>
        <v>532.76644234000003</v>
      </c>
      <c r="CM11" s="875">
        <f t="shared" si="1"/>
        <v>524.74695032</v>
      </c>
      <c r="CN11" s="875">
        <f t="shared" si="1"/>
        <v>525.35212533000004</v>
      </c>
      <c r="CO11" s="875">
        <f t="shared" si="1"/>
        <v>529.73955963000003</v>
      </c>
      <c r="CP11" s="875">
        <f t="shared" si="1"/>
        <v>534.2353171499999</v>
      </c>
      <c r="CQ11" s="875">
        <f>+CQ9-CQ10</f>
        <v>522.99491940999985</v>
      </c>
      <c r="CR11" s="875">
        <f>+CR9-CR10</f>
        <v>524.72977170000001</v>
      </c>
      <c r="CS11" s="875">
        <f>+CS9-CS10</f>
        <v>531.09258104999992</v>
      </c>
      <c r="CT11" s="875">
        <v>533.28727937999997</v>
      </c>
      <c r="CU11" s="875">
        <v>533.79545180000002</v>
      </c>
      <c r="CV11" s="875">
        <v>539.75311106000004</v>
      </c>
      <c r="CW11" s="875">
        <v>533.10397494999995</v>
      </c>
      <c r="CX11" s="875">
        <v>535.30101751999996</v>
      </c>
      <c r="CY11" s="875">
        <v>537.46741239000005</v>
      </c>
      <c r="CZ11" s="875">
        <v>533.28717400999994</v>
      </c>
      <c r="DA11" s="875">
        <v>542.07791325999995</v>
      </c>
      <c r="DB11" s="875">
        <v>545.54043990000002</v>
      </c>
      <c r="DC11" s="875">
        <v>546.39003333999995</v>
      </c>
      <c r="DD11" s="875">
        <v>551.93139554000004</v>
      </c>
      <c r="DE11" s="875">
        <v>563.21427217999997</v>
      </c>
      <c r="DF11" s="875">
        <v>567.29357872000003</v>
      </c>
      <c r="DG11" s="875">
        <v>563.14749876999997</v>
      </c>
      <c r="DH11" s="875">
        <v>570.57686746000002</v>
      </c>
      <c r="DI11" s="875">
        <v>566.08178200999998</v>
      </c>
      <c r="DJ11" s="875">
        <v>570.82440481000003</v>
      </c>
      <c r="DK11" s="875">
        <v>570.19978245000004</v>
      </c>
      <c r="DL11" s="875">
        <v>569.81314363000001</v>
      </c>
      <c r="DM11" s="875">
        <v>571.74486629</v>
      </c>
      <c r="DN11" s="875">
        <v>590.38229837999995</v>
      </c>
      <c r="DO11" s="875">
        <v>595.74002103999999</v>
      </c>
      <c r="DP11" s="875">
        <v>594.51352300999997</v>
      </c>
      <c r="DQ11" s="875">
        <v>582.28291839999997</v>
      </c>
      <c r="DR11" s="875">
        <v>570.29184287999999</v>
      </c>
      <c r="DS11" s="875">
        <v>571.50631705000001</v>
      </c>
      <c r="DT11" s="875">
        <v>526.24207019999994</v>
      </c>
      <c r="DU11" s="875">
        <v>499.40752817999999</v>
      </c>
      <c r="DV11" s="875">
        <v>493.05546055999997</v>
      </c>
      <c r="DW11" s="875">
        <v>498.05339154000001</v>
      </c>
      <c r="DX11" s="875">
        <v>495.01039044999999</v>
      </c>
      <c r="DY11" s="875">
        <v>500.18509570999998</v>
      </c>
      <c r="DZ11" s="875">
        <v>520.99587033</v>
      </c>
      <c r="EA11" s="875">
        <v>490.17249048999997</v>
      </c>
      <c r="EB11" s="875">
        <v>480.70265959</v>
      </c>
      <c r="EC11" s="875">
        <v>470.32001352999998</v>
      </c>
      <c r="ED11" s="875">
        <v>458.19373621</v>
      </c>
      <c r="EE11" s="875">
        <v>450.93837933999998</v>
      </c>
      <c r="EF11" s="875">
        <v>434.75733294999998</v>
      </c>
      <c r="EG11" s="875">
        <v>413.48639980000002</v>
      </c>
      <c r="EH11" s="875">
        <v>409.23651246999998</v>
      </c>
      <c r="EI11" s="875">
        <v>407.06439263999999</v>
      </c>
      <c r="EJ11" s="875">
        <v>397.86828567999999</v>
      </c>
      <c r="EK11" s="875">
        <v>434.96482135999997</v>
      </c>
      <c r="EL11" s="875">
        <v>449.95674637000002</v>
      </c>
      <c r="EM11" s="875">
        <v>469.99420354</v>
      </c>
      <c r="EN11" s="875">
        <v>469.17741056</v>
      </c>
      <c r="EO11" s="875">
        <v>472.69313352</v>
      </c>
      <c r="EP11" s="875">
        <v>462.85236980000002</v>
      </c>
      <c r="EQ11" s="875">
        <v>461.05558436000001</v>
      </c>
      <c r="ER11" s="875">
        <v>460.78922060000002</v>
      </c>
      <c r="ES11" s="875">
        <v>446.42681333000002</v>
      </c>
      <c r="ET11" s="875">
        <v>440.49222300000002</v>
      </c>
      <c r="EU11" s="1920" t="s">
        <v>4085</v>
      </c>
      <c r="EZ11" s="342"/>
    </row>
    <row r="12" spans="1:289" ht="21">
      <c r="A12" s="1929"/>
      <c r="B12" s="851"/>
      <c r="C12" s="851"/>
      <c r="D12" s="851"/>
      <c r="E12" s="851"/>
      <c r="F12" s="851"/>
      <c r="G12" s="851"/>
      <c r="H12" s="851"/>
      <c r="I12" s="851"/>
      <c r="J12" s="851"/>
      <c r="K12" s="851"/>
      <c r="L12" s="851"/>
      <c r="M12" s="843"/>
      <c r="N12" s="843"/>
      <c r="O12" s="843"/>
      <c r="P12" s="843"/>
      <c r="Q12" s="843"/>
      <c r="R12" s="843"/>
      <c r="S12" s="843"/>
      <c r="T12" s="843"/>
      <c r="U12" s="843"/>
      <c r="V12" s="843"/>
      <c r="W12" s="843"/>
      <c r="X12" s="843"/>
      <c r="Y12" s="843"/>
      <c r="Z12" s="843"/>
      <c r="AA12" s="843"/>
      <c r="AB12" s="843"/>
      <c r="AC12" s="843"/>
      <c r="AD12" s="843"/>
      <c r="AE12" s="843"/>
      <c r="AF12" s="843"/>
      <c r="AG12" s="843"/>
      <c r="AH12" s="843"/>
      <c r="AI12" s="843"/>
      <c r="AJ12" s="843"/>
      <c r="AK12" s="843"/>
      <c r="AL12" s="843"/>
      <c r="AM12" s="843"/>
      <c r="AN12" s="843"/>
      <c r="AO12" s="843"/>
      <c r="AP12" s="843"/>
      <c r="AQ12" s="843"/>
      <c r="AR12" s="843"/>
      <c r="AS12" s="843"/>
      <c r="AT12" s="843"/>
      <c r="AU12" s="843"/>
      <c r="AV12" s="843"/>
      <c r="AW12" s="843"/>
      <c r="AX12" s="843"/>
      <c r="AY12" s="843"/>
      <c r="AZ12" s="843"/>
      <c r="BA12" s="843"/>
      <c r="BB12" s="843"/>
      <c r="BC12" s="843"/>
      <c r="BD12" s="843"/>
      <c r="BE12" s="843"/>
      <c r="BF12" s="843"/>
      <c r="BG12" s="843"/>
      <c r="BH12" s="886"/>
      <c r="BI12" s="875"/>
      <c r="BJ12" s="875"/>
      <c r="BK12" s="875"/>
      <c r="BL12" s="875"/>
      <c r="BM12" s="875"/>
      <c r="BN12" s="875"/>
      <c r="BO12" s="875"/>
      <c r="BP12" s="875"/>
      <c r="BQ12" s="875"/>
      <c r="BR12" s="875"/>
      <c r="BS12" s="875"/>
      <c r="BT12" s="875"/>
      <c r="BU12" s="875"/>
      <c r="BV12" s="875"/>
      <c r="BW12" s="875"/>
      <c r="BX12" s="875"/>
      <c r="BY12" s="875"/>
      <c r="BZ12" s="875"/>
      <c r="CA12" s="875"/>
      <c r="CB12" s="875"/>
      <c r="CC12" s="875"/>
      <c r="CD12" s="875"/>
      <c r="CE12" s="875"/>
      <c r="CF12" s="875"/>
      <c r="CG12" s="875"/>
      <c r="CH12" s="875"/>
      <c r="CI12" s="875"/>
      <c r="CJ12" s="875"/>
      <c r="CK12" s="875"/>
      <c r="CL12" s="875"/>
      <c r="CM12" s="875"/>
      <c r="CN12" s="875"/>
      <c r="CO12" s="875"/>
      <c r="CP12" s="875"/>
      <c r="CQ12" s="875"/>
      <c r="CR12" s="875"/>
      <c r="CS12" s="875"/>
      <c r="CT12" s="875"/>
      <c r="CU12" s="875"/>
      <c r="CV12" s="875"/>
      <c r="CW12" s="875"/>
      <c r="CX12" s="875"/>
      <c r="CY12" s="875"/>
      <c r="CZ12" s="875"/>
      <c r="DA12" s="875"/>
      <c r="DB12" s="875"/>
      <c r="DC12" s="875"/>
      <c r="DD12" s="875"/>
      <c r="DE12" s="875"/>
      <c r="DF12" s="875"/>
      <c r="DG12" s="875"/>
      <c r="DH12" s="875"/>
      <c r="DI12" s="875"/>
      <c r="DJ12" s="875"/>
      <c r="DK12" s="875"/>
      <c r="DL12" s="875"/>
      <c r="DM12" s="875"/>
      <c r="DN12" s="875"/>
      <c r="DO12" s="875"/>
      <c r="DP12" s="875"/>
      <c r="DQ12" s="875"/>
      <c r="DR12" s="875"/>
      <c r="DS12" s="875"/>
      <c r="DT12" s="875"/>
      <c r="DU12" s="875"/>
      <c r="DV12" s="875"/>
      <c r="DW12" s="875"/>
      <c r="DX12" s="875"/>
      <c r="DY12" s="875"/>
      <c r="DZ12" s="875"/>
      <c r="EA12" s="875"/>
      <c r="EB12" s="875"/>
      <c r="EC12" s="875"/>
      <c r="ED12" s="875"/>
      <c r="EE12" s="875"/>
      <c r="EF12" s="875"/>
      <c r="EG12" s="875"/>
      <c r="EH12" s="875"/>
      <c r="EI12" s="875"/>
      <c r="EJ12" s="875"/>
      <c r="EK12" s="875"/>
      <c r="EL12" s="875"/>
      <c r="EM12" s="875"/>
      <c r="EN12" s="875"/>
      <c r="EO12" s="875"/>
      <c r="EP12" s="875"/>
      <c r="EQ12" s="875"/>
      <c r="ER12" s="875"/>
      <c r="ES12" s="875"/>
      <c r="ET12" s="875"/>
      <c r="EU12" s="1919"/>
      <c r="EZ12" s="342"/>
    </row>
    <row r="13" spans="1:289" ht="21">
      <c r="A13" s="1930" t="s">
        <v>2756</v>
      </c>
      <c r="B13" s="850">
        <v>25.181057280000001</v>
      </c>
      <c r="C13" s="850">
        <v>23.17254629</v>
      </c>
      <c r="D13" s="850">
        <v>23.515247970000001</v>
      </c>
      <c r="E13" s="850">
        <v>23.32299991</v>
      </c>
      <c r="F13" s="850">
        <v>20.912237090000001</v>
      </c>
      <c r="G13" s="850">
        <v>19.994313229999999</v>
      </c>
      <c r="H13" s="850">
        <v>24.094538880000002</v>
      </c>
      <c r="I13" s="850">
        <v>23.425630659999999</v>
      </c>
      <c r="J13" s="850">
        <v>23.54716166</v>
      </c>
      <c r="K13" s="850">
        <v>11.83543813</v>
      </c>
      <c r="L13" s="850">
        <v>12.783076520000002</v>
      </c>
      <c r="M13" s="840">
        <v>9.9998674399999992</v>
      </c>
      <c r="N13" s="840">
        <v>10.801990720000001</v>
      </c>
      <c r="O13" s="840">
        <v>12.858881779999999</v>
      </c>
      <c r="P13" s="840">
        <v>12.748845580000001</v>
      </c>
      <c r="Q13" s="840">
        <v>13.80068399</v>
      </c>
      <c r="R13" s="840">
        <v>13.03366785</v>
      </c>
      <c r="S13" s="840">
        <v>13.331818680000001</v>
      </c>
      <c r="T13" s="840">
        <v>15.02423229</v>
      </c>
      <c r="U13" s="840">
        <v>15.419716080000001</v>
      </c>
      <c r="V13" s="840">
        <v>20.110669309999999</v>
      </c>
      <c r="W13" s="840">
        <v>19.235699969999999</v>
      </c>
      <c r="X13" s="840">
        <v>17.654506259999998</v>
      </c>
      <c r="Y13" s="840">
        <v>16.696881810000001</v>
      </c>
      <c r="Z13" s="840">
        <v>14.58842033</v>
      </c>
      <c r="AA13" s="840">
        <v>49.807785300000006</v>
      </c>
      <c r="AB13" s="840">
        <v>49.907215039999997</v>
      </c>
      <c r="AC13" s="840">
        <v>47.972993129999999</v>
      </c>
      <c r="AD13" s="840">
        <v>47.233040029999991</v>
      </c>
      <c r="AE13" s="840">
        <v>46.499896360000001</v>
      </c>
      <c r="AF13" s="840">
        <v>46.078589880000003</v>
      </c>
      <c r="AG13" s="840">
        <v>46.61092893</v>
      </c>
      <c r="AH13" s="840">
        <v>55.44632842</v>
      </c>
      <c r="AI13" s="840">
        <v>67.286100879999992</v>
      </c>
      <c r="AJ13" s="840">
        <v>39.942530500000004</v>
      </c>
      <c r="AK13" s="840">
        <v>27.870083620000003</v>
      </c>
      <c r="AL13" s="840">
        <v>15.76940832</v>
      </c>
      <c r="AM13" s="840">
        <v>17.050477139999998</v>
      </c>
      <c r="AN13" s="840">
        <v>16.081362389999999</v>
      </c>
      <c r="AO13" s="840">
        <v>15.92683195</v>
      </c>
      <c r="AP13" s="840">
        <v>19.341078930000002</v>
      </c>
      <c r="AQ13" s="840">
        <v>19.810265430000001</v>
      </c>
      <c r="AR13" s="840">
        <v>18.576014700000002</v>
      </c>
      <c r="AS13" s="840">
        <v>19.73811439</v>
      </c>
      <c r="AT13" s="840">
        <v>20.32672148</v>
      </c>
      <c r="AU13" s="840">
        <v>25.348172390000002</v>
      </c>
      <c r="AV13" s="840">
        <v>38.286129809999998</v>
      </c>
      <c r="AW13" s="840">
        <v>40.766107550000001</v>
      </c>
      <c r="AX13" s="840">
        <v>38.070309649999999</v>
      </c>
      <c r="AY13" s="840">
        <v>32.517607400000003</v>
      </c>
      <c r="AZ13" s="840">
        <v>29.936961799999999</v>
      </c>
      <c r="BA13" s="840">
        <v>31.436616580000003</v>
      </c>
      <c r="BB13" s="840">
        <v>29.229649629999997</v>
      </c>
      <c r="BC13" s="840">
        <v>25.500445220000003</v>
      </c>
      <c r="BD13" s="840">
        <v>26.725279010000001</v>
      </c>
      <c r="BE13" s="840">
        <v>27.313660149999997</v>
      </c>
      <c r="BF13" s="840">
        <v>28.236600670000001</v>
      </c>
      <c r="BG13" s="840">
        <v>27.232771540000002</v>
      </c>
      <c r="BH13" s="885">
        <v>27.024991830000001</v>
      </c>
      <c r="BI13" s="874">
        <v>25.657519919999999</v>
      </c>
      <c r="BJ13" s="874">
        <v>23.668612840000002</v>
      </c>
      <c r="BK13" s="874">
        <v>22.689312290000004</v>
      </c>
      <c r="BL13" s="874">
        <v>18.191333239999999</v>
      </c>
      <c r="BM13" s="874">
        <v>16.910399309999999</v>
      </c>
      <c r="BN13" s="874">
        <v>24.520798689999999</v>
      </c>
      <c r="BO13" s="874">
        <v>16.873646780000001</v>
      </c>
      <c r="BP13" s="874">
        <v>8.3278624099999998</v>
      </c>
      <c r="BQ13" s="874">
        <v>9.1436185899999991</v>
      </c>
      <c r="BR13" s="874">
        <v>12.919905190000001</v>
      </c>
      <c r="BS13" s="874">
        <v>17.40324884</v>
      </c>
      <c r="BT13" s="874">
        <v>18.596923390000001</v>
      </c>
      <c r="BU13" s="874">
        <v>17.761837379999999</v>
      </c>
      <c r="BV13" s="874">
        <v>17.53343242</v>
      </c>
      <c r="BW13" s="874">
        <v>16.170923420000001</v>
      </c>
      <c r="BX13" s="874">
        <v>15.046143199999999</v>
      </c>
      <c r="BY13" s="874">
        <v>14.17346171</v>
      </c>
      <c r="BZ13" s="874">
        <v>14.16801413</v>
      </c>
      <c r="CA13" s="874">
        <v>15.314737839999999</v>
      </c>
      <c r="CB13" s="874">
        <v>22.927883300000001</v>
      </c>
      <c r="CC13" s="874">
        <v>20.273665390000001</v>
      </c>
      <c r="CD13" s="874">
        <v>17.915017339999999</v>
      </c>
      <c r="CE13" s="874">
        <v>22.139572520000002</v>
      </c>
      <c r="CF13" s="874">
        <v>21.710806380000001</v>
      </c>
      <c r="CG13" s="874">
        <v>16.627879849999999</v>
      </c>
      <c r="CH13" s="874">
        <v>15.45862498</v>
      </c>
      <c r="CI13" s="874">
        <v>15.974084229999999</v>
      </c>
      <c r="CJ13" s="874">
        <v>19.374206219999998</v>
      </c>
      <c r="CK13" s="874">
        <v>22.409400099999999</v>
      </c>
      <c r="CL13" s="874">
        <v>28.41693544</v>
      </c>
      <c r="CM13" s="874">
        <v>25.516618400000002</v>
      </c>
      <c r="CN13" s="874">
        <v>27.99050093</v>
      </c>
      <c r="CO13" s="874">
        <v>32.045104049999999</v>
      </c>
      <c r="CP13" s="874">
        <v>36.164188280000005</v>
      </c>
      <c r="CQ13" s="874">
        <v>36.168675929999999</v>
      </c>
      <c r="CR13" s="874">
        <v>33.650646710000004</v>
      </c>
      <c r="CS13" s="874">
        <v>36.538972510000001</v>
      </c>
      <c r="CT13" s="874">
        <v>37.613476749999997</v>
      </c>
      <c r="CU13" s="874">
        <v>40.013917239999998</v>
      </c>
      <c r="CV13" s="874">
        <v>35.044689060000003</v>
      </c>
      <c r="CW13" s="874">
        <v>34.645361379999997</v>
      </c>
      <c r="CX13" s="874">
        <v>33.159926609999999</v>
      </c>
      <c r="CY13" s="874">
        <v>33.086430219999997</v>
      </c>
      <c r="CZ13" s="874">
        <v>32.630194340000003</v>
      </c>
      <c r="DA13" s="874">
        <v>32.59198456</v>
      </c>
      <c r="DB13" s="874">
        <v>31.34809727</v>
      </c>
      <c r="DC13" s="874">
        <v>33.552122760000003</v>
      </c>
      <c r="DD13" s="874">
        <v>39.402580020000002</v>
      </c>
      <c r="DE13" s="874">
        <v>34.923373939999998</v>
      </c>
      <c r="DF13" s="874">
        <v>37.236315410000003</v>
      </c>
      <c r="DG13" s="874">
        <v>35.345243889999999</v>
      </c>
      <c r="DH13" s="874">
        <v>35.474892410000002</v>
      </c>
      <c r="DI13" s="874">
        <v>30.914786899999999</v>
      </c>
      <c r="DJ13" s="874">
        <v>36.054971369999997</v>
      </c>
      <c r="DK13" s="874">
        <v>86.991279739999996</v>
      </c>
      <c r="DL13" s="874">
        <v>88.615193270000006</v>
      </c>
      <c r="DM13" s="874">
        <v>90.489178789999997</v>
      </c>
      <c r="DN13" s="874">
        <v>109.21782786999999</v>
      </c>
      <c r="DO13" s="874">
        <v>116.68560581</v>
      </c>
      <c r="DP13" s="874">
        <v>117.94698446</v>
      </c>
      <c r="DQ13" s="874">
        <v>118.81436481999999</v>
      </c>
      <c r="DR13" s="874">
        <v>120.11734939999999</v>
      </c>
      <c r="DS13" s="874">
        <v>122.71903584</v>
      </c>
      <c r="DT13" s="874">
        <v>87.292808820000005</v>
      </c>
      <c r="DU13" s="874">
        <v>72.912156800000005</v>
      </c>
      <c r="DV13" s="874">
        <v>77.102308890000003</v>
      </c>
      <c r="DW13" s="874">
        <v>78.522214939999998</v>
      </c>
      <c r="DX13" s="874">
        <v>65.939053340000001</v>
      </c>
      <c r="DY13" s="874">
        <v>66.599867889999999</v>
      </c>
      <c r="DZ13" s="874">
        <v>69.651090620000005</v>
      </c>
      <c r="EA13" s="874">
        <v>67.357939229999999</v>
      </c>
      <c r="EB13" s="874">
        <v>69.601635439999995</v>
      </c>
      <c r="EC13" s="874">
        <v>59.261794289999997</v>
      </c>
      <c r="ED13" s="874">
        <v>55.384037970000001</v>
      </c>
      <c r="EE13" s="874">
        <v>47.54537011</v>
      </c>
      <c r="EF13" s="874">
        <v>44.85000694</v>
      </c>
      <c r="EG13" s="874">
        <v>41.550234930000002</v>
      </c>
      <c r="EH13" s="874">
        <v>39.624325689999999</v>
      </c>
      <c r="EI13" s="874">
        <v>37.117695419999997</v>
      </c>
      <c r="EJ13" s="874">
        <v>29.054335330000001</v>
      </c>
      <c r="EK13" s="874">
        <v>33.92487981</v>
      </c>
      <c r="EL13" s="874">
        <v>49.257210540000003</v>
      </c>
      <c r="EM13" s="874">
        <v>64.594262490000006</v>
      </c>
      <c r="EN13" s="874">
        <v>66.478200180000002</v>
      </c>
      <c r="EO13" s="874">
        <v>66.955832490000006</v>
      </c>
      <c r="EP13" s="874">
        <v>68.387424469999999</v>
      </c>
      <c r="EQ13" s="874">
        <v>73.357167169999997</v>
      </c>
      <c r="ER13" s="874">
        <v>79.86097556</v>
      </c>
      <c r="ES13" s="874">
        <v>80.400516080000003</v>
      </c>
      <c r="ET13" s="874">
        <v>79.137380089999994</v>
      </c>
      <c r="EU13" s="1918" t="s">
        <v>4083</v>
      </c>
      <c r="EZ13" s="342"/>
    </row>
    <row r="14" spans="1:289" ht="21">
      <c r="A14" s="1931" t="s">
        <v>1974</v>
      </c>
      <c r="B14" s="851">
        <v>0</v>
      </c>
      <c r="C14" s="851">
        <v>0</v>
      </c>
      <c r="D14" s="851">
        <v>0</v>
      </c>
      <c r="E14" s="851">
        <v>0</v>
      </c>
      <c r="F14" s="851">
        <v>0</v>
      </c>
      <c r="G14" s="851">
        <v>0</v>
      </c>
      <c r="H14" s="851">
        <v>0</v>
      </c>
      <c r="I14" s="851">
        <v>0</v>
      </c>
      <c r="J14" s="851">
        <v>0</v>
      </c>
      <c r="K14" s="851">
        <v>0</v>
      </c>
      <c r="L14" s="851">
        <v>0</v>
      </c>
      <c r="M14" s="843">
        <v>0</v>
      </c>
      <c r="N14" s="843">
        <v>0</v>
      </c>
      <c r="O14" s="843">
        <v>0</v>
      </c>
      <c r="P14" s="843">
        <v>0</v>
      </c>
      <c r="Q14" s="843">
        <v>0</v>
      </c>
      <c r="R14" s="843">
        <v>0</v>
      </c>
      <c r="S14" s="843">
        <v>0</v>
      </c>
      <c r="T14" s="843">
        <v>0</v>
      </c>
      <c r="U14" s="843">
        <v>0</v>
      </c>
      <c r="V14" s="843">
        <v>0</v>
      </c>
      <c r="W14" s="843">
        <v>0</v>
      </c>
      <c r="X14" s="843">
        <v>0</v>
      </c>
      <c r="Y14" s="843">
        <v>0</v>
      </c>
      <c r="Z14" s="843">
        <v>0</v>
      </c>
      <c r="AA14" s="843">
        <v>0</v>
      </c>
      <c r="AB14" s="843">
        <v>0</v>
      </c>
      <c r="AC14" s="843">
        <v>0</v>
      </c>
      <c r="AD14" s="843">
        <v>0</v>
      </c>
      <c r="AE14" s="843">
        <v>0</v>
      </c>
      <c r="AF14" s="843">
        <v>0</v>
      </c>
      <c r="AG14" s="843">
        <v>0</v>
      </c>
      <c r="AH14" s="843">
        <v>0</v>
      </c>
      <c r="AI14" s="843">
        <v>0</v>
      </c>
      <c r="AJ14" s="843">
        <v>0</v>
      </c>
      <c r="AK14" s="843">
        <v>0</v>
      </c>
      <c r="AL14" s="843">
        <v>0</v>
      </c>
      <c r="AM14" s="843">
        <v>0</v>
      </c>
      <c r="AN14" s="843">
        <v>0</v>
      </c>
      <c r="AO14" s="843">
        <v>0</v>
      </c>
      <c r="AP14" s="843">
        <v>0</v>
      </c>
      <c r="AQ14" s="843">
        <v>0</v>
      </c>
      <c r="AR14" s="843">
        <v>0</v>
      </c>
      <c r="AS14" s="843">
        <v>0</v>
      </c>
      <c r="AT14" s="843">
        <v>0</v>
      </c>
      <c r="AU14" s="843">
        <v>0</v>
      </c>
      <c r="AV14" s="843">
        <v>0</v>
      </c>
      <c r="AW14" s="843">
        <v>0</v>
      </c>
      <c r="AX14" s="843">
        <v>0</v>
      </c>
      <c r="AY14" s="843">
        <v>0</v>
      </c>
      <c r="AZ14" s="843">
        <v>0</v>
      </c>
      <c r="BA14" s="843">
        <v>0</v>
      </c>
      <c r="BB14" s="843">
        <v>0</v>
      </c>
      <c r="BC14" s="843">
        <v>0</v>
      </c>
      <c r="BD14" s="843">
        <v>0</v>
      </c>
      <c r="BE14" s="843">
        <v>0</v>
      </c>
      <c r="BF14" s="843">
        <v>0</v>
      </c>
      <c r="BG14" s="843">
        <v>0</v>
      </c>
      <c r="BH14" s="886">
        <v>0</v>
      </c>
      <c r="BI14" s="875">
        <v>0</v>
      </c>
      <c r="BJ14" s="875">
        <v>0</v>
      </c>
      <c r="BK14" s="875">
        <v>0</v>
      </c>
      <c r="BL14" s="875">
        <v>0</v>
      </c>
      <c r="BM14" s="875">
        <v>0</v>
      </c>
      <c r="BN14" s="875">
        <v>0</v>
      </c>
      <c r="BO14" s="875">
        <v>0</v>
      </c>
      <c r="BP14" s="875">
        <v>0</v>
      </c>
      <c r="BQ14" s="875">
        <v>0</v>
      </c>
      <c r="BR14" s="875">
        <v>0</v>
      </c>
      <c r="BS14" s="875">
        <v>0</v>
      </c>
      <c r="BT14" s="875">
        <v>0</v>
      </c>
      <c r="BU14" s="875">
        <v>0</v>
      </c>
      <c r="BV14" s="875">
        <v>0</v>
      </c>
      <c r="BW14" s="875">
        <v>0</v>
      </c>
      <c r="BX14" s="875">
        <v>0</v>
      </c>
      <c r="BY14" s="875">
        <v>0</v>
      </c>
      <c r="BZ14" s="875">
        <v>0</v>
      </c>
      <c r="CA14" s="875">
        <v>0</v>
      </c>
      <c r="CB14" s="875">
        <v>0</v>
      </c>
      <c r="CC14" s="875">
        <v>0</v>
      </c>
      <c r="CD14" s="875">
        <v>0</v>
      </c>
      <c r="CE14" s="875">
        <v>0</v>
      </c>
      <c r="CF14" s="875">
        <v>0</v>
      </c>
      <c r="CG14" s="875">
        <v>0</v>
      </c>
      <c r="CH14" s="875">
        <v>0</v>
      </c>
      <c r="CI14" s="875">
        <v>0</v>
      </c>
      <c r="CJ14" s="875">
        <v>0</v>
      </c>
      <c r="CK14" s="875">
        <v>0</v>
      </c>
      <c r="CL14" s="875">
        <v>0</v>
      </c>
      <c r="CM14" s="875">
        <v>0</v>
      </c>
      <c r="CN14" s="875">
        <v>0</v>
      </c>
      <c r="CO14" s="875">
        <v>0</v>
      </c>
      <c r="CP14" s="875">
        <v>0</v>
      </c>
      <c r="CQ14" s="875">
        <v>0</v>
      </c>
      <c r="CR14" s="875">
        <v>0</v>
      </c>
      <c r="CS14" s="875">
        <v>0</v>
      </c>
      <c r="CT14" s="875">
        <v>0.15065002</v>
      </c>
      <c r="CU14" s="875">
        <v>0.74781998000000005</v>
      </c>
      <c r="CV14" s="875">
        <v>0.66671670999999999</v>
      </c>
      <c r="CW14" s="875">
        <v>0.55942831999999998</v>
      </c>
      <c r="CX14" s="875">
        <v>0.53791522000000003</v>
      </c>
      <c r="CY14" s="875">
        <v>0.48383232999999998</v>
      </c>
      <c r="CZ14" s="875">
        <v>0.48823873000000001</v>
      </c>
      <c r="DA14" s="875">
        <v>0.41710795000000001</v>
      </c>
      <c r="DB14" s="875">
        <v>0</v>
      </c>
      <c r="DC14" s="875">
        <v>0</v>
      </c>
      <c r="DD14" s="875">
        <v>0</v>
      </c>
      <c r="DE14" s="875">
        <v>0</v>
      </c>
      <c r="DF14" s="875">
        <v>0</v>
      </c>
      <c r="DG14" s="875">
        <v>0</v>
      </c>
      <c r="DH14" s="875">
        <v>0</v>
      </c>
      <c r="DI14" s="875">
        <v>0.01</v>
      </c>
      <c r="DJ14" s="875">
        <v>0.01</v>
      </c>
      <c r="DK14" s="875">
        <v>9.24613E-3</v>
      </c>
      <c r="DL14" s="875">
        <v>8.4697699999999997E-3</v>
      </c>
      <c r="DM14" s="875">
        <v>7.6811099999999997E-3</v>
      </c>
      <c r="DN14" s="875">
        <v>6.87997E-3</v>
      </c>
      <c r="DO14" s="875">
        <v>6.0734099999999996E-3</v>
      </c>
      <c r="DP14" s="875">
        <v>5.2404000000000001E-3</v>
      </c>
      <c r="DQ14" s="875">
        <v>4.4006100000000001E-3</v>
      </c>
      <c r="DR14" s="875">
        <v>3.5521699999999999E-3</v>
      </c>
      <c r="DS14" s="875">
        <v>2.6819000000000001E-3</v>
      </c>
      <c r="DT14" s="875">
        <v>1.8016E-3</v>
      </c>
      <c r="DU14" s="875">
        <v>9.0927E-4</v>
      </c>
      <c r="DV14" s="875">
        <v>0</v>
      </c>
      <c r="DW14" s="875">
        <v>0</v>
      </c>
      <c r="DX14" s="875">
        <v>0</v>
      </c>
      <c r="DY14" s="875">
        <v>0</v>
      </c>
      <c r="DZ14" s="875">
        <v>0</v>
      </c>
      <c r="EA14" s="875">
        <v>0</v>
      </c>
      <c r="EB14" s="875">
        <v>0</v>
      </c>
      <c r="EC14" s="875">
        <v>0</v>
      </c>
      <c r="ED14" s="875">
        <v>0</v>
      </c>
      <c r="EE14" s="875">
        <v>0</v>
      </c>
      <c r="EF14" s="875">
        <v>0</v>
      </c>
      <c r="EG14" s="875">
        <v>0</v>
      </c>
      <c r="EH14" s="875">
        <v>0</v>
      </c>
      <c r="EI14" s="875">
        <v>0</v>
      </c>
      <c r="EJ14" s="875">
        <v>0</v>
      </c>
      <c r="EK14" s="875">
        <v>0</v>
      </c>
      <c r="EL14" s="875">
        <v>0</v>
      </c>
      <c r="EM14" s="875">
        <v>0</v>
      </c>
      <c r="EN14" s="875">
        <v>0</v>
      </c>
      <c r="EO14" s="875">
        <v>0</v>
      </c>
      <c r="EP14" s="875">
        <v>0</v>
      </c>
      <c r="EQ14" s="875">
        <v>0</v>
      </c>
      <c r="ER14" s="875">
        <v>0</v>
      </c>
      <c r="ES14" s="875">
        <v>0</v>
      </c>
      <c r="ET14" s="875">
        <v>0</v>
      </c>
      <c r="EU14" s="1920" t="s">
        <v>4086</v>
      </c>
      <c r="EZ14" s="342"/>
    </row>
    <row r="15" spans="1:289" ht="21">
      <c r="A15" s="1931" t="s">
        <v>1975</v>
      </c>
      <c r="B15" s="851">
        <f>+B13-B14</f>
        <v>25.181057280000001</v>
      </c>
      <c r="C15" s="851">
        <f t="shared" ref="C15:V15" si="2">+C13-C14</f>
        <v>23.17254629</v>
      </c>
      <c r="D15" s="851">
        <f t="shared" si="2"/>
        <v>23.515247970000001</v>
      </c>
      <c r="E15" s="851">
        <f t="shared" si="2"/>
        <v>23.32299991</v>
      </c>
      <c r="F15" s="851">
        <f t="shared" si="2"/>
        <v>20.912237090000001</v>
      </c>
      <c r="G15" s="851">
        <f t="shared" si="2"/>
        <v>19.994313229999999</v>
      </c>
      <c r="H15" s="851">
        <f t="shared" si="2"/>
        <v>24.094538880000002</v>
      </c>
      <c r="I15" s="851">
        <f t="shared" si="2"/>
        <v>23.425630659999999</v>
      </c>
      <c r="J15" s="851">
        <f t="shared" si="2"/>
        <v>23.54716166</v>
      </c>
      <c r="K15" s="851">
        <f t="shared" si="2"/>
        <v>11.83543813</v>
      </c>
      <c r="L15" s="851">
        <f t="shared" si="2"/>
        <v>12.783076520000002</v>
      </c>
      <c r="M15" s="843">
        <f t="shared" si="2"/>
        <v>9.9998674399999992</v>
      </c>
      <c r="N15" s="843">
        <f t="shared" si="2"/>
        <v>10.801990720000001</v>
      </c>
      <c r="O15" s="843">
        <f t="shared" si="2"/>
        <v>12.858881779999999</v>
      </c>
      <c r="P15" s="843">
        <f t="shared" si="2"/>
        <v>12.748845580000001</v>
      </c>
      <c r="Q15" s="843">
        <f t="shared" si="2"/>
        <v>13.80068399</v>
      </c>
      <c r="R15" s="843">
        <f t="shared" si="2"/>
        <v>13.03366785</v>
      </c>
      <c r="S15" s="843">
        <f t="shared" si="2"/>
        <v>13.331818680000001</v>
      </c>
      <c r="T15" s="843">
        <f t="shared" si="2"/>
        <v>15.02423229</v>
      </c>
      <c r="U15" s="843">
        <f t="shared" si="2"/>
        <v>15.419716080000001</v>
      </c>
      <c r="V15" s="843">
        <f t="shared" si="2"/>
        <v>20.110669309999999</v>
      </c>
      <c r="W15" s="843">
        <v>19.235699969999999</v>
      </c>
      <c r="X15" s="843">
        <v>17.654506259999998</v>
      </c>
      <c r="Y15" s="843">
        <v>16.696881810000001</v>
      </c>
      <c r="Z15" s="843">
        <v>14.58842033</v>
      </c>
      <c r="AA15" s="843">
        <v>49.807785300000006</v>
      </c>
      <c r="AB15" s="843">
        <v>49.907215039999997</v>
      </c>
      <c r="AC15" s="843">
        <v>47.972993129999999</v>
      </c>
      <c r="AD15" s="843">
        <v>47.233040029999991</v>
      </c>
      <c r="AE15" s="843">
        <v>46.499896360000001</v>
      </c>
      <c r="AF15" s="843">
        <v>46.078589880000003</v>
      </c>
      <c r="AG15" s="843">
        <v>46.61092893</v>
      </c>
      <c r="AH15" s="843">
        <f>+AH13-AH14</f>
        <v>55.44632842</v>
      </c>
      <c r="AI15" s="843">
        <v>67.286100879999992</v>
      </c>
      <c r="AJ15" s="843">
        <v>39.942530500000004</v>
      </c>
      <c r="AK15" s="843">
        <f>+AK13-AK14</f>
        <v>27.870083620000003</v>
      </c>
      <c r="AL15" s="843">
        <v>15.76940832</v>
      </c>
      <c r="AM15" s="843">
        <f>+AM13-AM14</f>
        <v>17.050477139999998</v>
      </c>
      <c r="AN15" s="843">
        <f>+AN13-AN14</f>
        <v>16.081362389999999</v>
      </c>
      <c r="AO15" s="843">
        <f>+AO13-AO14</f>
        <v>15.92683195</v>
      </c>
      <c r="AP15" s="843">
        <f>+AP13-AP14</f>
        <v>19.341078930000002</v>
      </c>
      <c r="AQ15" s="843">
        <v>19.810265430000001</v>
      </c>
      <c r="AR15" s="843">
        <v>18.576014700000002</v>
      </c>
      <c r="AS15" s="843">
        <f>+AS13-AS14</f>
        <v>19.73811439</v>
      </c>
      <c r="AT15" s="843">
        <f>+AT13-AT14</f>
        <v>20.32672148</v>
      </c>
      <c r="AU15" s="843">
        <v>25.348172390000002</v>
      </c>
      <c r="AV15" s="843">
        <v>38.286129809999998</v>
      </c>
      <c r="AW15" s="843">
        <v>40.766107550000001</v>
      </c>
      <c r="AX15" s="843">
        <v>38.070309649999999</v>
      </c>
      <c r="AY15" s="843">
        <v>32.517607400000003</v>
      </c>
      <c r="AZ15" s="843">
        <v>29.936961799999999</v>
      </c>
      <c r="BA15" s="843">
        <v>31.436616580000003</v>
      </c>
      <c r="BB15" s="843">
        <v>29.229649629999997</v>
      </c>
      <c r="BC15" s="843">
        <v>25.500445220000003</v>
      </c>
      <c r="BD15" s="843">
        <f>+BD13-BD14</f>
        <v>26.725279010000001</v>
      </c>
      <c r="BE15" s="843">
        <v>27.313660149999997</v>
      </c>
      <c r="BF15" s="843">
        <v>28.236600670000001</v>
      </c>
      <c r="BG15" s="843">
        <v>27.232771540000002</v>
      </c>
      <c r="BH15" s="886">
        <v>27.024991830000001</v>
      </c>
      <c r="BI15" s="875">
        <v>25.657519919999999</v>
      </c>
      <c r="BJ15" s="875">
        <v>23.668612840000002</v>
      </c>
      <c r="BK15" s="875">
        <v>22.689312290000004</v>
      </c>
      <c r="BL15" s="875">
        <v>18.191333239999999</v>
      </c>
      <c r="BM15" s="875">
        <v>16.910399309999999</v>
      </c>
      <c r="BN15" s="875">
        <v>24.520798689999999</v>
      </c>
      <c r="BO15" s="875">
        <v>16.873646780000001</v>
      </c>
      <c r="BP15" s="875">
        <v>8.3278624099999998</v>
      </c>
      <c r="BQ15" s="875">
        <v>9.1436185899999991</v>
      </c>
      <c r="BR15" s="875">
        <v>12.919905190000001</v>
      </c>
      <c r="BS15" s="875">
        <v>17.40324884</v>
      </c>
      <c r="BT15" s="875">
        <v>18.596923390000001</v>
      </c>
      <c r="BU15" s="875">
        <v>17.761837379999999</v>
      </c>
      <c r="BV15" s="875">
        <v>17.53343242</v>
      </c>
      <c r="BW15" s="875">
        <v>16.170923420000001</v>
      </c>
      <c r="BX15" s="875">
        <v>15.046143199999999</v>
      </c>
      <c r="BY15" s="875">
        <v>14.17346171</v>
      </c>
      <c r="BZ15" s="875">
        <v>14.16801413</v>
      </c>
      <c r="CA15" s="875">
        <v>15.314737839999999</v>
      </c>
      <c r="CB15" s="875">
        <v>22.927883300000001</v>
      </c>
      <c r="CC15" s="875">
        <v>20.273665390000001</v>
      </c>
      <c r="CD15" s="875">
        <v>17.915017339999999</v>
      </c>
      <c r="CE15" s="875">
        <f t="shared" ref="CE15:CP15" si="3">+CE13-CE14</f>
        <v>22.139572520000002</v>
      </c>
      <c r="CF15" s="875">
        <f t="shared" si="3"/>
        <v>21.710806380000001</v>
      </c>
      <c r="CG15" s="875">
        <f t="shared" si="3"/>
        <v>16.627879849999999</v>
      </c>
      <c r="CH15" s="875">
        <f t="shared" si="3"/>
        <v>15.45862498</v>
      </c>
      <c r="CI15" s="875">
        <f t="shared" si="3"/>
        <v>15.974084229999999</v>
      </c>
      <c r="CJ15" s="875">
        <f t="shared" si="3"/>
        <v>19.374206219999998</v>
      </c>
      <c r="CK15" s="875">
        <f t="shared" si="3"/>
        <v>22.409400099999999</v>
      </c>
      <c r="CL15" s="875">
        <f t="shared" si="3"/>
        <v>28.41693544</v>
      </c>
      <c r="CM15" s="875">
        <f t="shared" si="3"/>
        <v>25.516618400000002</v>
      </c>
      <c r="CN15" s="875">
        <f t="shared" si="3"/>
        <v>27.99050093</v>
      </c>
      <c r="CO15" s="875">
        <f t="shared" si="3"/>
        <v>32.045104049999999</v>
      </c>
      <c r="CP15" s="875">
        <f t="shared" si="3"/>
        <v>36.164188280000005</v>
      </c>
      <c r="CQ15" s="875">
        <f>+CQ13-CQ14</f>
        <v>36.168675929999999</v>
      </c>
      <c r="CR15" s="875">
        <f>+CR13-CR14</f>
        <v>33.650646710000004</v>
      </c>
      <c r="CS15" s="875">
        <f>+CS13-CS14</f>
        <v>36.538972510000001</v>
      </c>
      <c r="CT15" s="875">
        <v>37.462826730000003</v>
      </c>
      <c r="CU15" s="875">
        <v>39.266097260000002</v>
      </c>
      <c r="CV15" s="875">
        <v>34.37797235</v>
      </c>
      <c r="CW15" s="875">
        <v>34.085933060000002</v>
      </c>
      <c r="CX15" s="875">
        <v>32.622011389999997</v>
      </c>
      <c r="CY15" s="875">
        <v>32.602597889999998</v>
      </c>
      <c r="CZ15" s="875">
        <v>32.141955609999997</v>
      </c>
      <c r="DA15" s="875">
        <v>32.174876609999998</v>
      </c>
      <c r="DB15" s="875">
        <v>31.34809727</v>
      </c>
      <c r="DC15" s="875">
        <v>33.552122760000003</v>
      </c>
      <c r="DD15" s="875">
        <v>39.402580020000002</v>
      </c>
      <c r="DE15" s="875">
        <v>34.923373939999998</v>
      </c>
      <c r="DF15" s="875">
        <v>37.236315410000003</v>
      </c>
      <c r="DG15" s="875">
        <v>35.345243889999999</v>
      </c>
      <c r="DH15" s="875">
        <v>35.474892410000002</v>
      </c>
      <c r="DI15" s="875">
        <v>30.904786900000001</v>
      </c>
      <c r="DJ15" s="875">
        <v>36.044971369999999</v>
      </c>
      <c r="DK15" s="875">
        <v>86.982033610000002</v>
      </c>
      <c r="DL15" s="875">
        <v>88.606723500000001</v>
      </c>
      <c r="DM15" s="875">
        <v>90.481497680000004</v>
      </c>
      <c r="DN15" s="875">
        <v>109.21094789999999</v>
      </c>
      <c r="DO15" s="875">
        <v>116.6795324</v>
      </c>
      <c r="DP15" s="875">
        <v>117.94174406</v>
      </c>
      <c r="DQ15" s="875">
        <v>118.80996421</v>
      </c>
      <c r="DR15" s="875">
        <v>120.11379723</v>
      </c>
      <c r="DS15" s="875">
        <v>122.71635394</v>
      </c>
      <c r="DT15" s="875">
        <v>87.291007219999997</v>
      </c>
      <c r="DU15" s="875">
        <v>72.911247529999997</v>
      </c>
      <c r="DV15" s="875">
        <v>77.102308890000003</v>
      </c>
      <c r="DW15" s="875">
        <v>78.522214939999998</v>
      </c>
      <c r="DX15" s="875">
        <v>65.939053340000001</v>
      </c>
      <c r="DY15" s="875">
        <v>66.599867889999999</v>
      </c>
      <c r="DZ15" s="875">
        <v>69.651090620000005</v>
      </c>
      <c r="EA15" s="875">
        <v>67.357939229999999</v>
      </c>
      <c r="EB15" s="875">
        <v>69.601635439999995</v>
      </c>
      <c r="EC15" s="875">
        <v>59.261794289999997</v>
      </c>
      <c r="ED15" s="875">
        <v>55.384037970000001</v>
      </c>
      <c r="EE15" s="875">
        <v>47.54537011</v>
      </c>
      <c r="EF15" s="875">
        <v>44.85000694</v>
      </c>
      <c r="EG15" s="875">
        <v>41.550234930000002</v>
      </c>
      <c r="EH15" s="875">
        <v>39.624325689999999</v>
      </c>
      <c r="EI15" s="875">
        <v>37.117695419999997</v>
      </c>
      <c r="EJ15" s="875">
        <v>29.054335330000001</v>
      </c>
      <c r="EK15" s="875">
        <v>33.92487981</v>
      </c>
      <c r="EL15" s="875">
        <v>49.257210540000003</v>
      </c>
      <c r="EM15" s="875">
        <v>64.594262490000006</v>
      </c>
      <c r="EN15" s="875">
        <v>66.478200180000002</v>
      </c>
      <c r="EO15" s="875">
        <v>66.955832490000006</v>
      </c>
      <c r="EP15" s="875">
        <v>68.387424469999999</v>
      </c>
      <c r="EQ15" s="875">
        <v>73.357167169999997</v>
      </c>
      <c r="ER15" s="875">
        <v>79.86097556</v>
      </c>
      <c r="ES15" s="875">
        <v>80.400516080000003</v>
      </c>
      <c r="ET15" s="875">
        <v>79.137380089999994</v>
      </c>
      <c r="EU15" s="1920" t="s">
        <v>4085</v>
      </c>
      <c r="EZ15" s="342"/>
    </row>
    <row r="16" spans="1:289" ht="21">
      <c r="A16" s="1928"/>
      <c r="B16" s="850"/>
      <c r="C16" s="850"/>
      <c r="D16" s="850"/>
      <c r="E16" s="850"/>
      <c r="F16" s="850"/>
      <c r="G16" s="850"/>
      <c r="H16" s="850"/>
      <c r="I16" s="850"/>
      <c r="J16" s="850"/>
      <c r="K16" s="850"/>
      <c r="L16" s="850"/>
      <c r="M16" s="840"/>
      <c r="N16" s="840"/>
      <c r="O16" s="840"/>
      <c r="P16" s="840"/>
      <c r="Q16" s="840"/>
      <c r="R16" s="840"/>
      <c r="S16" s="840"/>
      <c r="T16" s="840"/>
      <c r="U16" s="840"/>
      <c r="V16" s="840"/>
      <c r="W16" s="840"/>
      <c r="X16" s="840"/>
      <c r="Y16" s="840"/>
      <c r="Z16" s="840"/>
      <c r="AA16" s="840"/>
      <c r="AB16" s="840"/>
      <c r="AC16" s="840"/>
      <c r="AD16" s="840"/>
      <c r="AE16" s="840"/>
      <c r="AF16" s="840"/>
      <c r="AG16" s="840"/>
      <c r="AH16" s="840"/>
      <c r="AI16" s="840"/>
      <c r="AJ16" s="840"/>
      <c r="AK16" s="840"/>
      <c r="AL16" s="840"/>
      <c r="AM16" s="840"/>
      <c r="AN16" s="840"/>
      <c r="AO16" s="840"/>
      <c r="AP16" s="840"/>
      <c r="AQ16" s="840"/>
      <c r="AR16" s="840"/>
      <c r="AS16" s="840"/>
      <c r="AT16" s="840"/>
      <c r="AU16" s="840"/>
      <c r="AV16" s="840"/>
      <c r="AW16" s="840"/>
      <c r="AX16" s="840"/>
      <c r="AY16" s="840"/>
      <c r="AZ16" s="840"/>
      <c r="BA16" s="840"/>
      <c r="BB16" s="840"/>
      <c r="BC16" s="840"/>
      <c r="BD16" s="840"/>
      <c r="BE16" s="840"/>
      <c r="BF16" s="840"/>
      <c r="BG16" s="840"/>
      <c r="BH16" s="885"/>
      <c r="BI16" s="874"/>
      <c r="BJ16" s="874"/>
      <c r="BK16" s="874"/>
      <c r="BL16" s="874"/>
      <c r="BM16" s="874"/>
      <c r="BN16" s="874"/>
      <c r="BO16" s="874"/>
      <c r="BP16" s="874"/>
      <c r="BQ16" s="874"/>
      <c r="BR16" s="874"/>
      <c r="BS16" s="874"/>
      <c r="BT16" s="874"/>
      <c r="BU16" s="874"/>
      <c r="BV16" s="874"/>
      <c r="BW16" s="874"/>
      <c r="BX16" s="874"/>
      <c r="BY16" s="874"/>
      <c r="BZ16" s="874"/>
      <c r="CA16" s="874"/>
      <c r="CB16" s="874"/>
      <c r="CC16" s="874"/>
      <c r="CD16" s="874"/>
      <c r="CE16" s="874"/>
      <c r="CF16" s="874"/>
      <c r="CG16" s="874"/>
      <c r="CH16" s="874"/>
      <c r="CI16" s="874"/>
      <c r="CJ16" s="874"/>
      <c r="CK16" s="874"/>
      <c r="CL16" s="874"/>
      <c r="CM16" s="874"/>
      <c r="CN16" s="874"/>
      <c r="CO16" s="874"/>
      <c r="CP16" s="874"/>
      <c r="CQ16" s="874"/>
      <c r="CR16" s="874"/>
      <c r="CS16" s="874"/>
      <c r="CT16" s="874"/>
      <c r="CU16" s="874"/>
      <c r="CV16" s="874"/>
      <c r="CW16" s="874"/>
      <c r="CX16" s="874"/>
      <c r="CY16" s="874"/>
      <c r="CZ16" s="874"/>
      <c r="DA16" s="874"/>
      <c r="DB16" s="874"/>
      <c r="DC16" s="874"/>
      <c r="DD16" s="874"/>
      <c r="DE16" s="874"/>
      <c r="DF16" s="874"/>
      <c r="DG16" s="874"/>
      <c r="DH16" s="874"/>
      <c r="DI16" s="874"/>
      <c r="DJ16" s="874"/>
      <c r="DK16" s="874"/>
      <c r="DL16" s="874"/>
      <c r="DM16" s="874"/>
      <c r="DN16" s="874"/>
      <c r="DO16" s="874"/>
      <c r="DP16" s="874"/>
      <c r="DQ16" s="874"/>
      <c r="DR16" s="874"/>
      <c r="DS16" s="874"/>
      <c r="DT16" s="874"/>
      <c r="DU16" s="874"/>
      <c r="DV16" s="874"/>
      <c r="DW16" s="874"/>
      <c r="DX16" s="874"/>
      <c r="DY16" s="874"/>
      <c r="DZ16" s="874"/>
      <c r="EA16" s="874"/>
      <c r="EB16" s="874"/>
      <c r="EC16" s="874"/>
      <c r="ED16" s="874"/>
      <c r="EE16" s="874"/>
      <c r="EF16" s="874"/>
      <c r="EG16" s="874"/>
      <c r="EH16" s="874"/>
      <c r="EI16" s="874"/>
      <c r="EJ16" s="874"/>
      <c r="EK16" s="874"/>
      <c r="EL16" s="874"/>
      <c r="EM16" s="874"/>
      <c r="EN16" s="874"/>
      <c r="EO16" s="874"/>
      <c r="EP16" s="874"/>
      <c r="EQ16" s="874"/>
      <c r="ER16" s="874"/>
      <c r="ES16" s="874"/>
      <c r="ET16" s="874"/>
      <c r="EU16" s="1921"/>
      <c r="EZ16" s="342"/>
    </row>
    <row r="17" spans="1:156" ht="21">
      <c r="A17" s="1952" t="s">
        <v>189</v>
      </c>
      <c r="B17" s="851">
        <v>22.695528840000001</v>
      </c>
      <c r="C17" s="851">
        <v>20.890334410000001</v>
      </c>
      <c r="D17" s="851">
        <v>21.26644881</v>
      </c>
      <c r="E17" s="851">
        <v>20.856800549999999</v>
      </c>
      <c r="F17" s="851">
        <v>18.340524590000001</v>
      </c>
      <c r="G17" s="851">
        <v>17.26524543</v>
      </c>
      <c r="H17" s="851">
        <v>20.05758544</v>
      </c>
      <c r="I17" s="851">
        <v>20.655252699999998</v>
      </c>
      <c r="J17" s="851">
        <v>20.714459179999999</v>
      </c>
      <c r="K17" s="851">
        <v>8.6646376600000004</v>
      </c>
      <c r="L17" s="851">
        <v>9.5099155500000006</v>
      </c>
      <c r="M17" s="840">
        <v>7.0525188499999993</v>
      </c>
      <c r="N17" s="843">
        <v>7.0799711100000007</v>
      </c>
      <c r="O17" s="843">
        <v>9.4274865399999985</v>
      </c>
      <c r="P17" s="843">
        <v>9.1665198300000004</v>
      </c>
      <c r="Q17" s="843">
        <v>10.17029773</v>
      </c>
      <c r="R17" s="843">
        <v>9.4600307499999996</v>
      </c>
      <c r="S17" s="843">
        <v>10.03137532</v>
      </c>
      <c r="T17" s="843">
        <v>11.725306810000001</v>
      </c>
      <c r="U17" s="843">
        <v>11.930375769999999</v>
      </c>
      <c r="V17" s="843">
        <v>12.21865092</v>
      </c>
      <c r="W17" s="843">
        <v>11.548101109999999</v>
      </c>
      <c r="X17" s="843">
        <v>10.67725787</v>
      </c>
      <c r="Y17" s="840">
        <v>10.285120730000001</v>
      </c>
      <c r="Z17" s="843">
        <v>8.6847655100000001</v>
      </c>
      <c r="AA17" s="843">
        <v>9.1517091599999993</v>
      </c>
      <c r="AB17" s="840">
        <v>9.7346583199999994</v>
      </c>
      <c r="AC17" s="840">
        <v>8.0239724199999998</v>
      </c>
      <c r="AD17" s="840">
        <v>7.5614438699999997</v>
      </c>
      <c r="AE17" s="840">
        <v>4.7137675099999994</v>
      </c>
      <c r="AF17" s="840">
        <v>4.6946645</v>
      </c>
      <c r="AG17" s="840">
        <v>6.2735253899999996</v>
      </c>
      <c r="AH17" s="840">
        <v>9.881169550000001</v>
      </c>
      <c r="AI17" s="840">
        <v>25.408566690000001</v>
      </c>
      <c r="AJ17" s="840">
        <v>8.9951400100000001</v>
      </c>
      <c r="AK17" s="840">
        <v>10.74232559</v>
      </c>
      <c r="AL17" s="840">
        <v>4.58258425</v>
      </c>
      <c r="AM17" s="840">
        <v>4.5534561900000003</v>
      </c>
      <c r="AN17" s="840">
        <v>3.8739347000000004</v>
      </c>
      <c r="AO17" s="840">
        <v>3.9877050400000003</v>
      </c>
      <c r="AP17" s="840">
        <v>7.0837094199999999</v>
      </c>
      <c r="AQ17" s="840">
        <v>6.5798752499999997</v>
      </c>
      <c r="AR17" s="840">
        <v>4.9355694899999998</v>
      </c>
      <c r="AS17" s="840">
        <v>5.2691645400000002</v>
      </c>
      <c r="AT17" s="840">
        <v>7.2464831799999994</v>
      </c>
      <c r="AU17" s="840">
        <v>12.236266220000001</v>
      </c>
      <c r="AV17" s="840">
        <v>12.683450449999999</v>
      </c>
      <c r="AW17" s="840">
        <v>11.7361</v>
      </c>
      <c r="AX17" s="840">
        <v>11.062770369999999</v>
      </c>
      <c r="AY17" s="840">
        <v>8.8893246000000001</v>
      </c>
      <c r="AZ17" s="840">
        <v>6.3513233499999995</v>
      </c>
      <c r="BA17" s="840">
        <v>6.5534191599999998</v>
      </c>
      <c r="BB17" s="840">
        <v>8.1421782199999999</v>
      </c>
      <c r="BC17" s="840">
        <v>9.2882789800000012</v>
      </c>
      <c r="BD17" s="840">
        <v>9.6442734800000007</v>
      </c>
      <c r="BE17" s="840">
        <v>10.286144439999999</v>
      </c>
      <c r="BF17" s="840">
        <v>10.86967303</v>
      </c>
      <c r="BG17" s="840">
        <v>11.29339839</v>
      </c>
      <c r="BH17" s="885">
        <v>11.05516976</v>
      </c>
      <c r="BI17" s="874">
        <v>9.1208618599999998</v>
      </c>
      <c r="BJ17" s="874">
        <v>7.3530651799999998</v>
      </c>
      <c r="BK17" s="874">
        <v>6.5993044900000006</v>
      </c>
      <c r="BL17" s="874">
        <v>6.1543015599999995</v>
      </c>
      <c r="BM17" s="874">
        <v>3.9121708900000001</v>
      </c>
      <c r="BN17" s="874">
        <v>11.179279169999999</v>
      </c>
      <c r="BO17" s="874">
        <v>4.1727307299999996</v>
      </c>
      <c r="BP17" s="874">
        <v>3.8526824</v>
      </c>
      <c r="BQ17" s="874">
        <v>4.5731438899999999</v>
      </c>
      <c r="BR17" s="874">
        <v>5.2020749800000008</v>
      </c>
      <c r="BS17" s="874">
        <v>4.3392003099999998</v>
      </c>
      <c r="BT17" s="874">
        <v>5.9279157300000005</v>
      </c>
      <c r="BU17" s="874">
        <v>4.8522591799999999</v>
      </c>
      <c r="BV17" s="874">
        <v>4.6383788099999999</v>
      </c>
      <c r="BW17" s="874">
        <v>4.1150389399999998</v>
      </c>
      <c r="BX17" s="874">
        <v>3.17513617</v>
      </c>
      <c r="BY17" s="874">
        <v>3.2384613500000001</v>
      </c>
      <c r="BZ17" s="874">
        <v>3.4629975499999999</v>
      </c>
      <c r="CA17" s="874">
        <v>4.81275678</v>
      </c>
      <c r="CB17" s="874">
        <v>11.056598130000001</v>
      </c>
      <c r="CC17" s="874">
        <v>12.779335400000001</v>
      </c>
      <c r="CD17" s="874">
        <v>9.1595892600000006</v>
      </c>
      <c r="CE17" s="874">
        <v>12.578168529999999</v>
      </c>
      <c r="CF17" s="874">
        <v>9.8647212700000004</v>
      </c>
      <c r="CG17" s="874">
        <v>6.1298163299999997</v>
      </c>
      <c r="CH17" s="874">
        <v>5.0538765899999998</v>
      </c>
      <c r="CI17" s="874">
        <v>5.7517817199999994</v>
      </c>
      <c r="CJ17" s="874">
        <v>10.68652015</v>
      </c>
      <c r="CK17" s="874">
        <v>15.32800617</v>
      </c>
      <c r="CL17" s="874">
        <v>21.06094848</v>
      </c>
      <c r="CM17" s="874">
        <v>18.513227660000002</v>
      </c>
      <c r="CN17" s="874">
        <v>21.39640181</v>
      </c>
      <c r="CO17" s="874">
        <v>23.673364360000001</v>
      </c>
      <c r="CP17" s="874">
        <v>23.549526800000002</v>
      </c>
      <c r="CQ17" s="874">
        <v>23.169075039999999</v>
      </c>
      <c r="CR17" s="874">
        <v>21.78274</v>
      </c>
      <c r="CS17" s="874">
        <v>26.098823670000002</v>
      </c>
      <c r="CT17" s="874">
        <v>28.41779335</v>
      </c>
      <c r="CU17" s="874">
        <v>32.490309269999997</v>
      </c>
      <c r="CV17" s="874">
        <v>28.34126242</v>
      </c>
      <c r="CW17" s="874">
        <v>28.534701089999999</v>
      </c>
      <c r="CX17" s="874">
        <v>28.452213690000001</v>
      </c>
      <c r="CY17" s="874">
        <v>28.474260610000002</v>
      </c>
      <c r="CZ17" s="874">
        <v>28.687825289999999</v>
      </c>
      <c r="DA17" s="874">
        <v>23.89383101</v>
      </c>
      <c r="DB17" s="874">
        <v>19.74952626</v>
      </c>
      <c r="DC17" s="874">
        <v>21.3757585</v>
      </c>
      <c r="DD17" s="874">
        <v>27.015118529999999</v>
      </c>
      <c r="DE17" s="874">
        <v>24.674481830000001</v>
      </c>
      <c r="DF17" s="874">
        <v>26.810918050000002</v>
      </c>
      <c r="DG17" s="874">
        <v>25.670058839999999</v>
      </c>
      <c r="DH17" s="874">
        <v>26.476118979999999</v>
      </c>
      <c r="DI17" s="874">
        <v>23.985602409999998</v>
      </c>
      <c r="DJ17" s="874">
        <v>28.9076497</v>
      </c>
      <c r="DK17" s="874">
        <v>81.069003449999997</v>
      </c>
      <c r="DL17" s="874">
        <v>83.163940609999997</v>
      </c>
      <c r="DM17" s="874">
        <v>83.623311169999994</v>
      </c>
      <c r="DN17" s="874">
        <v>102.11006500000001</v>
      </c>
      <c r="DO17" s="874">
        <v>107.95423178</v>
      </c>
      <c r="DP17" s="874">
        <v>108.67068329999999</v>
      </c>
      <c r="DQ17" s="874">
        <v>106.79489187</v>
      </c>
      <c r="DR17" s="874">
        <v>108.81015796</v>
      </c>
      <c r="DS17" s="874">
        <v>113.55875268</v>
      </c>
      <c r="DT17" s="874">
        <v>79.241109410000007</v>
      </c>
      <c r="DU17" s="874">
        <v>67.430186559999996</v>
      </c>
      <c r="DV17" s="874">
        <v>71.784231329999997</v>
      </c>
      <c r="DW17" s="874">
        <v>73.026659890000005</v>
      </c>
      <c r="DX17" s="874">
        <v>60.409506210000004</v>
      </c>
      <c r="DY17" s="874">
        <v>57.333368749999998</v>
      </c>
      <c r="DZ17" s="874">
        <v>56.007124349999998</v>
      </c>
      <c r="EA17" s="874">
        <v>50.083628449999999</v>
      </c>
      <c r="EB17" s="874">
        <v>53.764610920000003</v>
      </c>
      <c r="EC17" s="874">
        <v>45.58919856</v>
      </c>
      <c r="ED17" s="874">
        <v>42.532673580000001</v>
      </c>
      <c r="EE17" s="874">
        <v>36.497515839999998</v>
      </c>
      <c r="EF17" s="874">
        <v>35.009486000000003</v>
      </c>
      <c r="EG17" s="874">
        <v>32.60208686</v>
      </c>
      <c r="EH17" s="874">
        <v>31.943611260000001</v>
      </c>
      <c r="EI17" s="874">
        <v>30.342276949999999</v>
      </c>
      <c r="EJ17" s="874">
        <v>24.472661909999999</v>
      </c>
      <c r="EK17" s="874">
        <v>25.879548920000001</v>
      </c>
      <c r="EL17" s="874">
        <v>36.276061470000002</v>
      </c>
      <c r="EM17" s="874">
        <v>39.899132780000002</v>
      </c>
      <c r="EN17" s="874">
        <v>39.958991449999999</v>
      </c>
      <c r="EO17" s="874">
        <v>42.209989380000003</v>
      </c>
      <c r="EP17" s="874">
        <v>45.403514649999998</v>
      </c>
      <c r="EQ17" s="874">
        <v>44.71611936</v>
      </c>
      <c r="ER17" s="874">
        <v>46.871542030000001</v>
      </c>
      <c r="ES17" s="874">
        <v>47.173764200000001</v>
      </c>
      <c r="ET17" s="874">
        <v>45.529449620000001</v>
      </c>
      <c r="EU17" s="1922" t="s">
        <v>212</v>
      </c>
      <c r="EZ17" s="342"/>
    </row>
    <row r="18" spans="1:156" ht="21">
      <c r="A18" s="1953" t="s">
        <v>1974</v>
      </c>
      <c r="B18" s="850">
        <v>0</v>
      </c>
      <c r="C18" s="850">
        <v>0</v>
      </c>
      <c r="D18" s="850">
        <v>0</v>
      </c>
      <c r="E18" s="850">
        <v>0</v>
      </c>
      <c r="F18" s="850">
        <v>0</v>
      </c>
      <c r="G18" s="850">
        <v>0</v>
      </c>
      <c r="H18" s="850">
        <v>0</v>
      </c>
      <c r="I18" s="850">
        <v>0</v>
      </c>
      <c r="J18" s="850">
        <v>0</v>
      </c>
      <c r="K18" s="850">
        <v>0</v>
      </c>
      <c r="L18" s="850">
        <v>0</v>
      </c>
      <c r="M18" s="843">
        <v>0</v>
      </c>
      <c r="N18" s="840">
        <v>0</v>
      </c>
      <c r="O18" s="840">
        <v>0</v>
      </c>
      <c r="P18" s="840">
        <v>0</v>
      </c>
      <c r="Q18" s="840">
        <v>0</v>
      </c>
      <c r="R18" s="840">
        <v>0</v>
      </c>
      <c r="S18" s="840">
        <v>0</v>
      </c>
      <c r="T18" s="840">
        <v>0</v>
      </c>
      <c r="U18" s="840">
        <v>0</v>
      </c>
      <c r="V18" s="840">
        <v>0</v>
      </c>
      <c r="W18" s="840">
        <v>0</v>
      </c>
      <c r="X18" s="840">
        <v>0</v>
      </c>
      <c r="Y18" s="843">
        <v>0</v>
      </c>
      <c r="Z18" s="840">
        <v>0</v>
      </c>
      <c r="AA18" s="840">
        <v>0</v>
      </c>
      <c r="AB18" s="843">
        <v>0</v>
      </c>
      <c r="AC18" s="843">
        <v>0</v>
      </c>
      <c r="AD18" s="843">
        <v>0</v>
      </c>
      <c r="AE18" s="843">
        <v>0</v>
      </c>
      <c r="AF18" s="843">
        <v>0</v>
      </c>
      <c r="AG18" s="843">
        <v>0</v>
      </c>
      <c r="AH18" s="843">
        <v>0</v>
      </c>
      <c r="AI18" s="843">
        <v>0</v>
      </c>
      <c r="AJ18" s="843">
        <v>0</v>
      </c>
      <c r="AK18" s="843">
        <v>0</v>
      </c>
      <c r="AL18" s="843">
        <v>0</v>
      </c>
      <c r="AM18" s="843">
        <v>0</v>
      </c>
      <c r="AN18" s="843">
        <v>0</v>
      </c>
      <c r="AO18" s="843">
        <v>0</v>
      </c>
      <c r="AP18" s="843">
        <v>0</v>
      </c>
      <c r="AQ18" s="843">
        <v>0</v>
      </c>
      <c r="AR18" s="843">
        <v>0</v>
      </c>
      <c r="AS18" s="843">
        <v>0</v>
      </c>
      <c r="AT18" s="843">
        <v>0</v>
      </c>
      <c r="AU18" s="843">
        <v>0</v>
      </c>
      <c r="AV18" s="843">
        <v>0</v>
      </c>
      <c r="AW18" s="843">
        <v>0</v>
      </c>
      <c r="AX18" s="843">
        <v>0</v>
      </c>
      <c r="AY18" s="843">
        <v>0</v>
      </c>
      <c r="AZ18" s="843">
        <v>0</v>
      </c>
      <c r="BA18" s="843">
        <v>0</v>
      </c>
      <c r="BB18" s="843">
        <v>0</v>
      </c>
      <c r="BC18" s="843">
        <v>0</v>
      </c>
      <c r="BD18" s="843">
        <v>0</v>
      </c>
      <c r="BE18" s="843">
        <v>0</v>
      </c>
      <c r="BF18" s="843">
        <v>0</v>
      </c>
      <c r="BG18" s="843">
        <v>0</v>
      </c>
      <c r="BH18" s="886">
        <v>0</v>
      </c>
      <c r="BI18" s="875">
        <v>0</v>
      </c>
      <c r="BJ18" s="875">
        <v>0</v>
      </c>
      <c r="BK18" s="875">
        <v>0</v>
      </c>
      <c r="BL18" s="875">
        <v>0</v>
      </c>
      <c r="BM18" s="875">
        <v>0</v>
      </c>
      <c r="BN18" s="875">
        <v>0</v>
      </c>
      <c r="BO18" s="875">
        <v>0</v>
      </c>
      <c r="BP18" s="875">
        <v>0</v>
      </c>
      <c r="BQ18" s="875">
        <v>0</v>
      </c>
      <c r="BR18" s="875">
        <v>0</v>
      </c>
      <c r="BS18" s="875">
        <v>0</v>
      </c>
      <c r="BT18" s="875">
        <v>0</v>
      </c>
      <c r="BU18" s="875">
        <v>0</v>
      </c>
      <c r="BV18" s="875">
        <v>0</v>
      </c>
      <c r="BW18" s="875">
        <v>0</v>
      </c>
      <c r="BX18" s="875">
        <v>0</v>
      </c>
      <c r="BY18" s="875">
        <v>0</v>
      </c>
      <c r="BZ18" s="875">
        <v>0</v>
      </c>
      <c r="CA18" s="875">
        <v>0</v>
      </c>
      <c r="CB18" s="875">
        <v>0</v>
      </c>
      <c r="CC18" s="875">
        <v>0</v>
      </c>
      <c r="CD18" s="875">
        <v>0</v>
      </c>
      <c r="CE18" s="875">
        <v>0</v>
      </c>
      <c r="CF18" s="875">
        <v>0</v>
      </c>
      <c r="CG18" s="875">
        <v>0</v>
      </c>
      <c r="CH18" s="875">
        <v>0</v>
      </c>
      <c r="CI18" s="875">
        <v>0</v>
      </c>
      <c r="CJ18" s="875">
        <v>0</v>
      </c>
      <c r="CK18" s="875">
        <v>0</v>
      </c>
      <c r="CL18" s="875">
        <v>0</v>
      </c>
      <c r="CM18" s="875">
        <v>0</v>
      </c>
      <c r="CN18" s="875">
        <v>0</v>
      </c>
      <c r="CO18" s="875">
        <v>0</v>
      </c>
      <c r="CP18" s="875">
        <v>0</v>
      </c>
      <c r="CQ18" s="875">
        <v>0</v>
      </c>
      <c r="CR18" s="875">
        <v>0</v>
      </c>
      <c r="CS18" s="875">
        <v>0</v>
      </c>
      <c r="CT18" s="875">
        <v>0.15065002</v>
      </c>
      <c r="CU18" s="875">
        <v>0.74781998000000005</v>
      </c>
      <c r="CV18" s="875">
        <v>0.66671670999999999</v>
      </c>
      <c r="CW18" s="875">
        <v>0.55942831999999998</v>
      </c>
      <c r="CX18" s="875">
        <v>0.53791522000000003</v>
      </c>
      <c r="CY18" s="875">
        <v>0.48383232999999998</v>
      </c>
      <c r="CZ18" s="875">
        <v>0.48823873000000001</v>
      </c>
      <c r="DA18" s="875">
        <v>0.41710795000000001</v>
      </c>
      <c r="DB18" s="875">
        <v>0</v>
      </c>
      <c r="DC18" s="875">
        <v>0</v>
      </c>
      <c r="DD18" s="875">
        <v>0</v>
      </c>
      <c r="DE18" s="875">
        <v>0</v>
      </c>
      <c r="DF18" s="875">
        <v>0</v>
      </c>
      <c r="DG18" s="875">
        <v>0</v>
      </c>
      <c r="DH18" s="875">
        <v>0</v>
      </c>
      <c r="DI18" s="875">
        <v>0.01</v>
      </c>
      <c r="DJ18" s="875">
        <v>0.01</v>
      </c>
      <c r="DK18" s="875">
        <v>9.24613E-3</v>
      </c>
      <c r="DL18" s="875">
        <v>8.4697699999999997E-3</v>
      </c>
      <c r="DM18" s="875">
        <v>7.6811099999999997E-3</v>
      </c>
      <c r="DN18" s="875">
        <v>6.87997E-3</v>
      </c>
      <c r="DO18" s="875">
        <v>6.0734099999999996E-3</v>
      </c>
      <c r="DP18" s="875">
        <v>5.2404000000000001E-3</v>
      </c>
      <c r="DQ18" s="875">
        <v>4.4006100000000001E-3</v>
      </c>
      <c r="DR18" s="875">
        <v>3.5521699999999999E-3</v>
      </c>
      <c r="DS18" s="875">
        <v>2.6819000000000001E-3</v>
      </c>
      <c r="DT18" s="875">
        <v>1.8016E-3</v>
      </c>
      <c r="DU18" s="875">
        <v>9.0927E-4</v>
      </c>
      <c r="DV18" s="875">
        <v>0</v>
      </c>
      <c r="DW18" s="875">
        <v>0</v>
      </c>
      <c r="DX18" s="875">
        <v>0</v>
      </c>
      <c r="DY18" s="875">
        <v>0</v>
      </c>
      <c r="DZ18" s="875">
        <v>0</v>
      </c>
      <c r="EA18" s="875">
        <v>0</v>
      </c>
      <c r="EB18" s="875">
        <v>0</v>
      </c>
      <c r="EC18" s="875">
        <v>0</v>
      </c>
      <c r="ED18" s="875">
        <v>0</v>
      </c>
      <c r="EE18" s="875">
        <v>0</v>
      </c>
      <c r="EF18" s="875">
        <v>0</v>
      </c>
      <c r="EG18" s="875">
        <v>0</v>
      </c>
      <c r="EH18" s="875">
        <v>0</v>
      </c>
      <c r="EI18" s="875">
        <v>0</v>
      </c>
      <c r="EJ18" s="875">
        <v>0</v>
      </c>
      <c r="EK18" s="875">
        <v>0</v>
      </c>
      <c r="EL18" s="875">
        <v>0</v>
      </c>
      <c r="EM18" s="875">
        <v>0</v>
      </c>
      <c r="EN18" s="875">
        <v>0</v>
      </c>
      <c r="EO18" s="875">
        <v>0</v>
      </c>
      <c r="EP18" s="875">
        <v>0</v>
      </c>
      <c r="EQ18" s="875">
        <v>0</v>
      </c>
      <c r="ER18" s="875">
        <v>0</v>
      </c>
      <c r="ES18" s="875">
        <v>0</v>
      </c>
      <c r="ET18" s="875">
        <v>0</v>
      </c>
      <c r="EU18" s="1924" t="s">
        <v>4086</v>
      </c>
      <c r="EZ18" s="342"/>
    </row>
    <row r="19" spans="1:156" ht="21">
      <c r="A19" s="1953" t="s">
        <v>1975</v>
      </c>
      <c r="B19" s="851">
        <f>+B17-B18</f>
        <v>22.695528840000001</v>
      </c>
      <c r="C19" s="851">
        <f t="shared" ref="C19:V19" si="4">+C17-C18</f>
        <v>20.890334410000001</v>
      </c>
      <c r="D19" s="851">
        <f t="shared" si="4"/>
        <v>21.26644881</v>
      </c>
      <c r="E19" s="851">
        <f t="shared" si="4"/>
        <v>20.856800549999999</v>
      </c>
      <c r="F19" s="851">
        <f t="shared" si="4"/>
        <v>18.340524590000001</v>
      </c>
      <c r="G19" s="851">
        <f t="shared" si="4"/>
        <v>17.26524543</v>
      </c>
      <c r="H19" s="851">
        <f t="shared" si="4"/>
        <v>20.05758544</v>
      </c>
      <c r="I19" s="851">
        <f t="shared" si="4"/>
        <v>20.655252699999998</v>
      </c>
      <c r="J19" s="851">
        <f t="shared" si="4"/>
        <v>20.714459179999999</v>
      </c>
      <c r="K19" s="851">
        <f t="shared" si="4"/>
        <v>8.6646376600000004</v>
      </c>
      <c r="L19" s="851">
        <f t="shared" si="4"/>
        <v>9.5099155500000006</v>
      </c>
      <c r="M19" s="843">
        <f t="shared" si="4"/>
        <v>7.0525188499999993</v>
      </c>
      <c r="N19" s="843">
        <f t="shared" si="4"/>
        <v>7.0799711100000007</v>
      </c>
      <c r="O19" s="843">
        <f t="shared" si="4"/>
        <v>9.4274865399999985</v>
      </c>
      <c r="P19" s="843">
        <f t="shared" si="4"/>
        <v>9.1665198300000004</v>
      </c>
      <c r="Q19" s="843">
        <f t="shared" si="4"/>
        <v>10.17029773</v>
      </c>
      <c r="R19" s="843">
        <f t="shared" si="4"/>
        <v>9.4600307499999996</v>
      </c>
      <c r="S19" s="843">
        <f t="shared" si="4"/>
        <v>10.03137532</v>
      </c>
      <c r="T19" s="843">
        <f t="shared" si="4"/>
        <v>11.725306810000001</v>
      </c>
      <c r="U19" s="843">
        <f t="shared" si="4"/>
        <v>11.930375769999999</v>
      </c>
      <c r="V19" s="843">
        <f t="shared" si="4"/>
        <v>12.21865092</v>
      </c>
      <c r="W19" s="843">
        <v>11.548101109999999</v>
      </c>
      <c r="X19" s="843">
        <v>10.67725787</v>
      </c>
      <c r="Y19" s="843">
        <v>10.285120730000001</v>
      </c>
      <c r="Z19" s="843">
        <v>8.6847655100000001</v>
      </c>
      <c r="AA19" s="843">
        <v>9.1517091599999993</v>
      </c>
      <c r="AB19" s="843">
        <v>9.7346583199999994</v>
      </c>
      <c r="AC19" s="843">
        <v>8.0239724199999998</v>
      </c>
      <c r="AD19" s="843">
        <v>7.5614438699999997</v>
      </c>
      <c r="AE19" s="843">
        <v>4.7137675099999994</v>
      </c>
      <c r="AF19" s="843">
        <v>4.6946645</v>
      </c>
      <c r="AG19" s="843">
        <v>6.2735253899999996</v>
      </c>
      <c r="AH19" s="843">
        <f>+AH17-AH18</f>
        <v>9.881169550000001</v>
      </c>
      <c r="AI19" s="843">
        <v>25.408566690000001</v>
      </c>
      <c r="AJ19" s="843">
        <v>8.9951400100000001</v>
      </c>
      <c r="AK19" s="843">
        <f>+AK17-AK18</f>
        <v>10.74232559</v>
      </c>
      <c r="AL19" s="843">
        <v>4.58258425</v>
      </c>
      <c r="AM19" s="843">
        <f>+AM17-AM18</f>
        <v>4.5534561900000003</v>
      </c>
      <c r="AN19" s="843">
        <f>+AN17-AN18</f>
        <v>3.8739347000000004</v>
      </c>
      <c r="AO19" s="843">
        <f>+AO17-AO18</f>
        <v>3.9877050400000003</v>
      </c>
      <c r="AP19" s="843">
        <f>+AP17-AP18</f>
        <v>7.0837094199999999</v>
      </c>
      <c r="AQ19" s="843">
        <v>6.5798752499999997</v>
      </c>
      <c r="AR19" s="843">
        <v>4.9355694899999998</v>
      </c>
      <c r="AS19" s="843">
        <f>+AS17-AS18</f>
        <v>5.2691645400000002</v>
      </c>
      <c r="AT19" s="843">
        <f>+AT17-AT18</f>
        <v>7.2464831799999994</v>
      </c>
      <c r="AU19" s="843">
        <v>12.236266220000001</v>
      </c>
      <c r="AV19" s="843">
        <v>12.683450449999999</v>
      </c>
      <c r="AW19" s="843">
        <v>11.7361</v>
      </c>
      <c r="AX19" s="843">
        <v>11.062770369999999</v>
      </c>
      <c r="AY19" s="843">
        <v>8.8893246000000001</v>
      </c>
      <c r="AZ19" s="843">
        <v>6.3513233499999995</v>
      </c>
      <c r="BA19" s="843">
        <v>6.5534191599999998</v>
      </c>
      <c r="BB19" s="843">
        <v>8.1421782199999999</v>
      </c>
      <c r="BC19" s="843">
        <v>9.2882789800000012</v>
      </c>
      <c r="BD19" s="843">
        <f>+BD17-BD18</f>
        <v>9.6442734800000007</v>
      </c>
      <c r="BE19" s="843">
        <v>10.286144439999999</v>
      </c>
      <c r="BF19" s="843">
        <v>10.86967303</v>
      </c>
      <c r="BG19" s="843">
        <v>11.29339839</v>
      </c>
      <c r="BH19" s="886">
        <v>11.05516976</v>
      </c>
      <c r="BI19" s="875">
        <v>9.1208618599999998</v>
      </c>
      <c r="BJ19" s="875">
        <v>7.3530651799999998</v>
      </c>
      <c r="BK19" s="875">
        <v>6.5993044900000006</v>
      </c>
      <c r="BL19" s="875">
        <v>6.1543015599999995</v>
      </c>
      <c r="BM19" s="875">
        <v>3.9121708900000001</v>
      </c>
      <c r="BN19" s="875">
        <v>11.179279169999999</v>
      </c>
      <c r="BO19" s="875">
        <v>4.1727307299999996</v>
      </c>
      <c r="BP19" s="875">
        <v>3.8526824</v>
      </c>
      <c r="BQ19" s="875">
        <v>4.5731438899999999</v>
      </c>
      <c r="BR19" s="875">
        <v>5.2020749800000008</v>
      </c>
      <c r="BS19" s="875">
        <v>4.3392003099999998</v>
      </c>
      <c r="BT19" s="875">
        <v>5.9279157300000005</v>
      </c>
      <c r="BU19" s="875">
        <v>4.8522591799999999</v>
      </c>
      <c r="BV19" s="875">
        <v>4.6383788099999999</v>
      </c>
      <c r="BW19" s="875">
        <v>4.1150389399999998</v>
      </c>
      <c r="BX19" s="875">
        <v>3.17513617</v>
      </c>
      <c r="BY19" s="875">
        <v>3.2384613500000001</v>
      </c>
      <c r="BZ19" s="875">
        <v>3.4629975499999999</v>
      </c>
      <c r="CA19" s="875">
        <v>4.81275678</v>
      </c>
      <c r="CB19" s="875">
        <v>11.056598130000001</v>
      </c>
      <c r="CC19" s="875">
        <v>12.779335400000001</v>
      </c>
      <c r="CD19" s="875">
        <v>9.1595892600000006</v>
      </c>
      <c r="CE19" s="875">
        <f t="shared" ref="CE19:CP19" si="5">+CE17-CE18</f>
        <v>12.578168529999999</v>
      </c>
      <c r="CF19" s="875">
        <f t="shared" si="5"/>
        <v>9.8647212700000004</v>
      </c>
      <c r="CG19" s="875">
        <f t="shared" si="5"/>
        <v>6.1298163299999997</v>
      </c>
      <c r="CH19" s="875">
        <f t="shared" si="5"/>
        <v>5.0538765899999998</v>
      </c>
      <c r="CI19" s="875">
        <f t="shared" si="5"/>
        <v>5.7517817199999994</v>
      </c>
      <c r="CJ19" s="875">
        <f t="shared" si="5"/>
        <v>10.68652015</v>
      </c>
      <c r="CK19" s="875">
        <f t="shared" si="5"/>
        <v>15.32800617</v>
      </c>
      <c r="CL19" s="875">
        <f t="shared" si="5"/>
        <v>21.06094848</v>
      </c>
      <c r="CM19" s="875">
        <f t="shared" si="5"/>
        <v>18.513227660000002</v>
      </c>
      <c r="CN19" s="875">
        <f t="shared" si="5"/>
        <v>21.39640181</v>
      </c>
      <c r="CO19" s="875">
        <f t="shared" si="5"/>
        <v>23.673364360000001</v>
      </c>
      <c r="CP19" s="875">
        <f t="shared" si="5"/>
        <v>23.549526800000002</v>
      </c>
      <c r="CQ19" s="875">
        <f>+CQ17-CQ18</f>
        <v>23.169075039999999</v>
      </c>
      <c r="CR19" s="875">
        <f>+CR17-CR18</f>
        <v>21.78274</v>
      </c>
      <c r="CS19" s="875">
        <f>+CS17-CS18</f>
        <v>26.098823670000002</v>
      </c>
      <c r="CT19" s="875">
        <v>28.26714333</v>
      </c>
      <c r="CU19" s="875">
        <v>31.742489290000002</v>
      </c>
      <c r="CV19" s="875">
        <v>27.67454571</v>
      </c>
      <c r="CW19" s="875">
        <v>27.97527277</v>
      </c>
      <c r="CX19" s="875">
        <v>27.914298469999999</v>
      </c>
      <c r="CY19" s="875">
        <v>27.99042828</v>
      </c>
      <c r="CZ19" s="875">
        <v>28.19958656</v>
      </c>
      <c r="DA19" s="875">
        <v>23.476723060000001</v>
      </c>
      <c r="DB19" s="875">
        <v>19.74952626</v>
      </c>
      <c r="DC19" s="875">
        <v>21.3757585</v>
      </c>
      <c r="DD19" s="875">
        <v>27.015118529999999</v>
      </c>
      <c r="DE19" s="875">
        <v>24.674481830000001</v>
      </c>
      <c r="DF19" s="875">
        <v>26.810918050000002</v>
      </c>
      <c r="DG19" s="875">
        <v>25.670058839999999</v>
      </c>
      <c r="DH19" s="875">
        <v>26.476118979999999</v>
      </c>
      <c r="DI19" s="875">
        <v>23.97560241</v>
      </c>
      <c r="DJ19" s="875">
        <v>28.897649699999999</v>
      </c>
      <c r="DK19" s="875">
        <v>81.059757320000003</v>
      </c>
      <c r="DL19" s="875">
        <v>83.155470840000007</v>
      </c>
      <c r="DM19" s="875">
        <v>83.615630060000001</v>
      </c>
      <c r="DN19" s="875">
        <v>102.10318503000001</v>
      </c>
      <c r="DO19" s="875">
        <v>107.94815837</v>
      </c>
      <c r="DP19" s="875">
        <v>108.6654429</v>
      </c>
      <c r="DQ19" s="875">
        <v>106.79049126</v>
      </c>
      <c r="DR19" s="875">
        <v>108.80660579000001</v>
      </c>
      <c r="DS19" s="875">
        <v>113.55607078</v>
      </c>
      <c r="DT19" s="875">
        <v>79.23930781</v>
      </c>
      <c r="DU19" s="875">
        <v>67.429277290000002</v>
      </c>
      <c r="DV19" s="875">
        <v>71.784231329999997</v>
      </c>
      <c r="DW19" s="875">
        <v>73.026659890000005</v>
      </c>
      <c r="DX19" s="875">
        <v>60.409506210000004</v>
      </c>
      <c r="DY19" s="875">
        <v>57.333368749999998</v>
      </c>
      <c r="DZ19" s="875">
        <v>56.007124349999998</v>
      </c>
      <c r="EA19" s="875">
        <v>50.083628449999999</v>
      </c>
      <c r="EB19" s="875">
        <v>53.764610920000003</v>
      </c>
      <c r="EC19" s="875">
        <v>45.58919856</v>
      </c>
      <c r="ED19" s="875">
        <v>42.532673580000001</v>
      </c>
      <c r="EE19" s="875">
        <v>36.497515839999998</v>
      </c>
      <c r="EF19" s="875">
        <v>35.009486000000003</v>
      </c>
      <c r="EG19" s="875">
        <v>32.60208686</v>
      </c>
      <c r="EH19" s="875">
        <v>31.943611260000001</v>
      </c>
      <c r="EI19" s="875">
        <v>30.342276949999999</v>
      </c>
      <c r="EJ19" s="875">
        <v>24.472661909999999</v>
      </c>
      <c r="EK19" s="875">
        <v>25.879548920000001</v>
      </c>
      <c r="EL19" s="875">
        <v>36.276061470000002</v>
      </c>
      <c r="EM19" s="875">
        <v>39.899132780000002</v>
      </c>
      <c r="EN19" s="875">
        <v>39.958991449999999</v>
      </c>
      <c r="EO19" s="875">
        <v>42.209989380000003</v>
      </c>
      <c r="EP19" s="875">
        <v>45.403514649999998</v>
      </c>
      <c r="EQ19" s="875">
        <v>44.71611936</v>
      </c>
      <c r="ER19" s="875">
        <v>46.871542030000001</v>
      </c>
      <c r="ES19" s="875">
        <v>47.173764200000001</v>
      </c>
      <c r="ET19" s="875">
        <v>45.529449620000001</v>
      </c>
      <c r="EU19" s="1924" t="s">
        <v>4085</v>
      </c>
      <c r="EZ19" s="342"/>
    </row>
    <row r="20" spans="1:156" ht="21">
      <c r="A20" s="1952"/>
      <c r="B20" s="850"/>
      <c r="C20" s="850"/>
      <c r="D20" s="850"/>
      <c r="E20" s="850"/>
      <c r="F20" s="850"/>
      <c r="G20" s="850"/>
      <c r="H20" s="850"/>
      <c r="I20" s="850"/>
      <c r="J20" s="850"/>
      <c r="K20" s="850"/>
      <c r="L20" s="850"/>
      <c r="M20" s="840"/>
      <c r="N20" s="840"/>
      <c r="O20" s="840"/>
      <c r="P20" s="840"/>
      <c r="Q20" s="840"/>
      <c r="R20" s="840"/>
      <c r="S20" s="840"/>
      <c r="T20" s="840"/>
      <c r="U20" s="840"/>
      <c r="V20" s="840"/>
      <c r="W20" s="840"/>
      <c r="X20" s="840"/>
      <c r="Y20" s="840"/>
      <c r="Z20" s="840"/>
      <c r="AA20" s="840"/>
      <c r="AB20" s="840"/>
      <c r="AC20" s="840"/>
      <c r="AD20" s="840"/>
      <c r="AE20" s="840"/>
      <c r="AF20" s="840"/>
      <c r="AG20" s="840"/>
      <c r="AH20" s="840"/>
      <c r="AI20" s="840"/>
      <c r="AJ20" s="840"/>
      <c r="AK20" s="840"/>
      <c r="AL20" s="840"/>
      <c r="AM20" s="840"/>
      <c r="AN20" s="840"/>
      <c r="AO20" s="840"/>
      <c r="AP20" s="840"/>
      <c r="AQ20" s="840"/>
      <c r="AR20" s="840"/>
      <c r="AS20" s="840"/>
      <c r="AT20" s="840"/>
      <c r="AU20" s="840"/>
      <c r="AV20" s="840"/>
      <c r="AW20" s="840"/>
      <c r="AX20" s="840"/>
      <c r="AY20" s="840"/>
      <c r="AZ20" s="840"/>
      <c r="BA20" s="840"/>
      <c r="BB20" s="840"/>
      <c r="BC20" s="840"/>
      <c r="BD20" s="840"/>
      <c r="BE20" s="840"/>
      <c r="BF20" s="840"/>
      <c r="BG20" s="840"/>
      <c r="BH20" s="885"/>
      <c r="BI20" s="874"/>
      <c r="BJ20" s="874"/>
      <c r="BK20" s="874"/>
      <c r="BL20" s="874"/>
      <c r="BM20" s="874"/>
      <c r="BN20" s="874"/>
      <c r="BO20" s="874"/>
      <c r="BP20" s="874"/>
      <c r="BQ20" s="874"/>
      <c r="BR20" s="874"/>
      <c r="BS20" s="874"/>
      <c r="BT20" s="874"/>
      <c r="BU20" s="874"/>
      <c r="BV20" s="874"/>
      <c r="BW20" s="874"/>
      <c r="BX20" s="874"/>
      <c r="BY20" s="874"/>
      <c r="BZ20" s="874"/>
      <c r="CA20" s="874"/>
      <c r="CB20" s="874"/>
      <c r="CC20" s="874"/>
      <c r="CD20" s="874"/>
      <c r="CE20" s="874"/>
      <c r="CF20" s="874"/>
      <c r="CG20" s="874"/>
      <c r="CH20" s="874"/>
      <c r="CI20" s="874"/>
      <c r="CJ20" s="874"/>
      <c r="CK20" s="874"/>
      <c r="CL20" s="874"/>
      <c r="CM20" s="874"/>
      <c r="CN20" s="874"/>
      <c r="CO20" s="874"/>
      <c r="CP20" s="874"/>
      <c r="CQ20" s="874"/>
      <c r="CR20" s="874"/>
      <c r="CS20" s="874"/>
      <c r="CT20" s="874"/>
      <c r="CU20" s="874"/>
      <c r="CV20" s="874"/>
      <c r="CW20" s="874"/>
      <c r="CX20" s="874"/>
      <c r="CY20" s="874"/>
      <c r="CZ20" s="874"/>
      <c r="DA20" s="874"/>
      <c r="DB20" s="874"/>
      <c r="DC20" s="874"/>
      <c r="DD20" s="874"/>
      <c r="DE20" s="874"/>
      <c r="DF20" s="874"/>
      <c r="DG20" s="874"/>
      <c r="DH20" s="874"/>
      <c r="DI20" s="874"/>
      <c r="DJ20" s="874"/>
      <c r="DK20" s="874"/>
      <c r="DL20" s="874"/>
      <c r="DM20" s="874"/>
      <c r="DN20" s="874"/>
      <c r="DO20" s="874"/>
      <c r="DP20" s="874"/>
      <c r="DQ20" s="874"/>
      <c r="DR20" s="874"/>
      <c r="DS20" s="874"/>
      <c r="DT20" s="874"/>
      <c r="DU20" s="874"/>
      <c r="DV20" s="874"/>
      <c r="DW20" s="874"/>
      <c r="DX20" s="874"/>
      <c r="DY20" s="874"/>
      <c r="DZ20" s="874"/>
      <c r="EA20" s="874"/>
      <c r="EB20" s="874"/>
      <c r="EC20" s="874"/>
      <c r="ED20" s="874"/>
      <c r="EE20" s="874"/>
      <c r="EF20" s="874"/>
      <c r="EG20" s="874"/>
      <c r="EH20" s="874"/>
      <c r="EI20" s="874"/>
      <c r="EJ20" s="874"/>
      <c r="EK20" s="874"/>
      <c r="EL20" s="874"/>
      <c r="EM20" s="874"/>
      <c r="EN20" s="874"/>
      <c r="EO20" s="874"/>
      <c r="EP20" s="874"/>
      <c r="EQ20" s="874"/>
      <c r="ER20" s="874"/>
      <c r="ES20" s="874"/>
      <c r="ET20" s="874"/>
      <c r="EU20" s="1922"/>
      <c r="EZ20" s="342"/>
    </row>
    <row r="21" spans="1:156" ht="21">
      <c r="A21" s="1952" t="s">
        <v>2757</v>
      </c>
      <c r="B21" s="851">
        <v>2.48552844</v>
      </c>
      <c r="C21" s="851">
        <v>2.2822118799999997</v>
      </c>
      <c r="D21" s="851">
        <v>2.2487991600000004</v>
      </c>
      <c r="E21" s="851">
        <v>2.4661993600000001</v>
      </c>
      <c r="F21" s="851">
        <v>2.5717124999999998</v>
      </c>
      <c r="G21" s="851">
        <v>2.7290677999999997</v>
      </c>
      <c r="H21" s="851">
        <v>4.0369534399999996</v>
      </c>
      <c r="I21" s="851">
        <v>2.7703779599999998</v>
      </c>
      <c r="J21" s="851">
        <v>2.83270248</v>
      </c>
      <c r="K21" s="851">
        <v>3.1708004700000001</v>
      </c>
      <c r="L21" s="851">
        <v>3.2731609700000002</v>
      </c>
      <c r="M21" s="840">
        <v>2.9473485899999998</v>
      </c>
      <c r="N21" s="843">
        <v>3.7220196099999998</v>
      </c>
      <c r="O21" s="843">
        <v>3.4313952400000001</v>
      </c>
      <c r="P21" s="843">
        <v>3.5823257499999999</v>
      </c>
      <c r="Q21" s="843">
        <v>3.6303862599999999</v>
      </c>
      <c r="R21" s="843">
        <v>3.5736371</v>
      </c>
      <c r="S21" s="843">
        <v>3.30044336</v>
      </c>
      <c r="T21" s="843">
        <v>3.2989254799999999</v>
      </c>
      <c r="U21" s="843">
        <v>3.4893403100000002</v>
      </c>
      <c r="V21" s="843">
        <v>7.8920183899999996</v>
      </c>
      <c r="W21" s="843">
        <v>7.6875988600000005</v>
      </c>
      <c r="X21" s="843">
        <v>6.9772483899999997</v>
      </c>
      <c r="Y21" s="840">
        <v>6.4117610799999998</v>
      </c>
      <c r="Z21" s="843">
        <v>5.9036548199999999</v>
      </c>
      <c r="AA21" s="843">
        <v>40.656076140000003</v>
      </c>
      <c r="AB21" s="840">
        <v>40.172556719999996</v>
      </c>
      <c r="AC21" s="840">
        <v>39.949020709999999</v>
      </c>
      <c r="AD21" s="840">
        <v>39.671596159999993</v>
      </c>
      <c r="AE21" s="840">
        <v>41.786128850000004</v>
      </c>
      <c r="AF21" s="840">
        <v>41.383925380000001</v>
      </c>
      <c r="AG21" s="840">
        <v>40.337403539999997</v>
      </c>
      <c r="AH21" s="840">
        <v>45.565158869999998</v>
      </c>
      <c r="AI21" s="840">
        <v>41.877534189999999</v>
      </c>
      <c r="AJ21" s="840">
        <v>30.94739049</v>
      </c>
      <c r="AK21" s="840">
        <v>17.127758030000003</v>
      </c>
      <c r="AL21" s="840">
        <v>11.18682407</v>
      </c>
      <c r="AM21" s="840">
        <v>12.49702095</v>
      </c>
      <c r="AN21" s="840">
        <v>12.207427689999999</v>
      </c>
      <c r="AO21" s="840">
        <v>11.939126910000001</v>
      </c>
      <c r="AP21" s="840">
        <v>12.25736951</v>
      </c>
      <c r="AQ21" s="840">
        <v>13.230390180000001</v>
      </c>
      <c r="AR21" s="840">
        <v>13.640445210000001</v>
      </c>
      <c r="AS21" s="840">
        <v>14.46894985</v>
      </c>
      <c r="AT21" s="840">
        <f>AT13-AT17</f>
        <v>13.080238300000001</v>
      </c>
      <c r="AU21" s="840">
        <v>13.111906170000001</v>
      </c>
      <c r="AV21" s="840">
        <v>25.60267936</v>
      </c>
      <c r="AW21" s="840">
        <v>29.030007550000001</v>
      </c>
      <c r="AX21" s="840">
        <v>27.00753928</v>
      </c>
      <c r="AY21" s="840">
        <v>23.628282800000001</v>
      </c>
      <c r="AZ21" s="840">
        <v>23.585638449999998</v>
      </c>
      <c r="BA21" s="840">
        <v>24.883197420000002</v>
      </c>
      <c r="BB21" s="840">
        <v>21.087471409999999</v>
      </c>
      <c r="BC21" s="840">
        <v>16.212166240000002</v>
      </c>
      <c r="BD21" s="840">
        <v>17.081005530000002</v>
      </c>
      <c r="BE21" s="840">
        <v>17.027515709999999</v>
      </c>
      <c r="BF21" s="840">
        <v>17.36692764</v>
      </c>
      <c r="BG21" s="840">
        <v>15.939373150000002</v>
      </c>
      <c r="BH21" s="885">
        <v>15.969822070000001</v>
      </c>
      <c r="BI21" s="874">
        <v>16.536658060000001</v>
      </c>
      <c r="BJ21" s="874">
        <v>16.31554766</v>
      </c>
      <c r="BK21" s="874">
        <v>16.090007800000002</v>
      </c>
      <c r="BL21" s="874">
        <v>12.037031679999998</v>
      </c>
      <c r="BM21" s="874">
        <v>12.998228419999998</v>
      </c>
      <c r="BN21" s="874">
        <v>13.34151952</v>
      </c>
      <c r="BO21" s="874">
        <v>12.700916050000002</v>
      </c>
      <c r="BP21" s="874">
        <v>4.4751800099999999</v>
      </c>
      <c r="BQ21" s="874">
        <v>4.5704746999999992</v>
      </c>
      <c r="BR21" s="874">
        <v>7.7178302100000007</v>
      </c>
      <c r="BS21" s="874">
        <v>13.064048530000001</v>
      </c>
      <c r="BT21" s="874">
        <v>12.66900766</v>
      </c>
      <c r="BU21" s="874">
        <v>12.909578199999999</v>
      </c>
      <c r="BV21" s="874">
        <v>12.895053610000001</v>
      </c>
      <c r="BW21" s="874">
        <v>12.055884480000001</v>
      </c>
      <c r="BX21" s="874">
        <v>11.871007029999999</v>
      </c>
      <c r="BY21" s="874">
        <v>10.93500036</v>
      </c>
      <c r="BZ21" s="874">
        <v>10.705016579999999</v>
      </c>
      <c r="CA21" s="874">
        <v>10.501981059999999</v>
      </c>
      <c r="CB21" s="874">
        <v>11.87128517</v>
      </c>
      <c r="CC21" s="874">
        <v>7.4943299900000007</v>
      </c>
      <c r="CD21" s="874">
        <v>8.7554280799999997</v>
      </c>
      <c r="CE21" s="874">
        <v>9.5614039900000005</v>
      </c>
      <c r="CF21" s="874">
        <v>11.846085109999999</v>
      </c>
      <c r="CG21" s="874">
        <v>10.498063519999999</v>
      </c>
      <c r="CH21" s="874">
        <v>10.40474839</v>
      </c>
      <c r="CI21" s="874">
        <v>10.22230251</v>
      </c>
      <c r="CJ21" s="874">
        <v>8.6876860699999998</v>
      </c>
      <c r="CK21" s="874">
        <v>7.0813939299999999</v>
      </c>
      <c r="CL21" s="874">
        <v>7.3559869600000001</v>
      </c>
      <c r="CM21" s="874">
        <v>7.0033907400000004</v>
      </c>
      <c r="CN21" s="874">
        <v>6.5940991200000001</v>
      </c>
      <c r="CO21" s="874">
        <v>8.3717396900000001</v>
      </c>
      <c r="CP21" s="874">
        <v>12.614661480000001</v>
      </c>
      <c r="CQ21" s="874">
        <v>12.99960089</v>
      </c>
      <c r="CR21" s="874">
        <v>11.867906710000002</v>
      </c>
      <c r="CS21" s="874">
        <v>10.440148839999999</v>
      </c>
      <c r="CT21" s="874">
        <v>9.1956834000000001</v>
      </c>
      <c r="CU21" s="874">
        <v>7.5236079699999996</v>
      </c>
      <c r="CV21" s="874">
        <v>6.70342664</v>
      </c>
      <c r="CW21" s="874">
        <v>6.1106602900000002</v>
      </c>
      <c r="CX21" s="874">
        <v>4.7077129199999996</v>
      </c>
      <c r="CY21" s="874">
        <v>4.6121696099999996</v>
      </c>
      <c r="CZ21" s="874">
        <v>3.9423690499999999</v>
      </c>
      <c r="DA21" s="874">
        <v>8.6981535500000007</v>
      </c>
      <c r="DB21" s="874">
        <v>11.598571010000001</v>
      </c>
      <c r="DC21" s="874">
        <v>12.17636426</v>
      </c>
      <c r="DD21" s="874">
        <v>12.38746149</v>
      </c>
      <c r="DE21" s="874">
        <v>10.24889211</v>
      </c>
      <c r="DF21" s="874">
        <v>10.42539736</v>
      </c>
      <c r="DG21" s="874">
        <v>9.6751850499999996</v>
      </c>
      <c r="DH21" s="874">
        <v>8.99877343</v>
      </c>
      <c r="DI21" s="874">
        <v>6.9291844899999999</v>
      </c>
      <c r="DJ21" s="874">
        <v>7.1473216700000002</v>
      </c>
      <c r="DK21" s="874">
        <v>5.9222762900000001</v>
      </c>
      <c r="DL21" s="874">
        <v>5.4512526599999998</v>
      </c>
      <c r="DM21" s="874">
        <v>6.8658676200000004</v>
      </c>
      <c r="DN21" s="874">
        <v>7.1077628700000002</v>
      </c>
      <c r="DO21" s="874">
        <v>8.7313740299999996</v>
      </c>
      <c r="DP21" s="874">
        <v>9.2763011599999992</v>
      </c>
      <c r="DQ21" s="874">
        <v>12.019472950000001</v>
      </c>
      <c r="DR21" s="874">
        <v>11.30719144</v>
      </c>
      <c r="DS21" s="874">
        <v>9.1602831600000005</v>
      </c>
      <c r="DT21" s="874">
        <v>8.0516994099999994</v>
      </c>
      <c r="DU21" s="874">
        <v>5.4819702399999999</v>
      </c>
      <c r="DV21" s="874">
        <v>5.3180775599999999</v>
      </c>
      <c r="DW21" s="874">
        <v>5.4955550500000001</v>
      </c>
      <c r="DX21" s="874">
        <v>5.5295471300000001</v>
      </c>
      <c r="DY21" s="874">
        <v>9.2664991400000005</v>
      </c>
      <c r="DZ21" s="874">
        <v>13.64396627</v>
      </c>
      <c r="EA21" s="874">
        <v>17.27431078</v>
      </c>
      <c r="EB21" s="874">
        <v>15.83702452</v>
      </c>
      <c r="EC21" s="874">
        <v>13.672595729999999</v>
      </c>
      <c r="ED21" s="874">
        <v>12.851364390000001</v>
      </c>
      <c r="EE21" s="874">
        <v>11.04785427</v>
      </c>
      <c r="EF21" s="874">
        <v>9.8405209399999993</v>
      </c>
      <c r="EG21" s="874">
        <v>8.9481480700000002</v>
      </c>
      <c r="EH21" s="874">
        <v>7.6807144300000001</v>
      </c>
      <c r="EI21" s="874">
        <v>6.77541847</v>
      </c>
      <c r="EJ21" s="874">
        <v>4.5816734200000004</v>
      </c>
      <c r="EK21" s="874">
        <v>8.0453308900000007</v>
      </c>
      <c r="EL21" s="874">
        <v>12.981149070000001</v>
      </c>
      <c r="EM21" s="874">
        <v>24.69512971</v>
      </c>
      <c r="EN21" s="874">
        <v>26.519208729999999</v>
      </c>
      <c r="EO21" s="874">
        <v>24.745843109999999</v>
      </c>
      <c r="EP21" s="874">
        <v>22.983909820000001</v>
      </c>
      <c r="EQ21" s="874">
        <v>28.64104781</v>
      </c>
      <c r="ER21" s="874">
        <v>32.989433529999999</v>
      </c>
      <c r="ES21" s="874">
        <v>33.226751880000002</v>
      </c>
      <c r="ET21" s="874">
        <v>33.607930469999999</v>
      </c>
      <c r="EU21" s="1922" t="s">
        <v>4087</v>
      </c>
      <c r="EZ21" s="342"/>
    </row>
    <row r="22" spans="1:156" ht="21">
      <c r="A22" s="1953" t="s">
        <v>1974</v>
      </c>
      <c r="B22" s="851">
        <v>0</v>
      </c>
      <c r="C22" s="851">
        <v>0</v>
      </c>
      <c r="D22" s="851">
        <v>0</v>
      </c>
      <c r="E22" s="851">
        <v>0</v>
      </c>
      <c r="F22" s="851">
        <v>0</v>
      </c>
      <c r="G22" s="851">
        <v>0</v>
      </c>
      <c r="H22" s="851">
        <v>0</v>
      </c>
      <c r="I22" s="851">
        <v>0</v>
      </c>
      <c r="J22" s="851">
        <v>0</v>
      </c>
      <c r="K22" s="851">
        <v>0</v>
      </c>
      <c r="L22" s="851">
        <v>0</v>
      </c>
      <c r="M22" s="843">
        <v>0</v>
      </c>
      <c r="N22" s="843">
        <v>0</v>
      </c>
      <c r="O22" s="843">
        <v>0</v>
      </c>
      <c r="P22" s="843">
        <v>0</v>
      </c>
      <c r="Q22" s="843">
        <v>0</v>
      </c>
      <c r="R22" s="843">
        <v>0</v>
      </c>
      <c r="S22" s="843">
        <v>0</v>
      </c>
      <c r="T22" s="843">
        <v>0</v>
      </c>
      <c r="U22" s="843">
        <v>0</v>
      </c>
      <c r="V22" s="843">
        <v>0</v>
      </c>
      <c r="W22" s="843">
        <v>0</v>
      </c>
      <c r="X22" s="843">
        <v>0</v>
      </c>
      <c r="Y22" s="843">
        <v>0</v>
      </c>
      <c r="Z22" s="843">
        <v>0</v>
      </c>
      <c r="AA22" s="843">
        <v>0</v>
      </c>
      <c r="AB22" s="843">
        <v>0</v>
      </c>
      <c r="AC22" s="843">
        <v>0</v>
      </c>
      <c r="AD22" s="843">
        <v>0</v>
      </c>
      <c r="AE22" s="843">
        <v>0</v>
      </c>
      <c r="AF22" s="843">
        <v>0</v>
      </c>
      <c r="AG22" s="843">
        <v>0</v>
      </c>
      <c r="AH22" s="843">
        <v>0</v>
      </c>
      <c r="AI22" s="843">
        <v>0</v>
      </c>
      <c r="AJ22" s="843">
        <v>0</v>
      </c>
      <c r="AK22" s="843">
        <v>0</v>
      </c>
      <c r="AL22" s="843">
        <v>0</v>
      </c>
      <c r="AM22" s="843">
        <v>0</v>
      </c>
      <c r="AN22" s="843">
        <v>0</v>
      </c>
      <c r="AO22" s="843">
        <v>0</v>
      </c>
      <c r="AP22" s="843">
        <v>0</v>
      </c>
      <c r="AQ22" s="843">
        <v>0</v>
      </c>
      <c r="AR22" s="843">
        <v>0</v>
      </c>
      <c r="AS22" s="843">
        <v>0</v>
      </c>
      <c r="AT22" s="843">
        <f>AT14-AT18</f>
        <v>0</v>
      </c>
      <c r="AU22" s="843">
        <v>0</v>
      </c>
      <c r="AV22" s="843">
        <v>0</v>
      </c>
      <c r="AW22" s="843">
        <v>0</v>
      </c>
      <c r="AX22" s="843">
        <v>0</v>
      </c>
      <c r="AY22" s="843">
        <v>0</v>
      </c>
      <c r="AZ22" s="843">
        <v>0</v>
      </c>
      <c r="BA22" s="843">
        <v>0</v>
      </c>
      <c r="BB22" s="843">
        <v>0</v>
      </c>
      <c r="BC22" s="843">
        <v>0</v>
      </c>
      <c r="BD22" s="843">
        <v>0</v>
      </c>
      <c r="BE22" s="843">
        <v>0</v>
      </c>
      <c r="BF22" s="843">
        <v>0</v>
      </c>
      <c r="BG22" s="843">
        <v>0</v>
      </c>
      <c r="BH22" s="886">
        <v>0</v>
      </c>
      <c r="BI22" s="875">
        <v>0</v>
      </c>
      <c r="BJ22" s="875">
        <v>0</v>
      </c>
      <c r="BK22" s="875">
        <v>0</v>
      </c>
      <c r="BL22" s="875">
        <v>0</v>
      </c>
      <c r="BM22" s="875">
        <v>0</v>
      </c>
      <c r="BN22" s="875">
        <v>0</v>
      </c>
      <c r="BO22" s="875">
        <v>0</v>
      </c>
      <c r="BP22" s="875">
        <v>0</v>
      </c>
      <c r="BQ22" s="875">
        <v>0</v>
      </c>
      <c r="BR22" s="875">
        <v>0</v>
      </c>
      <c r="BS22" s="875">
        <v>0</v>
      </c>
      <c r="BT22" s="875">
        <v>0</v>
      </c>
      <c r="BU22" s="875">
        <v>0</v>
      </c>
      <c r="BV22" s="875">
        <v>0</v>
      </c>
      <c r="BW22" s="875">
        <v>0</v>
      </c>
      <c r="BX22" s="875">
        <v>0</v>
      </c>
      <c r="BY22" s="875">
        <v>0</v>
      </c>
      <c r="BZ22" s="875">
        <v>0</v>
      </c>
      <c r="CA22" s="875">
        <v>0</v>
      </c>
      <c r="CB22" s="875">
        <v>0</v>
      </c>
      <c r="CC22" s="875">
        <v>0</v>
      </c>
      <c r="CD22" s="875">
        <v>0</v>
      </c>
      <c r="CE22" s="875">
        <v>0</v>
      </c>
      <c r="CF22" s="875">
        <v>0</v>
      </c>
      <c r="CG22" s="875">
        <v>0</v>
      </c>
      <c r="CH22" s="875">
        <v>0</v>
      </c>
      <c r="CI22" s="875">
        <v>0</v>
      </c>
      <c r="CJ22" s="875">
        <v>0</v>
      </c>
      <c r="CK22" s="875">
        <v>0</v>
      </c>
      <c r="CL22" s="875">
        <v>0</v>
      </c>
      <c r="CM22" s="875">
        <v>0</v>
      </c>
      <c r="CN22" s="875">
        <v>0</v>
      </c>
      <c r="CO22" s="875">
        <v>0</v>
      </c>
      <c r="CP22" s="875">
        <v>0</v>
      </c>
      <c r="CQ22" s="875">
        <v>0</v>
      </c>
      <c r="CR22" s="875">
        <v>0</v>
      </c>
      <c r="CS22" s="875">
        <v>0</v>
      </c>
      <c r="CT22" s="875">
        <v>0</v>
      </c>
      <c r="CU22" s="875">
        <v>0</v>
      </c>
      <c r="CV22" s="875">
        <v>0</v>
      </c>
      <c r="CW22" s="875">
        <v>0</v>
      </c>
      <c r="CX22" s="875">
        <v>0</v>
      </c>
      <c r="CY22" s="875">
        <v>0</v>
      </c>
      <c r="CZ22" s="875">
        <v>0</v>
      </c>
      <c r="DA22" s="875">
        <v>0</v>
      </c>
      <c r="DB22" s="875">
        <v>0</v>
      </c>
      <c r="DC22" s="875">
        <v>0</v>
      </c>
      <c r="DD22" s="875">
        <v>0</v>
      </c>
      <c r="DE22" s="875">
        <v>0</v>
      </c>
      <c r="DF22" s="875">
        <v>0</v>
      </c>
      <c r="DG22" s="875">
        <v>0</v>
      </c>
      <c r="DH22" s="875">
        <v>0</v>
      </c>
      <c r="DI22" s="875">
        <v>0</v>
      </c>
      <c r="DJ22" s="875">
        <v>0</v>
      </c>
      <c r="DK22" s="875">
        <v>0</v>
      </c>
      <c r="DL22" s="875">
        <v>0</v>
      </c>
      <c r="DM22" s="875">
        <v>0</v>
      </c>
      <c r="DN22" s="875">
        <v>0</v>
      </c>
      <c r="DO22" s="875">
        <v>0</v>
      </c>
      <c r="DP22" s="875">
        <v>0</v>
      </c>
      <c r="DQ22" s="875">
        <v>0</v>
      </c>
      <c r="DR22" s="875">
        <v>0</v>
      </c>
      <c r="DS22" s="875">
        <v>0</v>
      </c>
      <c r="DT22" s="875">
        <v>0</v>
      </c>
      <c r="DU22" s="875">
        <v>0</v>
      </c>
      <c r="DV22" s="875">
        <v>0</v>
      </c>
      <c r="DW22" s="875">
        <v>0</v>
      </c>
      <c r="DX22" s="875">
        <v>0</v>
      </c>
      <c r="DY22" s="875">
        <v>0</v>
      </c>
      <c r="DZ22" s="875">
        <v>0</v>
      </c>
      <c r="EA22" s="875">
        <v>0</v>
      </c>
      <c r="EB22" s="875">
        <v>0</v>
      </c>
      <c r="EC22" s="875">
        <v>0</v>
      </c>
      <c r="ED22" s="875">
        <v>0</v>
      </c>
      <c r="EE22" s="875">
        <v>0</v>
      </c>
      <c r="EF22" s="875">
        <v>0</v>
      </c>
      <c r="EG22" s="875">
        <v>0</v>
      </c>
      <c r="EH22" s="875">
        <v>0</v>
      </c>
      <c r="EI22" s="875">
        <v>0</v>
      </c>
      <c r="EJ22" s="875">
        <v>0</v>
      </c>
      <c r="EK22" s="875">
        <v>0</v>
      </c>
      <c r="EL22" s="875">
        <v>0</v>
      </c>
      <c r="EM22" s="875">
        <v>0</v>
      </c>
      <c r="EN22" s="875">
        <v>0</v>
      </c>
      <c r="EO22" s="875">
        <v>0</v>
      </c>
      <c r="EP22" s="875">
        <v>0</v>
      </c>
      <c r="EQ22" s="875">
        <v>0</v>
      </c>
      <c r="ER22" s="875">
        <v>0</v>
      </c>
      <c r="ES22" s="875">
        <v>0</v>
      </c>
      <c r="ET22" s="875">
        <v>0</v>
      </c>
      <c r="EU22" s="1924" t="s">
        <v>4086</v>
      </c>
      <c r="EZ22" s="342"/>
    </row>
    <row r="23" spans="1:156" ht="21">
      <c r="A23" s="1953" t="s">
        <v>1975</v>
      </c>
      <c r="B23" s="850">
        <f>+B21-B22</f>
        <v>2.48552844</v>
      </c>
      <c r="C23" s="851">
        <f t="shared" ref="C23:V23" si="6">+C21-C22</f>
        <v>2.2822118799999997</v>
      </c>
      <c r="D23" s="851">
        <f t="shared" si="6"/>
        <v>2.2487991600000004</v>
      </c>
      <c r="E23" s="851">
        <f t="shared" si="6"/>
        <v>2.4661993600000001</v>
      </c>
      <c r="F23" s="851">
        <f t="shared" si="6"/>
        <v>2.5717124999999998</v>
      </c>
      <c r="G23" s="851">
        <f t="shared" si="6"/>
        <v>2.7290677999999997</v>
      </c>
      <c r="H23" s="851">
        <f t="shared" si="6"/>
        <v>4.0369534399999996</v>
      </c>
      <c r="I23" s="851">
        <f t="shared" si="6"/>
        <v>2.7703779599999998</v>
      </c>
      <c r="J23" s="851">
        <f t="shared" si="6"/>
        <v>2.83270248</v>
      </c>
      <c r="K23" s="851">
        <f t="shared" si="6"/>
        <v>3.1708004700000001</v>
      </c>
      <c r="L23" s="851">
        <f t="shared" si="6"/>
        <v>3.2731609700000002</v>
      </c>
      <c r="M23" s="843">
        <f t="shared" si="6"/>
        <v>2.9473485899999998</v>
      </c>
      <c r="N23" s="843">
        <f t="shared" si="6"/>
        <v>3.7220196099999998</v>
      </c>
      <c r="O23" s="843">
        <f t="shared" si="6"/>
        <v>3.4313952400000001</v>
      </c>
      <c r="P23" s="840">
        <f t="shared" si="6"/>
        <v>3.5823257499999999</v>
      </c>
      <c r="Q23" s="840">
        <f t="shared" si="6"/>
        <v>3.6303862599999999</v>
      </c>
      <c r="R23" s="840">
        <f t="shared" si="6"/>
        <v>3.5736371</v>
      </c>
      <c r="S23" s="840">
        <f t="shared" si="6"/>
        <v>3.30044336</v>
      </c>
      <c r="T23" s="840">
        <f t="shared" si="6"/>
        <v>3.2989254799999999</v>
      </c>
      <c r="U23" s="840">
        <f t="shared" si="6"/>
        <v>3.4893403100000002</v>
      </c>
      <c r="V23" s="840">
        <f t="shared" si="6"/>
        <v>7.8920183899999996</v>
      </c>
      <c r="W23" s="840">
        <v>7.6875988600000005</v>
      </c>
      <c r="X23" s="840">
        <v>6.9772483899999997</v>
      </c>
      <c r="Y23" s="843">
        <v>6.4117610799999998</v>
      </c>
      <c r="Z23" s="840">
        <v>5.9036548199999999</v>
      </c>
      <c r="AA23" s="843">
        <v>40.656076140000003</v>
      </c>
      <c r="AB23" s="843">
        <v>40.172556719999996</v>
      </c>
      <c r="AC23" s="843">
        <v>39.949020709999999</v>
      </c>
      <c r="AD23" s="843">
        <v>39.671596159999993</v>
      </c>
      <c r="AE23" s="843">
        <v>41.786128850000004</v>
      </c>
      <c r="AF23" s="843">
        <v>41.383925380000001</v>
      </c>
      <c r="AG23" s="843">
        <v>40.337403539999997</v>
      </c>
      <c r="AH23" s="843">
        <f>+AH21-AH22</f>
        <v>45.565158869999998</v>
      </c>
      <c r="AI23" s="843">
        <v>41.877534189999999</v>
      </c>
      <c r="AJ23" s="843">
        <v>30.94739049</v>
      </c>
      <c r="AK23" s="843">
        <f>+AK21-AK22</f>
        <v>17.127758030000003</v>
      </c>
      <c r="AL23" s="843">
        <v>11.18682407</v>
      </c>
      <c r="AM23" s="843">
        <f>+AM21-AM22</f>
        <v>12.49702095</v>
      </c>
      <c r="AN23" s="843">
        <f>+AN21-AN22</f>
        <v>12.207427689999999</v>
      </c>
      <c r="AO23" s="843">
        <f>+AO21-AO22</f>
        <v>11.939126910000001</v>
      </c>
      <c r="AP23" s="843">
        <f>+AP21-AP22</f>
        <v>12.25736951</v>
      </c>
      <c r="AQ23" s="843">
        <v>13.230390180000001</v>
      </c>
      <c r="AR23" s="843">
        <v>13.640445210000001</v>
      </c>
      <c r="AS23" s="843">
        <f>+AS21-AS22</f>
        <v>14.46894985</v>
      </c>
      <c r="AT23" s="843">
        <f>AT15-AT19</f>
        <v>13.080238300000001</v>
      </c>
      <c r="AU23" s="843">
        <v>13.111906170000001</v>
      </c>
      <c r="AV23" s="843">
        <v>25.60267936</v>
      </c>
      <c r="AW23" s="843">
        <v>29.030007550000001</v>
      </c>
      <c r="AX23" s="843">
        <v>27.00753928</v>
      </c>
      <c r="AY23" s="843">
        <v>23.628282800000001</v>
      </c>
      <c r="AZ23" s="843">
        <v>23.585638449999998</v>
      </c>
      <c r="BA23" s="843">
        <v>24.883197420000002</v>
      </c>
      <c r="BB23" s="843">
        <v>21.087471409999999</v>
      </c>
      <c r="BC23" s="843">
        <v>16.212166240000002</v>
      </c>
      <c r="BD23" s="843">
        <f>+BD21-BD22</f>
        <v>17.081005530000002</v>
      </c>
      <c r="BE23" s="843">
        <v>17.027515709999999</v>
      </c>
      <c r="BF23" s="843">
        <v>17.36692764</v>
      </c>
      <c r="BG23" s="843">
        <v>15.939373150000002</v>
      </c>
      <c r="BH23" s="886">
        <v>15.969822070000001</v>
      </c>
      <c r="BI23" s="875">
        <v>16.536658060000001</v>
      </c>
      <c r="BJ23" s="875">
        <v>16.31554766</v>
      </c>
      <c r="BK23" s="875">
        <v>16.090007800000002</v>
      </c>
      <c r="BL23" s="875">
        <v>12.037031679999998</v>
      </c>
      <c r="BM23" s="875">
        <v>12.998228419999998</v>
      </c>
      <c r="BN23" s="875">
        <v>13.34151952</v>
      </c>
      <c r="BO23" s="875">
        <v>12.700916050000002</v>
      </c>
      <c r="BP23" s="875">
        <v>4.4751800099999999</v>
      </c>
      <c r="BQ23" s="875">
        <v>4.5704746999999992</v>
      </c>
      <c r="BR23" s="875">
        <v>7.7178302100000007</v>
      </c>
      <c r="BS23" s="875">
        <v>13.064048530000001</v>
      </c>
      <c r="BT23" s="875">
        <v>12.66900766</v>
      </c>
      <c r="BU23" s="875">
        <v>12.909578199999999</v>
      </c>
      <c r="BV23" s="875">
        <v>12.895053610000001</v>
      </c>
      <c r="BW23" s="875">
        <v>12.055884480000001</v>
      </c>
      <c r="BX23" s="875">
        <v>11.871007029999999</v>
      </c>
      <c r="BY23" s="875">
        <v>10.93500036</v>
      </c>
      <c r="BZ23" s="875">
        <v>10.705016579999999</v>
      </c>
      <c r="CA23" s="875">
        <v>10.501981059999999</v>
      </c>
      <c r="CB23" s="875">
        <v>11.87128517</v>
      </c>
      <c r="CC23" s="875">
        <v>7.4943299900000007</v>
      </c>
      <c r="CD23" s="875">
        <v>8.7554280799999997</v>
      </c>
      <c r="CE23" s="875">
        <f t="shared" ref="CE23:CP23" si="7">+CE21-CE22</f>
        <v>9.5614039900000005</v>
      </c>
      <c r="CF23" s="875">
        <f t="shared" si="7"/>
        <v>11.846085109999999</v>
      </c>
      <c r="CG23" s="875">
        <f t="shared" si="7"/>
        <v>10.498063519999999</v>
      </c>
      <c r="CH23" s="875">
        <f t="shared" si="7"/>
        <v>10.40474839</v>
      </c>
      <c r="CI23" s="875">
        <f t="shared" si="7"/>
        <v>10.22230251</v>
      </c>
      <c r="CJ23" s="875">
        <f t="shared" si="7"/>
        <v>8.6876860699999998</v>
      </c>
      <c r="CK23" s="875">
        <f t="shared" si="7"/>
        <v>7.0813939299999999</v>
      </c>
      <c r="CL23" s="875">
        <f t="shared" si="7"/>
        <v>7.3559869600000001</v>
      </c>
      <c r="CM23" s="875">
        <f t="shared" si="7"/>
        <v>7.0033907400000004</v>
      </c>
      <c r="CN23" s="875">
        <f t="shared" si="7"/>
        <v>6.5940991200000001</v>
      </c>
      <c r="CO23" s="875">
        <f t="shared" si="7"/>
        <v>8.3717396900000001</v>
      </c>
      <c r="CP23" s="875">
        <f t="shared" si="7"/>
        <v>12.614661480000001</v>
      </c>
      <c r="CQ23" s="875">
        <f>+CQ21-CQ22</f>
        <v>12.99960089</v>
      </c>
      <c r="CR23" s="875">
        <f>+CR21-CR22</f>
        <v>11.867906710000002</v>
      </c>
      <c r="CS23" s="875">
        <f>+CS21-CS22</f>
        <v>10.440148839999999</v>
      </c>
      <c r="CT23" s="875">
        <v>9.1956834000000001</v>
      </c>
      <c r="CU23" s="875">
        <v>7.5236079699999996</v>
      </c>
      <c r="CV23" s="875">
        <v>6.70342664</v>
      </c>
      <c r="CW23" s="875">
        <v>6.1106602900000002</v>
      </c>
      <c r="CX23" s="875">
        <v>4.7077129199999996</v>
      </c>
      <c r="CY23" s="875">
        <v>4.6121696099999996</v>
      </c>
      <c r="CZ23" s="875">
        <v>3.9423690499999999</v>
      </c>
      <c r="DA23" s="875">
        <v>8.6981535500000007</v>
      </c>
      <c r="DB23" s="875">
        <v>11.598571010000001</v>
      </c>
      <c r="DC23" s="875">
        <v>12.17636426</v>
      </c>
      <c r="DD23" s="875">
        <v>12.38746149</v>
      </c>
      <c r="DE23" s="875">
        <v>10.24889211</v>
      </c>
      <c r="DF23" s="875">
        <v>10.42539736</v>
      </c>
      <c r="DG23" s="875">
        <v>9.6751850499999996</v>
      </c>
      <c r="DH23" s="875">
        <v>8.99877343</v>
      </c>
      <c r="DI23" s="875">
        <v>6.9291844899999999</v>
      </c>
      <c r="DJ23" s="875">
        <v>7.1473216700000002</v>
      </c>
      <c r="DK23" s="875">
        <v>5.9222762900000001</v>
      </c>
      <c r="DL23" s="875">
        <v>5.4512526599999998</v>
      </c>
      <c r="DM23" s="875">
        <v>6.8658676200000004</v>
      </c>
      <c r="DN23" s="875">
        <v>7.1077628700000002</v>
      </c>
      <c r="DO23" s="875">
        <v>8.7313740299999996</v>
      </c>
      <c r="DP23" s="875">
        <v>9.2763011599999992</v>
      </c>
      <c r="DQ23" s="875">
        <v>12.019472950000001</v>
      </c>
      <c r="DR23" s="875">
        <v>11.30719144</v>
      </c>
      <c r="DS23" s="875">
        <v>9.1602831600000005</v>
      </c>
      <c r="DT23" s="875">
        <v>8.0516994099999994</v>
      </c>
      <c r="DU23" s="875">
        <v>5.4819702399999999</v>
      </c>
      <c r="DV23" s="875">
        <v>5.3180775599999999</v>
      </c>
      <c r="DW23" s="875">
        <v>5.4955550500000001</v>
      </c>
      <c r="DX23" s="875">
        <v>5.5295471300000001</v>
      </c>
      <c r="DY23" s="875">
        <v>9.2664991400000005</v>
      </c>
      <c r="DZ23" s="875">
        <v>13.64396627</v>
      </c>
      <c r="EA23" s="875">
        <v>17.27431078</v>
      </c>
      <c r="EB23" s="875">
        <v>15.83702452</v>
      </c>
      <c r="EC23" s="875">
        <v>13.672595729999999</v>
      </c>
      <c r="ED23" s="875">
        <v>12.851364390000001</v>
      </c>
      <c r="EE23" s="875">
        <v>11.04785427</v>
      </c>
      <c r="EF23" s="875">
        <v>9.8405209399999993</v>
      </c>
      <c r="EG23" s="875">
        <v>8.9481480700000002</v>
      </c>
      <c r="EH23" s="875">
        <v>7.6807144300000001</v>
      </c>
      <c r="EI23" s="875">
        <v>6.77541847</v>
      </c>
      <c r="EJ23" s="875">
        <v>4.5816734200000004</v>
      </c>
      <c r="EK23" s="875">
        <v>8.0453308900000007</v>
      </c>
      <c r="EL23" s="875">
        <v>12.981149070000001</v>
      </c>
      <c r="EM23" s="875">
        <v>24.69512971</v>
      </c>
      <c r="EN23" s="875">
        <v>26.519208729999999</v>
      </c>
      <c r="EO23" s="875">
        <v>24.745843109999999</v>
      </c>
      <c r="EP23" s="875">
        <v>22.983909820000001</v>
      </c>
      <c r="EQ23" s="875">
        <v>28.64104781</v>
      </c>
      <c r="ER23" s="875">
        <v>32.989433529999999</v>
      </c>
      <c r="ES23" s="875">
        <v>33.226751880000002</v>
      </c>
      <c r="ET23" s="875">
        <v>33.607930469999999</v>
      </c>
      <c r="EU23" s="1924" t="s">
        <v>4085</v>
      </c>
      <c r="EZ23" s="342"/>
    </row>
    <row r="24" spans="1:156" ht="21">
      <c r="A24" s="1929"/>
      <c r="B24" s="851"/>
      <c r="C24" s="851"/>
      <c r="D24" s="851"/>
      <c r="E24" s="851"/>
      <c r="F24" s="851"/>
      <c r="G24" s="851"/>
      <c r="H24" s="851"/>
      <c r="I24" s="851"/>
      <c r="J24" s="851"/>
      <c r="K24" s="851"/>
      <c r="L24" s="851"/>
      <c r="M24" s="843"/>
      <c r="N24" s="843"/>
      <c r="O24" s="843"/>
      <c r="P24" s="843"/>
      <c r="Q24" s="843"/>
      <c r="R24" s="843"/>
      <c r="S24" s="843"/>
      <c r="T24" s="843"/>
      <c r="U24" s="843"/>
      <c r="V24" s="843"/>
      <c r="W24" s="843"/>
      <c r="X24" s="843"/>
      <c r="Y24" s="843"/>
      <c r="Z24" s="843"/>
      <c r="AA24" s="843"/>
      <c r="AB24" s="843"/>
      <c r="AC24" s="843"/>
      <c r="AD24" s="843"/>
      <c r="AE24" s="843"/>
      <c r="AF24" s="843"/>
      <c r="AG24" s="843"/>
      <c r="AH24" s="843"/>
      <c r="AI24" s="843"/>
      <c r="AJ24" s="843"/>
      <c r="AK24" s="843"/>
      <c r="AL24" s="843"/>
      <c r="AM24" s="843"/>
      <c r="AN24" s="843"/>
      <c r="AO24" s="843"/>
      <c r="AP24" s="843"/>
      <c r="AQ24" s="843"/>
      <c r="AR24" s="843"/>
      <c r="AS24" s="843"/>
      <c r="AT24" s="843"/>
      <c r="AU24" s="843"/>
      <c r="AV24" s="843"/>
      <c r="AW24" s="843"/>
      <c r="AX24" s="843"/>
      <c r="AY24" s="843"/>
      <c r="AZ24" s="843"/>
      <c r="BA24" s="843"/>
      <c r="BB24" s="843"/>
      <c r="BC24" s="843"/>
      <c r="BD24" s="843"/>
      <c r="BE24" s="843"/>
      <c r="BF24" s="843"/>
      <c r="BG24" s="843"/>
      <c r="BH24" s="886"/>
      <c r="BI24" s="875"/>
      <c r="BJ24" s="875"/>
      <c r="BK24" s="875"/>
      <c r="BL24" s="875"/>
      <c r="BM24" s="875"/>
      <c r="BN24" s="875"/>
      <c r="BO24" s="875"/>
      <c r="BP24" s="875"/>
      <c r="BQ24" s="875"/>
      <c r="BR24" s="875"/>
      <c r="BS24" s="875"/>
      <c r="BT24" s="875"/>
      <c r="BU24" s="875"/>
      <c r="BV24" s="875"/>
      <c r="BW24" s="875"/>
      <c r="BX24" s="875"/>
      <c r="BY24" s="875"/>
      <c r="BZ24" s="875"/>
      <c r="CA24" s="875"/>
      <c r="CB24" s="875"/>
      <c r="CC24" s="875"/>
      <c r="CD24" s="875"/>
      <c r="CE24" s="875"/>
      <c r="CF24" s="875"/>
      <c r="CG24" s="875"/>
      <c r="CH24" s="875"/>
      <c r="CI24" s="875"/>
      <c r="CJ24" s="875"/>
      <c r="CK24" s="875"/>
      <c r="CL24" s="875"/>
      <c r="CM24" s="875"/>
      <c r="CN24" s="875"/>
      <c r="CO24" s="875"/>
      <c r="CP24" s="875"/>
      <c r="CQ24" s="875"/>
      <c r="CR24" s="875"/>
      <c r="CS24" s="875"/>
      <c r="CT24" s="875"/>
      <c r="CU24" s="875"/>
      <c r="CV24" s="875"/>
      <c r="CW24" s="875"/>
      <c r="CX24" s="875"/>
      <c r="CY24" s="875"/>
      <c r="CZ24" s="875"/>
      <c r="DA24" s="875"/>
      <c r="DB24" s="875"/>
      <c r="DC24" s="875"/>
      <c r="DD24" s="875"/>
      <c r="DE24" s="875"/>
      <c r="DF24" s="875"/>
      <c r="DG24" s="875"/>
      <c r="DH24" s="875"/>
      <c r="DI24" s="875"/>
      <c r="DJ24" s="875"/>
      <c r="DK24" s="875"/>
      <c r="DL24" s="875"/>
      <c r="DM24" s="875"/>
      <c r="DN24" s="875"/>
      <c r="DO24" s="875"/>
      <c r="DP24" s="875"/>
      <c r="DQ24" s="875"/>
      <c r="DR24" s="875"/>
      <c r="DS24" s="875"/>
      <c r="DT24" s="875"/>
      <c r="DU24" s="875"/>
      <c r="DV24" s="875"/>
      <c r="DW24" s="875"/>
      <c r="DX24" s="875"/>
      <c r="DY24" s="875"/>
      <c r="DZ24" s="875"/>
      <c r="EA24" s="875"/>
      <c r="EB24" s="875"/>
      <c r="EC24" s="875"/>
      <c r="ED24" s="875"/>
      <c r="EE24" s="875"/>
      <c r="EF24" s="875"/>
      <c r="EG24" s="875"/>
      <c r="EH24" s="875"/>
      <c r="EI24" s="875"/>
      <c r="EJ24" s="875"/>
      <c r="EK24" s="875"/>
      <c r="EL24" s="875"/>
      <c r="EM24" s="875"/>
      <c r="EN24" s="875"/>
      <c r="EO24" s="875"/>
      <c r="EP24" s="875"/>
      <c r="EQ24" s="875"/>
      <c r="ER24" s="875"/>
      <c r="ES24" s="875"/>
      <c r="ET24" s="875"/>
      <c r="EU24" s="1919"/>
      <c r="EZ24" s="342"/>
    </row>
    <row r="25" spans="1:156" ht="21">
      <c r="A25" s="1930" t="s">
        <v>2758</v>
      </c>
      <c r="B25" s="850">
        <v>513.02966056000002</v>
      </c>
      <c r="C25" s="851">
        <v>558.44188235000001</v>
      </c>
      <c r="D25" s="851">
        <v>571.34938753000006</v>
      </c>
      <c r="E25" s="851">
        <v>577.90710465000006</v>
      </c>
      <c r="F25" s="851">
        <v>588.06130639000003</v>
      </c>
      <c r="G25" s="851">
        <v>650.45710009999993</v>
      </c>
      <c r="H25" s="851">
        <v>667.83878795999999</v>
      </c>
      <c r="I25" s="851">
        <v>671.57658715999992</v>
      </c>
      <c r="J25" s="851">
        <v>681.59089122</v>
      </c>
      <c r="K25" s="851">
        <v>710.12178785000003</v>
      </c>
      <c r="L25" s="851">
        <v>720.82811203000006</v>
      </c>
      <c r="M25" s="840">
        <v>722.72918790999995</v>
      </c>
      <c r="N25" s="843">
        <v>721.16020598</v>
      </c>
      <c r="O25" s="843">
        <v>720.29842767000002</v>
      </c>
      <c r="P25" s="840">
        <v>727.69162765999988</v>
      </c>
      <c r="Q25" s="840">
        <v>734.55840694999995</v>
      </c>
      <c r="R25" s="840">
        <v>742.58831658999986</v>
      </c>
      <c r="S25" s="840">
        <v>746.64846166999996</v>
      </c>
      <c r="T25" s="840">
        <v>745.69746292000002</v>
      </c>
      <c r="U25" s="840">
        <v>769.6828749</v>
      </c>
      <c r="V25" s="840">
        <v>786.24477160999993</v>
      </c>
      <c r="W25" s="840">
        <v>797.04567463000001</v>
      </c>
      <c r="X25" s="840">
        <v>818.05634239999995</v>
      </c>
      <c r="Y25" s="840">
        <v>829.19037669000011</v>
      </c>
      <c r="Z25" s="840">
        <v>826.42194316999985</v>
      </c>
      <c r="AA25" s="843">
        <v>885.10270659999992</v>
      </c>
      <c r="AB25" s="840">
        <v>880.92295552000007</v>
      </c>
      <c r="AC25" s="840">
        <v>887.59942156999978</v>
      </c>
      <c r="AD25" s="840">
        <v>885.79287960999989</v>
      </c>
      <c r="AE25" s="840">
        <v>889.36656427000003</v>
      </c>
      <c r="AF25" s="840">
        <v>898.54451517000007</v>
      </c>
      <c r="AG25" s="840">
        <v>900.27419355999996</v>
      </c>
      <c r="AH25" s="840">
        <v>699.97958570000003</v>
      </c>
      <c r="AI25" s="840">
        <v>616.08597666000003</v>
      </c>
      <c r="AJ25" s="840">
        <v>579.45058574999996</v>
      </c>
      <c r="AK25" s="840">
        <v>478.16202376000001</v>
      </c>
      <c r="AL25" s="840">
        <v>422.95640809999998</v>
      </c>
      <c r="AM25" s="840">
        <v>419.07025904</v>
      </c>
      <c r="AN25" s="840">
        <v>414.38208727</v>
      </c>
      <c r="AO25" s="840">
        <v>413.92287435000003</v>
      </c>
      <c r="AP25" s="840">
        <v>405.88675336999995</v>
      </c>
      <c r="AQ25" s="840">
        <v>402.84369887000003</v>
      </c>
      <c r="AR25" s="840">
        <v>379.22546537999995</v>
      </c>
      <c r="AS25" s="840">
        <v>378.67438829999998</v>
      </c>
      <c r="AT25" s="840">
        <f>AT9-AT13</f>
        <v>387.10897482000001</v>
      </c>
      <c r="AU25" s="840">
        <v>372.57040322</v>
      </c>
      <c r="AV25" s="840">
        <v>378.65693986000002</v>
      </c>
      <c r="AW25" s="840">
        <v>395.66160088999993</v>
      </c>
      <c r="AX25" s="840">
        <v>392.15392517999993</v>
      </c>
      <c r="AY25" s="840">
        <v>399.34341900999999</v>
      </c>
      <c r="AZ25" s="840">
        <v>402.39937251000003</v>
      </c>
      <c r="BA25" s="840">
        <v>405.37014150999994</v>
      </c>
      <c r="BB25" s="840">
        <v>397.10633775000002</v>
      </c>
      <c r="BC25" s="840">
        <v>396.22352912000002</v>
      </c>
      <c r="BD25" s="840">
        <v>412.7138784</v>
      </c>
      <c r="BE25" s="840">
        <v>423.73605392999997</v>
      </c>
      <c r="BF25" s="840">
        <v>421.34555444</v>
      </c>
      <c r="BG25" s="840">
        <v>405.47762661000002</v>
      </c>
      <c r="BH25" s="885">
        <v>403.73918397</v>
      </c>
      <c r="BI25" s="874">
        <v>381.89146564999999</v>
      </c>
      <c r="BJ25" s="874">
        <v>377.72675766999998</v>
      </c>
      <c r="BK25" s="874">
        <v>371.64490942999998</v>
      </c>
      <c r="BL25" s="874">
        <v>385.28526603</v>
      </c>
      <c r="BM25" s="874">
        <v>394.51696078999998</v>
      </c>
      <c r="BN25" s="874">
        <v>397.13560110000003</v>
      </c>
      <c r="BO25" s="874">
        <v>403.71918272000005</v>
      </c>
      <c r="BP25" s="874">
        <v>409.71496317000003</v>
      </c>
      <c r="BQ25" s="874">
        <v>407.33390757999996</v>
      </c>
      <c r="BR25" s="874">
        <v>405.48761547999999</v>
      </c>
      <c r="BS25" s="874">
        <v>404.12467554</v>
      </c>
      <c r="BT25" s="874">
        <v>405.64719951999996</v>
      </c>
      <c r="BU25" s="874">
        <v>405.63622151999999</v>
      </c>
      <c r="BV25" s="874">
        <v>406.85731804</v>
      </c>
      <c r="BW25" s="874">
        <v>405.30138765000004</v>
      </c>
      <c r="BX25" s="874">
        <v>415.07152287999997</v>
      </c>
      <c r="BY25" s="874">
        <v>419.89878788999999</v>
      </c>
      <c r="BZ25" s="874">
        <v>437.80945156000001</v>
      </c>
      <c r="CA25" s="874">
        <v>441.18330537999998</v>
      </c>
      <c r="CB25" s="874">
        <v>433.12759730000005</v>
      </c>
      <c r="CC25" s="874">
        <v>439.96434758999999</v>
      </c>
      <c r="CD25" s="874">
        <v>451.55890825999995</v>
      </c>
      <c r="CE25" s="874">
        <v>450.88899149000002</v>
      </c>
      <c r="CF25" s="874">
        <v>450.66403843000001</v>
      </c>
      <c r="CG25" s="874">
        <v>468.51176097000007</v>
      </c>
      <c r="CH25" s="874">
        <v>466.57583864000003</v>
      </c>
      <c r="CI25" s="874">
        <v>460.05228144</v>
      </c>
      <c r="CJ25" s="874">
        <v>458.11047930999996</v>
      </c>
      <c r="CK25" s="874">
        <v>510.91168901000003</v>
      </c>
      <c r="CL25" s="874">
        <v>504.54278479000004</v>
      </c>
      <c r="CM25" s="874">
        <v>499.42360981000002</v>
      </c>
      <c r="CN25" s="874">
        <v>497.55490228999997</v>
      </c>
      <c r="CO25" s="874">
        <v>497.88773347</v>
      </c>
      <c r="CP25" s="874">
        <v>498.26330675999998</v>
      </c>
      <c r="CQ25" s="874">
        <v>487.01842136999994</v>
      </c>
      <c r="CR25" s="874">
        <v>491.27130288000001</v>
      </c>
      <c r="CS25" s="874">
        <v>494.74578642999995</v>
      </c>
      <c r="CT25" s="874">
        <v>500.37739370000003</v>
      </c>
      <c r="CU25" s="874">
        <v>494.82683070000002</v>
      </c>
      <c r="CV25" s="874">
        <v>505.66707396999999</v>
      </c>
      <c r="CW25" s="874">
        <v>499.30432525999998</v>
      </c>
      <c r="CX25" s="874">
        <v>502.95966282000001</v>
      </c>
      <c r="CY25" s="874">
        <v>505.13982891000001</v>
      </c>
      <c r="CZ25" s="874">
        <v>501.41452428999997</v>
      </c>
      <c r="DA25" s="874">
        <v>509.97443894000003</v>
      </c>
      <c r="DB25" s="874">
        <v>514.95798581999998</v>
      </c>
      <c r="DC25" s="874">
        <v>513.58224533999999</v>
      </c>
      <c r="DD25" s="874">
        <v>512.52881551999997</v>
      </c>
      <c r="DE25" s="874">
        <v>528.29089824000005</v>
      </c>
      <c r="DF25" s="874">
        <v>530.05726331000005</v>
      </c>
      <c r="DG25" s="874">
        <v>527.80225487999996</v>
      </c>
      <c r="DH25" s="874">
        <v>536.64382304000003</v>
      </c>
      <c r="DI25" s="874">
        <v>536.57710284999996</v>
      </c>
      <c r="DJ25" s="874">
        <v>536.16954118000001</v>
      </c>
      <c r="DK25" s="874">
        <v>484.60785657999998</v>
      </c>
      <c r="DL25" s="874">
        <v>482.59652786999999</v>
      </c>
      <c r="DM25" s="874">
        <v>482.64847635000001</v>
      </c>
      <c r="DN25" s="874">
        <v>482.55645822000002</v>
      </c>
      <c r="DO25" s="874">
        <v>480.44065303999997</v>
      </c>
      <c r="DP25" s="874">
        <v>477.95194335000002</v>
      </c>
      <c r="DQ25" s="874">
        <v>464.85306193000002</v>
      </c>
      <c r="DR25" s="874">
        <v>451.55815338999997</v>
      </c>
      <c r="DS25" s="874">
        <v>450.17007085</v>
      </c>
      <c r="DT25" s="874">
        <v>440.33117071999999</v>
      </c>
      <c r="DU25" s="874">
        <v>427.87638838999999</v>
      </c>
      <c r="DV25" s="874">
        <v>417.33325940999998</v>
      </c>
      <c r="DW25" s="874">
        <v>420.91128434000001</v>
      </c>
      <c r="DX25" s="874">
        <v>430.48194484999999</v>
      </c>
      <c r="DY25" s="874">
        <v>434.99520017999998</v>
      </c>
      <c r="DZ25" s="874">
        <v>452.75410663000002</v>
      </c>
      <c r="EA25" s="874">
        <v>424.52325336000001</v>
      </c>
      <c r="EB25" s="874">
        <v>426.19850430000002</v>
      </c>
      <c r="EC25" s="874">
        <v>427.84816775000002</v>
      </c>
      <c r="ED25" s="874">
        <v>419.59215534999998</v>
      </c>
      <c r="EE25" s="874">
        <v>419.89495414999999</v>
      </c>
      <c r="EF25" s="874">
        <v>406.40856172000002</v>
      </c>
      <c r="EG25" s="874">
        <v>385.03824365999998</v>
      </c>
      <c r="EH25" s="874">
        <v>379.32814674000002</v>
      </c>
      <c r="EI25" s="874">
        <v>377.45267913999999</v>
      </c>
      <c r="EJ25" s="874">
        <v>368.83614009000001</v>
      </c>
      <c r="EK25" s="874">
        <v>401.06135261999998</v>
      </c>
      <c r="EL25" s="874">
        <v>400.72019021</v>
      </c>
      <c r="EM25" s="874">
        <v>405.41978236</v>
      </c>
      <c r="EN25" s="874">
        <v>402.71824753999999</v>
      </c>
      <c r="EO25" s="874">
        <v>405.75554140999998</v>
      </c>
      <c r="EP25" s="874">
        <v>394.48233696</v>
      </c>
      <c r="EQ25" s="874">
        <v>387.71496588999997</v>
      </c>
      <c r="ER25" s="874">
        <v>380.94393745999997</v>
      </c>
      <c r="ES25" s="874">
        <v>366.04111983000001</v>
      </c>
      <c r="ET25" s="874">
        <v>361.36878187999997</v>
      </c>
      <c r="EU25" s="1918" t="s">
        <v>4084</v>
      </c>
      <c r="EZ25" s="342"/>
    </row>
    <row r="26" spans="1:156" ht="21">
      <c r="A26" s="1931" t="s">
        <v>1974</v>
      </c>
      <c r="B26" s="851">
        <v>2.4350116000000002</v>
      </c>
      <c r="C26" s="851">
        <v>2.4000490999999999</v>
      </c>
      <c r="D26" s="851">
        <v>2.3650866000000001</v>
      </c>
      <c r="E26" s="851">
        <v>2.3301240999999999</v>
      </c>
      <c r="F26" s="851">
        <v>2.2951616000000001</v>
      </c>
      <c r="G26" s="851">
        <v>2.2601990999999999</v>
      </c>
      <c r="H26" s="851">
        <v>4.7128861000000004</v>
      </c>
      <c r="I26" s="851">
        <v>4.6776064999999996</v>
      </c>
      <c r="J26" s="851">
        <v>4.6429611</v>
      </c>
      <c r="K26" s="851">
        <v>4.6079986000000002</v>
      </c>
      <c r="L26" s="851">
        <v>4.6576815000000007</v>
      </c>
      <c r="M26" s="843">
        <v>4.6079780399999999</v>
      </c>
      <c r="N26" s="843">
        <v>4.5985897400000004</v>
      </c>
      <c r="O26" s="843">
        <v>4.5992239399999999</v>
      </c>
      <c r="P26" s="843">
        <v>4.5329068399999999</v>
      </c>
      <c r="Q26" s="843">
        <v>4.5329068399999999</v>
      </c>
      <c r="R26" s="843">
        <v>4.5332239400000001</v>
      </c>
      <c r="S26" s="843">
        <v>4.5329068399999999</v>
      </c>
      <c r="T26" s="843">
        <v>4.5325897400000006</v>
      </c>
      <c r="U26" s="843">
        <v>4.5332239400000001</v>
      </c>
      <c r="V26" s="843">
        <v>4.5332239400000001</v>
      </c>
      <c r="W26" s="843">
        <v>4.5332239400000001</v>
      </c>
      <c r="X26" s="843">
        <v>4.5332239400000001</v>
      </c>
      <c r="Y26" s="843">
        <v>4.5132239399999996</v>
      </c>
      <c r="Z26" s="843">
        <v>4.5132239399999996</v>
      </c>
      <c r="AA26" s="843">
        <v>5.2809157999999998</v>
      </c>
      <c r="AB26" s="843">
        <v>5.2367935000000001</v>
      </c>
      <c r="AC26" s="843">
        <v>5.1924276999999996</v>
      </c>
      <c r="AD26" s="843">
        <v>5.1946474</v>
      </c>
      <c r="AE26" s="843">
        <v>5.1361593000000001</v>
      </c>
      <c r="AF26" s="843">
        <v>5.1399645000000005</v>
      </c>
      <c r="AG26" s="843">
        <v>5.1352080000000004</v>
      </c>
      <c r="AH26" s="843">
        <v>5.1352080000000004</v>
      </c>
      <c r="AI26" s="843">
        <v>5.1393303000000001</v>
      </c>
      <c r="AJ26" s="843">
        <v>5.1453552</v>
      </c>
      <c r="AK26" s="843">
        <v>6.7568574000000003</v>
      </c>
      <c r="AL26" s="843">
        <v>1.8120000000000001</v>
      </c>
      <c r="AM26" s="843">
        <v>1.512</v>
      </c>
      <c r="AN26" s="843">
        <v>1.49211001</v>
      </c>
      <c r="AO26" s="843">
        <v>1.3594380100000001</v>
      </c>
      <c r="AP26" s="843">
        <v>1.3294380100000001</v>
      </c>
      <c r="AQ26" s="843">
        <v>1.28772705</v>
      </c>
      <c r="AR26" s="843">
        <v>1.2599446699999999</v>
      </c>
      <c r="AS26" s="843">
        <v>1.23216229</v>
      </c>
      <c r="AT26" s="843">
        <f>AT10-AT14</f>
        <v>1.2043799099999999</v>
      </c>
      <c r="AU26" s="843">
        <v>0.79559806999999994</v>
      </c>
      <c r="AV26" s="843">
        <v>0.76781568999999994</v>
      </c>
      <c r="AW26" s="843">
        <v>0.74003331000000006</v>
      </c>
      <c r="AX26" s="843">
        <v>0.71225093000000006</v>
      </c>
      <c r="AY26" s="843">
        <v>0.68446855000000006</v>
      </c>
      <c r="AZ26" s="843">
        <v>0.65668617000000007</v>
      </c>
      <c r="BA26" s="843">
        <v>0.62890379000000007</v>
      </c>
      <c r="BB26" s="843">
        <v>0.33201029999999998</v>
      </c>
      <c r="BC26" s="843">
        <v>0.33196376999999999</v>
      </c>
      <c r="BD26" s="843">
        <v>0.31225178999999997</v>
      </c>
      <c r="BE26" s="843">
        <v>0.29251167</v>
      </c>
      <c r="BF26" s="843">
        <v>0.27316576000000004</v>
      </c>
      <c r="BG26" s="843">
        <v>0.26532083000000001</v>
      </c>
      <c r="BH26" s="886">
        <v>0.25745569000000001</v>
      </c>
      <c r="BI26" s="875">
        <v>0.23711089000000002</v>
      </c>
      <c r="BJ26" s="875">
        <v>0.21676858999999998</v>
      </c>
      <c r="BK26" s="875">
        <v>0.19638897</v>
      </c>
      <c r="BL26" s="875">
        <v>0.17601037</v>
      </c>
      <c r="BM26" s="875">
        <v>0.15561701</v>
      </c>
      <c r="BN26" s="875">
        <v>0.13521554</v>
      </c>
      <c r="BO26" s="875">
        <v>0.10169458000000001</v>
      </c>
      <c r="BP26" s="875">
        <v>9.4379119999999997E-2</v>
      </c>
      <c r="BQ26" s="875">
        <v>7.3208999999999996E-2</v>
      </c>
      <c r="BR26" s="875">
        <v>5.3566000000000003E-2</v>
      </c>
      <c r="BS26" s="875">
        <v>3.3923000000000002E-2</v>
      </c>
      <c r="BT26" s="875">
        <v>0</v>
      </c>
      <c r="BU26" s="875">
        <v>0</v>
      </c>
      <c r="BV26" s="875">
        <v>0</v>
      </c>
      <c r="BW26" s="875">
        <v>0</v>
      </c>
      <c r="BX26" s="875">
        <v>0</v>
      </c>
      <c r="BY26" s="875">
        <v>0.2</v>
      </c>
      <c r="BZ26" s="875">
        <v>0.19939475000000001</v>
      </c>
      <c r="CA26" s="875">
        <v>0.19877891</v>
      </c>
      <c r="CB26" s="875">
        <v>0.19815229000000001</v>
      </c>
      <c r="CC26" s="875">
        <v>0.19751470999999998</v>
      </c>
      <c r="CD26" s="875">
        <v>0.19686595000000001</v>
      </c>
      <c r="CE26" s="875">
        <v>0.19620587</v>
      </c>
      <c r="CF26" s="875">
        <v>0.19535148000000002</v>
      </c>
      <c r="CG26" s="875">
        <v>0.19463659</v>
      </c>
      <c r="CH26" s="875">
        <v>0.19415546</v>
      </c>
      <c r="CI26" s="875">
        <v>0.19415546</v>
      </c>
      <c r="CJ26" s="875">
        <v>0.19327789000000001</v>
      </c>
      <c r="CK26" s="875">
        <v>0.19327789000000001</v>
      </c>
      <c r="CL26" s="875">
        <v>0.19327789000000001</v>
      </c>
      <c r="CM26" s="875">
        <v>0.19327789000000001</v>
      </c>
      <c r="CN26" s="875">
        <v>0.19327789000000001</v>
      </c>
      <c r="CO26" s="875">
        <v>0.19327789000000001</v>
      </c>
      <c r="CP26" s="875">
        <v>0.19217789000000002</v>
      </c>
      <c r="CQ26" s="875">
        <v>0.19217789000000002</v>
      </c>
      <c r="CR26" s="875">
        <v>0.19217789000000002</v>
      </c>
      <c r="CS26" s="875">
        <v>0.19217789000000002</v>
      </c>
      <c r="CT26" s="875">
        <v>4.5529410500000003</v>
      </c>
      <c r="CU26" s="875">
        <v>0.29747615999999999</v>
      </c>
      <c r="CV26" s="875">
        <v>0.29193525999999997</v>
      </c>
      <c r="CW26" s="875">
        <v>0.28628336999999998</v>
      </c>
      <c r="CX26" s="875">
        <v>0.28065668999999999</v>
      </c>
      <c r="CY26" s="875">
        <v>0.27501440999999999</v>
      </c>
      <c r="CZ26" s="875">
        <v>0.26930588999999999</v>
      </c>
      <c r="DA26" s="875">
        <v>7.1402289999999993E-2</v>
      </c>
      <c r="DB26" s="875">
        <v>0.76564319000000003</v>
      </c>
      <c r="DC26" s="875">
        <v>0.74433475999999998</v>
      </c>
      <c r="DD26" s="875">
        <v>0</v>
      </c>
      <c r="DE26" s="875">
        <v>0</v>
      </c>
      <c r="DF26" s="875">
        <v>0</v>
      </c>
      <c r="DG26" s="875">
        <v>0</v>
      </c>
      <c r="DH26" s="875">
        <v>1.5418479899999999</v>
      </c>
      <c r="DI26" s="875">
        <v>1.4001077399999999</v>
      </c>
      <c r="DJ26" s="875">
        <v>1.3901077399999999</v>
      </c>
      <c r="DK26" s="875">
        <v>1.3901077399999999</v>
      </c>
      <c r="DL26" s="875">
        <v>1.3901077399999999</v>
      </c>
      <c r="DM26" s="875">
        <v>1.38510774</v>
      </c>
      <c r="DN26" s="875">
        <v>1.38510774</v>
      </c>
      <c r="DO26" s="875">
        <v>1.3801644</v>
      </c>
      <c r="DP26" s="875">
        <v>1.3801644</v>
      </c>
      <c r="DQ26" s="875">
        <v>1.3801077399999999</v>
      </c>
      <c r="DR26" s="875">
        <v>1.3801077399999999</v>
      </c>
      <c r="DS26" s="875">
        <v>1.3801077399999999</v>
      </c>
      <c r="DT26" s="875">
        <v>1.3801077399999999</v>
      </c>
      <c r="DU26" s="875">
        <v>1.3801077399999999</v>
      </c>
      <c r="DV26" s="875">
        <v>1.3801077399999999</v>
      </c>
      <c r="DW26" s="875">
        <v>1.3801077399999999</v>
      </c>
      <c r="DX26" s="875">
        <v>1.4106077400000001</v>
      </c>
      <c r="DY26" s="875">
        <v>1.40997236</v>
      </c>
      <c r="DZ26" s="875">
        <v>1.40932692</v>
      </c>
      <c r="EA26" s="875">
        <v>1.7087021</v>
      </c>
      <c r="EB26" s="875">
        <v>15.097480150000001</v>
      </c>
      <c r="EC26" s="875">
        <v>16.789948509999999</v>
      </c>
      <c r="ED26" s="875">
        <v>16.782457109999999</v>
      </c>
      <c r="EE26" s="875">
        <v>16.50194492</v>
      </c>
      <c r="EF26" s="875">
        <v>16.50123571</v>
      </c>
      <c r="EG26" s="875">
        <v>13.10207879</v>
      </c>
      <c r="EH26" s="875">
        <v>9.7159599599999993</v>
      </c>
      <c r="EI26" s="875">
        <v>7.50598192</v>
      </c>
      <c r="EJ26" s="875">
        <v>2.2189739999999999E-2</v>
      </c>
      <c r="EK26" s="875">
        <v>2.1411070000000001E-2</v>
      </c>
      <c r="EL26" s="875">
        <v>2.065438E-2</v>
      </c>
      <c r="EM26" s="875">
        <v>1.9841310000000001E-2</v>
      </c>
      <c r="EN26" s="875">
        <v>1.9037160000000001E-2</v>
      </c>
      <c r="EO26" s="875">
        <v>1.824038E-2</v>
      </c>
      <c r="EP26" s="875">
        <v>1.7391630000000002E-2</v>
      </c>
      <c r="EQ26" s="875">
        <v>1.65487E-2</v>
      </c>
      <c r="ER26" s="875">
        <v>1.5692419999999999E-2</v>
      </c>
      <c r="ES26" s="875">
        <v>1.482258E-2</v>
      </c>
      <c r="ET26" s="875">
        <v>1.393897E-2</v>
      </c>
      <c r="EU26" s="1920" t="s">
        <v>4086</v>
      </c>
      <c r="EZ26" s="342"/>
    </row>
    <row r="27" spans="1:156" ht="21">
      <c r="A27" s="1931" t="s">
        <v>1975</v>
      </c>
      <c r="B27" s="850">
        <f>+B25-B26</f>
        <v>510.59464896000003</v>
      </c>
      <c r="C27" s="851">
        <f t="shared" ref="C27:V27" si="8">+C25-C26</f>
        <v>556.04183324999997</v>
      </c>
      <c r="D27" s="851">
        <f t="shared" si="8"/>
        <v>568.98430093000002</v>
      </c>
      <c r="E27" s="851">
        <f t="shared" si="8"/>
        <v>575.57698055000003</v>
      </c>
      <c r="F27" s="851">
        <f t="shared" si="8"/>
        <v>585.76614479</v>
      </c>
      <c r="G27" s="851">
        <f t="shared" si="8"/>
        <v>648.19690099999991</v>
      </c>
      <c r="H27" s="851">
        <f t="shared" si="8"/>
        <v>663.12590186</v>
      </c>
      <c r="I27" s="851">
        <f t="shared" si="8"/>
        <v>666.89898065999989</v>
      </c>
      <c r="J27" s="851">
        <f t="shared" si="8"/>
        <v>676.94793012000002</v>
      </c>
      <c r="K27" s="851">
        <f t="shared" si="8"/>
        <v>705.51378925000006</v>
      </c>
      <c r="L27" s="851">
        <f t="shared" si="8"/>
        <v>716.17043053000009</v>
      </c>
      <c r="M27" s="843">
        <f t="shared" si="8"/>
        <v>718.12120986999992</v>
      </c>
      <c r="N27" s="843">
        <f t="shared" si="8"/>
        <v>716.56161624000003</v>
      </c>
      <c r="O27" s="843">
        <f t="shared" si="8"/>
        <v>715.69920373000002</v>
      </c>
      <c r="P27" s="840">
        <f t="shared" si="8"/>
        <v>723.15872081999987</v>
      </c>
      <c r="Q27" s="840">
        <f t="shared" si="8"/>
        <v>730.02550010999994</v>
      </c>
      <c r="R27" s="840">
        <f t="shared" si="8"/>
        <v>738.05509264999989</v>
      </c>
      <c r="S27" s="840">
        <f t="shared" si="8"/>
        <v>742.11555482999995</v>
      </c>
      <c r="T27" s="840">
        <f t="shared" si="8"/>
        <v>741.16487317999997</v>
      </c>
      <c r="U27" s="840">
        <f t="shared" si="8"/>
        <v>765.14965096000003</v>
      </c>
      <c r="V27" s="840">
        <f t="shared" si="8"/>
        <v>781.71154766999996</v>
      </c>
      <c r="W27" s="840">
        <v>792.51245069000004</v>
      </c>
      <c r="X27" s="840">
        <v>813.52311845999998</v>
      </c>
      <c r="Y27" s="843">
        <v>824.67715275000012</v>
      </c>
      <c r="Z27" s="840">
        <v>821.90871922999986</v>
      </c>
      <c r="AA27" s="843">
        <v>879.82179079999992</v>
      </c>
      <c r="AB27" s="843">
        <v>875.6861620200001</v>
      </c>
      <c r="AC27" s="843">
        <v>882.40699386999972</v>
      </c>
      <c r="AD27" s="843">
        <v>880.59823220999988</v>
      </c>
      <c r="AE27" s="843">
        <v>884.23040497</v>
      </c>
      <c r="AF27" s="843">
        <v>893.40455067000005</v>
      </c>
      <c r="AG27" s="843">
        <v>895.13898555999992</v>
      </c>
      <c r="AH27" s="843">
        <f>+AH25-AH26</f>
        <v>694.8443777</v>
      </c>
      <c r="AI27" s="843">
        <v>610.94664636000005</v>
      </c>
      <c r="AJ27" s="843">
        <v>574.30523054999992</v>
      </c>
      <c r="AK27" s="843">
        <f>+AK25-AK26</f>
        <v>471.40516636000001</v>
      </c>
      <c r="AL27" s="843">
        <v>421.14440809999996</v>
      </c>
      <c r="AM27" s="843">
        <f>+AM25-AM26</f>
        <v>417.55825904</v>
      </c>
      <c r="AN27" s="843">
        <f>+AN25-AN26</f>
        <v>412.88997726000002</v>
      </c>
      <c r="AO27" s="843">
        <f>+AO25-AO26</f>
        <v>412.56343634000001</v>
      </c>
      <c r="AP27" s="843">
        <f>+AP25-AP26</f>
        <v>404.55731535999996</v>
      </c>
      <c r="AQ27" s="843">
        <v>401.55597182000002</v>
      </c>
      <c r="AR27" s="843">
        <v>377.96552070999996</v>
      </c>
      <c r="AS27" s="843">
        <f>+AS25-AS26</f>
        <v>377.44222600999996</v>
      </c>
      <c r="AT27" s="843">
        <f>AT11-AT15</f>
        <v>385.90459491000001</v>
      </c>
      <c r="AU27" s="843">
        <v>371.77480515000002</v>
      </c>
      <c r="AV27" s="843">
        <v>377.88912417</v>
      </c>
      <c r="AW27" s="843">
        <v>394.92156757999993</v>
      </c>
      <c r="AX27" s="843">
        <v>391.44167424999995</v>
      </c>
      <c r="AY27" s="843">
        <v>398.65895045999997</v>
      </c>
      <c r="AZ27" s="843">
        <v>401.74268634000003</v>
      </c>
      <c r="BA27" s="843">
        <v>404.74123771999996</v>
      </c>
      <c r="BB27" s="843">
        <v>396.77432745000004</v>
      </c>
      <c r="BC27" s="843">
        <v>395.89156535000001</v>
      </c>
      <c r="BD27" s="843">
        <f>+BD25-BD26</f>
        <v>412.40162660999999</v>
      </c>
      <c r="BE27" s="843">
        <v>423.44354225999996</v>
      </c>
      <c r="BF27" s="843">
        <v>421.07238868000002</v>
      </c>
      <c r="BG27" s="843">
        <v>405.21230578000001</v>
      </c>
      <c r="BH27" s="886">
        <v>403.48172828000003</v>
      </c>
      <c r="BI27" s="875">
        <v>381.65435475999999</v>
      </c>
      <c r="BJ27" s="875">
        <v>377.50998907999997</v>
      </c>
      <c r="BK27" s="875">
        <v>371.44852046</v>
      </c>
      <c r="BL27" s="875">
        <v>385.10925566000003</v>
      </c>
      <c r="BM27" s="875">
        <v>394.36134377999997</v>
      </c>
      <c r="BN27" s="875">
        <v>397.00038556000004</v>
      </c>
      <c r="BO27" s="875">
        <v>403.61748814000003</v>
      </c>
      <c r="BP27" s="875">
        <v>409.62058405000005</v>
      </c>
      <c r="BQ27" s="875">
        <v>407.26069857999994</v>
      </c>
      <c r="BR27" s="875">
        <v>405.43404948</v>
      </c>
      <c r="BS27" s="875">
        <v>404.09075253999998</v>
      </c>
      <c r="BT27" s="875">
        <v>405.64719951999996</v>
      </c>
      <c r="BU27" s="875">
        <v>405.63622151999999</v>
      </c>
      <c r="BV27" s="875">
        <v>406.85731804</v>
      </c>
      <c r="BW27" s="875">
        <v>405.30138765000004</v>
      </c>
      <c r="BX27" s="875">
        <v>415.07152287999997</v>
      </c>
      <c r="BY27" s="875">
        <v>419.69878789000001</v>
      </c>
      <c r="BZ27" s="875">
        <v>437.61005681</v>
      </c>
      <c r="CA27" s="875">
        <v>440.98452646999999</v>
      </c>
      <c r="CB27" s="875">
        <v>432.92944501000005</v>
      </c>
      <c r="CC27" s="875">
        <v>439.76683287999998</v>
      </c>
      <c r="CD27" s="875">
        <v>451.36204230999994</v>
      </c>
      <c r="CE27" s="875">
        <f t="shared" ref="CE27:CP27" si="9">+CE25-CE26</f>
        <v>450.69278562</v>
      </c>
      <c r="CF27" s="875">
        <f t="shared" si="9"/>
        <v>450.46868695000001</v>
      </c>
      <c r="CG27" s="875">
        <f t="shared" si="9"/>
        <v>468.31712438000005</v>
      </c>
      <c r="CH27" s="875">
        <f t="shared" si="9"/>
        <v>466.38168318000004</v>
      </c>
      <c r="CI27" s="875">
        <f t="shared" si="9"/>
        <v>459.85812598000001</v>
      </c>
      <c r="CJ27" s="875">
        <f t="shared" si="9"/>
        <v>457.91720141999997</v>
      </c>
      <c r="CK27" s="875">
        <f t="shared" si="9"/>
        <v>510.71841112000004</v>
      </c>
      <c r="CL27" s="875">
        <f t="shared" si="9"/>
        <v>504.34950690000005</v>
      </c>
      <c r="CM27" s="875">
        <f t="shared" si="9"/>
        <v>499.23033192000003</v>
      </c>
      <c r="CN27" s="875">
        <f t="shared" si="9"/>
        <v>497.36162439999998</v>
      </c>
      <c r="CO27" s="875">
        <f t="shared" si="9"/>
        <v>497.69445558000001</v>
      </c>
      <c r="CP27" s="875">
        <f t="shared" si="9"/>
        <v>498.07112887</v>
      </c>
      <c r="CQ27" s="875">
        <f>+CQ25-CQ26</f>
        <v>486.82624347999996</v>
      </c>
      <c r="CR27" s="875">
        <f>+CR25-CR26</f>
        <v>491.07912499000003</v>
      </c>
      <c r="CS27" s="875">
        <f>+CS25-CS26</f>
        <v>494.55360853999997</v>
      </c>
      <c r="CT27" s="875">
        <v>495.82445265000001</v>
      </c>
      <c r="CU27" s="875">
        <v>494.52935453999999</v>
      </c>
      <c r="CV27" s="875">
        <v>505.37513870999999</v>
      </c>
      <c r="CW27" s="875">
        <v>499.01804189000001</v>
      </c>
      <c r="CX27" s="875">
        <v>502.67900613</v>
      </c>
      <c r="CY27" s="875">
        <v>504.86481450000002</v>
      </c>
      <c r="CZ27" s="875">
        <v>501.14521839999998</v>
      </c>
      <c r="DA27" s="875">
        <v>509.90303664999999</v>
      </c>
      <c r="DB27" s="875">
        <v>514.19234262999998</v>
      </c>
      <c r="DC27" s="875">
        <v>512.83791057999997</v>
      </c>
      <c r="DD27" s="875">
        <v>512.52881551999997</v>
      </c>
      <c r="DE27" s="875">
        <v>528.29089824000005</v>
      </c>
      <c r="DF27" s="875">
        <v>530.05726331000005</v>
      </c>
      <c r="DG27" s="875">
        <v>527.80225487999996</v>
      </c>
      <c r="DH27" s="875">
        <v>535.10197504999996</v>
      </c>
      <c r="DI27" s="875">
        <v>535.17699511000001</v>
      </c>
      <c r="DJ27" s="875">
        <v>534.77943344000005</v>
      </c>
      <c r="DK27" s="875">
        <v>483.21774884000001</v>
      </c>
      <c r="DL27" s="875">
        <v>481.20642013000003</v>
      </c>
      <c r="DM27" s="875">
        <v>481.26336860999999</v>
      </c>
      <c r="DN27" s="875">
        <v>481.17135048</v>
      </c>
      <c r="DO27" s="875">
        <v>479.06048864000002</v>
      </c>
      <c r="DP27" s="875">
        <v>476.57177895000001</v>
      </c>
      <c r="DQ27" s="875">
        <v>463.47295419</v>
      </c>
      <c r="DR27" s="875">
        <v>450.17804565</v>
      </c>
      <c r="DS27" s="875">
        <v>448.78996310999997</v>
      </c>
      <c r="DT27" s="875">
        <v>438.95106298000002</v>
      </c>
      <c r="DU27" s="875">
        <v>426.49628065000002</v>
      </c>
      <c r="DV27" s="875">
        <v>415.95315167000001</v>
      </c>
      <c r="DW27" s="875">
        <v>419.53117659999998</v>
      </c>
      <c r="DX27" s="875">
        <v>429.07133711</v>
      </c>
      <c r="DY27" s="875">
        <v>433.58522782</v>
      </c>
      <c r="DZ27" s="875">
        <v>451.34477971000001</v>
      </c>
      <c r="EA27" s="875">
        <v>422.81455125999997</v>
      </c>
      <c r="EB27" s="875">
        <v>411.10102415</v>
      </c>
      <c r="EC27" s="875">
        <v>411.05821924000003</v>
      </c>
      <c r="ED27" s="875">
        <v>402.80969823999999</v>
      </c>
      <c r="EE27" s="875">
        <v>403.39300923000002</v>
      </c>
      <c r="EF27" s="875">
        <v>389.90732601000002</v>
      </c>
      <c r="EG27" s="875">
        <v>371.93616487000003</v>
      </c>
      <c r="EH27" s="875">
        <v>369.61218678</v>
      </c>
      <c r="EI27" s="875">
        <v>369.94669721999998</v>
      </c>
      <c r="EJ27" s="875">
        <v>368.81395035000003</v>
      </c>
      <c r="EK27" s="875">
        <v>401.03994154999998</v>
      </c>
      <c r="EL27" s="875">
        <v>400.69953583</v>
      </c>
      <c r="EM27" s="875">
        <v>405.39994105</v>
      </c>
      <c r="EN27" s="875">
        <v>402.69921038000001</v>
      </c>
      <c r="EO27" s="875">
        <v>405.73730103000003</v>
      </c>
      <c r="EP27" s="875">
        <v>394.46494532999998</v>
      </c>
      <c r="EQ27" s="875">
        <v>387.69841718999999</v>
      </c>
      <c r="ER27" s="875">
        <v>380.92824503999998</v>
      </c>
      <c r="ES27" s="875">
        <v>366.02629725000003</v>
      </c>
      <c r="ET27" s="875">
        <v>361.35484291</v>
      </c>
      <c r="EU27" s="1920" t="s">
        <v>4085</v>
      </c>
      <c r="EZ27" s="342"/>
    </row>
    <row r="28" spans="1:156" ht="21">
      <c r="A28" s="1929"/>
      <c r="B28" s="851"/>
      <c r="C28" s="851"/>
      <c r="D28" s="851"/>
      <c r="E28" s="851"/>
      <c r="F28" s="851"/>
      <c r="G28" s="851"/>
      <c r="H28" s="851"/>
      <c r="I28" s="851"/>
      <c r="J28" s="851"/>
      <c r="K28" s="851"/>
      <c r="L28" s="851"/>
      <c r="M28" s="843"/>
      <c r="N28" s="843"/>
      <c r="O28" s="843"/>
      <c r="P28" s="843"/>
      <c r="Q28" s="843"/>
      <c r="R28" s="843"/>
      <c r="S28" s="843"/>
      <c r="T28" s="843"/>
      <c r="U28" s="843"/>
      <c r="V28" s="843"/>
      <c r="W28" s="843"/>
      <c r="X28" s="843"/>
      <c r="Y28" s="843"/>
      <c r="Z28" s="843"/>
      <c r="AA28" s="843"/>
      <c r="AB28" s="843"/>
      <c r="AC28" s="843"/>
      <c r="AD28" s="843"/>
      <c r="AE28" s="843"/>
      <c r="AF28" s="843"/>
      <c r="AG28" s="843"/>
      <c r="AH28" s="843"/>
      <c r="AI28" s="843"/>
      <c r="AJ28" s="843"/>
      <c r="AK28" s="843"/>
      <c r="AL28" s="843"/>
      <c r="AM28" s="843"/>
      <c r="AN28" s="843"/>
      <c r="AO28" s="843"/>
      <c r="AP28" s="843"/>
      <c r="AQ28" s="843"/>
      <c r="AR28" s="843"/>
      <c r="AS28" s="843"/>
      <c r="AT28" s="843"/>
      <c r="AU28" s="843"/>
      <c r="AV28" s="843"/>
      <c r="AW28" s="843"/>
      <c r="AX28" s="843"/>
      <c r="AY28" s="843"/>
      <c r="AZ28" s="843"/>
      <c r="BA28" s="843"/>
      <c r="BB28" s="843"/>
      <c r="BC28" s="843"/>
      <c r="BD28" s="843"/>
      <c r="BE28" s="843"/>
      <c r="BF28" s="843"/>
      <c r="BG28" s="843"/>
      <c r="BH28" s="886"/>
      <c r="BI28" s="875"/>
      <c r="BJ28" s="875"/>
      <c r="BK28" s="875"/>
      <c r="BL28" s="875"/>
      <c r="BM28" s="875"/>
      <c r="BN28" s="875"/>
      <c r="BO28" s="875"/>
      <c r="BP28" s="875"/>
      <c r="BQ28" s="875"/>
      <c r="BR28" s="875"/>
      <c r="BS28" s="875"/>
      <c r="BT28" s="875"/>
      <c r="BU28" s="875"/>
      <c r="BV28" s="875"/>
      <c r="BW28" s="875"/>
      <c r="BX28" s="875"/>
      <c r="BY28" s="875"/>
      <c r="BZ28" s="875"/>
      <c r="CA28" s="875"/>
      <c r="CB28" s="875"/>
      <c r="CC28" s="875"/>
      <c r="CD28" s="875"/>
      <c r="CE28" s="875"/>
      <c r="CF28" s="875"/>
      <c r="CG28" s="875"/>
      <c r="CH28" s="875"/>
      <c r="CI28" s="875"/>
      <c r="CJ28" s="875"/>
      <c r="CK28" s="875"/>
      <c r="CL28" s="875"/>
      <c r="CM28" s="875"/>
      <c r="CN28" s="875"/>
      <c r="CO28" s="875"/>
      <c r="CP28" s="875"/>
      <c r="CQ28" s="875"/>
      <c r="CR28" s="875"/>
      <c r="CS28" s="875"/>
      <c r="CT28" s="875"/>
      <c r="CU28" s="875"/>
      <c r="CV28" s="875"/>
      <c r="CW28" s="875"/>
      <c r="CX28" s="875"/>
      <c r="CY28" s="875"/>
      <c r="CZ28" s="875"/>
      <c r="DA28" s="875"/>
      <c r="DB28" s="875"/>
      <c r="DC28" s="875"/>
      <c r="DD28" s="875"/>
      <c r="DE28" s="875"/>
      <c r="DF28" s="875"/>
      <c r="DG28" s="875"/>
      <c r="DH28" s="875"/>
      <c r="DI28" s="875"/>
      <c r="DJ28" s="875"/>
      <c r="DK28" s="875"/>
      <c r="DL28" s="875"/>
      <c r="DM28" s="875"/>
      <c r="DN28" s="875"/>
      <c r="DO28" s="875"/>
      <c r="DP28" s="875"/>
      <c r="DQ28" s="875"/>
      <c r="DR28" s="875"/>
      <c r="DS28" s="875"/>
      <c r="DT28" s="875"/>
      <c r="DU28" s="875"/>
      <c r="DV28" s="875"/>
      <c r="DW28" s="875"/>
      <c r="DX28" s="875"/>
      <c r="DY28" s="875"/>
      <c r="DZ28" s="875"/>
      <c r="EA28" s="875"/>
      <c r="EB28" s="875"/>
      <c r="EC28" s="875"/>
      <c r="ED28" s="875"/>
      <c r="EE28" s="875"/>
      <c r="EF28" s="875"/>
      <c r="EG28" s="875"/>
      <c r="EH28" s="875"/>
      <c r="EI28" s="875"/>
      <c r="EJ28" s="875"/>
      <c r="EK28" s="875"/>
      <c r="EL28" s="875"/>
      <c r="EM28" s="875"/>
      <c r="EN28" s="875"/>
      <c r="EO28" s="875"/>
      <c r="EP28" s="875"/>
      <c r="EQ28" s="875"/>
      <c r="ER28" s="875"/>
      <c r="ES28" s="875"/>
      <c r="ET28" s="875"/>
      <c r="EU28" s="1919"/>
      <c r="EZ28" s="342"/>
    </row>
    <row r="29" spans="1:156" ht="21">
      <c r="A29" s="1952" t="s">
        <v>189</v>
      </c>
      <c r="B29" s="851">
        <v>467.73436215999999</v>
      </c>
      <c r="C29" s="851">
        <v>516.17114155000002</v>
      </c>
      <c r="D29" s="851">
        <v>530.50519874000008</v>
      </c>
      <c r="E29" s="851">
        <v>537.53987014000006</v>
      </c>
      <c r="F29" s="851">
        <v>548.54793453000002</v>
      </c>
      <c r="G29" s="851">
        <v>610.97083487999998</v>
      </c>
      <c r="H29" s="851">
        <v>625.78907225</v>
      </c>
      <c r="I29" s="851">
        <v>627.10025427999994</v>
      </c>
      <c r="J29" s="851">
        <v>633.87316783000006</v>
      </c>
      <c r="K29" s="851">
        <v>660.47138422</v>
      </c>
      <c r="L29" s="851">
        <v>673.95979130000001</v>
      </c>
      <c r="M29" s="840">
        <v>676.57906603999993</v>
      </c>
      <c r="N29" s="843">
        <v>675.51016306999998</v>
      </c>
      <c r="O29" s="843">
        <v>675.33543244999998</v>
      </c>
      <c r="P29" s="843">
        <v>682.66014953999991</v>
      </c>
      <c r="Q29" s="843">
        <v>689.11739110999997</v>
      </c>
      <c r="R29" s="843">
        <v>697.40190593999989</v>
      </c>
      <c r="S29" s="843">
        <v>703.20331094999995</v>
      </c>
      <c r="T29" s="843">
        <v>701.53503275000003</v>
      </c>
      <c r="U29" s="843">
        <v>723.39103341999999</v>
      </c>
      <c r="V29" s="843">
        <v>737.56482314999994</v>
      </c>
      <c r="W29" s="843">
        <v>746.17114191999997</v>
      </c>
      <c r="X29" s="843">
        <v>765.91176502999997</v>
      </c>
      <c r="Y29" s="840">
        <v>777.16983661000006</v>
      </c>
      <c r="Z29" s="843">
        <v>775.90631032999988</v>
      </c>
      <c r="AA29" s="843">
        <v>597.11065466999992</v>
      </c>
      <c r="AB29" s="840">
        <v>593.26743813000007</v>
      </c>
      <c r="AC29" s="840">
        <v>599.89570153999989</v>
      </c>
      <c r="AD29" s="840">
        <v>598.71643942999992</v>
      </c>
      <c r="AE29" s="840">
        <v>596.91162845000008</v>
      </c>
      <c r="AF29" s="840">
        <v>605.53100307000011</v>
      </c>
      <c r="AG29" s="840">
        <v>610.79257828999994</v>
      </c>
      <c r="AH29" s="840">
        <v>421.31810461000003</v>
      </c>
      <c r="AI29" s="840">
        <v>437.61303474000005</v>
      </c>
      <c r="AJ29" s="840">
        <v>446.00192661</v>
      </c>
      <c r="AK29" s="840">
        <v>441.47766429000001</v>
      </c>
      <c r="AL29" s="840">
        <v>399.33824117</v>
      </c>
      <c r="AM29" s="840">
        <v>396.28162980000002</v>
      </c>
      <c r="AN29" s="840">
        <v>391.49846817000002</v>
      </c>
      <c r="AO29" s="840">
        <v>394.85606650000005</v>
      </c>
      <c r="AP29" s="840">
        <v>387.28405995999998</v>
      </c>
      <c r="AQ29" s="840">
        <v>384.0325416</v>
      </c>
      <c r="AR29" s="840">
        <v>359.70602822999996</v>
      </c>
      <c r="AS29" s="840">
        <v>358.78660681999997</v>
      </c>
      <c r="AT29" s="840">
        <v>367.27118247999999</v>
      </c>
      <c r="AU29" s="840">
        <v>353.65341418999998</v>
      </c>
      <c r="AV29" s="840">
        <v>358.89897643</v>
      </c>
      <c r="AW29" s="840">
        <v>375.83390419999995</v>
      </c>
      <c r="AX29" s="840">
        <v>371.17521616999994</v>
      </c>
      <c r="AY29" s="840">
        <v>380.51189936999998</v>
      </c>
      <c r="AZ29" s="840">
        <v>377.10458410000001</v>
      </c>
      <c r="BA29" s="840">
        <v>380.14468773999994</v>
      </c>
      <c r="BB29" s="840">
        <v>379.60410772</v>
      </c>
      <c r="BC29" s="840">
        <v>373.73231764000002</v>
      </c>
      <c r="BD29" s="840">
        <v>368.70424564000001</v>
      </c>
      <c r="BE29" s="840">
        <v>360.46498948999999</v>
      </c>
      <c r="BF29" s="840">
        <v>358.36195450999998</v>
      </c>
      <c r="BG29" s="840">
        <v>343.13518020000004</v>
      </c>
      <c r="BH29" s="885">
        <v>339.64713410999997</v>
      </c>
      <c r="BI29" s="874">
        <v>315.16309311000003</v>
      </c>
      <c r="BJ29" s="874">
        <v>310.06302153000001</v>
      </c>
      <c r="BK29" s="874">
        <v>304.23102646999996</v>
      </c>
      <c r="BL29" s="874">
        <v>310.61602958999998</v>
      </c>
      <c r="BM29" s="874">
        <v>315.75553834999999</v>
      </c>
      <c r="BN29" s="874">
        <v>320.30207947000002</v>
      </c>
      <c r="BO29" s="874">
        <v>324.00356526000002</v>
      </c>
      <c r="BP29" s="874">
        <v>324.75342222</v>
      </c>
      <c r="BQ29" s="874">
        <v>325.03820807</v>
      </c>
      <c r="BR29" s="874">
        <v>318.95783713999998</v>
      </c>
      <c r="BS29" s="874">
        <v>320.33274187000001</v>
      </c>
      <c r="BT29" s="874">
        <v>324.62979702999996</v>
      </c>
      <c r="BU29" s="874">
        <v>331.32141845000001</v>
      </c>
      <c r="BV29" s="874">
        <v>332.92332324</v>
      </c>
      <c r="BW29" s="874">
        <v>335.12542841000004</v>
      </c>
      <c r="BX29" s="874">
        <v>333.88124506999998</v>
      </c>
      <c r="BY29" s="874">
        <v>332.73639701999997</v>
      </c>
      <c r="BZ29" s="874">
        <v>336.81459848000003</v>
      </c>
      <c r="CA29" s="874">
        <v>339.79659588999999</v>
      </c>
      <c r="CB29" s="874">
        <v>329.11798327000002</v>
      </c>
      <c r="CC29" s="874">
        <v>325.04683477999998</v>
      </c>
      <c r="CD29" s="874">
        <v>340.05843578999998</v>
      </c>
      <c r="CE29" s="874">
        <v>339.74357280000004</v>
      </c>
      <c r="CF29" s="874">
        <v>337.29550236</v>
      </c>
      <c r="CG29" s="874">
        <v>352.06313544000005</v>
      </c>
      <c r="CH29" s="874">
        <v>350.14855043</v>
      </c>
      <c r="CI29" s="874">
        <v>344.7317615</v>
      </c>
      <c r="CJ29" s="874">
        <v>343.49890994999998</v>
      </c>
      <c r="CK29" s="874">
        <v>391.84076505000002</v>
      </c>
      <c r="CL29" s="874">
        <v>385.93251005000002</v>
      </c>
      <c r="CM29" s="874">
        <v>375.19113476000001</v>
      </c>
      <c r="CN29" s="874">
        <v>371.41697058</v>
      </c>
      <c r="CO29" s="874">
        <v>371.57621143</v>
      </c>
      <c r="CP29" s="874">
        <v>373.33774472999994</v>
      </c>
      <c r="CQ29" s="874">
        <v>370.78507652999997</v>
      </c>
      <c r="CR29" s="874">
        <v>375.93190351999999</v>
      </c>
      <c r="CS29" s="874">
        <v>380.46437528999996</v>
      </c>
      <c r="CT29" s="874">
        <v>381.16451469999998</v>
      </c>
      <c r="CU29" s="874">
        <v>373.73848834</v>
      </c>
      <c r="CV29" s="874">
        <v>385.55945086999998</v>
      </c>
      <c r="CW29" s="874">
        <v>380.10754042999997</v>
      </c>
      <c r="CX29" s="874">
        <v>380.75789552999998</v>
      </c>
      <c r="CY29" s="874">
        <v>375.50066568</v>
      </c>
      <c r="CZ29" s="874">
        <v>370.57698205000003</v>
      </c>
      <c r="DA29" s="874">
        <v>372.69300666999999</v>
      </c>
      <c r="DB29" s="874">
        <v>376.47865787000001</v>
      </c>
      <c r="DC29" s="874">
        <v>385.39824612000001</v>
      </c>
      <c r="DD29" s="874">
        <v>379.37517837000001</v>
      </c>
      <c r="DE29" s="874">
        <v>396.55805622000003</v>
      </c>
      <c r="DF29" s="874">
        <v>399.54604916</v>
      </c>
      <c r="DG29" s="874">
        <v>398.31614757</v>
      </c>
      <c r="DH29" s="874">
        <v>403.46002456999997</v>
      </c>
      <c r="DI29" s="874">
        <v>404.16167594000001</v>
      </c>
      <c r="DJ29" s="874">
        <v>404.11252385</v>
      </c>
      <c r="DK29" s="874">
        <v>353.26052872999998</v>
      </c>
      <c r="DL29" s="874">
        <v>348.96991426</v>
      </c>
      <c r="DM29" s="874">
        <v>348.17991694</v>
      </c>
      <c r="DN29" s="874">
        <v>349.31207427999999</v>
      </c>
      <c r="DO29" s="874">
        <v>344.24813728999999</v>
      </c>
      <c r="DP29" s="874">
        <v>343.15456283999998</v>
      </c>
      <c r="DQ29" s="874">
        <v>337.43105435000001</v>
      </c>
      <c r="DR29" s="874">
        <v>322.88740724000002</v>
      </c>
      <c r="DS29" s="874">
        <v>322.19544274999998</v>
      </c>
      <c r="DT29" s="874">
        <v>314.36424069999998</v>
      </c>
      <c r="DU29" s="874">
        <v>304.47516762999999</v>
      </c>
      <c r="DV29" s="874">
        <v>303.53229370000003</v>
      </c>
      <c r="DW29" s="874">
        <v>307.71096191999999</v>
      </c>
      <c r="DX29" s="874">
        <v>310.16628373999998</v>
      </c>
      <c r="DY29" s="874">
        <v>314.65305949999998</v>
      </c>
      <c r="DZ29" s="874">
        <v>332.28584898999998</v>
      </c>
      <c r="EA29" s="874">
        <v>305.41169497999999</v>
      </c>
      <c r="EB29" s="874">
        <v>295.25765899999999</v>
      </c>
      <c r="EC29" s="874">
        <v>295.03773568999998</v>
      </c>
      <c r="ED29" s="874">
        <v>289.54423521000001</v>
      </c>
      <c r="EE29" s="874">
        <v>291.23587802999998</v>
      </c>
      <c r="EF29" s="874">
        <v>280.22667297999999</v>
      </c>
      <c r="EG29" s="874">
        <v>269.82753112</v>
      </c>
      <c r="EH29" s="874">
        <v>268.53696934999999</v>
      </c>
      <c r="EI29" s="874">
        <v>267.83297078999999</v>
      </c>
      <c r="EJ29" s="874">
        <v>265.05783831000002</v>
      </c>
      <c r="EK29" s="874">
        <v>293.55270208000002</v>
      </c>
      <c r="EL29" s="874">
        <v>293.06508724999998</v>
      </c>
      <c r="EM29" s="874">
        <v>302.78613901</v>
      </c>
      <c r="EN29" s="874">
        <v>302.68828738000002</v>
      </c>
      <c r="EO29" s="874">
        <v>298.63089054</v>
      </c>
      <c r="EP29" s="874">
        <v>290.28426587000001</v>
      </c>
      <c r="EQ29" s="874">
        <v>286.36806080000002</v>
      </c>
      <c r="ER29" s="874">
        <v>281.26598164000001</v>
      </c>
      <c r="ES29" s="874">
        <v>272.29041439000002</v>
      </c>
      <c r="ET29" s="874">
        <v>269.50282809999999</v>
      </c>
      <c r="EU29" s="1922" t="s">
        <v>212</v>
      </c>
      <c r="EZ29" s="342"/>
    </row>
    <row r="30" spans="1:156" ht="21">
      <c r="A30" s="1953" t="s">
        <v>1974</v>
      </c>
      <c r="B30" s="851">
        <v>2.4350116000000002</v>
      </c>
      <c r="C30" s="851">
        <v>2.4000490999999999</v>
      </c>
      <c r="D30" s="851">
        <v>2.3650866000000001</v>
      </c>
      <c r="E30" s="851">
        <v>2.3301240999999999</v>
      </c>
      <c r="F30" s="851">
        <v>2.2951616000000001</v>
      </c>
      <c r="G30" s="851">
        <v>2.2601990999999999</v>
      </c>
      <c r="H30" s="851">
        <v>2.2252366000000001</v>
      </c>
      <c r="I30" s="851">
        <v>2.1902740999999999</v>
      </c>
      <c r="J30" s="851">
        <v>2.1553116000000001</v>
      </c>
      <c r="K30" s="851">
        <v>2.1203490999999999</v>
      </c>
      <c r="L30" s="851">
        <v>2.1703491000000001</v>
      </c>
      <c r="M30" s="843">
        <v>2.12032854</v>
      </c>
      <c r="N30" s="843">
        <v>2.1118915400000002</v>
      </c>
      <c r="O30" s="843">
        <v>2.1118915400000002</v>
      </c>
      <c r="P30" s="843">
        <v>2.04589154</v>
      </c>
      <c r="Q30" s="843">
        <v>2.04589154</v>
      </c>
      <c r="R30" s="843">
        <v>2.04589154</v>
      </c>
      <c r="S30" s="843">
        <v>2.04589154</v>
      </c>
      <c r="T30" s="843">
        <v>2.04589154</v>
      </c>
      <c r="U30" s="843">
        <v>2.04589154</v>
      </c>
      <c r="V30" s="843">
        <v>2.04589154</v>
      </c>
      <c r="W30" s="843">
        <v>2.04589154</v>
      </c>
      <c r="X30" s="843">
        <v>2.04589154</v>
      </c>
      <c r="Y30" s="843">
        <v>2.0258915399999999</v>
      </c>
      <c r="Z30" s="843">
        <v>2.0258915399999999</v>
      </c>
      <c r="AA30" s="843">
        <v>1.952</v>
      </c>
      <c r="AB30" s="843">
        <v>1.9119999999999999</v>
      </c>
      <c r="AC30" s="843">
        <v>1.867</v>
      </c>
      <c r="AD30" s="843">
        <v>1.867</v>
      </c>
      <c r="AE30" s="843">
        <v>1.8120000000000001</v>
      </c>
      <c r="AF30" s="843">
        <v>1.8120000000000001</v>
      </c>
      <c r="AG30" s="843">
        <v>1.8120000000000001</v>
      </c>
      <c r="AH30" s="843">
        <v>1.8120000000000001</v>
      </c>
      <c r="AI30" s="843">
        <v>1.8120000000000001</v>
      </c>
      <c r="AJ30" s="843">
        <v>1.8120000000000001</v>
      </c>
      <c r="AK30" s="843">
        <v>1.8120000000000001</v>
      </c>
      <c r="AL30" s="843">
        <v>1.8120000000000001</v>
      </c>
      <c r="AM30" s="843">
        <v>1.512</v>
      </c>
      <c r="AN30" s="843">
        <v>1.49211001</v>
      </c>
      <c r="AO30" s="843">
        <v>1.3594380100000001</v>
      </c>
      <c r="AP30" s="843">
        <v>1.3294380100000001</v>
      </c>
      <c r="AQ30" s="843">
        <v>1.28772705</v>
      </c>
      <c r="AR30" s="843">
        <v>1.2599446699999999</v>
      </c>
      <c r="AS30" s="843">
        <v>1.23216229</v>
      </c>
      <c r="AT30" s="843">
        <v>1.2043799099999999</v>
      </c>
      <c r="AU30" s="843">
        <v>0.79559806999999994</v>
      </c>
      <c r="AV30" s="843">
        <v>0.76781568999999994</v>
      </c>
      <c r="AW30" s="843">
        <v>0.74003331000000006</v>
      </c>
      <c r="AX30" s="843">
        <v>0.71225093000000006</v>
      </c>
      <c r="AY30" s="843">
        <v>0.68446855000000006</v>
      </c>
      <c r="AZ30" s="843">
        <v>0.65668617000000007</v>
      </c>
      <c r="BA30" s="843">
        <v>0.62890379000000007</v>
      </c>
      <c r="BB30" s="843">
        <v>0.33201029999999998</v>
      </c>
      <c r="BC30" s="843">
        <v>0.33196376999999999</v>
      </c>
      <c r="BD30" s="843">
        <v>0.31225178999999997</v>
      </c>
      <c r="BE30" s="843">
        <v>0.29251167</v>
      </c>
      <c r="BF30" s="843">
        <v>0.27316576000000004</v>
      </c>
      <c r="BG30" s="843">
        <v>0.26532083000000001</v>
      </c>
      <c r="BH30" s="886">
        <v>0.25745569000000001</v>
      </c>
      <c r="BI30" s="875">
        <v>0.23711089000000002</v>
      </c>
      <c r="BJ30" s="875">
        <v>0.21676858999999998</v>
      </c>
      <c r="BK30" s="875">
        <v>0.19638897</v>
      </c>
      <c r="BL30" s="875">
        <v>0.17601037</v>
      </c>
      <c r="BM30" s="875">
        <v>0.15561701</v>
      </c>
      <c r="BN30" s="875">
        <v>0.13521554</v>
      </c>
      <c r="BO30" s="875">
        <v>0.10169458000000001</v>
      </c>
      <c r="BP30" s="875">
        <v>9.4379119999999997E-2</v>
      </c>
      <c r="BQ30" s="875">
        <v>7.3208999999999996E-2</v>
      </c>
      <c r="BR30" s="875">
        <v>5.3566000000000003E-2</v>
      </c>
      <c r="BS30" s="875">
        <v>3.3923000000000002E-2</v>
      </c>
      <c r="BT30" s="875">
        <v>0</v>
      </c>
      <c r="BU30" s="875">
        <v>0</v>
      </c>
      <c r="BV30" s="875">
        <v>0</v>
      </c>
      <c r="BW30" s="875">
        <v>0</v>
      </c>
      <c r="BX30" s="875">
        <v>0</v>
      </c>
      <c r="BY30" s="875">
        <v>0.2</v>
      </c>
      <c r="BZ30" s="875">
        <v>0.19939475000000001</v>
      </c>
      <c r="CA30" s="875">
        <v>0.19877891</v>
      </c>
      <c r="CB30" s="875">
        <v>0.19815229000000001</v>
      </c>
      <c r="CC30" s="875">
        <v>0.19751470999999998</v>
      </c>
      <c r="CD30" s="875">
        <v>0.19686595000000001</v>
      </c>
      <c r="CE30" s="875">
        <v>0.19620587</v>
      </c>
      <c r="CF30" s="875">
        <v>0.19535148000000002</v>
      </c>
      <c r="CG30" s="875">
        <v>0.19463659</v>
      </c>
      <c r="CH30" s="875">
        <v>0.19415546</v>
      </c>
      <c r="CI30" s="875">
        <v>0.19415546</v>
      </c>
      <c r="CJ30" s="875">
        <v>0.19327789000000001</v>
      </c>
      <c r="CK30" s="875">
        <v>0.19327789000000001</v>
      </c>
      <c r="CL30" s="875">
        <v>0.19327789000000001</v>
      </c>
      <c r="CM30" s="875">
        <v>0.19327789000000001</v>
      </c>
      <c r="CN30" s="875">
        <v>0.19327789000000001</v>
      </c>
      <c r="CO30" s="875">
        <v>0.19327789000000001</v>
      </c>
      <c r="CP30" s="875">
        <v>0.19217789000000002</v>
      </c>
      <c r="CQ30" s="875">
        <v>0.19217789000000002</v>
      </c>
      <c r="CR30" s="875">
        <v>0.19217789000000002</v>
      </c>
      <c r="CS30" s="875">
        <v>0.19217789000000002</v>
      </c>
      <c r="CT30" s="875">
        <v>0.30294104999999999</v>
      </c>
      <c r="CU30" s="875">
        <v>0.29747615999999999</v>
      </c>
      <c r="CV30" s="875">
        <v>0.29193525999999997</v>
      </c>
      <c r="CW30" s="875">
        <v>0.28628336999999998</v>
      </c>
      <c r="CX30" s="875">
        <v>0.28065668999999999</v>
      </c>
      <c r="CY30" s="875">
        <v>0.27501440999999999</v>
      </c>
      <c r="CZ30" s="875">
        <v>0.26930588999999999</v>
      </c>
      <c r="DA30" s="875">
        <v>7.1402289999999993E-2</v>
      </c>
      <c r="DB30" s="875">
        <v>0.76564319000000003</v>
      </c>
      <c r="DC30" s="875">
        <v>0.74433475999999998</v>
      </c>
      <c r="DD30" s="875">
        <v>0</v>
      </c>
      <c r="DE30" s="875">
        <v>0</v>
      </c>
      <c r="DF30" s="875">
        <v>0</v>
      </c>
      <c r="DG30" s="875">
        <v>0</v>
      </c>
      <c r="DH30" s="875">
        <v>1.5418479899999999</v>
      </c>
      <c r="DI30" s="875">
        <v>1.4001077399999999</v>
      </c>
      <c r="DJ30" s="875">
        <v>1.3901077399999999</v>
      </c>
      <c r="DK30" s="875">
        <v>1.3901077399999999</v>
      </c>
      <c r="DL30" s="875">
        <v>1.3901077399999999</v>
      </c>
      <c r="DM30" s="875">
        <v>1.38510774</v>
      </c>
      <c r="DN30" s="875">
        <v>1.38510774</v>
      </c>
      <c r="DO30" s="875">
        <v>1.3801077399999999</v>
      </c>
      <c r="DP30" s="875">
        <v>1.3801077399999999</v>
      </c>
      <c r="DQ30" s="875">
        <v>1.3801077399999999</v>
      </c>
      <c r="DR30" s="875">
        <v>1.3801077399999999</v>
      </c>
      <c r="DS30" s="875">
        <v>1.3801077399999999</v>
      </c>
      <c r="DT30" s="875">
        <v>1.3801077399999999</v>
      </c>
      <c r="DU30" s="875">
        <v>1.3801077399999999</v>
      </c>
      <c r="DV30" s="875">
        <v>1.3801077399999999</v>
      </c>
      <c r="DW30" s="875">
        <v>1.3801077399999999</v>
      </c>
      <c r="DX30" s="875">
        <v>1.4106077400000001</v>
      </c>
      <c r="DY30" s="875">
        <v>1.40997236</v>
      </c>
      <c r="DZ30" s="875">
        <v>1.40932692</v>
      </c>
      <c r="EA30" s="875">
        <v>1.7087021</v>
      </c>
      <c r="EB30" s="875">
        <v>1.7014801500000001</v>
      </c>
      <c r="EC30" s="875">
        <v>1.69394851</v>
      </c>
      <c r="ED30" s="875">
        <v>1.6864571100000001</v>
      </c>
      <c r="EE30" s="875">
        <v>1.40594492</v>
      </c>
      <c r="EF30" s="875">
        <v>1.4052357099999999</v>
      </c>
      <c r="EG30" s="875">
        <v>2.4420790000000001E-2</v>
      </c>
      <c r="EH30" s="875">
        <v>2.3676260000000001E-2</v>
      </c>
      <c r="EI30" s="875">
        <v>2.2932830000000001E-2</v>
      </c>
      <c r="EJ30" s="875">
        <v>2.2189739999999999E-2</v>
      </c>
      <c r="EK30" s="875">
        <v>2.1411070000000001E-2</v>
      </c>
      <c r="EL30" s="875">
        <v>2.065438E-2</v>
      </c>
      <c r="EM30" s="875">
        <v>1.9841310000000001E-2</v>
      </c>
      <c r="EN30" s="875">
        <v>1.9037160000000001E-2</v>
      </c>
      <c r="EO30" s="875">
        <v>1.824038E-2</v>
      </c>
      <c r="EP30" s="875">
        <v>1.7391630000000002E-2</v>
      </c>
      <c r="EQ30" s="875">
        <v>1.65487E-2</v>
      </c>
      <c r="ER30" s="875">
        <v>1.5692419999999999E-2</v>
      </c>
      <c r="ES30" s="875">
        <v>1.482258E-2</v>
      </c>
      <c r="ET30" s="875">
        <v>1.393897E-2</v>
      </c>
      <c r="EU30" s="1924" t="s">
        <v>4086</v>
      </c>
      <c r="EZ30" s="342"/>
    </row>
    <row r="31" spans="1:156" ht="21">
      <c r="A31" s="1953" t="s">
        <v>1975</v>
      </c>
      <c r="B31" s="850">
        <f>+B29-B30</f>
        <v>465.29935055999999</v>
      </c>
      <c r="C31" s="850">
        <f t="shared" ref="C31:R31" si="10">+C29-C30</f>
        <v>513.77109244999997</v>
      </c>
      <c r="D31" s="850">
        <f t="shared" si="10"/>
        <v>528.14011214000004</v>
      </c>
      <c r="E31" s="850">
        <f t="shared" si="10"/>
        <v>535.20974604000003</v>
      </c>
      <c r="F31" s="850">
        <f t="shared" si="10"/>
        <v>546.25277292999999</v>
      </c>
      <c r="G31" s="850">
        <f t="shared" si="10"/>
        <v>608.71063577999996</v>
      </c>
      <c r="H31" s="850">
        <f t="shared" si="10"/>
        <v>623.56383564999999</v>
      </c>
      <c r="I31" s="850">
        <f t="shared" si="10"/>
        <v>624.90998017999993</v>
      </c>
      <c r="J31" s="850">
        <f t="shared" si="10"/>
        <v>631.71785623000005</v>
      </c>
      <c r="K31" s="850">
        <f t="shared" si="10"/>
        <v>658.35103512000001</v>
      </c>
      <c r="L31" s="850">
        <f t="shared" si="10"/>
        <v>671.78944220000005</v>
      </c>
      <c r="M31" s="843">
        <f t="shared" si="10"/>
        <v>674.45873749999998</v>
      </c>
      <c r="N31" s="840">
        <f t="shared" si="10"/>
        <v>673.39827152999999</v>
      </c>
      <c r="O31" s="840">
        <f t="shared" si="10"/>
        <v>673.22354091</v>
      </c>
      <c r="P31" s="840">
        <f t="shared" si="10"/>
        <v>680.61425799999995</v>
      </c>
      <c r="Q31" s="840">
        <f t="shared" si="10"/>
        <v>687.07149957000001</v>
      </c>
      <c r="R31" s="840">
        <f t="shared" si="10"/>
        <v>695.35601439999994</v>
      </c>
      <c r="S31" s="840">
        <f>+S29-S30</f>
        <v>701.15741940999999</v>
      </c>
      <c r="T31" s="840">
        <f>+T29-T30</f>
        <v>699.48914121000007</v>
      </c>
      <c r="U31" s="840">
        <f>+U29-U30</f>
        <v>721.34514188000003</v>
      </c>
      <c r="V31" s="840">
        <f>+V29-V30</f>
        <v>735.51893160999998</v>
      </c>
      <c r="W31" s="840">
        <v>744.12525038000001</v>
      </c>
      <c r="X31" s="840">
        <v>763.86587349000001</v>
      </c>
      <c r="Y31" s="843">
        <v>775.14394507000009</v>
      </c>
      <c r="Z31" s="840">
        <v>773.88041878999991</v>
      </c>
      <c r="AA31" s="840">
        <v>595.15865466999992</v>
      </c>
      <c r="AB31" s="843">
        <v>591.35543813000004</v>
      </c>
      <c r="AC31" s="843">
        <v>598.02870153999993</v>
      </c>
      <c r="AD31" s="843">
        <v>596.84943942999996</v>
      </c>
      <c r="AE31" s="843">
        <v>595.09962845000007</v>
      </c>
      <c r="AF31" s="843">
        <v>603.7190030700001</v>
      </c>
      <c r="AG31" s="843">
        <v>608.98057828999993</v>
      </c>
      <c r="AH31" s="843">
        <f>+AH29-AH30</f>
        <v>419.50610461000002</v>
      </c>
      <c r="AI31" s="843">
        <v>435.80103474000003</v>
      </c>
      <c r="AJ31" s="843">
        <v>444.18992660999999</v>
      </c>
      <c r="AK31" s="843">
        <f>+AK29-AK30</f>
        <v>439.66566429</v>
      </c>
      <c r="AL31" s="843">
        <v>397.52624116999999</v>
      </c>
      <c r="AM31" s="843">
        <f>+AM29-AM30</f>
        <v>394.76962980000002</v>
      </c>
      <c r="AN31" s="843">
        <f>+AN29-AN30</f>
        <v>390.00635816000005</v>
      </c>
      <c r="AO31" s="843">
        <f>+AO29-AO30</f>
        <v>393.49662849000003</v>
      </c>
      <c r="AP31" s="843">
        <f>+AP29-AP30</f>
        <v>385.95462194999999</v>
      </c>
      <c r="AQ31" s="843">
        <v>382.74481455</v>
      </c>
      <c r="AR31" s="843">
        <v>358.44608355999998</v>
      </c>
      <c r="AS31" s="843">
        <f>+AS29-AS30</f>
        <v>357.55444452999996</v>
      </c>
      <c r="AT31" s="843">
        <f>+AT29-AT30</f>
        <v>366.06680256999999</v>
      </c>
      <c r="AU31" s="843">
        <v>352.85781612</v>
      </c>
      <c r="AV31" s="843">
        <v>358.13116073999998</v>
      </c>
      <c r="AW31" s="843">
        <v>375.09387088999995</v>
      </c>
      <c r="AX31" s="843">
        <v>370.46296523999996</v>
      </c>
      <c r="AY31" s="843">
        <v>379.82743081999996</v>
      </c>
      <c r="AZ31" s="843">
        <v>376.44789793000001</v>
      </c>
      <c r="BA31" s="843">
        <v>379.51578394999996</v>
      </c>
      <c r="BB31" s="843">
        <v>379.27209742000002</v>
      </c>
      <c r="BC31" s="843">
        <v>373.40035387</v>
      </c>
      <c r="BD31" s="843">
        <f>+BD29-BD30</f>
        <v>368.39199385000001</v>
      </c>
      <c r="BE31" s="843">
        <v>360.17247781999998</v>
      </c>
      <c r="BF31" s="843">
        <v>358.08878874999999</v>
      </c>
      <c r="BG31" s="843">
        <v>342.86985937000003</v>
      </c>
      <c r="BH31" s="886">
        <v>339.38967842</v>
      </c>
      <c r="BI31" s="875">
        <v>314.92598222000004</v>
      </c>
      <c r="BJ31" s="875">
        <v>309.84625294</v>
      </c>
      <c r="BK31" s="875">
        <v>304.03463749999997</v>
      </c>
      <c r="BL31" s="875">
        <v>310.44001922000001</v>
      </c>
      <c r="BM31" s="875">
        <v>315.59992133999998</v>
      </c>
      <c r="BN31" s="875">
        <v>320.16686393000003</v>
      </c>
      <c r="BO31" s="875">
        <v>323.90187068</v>
      </c>
      <c r="BP31" s="875">
        <v>324.65904310000002</v>
      </c>
      <c r="BQ31" s="875">
        <v>324.96499906999998</v>
      </c>
      <c r="BR31" s="875">
        <v>318.90427113999999</v>
      </c>
      <c r="BS31" s="875">
        <v>320.29881886999999</v>
      </c>
      <c r="BT31" s="875">
        <v>324.62979702999996</v>
      </c>
      <c r="BU31" s="875">
        <v>331.32141845000001</v>
      </c>
      <c r="BV31" s="875">
        <v>332.92332324</v>
      </c>
      <c r="BW31" s="875">
        <v>335.12542841000004</v>
      </c>
      <c r="BX31" s="875">
        <v>333.88124506999998</v>
      </c>
      <c r="BY31" s="875">
        <v>332.53639701999998</v>
      </c>
      <c r="BZ31" s="875">
        <v>336.61520373000002</v>
      </c>
      <c r="CA31" s="875">
        <v>339.59781698</v>
      </c>
      <c r="CB31" s="875">
        <v>328.91983098000003</v>
      </c>
      <c r="CC31" s="875">
        <v>324.84932006999998</v>
      </c>
      <c r="CD31" s="875">
        <v>339.86156983999996</v>
      </c>
      <c r="CE31" s="875">
        <f t="shared" ref="CE31:CP31" si="11">+CE29-CE30</f>
        <v>339.54736693000007</v>
      </c>
      <c r="CF31" s="875">
        <f t="shared" si="11"/>
        <v>337.10015088</v>
      </c>
      <c r="CG31" s="875">
        <f t="shared" si="11"/>
        <v>351.86849885000004</v>
      </c>
      <c r="CH31" s="875">
        <f t="shared" si="11"/>
        <v>349.95439497000001</v>
      </c>
      <c r="CI31" s="875">
        <f t="shared" si="11"/>
        <v>344.53760604000001</v>
      </c>
      <c r="CJ31" s="875">
        <f t="shared" si="11"/>
        <v>343.30563205999999</v>
      </c>
      <c r="CK31" s="875">
        <f t="shared" si="11"/>
        <v>391.64748716000003</v>
      </c>
      <c r="CL31" s="875">
        <f t="shared" si="11"/>
        <v>385.73923216000003</v>
      </c>
      <c r="CM31" s="875">
        <f t="shared" si="11"/>
        <v>374.99785687000002</v>
      </c>
      <c r="CN31" s="875">
        <f t="shared" si="11"/>
        <v>371.22369269000001</v>
      </c>
      <c r="CO31" s="875">
        <f t="shared" si="11"/>
        <v>371.38293354000001</v>
      </c>
      <c r="CP31" s="875">
        <f t="shared" si="11"/>
        <v>373.14556683999996</v>
      </c>
      <c r="CQ31" s="875">
        <f>+CQ29-CQ30</f>
        <v>370.59289863999999</v>
      </c>
      <c r="CR31" s="875">
        <f>+CR29-CR30</f>
        <v>375.73972563000001</v>
      </c>
      <c r="CS31" s="875">
        <f>+CS29-CS30</f>
        <v>380.27219739999998</v>
      </c>
      <c r="CT31" s="875">
        <v>380.86157365000003</v>
      </c>
      <c r="CU31" s="875">
        <v>373.44101217999997</v>
      </c>
      <c r="CV31" s="875">
        <v>385.26751560999998</v>
      </c>
      <c r="CW31" s="875">
        <v>379.82125705999999</v>
      </c>
      <c r="CX31" s="875">
        <v>380.47723883999998</v>
      </c>
      <c r="CY31" s="875">
        <v>375.22565127000001</v>
      </c>
      <c r="CZ31" s="875">
        <v>370.30767616000003</v>
      </c>
      <c r="DA31" s="875">
        <v>372.62160438000001</v>
      </c>
      <c r="DB31" s="875">
        <v>375.71301468000001</v>
      </c>
      <c r="DC31" s="875">
        <v>384.65391136</v>
      </c>
      <c r="DD31" s="875">
        <v>379.37517837000001</v>
      </c>
      <c r="DE31" s="875">
        <v>396.55805622000003</v>
      </c>
      <c r="DF31" s="875">
        <v>399.54604916</v>
      </c>
      <c r="DG31" s="875">
        <v>398.31614757</v>
      </c>
      <c r="DH31" s="875">
        <v>401.91817658000002</v>
      </c>
      <c r="DI31" s="875">
        <v>402.7615682</v>
      </c>
      <c r="DJ31" s="875">
        <v>402.72241610999998</v>
      </c>
      <c r="DK31" s="875">
        <v>351.87042099000001</v>
      </c>
      <c r="DL31" s="875">
        <v>347.57980651999998</v>
      </c>
      <c r="DM31" s="875">
        <v>346.79480919999997</v>
      </c>
      <c r="DN31" s="875">
        <v>347.92696654000002</v>
      </c>
      <c r="DO31" s="875">
        <v>342.86802955000002</v>
      </c>
      <c r="DP31" s="875">
        <v>341.77445510000001</v>
      </c>
      <c r="DQ31" s="875">
        <v>336.05094660999998</v>
      </c>
      <c r="DR31" s="875">
        <v>321.50729949999999</v>
      </c>
      <c r="DS31" s="875">
        <v>320.81533501000001</v>
      </c>
      <c r="DT31" s="875">
        <v>312.98413296000001</v>
      </c>
      <c r="DU31" s="875">
        <v>303.09505989000002</v>
      </c>
      <c r="DV31" s="875">
        <v>302.15218596</v>
      </c>
      <c r="DW31" s="875">
        <v>306.33085418000002</v>
      </c>
      <c r="DX31" s="875">
        <v>308.75567599999999</v>
      </c>
      <c r="DY31" s="875">
        <v>313.24308714</v>
      </c>
      <c r="DZ31" s="875">
        <v>330.87652207000002</v>
      </c>
      <c r="EA31" s="875">
        <v>303.70299288000001</v>
      </c>
      <c r="EB31" s="875">
        <v>293.55617884999998</v>
      </c>
      <c r="EC31" s="875">
        <v>293.34378717999999</v>
      </c>
      <c r="ED31" s="875">
        <v>287.85777810000002</v>
      </c>
      <c r="EE31" s="875">
        <v>289.82993311000001</v>
      </c>
      <c r="EF31" s="875">
        <v>278.82143726999999</v>
      </c>
      <c r="EG31" s="875">
        <v>269.80311032999998</v>
      </c>
      <c r="EH31" s="875">
        <v>268.51329308999999</v>
      </c>
      <c r="EI31" s="875">
        <v>267.81003795999999</v>
      </c>
      <c r="EJ31" s="875">
        <v>265.03564856999998</v>
      </c>
      <c r="EK31" s="875">
        <v>293.53129101000002</v>
      </c>
      <c r="EL31" s="875">
        <v>293.04443286999998</v>
      </c>
      <c r="EM31" s="875">
        <v>302.7662977</v>
      </c>
      <c r="EN31" s="875">
        <v>302.66925021999998</v>
      </c>
      <c r="EO31" s="875">
        <v>298.61265015999999</v>
      </c>
      <c r="EP31" s="875">
        <v>290.26687423999999</v>
      </c>
      <c r="EQ31" s="875">
        <v>286.35151209999998</v>
      </c>
      <c r="ER31" s="875">
        <v>281.25028922000001</v>
      </c>
      <c r="ES31" s="875">
        <v>272.27559180999998</v>
      </c>
      <c r="ET31" s="875">
        <v>269.48888913000002</v>
      </c>
      <c r="EU31" s="1924" t="s">
        <v>4085</v>
      </c>
      <c r="EZ31" s="342"/>
    </row>
    <row r="32" spans="1:156" ht="21">
      <c r="A32" s="1954"/>
      <c r="B32" s="851"/>
      <c r="C32" s="851"/>
      <c r="D32" s="851"/>
      <c r="E32" s="851"/>
      <c r="F32" s="851"/>
      <c r="G32" s="851"/>
      <c r="H32" s="851"/>
      <c r="I32" s="851"/>
      <c r="J32" s="851"/>
      <c r="K32" s="851"/>
      <c r="L32" s="851"/>
      <c r="M32" s="843"/>
      <c r="N32" s="843"/>
      <c r="O32" s="843"/>
      <c r="P32" s="843"/>
      <c r="Q32" s="843"/>
      <c r="R32" s="843"/>
      <c r="S32" s="843"/>
      <c r="T32" s="843"/>
      <c r="U32" s="843"/>
      <c r="V32" s="843"/>
      <c r="W32" s="843"/>
      <c r="X32" s="843"/>
      <c r="Y32" s="843"/>
      <c r="Z32" s="843"/>
      <c r="AA32" s="843"/>
      <c r="AB32" s="843"/>
      <c r="AC32" s="843"/>
      <c r="AD32" s="843"/>
      <c r="AE32" s="843"/>
      <c r="AF32" s="843"/>
      <c r="AG32" s="843"/>
      <c r="AH32" s="843"/>
      <c r="AI32" s="843"/>
      <c r="AJ32" s="843"/>
      <c r="AK32" s="843"/>
      <c r="AL32" s="843"/>
      <c r="AM32" s="843"/>
      <c r="AN32" s="843"/>
      <c r="AO32" s="843"/>
      <c r="AP32" s="843"/>
      <c r="AQ32" s="843"/>
      <c r="AR32" s="843"/>
      <c r="AS32" s="843"/>
      <c r="AT32" s="843"/>
      <c r="AU32" s="843"/>
      <c r="AV32" s="843"/>
      <c r="AW32" s="843"/>
      <c r="AX32" s="843"/>
      <c r="AY32" s="843"/>
      <c r="AZ32" s="843"/>
      <c r="BA32" s="843"/>
      <c r="BB32" s="843"/>
      <c r="BC32" s="843"/>
      <c r="BD32" s="843"/>
      <c r="BE32" s="843"/>
      <c r="BF32" s="843"/>
      <c r="BG32" s="843"/>
      <c r="BH32" s="886"/>
      <c r="BI32" s="875"/>
      <c r="BJ32" s="875"/>
      <c r="BK32" s="875"/>
      <c r="BL32" s="875"/>
      <c r="BM32" s="875"/>
      <c r="BN32" s="875"/>
      <c r="BO32" s="875"/>
      <c r="BP32" s="875"/>
      <c r="BQ32" s="875"/>
      <c r="BR32" s="875"/>
      <c r="BS32" s="875"/>
      <c r="BT32" s="875"/>
      <c r="BU32" s="875"/>
      <c r="BV32" s="875"/>
      <c r="BW32" s="875"/>
      <c r="BX32" s="875"/>
      <c r="BY32" s="875"/>
      <c r="BZ32" s="875"/>
      <c r="CA32" s="875"/>
      <c r="CB32" s="875"/>
      <c r="CC32" s="875"/>
      <c r="CD32" s="875"/>
      <c r="CE32" s="875"/>
      <c r="CF32" s="875"/>
      <c r="CG32" s="875"/>
      <c r="CH32" s="875"/>
      <c r="CI32" s="875"/>
      <c r="CJ32" s="875"/>
      <c r="CK32" s="875"/>
      <c r="CL32" s="875"/>
      <c r="CM32" s="875"/>
      <c r="CN32" s="875"/>
      <c r="CO32" s="875"/>
      <c r="CP32" s="875"/>
      <c r="CQ32" s="875"/>
      <c r="CR32" s="875"/>
      <c r="CS32" s="875"/>
      <c r="CT32" s="875"/>
      <c r="CU32" s="875"/>
      <c r="CV32" s="875"/>
      <c r="CW32" s="875"/>
      <c r="CX32" s="875"/>
      <c r="CY32" s="875"/>
      <c r="CZ32" s="875"/>
      <c r="DA32" s="875"/>
      <c r="DB32" s="875"/>
      <c r="DC32" s="875"/>
      <c r="DD32" s="875"/>
      <c r="DE32" s="875"/>
      <c r="DF32" s="875"/>
      <c r="DG32" s="875"/>
      <c r="DH32" s="875"/>
      <c r="DI32" s="875"/>
      <c r="DJ32" s="875"/>
      <c r="DK32" s="875"/>
      <c r="DL32" s="875"/>
      <c r="DM32" s="875"/>
      <c r="DN32" s="875"/>
      <c r="DO32" s="875"/>
      <c r="DP32" s="875"/>
      <c r="DQ32" s="875"/>
      <c r="DR32" s="875"/>
      <c r="DS32" s="875"/>
      <c r="DT32" s="875"/>
      <c r="DU32" s="875"/>
      <c r="DV32" s="875"/>
      <c r="DW32" s="875"/>
      <c r="DX32" s="875"/>
      <c r="DY32" s="875"/>
      <c r="DZ32" s="875"/>
      <c r="EA32" s="875"/>
      <c r="EB32" s="875"/>
      <c r="EC32" s="875"/>
      <c r="ED32" s="875"/>
      <c r="EE32" s="875"/>
      <c r="EF32" s="875"/>
      <c r="EG32" s="875"/>
      <c r="EH32" s="875"/>
      <c r="EI32" s="875"/>
      <c r="EJ32" s="875"/>
      <c r="EK32" s="875"/>
      <c r="EL32" s="875"/>
      <c r="EM32" s="875"/>
      <c r="EN32" s="875"/>
      <c r="EO32" s="875"/>
      <c r="EP32" s="875"/>
      <c r="EQ32" s="875"/>
      <c r="ER32" s="875"/>
      <c r="ES32" s="875"/>
      <c r="ET32" s="875"/>
      <c r="EU32" s="1923"/>
      <c r="EZ32" s="342"/>
    </row>
    <row r="33" spans="1:156" ht="21">
      <c r="A33" s="1952" t="s">
        <v>2757</v>
      </c>
      <c r="B33" s="850">
        <v>45.2952984</v>
      </c>
      <c r="C33" s="850">
        <v>42.270740799999999</v>
      </c>
      <c r="D33" s="850">
        <v>40.844188789999997</v>
      </c>
      <c r="E33" s="850">
        <v>40.367234509999996</v>
      </c>
      <c r="F33" s="850">
        <v>39.513371859999999</v>
      </c>
      <c r="G33" s="850">
        <v>39.48626522</v>
      </c>
      <c r="H33" s="850">
        <v>42.049715710000001</v>
      </c>
      <c r="I33" s="850">
        <v>44.476332879999994</v>
      </c>
      <c r="J33" s="850">
        <v>47.717723390000003</v>
      </c>
      <c r="K33" s="850">
        <v>49.65040363</v>
      </c>
      <c r="L33" s="850">
        <v>46.868320730000001</v>
      </c>
      <c r="M33" s="840">
        <v>46.150121869999992</v>
      </c>
      <c r="N33" s="840">
        <v>45.650042910000003</v>
      </c>
      <c r="O33" s="840">
        <v>44.962995220000003</v>
      </c>
      <c r="P33" s="840">
        <v>45.031478120000003</v>
      </c>
      <c r="Q33" s="840">
        <v>45.441015839999999</v>
      </c>
      <c r="R33" s="840">
        <v>45.186410649999999</v>
      </c>
      <c r="S33" s="840">
        <v>43.445150720000008</v>
      </c>
      <c r="T33" s="840">
        <v>44.16243017</v>
      </c>
      <c r="U33" s="840">
        <v>46.291841479999995</v>
      </c>
      <c r="V33" s="840">
        <v>48.679948459999999</v>
      </c>
      <c r="W33" s="840">
        <v>50.874532710000004</v>
      </c>
      <c r="X33" s="840">
        <v>52.14457737</v>
      </c>
      <c r="Y33" s="840">
        <v>52.020540079999996</v>
      </c>
      <c r="Z33" s="840">
        <v>50.515632839999995</v>
      </c>
      <c r="AA33" s="840">
        <v>287.99205193</v>
      </c>
      <c r="AB33" s="840">
        <v>287.65551739</v>
      </c>
      <c r="AC33" s="840">
        <v>287.70372002999994</v>
      </c>
      <c r="AD33" s="840">
        <v>287.07644017999996</v>
      </c>
      <c r="AE33" s="840">
        <v>292.45493582</v>
      </c>
      <c r="AF33" s="840">
        <v>293.01351210000001</v>
      </c>
      <c r="AG33" s="840">
        <v>289.48161527000002</v>
      </c>
      <c r="AH33" s="840">
        <v>278.66148109</v>
      </c>
      <c r="AI33" s="840">
        <v>178.47294192000001</v>
      </c>
      <c r="AJ33" s="840">
        <v>133.44865913999999</v>
      </c>
      <c r="AK33" s="840">
        <v>36.684359470000004</v>
      </c>
      <c r="AL33" s="840">
        <v>23.618166930000001</v>
      </c>
      <c r="AM33" s="840">
        <v>22.788629239999999</v>
      </c>
      <c r="AN33" s="840">
        <v>22.883619100000001</v>
      </c>
      <c r="AO33" s="840">
        <v>19.06680785</v>
      </c>
      <c r="AP33" s="840">
        <v>18.602693410000001</v>
      </c>
      <c r="AQ33" s="840">
        <v>18.811157269999999</v>
      </c>
      <c r="AR33" s="840">
        <v>19.519437149999998</v>
      </c>
      <c r="AS33" s="840">
        <v>19.887781480000001</v>
      </c>
      <c r="AT33" s="840">
        <f>AT25-AT29</f>
        <v>19.837792340000021</v>
      </c>
      <c r="AU33" s="840">
        <v>18.916989030000025</v>
      </c>
      <c r="AV33" s="840">
        <v>19.757963430000018</v>
      </c>
      <c r="AW33" s="840">
        <v>19.827696689999982</v>
      </c>
      <c r="AX33" s="840">
        <v>20.978709009999989</v>
      </c>
      <c r="AY33" s="840">
        <v>18.831519640000003</v>
      </c>
      <c r="AZ33" s="840">
        <v>25.294788409999999</v>
      </c>
      <c r="BA33" s="840">
        <v>25.225453769999998</v>
      </c>
      <c r="BB33" s="840">
        <v>17.50223003</v>
      </c>
      <c r="BC33" s="840">
        <v>22.491211479999997</v>
      </c>
      <c r="BD33" s="840">
        <v>44.009632759999995</v>
      </c>
      <c r="BE33" s="840">
        <v>63.271064439999996</v>
      </c>
      <c r="BF33" s="840">
        <v>62.983599930000025</v>
      </c>
      <c r="BG33" s="840">
        <v>62.34244640999998</v>
      </c>
      <c r="BH33" s="885">
        <v>64.092049860000031</v>
      </c>
      <c r="BI33" s="874">
        <v>66.728372539999953</v>
      </c>
      <c r="BJ33" s="874">
        <v>67.663736139999969</v>
      </c>
      <c r="BK33" s="874">
        <v>67.413882960000024</v>
      </c>
      <c r="BL33" s="874">
        <v>74.66923644000002</v>
      </c>
      <c r="BM33" s="874">
        <v>78.76142243999999</v>
      </c>
      <c r="BN33" s="874">
        <v>76.833521630000007</v>
      </c>
      <c r="BO33" s="874">
        <v>79.715617460000033</v>
      </c>
      <c r="BP33" s="874">
        <v>84.961540950000028</v>
      </c>
      <c r="BQ33" s="874">
        <v>82.295699509999963</v>
      </c>
      <c r="BR33" s="874">
        <v>86.529778340000007</v>
      </c>
      <c r="BS33" s="874">
        <v>83.791933669999992</v>
      </c>
      <c r="BT33" s="874">
        <v>81.017402489999995</v>
      </c>
      <c r="BU33" s="874">
        <v>74.314803069999982</v>
      </c>
      <c r="BV33" s="874">
        <v>73.933994799999994</v>
      </c>
      <c r="BW33" s="874">
        <v>70.175959239999997</v>
      </c>
      <c r="BX33" s="874">
        <v>81.190277809999998</v>
      </c>
      <c r="BY33" s="874">
        <v>87.162390870000024</v>
      </c>
      <c r="BZ33" s="874">
        <v>100.99485307999998</v>
      </c>
      <c r="CA33" s="874">
        <v>101.38670948999999</v>
      </c>
      <c r="CB33" s="874">
        <v>104.00961403000002</v>
      </c>
      <c r="CC33" s="874">
        <v>114.91751281000001</v>
      </c>
      <c r="CD33" s="874">
        <v>111.50047247000001</v>
      </c>
      <c r="CE33" s="874">
        <v>111.14541869</v>
      </c>
      <c r="CF33" s="874">
        <v>113.36853607</v>
      </c>
      <c r="CG33" s="874">
        <v>116.44862553</v>
      </c>
      <c r="CH33" s="874">
        <v>116.42728821</v>
      </c>
      <c r="CI33" s="874">
        <v>115.32051994</v>
      </c>
      <c r="CJ33" s="874">
        <v>114.61156936</v>
      </c>
      <c r="CK33" s="874">
        <v>119.07092395999999</v>
      </c>
      <c r="CL33" s="874">
        <v>118.61027473999999</v>
      </c>
      <c r="CM33" s="874">
        <v>124.23247505000001</v>
      </c>
      <c r="CN33" s="874">
        <v>126.13793170999999</v>
      </c>
      <c r="CO33" s="874">
        <v>126.31152204</v>
      </c>
      <c r="CP33" s="874">
        <v>124.92556203000001</v>
      </c>
      <c r="CQ33" s="874">
        <v>116.23334484</v>
      </c>
      <c r="CR33" s="874">
        <v>115.33939936</v>
      </c>
      <c r="CS33" s="874">
        <v>114.28141114000002</v>
      </c>
      <c r="CT33" s="874">
        <v>119.212879</v>
      </c>
      <c r="CU33" s="874">
        <v>121.08834236</v>
      </c>
      <c r="CV33" s="874">
        <v>120.1076231</v>
      </c>
      <c r="CW33" s="874">
        <v>119.19678483</v>
      </c>
      <c r="CX33" s="874">
        <v>122.20176729000001</v>
      </c>
      <c r="CY33" s="874">
        <v>129.63916323000001</v>
      </c>
      <c r="CZ33" s="874">
        <v>130.83754224</v>
      </c>
      <c r="DA33" s="874">
        <v>137.28143227000001</v>
      </c>
      <c r="DB33" s="874">
        <v>138.47932795</v>
      </c>
      <c r="DC33" s="874">
        <v>128.18399922</v>
      </c>
      <c r="DD33" s="874">
        <v>133.15363715000001</v>
      </c>
      <c r="DE33" s="874">
        <v>131.73284201999999</v>
      </c>
      <c r="DF33" s="874">
        <v>130.51121415</v>
      </c>
      <c r="DG33" s="874">
        <v>129.48610730999999</v>
      </c>
      <c r="DH33" s="874">
        <v>133.18379847</v>
      </c>
      <c r="DI33" s="874">
        <v>132.41542691000001</v>
      </c>
      <c r="DJ33" s="874">
        <v>132.05701733000001</v>
      </c>
      <c r="DK33" s="874">
        <v>131.34732785</v>
      </c>
      <c r="DL33" s="874">
        <v>133.62661360999999</v>
      </c>
      <c r="DM33" s="874">
        <v>134.46855941000001</v>
      </c>
      <c r="DN33" s="874">
        <v>133.24438394000001</v>
      </c>
      <c r="DO33" s="874">
        <v>136.19251575000001</v>
      </c>
      <c r="DP33" s="874">
        <v>134.79738051000001</v>
      </c>
      <c r="DQ33" s="874">
        <v>127.42200758</v>
      </c>
      <c r="DR33" s="874">
        <v>128.67074615000001</v>
      </c>
      <c r="DS33" s="874">
        <v>127.9746281</v>
      </c>
      <c r="DT33" s="874">
        <v>125.96693002000001</v>
      </c>
      <c r="DU33" s="874">
        <v>123.40122076</v>
      </c>
      <c r="DV33" s="874">
        <v>113.80096571</v>
      </c>
      <c r="DW33" s="874">
        <v>113.20032242000001</v>
      </c>
      <c r="DX33" s="874">
        <v>120.31566110999999</v>
      </c>
      <c r="DY33" s="874">
        <v>120.34214068</v>
      </c>
      <c r="DZ33" s="874">
        <v>120.46825764</v>
      </c>
      <c r="EA33" s="874">
        <v>119.11155838000001</v>
      </c>
      <c r="EB33" s="874">
        <v>130.94084530000001</v>
      </c>
      <c r="EC33" s="874">
        <v>132.81043206000001</v>
      </c>
      <c r="ED33" s="874">
        <v>130.04792014</v>
      </c>
      <c r="EE33" s="874">
        <v>128.65907612000001</v>
      </c>
      <c r="EF33" s="874">
        <v>126.18188874000001</v>
      </c>
      <c r="EG33" s="874">
        <v>115.21071254</v>
      </c>
      <c r="EH33" s="874">
        <v>110.79117739</v>
      </c>
      <c r="EI33" s="874">
        <v>109.61970835</v>
      </c>
      <c r="EJ33" s="874">
        <v>103.77830178000001</v>
      </c>
      <c r="EK33" s="874">
        <v>107.50865054</v>
      </c>
      <c r="EL33" s="874">
        <v>107.65510295999999</v>
      </c>
      <c r="EM33" s="874">
        <v>102.63364335</v>
      </c>
      <c r="EN33" s="874">
        <v>100.02996016</v>
      </c>
      <c r="EO33" s="874">
        <v>107.12465087</v>
      </c>
      <c r="EP33" s="874">
        <v>104.19807109</v>
      </c>
      <c r="EQ33" s="874">
        <v>101.34690509000001</v>
      </c>
      <c r="ER33" s="874">
        <v>99.677955819999994</v>
      </c>
      <c r="ES33" s="874">
        <v>93.750705440000004</v>
      </c>
      <c r="ET33" s="874">
        <v>91.865953779999998</v>
      </c>
      <c r="EU33" s="1922" t="s">
        <v>4087</v>
      </c>
      <c r="EZ33" s="342"/>
    </row>
    <row r="34" spans="1:156" ht="21">
      <c r="A34" s="1953" t="s">
        <v>1974</v>
      </c>
      <c r="B34" s="851">
        <v>0</v>
      </c>
      <c r="C34" s="851">
        <v>0</v>
      </c>
      <c r="D34" s="851">
        <v>0</v>
      </c>
      <c r="E34" s="851">
        <v>0</v>
      </c>
      <c r="F34" s="851">
        <v>0</v>
      </c>
      <c r="G34" s="851">
        <v>0</v>
      </c>
      <c r="H34" s="851">
        <v>2.4876494999999998</v>
      </c>
      <c r="I34" s="851">
        <v>2.4873324000000001</v>
      </c>
      <c r="J34" s="851">
        <v>2.4876494999999998</v>
      </c>
      <c r="K34" s="851">
        <v>2.4876494999999998</v>
      </c>
      <c r="L34" s="851">
        <v>2.4873324000000001</v>
      </c>
      <c r="M34" s="843">
        <v>2.4876494999999998</v>
      </c>
      <c r="N34" s="843">
        <v>2.4866982000000002</v>
      </c>
      <c r="O34" s="843">
        <v>2.4873324000000001</v>
      </c>
      <c r="P34" s="843">
        <v>2.4870152999999999</v>
      </c>
      <c r="Q34" s="843">
        <v>2.4870152999999999</v>
      </c>
      <c r="R34" s="843">
        <v>2.4873324000000001</v>
      </c>
      <c r="S34" s="843">
        <v>2.4870152999999999</v>
      </c>
      <c r="T34" s="843">
        <v>2.4866982000000002</v>
      </c>
      <c r="U34" s="843">
        <v>2.4873324000000001</v>
      </c>
      <c r="V34" s="843">
        <v>2.4873324000000001</v>
      </c>
      <c r="W34" s="843">
        <v>2.4873324000000001</v>
      </c>
      <c r="X34" s="843">
        <v>2.4873324000000001</v>
      </c>
      <c r="Y34" s="843">
        <v>2.4873324000000001</v>
      </c>
      <c r="Z34" s="843">
        <v>2.4873324000000001</v>
      </c>
      <c r="AA34" s="843">
        <v>3.3289157999999999</v>
      </c>
      <c r="AB34" s="843">
        <v>3.3247935000000002</v>
      </c>
      <c r="AC34" s="843">
        <v>3.3254277000000001</v>
      </c>
      <c r="AD34" s="843">
        <v>3.3276474</v>
      </c>
      <c r="AE34" s="843">
        <v>3.3241592999999998</v>
      </c>
      <c r="AF34" s="843">
        <v>3.3279645000000002</v>
      </c>
      <c r="AG34" s="843">
        <v>3.3232080000000002</v>
      </c>
      <c r="AH34" s="843">
        <v>3.3232080000000002</v>
      </c>
      <c r="AI34" s="843">
        <v>3.3273302999999999</v>
      </c>
      <c r="AJ34" s="843">
        <v>3.3333552000000002</v>
      </c>
      <c r="AK34" s="843">
        <v>4.9448574000000001</v>
      </c>
      <c r="AL34" s="843">
        <v>0</v>
      </c>
      <c r="AM34" s="843">
        <v>0</v>
      </c>
      <c r="AN34" s="843">
        <v>0</v>
      </c>
      <c r="AO34" s="843">
        <v>0</v>
      </c>
      <c r="AP34" s="843">
        <v>0</v>
      </c>
      <c r="AQ34" s="843">
        <v>0</v>
      </c>
      <c r="AR34" s="843">
        <v>0</v>
      </c>
      <c r="AS34" s="843">
        <v>0</v>
      </c>
      <c r="AT34" s="843">
        <f>AT26-AT30</f>
        <v>0</v>
      </c>
      <c r="AU34" s="843">
        <v>0</v>
      </c>
      <c r="AV34" s="843">
        <v>0</v>
      </c>
      <c r="AW34" s="843">
        <v>0</v>
      </c>
      <c r="AX34" s="843">
        <v>0</v>
      </c>
      <c r="AY34" s="843">
        <v>0</v>
      </c>
      <c r="AZ34" s="843">
        <v>0</v>
      </c>
      <c r="BA34" s="843">
        <v>0</v>
      </c>
      <c r="BB34" s="843">
        <v>0</v>
      </c>
      <c r="BC34" s="843">
        <v>0</v>
      </c>
      <c r="BD34" s="843">
        <v>0</v>
      </c>
      <c r="BE34" s="843">
        <v>0</v>
      </c>
      <c r="BF34" s="843">
        <v>0</v>
      </c>
      <c r="BG34" s="843">
        <v>0</v>
      </c>
      <c r="BH34" s="886">
        <v>0</v>
      </c>
      <c r="BI34" s="875">
        <v>0</v>
      </c>
      <c r="BJ34" s="875">
        <v>0</v>
      </c>
      <c r="BK34" s="875">
        <v>0</v>
      </c>
      <c r="BL34" s="875">
        <v>0</v>
      </c>
      <c r="BM34" s="875">
        <v>0</v>
      </c>
      <c r="BN34" s="875">
        <v>0</v>
      </c>
      <c r="BO34" s="875">
        <v>0</v>
      </c>
      <c r="BP34" s="875">
        <v>0</v>
      </c>
      <c r="BQ34" s="875">
        <v>0</v>
      </c>
      <c r="BR34" s="875">
        <v>0</v>
      </c>
      <c r="BS34" s="875">
        <v>0</v>
      </c>
      <c r="BT34" s="875">
        <v>0</v>
      </c>
      <c r="BU34" s="875">
        <v>0</v>
      </c>
      <c r="BV34" s="875">
        <v>0</v>
      </c>
      <c r="BW34" s="875">
        <v>0</v>
      </c>
      <c r="BX34" s="875">
        <v>0</v>
      </c>
      <c r="BY34" s="875">
        <v>0</v>
      </c>
      <c r="BZ34" s="875">
        <v>0</v>
      </c>
      <c r="CA34" s="875">
        <v>0</v>
      </c>
      <c r="CB34" s="875">
        <v>0</v>
      </c>
      <c r="CC34" s="875">
        <v>0</v>
      </c>
      <c r="CD34" s="875">
        <v>0</v>
      </c>
      <c r="CE34" s="875">
        <v>0</v>
      </c>
      <c r="CF34" s="875">
        <v>0</v>
      </c>
      <c r="CG34" s="875">
        <v>0</v>
      </c>
      <c r="CH34" s="875">
        <v>0</v>
      </c>
      <c r="CI34" s="875">
        <v>0</v>
      </c>
      <c r="CJ34" s="875">
        <v>0</v>
      </c>
      <c r="CK34" s="875">
        <v>0</v>
      </c>
      <c r="CL34" s="875">
        <v>0</v>
      </c>
      <c r="CM34" s="875">
        <v>0</v>
      </c>
      <c r="CN34" s="875">
        <v>0</v>
      </c>
      <c r="CO34" s="875">
        <v>0</v>
      </c>
      <c r="CP34" s="875">
        <v>0</v>
      </c>
      <c r="CQ34" s="875">
        <v>0</v>
      </c>
      <c r="CR34" s="875">
        <v>0</v>
      </c>
      <c r="CS34" s="875">
        <v>0</v>
      </c>
      <c r="CT34" s="875">
        <v>4.25</v>
      </c>
      <c r="CU34" s="875">
        <v>0</v>
      </c>
      <c r="CV34" s="875">
        <v>0</v>
      </c>
      <c r="CW34" s="875">
        <v>0</v>
      </c>
      <c r="CX34" s="875">
        <v>0</v>
      </c>
      <c r="CY34" s="875">
        <v>0</v>
      </c>
      <c r="CZ34" s="875">
        <v>0</v>
      </c>
      <c r="DA34" s="875">
        <v>0</v>
      </c>
      <c r="DB34" s="875">
        <v>0</v>
      </c>
      <c r="DC34" s="875">
        <v>0</v>
      </c>
      <c r="DD34" s="875">
        <v>0</v>
      </c>
      <c r="DE34" s="875">
        <v>0</v>
      </c>
      <c r="DF34" s="875">
        <v>0</v>
      </c>
      <c r="DG34" s="875">
        <v>0</v>
      </c>
      <c r="DH34" s="875">
        <v>0</v>
      </c>
      <c r="DI34" s="875">
        <v>0</v>
      </c>
      <c r="DJ34" s="875">
        <v>0</v>
      </c>
      <c r="DK34" s="875">
        <v>0</v>
      </c>
      <c r="DL34" s="875">
        <v>0</v>
      </c>
      <c r="DM34" s="875">
        <v>0</v>
      </c>
      <c r="DN34" s="875">
        <v>0</v>
      </c>
      <c r="DO34" s="875">
        <v>5.6660000000000003E-5</v>
      </c>
      <c r="DP34" s="875">
        <v>5.6660000000000003E-5</v>
      </c>
      <c r="DQ34" s="875">
        <v>0</v>
      </c>
      <c r="DR34" s="875">
        <v>0</v>
      </c>
      <c r="DS34" s="875">
        <v>0</v>
      </c>
      <c r="DT34" s="875">
        <v>0</v>
      </c>
      <c r="DU34" s="875">
        <v>0</v>
      </c>
      <c r="DV34" s="875">
        <v>0</v>
      </c>
      <c r="DW34" s="875">
        <v>0</v>
      </c>
      <c r="DX34" s="875">
        <v>0</v>
      </c>
      <c r="DY34" s="875">
        <v>0</v>
      </c>
      <c r="DZ34" s="875">
        <v>0</v>
      </c>
      <c r="EA34" s="875">
        <v>0</v>
      </c>
      <c r="EB34" s="875">
        <v>13.396000000000001</v>
      </c>
      <c r="EC34" s="875">
        <v>15.096</v>
      </c>
      <c r="ED34" s="875">
        <v>15.096</v>
      </c>
      <c r="EE34" s="875">
        <v>15.096</v>
      </c>
      <c r="EF34" s="875">
        <v>15.096</v>
      </c>
      <c r="EG34" s="875">
        <v>13.077658</v>
      </c>
      <c r="EH34" s="875">
        <v>9.6922837000000008</v>
      </c>
      <c r="EI34" s="875">
        <v>7.4830490899999997</v>
      </c>
      <c r="EJ34" s="875">
        <v>0</v>
      </c>
      <c r="EK34" s="875">
        <v>0</v>
      </c>
      <c r="EL34" s="875">
        <v>0</v>
      </c>
      <c r="EM34" s="875">
        <v>0</v>
      </c>
      <c r="EN34" s="875">
        <v>0</v>
      </c>
      <c r="EO34" s="875">
        <v>0</v>
      </c>
      <c r="EP34" s="875">
        <v>0</v>
      </c>
      <c r="EQ34" s="875">
        <v>0</v>
      </c>
      <c r="ER34" s="875">
        <v>0</v>
      </c>
      <c r="ES34" s="875">
        <v>0</v>
      </c>
      <c r="ET34" s="875">
        <v>0</v>
      </c>
      <c r="EU34" s="1924" t="s">
        <v>4086</v>
      </c>
      <c r="EZ34" s="342"/>
    </row>
    <row r="35" spans="1:156" ht="21">
      <c r="A35" s="1955" t="s">
        <v>1975</v>
      </c>
      <c r="B35" s="852">
        <f>+B33-B34</f>
        <v>45.2952984</v>
      </c>
      <c r="C35" s="852">
        <f t="shared" ref="C35:V35" si="12">+C33-C34</f>
        <v>42.270740799999999</v>
      </c>
      <c r="D35" s="852">
        <f t="shared" si="12"/>
        <v>40.844188789999997</v>
      </c>
      <c r="E35" s="852">
        <f t="shared" si="12"/>
        <v>40.367234509999996</v>
      </c>
      <c r="F35" s="852">
        <f t="shared" si="12"/>
        <v>39.513371859999999</v>
      </c>
      <c r="G35" s="852">
        <f t="shared" si="12"/>
        <v>39.48626522</v>
      </c>
      <c r="H35" s="852">
        <f t="shared" si="12"/>
        <v>39.562066209999998</v>
      </c>
      <c r="I35" s="852">
        <f t="shared" si="12"/>
        <v>41.989000479999994</v>
      </c>
      <c r="J35" s="852">
        <f t="shared" si="12"/>
        <v>45.23007389</v>
      </c>
      <c r="K35" s="852">
        <f t="shared" si="12"/>
        <v>47.162754129999996</v>
      </c>
      <c r="L35" s="852">
        <f t="shared" si="12"/>
        <v>44.380988330000001</v>
      </c>
      <c r="M35" s="846">
        <f t="shared" si="12"/>
        <v>43.662472369999989</v>
      </c>
      <c r="N35" s="853">
        <f t="shared" si="12"/>
        <v>43.163344710000004</v>
      </c>
      <c r="O35" s="853">
        <f t="shared" si="12"/>
        <v>42.475662820000004</v>
      </c>
      <c r="P35" s="853">
        <f t="shared" si="12"/>
        <v>42.54446282</v>
      </c>
      <c r="Q35" s="853">
        <f t="shared" si="12"/>
        <v>42.954000539999996</v>
      </c>
      <c r="R35" s="853">
        <f t="shared" si="12"/>
        <v>42.699078249999999</v>
      </c>
      <c r="S35" s="853">
        <f t="shared" si="12"/>
        <v>40.958135420000005</v>
      </c>
      <c r="T35" s="853">
        <f t="shared" si="12"/>
        <v>41.675731970000001</v>
      </c>
      <c r="U35" s="853">
        <f t="shared" si="12"/>
        <v>43.804509079999995</v>
      </c>
      <c r="V35" s="853">
        <f t="shared" si="12"/>
        <v>46.192616059999999</v>
      </c>
      <c r="W35" s="853">
        <v>48.387200310000004</v>
      </c>
      <c r="X35" s="853">
        <v>49.657244970000001</v>
      </c>
      <c r="Y35" s="846">
        <v>49.533207679999997</v>
      </c>
      <c r="Z35" s="853">
        <v>48.028300439999995</v>
      </c>
      <c r="AA35" s="853">
        <v>284.66313613</v>
      </c>
      <c r="AB35" s="846">
        <v>284.33072389</v>
      </c>
      <c r="AC35" s="846">
        <v>284.37829232999997</v>
      </c>
      <c r="AD35" s="846">
        <v>283.74879277999997</v>
      </c>
      <c r="AE35" s="846">
        <v>289.13077651999998</v>
      </c>
      <c r="AF35" s="846">
        <v>289.68554760000001</v>
      </c>
      <c r="AG35" s="846">
        <v>286.15840727</v>
      </c>
      <c r="AH35" s="846">
        <f>+AH33-AH34</f>
        <v>275.33827308999997</v>
      </c>
      <c r="AI35" s="846">
        <v>175.14561162000001</v>
      </c>
      <c r="AJ35" s="846">
        <v>130.11530393999999</v>
      </c>
      <c r="AK35" s="846">
        <f>+AK33-AK34</f>
        <v>31.739502070000004</v>
      </c>
      <c r="AL35" s="846">
        <v>23.618166930000001</v>
      </c>
      <c r="AM35" s="846">
        <f>+AM33-AM34</f>
        <v>22.788629239999999</v>
      </c>
      <c r="AN35" s="846">
        <f>+AN33-AN34</f>
        <v>22.883619100000001</v>
      </c>
      <c r="AO35" s="846">
        <f>+AO33-AO34</f>
        <v>19.06680785</v>
      </c>
      <c r="AP35" s="846">
        <f>+AP33-AP34</f>
        <v>18.602693410000001</v>
      </c>
      <c r="AQ35" s="846">
        <v>18.811157269999999</v>
      </c>
      <c r="AR35" s="846">
        <v>19.519437149999998</v>
      </c>
      <c r="AS35" s="846">
        <f>+AS33-AS34</f>
        <v>19.887781480000001</v>
      </c>
      <c r="AT35" s="846">
        <f>AT27-AT31</f>
        <v>19.837792340000021</v>
      </c>
      <c r="AU35" s="846">
        <v>18.916989030000025</v>
      </c>
      <c r="AV35" s="846">
        <v>19.757963430000018</v>
      </c>
      <c r="AW35" s="846">
        <v>19.827696689999982</v>
      </c>
      <c r="AX35" s="846">
        <v>20.978709009999989</v>
      </c>
      <c r="AY35" s="846">
        <v>18.831519640000003</v>
      </c>
      <c r="AZ35" s="846">
        <v>25.294788409999999</v>
      </c>
      <c r="BA35" s="846">
        <v>25.225453769999998</v>
      </c>
      <c r="BB35" s="846">
        <v>17.50223003</v>
      </c>
      <c r="BC35" s="846">
        <v>22.491211479999997</v>
      </c>
      <c r="BD35" s="846">
        <f>+BD33-BD34</f>
        <v>44.009632759999995</v>
      </c>
      <c r="BE35" s="846">
        <v>63.271064439999996</v>
      </c>
      <c r="BF35" s="846">
        <v>62.983599930000025</v>
      </c>
      <c r="BG35" s="846">
        <v>62.34244640999998</v>
      </c>
      <c r="BH35" s="887">
        <v>64.092049860000031</v>
      </c>
      <c r="BI35" s="877">
        <v>66.728372539999953</v>
      </c>
      <c r="BJ35" s="877">
        <v>67.663736139999969</v>
      </c>
      <c r="BK35" s="877">
        <v>67.413882960000024</v>
      </c>
      <c r="BL35" s="877">
        <v>74.66923644000002</v>
      </c>
      <c r="BM35" s="877">
        <v>78.76142243999999</v>
      </c>
      <c r="BN35" s="877">
        <v>76.833521630000007</v>
      </c>
      <c r="BO35" s="877">
        <v>79.715617460000033</v>
      </c>
      <c r="BP35" s="877">
        <v>84.961540950000028</v>
      </c>
      <c r="BQ35" s="877">
        <v>82.295699509999963</v>
      </c>
      <c r="BR35" s="877">
        <v>86.529778340000007</v>
      </c>
      <c r="BS35" s="877">
        <v>83.791933669999992</v>
      </c>
      <c r="BT35" s="877">
        <v>81.017402489999995</v>
      </c>
      <c r="BU35" s="877">
        <v>74.314803069999982</v>
      </c>
      <c r="BV35" s="877">
        <v>73.933994799999994</v>
      </c>
      <c r="BW35" s="877">
        <v>70.175959239999997</v>
      </c>
      <c r="BX35" s="877">
        <v>81.190277809999998</v>
      </c>
      <c r="BY35" s="877">
        <v>87.162390870000024</v>
      </c>
      <c r="BZ35" s="877">
        <v>100.99485307999998</v>
      </c>
      <c r="CA35" s="877">
        <v>101.38670948999999</v>
      </c>
      <c r="CB35" s="877">
        <v>104.00961403000002</v>
      </c>
      <c r="CC35" s="877">
        <v>114.91751281000001</v>
      </c>
      <c r="CD35" s="877">
        <v>111.50047247000001</v>
      </c>
      <c r="CE35" s="877">
        <f t="shared" ref="CE35:CP35" si="13">+CE33-CE34</f>
        <v>111.14541869</v>
      </c>
      <c r="CF35" s="877">
        <f t="shared" si="13"/>
        <v>113.36853607</v>
      </c>
      <c r="CG35" s="877">
        <f t="shared" si="13"/>
        <v>116.44862553</v>
      </c>
      <c r="CH35" s="877">
        <f t="shared" si="13"/>
        <v>116.42728821</v>
      </c>
      <c r="CI35" s="877">
        <f t="shared" si="13"/>
        <v>115.32051994</v>
      </c>
      <c r="CJ35" s="877">
        <f t="shared" si="13"/>
        <v>114.61156936</v>
      </c>
      <c r="CK35" s="877">
        <f t="shared" si="13"/>
        <v>119.07092395999999</v>
      </c>
      <c r="CL35" s="877">
        <f t="shared" si="13"/>
        <v>118.61027473999999</v>
      </c>
      <c r="CM35" s="877">
        <f t="shared" si="13"/>
        <v>124.23247505000001</v>
      </c>
      <c r="CN35" s="877">
        <f t="shared" si="13"/>
        <v>126.13793170999999</v>
      </c>
      <c r="CO35" s="877">
        <f t="shared" si="13"/>
        <v>126.31152204</v>
      </c>
      <c r="CP35" s="877">
        <f t="shared" si="13"/>
        <v>124.92556203000001</v>
      </c>
      <c r="CQ35" s="877">
        <f>+CQ33-CQ34</f>
        <v>116.23334484</v>
      </c>
      <c r="CR35" s="877">
        <f>+CR33-CR34</f>
        <v>115.33939936</v>
      </c>
      <c r="CS35" s="877">
        <f>+CS33-CS34</f>
        <v>114.28141114000002</v>
      </c>
      <c r="CT35" s="877">
        <v>114.962879</v>
      </c>
      <c r="CU35" s="877">
        <v>121.08834236</v>
      </c>
      <c r="CV35" s="877">
        <v>120.1076231</v>
      </c>
      <c r="CW35" s="877">
        <v>119.19678483</v>
      </c>
      <c r="CX35" s="877">
        <v>122.20176729000001</v>
      </c>
      <c r="CY35" s="877">
        <v>129.63916323000001</v>
      </c>
      <c r="CZ35" s="877">
        <v>130.83754224</v>
      </c>
      <c r="DA35" s="877">
        <v>137.28143227000001</v>
      </c>
      <c r="DB35" s="877">
        <v>138.47932795</v>
      </c>
      <c r="DC35" s="877">
        <v>128.18399922</v>
      </c>
      <c r="DD35" s="877">
        <v>133.15363715000001</v>
      </c>
      <c r="DE35" s="877">
        <v>131.73284201999999</v>
      </c>
      <c r="DF35" s="877">
        <v>130.51121415</v>
      </c>
      <c r="DG35" s="877">
        <v>129.48610730999999</v>
      </c>
      <c r="DH35" s="877">
        <v>133.18379847</v>
      </c>
      <c r="DI35" s="877">
        <v>132.41542691000001</v>
      </c>
      <c r="DJ35" s="877">
        <v>132.05701733000001</v>
      </c>
      <c r="DK35" s="877">
        <v>131.34732785</v>
      </c>
      <c r="DL35" s="877">
        <v>133.62661360999999</v>
      </c>
      <c r="DM35" s="877">
        <v>134.46855941000001</v>
      </c>
      <c r="DN35" s="877">
        <v>133.24438394000001</v>
      </c>
      <c r="DO35" s="877">
        <v>136.19245909</v>
      </c>
      <c r="DP35" s="877">
        <v>134.79732385</v>
      </c>
      <c r="DQ35" s="877">
        <v>127.42200758</v>
      </c>
      <c r="DR35" s="877">
        <v>128.67074615000001</v>
      </c>
      <c r="DS35" s="877">
        <v>127.9746281</v>
      </c>
      <c r="DT35" s="877">
        <v>125.96693002000001</v>
      </c>
      <c r="DU35" s="877">
        <v>123.40122076</v>
      </c>
      <c r="DV35" s="877">
        <v>113.80096571</v>
      </c>
      <c r="DW35" s="877">
        <v>113.20032242000001</v>
      </c>
      <c r="DX35" s="877">
        <v>120.31566110999999</v>
      </c>
      <c r="DY35" s="877">
        <v>120.34214068</v>
      </c>
      <c r="DZ35" s="877">
        <v>120.46825764</v>
      </c>
      <c r="EA35" s="877">
        <v>119.11155838000001</v>
      </c>
      <c r="EB35" s="877">
        <v>117.54484530000001</v>
      </c>
      <c r="EC35" s="877">
        <v>117.71443205999999</v>
      </c>
      <c r="ED35" s="877">
        <v>114.95192014</v>
      </c>
      <c r="EE35" s="877">
        <v>113.56307612000001</v>
      </c>
      <c r="EF35" s="877">
        <v>111.08588874</v>
      </c>
      <c r="EG35" s="877">
        <v>102.13305454</v>
      </c>
      <c r="EH35" s="877">
        <v>101.09889369</v>
      </c>
      <c r="EI35" s="877">
        <v>102.13665926</v>
      </c>
      <c r="EJ35" s="877">
        <v>103.77830178000001</v>
      </c>
      <c r="EK35" s="877">
        <v>107.50865054</v>
      </c>
      <c r="EL35" s="877">
        <v>107.65510295999999</v>
      </c>
      <c r="EM35" s="877">
        <v>102.63364335</v>
      </c>
      <c r="EN35" s="877">
        <v>100.02996016</v>
      </c>
      <c r="EO35" s="877">
        <v>107.12465087</v>
      </c>
      <c r="EP35" s="877">
        <v>104.19807109</v>
      </c>
      <c r="EQ35" s="877">
        <v>101.34690509000001</v>
      </c>
      <c r="ER35" s="877">
        <v>99.677955819999994</v>
      </c>
      <c r="ES35" s="877">
        <v>93.750705440000004</v>
      </c>
      <c r="ET35" s="877">
        <v>91.865953779999998</v>
      </c>
      <c r="EU35" s="1925" t="s">
        <v>4085</v>
      </c>
      <c r="EZ35" s="342"/>
    </row>
    <row r="36" spans="1:156" s="792" customFormat="1" ht="39" customHeight="1">
      <c r="A36" s="2479" t="s">
        <v>3295</v>
      </c>
      <c r="B36" s="2479"/>
      <c r="C36" s="2479"/>
      <c r="D36" s="2479"/>
      <c r="E36" s="2479"/>
      <c r="F36" s="2479"/>
      <c r="G36" s="2479"/>
      <c r="H36" s="2479"/>
      <c r="I36" s="2479"/>
      <c r="J36" s="2479"/>
      <c r="K36" s="2479"/>
      <c r="L36" s="2479"/>
      <c r="M36" s="2479"/>
      <c r="N36" s="2479"/>
      <c r="O36" s="2479"/>
      <c r="P36" s="2479"/>
      <c r="Q36" s="2479"/>
      <c r="R36" s="2479"/>
      <c r="S36" s="2479"/>
      <c r="T36" s="2479"/>
      <c r="U36" s="2479"/>
      <c r="V36" s="2479"/>
      <c r="W36" s="2479"/>
      <c r="X36" s="2479"/>
      <c r="Y36" s="2479"/>
      <c r="Z36" s="2479"/>
      <c r="AA36" s="2479"/>
      <c r="AB36" s="2479"/>
      <c r="AC36" s="2479"/>
      <c r="AD36" s="2479"/>
      <c r="AE36" s="2479"/>
      <c r="AF36" s="2479"/>
      <c r="AG36" s="2479"/>
      <c r="AH36" s="2479"/>
      <c r="AI36" s="2479"/>
      <c r="AJ36" s="2479"/>
      <c r="AK36" s="2479"/>
      <c r="AL36" s="2479"/>
      <c r="AM36" s="2479"/>
      <c r="AN36" s="2479"/>
      <c r="AO36" s="2479"/>
      <c r="AP36" s="2479"/>
      <c r="AQ36" s="2479"/>
      <c r="AR36" s="2479"/>
      <c r="AS36" s="2479"/>
      <c r="AT36" s="2479"/>
      <c r="AU36" s="2479"/>
      <c r="AV36" s="2479"/>
      <c r="AW36" s="2479"/>
      <c r="AX36" s="2479"/>
      <c r="AY36" s="2479"/>
      <c r="AZ36" s="2479"/>
      <c r="BA36" s="2479"/>
      <c r="BB36" s="2479"/>
      <c r="BC36" s="2479"/>
      <c r="BD36" s="2479"/>
      <c r="BE36" s="2479"/>
      <c r="BF36" s="2479"/>
      <c r="BG36" s="2479"/>
      <c r="BH36" s="2479"/>
      <c r="BI36" s="2479"/>
      <c r="BJ36" s="2479"/>
      <c r="BK36" s="2479"/>
      <c r="BL36" s="2479"/>
      <c r="BM36" s="2479"/>
      <c r="BN36" s="2479"/>
      <c r="BO36" s="2479"/>
      <c r="BP36" s="2479"/>
      <c r="BQ36" s="2479"/>
      <c r="BR36" s="2479"/>
      <c r="BS36" s="2479"/>
      <c r="BT36" s="2479"/>
      <c r="BU36" s="2479"/>
      <c r="BV36" s="2479"/>
      <c r="BW36" s="2479"/>
      <c r="BX36" s="2479"/>
      <c r="BY36" s="2479"/>
      <c r="BZ36" s="2479"/>
      <c r="CA36" s="2479"/>
      <c r="CB36" s="2479"/>
      <c r="CC36" s="2479"/>
      <c r="CD36" s="2479"/>
      <c r="CE36" s="2479"/>
      <c r="CF36" s="2479"/>
      <c r="CG36" s="2479"/>
      <c r="CH36" s="2479"/>
      <c r="CI36" s="2479"/>
      <c r="CJ36" s="2479"/>
      <c r="CK36" s="2479"/>
      <c r="CL36" s="2479"/>
      <c r="CM36" s="2479"/>
      <c r="CN36" s="2479"/>
      <c r="CO36" s="2479"/>
      <c r="CP36" s="2479"/>
      <c r="CQ36" s="2479"/>
      <c r="CR36" s="2479"/>
      <c r="CS36" s="2479"/>
      <c r="CT36" s="2479"/>
      <c r="CU36" s="2479"/>
      <c r="CV36" s="2479"/>
      <c r="CW36" s="2479"/>
      <c r="CX36" s="2479"/>
      <c r="CY36" s="2479"/>
      <c r="CZ36" s="2479"/>
      <c r="DA36" s="2479"/>
      <c r="DB36" s="2479"/>
      <c r="DC36" s="2479"/>
      <c r="DD36" s="2479"/>
      <c r="DE36" s="2479"/>
      <c r="DF36" s="2479"/>
      <c r="DG36" s="2479"/>
      <c r="DH36" s="2479"/>
      <c r="DI36" s="2479"/>
      <c r="DJ36" s="2479"/>
      <c r="DK36" s="2479"/>
      <c r="DL36" s="2479"/>
      <c r="DM36" s="2479"/>
      <c r="DN36" s="2479"/>
      <c r="DO36" s="2479"/>
      <c r="DP36" s="2479"/>
      <c r="DQ36" s="2479"/>
      <c r="DR36" s="2479"/>
      <c r="DS36" s="2479"/>
      <c r="DT36" s="2479"/>
      <c r="DU36" s="2479"/>
      <c r="DV36" s="2479"/>
      <c r="DW36" s="2479"/>
      <c r="DX36" s="2479"/>
      <c r="DY36" s="2479"/>
      <c r="DZ36" s="2479"/>
      <c r="EA36" s="2480"/>
      <c r="EB36" s="2480"/>
      <c r="EC36" s="2480"/>
      <c r="ED36" s="2480"/>
      <c r="EE36" s="2480"/>
      <c r="EF36" s="2480"/>
      <c r="EG36" s="2480"/>
      <c r="EH36" s="2480"/>
      <c r="EI36" s="2480"/>
      <c r="EJ36" s="2480"/>
      <c r="EK36" s="2480"/>
      <c r="EL36" s="2480"/>
      <c r="EM36" s="2480"/>
      <c r="EN36" s="2480"/>
      <c r="EO36" s="2480"/>
      <c r="EP36" s="2480"/>
      <c r="EQ36" s="2480"/>
      <c r="ER36" s="2480"/>
      <c r="ES36" s="2480"/>
      <c r="ET36" s="2479"/>
    </row>
    <row r="37" spans="1:156" ht="18">
      <c r="A37" s="817"/>
      <c r="B37" s="285"/>
      <c r="C37" s="285"/>
      <c r="D37" s="285"/>
      <c r="E37" s="285"/>
      <c r="F37" s="285"/>
      <c r="G37" s="285"/>
      <c r="H37" s="285"/>
      <c r="I37" s="285"/>
      <c r="J37" s="285"/>
      <c r="K37" s="285"/>
      <c r="L37" s="285"/>
      <c r="M37" s="285"/>
      <c r="N37" s="285"/>
      <c r="O37" s="285"/>
      <c r="P37" s="285"/>
      <c r="Q37" s="285"/>
      <c r="R37" s="285"/>
      <c r="S37" s="285"/>
      <c r="T37" s="285"/>
      <c r="U37" s="285"/>
      <c r="V37" s="285"/>
      <c r="W37" s="285"/>
      <c r="X37" s="285"/>
      <c r="Y37" s="285"/>
      <c r="Z37" s="285"/>
      <c r="AA37" s="285"/>
      <c r="AB37" s="285"/>
      <c r="AC37" s="285"/>
      <c r="AD37" s="285"/>
      <c r="AE37" s="285"/>
      <c r="AF37" s="285"/>
      <c r="AG37" s="285"/>
      <c r="AH37" s="285"/>
      <c r="AI37" s="285"/>
      <c r="AJ37" s="285"/>
      <c r="AK37" s="285"/>
      <c r="AL37" s="285"/>
      <c r="AM37" s="285"/>
      <c r="AN37" s="285"/>
      <c r="AO37" s="285"/>
      <c r="AP37" s="285"/>
      <c r="AQ37" s="285"/>
      <c r="AR37" s="285"/>
      <c r="AS37" s="285"/>
      <c r="AT37" s="285"/>
      <c r="AU37" s="285"/>
      <c r="AV37" s="285"/>
      <c r="AW37" s="285"/>
      <c r="AX37" s="285"/>
      <c r="AY37" s="285"/>
      <c r="AZ37" s="285"/>
      <c r="BA37" s="285"/>
      <c r="BB37" s="285"/>
      <c r="BC37" s="285"/>
      <c r="BD37" s="285"/>
      <c r="BE37" s="285"/>
      <c r="BF37" s="285"/>
      <c r="BG37" s="285"/>
      <c r="BH37" s="285"/>
      <c r="BI37" s="285"/>
      <c r="BJ37" s="285"/>
      <c r="BK37" s="285"/>
      <c r="BL37" s="285"/>
      <c r="BM37" s="285"/>
      <c r="BN37" s="285"/>
      <c r="BO37" s="285"/>
      <c r="BP37" s="285"/>
      <c r="BQ37" s="285"/>
      <c r="BR37" s="285"/>
      <c r="BS37" s="285"/>
      <c r="BT37" s="285"/>
      <c r="BU37" s="285"/>
      <c r="BV37" s="285"/>
      <c r="BW37" s="285"/>
      <c r="BX37" s="285"/>
      <c r="BY37" s="285"/>
      <c r="BZ37" s="285"/>
      <c r="CA37" s="285"/>
      <c r="CB37" s="285"/>
      <c r="CC37" s="285"/>
      <c r="CD37" s="285"/>
      <c r="CE37" s="285"/>
      <c r="CF37" s="285"/>
      <c r="CG37" s="285"/>
      <c r="EZ37" s="342"/>
    </row>
    <row r="38" spans="1:156" ht="18">
      <c r="A38" s="818"/>
      <c r="B38" s="286"/>
      <c r="C38" s="286"/>
      <c r="D38" s="286"/>
      <c r="E38" s="286"/>
      <c r="F38" s="286"/>
      <c r="G38" s="286"/>
      <c r="H38" s="286"/>
      <c r="I38" s="286"/>
      <c r="J38" s="286"/>
      <c r="K38" s="286"/>
      <c r="L38" s="286"/>
      <c r="M38" s="286"/>
      <c r="N38" s="286"/>
      <c r="O38" s="286"/>
      <c r="P38" s="286"/>
      <c r="Q38" s="286"/>
      <c r="R38" s="286"/>
      <c r="S38" s="286"/>
      <c r="T38" s="286"/>
      <c r="U38" s="286"/>
      <c r="V38" s="286"/>
      <c r="W38" s="286"/>
      <c r="X38" s="286"/>
      <c r="Y38" s="286"/>
      <c r="Z38" s="286"/>
      <c r="AA38" s="286"/>
      <c r="AB38" s="286"/>
      <c r="AC38" s="286"/>
      <c r="AD38" s="286"/>
      <c r="AE38" s="286"/>
      <c r="AF38" s="286"/>
      <c r="AG38" s="286"/>
      <c r="AH38" s="286"/>
      <c r="AI38" s="286"/>
      <c r="AJ38" s="286"/>
      <c r="AK38" s="286"/>
      <c r="AL38" s="286"/>
      <c r="AM38" s="286"/>
      <c r="AN38" s="286"/>
      <c r="AO38" s="286"/>
      <c r="AP38" s="286"/>
      <c r="AQ38" s="286"/>
      <c r="AR38" s="286"/>
      <c r="AS38" s="286"/>
      <c r="AT38" s="286"/>
      <c r="AU38" s="286"/>
      <c r="AV38" s="286"/>
      <c r="AW38" s="286"/>
      <c r="AX38" s="286"/>
      <c r="AY38" s="286"/>
      <c r="AZ38" s="286"/>
      <c r="BA38" s="286"/>
      <c r="BB38" s="286"/>
      <c r="BC38" s="286"/>
      <c r="BD38" s="286"/>
      <c r="BE38" s="286"/>
      <c r="BF38" s="286"/>
      <c r="BG38" s="286"/>
      <c r="BH38" s="286"/>
      <c r="BI38" s="286"/>
      <c r="BJ38" s="286"/>
      <c r="BK38" s="286"/>
      <c r="BL38" s="286"/>
      <c r="BM38" s="286"/>
      <c r="BN38" s="286"/>
      <c r="BO38" s="286"/>
      <c r="BP38" s="286"/>
      <c r="BQ38" s="286"/>
      <c r="BR38" s="286"/>
      <c r="BS38" s="286"/>
      <c r="BT38" s="286"/>
      <c r="BU38" s="286"/>
      <c r="BV38" s="286"/>
      <c r="BW38" s="286"/>
      <c r="BX38" s="286"/>
      <c r="BY38" s="286"/>
      <c r="BZ38" s="286"/>
      <c r="CA38" s="286"/>
      <c r="CB38" s="286"/>
      <c r="CC38" s="286"/>
      <c r="CD38" s="286"/>
      <c r="CE38" s="286"/>
      <c r="CF38" s="286"/>
      <c r="CG38" s="286"/>
      <c r="EZ38" s="342"/>
    </row>
    <row r="39" spans="1:156" ht="18">
      <c r="A39" s="817"/>
      <c r="B39" s="285"/>
      <c r="C39" s="285"/>
      <c r="D39" s="285"/>
      <c r="E39" s="285"/>
      <c r="F39" s="285"/>
      <c r="G39" s="285"/>
      <c r="H39" s="285"/>
      <c r="I39" s="285"/>
      <c r="J39" s="285"/>
      <c r="K39" s="285"/>
      <c r="L39" s="285"/>
      <c r="M39" s="285"/>
      <c r="N39" s="285"/>
      <c r="O39" s="285"/>
      <c r="P39" s="285"/>
      <c r="Q39" s="285"/>
      <c r="R39" s="285"/>
      <c r="S39" s="285"/>
      <c r="T39" s="285"/>
      <c r="U39" s="285"/>
      <c r="V39" s="285"/>
      <c r="W39" s="285"/>
      <c r="X39" s="285"/>
      <c r="Y39" s="285"/>
      <c r="Z39" s="285"/>
      <c r="AA39" s="285"/>
      <c r="AB39" s="285"/>
      <c r="AC39" s="285"/>
      <c r="AD39" s="285"/>
      <c r="AE39" s="285"/>
      <c r="AF39" s="285"/>
      <c r="AG39" s="285"/>
      <c r="AH39" s="285"/>
      <c r="AI39" s="285"/>
      <c r="AJ39" s="285"/>
      <c r="AK39" s="285"/>
      <c r="AL39" s="285"/>
      <c r="AM39" s="285"/>
      <c r="AN39" s="285"/>
      <c r="AO39" s="285"/>
      <c r="AP39" s="285"/>
      <c r="AQ39" s="285"/>
      <c r="AR39" s="285"/>
      <c r="AS39" s="285"/>
      <c r="AT39" s="285"/>
      <c r="AU39" s="285"/>
      <c r="AV39" s="285"/>
      <c r="AW39" s="285"/>
      <c r="AX39" s="285"/>
      <c r="AY39" s="285"/>
      <c r="AZ39" s="285"/>
      <c r="BA39" s="285"/>
      <c r="BB39" s="285"/>
      <c r="BC39" s="285"/>
      <c r="BD39" s="285"/>
      <c r="BE39" s="285"/>
      <c r="BF39" s="285"/>
      <c r="BG39" s="285"/>
      <c r="BH39" s="285"/>
      <c r="BI39" s="285"/>
      <c r="BJ39" s="285"/>
      <c r="BK39" s="285"/>
      <c r="BL39" s="285"/>
      <c r="BM39" s="285"/>
      <c r="BN39" s="285"/>
      <c r="BO39" s="285"/>
      <c r="BP39" s="285"/>
      <c r="BQ39" s="285"/>
      <c r="BR39" s="285"/>
      <c r="BS39" s="285"/>
      <c r="BT39" s="285"/>
      <c r="BU39" s="285"/>
      <c r="BV39" s="285"/>
      <c r="BW39" s="285"/>
      <c r="BX39" s="285"/>
      <c r="BY39" s="285"/>
      <c r="BZ39" s="285"/>
      <c r="CA39" s="285"/>
      <c r="CB39" s="285"/>
      <c r="CC39" s="285"/>
      <c r="CD39" s="285"/>
      <c r="CE39" s="285"/>
      <c r="CF39" s="285"/>
      <c r="CG39" s="285"/>
      <c r="EZ39" s="342"/>
    </row>
    <row r="40" spans="1:156" ht="18">
      <c r="A40" s="818"/>
      <c r="B40" s="286"/>
      <c r="C40" s="286"/>
      <c r="D40" s="286"/>
      <c r="E40" s="286"/>
      <c r="F40" s="286"/>
      <c r="G40" s="286"/>
      <c r="H40" s="286"/>
      <c r="I40" s="286"/>
      <c r="J40" s="286"/>
      <c r="K40" s="286"/>
      <c r="L40" s="286"/>
      <c r="M40" s="286"/>
      <c r="N40" s="286"/>
      <c r="O40" s="286"/>
      <c r="P40" s="286"/>
      <c r="Q40" s="286"/>
      <c r="R40" s="286"/>
      <c r="S40" s="286"/>
      <c r="T40" s="286"/>
      <c r="U40" s="286"/>
      <c r="V40" s="286"/>
      <c r="W40" s="286"/>
      <c r="X40" s="286"/>
      <c r="Y40" s="286"/>
      <c r="Z40" s="286"/>
      <c r="AA40" s="286"/>
      <c r="AB40" s="286"/>
      <c r="AC40" s="286"/>
      <c r="AD40" s="286"/>
      <c r="AE40" s="286"/>
      <c r="AF40" s="286"/>
      <c r="AG40" s="286"/>
      <c r="AH40" s="286"/>
      <c r="AI40" s="286"/>
      <c r="AJ40" s="286"/>
      <c r="AK40" s="286"/>
      <c r="AL40" s="286"/>
      <c r="AM40" s="286"/>
      <c r="AN40" s="286"/>
      <c r="AO40" s="286"/>
      <c r="AP40" s="286"/>
      <c r="AQ40" s="286"/>
      <c r="AR40" s="286"/>
      <c r="AS40" s="286"/>
      <c r="AT40" s="286"/>
      <c r="AU40" s="286"/>
      <c r="AV40" s="286"/>
      <c r="AW40" s="286"/>
      <c r="AX40" s="286"/>
      <c r="AY40" s="286"/>
      <c r="AZ40" s="286"/>
      <c r="BA40" s="286"/>
      <c r="BB40" s="286"/>
      <c r="BC40" s="286"/>
      <c r="BD40" s="286"/>
      <c r="BE40" s="286"/>
      <c r="BF40" s="286"/>
      <c r="BG40" s="286"/>
      <c r="BH40" s="286"/>
      <c r="BI40" s="286"/>
      <c r="BJ40" s="286"/>
      <c r="BK40" s="286"/>
      <c r="BL40" s="286"/>
      <c r="BM40" s="286"/>
      <c r="BN40" s="286"/>
      <c r="BO40" s="286"/>
      <c r="BP40" s="286"/>
      <c r="BQ40" s="286"/>
      <c r="BR40" s="286"/>
      <c r="BS40" s="286"/>
      <c r="BT40" s="286"/>
      <c r="BU40" s="286"/>
      <c r="BV40" s="286"/>
      <c r="BW40" s="286"/>
      <c r="BX40" s="286"/>
      <c r="BY40" s="286"/>
      <c r="BZ40" s="286"/>
      <c r="CA40" s="286"/>
      <c r="CB40" s="286"/>
      <c r="CC40" s="286"/>
      <c r="CD40" s="286"/>
      <c r="CE40" s="286"/>
      <c r="CF40" s="286"/>
      <c r="CG40" s="286"/>
      <c r="EZ40" s="342"/>
    </row>
    <row r="41" spans="1:156" ht="18">
      <c r="A41" s="817"/>
      <c r="B41" s="285"/>
      <c r="C41" s="285"/>
      <c r="D41" s="285"/>
      <c r="E41" s="285"/>
      <c r="F41" s="285"/>
      <c r="G41" s="285"/>
      <c r="H41" s="285"/>
      <c r="I41" s="285"/>
      <c r="J41" s="285"/>
      <c r="K41" s="285"/>
      <c r="L41" s="285"/>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5"/>
      <c r="AR41" s="285"/>
      <c r="AS41" s="285"/>
      <c r="AT41" s="285"/>
      <c r="AU41" s="285"/>
      <c r="AV41" s="285"/>
      <c r="AW41" s="285"/>
      <c r="AX41" s="285"/>
      <c r="AY41" s="285"/>
      <c r="AZ41" s="285"/>
      <c r="BA41" s="285"/>
      <c r="BB41" s="285"/>
      <c r="BC41" s="285"/>
      <c r="BD41" s="285"/>
      <c r="BE41" s="285"/>
      <c r="BF41" s="285"/>
      <c r="BG41" s="285"/>
      <c r="BH41" s="285"/>
      <c r="BI41" s="285"/>
      <c r="BJ41" s="285"/>
      <c r="BK41" s="285"/>
      <c r="BL41" s="285"/>
      <c r="BM41" s="285"/>
      <c r="BN41" s="285"/>
      <c r="BO41" s="285"/>
      <c r="BP41" s="285"/>
      <c r="BQ41" s="285"/>
      <c r="BR41" s="285"/>
      <c r="BS41" s="285"/>
      <c r="BT41" s="285"/>
      <c r="BU41" s="285"/>
      <c r="BV41" s="285"/>
      <c r="BW41" s="285"/>
      <c r="BX41" s="285"/>
      <c r="BY41" s="285"/>
      <c r="BZ41" s="285"/>
      <c r="CA41" s="285"/>
      <c r="CB41" s="285"/>
      <c r="CC41" s="285"/>
      <c r="CD41" s="285"/>
      <c r="CE41" s="285"/>
      <c r="CF41" s="285"/>
      <c r="CG41" s="285"/>
      <c r="EZ41" s="342"/>
    </row>
    <row r="42" spans="1:156" ht="18">
      <c r="A42" s="819"/>
      <c r="B42" s="285"/>
      <c r="C42" s="285"/>
      <c r="D42" s="285"/>
      <c r="E42" s="285"/>
      <c r="F42" s="285"/>
      <c r="G42" s="285"/>
      <c r="H42" s="285"/>
      <c r="I42" s="285"/>
      <c r="J42" s="285"/>
      <c r="K42" s="285"/>
      <c r="L42" s="285"/>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5"/>
      <c r="AR42" s="285"/>
      <c r="AS42" s="285"/>
      <c r="AT42" s="285"/>
      <c r="AU42" s="285"/>
      <c r="AV42" s="285"/>
      <c r="AW42" s="285"/>
      <c r="AX42" s="285"/>
      <c r="AY42" s="285"/>
      <c r="AZ42" s="285"/>
      <c r="BA42" s="285"/>
      <c r="BB42" s="285"/>
      <c r="BC42" s="285"/>
      <c r="BD42" s="285"/>
      <c r="BE42" s="285"/>
      <c r="BF42" s="285"/>
      <c r="BG42" s="285"/>
      <c r="BH42" s="285"/>
      <c r="BI42" s="285"/>
      <c r="BJ42" s="285"/>
      <c r="BK42" s="285"/>
      <c r="BL42" s="285"/>
      <c r="BM42" s="285"/>
      <c r="BN42" s="285"/>
      <c r="BO42" s="285"/>
      <c r="BP42" s="285"/>
      <c r="BQ42" s="285"/>
      <c r="BR42" s="285"/>
      <c r="BS42" s="285"/>
      <c r="BT42" s="285"/>
      <c r="BU42" s="285"/>
      <c r="BV42" s="285"/>
      <c r="BW42" s="285"/>
      <c r="BX42" s="285"/>
      <c r="BY42" s="285"/>
      <c r="BZ42" s="285"/>
      <c r="CA42" s="285"/>
      <c r="CB42" s="285"/>
      <c r="CC42" s="285"/>
      <c r="CD42" s="285"/>
      <c r="CE42" s="285"/>
      <c r="CF42" s="285"/>
      <c r="CG42" s="285"/>
      <c r="EZ42" s="342"/>
    </row>
    <row r="43" spans="1:156" ht="18">
      <c r="A43" s="820"/>
      <c r="B43" s="286"/>
      <c r="C43" s="286"/>
      <c r="D43" s="286"/>
      <c r="E43" s="286"/>
      <c r="F43" s="286"/>
      <c r="G43" s="286"/>
      <c r="H43" s="286"/>
      <c r="I43" s="286"/>
      <c r="J43" s="286"/>
      <c r="K43" s="286"/>
      <c r="L43" s="286"/>
      <c r="M43" s="286"/>
      <c r="N43" s="286"/>
      <c r="O43" s="286"/>
      <c r="P43" s="286"/>
      <c r="Q43" s="286"/>
      <c r="R43" s="286"/>
      <c r="S43" s="286"/>
      <c r="T43" s="286"/>
      <c r="U43" s="286"/>
      <c r="V43" s="286"/>
      <c r="W43" s="286"/>
      <c r="X43" s="286"/>
      <c r="Y43" s="286"/>
      <c r="Z43" s="286"/>
      <c r="AA43" s="286"/>
      <c r="AB43" s="286"/>
      <c r="AC43" s="286"/>
      <c r="AD43" s="286"/>
      <c r="AE43" s="286"/>
      <c r="AF43" s="286"/>
      <c r="AG43" s="286"/>
      <c r="AH43" s="286"/>
      <c r="AI43" s="286"/>
      <c r="AJ43" s="286"/>
      <c r="AK43" s="286"/>
      <c r="AL43" s="286"/>
      <c r="AM43" s="286"/>
      <c r="AN43" s="286"/>
      <c r="AO43" s="286"/>
      <c r="AP43" s="286"/>
      <c r="AQ43" s="286"/>
      <c r="AR43" s="286"/>
      <c r="AS43" s="286"/>
      <c r="AT43" s="286"/>
      <c r="AU43" s="286"/>
      <c r="AV43" s="286"/>
      <c r="AW43" s="286"/>
      <c r="AX43" s="286"/>
      <c r="AY43" s="286"/>
      <c r="AZ43" s="286"/>
      <c r="BA43" s="286"/>
      <c r="BB43" s="286"/>
      <c r="BC43" s="286"/>
      <c r="BD43" s="286"/>
      <c r="BE43" s="286"/>
      <c r="BF43" s="286"/>
      <c r="BG43" s="286"/>
      <c r="BH43" s="286"/>
      <c r="BI43" s="286"/>
      <c r="BJ43" s="286"/>
      <c r="BK43" s="286"/>
      <c r="BL43" s="286"/>
      <c r="BM43" s="286"/>
      <c r="BN43" s="286"/>
      <c r="BO43" s="286"/>
      <c r="BP43" s="286"/>
      <c r="BQ43" s="286"/>
      <c r="BR43" s="286"/>
      <c r="BS43" s="286"/>
      <c r="BT43" s="286"/>
      <c r="BU43" s="286"/>
      <c r="BV43" s="286"/>
      <c r="BW43" s="286"/>
      <c r="BX43" s="286"/>
      <c r="BY43" s="286"/>
      <c r="BZ43" s="286"/>
      <c r="CA43" s="286"/>
      <c r="CB43" s="286"/>
      <c r="CC43" s="286"/>
      <c r="CD43" s="286"/>
      <c r="CE43" s="286"/>
      <c r="CF43" s="286"/>
      <c r="CG43" s="286"/>
      <c r="EZ43" s="342"/>
    </row>
    <row r="44" spans="1:156" ht="18">
      <c r="A44" s="817"/>
      <c r="B44" s="285"/>
      <c r="C44" s="285"/>
      <c r="D44" s="285"/>
      <c r="E44" s="285"/>
      <c r="F44" s="285"/>
      <c r="G44" s="285"/>
      <c r="H44" s="285"/>
      <c r="I44" s="285"/>
      <c r="J44" s="285"/>
      <c r="K44" s="285"/>
      <c r="L44" s="285"/>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5"/>
      <c r="AR44" s="285"/>
      <c r="AS44" s="285"/>
      <c r="AT44" s="285"/>
      <c r="AU44" s="285"/>
      <c r="AV44" s="285"/>
      <c r="AW44" s="285"/>
      <c r="AX44" s="285"/>
      <c r="AY44" s="285"/>
      <c r="AZ44" s="285"/>
      <c r="BA44" s="285"/>
      <c r="BB44" s="285"/>
      <c r="BC44" s="285"/>
      <c r="BD44" s="285"/>
      <c r="BE44" s="285"/>
      <c r="BF44" s="285"/>
      <c r="BG44" s="285"/>
      <c r="BH44" s="285"/>
      <c r="BI44" s="285"/>
      <c r="BJ44" s="285"/>
      <c r="BK44" s="285"/>
      <c r="BL44" s="285"/>
      <c r="BM44" s="285"/>
      <c r="BN44" s="285"/>
      <c r="BO44" s="285"/>
      <c r="BP44" s="285"/>
      <c r="BQ44" s="285"/>
      <c r="BR44" s="285"/>
      <c r="BS44" s="285"/>
      <c r="BT44" s="285"/>
      <c r="BU44" s="285"/>
      <c r="BV44" s="285"/>
      <c r="BW44" s="285"/>
      <c r="BX44" s="285"/>
      <c r="BY44" s="285"/>
      <c r="BZ44" s="285"/>
      <c r="CA44" s="285"/>
      <c r="CB44" s="285"/>
      <c r="CC44" s="285"/>
      <c r="CD44" s="285"/>
      <c r="CE44" s="285"/>
      <c r="CF44" s="285"/>
      <c r="CG44" s="285"/>
      <c r="EZ44" s="342"/>
    </row>
    <row r="45" spans="1:156" ht="18">
      <c r="A45" s="818"/>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6"/>
      <c r="AE45" s="286"/>
      <c r="AF45" s="286"/>
      <c r="AG45" s="286"/>
      <c r="AH45" s="286"/>
      <c r="AI45" s="286"/>
      <c r="AJ45" s="286"/>
      <c r="AK45" s="286"/>
      <c r="AL45" s="286"/>
      <c r="AM45" s="286"/>
      <c r="AN45" s="286"/>
      <c r="AO45" s="286"/>
      <c r="AP45" s="286"/>
      <c r="AQ45" s="286"/>
      <c r="AR45" s="286"/>
      <c r="AS45" s="286"/>
      <c r="AT45" s="286"/>
      <c r="AU45" s="286"/>
      <c r="AV45" s="286"/>
      <c r="AW45" s="286"/>
      <c r="AX45" s="286"/>
      <c r="AY45" s="286"/>
      <c r="AZ45" s="286"/>
      <c r="BA45" s="286"/>
      <c r="BB45" s="286"/>
      <c r="BC45" s="286"/>
      <c r="BD45" s="286"/>
      <c r="BE45" s="286"/>
      <c r="BF45" s="286"/>
      <c r="BG45" s="286"/>
      <c r="BH45" s="286"/>
      <c r="BI45" s="286"/>
      <c r="BJ45" s="286"/>
      <c r="BK45" s="286"/>
      <c r="BL45" s="286"/>
      <c r="BM45" s="286"/>
      <c r="BN45" s="286"/>
      <c r="BO45" s="286"/>
      <c r="BP45" s="286"/>
      <c r="BQ45" s="286"/>
      <c r="BR45" s="286"/>
      <c r="BS45" s="286"/>
      <c r="BT45" s="286"/>
      <c r="BU45" s="286"/>
      <c r="BV45" s="286"/>
      <c r="BW45" s="286"/>
      <c r="BX45" s="286"/>
      <c r="BY45" s="286"/>
      <c r="BZ45" s="286"/>
      <c r="CA45" s="286"/>
      <c r="CB45" s="286"/>
      <c r="CC45" s="286"/>
      <c r="CD45" s="286"/>
      <c r="CE45" s="286"/>
      <c r="CF45" s="286"/>
      <c r="CG45" s="286"/>
      <c r="EZ45" s="342"/>
    </row>
    <row r="46" spans="1:156" ht="18">
      <c r="A46" s="817"/>
      <c r="B46" s="285"/>
      <c r="C46" s="285"/>
      <c r="D46" s="285"/>
      <c r="E46" s="285"/>
      <c r="F46" s="285"/>
      <c r="G46" s="285"/>
      <c r="H46" s="285"/>
      <c r="I46" s="285"/>
      <c r="J46" s="285"/>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5"/>
      <c r="AR46" s="285"/>
      <c r="AS46" s="285"/>
      <c r="AT46" s="285"/>
      <c r="AU46" s="285"/>
      <c r="AV46" s="285"/>
      <c r="AW46" s="285"/>
      <c r="AX46" s="285"/>
      <c r="AY46" s="285"/>
      <c r="AZ46" s="285"/>
      <c r="BA46" s="285"/>
      <c r="BB46" s="285"/>
      <c r="BC46" s="285"/>
      <c r="BD46" s="285"/>
      <c r="BE46" s="285"/>
      <c r="BF46" s="285"/>
      <c r="BG46" s="285"/>
      <c r="BH46" s="285"/>
      <c r="BI46" s="285"/>
      <c r="BJ46" s="285"/>
      <c r="BK46" s="285"/>
      <c r="BL46" s="285"/>
      <c r="BM46" s="285"/>
      <c r="BN46" s="285"/>
      <c r="BO46" s="285"/>
      <c r="BP46" s="285"/>
      <c r="BQ46" s="285"/>
      <c r="BR46" s="285"/>
      <c r="BS46" s="285"/>
      <c r="BT46" s="285"/>
      <c r="BU46" s="285"/>
      <c r="BV46" s="285"/>
      <c r="BW46" s="285"/>
      <c r="BX46" s="285"/>
      <c r="BY46" s="285"/>
      <c r="BZ46" s="285"/>
      <c r="CA46" s="285"/>
      <c r="CB46" s="285"/>
      <c r="CC46" s="285"/>
      <c r="CD46" s="285"/>
      <c r="CE46" s="285"/>
      <c r="CF46" s="285"/>
      <c r="CG46" s="285"/>
      <c r="CH46" s="417"/>
      <c r="CI46" s="417"/>
      <c r="CJ46" s="417"/>
      <c r="CK46" s="417"/>
      <c r="CL46" s="417"/>
      <c r="CM46" s="417"/>
      <c r="CN46" s="417"/>
      <c r="CO46" s="417"/>
      <c r="CP46" s="417"/>
      <c r="CQ46" s="417"/>
      <c r="CR46" s="417"/>
      <c r="CS46" s="417"/>
      <c r="CT46" s="417"/>
      <c r="CU46" s="417"/>
      <c r="CV46" s="417"/>
      <c r="CW46" s="417"/>
      <c r="CX46" s="417"/>
      <c r="CY46" s="417"/>
      <c r="CZ46" s="417"/>
      <c r="DA46" s="417"/>
      <c r="DB46" s="417"/>
      <c r="DC46" s="417"/>
      <c r="DD46" s="417"/>
      <c r="DE46" s="417"/>
      <c r="DF46" s="417"/>
      <c r="DG46" s="417"/>
      <c r="DH46" s="417"/>
      <c r="DI46" s="417"/>
      <c r="DJ46" s="417"/>
      <c r="DK46" s="417"/>
      <c r="DL46" s="417"/>
      <c r="DM46" s="417"/>
      <c r="DN46" s="417"/>
      <c r="DO46" s="417"/>
      <c r="DP46" s="417"/>
      <c r="DQ46" s="417"/>
      <c r="DR46" s="417"/>
      <c r="DS46" s="417"/>
      <c r="DT46" s="417"/>
      <c r="DU46" s="417"/>
      <c r="DV46" s="417"/>
      <c r="DW46" s="417"/>
      <c r="DX46" s="417"/>
      <c r="DY46" s="417"/>
      <c r="DZ46" s="417"/>
      <c r="EA46" s="417"/>
      <c r="EB46" s="417"/>
      <c r="EC46" s="417"/>
      <c r="ED46" s="417"/>
      <c r="EE46" s="417"/>
      <c r="EF46" s="417"/>
      <c r="EG46" s="417"/>
      <c r="EH46" s="417"/>
      <c r="EI46" s="417"/>
      <c r="EJ46" s="417"/>
      <c r="EK46" s="417"/>
      <c r="EL46" s="417"/>
      <c r="EM46" s="417"/>
      <c r="EN46" s="417"/>
      <c r="EO46" s="417"/>
      <c r="EP46" s="417"/>
      <c r="EQ46" s="417"/>
      <c r="ER46" s="417"/>
      <c r="ES46" s="417"/>
      <c r="ET46" s="417"/>
      <c r="EZ46" s="342"/>
    </row>
    <row r="47" spans="1:156" ht="18">
      <c r="A47" s="818"/>
      <c r="B47" s="286"/>
      <c r="C47" s="286"/>
      <c r="D47" s="286"/>
      <c r="E47" s="286"/>
      <c r="F47" s="286"/>
      <c r="G47" s="286"/>
      <c r="H47" s="286"/>
      <c r="I47" s="286"/>
      <c r="J47" s="286"/>
      <c r="K47" s="286"/>
      <c r="L47" s="286"/>
      <c r="M47" s="286"/>
      <c r="N47" s="286"/>
      <c r="O47" s="286"/>
      <c r="P47" s="286"/>
      <c r="Q47" s="286"/>
      <c r="R47" s="286"/>
      <c r="S47" s="286"/>
      <c r="T47" s="286"/>
      <c r="U47" s="286"/>
      <c r="V47" s="286"/>
      <c r="W47" s="286"/>
      <c r="X47" s="286"/>
      <c r="Y47" s="286"/>
      <c r="Z47" s="286"/>
      <c r="AA47" s="286"/>
      <c r="AB47" s="286"/>
      <c r="AC47" s="286"/>
      <c r="AD47" s="286"/>
      <c r="AE47" s="286"/>
      <c r="AF47" s="286"/>
      <c r="AG47" s="286"/>
      <c r="AH47" s="286"/>
      <c r="AI47" s="286"/>
      <c r="AJ47" s="286"/>
      <c r="AK47" s="286"/>
      <c r="AL47" s="286"/>
      <c r="AM47" s="286"/>
      <c r="AN47" s="286"/>
      <c r="AO47" s="286"/>
      <c r="AP47" s="286"/>
      <c r="AQ47" s="286"/>
      <c r="AR47" s="286"/>
      <c r="AS47" s="286"/>
      <c r="AT47" s="286"/>
      <c r="AU47" s="286"/>
      <c r="AV47" s="286"/>
      <c r="AW47" s="286"/>
      <c r="AX47" s="286"/>
      <c r="AY47" s="286"/>
      <c r="AZ47" s="286"/>
      <c r="BA47" s="286"/>
      <c r="BB47" s="286"/>
      <c r="BC47" s="286"/>
      <c r="BD47" s="286"/>
      <c r="BE47" s="286"/>
      <c r="BF47" s="286"/>
      <c r="BG47" s="286"/>
      <c r="BH47" s="286"/>
      <c r="BI47" s="286"/>
      <c r="BJ47" s="286"/>
      <c r="BK47" s="286"/>
      <c r="BL47" s="286"/>
      <c r="BM47" s="286"/>
      <c r="BN47" s="286"/>
      <c r="BO47" s="286"/>
      <c r="BP47" s="286"/>
      <c r="BQ47" s="286"/>
      <c r="BR47" s="286"/>
      <c r="BS47" s="286"/>
      <c r="BT47" s="286"/>
      <c r="BU47" s="286"/>
      <c r="BV47" s="286"/>
      <c r="BW47" s="286"/>
      <c r="BX47" s="286"/>
      <c r="BY47" s="286"/>
      <c r="BZ47" s="286"/>
      <c r="CA47" s="286"/>
      <c r="CB47" s="286"/>
      <c r="CC47" s="286"/>
      <c r="CD47" s="286"/>
      <c r="CE47" s="286"/>
      <c r="CF47" s="286"/>
      <c r="CG47" s="286"/>
      <c r="CH47" s="417"/>
      <c r="CI47" s="417"/>
      <c r="CJ47" s="417"/>
      <c r="CK47" s="417"/>
      <c r="CL47" s="417"/>
      <c r="CM47" s="417"/>
      <c r="CN47" s="417"/>
      <c r="CO47" s="417"/>
      <c r="CP47" s="417"/>
      <c r="CQ47" s="417"/>
      <c r="CR47" s="417"/>
      <c r="CS47" s="417"/>
      <c r="CT47" s="417"/>
      <c r="CU47" s="417"/>
      <c r="CV47" s="417"/>
      <c r="CW47" s="417"/>
      <c r="CX47" s="417"/>
      <c r="CY47" s="417"/>
      <c r="CZ47" s="417"/>
      <c r="DA47" s="417"/>
      <c r="DB47" s="417"/>
      <c r="DC47" s="417"/>
      <c r="DD47" s="417"/>
      <c r="DE47" s="417"/>
      <c r="DF47" s="417"/>
      <c r="DG47" s="417"/>
      <c r="DH47" s="417"/>
      <c r="DI47" s="417"/>
      <c r="DJ47" s="417"/>
      <c r="DK47" s="417"/>
      <c r="DL47" s="417"/>
      <c r="DM47" s="417"/>
      <c r="DN47" s="417"/>
      <c r="DO47" s="417"/>
      <c r="DP47" s="417"/>
      <c r="DQ47" s="417"/>
      <c r="DR47" s="417"/>
      <c r="DS47" s="417"/>
      <c r="DT47" s="417"/>
      <c r="DU47" s="417"/>
      <c r="DV47" s="417"/>
      <c r="DW47" s="417"/>
      <c r="DX47" s="417"/>
      <c r="DY47" s="417"/>
      <c r="DZ47" s="417"/>
      <c r="EA47" s="417"/>
      <c r="EB47" s="417"/>
      <c r="EC47" s="417"/>
      <c r="ED47" s="417"/>
      <c r="EE47" s="417"/>
      <c r="EF47" s="417"/>
      <c r="EG47" s="417"/>
      <c r="EH47" s="417"/>
      <c r="EI47" s="417"/>
      <c r="EJ47" s="417"/>
      <c r="EK47" s="417"/>
      <c r="EL47" s="417"/>
      <c r="EM47" s="417"/>
      <c r="EN47" s="417"/>
      <c r="EO47" s="417"/>
      <c r="EP47" s="417"/>
      <c r="EQ47" s="417"/>
      <c r="ER47" s="417"/>
      <c r="ES47" s="417"/>
      <c r="ET47" s="417"/>
      <c r="EZ47" s="342"/>
    </row>
    <row r="48" spans="1:156" ht="18">
      <c r="A48" s="817"/>
      <c r="B48" s="285"/>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5"/>
      <c r="AR48" s="285"/>
      <c r="AS48" s="285"/>
      <c r="AT48" s="285"/>
      <c r="AU48" s="285"/>
      <c r="AV48" s="285"/>
      <c r="AW48" s="285"/>
      <c r="AX48" s="285"/>
      <c r="AY48" s="285"/>
      <c r="AZ48" s="285"/>
      <c r="BA48" s="285"/>
      <c r="BB48" s="285"/>
      <c r="BC48" s="285"/>
      <c r="BD48" s="285"/>
      <c r="BE48" s="285"/>
      <c r="BF48" s="285"/>
      <c r="BG48" s="285"/>
      <c r="BH48" s="285"/>
      <c r="BI48" s="285"/>
      <c r="BJ48" s="285"/>
      <c r="BK48" s="285"/>
      <c r="BL48" s="285"/>
      <c r="BM48" s="285"/>
      <c r="BN48" s="285"/>
      <c r="BO48" s="285"/>
      <c r="BP48" s="285"/>
      <c r="BQ48" s="285"/>
      <c r="BR48" s="285"/>
      <c r="BS48" s="285"/>
      <c r="BT48" s="285"/>
      <c r="BU48" s="285"/>
      <c r="BV48" s="285"/>
      <c r="BW48" s="285"/>
      <c r="BX48" s="285"/>
      <c r="BY48" s="285"/>
      <c r="BZ48" s="285"/>
      <c r="CA48" s="285"/>
      <c r="CB48" s="285"/>
      <c r="CC48" s="285"/>
      <c r="CD48" s="285"/>
      <c r="CE48" s="285"/>
      <c r="CF48" s="285"/>
      <c r="CG48" s="285"/>
      <c r="CH48" s="417"/>
      <c r="CI48" s="417"/>
      <c r="CJ48" s="417"/>
      <c r="CK48" s="417"/>
      <c r="CL48" s="417"/>
      <c r="CM48" s="417"/>
      <c r="CN48" s="417"/>
      <c r="CO48" s="417"/>
      <c r="CP48" s="417"/>
      <c r="CQ48" s="417"/>
      <c r="CR48" s="417"/>
      <c r="CS48" s="417"/>
      <c r="CT48" s="417"/>
      <c r="CU48" s="417"/>
      <c r="CV48" s="417"/>
      <c r="CW48" s="417"/>
      <c r="CX48" s="417"/>
      <c r="CY48" s="417"/>
      <c r="CZ48" s="417"/>
      <c r="DA48" s="417"/>
      <c r="DB48" s="417"/>
      <c r="DC48" s="417"/>
      <c r="DD48" s="417"/>
      <c r="DE48" s="417"/>
      <c r="DF48" s="417"/>
      <c r="DG48" s="417"/>
      <c r="DH48" s="417"/>
      <c r="DI48" s="417"/>
      <c r="DJ48" s="417"/>
      <c r="DK48" s="417"/>
      <c r="DL48" s="417"/>
      <c r="DM48" s="417"/>
      <c r="DN48" s="417"/>
      <c r="DO48" s="417"/>
      <c r="DP48" s="417"/>
      <c r="DQ48" s="417"/>
      <c r="DR48" s="417"/>
      <c r="DS48" s="417"/>
      <c r="DT48" s="417"/>
      <c r="DU48" s="417"/>
      <c r="DV48" s="417"/>
      <c r="DW48" s="417"/>
      <c r="DX48" s="417"/>
      <c r="DY48" s="417"/>
      <c r="DZ48" s="417"/>
      <c r="EA48" s="417"/>
      <c r="EB48" s="417"/>
      <c r="EC48" s="417"/>
      <c r="ED48" s="417"/>
      <c r="EE48" s="417"/>
      <c r="EF48" s="417"/>
      <c r="EG48" s="417"/>
      <c r="EH48" s="417"/>
      <c r="EI48" s="417"/>
      <c r="EJ48" s="417"/>
      <c r="EK48" s="417"/>
      <c r="EL48" s="417"/>
      <c r="EM48" s="417"/>
      <c r="EN48" s="417"/>
      <c r="EO48" s="417"/>
      <c r="EP48" s="417"/>
      <c r="EQ48" s="417"/>
      <c r="ER48" s="417"/>
      <c r="ES48" s="417"/>
      <c r="ET48" s="417"/>
      <c r="EZ48" s="342"/>
    </row>
    <row r="49" spans="1:156" ht="18">
      <c r="A49" s="821"/>
      <c r="B49" s="343"/>
      <c r="C49" s="343"/>
      <c r="D49" s="343"/>
      <c r="E49" s="343"/>
      <c r="F49" s="343"/>
      <c r="G49" s="343"/>
      <c r="H49" s="343"/>
      <c r="I49" s="343"/>
      <c r="J49" s="343"/>
      <c r="K49" s="343"/>
      <c r="L49" s="343"/>
      <c r="M49" s="343"/>
      <c r="N49" s="343"/>
      <c r="O49" s="343"/>
      <c r="P49" s="343"/>
      <c r="Q49" s="343"/>
      <c r="R49" s="343"/>
      <c r="S49" s="343"/>
      <c r="T49" s="343"/>
      <c r="U49" s="343"/>
      <c r="V49" s="343"/>
      <c r="W49" s="343"/>
      <c r="X49" s="343"/>
      <c r="Y49" s="343"/>
      <c r="Z49" s="343"/>
      <c r="AA49" s="343"/>
      <c r="AB49" s="343"/>
      <c r="AC49" s="343"/>
      <c r="AD49" s="343"/>
      <c r="AE49" s="343"/>
      <c r="AF49" s="343"/>
      <c r="AG49" s="343"/>
      <c r="AH49" s="343"/>
      <c r="AI49" s="343"/>
      <c r="AJ49" s="343"/>
      <c r="AK49" s="343"/>
      <c r="AL49" s="343"/>
      <c r="AM49" s="343"/>
      <c r="AN49" s="343"/>
      <c r="AO49" s="343"/>
      <c r="AP49" s="343"/>
      <c r="AQ49" s="343"/>
      <c r="AR49" s="343"/>
      <c r="AS49" s="343"/>
      <c r="AT49" s="343"/>
      <c r="AU49" s="343"/>
      <c r="AV49" s="343"/>
      <c r="AW49" s="343"/>
      <c r="AX49" s="343"/>
      <c r="AY49" s="343"/>
      <c r="AZ49" s="343"/>
      <c r="BA49" s="343"/>
      <c r="BB49" s="343"/>
      <c r="BC49" s="343"/>
      <c r="BD49" s="343"/>
      <c r="BE49" s="343"/>
      <c r="BF49" s="343"/>
      <c r="BG49" s="343"/>
      <c r="BH49" s="343"/>
      <c r="BI49" s="343"/>
      <c r="BJ49" s="343"/>
      <c r="BK49" s="343"/>
      <c r="BL49" s="343"/>
      <c r="BM49" s="343"/>
      <c r="BN49" s="343"/>
      <c r="BO49" s="343"/>
      <c r="BP49" s="343"/>
      <c r="BQ49" s="343"/>
      <c r="BR49" s="343"/>
      <c r="BS49" s="343"/>
      <c r="BT49" s="343"/>
      <c r="BU49" s="343"/>
      <c r="BV49" s="343"/>
      <c r="BW49" s="343"/>
      <c r="BX49" s="343"/>
      <c r="BY49" s="343"/>
      <c r="BZ49" s="343"/>
      <c r="CA49" s="343"/>
      <c r="CB49" s="343"/>
      <c r="CC49" s="343"/>
      <c r="CD49" s="343"/>
      <c r="CE49" s="343"/>
      <c r="CF49" s="343"/>
      <c r="CG49" s="343"/>
      <c r="CH49" s="417"/>
      <c r="CI49" s="417"/>
      <c r="CJ49" s="417"/>
      <c r="CK49" s="417"/>
      <c r="CL49" s="417"/>
      <c r="CM49" s="417"/>
      <c r="CN49" s="417"/>
      <c r="CO49" s="417"/>
      <c r="CP49" s="417"/>
      <c r="CQ49" s="417"/>
      <c r="CR49" s="417"/>
      <c r="CS49" s="417"/>
      <c r="CT49" s="417"/>
      <c r="CU49" s="417"/>
      <c r="CV49" s="417"/>
      <c r="CW49" s="417"/>
      <c r="CX49" s="417"/>
      <c r="CY49" s="417"/>
      <c r="CZ49" s="417"/>
      <c r="DA49" s="417"/>
      <c r="DB49" s="417"/>
      <c r="DC49" s="417"/>
      <c r="DD49" s="417"/>
      <c r="DE49" s="417"/>
      <c r="DF49" s="417"/>
      <c r="DG49" s="417"/>
      <c r="DH49" s="417"/>
      <c r="DI49" s="417"/>
      <c r="DJ49" s="417"/>
      <c r="DK49" s="417"/>
      <c r="DL49" s="417"/>
      <c r="DM49" s="417"/>
      <c r="DN49" s="417"/>
      <c r="DO49" s="417"/>
      <c r="DP49" s="417"/>
      <c r="DQ49" s="417"/>
      <c r="DR49" s="417"/>
      <c r="DS49" s="417"/>
      <c r="DT49" s="417"/>
      <c r="DU49" s="417"/>
      <c r="DV49" s="417"/>
      <c r="DW49" s="417"/>
      <c r="DX49" s="417"/>
      <c r="DY49" s="417"/>
      <c r="DZ49" s="417"/>
      <c r="EA49" s="417"/>
      <c r="EB49" s="417"/>
      <c r="EC49" s="417"/>
      <c r="ED49" s="417"/>
      <c r="EE49" s="417"/>
      <c r="EF49" s="417"/>
      <c r="EG49" s="417"/>
      <c r="EH49" s="417"/>
      <c r="EI49" s="417"/>
      <c r="EJ49" s="417"/>
      <c r="EK49" s="417"/>
      <c r="EL49" s="417"/>
      <c r="EM49" s="417"/>
      <c r="EN49" s="417"/>
      <c r="EO49" s="417"/>
      <c r="EP49" s="417"/>
      <c r="EQ49" s="417"/>
      <c r="ER49" s="417"/>
      <c r="ES49" s="417"/>
      <c r="ET49" s="417"/>
      <c r="EZ49" s="342"/>
    </row>
    <row r="50" spans="1:156" ht="18.75">
      <c r="A50" s="822"/>
      <c r="B50" s="343"/>
      <c r="C50" s="343"/>
      <c r="D50" s="343"/>
      <c r="E50" s="343"/>
      <c r="F50" s="343"/>
      <c r="G50" s="343"/>
      <c r="H50" s="343"/>
      <c r="I50" s="343"/>
      <c r="J50" s="343"/>
      <c r="K50" s="343"/>
      <c r="L50" s="343"/>
      <c r="M50" s="343"/>
      <c r="N50" s="343"/>
      <c r="O50" s="343"/>
      <c r="P50" s="343"/>
      <c r="Q50" s="343"/>
      <c r="R50" s="343"/>
      <c r="S50" s="343"/>
      <c r="T50" s="343"/>
      <c r="U50" s="343"/>
      <c r="V50" s="343"/>
      <c r="W50" s="343"/>
      <c r="X50" s="343"/>
      <c r="Y50" s="343"/>
      <c r="Z50" s="343"/>
      <c r="AA50" s="343"/>
      <c r="AB50" s="343"/>
      <c r="AC50" s="343"/>
      <c r="AD50" s="343"/>
      <c r="AE50" s="343"/>
      <c r="AF50" s="343"/>
      <c r="AG50" s="343"/>
      <c r="AH50" s="343"/>
      <c r="AI50" s="343"/>
      <c r="AJ50" s="343"/>
      <c r="AK50" s="343"/>
      <c r="AL50" s="343"/>
      <c r="AM50" s="343"/>
      <c r="AN50" s="343"/>
      <c r="AO50" s="343"/>
      <c r="AP50" s="343"/>
      <c r="AQ50" s="343"/>
      <c r="AR50" s="343"/>
      <c r="AS50" s="343"/>
      <c r="AT50" s="343"/>
      <c r="AU50" s="343"/>
      <c r="AV50" s="343"/>
      <c r="AW50" s="343"/>
      <c r="AX50" s="343"/>
      <c r="AY50" s="343"/>
      <c r="AZ50" s="343"/>
      <c r="BA50" s="343"/>
      <c r="BB50" s="343"/>
      <c r="BC50" s="343"/>
      <c r="BD50" s="343"/>
      <c r="BE50" s="343"/>
      <c r="BF50" s="343"/>
      <c r="BG50" s="343"/>
      <c r="BH50" s="343"/>
      <c r="BI50" s="343"/>
      <c r="BJ50" s="343"/>
      <c r="BK50" s="343"/>
      <c r="BL50" s="343"/>
      <c r="BM50" s="343"/>
      <c r="BN50" s="343"/>
      <c r="BO50" s="343"/>
      <c r="BP50" s="343"/>
      <c r="BQ50" s="343"/>
      <c r="BR50" s="343"/>
      <c r="BS50" s="343"/>
      <c r="BT50" s="343"/>
      <c r="BU50" s="343"/>
      <c r="BV50" s="343"/>
      <c r="BW50" s="343"/>
      <c r="BX50" s="343"/>
      <c r="BY50" s="343"/>
      <c r="BZ50" s="343"/>
      <c r="CA50" s="343"/>
      <c r="CB50" s="343"/>
      <c r="CC50" s="343"/>
      <c r="CD50" s="343"/>
      <c r="CE50" s="343"/>
      <c r="CF50" s="343"/>
      <c r="CG50" s="343"/>
      <c r="CH50" s="417"/>
      <c r="CI50" s="417"/>
      <c r="CJ50" s="417"/>
      <c r="CK50" s="417"/>
      <c r="CL50" s="417"/>
      <c r="CM50" s="417"/>
      <c r="CN50" s="417"/>
      <c r="CO50" s="417"/>
      <c r="CP50" s="417"/>
      <c r="CQ50" s="417"/>
      <c r="CR50" s="417"/>
      <c r="CS50" s="417"/>
      <c r="CT50" s="417"/>
      <c r="CU50" s="417"/>
      <c r="CV50" s="417"/>
      <c r="CW50" s="417"/>
      <c r="CX50" s="417"/>
      <c r="CY50" s="417"/>
      <c r="CZ50" s="417"/>
      <c r="DA50" s="417"/>
      <c r="DB50" s="417"/>
      <c r="DC50" s="417"/>
      <c r="DD50" s="417"/>
      <c r="DE50" s="417"/>
      <c r="DF50" s="417"/>
      <c r="DG50" s="417"/>
      <c r="DH50" s="417"/>
      <c r="DI50" s="417"/>
      <c r="DJ50" s="417"/>
      <c r="DK50" s="417"/>
      <c r="DL50" s="417"/>
      <c r="DM50" s="417"/>
      <c r="DN50" s="417"/>
      <c r="DO50" s="417"/>
      <c r="DP50" s="417"/>
      <c r="DQ50" s="417"/>
      <c r="DR50" s="417"/>
      <c r="DS50" s="417"/>
      <c r="DT50" s="417"/>
      <c r="DU50" s="417"/>
      <c r="DV50" s="417"/>
      <c r="DW50" s="417"/>
      <c r="DX50" s="417"/>
      <c r="DY50" s="417"/>
      <c r="DZ50" s="417"/>
      <c r="EA50" s="417"/>
      <c r="EB50" s="417"/>
      <c r="EC50" s="417"/>
      <c r="ED50" s="417"/>
      <c r="EE50" s="417"/>
      <c r="EF50" s="417"/>
      <c r="EG50" s="417"/>
      <c r="EH50" s="417"/>
      <c r="EI50" s="417"/>
      <c r="EJ50" s="417"/>
      <c r="EK50" s="417"/>
      <c r="EL50" s="417"/>
      <c r="EM50" s="417"/>
      <c r="EN50" s="417"/>
      <c r="EO50" s="417"/>
      <c r="EP50" s="417"/>
      <c r="EQ50" s="417"/>
      <c r="ER50" s="417"/>
      <c r="ES50" s="417"/>
      <c r="ET50" s="417"/>
      <c r="EZ50" s="342"/>
    </row>
    <row r="51" spans="1:156">
      <c r="A51" s="823"/>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c r="BS51" s="417"/>
      <c r="BT51" s="417"/>
      <c r="BU51" s="417"/>
      <c r="BV51" s="417"/>
      <c r="BW51" s="417"/>
      <c r="BX51" s="417"/>
      <c r="BY51" s="417"/>
      <c r="BZ51" s="417"/>
      <c r="CA51" s="417"/>
      <c r="CB51" s="417"/>
      <c r="CC51" s="417"/>
      <c r="CD51" s="417"/>
      <c r="CE51" s="417"/>
      <c r="CF51" s="417"/>
      <c r="CG51" s="417"/>
      <c r="CH51" s="417"/>
      <c r="CI51" s="417"/>
      <c r="CJ51" s="417"/>
      <c r="CK51" s="417"/>
      <c r="CL51" s="417"/>
      <c r="CM51" s="417"/>
      <c r="CN51" s="417"/>
      <c r="CO51" s="417"/>
      <c r="CP51" s="417"/>
      <c r="CQ51" s="417"/>
      <c r="CR51" s="417"/>
      <c r="CS51" s="417"/>
      <c r="CT51" s="417"/>
      <c r="CU51" s="417"/>
      <c r="CV51" s="417"/>
      <c r="CW51" s="417"/>
      <c r="CX51" s="417"/>
      <c r="CY51" s="417"/>
      <c r="CZ51" s="417"/>
      <c r="DA51" s="417"/>
      <c r="DB51" s="417"/>
      <c r="DC51" s="417"/>
      <c r="DD51" s="417"/>
      <c r="DE51" s="417"/>
      <c r="DF51" s="417"/>
      <c r="DG51" s="417"/>
      <c r="DH51" s="417"/>
      <c r="DI51" s="417"/>
      <c r="DJ51" s="417"/>
      <c r="DK51" s="417"/>
      <c r="DL51" s="417"/>
      <c r="DM51" s="417"/>
      <c r="DN51" s="417"/>
      <c r="DO51" s="417"/>
      <c r="DP51" s="417"/>
      <c r="DQ51" s="417"/>
      <c r="DR51" s="417"/>
      <c r="DS51" s="417"/>
      <c r="DT51" s="417"/>
      <c r="DU51" s="417"/>
      <c r="DV51" s="417"/>
      <c r="DW51" s="417"/>
      <c r="DX51" s="417"/>
      <c r="DY51" s="417"/>
      <c r="DZ51" s="417"/>
      <c r="EA51" s="417"/>
      <c r="EB51" s="417"/>
      <c r="EC51" s="417"/>
      <c r="ED51" s="417"/>
      <c r="EE51" s="417"/>
      <c r="EF51" s="417"/>
      <c r="EG51" s="417"/>
      <c r="EH51" s="417"/>
      <c r="EI51" s="417"/>
      <c r="EJ51" s="417"/>
      <c r="EK51" s="417"/>
      <c r="EL51" s="417"/>
      <c r="EM51" s="417"/>
      <c r="EN51" s="417"/>
      <c r="EO51" s="417"/>
      <c r="EP51" s="417"/>
      <c r="EQ51" s="417"/>
      <c r="ER51" s="417"/>
      <c r="ES51" s="417"/>
      <c r="ET51" s="417"/>
      <c r="EZ51" s="342"/>
    </row>
    <row r="52" spans="1:156">
      <c r="A52" s="823"/>
      <c r="B52" s="417"/>
      <c r="C52" s="417"/>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c r="AC52" s="417"/>
      <c r="AD52" s="417"/>
      <c r="AE52" s="417"/>
      <c r="AF52" s="417"/>
      <c r="AG52" s="417"/>
      <c r="AH52" s="417"/>
      <c r="AI52" s="417"/>
      <c r="AJ52" s="417"/>
      <c r="AK52" s="417"/>
      <c r="AL52" s="417"/>
      <c r="AM52" s="417"/>
      <c r="AN52" s="417"/>
      <c r="AO52" s="417"/>
      <c r="AP52" s="417"/>
      <c r="AQ52" s="417"/>
      <c r="AR52" s="417"/>
      <c r="AS52" s="417"/>
      <c r="AT52" s="417"/>
      <c r="AU52" s="417"/>
      <c r="AV52" s="417"/>
      <c r="AW52" s="417"/>
      <c r="AX52" s="417"/>
      <c r="AY52" s="417"/>
      <c r="AZ52" s="417"/>
      <c r="BA52" s="417"/>
      <c r="BB52" s="417"/>
      <c r="BC52" s="417"/>
      <c r="BD52" s="417"/>
      <c r="BE52" s="417"/>
      <c r="BF52" s="417"/>
      <c r="BG52" s="417"/>
      <c r="BH52" s="417"/>
      <c r="BI52" s="417"/>
      <c r="BJ52" s="417"/>
      <c r="BK52" s="417"/>
      <c r="BL52" s="417"/>
      <c r="BM52" s="417"/>
      <c r="BN52" s="417"/>
      <c r="BO52" s="417"/>
      <c r="BP52" s="417"/>
      <c r="BQ52" s="417"/>
      <c r="BR52" s="417"/>
      <c r="BS52" s="417"/>
      <c r="BT52" s="417"/>
      <c r="BU52" s="417"/>
      <c r="BV52" s="417"/>
      <c r="BW52" s="417"/>
      <c r="BX52" s="417"/>
      <c r="BY52" s="417"/>
      <c r="BZ52" s="417"/>
      <c r="CA52" s="417"/>
      <c r="CB52" s="417"/>
      <c r="CC52" s="417"/>
      <c r="CD52" s="417"/>
      <c r="CE52" s="417"/>
      <c r="CF52" s="417"/>
      <c r="CG52" s="417"/>
      <c r="CH52" s="417"/>
      <c r="CI52" s="417"/>
      <c r="CJ52" s="417"/>
      <c r="CK52" s="417"/>
      <c r="CL52" s="417"/>
      <c r="CM52" s="417"/>
      <c r="CN52" s="417"/>
      <c r="CO52" s="417"/>
      <c r="CP52" s="417"/>
      <c r="CQ52" s="417"/>
      <c r="CR52" s="417"/>
      <c r="CS52" s="417"/>
      <c r="CT52" s="417"/>
      <c r="CU52" s="417"/>
      <c r="CV52" s="417"/>
      <c r="CW52" s="417"/>
      <c r="CX52" s="417"/>
      <c r="CY52" s="417"/>
      <c r="CZ52" s="417"/>
      <c r="DA52" s="417"/>
      <c r="DB52" s="417"/>
      <c r="DC52" s="417"/>
      <c r="DD52" s="417"/>
      <c r="DE52" s="417"/>
      <c r="DF52" s="417"/>
      <c r="DG52" s="417"/>
      <c r="DH52" s="417"/>
      <c r="DI52" s="417"/>
      <c r="DJ52" s="417"/>
      <c r="DK52" s="417"/>
      <c r="DL52" s="417"/>
      <c r="DM52" s="417"/>
      <c r="DN52" s="417"/>
      <c r="DO52" s="417"/>
      <c r="DP52" s="417"/>
      <c r="DQ52" s="417"/>
      <c r="DR52" s="417"/>
      <c r="DS52" s="417"/>
      <c r="DT52" s="417"/>
      <c r="DU52" s="417"/>
      <c r="DV52" s="417"/>
      <c r="DW52" s="417"/>
      <c r="DX52" s="417"/>
      <c r="DY52" s="417"/>
      <c r="DZ52" s="417"/>
      <c r="EA52" s="417"/>
      <c r="EB52" s="417"/>
      <c r="EC52" s="417"/>
      <c r="ED52" s="417"/>
      <c r="EE52" s="417"/>
      <c r="EF52" s="417"/>
      <c r="EG52" s="417"/>
      <c r="EH52" s="417"/>
      <c r="EI52" s="417"/>
      <c r="EJ52" s="417"/>
      <c r="EK52" s="417"/>
      <c r="EL52" s="417"/>
      <c r="EM52" s="417"/>
      <c r="EN52" s="417"/>
      <c r="EO52" s="417"/>
      <c r="EP52" s="417"/>
      <c r="EQ52" s="417"/>
      <c r="ER52" s="417"/>
      <c r="ES52" s="417"/>
      <c r="ET52" s="417"/>
      <c r="EZ52" s="342"/>
    </row>
    <row r="53" spans="1:156">
      <c r="A53" s="823"/>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7"/>
      <c r="AQ53" s="417"/>
      <c r="AR53" s="417"/>
      <c r="AS53" s="417"/>
      <c r="AT53" s="417"/>
      <c r="AU53" s="417"/>
      <c r="AV53" s="417"/>
      <c r="AW53" s="417"/>
      <c r="AX53" s="417"/>
      <c r="AY53" s="417"/>
      <c r="AZ53" s="417"/>
      <c r="BA53" s="417"/>
      <c r="BB53" s="417"/>
      <c r="BC53" s="417"/>
      <c r="BD53" s="417"/>
      <c r="BE53" s="417"/>
      <c r="BF53" s="417"/>
      <c r="BG53" s="417"/>
      <c r="BH53" s="417"/>
      <c r="BI53" s="417"/>
      <c r="BJ53" s="417"/>
      <c r="BK53" s="417"/>
      <c r="BL53" s="417"/>
      <c r="BM53" s="417"/>
      <c r="BN53" s="417"/>
      <c r="BO53" s="417"/>
      <c r="BP53" s="417"/>
      <c r="BQ53" s="417"/>
      <c r="BR53" s="417"/>
      <c r="BS53" s="417"/>
      <c r="BT53" s="417"/>
      <c r="BU53" s="417"/>
      <c r="BV53" s="417"/>
      <c r="BW53" s="417"/>
      <c r="BX53" s="417"/>
      <c r="BY53" s="417"/>
      <c r="BZ53" s="417"/>
      <c r="CA53" s="417"/>
      <c r="CB53" s="417"/>
      <c r="CC53" s="417"/>
      <c r="CD53" s="417"/>
      <c r="CE53" s="417"/>
      <c r="CF53" s="417"/>
      <c r="CG53" s="417"/>
      <c r="CH53" s="417"/>
      <c r="CI53" s="417"/>
      <c r="CJ53" s="417"/>
      <c r="CK53" s="417"/>
      <c r="CL53" s="417"/>
      <c r="CM53" s="417"/>
      <c r="CN53" s="417"/>
      <c r="CO53" s="417"/>
      <c r="CP53" s="417"/>
      <c r="CQ53" s="417"/>
      <c r="CR53" s="417"/>
      <c r="CS53" s="417"/>
      <c r="CT53" s="417"/>
      <c r="CU53" s="417"/>
      <c r="CV53" s="417"/>
      <c r="CW53" s="417"/>
      <c r="CX53" s="417"/>
      <c r="CY53" s="417"/>
      <c r="CZ53" s="417"/>
      <c r="DA53" s="417"/>
      <c r="DB53" s="417"/>
      <c r="DC53" s="417"/>
      <c r="DD53" s="417"/>
      <c r="DE53" s="417"/>
      <c r="DF53" s="417"/>
      <c r="DG53" s="417"/>
      <c r="DH53" s="417"/>
      <c r="DI53" s="417"/>
      <c r="DJ53" s="417"/>
      <c r="DK53" s="417"/>
      <c r="DL53" s="417"/>
      <c r="DM53" s="417"/>
      <c r="DN53" s="417"/>
      <c r="DO53" s="417"/>
      <c r="DP53" s="417"/>
      <c r="DQ53" s="417"/>
      <c r="DR53" s="417"/>
      <c r="DS53" s="417"/>
      <c r="DT53" s="417"/>
      <c r="DU53" s="417"/>
      <c r="DV53" s="417"/>
      <c r="DW53" s="417"/>
      <c r="DX53" s="417"/>
      <c r="DY53" s="417"/>
      <c r="DZ53" s="417"/>
      <c r="EA53" s="417"/>
      <c r="EB53" s="417"/>
      <c r="EC53" s="417"/>
      <c r="ED53" s="417"/>
      <c r="EE53" s="417"/>
      <c r="EF53" s="417"/>
      <c r="EG53" s="417"/>
      <c r="EH53" s="417"/>
      <c r="EI53" s="417"/>
      <c r="EJ53" s="417"/>
      <c r="EK53" s="417"/>
      <c r="EL53" s="417"/>
      <c r="EM53" s="417"/>
      <c r="EN53" s="417"/>
      <c r="EO53" s="417"/>
      <c r="EP53" s="417"/>
      <c r="EQ53" s="417"/>
      <c r="ER53" s="417"/>
      <c r="ES53" s="417"/>
      <c r="ET53" s="417"/>
      <c r="EZ53" s="342"/>
    </row>
    <row r="54" spans="1:156">
      <c r="A54" s="823"/>
      <c r="B54" s="417"/>
      <c r="C54" s="417"/>
      <c r="D54" s="417"/>
      <c r="E54" s="417"/>
      <c r="F54" s="417"/>
      <c r="G54" s="417"/>
      <c r="H54" s="417"/>
      <c r="I54" s="417"/>
      <c r="J54" s="417"/>
      <c r="K54" s="417"/>
      <c r="L54" s="417"/>
      <c r="M54" s="417"/>
      <c r="N54" s="417"/>
      <c r="O54" s="417"/>
      <c r="P54" s="417"/>
      <c r="Q54" s="417"/>
      <c r="R54" s="417"/>
      <c r="S54" s="417"/>
      <c r="T54" s="417"/>
      <c r="U54" s="417"/>
      <c r="V54" s="417"/>
      <c r="W54" s="417"/>
      <c r="X54" s="417"/>
      <c r="Y54" s="417"/>
      <c r="Z54" s="417"/>
      <c r="AA54" s="417"/>
      <c r="AB54" s="417"/>
      <c r="AC54" s="417"/>
      <c r="AD54" s="417"/>
      <c r="AE54" s="417"/>
      <c r="AF54" s="417"/>
      <c r="AG54" s="417"/>
      <c r="AH54" s="417"/>
      <c r="AI54" s="417"/>
      <c r="AJ54" s="417"/>
      <c r="AK54" s="417"/>
      <c r="AL54" s="417"/>
      <c r="AM54" s="417"/>
      <c r="AN54" s="417"/>
      <c r="AO54" s="417"/>
      <c r="AP54" s="417"/>
      <c r="AQ54" s="417"/>
      <c r="AR54" s="417"/>
      <c r="AS54" s="417"/>
      <c r="AT54" s="417"/>
      <c r="AU54" s="417"/>
      <c r="AV54" s="417"/>
      <c r="AW54" s="417"/>
      <c r="AX54" s="417"/>
      <c r="AY54" s="417"/>
      <c r="AZ54" s="417"/>
      <c r="BA54" s="417"/>
      <c r="BB54" s="417"/>
      <c r="BC54" s="417"/>
      <c r="BD54" s="417"/>
      <c r="BE54" s="417"/>
      <c r="BF54" s="417"/>
      <c r="BG54" s="417"/>
      <c r="BH54" s="417"/>
      <c r="BI54" s="417"/>
      <c r="BJ54" s="417"/>
      <c r="BK54" s="417"/>
      <c r="BL54" s="417"/>
      <c r="BM54" s="417"/>
      <c r="BN54" s="417"/>
      <c r="BO54" s="417"/>
      <c r="BP54" s="417"/>
      <c r="BQ54" s="417"/>
      <c r="BR54" s="417"/>
      <c r="BS54" s="417"/>
      <c r="BT54" s="417"/>
      <c r="BU54" s="417"/>
      <c r="BV54" s="417"/>
      <c r="BW54" s="417"/>
      <c r="BX54" s="417"/>
      <c r="BY54" s="417"/>
      <c r="BZ54" s="417"/>
      <c r="CA54" s="417"/>
      <c r="CB54" s="417"/>
      <c r="CC54" s="417"/>
      <c r="CD54" s="417"/>
      <c r="CE54" s="417"/>
      <c r="CF54" s="417"/>
      <c r="CG54" s="417"/>
      <c r="CH54" s="417"/>
      <c r="CI54" s="417"/>
      <c r="CJ54" s="417"/>
      <c r="CK54" s="417"/>
      <c r="CL54" s="417"/>
      <c r="CM54" s="417"/>
      <c r="CN54" s="417"/>
      <c r="CO54" s="417"/>
      <c r="CP54" s="417"/>
      <c r="CQ54" s="417"/>
      <c r="CR54" s="417"/>
      <c r="CS54" s="417"/>
      <c r="CT54" s="417"/>
      <c r="CU54" s="417"/>
      <c r="CV54" s="417"/>
      <c r="CW54" s="417"/>
      <c r="CX54" s="417"/>
      <c r="CY54" s="417"/>
      <c r="CZ54" s="417"/>
      <c r="DA54" s="417"/>
      <c r="DB54" s="417"/>
      <c r="DC54" s="417"/>
      <c r="DD54" s="417"/>
      <c r="DE54" s="417"/>
      <c r="DF54" s="417"/>
      <c r="DG54" s="417"/>
      <c r="DH54" s="417"/>
      <c r="DI54" s="417"/>
      <c r="DJ54" s="417"/>
      <c r="DK54" s="417"/>
      <c r="DL54" s="417"/>
      <c r="DM54" s="417"/>
      <c r="DN54" s="417"/>
      <c r="DO54" s="417"/>
      <c r="DP54" s="417"/>
      <c r="DQ54" s="417"/>
      <c r="DR54" s="417"/>
      <c r="DS54" s="417"/>
      <c r="DT54" s="417"/>
      <c r="DU54" s="417"/>
      <c r="DV54" s="417"/>
      <c r="DW54" s="417"/>
      <c r="DX54" s="417"/>
      <c r="DY54" s="417"/>
      <c r="DZ54" s="417"/>
      <c r="EA54" s="417"/>
      <c r="EB54" s="417"/>
      <c r="EC54" s="417"/>
      <c r="ED54" s="417"/>
      <c r="EE54" s="417"/>
      <c r="EF54" s="417"/>
      <c r="EG54" s="417"/>
      <c r="EH54" s="417"/>
      <c r="EI54" s="417"/>
      <c r="EJ54" s="417"/>
      <c r="EK54" s="417"/>
      <c r="EL54" s="417"/>
      <c r="EM54" s="417"/>
      <c r="EN54" s="417"/>
      <c r="EO54" s="417"/>
      <c r="EP54" s="417"/>
      <c r="EQ54" s="417"/>
      <c r="ER54" s="417"/>
      <c r="ES54" s="417"/>
      <c r="ET54" s="417"/>
      <c r="EZ54" s="342"/>
    </row>
    <row r="55" spans="1:156">
      <c r="A55" s="823"/>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c r="AM55" s="417"/>
      <c r="AN55" s="417"/>
      <c r="AO55" s="417"/>
      <c r="AP55" s="417"/>
      <c r="AQ55" s="417"/>
      <c r="AR55" s="417"/>
      <c r="AS55" s="417"/>
      <c r="AT55" s="417"/>
      <c r="AU55" s="417"/>
      <c r="AV55" s="417"/>
      <c r="AW55" s="417"/>
      <c r="AX55" s="417"/>
      <c r="AY55" s="417"/>
      <c r="AZ55" s="417"/>
      <c r="BA55" s="417"/>
      <c r="BB55" s="417"/>
      <c r="BC55" s="417"/>
      <c r="BD55" s="417"/>
      <c r="BE55" s="417"/>
      <c r="BF55" s="417"/>
      <c r="BG55" s="417"/>
      <c r="BH55" s="417"/>
      <c r="BI55" s="417"/>
      <c r="BJ55" s="417"/>
      <c r="BK55" s="417"/>
      <c r="BL55" s="417"/>
      <c r="BM55" s="417"/>
      <c r="BN55" s="417"/>
      <c r="BO55" s="417"/>
      <c r="BP55" s="417"/>
      <c r="BQ55" s="417"/>
      <c r="BR55" s="417"/>
      <c r="BS55" s="417"/>
      <c r="BT55" s="417"/>
      <c r="BU55" s="417"/>
      <c r="BV55" s="417"/>
      <c r="BW55" s="417"/>
      <c r="BX55" s="417"/>
      <c r="BY55" s="417"/>
      <c r="BZ55" s="417"/>
      <c r="CA55" s="417"/>
      <c r="CB55" s="417"/>
      <c r="CC55" s="417"/>
      <c r="CD55" s="417"/>
      <c r="CE55" s="417"/>
      <c r="CF55" s="417"/>
      <c r="CG55" s="417"/>
      <c r="CH55" s="417"/>
      <c r="CI55" s="417"/>
      <c r="CJ55" s="417"/>
      <c r="CK55" s="417"/>
      <c r="CL55" s="417"/>
      <c r="CM55" s="417"/>
      <c r="CN55" s="417"/>
      <c r="CO55" s="417"/>
      <c r="CP55" s="417"/>
      <c r="CQ55" s="417"/>
      <c r="CR55" s="417"/>
      <c r="CS55" s="417"/>
      <c r="CT55" s="417"/>
      <c r="CU55" s="417"/>
      <c r="CV55" s="417"/>
      <c r="CW55" s="417"/>
      <c r="CX55" s="417"/>
      <c r="CY55" s="417"/>
      <c r="CZ55" s="417"/>
      <c r="DA55" s="417"/>
      <c r="DB55" s="417"/>
      <c r="DC55" s="417"/>
      <c r="DD55" s="417"/>
      <c r="DE55" s="417"/>
      <c r="DF55" s="417"/>
      <c r="DG55" s="417"/>
      <c r="DH55" s="417"/>
      <c r="DI55" s="417"/>
      <c r="DJ55" s="417"/>
      <c r="DK55" s="417"/>
      <c r="DL55" s="417"/>
      <c r="DM55" s="417"/>
      <c r="DN55" s="417"/>
      <c r="DO55" s="417"/>
      <c r="DP55" s="417"/>
      <c r="DQ55" s="417"/>
      <c r="DR55" s="417"/>
      <c r="DS55" s="417"/>
      <c r="DT55" s="417"/>
      <c r="DU55" s="417"/>
      <c r="DV55" s="417"/>
      <c r="DW55" s="417"/>
      <c r="DX55" s="417"/>
      <c r="DY55" s="417"/>
      <c r="DZ55" s="417"/>
      <c r="EA55" s="417"/>
      <c r="EB55" s="417"/>
      <c r="EC55" s="417"/>
      <c r="ED55" s="417"/>
      <c r="EE55" s="417"/>
      <c r="EF55" s="417"/>
      <c r="EG55" s="417"/>
      <c r="EH55" s="417"/>
      <c r="EI55" s="417"/>
      <c r="EJ55" s="417"/>
      <c r="EK55" s="417"/>
      <c r="EL55" s="417"/>
      <c r="EM55" s="417"/>
      <c r="EN55" s="417"/>
      <c r="EO55" s="417"/>
      <c r="EP55" s="417"/>
      <c r="EQ55" s="417"/>
      <c r="ER55" s="417"/>
      <c r="ES55" s="417"/>
      <c r="ET55" s="417"/>
      <c r="EZ55" s="342"/>
    </row>
    <row r="56" spans="1:156">
      <c r="A56" s="823"/>
      <c r="B56" s="417"/>
      <c r="C56" s="417"/>
      <c r="D56" s="417"/>
      <c r="E56" s="417"/>
      <c r="F56" s="417"/>
      <c r="G56" s="417"/>
      <c r="H56" s="417"/>
      <c r="I56" s="417"/>
      <c r="J56" s="417"/>
      <c r="K56" s="417"/>
      <c r="L56" s="417"/>
      <c r="M56" s="417"/>
      <c r="N56" s="417"/>
      <c r="O56" s="417"/>
      <c r="P56" s="417"/>
      <c r="Q56" s="417"/>
      <c r="R56" s="417"/>
      <c r="S56" s="417"/>
      <c r="T56" s="417"/>
      <c r="U56" s="417"/>
      <c r="V56" s="417"/>
      <c r="W56" s="417"/>
      <c r="X56" s="417"/>
      <c r="Y56" s="417"/>
      <c r="Z56" s="417"/>
      <c r="AA56" s="417"/>
      <c r="AB56" s="417"/>
      <c r="AC56" s="417"/>
      <c r="AD56" s="417"/>
      <c r="AE56" s="417"/>
      <c r="AF56" s="417"/>
      <c r="AG56" s="417"/>
      <c r="AH56" s="417"/>
      <c r="AI56" s="417"/>
      <c r="AJ56" s="417"/>
      <c r="AK56" s="417"/>
      <c r="AL56" s="417"/>
      <c r="AM56" s="417"/>
      <c r="AN56" s="417"/>
      <c r="AO56" s="417"/>
      <c r="AP56" s="417"/>
      <c r="AQ56" s="417"/>
      <c r="AR56" s="417"/>
      <c r="AS56" s="417"/>
      <c r="AT56" s="417"/>
      <c r="AU56" s="417"/>
      <c r="AV56" s="417"/>
      <c r="AW56" s="417"/>
      <c r="AX56" s="417"/>
      <c r="AY56" s="417"/>
      <c r="AZ56" s="417"/>
      <c r="BA56" s="417"/>
      <c r="BB56" s="417"/>
      <c r="BC56" s="417"/>
      <c r="BD56" s="417"/>
      <c r="BE56" s="417"/>
      <c r="BF56" s="417"/>
      <c r="BG56" s="417"/>
      <c r="BH56" s="417"/>
      <c r="BI56" s="417"/>
      <c r="BJ56" s="417"/>
      <c r="BK56" s="417"/>
      <c r="BL56" s="417"/>
      <c r="BM56" s="417"/>
      <c r="BN56" s="417"/>
      <c r="BO56" s="417"/>
      <c r="BP56" s="417"/>
      <c r="BQ56" s="417"/>
      <c r="BR56" s="417"/>
      <c r="BS56" s="417"/>
      <c r="BT56" s="417"/>
      <c r="BU56" s="417"/>
      <c r="BV56" s="417"/>
      <c r="BW56" s="417"/>
      <c r="BX56" s="417"/>
      <c r="BY56" s="417"/>
      <c r="BZ56" s="417"/>
      <c r="CA56" s="417"/>
      <c r="CB56" s="417"/>
      <c r="CC56" s="417"/>
      <c r="CD56" s="417"/>
      <c r="CE56" s="417"/>
      <c r="CF56" s="417"/>
      <c r="CG56" s="417"/>
      <c r="CH56" s="417"/>
      <c r="CI56" s="417"/>
      <c r="CJ56" s="417"/>
      <c r="CK56" s="417"/>
      <c r="CL56" s="417"/>
      <c r="CM56" s="417"/>
      <c r="CN56" s="417"/>
      <c r="CO56" s="417"/>
      <c r="CP56" s="417"/>
      <c r="CQ56" s="417"/>
      <c r="CR56" s="417"/>
      <c r="CS56" s="417"/>
      <c r="CT56" s="417"/>
      <c r="CU56" s="417"/>
      <c r="CV56" s="417"/>
      <c r="CW56" s="417"/>
      <c r="CX56" s="417"/>
      <c r="CY56" s="417"/>
      <c r="CZ56" s="417"/>
      <c r="DA56" s="417"/>
      <c r="DB56" s="417"/>
      <c r="DC56" s="417"/>
      <c r="DD56" s="417"/>
      <c r="DE56" s="417"/>
      <c r="DF56" s="417"/>
      <c r="DG56" s="417"/>
      <c r="DH56" s="417"/>
      <c r="DI56" s="417"/>
      <c r="DJ56" s="417"/>
      <c r="DK56" s="417"/>
      <c r="DL56" s="417"/>
      <c r="DM56" s="417"/>
      <c r="DN56" s="417"/>
      <c r="DO56" s="417"/>
      <c r="DP56" s="417"/>
      <c r="DQ56" s="417"/>
      <c r="DR56" s="417"/>
      <c r="DS56" s="417"/>
      <c r="DT56" s="417"/>
      <c r="DU56" s="417"/>
      <c r="DV56" s="417"/>
      <c r="DW56" s="417"/>
      <c r="DX56" s="417"/>
      <c r="DY56" s="417"/>
      <c r="DZ56" s="417"/>
      <c r="EA56" s="417"/>
      <c r="EB56" s="417"/>
      <c r="EC56" s="417"/>
      <c r="ED56" s="417"/>
      <c r="EE56" s="417"/>
      <c r="EF56" s="417"/>
      <c r="EG56" s="417"/>
      <c r="EH56" s="417"/>
      <c r="EI56" s="417"/>
      <c r="EJ56" s="417"/>
      <c r="EK56" s="417"/>
      <c r="EL56" s="417"/>
      <c r="EM56" s="417"/>
      <c r="EN56" s="417"/>
      <c r="EO56" s="417"/>
      <c r="EP56" s="417"/>
      <c r="EQ56" s="417"/>
      <c r="ER56" s="417"/>
      <c r="ES56" s="417"/>
      <c r="ET56" s="417"/>
      <c r="EZ56" s="342"/>
    </row>
    <row r="57" spans="1:156">
      <c r="EZ57" s="342"/>
    </row>
    <row r="58" spans="1:156">
      <c r="EZ58" s="342"/>
    </row>
    <row r="59" spans="1:156">
      <c r="EZ59" s="342"/>
    </row>
    <row r="60" spans="1:156">
      <c r="EZ60" s="342"/>
    </row>
    <row r="61" spans="1:156">
      <c r="EZ61" s="342"/>
    </row>
    <row r="62" spans="1:156">
      <c r="EZ62" s="342"/>
    </row>
    <row r="63" spans="1:156">
      <c r="EZ63" s="342"/>
    </row>
  </sheetData>
  <mergeCells count="15">
    <mergeCell ref="A2:EU2"/>
    <mergeCell ref="A3:EU3"/>
    <mergeCell ref="A6:A8"/>
    <mergeCell ref="EU6:EU8"/>
    <mergeCell ref="A36:ET36"/>
    <mergeCell ref="A5:ET5"/>
    <mergeCell ref="B6:M6"/>
    <mergeCell ref="N6:Y6"/>
    <mergeCell ref="Z6:AK6"/>
    <mergeCell ref="AV6:AW6"/>
    <mergeCell ref="BV6:CG6"/>
    <mergeCell ref="CT6:DE6"/>
    <mergeCell ref="DF6:DQ6"/>
    <mergeCell ref="DR6:EC6"/>
    <mergeCell ref="EP6:ET6"/>
  </mergeCells>
  <pageMargins left="0.7" right="0.7" top="0.75" bottom="0.75" header="0.3" footer="0.3"/>
  <pageSetup scale="24"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7">
    <tabColor rgb="FF92D050"/>
  </sheetPr>
  <dimension ref="A1:KC48"/>
  <sheetViews>
    <sheetView showGridLines="0" view="pageBreakPreview" topLeftCell="A3" zoomScale="66" zoomScaleNormal="100" zoomScaleSheetLayoutView="66" workbookViewId="0">
      <selection activeCell="EU39" sqref="EU39"/>
    </sheetView>
  </sheetViews>
  <sheetFormatPr defaultColWidth="9.140625" defaultRowHeight="14.25"/>
  <cols>
    <col min="1" max="1" width="61.42578125" style="825" customWidth="1"/>
    <col min="2" max="12" width="13.5703125" style="379" hidden="1" customWidth="1"/>
    <col min="13" max="13" width="19" style="379" hidden="1" customWidth="1"/>
    <col min="14" max="23" width="13.5703125" style="379" hidden="1" customWidth="1"/>
    <col min="24" max="24" width="13.28515625" style="379" hidden="1" customWidth="1"/>
    <col min="25" max="25" width="18.140625" style="379" hidden="1" customWidth="1"/>
    <col min="26" max="33" width="14.7109375" style="379" hidden="1" customWidth="1"/>
    <col min="34" max="34" width="17.85546875" style="379" hidden="1" customWidth="1"/>
    <col min="35" max="35" width="19.7109375" style="379" hidden="1" customWidth="1"/>
    <col min="36" max="36" width="17.28515625" style="379" hidden="1" customWidth="1"/>
    <col min="37" max="37" width="16.85546875" style="379" hidden="1" customWidth="1"/>
    <col min="38" max="44" width="14.7109375" style="379" hidden="1" customWidth="1"/>
    <col min="45" max="60" width="16.7109375" style="379" hidden="1" customWidth="1"/>
    <col min="61" max="61" width="13.140625" style="379" customWidth="1"/>
    <col min="62" max="72" width="16.7109375" style="379" hidden="1" customWidth="1"/>
    <col min="73" max="73" width="13.140625" style="379" customWidth="1"/>
    <col min="74" max="84" width="16.7109375" style="379" hidden="1" customWidth="1"/>
    <col min="85" max="85" width="13.140625" style="379" customWidth="1"/>
    <col min="86" max="90" width="14.85546875" style="379" hidden="1" customWidth="1"/>
    <col min="91" max="96" width="16.28515625" style="379" hidden="1" customWidth="1"/>
    <col min="97" max="97" width="13.140625" style="379" customWidth="1"/>
    <col min="98" max="108" width="13.140625" style="379" hidden="1" customWidth="1"/>
    <col min="109" max="109" width="13.140625" style="379" customWidth="1"/>
    <col min="110" max="120" width="13.140625" style="379" hidden="1" customWidth="1"/>
    <col min="121" max="121" width="13.140625" style="379" customWidth="1"/>
    <col min="122" max="132" width="13.140625" style="379" hidden="1" customWidth="1"/>
    <col min="133" max="133" width="13.140625" style="379" customWidth="1"/>
    <col min="134" max="144" width="13.140625" style="379" hidden="1" customWidth="1"/>
    <col min="145" max="150" width="13.140625" style="379" customWidth="1"/>
    <col min="151" max="151" width="51.140625" style="379" customWidth="1"/>
    <col min="152" max="153" width="9.140625" style="379"/>
    <col min="154" max="154" width="0" style="379" hidden="1" customWidth="1"/>
    <col min="155" max="16384" width="9.140625" style="379"/>
  </cols>
  <sheetData>
    <row r="1" spans="1:289" ht="20.25" customHeight="1"/>
    <row r="2" spans="1:289" ht="27.6" customHeight="1">
      <c r="A2" s="2488" t="s">
        <v>3299</v>
      </c>
      <c r="B2" s="2488"/>
      <c r="C2" s="2488"/>
      <c r="D2" s="2488"/>
      <c r="E2" s="2488"/>
      <c r="F2" s="2488"/>
      <c r="G2" s="2488"/>
      <c r="H2" s="2488"/>
      <c r="I2" s="2488"/>
      <c r="J2" s="2488"/>
      <c r="K2" s="2488"/>
      <c r="L2" s="2488"/>
      <c r="M2" s="2488"/>
      <c r="N2" s="2488"/>
      <c r="O2" s="2488"/>
      <c r="P2" s="2488"/>
      <c r="Q2" s="2488"/>
      <c r="R2" s="2488"/>
      <c r="S2" s="2488"/>
      <c r="T2" s="2488"/>
      <c r="U2" s="2488"/>
      <c r="V2" s="2488"/>
      <c r="W2" s="2488"/>
      <c r="X2" s="2488"/>
      <c r="Y2" s="2488"/>
      <c r="Z2" s="2488"/>
      <c r="AA2" s="2488"/>
      <c r="AB2" s="2488"/>
      <c r="AC2" s="2488"/>
      <c r="AD2" s="2488"/>
      <c r="AE2" s="2488"/>
      <c r="AF2" s="2488"/>
      <c r="AG2" s="2488"/>
      <c r="AH2" s="2488"/>
      <c r="AI2" s="2488"/>
      <c r="AJ2" s="2488"/>
      <c r="AK2" s="2488"/>
      <c r="AL2" s="2488"/>
      <c r="AM2" s="2488"/>
      <c r="AN2" s="2488"/>
      <c r="AO2" s="2488"/>
      <c r="AP2" s="2488"/>
      <c r="AQ2" s="2488"/>
      <c r="AR2" s="2488"/>
      <c r="AS2" s="2488"/>
      <c r="AT2" s="2488"/>
      <c r="AU2" s="2488"/>
      <c r="AV2" s="2488"/>
      <c r="AW2" s="2488"/>
      <c r="AX2" s="2488"/>
      <c r="AY2" s="2488"/>
      <c r="AZ2" s="2488"/>
      <c r="BA2" s="2488"/>
      <c r="BB2" s="2488"/>
      <c r="BC2" s="2488"/>
      <c r="BD2" s="2488"/>
      <c r="BE2" s="2488"/>
      <c r="BF2" s="2488"/>
      <c r="BG2" s="2488"/>
      <c r="BH2" s="2488"/>
      <c r="BI2" s="2488"/>
      <c r="BJ2" s="2488"/>
      <c r="BK2" s="2488"/>
      <c r="BL2" s="2488"/>
      <c r="BM2" s="2488"/>
      <c r="BN2" s="2488"/>
      <c r="BO2" s="2488"/>
      <c r="BP2" s="2488"/>
      <c r="BQ2" s="2488"/>
      <c r="BR2" s="2488"/>
      <c r="BS2" s="2488"/>
      <c r="BT2" s="2488"/>
      <c r="BU2" s="2488"/>
      <c r="BV2" s="2488"/>
      <c r="BW2" s="2488"/>
      <c r="BX2" s="2488"/>
      <c r="BY2" s="2488"/>
      <c r="BZ2" s="2488"/>
      <c r="CA2" s="2488"/>
      <c r="CB2" s="2488"/>
      <c r="CC2" s="2488"/>
      <c r="CD2" s="2488"/>
      <c r="CE2" s="2488"/>
      <c r="CF2" s="2488"/>
      <c r="CG2" s="2488"/>
      <c r="CH2" s="2488"/>
      <c r="CI2" s="2488"/>
      <c r="CJ2" s="2488"/>
      <c r="CK2" s="2488"/>
      <c r="CL2" s="2488"/>
      <c r="CM2" s="2488"/>
      <c r="CN2" s="2488"/>
      <c r="CO2" s="2488"/>
      <c r="CP2" s="2488"/>
      <c r="CQ2" s="2488"/>
      <c r="CR2" s="2488"/>
      <c r="CS2" s="2488"/>
      <c r="CT2" s="2488"/>
      <c r="CU2" s="2488"/>
      <c r="CV2" s="2488"/>
      <c r="CW2" s="2488"/>
      <c r="CX2" s="2488"/>
      <c r="CY2" s="2488"/>
      <c r="CZ2" s="2488"/>
      <c r="DA2" s="2488"/>
      <c r="DB2" s="2488"/>
      <c r="DC2" s="2488"/>
      <c r="DD2" s="2488"/>
      <c r="DE2" s="2488"/>
      <c r="DF2" s="2488"/>
      <c r="DG2" s="2488"/>
      <c r="DH2" s="2488"/>
      <c r="DI2" s="2488"/>
      <c r="DJ2" s="2488"/>
      <c r="DK2" s="2488"/>
      <c r="DL2" s="2488"/>
      <c r="DM2" s="2488"/>
      <c r="DN2" s="2488"/>
      <c r="DO2" s="2488"/>
      <c r="DP2" s="2488"/>
      <c r="DQ2" s="2488"/>
      <c r="DR2" s="2488"/>
      <c r="DS2" s="2488"/>
      <c r="DT2" s="2488"/>
      <c r="DU2" s="2488"/>
      <c r="DV2" s="2488"/>
      <c r="DW2" s="2488"/>
      <c r="DX2" s="2488"/>
      <c r="DY2" s="2488"/>
      <c r="DZ2" s="2488"/>
      <c r="EA2" s="2488"/>
      <c r="EB2" s="2488"/>
      <c r="EC2" s="2488"/>
      <c r="ED2" s="2488"/>
      <c r="EE2" s="2488"/>
      <c r="EF2" s="2488"/>
      <c r="EG2" s="2488"/>
      <c r="EH2" s="2488"/>
      <c r="EI2" s="2488"/>
      <c r="EJ2" s="2488"/>
      <c r="EK2" s="2488"/>
      <c r="EL2" s="2488"/>
      <c r="EM2" s="2488"/>
      <c r="EN2" s="2488"/>
      <c r="EO2" s="2488"/>
      <c r="EP2" s="2488"/>
      <c r="EQ2" s="2488"/>
      <c r="ER2" s="2488"/>
      <c r="ES2" s="2488"/>
      <c r="ET2" s="2488"/>
      <c r="EU2" s="2488"/>
    </row>
    <row r="3" spans="1:289" ht="43.5" customHeight="1">
      <c r="A3" s="2474" t="s">
        <v>3291</v>
      </c>
      <c r="B3" s="2474"/>
      <c r="C3" s="2474"/>
      <c r="D3" s="2474"/>
      <c r="E3" s="2474"/>
      <c r="F3" s="2474"/>
      <c r="G3" s="2474"/>
      <c r="H3" s="2474"/>
      <c r="I3" s="2474"/>
      <c r="J3" s="2474"/>
      <c r="K3" s="2474"/>
      <c r="L3" s="2474"/>
      <c r="M3" s="2474"/>
      <c r="N3" s="2474"/>
      <c r="O3" s="2474"/>
      <c r="P3" s="2474"/>
      <c r="Q3" s="2474"/>
      <c r="R3" s="2474"/>
      <c r="S3" s="2474"/>
      <c r="T3" s="2474"/>
      <c r="U3" s="2474"/>
      <c r="V3" s="2474"/>
      <c r="W3" s="2474"/>
      <c r="X3" s="2474"/>
      <c r="Y3" s="2474"/>
      <c r="Z3" s="2474"/>
      <c r="AA3" s="2474"/>
      <c r="AB3" s="2474"/>
      <c r="AC3" s="2474"/>
      <c r="AD3" s="2474"/>
      <c r="AE3" s="2474"/>
      <c r="AF3" s="2474"/>
      <c r="AG3" s="2474"/>
      <c r="AH3" s="2474"/>
      <c r="AI3" s="2474"/>
      <c r="AJ3" s="2474"/>
      <c r="AK3" s="2474"/>
      <c r="AL3" s="2474"/>
      <c r="AM3" s="2474"/>
      <c r="AN3" s="2474"/>
      <c r="AO3" s="2474"/>
      <c r="AP3" s="2474"/>
      <c r="AQ3" s="2474"/>
      <c r="AR3" s="2474"/>
      <c r="AS3" s="2474"/>
      <c r="AT3" s="2474"/>
      <c r="AU3" s="2474"/>
      <c r="AV3" s="2474"/>
      <c r="AW3" s="2474"/>
      <c r="AX3" s="2474"/>
      <c r="AY3" s="2474"/>
      <c r="AZ3" s="2474"/>
      <c r="BA3" s="2474"/>
      <c r="BB3" s="2474"/>
      <c r="BC3" s="2474"/>
      <c r="BD3" s="2474"/>
      <c r="BE3" s="2474"/>
      <c r="BF3" s="2474"/>
      <c r="BG3" s="2474"/>
      <c r="BH3" s="2474"/>
      <c r="BI3" s="2474"/>
      <c r="BJ3" s="2474"/>
      <c r="BK3" s="2474"/>
      <c r="BL3" s="2474"/>
      <c r="BM3" s="2474"/>
      <c r="BN3" s="2474"/>
      <c r="BO3" s="2474"/>
      <c r="BP3" s="2474"/>
      <c r="BQ3" s="2474"/>
      <c r="BR3" s="2474"/>
      <c r="BS3" s="2474"/>
      <c r="BT3" s="2474"/>
      <c r="BU3" s="2474"/>
      <c r="BV3" s="2474"/>
      <c r="BW3" s="2474"/>
      <c r="BX3" s="2474"/>
      <c r="BY3" s="2474"/>
      <c r="BZ3" s="2474"/>
      <c r="CA3" s="2474"/>
      <c r="CB3" s="2474"/>
      <c r="CC3" s="2474"/>
      <c r="CD3" s="2474"/>
      <c r="CE3" s="2474"/>
      <c r="CF3" s="2474"/>
      <c r="CG3" s="2474"/>
      <c r="CH3" s="2474"/>
      <c r="CI3" s="2474"/>
      <c r="CJ3" s="2474"/>
      <c r="CK3" s="2474"/>
      <c r="CL3" s="2474"/>
      <c r="CM3" s="2474"/>
      <c r="CN3" s="2474"/>
      <c r="CO3" s="2474"/>
      <c r="CP3" s="2474"/>
      <c r="CQ3" s="2474"/>
      <c r="CR3" s="2474"/>
      <c r="CS3" s="2474"/>
      <c r="CT3" s="2474"/>
      <c r="CU3" s="2474"/>
      <c r="CV3" s="2474"/>
      <c r="CW3" s="2474"/>
      <c r="CX3" s="2474"/>
      <c r="CY3" s="2474"/>
      <c r="CZ3" s="2474"/>
      <c r="DA3" s="2474"/>
      <c r="DB3" s="2474"/>
      <c r="DC3" s="2474"/>
      <c r="DD3" s="2474"/>
      <c r="DE3" s="2474"/>
      <c r="DF3" s="2474"/>
      <c r="DG3" s="2474"/>
      <c r="DH3" s="2474"/>
      <c r="DI3" s="2474"/>
      <c r="DJ3" s="2474"/>
      <c r="DK3" s="2474"/>
      <c r="DL3" s="2474"/>
      <c r="DM3" s="2474"/>
      <c r="DN3" s="2474"/>
      <c r="DO3" s="2474"/>
      <c r="DP3" s="2474"/>
      <c r="DQ3" s="2474"/>
      <c r="DR3" s="2474"/>
      <c r="DS3" s="2474"/>
      <c r="DT3" s="2474"/>
      <c r="DU3" s="2474"/>
      <c r="DV3" s="2474"/>
      <c r="DW3" s="2474"/>
      <c r="DX3" s="2474"/>
      <c r="DY3" s="2474"/>
      <c r="DZ3" s="2474"/>
      <c r="EA3" s="2474"/>
      <c r="EB3" s="2474"/>
      <c r="EC3" s="2474"/>
      <c r="ED3" s="2474"/>
      <c r="EE3" s="2474"/>
      <c r="EF3" s="2474"/>
      <c r="EG3" s="2474"/>
      <c r="EH3" s="2474"/>
      <c r="EI3" s="2474"/>
      <c r="EJ3" s="2474"/>
      <c r="EK3" s="2474"/>
      <c r="EL3" s="2474"/>
      <c r="EM3" s="2474"/>
      <c r="EN3" s="2474"/>
      <c r="EO3" s="2474"/>
      <c r="EP3" s="2474"/>
      <c r="EQ3" s="2474"/>
      <c r="ER3" s="2474"/>
      <c r="ES3" s="2474"/>
      <c r="ET3" s="2474"/>
      <c r="EU3" s="2474"/>
    </row>
    <row r="4" spans="1:289" ht="21.75" customHeight="1">
      <c r="A4" s="809"/>
      <c r="B4" s="541"/>
      <c r="C4" s="541"/>
      <c r="D4" s="541"/>
      <c r="E4" s="541"/>
      <c r="F4" s="541"/>
      <c r="G4" s="541"/>
      <c r="H4" s="541"/>
      <c r="I4" s="541"/>
      <c r="J4" s="541"/>
      <c r="K4" s="541"/>
      <c r="L4" s="541"/>
      <c r="M4" s="541"/>
      <c r="N4" s="541"/>
      <c r="O4" s="541"/>
      <c r="P4" s="541"/>
      <c r="Q4" s="541"/>
      <c r="R4" s="541"/>
      <c r="S4" s="541"/>
      <c r="T4" s="541"/>
      <c r="U4" s="541"/>
      <c r="V4" s="541"/>
      <c r="W4" s="541"/>
      <c r="X4" s="541"/>
      <c r="Y4" s="541"/>
      <c r="Z4" s="541"/>
      <c r="AA4" s="541"/>
      <c r="AB4" s="541"/>
      <c r="AC4" s="541"/>
      <c r="AD4" s="541"/>
      <c r="AE4" s="541"/>
      <c r="AF4" s="541"/>
      <c r="AG4" s="541"/>
      <c r="AH4" s="541"/>
      <c r="AI4" s="541"/>
      <c r="AJ4" s="541"/>
      <c r="AK4" s="541"/>
      <c r="AL4" s="541"/>
      <c r="AM4" s="541"/>
      <c r="AN4" s="541"/>
      <c r="AO4" s="541"/>
      <c r="AP4" s="541"/>
      <c r="AQ4" s="541"/>
      <c r="AR4" s="541"/>
      <c r="AS4" s="541"/>
      <c r="AT4" s="541"/>
      <c r="AU4" s="541"/>
      <c r="AV4" s="541"/>
      <c r="AW4" s="541"/>
      <c r="AX4" s="541"/>
      <c r="AY4" s="541"/>
      <c r="AZ4" s="541"/>
      <c r="BA4" s="541"/>
      <c r="BB4" s="541"/>
      <c r="BC4" s="541"/>
      <c r="BD4" s="541"/>
      <c r="BE4" s="541"/>
      <c r="BF4" s="541"/>
      <c r="BG4" s="541"/>
      <c r="BH4" s="541"/>
      <c r="BI4" s="541"/>
      <c r="BJ4" s="541"/>
      <c r="BK4" s="541"/>
      <c r="BL4" s="541"/>
      <c r="BM4" s="541"/>
      <c r="BN4" s="541"/>
      <c r="BO4" s="541"/>
      <c r="BP4" s="541"/>
      <c r="BQ4" s="541"/>
      <c r="BR4" s="541"/>
      <c r="BS4" s="541"/>
      <c r="BT4" s="541"/>
      <c r="BU4" s="541"/>
      <c r="BV4" s="541"/>
      <c r="BW4" s="541"/>
      <c r="BX4" s="541"/>
      <c r="BY4" s="541"/>
      <c r="BZ4" s="541"/>
      <c r="CA4" s="541"/>
      <c r="CB4" s="541"/>
      <c r="CC4" s="541"/>
      <c r="CD4" s="541"/>
      <c r="CE4" s="541"/>
      <c r="CF4" s="541"/>
      <c r="CG4" s="541"/>
      <c r="CH4" s="541"/>
      <c r="CI4" s="541"/>
      <c r="CJ4" s="541"/>
      <c r="CK4" s="541"/>
      <c r="CL4" s="541"/>
      <c r="CM4" s="541"/>
      <c r="CN4" s="541"/>
      <c r="CO4" s="541"/>
      <c r="CP4" s="541"/>
      <c r="CQ4" s="541"/>
      <c r="CR4" s="541"/>
      <c r="CS4" s="541"/>
      <c r="CT4" s="541"/>
      <c r="CU4" s="541"/>
      <c r="CV4" s="541"/>
      <c r="CW4" s="541"/>
      <c r="CX4" s="541"/>
      <c r="CY4" s="541"/>
      <c r="CZ4" s="541"/>
      <c r="DA4" s="541"/>
      <c r="DB4" s="541"/>
      <c r="DC4" s="541"/>
      <c r="DD4" s="541"/>
      <c r="DE4" s="541"/>
      <c r="DF4" s="541"/>
      <c r="DG4" s="541"/>
      <c r="DH4" s="541"/>
      <c r="DI4" s="541"/>
      <c r="DJ4" s="541"/>
      <c r="DK4" s="541"/>
      <c r="DL4" s="541"/>
      <c r="DM4" s="541"/>
      <c r="DN4" s="541"/>
      <c r="DO4" s="541"/>
      <c r="DP4" s="541"/>
      <c r="DQ4" s="541"/>
      <c r="DR4" s="541"/>
      <c r="DS4" s="541"/>
      <c r="DT4" s="541"/>
      <c r="DU4" s="541"/>
      <c r="DV4" s="541"/>
      <c r="DW4" s="541"/>
      <c r="DX4" s="541"/>
      <c r="DY4" s="541"/>
      <c r="DZ4" s="541"/>
      <c r="EA4" s="541"/>
      <c r="EB4" s="541"/>
      <c r="EC4" s="541"/>
      <c r="ED4" s="541"/>
      <c r="EE4" s="541"/>
      <c r="EF4" s="541"/>
      <c r="EG4" s="541"/>
      <c r="EH4" s="541"/>
      <c r="EI4" s="541"/>
      <c r="EJ4" s="541"/>
      <c r="EK4" s="541"/>
      <c r="EL4" s="541"/>
      <c r="EM4" s="541"/>
      <c r="EN4" s="541"/>
      <c r="EO4" s="541"/>
      <c r="EP4" s="541"/>
      <c r="EQ4" s="541"/>
      <c r="ER4" s="541"/>
      <c r="ES4" s="541"/>
      <c r="ET4" s="541"/>
      <c r="EU4" s="809"/>
      <c r="EV4" s="339"/>
      <c r="EW4" s="339"/>
      <c r="EX4" s="339"/>
      <c r="EY4" s="339"/>
      <c r="EZ4" s="339"/>
      <c r="FA4" s="339"/>
      <c r="FB4" s="339"/>
      <c r="FC4" s="339"/>
      <c r="FD4" s="339"/>
      <c r="FE4" s="339"/>
      <c r="FF4" s="339"/>
      <c r="FG4" s="339"/>
      <c r="FH4" s="339"/>
      <c r="FI4" s="339"/>
      <c r="FJ4" s="339"/>
      <c r="FK4" s="339"/>
      <c r="FL4" s="339"/>
      <c r="FM4" s="339"/>
      <c r="FN4" s="339"/>
      <c r="FO4" s="339"/>
      <c r="FP4" s="339"/>
      <c r="FQ4" s="339"/>
      <c r="FR4" s="339"/>
      <c r="FS4" s="339"/>
      <c r="FT4" s="339"/>
      <c r="FU4" s="339"/>
      <c r="FV4" s="339"/>
      <c r="FW4" s="339"/>
      <c r="FX4" s="339"/>
      <c r="FY4" s="339"/>
      <c r="FZ4" s="339"/>
      <c r="GA4" s="339"/>
      <c r="GB4" s="339"/>
      <c r="GC4" s="339"/>
      <c r="GD4" s="339"/>
      <c r="GE4" s="339"/>
      <c r="GF4" s="339"/>
      <c r="GG4" s="339"/>
      <c r="GH4" s="339"/>
      <c r="GI4" s="339"/>
      <c r="GJ4" s="339"/>
      <c r="GK4" s="339"/>
      <c r="GL4" s="339"/>
      <c r="GM4" s="339"/>
      <c r="GN4" s="339"/>
      <c r="GO4" s="339"/>
      <c r="GP4" s="339"/>
      <c r="GQ4" s="339"/>
      <c r="GR4" s="339"/>
      <c r="GS4" s="339"/>
      <c r="GT4" s="339"/>
      <c r="GU4" s="339"/>
      <c r="GV4" s="339"/>
      <c r="GW4" s="339"/>
      <c r="GX4" s="339"/>
      <c r="GY4" s="339"/>
      <c r="GZ4" s="339"/>
      <c r="HA4" s="339"/>
      <c r="HB4" s="339"/>
      <c r="HC4" s="339"/>
      <c r="HD4" s="339"/>
      <c r="HE4" s="339"/>
      <c r="HF4" s="339"/>
      <c r="HG4" s="339"/>
      <c r="HH4" s="339"/>
      <c r="HI4" s="339"/>
      <c r="HJ4" s="339"/>
      <c r="HK4" s="339"/>
      <c r="HL4" s="339"/>
      <c r="HM4" s="339"/>
      <c r="HN4" s="339"/>
      <c r="HO4" s="339"/>
      <c r="HP4" s="339"/>
      <c r="HQ4" s="339"/>
      <c r="HR4" s="339"/>
      <c r="HS4" s="339"/>
      <c r="HT4" s="339"/>
      <c r="HU4" s="339"/>
      <c r="HV4" s="339"/>
      <c r="HW4" s="339"/>
      <c r="HX4" s="339"/>
      <c r="HY4" s="339"/>
      <c r="HZ4" s="339"/>
      <c r="IA4" s="339"/>
      <c r="IB4" s="339"/>
      <c r="IC4" s="339"/>
      <c r="ID4" s="339"/>
      <c r="IE4" s="339"/>
      <c r="IF4" s="339"/>
      <c r="IG4" s="339"/>
      <c r="IH4" s="339"/>
      <c r="II4" s="339"/>
      <c r="IJ4" s="339"/>
      <c r="IK4" s="339"/>
      <c r="IL4" s="339"/>
      <c r="IM4" s="339"/>
      <c r="IN4" s="339"/>
      <c r="IO4" s="339"/>
      <c r="IP4" s="339"/>
      <c r="IQ4" s="339"/>
      <c r="IR4" s="339"/>
      <c r="IS4" s="339"/>
      <c r="IT4" s="339"/>
      <c r="IU4" s="339"/>
      <c r="IV4" s="339"/>
      <c r="IW4" s="339"/>
      <c r="IX4" s="339"/>
      <c r="IY4" s="339"/>
      <c r="IZ4" s="339"/>
      <c r="JA4" s="339"/>
      <c r="JB4" s="339"/>
      <c r="JC4" s="339"/>
      <c r="JD4" s="339"/>
      <c r="JE4" s="339"/>
      <c r="JF4" s="339"/>
      <c r="JG4" s="339"/>
      <c r="JH4" s="339"/>
      <c r="JI4" s="339"/>
      <c r="JJ4" s="339"/>
      <c r="JK4" s="339"/>
      <c r="JL4" s="339"/>
      <c r="JM4" s="339"/>
      <c r="JN4" s="339"/>
      <c r="JO4" s="339"/>
      <c r="JP4" s="339"/>
      <c r="JQ4" s="339"/>
      <c r="JR4" s="339"/>
      <c r="JS4" s="339"/>
      <c r="JT4" s="339"/>
      <c r="JU4" s="339"/>
      <c r="JV4" s="339"/>
      <c r="JW4" s="339"/>
      <c r="JX4" s="339"/>
      <c r="JY4" s="339"/>
      <c r="JZ4" s="339"/>
      <c r="KA4" s="339"/>
      <c r="KB4" s="339"/>
      <c r="KC4" s="339"/>
    </row>
    <row r="5" spans="1:289" ht="21.75" customHeight="1">
      <c r="A5" s="2526"/>
      <c r="B5" s="2526"/>
      <c r="C5" s="2526"/>
      <c r="D5" s="2526"/>
      <c r="E5" s="2526"/>
      <c r="F5" s="2526"/>
      <c r="G5" s="2526"/>
      <c r="H5" s="2526"/>
      <c r="I5" s="2526"/>
      <c r="J5" s="2526"/>
      <c r="K5" s="2526"/>
      <c r="L5" s="2526"/>
      <c r="M5" s="2526"/>
      <c r="N5" s="2526"/>
      <c r="O5" s="2526"/>
      <c r="P5" s="2526"/>
      <c r="Q5" s="2526"/>
      <c r="R5" s="2526"/>
      <c r="S5" s="2526"/>
      <c r="T5" s="2526"/>
      <c r="U5" s="2526"/>
      <c r="V5" s="2526"/>
      <c r="W5" s="2526"/>
      <c r="X5" s="2526"/>
      <c r="Y5" s="2526"/>
      <c r="Z5" s="2526"/>
      <c r="AA5" s="2526"/>
      <c r="AB5" s="2526"/>
      <c r="AC5" s="2526"/>
      <c r="AD5" s="2526"/>
      <c r="AE5" s="2526"/>
      <c r="AF5" s="2526"/>
      <c r="AG5" s="2526"/>
      <c r="AH5" s="2526"/>
      <c r="AI5" s="2526"/>
      <c r="AJ5" s="2526"/>
      <c r="AK5" s="2526"/>
      <c r="AL5" s="2526"/>
      <c r="AM5" s="2526"/>
      <c r="AN5" s="2526"/>
      <c r="AO5" s="2526"/>
      <c r="AP5" s="2526"/>
      <c r="AQ5" s="2526"/>
      <c r="AR5" s="2526"/>
      <c r="AS5" s="2526"/>
      <c r="AT5" s="2526"/>
      <c r="AU5" s="2526"/>
      <c r="AV5" s="2526"/>
      <c r="AW5" s="2526"/>
      <c r="AX5" s="2526"/>
      <c r="AY5" s="2526"/>
      <c r="AZ5" s="2526"/>
      <c r="BA5" s="2526"/>
      <c r="BB5" s="2526"/>
      <c r="BC5" s="2526"/>
      <c r="BD5" s="2526"/>
      <c r="BE5" s="2526"/>
      <c r="BF5" s="2526"/>
      <c r="BG5" s="2526"/>
      <c r="BH5" s="2526"/>
      <c r="BI5" s="2526"/>
      <c r="BJ5" s="2526"/>
      <c r="BK5" s="2526"/>
      <c r="BL5" s="2526"/>
      <c r="BM5" s="2526"/>
      <c r="BN5" s="2526"/>
      <c r="BO5" s="2526"/>
      <c r="BP5" s="2526"/>
      <c r="BQ5" s="2526"/>
      <c r="BR5" s="2526"/>
      <c r="BS5" s="2526"/>
      <c r="BT5" s="2526"/>
      <c r="BU5" s="2526"/>
      <c r="BV5" s="2526"/>
      <c r="BW5" s="2526"/>
      <c r="BX5" s="2526"/>
      <c r="BY5" s="2526"/>
      <c r="BZ5" s="2526"/>
      <c r="CA5" s="2526"/>
      <c r="CB5" s="2526"/>
      <c r="CC5" s="2526"/>
      <c r="CD5" s="2526"/>
      <c r="CE5" s="2526"/>
      <c r="CF5" s="2526"/>
      <c r="CG5" s="2526"/>
      <c r="CH5" s="2526"/>
      <c r="CI5" s="2526"/>
      <c r="CJ5" s="2526"/>
      <c r="CK5" s="2526"/>
      <c r="CL5" s="2526"/>
      <c r="CM5" s="2526"/>
      <c r="CN5" s="2526"/>
      <c r="CO5" s="2526"/>
      <c r="CP5" s="2526"/>
      <c r="CQ5" s="2526"/>
      <c r="CR5" s="2526"/>
      <c r="CS5" s="2526"/>
      <c r="CT5" s="2526"/>
      <c r="CU5" s="2526"/>
      <c r="CV5" s="2526"/>
      <c r="CW5" s="2526"/>
      <c r="CX5" s="2526"/>
      <c r="CY5" s="2526"/>
      <c r="CZ5" s="2526"/>
      <c r="DA5" s="2526"/>
      <c r="DB5" s="2526"/>
      <c r="DC5" s="2526"/>
      <c r="DD5" s="2526"/>
      <c r="DE5" s="2526"/>
      <c r="DF5" s="2526"/>
      <c r="DG5" s="2526"/>
      <c r="DH5" s="2526"/>
      <c r="DI5" s="2526"/>
      <c r="DJ5" s="2526"/>
      <c r="DK5" s="2526"/>
      <c r="DL5" s="2526"/>
      <c r="DM5" s="2526"/>
      <c r="DN5" s="2526"/>
      <c r="DO5" s="2526"/>
      <c r="DP5" s="2526"/>
      <c r="DQ5" s="2526"/>
      <c r="DR5" s="2526"/>
      <c r="DS5" s="2526"/>
      <c r="DT5" s="2526"/>
      <c r="DU5" s="2526"/>
      <c r="DV5" s="2526"/>
      <c r="DW5" s="2526"/>
      <c r="DX5" s="2526"/>
      <c r="DY5" s="2526"/>
      <c r="DZ5" s="2526"/>
      <c r="EA5" s="2526"/>
      <c r="EB5" s="2526"/>
      <c r="EC5" s="2526"/>
      <c r="ED5" s="2526"/>
      <c r="EE5" s="2526"/>
      <c r="EF5" s="2526"/>
      <c r="EG5" s="2526"/>
      <c r="EH5" s="2526"/>
      <c r="EI5" s="2526"/>
      <c r="EJ5" s="2526"/>
      <c r="EK5" s="2526"/>
      <c r="EL5" s="2526"/>
      <c r="EM5" s="2526"/>
      <c r="EN5" s="2526"/>
      <c r="EO5" s="2526"/>
      <c r="EP5" s="2526"/>
      <c r="EQ5" s="2526"/>
      <c r="ER5" s="2526"/>
      <c r="ES5" s="2526"/>
      <c r="ET5" s="2526"/>
      <c r="EU5" s="1917" t="s">
        <v>158</v>
      </c>
      <c r="EV5" s="1927"/>
      <c r="EW5" s="1927"/>
      <c r="EX5" s="1927"/>
      <c r="EY5" s="1927"/>
      <c r="EZ5" s="1927"/>
      <c r="FA5" s="1927"/>
      <c r="FB5" s="1927"/>
      <c r="FC5" s="1927"/>
      <c r="FD5" s="1927"/>
      <c r="FE5" s="1927"/>
      <c r="FF5" s="1927"/>
      <c r="FG5" s="1927"/>
      <c r="FH5" s="1927"/>
      <c r="FI5" s="1927"/>
      <c r="FJ5" s="1927"/>
      <c r="FK5" s="1927"/>
      <c r="FL5" s="1927"/>
      <c r="FM5" s="1927"/>
      <c r="FN5" s="1927"/>
      <c r="FO5" s="1927"/>
      <c r="FP5" s="1927"/>
      <c r="FQ5" s="1927"/>
      <c r="FR5" s="1927"/>
      <c r="FS5" s="1927"/>
      <c r="FT5" s="1927"/>
      <c r="FU5" s="1927"/>
      <c r="FV5" s="1927"/>
      <c r="FW5" s="1927"/>
      <c r="FX5" s="1927"/>
      <c r="FY5" s="1927"/>
      <c r="FZ5" s="1927"/>
      <c r="GA5" s="1927"/>
      <c r="GB5" s="1927"/>
      <c r="GC5" s="1927"/>
      <c r="GD5" s="1927"/>
      <c r="GE5" s="1927"/>
      <c r="GF5" s="1927"/>
      <c r="GG5" s="1927"/>
      <c r="GH5" s="1927"/>
      <c r="GI5" s="1927"/>
      <c r="GJ5" s="1927"/>
      <c r="GK5" s="1927"/>
      <c r="GL5" s="1927"/>
      <c r="GM5" s="1927"/>
      <c r="GN5" s="1927"/>
      <c r="GO5" s="1927"/>
      <c r="GP5" s="1927"/>
      <c r="GQ5" s="1927"/>
      <c r="GR5" s="1927"/>
      <c r="GS5" s="1927"/>
      <c r="GT5" s="1927"/>
      <c r="GU5" s="1927"/>
      <c r="GV5" s="1927"/>
      <c r="GW5" s="1927"/>
      <c r="GX5" s="1927"/>
      <c r="GY5" s="1927"/>
      <c r="GZ5" s="1927"/>
      <c r="HA5" s="1927"/>
      <c r="HB5" s="1927"/>
      <c r="HC5" s="1927"/>
      <c r="HD5" s="1927"/>
      <c r="HE5" s="1927"/>
      <c r="HF5" s="1927"/>
      <c r="HG5" s="1927"/>
      <c r="HH5" s="1927"/>
      <c r="HI5" s="1927"/>
      <c r="HJ5" s="1927"/>
      <c r="HK5" s="1927"/>
      <c r="HL5" s="1927"/>
      <c r="HM5" s="1927"/>
      <c r="HN5" s="1927"/>
      <c r="HO5" s="1927"/>
      <c r="HP5" s="1927"/>
      <c r="HQ5" s="1927"/>
      <c r="HR5" s="1927"/>
      <c r="HS5" s="1927"/>
      <c r="HT5" s="1927"/>
      <c r="HU5" s="1927"/>
      <c r="HV5" s="1927"/>
      <c r="HW5" s="1927"/>
      <c r="HX5" s="1927"/>
      <c r="HY5" s="1927"/>
      <c r="HZ5" s="1927"/>
      <c r="IA5" s="1927"/>
      <c r="IB5" s="1927"/>
      <c r="IC5" s="1927"/>
      <c r="ID5" s="1927"/>
      <c r="IE5" s="1927"/>
      <c r="IF5" s="1927"/>
      <c r="IG5" s="1927"/>
      <c r="IH5" s="1927"/>
      <c r="II5" s="1927"/>
      <c r="IJ5" s="1927"/>
      <c r="IK5" s="1927"/>
      <c r="IL5" s="1927"/>
      <c r="IM5" s="1927"/>
      <c r="IN5" s="1927"/>
      <c r="IO5" s="1927"/>
      <c r="IP5" s="1927"/>
      <c r="IQ5" s="1927"/>
      <c r="IR5" s="1927"/>
      <c r="IS5" s="1927"/>
      <c r="IT5" s="1927"/>
      <c r="IU5" s="1927"/>
      <c r="IV5" s="1927"/>
      <c r="IW5" s="1927"/>
      <c r="IX5" s="1927"/>
      <c r="IY5" s="1927"/>
      <c r="IZ5" s="1927"/>
      <c r="JA5" s="1927"/>
      <c r="JB5" s="1927"/>
      <c r="JC5" s="1927"/>
      <c r="JD5" s="1927"/>
      <c r="JE5" s="1927"/>
      <c r="JF5" s="1927"/>
      <c r="JG5" s="1927"/>
      <c r="JH5" s="1927"/>
      <c r="JI5" s="1927"/>
      <c r="JJ5" s="1927"/>
      <c r="JK5" s="1927"/>
      <c r="JL5" s="1927"/>
      <c r="JM5" s="1927"/>
      <c r="JN5" s="1927"/>
      <c r="JO5" s="1927"/>
      <c r="JP5" s="1927"/>
      <c r="JQ5" s="1927"/>
      <c r="JR5" s="1927"/>
      <c r="JS5" s="1927"/>
      <c r="JT5" s="1927"/>
      <c r="JU5" s="1927"/>
      <c r="JV5" s="1927"/>
      <c r="JW5" s="1927"/>
      <c r="JX5" s="1927"/>
      <c r="JY5" s="1927"/>
      <c r="JZ5" s="1927"/>
      <c r="KA5" s="1927"/>
      <c r="KB5" s="1927"/>
      <c r="KC5" s="1927"/>
    </row>
    <row r="6" spans="1:289" ht="30.75" customHeight="1">
      <c r="A6" s="2522"/>
      <c r="B6" s="2494">
        <v>2013</v>
      </c>
      <c r="C6" s="2494"/>
      <c r="D6" s="2494"/>
      <c r="E6" s="2494"/>
      <c r="F6" s="2494"/>
      <c r="G6" s="2494"/>
      <c r="H6" s="2494"/>
      <c r="I6" s="2494"/>
      <c r="J6" s="2494"/>
      <c r="K6" s="2494"/>
      <c r="L6" s="2494"/>
      <c r="M6" s="2494">
        <v>2013</v>
      </c>
      <c r="N6" s="2494">
        <v>2014</v>
      </c>
      <c r="O6" s="2494"/>
      <c r="P6" s="2494"/>
      <c r="Q6" s="2494"/>
      <c r="R6" s="2494"/>
      <c r="S6" s="2494"/>
      <c r="T6" s="2494"/>
      <c r="U6" s="2494"/>
      <c r="V6" s="2494"/>
      <c r="W6" s="2494"/>
      <c r="X6" s="2494"/>
      <c r="Y6" s="2494">
        <v>2014</v>
      </c>
      <c r="Z6" s="2494">
        <v>2015</v>
      </c>
      <c r="AA6" s="2494"/>
      <c r="AB6" s="2494">
        <v>2015</v>
      </c>
      <c r="AC6" s="2494"/>
      <c r="AD6" s="2494"/>
      <c r="AE6" s="2494"/>
      <c r="AF6" s="2494"/>
      <c r="AG6" s="2494"/>
      <c r="AH6" s="2494"/>
      <c r="AI6" s="2494"/>
      <c r="AJ6" s="2494"/>
      <c r="AK6" s="2494"/>
      <c r="AL6" s="848">
        <v>2016</v>
      </c>
      <c r="AM6" s="848"/>
      <c r="AN6" s="848"/>
      <c r="AO6" s="848"/>
      <c r="AP6" s="848"/>
      <c r="AQ6" s="848"/>
      <c r="AR6" s="848"/>
      <c r="AS6" s="848"/>
      <c r="AT6" s="848"/>
      <c r="AU6" s="848"/>
      <c r="AV6" s="2494">
        <v>2016</v>
      </c>
      <c r="AW6" s="2494"/>
      <c r="AX6" s="848">
        <v>2017</v>
      </c>
      <c r="AY6" s="848"/>
      <c r="AZ6" s="848"/>
      <c r="BA6" s="848"/>
      <c r="BB6" s="848"/>
      <c r="BC6" s="848"/>
      <c r="BD6" s="848"/>
      <c r="BE6" s="848"/>
      <c r="BF6" s="848"/>
      <c r="BG6" s="848"/>
      <c r="BH6" s="888"/>
      <c r="BI6" s="891">
        <v>2017</v>
      </c>
      <c r="BJ6" s="892">
        <v>2018</v>
      </c>
      <c r="BK6" s="892"/>
      <c r="BL6" s="892"/>
      <c r="BM6" s="892"/>
      <c r="BN6" s="892"/>
      <c r="BO6" s="892"/>
      <c r="BP6" s="892"/>
      <c r="BQ6" s="892"/>
      <c r="BR6" s="892"/>
      <c r="BS6" s="892"/>
      <c r="BT6" s="892"/>
      <c r="BU6" s="891">
        <v>2018</v>
      </c>
      <c r="BV6" s="2519">
        <v>2019</v>
      </c>
      <c r="BW6" s="2519"/>
      <c r="BX6" s="2519"/>
      <c r="BY6" s="2519"/>
      <c r="BZ6" s="2519"/>
      <c r="CA6" s="2519"/>
      <c r="CB6" s="2519"/>
      <c r="CC6" s="2519"/>
      <c r="CD6" s="2519"/>
      <c r="CE6" s="2519"/>
      <c r="CF6" s="2519"/>
      <c r="CG6" s="2519"/>
      <c r="CH6" s="893">
        <v>2020</v>
      </c>
      <c r="CI6" s="893">
        <v>2020</v>
      </c>
      <c r="CJ6" s="893">
        <v>2020</v>
      </c>
      <c r="CK6" s="893">
        <v>2020</v>
      </c>
      <c r="CL6" s="893">
        <v>2020</v>
      </c>
      <c r="CM6" s="893">
        <v>2020</v>
      </c>
      <c r="CN6" s="893">
        <v>2020</v>
      </c>
      <c r="CO6" s="893">
        <v>2020</v>
      </c>
      <c r="CP6" s="893">
        <v>2020</v>
      </c>
      <c r="CQ6" s="893">
        <v>2020</v>
      </c>
      <c r="CR6" s="893">
        <v>2020</v>
      </c>
      <c r="CS6" s="893">
        <v>2020</v>
      </c>
      <c r="CT6" s="2496">
        <v>2021</v>
      </c>
      <c r="CU6" s="2497"/>
      <c r="CV6" s="2497"/>
      <c r="CW6" s="2497"/>
      <c r="CX6" s="2497"/>
      <c r="CY6" s="2497"/>
      <c r="CZ6" s="2497"/>
      <c r="DA6" s="2497"/>
      <c r="DB6" s="2497"/>
      <c r="DC6" s="2497"/>
      <c r="DD6" s="2497"/>
      <c r="DE6" s="2498"/>
      <c r="DF6" s="2499">
        <v>2022</v>
      </c>
      <c r="DG6" s="2497"/>
      <c r="DH6" s="2497"/>
      <c r="DI6" s="2497"/>
      <c r="DJ6" s="2497"/>
      <c r="DK6" s="2497"/>
      <c r="DL6" s="2497"/>
      <c r="DM6" s="2497"/>
      <c r="DN6" s="2497"/>
      <c r="DO6" s="2497"/>
      <c r="DP6" s="2497"/>
      <c r="DQ6" s="2498"/>
      <c r="DR6" s="2499">
        <v>2023</v>
      </c>
      <c r="DS6" s="2497"/>
      <c r="DT6" s="2497"/>
      <c r="DU6" s="2497"/>
      <c r="DV6" s="2497"/>
      <c r="DW6" s="2497"/>
      <c r="DX6" s="2497"/>
      <c r="DY6" s="2497"/>
      <c r="DZ6" s="2497"/>
      <c r="EA6" s="2497"/>
      <c r="EB6" s="2497"/>
      <c r="EC6" s="2498"/>
      <c r="ED6" s="2499">
        <v>2024</v>
      </c>
      <c r="EE6" s="2497"/>
      <c r="EF6" s="2497"/>
      <c r="EG6" s="2497"/>
      <c r="EH6" s="2497"/>
      <c r="EI6" s="2497"/>
      <c r="EJ6" s="2497"/>
      <c r="EK6" s="2497"/>
      <c r="EL6" s="2497"/>
      <c r="EM6" s="2497"/>
      <c r="EN6" s="2497"/>
      <c r="EO6" s="2498"/>
      <c r="EP6" s="2499">
        <v>2025</v>
      </c>
      <c r="EQ6" s="2497"/>
      <c r="ER6" s="2497"/>
      <c r="ES6" s="2497"/>
      <c r="ET6" s="2498"/>
      <c r="EU6" s="2523"/>
      <c r="EV6" s="339"/>
      <c r="EW6" s="339"/>
      <c r="EX6" s="339"/>
      <c r="EY6" s="339"/>
      <c r="EZ6" s="339"/>
      <c r="FA6" s="339"/>
      <c r="FB6" s="339"/>
      <c r="FC6" s="339"/>
      <c r="FD6" s="339"/>
      <c r="FE6" s="339"/>
      <c r="FF6" s="339"/>
      <c r="FG6" s="339"/>
      <c r="FH6" s="339"/>
      <c r="FI6" s="339"/>
      <c r="FJ6" s="339"/>
      <c r="FK6" s="339"/>
      <c r="FL6" s="339"/>
      <c r="FM6" s="339"/>
      <c r="FN6" s="339"/>
      <c r="FO6" s="339"/>
      <c r="FP6" s="339"/>
      <c r="FQ6" s="339"/>
      <c r="FR6" s="339"/>
      <c r="FS6" s="339"/>
      <c r="FT6" s="339"/>
      <c r="FU6" s="339"/>
      <c r="FV6" s="339"/>
      <c r="FW6" s="339"/>
      <c r="FX6" s="339"/>
      <c r="FY6" s="339"/>
      <c r="FZ6" s="339"/>
      <c r="GA6" s="339"/>
      <c r="GB6" s="339"/>
      <c r="GC6" s="339"/>
      <c r="GD6" s="339"/>
      <c r="GE6" s="339"/>
      <c r="GF6" s="339"/>
      <c r="GG6" s="339"/>
      <c r="GH6" s="339"/>
      <c r="GI6" s="339"/>
      <c r="GJ6" s="339"/>
      <c r="GK6" s="339"/>
      <c r="GL6" s="339"/>
      <c r="GM6" s="339"/>
      <c r="GN6" s="339"/>
      <c r="GO6" s="339"/>
      <c r="GP6" s="339"/>
      <c r="GQ6" s="339"/>
      <c r="GR6" s="339"/>
      <c r="GS6" s="339"/>
      <c r="GT6" s="339"/>
      <c r="GU6" s="339"/>
      <c r="GV6" s="339"/>
      <c r="GW6" s="339"/>
      <c r="GX6" s="339"/>
      <c r="GY6" s="339"/>
      <c r="GZ6" s="339"/>
      <c r="HA6" s="339"/>
      <c r="HB6" s="339"/>
      <c r="HC6" s="339"/>
      <c r="HD6" s="339"/>
      <c r="HE6" s="339"/>
      <c r="HF6" s="339"/>
      <c r="HG6" s="339"/>
      <c r="HH6" s="339"/>
      <c r="HI6" s="339"/>
      <c r="HJ6" s="339"/>
      <c r="HK6" s="339"/>
      <c r="HL6" s="339"/>
      <c r="HM6" s="339"/>
      <c r="HN6" s="339"/>
      <c r="HO6" s="339"/>
      <c r="HP6" s="339"/>
      <c r="HQ6" s="339"/>
      <c r="HR6" s="339"/>
      <c r="HS6" s="339"/>
      <c r="HT6" s="339"/>
      <c r="HU6" s="339"/>
      <c r="HV6" s="339"/>
      <c r="HW6" s="339"/>
      <c r="HX6" s="339"/>
      <c r="HY6" s="339"/>
      <c r="HZ6" s="339"/>
      <c r="IA6" s="339"/>
      <c r="IB6" s="339"/>
      <c r="IC6" s="339"/>
      <c r="ID6" s="339"/>
      <c r="IE6" s="339"/>
      <c r="IF6" s="339"/>
      <c r="IG6" s="339"/>
      <c r="IH6" s="339"/>
      <c r="II6" s="339"/>
      <c r="IJ6" s="339"/>
      <c r="IK6" s="339"/>
      <c r="IL6" s="339"/>
      <c r="IM6" s="339"/>
      <c r="IN6" s="339"/>
      <c r="IO6" s="339"/>
      <c r="IP6" s="339"/>
      <c r="IQ6" s="339"/>
      <c r="IR6" s="339"/>
      <c r="IS6" s="339"/>
      <c r="IT6" s="339"/>
      <c r="IU6" s="339"/>
      <c r="IV6" s="339"/>
      <c r="IW6" s="339"/>
      <c r="IX6" s="339"/>
      <c r="IY6" s="339"/>
      <c r="IZ6" s="339"/>
      <c r="JA6" s="339"/>
      <c r="JB6" s="339"/>
      <c r="JC6" s="339"/>
      <c r="JD6" s="339"/>
      <c r="JE6" s="339"/>
      <c r="JF6" s="339"/>
      <c r="JG6" s="339"/>
      <c r="JH6" s="339"/>
      <c r="JI6" s="339"/>
      <c r="JJ6" s="339"/>
      <c r="JK6" s="339"/>
      <c r="JL6" s="339"/>
      <c r="JM6" s="339"/>
      <c r="JN6" s="339"/>
      <c r="JO6" s="339"/>
      <c r="JP6" s="339"/>
      <c r="JQ6" s="339"/>
      <c r="JR6" s="339"/>
      <c r="JS6" s="339"/>
      <c r="JT6" s="339"/>
      <c r="JU6" s="339"/>
      <c r="JV6" s="339"/>
      <c r="JW6" s="339"/>
      <c r="JX6" s="339"/>
      <c r="JY6" s="339"/>
      <c r="JZ6" s="339"/>
      <c r="KA6" s="339"/>
      <c r="KB6" s="339"/>
      <c r="KC6" s="339"/>
    </row>
    <row r="7" spans="1:289" ht="30.75" customHeight="1">
      <c r="A7" s="2489"/>
      <c r="B7" s="849" t="s">
        <v>1961</v>
      </c>
      <c r="C7" s="849" t="s">
        <v>1972</v>
      </c>
      <c r="D7" s="849" t="s">
        <v>1971</v>
      </c>
      <c r="E7" s="849" t="s">
        <v>1970</v>
      </c>
      <c r="F7" s="849" t="s">
        <v>1969</v>
      </c>
      <c r="G7" s="849" t="s">
        <v>1968</v>
      </c>
      <c r="H7" s="849" t="s">
        <v>1967</v>
      </c>
      <c r="I7" s="849" t="s">
        <v>1966</v>
      </c>
      <c r="J7" s="849" t="s">
        <v>1965</v>
      </c>
      <c r="K7" s="849" t="s">
        <v>1964</v>
      </c>
      <c r="L7" s="849" t="s">
        <v>1963</v>
      </c>
      <c r="M7" s="849" t="s">
        <v>1962</v>
      </c>
      <c r="N7" s="849" t="s">
        <v>1961</v>
      </c>
      <c r="O7" s="849" t="s">
        <v>1972</v>
      </c>
      <c r="P7" s="849" t="s">
        <v>1971</v>
      </c>
      <c r="Q7" s="849" t="s">
        <v>1970</v>
      </c>
      <c r="R7" s="849" t="s">
        <v>1969</v>
      </c>
      <c r="S7" s="849" t="s">
        <v>1968</v>
      </c>
      <c r="T7" s="849" t="s">
        <v>1967</v>
      </c>
      <c r="U7" s="849" t="s">
        <v>1966</v>
      </c>
      <c r="V7" s="849" t="s">
        <v>1965</v>
      </c>
      <c r="W7" s="849" t="s">
        <v>1964</v>
      </c>
      <c r="X7" s="849" t="s">
        <v>1963</v>
      </c>
      <c r="Y7" s="849" t="s">
        <v>1962</v>
      </c>
      <c r="Z7" s="849" t="s">
        <v>1961</v>
      </c>
      <c r="AA7" s="849" t="s">
        <v>1972</v>
      </c>
      <c r="AB7" s="849" t="s">
        <v>1971</v>
      </c>
      <c r="AC7" s="849" t="s">
        <v>1970</v>
      </c>
      <c r="AD7" s="849" t="s">
        <v>1969</v>
      </c>
      <c r="AE7" s="849" t="s">
        <v>1973</v>
      </c>
      <c r="AF7" s="849" t="s">
        <v>1977</v>
      </c>
      <c r="AG7" s="849" t="s">
        <v>1966</v>
      </c>
      <c r="AH7" s="849" t="s">
        <v>1965</v>
      </c>
      <c r="AI7" s="849" t="s">
        <v>1964</v>
      </c>
      <c r="AJ7" s="849" t="s">
        <v>1963</v>
      </c>
      <c r="AK7" s="849" t="s">
        <v>1962</v>
      </c>
      <c r="AL7" s="849" t="s">
        <v>1961</v>
      </c>
      <c r="AM7" s="849" t="s">
        <v>1972</v>
      </c>
      <c r="AN7" s="849" t="s">
        <v>1971</v>
      </c>
      <c r="AO7" s="849" t="s">
        <v>1970</v>
      </c>
      <c r="AP7" s="849" t="s">
        <v>1969</v>
      </c>
      <c r="AQ7" s="849" t="s">
        <v>1968</v>
      </c>
      <c r="AR7" s="849" t="s">
        <v>1967</v>
      </c>
      <c r="AS7" s="849" t="s">
        <v>1966</v>
      </c>
      <c r="AT7" s="849" t="s">
        <v>1965</v>
      </c>
      <c r="AU7" s="849" t="s">
        <v>1964</v>
      </c>
      <c r="AV7" s="849" t="s">
        <v>1963</v>
      </c>
      <c r="AW7" s="849" t="s">
        <v>1962</v>
      </c>
      <c r="AX7" s="849" t="s">
        <v>1961</v>
      </c>
      <c r="AY7" s="849" t="s">
        <v>1960</v>
      </c>
      <c r="AZ7" s="849" t="s">
        <v>1959</v>
      </c>
      <c r="BA7" s="849" t="s">
        <v>1958</v>
      </c>
      <c r="BB7" s="849" t="s">
        <v>1978</v>
      </c>
      <c r="BC7" s="849" t="s">
        <v>1979</v>
      </c>
      <c r="BD7" s="849" t="s">
        <v>1988</v>
      </c>
      <c r="BE7" s="849" t="s">
        <v>1998</v>
      </c>
      <c r="BF7" s="849" t="s">
        <v>2008</v>
      </c>
      <c r="BG7" s="849" t="s">
        <v>2021</v>
      </c>
      <c r="BH7" s="884" t="s">
        <v>2032</v>
      </c>
      <c r="BI7" s="906" t="s">
        <v>1962</v>
      </c>
      <c r="BJ7" s="906" t="s">
        <v>1961</v>
      </c>
      <c r="BK7" s="906" t="s">
        <v>1960</v>
      </c>
      <c r="BL7" s="906" t="s">
        <v>1959</v>
      </c>
      <c r="BM7" s="906" t="s">
        <v>1958</v>
      </c>
      <c r="BN7" s="906" t="s">
        <v>1978</v>
      </c>
      <c r="BO7" s="906" t="s">
        <v>1979</v>
      </c>
      <c r="BP7" s="906" t="s">
        <v>1988</v>
      </c>
      <c r="BQ7" s="906" t="s">
        <v>1998</v>
      </c>
      <c r="BR7" s="906" t="s">
        <v>2008</v>
      </c>
      <c r="BS7" s="906" t="s">
        <v>2021</v>
      </c>
      <c r="BT7" s="906" t="s">
        <v>2032</v>
      </c>
      <c r="BU7" s="906" t="s">
        <v>1962</v>
      </c>
      <c r="BV7" s="906" t="s">
        <v>1961</v>
      </c>
      <c r="BW7" s="906" t="s">
        <v>1960</v>
      </c>
      <c r="BX7" s="906" t="s">
        <v>1959</v>
      </c>
      <c r="BY7" s="906" t="s">
        <v>1958</v>
      </c>
      <c r="BZ7" s="906" t="s">
        <v>1978</v>
      </c>
      <c r="CA7" s="906" t="s">
        <v>1979</v>
      </c>
      <c r="CB7" s="906" t="s">
        <v>1988</v>
      </c>
      <c r="CC7" s="906" t="s">
        <v>1998</v>
      </c>
      <c r="CD7" s="906" t="s">
        <v>2008</v>
      </c>
      <c r="CE7" s="906" t="s">
        <v>2021</v>
      </c>
      <c r="CF7" s="906" t="s">
        <v>2032</v>
      </c>
      <c r="CG7" s="906" t="s">
        <v>1962</v>
      </c>
      <c r="CH7" s="906" t="s">
        <v>1961</v>
      </c>
      <c r="CI7" s="906" t="s">
        <v>1960</v>
      </c>
      <c r="CJ7" s="906" t="s">
        <v>1959</v>
      </c>
      <c r="CK7" s="906" t="s">
        <v>1958</v>
      </c>
      <c r="CL7" s="906" t="s">
        <v>1978</v>
      </c>
      <c r="CM7" s="906" t="s">
        <v>2426</v>
      </c>
      <c r="CN7" s="906" t="s">
        <v>2432</v>
      </c>
      <c r="CO7" s="906" t="s">
        <v>1998</v>
      </c>
      <c r="CP7" s="906" t="s">
        <v>2008</v>
      </c>
      <c r="CQ7" s="906" t="s">
        <v>2021</v>
      </c>
      <c r="CR7" s="906" t="s">
        <v>2032</v>
      </c>
      <c r="CS7" s="906" t="s">
        <v>1962</v>
      </c>
      <c r="CT7" s="906" t="s">
        <v>1961</v>
      </c>
      <c r="CU7" s="906" t="s">
        <v>1960</v>
      </c>
      <c r="CV7" s="906" t="s">
        <v>1959</v>
      </c>
      <c r="CW7" s="906" t="s">
        <v>1958</v>
      </c>
      <c r="CX7" s="906" t="s">
        <v>1978</v>
      </c>
      <c r="CY7" s="906" t="s">
        <v>1979</v>
      </c>
      <c r="CZ7" s="906" t="s">
        <v>1988</v>
      </c>
      <c r="DA7" s="906" t="s">
        <v>1998</v>
      </c>
      <c r="DB7" s="906" t="s">
        <v>2008</v>
      </c>
      <c r="DC7" s="906" t="s">
        <v>2021</v>
      </c>
      <c r="DD7" s="906" t="s">
        <v>2032</v>
      </c>
      <c r="DE7" s="906" t="s">
        <v>1962</v>
      </c>
      <c r="DF7" s="906" t="s">
        <v>1961</v>
      </c>
      <c r="DG7" s="906" t="s">
        <v>1960</v>
      </c>
      <c r="DH7" s="906" t="s">
        <v>1959</v>
      </c>
      <c r="DI7" s="906" t="s">
        <v>1958</v>
      </c>
      <c r="DJ7" s="906" t="s">
        <v>1978</v>
      </c>
      <c r="DK7" s="906" t="s">
        <v>1979</v>
      </c>
      <c r="DL7" s="906" t="s">
        <v>1988</v>
      </c>
      <c r="DM7" s="906" t="s">
        <v>1998</v>
      </c>
      <c r="DN7" s="906" t="s">
        <v>2008</v>
      </c>
      <c r="DO7" s="906" t="s">
        <v>2021</v>
      </c>
      <c r="DP7" s="906" t="s">
        <v>2032</v>
      </c>
      <c r="DQ7" s="906" t="s">
        <v>1962</v>
      </c>
      <c r="DR7" s="906" t="s">
        <v>1961</v>
      </c>
      <c r="DS7" s="906" t="s">
        <v>1960</v>
      </c>
      <c r="DT7" s="906" t="s">
        <v>1959</v>
      </c>
      <c r="DU7" s="906" t="s">
        <v>1958</v>
      </c>
      <c r="DV7" s="906" t="s">
        <v>1978</v>
      </c>
      <c r="DW7" s="906" t="s">
        <v>1979</v>
      </c>
      <c r="DX7" s="906" t="s">
        <v>1988</v>
      </c>
      <c r="DY7" s="906" t="s">
        <v>1998</v>
      </c>
      <c r="DZ7" s="906" t="s">
        <v>2008</v>
      </c>
      <c r="EA7" s="906" t="s">
        <v>2021</v>
      </c>
      <c r="EB7" s="906" t="s">
        <v>2032</v>
      </c>
      <c r="EC7" s="906" t="s">
        <v>1962</v>
      </c>
      <c r="ED7" s="906" t="s">
        <v>1961</v>
      </c>
      <c r="EE7" s="906" t="s">
        <v>1960</v>
      </c>
      <c r="EF7" s="906" t="s">
        <v>1959</v>
      </c>
      <c r="EG7" s="906" t="s">
        <v>1958</v>
      </c>
      <c r="EH7" s="906" t="s">
        <v>1978</v>
      </c>
      <c r="EI7" s="906" t="s">
        <v>1979</v>
      </c>
      <c r="EJ7" s="906" t="s">
        <v>1988</v>
      </c>
      <c r="EK7" s="906" t="s">
        <v>1998</v>
      </c>
      <c r="EL7" s="906" t="s">
        <v>2008</v>
      </c>
      <c r="EM7" s="906" t="s">
        <v>2021</v>
      </c>
      <c r="EN7" s="906" t="s">
        <v>2032</v>
      </c>
      <c r="EO7" s="906" t="s">
        <v>1962</v>
      </c>
      <c r="EP7" s="906" t="s">
        <v>1961</v>
      </c>
      <c r="EQ7" s="906" t="s">
        <v>1960</v>
      </c>
      <c r="ER7" s="906" t="s">
        <v>1959</v>
      </c>
      <c r="ES7" s="906" t="s">
        <v>1958</v>
      </c>
      <c r="ET7" s="906" t="s">
        <v>1978</v>
      </c>
      <c r="EU7" s="2524"/>
      <c r="EV7" s="339"/>
      <c r="EW7" s="339"/>
      <c r="EX7" s="339"/>
      <c r="EY7" s="339"/>
      <c r="EZ7" s="339"/>
      <c r="FA7" s="339"/>
      <c r="FB7" s="339"/>
      <c r="FC7" s="339"/>
      <c r="FD7" s="339"/>
      <c r="FE7" s="339"/>
      <c r="FF7" s="339"/>
      <c r="FG7" s="339"/>
      <c r="FH7" s="339"/>
      <c r="FI7" s="339"/>
      <c r="FJ7" s="339"/>
      <c r="FK7" s="339"/>
      <c r="FL7" s="339"/>
      <c r="FM7" s="339"/>
      <c r="FN7" s="339"/>
      <c r="FO7" s="339"/>
      <c r="FP7" s="339"/>
      <c r="FQ7" s="339"/>
      <c r="FR7" s="339"/>
      <c r="FS7" s="339"/>
      <c r="FT7" s="339"/>
      <c r="FU7" s="339"/>
      <c r="FV7" s="339"/>
      <c r="FW7" s="339"/>
      <c r="FX7" s="339"/>
      <c r="FY7" s="339"/>
      <c r="FZ7" s="339"/>
      <c r="GA7" s="339"/>
      <c r="GB7" s="339"/>
      <c r="GC7" s="339"/>
      <c r="GD7" s="339"/>
      <c r="GE7" s="339"/>
      <c r="GF7" s="339"/>
      <c r="GG7" s="339"/>
      <c r="GH7" s="339"/>
      <c r="GI7" s="339"/>
      <c r="GJ7" s="339"/>
      <c r="GK7" s="339"/>
      <c r="GL7" s="339"/>
      <c r="GM7" s="339"/>
      <c r="GN7" s="339"/>
      <c r="GO7" s="339"/>
      <c r="GP7" s="339"/>
      <c r="GQ7" s="339"/>
      <c r="GR7" s="339"/>
      <c r="GS7" s="339"/>
      <c r="GT7" s="339"/>
      <c r="GU7" s="339"/>
      <c r="GV7" s="339"/>
      <c r="GW7" s="339"/>
      <c r="GX7" s="339"/>
      <c r="GY7" s="339"/>
      <c r="GZ7" s="339"/>
      <c r="HA7" s="339"/>
      <c r="HB7" s="339"/>
      <c r="HC7" s="339"/>
      <c r="HD7" s="339"/>
      <c r="HE7" s="339"/>
      <c r="HF7" s="339"/>
      <c r="HG7" s="339"/>
      <c r="HH7" s="339"/>
      <c r="HI7" s="339"/>
      <c r="HJ7" s="339"/>
      <c r="HK7" s="339"/>
      <c r="HL7" s="339"/>
      <c r="HM7" s="339"/>
      <c r="HN7" s="339"/>
      <c r="HO7" s="339"/>
      <c r="HP7" s="339"/>
      <c r="HQ7" s="339"/>
      <c r="HR7" s="339"/>
      <c r="HS7" s="339"/>
      <c r="HT7" s="339"/>
      <c r="HU7" s="339"/>
      <c r="HV7" s="339"/>
      <c r="HW7" s="339"/>
      <c r="HX7" s="339"/>
      <c r="HY7" s="339"/>
      <c r="HZ7" s="339"/>
      <c r="IA7" s="339"/>
      <c r="IB7" s="339"/>
      <c r="IC7" s="339"/>
      <c r="ID7" s="339"/>
      <c r="IE7" s="339"/>
      <c r="IF7" s="339"/>
      <c r="IG7" s="339"/>
      <c r="IH7" s="339"/>
      <c r="II7" s="339"/>
      <c r="IJ7" s="339"/>
      <c r="IK7" s="339"/>
      <c r="IL7" s="339"/>
      <c r="IM7" s="339"/>
      <c r="IN7" s="339"/>
      <c r="IO7" s="339"/>
      <c r="IP7" s="339"/>
      <c r="IQ7" s="339"/>
      <c r="IR7" s="339"/>
      <c r="IS7" s="339"/>
      <c r="IT7" s="339"/>
      <c r="IU7" s="339"/>
      <c r="IV7" s="339"/>
      <c r="IW7" s="339"/>
      <c r="IX7" s="339"/>
      <c r="IY7" s="339"/>
      <c r="IZ7" s="339"/>
      <c r="JA7" s="339"/>
      <c r="JB7" s="339"/>
      <c r="JC7" s="339"/>
      <c r="JD7" s="339"/>
      <c r="JE7" s="339"/>
      <c r="JF7" s="339"/>
      <c r="JG7" s="339"/>
      <c r="JH7" s="339"/>
      <c r="JI7" s="339"/>
      <c r="JJ7" s="339"/>
      <c r="JK7" s="339"/>
      <c r="JL7" s="339"/>
      <c r="JM7" s="339"/>
      <c r="JN7" s="339"/>
      <c r="JO7" s="339"/>
      <c r="JP7" s="339"/>
      <c r="JQ7" s="339"/>
      <c r="JR7" s="339"/>
      <c r="JS7" s="339"/>
      <c r="JT7" s="339"/>
      <c r="JU7" s="339"/>
      <c r="JV7" s="339"/>
      <c r="JW7" s="339"/>
      <c r="JX7" s="339"/>
      <c r="JY7" s="339"/>
      <c r="JZ7" s="339"/>
      <c r="KA7" s="339"/>
      <c r="KB7" s="339"/>
      <c r="KC7" s="339"/>
    </row>
    <row r="8" spans="1:289" ht="30.75" customHeight="1">
      <c r="A8" s="2490"/>
      <c r="B8" s="1940"/>
      <c r="C8" s="1940"/>
      <c r="D8" s="1940"/>
      <c r="E8" s="1940"/>
      <c r="F8" s="1940"/>
      <c r="G8" s="1940"/>
      <c r="H8" s="1940"/>
      <c r="I8" s="1940"/>
      <c r="J8" s="1940"/>
      <c r="K8" s="1940"/>
      <c r="L8" s="1940"/>
      <c r="M8" s="1940"/>
      <c r="N8" s="1940"/>
      <c r="O8" s="1940"/>
      <c r="P8" s="1940"/>
      <c r="Q8" s="1940"/>
      <c r="R8" s="1940"/>
      <c r="S8" s="1940"/>
      <c r="T8" s="1940"/>
      <c r="U8" s="1940"/>
      <c r="V8" s="1940"/>
      <c r="W8" s="1940"/>
      <c r="X8" s="1940"/>
      <c r="Y8" s="1940"/>
      <c r="Z8" s="1940"/>
      <c r="AA8" s="1940"/>
      <c r="AB8" s="1940"/>
      <c r="AC8" s="1940"/>
      <c r="AD8" s="1940"/>
      <c r="AE8" s="1940"/>
      <c r="AF8" s="1940"/>
      <c r="AG8" s="1940"/>
      <c r="AH8" s="1940"/>
      <c r="AI8" s="1940"/>
      <c r="AJ8" s="1940"/>
      <c r="AK8" s="1940"/>
      <c r="AL8" s="1940"/>
      <c r="AM8" s="1940"/>
      <c r="AN8" s="1940"/>
      <c r="AO8" s="1940"/>
      <c r="AP8" s="1940"/>
      <c r="AQ8" s="1940"/>
      <c r="AR8" s="1940"/>
      <c r="AS8" s="1940"/>
      <c r="AT8" s="1940"/>
      <c r="AU8" s="1940"/>
      <c r="AV8" s="1940"/>
      <c r="AW8" s="1940"/>
      <c r="AX8" s="1940"/>
      <c r="AY8" s="1940"/>
      <c r="AZ8" s="1940"/>
      <c r="BA8" s="1940"/>
      <c r="BB8" s="1940"/>
      <c r="BC8" s="1940"/>
      <c r="BD8" s="1940"/>
      <c r="BE8" s="1940"/>
      <c r="BF8" s="1940"/>
      <c r="BG8" s="1940"/>
      <c r="BH8" s="1941"/>
      <c r="BI8" s="1938" t="s">
        <v>3191</v>
      </c>
      <c r="BJ8" s="1938" t="s">
        <v>3191</v>
      </c>
      <c r="BK8" s="1938"/>
      <c r="BL8" s="1938"/>
      <c r="BM8" s="1938"/>
      <c r="BN8" s="1938"/>
      <c r="BO8" s="1938"/>
      <c r="BP8" s="1938"/>
      <c r="BQ8" s="1938"/>
      <c r="BR8" s="1938"/>
      <c r="BS8" s="1938"/>
      <c r="BT8" s="1938"/>
      <c r="BU8" s="1938" t="s">
        <v>3191</v>
      </c>
      <c r="BV8" s="1938" t="s">
        <v>3191</v>
      </c>
      <c r="BW8" s="1938"/>
      <c r="BX8" s="1938"/>
      <c r="BY8" s="1938"/>
      <c r="BZ8" s="1938"/>
      <c r="CA8" s="1938"/>
      <c r="CB8" s="1938"/>
      <c r="CC8" s="1938"/>
      <c r="CD8" s="1938"/>
      <c r="CE8" s="1938"/>
      <c r="CF8" s="1938"/>
      <c r="CG8" s="1938" t="s">
        <v>3191</v>
      </c>
      <c r="CH8" s="1938" t="s">
        <v>3191</v>
      </c>
      <c r="CI8" s="1938"/>
      <c r="CJ8" s="1938"/>
      <c r="CK8" s="1938"/>
      <c r="CL8" s="1938"/>
      <c r="CM8" s="1938"/>
      <c r="CN8" s="1938"/>
      <c r="CO8" s="1938"/>
      <c r="CP8" s="1938"/>
      <c r="CQ8" s="1938"/>
      <c r="CR8" s="1938"/>
      <c r="CS8" s="1938" t="s">
        <v>3191</v>
      </c>
      <c r="CT8" s="1938" t="s">
        <v>3191</v>
      </c>
      <c r="CU8" s="1938"/>
      <c r="CV8" s="1938"/>
      <c r="CW8" s="1938"/>
      <c r="CX8" s="1938"/>
      <c r="CY8" s="1938"/>
      <c r="CZ8" s="1938"/>
      <c r="DA8" s="1938"/>
      <c r="DB8" s="1938"/>
      <c r="DC8" s="1938"/>
      <c r="DD8" s="1938"/>
      <c r="DE8" s="1938" t="s">
        <v>3191</v>
      </c>
      <c r="DF8" s="1938" t="s">
        <v>3191</v>
      </c>
      <c r="DG8" s="1938"/>
      <c r="DH8" s="1938"/>
      <c r="DI8" s="1938"/>
      <c r="DJ8" s="1938"/>
      <c r="DK8" s="1938"/>
      <c r="DL8" s="1938"/>
      <c r="DM8" s="1938"/>
      <c r="DN8" s="1938"/>
      <c r="DO8" s="1938"/>
      <c r="DP8" s="1938"/>
      <c r="DQ8" s="1938" t="s">
        <v>3191</v>
      </c>
      <c r="DR8" s="1938" t="s">
        <v>3191</v>
      </c>
      <c r="DS8" s="1938"/>
      <c r="DT8" s="1938"/>
      <c r="DU8" s="1938"/>
      <c r="DV8" s="1938"/>
      <c r="DW8" s="1938"/>
      <c r="DX8" s="1938"/>
      <c r="DY8" s="1938"/>
      <c r="DZ8" s="1938"/>
      <c r="EA8" s="1938"/>
      <c r="EB8" s="1938"/>
      <c r="EC8" s="1938" t="s">
        <v>3191</v>
      </c>
      <c r="ED8" s="1938" t="s">
        <v>3120</v>
      </c>
      <c r="EE8" s="1938" t="s">
        <v>3121</v>
      </c>
      <c r="EF8" s="1938" t="s">
        <v>3122</v>
      </c>
      <c r="EG8" s="1938" t="s">
        <v>3123</v>
      </c>
      <c r="EH8" s="1938" t="s">
        <v>1978</v>
      </c>
      <c r="EI8" s="1938" t="s">
        <v>3124</v>
      </c>
      <c r="EJ8" s="1938" t="s">
        <v>3125</v>
      </c>
      <c r="EK8" s="1938" t="s">
        <v>3126</v>
      </c>
      <c r="EL8" s="1938" t="s">
        <v>3127</v>
      </c>
      <c r="EM8" s="1938" t="s">
        <v>3190</v>
      </c>
      <c r="EN8" s="1938" t="s">
        <v>3424</v>
      </c>
      <c r="EO8" s="1938" t="s">
        <v>3191</v>
      </c>
      <c r="EP8" s="1938" t="s">
        <v>3120</v>
      </c>
      <c r="EQ8" s="1938" t="s">
        <v>3121</v>
      </c>
      <c r="ER8" s="1938" t="s">
        <v>3122</v>
      </c>
      <c r="ES8" s="1938" t="s">
        <v>3123</v>
      </c>
      <c r="ET8" s="1938" t="s">
        <v>1978</v>
      </c>
      <c r="EU8" s="2525"/>
      <c r="EV8" s="339"/>
      <c r="EW8" s="339"/>
      <c r="EX8" s="339"/>
      <c r="EY8" s="339"/>
      <c r="EZ8" s="339"/>
      <c r="FA8" s="339"/>
      <c r="FB8" s="339"/>
      <c r="FC8" s="339"/>
      <c r="FD8" s="339"/>
      <c r="FE8" s="339"/>
      <c r="FF8" s="339"/>
      <c r="FG8" s="339"/>
      <c r="FH8" s="339"/>
      <c r="FI8" s="339"/>
      <c r="FJ8" s="339"/>
      <c r="FK8" s="339"/>
      <c r="FL8" s="339"/>
      <c r="FM8" s="339"/>
      <c r="FN8" s="339"/>
      <c r="FO8" s="339"/>
      <c r="FP8" s="339"/>
      <c r="FQ8" s="339"/>
      <c r="FR8" s="339"/>
      <c r="FS8" s="339"/>
      <c r="FT8" s="339"/>
      <c r="FU8" s="339"/>
      <c r="FV8" s="339"/>
      <c r="FW8" s="339"/>
      <c r="FX8" s="339"/>
      <c r="FY8" s="339"/>
      <c r="FZ8" s="339"/>
      <c r="GA8" s="339"/>
      <c r="GB8" s="339"/>
      <c r="GC8" s="339"/>
      <c r="GD8" s="339"/>
      <c r="GE8" s="339"/>
      <c r="GF8" s="339"/>
      <c r="GG8" s="339"/>
      <c r="GH8" s="339"/>
      <c r="GI8" s="339"/>
      <c r="GJ8" s="339"/>
      <c r="GK8" s="339"/>
      <c r="GL8" s="339"/>
      <c r="GM8" s="339"/>
      <c r="GN8" s="339"/>
      <c r="GO8" s="339"/>
      <c r="GP8" s="339"/>
      <c r="GQ8" s="339"/>
      <c r="GR8" s="339"/>
      <c r="GS8" s="339"/>
      <c r="GT8" s="339"/>
      <c r="GU8" s="339"/>
      <c r="GV8" s="339"/>
      <c r="GW8" s="339"/>
      <c r="GX8" s="339"/>
      <c r="GY8" s="339"/>
      <c r="GZ8" s="339"/>
      <c r="HA8" s="339"/>
      <c r="HB8" s="339"/>
      <c r="HC8" s="339"/>
      <c r="HD8" s="339"/>
      <c r="HE8" s="339"/>
      <c r="HF8" s="339"/>
      <c r="HG8" s="339"/>
      <c r="HH8" s="339"/>
      <c r="HI8" s="339"/>
      <c r="HJ8" s="339"/>
      <c r="HK8" s="339"/>
      <c r="HL8" s="339"/>
      <c r="HM8" s="339"/>
      <c r="HN8" s="339"/>
      <c r="HO8" s="339"/>
      <c r="HP8" s="339"/>
      <c r="HQ8" s="339"/>
      <c r="HR8" s="339"/>
      <c r="HS8" s="339"/>
      <c r="HT8" s="339"/>
      <c r="HU8" s="339"/>
      <c r="HV8" s="339"/>
      <c r="HW8" s="339"/>
      <c r="HX8" s="339"/>
      <c r="HY8" s="339"/>
      <c r="HZ8" s="339"/>
      <c r="IA8" s="339"/>
      <c r="IB8" s="339"/>
      <c r="IC8" s="339"/>
      <c r="ID8" s="339"/>
      <c r="IE8" s="339"/>
      <c r="IF8" s="339"/>
      <c r="IG8" s="339"/>
      <c r="IH8" s="339"/>
      <c r="II8" s="339"/>
      <c r="IJ8" s="339"/>
      <c r="IK8" s="339"/>
      <c r="IL8" s="339"/>
      <c r="IM8" s="339"/>
      <c r="IN8" s="339"/>
      <c r="IO8" s="339"/>
      <c r="IP8" s="339"/>
      <c r="IQ8" s="339"/>
      <c r="IR8" s="339"/>
      <c r="IS8" s="339"/>
      <c r="IT8" s="339"/>
      <c r="IU8" s="339"/>
      <c r="IV8" s="339"/>
      <c r="IW8" s="339"/>
      <c r="IX8" s="339"/>
      <c r="IY8" s="339"/>
      <c r="IZ8" s="339"/>
      <c r="JA8" s="339"/>
      <c r="JB8" s="339"/>
      <c r="JC8" s="339"/>
      <c r="JD8" s="339"/>
      <c r="JE8" s="339"/>
      <c r="JF8" s="339"/>
      <c r="JG8" s="339"/>
      <c r="JH8" s="339"/>
      <c r="JI8" s="339"/>
      <c r="JJ8" s="339"/>
      <c r="JK8" s="339"/>
      <c r="JL8" s="339"/>
      <c r="JM8" s="339"/>
      <c r="JN8" s="339"/>
      <c r="JO8" s="339"/>
      <c r="JP8" s="339"/>
      <c r="JQ8" s="339"/>
      <c r="JR8" s="339"/>
      <c r="JS8" s="339"/>
      <c r="JT8" s="339"/>
      <c r="JU8" s="339"/>
      <c r="JV8" s="339"/>
      <c r="JW8" s="339"/>
      <c r="JX8" s="339"/>
      <c r="JY8" s="339"/>
      <c r="JZ8" s="339"/>
      <c r="KA8" s="339"/>
      <c r="KB8" s="339"/>
      <c r="KC8" s="339"/>
    </row>
    <row r="9" spans="1:289" ht="21">
      <c r="A9" s="1930" t="s">
        <v>2755</v>
      </c>
      <c r="B9" s="850">
        <v>1121.19396951</v>
      </c>
      <c r="C9" s="850">
        <v>1460.40828642</v>
      </c>
      <c r="D9" s="850">
        <v>1518.29068011</v>
      </c>
      <c r="E9" s="850">
        <v>1724.70566641</v>
      </c>
      <c r="F9" s="850">
        <v>1820.7237863400003</v>
      </c>
      <c r="G9" s="850">
        <v>1879.27895003</v>
      </c>
      <c r="H9" s="850">
        <v>1950.36219873</v>
      </c>
      <c r="I9" s="850">
        <v>1988.1287952500002</v>
      </c>
      <c r="J9" s="850">
        <v>2032.16792799</v>
      </c>
      <c r="K9" s="850">
        <v>2044.7001732399999</v>
      </c>
      <c r="L9" s="850">
        <v>2100.91517398</v>
      </c>
      <c r="M9" s="840">
        <v>2102.1340613899997</v>
      </c>
      <c r="N9" s="840">
        <v>1738.29380425</v>
      </c>
      <c r="O9" s="840">
        <v>1796.02762863</v>
      </c>
      <c r="P9" s="840">
        <v>1834.9330752600004</v>
      </c>
      <c r="Q9" s="840">
        <v>1865.6841431600001</v>
      </c>
      <c r="R9" s="840">
        <v>1946.7244474200002</v>
      </c>
      <c r="S9" s="840">
        <v>2018.6762979999999</v>
      </c>
      <c r="T9" s="840">
        <v>2048.6173237499997</v>
      </c>
      <c r="U9" s="840">
        <v>2100.5721421999997</v>
      </c>
      <c r="V9" s="840">
        <v>2170.7127222000004</v>
      </c>
      <c r="W9" s="840">
        <v>2198.62218596</v>
      </c>
      <c r="X9" s="840">
        <v>2250.9784805899999</v>
      </c>
      <c r="Y9" s="840">
        <v>2243.9353908600001</v>
      </c>
      <c r="Z9" s="840">
        <v>2243.9973923800003</v>
      </c>
      <c r="AA9" s="840">
        <v>1931.2097720699999</v>
      </c>
      <c r="AB9" s="840">
        <v>1949.64346576</v>
      </c>
      <c r="AC9" s="840">
        <v>1948.3911704899999</v>
      </c>
      <c r="AD9" s="840">
        <v>1953.0665156</v>
      </c>
      <c r="AE9" s="840">
        <v>1933.7704375599999</v>
      </c>
      <c r="AF9" s="840">
        <v>1946.9643561</v>
      </c>
      <c r="AG9" s="840">
        <v>1879.9793247699999</v>
      </c>
      <c r="AH9" s="840">
        <v>1865.0806112500004</v>
      </c>
      <c r="AI9" s="840">
        <v>1864.4505406000001</v>
      </c>
      <c r="AJ9" s="840">
        <v>2027.3932048500001</v>
      </c>
      <c r="AK9" s="840">
        <v>2182.3971188999999</v>
      </c>
      <c r="AL9" s="840">
        <v>2201.2262203300002</v>
      </c>
      <c r="AM9" s="840">
        <v>2203.9402739900002</v>
      </c>
      <c r="AN9" s="840">
        <v>2218.65154295</v>
      </c>
      <c r="AO9" s="840">
        <v>2083.89457034</v>
      </c>
      <c r="AP9" s="840">
        <v>2033.5209942300003</v>
      </c>
      <c r="AQ9" s="840">
        <v>1855.47706406</v>
      </c>
      <c r="AR9" s="840">
        <v>1245.50130253</v>
      </c>
      <c r="AS9" s="840">
        <v>1245.70702882</v>
      </c>
      <c r="AT9" s="840">
        <v>1186.9314723099999</v>
      </c>
      <c r="AU9" s="840">
        <v>1048.43580088</v>
      </c>
      <c r="AV9" s="840">
        <v>1077.3462818400001</v>
      </c>
      <c r="AW9" s="840">
        <v>1077.5031595200001</v>
      </c>
      <c r="AX9" s="840">
        <v>1089.9460548100001</v>
      </c>
      <c r="AY9" s="840">
        <v>1092.4183455299999</v>
      </c>
      <c r="AZ9" s="840">
        <v>1071.4700057699999</v>
      </c>
      <c r="BA9" s="840">
        <v>1068.1450246100001</v>
      </c>
      <c r="BB9" s="840">
        <v>1022.2168947100001</v>
      </c>
      <c r="BC9" s="840">
        <v>839.97131837000006</v>
      </c>
      <c r="BD9" s="840">
        <v>576.74808557000006</v>
      </c>
      <c r="BE9" s="840">
        <v>519.34338051999998</v>
      </c>
      <c r="BF9" s="840">
        <v>528.62349414999994</v>
      </c>
      <c r="BG9" s="840">
        <v>528.70552877</v>
      </c>
      <c r="BH9" s="885">
        <v>525.89845416999992</v>
      </c>
      <c r="BI9" s="874">
        <v>533.98067161000006</v>
      </c>
      <c r="BJ9" s="874">
        <v>536.93754723999996</v>
      </c>
      <c r="BK9" s="874">
        <v>507.33977164999999</v>
      </c>
      <c r="BL9" s="874">
        <v>519.28050030999998</v>
      </c>
      <c r="BM9" s="874">
        <v>502.63919673999999</v>
      </c>
      <c r="BN9" s="874">
        <v>495.55343168000002</v>
      </c>
      <c r="BO9" s="874">
        <v>501.31815775999996</v>
      </c>
      <c r="BP9" s="874">
        <v>498.69755452000004</v>
      </c>
      <c r="BQ9" s="874">
        <v>494.50861830999997</v>
      </c>
      <c r="BR9" s="874">
        <v>381.32791829999996</v>
      </c>
      <c r="BS9" s="874">
        <v>369.83849378000002</v>
      </c>
      <c r="BT9" s="874">
        <v>395.8237628</v>
      </c>
      <c r="BU9" s="874">
        <v>384.70804456999997</v>
      </c>
      <c r="BV9" s="874">
        <v>354.80621170000001</v>
      </c>
      <c r="BW9" s="874">
        <v>369.03326141999997</v>
      </c>
      <c r="BX9" s="874">
        <v>366.12641802000002</v>
      </c>
      <c r="BY9" s="874">
        <v>353.31191672</v>
      </c>
      <c r="BZ9" s="874">
        <v>362.38445929</v>
      </c>
      <c r="CA9" s="874">
        <v>365.23819258999998</v>
      </c>
      <c r="CB9" s="874">
        <v>342.39559023000004</v>
      </c>
      <c r="CC9" s="874">
        <v>362.91535067999996</v>
      </c>
      <c r="CD9" s="874">
        <v>364.24735401999999</v>
      </c>
      <c r="CE9" s="874">
        <v>373.70423588999995</v>
      </c>
      <c r="CF9" s="874">
        <v>417.85830138999995</v>
      </c>
      <c r="CG9" s="874">
        <v>441.30557604999996</v>
      </c>
      <c r="CH9" s="874">
        <v>423.57423467000001</v>
      </c>
      <c r="CI9" s="874">
        <v>418.60838430000001</v>
      </c>
      <c r="CJ9" s="874">
        <v>426.00545761000001</v>
      </c>
      <c r="CK9" s="874">
        <v>416.67315353000004</v>
      </c>
      <c r="CL9" s="874">
        <v>378.74317707</v>
      </c>
      <c r="CM9" s="874">
        <v>369.19019691000005</v>
      </c>
      <c r="CN9" s="874">
        <v>362.18960895000004</v>
      </c>
      <c r="CO9" s="874">
        <v>364.01935754000004</v>
      </c>
      <c r="CP9" s="874">
        <v>358.48329269999999</v>
      </c>
      <c r="CQ9" s="874">
        <v>356.04229342999997</v>
      </c>
      <c r="CR9" s="874">
        <v>381.41748846999997</v>
      </c>
      <c r="CS9" s="874">
        <v>391.98640189000002</v>
      </c>
      <c r="CT9" s="874">
        <v>422.26054743999998</v>
      </c>
      <c r="CU9" s="874">
        <v>444.21194105000001</v>
      </c>
      <c r="CV9" s="874">
        <v>433.53764613999999</v>
      </c>
      <c r="CW9" s="874">
        <v>439.58189565999999</v>
      </c>
      <c r="CX9" s="874">
        <v>469.58735538000002</v>
      </c>
      <c r="CY9" s="874">
        <v>471.969584</v>
      </c>
      <c r="CZ9" s="874">
        <v>505.19090612999997</v>
      </c>
      <c r="DA9" s="874">
        <v>543.12664428999994</v>
      </c>
      <c r="DB9" s="874">
        <v>582.32153654000001</v>
      </c>
      <c r="DC9" s="874">
        <v>606.49062935999996</v>
      </c>
      <c r="DD9" s="874">
        <v>645.41992271000004</v>
      </c>
      <c r="DE9" s="874">
        <v>623.10657096</v>
      </c>
      <c r="DF9" s="874">
        <v>633.55932751</v>
      </c>
      <c r="DG9" s="874">
        <v>710.89015035</v>
      </c>
      <c r="DH9" s="874">
        <v>740.40383780000002</v>
      </c>
      <c r="DI9" s="874">
        <v>795.18696403000001</v>
      </c>
      <c r="DJ9" s="874">
        <v>818.68001908999997</v>
      </c>
      <c r="DK9" s="874">
        <v>899.49736324000003</v>
      </c>
      <c r="DL9" s="874">
        <v>912.88984413000003</v>
      </c>
      <c r="DM9" s="874">
        <v>908.05154411000001</v>
      </c>
      <c r="DN9" s="874">
        <v>957.76498441000001</v>
      </c>
      <c r="DO9" s="874">
        <v>897.66712700999994</v>
      </c>
      <c r="DP9" s="874">
        <v>877.59178296000005</v>
      </c>
      <c r="DQ9" s="874">
        <v>834.84098652</v>
      </c>
      <c r="DR9" s="874">
        <v>848.3812921</v>
      </c>
      <c r="DS9" s="874">
        <v>803.99898043999997</v>
      </c>
      <c r="DT9" s="874">
        <v>798.81308403000003</v>
      </c>
      <c r="DU9" s="874">
        <v>805.33278738000001</v>
      </c>
      <c r="DV9" s="874">
        <v>830.20898756999998</v>
      </c>
      <c r="DW9" s="874">
        <v>873.85188199000004</v>
      </c>
      <c r="DX9" s="874">
        <v>850.06879391999996</v>
      </c>
      <c r="DY9" s="874">
        <v>823.00488480000001</v>
      </c>
      <c r="DZ9" s="874">
        <v>843.50961459999996</v>
      </c>
      <c r="EA9" s="874">
        <v>831.49742767999999</v>
      </c>
      <c r="EB9" s="874">
        <v>865.29016337999997</v>
      </c>
      <c r="EC9" s="874">
        <v>865.54625594000004</v>
      </c>
      <c r="ED9" s="874">
        <v>879.32938401000001</v>
      </c>
      <c r="EE9" s="874">
        <v>857.57921347000001</v>
      </c>
      <c r="EF9" s="874">
        <v>880.17278048000003</v>
      </c>
      <c r="EG9" s="874">
        <v>910.21893531000001</v>
      </c>
      <c r="EH9" s="874">
        <v>907.83303770999999</v>
      </c>
      <c r="EI9" s="874">
        <v>921.10901190000004</v>
      </c>
      <c r="EJ9" s="874">
        <v>938.67656263000003</v>
      </c>
      <c r="EK9" s="874">
        <v>912.33863816999997</v>
      </c>
      <c r="EL9" s="874">
        <v>944.77036846999999</v>
      </c>
      <c r="EM9" s="874">
        <v>1147.9269470199999</v>
      </c>
      <c r="EN9" s="874">
        <v>1188.36715116</v>
      </c>
      <c r="EO9" s="874">
        <v>1091.62240038</v>
      </c>
      <c r="EP9" s="874">
        <v>1098.9576319800001</v>
      </c>
      <c r="EQ9" s="874">
        <v>1062.38192286</v>
      </c>
      <c r="ER9" s="874">
        <v>1095.19231868</v>
      </c>
      <c r="ES9" s="874">
        <v>1094.4881198999999</v>
      </c>
      <c r="ET9" s="874">
        <v>1125.6827929799999</v>
      </c>
      <c r="EU9" s="1918" t="s">
        <v>1159</v>
      </c>
      <c r="EV9" s="339"/>
      <c r="EW9" s="339"/>
      <c r="EX9" s="339"/>
      <c r="EY9" s="340"/>
      <c r="EZ9" s="341"/>
      <c r="FA9" s="339"/>
      <c r="FB9" s="339"/>
      <c r="FC9" s="339"/>
      <c r="FD9" s="339"/>
      <c r="FE9" s="339"/>
      <c r="FF9" s="339"/>
      <c r="FG9" s="339"/>
      <c r="FH9" s="339"/>
      <c r="FI9" s="339"/>
      <c r="FJ9" s="339"/>
      <c r="FK9" s="339"/>
      <c r="FL9" s="339"/>
      <c r="FM9" s="339"/>
      <c r="FN9" s="339"/>
      <c r="FO9" s="339"/>
      <c r="FP9" s="339"/>
      <c r="FQ9" s="339"/>
      <c r="FR9" s="339"/>
      <c r="FS9" s="339"/>
      <c r="FT9" s="339"/>
      <c r="FU9" s="339"/>
      <c r="FV9" s="339"/>
      <c r="FW9" s="339"/>
      <c r="FX9" s="339"/>
      <c r="FY9" s="339"/>
      <c r="FZ9" s="339"/>
      <c r="GA9" s="339"/>
      <c r="GB9" s="339"/>
      <c r="GC9" s="339"/>
      <c r="GD9" s="339"/>
      <c r="GE9" s="339"/>
      <c r="GF9" s="339"/>
      <c r="GG9" s="339"/>
      <c r="GH9" s="339"/>
      <c r="GI9" s="339"/>
      <c r="GJ9" s="339"/>
      <c r="GK9" s="339"/>
      <c r="GL9" s="339"/>
      <c r="GM9" s="339"/>
      <c r="GN9" s="339"/>
      <c r="GO9" s="339"/>
      <c r="GP9" s="339"/>
      <c r="GQ9" s="339"/>
      <c r="GR9" s="339"/>
      <c r="GS9" s="339"/>
      <c r="GT9" s="339"/>
      <c r="GU9" s="339"/>
      <c r="GV9" s="339"/>
      <c r="GW9" s="339"/>
      <c r="GX9" s="339"/>
      <c r="GY9" s="339"/>
      <c r="GZ9" s="339"/>
      <c r="HA9" s="339"/>
      <c r="HB9" s="339"/>
      <c r="HC9" s="339"/>
      <c r="HD9" s="339"/>
      <c r="HE9" s="339"/>
      <c r="HF9" s="339"/>
      <c r="HG9" s="339"/>
      <c r="HH9" s="339"/>
      <c r="HI9" s="339"/>
      <c r="HJ9" s="339"/>
      <c r="HK9" s="339"/>
      <c r="HL9" s="339"/>
      <c r="HM9" s="339"/>
      <c r="HN9" s="339"/>
      <c r="HO9" s="339"/>
      <c r="HP9" s="339"/>
      <c r="HQ9" s="339"/>
      <c r="HR9" s="339"/>
      <c r="HS9" s="339"/>
      <c r="HT9" s="339"/>
      <c r="HU9" s="339"/>
      <c r="HV9" s="339"/>
      <c r="HW9" s="339"/>
      <c r="HX9" s="339"/>
      <c r="HY9" s="339"/>
      <c r="HZ9" s="339"/>
      <c r="IA9" s="339"/>
      <c r="IB9" s="339"/>
      <c r="IC9" s="339"/>
      <c r="ID9" s="339"/>
      <c r="IE9" s="339"/>
      <c r="IF9" s="339"/>
      <c r="IG9" s="339"/>
      <c r="IH9" s="339"/>
      <c r="II9" s="339"/>
      <c r="IJ9" s="339"/>
      <c r="IK9" s="339"/>
      <c r="IL9" s="339"/>
      <c r="IM9" s="339"/>
      <c r="IN9" s="339"/>
      <c r="IO9" s="339"/>
      <c r="IP9" s="339"/>
      <c r="IQ9" s="339"/>
      <c r="IR9" s="339"/>
      <c r="IS9" s="339"/>
      <c r="IT9" s="339"/>
      <c r="IU9" s="339"/>
      <c r="IV9" s="339"/>
      <c r="IW9" s="339"/>
      <c r="IX9" s="339"/>
      <c r="IY9" s="339"/>
      <c r="IZ9" s="339"/>
      <c r="JA9" s="339"/>
      <c r="JB9" s="339"/>
      <c r="JC9" s="339"/>
      <c r="JD9" s="339"/>
      <c r="JE9" s="339"/>
      <c r="JF9" s="339"/>
      <c r="JG9" s="339"/>
      <c r="JH9" s="339"/>
      <c r="JI9" s="339"/>
      <c r="JJ9" s="339"/>
      <c r="JK9" s="339"/>
      <c r="JL9" s="339"/>
      <c r="JM9" s="339"/>
      <c r="JN9" s="339"/>
      <c r="JO9" s="339"/>
      <c r="JP9" s="339"/>
      <c r="JQ9" s="339"/>
      <c r="JR9" s="339"/>
      <c r="JS9" s="339"/>
      <c r="JT9" s="339"/>
      <c r="JU9" s="339"/>
      <c r="JV9" s="339"/>
      <c r="JW9" s="339"/>
      <c r="JX9" s="339"/>
      <c r="JY9" s="339"/>
      <c r="JZ9" s="339"/>
      <c r="KA9" s="339"/>
      <c r="KB9" s="339"/>
      <c r="KC9" s="339"/>
    </row>
    <row r="10" spans="1:289" ht="21">
      <c r="A10" s="1931" t="s">
        <v>1974</v>
      </c>
      <c r="B10" s="851">
        <v>55.885779199999995</v>
      </c>
      <c r="C10" s="851">
        <v>87.246166299999999</v>
      </c>
      <c r="D10" s="851">
        <v>78.335109559999992</v>
      </c>
      <c r="E10" s="851">
        <v>66.877038240000005</v>
      </c>
      <c r="F10" s="851">
        <v>56.634360270000002</v>
      </c>
      <c r="G10" s="851">
        <v>56.333983959999998</v>
      </c>
      <c r="H10" s="851">
        <v>55.349142319999999</v>
      </c>
      <c r="I10" s="851">
        <v>43.824385599999999</v>
      </c>
      <c r="J10" s="851">
        <v>28.946097269999999</v>
      </c>
      <c r="K10" s="851">
        <v>6.8455837699999993</v>
      </c>
      <c r="L10" s="851">
        <v>15.452168990000001</v>
      </c>
      <c r="M10" s="843">
        <v>10.636677580000001</v>
      </c>
      <c r="N10" s="843">
        <v>10.64444802</v>
      </c>
      <c r="O10" s="843">
        <v>20.109081879999998</v>
      </c>
      <c r="P10" s="843">
        <v>22.662812240000001</v>
      </c>
      <c r="Q10" s="843">
        <v>12.52695233</v>
      </c>
      <c r="R10" s="843">
        <v>26.174828359999999</v>
      </c>
      <c r="S10" s="843">
        <v>44.371980129999997</v>
      </c>
      <c r="T10" s="843">
        <v>44.81340986</v>
      </c>
      <c r="U10" s="843">
        <v>56.946468940000003</v>
      </c>
      <c r="V10" s="843">
        <v>78.42299233</v>
      </c>
      <c r="W10" s="843">
        <v>73.492756679999999</v>
      </c>
      <c r="X10" s="843">
        <v>54.382664689999999</v>
      </c>
      <c r="Y10" s="843">
        <v>54.695447040000005</v>
      </c>
      <c r="Z10" s="843">
        <v>48.449799679999998</v>
      </c>
      <c r="AA10" s="843">
        <v>65.205087779999999</v>
      </c>
      <c r="AB10" s="843">
        <v>8.7325175300000009</v>
      </c>
      <c r="AC10" s="843">
        <v>29.838800710000001</v>
      </c>
      <c r="AD10" s="843">
        <v>34.172525589999999</v>
      </c>
      <c r="AE10" s="843">
        <v>34.066726599999996</v>
      </c>
      <c r="AF10" s="843">
        <v>39.104841880000002</v>
      </c>
      <c r="AG10" s="843">
        <v>43.272423589999995</v>
      </c>
      <c r="AH10" s="843">
        <v>43.309259320000002</v>
      </c>
      <c r="AI10" s="843">
        <v>43.388496509999996</v>
      </c>
      <c r="AJ10" s="843">
        <v>43.198777959999994</v>
      </c>
      <c r="AK10" s="843">
        <v>11.146346100000002</v>
      </c>
      <c r="AL10" s="843">
        <v>11.454834980000001</v>
      </c>
      <c r="AM10" s="843">
        <v>11.21337817</v>
      </c>
      <c r="AN10" s="843">
        <v>62.605160689999998</v>
      </c>
      <c r="AO10" s="843">
        <v>60.550172549999999</v>
      </c>
      <c r="AP10" s="843">
        <v>58.305366499999998</v>
      </c>
      <c r="AQ10" s="843">
        <v>67.745762200000001</v>
      </c>
      <c r="AR10" s="843">
        <v>66.994635390000013</v>
      </c>
      <c r="AS10" s="843">
        <v>67.380953340000005</v>
      </c>
      <c r="AT10" s="843">
        <v>67.546329180000001</v>
      </c>
      <c r="AU10" s="843">
        <v>65.461662219999994</v>
      </c>
      <c r="AV10" s="843">
        <v>64.898083899999989</v>
      </c>
      <c r="AW10" s="843">
        <v>63.641798480000006</v>
      </c>
      <c r="AX10" s="843">
        <v>63.663448780000003</v>
      </c>
      <c r="AY10" s="843">
        <v>59.621987200000007</v>
      </c>
      <c r="AZ10" s="843">
        <v>54.493886609999997</v>
      </c>
      <c r="BA10" s="843">
        <v>53.353678990000006</v>
      </c>
      <c r="BB10" s="843">
        <v>51.807588040000006</v>
      </c>
      <c r="BC10" s="843">
        <v>48.379755630000005</v>
      </c>
      <c r="BD10" s="843">
        <v>47.656588899999996</v>
      </c>
      <c r="BE10" s="843">
        <v>46.588443849999997</v>
      </c>
      <c r="BF10" s="843">
        <v>45.620438360000001</v>
      </c>
      <c r="BG10" s="843">
        <v>44.613535509999998</v>
      </c>
      <c r="BH10" s="886">
        <v>43.831509880000006</v>
      </c>
      <c r="BI10" s="875">
        <v>40.400829729999998</v>
      </c>
      <c r="BJ10" s="875">
        <v>39.535286499999998</v>
      </c>
      <c r="BK10" s="875">
        <v>38.557577349999995</v>
      </c>
      <c r="BL10" s="875">
        <v>37.649353810000001</v>
      </c>
      <c r="BM10" s="875">
        <v>36.681756969999995</v>
      </c>
      <c r="BN10" s="875">
        <v>35.460118170000001</v>
      </c>
      <c r="BO10" s="875">
        <v>34.805141679999991</v>
      </c>
      <c r="BP10" s="875">
        <v>34.361654160000001</v>
      </c>
      <c r="BQ10" s="875">
        <v>33.80349923</v>
      </c>
      <c r="BR10" s="875">
        <v>36.223544709999999</v>
      </c>
      <c r="BS10" s="875">
        <v>35.907925140000003</v>
      </c>
      <c r="BT10" s="875">
        <v>49.490150689999993</v>
      </c>
      <c r="BU10" s="875">
        <v>78.695552019999994</v>
      </c>
      <c r="BV10" s="875">
        <v>52.856566749999999</v>
      </c>
      <c r="BW10" s="875">
        <v>52.14498742</v>
      </c>
      <c r="BX10" s="875">
        <v>43.128196819999999</v>
      </c>
      <c r="BY10" s="875">
        <v>41.545644380000006</v>
      </c>
      <c r="BZ10" s="875">
        <v>33.113790080000001</v>
      </c>
      <c r="CA10" s="875">
        <v>30.186884389999996</v>
      </c>
      <c r="CB10" s="875">
        <v>28.550770949999997</v>
      </c>
      <c r="CC10" s="875">
        <v>27.068106349999997</v>
      </c>
      <c r="CD10" s="875">
        <v>18.76271208</v>
      </c>
      <c r="CE10" s="875">
        <v>16.969291269999999</v>
      </c>
      <c r="CF10" s="875">
        <v>14.892114079999999</v>
      </c>
      <c r="CG10" s="875">
        <v>14.143791759999999</v>
      </c>
      <c r="CH10" s="875">
        <v>6.7542367600000004</v>
      </c>
      <c r="CI10" s="875">
        <v>6.7646817600000002</v>
      </c>
      <c r="CJ10" s="875">
        <v>10.077501760000001</v>
      </c>
      <c r="CK10" s="875">
        <v>7.1341139800000004</v>
      </c>
      <c r="CL10" s="875">
        <v>7.0503148199999996</v>
      </c>
      <c r="CM10" s="875">
        <v>6.8296299200000004</v>
      </c>
      <c r="CN10" s="875">
        <v>7.0284924500000008</v>
      </c>
      <c r="CO10" s="875">
        <v>6.9777389699999999</v>
      </c>
      <c r="CP10" s="875">
        <v>6.9283835700000003</v>
      </c>
      <c r="CQ10" s="875">
        <v>6.7114136599999998</v>
      </c>
      <c r="CR10" s="875">
        <v>6.5647065099999997</v>
      </c>
      <c r="CS10" s="875">
        <v>6.4922090399999997</v>
      </c>
      <c r="CT10" s="875">
        <v>3.2572299999999998E-2</v>
      </c>
      <c r="CU10" s="875">
        <v>2.9454169999999998E-2</v>
      </c>
      <c r="CV10" s="875">
        <v>2.6270249999999998E-2</v>
      </c>
      <c r="CW10" s="875">
        <v>2.3020829999999999E-2</v>
      </c>
      <c r="CX10" s="875">
        <v>1.9806089999999998E-2</v>
      </c>
      <c r="CY10" s="875">
        <v>5.6369719999999998E-2</v>
      </c>
      <c r="CZ10" s="875">
        <v>5.2946439999999997E-2</v>
      </c>
      <c r="DA10" s="875">
        <v>4.8119820000000001E-2</v>
      </c>
      <c r="DB10" s="875">
        <v>4.0150859999999997E-2</v>
      </c>
      <c r="DC10" s="875">
        <v>8.7373889999999996E-2</v>
      </c>
      <c r="DD10" s="875">
        <v>1.07748541</v>
      </c>
      <c r="DE10" s="875">
        <v>3.5341092199999999</v>
      </c>
      <c r="DF10" s="875">
        <v>3.47492036</v>
      </c>
      <c r="DG10" s="875">
        <v>3.9652590000000001</v>
      </c>
      <c r="DH10" s="875">
        <v>4.5141974200000003</v>
      </c>
      <c r="DI10" s="875">
        <v>4.2142898500000001</v>
      </c>
      <c r="DJ10" s="875">
        <v>4.1360665499999998</v>
      </c>
      <c r="DK10" s="875">
        <v>4.0559742700000001</v>
      </c>
      <c r="DL10" s="875">
        <v>3.9545955400000001</v>
      </c>
      <c r="DM10" s="875">
        <v>3.9829481499999999</v>
      </c>
      <c r="DN10" s="875">
        <v>3.8643787600000001</v>
      </c>
      <c r="DO10" s="875">
        <v>3.8043277500000001</v>
      </c>
      <c r="DP10" s="875">
        <v>3.6903822700000002</v>
      </c>
      <c r="DQ10" s="875">
        <v>3.5388693400000002</v>
      </c>
      <c r="DR10" s="875">
        <v>3.4117306799999998</v>
      </c>
      <c r="DS10" s="875">
        <v>3.2786327100000001</v>
      </c>
      <c r="DT10" s="875">
        <v>3.1023859599999999</v>
      </c>
      <c r="DU10" s="875">
        <v>2.9638076600000001</v>
      </c>
      <c r="DV10" s="875">
        <v>2.8556898899999998</v>
      </c>
      <c r="DW10" s="875">
        <v>2.7368298200000001</v>
      </c>
      <c r="DX10" s="875">
        <v>2.5393560800000001</v>
      </c>
      <c r="DY10" s="875">
        <v>2.40192351</v>
      </c>
      <c r="DZ10" s="875">
        <v>2.28696382</v>
      </c>
      <c r="EA10" s="875">
        <v>2.1491997</v>
      </c>
      <c r="EB10" s="875">
        <v>22.030395290000001</v>
      </c>
      <c r="EC10" s="875">
        <v>26.56282135</v>
      </c>
      <c r="ED10" s="875">
        <v>26.0592352</v>
      </c>
      <c r="EE10" s="875">
        <v>25.506268680000002</v>
      </c>
      <c r="EF10" s="875">
        <v>25.015596970000001</v>
      </c>
      <c r="EG10" s="875">
        <v>24.451615019999998</v>
      </c>
      <c r="EH10" s="875">
        <v>23.927911009999999</v>
      </c>
      <c r="EI10" s="875">
        <v>23.475236809999998</v>
      </c>
      <c r="EJ10" s="875">
        <v>22.923676260000001</v>
      </c>
      <c r="EK10" s="875">
        <v>32.543368600000001</v>
      </c>
      <c r="EL10" s="875">
        <v>31.936472240000001</v>
      </c>
      <c r="EM10" s="875">
        <v>31.310924610000001</v>
      </c>
      <c r="EN10" s="875">
        <v>34.062771840000003</v>
      </c>
      <c r="EO10" s="875">
        <v>33.704531350000003</v>
      </c>
      <c r="EP10" s="875">
        <v>33.014785539999998</v>
      </c>
      <c r="EQ10" s="875">
        <v>32.440938080000002</v>
      </c>
      <c r="ER10" s="875">
        <v>32.307414899999998</v>
      </c>
      <c r="ES10" s="875">
        <v>31.484647630000001</v>
      </c>
      <c r="ET10" s="875">
        <v>30.86975743</v>
      </c>
      <c r="EU10" s="1920" t="s">
        <v>4086</v>
      </c>
      <c r="EV10" s="339"/>
      <c r="EW10" s="339"/>
      <c r="EX10" s="339"/>
      <c r="EY10" s="339"/>
      <c r="EZ10" s="342"/>
      <c r="FA10" s="339"/>
      <c r="FB10" s="339"/>
      <c r="FC10" s="339"/>
      <c r="FD10" s="339"/>
      <c r="FE10" s="339"/>
      <c r="FF10" s="339"/>
      <c r="FG10" s="339"/>
      <c r="FH10" s="339"/>
      <c r="FI10" s="339"/>
      <c r="FJ10" s="339"/>
      <c r="FK10" s="339"/>
      <c r="FL10" s="339"/>
      <c r="FM10" s="339"/>
      <c r="FN10" s="339"/>
      <c r="FO10" s="339"/>
      <c r="FP10" s="339"/>
      <c r="FQ10" s="339"/>
      <c r="FR10" s="339"/>
      <c r="FS10" s="339"/>
      <c r="FT10" s="339"/>
      <c r="FU10" s="339"/>
      <c r="FV10" s="339"/>
      <c r="FW10" s="339"/>
      <c r="FX10" s="339"/>
      <c r="FY10" s="339"/>
      <c r="FZ10" s="339"/>
      <c r="GA10" s="339"/>
      <c r="GB10" s="339"/>
      <c r="GC10" s="339"/>
      <c r="GD10" s="339"/>
      <c r="GE10" s="339"/>
      <c r="GF10" s="339"/>
      <c r="GG10" s="339"/>
      <c r="GH10" s="339"/>
      <c r="GI10" s="339"/>
      <c r="GJ10" s="339"/>
      <c r="GK10" s="339"/>
      <c r="GL10" s="339"/>
      <c r="GM10" s="339"/>
      <c r="GN10" s="339"/>
      <c r="GO10" s="339"/>
      <c r="GP10" s="339"/>
      <c r="GQ10" s="339"/>
      <c r="GR10" s="339"/>
      <c r="GS10" s="339"/>
      <c r="GT10" s="339"/>
      <c r="GU10" s="339"/>
      <c r="GV10" s="339"/>
      <c r="GW10" s="339"/>
      <c r="GX10" s="339"/>
      <c r="GY10" s="339"/>
      <c r="GZ10" s="339"/>
      <c r="HA10" s="339"/>
      <c r="HB10" s="339"/>
      <c r="HC10" s="339"/>
      <c r="HD10" s="339"/>
      <c r="HE10" s="339"/>
      <c r="HF10" s="339"/>
      <c r="HG10" s="339"/>
      <c r="HH10" s="339"/>
      <c r="HI10" s="339"/>
      <c r="HJ10" s="339"/>
      <c r="HK10" s="339"/>
      <c r="HL10" s="339"/>
      <c r="HM10" s="339"/>
      <c r="HN10" s="339"/>
      <c r="HO10" s="339"/>
      <c r="HP10" s="339"/>
      <c r="HQ10" s="339"/>
      <c r="HR10" s="339"/>
      <c r="HS10" s="339"/>
      <c r="HT10" s="339"/>
      <c r="HU10" s="339"/>
      <c r="HV10" s="339"/>
      <c r="HW10" s="339"/>
      <c r="HX10" s="339"/>
      <c r="HY10" s="339"/>
      <c r="HZ10" s="339"/>
      <c r="IA10" s="339"/>
      <c r="IB10" s="339"/>
      <c r="IC10" s="339"/>
      <c r="ID10" s="339"/>
      <c r="IE10" s="339"/>
      <c r="IF10" s="339"/>
      <c r="IG10" s="339"/>
      <c r="IH10" s="339"/>
      <c r="II10" s="339"/>
      <c r="IJ10" s="339"/>
      <c r="IK10" s="339"/>
      <c r="IL10" s="339"/>
      <c r="IM10" s="339"/>
      <c r="IN10" s="339"/>
      <c r="IO10" s="339"/>
      <c r="IP10" s="339"/>
      <c r="IQ10" s="339"/>
      <c r="IR10" s="339"/>
      <c r="IS10" s="339"/>
      <c r="IT10" s="339"/>
      <c r="IU10" s="339"/>
      <c r="IV10" s="339"/>
      <c r="IW10" s="339"/>
      <c r="IX10" s="339"/>
      <c r="IY10" s="339"/>
      <c r="IZ10" s="339"/>
      <c r="JA10" s="339"/>
      <c r="JB10" s="339"/>
      <c r="JC10" s="339"/>
      <c r="JD10" s="339"/>
      <c r="JE10" s="339"/>
      <c r="JF10" s="339"/>
      <c r="JG10" s="339"/>
      <c r="JH10" s="339"/>
      <c r="JI10" s="339"/>
      <c r="JJ10" s="339"/>
      <c r="JK10" s="339"/>
      <c r="JL10" s="339"/>
      <c r="JM10" s="339"/>
      <c r="JN10" s="339"/>
      <c r="JO10" s="339"/>
      <c r="JP10" s="339"/>
      <c r="JQ10" s="339"/>
      <c r="JR10" s="339"/>
      <c r="JS10" s="339"/>
      <c r="JT10" s="339"/>
      <c r="JU10" s="339"/>
      <c r="JV10" s="339"/>
      <c r="JW10" s="339"/>
      <c r="JX10" s="339"/>
      <c r="JY10" s="339"/>
      <c r="JZ10" s="339"/>
      <c r="KA10" s="339"/>
      <c r="KB10" s="339"/>
      <c r="KC10" s="339"/>
    </row>
    <row r="11" spans="1:289" ht="21">
      <c r="A11" s="1931" t="s">
        <v>1975</v>
      </c>
      <c r="B11" s="850">
        <f t="shared" ref="B11:V11" si="0">+B9-B10</f>
        <v>1065.3081903100001</v>
      </c>
      <c r="C11" s="850">
        <f t="shared" si="0"/>
        <v>1373.1621201200001</v>
      </c>
      <c r="D11" s="850">
        <f t="shared" si="0"/>
        <v>1439.9555705499999</v>
      </c>
      <c r="E11" s="850">
        <f t="shared" si="0"/>
        <v>1657.82862817</v>
      </c>
      <c r="F11" s="850">
        <f t="shared" si="0"/>
        <v>1764.0894260700002</v>
      </c>
      <c r="G11" s="850">
        <f t="shared" si="0"/>
        <v>1822.94496607</v>
      </c>
      <c r="H11" s="850">
        <f t="shared" si="0"/>
        <v>1895.01305641</v>
      </c>
      <c r="I11" s="850">
        <f t="shared" si="0"/>
        <v>1944.3044096500003</v>
      </c>
      <c r="J11" s="850">
        <f t="shared" si="0"/>
        <v>2003.2218307199998</v>
      </c>
      <c r="K11" s="850">
        <f t="shared" si="0"/>
        <v>2037.8545894699998</v>
      </c>
      <c r="L11" s="850">
        <f t="shared" si="0"/>
        <v>2085.4630049900002</v>
      </c>
      <c r="M11" s="843">
        <f t="shared" si="0"/>
        <v>2091.4973838099995</v>
      </c>
      <c r="N11" s="840">
        <f t="shared" si="0"/>
        <v>1727.64935623</v>
      </c>
      <c r="O11" s="840">
        <f t="shared" si="0"/>
        <v>1775.9185467499999</v>
      </c>
      <c r="P11" s="840">
        <f t="shared" si="0"/>
        <v>1812.2702630200004</v>
      </c>
      <c r="Q11" s="840">
        <f t="shared" si="0"/>
        <v>1853.15719083</v>
      </c>
      <c r="R11" s="840">
        <f t="shared" si="0"/>
        <v>1920.5496190600002</v>
      </c>
      <c r="S11" s="840">
        <f t="shared" si="0"/>
        <v>1974.30431787</v>
      </c>
      <c r="T11" s="840">
        <f t="shared" si="0"/>
        <v>2003.8039138899996</v>
      </c>
      <c r="U11" s="840">
        <f t="shared" si="0"/>
        <v>2043.6256732599998</v>
      </c>
      <c r="V11" s="840">
        <f t="shared" si="0"/>
        <v>2092.2897298700004</v>
      </c>
      <c r="W11" s="840">
        <v>2125.1294292799998</v>
      </c>
      <c r="X11" s="840">
        <v>2196.5958158999997</v>
      </c>
      <c r="Y11" s="843">
        <v>2189.23994382</v>
      </c>
      <c r="Z11" s="840">
        <v>2195.5475927000002</v>
      </c>
      <c r="AA11" s="840">
        <v>1866.0046842899999</v>
      </c>
      <c r="AB11" s="843">
        <f>+AB9-AB10</f>
        <v>1940.91094823</v>
      </c>
      <c r="AC11" s="843">
        <v>1918.5523697799999</v>
      </c>
      <c r="AD11" s="843">
        <v>1918.8939900099999</v>
      </c>
      <c r="AE11" s="843">
        <v>1899.7037109599999</v>
      </c>
      <c r="AF11" s="843">
        <v>1907.8595142199999</v>
      </c>
      <c r="AG11" s="843">
        <v>1836.7069011799999</v>
      </c>
      <c r="AH11" s="843">
        <f>+AH9-AH10</f>
        <v>1821.7713519300005</v>
      </c>
      <c r="AI11" s="843">
        <v>1821.06204409</v>
      </c>
      <c r="AJ11" s="843">
        <f>+AJ9-AJ10</f>
        <v>1984.1944268900002</v>
      </c>
      <c r="AK11" s="843">
        <f>+AK9-AK10</f>
        <v>2171.2507728</v>
      </c>
      <c r="AL11" s="843">
        <v>2189.7713853499999</v>
      </c>
      <c r="AM11" s="843">
        <f>+AM9-AM10</f>
        <v>2192.7268958200002</v>
      </c>
      <c r="AN11" s="843">
        <f>+AN9-AN10</f>
        <v>2156.04638226</v>
      </c>
      <c r="AO11" s="843">
        <f>+AO9-AO10</f>
        <v>2023.3443977899999</v>
      </c>
      <c r="AP11" s="843">
        <f>+AP9-AP10</f>
        <v>1975.2156277300003</v>
      </c>
      <c r="AQ11" s="843">
        <v>1787.73130186</v>
      </c>
      <c r="AR11" s="843">
        <v>1178.50666714</v>
      </c>
      <c r="AS11" s="843">
        <f>+AS9-AS10</f>
        <v>1178.3260754800001</v>
      </c>
      <c r="AT11" s="843">
        <f>+AT9-AT10</f>
        <v>1119.38514313</v>
      </c>
      <c r="AU11" s="843">
        <v>982.97413865999999</v>
      </c>
      <c r="AV11" s="843">
        <v>1012.4481979400001</v>
      </c>
      <c r="AW11" s="843">
        <v>1013.86136104</v>
      </c>
      <c r="AX11" s="843">
        <v>1026.2826060300001</v>
      </c>
      <c r="AY11" s="843">
        <v>1032.79635833</v>
      </c>
      <c r="AZ11" s="843">
        <v>1016.9761191599999</v>
      </c>
      <c r="BA11" s="843">
        <v>1014.79134562</v>
      </c>
      <c r="BB11" s="843">
        <v>970.40930667000009</v>
      </c>
      <c r="BC11" s="843">
        <v>791.59156274000009</v>
      </c>
      <c r="BD11" s="843">
        <f>+BD9-BD10</f>
        <v>529.09149667000008</v>
      </c>
      <c r="BE11" s="843">
        <v>472.75493667000001</v>
      </c>
      <c r="BF11" s="843">
        <v>483.00305578999996</v>
      </c>
      <c r="BG11" s="843">
        <v>484.09199325999998</v>
      </c>
      <c r="BH11" s="886">
        <v>482.06694428999992</v>
      </c>
      <c r="BI11" s="875">
        <v>493.57984188000006</v>
      </c>
      <c r="BJ11" s="875">
        <v>497.40226073999997</v>
      </c>
      <c r="BK11" s="875">
        <v>468.78219430000001</v>
      </c>
      <c r="BL11" s="875">
        <v>481.6311465</v>
      </c>
      <c r="BM11" s="875">
        <v>465.95743977000001</v>
      </c>
      <c r="BN11" s="875">
        <v>460.09331351000003</v>
      </c>
      <c r="BO11" s="875">
        <v>466.51301607999994</v>
      </c>
      <c r="BP11" s="875">
        <v>464.33590036000004</v>
      </c>
      <c r="BQ11" s="875">
        <v>460.70511907999997</v>
      </c>
      <c r="BR11" s="875">
        <v>345.10437358999997</v>
      </c>
      <c r="BS11" s="875">
        <v>333.93056864000005</v>
      </c>
      <c r="BT11" s="875">
        <v>346.33361210999999</v>
      </c>
      <c r="BU11" s="875">
        <v>306.01249254999999</v>
      </c>
      <c r="BV11" s="875">
        <v>301.94964494999999</v>
      </c>
      <c r="BW11" s="875">
        <v>316.88827399999997</v>
      </c>
      <c r="BX11" s="875">
        <v>322.99822119999999</v>
      </c>
      <c r="BY11" s="875">
        <v>311.76627234</v>
      </c>
      <c r="BZ11" s="875">
        <v>329.27066920999999</v>
      </c>
      <c r="CA11" s="875">
        <v>335.05130819999999</v>
      </c>
      <c r="CB11" s="875">
        <v>313.84481928000002</v>
      </c>
      <c r="CC11" s="875">
        <v>335.84724432999997</v>
      </c>
      <c r="CD11" s="875">
        <v>345.48464193999996</v>
      </c>
      <c r="CE11" s="875">
        <f t="shared" ref="CE11:CP11" si="1">+CE9-CE10</f>
        <v>356.73494461999996</v>
      </c>
      <c r="CF11" s="875">
        <f t="shared" si="1"/>
        <v>402.96618730999995</v>
      </c>
      <c r="CG11" s="875">
        <f t="shared" si="1"/>
        <v>427.16178428999996</v>
      </c>
      <c r="CH11" s="875">
        <f t="shared" si="1"/>
        <v>416.81999790999998</v>
      </c>
      <c r="CI11" s="875">
        <f t="shared" si="1"/>
        <v>411.84370254000004</v>
      </c>
      <c r="CJ11" s="875">
        <f t="shared" si="1"/>
        <v>415.92795584999999</v>
      </c>
      <c r="CK11" s="875">
        <f t="shared" si="1"/>
        <v>409.53903955000004</v>
      </c>
      <c r="CL11" s="875">
        <f t="shared" si="1"/>
        <v>371.69286225000002</v>
      </c>
      <c r="CM11" s="875">
        <f t="shared" si="1"/>
        <v>362.36056699000005</v>
      </c>
      <c r="CN11" s="875">
        <f t="shared" si="1"/>
        <v>355.16111650000005</v>
      </c>
      <c r="CO11" s="875">
        <f t="shared" si="1"/>
        <v>357.04161857000003</v>
      </c>
      <c r="CP11" s="875">
        <f t="shared" si="1"/>
        <v>351.55490913</v>
      </c>
      <c r="CQ11" s="875">
        <f>+CQ9-CQ10</f>
        <v>349.33087976999997</v>
      </c>
      <c r="CR11" s="875">
        <f>+CR9-CR10</f>
        <v>374.85278195999996</v>
      </c>
      <c r="CS11" s="875">
        <f>+CS9-CS10</f>
        <v>385.49419285000005</v>
      </c>
      <c r="CT11" s="875">
        <v>422.22797513999996</v>
      </c>
      <c r="CU11" s="875">
        <f>+CU9-CU10</f>
        <v>444.18248688</v>
      </c>
      <c r="CV11" s="875">
        <v>433.51137589000001</v>
      </c>
      <c r="CW11" s="875">
        <v>439.55887482999998</v>
      </c>
      <c r="CX11" s="875">
        <v>469.56754929000004</v>
      </c>
      <c r="CY11" s="875">
        <v>471.91321427999998</v>
      </c>
      <c r="CZ11" s="875">
        <v>505.13795968999995</v>
      </c>
      <c r="DA11" s="875">
        <v>543.07852446999993</v>
      </c>
      <c r="DB11" s="875">
        <v>582.28138567999997</v>
      </c>
      <c r="DC11" s="875">
        <f>+DC9-DC10</f>
        <v>606.40325546999998</v>
      </c>
      <c r="DD11" s="875">
        <v>644.34243730000003</v>
      </c>
      <c r="DE11" s="875">
        <v>619.57246173999999</v>
      </c>
      <c r="DF11" s="875">
        <v>630.08440714999995</v>
      </c>
      <c r="DG11" s="875">
        <f>+DG9-DG10</f>
        <v>706.92489135000005</v>
      </c>
      <c r="DH11" s="875">
        <v>735.88964038000006</v>
      </c>
      <c r="DI11" s="875">
        <f>+DI9-DI10</f>
        <v>790.97267418000001</v>
      </c>
      <c r="DJ11" s="875">
        <v>814.54395253999996</v>
      </c>
      <c r="DK11" s="875">
        <v>895.44138897000005</v>
      </c>
      <c r="DL11" s="875">
        <v>908.93524859000001</v>
      </c>
      <c r="DM11" s="875">
        <v>904.06859596000004</v>
      </c>
      <c r="DN11" s="875">
        <f>+DN9-DN10</f>
        <v>953.90060564999999</v>
      </c>
      <c r="DO11" s="875">
        <f>+DO9-DO10</f>
        <v>893.86279925999997</v>
      </c>
      <c r="DP11" s="875">
        <f>+DP9-DP10</f>
        <v>873.90140069000006</v>
      </c>
      <c r="DQ11" s="875">
        <f>+DQ9-DQ10</f>
        <v>831.30211717999998</v>
      </c>
      <c r="DR11" s="875">
        <v>844.96956141999999</v>
      </c>
      <c r="DS11" s="875">
        <v>800.72034772999996</v>
      </c>
      <c r="DT11" s="875">
        <v>795.71069807000003</v>
      </c>
      <c r="DU11" s="875">
        <f>+DU9-DU10</f>
        <v>802.36897971999997</v>
      </c>
      <c r="DV11" s="875">
        <f>+DV9-DV10</f>
        <v>827.35329767999997</v>
      </c>
      <c r="DW11" s="875">
        <v>871.11505217000001</v>
      </c>
      <c r="DX11" s="875">
        <v>847.52943784000001</v>
      </c>
      <c r="DY11" s="875">
        <v>820.60296129000005</v>
      </c>
      <c r="DZ11" s="875">
        <f>+DZ9-DZ10</f>
        <v>841.22265077999998</v>
      </c>
      <c r="EA11" s="875">
        <v>829.34822797999993</v>
      </c>
      <c r="EB11" s="875">
        <v>843.25976808999997</v>
      </c>
      <c r="EC11" s="875">
        <v>838.98343459</v>
      </c>
      <c r="ED11" s="875">
        <v>853.27014881000002</v>
      </c>
      <c r="EE11" s="875">
        <v>832.07294479000007</v>
      </c>
      <c r="EF11" s="875">
        <v>855.15718350999998</v>
      </c>
      <c r="EG11" s="875">
        <v>885.76732029000004</v>
      </c>
      <c r="EH11" s="875">
        <v>883.90512669999998</v>
      </c>
      <c r="EI11" s="875">
        <v>897.63377509000009</v>
      </c>
      <c r="EJ11" s="875">
        <f>+EJ9-EJ10</f>
        <v>915.75288637000006</v>
      </c>
      <c r="EK11" s="875">
        <v>879.79526956999996</v>
      </c>
      <c r="EL11" s="875">
        <v>912.83389622999994</v>
      </c>
      <c r="EM11" s="875">
        <v>1116.6160224099999</v>
      </c>
      <c r="EN11" s="875">
        <f>+EN9-EN10</f>
        <v>1154.30437932</v>
      </c>
      <c r="EO11" s="875">
        <v>1057.91786903</v>
      </c>
      <c r="EP11" s="875">
        <v>1065.94284644</v>
      </c>
      <c r="EQ11" s="875">
        <v>1029.94098478</v>
      </c>
      <c r="ER11" s="875">
        <v>1062.8849037800001</v>
      </c>
      <c r="ES11" s="875">
        <v>1063.00347227</v>
      </c>
      <c r="ET11" s="875">
        <f>+ET9-ET10</f>
        <v>1094.81303555</v>
      </c>
      <c r="EU11" s="1920" t="s">
        <v>4085</v>
      </c>
      <c r="EV11" s="339"/>
      <c r="EW11" s="339"/>
      <c r="EX11" s="339"/>
      <c r="EY11" s="339"/>
      <c r="EZ11" s="342"/>
      <c r="FA11" s="339"/>
      <c r="FB11" s="339"/>
      <c r="FC11" s="339"/>
      <c r="FD11" s="339"/>
      <c r="FE11" s="339"/>
      <c r="FF11" s="339"/>
      <c r="FG11" s="339"/>
      <c r="FH11" s="339"/>
      <c r="FI11" s="339"/>
      <c r="FJ11" s="339"/>
      <c r="FK11" s="339"/>
      <c r="FL11" s="339"/>
      <c r="FM11" s="339"/>
      <c r="FN11" s="339"/>
      <c r="FO11" s="339"/>
      <c r="FP11" s="339"/>
      <c r="FQ11" s="339"/>
      <c r="FR11" s="339"/>
      <c r="FS11" s="339"/>
      <c r="FT11" s="339"/>
      <c r="FU11" s="339"/>
      <c r="FV11" s="339"/>
      <c r="FW11" s="339"/>
      <c r="FX11" s="339"/>
      <c r="FY11" s="339"/>
      <c r="FZ11" s="339"/>
      <c r="GA11" s="339"/>
      <c r="GB11" s="339"/>
      <c r="GC11" s="339"/>
      <c r="GD11" s="339"/>
      <c r="GE11" s="339"/>
      <c r="GF11" s="339"/>
      <c r="GG11" s="339"/>
      <c r="GH11" s="339"/>
      <c r="GI11" s="339"/>
      <c r="GJ11" s="339"/>
      <c r="GK11" s="339"/>
      <c r="GL11" s="339"/>
      <c r="GM11" s="339"/>
      <c r="GN11" s="339"/>
      <c r="GO11" s="339"/>
      <c r="GP11" s="339"/>
      <c r="GQ11" s="339"/>
      <c r="GR11" s="339"/>
      <c r="GS11" s="339"/>
      <c r="GT11" s="339"/>
      <c r="GU11" s="339"/>
      <c r="GV11" s="339"/>
      <c r="GW11" s="339"/>
      <c r="GX11" s="339"/>
      <c r="GY11" s="339"/>
      <c r="GZ11" s="339"/>
      <c r="HA11" s="339"/>
      <c r="HB11" s="339"/>
      <c r="HC11" s="339"/>
      <c r="HD11" s="339"/>
      <c r="HE11" s="339"/>
      <c r="HF11" s="339"/>
      <c r="HG11" s="339"/>
      <c r="HH11" s="339"/>
      <c r="HI11" s="339"/>
      <c r="HJ11" s="339"/>
      <c r="HK11" s="339"/>
      <c r="HL11" s="339"/>
      <c r="HM11" s="339"/>
      <c r="HN11" s="339"/>
      <c r="HO11" s="339"/>
      <c r="HP11" s="339"/>
      <c r="HQ11" s="339"/>
      <c r="HR11" s="339"/>
      <c r="HS11" s="339"/>
      <c r="HT11" s="339"/>
      <c r="HU11" s="339"/>
      <c r="HV11" s="339"/>
      <c r="HW11" s="339"/>
      <c r="HX11" s="339"/>
      <c r="HY11" s="339"/>
      <c r="HZ11" s="339"/>
      <c r="IA11" s="339"/>
      <c r="IB11" s="339"/>
      <c r="IC11" s="339"/>
      <c r="ID11" s="339"/>
      <c r="IE11" s="339"/>
      <c r="IF11" s="339"/>
      <c r="IG11" s="339"/>
      <c r="IH11" s="339"/>
      <c r="II11" s="339"/>
      <c r="IJ11" s="339"/>
      <c r="IK11" s="339"/>
      <c r="IL11" s="339"/>
      <c r="IM11" s="339"/>
      <c r="IN11" s="339"/>
      <c r="IO11" s="339"/>
      <c r="IP11" s="339"/>
      <c r="IQ11" s="339"/>
      <c r="IR11" s="339"/>
      <c r="IS11" s="339"/>
      <c r="IT11" s="339"/>
      <c r="IU11" s="339"/>
      <c r="IV11" s="339"/>
      <c r="IW11" s="339"/>
      <c r="IX11" s="339"/>
      <c r="IY11" s="339"/>
      <c r="IZ11" s="339"/>
      <c r="JA11" s="339"/>
      <c r="JB11" s="339"/>
      <c r="JC11" s="339"/>
      <c r="JD11" s="339"/>
      <c r="JE11" s="339"/>
      <c r="JF11" s="339"/>
      <c r="JG11" s="339"/>
      <c r="JH11" s="339"/>
      <c r="JI11" s="339"/>
      <c r="JJ11" s="339"/>
      <c r="JK11" s="339"/>
      <c r="JL11" s="339"/>
      <c r="JM11" s="339"/>
      <c r="JN11" s="339"/>
      <c r="JO11" s="339"/>
      <c r="JP11" s="339"/>
      <c r="JQ11" s="339"/>
      <c r="JR11" s="339"/>
      <c r="JS11" s="339"/>
      <c r="JT11" s="339"/>
      <c r="JU11" s="339"/>
      <c r="JV11" s="339"/>
      <c r="JW11" s="339"/>
      <c r="JX11" s="339"/>
      <c r="JY11" s="339"/>
      <c r="JZ11" s="339"/>
      <c r="KA11" s="339"/>
      <c r="KB11" s="339"/>
      <c r="KC11" s="339"/>
    </row>
    <row r="12" spans="1:289" ht="21">
      <c r="A12" s="1929"/>
      <c r="B12" s="851"/>
      <c r="C12" s="851"/>
      <c r="D12" s="851"/>
      <c r="E12" s="851"/>
      <c r="F12" s="851"/>
      <c r="G12" s="851"/>
      <c r="H12" s="851"/>
      <c r="I12" s="851"/>
      <c r="J12" s="851"/>
      <c r="K12" s="851"/>
      <c r="L12" s="851"/>
      <c r="M12" s="843"/>
      <c r="N12" s="843"/>
      <c r="O12" s="843"/>
      <c r="P12" s="843"/>
      <c r="Q12" s="843"/>
      <c r="R12" s="843"/>
      <c r="S12" s="843"/>
      <c r="T12" s="843"/>
      <c r="U12" s="843"/>
      <c r="V12" s="843"/>
      <c r="W12" s="843"/>
      <c r="X12" s="843"/>
      <c r="Y12" s="843"/>
      <c r="Z12" s="843"/>
      <c r="AA12" s="843"/>
      <c r="AB12" s="843"/>
      <c r="AC12" s="843"/>
      <c r="AD12" s="843"/>
      <c r="AE12" s="843"/>
      <c r="AF12" s="843"/>
      <c r="AG12" s="843"/>
      <c r="AH12" s="843"/>
      <c r="AI12" s="843"/>
      <c r="AJ12" s="843"/>
      <c r="AK12" s="843"/>
      <c r="AL12" s="843"/>
      <c r="AM12" s="843"/>
      <c r="AN12" s="843"/>
      <c r="AO12" s="843"/>
      <c r="AP12" s="843"/>
      <c r="AQ12" s="843"/>
      <c r="AR12" s="843"/>
      <c r="AS12" s="843"/>
      <c r="AT12" s="843"/>
      <c r="AU12" s="843"/>
      <c r="AV12" s="843"/>
      <c r="AW12" s="843"/>
      <c r="AX12" s="843"/>
      <c r="AY12" s="843"/>
      <c r="AZ12" s="843"/>
      <c r="BA12" s="843"/>
      <c r="BB12" s="843"/>
      <c r="BC12" s="843"/>
      <c r="BD12" s="843"/>
      <c r="BE12" s="843"/>
      <c r="BF12" s="843"/>
      <c r="BG12" s="843"/>
      <c r="BH12" s="886"/>
      <c r="BI12" s="875"/>
      <c r="BJ12" s="875"/>
      <c r="BK12" s="875"/>
      <c r="BL12" s="875"/>
      <c r="BM12" s="875"/>
      <c r="BN12" s="875"/>
      <c r="BO12" s="875"/>
      <c r="BP12" s="875"/>
      <c r="BQ12" s="875"/>
      <c r="BR12" s="875"/>
      <c r="BS12" s="875"/>
      <c r="BT12" s="875"/>
      <c r="BU12" s="875"/>
      <c r="BV12" s="875"/>
      <c r="BW12" s="875"/>
      <c r="BX12" s="875"/>
      <c r="BY12" s="875"/>
      <c r="BZ12" s="875"/>
      <c r="CA12" s="875"/>
      <c r="CB12" s="875"/>
      <c r="CC12" s="875"/>
      <c r="CD12" s="875"/>
      <c r="CE12" s="875"/>
      <c r="CF12" s="875"/>
      <c r="CG12" s="875"/>
      <c r="CH12" s="875"/>
      <c r="CI12" s="875"/>
      <c r="CJ12" s="875"/>
      <c r="CK12" s="875"/>
      <c r="CL12" s="875"/>
      <c r="CM12" s="875"/>
      <c r="CN12" s="875"/>
      <c r="CO12" s="875"/>
      <c r="CP12" s="875"/>
      <c r="CQ12" s="875"/>
      <c r="CR12" s="875"/>
      <c r="CS12" s="875"/>
      <c r="CT12" s="875"/>
      <c r="CU12" s="875"/>
      <c r="CV12" s="875"/>
      <c r="CW12" s="875"/>
      <c r="CX12" s="875"/>
      <c r="CY12" s="875"/>
      <c r="CZ12" s="875"/>
      <c r="DA12" s="875"/>
      <c r="DB12" s="875"/>
      <c r="DC12" s="875"/>
      <c r="DD12" s="875"/>
      <c r="DE12" s="875"/>
      <c r="DF12" s="875"/>
      <c r="DG12" s="875"/>
      <c r="DH12" s="875"/>
      <c r="DI12" s="875"/>
      <c r="DJ12" s="875"/>
      <c r="DK12" s="875"/>
      <c r="DL12" s="875"/>
      <c r="DM12" s="875"/>
      <c r="DN12" s="875"/>
      <c r="DO12" s="875"/>
      <c r="DP12" s="875"/>
      <c r="DQ12" s="875"/>
      <c r="DR12" s="875"/>
      <c r="DS12" s="875"/>
      <c r="DT12" s="875"/>
      <c r="DU12" s="875"/>
      <c r="DV12" s="875"/>
      <c r="DW12" s="875"/>
      <c r="DX12" s="875"/>
      <c r="DY12" s="875"/>
      <c r="DZ12" s="875"/>
      <c r="EA12" s="875"/>
      <c r="EB12" s="875"/>
      <c r="EC12" s="875"/>
      <c r="ED12" s="875"/>
      <c r="EE12" s="875"/>
      <c r="EF12" s="875"/>
      <c r="EG12" s="875"/>
      <c r="EH12" s="875"/>
      <c r="EI12" s="875"/>
      <c r="EJ12" s="875"/>
      <c r="EK12" s="875"/>
      <c r="EL12" s="875"/>
      <c r="EM12" s="875"/>
      <c r="EN12" s="875"/>
      <c r="EO12" s="875"/>
      <c r="EP12" s="875"/>
      <c r="EQ12" s="875"/>
      <c r="ER12" s="875"/>
      <c r="ES12" s="875"/>
      <c r="ET12" s="875"/>
      <c r="EU12" s="1919"/>
      <c r="EV12" s="339"/>
      <c r="EW12" s="339"/>
      <c r="EX12" s="339"/>
      <c r="EY12" s="339"/>
      <c r="EZ12" s="342"/>
      <c r="FA12" s="339"/>
      <c r="FB12" s="339"/>
      <c r="FC12" s="339"/>
      <c r="FD12" s="339"/>
      <c r="FE12" s="339"/>
      <c r="FF12" s="339"/>
      <c r="FG12" s="339"/>
      <c r="FH12" s="339"/>
      <c r="FI12" s="339"/>
      <c r="FJ12" s="339"/>
      <c r="FK12" s="339"/>
      <c r="FL12" s="339"/>
      <c r="FM12" s="339"/>
      <c r="FN12" s="339"/>
      <c r="FO12" s="339"/>
      <c r="FP12" s="339"/>
      <c r="FQ12" s="339"/>
      <c r="FR12" s="339"/>
      <c r="FS12" s="339"/>
      <c r="FT12" s="339"/>
      <c r="FU12" s="339"/>
      <c r="FV12" s="339"/>
      <c r="FW12" s="339"/>
      <c r="FX12" s="339"/>
      <c r="FY12" s="339"/>
      <c r="FZ12" s="339"/>
      <c r="GA12" s="339"/>
      <c r="GB12" s="339"/>
      <c r="GC12" s="339"/>
      <c r="GD12" s="339"/>
      <c r="GE12" s="339"/>
      <c r="GF12" s="339"/>
      <c r="GG12" s="339"/>
      <c r="GH12" s="339"/>
      <c r="GI12" s="339"/>
      <c r="GJ12" s="339"/>
      <c r="GK12" s="339"/>
      <c r="GL12" s="339"/>
      <c r="GM12" s="339"/>
      <c r="GN12" s="339"/>
      <c r="GO12" s="339"/>
      <c r="GP12" s="339"/>
      <c r="GQ12" s="339"/>
      <c r="GR12" s="339"/>
      <c r="GS12" s="339"/>
      <c r="GT12" s="339"/>
      <c r="GU12" s="339"/>
      <c r="GV12" s="339"/>
      <c r="GW12" s="339"/>
      <c r="GX12" s="339"/>
      <c r="GY12" s="339"/>
      <c r="GZ12" s="339"/>
      <c r="HA12" s="339"/>
      <c r="HB12" s="339"/>
      <c r="HC12" s="339"/>
      <c r="HD12" s="339"/>
      <c r="HE12" s="339"/>
      <c r="HF12" s="339"/>
      <c r="HG12" s="339"/>
      <c r="HH12" s="339"/>
      <c r="HI12" s="339"/>
      <c r="HJ12" s="339"/>
      <c r="HK12" s="339"/>
      <c r="HL12" s="339"/>
      <c r="HM12" s="339"/>
      <c r="HN12" s="339"/>
      <c r="HO12" s="339"/>
      <c r="HP12" s="339"/>
      <c r="HQ12" s="339"/>
      <c r="HR12" s="339"/>
      <c r="HS12" s="339"/>
      <c r="HT12" s="339"/>
      <c r="HU12" s="339"/>
      <c r="HV12" s="339"/>
      <c r="HW12" s="339"/>
      <c r="HX12" s="339"/>
      <c r="HY12" s="339"/>
      <c r="HZ12" s="339"/>
      <c r="IA12" s="339"/>
      <c r="IB12" s="339"/>
      <c r="IC12" s="339"/>
      <c r="ID12" s="339"/>
      <c r="IE12" s="339"/>
      <c r="IF12" s="339"/>
      <c r="IG12" s="339"/>
      <c r="IH12" s="339"/>
      <c r="II12" s="339"/>
      <c r="IJ12" s="339"/>
      <c r="IK12" s="339"/>
      <c r="IL12" s="339"/>
      <c r="IM12" s="339"/>
      <c r="IN12" s="339"/>
      <c r="IO12" s="339"/>
      <c r="IP12" s="339"/>
      <c r="IQ12" s="339"/>
      <c r="IR12" s="339"/>
      <c r="IS12" s="339"/>
      <c r="IT12" s="339"/>
      <c r="IU12" s="339"/>
      <c r="IV12" s="339"/>
      <c r="IW12" s="339"/>
      <c r="IX12" s="339"/>
      <c r="IY12" s="339"/>
      <c r="IZ12" s="339"/>
      <c r="JA12" s="339"/>
      <c r="JB12" s="339"/>
      <c r="JC12" s="339"/>
      <c r="JD12" s="339"/>
      <c r="JE12" s="339"/>
      <c r="JF12" s="339"/>
      <c r="JG12" s="339"/>
      <c r="JH12" s="339"/>
      <c r="JI12" s="339"/>
      <c r="JJ12" s="339"/>
      <c r="JK12" s="339"/>
      <c r="JL12" s="339"/>
      <c r="JM12" s="339"/>
      <c r="JN12" s="339"/>
      <c r="JO12" s="339"/>
      <c r="JP12" s="339"/>
      <c r="JQ12" s="339"/>
      <c r="JR12" s="339"/>
      <c r="JS12" s="339"/>
      <c r="JT12" s="339"/>
      <c r="JU12" s="339"/>
      <c r="JV12" s="339"/>
      <c r="JW12" s="339"/>
      <c r="JX12" s="339"/>
      <c r="JY12" s="339"/>
      <c r="JZ12" s="339"/>
      <c r="KA12" s="339"/>
      <c r="KB12" s="339"/>
      <c r="KC12" s="339"/>
    </row>
    <row r="13" spans="1:289" ht="21">
      <c r="A13" s="1930" t="s">
        <v>2756</v>
      </c>
      <c r="B13" s="850">
        <v>213.81136772999997</v>
      </c>
      <c r="C13" s="850">
        <v>244.08134046000001</v>
      </c>
      <c r="D13" s="850">
        <v>228.11837111</v>
      </c>
      <c r="E13" s="850">
        <v>236.67908625999996</v>
      </c>
      <c r="F13" s="850">
        <v>237.60895477000003</v>
      </c>
      <c r="G13" s="850">
        <v>244.65951545999999</v>
      </c>
      <c r="H13" s="850">
        <v>247.23558170999999</v>
      </c>
      <c r="I13" s="850">
        <v>229.49520746000002</v>
      </c>
      <c r="J13" s="850">
        <v>229.15674351999999</v>
      </c>
      <c r="K13" s="850">
        <v>212.83492504999998</v>
      </c>
      <c r="L13" s="850">
        <v>224.59219667999997</v>
      </c>
      <c r="M13" s="840">
        <v>209.08070668000002</v>
      </c>
      <c r="N13" s="840">
        <v>212.78625145000001</v>
      </c>
      <c r="O13" s="840">
        <v>230.89288331</v>
      </c>
      <c r="P13" s="840">
        <v>242.11138154000002</v>
      </c>
      <c r="Q13" s="840">
        <v>241.28203640000001</v>
      </c>
      <c r="R13" s="840">
        <v>252.23741880000003</v>
      </c>
      <c r="S13" s="840">
        <v>266.24806594</v>
      </c>
      <c r="T13" s="840">
        <v>246.08713897000001</v>
      </c>
      <c r="U13" s="840">
        <v>249.34154711999997</v>
      </c>
      <c r="V13" s="840">
        <v>292.57808581</v>
      </c>
      <c r="W13" s="840">
        <v>294.79275579</v>
      </c>
      <c r="X13" s="840">
        <v>293.46741211999995</v>
      </c>
      <c r="Y13" s="840">
        <v>292.34374601999997</v>
      </c>
      <c r="Z13" s="840">
        <v>290.17137839000003</v>
      </c>
      <c r="AA13" s="840">
        <v>414.58413112</v>
      </c>
      <c r="AB13" s="840">
        <v>479.04988850000001</v>
      </c>
      <c r="AC13" s="840">
        <v>504.66633625999998</v>
      </c>
      <c r="AD13" s="840">
        <v>497.03673111000001</v>
      </c>
      <c r="AE13" s="840">
        <v>485.78983794999999</v>
      </c>
      <c r="AF13" s="840">
        <v>480.99797160000003</v>
      </c>
      <c r="AG13" s="840">
        <v>425.24853188999998</v>
      </c>
      <c r="AH13" s="840">
        <v>427.97799282</v>
      </c>
      <c r="AI13" s="840">
        <v>421.06744024</v>
      </c>
      <c r="AJ13" s="840">
        <v>554.01775177000002</v>
      </c>
      <c r="AK13" s="840">
        <v>456.47834010999998</v>
      </c>
      <c r="AL13" s="840">
        <v>437.19751558000007</v>
      </c>
      <c r="AM13" s="840">
        <v>408.41109488000001</v>
      </c>
      <c r="AN13" s="840">
        <v>429.32491909000004</v>
      </c>
      <c r="AO13" s="840">
        <v>431.62663572999998</v>
      </c>
      <c r="AP13" s="840">
        <v>422.71676418000004</v>
      </c>
      <c r="AQ13" s="840">
        <v>436.99731226</v>
      </c>
      <c r="AR13" s="840">
        <v>211.28409395</v>
      </c>
      <c r="AS13" s="840">
        <v>204.83334833999999</v>
      </c>
      <c r="AT13" s="840">
        <v>208.48596925999999</v>
      </c>
      <c r="AU13" s="840">
        <v>182.17862407000001</v>
      </c>
      <c r="AV13" s="840">
        <v>206.84556876000002</v>
      </c>
      <c r="AW13" s="840">
        <v>232.11282347999997</v>
      </c>
      <c r="AX13" s="840">
        <v>238.41772634</v>
      </c>
      <c r="AY13" s="840">
        <v>256.38629892</v>
      </c>
      <c r="AZ13" s="840">
        <v>245.71735051000002</v>
      </c>
      <c r="BA13" s="840">
        <v>247.13218941</v>
      </c>
      <c r="BB13" s="840">
        <v>233.13024175000004</v>
      </c>
      <c r="BC13" s="840">
        <v>119.71212869999999</v>
      </c>
      <c r="BD13" s="840">
        <v>126.84533295</v>
      </c>
      <c r="BE13" s="840">
        <v>100.18810240000001</v>
      </c>
      <c r="BF13" s="840">
        <v>103.63141417</v>
      </c>
      <c r="BG13" s="840">
        <v>99.54738476</v>
      </c>
      <c r="BH13" s="885">
        <v>104.22845917999999</v>
      </c>
      <c r="BI13" s="874">
        <v>72.59071161</v>
      </c>
      <c r="BJ13" s="874">
        <v>76.491375339999991</v>
      </c>
      <c r="BK13" s="874">
        <v>45.955537280000001</v>
      </c>
      <c r="BL13" s="874">
        <v>67.958210510000001</v>
      </c>
      <c r="BM13" s="874">
        <v>71.42156919</v>
      </c>
      <c r="BN13" s="874">
        <v>70.895867229999993</v>
      </c>
      <c r="BO13" s="874">
        <v>73.854381770000003</v>
      </c>
      <c r="BP13" s="874">
        <v>82.088783860000007</v>
      </c>
      <c r="BQ13" s="874">
        <v>82.320930510000011</v>
      </c>
      <c r="BR13" s="874">
        <v>111.75579008</v>
      </c>
      <c r="BS13" s="874">
        <v>113.66706494000002</v>
      </c>
      <c r="BT13" s="874">
        <v>135.78118401</v>
      </c>
      <c r="BU13" s="874">
        <v>174.74458831999999</v>
      </c>
      <c r="BV13" s="874">
        <v>171.6882263</v>
      </c>
      <c r="BW13" s="874">
        <v>184.70841553999998</v>
      </c>
      <c r="BX13" s="874">
        <v>179.74227164000001</v>
      </c>
      <c r="BY13" s="874">
        <v>167.22461928999999</v>
      </c>
      <c r="BZ13" s="874">
        <v>166.12920450999997</v>
      </c>
      <c r="CA13" s="874">
        <v>164.55730779999999</v>
      </c>
      <c r="CB13" s="874">
        <v>173.00983312</v>
      </c>
      <c r="CC13" s="874">
        <v>182.13813959999999</v>
      </c>
      <c r="CD13" s="874">
        <v>181.52689182999998</v>
      </c>
      <c r="CE13" s="874">
        <v>188.546212</v>
      </c>
      <c r="CF13" s="874">
        <v>215.509424</v>
      </c>
      <c r="CG13" s="874">
        <v>191.74764793999998</v>
      </c>
      <c r="CH13" s="874">
        <v>177.47351897999999</v>
      </c>
      <c r="CI13" s="874">
        <v>177.69947251000002</v>
      </c>
      <c r="CJ13" s="874">
        <v>171.73356968000002</v>
      </c>
      <c r="CK13" s="874">
        <v>165.28876731</v>
      </c>
      <c r="CL13" s="874">
        <v>120.40526235999999</v>
      </c>
      <c r="CM13" s="874">
        <v>112.3534142</v>
      </c>
      <c r="CN13" s="874">
        <v>100.81043637000001</v>
      </c>
      <c r="CO13" s="874">
        <v>103.35585878000001</v>
      </c>
      <c r="CP13" s="874">
        <v>97.091240400000004</v>
      </c>
      <c r="CQ13" s="874">
        <v>95.305531580000007</v>
      </c>
      <c r="CR13" s="874">
        <v>103.69417692</v>
      </c>
      <c r="CS13" s="874">
        <v>102.29469080000001</v>
      </c>
      <c r="CT13" s="874">
        <v>101.01728256</v>
      </c>
      <c r="CU13" s="874">
        <v>118.34396866</v>
      </c>
      <c r="CV13" s="874">
        <v>133.77428373999999</v>
      </c>
      <c r="CW13" s="874">
        <v>128.43193423</v>
      </c>
      <c r="CX13" s="874">
        <v>138.08722617000001</v>
      </c>
      <c r="CY13" s="874">
        <v>147.52961388</v>
      </c>
      <c r="CZ13" s="874">
        <v>180.31187968</v>
      </c>
      <c r="DA13" s="874">
        <v>206.99182306</v>
      </c>
      <c r="DB13" s="874">
        <v>219.47919754</v>
      </c>
      <c r="DC13" s="874">
        <v>230.48561432</v>
      </c>
      <c r="DD13" s="874">
        <v>269.18324740999998</v>
      </c>
      <c r="DE13" s="874">
        <v>235.50232127000001</v>
      </c>
      <c r="DF13" s="874">
        <v>241.67337950999999</v>
      </c>
      <c r="DG13" s="874">
        <v>308.23433204000003</v>
      </c>
      <c r="DH13" s="874">
        <v>324.19427744000001</v>
      </c>
      <c r="DI13" s="874">
        <v>332.96293630000002</v>
      </c>
      <c r="DJ13" s="874">
        <v>354.04048766</v>
      </c>
      <c r="DK13" s="874">
        <v>429.57435504</v>
      </c>
      <c r="DL13" s="874">
        <v>426.37013123999998</v>
      </c>
      <c r="DM13" s="874">
        <v>415.62514315999999</v>
      </c>
      <c r="DN13" s="874">
        <v>458.59190897000002</v>
      </c>
      <c r="DO13" s="874">
        <v>407.71964369</v>
      </c>
      <c r="DP13" s="874">
        <v>385.68282733000001</v>
      </c>
      <c r="DQ13" s="874">
        <v>289.11321964000001</v>
      </c>
      <c r="DR13" s="874">
        <v>264.45509718</v>
      </c>
      <c r="DS13" s="874">
        <v>253.17365430999999</v>
      </c>
      <c r="DT13" s="874">
        <v>270.45251343000001</v>
      </c>
      <c r="DU13" s="874">
        <v>270.39783603000001</v>
      </c>
      <c r="DV13" s="874">
        <v>247.84948501</v>
      </c>
      <c r="DW13" s="874">
        <v>269.48669742999999</v>
      </c>
      <c r="DX13" s="874">
        <v>234.67004157</v>
      </c>
      <c r="DY13" s="874">
        <v>216.00728505999999</v>
      </c>
      <c r="DZ13" s="874">
        <v>212.62033872999999</v>
      </c>
      <c r="EA13" s="874">
        <v>197.15487257999999</v>
      </c>
      <c r="EB13" s="874">
        <v>204.67761225000001</v>
      </c>
      <c r="EC13" s="874">
        <v>183.76733533999999</v>
      </c>
      <c r="ED13" s="874">
        <v>199.59617821000001</v>
      </c>
      <c r="EE13" s="874">
        <v>190.48217618999999</v>
      </c>
      <c r="EF13" s="874">
        <v>231.81190527000001</v>
      </c>
      <c r="EG13" s="874">
        <v>244.94438511000001</v>
      </c>
      <c r="EH13" s="874">
        <v>243.44737054999999</v>
      </c>
      <c r="EI13" s="874">
        <v>250.15343186000001</v>
      </c>
      <c r="EJ13" s="874">
        <v>273.81043484000003</v>
      </c>
      <c r="EK13" s="874">
        <v>216.28747919</v>
      </c>
      <c r="EL13" s="874">
        <v>251.30577714</v>
      </c>
      <c r="EM13" s="874">
        <v>328.29172325000002</v>
      </c>
      <c r="EN13" s="874">
        <v>334.77972837999999</v>
      </c>
      <c r="EO13" s="874">
        <v>252.92847221</v>
      </c>
      <c r="EP13" s="874">
        <v>236.57295447000001</v>
      </c>
      <c r="EQ13" s="874">
        <v>198.39975834000001</v>
      </c>
      <c r="ER13" s="874">
        <v>216.04420927000001</v>
      </c>
      <c r="ES13" s="874">
        <v>222.78578300999999</v>
      </c>
      <c r="ET13" s="874">
        <v>225.00976417999999</v>
      </c>
      <c r="EU13" s="1918" t="s">
        <v>4083</v>
      </c>
      <c r="EV13" s="339"/>
      <c r="EW13" s="339"/>
      <c r="EX13" s="339"/>
      <c r="EY13" s="339"/>
      <c r="EZ13" s="342"/>
      <c r="FA13" s="339"/>
      <c r="FB13" s="339"/>
      <c r="FC13" s="339"/>
      <c r="FD13" s="339"/>
      <c r="FE13" s="339"/>
      <c r="FF13" s="339"/>
      <c r="FG13" s="339"/>
      <c r="FH13" s="339"/>
      <c r="FI13" s="339"/>
      <c r="FJ13" s="339"/>
      <c r="FK13" s="339"/>
      <c r="FL13" s="339"/>
      <c r="FM13" s="339"/>
      <c r="FN13" s="339"/>
      <c r="FO13" s="339"/>
      <c r="FP13" s="339"/>
      <c r="FQ13" s="339"/>
      <c r="FR13" s="339"/>
      <c r="FS13" s="339"/>
      <c r="FT13" s="339"/>
      <c r="FU13" s="339"/>
      <c r="FV13" s="339"/>
      <c r="FW13" s="339"/>
      <c r="FX13" s="339"/>
      <c r="FY13" s="339"/>
      <c r="FZ13" s="339"/>
      <c r="GA13" s="339"/>
      <c r="GB13" s="339"/>
      <c r="GC13" s="339"/>
      <c r="GD13" s="339"/>
      <c r="GE13" s="339"/>
      <c r="GF13" s="339"/>
      <c r="GG13" s="339"/>
      <c r="GH13" s="339"/>
      <c r="GI13" s="339"/>
      <c r="GJ13" s="339"/>
      <c r="GK13" s="339"/>
      <c r="GL13" s="339"/>
      <c r="GM13" s="339"/>
      <c r="GN13" s="339"/>
      <c r="GO13" s="339"/>
      <c r="GP13" s="339"/>
      <c r="GQ13" s="339"/>
      <c r="GR13" s="339"/>
      <c r="GS13" s="339"/>
      <c r="GT13" s="339"/>
      <c r="GU13" s="339"/>
      <c r="GV13" s="339"/>
      <c r="GW13" s="339"/>
      <c r="GX13" s="339"/>
      <c r="GY13" s="339"/>
      <c r="GZ13" s="339"/>
      <c r="HA13" s="339"/>
      <c r="HB13" s="339"/>
      <c r="HC13" s="339"/>
      <c r="HD13" s="339"/>
      <c r="HE13" s="339"/>
      <c r="HF13" s="339"/>
      <c r="HG13" s="339"/>
      <c r="HH13" s="339"/>
      <c r="HI13" s="339"/>
      <c r="HJ13" s="339"/>
      <c r="HK13" s="339"/>
      <c r="HL13" s="339"/>
      <c r="HM13" s="339"/>
      <c r="HN13" s="339"/>
      <c r="HO13" s="339"/>
      <c r="HP13" s="339"/>
      <c r="HQ13" s="339"/>
      <c r="HR13" s="339"/>
      <c r="HS13" s="339"/>
      <c r="HT13" s="339"/>
      <c r="HU13" s="339"/>
      <c r="HV13" s="339"/>
      <c r="HW13" s="339"/>
      <c r="HX13" s="339"/>
      <c r="HY13" s="339"/>
      <c r="HZ13" s="339"/>
      <c r="IA13" s="339"/>
      <c r="IB13" s="339"/>
      <c r="IC13" s="339"/>
      <c r="ID13" s="339"/>
      <c r="IE13" s="339"/>
      <c r="IF13" s="339"/>
      <c r="IG13" s="339"/>
      <c r="IH13" s="339"/>
      <c r="II13" s="339"/>
      <c r="IJ13" s="339"/>
      <c r="IK13" s="339"/>
      <c r="IL13" s="339"/>
      <c r="IM13" s="339"/>
      <c r="IN13" s="339"/>
      <c r="IO13" s="339"/>
      <c r="IP13" s="339"/>
      <c r="IQ13" s="339"/>
      <c r="IR13" s="339"/>
      <c r="IS13" s="339"/>
      <c r="IT13" s="339"/>
      <c r="IU13" s="339"/>
      <c r="IV13" s="339"/>
      <c r="IW13" s="339"/>
      <c r="IX13" s="339"/>
      <c r="IY13" s="339"/>
      <c r="IZ13" s="339"/>
      <c r="JA13" s="339"/>
      <c r="JB13" s="339"/>
      <c r="JC13" s="339"/>
      <c r="JD13" s="339"/>
      <c r="JE13" s="339"/>
      <c r="JF13" s="339"/>
      <c r="JG13" s="339"/>
      <c r="JH13" s="339"/>
      <c r="JI13" s="339"/>
      <c r="JJ13" s="339"/>
      <c r="JK13" s="339"/>
      <c r="JL13" s="339"/>
      <c r="JM13" s="339"/>
      <c r="JN13" s="339"/>
      <c r="JO13" s="339"/>
      <c r="JP13" s="339"/>
      <c r="JQ13" s="339"/>
      <c r="JR13" s="339"/>
      <c r="JS13" s="339"/>
      <c r="JT13" s="339"/>
      <c r="JU13" s="339"/>
      <c r="JV13" s="339"/>
      <c r="JW13" s="339"/>
      <c r="JX13" s="339"/>
      <c r="JY13" s="339"/>
      <c r="JZ13" s="339"/>
      <c r="KA13" s="339"/>
      <c r="KB13" s="339"/>
      <c r="KC13" s="339"/>
    </row>
    <row r="14" spans="1:289" ht="21">
      <c r="A14" s="1931" t="s">
        <v>1974</v>
      </c>
      <c r="B14" s="851">
        <v>55.199652799999996</v>
      </c>
      <c r="C14" s="851">
        <v>86.7073599</v>
      </c>
      <c r="D14" s="851">
        <v>77.796303159999994</v>
      </c>
      <c r="E14" s="851">
        <v>66.627038240000005</v>
      </c>
      <c r="F14" s="851">
        <v>56.384360270000002</v>
      </c>
      <c r="G14" s="851">
        <v>56.333983959999998</v>
      </c>
      <c r="H14" s="851">
        <v>55.349142319999999</v>
      </c>
      <c r="I14" s="851">
        <v>43.824385599999999</v>
      </c>
      <c r="J14" s="851">
        <v>28.946097269999999</v>
      </c>
      <c r="K14" s="851">
        <v>6.8455837699999993</v>
      </c>
      <c r="L14" s="851">
        <v>15.452168990000001</v>
      </c>
      <c r="M14" s="843">
        <v>10.561970580000001</v>
      </c>
      <c r="N14" s="843">
        <v>10.571338580000001</v>
      </c>
      <c r="O14" s="843">
        <v>20.037656999999999</v>
      </c>
      <c r="P14" s="843">
        <v>22.593061890000001</v>
      </c>
      <c r="Q14" s="843">
        <v>12.45883684</v>
      </c>
      <c r="R14" s="843">
        <v>26.10849207</v>
      </c>
      <c r="S14" s="843">
        <v>29.307386219999998</v>
      </c>
      <c r="T14" s="843">
        <v>29.75052414</v>
      </c>
      <c r="U14" s="843">
        <v>41.885427500000006</v>
      </c>
      <c r="V14" s="843">
        <v>63.363763860000006</v>
      </c>
      <c r="W14" s="843">
        <v>60.310339029999994</v>
      </c>
      <c r="X14" s="843">
        <v>41.202133849999996</v>
      </c>
      <c r="Y14" s="843">
        <v>41.516802650000002</v>
      </c>
      <c r="Z14" s="843">
        <v>35.273066889999996</v>
      </c>
      <c r="AA14" s="843">
        <v>51.980426580000007</v>
      </c>
      <c r="AB14" s="843">
        <v>8.6369561600000004</v>
      </c>
      <c r="AC14" s="843">
        <v>29.747273620000001</v>
      </c>
      <c r="AD14" s="843">
        <v>34.085093610000001</v>
      </c>
      <c r="AE14" s="843">
        <v>33.983477279999995</v>
      </c>
      <c r="AF14" s="843">
        <v>39.025731750000006</v>
      </c>
      <c r="AG14" s="843">
        <v>43.200216519999998</v>
      </c>
      <c r="AH14" s="843">
        <v>43.239144060000001</v>
      </c>
      <c r="AI14" s="843">
        <v>43.321924299999999</v>
      </c>
      <c r="AJ14" s="843">
        <v>43.136408359999997</v>
      </c>
      <c r="AK14" s="843">
        <v>11.074159320000001</v>
      </c>
      <c r="AL14" s="843">
        <v>11.366935570000001</v>
      </c>
      <c r="AM14" s="843">
        <v>11.13175609</v>
      </c>
      <c r="AN14" s="843">
        <v>11.12585808</v>
      </c>
      <c r="AO14" s="843">
        <v>10.24335052</v>
      </c>
      <c r="AP14" s="843">
        <v>1.9642250700000001</v>
      </c>
      <c r="AQ14" s="843">
        <v>4.4786540700000002</v>
      </c>
      <c r="AR14" s="843">
        <v>4.7771810800000001</v>
      </c>
      <c r="AS14" s="843">
        <v>5.4846050799999997</v>
      </c>
      <c r="AT14" s="843">
        <v>5.33042208</v>
      </c>
      <c r="AU14" s="843">
        <v>3.8038960799999999</v>
      </c>
      <c r="AV14" s="843">
        <v>3.4312688199999997</v>
      </c>
      <c r="AW14" s="843">
        <v>2.68382582</v>
      </c>
      <c r="AX14" s="843">
        <v>2.68382582</v>
      </c>
      <c r="AY14" s="843">
        <v>1.60473</v>
      </c>
      <c r="AZ14" s="843">
        <v>0.865811</v>
      </c>
      <c r="BA14" s="843">
        <v>0.84681099999999998</v>
      </c>
      <c r="BB14" s="843">
        <v>0.306811</v>
      </c>
      <c r="BC14" s="843">
        <v>0</v>
      </c>
      <c r="BD14" s="843">
        <v>0</v>
      </c>
      <c r="BE14" s="843">
        <v>0</v>
      </c>
      <c r="BF14" s="843">
        <v>0</v>
      </c>
      <c r="BG14" s="843">
        <v>0</v>
      </c>
      <c r="BH14" s="886">
        <v>0.1</v>
      </c>
      <c r="BI14" s="875">
        <v>0.2</v>
      </c>
      <c r="BJ14" s="875">
        <v>0.25</v>
      </c>
      <c r="BK14" s="875">
        <v>0.3</v>
      </c>
      <c r="BL14" s="875">
        <v>0.43341204999999999</v>
      </c>
      <c r="BM14" s="875">
        <v>0.32837125</v>
      </c>
      <c r="BN14" s="875">
        <v>0.24022125</v>
      </c>
      <c r="BO14" s="875">
        <v>0.17122076999999999</v>
      </c>
      <c r="BP14" s="875">
        <v>0.10967444</v>
      </c>
      <c r="BQ14" s="875">
        <v>7.8029769999999998E-2</v>
      </c>
      <c r="BR14" s="875">
        <v>6.9529770000000005E-2</v>
      </c>
      <c r="BS14" s="875">
        <v>0.24</v>
      </c>
      <c r="BT14" s="875">
        <v>15.4</v>
      </c>
      <c r="BU14" s="875">
        <v>46.217195049999994</v>
      </c>
      <c r="BV14" s="875">
        <v>45.107562049999999</v>
      </c>
      <c r="BW14" s="875">
        <v>44.395982719999999</v>
      </c>
      <c r="BX14" s="875">
        <v>35.379192119999999</v>
      </c>
      <c r="BY14" s="875">
        <v>33.796639680000006</v>
      </c>
      <c r="BZ14" s="875">
        <v>25.364785379999997</v>
      </c>
      <c r="CA14" s="875">
        <v>22.988123079999998</v>
      </c>
      <c r="CB14" s="875">
        <v>21.352009639999999</v>
      </c>
      <c r="CC14" s="875">
        <v>19.869345039999999</v>
      </c>
      <c r="CD14" s="875">
        <v>11.51320067</v>
      </c>
      <c r="CE14" s="875">
        <v>9.7197798599999992</v>
      </c>
      <c r="CF14" s="875">
        <v>8.2000269999999986</v>
      </c>
      <c r="CG14" s="875">
        <v>0.40002700000000002</v>
      </c>
      <c r="CH14" s="875">
        <v>2.6999999999999999E-5</v>
      </c>
      <c r="CI14" s="875">
        <v>2.6999999999999999E-5</v>
      </c>
      <c r="CJ14" s="875">
        <v>3.0026999999999998E-2</v>
      </c>
      <c r="CK14" s="875">
        <v>0.190027</v>
      </c>
      <c r="CL14" s="875">
        <v>0.15002699999999999</v>
      </c>
      <c r="CM14" s="875">
        <v>2.6999999999999999E-5</v>
      </c>
      <c r="CN14" s="875">
        <v>0.20002700000000001</v>
      </c>
      <c r="CO14" s="875">
        <v>0.220027</v>
      </c>
      <c r="CP14" s="875">
        <v>0.24144483</v>
      </c>
      <c r="CQ14" s="875">
        <v>9.5268240000000004E-2</v>
      </c>
      <c r="CR14" s="875">
        <v>1.9517720000000002E-2</v>
      </c>
      <c r="CS14" s="875">
        <v>1.7710189999999997E-2</v>
      </c>
      <c r="CT14" s="875">
        <v>1.6016140000000002E-2</v>
      </c>
      <c r="CU14" s="875">
        <v>1.41406E-2</v>
      </c>
      <c r="CV14" s="875">
        <v>1.2230670000000001E-2</v>
      </c>
      <c r="CW14" s="875">
        <v>1.028573E-2</v>
      </c>
      <c r="CX14" s="875">
        <v>8.3901099999999992E-3</v>
      </c>
      <c r="CY14" s="875">
        <v>6.2959399999999999E-3</v>
      </c>
      <c r="CZ14" s="875">
        <v>4.2383500000000001E-3</v>
      </c>
      <c r="DA14" s="875">
        <v>2.1494700000000001E-3</v>
      </c>
      <c r="DB14" s="875">
        <v>0</v>
      </c>
      <c r="DC14" s="875">
        <v>0</v>
      </c>
      <c r="DD14" s="875">
        <v>0</v>
      </c>
      <c r="DE14" s="875">
        <v>0</v>
      </c>
      <c r="DF14" s="875">
        <v>0</v>
      </c>
      <c r="DG14" s="875">
        <v>0</v>
      </c>
      <c r="DH14" s="875">
        <v>0.2</v>
      </c>
      <c r="DI14" s="875">
        <v>0.2</v>
      </c>
      <c r="DJ14" s="875">
        <v>0.2</v>
      </c>
      <c r="DK14" s="875">
        <v>0.2</v>
      </c>
      <c r="DL14" s="875">
        <v>0.17883414</v>
      </c>
      <c r="DM14" s="875">
        <v>0.15728809999999999</v>
      </c>
      <c r="DN14" s="875">
        <v>0.13568469999999999</v>
      </c>
      <c r="DO14" s="875">
        <v>0.16361853000000001</v>
      </c>
      <c r="DP14" s="875">
        <v>0.13757828999999999</v>
      </c>
      <c r="DQ14" s="875">
        <v>0.11122019</v>
      </c>
      <c r="DR14" s="875">
        <v>8.4478029999999996E-2</v>
      </c>
      <c r="DS14" s="875">
        <v>5.7495490000000003E-2</v>
      </c>
      <c r="DT14" s="875">
        <v>3.0244480000000001E-2</v>
      </c>
      <c r="DU14" s="875">
        <v>2.60015E-2</v>
      </c>
      <c r="DV14" s="875">
        <v>0.05</v>
      </c>
      <c r="DW14" s="875">
        <v>0</v>
      </c>
      <c r="DX14" s="875">
        <v>0</v>
      </c>
      <c r="DY14" s="875">
        <v>0</v>
      </c>
      <c r="DZ14" s="875">
        <v>0.03</v>
      </c>
      <c r="EA14" s="875">
        <v>2.766617E-2</v>
      </c>
      <c r="EB14" s="875">
        <v>2.5374910000000001E-2</v>
      </c>
      <c r="EC14" s="875">
        <v>2.296803E-2</v>
      </c>
      <c r="ED14" s="875">
        <v>2.296803E-2</v>
      </c>
      <c r="EE14" s="875">
        <v>0</v>
      </c>
      <c r="EF14" s="875">
        <v>0</v>
      </c>
      <c r="EG14" s="875">
        <v>0</v>
      </c>
      <c r="EH14" s="875">
        <v>0</v>
      </c>
      <c r="EI14" s="875">
        <v>0</v>
      </c>
      <c r="EJ14" s="875">
        <v>0</v>
      </c>
      <c r="EK14" s="875">
        <v>0</v>
      </c>
      <c r="EL14" s="875">
        <v>0</v>
      </c>
      <c r="EM14" s="875">
        <v>0</v>
      </c>
      <c r="EN14" s="875">
        <v>0</v>
      </c>
      <c r="EO14" s="875">
        <v>0</v>
      </c>
      <c r="EP14" s="875">
        <v>3.40282E-3</v>
      </c>
      <c r="EQ14" s="875">
        <v>3.40282E-3</v>
      </c>
      <c r="ER14" s="875">
        <v>0</v>
      </c>
      <c r="ES14" s="875">
        <v>0</v>
      </c>
      <c r="ET14" s="875">
        <v>0</v>
      </c>
      <c r="EU14" s="1920" t="s">
        <v>4086</v>
      </c>
      <c r="EV14" s="339"/>
      <c r="EW14" s="339"/>
      <c r="EX14" s="339"/>
      <c r="EY14" s="339"/>
      <c r="EZ14" s="342"/>
      <c r="FA14" s="339"/>
      <c r="FB14" s="339"/>
      <c r="FC14" s="339"/>
      <c r="FD14" s="339"/>
      <c r="FE14" s="339"/>
      <c r="FF14" s="339"/>
      <c r="FG14" s="339"/>
      <c r="FH14" s="339"/>
      <c r="FI14" s="339"/>
      <c r="FJ14" s="339"/>
      <c r="FK14" s="339"/>
      <c r="FL14" s="339"/>
      <c r="FM14" s="339"/>
      <c r="FN14" s="339"/>
      <c r="FO14" s="339"/>
      <c r="FP14" s="339"/>
      <c r="FQ14" s="339"/>
      <c r="FR14" s="339"/>
      <c r="FS14" s="339"/>
      <c r="FT14" s="339"/>
      <c r="FU14" s="339"/>
      <c r="FV14" s="339"/>
      <c r="FW14" s="339"/>
      <c r="FX14" s="339"/>
      <c r="FY14" s="339"/>
      <c r="FZ14" s="339"/>
      <c r="GA14" s="339"/>
      <c r="GB14" s="339"/>
      <c r="GC14" s="339"/>
      <c r="GD14" s="339"/>
      <c r="GE14" s="339"/>
      <c r="GF14" s="339"/>
      <c r="GG14" s="339"/>
      <c r="GH14" s="339"/>
      <c r="GI14" s="339"/>
      <c r="GJ14" s="339"/>
      <c r="GK14" s="339"/>
      <c r="GL14" s="339"/>
      <c r="GM14" s="339"/>
      <c r="GN14" s="339"/>
      <c r="GO14" s="339"/>
      <c r="GP14" s="339"/>
      <c r="GQ14" s="339"/>
      <c r="GR14" s="339"/>
      <c r="GS14" s="339"/>
      <c r="GT14" s="339"/>
      <c r="GU14" s="339"/>
      <c r="GV14" s="339"/>
      <c r="GW14" s="339"/>
      <c r="GX14" s="339"/>
      <c r="GY14" s="339"/>
      <c r="GZ14" s="339"/>
      <c r="HA14" s="339"/>
      <c r="HB14" s="339"/>
      <c r="HC14" s="339"/>
      <c r="HD14" s="339"/>
      <c r="HE14" s="339"/>
      <c r="HF14" s="339"/>
      <c r="HG14" s="339"/>
      <c r="HH14" s="339"/>
      <c r="HI14" s="339"/>
      <c r="HJ14" s="339"/>
      <c r="HK14" s="339"/>
      <c r="HL14" s="339"/>
      <c r="HM14" s="339"/>
      <c r="HN14" s="339"/>
      <c r="HO14" s="339"/>
      <c r="HP14" s="339"/>
      <c r="HQ14" s="339"/>
      <c r="HR14" s="339"/>
      <c r="HS14" s="339"/>
      <c r="HT14" s="339"/>
      <c r="HU14" s="339"/>
      <c r="HV14" s="339"/>
      <c r="HW14" s="339"/>
      <c r="HX14" s="339"/>
      <c r="HY14" s="339"/>
      <c r="HZ14" s="339"/>
      <c r="IA14" s="339"/>
      <c r="IB14" s="339"/>
      <c r="IC14" s="339"/>
      <c r="ID14" s="339"/>
      <c r="IE14" s="339"/>
      <c r="IF14" s="339"/>
      <c r="IG14" s="339"/>
      <c r="IH14" s="339"/>
      <c r="II14" s="339"/>
      <c r="IJ14" s="339"/>
      <c r="IK14" s="339"/>
      <c r="IL14" s="339"/>
      <c r="IM14" s="339"/>
      <c r="IN14" s="339"/>
      <c r="IO14" s="339"/>
      <c r="IP14" s="339"/>
      <c r="IQ14" s="339"/>
      <c r="IR14" s="339"/>
      <c r="IS14" s="339"/>
      <c r="IT14" s="339"/>
      <c r="IU14" s="339"/>
      <c r="IV14" s="339"/>
      <c r="IW14" s="339"/>
      <c r="IX14" s="339"/>
      <c r="IY14" s="339"/>
      <c r="IZ14" s="339"/>
      <c r="JA14" s="339"/>
      <c r="JB14" s="339"/>
      <c r="JC14" s="339"/>
      <c r="JD14" s="339"/>
      <c r="JE14" s="339"/>
      <c r="JF14" s="339"/>
      <c r="JG14" s="339"/>
      <c r="JH14" s="339"/>
      <c r="JI14" s="339"/>
      <c r="JJ14" s="339"/>
      <c r="JK14" s="339"/>
      <c r="JL14" s="339"/>
      <c r="JM14" s="339"/>
      <c r="JN14" s="339"/>
      <c r="JO14" s="339"/>
      <c r="JP14" s="339"/>
      <c r="JQ14" s="339"/>
      <c r="JR14" s="339"/>
      <c r="JS14" s="339"/>
      <c r="JT14" s="339"/>
      <c r="JU14" s="339"/>
      <c r="JV14" s="339"/>
      <c r="JW14" s="339"/>
      <c r="JX14" s="339"/>
      <c r="JY14" s="339"/>
      <c r="JZ14" s="339"/>
      <c r="KA14" s="339"/>
      <c r="KB14" s="339"/>
      <c r="KC14" s="339"/>
    </row>
    <row r="15" spans="1:289" ht="21">
      <c r="A15" s="1931" t="s">
        <v>1975</v>
      </c>
      <c r="B15" s="851">
        <f t="shared" ref="B15:V15" si="2">+B13-B14</f>
        <v>158.61171492999998</v>
      </c>
      <c r="C15" s="851">
        <f t="shared" si="2"/>
        <v>157.37398056000001</v>
      </c>
      <c r="D15" s="851">
        <f t="shared" si="2"/>
        <v>150.32206795000002</v>
      </c>
      <c r="E15" s="851">
        <f t="shared" si="2"/>
        <v>170.05204801999997</v>
      </c>
      <c r="F15" s="851">
        <f t="shared" si="2"/>
        <v>181.22459450000002</v>
      </c>
      <c r="G15" s="851">
        <f t="shared" si="2"/>
        <v>188.32553150000001</v>
      </c>
      <c r="H15" s="851">
        <f t="shared" si="2"/>
        <v>191.88643938999999</v>
      </c>
      <c r="I15" s="851">
        <f t="shared" si="2"/>
        <v>185.67082186000002</v>
      </c>
      <c r="J15" s="851">
        <f t="shared" si="2"/>
        <v>200.21064625</v>
      </c>
      <c r="K15" s="851">
        <f t="shared" si="2"/>
        <v>205.98934127999999</v>
      </c>
      <c r="L15" s="851">
        <f t="shared" si="2"/>
        <v>209.14002768999998</v>
      </c>
      <c r="M15" s="843">
        <f t="shared" si="2"/>
        <v>198.51873610000001</v>
      </c>
      <c r="N15" s="843">
        <f t="shared" si="2"/>
        <v>202.21491287000001</v>
      </c>
      <c r="O15" s="843">
        <f t="shared" si="2"/>
        <v>210.85522631000001</v>
      </c>
      <c r="P15" s="843">
        <f t="shared" si="2"/>
        <v>219.51831965000002</v>
      </c>
      <c r="Q15" s="843">
        <f t="shared" si="2"/>
        <v>228.82319956000001</v>
      </c>
      <c r="R15" s="843">
        <f t="shared" si="2"/>
        <v>226.12892673000002</v>
      </c>
      <c r="S15" s="843">
        <f t="shared" si="2"/>
        <v>236.94067971999999</v>
      </c>
      <c r="T15" s="843">
        <f t="shared" si="2"/>
        <v>216.33661483</v>
      </c>
      <c r="U15" s="843">
        <f t="shared" si="2"/>
        <v>207.45611961999998</v>
      </c>
      <c r="V15" s="843">
        <f t="shared" si="2"/>
        <v>229.21432195</v>
      </c>
      <c r="W15" s="843">
        <v>234.48241676000001</v>
      </c>
      <c r="X15" s="843">
        <v>252.26527826999995</v>
      </c>
      <c r="Y15" s="843">
        <v>250.82694336999998</v>
      </c>
      <c r="Z15" s="843">
        <v>254.89831150000003</v>
      </c>
      <c r="AA15" s="843">
        <v>362.60370453999997</v>
      </c>
      <c r="AB15" s="843">
        <f>+AB13-AB14</f>
        <v>470.41293234</v>
      </c>
      <c r="AC15" s="843">
        <v>474.91906263999999</v>
      </c>
      <c r="AD15" s="843">
        <v>462.9516375</v>
      </c>
      <c r="AE15" s="843">
        <v>451.80636067</v>
      </c>
      <c r="AF15" s="843">
        <v>441.97223985000005</v>
      </c>
      <c r="AG15" s="843">
        <v>382.04831536999995</v>
      </c>
      <c r="AH15" s="843">
        <f>+AH13-AH14</f>
        <v>384.73884876</v>
      </c>
      <c r="AI15" s="843">
        <v>377.74551594000002</v>
      </c>
      <c r="AJ15" s="843">
        <f>+AJ13-AJ14</f>
        <v>510.88134341</v>
      </c>
      <c r="AK15" s="843">
        <f>+AK13-AK14</f>
        <v>445.40418079</v>
      </c>
      <c r="AL15" s="843">
        <v>425.83058001000006</v>
      </c>
      <c r="AM15" s="843">
        <f>+AM13-AM14</f>
        <v>397.27933879</v>
      </c>
      <c r="AN15" s="843">
        <f>+AN13-AN14</f>
        <v>418.19906101000004</v>
      </c>
      <c r="AO15" s="843">
        <f>+AO13-AO14</f>
        <v>421.38328521</v>
      </c>
      <c r="AP15" s="843">
        <f>+AP13-AP14</f>
        <v>420.75253911000004</v>
      </c>
      <c r="AQ15" s="843">
        <v>432.51865819</v>
      </c>
      <c r="AR15" s="843">
        <v>206.50691287000001</v>
      </c>
      <c r="AS15" s="843">
        <f>+AS13-AS14</f>
        <v>199.34874325999999</v>
      </c>
      <c r="AT15" s="843">
        <f>+AT13-AT14</f>
        <v>203.15554717999999</v>
      </c>
      <c r="AU15" s="843">
        <v>178.37472799000003</v>
      </c>
      <c r="AV15" s="843">
        <v>203.41429994000003</v>
      </c>
      <c r="AW15" s="843">
        <v>229.42899765999996</v>
      </c>
      <c r="AX15" s="843">
        <v>235.73390051999999</v>
      </c>
      <c r="AY15" s="843">
        <v>254.78156892000001</v>
      </c>
      <c r="AZ15" s="843">
        <v>244.85153951000001</v>
      </c>
      <c r="BA15" s="843">
        <v>246.28537840999999</v>
      </c>
      <c r="BB15" s="843">
        <v>232.82343075000003</v>
      </c>
      <c r="BC15" s="843">
        <v>119.71212869999999</v>
      </c>
      <c r="BD15" s="843">
        <f>+BD13-BD14</f>
        <v>126.84533295</v>
      </c>
      <c r="BE15" s="843">
        <v>100.18810240000001</v>
      </c>
      <c r="BF15" s="843">
        <v>103.63141417</v>
      </c>
      <c r="BG15" s="843">
        <v>99.54738476</v>
      </c>
      <c r="BH15" s="886">
        <v>104.12845917999999</v>
      </c>
      <c r="BI15" s="875">
        <v>72.390711609999997</v>
      </c>
      <c r="BJ15" s="875">
        <v>76.241375339999991</v>
      </c>
      <c r="BK15" s="875">
        <v>45.655537280000004</v>
      </c>
      <c r="BL15" s="875">
        <v>67.52479846</v>
      </c>
      <c r="BM15" s="875">
        <v>71.093197939999996</v>
      </c>
      <c r="BN15" s="875">
        <v>70.655645979999989</v>
      </c>
      <c r="BO15" s="875">
        <v>73.683160999999998</v>
      </c>
      <c r="BP15" s="875">
        <v>81.97910942</v>
      </c>
      <c r="BQ15" s="875">
        <v>82.24290074000001</v>
      </c>
      <c r="BR15" s="875">
        <v>111.68626030999999</v>
      </c>
      <c r="BS15" s="875">
        <v>113.42706494000002</v>
      </c>
      <c r="BT15" s="875">
        <v>120.38118401</v>
      </c>
      <c r="BU15" s="875">
        <v>128.52739327</v>
      </c>
      <c r="BV15" s="875">
        <v>126.58066425</v>
      </c>
      <c r="BW15" s="875">
        <v>140.31243281999997</v>
      </c>
      <c r="BX15" s="875">
        <v>144.36307952000001</v>
      </c>
      <c r="BY15" s="875">
        <v>133.42797960999999</v>
      </c>
      <c r="BZ15" s="875">
        <v>140.76441912999996</v>
      </c>
      <c r="CA15" s="875">
        <v>141.56918471999998</v>
      </c>
      <c r="CB15" s="875">
        <v>151.65782347999999</v>
      </c>
      <c r="CC15" s="875">
        <v>162.26879456</v>
      </c>
      <c r="CD15" s="875">
        <v>170.01369115999998</v>
      </c>
      <c r="CE15" s="875">
        <f t="shared" ref="CE15:CP15" si="3">+CE13-CE14</f>
        <v>178.82643214000001</v>
      </c>
      <c r="CF15" s="875">
        <f t="shared" si="3"/>
        <v>207.30939699999999</v>
      </c>
      <c r="CG15" s="875">
        <f t="shared" si="3"/>
        <v>191.34762093999998</v>
      </c>
      <c r="CH15" s="875">
        <f t="shared" si="3"/>
        <v>177.47349198000001</v>
      </c>
      <c r="CI15" s="875">
        <f t="shared" si="3"/>
        <v>177.69944551000003</v>
      </c>
      <c r="CJ15" s="875">
        <f t="shared" si="3"/>
        <v>171.70354268000003</v>
      </c>
      <c r="CK15" s="875">
        <f t="shared" si="3"/>
        <v>165.09874031000001</v>
      </c>
      <c r="CL15" s="875">
        <f t="shared" si="3"/>
        <v>120.25523536</v>
      </c>
      <c r="CM15" s="875">
        <f t="shared" si="3"/>
        <v>112.3533872</v>
      </c>
      <c r="CN15" s="875">
        <f t="shared" si="3"/>
        <v>100.61040937</v>
      </c>
      <c r="CO15" s="875">
        <f t="shared" si="3"/>
        <v>103.13583178</v>
      </c>
      <c r="CP15" s="875">
        <f t="shared" si="3"/>
        <v>96.849795569999998</v>
      </c>
      <c r="CQ15" s="875">
        <f>+CQ13-CQ14</f>
        <v>95.210263340000012</v>
      </c>
      <c r="CR15" s="875">
        <f>+CR13-CR14</f>
        <v>103.67465920000001</v>
      </c>
      <c r="CS15" s="875">
        <f>+CS13-CS14</f>
        <v>102.27698061000001</v>
      </c>
      <c r="CT15" s="875">
        <v>101.00126641999999</v>
      </c>
      <c r="CU15" s="875">
        <f>+CU13-CU14</f>
        <v>118.32982806</v>
      </c>
      <c r="CV15" s="875">
        <v>133.76205306999998</v>
      </c>
      <c r="CW15" s="875">
        <v>128.4216485</v>
      </c>
      <c r="CX15" s="875">
        <v>138.07883606000001</v>
      </c>
      <c r="CY15" s="875">
        <v>147.52331794</v>
      </c>
      <c r="CZ15" s="875">
        <v>180.30764133</v>
      </c>
      <c r="DA15" s="875">
        <v>206.98967359</v>
      </c>
      <c r="DB15" s="875">
        <v>219.47919754</v>
      </c>
      <c r="DC15" s="875">
        <f>+DC13-DC14</f>
        <v>230.48561432</v>
      </c>
      <c r="DD15" s="875">
        <v>269.18324740999998</v>
      </c>
      <c r="DE15" s="875">
        <v>235.50232127000001</v>
      </c>
      <c r="DF15" s="875">
        <v>241.67337950999999</v>
      </c>
      <c r="DG15" s="875">
        <f>+DG13-DG14</f>
        <v>308.23433204000003</v>
      </c>
      <c r="DH15" s="875">
        <v>323.99427744000002</v>
      </c>
      <c r="DI15" s="875">
        <f>+DI13-DI14</f>
        <v>332.76293630000004</v>
      </c>
      <c r="DJ15" s="875">
        <v>353.84048766000001</v>
      </c>
      <c r="DK15" s="875">
        <v>429.37435504000001</v>
      </c>
      <c r="DL15" s="875">
        <v>426.19129709999999</v>
      </c>
      <c r="DM15" s="875">
        <v>415.46785505999998</v>
      </c>
      <c r="DN15" s="875">
        <f>+DN13-DN14</f>
        <v>458.45622427000001</v>
      </c>
      <c r="DO15" s="875">
        <f>+DO13-DO14</f>
        <v>407.55602515999999</v>
      </c>
      <c r="DP15" s="875">
        <f>+DP13-DP14</f>
        <v>385.54524903999999</v>
      </c>
      <c r="DQ15" s="875">
        <f>+DQ13-DQ14</f>
        <v>289.00199945000003</v>
      </c>
      <c r="DR15" s="875">
        <v>264.37061914999998</v>
      </c>
      <c r="DS15" s="875">
        <v>253.11615881999998</v>
      </c>
      <c r="DT15" s="875">
        <v>270.42226894999999</v>
      </c>
      <c r="DU15" s="875">
        <f>+DU13-DU14</f>
        <v>270.37183453</v>
      </c>
      <c r="DV15" s="875">
        <f>+DV13-DV14</f>
        <v>247.79948500999998</v>
      </c>
      <c r="DW15" s="875">
        <v>269.48669742999999</v>
      </c>
      <c r="DX15" s="875">
        <v>234.67004157</v>
      </c>
      <c r="DY15" s="875">
        <v>216.00728505999999</v>
      </c>
      <c r="DZ15" s="875">
        <f>+DZ13-DZ14</f>
        <v>212.59033872999998</v>
      </c>
      <c r="EA15" s="875">
        <v>197.12720640999999</v>
      </c>
      <c r="EB15" s="875">
        <v>204.65223734</v>
      </c>
      <c r="EC15" s="875">
        <v>183.74436731</v>
      </c>
      <c r="ED15" s="875">
        <v>199.57321018000002</v>
      </c>
      <c r="EE15" s="875">
        <v>190.48217618999999</v>
      </c>
      <c r="EF15" s="875">
        <v>231.81190527000001</v>
      </c>
      <c r="EG15" s="875">
        <v>244.94438511000001</v>
      </c>
      <c r="EH15" s="875">
        <v>243.44737054999999</v>
      </c>
      <c r="EI15" s="875">
        <v>250.15343186000001</v>
      </c>
      <c r="EJ15" s="875">
        <f>+EJ13-EJ14</f>
        <v>273.81043484000003</v>
      </c>
      <c r="EK15" s="875">
        <v>216.28747919</v>
      </c>
      <c r="EL15" s="875">
        <v>251.30577714</v>
      </c>
      <c r="EM15" s="875">
        <v>328.29172325000002</v>
      </c>
      <c r="EN15" s="875">
        <f>+EN13-EN14</f>
        <v>334.77972837999999</v>
      </c>
      <c r="EO15" s="875">
        <v>252.92847221</v>
      </c>
      <c r="EP15" s="875">
        <v>236.56955165000002</v>
      </c>
      <c r="EQ15" s="875">
        <v>198.39635552000001</v>
      </c>
      <c r="ER15" s="875">
        <v>216.04420927000001</v>
      </c>
      <c r="ES15" s="875">
        <v>222.78578300999999</v>
      </c>
      <c r="ET15" s="875">
        <f>+ET13-ET14</f>
        <v>225.00976417999999</v>
      </c>
      <c r="EU15" s="1920" t="s">
        <v>4085</v>
      </c>
      <c r="EV15" s="339"/>
      <c r="EW15" s="339"/>
      <c r="EX15" s="339"/>
      <c r="EY15" s="339"/>
      <c r="EZ15" s="342"/>
      <c r="FA15" s="339"/>
      <c r="FB15" s="339"/>
      <c r="FC15" s="339"/>
      <c r="FD15" s="339"/>
      <c r="FE15" s="339"/>
      <c r="FF15" s="339"/>
      <c r="FG15" s="339"/>
      <c r="FH15" s="339"/>
      <c r="FI15" s="339"/>
      <c r="FJ15" s="339"/>
      <c r="FK15" s="339"/>
      <c r="FL15" s="339"/>
      <c r="FM15" s="339"/>
      <c r="FN15" s="339"/>
      <c r="FO15" s="339"/>
      <c r="FP15" s="339"/>
      <c r="FQ15" s="339"/>
      <c r="FR15" s="339"/>
      <c r="FS15" s="339"/>
      <c r="FT15" s="339"/>
      <c r="FU15" s="339"/>
      <c r="FV15" s="339"/>
      <c r="FW15" s="339"/>
      <c r="FX15" s="339"/>
      <c r="FY15" s="339"/>
      <c r="FZ15" s="339"/>
      <c r="GA15" s="339"/>
      <c r="GB15" s="339"/>
      <c r="GC15" s="339"/>
      <c r="GD15" s="339"/>
      <c r="GE15" s="339"/>
      <c r="GF15" s="339"/>
      <c r="GG15" s="339"/>
      <c r="GH15" s="339"/>
      <c r="GI15" s="339"/>
      <c r="GJ15" s="339"/>
      <c r="GK15" s="339"/>
      <c r="GL15" s="339"/>
      <c r="GM15" s="339"/>
      <c r="GN15" s="339"/>
      <c r="GO15" s="339"/>
      <c r="GP15" s="339"/>
      <c r="GQ15" s="339"/>
      <c r="GR15" s="339"/>
      <c r="GS15" s="339"/>
      <c r="GT15" s="339"/>
      <c r="GU15" s="339"/>
      <c r="GV15" s="339"/>
      <c r="GW15" s="339"/>
      <c r="GX15" s="339"/>
      <c r="GY15" s="339"/>
      <c r="GZ15" s="339"/>
      <c r="HA15" s="339"/>
      <c r="HB15" s="339"/>
      <c r="HC15" s="339"/>
      <c r="HD15" s="339"/>
      <c r="HE15" s="339"/>
      <c r="HF15" s="339"/>
      <c r="HG15" s="339"/>
      <c r="HH15" s="339"/>
      <c r="HI15" s="339"/>
      <c r="HJ15" s="339"/>
      <c r="HK15" s="339"/>
      <c r="HL15" s="339"/>
      <c r="HM15" s="339"/>
      <c r="HN15" s="339"/>
      <c r="HO15" s="339"/>
      <c r="HP15" s="339"/>
      <c r="HQ15" s="339"/>
      <c r="HR15" s="339"/>
      <c r="HS15" s="339"/>
      <c r="HT15" s="339"/>
      <c r="HU15" s="339"/>
      <c r="HV15" s="339"/>
      <c r="HW15" s="339"/>
      <c r="HX15" s="339"/>
      <c r="HY15" s="339"/>
      <c r="HZ15" s="339"/>
      <c r="IA15" s="339"/>
      <c r="IB15" s="339"/>
      <c r="IC15" s="339"/>
      <c r="ID15" s="339"/>
      <c r="IE15" s="339"/>
      <c r="IF15" s="339"/>
      <c r="IG15" s="339"/>
      <c r="IH15" s="339"/>
      <c r="II15" s="339"/>
      <c r="IJ15" s="339"/>
      <c r="IK15" s="339"/>
      <c r="IL15" s="339"/>
      <c r="IM15" s="339"/>
      <c r="IN15" s="339"/>
      <c r="IO15" s="339"/>
      <c r="IP15" s="339"/>
      <c r="IQ15" s="339"/>
      <c r="IR15" s="339"/>
      <c r="IS15" s="339"/>
      <c r="IT15" s="339"/>
      <c r="IU15" s="339"/>
      <c r="IV15" s="339"/>
      <c r="IW15" s="339"/>
      <c r="IX15" s="339"/>
      <c r="IY15" s="339"/>
      <c r="IZ15" s="339"/>
      <c r="JA15" s="339"/>
      <c r="JB15" s="339"/>
      <c r="JC15" s="339"/>
      <c r="JD15" s="339"/>
      <c r="JE15" s="339"/>
      <c r="JF15" s="339"/>
      <c r="JG15" s="339"/>
      <c r="JH15" s="339"/>
      <c r="JI15" s="339"/>
      <c r="JJ15" s="339"/>
      <c r="JK15" s="339"/>
      <c r="JL15" s="339"/>
      <c r="JM15" s="339"/>
      <c r="JN15" s="339"/>
      <c r="JO15" s="339"/>
      <c r="JP15" s="339"/>
      <c r="JQ15" s="339"/>
      <c r="JR15" s="339"/>
      <c r="JS15" s="339"/>
      <c r="JT15" s="339"/>
      <c r="JU15" s="339"/>
      <c r="JV15" s="339"/>
      <c r="JW15" s="339"/>
      <c r="JX15" s="339"/>
      <c r="JY15" s="339"/>
      <c r="JZ15" s="339"/>
      <c r="KA15" s="339"/>
      <c r="KB15" s="339"/>
      <c r="KC15" s="339"/>
    </row>
    <row r="16" spans="1:289" ht="21">
      <c r="A16" s="1928"/>
      <c r="B16" s="850"/>
      <c r="C16" s="850"/>
      <c r="D16" s="850"/>
      <c r="E16" s="850"/>
      <c r="F16" s="850"/>
      <c r="G16" s="850"/>
      <c r="H16" s="850"/>
      <c r="I16" s="850"/>
      <c r="J16" s="850"/>
      <c r="K16" s="850"/>
      <c r="L16" s="850"/>
      <c r="M16" s="840"/>
      <c r="N16" s="840"/>
      <c r="O16" s="840"/>
      <c r="P16" s="840"/>
      <c r="Q16" s="840"/>
      <c r="R16" s="840"/>
      <c r="S16" s="840"/>
      <c r="T16" s="840"/>
      <c r="U16" s="840"/>
      <c r="V16" s="840"/>
      <c r="W16" s="840"/>
      <c r="X16" s="840"/>
      <c r="Y16" s="840"/>
      <c r="Z16" s="840"/>
      <c r="AA16" s="840"/>
      <c r="AB16" s="840"/>
      <c r="AC16" s="840"/>
      <c r="AD16" s="840"/>
      <c r="AE16" s="840"/>
      <c r="AF16" s="840"/>
      <c r="AG16" s="840"/>
      <c r="AH16" s="840"/>
      <c r="AI16" s="840"/>
      <c r="AJ16" s="840"/>
      <c r="AK16" s="840"/>
      <c r="AL16" s="840"/>
      <c r="AM16" s="840"/>
      <c r="AN16" s="840"/>
      <c r="AO16" s="840"/>
      <c r="AP16" s="840"/>
      <c r="AQ16" s="840"/>
      <c r="AR16" s="840"/>
      <c r="AS16" s="840"/>
      <c r="AT16" s="840"/>
      <c r="AU16" s="840"/>
      <c r="AV16" s="840"/>
      <c r="AW16" s="840"/>
      <c r="AX16" s="840"/>
      <c r="AY16" s="840"/>
      <c r="AZ16" s="840"/>
      <c r="BA16" s="840"/>
      <c r="BB16" s="840"/>
      <c r="BC16" s="840"/>
      <c r="BD16" s="840"/>
      <c r="BE16" s="840"/>
      <c r="BF16" s="840"/>
      <c r="BG16" s="840"/>
      <c r="BH16" s="885"/>
      <c r="BI16" s="874"/>
      <c r="BJ16" s="874"/>
      <c r="BK16" s="874"/>
      <c r="BL16" s="874"/>
      <c r="BM16" s="874"/>
      <c r="BN16" s="874"/>
      <c r="BO16" s="874"/>
      <c r="BP16" s="874"/>
      <c r="BQ16" s="874"/>
      <c r="BR16" s="874"/>
      <c r="BS16" s="874"/>
      <c r="BT16" s="874"/>
      <c r="BU16" s="874"/>
      <c r="BV16" s="874"/>
      <c r="BW16" s="874"/>
      <c r="BX16" s="874"/>
      <c r="BY16" s="874"/>
      <c r="BZ16" s="874"/>
      <c r="CA16" s="874"/>
      <c r="CB16" s="874"/>
      <c r="CC16" s="874"/>
      <c r="CD16" s="874"/>
      <c r="CE16" s="874"/>
      <c r="CF16" s="874"/>
      <c r="CG16" s="874"/>
      <c r="CH16" s="874"/>
      <c r="CI16" s="874"/>
      <c r="CJ16" s="874"/>
      <c r="CK16" s="874"/>
      <c r="CL16" s="874"/>
      <c r="CM16" s="874"/>
      <c r="CN16" s="874"/>
      <c r="CO16" s="874"/>
      <c r="CP16" s="874"/>
      <c r="CQ16" s="874"/>
      <c r="CR16" s="874"/>
      <c r="CS16" s="874"/>
      <c r="CT16" s="874"/>
      <c r="CU16" s="874"/>
      <c r="CV16" s="874"/>
      <c r="CW16" s="874"/>
      <c r="CX16" s="874"/>
      <c r="CY16" s="874"/>
      <c r="CZ16" s="874"/>
      <c r="DA16" s="874"/>
      <c r="DB16" s="874"/>
      <c r="DC16" s="874"/>
      <c r="DD16" s="874"/>
      <c r="DE16" s="874"/>
      <c r="DF16" s="874"/>
      <c r="DG16" s="874"/>
      <c r="DH16" s="874"/>
      <c r="DI16" s="874"/>
      <c r="DJ16" s="874"/>
      <c r="DK16" s="874"/>
      <c r="DL16" s="874"/>
      <c r="DM16" s="874"/>
      <c r="DN16" s="874"/>
      <c r="DO16" s="874"/>
      <c r="DP16" s="874"/>
      <c r="DQ16" s="874"/>
      <c r="DR16" s="874"/>
      <c r="DS16" s="874"/>
      <c r="DT16" s="874"/>
      <c r="DU16" s="874"/>
      <c r="DV16" s="874"/>
      <c r="DW16" s="874"/>
      <c r="DX16" s="874"/>
      <c r="DY16" s="874"/>
      <c r="DZ16" s="874"/>
      <c r="EA16" s="874"/>
      <c r="EB16" s="874"/>
      <c r="EC16" s="874"/>
      <c r="ED16" s="874"/>
      <c r="EE16" s="874"/>
      <c r="EF16" s="874"/>
      <c r="EG16" s="874"/>
      <c r="EH16" s="874"/>
      <c r="EI16" s="874"/>
      <c r="EJ16" s="874"/>
      <c r="EK16" s="874"/>
      <c r="EL16" s="874"/>
      <c r="EM16" s="874"/>
      <c r="EN16" s="874"/>
      <c r="EO16" s="874"/>
      <c r="EP16" s="874"/>
      <c r="EQ16" s="874"/>
      <c r="ER16" s="874"/>
      <c r="ES16" s="874"/>
      <c r="ET16" s="874"/>
      <c r="EU16" s="1921"/>
      <c r="EV16" s="339"/>
      <c r="EW16" s="339"/>
      <c r="EX16" s="339"/>
      <c r="EY16" s="339"/>
      <c r="EZ16" s="342"/>
      <c r="FA16" s="339"/>
      <c r="FB16" s="339"/>
      <c r="FC16" s="339"/>
      <c r="FD16" s="339"/>
      <c r="FE16" s="339"/>
      <c r="FF16" s="339"/>
      <c r="FG16" s="339"/>
      <c r="FH16" s="339"/>
      <c r="FI16" s="339"/>
      <c r="FJ16" s="339"/>
      <c r="FK16" s="339"/>
      <c r="FL16" s="339"/>
      <c r="FM16" s="339"/>
      <c r="FN16" s="339"/>
      <c r="FO16" s="339"/>
      <c r="FP16" s="339"/>
      <c r="FQ16" s="339"/>
      <c r="FR16" s="339"/>
      <c r="FS16" s="339"/>
      <c r="FT16" s="339"/>
      <c r="FU16" s="339"/>
      <c r="FV16" s="339"/>
      <c r="FW16" s="339"/>
      <c r="FX16" s="339"/>
      <c r="FY16" s="339"/>
      <c r="FZ16" s="339"/>
      <c r="GA16" s="339"/>
      <c r="GB16" s="339"/>
      <c r="GC16" s="339"/>
      <c r="GD16" s="339"/>
      <c r="GE16" s="339"/>
      <c r="GF16" s="339"/>
      <c r="GG16" s="339"/>
      <c r="GH16" s="339"/>
      <c r="GI16" s="339"/>
      <c r="GJ16" s="339"/>
      <c r="GK16" s="339"/>
      <c r="GL16" s="339"/>
      <c r="GM16" s="339"/>
      <c r="GN16" s="339"/>
      <c r="GO16" s="339"/>
      <c r="GP16" s="339"/>
      <c r="GQ16" s="339"/>
      <c r="GR16" s="339"/>
      <c r="GS16" s="339"/>
      <c r="GT16" s="339"/>
      <c r="GU16" s="339"/>
      <c r="GV16" s="339"/>
      <c r="GW16" s="339"/>
      <c r="GX16" s="339"/>
      <c r="GY16" s="339"/>
      <c r="GZ16" s="339"/>
      <c r="HA16" s="339"/>
      <c r="HB16" s="339"/>
      <c r="HC16" s="339"/>
      <c r="HD16" s="339"/>
      <c r="HE16" s="339"/>
      <c r="HF16" s="339"/>
      <c r="HG16" s="339"/>
      <c r="HH16" s="339"/>
      <c r="HI16" s="339"/>
      <c r="HJ16" s="339"/>
      <c r="HK16" s="339"/>
      <c r="HL16" s="339"/>
      <c r="HM16" s="339"/>
      <c r="HN16" s="339"/>
      <c r="HO16" s="339"/>
      <c r="HP16" s="339"/>
      <c r="HQ16" s="339"/>
      <c r="HR16" s="339"/>
      <c r="HS16" s="339"/>
      <c r="HT16" s="339"/>
      <c r="HU16" s="339"/>
      <c r="HV16" s="339"/>
      <c r="HW16" s="339"/>
      <c r="HX16" s="339"/>
      <c r="HY16" s="339"/>
      <c r="HZ16" s="339"/>
      <c r="IA16" s="339"/>
      <c r="IB16" s="339"/>
      <c r="IC16" s="339"/>
      <c r="ID16" s="339"/>
      <c r="IE16" s="339"/>
      <c r="IF16" s="339"/>
      <c r="IG16" s="339"/>
      <c r="IH16" s="339"/>
      <c r="II16" s="339"/>
      <c r="IJ16" s="339"/>
      <c r="IK16" s="339"/>
      <c r="IL16" s="339"/>
      <c r="IM16" s="339"/>
      <c r="IN16" s="339"/>
      <c r="IO16" s="339"/>
      <c r="IP16" s="339"/>
      <c r="IQ16" s="339"/>
      <c r="IR16" s="339"/>
      <c r="IS16" s="339"/>
      <c r="IT16" s="339"/>
      <c r="IU16" s="339"/>
      <c r="IV16" s="339"/>
      <c r="IW16" s="339"/>
      <c r="IX16" s="339"/>
      <c r="IY16" s="339"/>
      <c r="IZ16" s="339"/>
      <c r="JA16" s="339"/>
      <c r="JB16" s="339"/>
      <c r="JC16" s="339"/>
      <c r="JD16" s="339"/>
      <c r="JE16" s="339"/>
      <c r="JF16" s="339"/>
      <c r="JG16" s="339"/>
      <c r="JH16" s="339"/>
      <c r="JI16" s="339"/>
      <c r="JJ16" s="339"/>
      <c r="JK16" s="339"/>
      <c r="JL16" s="339"/>
      <c r="JM16" s="339"/>
      <c r="JN16" s="339"/>
      <c r="JO16" s="339"/>
      <c r="JP16" s="339"/>
      <c r="JQ16" s="339"/>
      <c r="JR16" s="339"/>
      <c r="JS16" s="339"/>
      <c r="JT16" s="339"/>
      <c r="JU16" s="339"/>
      <c r="JV16" s="339"/>
      <c r="JW16" s="339"/>
      <c r="JX16" s="339"/>
      <c r="JY16" s="339"/>
      <c r="JZ16" s="339"/>
      <c r="KA16" s="339"/>
      <c r="KB16" s="339"/>
      <c r="KC16" s="339"/>
    </row>
    <row r="17" spans="1:289" ht="21">
      <c r="A17" s="1952" t="s">
        <v>189</v>
      </c>
      <c r="B17" s="851">
        <v>180.43483328999997</v>
      </c>
      <c r="C17" s="851">
        <v>205.796538</v>
      </c>
      <c r="D17" s="851">
        <v>195.82691531999998</v>
      </c>
      <c r="E17" s="851">
        <v>204.26295068999997</v>
      </c>
      <c r="F17" s="851">
        <v>206.85365904000003</v>
      </c>
      <c r="G17" s="851">
        <v>217.87440096</v>
      </c>
      <c r="H17" s="851">
        <v>206.97761563999998</v>
      </c>
      <c r="I17" s="851">
        <v>203.97058914000002</v>
      </c>
      <c r="J17" s="851">
        <v>205.42127201</v>
      </c>
      <c r="K17" s="851">
        <v>191.42083851999999</v>
      </c>
      <c r="L17" s="851">
        <v>206.89812634999998</v>
      </c>
      <c r="M17" s="840">
        <v>189.24333316000002</v>
      </c>
      <c r="N17" s="843">
        <v>190.99234681000002</v>
      </c>
      <c r="O17" s="843">
        <v>208.48260150000002</v>
      </c>
      <c r="P17" s="843">
        <v>215.83160005000002</v>
      </c>
      <c r="Q17" s="843">
        <v>214.4200596</v>
      </c>
      <c r="R17" s="843">
        <v>225.88312926000003</v>
      </c>
      <c r="S17" s="843">
        <v>233.32103584999999</v>
      </c>
      <c r="T17" s="843">
        <v>217.89222088000002</v>
      </c>
      <c r="U17" s="843">
        <v>209.13893188999998</v>
      </c>
      <c r="V17" s="843">
        <v>251.80033624999999</v>
      </c>
      <c r="W17" s="843">
        <v>264.37653283000003</v>
      </c>
      <c r="X17" s="843">
        <v>262.66685460999997</v>
      </c>
      <c r="Y17" s="840">
        <v>276.29625042999999</v>
      </c>
      <c r="Z17" s="843">
        <v>271.1719994</v>
      </c>
      <c r="AA17" s="843">
        <v>265.54501173</v>
      </c>
      <c r="AB17" s="840">
        <v>282.16928999999999</v>
      </c>
      <c r="AC17" s="840">
        <v>283.26923289999996</v>
      </c>
      <c r="AD17" s="840">
        <v>212.52206143999999</v>
      </c>
      <c r="AE17" s="840">
        <v>202.50357294</v>
      </c>
      <c r="AF17" s="840">
        <v>193.29579656000001</v>
      </c>
      <c r="AG17" s="840">
        <v>181.66923881999998</v>
      </c>
      <c r="AH17" s="840">
        <v>179.24457626999998</v>
      </c>
      <c r="AI17" s="840">
        <v>276.80026763000001</v>
      </c>
      <c r="AJ17" s="840">
        <v>158.51988054</v>
      </c>
      <c r="AK17" s="840">
        <v>121.12209421</v>
      </c>
      <c r="AL17" s="840">
        <v>101.28042154000001</v>
      </c>
      <c r="AM17" s="840">
        <v>98.349443039999997</v>
      </c>
      <c r="AN17" s="840">
        <v>100.53638595</v>
      </c>
      <c r="AO17" s="840">
        <v>103.89120367</v>
      </c>
      <c r="AP17" s="840">
        <v>107.43319996</v>
      </c>
      <c r="AQ17" s="840">
        <v>108.29544261000001</v>
      </c>
      <c r="AR17" s="840">
        <v>84.321984190000009</v>
      </c>
      <c r="AS17" s="840">
        <v>70.170594479999991</v>
      </c>
      <c r="AT17" s="840">
        <v>77.333881460000001</v>
      </c>
      <c r="AU17" s="840">
        <v>55.59629193</v>
      </c>
      <c r="AV17" s="840">
        <v>65.790700659999999</v>
      </c>
      <c r="AW17" s="840">
        <v>63.663320710000001</v>
      </c>
      <c r="AX17" s="840">
        <v>57.342163650000003</v>
      </c>
      <c r="AY17" s="840">
        <v>62.667472189999998</v>
      </c>
      <c r="AZ17" s="840">
        <v>58.604554999999998</v>
      </c>
      <c r="BA17" s="840">
        <v>56.614679000000002</v>
      </c>
      <c r="BB17" s="840">
        <v>50.263372770000004</v>
      </c>
      <c r="BC17" s="840">
        <v>50.346797299999999</v>
      </c>
      <c r="BD17" s="840">
        <v>55.03336427</v>
      </c>
      <c r="BE17" s="840">
        <v>51.806257950000003</v>
      </c>
      <c r="BF17" s="840">
        <v>50.442412900000001</v>
      </c>
      <c r="BG17" s="840">
        <v>47.399199459999998</v>
      </c>
      <c r="BH17" s="885">
        <v>47.152262700000001</v>
      </c>
      <c r="BI17" s="874">
        <v>45.566634750000006</v>
      </c>
      <c r="BJ17" s="874">
        <v>49.655729229999999</v>
      </c>
      <c r="BK17" s="874">
        <v>25.760692100000004</v>
      </c>
      <c r="BL17" s="874">
        <v>26.504096180000001</v>
      </c>
      <c r="BM17" s="874">
        <v>33.165368909999998</v>
      </c>
      <c r="BN17" s="874">
        <v>36.787257969999999</v>
      </c>
      <c r="BO17" s="874">
        <v>41.054327980000004</v>
      </c>
      <c r="BP17" s="874">
        <v>41.573910589999997</v>
      </c>
      <c r="BQ17" s="874">
        <v>40.401688300000004</v>
      </c>
      <c r="BR17" s="874">
        <v>39.080907669999995</v>
      </c>
      <c r="BS17" s="874">
        <v>36.003612690000004</v>
      </c>
      <c r="BT17" s="874">
        <v>58.940427749999998</v>
      </c>
      <c r="BU17" s="874">
        <v>94.245547429999988</v>
      </c>
      <c r="BV17" s="874">
        <v>93.152351839999994</v>
      </c>
      <c r="BW17" s="874">
        <v>103.50204461999999</v>
      </c>
      <c r="BX17" s="874">
        <v>99.117404050000005</v>
      </c>
      <c r="BY17" s="874">
        <v>84.475387789999999</v>
      </c>
      <c r="BZ17" s="874">
        <v>78.832372279999987</v>
      </c>
      <c r="CA17" s="874">
        <v>78.006780019999994</v>
      </c>
      <c r="CB17" s="874">
        <v>81.280156799999986</v>
      </c>
      <c r="CC17" s="874">
        <v>84.524828450000001</v>
      </c>
      <c r="CD17" s="874">
        <v>78.243207119999994</v>
      </c>
      <c r="CE17" s="874">
        <v>83.129729099999992</v>
      </c>
      <c r="CF17" s="874">
        <v>90.809892810000008</v>
      </c>
      <c r="CG17" s="874">
        <v>66.600073409999993</v>
      </c>
      <c r="CH17" s="874">
        <v>53.380701379999991</v>
      </c>
      <c r="CI17" s="874">
        <v>63.316256029999998</v>
      </c>
      <c r="CJ17" s="874">
        <v>74.342573810000005</v>
      </c>
      <c r="CK17" s="874">
        <v>61.558406669999997</v>
      </c>
      <c r="CL17" s="874">
        <v>53.998412219999999</v>
      </c>
      <c r="CM17" s="874">
        <v>53.140078200000005</v>
      </c>
      <c r="CN17" s="874">
        <v>42.974915460000005</v>
      </c>
      <c r="CO17" s="874">
        <v>48.504541140000001</v>
      </c>
      <c r="CP17" s="874">
        <v>44.531449510000002</v>
      </c>
      <c r="CQ17" s="874">
        <v>38.431654639999998</v>
      </c>
      <c r="CR17" s="874">
        <v>46.979300510000002</v>
      </c>
      <c r="CS17" s="874">
        <v>35.423332280000004</v>
      </c>
      <c r="CT17" s="874">
        <v>48.28333422</v>
      </c>
      <c r="CU17" s="874">
        <v>60.568736180000002</v>
      </c>
      <c r="CV17" s="874">
        <v>68.756943800000002</v>
      </c>
      <c r="CW17" s="874">
        <v>73.469341249999999</v>
      </c>
      <c r="CX17" s="874">
        <v>81.134495990000005</v>
      </c>
      <c r="CY17" s="874">
        <v>87.223453500000005</v>
      </c>
      <c r="CZ17" s="874">
        <v>111.35417554999999</v>
      </c>
      <c r="DA17" s="874">
        <v>120.62232648</v>
      </c>
      <c r="DB17" s="874">
        <v>142.51302297999999</v>
      </c>
      <c r="DC17" s="874">
        <v>147.81340186</v>
      </c>
      <c r="DD17" s="874">
        <v>177.54779783000001</v>
      </c>
      <c r="DE17" s="874">
        <v>147.48767239</v>
      </c>
      <c r="DF17" s="874">
        <v>156.21255044</v>
      </c>
      <c r="DG17" s="874">
        <v>201.49308773000001</v>
      </c>
      <c r="DH17" s="874">
        <v>212.00160481</v>
      </c>
      <c r="DI17" s="874">
        <v>217.83200141</v>
      </c>
      <c r="DJ17" s="874">
        <v>237.70810538999999</v>
      </c>
      <c r="DK17" s="874">
        <v>271.71608408999998</v>
      </c>
      <c r="DL17" s="874">
        <v>268.85554144000002</v>
      </c>
      <c r="DM17" s="874">
        <v>268.49868443999998</v>
      </c>
      <c r="DN17" s="874">
        <v>309.06235128999998</v>
      </c>
      <c r="DO17" s="874">
        <v>291.69867278999999</v>
      </c>
      <c r="DP17" s="874">
        <v>293.04870357999999</v>
      </c>
      <c r="DQ17" s="874">
        <v>216.38567373000001</v>
      </c>
      <c r="DR17" s="874">
        <v>194.17950289000001</v>
      </c>
      <c r="DS17" s="874">
        <v>201.95004545</v>
      </c>
      <c r="DT17" s="874">
        <v>215.36568403999999</v>
      </c>
      <c r="DU17" s="874">
        <v>219.03237525</v>
      </c>
      <c r="DV17" s="874">
        <v>217.22447790000001</v>
      </c>
      <c r="DW17" s="874">
        <v>224.48313843</v>
      </c>
      <c r="DX17" s="874">
        <v>190.51161604999999</v>
      </c>
      <c r="DY17" s="874">
        <v>172.14346524000001</v>
      </c>
      <c r="DZ17" s="874">
        <v>172.09454463</v>
      </c>
      <c r="EA17" s="874">
        <v>160.16002728000001</v>
      </c>
      <c r="EB17" s="874">
        <v>168.87362318000001</v>
      </c>
      <c r="EC17" s="874">
        <v>150.16284987</v>
      </c>
      <c r="ED17" s="874">
        <v>162.54291823</v>
      </c>
      <c r="EE17" s="874">
        <v>156.20188049000001</v>
      </c>
      <c r="EF17" s="874">
        <v>192.82187687999999</v>
      </c>
      <c r="EG17" s="874">
        <v>209.12804287</v>
      </c>
      <c r="EH17" s="874">
        <v>208.18267209000001</v>
      </c>
      <c r="EI17" s="874">
        <v>205.6205052</v>
      </c>
      <c r="EJ17" s="874">
        <v>231.37961440999999</v>
      </c>
      <c r="EK17" s="874">
        <v>177.43722801000001</v>
      </c>
      <c r="EL17" s="874">
        <v>213.55706054999999</v>
      </c>
      <c r="EM17" s="874">
        <v>293.12959756999999</v>
      </c>
      <c r="EN17" s="874">
        <v>306.04228871999999</v>
      </c>
      <c r="EO17" s="874">
        <v>235.00755088</v>
      </c>
      <c r="EP17" s="874">
        <v>222.21337302000001</v>
      </c>
      <c r="EQ17" s="874">
        <v>186.21799188</v>
      </c>
      <c r="ER17" s="874">
        <v>203.70261316</v>
      </c>
      <c r="ES17" s="874">
        <v>213.02552937999999</v>
      </c>
      <c r="ET17" s="874">
        <v>214.37960244000001</v>
      </c>
      <c r="EU17" s="1922" t="s">
        <v>212</v>
      </c>
      <c r="EV17" s="339"/>
      <c r="EW17" s="339"/>
      <c r="EX17" s="339"/>
      <c r="EY17" s="339"/>
      <c r="EZ17" s="342"/>
      <c r="FA17" s="339"/>
      <c r="FB17" s="339"/>
      <c r="FC17" s="339"/>
      <c r="FD17" s="339"/>
      <c r="FE17" s="339"/>
      <c r="FF17" s="339"/>
      <c r="FG17" s="339"/>
      <c r="FH17" s="339"/>
      <c r="FI17" s="339"/>
      <c r="FJ17" s="339"/>
      <c r="FK17" s="339"/>
      <c r="FL17" s="339"/>
      <c r="FM17" s="339"/>
      <c r="FN17" s="339"/>
      <c r="FO17" s="339"/>
      <c r="FP17" s="339"/>
      <c r="FQ17" s="339"/>
      <c r="FR17" s="339"/>
      <c r="FS17" s="339"/>
      <c r="FT17" s="339"/>
      <c r="FU17" s="339"/>
      <c r="FV17" s="339"/>
      <c r="FW17" s="339"/>
      <c r="FX17" s="339"/>
      <c r="FY17" s="339"/>
      <c r="FZ17" s="339"/>
      <c r="GA17" s="339"/>
      <c r="GB17" s="339"/>
      <c r="GC17" s="339"/>
      <c r="GD17" s="339"/>
      <c r="GE17" s="339"/>
      <c r="GF17" s="339"/>
      <c r="GG17" s="339"/>
      <c r="GH17" s="339"/>
      <c r="GI17" s="339"/>
      <c r="GJ17" s="339"/>
      <c r="GK17" s="339"/>
      <c r="GL17" s="339"/>
      <c r="GM17" s="339"/>
      <c r="GN17" s="339"/>
      <c r="GO17" s="339"/>
      <c r="GP17" s="339"/>
      <c r="GQ17" s="339"/>
      <c r="GR17" s="339"/>
      <c r="GS17" s="339"/>
      <c r="GT17" s="339"/>
      <c r="GU17" s="339"/>
      <c r="GV17" s="339"/>
      <c r="GW17" s="339"/>
      <c r="GX17" s="339"/>
      <c r="GY17" s="339"/>
      <c r="GZ17" s="339"/>
      <c r="HA17" s="339"/>
      <c r="HB17" s="339"/>
      <c r="HC17" s="339"/>
      <c r="HD17" s="339"/>
      <c r="HE17" s="339"/>
      <c r="HF17" s="339"/>
      <c r="HG17" s="339"/>
      <c r="HH17" s="339"/>
      <c r="HI17" s="339"/>
      <c r="HJ17" s="339"/>
      <c r="HK17" s="339"/>
      <c r="HL17" s="339"/>
      <c r="HM17" s="339"/>
      <c r="HN17" s="339"/>
      <c r="HO17" s="339"/>
      <c r="HP17" s="339"/>
      <c r="HQ17" s="339"/>
      <c r="HR17" s="339"/>
      <c r="HS17" s="339"/>
      <c r="HT17" s="339"/>
      <c r="HU17" s="339"/>
      <c r="HV17" s="339"/>
      <c r="HW17" s="339"/>
      <c r="HX17" s="339"/>
      <c r="HY17" s="339"/>
      <c r="HZ17" s="339"/>
      <c r="IA17" s="339"/>
      <c r="IB17" s="339"/>
      <c r="IC17" s="339"/>
      <c r="ID17" s="339"/>
      <c r="IE17" s="339"/>
      <c r="IF17" s="339"/>
      <c r="IG17" s="339"/>
      <c r="IH17" s="339"/>
      <c r="II17" s="339"/>
      <c r="IJ17" s="339"/>
      <c r="IK17" s="339"/>
      <c r="IL17" s="339"/>
      <c r="IM17" s="339"/>
      <c r="IN17" s="339"/>
      <c r="IO17" s="339"/>
      <c r="IP17" s="339"/>
      <c r="IQ17" s="339"/>
      <c r="IR17" s="339"/>
      <c r="IS17" s="339"/>
      <c r="IT17" s="339"/>
      <c r="IU17" s="339"/>
      <c r="IV17" s="339"/>
      <c r="IW17" s="339"/>
      <c r="IX17" s="339"/>
      <c r="IY17" s="339"/>
      <c r="IZ17" s="339"/>
      <c r="JA17" s="339"/>
      <c r="JB17" s="339"/>
      <c r="JC17" s="339"/>
      <c r="JD17" s="339"/>
      <c r="JE17" s="339"/>
      <c r="JF17" s="339"/>
      <c r="JG17" s="339"/>
      <c r="JH17" s="339"/>
      <c r="JI17" s="339"/>
      <c r="JJ17" s="339"/>
      <c r="JK17" s="339"/>
      <c r="JL17" s="339"/>
      <c r="JM17" s="339"/>
      <c r="JN17" s="339"/>
      <c r="JO17" s="339"/>
      <c r="JP17" s="339"/>
      <c r="JQ17" s="339"/>
      <c r="JR17" s="339"/>
      <c r="JS17" s="339"/>
      <c r="JT17" s="339"/>
      <c r="JU17" s="339"/>
      <c r="JV17" s="339"/>
      <c r="JW17" s="339"/>
      <c r="JX17" s="339"/>
      <c r="JY17" s="339"/>
      <c r="JZ17" s="339"/>
      <c r="KA17" s="339"/>
      <c r="KB17" s="339"/>
      <c r="KC17" s="339"/>
    </row>
    <row r="18" spans="1:289" ht="21">
      <c r="A18" s="1953" t="s">
        <v>1974</v>
      </c>
      <c r="B18" s="850">
        <v>55.199652799999996</v>
      </c>
      <c r="C18" s="850">
        <v>86.7073599</v>
      </c>
      <c r="D18" s="850">
        <v>77.796303159999994</v>
      </c>
      <c r="E18" s="850">
        <v>66.627038240000005</v>
      </c>
      <c r="F18" s="850">
        <v>56.384360270000002</v>
      </c>
      <c r="G18" s="850">
        <v>56.333983959999998</v>
      </c>
      <c r="H18" s="850">
        <v>55.349142319999999</v>
      </c>
      <c r="I18" s="850">
        <v>43.824385599999999</v>
      </c>
      <c r="J18" s="850">
        <v>28.946097269999999</v>
      </c>
      <c r="K18" s="850">
        <v>6.8455837699999993</v>
      </c>
      <c r="L18" s="850">
        <v>15.452168990000001</v>
      </c>
      <c r="M18" s="843">
        <v>10.561970580000001</v>
      </c>
      <c r="N18" s="840">
        <v>10.571338580000001</v>
      </c>
      <c r="O18" s="840">
        <v>20.037656999999999</v>
      </c>
      <c r="P18" s="840">
        <v>22.593061890000001</v>
      </c>
      <c r="Q18" s="840">
        <v>12.45883684</v>
      </c>
      <c r="R18" s="840">
        <v>26.10849207</v>
      </c>
      <c r="S18" s="840">
        <v>29.307386219999998</v>
      </c>
      <c r="T18" s="840">
        <v>29.75052414</v>
      </c>
      <c r="U18" s="840">
        <v>32.472627500000002</v>
      </c>
      <c r="V18" s="840">
        <v>53.950963860000002</v>
      </c>
      <c r="W18" s="840">
        <v>52.803003509999996</v>
      </c>
      <c r="X18" s="840">
        <v>34.14253385</v>
      </c>
      <c r="Y18" s="843">
        <v>34.457202649999999</v>
      </c>
      <c r="Z18" s="840">
        <v>28.213466889999999</v>
      </c>
      <c r="AA18" s="840">
        <v>32.288698100000005</v>
      </c>
      <c r="AB18" s="843">
        <v>0.50311256000000004</v>
      </c>
      <c r="AC18" s="843">
        <v>0.63787850000000001</v>
      </c>
      <c r="AD18" s="843">
        <v>0.52714743999999991</v>
      </c>
      <c r="AE18" s="843">
        <v>0.35587715999999997</v>
      </c>
      <c r="AF18" s="843">
        <v>0.40646890999999996</v>
      </c>
      <c r="AG18" s="843">
        <v>0.28200861999999999</v>
      </c>
      <c r="AH18" s="843">
        <v>0.33840281999999999</v>
      </c>
      <c r="AI18" s="843">
        <v>0.38545482000000003</v>
      </c>
      <c r="AJ18" s="843">
        <v>0.27987251000000002</v>
      </c>
      <c r="AK18" s="843">
        <v>0.68495581999999999</v>
      </c>
      <c r="AL18" s="843">
        <v>0.70191250999999999</v>
      </c>
      <c r="AM18" s="843">
        <v>0.70191250999999999</v>
      </c>
      <c r="AN18" s="843">
        <v>0.85191251000000001</v>
      </c>
      <c r="AO18" s="843">
        <v>0.20191951</v>
      </c>
      <c r="AP18" s="843">
        <v>1.9642250700000001</v>
      </c>
      <c r="AQ18" s="843">
        <v>4.4786540700000002</v>
      </c>
      <c r="AR18" s="843">
        <v>4.7771810800000001</v>
      </c>
      <c r="AS18" s="843">
        <v>5.4846050799999997</v>
      </c>
      <c r="AT18" s="843">
        <v>5.33042208</v>
      </c>
      <c r="AU18" s="843">
        <v>3.8038960799999999</v>
      </c>
      <c r="AV18" s="843">
        <v>3.4312688199999997</v>
      </c>
      <c r="AW18" s="843">
        <v>2.68382582</v>
      </c>
      <c r="AX18" s="843">
        <v>2.68382582</v>
      </c>
      <c r="AY18" s="843">
        <v>1.60473</v>
      </c>
      <c r="AZ18" s="843">
        <v>0.865811</v>
      </c>
      <c r="BA18" s="843">
        <v>0.84681099999999998</v>
      </c>
      <c r="BB18" s="843">
        <v>0.306811</v>
      </c>
      <c r="BC18" s="843">
        <v>0</v>
      </c>
      <c r="BD18" s="843">
        <v>0</v>
      </c>
      <c r="BE18" s="843">
        <v>0</v>
      </c>
      <c r="BF18" s="843">
        <v>0</v>
      </c>
      <c r="BG18" s="843">
        <v>0</v>
      </c>
      <c r="BH18" s="886">
        <v>0.1</v>
      </c>
      <c r="BI18" s="875">
        <v>0.2</v>
      </c>
      <c r="BJ18" s="875">
        <v>0.25</v>
      </c>
      <c r="BK18" s="875">
        <v>0.3</v>
      </c>
      <c r="BL18" s="875">
        <v>0.43341204999999999</v>
      </c>
      <c r="BM18" s="875">
        <v>0.32837125</v>
      </c>
      <c r="BN18" s="875">
        <v>0.24022125</v>
      </c>
      <c r="BO18" s="875">
        <v>0.17122076999999999</v>
      </c>
      <c r="BP18" s="875">
        <v>0.10967444</v>
      </c>
      <c r="BQ18" s="875">
        <v>7.8029769999999998E-2</v>
      </c>
      <c r="BR18" s="875">
        <v>6.9529770000000005E-2</v>
      </c>
      <c r="BS18" s="875">
        <v>0.24</v>
      </c>
      <c r="BT18" s="875">
        <v>15.4</v>
      </c>
      <c r="BU18" s="875">
        <v>46.217195049999994</v>
      </c>
      <c r="BV18" s="875">
        <v>45.107562049999999</v>
      </c>
      <c r="BW18" s="875">
        <v>44.395982719999999</v>
      </c>
      <c r="BX18" s="875">
        <v>35.379192119999999</v>
      </c>
      <c r="BY18" s="875">
        <v>33.796639680000006</v>
      </c>
      <c r="BZ18" s="875">
        <v>25.364785379999997</v>
      </c>
      <c r="CA18" s="875">
        <v>22.988123079999998</v>
      </c>
      <c r="CB18" s="875">
        <v>21.352009639999999</v>
      </c>
      <c r="CC18" s="875">
        <v>19.869345039999999</v>
      </c>
      <c r="CD18" s="875">
        <v>11.51320067</v>
      </c>
      <c r="CE18" s="875">
        <v>9.7197798599999992</v>
      </c>
      <c r="CF18" s="875">
        <v>8.2000269999999986</v>
      </c>
      <c r="CG18" s="875">
        <v>0.40002700000000002</v>
      </c>
      <c r="CH18" s="875">
        <v>2.6999999999999999E-5</v>
      </c>
      <c r="CI18" s="875">
        <v>2.6999999999999999E-5</v>
      </c>
      <c r="CJ18" s="875">
        <v>3.0026999999999998E-2</v>
      </c>
      <c r="CK18" s="875">
        <v>0.190027</v>
      </c>
      <c r="CL18" s="875">
        <v>0.15002699999999999</v>
      </c>
      <c r="CM18" s="875">
        <v>2.6999999999999999E-5</v>
      </c>
      <c r="CN18" s="875">
        <v>0.20002700000000001</v>
      </c>
      <c r="CO18" s="875">
        <v>0.220027</v>
      </c>
      <c r="CP18" s="875">
        <v>0.24144483</v>
      </c>
      <c r="CQ18" s="875">
        <v>9.5268240000000004E-2</v>
      </c>
      <c r="CR18" s="875">
        <v>1.9517720000000002E-2</v>
      </c>
      <c r="CS18" s="875">
        <v>1.7710189999999997E-2</v>
      </c>
      <c r="CT18" s="875">
        <v>1.6016140000000002E-2</v>
      </c>
      <c r="CU18" s="875">
        <v>1.41406E-2</v>
      </c>
      <c r="CV18" s="875">
        <v>1.2230670000000001E-2</v>
      </c>
      <c r="CW18" s="875">
        <v>1.028573E-2</v>
      </c>
      <c r="CX18" s="875">
        <v>8.3901099999999992E-3</v>
      </c>
      <c r="CY18" s="875">
        <v>6.2959399999999999E-3</v>
      </c>
      <c r="CZ18" s="875">
        <v>4.2383500000000001E-3</v>
      </c>
      <c r="DA18" s="875">
        <v>2.1494700000000001E-3</v>
      </c>
      <c r="DB18" s="875">
        <v>0</v>
      </c>
      <c r="DC18" s="875">
        <v>0</v>
      </c>
      <c r="DD18" s="875">
        <v>0</v>
      </c>
      <c r="DE18" s="875">
        <v>0</v>
      </c>
      <c r="DF18" s="875">
        <v>0</v>
      </c>
      <c r="DG18" s="875">
        <v>0</v>
      </c>
      <c r="DH18" s="875">
        <v>0.2</v>
      </c>
      <c r="DI18" s="875">
        <v>0.2</v>
      </c>
      <c r="DJ18" s="875">
        <v>0.2</v>
      </c>
      <c r="DK18" s="875">
        <v>0.2</v>
      </c>
      <c r="DL18" s="875">
        <v>0.17883414</v>
      </c>
      <c r="DM18" s="875">
        <v>0.15728809999999999</v>
      </c>
      <c r="DN18" s="875">
        <v>0.13568469999999999</v>
      </c>
      <c r="DO18" s="875">
        <v>0.16361853000000001</v>
      </c>
      <c r="DP18" s="875">
        <v>0.13757828999999999</v>
      </c>
      <c r="DQ18" s="875">
        <v>0.11122019</v>
      </c>
      <c r="DR18" s="875">
        <v>8.4478029999999996E-2</v>
      </c>
      <c r="DS18" s="875">
        <v>5.7495490000000003E-2</v>
      </c>
      <c r="DT18" s="875">
        <v>3.0244480000000001E-2</v>
      </c>
      <c r="DU18" s="875">
        <v>2.60015E-2</v>
      </c>
      <c r="DV18" s="875">
        <v>0.05</v>
      </c>
      <c r="DW18" s="875">
        <v>0</v>
      </c>
      <c r="DX18" s="875">
        <v>0</v>
      </c>
      <c r="DY18" s="875">
        <v>0</v>
      </c>
      <c r="DZ18" s="875">
        <v>0.03</v>
      </c>
      <c r="EA18" s="875">
        <v>2.766617E-2</v>
      </c>
      <c r="EB18" s="875">
        <v>2.5374910000000001E-2</v>
      </c>
      <c r="EC18" s="875">
        <v>2.296803E-2</v>
      </c>
      <c r="ED18" s="875">
        <v>2.296803E-2</v>
      </c>
      <c r="EE18" s="875">
        <v>0</v>
      </c>
      <c r="EF18" s="875">
        <v>0</v>
      </c>
      <c r="EG18" s="875">
        <v>0</v>
      </c>
      <c r="EH18" s="875">
        <v>0</v>
      </c>
      <c r="EI18" s="875">
        <v>0</v>
      </c>
      <c r="EJ18" s="875">
        <v>0</v>
      </c>
      <c r="EK18" s="875">
        <v>0</v>
      </c>
      <c r="EL18" s="875">
        <v>0</v>
      </c>
      <c r="EM18" s="875">
        <v>0</v>
      </c>
      <c r="EN18" s="875">
        <v>0</v>
      </c>
      <c r="EO18" s="875">
        <v>0</v>
      </c>
      <c r="EP18" s="875">
        <v>3.40282E-3</v>
      </c>
      <c r="EQ18" s="875">
        <v>3.40282E-3</v>
      </c>
      <c r="ER18" s="875">
        <v>0</v>
      </c>
      <c r="ES18" s="875">
        <v>0</v>
      </c>
      <c r="ET18" s="875">
        <v>0</v>
      </c>
      <c r="EU18" s="1924" t="s">
        <v>4086</v>
      </c>
      <c r="EV18" s="339"/>
      <c r="EW18" s="339"/>
      <c r="EX18" s="339"/>
      <c r="EY18" s="339"/>
      <c r="EZ18" s="342"/>
      <c r="FA18" s="339"/>
      <c r="FB18" s="339"/>
      <c r="FC18" s="339"/>
      <c r="FD18" s="339"/>
      <c r="FE18" s="339"/>
      <c r="FF18" s="339"/>
      <c r="FG18" s="339"/>
      <c r="FH18" s="339"/>
      <c r="FI18" s="339"/>
      <c r="FJ18" s="339"/>
      <c r="FK18" s="339"/>
      <c r="FL18" s="339"/>
      <c r="FM18" s="339"/>
      <c r="FN18" s="339"/>
      <c r="FO18" s="339"/>
      <c r="FP18" s="339"/>
      <c r="FQ18" s="339"/>
      <c r="FR18" s="339"/>
      <c r="FS18" s="339"/>
      <c r="FT18" s="339"/>
      <c r="FU18" s="339"/>
      <c r="FV18" s="339"/>
      <c r="FW18" s="339"/>
      <c r="FX18" s="339"/>
      <c r="FY18" s="339"/>
      <c r="FZ18" s="339"/>
      <c r="GA18" s="339"/>
      <c r="GB18" s="339"/>
      <c r="GC18" s="339"/>
      <c r="GD18" s="339"/>
      <c r="GE18" s="339"/>
      <c r="GF18" s="339"/>
      <c r="GG18" s="339"/>
      <c r="GH18" s="339"/>
      <c r="GI18" s="339"/>
      <c r="GJ18" s="339"/>
      <c r="GK18" s="339"/>
      <c r="GL18" s="339"/>
      <c r="GM18" s="339"/>
      <c r="GN18" s="339"/>
      <c r="GO18" s="339"/>
      <c r="GP18" s="339"/>
      <c r="GQ18" s="339"/>
      <c r="GR18" s="339"/>
      <c r="GS18" s="339"/>
      <c r="GT18" s="339"/>
      <c r="GU18" s="339"/>
      <c r="GV18" s="339"/>
      <c r="GW18" s="339"/>
      <c r="GX18" s="339"/>
      <c r="GY18" s="339"/>
      <c r="GZ18" s="339"/>
      <c r="HA18" s="339"/>
      <c r="HB18" s="339"/>
      <c r="HC18" s="339"/>
      <c r="HD18" s="339"/>
      <c r="HE18" s="339"/>
      <c r="HF18" s="339"/>
      <c r="HG18" s="339"/>
      <c r="HH18" s="339"/>
      <c r="HI18" s="339"/>
      <c r="HJ18" s="339"/>
      <c r="HK18" s="339"/>
      <c r="HL18" s="339"/>
      <c r="HM18" s="339"/>
      <c r="HN18" s="339"/>
      <c r="HO18" s="339"/>
      <c r="HP18" s="339"/>
      <c r="HQ18" s="339"/>
      <c r="HR18" s="339"/>
      <c r="HS18" s="339"/>
      <c r="HT18" s="339"/>
      <c r="HU18" s="339"/>
      <c r="HV18" s="339"/>
      <c r="HW18" s="339"/>
      <c r="HX18" s="339"/>
      <c r="HY18" s="339"/>
      <c r="HZ18" s="339"/>
      <c r="IA18" s="339"/>
      <c r="IB18" s="339"/>
      <c r="IC18" s="339"/>
      <c r="ID18" s="339"/>
      <c r="IE18" s="339"/>
      <c r="IF18" s="339"/>
      <c r="IG18" s="339"/>
      <c r="IH18" s="339"/>
      <c r="II18" s="339"/>
      <c r="IJ18" s="339"/>
      <c r="IK18" s="339"/>
      <c r="IL18" s="339"/>
      <c r="IM18" s="339"/>
      <c r="IN18" s="339"/>
      <c r="IO18" s="339"/>
      <c r="IP18" s="339"/>
      <c r="IQ18" s="339"/>
      <c r="IR18" s="339"/>
      <c r="IS18" s="339"/>
      <c r="IT18" s="339"/>
      <c r="IU18" s="339"/>
      <c r="IV18" s="339"/>
      <c r="IW18" s="339"/>
      <c r="IX18" s="339"/>
      <c r="IY18" s="339"/>
      <c r="IZ18" s="339"/>
      <c r="JA18" s="339"/>
      <c r="JB18" s="339"/>
      <c r="JC18" s="339"/>
      <c r="JD18" s="339"/>
      <c r="JE18" s="339"/>
      <c r="JF18" s="339"/>
      <c r="JG18" s="339"/>
      <c r="JH18" s="339"/>
      <c r="JI18" s="339"/>
      <c r="JJ18" s="339"/>
      <c r="JK18" s="339"/>
      <c r="JL18" s="339"/>
      <c r="JM18" s="339"/>
      <c r="JN18" s="339"/>
      <c r="JO18" s="339"/>
      <c r="JP18" s="339"/>
      <c r="JQ18" s="339"/>
      <c r="JR18" s="339"/>
      <c r="JS18" s="339"/>
      <c r="JT18" s="339"/>
      <c r="JU18" s="339"/>
      <c r="JV18" s="339"/>
      <c r="JW18" s="339"/>
      <c r="JX18" s="339"/>
      <c r="JY18" s="339"/>
      <c r="JZ18" s="339"/>
      <c r="KA18" s="339"/>
      <c r="KB18" s="339"/>
      <c r="KC18" s="339"/>
    </row>
    <row r="19" spans="1:289" ht="21">
      <c r="A19" s="1953" t="s">
        <v>1975</v>
      </c>
      <c r="B19" s="851">
        <f t="shared" ref="B19:V19" si="4">+B17-B18</f>
        <v>125.23518048999998</v>
      </c>
      <c r="C19" s="851">
        <f t="shared" si="4"/>
        <v>119.0891781</v>
      </c>
      <c r="D19" s="851">
        <f t="shared" si="4"/>
        <v>118.03061215999999</v>
      </c>
      <c r="E19" s="851">
        <f t="shared" si="4"/>
        <v>137.63591244999998</v>
      </c>
      <c r="F19" s="851">
        <f t="shared" si="4"/>
        <v>150.46929877000002</v>
      </c>
      <c r="G19" s="851">
        <f t="shared" si="4"/>
        <v>161.54041699999999</v>
      </c>
      <c r="H19" s="851">
        <f t="shared" si="4"/>
        <v>151.62847331999998</v>
      </c>
      <c r="I19" s="851">
        <f t="shared" si="4"/>
        <v>160.14620354000002</v>
      </c>
      <c r="J19" s="851">
        <f t="shared" si="4"/>
        <v>176.47517474</v>
      </c>
      <c r="K19" s="851">
        <f t="shared" si="4"/>
        <v>184.57525475</v>
      </c>
      <c r="L19" s="851">
        <f t="shared" si="4"/>
        <v>191.44595735999999</v>
      </c>
      <c r="M19" s="843">
        <f t="shared" si="4"/>
        <v>178.68136258000001</v>
      </c>
      <c r="N19" s="843">
        <f t="shared" si="4"/>
        <v>180.42100823000001</v>
      </c>
      <c r="O19" s="843">
        <f t="shared" si="4"/>
        <v>188.44494450000002</v>
      </c>
      <c r="P19" s="843">
        <f t="shared" si="4"/>
        <v>193.23853816000002</v>
      </c>
      <c r="Q19" s="843">
        <f t="shared" si="4"/>
        <v>201.96122276</v>
      </c>
      <c r="R19" s="843">
        <f t="shared" si="4"/>
        <v>199.77463719000002</v>
      </c>
      <c r="S19" s="843">
        <f t="shared" si="4"/>
        <v>204.01364962999997</v>
      </c>
      <c r="T19" s="843">
        <f t="shared" si="4"/>
        <v>188.14169674000001</v>
      </c>
      <c r="U19" s="843">
        <f t="shared" si="4"/>
        <v>176.66630438999999</v>
      </c>
      <c r="V19" s="843">
        <f t="shared" si="4"/>
        <v>197.84937238999998</v>
      </c>
      <c r="W19" s="843">
        <v>211.57352932000003</v>
      </c>
      <c r="X19" s="843">
        <v>228.52432075999997</v>
      </c>
      <c r="Y19" s="843">
        <v>241.83904777999999</v>
      </c>
      <c r="Z19" s="843">
        <v>242.95853251</v>
      </c>
      <c r="AA19" s="843">
        <v>233.25631362999999</v>
      </c>
      <c r="AB19" s="843">
        <f>+AB17-AB18</f>
        <v>281.66617744000001</v>
      </c>
      <c r="AC19" s="843">
        <v>282.63135439999996</v>
      </c>
      <c r="AD19" s="843">
        <v>211.99491399999999</v>
      </c>
      <c r="AE19" s="843">
        <v>202.14769577999999</v>
      </c>
      <c r="AF19" s="843">
        <v>192.88932765000001</v>
      </c>
      <c r="AG19" s="843">
        <v>181.38723019999998</v>
      </c>
      <c r="AH19" s="843">
        <f>+AH17-AH18</f>
        <v>178.90617344999998</v>
      </c>
      <c r="AI19" s="843">
        <v>276.41481281</v>
      </c>
      <c r="AJ19" s="843">
        <f>+AJ17-AJ18</f>
        <v>158.24000803000001</v>
      </c>
      <c r="AK19" s="843">
        <f>+AK17-AK18</f>
        <v>120.43713839</v>
      </c>
      <c r="AL19" s="843">
        <v>100.57850903000001</v>
      </c>
      <c r="AM19" s="843">
        <f>+AM17-AM18</f>
        <v>97.647530529999997</v>
      </c>
      <c r="AN19" s="843">
        <f>+AN17-AN18</f>
        <v>99.684473439999991</v>
      </c>
      <c r="AO19" s="843">
        <f>+AO17-AO18</f>
        <v>103.68928416</v>
      </c>
      <c r="AP19" s="843">
        <f>+AP17-AP18</f>
        <v>105.46897489</v>
      </c>
      <c r="AQ19" s="843">
        <v>103.81678854</v>
      </c>
      <c r="AR19" s="843">
        <v>79.544803110000004</v>
      </c>
      <c r="AS19" s="843">
        <f>+AS17-AS18</f>
        <v>64.685989399999997</v>
      </c>
      <c r="AT19" s="843">
        <f>+AT17-AT18</f>
        <v>72.003459379999995</v>
      </c>
      <c r="AU19" s="843">
        <v>51.792395849999998</v>
      </c>
      <c r="AV19" s="843">
        <v>62.359431839999999</v>
      </c>
      <c r="AW19" s="843">
        <v>60.979494889999998</v>
      </c>
      <c r="AX19" s="843">
        <v>54.658337830000001</v>
      </c>
      <c r="AY19" s="843">
        <v>61.062742189999994</v>
      </c>
      <c r="AZ19" s="843">
        <v>57.738743999999997</v>
      </c>
      <c r="BA19" s="843">
        <v>55.767868</v>
      </c>
      <c r="BB19" s="843">
        <v>49.95656177</v>
      </c>
      <c r="BC19" s="843">
        <v>50.346797299999999</v>
      </c>
      <c r="BD19" s="843">
        <f>+BD17-BD18</f>
        <v>55.03336427</v>
      </c>
      <c r="BE19" s="843">
        <v>51.806257950000003</v>
      </c>
      <c r="BF19" s="843">
        <v>50.442412900000001</v>
      </c>
      <c r="BG19" s="843">
        <v>47.399199459999998</v>
      </c>
      <c r="BH19" s="886">
        <v>47.0522627</v>
      </c>
      <c r="BI19" s="875">
        <v>45.366634750000003</v>
      </c>
      <c r="BJ19" s="875">
        <v>49.405729229999999</v>
      </c>
      <c r="BK19" s="875">
        <v>25.460692100000003</v>
      </c>
      <c r="BL19" s="875">
        <v>26.07068413</v>
      </c>
      <c r="BM19" s="875">
        <v>32.836997659999994</v>
      </c>
      <c r="BN19" s="875">
        <v>36.547036720000001</v>
      </c>
      <c r="BO19" s="875">
        <v>40.883107210000006</v>
      </c>
      <c r="BP19" s="875">
        <v>41.464236149999998</v>
      </c>
      <c r="BQ19" s="875">
        <v>40.323658530000003</v>
      </c>
      <c r="BR19" s="875">
        <v>39.011377899999992</v>
      </c>
      <c r="BS19" s="875">
        <v>35.763612690000002</v>
      </c>
      <c r="BT19" s="875">
        <v>43.540427749999999</v>
      </c>
      <c r="BU19" s="875">
        <v>48.028352379999994</v>
      </c>
      <c r="BV19" s="875">
        <v>48.044789789999996</v>
      </c>
      <c r="BW19" s="875">
        <v>59.106061899999993</v>
      </c>
      <c r="BX19" s="875">
        <v>63.738211930000006</v>
      </c>
      <c r="BY19" s="875">
        <v>50.678748109999994</v>
      </c>
      <c r="BZ19" s="875">
        <v>53.467586899999986</v>
      </c>
      <c r="CA19" s="875">
        <v>55.01865694</v>
      </c>
      <c r="CB19" s="875">
        <v>59.928147159999988</v>
      </c>
      <c r="CC19" s="875">
        <v>64.655483410000002</v>
      </c>
      <c r="CD19" s="875">
        <v>66.730006449999991</v>
      </c>
      <c r="CE19" s="875">
        <f t="shared" ref="CE19:CP19" si="5">+CE17-CE18</f>
        <v>73.409949239999989</v>
      </c>
      <c r="CF19" s="875">
        <f t="shared" si="5"/>
        <v>82.609865810000002</v>
      </c>
      <c r="CG19" s="875">
        <f t="shared" si="5"/>
        <v>66.200046409999999</v>
      </c>
      <c r="CH19" s="875">
        <f t="shared" si="5"/>
        <v>53.380674379999988</v>
      </c>
      <c r="CI19" s="875">
        <f t="shared" si="5"/>
        <v>63.316229029999995</v>
      </c>
      <c r="CJ19" s="875">
        <f t="shared" si="5"/>
        <v>74.312546810000001</v>
      </c>
      <c r="CK19" s="875">
        <f t="shared" si="5"/>
        <v>61.368379669999996</v>
      </c>
      <c r="CL19" s="875">
        <f t="shared" si="5"/>
        <v>53.848385219999997</v>
      </c>
      <c r="CM19" s="875">
        <f t="shared" si="5"/>
        <v>53.140051200000002</v>
      </c>
      <c r="CN19" s="875">
        <f t="shared" si="5"/>
        <v>42.774888460000007</v>
      </c>
      <c r="CO19" s="875">
        <f t="shared" si="5"/>
        <v>48.284514139999999</v>
      </c>
      <c r="CP19" s="875">
        <f t="shared" si="5"/>
        <v>44.290004680000003</v>
      </c>
      <c r="CQ19" s="875">
        <f>+CQ17-CQ18</f>
        <v>38.336386399999995</v>
      </c>
      <c r="CR19" s="875">
        <f>+CR17-CR18</f>
        <v>46.959782789999998</v>
      </c>
      <c r="CS19" s="875">
        <f>+CS17-CS18</f>
        <v>35.405622090000001</v>
      </c>
      <c r="CT19" s="875">
        <v>48.267318080000003</v>
      </c>
      <c r="CU19" s="875">
        <f>+CU17-CU18</f>
        <v>60.554595580000004</v>
      </c>
      <c r="CV19" s="875">
        <v>68.744713130000008</v>
      </c>
      <c r="CW19" s="875">
        <v>73.459055519999993</v>
      </c>
      <c r="CX19" s="875">
        <v>81.126105880000011</v>
      </c>
      <c r="CY19" s="875">
        <v>87.217157560000004</v>
      </c>
      <c r="CZ19" s="875">
        <v>111.3499372</v>
      </c>
      <c r="DA19" s="875">
        <v>120.62017700999999</v>
      </c>
      <c r="DB19" s="875">
        <v>142.51302297999999</v>
      </c>
      <c r="DC19" s="875">
        <f>+DC17-DC18</f>
        <v>147.81340186</v>
      </c>
      <c r="DD19" s="875">
        <v>177.54779783000001</v>
      </c>
      <c r="DE19" s="875">
        <v>147.48767239</v>
      </c>
      <c r="DF19" s="875">
        <v>156.21255044</v>
      </c>
      <c r="DG19" s="875">
        <f>+DG17-DG18</f>
        <v>201.49308773000001</v>
      </c>
      <c r="DH19" s="875">
        <v>211.80160481000001</v>
      </c>
      <c r="DI19" s="875">
        <f>+DI17-DI18</f>
        <v>217.63200141000002</v>
      </c>
      <c r="DJ19" s="875">
        <v>237.50810539</v>
      </c>
      <c r="DK19" s="875">
        <v>271.51608408999999</v>
      </c>
      <c r="DL19" s="875">
        <v>268.67670730000003</v>
      </c>
      <c r="DM19" s="875">
        <v>268.34139633999996</v>
      </c>
      <c r="DN19" s="875">
        <f>+DN17-DN18</f>
        <v>308.92666658999997</v>
      </c>
      <c r="DO19" s="875">
        <f>+DO17-DO18</f>
        <v>291.53505425999998</v>
      </c>
      <c r="DP19" s="875">
        <f>+DP17-DP18</f>
        <v>292.91112528999997</v>
      </c>
      <c r="DQ19" s="875">
        <f>+DQ17-DQ18</f>
        <v>216.27445354</v>
      </c>
      <c r="DR19" s="875">
        <v>194.09502486</v>
      </c>
      <c r="DS19" s="875">
        <v>201.89254996</v>
      </c>
      <c r="DT19" s="875">
        <v>215.33543956</v>
      </c>
      <c r="DU19" s="875">
        <f>+DU17-DU18</f>
        <v>219.00637374999999</v>
      </c>
      <c r="DV19" s="875">
        <f>+DV17-DV18</f>
        <v>217.1744779</v>
      </c>
      <c r="DW19" s="875">
        <v>224.48313843</v>
      </c>
      <c r="DX19" s="875">
        <v>190.51161604999999</v>
      </c>
      <c r="DY19" s="875">
        <v>172.14346524000001</v>
      </c>
      <c r="DZ19" s="875">
        <f>+DZ17-DZ18</f>
        <v>172.06454463</v>
      </c>
      <c r="EA19" s="875">
        <v>160.13236111000001</v>
      </c>
      <c r="EB19" s="875">
        <v>168.84824827</v>
      </c>
      <c r="EC19" s="875">
        <v>150.13988184000002</v>
      </c>
      <c r="ED19" s="875">
        <v>162.51995020000001</v>
      </c>
      <c r="EE19" s="875">
        <v>156.20188049000001</v>
      </c>
      <c r="EF19" s="875">
        <v>192.82187687999999</v>
      </c>
      <c r="EG19" s="875">
        <v>209.12804287</v>
      </c>
      <c r="EH19" s="875">
        <v>208.18267209000001</v>
      </c>
      <c r="EI19" s="875">
        <v>205.6205052</v>
      </c>
      <c r="EJ19" s="875">
        <f>+EJ17-EJ18</f>
        <v>231.37961440999999</v>
      </c>
      <c r="EK19" s="875">
        <v>177.43722801000001</v>
      </c>
      <c r="EL19" s="875">
        <v>213.55706054999999</v>
      </c>
      <c r="EM19" s="875">
        <v>293.12959756999999</v>
      </c>
      <c r="EN19" s="875">
        <f>+EN17-EN18</f>
        <v>306.04228871999999</v>
      </c>
      <c r="EO19" s="875">
        <v>235.00755088</v>
      </c>
      <c r="EP19" s="875">
        <v>222.20997020000001</v>
      </c>
      <c r="EQ19" s="875">
        <v>186.21458906000001</v>
      </c>
      <c r="ER19" s="875">
        <v>203.70261316</v>
      </c>
      <c r="ES19" s="875">
        <v>213.02552937999999</v>
      </c>
      <c r="ET19" s="875">
        <f>+ET17-ET18</f>
        <v>214.37960244000001</v>
      </c>
      <c r="EU19" s="1924" t="s">
        <v>4085</v>
      </c>
      <c r="EV19" s="339"/>
      <c r="EW19" s="339"/>
      <c r="EX19" s="339"/>
      <c r="EY19" s="339"/>
      <c r="EZ19" s="342"/>
      <c r="FA19" s="339"/>
      <c r="FB19" s="339"/>
      <c r="FC19" s="339"/>
      <c r="FD19" s="339"/>
      <c r="FE19" s="339"/>
      <c r="FF19" s="339"/>
      <c r="FG19" s="339"/>
      <c r="FH19" s="339"/>
      <c r="FI19" s="339"/>
      <c r="FJ19" s="339"/>
      <c r="FK19" s="339"/>
      <c r="FL19" s="339"/>
      <c r="FM19" s="339"/>
      <c r="FN19" s="339"/>
      <c r="FO19" s="339"/>
      <c r="FP19" s="339"/>
      <c r="FQ19" s="339"/>
      <c r="FR19" s="339"/>
      <c r="FS19" s="339"/>
      <c r="FT19" s="339"/>
      <c r="FU19" s="339"/>
      <c r="FV19" s="339"/>
      <c r="FW19" s="339"/>
      <c r="FX19" s="339"/>
      <c r="FY19" s="339"/>
      <c r="FZ19" s="339"/>
      <c r="GA19" s="339"/>
      <c r="GB19" s="339"/>
      <c r="GC19" s="339"/>
      <c r="GD19" s="339"/>
      <c r="GE19" s="339"/>
      <c r="GF19" s="339"/>
      <c r="GG19" s="339"/>
      <c r="GH19" s="339"/>
      <c r="GI19" s="339"/>
      <c r="GJ19" s="339"/>
      <c r="GK19" s="339"/>
      <c r="GL19" s="339"/>
      <c r="GM19" s="339"/>
      <c r="GN19" s="339"/>
      <c r="GO19" s="339"/>
      <c r="GP19" s="339"/>
      <c r="GQ19" s="339"/>
      <c r="GR19" s="339"/>
      <c r="GS19" s="339"/>
      <c r="GT19" s="339"/>
      <c r="GU19" s="339"/>
      <c r="GV19" s="339"/>
      <c r="GW19" s="339"/>
      <c r="GX19" s="339"/>
      <c r="GY19" s="339"/>
      <c r="GZ19" s="339"/>
      <c r="HA19" s="339"/>
      <c r="HB19" s="339"/>
      <c r="HC19" s="339"/>
      <c r="HD19" s="339"/>
      <c r="HE19" s="339"/>
      <c r="HF19" s="339"/>
      <c r="HG19" s="339"/>
      <c r="HH19" s="339"/>
      <c r="HI19" s="339"/>
      <c r="HJ19" s="339"/>
      <c r="HK19" s="339"/>
      <c r="HL19" s="339"/>
      <c r="HM19" s="339"/>
      <c r="HN19" s="339"/>
      <c r="HO19" s="339"/>
      <c r="HP19" s="339"/>
      <c r="HQ19" s="339"/>
      <c r="HR19" s="339"/>
      <c r="HS19" s="339"/>
      <c r="HT19" s="339"/>
      <c r="HU19" s="339"/>
      <c r="HV19" s="339"/>
      <c r="HW19" s="339"/>
      <c r="HX19" s="339"/>
      <c r="HY19" s="339"/>
      <c r="HZ19" s="339"/>
      <c r="IA19" s="339"/>
      <c r="IB19" s="339"/>
      <c r="IC19" s="339"/>
      <c r="ID19" s="339"/>
      <c r="IE19" s="339"/>
      <c r="IF19" s="339"/>
      <c r="IG19" s="339"/>
      <c r="IH19" s="339"/>
      <c r="II19" s="339"/>
      <c r="IJ19" s="339"/>
      <c r="IK19" s="339"/>
      <c r="IL19" s="339"/>
      <c r="IM19" s="339"/>
      <c r="IN19" s="339"/>
      <c r="IO19" s="339"/>
      <c r="IP19" s="339"/>
      <c r="IQ19" s="339"/>
      <c r="IR19" s="339"/>
      <c r="IS19" s="339"/>
      <c r="IT19" s="339"/>
      <c r="IU19" s="339"/>
      <c r="IV19" s="339"/>
      <c r="IW19" s="339"/>
      <c r="IX19" s="339"/>
      <c r="IY19" s="339"/>
      <c r="IZ19" s="339"/>
      <c r="JA19" s="339"/>
      <c r="JB19" s="339"/>
      <c r="JC19" s="339"/>
      <c r="JD19" s="339"/>
      <c r="JE19" s="339"/>
      <c r="JF19" s="339"/>
      <c r="JG19" s="339"/>
      <c r="JH19" s="339"/>
      <c r="JI19" s="339"/>
      <c r="JJ19" s="339"/>
      <c r="JK19" s="339"/>
      <c r="JL19" s="339"/>
      <c r="JM19" s="339"/>
      <c r="JN19" s="339"/>
      <c r="JO19" s="339"/>
      <c r="JP19" s="339"/>
      <c r="JQ19" s="339"/>
      <c r="JR19" s="339"/>
      <c r="JS19" s="339"/>
      <c r="JT19" s="339"/>
      <c r="JU19" s="339"/>
      <c r="JV19" s="339"/>
      <c r="JW19" s="339"/>
      <c r="JX19" s="339"/>
      <c r="JY19" s="339"/>
      <c r="JZ19" s="339"/>
      <c r="KA19" s="339"/>
      <c r="KB19" s="339"/>
      <c r="KC19" s="339"/>
    </row>
    <row r="20" spans="1:289" ht="21">
      <c r="A20" s="1952"/>
      <c r="B20" s="850"/>
      <c r="C20" s="850"/>
      <c r="D20" s="850"/>
      <c r="E20" s="850"/>
      <c r="F20" s="850"/>
      <c r="G20" s="850"/>
      <c r="H20" s="850"/>
      <c r="I20" s="850"/>
      <c r="J20" s="850"/>
      <c r="K20" s="850"/>
      <c r="L20" s="850"/>
      <c r="M20" s="840"/>
      <c r="N20" s="840"/>
      <c r="O20" s="840"/>
      <c r="P20" s="840"/>
      <c r="Q20" s="840"/>
      <c r="R20" s="840"/>
      <c r="S20" s="840"/>
      <c r="T20" s="840"/>
      <c r="U20" s="840"/>
      <c r="V20" s="840"/>
      <c r="W20" s="840"/>
      <c r="X20" s="840"/>
      <c r="Y20" s="840"/>
      <c r="Z20" s="840"/>
      <c r="AA20" s="840"/>
      <c r="AB20" s="840"/>
      <c r="AC20" s="840"/>
      <c r="AD20" s="840"/>
      <c r="AE20" s="840"/>
      <c r="AF20" s="840"/>
      <c r="AG20" s="840"/>
      <c r="AH20" s="840"/>
      <c r="AI20" s="840"/>
      <c r="AJ20" s="840"/>
      <c r="AK20" s="840"/>
      <c r="AL20" s="840"/>
      <c r="AM20" s="840"/>
      <c r="AN20" s="840"/>
      <c r="AO20" s="840"/>
      <c r="AP20" s="840"/>
      <c r="AQ20" s="840"/>
      <c r="AR20" s="840"/>
      <c r="AS20" s="840"/>
      <c r="AT20" s="840"/>
      <c r="AU20" s="840"/>
      <c r="AV20" s="840"/>
      <c r="AW20" s="840"/>
      <c r="AX20" s="840"/>
      <c r="AY20" s="840"/>
      <c r="AZ20" s="840"/>
      <c r="BA20" s="840"/>
      <c r="BB20" s="840"/>
      <c r="BC20" s="840"/>
      <c r="BD20" s="840"/>
      <c r="BE20" s="840"/>
      <c r="BF20" s="840"/>
      <c r="BG20" s="840"/>
      <c r="BH20" s="885"/>
      <c r="BI20" s="874"/>
      <c r="BJ20" s="874"/>
      <c r="BK20" s="874"/>
      <c r="BL20" s="874"/>
      <c r="BM20" s="874"/>
      <c r="BN20" s="874"/>
      <c r="BO20" s="874"/>
      <c r="BP20" s="874"/>
      <c r="BQ20" s="874"/>
      <c r="BR20" s="874"/>
      <c r="BS20" s="874"/>
      <c r="BT20" s="874"/>
      <c r="BU20" s="874"/>
      <c r="BV20" s="874"/>
      <c r="BW20" s="874"/>
      <c r="BX20" s="874"/>
      <c r="BY20" s="874"/>
      <c r="BZ20" s="874"/>
      <c r="CA20" s="874"/>
      <c r="CB20" s="874"/>
      <c r="CC20" s="874"/>
      <c r="CD20" s="874"/>
      <c r="CE20" s="874"/>
      <c r="CF20" s="874"/>
      <c r="CG20" s="874"/>
      <c r="CH20" s="874"/>
      <c r="CI20" s="874"/>
      <c r="CJ20" s="874"/>
      <c r="CK20" s="874"/>
      <c r="CL20" s="874"/>
      <c r="CM20" s="874"/>
      <c r="CN20" s="874"/>
      <c r="CO20" s="874"/>
      <c r="CP20" s="874"/>
      <c r="CQ20" s="874"/>
      <c r="CR20" s="874"/>
      <c r="CS20" s="874"/>
      <c r="CT20" s="874"/>
      <c r="CU20" s="874"/>
      <c r="CV20" s="874"/>
      <c r="CW20" s="874"/>
      <c r="CX20" s="874"/>
      <c r="CY20" s="874"/>
      <c r="CZ20" s="874"/>
      <c r="DA20" s="874"/>
      <c r="DB20" s="874"/>
      <c r="DC20" s="874"/>
      <c r="DD20" s="874"/>
      <c r="DE20" s="874"/>
      <c r="DF20" s="874"/>
      <c r="DG20" s="874"/>
      <c r="DH20" s="874"/>
      <c r="DI20" s="874"/>
      <c r="DJ20" s="874"/>
      <c r="DK20" s="874"/>
      <c r="DL20" s="874"/>
      <c r="DM20" s="874"/>
      <c r="DN20" s="874"/>
      <c r="DO20" s="874"/>
      <c r="DP20" s="874"/>
      <c r="DQ20" s="874"/>
      <c r="DR20" s="874"/>
      <c r="DS20" s="874"/>
      <c r="DT20" s="874"/>
      <c r="DU20" s="874"/>
      <c r="DV20" s="874"/>
      <c r="DW20" s="874"/>
      <c r="DX20" s="874"/>
      <c r="DY20" s="874"/>
      <c r="DZ20" s="874"/>
      <c r="EA20" s="874"/>
      <c r="EB20" s="874"/>
      <c r="EC20" s="874"/>
      <c r="ED20" s="874"/>
      <c r="EE20" s="874"/>
      <c r="EF20" s="874"/>
      <c r="EG20" s="874"/>
      <c r="EH20" s="874"/>
      <c r="EI20" s="874"/>
      <c r="EJ20" s="874"/>
      <c r="EK20" s="874"/>
      <c r="EL20" s="874"/>
      <c r="EM20" s="874"/>
      <c r="EN20" s="874"/>
      <c r="EO20" s="874"/>
      <c r="EP20" s="874"/>
      <c r="EQ20" s="874"/>
      <c r="ER20" s="874"/>
      <c r="ES20" s="874"/>
      <c r="ET20" s="874"/>
      <c r="EU20" s="1922"/>
      <c r="EV20" s="339"/>
      <c r="EW20" s="339"/>
      <c r="EX20" s="339"/>
      <c r="EY20" s="339"/>
      <c r="EZ20" s="342"/>
      <c r="FA20" s="339"/>
      <c r="FB20" s="339"/>
      <c r="FC20" s="339"/>
      <c r="FD20" s="339"/>
      <c r="FE20" s="339"/>
      <c r="FF20" s="339"/>
      <c r="FG20" s="339"/>
      <c r="FH20" s="339"/>
      <c r="FI20" s="339"/>
      <c r="FJ20" s="339"/>
      <c r="FK20" s="339"/>
      <c r="FL20" s="339"/>
      <c r="FM20" s="339"/>
      <c r="FN20" s="339"/>
      <c r="FO20" s="339"/>
      <c r="FP20" s="339"/>
      <c r="FQ20" s="339"/>
      <c r="FR20" s="339"/>
      <c r="FS20" s="339"/>
      <c r="FT20" s="339"/>
      <c r="FU20" s="339"/>
      <c r="FV20" s="339"/>
      <c r="FW20" s="339"/>
      <c r="FX20" s="339"/>
      <c r="FY20" s="339"/>
      <c r="FZ20" s="339"/>
      <c r="GA20" s="339"/>
      <c r="GB20" s="339"/>
      <c r="GC20" s="339"/>
      <c r="GD20" s="339"/>
      <c r="GE20" s="339"/>
      <c r="GF20" s="339"/>
      <c r="GG20" s="339"/>
      <c r="GH20" s="339"/>
      <c r="GI20" s="339"/>
      <c r="GJ20" s="339"/>
      <c r="GK20" s="339"/>
      <c r="GL20" s="339"/>
      <c r="GM20" s="339"/>
      <c r="GN20" s="339"/>
      <c r="GO20" s="339"/>
      <c r="GP20" s="339"/>
      <c r="GQ20" s="339"/>
      <c r="GR20" s="339"/>
      <c r="GS20" s="339"/>
      <c r="GT20" s="339"/>
      <c r="GU20" s="339"/>
      <c r="GV20" s="339"/>
      <c r="GW20" s="339"/>
      <c r="GX20" s="339"/>
      <c r="GY20" s="339"/>
      <c r="GZ20" s="339"/>
      <c r="HA20" s="339"/>
      <c r="HB20" s="339"/>
      <c r="HC20" s="339"/>
      <c r="HD20" s="339"/>
      <c r="HE20" s="339"/>
      <c r="HF20" s="339"/>
      <c r="HG20" s="339"/>
      <c r="HH20" s="339"/>
      <c r="HI20" s="339"/>
      <c r="HJ20" s="339"/>
      <c r="HK20" s="339"/>
      <c r="HL20" s="339"/>
      <c r="HM20" s="339"/>
      <c r="HN20" s="339"/>
      <c r="HO20" s="339"/>
      <c r="HP20" s="339"/>
      <c r="HQ20" s="339"/>
      <c r="HR20" s="339"/>
      <c r="HS20" s="339"/>
      <c r="HT20" s="339"/>
      <c r="HU20" s="339"/>
      <c r="HV20" s="339"/>
      <c r="HW20" s="339"/>
      <c r="HX20" s="339"/>
      <c r="HY20" s="339"/>
      <c r="HZ20" s="339"/>
      <c r="IA20" s="339"/>
      <c r="IB20" s="339"/>
      <c r="IC20" s="339"/>
      <c r="ID20" s="339"/>
      <c r="IE20" s="339"/>
      <c r="IF20" s="339"/>
      <c r="IG20" s="339"/>
      <c r="IH20" s="339"/>
      <c r="II20" s="339"/>
      <c r="IJ20" s="339"/>
      <c r="IK20" s="339"/>
      <c r="IL20" s="339"/>
      <c r="IM20" s="339"/>
      <c r="IN20" s="339"/>
      <c r="IO20" s="339"/>
      <c r="IP20" s="339"/>
      <c r="IQ20" s="339"/>
      <c r="IR20" s="339"/>
      <c r="IS20" s="339"/>
      <c r="IT20" s="339"/>
      <c r="IU20" s="339"/>
      <c r="IV20" s="339"/>
      <c r="IW20" s="339"/>
      <c r="IX20" s="339"/>
      <c r="IY20" s="339"/>
      <c r="IZ20" s="339"/>
      <c r="JA20" s="339"/>
      <c r="JB20" s="339"/>
      <c r="JC20" s="339"/>
      <c r="JD20" s="339"/>
      <c r="JE20" s="339"/>
      <c r="JF20" s="339"/>
      <c r="JG20" s="339"/>
      <c r="JH20" s="339"/>
      <c r="JI20" s="339"/>
      <c r="JJ20" s="339"/>
      <c r="JK20" s="339"/>
      <c r="JL20" s="339"/>
      <c r="JM20" s="339"/>
      <c r="JN20" s="339"/>
      <c r="JO20" s="339"/>
      <c r="JP20" s="339"/>
      <c r="JQ20" s="339"/>
      <c r="JR20" s="339"/>
      <c r="JS20" s="339"/>
      <c r="JT20" s="339"/>
      <c r="JU20" s="339"/>
      <c r="JV20" s="339"/>
      <c r="JW20" s="339"/>
      <c r="JX20" s="339"/>
      <c r="JY20" s="339"/>
      <c r="JZ20" s="339"/>
      <c r="KA20" s="339"/>
      <c r="KB20" s="339"/>
      <c r="KC20" s="339"/>
    </row>
    <row r="21" spans="1:289" ht="21">
      <c r="A21" s="1952" t="s">
        <v>2757</v>
      </c>
      <c r="B21" s="851">
        <v>33.37653444</v>
      </c>
      <c r="C21" s="851">
        <v>38.284802460000002</v>
      </c>
      <c r="D21" s="851">
        <v>32.291455790000001</v>
      </c>
      <c r="E21" s="851">
        <v>32.416135570000002</v>
      </c>
      <c r="F21" s="851">
        <v>30.75529573</v>
      </c>
      <c r="G21" s="851">
        <v>26.785114499999999</v>
      </c>
      <c r="H21" s="851">
        <v>40.257966070000002</v>
      </c>
      <c r="I21" s="851">
        <v>25.524618320000002</v>
      </c>
      <c r="J21" s="851">
        <v>23.73547151</v>
      </c>
      <c r="K21" s="851">
        <v>21.414086530000002</v>
      </c>
      <c r="L21" s="851">
        <v>17.694070329999999</v>
      </c>
      <c r="M21" s="840">
        <v>19.83737352</v>
      </c>
      <c r="N21" s="843">
        <v>21.793904640000001</v>
      </c>
      <c r="O21" s="843">
        <v>22.410281809999997</v>
      </c>
      <c r="P21" s="843">
        <v>26.279781489999998</v>
      </c>
      <c r="Q21" s="843">
        <v>26.861976800000001</v>
      </c>
      <c r="R21" s="843">
        <v>26.35428954</v>
      </c>
      <c r="S21" s="843">
        <v>32.927030090000002</v>
      </c>
      <c r="T21" s="843">
        <v>28.194918090000002</v>
      </c>
      <c r="U21" s="843">
        <v>40.202615230000006</v>
      </c>
      <c r="V21" s="843">
        <v>40.777749560000004</v>
      </c>
      <c r="W21" s="843">
        <v>30.416222959999999</v>
      </c>
      <c r="X21" s="843">
        <v>30.800557510000001</v>
      </c>
      <c r="Y21" s="840">
        <v>16.047495589999997</v>
      </c>
      <c r="Z21" s="843">
        <v>18.99937899</v>
      </c>
      <c r="AA21" s="843">
        <v>149.03911939</v>
      </c>
      <c r="AB21" s="840">
        <v>196.88059850000002</v>
      </c>
      <c r="AC21" s="840">
        <v>221.39710336000002</v>
      </c>
      <c r="AD21" s="840">
        <v>284.51466966999999</v>
      </c>
      <c r="AE21" s="840">
        <v>283.28626500999997</v>
      </c>
      <c r="AF21" s="840">
        <v>287.70217503999999</v>
      </c>
      <c r="AG21" s="840">
        <v>243.57929306999998</v>
      </c>
      <c r="AH21" s="840">
        <v>248.73341655000002</v>
      </c>
      <c r="AI21" s="840">
        <v>144.26717260999999</v>
      </c>
      <c r="AJ21" s="840">
        <v>395.49787122999999</v>
      </c>
      <c r="AK21" s="840">
        <v>335.35624589999998</v>
      </c>
      <c r="AL21" s="840">
        <v>335.91709404000005</v>
      </c>
      <c r="AM21" s="840">
        <v>310.06165184000002</v>
      </c>
      <c r="AN21" s="840">
        <v>328.78853314000003</v>
      </c>
      <c r="AO21" s="840">
        <v>327.73543205999999</v>
      </c>
      <c r="AP21" s="840">
        <v>315.28356422000002</v>
      </c>
      <c r="AQ21" s="840">
        <v>328.70186964999999</v>
      </c>
      <c r="AR21" s="840">
        <v>126.96210976</v>
      </c>
      <c r="AS21" s="840">
        <v>134.66275386000001</v>
      </c>
      <c r="AT21" s="840">
        <f>AT13-AT17</f>
        <v>131.1520878</v>
      </c>
      <c r="AU21" s="840">
        <v>126.58233214000001</v>
      </c>
      <c r="AV21" s="840">
        <v>141.05486810000002</v>
      </c>
      <c r="AW21" s="840">
        <v>168.44950276999998</v>
      </c>
      <c r="AX21" s="840">
        <v>181.07556269</v>
      </c>
      <c r="AY21" s="840">
        <v>193.71882672999999</v>
      </c>
      <c r="AZ21" s="840">
        <v>187.11279551000001</v>
      </c>
      <c r="BA21" s="840">
        <v>190.51751041</v>
      </c>
      <c r="BB21" s="840">
        <v>182.86686898000002</v>
      </c>
      <c r="BC21" s="840">
        <v>69.365331400000002</v>
      </c>
      <c r="BD21" s="840">
        <v>71.811968679999993</v>
      </c>
      <c r="BE21" s="840">
        <v>48.381844450000003</v>
      </c>
      <c r="BF21" s="840">
        <v>53.189001269999999</v>
      </c>
      <c r="BG21" s="840">
        <v>52.148185300000002</v>
      </c>
      <c r="BH21" s="885">
        <v>57.076196479999986</v>
      </c>
      <c r="BI21" s="874">
        <v>27.024076859999994</v>
      </c>
      <c r="BJ21" s="874">
        <v>26.835646109999992</v>
      </c>
      <c r="BK21" s="874">
        <v>20.194845179999998</v>
      </c>
      <c r="BL21" s="874">
        <v>41.454114329999996</v>
      </c>
      <c r="BM21" s="874">
        <v>38.256200280000002</v>
      </c>
      <c r="BN21" s="874">
        <v>34.108609259999994</v>
      </c>
      <c r="BO21" s="874">
        <v>32.80005379</v>
      </c>
      <c r="BP21" s="874">
        <v>40.51487327000001</v>
      </c>
      <c r="BQ21" s="874">
        <v>41.919242210000007</v>
      </c>
      <c r="BR21" s="874">
        <v>72.674882410000009</v>
      </c>
      <c r="BS21" s="874">
        <v>77.663452250000006</v>
      </c>
      <c r="BT21" s="874">
        <v>76.840756260000006</v>
      </c>
      <c r="BU21" s="874">
        <v>80.499040890000003</v>
      </c>
      <c r="BV21" s="874">
        <v>78.535874460000002</v>
      </c>
      <c r="BW21" s="874">
        <v>81.206370919999983</v>
      </c>
      <c r="BX21" s="874">
        <v>80.624867590000008</v>
      </c>
      <c r="BY21" s="874">
        <v>82.749231499999993</v>
      </c>
      <c r="BZ21" s="874">
        <v>87.296832229999978</v>
      </c>
      <c r="CA21" s="874">
        <v>86.550527779999996</v>
      </c>
      <c r="CB21" s="874">
        <v>91.72967632000001</v>
      </c>
      <c r="CC21" s="874">
        <v>97.613311149999987</v>
      </c>
      <c r="CD21" s="874">
        <v>103.28368470999999</v>
      </c>
      <c r="CE21" s="874">
        <v>105.41648290000001</v>
      </c>
      <c r="CF21" s="874">
        <v>124.69953118999999</v>
      </c>
      <c r="CG21" s="874">
        <v>125.14757453</v>
      </c>
      <c r="CH21" s="874">
        <v>124.09281759999999</v>
      </c>
      <c r="CI21" s="874">
        <v>114.38321648000002</v>
      </c>
      <c r="CJ21" s="874">
        <v>97.390995870000012</v>
      </c>
      <c r="CK21" s="874">
        <v>103.73036064</v>
      </c>
      <c r="CL21" s="874">
        <v>66.406850140000003</v>
      </c>
      <c r="CM21" s="874">
        <v>59.213336000000005</v>
      </c>
      <c r="CN21" s="874">
        <v>57.83552091</v>
      </c>
      <c r="CO21" s="874">
        <v>54.851317640000005</v>
      </c>
      <c r="CP21" s="874">
        <v>52.559790890000002</v>
      </c>
      <c r="CQ21" s="874">
        <v>56.873876940000002</v>
      </c>
      <c r="CR21" s="874">
        <v>56.714876410000002</v>
      </c>
      <c r="CS21" s="874">
        <v>66.871358520000001</v>
      </c>
      <c r="CT21" s="874">
        <v>52.733948339999998</v>
      </c>
      <c r="CU21" s="874">
        <v>57.77523248</v>
      </c>
      <c r="CV21" s="874">
        <v>65.017339939999999</v>
      </c>
      <c r="CW21" s="874">
        <v>54.962592979999997</v>
      </c>
      <c r="CX21" s="874">
        <v>56.952730180000003</v>
      </c>
      <c r="CY21" s="874">
        <v>60.306160380000001</v>
      </c>
      <c r="CZ21" s="874">
        <v>68.957704129999996</v>
      </c>
      <c r="DA21" s="874">
        <v>86.369496580000003</v>
      </c>
      <c r="DB21" s="874">
        <v>76.966174559999999</v>
      </c>
      <c r="DC21" s="874">
        <v>82.672212459999997</v>
      </c>
      <c r="DD21" s="874">
        <v>91.63544958</v>
      </c>
      <c r="DE21" s="874">
        <v>88.014648879999996</v>
      </c>
      <c r="DF21" s="874">
        <v>85.460829070000003</v>
      </c>
      <c r="DG21" s="874">
        <v>106.74124431</v>
      </c>
      <c r="DH21" s="874">
        <v>112.19267263</v>
      </c>
      <c r="DI21" s="874">
        <v>115.13093489000001</v>
      </c>
      <c r="DJ21" s="874">
        <v>116.33238227</v>
      </c>
      <c r="DK21" s="874">
        <v>157.85827094999999</v>
      </c>
      <c r="DL21" s="874">
        <v>157.51458980000001</v>
      </c>
      <c r="DM21" s="874">
        <v>147.12645871999999</v>
      </c>
      <c r="DN21" s="874">
        <v>149.52955768000001</v>
      </c>
      <c r="DO21" s="874">
        <v>116.02097089999999</v>
      </c>
      <c r="DP21" s="874">
        <v>92.634123750000001</v>
      </c>
      <c r="DQ21" s="874">
        <v>72.727545910000003</v>
      </c>
      <c r="DR21" s="874">
        <v>70.275594290000001</v>
      </c>
      <c r="DS21" s="874">
        <v>51.223608859999999</v>
      </c>
      <c r="DT21" s="874">
        <v>55.086829389999998</v>
      </c>
      <c r="DU21" s="874">
        <v>51.365460779999999</v>
      </c>
      <c r="DV21" s="874">
        <v>30.625007109999999</v>
      </c>
      <c r="DW21" s="874">
        <v>45.003559000000003</v>
      </c>
      <c r="DX21" s="874">
        <v>44.158425520000002</v>
      </c>
      <c r="DY21" s="874">
        <v>43.863819820000003</v>
      </c>
      <c r="DZ21" s="874">
        <v>40.525794099999999</v>
      </c>
      <c r="EA21" s="874">
        <v>36.994845300000001</v>
      </c>
      <c r="EB21" s="874">
        <v>35.80398907</v>
      </c>
      <c r="EC21" s="874">
        <v>33.60448547</v>
      </c>
      <c r="ED21" s="874">
        <v>37.05325998</v>
      </c>
      <c r="EE21" s="874">
        <v>34.280295700000003</v>
      </c>
      <c r="EF21" s="874">
        <v>38.990028389999999</v>
      </c>
      <c r="EG21" s="874">
        <v>35.816342239999997</v>
      </c>
      <c r="EH21" s="874">
        <v>35.264698459999998</v>
      </c>
      <c r="EI21" s="874">
        <v>44.532926660000001</v>
      </c>
      <c r="EJ21" s="874">
        <v>42.430820429999997</v>
      </c>
      <c r="EK21" s="874">
        <v>38.850251180000001</v>
      </c>
      <c r="EL21" s="874">
        <v>37.748716590000001</v>
      </c>
      <c r="EM21" s="874">
        <v>35.162125680000003</v>
      </c>
      <c r="EN21" s="874">
        <v>28.73743966</v>
      </c>
      <c r="EO21" s="874">
        <v>17.920921329999999</v>
      </c>
      <c r="EP21" s="874">
        <v>14.35958145</v>
      </c>
      <c r="EQ21" s="874">
        <v>12.18176646</v>
      </c>
      <c r="ER21" s="874">
        <v>12.341596109999999</v>
      </c>
      <c r="ES21" s="874">
        <v>9.7602536299999993</v>
      </c>
      <c r="ET21" s="874">
        <v>10.63016174</v>
      </c>
      <c r="EU21" s="1922" t="s">
        <v>4087</v>
      </c>
      <c r="EV21" s="339"/>
      <c r="EW21" s="339"/>
      <c r="EX21" s="339"/>
      <c r="EY21" s="339"/>
      <c r="EZ21" s="342"/>
      <c r="FA21" s="339"/>
      <c r="FB21" s="339"/>
      <c r="FC21" s="339"/>
      <c r="FD21" s="339"/>
      <c r="FE21" s="339"/>
      <c r="FF21" s="339"/>
      <c r="FG21" s="339"/>
      <c r="FH21" s="339"/>
      <c r="FI21" s="339"/>
      <c r="FJ21" s="339"/>
      <c r="FK21" s="339"/>
      <c r="FL21" s="339"/>
      <c r="FM21" s="339"/>
      <c r="FN21" s="339"/>
      <c r="FO21" s="339"/>
      <c r="FP21" s="339"/>
      <c r="FQ21" s="339"/>
      <c r="FR21" s="339"/>
      <c r="FS21" s="339"/>
      <c r="FT21" s="339"/>
      <c r="FU21" s="339"/>
      <c r="FV21" s="339"/>
      <c r="FW21" s="339"/>
      <c r="FX21" s="339"/>
      <c r="FY21" s="339"/>
      <c r="FZ21" s="339"/>
      <c r="GA21" s="339"/>
      <c r="GB21" s="339"/>
      <c r="GC21" s="339"/>
      <c r="GD21" s="339"/>
      <c r="GE21" s="339"/>
      <c r="GF21" s="339"/>
      <c r="GG21" s="339"/>
      <c r="GH21" s="339"/>
      <c r="GI21" s="339"/>
      <c r="GJ21" s="339"/>
      <c r="GK21" s="339"/>
      <c r="GL21" s="339"/>
      <c r="GM21" s="339"/>
      <c r="GN21" s="339"/>
      <c r="GO21" s="339"/>
      <c r="GP21" s="339"/>
      <c r="GQ21" s="339"/>
      <c r="GR21" s="339"/>
      <c r="GS21" s="339"/>
      <c r="GT21" s="339"/>
      <c r="GU21" s="339"/>
      <c r="GV21" s="339"/>
      <c r="GW21" s="339"/>
      <c r="GX21" s="339"/>
      <c r="GY21" s="339"/>
      <c r="GZ21" s="339"/>
      <c r="HA21" s="339"/>
      <c r="HB21" s="339"/>
      <c r="HC21" s="339"/>
      <c r="HD21" s="339"/>
      <c r="HE21" s="339"/>
      <c r="HF21" s="339"/>
      <c r="HG21" s="339"/>
      <c r="HH21" s="339"/>
      <c r="HI21" s="339"/>
      <c r="HJ21" s="339"/>
      <c r="HK21" s="339"/>
      <c r="HL21" s="339"/>
      <c r="HM21" s="339"/>
      <c r="HN21" s="339"/>
      <c r="HO21" s="339"/>
      <c r="HP21" s="339"/>
      <c r="HQ21" s="339"/>
      <c r="HR21" s="339"/>
      <c r="HS21" s="339"/>
      <c r="HT21" s="339"/>
      <c r="HU21" s="339"/>
      <c r="HV21" s="339"/>
      <c r="HW21" s="339"/>
      <c r="HX21" s="339"/>
      <c r="HY21" s="339"/>
      <c r="HZ21" s="339"/>
      <c r="IA21" s="339"/>
      <c r="IB21" s="339"/>
      <c r="IC21" s="339"/>
      <c r="ID21" s="339"/>
      <c r="IE21" s="339"/>
      <c r="IF21" s="339"/>
      <c r="IG21" s="339"/>
      <c r="IH21" s="339"/>
      <c r="II21" s="339"/>
      <c r="IJ21" s="339"/>
      <c r="IK21" s="339"/>
      <c r="IL21" s="339"/>
      <c r="IM21" s="339"/>
      <c r="IN21" s="339"/>
      <c r="IO21" s="339"/>
      <c r="IP21" s="339"/>
      <c r="IQ21" s="339"/>
      <c r="IR21" s="339"/>
      <c r="IS21" s="339"/>
      <c r="IT21" s="339"/>
      <c r="IU21" s="339"/>
      <c r="IV21" s="339"/>
      <c r="IW21" s="339"/>
      <c r="IX21" s="339"/>
      <c r="IY21" s="339"/>
      <c r="IZ21" s="339"/>
      <c r="JA21" s="339"/>
      <c r="JB21" s="339"/>
      <c r="JC21" s="339"/>
      <c r="JD21" s="339"/>
      <c r="JE21" s="339"/>
      <c r="JF21" s="339"/>
      <c r="JG21" s="339"/>
      <c r="JH21" s="339"/>
      <c r="JI21" s="339"/>
      <c r="JJ21" s="339"/>
      <c r="JK21" s="339"/>
      <c r="JL21" s="339"/>
      <c r="JM21" s="339"/>
      <c r="JN21" s="339"/>
      <c r="JO21" s="339"/>
      <c r="JP21" s="339"/>
      <c r="JQ21" s="339"/>
      <c r="JR21" s="339"/>
      <c r="JS21" s="339"/>
      <c r="JT21" s="339"/>
      <c r="JU21" s="339"/>
      <c r="JV21" s="339"/>
      <c r="JW21" s="339"/>
      <c r="JX21" s="339"/>
      <c r="JY21" s="339"/>
      <c r="JZ21" s="339"/>
      <c r="KA21" s="339"/>
      <c r="KB21" s="339"/>
      <c r="KC21" s="339"/>
    </row>
    <row r="22" spans="1:289" ht="21">
      <c r="A22" s="1953" t="s">
        <v>1974</v>
      </c>
      <c r="B22" s="851">
        <v>0</v>
      </c>
      <c r="C22" s="851">
        <v>0</v>
      </c>
      <c r="D22" s="851">
        <v>0</v>
      </c>
      <c r="E22" s="851">
        <v>0</v>
      </c>
      <c r="F22" s="851">
        <v>0</v>
      </c>
      <c r="G22" s="851">
        <v>0</v>
      </c>
      <c r="H22" s="851">
        <v>0</v>
      </c>
      <c r="I22" s="851">
        <v>0</v>
      </c>
      <c r="J22" s="851">
        <v>0</v>
      </c>
      <c r="K22" s="851">
        <v>0</v>
      </c>
      <c r="L22" s="851">
        <v>0</v>
      </c>
      <c r="M22" s="843">
        <v>0</v>
      </c>
      <c r="N22" s="843">
        <v>0</v>
      </c>
      <c r="O22" s="843">
        <v>0</v>
      </c>
      <c r="P22" s="843">
        <v>0</v>
      </c>
      <c r="Q22" s="843">
        <v>0</v>
      </c>
      <c r="R22" s="843">
        <v>0</v>
      </c>
      <c r="S22" s="843">
        <v>0</v>
      </c>
      <c r="T22" s="843">
        <v>0</v>
      </c>
      <c r="U22" s="843">
        <v>9.4128000000000007</v>
      </c>
      <c r="V22" s="843">
        <v>9.4128000000000007</v>
      </c>
      <c r="W22" s="843">
        <v>7.5073355199999998</v>
      </c>
      <c r="X22" s="843">
        <v>7.0595999999999997</v>
      </c>
      <c r="Y22" s="843">
        <v>7.0595999999999997</v>
      </c>
      <c r="Z22" s="843">
        <v>7.0595999999999997</v>
      </c>
      <c r="AA22" s="843">
        <v>19.691728480000002</v>
      </c>
      <c r="AB22" s="843">
        <v>8.1338436000000005</v>
      </c>
      <c r="AC22" s="843">
        <v>29.109395120000002</v>
      </c>
      <c r="AD22" s="843">
        <v>33.557946170000001</v>
      </c>
      <c r="AE22" s="843">
        <v>33.627600119999997</v>
      </c>
      <c r="AF22" s="843">
        <v>38.619262840000005</v>
      </c>
      <c r="AG22" s="843">
        <v>42.918207899999999</v>
      </c>
      <c r="AH22" s="843">
        <v>42.900741240000002</v>
      </c>
      <c r="AI22" s="843">
        <v>42.93646948</v>
      </c>
      <c r="AJ22" s="843">
        <v>42.85653585</v>
      </c>
      <c r="AK22" s="843">
        <v>10.389203500000001</v>
      </c>
      <c r="AL22" s="843">
        <v>10.665023060000001</v>
      </c>
      <c r="AM22" s="843">
        <v>10.42984358</v>
      </c>
      <c r="AN22" s="843">
        <v>10.27394557</v>
      </c>
      <c r="AO22" s="843">
        <v>10.04143101</v>
      </c>
      <c r="AP22" s="843">
        <v>0</v>
      </c>
      <c r="AQ22" s="843">
        <v>0</v>
      </c>
      <c r="AR22" s="843">
        <v>0</v>
      </c>
      <c r="AS22" s="843">
        <v>0</v>
      </c>
      <c r="AT22" s="843">
        <f>AT14-AT18</f>
        <v>0</v>
      </c>
      <c r="AU22" s="843">
        <v>0</v>
      </c>
      <c r="AV22" s="843">
        <v>0</v>
      </c>
      <c r="AW22" s="843">
        <v>0</v>
      </c>
      <c r="AX22" s="843">
        <v>0</v>
      </c>
      <c r="AY22" s="843">
        <v>0</v>
      </c>
      <c r="AZ22" s="843">
        <v>0</v>
      </c>
      <c r="BA22" s="843">
        <v>0</v>
      </c>
      <c r="BB22" s="843">
        <v>0</v>
      </c>
      <c r="BC22" s="843">
        <v>0</v>
      </c>
      <c r="BD22" s="843">
        <v>0</v>
      </c>
      <c r="BE22" s="843">
        <v>0</v>
      </c>
      <c r="BF22" s="843">
        <v>0</v>
      </c>
      <c r="BG22" s="843">
        <v>0</v>
      </c>
      <c r="BH22" s="886">
        <v>0</v>
      </c>
      <c r="BI22" s="875">
        <v>0</v>
      </c>
      <c r="BJ22" s="875">
        <v>0</v>
      </c>
      <c r="BK22" s="875">
        <v>0</v>
      </c>
      <c r="BL22" s="875">
        <v>0</v>
      </c>
      <c r="BM22" s="875">
        <v>0</v>
      </c>
      <c r="BN22" s="875">
        <v>0</v>
      </c>
      <c r="BO22" s="875">
        <v>0</v>
      </c>
      <c r="BP22" s="875">
        <v>0</v>
      </c>
      <c r="BQ22" s="875">
        <v>0</v>
      </c>
      <c r="BR22" s="875">
        <v>0</v>
      </c>
      <c r="BS22" s="875">
        <v>0</v>
      </c>
      <c r="BT22" s="875">
        <v>0</v>
      </c>
      <c r="BU22" s="875">
        <v>0</v>
      </c>
      <c r="BV22" s="875">
        <v>0</v>
      </c>
      <c r="BW22" s="875">
        <v>0</v>
      </c>
      <c r="BX22" s="875">
        <v>0</v>
      </c>
      <c r="BY22" s="875">
        <v>0</v>
      </c>
      <c r="BZ22" s="875">
        <v>0</v>
      </c>
      <c r="CA22" s="875">
        <v>0</v>
      </c>
      <c r="CB22" s="875">
        <v>0</v>
      </c>
      <c r="CC22" s="875">
        <v>0</v>
      </c>
      <c r="CD22" s="875">
        <v>0</v>
      </c>
      <c r="CE22" s="875">
        <v>0</v>
      </c>
      <c r="CF22" s="875">
        <v>0</v>
      </c>
      <c r="CG22" s="875">
        <v>0</v>
      </c>
      <c r="CH22" s="875">
        <v>0</v>
      </c>
      <c r="CI22" s="875">
        <v>0</v>
      </c>
      <c r="CJ22" s="875">
        <v>0</v>
      </c>
      <c r="CK22" s="875">
        <v>0</v>
      </c>
      <c r="CL22" s="875">
        <v>0</v>
      </c>
      <c r="CM22" s="875">
        <v>0</v>
      </c>
      <c r="CN22" s="875">
        <v>0</v>
      </c>
      <c r="CO22" s="875">
        <v>0</v>
      </c>
      <c r="CP22" s="875">
        <v>0</v>
      </c>
      <c r="CQ22" s="875">
        <v>0</v>
      </c>
      <c r="CR22" s="875">
        <v>0</v>
      </c>
      <c r="CS22" s="875">
        <v>0</v>
      </c>
      <c r="CT22" s="875">
        <v>0</v>
      </c>
      <c r="CU22" s="875">
        <v>0</v>
      </c>
      <c r="CV22" s="875">
        <v>0</v>
      </c>
      <c r="CW22" s="875">
        <v>0</v>
      </c>
      <c r="CX22" s="875">
        <v>0</v>
      </c>
      <c r="CY22" s="875">
        <v>0</v>
      </c>
      <c r="CZ22" s="875">
        <v>0</v>
      </c>
      <c r="DA22" s="875">
        <v>0</v>
      </c>
      <c r="DB22" s="875">
        <v>0</v>
      </c>
      <c r="DC22" s="875">
        <v>0</v>
      </c>
      <c r="DD22" s="875">
        <v>0</v>
      </c>
      <c r="DE22" s="875">
        <v>0</v>
      </c>
      <c r="DF22" s="875">
        <v>0</v>
      </c>
      <c r="DG22" s="875">
        <v>0</v>
      </c>
      <c r="DH22" s="875">
        <v>0</v>
      </c>
      <c r="DI22" s="875">
        <v>0</v>
      </c>
      <c r="DJ22" s="875">
        <v>0</v>
      </c>
      <c r="DK22" s="875">
        <v>0</v>
      </c>
      <c r="DL22" s="875">
        <v>0</v>
      </c>
      <c r="DM22" s="875">
        <v>0</v>
      </c>
      <c r="DN22" s="875">
        <v>0</v>
      </c>
      <c r="DO22" s="875">
        <v>0</v>
      </c>
      <c r="DP22" s="875">
        <v>0</v>
      </c>
      <c r="DQ22" s="875">
        <v>0</v>
      </c>
      <c r="DR22" s="875">
        <v>0</v>
      </c>
      <c r="DS22" s="875">
        <v>0</v>
      </c>
      <c r="DT22" s="875">
        <v>0</v>
      </c>
      <c r="DU22" s="875">
        <v>0</v>
      </c>
      <c r="DV22" s="875">
        <v>0</v>
      </c>
      <c r="DW22" s="875">
        <v>0</v>
      </c>
      <c r="DX22" s="875">
        <v>0</v>
      </c>
      <c r="DY22" s="875">
        <v>0</v>
      </c>
      <c r="DZ22" s="875">
        <v>0</v>
      </c>
      <c r="EA22" s="875">
        <v>0</v>
      </c>
      <c r="EB22" s="875">
        <v>0</v>
      </c>
      <c r="EC22" s="875">
        <v>0</v>
      </c>
      <c r="ED22" s="875">
        <v>0</v>
      </c>
      <c r="EE22" s="875">
        <v>0</v>
      </c>
      <c r="EF22" s="875">
        <v>0</v>
      </c>
      <c r="EG22" s="875">
        <v>0</v>
      </c>
      <c r="EH22" s="875">
        <v>0</v>
      </c>
      <c r="EI22" s="875">
        <v>0</v>
      </c>
      <c r="EJ22" s="875">
        <v>0</v>
      </c>
      <c r="EK22" s="875">
        <v>0</v>
      </c>
      <c r="EL22" s="875">
        <v>0</v>
      </c>
      <c r="EM22" s="875">
        <v>0</v>
      </c>
      <c r="EN22" s="875">
        <v>0</v>
      </c>
      <c r="EO22" s="875">
        <v>0</v>
      </c>
      <c r="EP22" s="875">
        <v>0</v>
      </c>
      <c r="EQ22" s="875">
        <v>0</v>
      </c>
      <c r="ER22" s="875">
        <v>0</v>
      </c>
      <c r="ES22" s="875">
        <v>0</v>
      </c>
      <c r="ET22" s="875">
        <v>0</v>
      </c>
      <c r="EU22" s="1924" t="s">
        <v>4086</v>
      </c>
      <c r="EV22" s="339"/>
      <c r="EW22" s="339"/>
      <c r="EX22" s="339"/>
      <c r="EY22" s="339"/>
      <c r="EZ22" s="342"/>
      <c r="FA22" s="339"/>
      <c r="FB22" s="339"/>
      <c r="FC22" s="339"/>
      <c r="FD22" s="339"/>
      <c r="FE22" s="339"/>
      <c r="FF22" s="339"/>
      <c r="FG22" s="339"/>
      <c r="FH22" s="339"/>
      <c r="FI22" s="339"/>
      <c r="FJ22" s="339"/>
      <c r="FK22" s="339"/>
      <c r="FL22" s="339"/>
      <c r="FM22" s="339"/>
      <c r="FN22" s="339"/>
      <c r="FO22" s="339"/>
      <c r="FP22" s="339"/>
      <c r="FQ22" s="339"/>
      <c r="FR22" s="339"/>
      <c r="FS22" s="339"/>
      <c r="FT22" s="339"/>
      <c r="FU22" s="339"/>
      <c r="FV22" s="339"/>
      <c r="FW22" s="339"/>
      <c r="FX22" s="339"/>
      <c r="FY22" s="339"/>
      <c r="FZ22" s="339"/>
      <c r="GA22" s="339"/>
      <c r="GB22" s="339"/>
      <c r="GC22" s="339"/>
      <c r="GD22" s="339"/>
      <c r="GE22" s="339"/>
      <c r="GF22" s="339"/>
      <c r="GG22" s="339"/>
      <c r="GH22" s="339"/>
      <c r="GI22" s="339"/>
      <c r="GJ22" s="339"/>
      <c r="GK22" s="339"/>
      <c r="GL22" s="339"/>
      <c r="GM22" s="339"/>
      <c r="GN22" s="339"/>
      <c r="GO22" s="339"/>
      <c r="GP22" s="339"/>
      <c r="GQ22" s="339"/>
      <c r="GR22" s="339"/>
      <c r="GS22" s="339"/>
      <c r="GT22" s="339"/>
      <c r="GU22" s="339"/>
      <c r="GV22" s="339"/>
      <c r="GW22" s="339"/>
      <c r="GX22" s="339"/>
      <c r="GY22" s="339"/>
      <c r="GZ22" s="339"/>
      <c r="HA22" s="339"/>
      <c r="HB22" s="339"/>
      <c r="HC22" s="339"/>
      <c r="HD22" s="339"/>
      <c r="HE22" s="339"/>
      <c r="HF22" s="339"/>
      <c r="HG22" s="339"/>
      <c r="HH22" s="339"/>
      <c r="HI22" s="339"/>
      <c r="HJ22" s="339"/>
      <c r="HK22" s="339"/>
      <c r="HL22" s="339"/>
      <c r="HM22" s="339"/>
      <c r="HN22" s="339"/>
      <c r="HO22" s="339"/>
      <c r="HP22" s="339"/>
      <c r="HQ22" s="339"/>
      <c r="HR22" s="339"/>
      <c r="HS22" s="339"/>
      <c r="HT22" s="339"/>
      <c r="HU22" s="339"/>
      <c r="HV22" s="339"/>
      <c r="HW22" s="339"/>
      <c r="HX22" s="339"/>
      <c r="HY22" s="339"/>
      <c r="HZ22" s="339"/>
      <c r="IA22" s="339"/>
      <c r="IB22" s="339"/>
      <c r="IC22" s="339"/>
      <c r="ID22" s="339"/>
      <c r="IE22" s="339"/>
      <c r="IF22" s="339"/>
      <c r="IG22" s="339"/>
      <c r="IH22" s="339"/>
      <c r="II22" s="339"/>
      <c r="IJ22" s="339"/>
      <c r="IK22" s="339"/>
      <c r="IL22" s="339"/>
      <c r="IM22" s="339"/>
      <c r="IN22" s="339"/>
      <c r="IO22" s="339"/>
      <c r="IP22" s="339"/>
      <c r="IQ22" s="339"/>
      <c r="IR22" s="339"/>
      <c r="IS22" s="339"/>
      <c r="IT22" s="339"/>
      <c r="IU22" s="339"/>
      <c r="IV22" s="339"/>
      <c r="IW22" s="339"/>
      <c r="IX22" s="339"/>
      <c r="IY22" s="339"/>
      <c r="IZ22" s="339"/>
      <c r="JA22" s="339"/>
      <c r="JB22" s="339"/>
      <c r="JC22" s="339"/>
      <c r="JD22" s="339"/>
      <c r="JE22" s="339"/>
      <c r="JF22" s="339"/>
      <c r="JG22" s="339"/>
      <c r="JH22" s="339"/>
      <c r="JI22" s="339"/>
      <c r="JJ22" s="339"/>
      <c r="JK22" s="339"/>
      <c r="JL22" s="339"/>
      <c r="JM22" s="339"/>
      <c r="JN22" s="339"/>
      <c r="JO22" s="339"/>
      <c r="JP22" s="339"/>
      <c r="JQ22" s="339"/>
      <c r="JR22" s="339"/>
      <c r="JS22" s="339"/>
      <c r="JT22" s="339"/>
      <c r="JU22" s="339"/>
      <c r="JV22" s="339"/>
      <c r="JW22" s="339"/>
      <c r="JX22" s="339"/>
      <c r="JY22" s="339"/>
      <c r="JZ22" s="339"/>
      <c r="KA22" s="339"/>
      <c r="KB22" s="339"/>
      <c r="KC22" s="339"/>
    </row>
    <row r="23" spans="1:289" ht="21">
      <c r="A23" s="1953" t="s">
        <v>1975</v>
      </c>
      <c r="B23" s="850">
        <f t="shared" ref="B23:V23" si="6">+B21-B22</f>
        <v>33.37653444</v>
      </c>
      <c r="C23" s="851">
        <f t="shared" si="6"/>
        <v>38.284802460000002</v>
      </c>
      <c r="D23" s="851">
        <f t="shared" si="6"/>
        <v>32.291455790000001</v>
      </c>
      <c r="E23" s="851">
        <f t="shared" si="6"/>
        <v>32.416135570000002</v>
      </c>
      <c r="F23" s="851">
        <f t="shared" si="6"/>
        <v>30.75529573</v>
      </c>
      <c r="G23" s="851">
        <f t="shared" si="6"/>
        <v>26.785114499999999</v>
      </c>
      <c r="H23" s="851">
        <f t="shared" si="6"/>
        <v>40.257966070000002</v>
      </c>
      <c r="I23" s="851">
        <f t="shared" si="6"/>
        <v>25.524618320000002</v>
      </c>
      <c r="J23" s="851">
        <f t="shared" si="6"/>
        <v>23.73547151</v>
      </c>
      <c r="K23" s="851">
        <f t="shared" si="6"/>
        <v>21.414086530000002</v>
      </c>
      <c r="L23" s="851">
        <f t="shared" si="6"/>
        <v>17.694070329999999</v>
      </c>
      <c r="M23" s="843">
        <f t="shared" si="6"/>
        <v>19.83737352</v>
      </c>
      <c r="N23" s="843">
        <f t="shared" si="6"/>
        <v>21.793904640000001</v>
      </c>
      <c r="O23" s="843">
        <f t="shared" si="6"/>
        <v>22.410281809999997</v>
      </c>
      <c r="P23" s="840">
        <f t="shared" si="6"/>
        <v>26.279781489999998</v>
      </c>
      <c r="Q23" s="840">
        <f t="shared" si="6"/>
        <v>26.861976800000001</v>
      </c>
      <c r="R23" s="840">
        <f t="shared" si="6"/>
        <v>26.35428954</v>
      </c>
      <c r="S23" s="840">
        <f t="shared" si="6"/>
        <v>32.927030090000002</v>
      </c>
      <c r="T23" s="840">
        <f t="shared" si="6"/>
        <v>28.194918090000002</v>
      </c>
      <c r="U23" s="840">
        <f t="shared" si="6"/>
        <v>30.789815230000006</v>
      </c>
      <c r="V23" s="840">
        <f t="shared" si="6"/>
        <v>31.364949560000003</v>
      </c>
      <c r="W23" s="840">
        <v>22.908887440000001</v>
      </c>
      <c r="X23" s="840">
        <v>23.740957510000001</v>
      </c>
      <c r="Y23" s="843">
        <v>8.9878955899999973</v>
      </c>
      <c r="Z23" s="840">
        <v>11.939778990000001</v>
      </c>
      <c r="AA23" s="843">
        <v>129.34739091</v>
      </c>
      <c r="AB23" s="843">
        <f>+AB21-AB22</f>
        <v>188.74675490000001</v>
      </c>
      <c r="AC23" s="843">
        <v>192.28770824000003</v>
      </c>
      <c r="AD23" s="843">
        <v>250.95672349999998</v>
      </c>
      <c r="AE23" s="843">
        <v>249.65866488999995</v>
      </c>
      <c r="AF23" s="843">
        <v>249.08291219999998</v>
      </c>
      <c r="AG23" s="843">
        <v>200.66108516999998</v>
      </c>
      <c r="AH23" s="843">
        <f>+AH21-AH22</f>
        <v>205.83267531000001</v>
      </c>
      <c r="AI23" s="843">
        <v>101.33070312999999</v>
      </c>
      <c r="AJ23" s="843">
        <f>+AJ21-AJ22</f>
        <v>352.64133537999999</v>
      </c>
      <c r="AK23" s="843">
        <f>+AK21-AK22</f>
        <v>324.96704239999997</v>
      </c>
      <c r="AL23" s="843">
        <v>325.25207098000004</v>
      </c>
      <c r="AM23" s="843">
        <f>+AM21-AM22</f>
        <v>299.63180826000001</v>
      </c>
      <c r="AN23" s="843">
        <f>+AN21-AN22</f>
        <v>318.51458757</v>
      </c>
      <c r="AO23" s="843">
        <f>+AO21-AO22</f>
        <v>317.69400105</v>
      </c>
      <c r="AP23" s="843">
        <f>+AP21-AP22</f>
        <v>315.28356422000002</v>
      </c>
      <c r="AQ23" s="843">
        <v>328.70186964999999</v>
      </c>
      <c r="AR23" s="843">
        <v>126.96210976</v>
      </c>
      <c r="AS23" s="843">
        <f>+AS21-AS22</f>
        <v>134.66275386000001</v>
      </c>
      <c r="AT23" s="843">
        <f>AT15-AT19</f>
        <v>131.1520878</v>
      </c>
      <c r="AU23" s="843">
        <v>126.58233214000003</v>
      </c>
      <c r="AV23" s="843">
        <v>141.05486810000002</v>
      </c>
      <c r="AW23" s="843">
        <v>168.44950276999998</v>
      </c>
      <c r="AX23" s="843">
        <v>181.07556269</v>
      </c>
      <c r="AY23" s="843">
        <v>193.71882672999999</v>
      </c>
      <c r="AZ23" s="843">
        <v>187.11279551000001</v>
      </c>
      <c r="BA23" s="843">
        <v>190.51751041</v>
      </c>
      <c r="BB23" s="843">
        <v>182.86686898000002</v>
      </c>
      <c r="BC23" s="843">
        <v>69.365331400000002</v>
      </c>
      <c r="BD23" s="843">
        <f>+BD21-BD22</f>
        <v>71.811968679999993</v>
      </c>
      <c r="BE23" s="843">
        <v>48.381844450000003</v>
      </c>
      <c r="BF23" s="843">
        <v>53.189001269999999</v>
      </c>
      <c r="BG23" s="843">
        <v>52.148185300000002</v>
      </c>
      <c r="BH23" s="886">
        <v>57.076196479999986</v>
      </c>
      <c r="BI23" s="875">
        <v>27.024076859999994</v>
      </c>
      <c r="BJ23" s="875">
        <v>26.835646109999992</v>
      </c>
      <c r="BK23" s="875">
        <v>20.194845179999998</v>
      </c>
      <c r="BL23" s="875">
        <v>41.454114329999996</v>
      </c>
      <c r="BM23" s="875">
        <v>38.256200280000002</v>
      </c>
      <c r="BN23" s="875">
        <v>34.108609259999994</v>
      </c>
      <c r="BO23" s="875">
        <v>32.80005379</v>
      </c>
      <c r="BP23" s="875">
        <v>40.51487327000001</v>
      </c>
      <c r="BQ23" s="875">
        <v>41.919242210000007</v>
      </c>
      <c r="BR23" s="875">
        <v>72.674882410000009</v>
      </c>
      <c r="BS23" s="875">
        <v>77.663452250000006</v>
      </c>
      <c r="BT23" s="875">
        <v>76.840756260000006</v>
      </c>
      <c r="BU23" s="875">
        <v>80.499040890000003</v>
      </c>
      <c r="BV23" s="875">
        <v>78.535874460000002</v>
      </c>
      <c r="BW23" s="875">
        <v>81.206370919999983</v>
      </c>
      <c r="BX23" s="875">
        <v>80.624867590000008</v>
      </c>
      <c r="BY23" s="875">
        <v>82.749231499999993</v>
      </c>
      <c r="BZ23" s="875">
        <v>87.296832229999978</v>
      </c>
      <c r="CA23" s="875">
        <v>86.550527779999996</v>
      </c>
      <c r="CB23" s="875">
        <v>91.72967632000001</v>
      </c>
      <c r="CC23" s="875">
        <v>97.613311149999987</v>
      </c>
      <c r="CD23" s="875">
        <v>103.28368470999999</v>
      </c>
      <c r="CE23" s="875">
        <f t="shared" ref="CE23:CP23" si="7">+CE21-CE22</f>
        <v>105.41648290000001</v>
      </c>
      <c r="CF23" s="875">
        <f t="shared" si="7"/>
        <v>124.69953118999999</v>
      </c>
      <c r="CG23" s="875">
        <f t="shared" si="7"/>
        <v>125.14757453</v>
      </c>
      <c r="CH23" s="875">
        <f t="shared" si="7"/>
        <v>124.09281759999999</v>
      </c>
      <c r="CI23" s="875">
        <f t="shared" si="7"/>
        <v>114.38321648000002</v>
      </c>
      <c r="CJ23" s="875">
        <f t="shared" si="7"/>
        <v>97.390995870000012</v>
      </c>
      <c r="CK23" s="875">
        <f t="shared" si="7"/>
        <v>103.73036064</v>
      </c>
      <c r="CL23" s="875">
        <f t="shared" si="7"/>
        <v>66.406850140000003</v>
      </c>
      <c r="CM23" s="875">
        <f t="shared" si="7"/>
        <v>59.213336000000005</v>
      </c>
      <c r="CN23" s="875">
        <f t="shared" si="7"/>
        <v>57.83552091</v>
      </c>
      <c r="CO23" s="875">
        <f t="shared" si="7"/>
        <v>54.851317640000005</v>
      </c>
      <c r="CP23" s="875">
        <f t="shared" si="7"/>
        <v>52.559790890000002</v>
      </c>
      <c r="CQ23" s="875">
        <f>+CQ21-CQ22</f>
        <v>56.873876940000002</v>
      </c>
      <c r="CR23" s="875">
        <f>+CR21-CR22</f>
        <v>56.714876410000002</v>
      </c>
      <c r="CS23" s="875">
        <f>+CS21-CS22</f>
        <v>66.871358520000001</v>
      </c>
      <c r="CT23" s="875">
        <v>52.733948339999998</v>
      </c>
      <c r="CU23" s="875">
        <f>+CU21-CU22</f>
        <v>57.77523248</v>
      </c>
      <c r="CV23" s="875">
        <v>65.017339939999999</v>
      </c>
      <c r="CW23" s="875">
        <v>54.962592979999997</v>
      </c>
      <c r="CX23" s="875">
        <v>56.952730180000003</v>
      </c>
      <c r="CY23" s="875">
        <v>60.306160380000001</v>
      </c>
      <c r="CZ23" s="875">
        <v>68.957704129999996</v>
      </c>
      <c r="DA23" s="875">
        <v>86.369496580000003</v>
      </c>
      <c r="DB23" s="875">
        <v>76.966174559999999</v>
      </c>
      <c r="DC23" s="875">
        <f>+DC21-DC22</f>
        <v>82.672212459999997</v>
      </c>
      <c r="DD23" s="875">
        <v>91.63544958</v>
      </c>
      <c r="DE23" s="875">
        <v>88.014648879999996</v>
      </c>
      <c r="DF23" s="875">
        <v>85.460829070000003</v>
      </c>
      <c r="DG23" s="875">
        <f>+DG21-DG22</f>
        <v>106.74124431</v>
      </c>
      <c r="DH23" s="875">
        <v>112.19267263</v>
      </c>
      <c r="DI23" s="875">
        <f>+DI21-DI22</f>
        <v>115.13093489000001</v>
      </c>
      <c r="DJ23" s="875">
        <v>116.33238227</v>
      </c>
      <c r="DK23" s="875">
        <v>157.85827094999999</v>
      </c>
      <c r="DL23" s="875">
        <v>157.51458980000001</v>
      </c>
      <c r="DM23" s="875">
        <v>147.12645871999999</v>
      </c>
      <c r="DN23" s="875">
        <f>+DN21-DN22</f>
        <v>149.52955768000001</v>
      </c>
      <c r="DO23" s="875">
        <f>+DO21-DO22</f>
        <v>116.02097089999999</v>
      </c>
      <c r="DP23" s="875">
        <f>+DP21-DP22</f>
        <v>92.634123750000001</v>
      </c>
      <c r="DQ23" s="875">
        <f>+DQ21-DQ22</f>
        <v>72.727545910000003</v>
      </c>
      <c r="DR23" s="875">
        <v>70.275594290000001</v>
      </c>
      <c r="DS23" s="875">
        <v>51.223608859999999</v>
      </c>
      <c r="DT23" s="875">
        <v>55.086829389999998</v>
      </c>
      <c r="DU23" s="875">
        <f>+DU21-DU22</f>
        <v>51.365460779999999</v>
      </c>
      <c r="DV23" s="875">
        <f>+DV21-DV22</f>
        <v>30.625007109999999</v>
      </c>
      <c r="DW23" s="875">
        <v>45.003559000000003</v>
      </c>
      <c r="DX23" s="875">
        <v>44.158425520000002</v>
      </c>
      <c r="DY23" s="875">
        <v>43.863819820000003</v>
      </c>
      <c r="DZ23" s="875">
        <f>+DZ21-DZ22</f>
        <v>40.525794099999999</v>
      </c>
      <c r="EA23" s="875">
        <v>36.994845300000001</v>
      </c>
      <c r="EB23" s="875">
        <v>35.80398907</v>
      </c>
      <c r="EC23" s="875">
        <v>33.60448547</v>
      </c>
      <c r="ED23" s="875">
        <v>37.05325998</v>
      </c>
      <c r="EE23" s="875">
        <v>34.280295700000003</v>
      </c>
      <c r="EF23" s="875">
        <v>38.990028389999999</v>
      </c>
      <c r="EG23" s="875">
        <v>35.816342239999997</v>
      </c>
      <c r="EH23" s="875">
        <v>35.264698459999998</v>
      </c>
      <c r="EI23" s="875">
        <v>44.532926660000001</v>
      </c>
      <c r="EJ23" s="875">
        <f>+EJ21-EJ22</f>
        <v>42.430820429999997</v>
      </c>
      <c r="EK23" s="875">
        <v>38.850251180000001</v>
      </c>
      <c r="EL23" s="875">
        <v>37.748716590000001</v>
      </c>
      <c r="EM23" s="875">
        <v>35.162125680000003</v>
      </c>
      <c r="EN23" s="875">
        <f>+EN21-EN22</f>
        <v>28.73743966</v>
      </c>
      <c r="EO23" s="875">
        <v>17.920921329999999</v>
      </c>
      <c r="EP23" s="875">
        <v>14.35958145</v>
      </c>
      <c r="EQ23" s="875">
        <v>12.18176646</v>
      </c>
      <c r="ER23" s="875">
        <v>12.341596109999999</v>
      </c>
      <c r="ES23" s="875">
        <v>9.7602536299999993</v>
      </c>
      <c r="ET23" s="875">
        <f>+ET21-ET22</f>
        <v>10.63016174</v>
      </c>
      <c r="EU23" s="1924" t="s">
        <v>4085</v>
      </c>
      <c r="EV23" s="339"/>
      <c r="EW23" s="339"/>
      <c r="EX23" s="339"/>
      <c r="EY23" s="339"/>
      <c r="EZ23" s="342"/>
      <c r="FA23" s="339"/>
      <c r="FB23" s="339"/>
      <c r="FC23" s="339"/>
      <c r="FD23" s="339"/>
      <c r="FE23" s="339"/>
      <c r="FF23" s="339"/>
      <c r="FG23" s="339"/>
      <c r="FH23" s="339"/>
      <c r="FI23" s="339"/>
      <c r="FJ23" s="339"/>
      <c r="FK23" s="339"/>
      <c r="FL23" s="339"/>
      <c r="FM23" s="339"/>
      <c r="FN23" s="339"/>
      <c r="FO23" s="339"/>
      <c r="FP23" s="339"/>
      <c r="FQ23" s="339"/>
      <c r="FR23" s="339"/>
      <c r="FS23" s="339"/>
      <c r="FT23" s="339"/>
      <c r="FU23" s="339"/>
      <c r="FV23" s="339"/>
      <c r="FW23" s="339"/>
      <c r="FX23" s="339"/>
      <c r="FY23" s="339"/>
      <c r="FZ23" s="339"/>
      <c r="GA23" s="339"/>
      <c r="GB23" s="339"/>
      <c r="GC23" s="339"/>
      <c r="GD23" s="339"/>
      <c r="GE23" s="339"/>
      <c r="GF23" s="339"/>
      <c r="GG23" s="339"/>
      <c r="GH23" s="339"/>
      <c r="GI23" s="339"/>
      <c r="GJ23" s="339"/>
      <c r="GK23" s="339"/>
      <c r="GL23" s="339"/>
      <c r="GM23" s="339"/>
      <c r="GN23" s="339"/>
      <c r="GO23" s="339"/>
      <c r="GP23" s="339"/>
      <c r="GQ23" s="339"/>
      <c r="GR23" s="339"/>
      <c r="GS23" s="339"/>
      <c r="GT23" s="339"/>
      <c r="GU23" s="339"/>
      <c r="GV23" s="339"/>
      <c r="GW23" s="339"/>
      <c r="GX23" s="339"/>
      <c r="GY23" s="339"/>
      <c r="GZ23" s="339"/>
      <c r="HA23" s="339"/>
      <c r="HB23" s="339"/>
      <c r="HC23" s="339"/>
      <c r="HD23" s="339"/>
      <c r="HE23" s="339"/>
      <c r="HF23" s="339"/>
      <c r="HG23" s="339"/>
      <c r="HH23" s="339"/>
      <c r="HI23" s="339"/>
      <c r="HJ23" s="339"/>
      <c r="HK23" s="339"/>
      <c r="HL23" s="339"/>
      <c r="HM23" s="339"/>
      <c r="HN23" s="339"/>
      <c r="HO23" s="339"/>
      <c r="HP23" s="339"/>
      <c r="HQ23" s="339"/>
      <c r="HR23" s="339"/>
      <c r="HS23" s="339"/>
      <c r="HT23" s="339"/>
      <c r="HU23" s="339"/>
      <c r="HV23" s="339"/>
      <c r="HW23" s="339"/>
      <c r="HX23" s="339"/>
      <c r="HY23" s="339"/>
      <c r="HZ23" s="339"/>
      <c r="IA23" s="339"/>
      <c r="IB23" s="339"/>
      <c r="IC23" s="339"/>
      <c r="ID23" s="339"/>
      <c r="IE23" s="339"/>
      <c r="IF23" s="339"/>
      <c r="IG23" s="339"/>
      <c r="IH23" s="339"/>
      <c r="II23" s="339"/>
      <c r="IJ23" s="339"/>
      <c r="IK23" s="339"/>
      <c r="IL23" s="339"/>
      <c r="IM23" s="339"/>
      <c r="IN23" s="339"/>
      <c r="IO23" s="339"/>
      <c r="IP23" s="339"/>
      <c r="IQ23" s="339"/>
      <c r="IR23" s="339"/>
      <c r="IS23" s="339"/>
      <c r="IT23" s="339"/>
      <c r="IU23" s="339"/>
      <c r="IV23" s="339"/>
      <c r="IW23" s="339"/>
      <c r="IX23" s="339"/>
      <c r="IY23" s="339"/>
      <c r="IZ23" s="339"/>
      <c r="JA23" s="339"/>
      <c r="JB23" s="339"/>
      <c r="JC23" s="339"/>
      <c r="JD23" s="339"/>
      <c r="JE23" s="339"/>
      <c r="JF23" s="339"/>
      <c r="JG23" s="339"/>
      <c r="JH23" s="339"/>
      <c r="JI23" s="339"/>
      <c r="JJ23" s="339"/>
      <c r="JK23" s="339"/>
      <c r="JL23" s="339"/>
      <c r="JM23" s="339"/>
      <c r="JN23" s="339"/>
      <c r="JO23" s="339"/>
      <c r="JP23" s="339"/>
      <c r="JQ23" s="339"/>
      <c r="JR23" s="339"/>
      <c r="JS23" s="339"/>
      <c r="JT23" s="339"/>
      <c r="JU23" s="339"/>
      <c r="JV23" s="339"/>
      <c r="JW23" s="339"/>
      <c r="JX23" s="339"/>
      <c r="JY23" s="339"/>
      <c r="JZ23" s="339"/>
      <c r="KA23" s="339"/>
      <c r="KB23" s="339"/>
      <c r="KC23" s="339"/>
    </row>
    <row r="24" spans="1:289" ht="21">
      <c r="A24" s="1929"/>
      <c r="B24" s="851"/>
      <c r="C24" s="851"/>
      <c r="D24" s="851"/>
      <c r="E24" s="851"/>
      <c r="F24" s="851"/>
      <c r="G24" s="851"/>
      <c r="H24" s="851"/>
      <c r="I24" s="851"/>
      <c r="J24" s="851"/>
      <c r="K24" s="851"/>
      <c r="L24" s="851"/>
      <c r="M24" s="843"/>
      <c r="N24" s="843"/>
      <c r="O24" s="843"/>
      <c r="P24" s="843"/>
      <c r="Q24" s="843"/>
      <c r="R24" s="843"/>
      <c r="S24" s="843"/>
      <c r="T24" s="843"/>
      <c r="U24" s="843"/>
      <c r="V24" s="843"/>
      <c r="W24" s="843"/>
      <c r="X24" s="843"/>
      <c r="Y24" s="843"/>
      <c r="Z24" s="843"/>
      <c r="AA24" s="843"/>
      <c r="AB24" s="843"/>
      <c r="AC24" s="843"/>
      <c r="AD24" s="843"/>
      <c r="AE24" s="843"/>
      <c r="AF24" s="843"/>
      <c r="AG24" s="843"/>
      <c r="AH24" s="843"/>
      <c r="AI24" s="843"/>
      <c r="AJ24" s="843"/>
      <c r="AK24" s="843"/>
      <c r="AL24" s="843"/>
      <c r="AM24" s="843"/>
      <c r="AN24" s="843"/>
      <c r="AO24" s="843"/>
      <c r="AP24" s="843"/>
      <c r="AQ24" s="843"/>
      <c r="AR24" s="843"/>
      <c r="AS24" s="843"/>
      <c r="AT24" s="843"/>
      <c r="AU24" s="843"/>
      <c r="AV24" s="843"/>
      <c r="AW24" s="843"/>
      <c r="AX24" s="843"/>
      <c r="AY24" s="843"/>
      <c r="AZ24" s="843"/>
      <c r="BA24" s="843"/>
      <c r="BB24" s="843"/>
      <c r="BC24" s="843"/>
      <c r="BD24" s="843"/>
      <c r="BE24" s="843"/>
      <c r="BF24" s="843"/>
      <c r="BG24" s="843"/>
      <c r="BH24" s="886"/>
      <c r="BI24" s="875"/>
      <c r="BJ24" s="875"/>
      <c r="BK24" s="875"/>
      <c r="BL24" s="875"/>
      <c r="BM24" s="875"/>
      <c r="BN24" s="875"/>
      <c r="BO24" s="875"/>
      <c r="BP24" s="875"/>
      <c r="BQ24" s="875"/>
      <c r="BR24" s="875"/>
      <c r="BS24" s="875"/>
      <c r="BT24" s="875"/>
      <c r="BU24" s="875"/>
      <c r="BV24" s="875"/>
      <c r="BW24" s="875"/>
      <c r="BX24" s="875"/>
      <c r="BY24" s="875"/>
      <c r="BZ24" s="875"/>
      <c r="CA24" s="875"/>
      <c r="CB24" s="875"/>
      <c r="CC24" s="875"/>
      <c r="CD24" s="875"/>
      <c r="CE24" s="875"/>
      <c r="CF24" s="875"/>
      <c r="CG24" s="875"/>
      <c r="CH24" s="875"/>
      <c r="CI24" s="875"/>
      <c r="CJ24" s="875"/>
      <c r="CK24" s="875"/>
      <c r="CL24" s="875"/>
      <c r="CM24" s="875"/>
      <c r="CN24" s="875"/>
      <c r="CO24" s="875"/>
      <c r="CP24" s="875"/>
      <c r="CQ24" s="875"/>
      <c r="CR24" s="875"/>
      <c r="CS24" s="875"/>
      <c r="CT24" s="875"/>
      <c r="CU24" s="875"/>
      <c r="CV24" s="875"/>
      <c r="CW24" s="875"/>
      <c r="CX24" s="875"/>
      <c r="CY24" s="875"/>
      <c r="CZ24" s="875"/>
      <c r="DA24" s="875"/>
      <c r="DB24" s="875"/>
      <c r="DC24" s="875"/>
      <c r="DD24" s="875"/>
      <c r="DE24" s="875"/>
      <c r="DF24" s="875"/>
      <c r="DG24" s="875"/>
      <c r="DH24" s="875"/>
      <c r="DI24" s="875"/>
      <c r="DJ24" s="875"/>
      <c r="DK24" s="875"/>
      <c r="DL24" s="875"/>
      <c r="DM24" s="875"/>
      <c r="DN24" s="875"/>
      <c r="DO24" s="875"/>
      <c r="DP24" s="875"/>
      <c r="DQ24" s="875"/>
      <c r="DR24" s="875"/>
      <c r="DS24" s="875"/>
      <c r="DT24" s="875"/>
      <c r="DU24" s="875"/>
      <c r="DV24" s="875"/>
      <c r="DW24" s="875"/>
      <c r="DX24" s="875"/>
      <c r="DY24" s="875"/>
      <c r="DZ24" s="875"/>
      <c r="EA24" s="875"/>
      <c r="EB24" s="875"/>
      <c r="EC24" s="875"/>
      <c r="ED24" s="875"/>
      <c r="EE24" s="875"/>
      <c r="EF24" s="875"/>
      <c r="EG24" s="875"/>
      <c r="EH24" s="875"/>
      <c r="EI24" s="875"/>
      <c r="EJ24" s="875"/>
      <c r="EK24" s="875"/>
      <c r="EL24" s="875"/>
      <c r="EM24" s="875"/>
      <c r="EN24" s="875"/>
      <c r="EO24" s="875"/>
      <c r="EP24" s="875"/>
      <c r="EQ24" s="875"/>
      <c r="ER24" s="875"/>
      <c r="ES24" s="875"/>
      <c r="ET24" s="875"/>
      <c r="EU24" s="1919"/>
      <c r="EV24" s="339"/>
      <c r="EW24" s="339"/>
      <c r="EX24" s="339"/>
      <c r="EY24" s="339"/>
      <c r="EZ24" s="342"/>
      <c r="FA24" s="339"/>
      <c r="FB24" s="339"/>
      <c r="FC24" s="339"/>
      <c r="FD24" s="339"/>
      <c r="FE24" s="339"/>
      <c r="FF24" s="339"/>
      <c r="FG24" s="339"/>
      <c r="FH24" s="339"/>
      <c r="FI24" s="339"/>
      <c r="FJ24" s="339"/>
      <c r="FK24" s="339"/>
      <c r="FL24" s="339"/>
      <c r="FM24" s="339"/>
      <c r="FN24" s="339"/>
      <c r="FO24" s="339"/>
      <c r="FP24" s="339"/>
      <c r="FQ24" s="339"/>
      <c r="FR24" s="339"/>
      <c r="FS24" s="339"/>
      <c r="FT24" s="339"/>
      <c r="FU24" s="339"/>
      <c r="FV24" s="339"/>
      <c r="FW24" s="339"/>
      <c r="FX24" s="339"/>
      <c r="FY24" s="339"/>
      <c r="FZ24" s="339"/>
      <c r="GA24" s="339"/>
      <c r="GB24" s="339"/>
      <c r="GC24" s="339"/>
      <c r="GD24" s="339"/>
      <c r="GE24" s="339"/>
      <c r="GF24" s="339"/>
      <c r="GG24" s="339"/>
      <c r="GH24" s="339"/>
      <c r="GI24" s="339"/>
      <c r="GJ24" s="339"/>
      <c r="GK24" s="339"/>
      <c r="GL24" s="339"/>
      <c r="GM24" s="339"/>
      <c r="GN24" s="339"/>
      <c r="GO24" s="339"/>
      <c r="GP24" s="339"/>
      <c r="GQ24" s="339"/>
      <c r="GR24" s="339"/>
      <c r="GS24" s="339"/>
      <c r="GT24" s="339"/>
      <c r="GU24" s="339"/>
      <c r="GV24" s="339"/>
      <c r="GW24" s="339"/>
      <c r="GX24" s="339"/>
      <c r="GY24" s="339"/>
      <c r="GZ24" s="339"/>
      <c r="HA24" s="339"/>
      <c r="HB24" s="339"/>
      <c r="HC24" s="339"/>
      <c r="HD24" s="339"/>
      <c r="HE24" s="339"/>
      <c r="HF24" s="339"/>
      <c r="HG24" s="339"/>
      <c r="HH24" s="339"/>
      <c r="HI24" s="339"/>
      <c r="HJ24" s="339"/>
      <c r="HK24" s="339"/>
      <c r="HL24" s="339"/>
      <c r="HM24" s="339"/>
      <c r="HN24" s="339"/>
      <c r="HO24" s="339"/>
      <c r="HP24" s="339"/>
      <c r="HQ24" s="339"/>
      <c r="HR24" s="339"/>
      <c r="HS24" s="339"/>
      <c r="HT24" s="339"/>
      <c r="HU24" s="339"/>
      <c r="HV24" s="339"/>
      <c r="HW24" s="339"/>
      <c r="HX24" s="339"/>
      <c r="HY24" s="339"/>
      <c r="HZ24" s="339"/>
      <c r="IA24" s="339"/>
      <c r="IB24" s="339"/>
      <c r="IC24" s="339"/>
      <c r="ID24" s="339"/>
      <c r="IE24" s="339"/>
      <c r="IF24" s="339"/>
      <c r="IG24" s="339"/>
      <c r="IH24" s="339"/>
      <c r="II24" s="339"/>
      <c r="IJ24" s="339"/>
      <c r="IK24" s="339"/>
      <c r="IL24" s="339"/>
      <c r="IM24" s="339"/>
      <c r="IN24" s="339"/>
      <c r="IO24" s="339"/>
      <c r="IP24" s="339"/>
      <c r="IQ24" s="339"/>
      <c r="IR24" s="339"/>
      <c r="IS24" s="339"/>
      <c r="IT24" s="339"/>
      <c r="IU24" s="339"/>
      <c r="IV24" s="339"/>
      <c r="IW24" s="339"/>
      <c r="IX24" s="339"/>
      <c r="IY24" s="339"/>
      <c r="IZ24" s="339"/>
      <c r="JA24" s="339"/>
      <c r="JB24" s="339"/>
      <c r="JC24" s="339"/>
      <c r="JD24" s="339"/>
      <c r="JE24" s="339"/>
      <c r="JF24" s="339"/>
      <c r="JG24" s="339"/>
      <c r="JH24" s="339"/>
      <c r="JI24" s="339"/>
      <c r="JJ24" s="339"/>
      <c r="JK24" s="339"/>
      <c r="JL24" s="339"/>
      <c r="JM24" s="339"/>
      <c r="JN24" s="339"/>
      <c r="JO24" s="339"/>
      <c r="JP24" s="339"/>
      <c r="JQ24" s="339"/>
      <c r="JR24" s="339"/>
      <c r="JS24" s="339"/>
      <c r="JT24" s="339"/>
      <c r="JU24" s="339"/>
      <c r="JV24" s="339"/>
      <c r="JW24" s="339"/>
      <c r="JX24" s="339"/>
      <c r="JY24" s="339"/>
      <c r="JZ24" s="339"/>
      <c r="KA24" s="339"/>
      <c r="KB24" s="339"/>
      <c r="KC24" s="339"/>
    </row>
    <row r="25" spans="1:289" ht="21">
      <c r="A25" s="1930" t="s">
        <v>2758</v>
      </c>
      <c r="B25" s="850">
        <v>907.38260177999996</v>
      </c>
      <c r="C25" s="851">
        <v>1216.3269459599999</v>
      </c>
      <c r="D25" s="851">
        <v>1290.172309</v>
      </c>
      <c r="E25" s="851">
        <v>1488.0265801500002</v>
      </c>
      <c r="F25" s="851">
        <v>1583.1148315700002</v>
      </c>
      <c r="G25" s="851">
        <v>1634.6194345700001</v>
      </c>
      <c r="H25" s="851">
        <v>1703.1266170200001</v>
      </c>
      <c r="I25" s="851">
        <v>1758.6335877900001</v>
      </c>
      <c r="J25" s="851">
        <v>1803.01118447</v>
      </c>
      <c r="K25" s="851">
        <v>1831.8652481899999</v>
      </c>
      <c r="L25" s="851">
        <v>1876.3229773</v>
      </c>
      <c r="M25" s="840">
        <v>1893.0533547099999</v>
      </c>
      <c r="N25" s="843">
        <v>1525.5075528</v>
      </c>
      <c r="O25" s="843">
        <v>1565.1347453199999</v>
      </c>
      <c r="P25" s="840">
        <v>1592.8216937200002</v>
      </c>
      <c r="Q25" s="840">
        <v>1624.4021067600002</v>
      </c>
      <c r="R25" s="840">
        <v>1694.48702862</v>
      </c>
      <c r="S25" s="840">
        <v>1752.4282320599998</v>
      </c>
      <c r="T25" s="840">
        <v>1802.5301847799999</v>
      </c>
      <c r="U25" s="840">
        <v>1851.2305950799998</v>
      </c>
      <c r="V25" s="840">
        <v>1878.1346363900002</v>
      </c>
      <c r="W25" s="840">
        <v>1903.82943017</v>
      </c>
      <c r="X25" s="840">
        <v>1957.5110684700001</v>
      </c>
      <c r="Y25" s="840">
        <v>1951.5916448400003</v>
      </c>
      <c r="Z25" s="840">
        <v>1953.8260139900001</v>
      </c>
      <c r="AA25" s="843">
        <v>1516.6256409499999</v>
      </c>
      <c r="AB25" s="840">
        <v>1470.5935772600001</v>
      </c>
      <c r="AC25" s="840">
        <v>1443.7248342299999</v>
      </c>
      <c r="AD25" s="840">
        <v>1456.0297844899999</v>
      </c>
      <c r="AE25" s="840">
        <v>1447.9805996099999</v>
      </c>
      <c r="AF25" s="840">
        <v>1465.9663845</v>
      </c>
      <c r="AG25" s="840">
        <v>1454.7307928799999</v>
      </c>
      <c r="AH25" s="840">
        <v>1437.1026184300003</v>
      </c>
      <c r="AI25" s="840">
        <v>1443.3831003600001</v>
      </c>
      <c r="AJ25" s="840">
        <v>1473.3754530799999</v>
      </c>
      <c r="AK25" s="840">
        <v>1725.9187787899998</v>
      </c>
      <c r="AL25" s="840">
        <v>1764.0287047500001</v>
      </c>
      <c r="AM25" s="840">
        <v>1795.5291791100001</v>
      </c>
      <c r="AN25" s="840">
        <v>1789.3266238600002</v>
      </c>
      <c r="AO25" s="840">
        <v>1652.2679346099999</v>
      </c>
      <c r="AP25" s="840">
        <v>1610.8042300500001</v>
      </c>
      <c r="AQ25" s="840">
        <v>1418.4797518</v>
      </c>
      <c r="AR25" s="840">
        <v>1034.21720858</v>
      </c>
      <c r="AS25" s="840">
        <v>1040.8736804800001</v>
      </c>
      <c r="AT25" s="840">
        <f>AT9-AT13</f>
        <v>978.44550304999984</v>
      </c>
      <c r="AU25" s="840">
        <v>866.25717680999992</v>
      </c>
      <c r="AV25" s="840">
        <v>870.50071308000008</v>
      </c>
      <c r="AW25" s="840">
        <v>845.39033604000008</v>
      </c>
      <c r="AX25" s="840">
        <v>851.52832847000013</v>
      </c>
      <c r="AY25" s="840">
        <v>836.03204660999995</v>
      </c>
      <c r="AZ25" s="840">
        <v>825.75265525999998</v>
      </c>
      <c r="BA25" s="840">
        <v>821.01283520000004</v>
      </c>
      <c r="BB25" s="840">
        <v>789.08665296000004</v>
      </c>
      <c r="BC25" s="840">
        <v>720.25918967000007</v>
      </c>
      <c r="BD25" s="840">
        <v>449.90275262</v>
      </c>
      <c r="BE25" s="840">
        <v>419.15527811999999</v>
      </c>
      <c r="BF25" s="840">
        <v>424.99207997999997</v>
      </c>
      <c r="BG25" s="840">
        <v>429.15814401</v>
      </c>
      <c r="BH25" s="885">
        <v>421.66999498999996</v>
      </c>
      <c r="BI25" s="874">
        <v>461.38996000000009</v>
      </c>
      <c r="BJ25" s="874">
        <v>460.44617189999997</v>
      </c>
      <c r="BK25" s="874">
        <v>461.38423437</v>
      </c>
      <c r="BL25" s="874">
        <v>451.32228979999996</v>
      </c>
      <c r="BM25" s="874">
        <v>431.21762754999997</v>
      </c>
      <c r="BN25" s="874">
        <v>424.65756445</v>
      </c>
      <c r="BO25" s="874">
        <v>427.46377598999993</v>
      </c>
      <c r="BP25" s="874">
        <v>416.60877066</v>
      </c>
      <c r="BQ25" s="874">
        <v>412.18768779999994</v>
      </c>
      <c r="BR25" s="874">
        <v>269.57212821999997</v>
      </c>
      <c r="BS25" s="874">
        <v>256.17142883999998</v>
      </c>
      <c r="BT25" s="874">
        <v>260.04257878999999</v>
      </c>
      <c r="BU25" s="874">
        <v>209.96345624999998</v>
      </c>
      <c r="BV25" s="874">
        <v>183.11798540000001</v>
      </c>
      <c r="BW25" s="874">
        <v>184.32484588</v>
      </c>
      <c r="BX25" s="874">
        <v>186.38414638</v>
      </c>
      <c r="BY25" s="874">
        <v>186.08729743000001</v>
      </c>
      <c r="BZ25" s="874">
        <v>196.25525478000003</v>
      </c>
      <c r="CA25" s="874">
        <v>200.68088478999999</v>
      </c>
      <c r="CB25" s="874">
        <v>169.38575711000004</v>
      </c>
      <c r="CC25" s="874">
        <v>180.77721107999997</v>
      </c>
      <c r="CD25" s="874">
        <v>182.72046218999998</v>
      </c>
      <c r="CE25" s="874">
        <v>185.15802388999998</v>
      </c>
      <c r="CF25" s="874">
        <v>202.34887738999998</v>
      </c>
      <c r="CG25" s="874">
        <v>249.55792810999998</v>
      </c>
      <c r="CH25" s="874">
        <v>246.10071568999999</v>
      </c>
      <c r="CI25" s="874">
        <v>240.90891178999999</v>
      </c>
      <c r="CJ25" s="874">
        <v>254.27188792999999</v>
      </c>
      <c r="CK25" s="874">
        <v>251.38438622000001</v>
      </c>
      <c r="CL25" s="874">
        <v>258.33791471000001</v>
      </c>
      <c r="CM25" s="874">
        <v>256.83678271000002</v>
      </c>
      <c r="CN25" s="874">
        <v>261.37917258000004</v>
      </c>
      <c r="CO25" s="874">
        <v>260.66349876000004</v>
      </c>
      <c r="CP25" s="874">
        <v>261.39205229999999</v>
      </c>
      <c r="CQ25" s="874">
        <v>260.73676184999999</v>
      </c>
      <c r="CR25" s="874">
        <v>277.72331154999995</v>
      </c>
      <c r="CS25" s="874">
        <v>289.69171109000001</v>
      </c>
      <c r="CT25" s="874">
        <v>321.24326488000003</v>
      </c>
      <c r="CU25" s="874">
        <v>325.86797238999998</v>
      </c>
      <c r="CV25" s="874">
        <v>299.76336240000001</v>
      </c>
      <c r="CW25" s="874">
        <v>311.14996143000002</v>
      </c>
      <c r="CX25" s="874">
        <v>331.50012921000001</v>
      </c>
      <c r="CY25" s="874">
        <v>324.43997012</v>
      </c>
      <c r="CZ25" s="874">
        <v>324.87902645000003</v>
      </c>
      <c r="DA25" s="874">
        <v>336.13482123</v>
      </c>
      <c r="DB25" s="874">
        <v>362.84233899999998</v>
      </c>
      <c r="DC25" s="874">
        <v>376.00501503999999</v>
      </c>
      <c r="DD25" s="874">
        <v>376.2366753</v>
      </c>
      <c r="DE25" s="874">
        <v>387.60424969000002</v>
      </c>
      <c r="DF25" s="874">
        <v>391.88594799999998</v>
      </c>
      <c r="DG25" s="874">
        <v>402.65581830999997</v>
      </c>
      <c r="DH25" s="874">
        <v>416.20956036000001</v>
      </c>
      <c r="DI25" s="874">
        <v>462.22402772999999</v>
      </c>
      <c r="DJ25" s="874">
        <v>464.63953142999998</v>
      </c>
      <c r="DK25" s="874">
        <v>469.92300820000003</v>
      </c>
      <c r="DL25" s="874">
        <v>486.51971288999999</v>
      </c>
      <c r="DM25" s="874">
        <v>492.42640095000002</v>
      </c>
      <c r="DN25" s="874">
        <v>499.17307543999999</v>
      </c>
      <c r="DO25" s="874">
        <v>489.94748332</v>
      </c>
      <c r="DP25" s="874">
        <v>491.90895562999998</v>
      </c>
      <c r="DQ25" s="874">
        <v>545.72776687999999</v>
      </c>
      <c r="DR25" s="874">
        <v>583.92619491999994</v>
      </c>
      <c r="DS25" s="874">
        <v>550.82532613000001</v>
      </c>
      <c r="DT25" s="874">
        <v>528.36057059999996</v>
      </c>
      <c r="DU25" s="874">
        <v>534.93495135000001</v>
      </c>
      <c r="DV25" s="874">
        <v>582.35950256000001</v>
      </c>
      <c r="DW25" s="874">
        <v>604.36518455999999</v>
      </c>
      <c r="DX25" s="874">
        <v>615.39875235</v>
      </c>
      <c r="DY25" s="874">
        <v>606.99759974000006</v>
      </c>
      <c r="DZ25" s="874">
        <v>630.88927587000001</v>
      </c>
      <c r="EA25" s="874">
        <v>634.34255510000003</v>
      </c>
      <c r="EB25" s="874">
        <v>660.61255113000004</v>
      </c>
      <c r="EC25" s="874">
        <v>681.77892059999999</v>
      </c>
      <c r="ED25" s="874">
        <v>679.73320579999995</v>
      </c>
      <c r="EE25" s="874">
        <v>667.09703728</v>
      </c>
      <c r="EF25" s="874">
        <v>648.36087521000002</v>
      </c>
      <c r="EG25" s="874">
        <v>665.27455020000002</v>
      </c>
      <c r="EH25" s="874">
        <v>664.38566716000003</v>
      </c>
      <c r="EI25" s="874">
        <v>670.95558003999997</v>
      </c>
      <c r="EJ25" s="874">
        <v>664.86612778999995</v>
      </c>
      <c r="EK25" s="874">
        <v>696.05115897999997</v>
      </c>
      <c r="EL25" s="874">
        <v>693.46459132999996</v>
      </c>
      <c r="EM25" s="874">
        <v>819.63522377000004</v>
      </c>
      <c r="EN25" s="874">
        <v>853.58742278</v>
      </c>
      <c r="EO25" s="874">
        <v>838.69392817000005</v>
      </c>
      <c r="EP25" s="874">
        <v>862.38467750999996</v>
      </c>
      <c r="EQ25" s="874">
        <v>863.98216451999997</v>
      </c>
      <c r="ER25" s="874">
        <v>879.14810940999996</v>
      </c>
      <c r="ES25" s="874">
        <v>871.70233688999997</v>
      </c>
      <c r="ET25" s="874">
        <v>900.6730288</v>
      </c>
      <c r="EU25" s="1918" t="s">
        <v>4084</v>
      </c>
      <c r="EV25" s="339"/>
      <c r="EW25" s="339"/>
      <c r="EX25" s="339"/>
      <c r="EY25" s="339"/>
      <c r="EZ25" s="342"/>
      <c r="FA25" s="339"/>
      <c r="FB25" s="339"/>
      <c r="FC25" s="339"/>
      <c r="FD25" s="339"/>
      <c r="FE25" s="339"/>
      <c r="FF25" s="339"/>
      <c r="FG25" s="339"/>
      <c r="FH25" s="339"/>
      <c r="FI25" s="339"/>
      <c r="FJ25" s="339"/>
      <c r="FK25" s="339"/>
      <c r="FL25" s="339"/>
      <c r="FM25" s="339"/>
      <c r="FN25" s="339"/>
      <c r="FO25" s="339"/>
      <c r="FP25" s="339"/>
      <c r="FQ25" s="339"/>
      <c r="FR25" s="339"/>
      <c r="FS25" s="339"/>
      <c r="FT25" s="339"/>
      <c r="FU25" s="339"/>
      <c r="FV25" s="339"/>
      <c r="FW25" s="339"/>
      <c r="FX25" s="339"/>
      <c r="FY25" s="339"/>
      <c r="FZ25" s="339"/>
      <c r="GA25" s="339"/>
      <c r="GB25" s="339"/>
      <c r="GC25" s="339"/>
      <c r="GD25" s="339"/>
      <c r="GE25" s="339"/>
      <c r="GF25" s="339"/>
      <c r="GG25" s="339"/>
      <c r="GH25" s="339"/>
      <c r="GI25" s="339"/>
      <c r="GJ25" s="339"/>
      <c r="GK25" s="339"/>
      <c r="GL25" s="339"/>
      <c r="GM25" s="339"/>
      <c r="GN25" s="339"/>
      <c r="GO25" s="339"/>
      <c r="GP25" s="339"/>
      <c r="GQ25" s="339"/>
      <c r="GR25" s="339"/>
      <c r="GS25" s="339"/>
      <c r="GT25" s="339"/>
      <c r="GU25" s="339"/>
      <c r="GV25" s="339"/>
      <c r="GW25" s="339"/>
      <c r="GX25" s="339"/>
      <c r="GY25" s="339"/>
      <c r="GZ25" s="339"/>
      <c r="HA25" s="339"/>
      <c r="HB25" s="339"/>
      <c r="HC25" s="339"/>
      <c r="HD25" s="339"/>
      <c r="HE25" s="339"/>
      <c r="HF25" s="339"/>
      <c r="HG25" s="339"/>
      <c r="HH25" s="339"/>
      <c r="HI25" s="339"/>
      <c r="HJ25" s="339"/>
      <c r="HK25" s="339"/>
      <c r="HL25" s="339"/>
      <c r="HM25" s="339"/>
      <c r="HN25" s="339"/>
      <c r="HO25" s="339"/>
      <c r="HP25" s="339"/>
      <c r="HQ25" s="339"/>
      <c r="HR25" s="339"/>
      <c r="HS25" s="339"/>
      <c r="HT25" s="339"/>
      <c r="HU25" s="339"/>
      <c r="HV25" s="339"/>
      <c r="HW25" s="339"/>
      <c r="HX25" s="339"/>
      <c r="HY25" s="339"/>
      <c r="HZ25" s="339"/>
      <c r="IA25" s="339"/>
      <c r="IB25" s="339"/>
      <c r="IC25" s="339"/>
      <c r="ID25" s="339"/>
      <c r="IE25" s="339"/>
      <c r="IF25" s="339"/>
      <c r="IG25" s="339"/>
      <c r="IH25" s="339"/>
      <c r="II25" s="339"/>
      <c r="IJ25" s="339"/>
      <c r="IK25" s="339"/>
      <c r="IL25" s="339"/>
      <c r="IM25" s="339"/>
      <c r="IN25" s="339"/>
      <c r="IO25" s="339"/>
      <c r="IP25" s="339"/>
      <c r="IQ25" s="339"/>
      <c r="IR25" s="339"/>
      <c r="IS25" s="339"/>
      <c r="IT25" s="339"/>
      <c r="IU25" s="339"/>
      <c r="IV25" s="339"/>
      <c r="IW25" s="339"/>
      <c r="IX25" s="339"/>
      <c r="IY25" s="339"/>
      <c r="IZ25" s="339"/>
      <c r="JA25" s="339"/>
      <c r="JB25" s="339"/>
      <c r="JC25" s="339"/>
      <c r="JD25" s="339"/>
      <c r="JE25" s="339"/>
      <c r="JF25" s="339"/>
      <c r="JG25" s="339"/>
      <c r="JH25" s="339"/>
      <c r="JI25" s="339"/>
      <c r="JJ25" s="339"/>
      <c r="JK25" s="339"/>
      <c r="JL25" s="339"/>
      <c r="JM25" s="339"/>
      <c r="JN25" s="339"/>
      <c r="JO25" s="339"/>
      <c r="JP25" s="339"/>
      <c r="JQ25" s="339"/>
      <c r="JR25" s="339"/>
      <c r="JS25" s="339"/>
      <c r="JT25" s="339"/>
      <c r="JU25" s="339"/>
      <c r="JV25" s="339"/>
      <c r="JW25" s="339"/>
      <c r="JX25" s="339"/>
      <c r="JY25" s="339"/>
      <c r="JZ25" s="339"/>
      <c r="KA25" s="339"/>
      <c r="KB25" s="339"/>
      <c r="KC25" s="339"/>
    </row>
    <row r="26" spans="1:289" ht="21">
      <c r="A26" s="1931" t="s">
        <v>1974</v>
      </c>
      <c r="B26" s="851">
        <v>0.68612640000000003</v>
      </c>
      <c r="C26" s="851">
        <v>0.53880640000000002</v>
      </c>
      <c r="D26" s="851">
        <v>0.53880640000000002</v>
      </c>
      <c r="E26" s="851">
        <v>0.25</v>
      </c>
      <c r="F26" s="851">
        <v>0.25</v>
      </c>
      <c r="G26" s="851">
        <v>0</v>
      </c>
      <c r="H26" s="851">
        <v>0</v>
      </c>
      <c r="I26" s="851">
        <v>0</v>
      </c>
      <c r="J26" s="851">
        <v>0</v>
      </c>
      <c r="K26" s="851">
        <v>0</v>
      </c>
      <c r="L26" s="851">
        <v>0</v>
      </c>
      <c r="M26" s="843">
        <v>7.4706999999999996E-2</v>
      </c>
      <c r="N26" s="843">
        <v>7.3109439999999998E-2</v>
      </c>
      <c r="O26" s="843">
        <v>7.142488000000001E-2</v>
      </c>
      <c r="P26" s="843">
        <v>6.9750350000000003E-2</v>
      </c>
      <c r="Q26" s="843">
        <v>6.8115490000000001E-2</v>
      </c>
      <c r="R26" s="843">
        <v>6.6336289999999992E-2</v>
      </c>
      <c r="S26" s="843">
        <v>15.064593910000001</v>
      </c>
      <c r="T26" s="843">
        <v>15.062885720000001</v>
      </c>
      <c r="U26" s="843">
        <v>15.06104144</v>
      </c>
      <c r="V26" s="843">
        <v>15.059228470000001</v>
      </c>
      <c r="W26" s="843">
        <v>13.18241765</v>
      </c>
      <c r="X26" s="843">
        <v>13.180530839999999</v>
      </c>
      <c r="Y26" s="843">
        <v>13.178644390000001</v>
      </c>
      <c r="Z26" s="843">
        <v>13.176732789999999</v>
      </c>
      <c r="AA26" s="843">
        <v>13.224661199999998</v>
      </c>
      <c r="AB26" s="843">
        <v>9.5561369999999993E-2</v>
      </c>
      <c r="AC26" s="843">
        <v>9.1527089999999992E-2</v>
      </c>
      <c r="AD26" s="843">
        <v>8.7431979999999992E-2</v>
      </c>
      <c r="AE26" s="843">
        <v>8.3249319999999988E-2</v>
      </c>
      <c r="AF26" s="843">
        <v>7.9110130000000001E-2</v>
      </c>
      <c r="AG26" s="843">
        <v>7.2207069999999998E-2</v>
      </c>
      <c r="AH26" s="843">
        <v>7.0115260000000013E-2</v>
      </c>
      <c r="AI26" s="843">
        <v>6.6572209999999993E-2</v>
      </c>
      <c r="AJ26" s="843">
        <v>6.2369599999999997E-2</v>
      </c>
      <c r="AK26" s="843">
        <v>7.2186780000000006E-2</v>
      </c>
      <c r="AL26" s="843">
        <v>8.7899410000000011E-2</v>
      </c>
      <c r="AM26" s="843">
        <v>8.1622079999999986E-2</v>
      </c>
      <c r="AN26" s="843">
        <v>51.479302609999998</v>
      </c>
      <c r="AO26" s="843">
        <v>50.306822029999999</v>
      </c>
      <c r="AP26" s="843">
        <v>56.34114143</v>
      </c>
      <c r="AQ26" s="843">
        <v>63.267108130000004</v>
      </c>
      <c r="AR26" s="843">
        <v>62.217454310000008</v>
      </c>
      <c r="AS26" s="843">
        <v>61.896348260000003</v>
      </c>
      <c r="AT26" s="843">
        <f>AT10-AT14</f>
        <v>62.215907100000003</v>
      </c>
      <c r="AU26" s="843">
        <v>61.657766139999993</v>
      </c>
      <c r="AV26" s="843">
        <v>61.466815079999989</v>
      </c>
      <c r="AW26" s="843">
        <v>60.957972660000003</v>
      </c>
      <c r="AX26" s="843">
        <v>60.97962296</v>
      </c>
      <c r="AY26" s="843">
        <v>58.017257200000003</v>
      </c>
      <c r="AZ26" s="843">
        <v>53.628075609999996</v>
      </c>
      <c r="BA26" s="843">
        <v>52.506867990000003</v>
      </c>
      <c r="BB26" s="843">
        <v>51.500777040000003</v>
      </c>
      <c r="BC26" s="843">
        <v>48.379755630000005</v>
      </c>
      <c r="BD26" s="843">
        <v>47.656588899999996</v>
      </c>
      <c r="BE26" s="843">
        <v>46.588443849999997</v>
      </c>
      <c r="BF26" s="843">
        <v>45.620438360000001</v>
      </c>
      <c r="BG26" s="843">
        <v>44.613535509999998</v>
      </c>
      <c r="BH26" s="886">
        <v>43.731509880000004</v>
      </c>
      <c r="BI26" s="875">
        <v>40.200829729999995</v>
      </c>
      <c r="BJ26" s="875">
        <v>39.285286499999998</v>
      </c>
      <c r="BK26" s="875">
        <v>38.257577349999998</v>
      </c>
      <c r="BL26" s="875">
        <v>37.21594176</v>
      </c>
      <c r="BM26" s="875">
        <v>36.353385719999991</v>
      </c>
      <c r="BN26" s="875">
        <v>35.219896920000004</v>
      </c>
      <c r="BO26" s="875">
        <v>34.633920909999993</v>
      </c>
      <c r="BP26" s="875">
        <v>34.251979720000001</v>
      </c>
      <c r="BQ26" s="875">
        <v>33.725469459999999</v>
      </c>
      <c r="BR26" s="875">
        <v>36.154014939999996</v>
      </c>
      <c r="BS26" s="875">
        <v>35.667925140000001</v>
      </c>
      <c r="BT26" s="875">
        <v>34.090150689999994</v>
      </c>
      <c r="BU26" s="875">
        <v>32.47835697</v>
      </c>
      <c r="BV26" s="875">
        <v>7.7490047000000004</v>
      </c>
      <c r="BW26" s="875">
        <v>7.7490047000000004</v>
      </c>
      <c r="BX26" s="875">
        <v>7.7490047000000004</v>
      </c>
      <c r="BY26" s="875">
        <v>7.7490047000000004</v>
      </c>
      <c r="BZ26" s="875">
        <v>7.749004700000004</v>
      </c>
      <c r="CA26" s="875">
        <v>7.1987613099999983</v>
      </c>
      <c r="CB26" s="875">
        <v>7.1987613099999983</v>
      </c>
      <c r="CC26" s="875">
        <v>7.1987613099999983</v>
      </c>
      <c r="CD26" s="875">
        <v>7.2495114100000002</v>
      </c>
      <c r="CE26" s="875">
        <v>7.2495114100000002</v>
      </c>
      <c r="CF26" s="875">
        <v>6.6920870800000003</v>
      </c>
      <c r="CG26" s="875">
        <v>13.743764759999999</v>
      </c>
      <c r="CH26" s="875">
        <v>6.7542097600000002</v>
      </c>
      <c r="CI26" s="875">
        <v>6.76465476</v>
      </c>
      <c r="CJ26" s="875">
        <v>10.04747476</v>
      </c>
      <c r="CK26" s="875">
        <v>6.9440869800000007</v>
      </c>
      <c r="CL26" s="875">
        <v>6.90028782</v>
      </c>
      <c r="CM26" s="875">
        <v>6.8296029200000001</v>
      </c>
      <c r="CN26" s="875">
        <v>6.8284654500000004</v>
      </c>
      <c r="CO26" s="875">
        <v>6.7577119699999999</v>
      </c>
      <c r="CP26" s="875">
        <v>6.6869387400000004</v>
      </c>
      <c r="CQ26" s="875">
        <v>6.6161454199999996</v>
      </c>
      <c r="CR26" s="875">
        <v>6.5451887900000001</v>
      </c>
      <c r="CS26" s="875">
        <v>6.4744988499999998</v>
      </c>
      <c r="CT26" s="875">
        <v>1.655616E-2</v>
      </c>
      <c r="CU26" s="875">
        <v>1.531357E-2</v>
      </c>
      <c r="CV26" s="875">
        <v>1.4039579999999999E-2</v>
      </c>
      <c r="CW26" s="875">
        <v>1.2735099999999999E-2</v>
      </c>
      <c r="CX26" s="875">
        <v>1.1415979999999999E-2</v>
      </c>
      <c r="CY26" s="875">
        <v>5.0073779999999998E-2</v>
      </c>
      <c r="CZ26" s="875">
        <v>4.8708090000000002E-2</v>
      </c>
      <c r="DA26" s="875">
        <v>4.597035E-2</v>
      </c>
      <c r="DB26" s="875">
        <v>4.0150859999999997E-2</v>
      </c>
      <c r="DC26" s="875">
        <v>8.7373889999999996E-2</v>
      </c>
      <c r="DD26" s="875">
        <v>1.07748541</v>
      </c>
      <c r="DE26" s="875">
        <v>3.5341092199999999</v>
      </c>
      <c r="DF26" s="875">
        <v>3.47492036</v>
      </c>
      <c r="DG26" s="875">
        <v>3.9652590000000001</v>
      </c>
      <c r="DH26" s="875">
        <v>4.3141974200000002</v>
      </c>
      <c r="DI26" s="875">
        <v>4.0142898499999999</v>
      </c>
      <c r="DJ26" s="875">
        <v>3.9360665500000001</v>
      </c>
      <c r="DK26" s="875">
        <v>3.8559742699999999</v>
      </c>
      <c r="DL26" s="875">
        <v>3.7757613999999999</v>
      </c>
      <c r="DM26" s="875">
        <v>3.8256600500000002</v>
      </c>
      <c r="DN26" s="875">
        <v>3.72869406</v>
      </c>
      <c r="DO26" s="875">
        <v>3.6407092200000002</v>
      </c>
      <c r="DP26" s="875">
        <v>3.5528039800000002</v>
      </c>
      <c r="DQ26" s="875">
        <v>3.4276491500000001</v>
      </c>
      <c r="DR26" s="875">
        <v>3.3272526500000001</v>
      </c>
      <c r="DS26" s="875">
        <v>3.2211372200000001</v>
      </c>
      <c r="DT26" s="875">
        <v>3.07214148</v>
      </c>
      <c r="DU26" s="875">
        <v>2.9378061600000001</v>
      </c>
      <c r="DV26" s="875">
        <v>2.80568989</v>
      </c>
      <c r="DW26" s="875">
        <v>2.7368298200000001</v>
      </c>
      <c r="DX26" s="875">
        <v>2.5393560800000001</v>
      </c>
      <c r="DY26" s="875">
        <v>2.40192351</v>
      </c>
      <c r="DZ26" s="875">
        <v>2.2569638200000002</v>
      </c>
      <c r="EA26" s="875">
        <v>2.1215335299999998</v>
      </c>
      <c r="EB26" s="875">
        <v>22.005020380000001</v>
      </c>
      <c r="EC26" s="875">
        <v>26.539853319999999</v>
      </c>
      <c r="ED26" s="875">
        <v>26.036267169999999</v>
      </c>
      <c r="EE26" s="875">
        <v>25.506268680000002</v>
      </c>
      <c r="EF26" s="875">
        <v>25.015596970000001</v>
      </c>
      <c r="EG26" s="875">
        <v>24.451615019999998</v>
      </c>
      <c r="EH26" s="875">
        <v>23.927911009999999</v>
      </c>
      <c r="EI26" s="875">
        <v>23.475236809999998</v>
      </c>
      <c r="EJ26" s="875">
        <v>22.923676260000001</v>
      </c>
      <c r="EK26" s="875">
        <v>32.543368600000001</v>
      </c>
      <c r="EL26" s="875">
        <v>31.936472240000001</v>
      </c>
      <c r="EM26" s="875">
        <v>31.310924610000001</v>
      </c>
      <c r="EN26" s="875">
        <v>34.062771840000003</v>
      </c>
      <c r="EO26" s="875">
        <v>33.704531350000003</v>
      </c>
      <c r="EP26" s="875">
        <v>33.01138272</v>
      </c>
      <c r="EQ26" s="875">
        <v>32.437535259999997</v>
      </c>
      <c r="ER26" s="875">
        <v>32.307414899999998</v>
      </c>
      <c r="ES26" s="875">
        <v>31.484647630000001</v>
      </c>
      <c r="ET26" s="875">
        <v>30.86975743</v>
      </c>
      <c r="EU26" s="1920" t="s">
        <v>4086</v>
      </c>
      <c r="EV26" s="339"/>
      <c r="EW26" s="339"/>
      <c r="EX26" s="339"/>
      <c r="EY26" s="339"/>
      <c r="EZ26" s="342"/>
      <c r="FA26" s="339"/>
      <c r="FB26" s="339"/>
      <c r="FC26" s="339"/>
      <c r="FD26" s="339"/>
      <c r="FE26" s="339"/>
      <c r="FF26" s="339"/>
      <c r="FG26" s="339"/>
      <c r="FH26" s="339"/>
      <c r="FI26" s="339"/>
      <c r="FJ26" s="339"/>
      <c r="FK26" s="339"/>
      <c r="FL26" s="339"/>
      <c r="FM26" s="339"/>
      <c r="FN26" s="339"/>
      <c r="FO26" s="339"/>
      <c r="FP26" s="339"/>
      <c r="FQ26" s="339"/>
      <c r="FR26" s="339"/>
      <c r="FS26" s="339"/>
      <c r="FT26" s="339"/>
      <c r="FU26" s="339"/>
      <c r="FV26" s="339"/>
      <c r="FW26" s="339"/>
      <c r="FX26" s="339"/>
      <c r="FY26" s="339"/>
      <c r="FZ26" s="339"/>
      <c r="GA26" s="339"/>
      <c r="GB26" s="339"/>
      <c r="GC26" s="339"/>
      <c r="GD26" s="339"/>
      <c r="GE26" s="339"/>
      <c r="GF26" s="339"/>
      <c r="GG26" s="339"/>
      <c r="GH26" s="339"/>
      <c r="GI26" s="339"/>
      <c r="GJ26" s="339"/>
      <c r="GK26" s="339"/>
      <c r="GL26" s="339"/>
      <c r="GM26" s="339"/>
      <c r="GN26" s="339"/>
      <c r="GO26" s="339"/>
      <c r="GP26" s="339"/>
      <c r="GQ26" s="339"/>
      <c r="GR26" s="339"/>
      <c r="GS26" s="339"/>
      <c r="GT26" s="339"/>
      <c r="GU26" s="339"/>
      <c r="GV26" s="339"/>
      <c r="GW26" s="339"/>
      <c r="GX26" s="339"/>
      <c r="GY26" s="339"/>
      <c r="GZ26" s="339"/>
      <c r="HA26" s="339"/>
      <c r="HB26" s="339"/>
      <c r="HC26" s="339"/>
      <c r="HD26" s="339"/>
      <c r="HE26" s="339"/>
      <c r="HF26" s="339"/>
      <c r="HG26" s="339"/>
      <c r="HH26" s="339"/>
      <c r="HI26" s="339"/>
      <c r="HJ26" s="339"/>
      <c r="HK26" s="339"/>
      <c r="HL26" s="339"/>
      <c r="HM26" s="339"/>
      <c r="HN26" s="339"/>
      <c r="HO26" s="339"/>
      <c r="HP26" s="339"/>
      <c r="HQ26" s="339"/>
      <c r="HR26" s="339"/>
      <c r="HS26" s="339"/>
      <c r="HT26" s="339"/>
      <c r="HU26" s="339"/>
      <c r="HV26" s="339"/>
      <c r="HW26" s="339"/>
      <c r="HX26" s="339"/>
      <c r="HY26" s="339"/>
      <c r="HZ26" s="339"/>
      <c r="IA26" s="339"/>
      <c r="IB26" s="339"/>
      <c r="IC26" s="339"/>
      <c r="ID26" s="339"/>
      <c r="IE26" s="339"/>
      <c r="IF26" s="339"/>
      <c r="IG26" s="339"/>
      <c r="IH26" s="339"/>
      <c r="II26" s="339"/>
      <c r="IJ26" s="339"/>
      <c r="IK26" s="339"/>
      <c r="IL26" s="339"/>
      <c r="IM26" s="339"/>
      <c r="IN26" s="339"/>
      <c r="IO26" s="339"/>
      <c r="IP26" s="339"/>
      <c r="IQ26" s="339"/>
      <c r="IR26" s="339"/>
      <c r="IS26" s="339"/>
      <c r="IT26" s="339"/>
      <c r="IU26" s="339"/>
      <c r="IV26" s="339"/>
      <c r="IW26" s="339"/>
      <c r="IX26" s="339"/>
      <c r="IY26" s="339"/>
      <c r="IZ26" s="339"/>
      <c r="JA26" s="339"/>
      <c r="JB26" s="339"/>
      <c r="JC26" s="339"/>
      <c r="JD26" s="339"/>
      <c r="JE26" s="339"/>
      <c r="JF26" s="339"/>
      <c r="JG26" s="339"/>
      <c r="JH26" s="339"/>
      <c r="JI26" s="339"/>
      <c r="JJ26" s="339"/>
      <c r="JK26" s="339"/>
      <c r="JL26" s="339"/>
      <c r="JM26" s="339"/>
      <c r="JN26" s="339"/>
      <c r="JO26" s="339"/>
      <c r="JP26" s="339"/>
      <c r="JQ26" s="339"/>
      <c r="JR26" s="339"/>
      <c r="JS26" s="339"/>
      <c r="JT26" s="339"/>
      <c r="JU26" s="339"/>
      <c r="JV26" s="339"/>
      <c r="JW26" s="339"/>
      <c r="JX26" s="339"/>
      <c r="JY26" s="339"/>
      <c r="JZ26" s="339"/>
      <c r="KA26" s="339"/>
      <c r="KB26" s="339"/>
      <c r="KC26" s="339"/>
    </row>
    <row r="27" spans="1:289" ht="21">
      <c r="A27" s="1931" t="s">
        <v>1975</v>
      </c>
      <c r="B27" s="850">
        <f t="shared" ref="B27:V27" si="8">+B25-B26</f>
        <v>906.69647537999992</v>
      </c>
      <c r="C27" s="851">
        <f t="shared" si="8"/>
        <v>1215.7881395599998</v>
      </c>
      <c r="D27" s="851">
        <f t="shared" si="8"/>
        <v>1289.6335025999999</v>
      </c>
      <c r="E27" s="851">
        <f t="shared" si="8"/>
        <v>1487.7765801500002</v>
      </c>
      <c r="F27" s="851">
        <f t="shared" si="8"/>
        <v>1582.8648315700002</v>
      </c>
      <c r="G27" s="851">
        <f t="shared" si="8"/>
        <v>1634.6194345700001</v>
      </c>
      <c r="H27" s="851">
        <f t="shared" si="8"/>
        <v>1703.1266170200001</v>
      </c>
      <c r="I27" s="851">
        <f t="shared" si="8"/>
        <v>1758.6335877900001</v>
      </c>
      <c r="J27" s="851">
        <f t="shared" si="8"/>
        <v>1803.01118447</v>
      </c>
      <c r="K27" s="851">
        <f t="shared" si="8"/>
        <v>1831.8652481899999</v>
      </c>
      <c r="L27" s="851">
        <f t="shared" si="8"/>
        <v>1876.3229773</v>
      </c>
      <c r="M27" s="843">
        <f t="shared" si="8"/>
        <v>1892.9786477099999</v>
      </c>
      <c r="N27" s="843">
        <f t="shared" si="8"/>
        <v>1525.4344433599999</v>
      </c>
      <c r="O27" s="843">
        <f t="shared" si="8"/>
        <v>1565.0633204399999</v>
      </c>
      <c r="P27" s="840">
        <f t="shared" si="8"/>
        <v>1592.7519433700002</v>
      </c>
      <c r="Q27" s="840">
        <f t="shared" si="8"/>
        <v>1624.3339912700001</v>
      </c>
      <c r="R27" s="840">
        <f t="shared" si="8"/>
        <v>1694.4206923300001</v>
      </c>
      <c r="S27" s="840">
        <f t="shared" si="8"/>
        <v>1737.3636381499998</v>
      </c>
      <c r="T27" s="840">
        <f t="shared" si="8"/>
        <v>1787.46729906</v>
      </c>
      <c r="U27" s="840">
        <f t="shared" si="8"/>
        <v>1836.1695536399998</v>
      </c>
      <c r="V27" s="840">
        <f t="shared" si="8"/>
        <v>1863.0754079200001</v>
      </c>
      <c r="W27" s="840">
        <v>1890.6470125200001</v>
      </c>
      <c r="X27" s="840">
        <v>1944.33053763</v>
      </c>
      <c r="Y27" s="843">
        <v>1938.4130004500003</v>
      </c>
      <c r="Z27" s="840">
        <v>1940.6492812000001</v>
      </c>
      <c r="AA27" s="843">
        <v>1503.40097975</v>
      </c>
      <c r="AB27" s="843">
        <f>+AB25-AB26</f>
        <v>1470.49801589</v>
      </c>
      <c r="AC27" s="843">
        <v>1443.6333071399999</v>
      </c>
      <c r="AD27" s="843">
        <v>1455.9423525099999</v>
      </c>
      <c r="AE27" s="843">
        <v>1447.8973502899998</v>
      </c>
      <c r="AF27" s="843">
        <v>1465.8872743700001</v>
      </c>
      <c r="AG27" s="843">
        <v>1454.6585858099997</v>
      </c>
      <c r="AH27" s="843">
        <f>+AH25-AH26</f>
        <v>1437.0325031700004</v>
      </c>
      <c r="AI27" s="843">
        <v>1443.3165281500001</v>
      </c>
      <c r="AJ27" s="843">
        <f>+AJ25-AJ26</f>
        <v>1473.3130834799999</v>
      </c>
      <c r="AK27" s="843">
        <f>+AK25-AK26</f>
        <v>1725.8465920099998</v>
      </c>
      <c r="AL27" s="843">
        <v>1763.94080534</v>
      </c>
      <c r="AM27" s="843">
        <f>+AM25-AM26</f>
        <v>1795.4475570300001</v>
      </c>
      <c r="AN27" s="843">
        <f>+AN25-AN26</f>
        <v>1737.84732125</v>
      </c>
      <c r="AO27" s="843">
        <f>+AO25-AO26</f>
        <v>1601.96111258</v>
      </c>
      <c r="AP27" s="843">
        <f>+AP25-AP26</f>
        <v>1554.46308862</v>
      </c>
      <c r="AQ27" s="843">
        <v>1355.21264367</v>
      </c>
      <c r="AR27" s="843">
        <v>971.99975427000004</v>
      </c>
      <c r="AS27" s="843">
        <f>+AS25-AS26</f>
        <v>978.97733222000011</v>
      </c>
      <c r="AT27" s="843">
        <f>AT11-AT15</f>
        <v>916.22959594999998</v>
      </c>
      <c r="AU27" s="843">
        <v>804.59941067</v>
      </c>
      <c r="AV27" s="843">
        <v>809.03389800000014</v>
      </c>
      <c r="AW27" s="843">
        <v>784.43236338000008</v>
      </c>
      <c r="AX27" s="843">
        <v>790.5487055100001</v>
      </c>
      <c r="AY27" s="843">
        <v>778.01478940999993</v>
      </c>
      <c r="AZ27" s="843">
        <v>772.12457964999999</v>
      </c>
      <c r="BA27" s="843">
        <v>768.50596720999999</v>
      </c>
      <c r="BB27" s="843">
        <v>737.58587592000003</v>
      </c>
      <c r="BC27" s="843">
        <v>671.87943404000009</v>
      </c>
      <c r="BD27" s="843">
        <f>+BD25-BD26</f>
        <v>402.24616372000003</v>
      </c>
      <c r="BE27" s="843">
        <v>372.56683427000002</v>
      </c>
      <c r="BF27" s="843">
        <v>379.37164161999999</v>
      </c>
      <c r="BG27" s="843">
        <v>384.54460849999998</v>
      </c>
      <c r="BH27" s="886">
        <v>377.93848510999999</v>
      </c>
      <c r="BI27" s="875">
        <v>421.18913027000008</v>
      </c>
      <c r="BJ27" s="875">
        <v>421.16088539999998</v>
      </c>
      <c r="BK27" s="875">
        <v>423.12665701999998</v>
      </c>
      <c r="BL27" s="875">
        <v>414.10634803999994</v>
      </c>
      <c r="BM27" s="875">
        <v>394.86424182999997</v>
      </c>
      <c r="BN27" s="875">
        <v>389.43766753</v>
      </c>
      <c r="BO27" s="875">
        <v>392.82985507999996</v>
      </c>
      <c r="BP27" s="875">
        <v>382.35679094</v>
      </c>
      <c r="BQ27" s="875">
        <v>378.46221833999994</v>
      </c>
      <c r="BR27" s="875">
        <v>233.41811327999997</v>
      </c>
      <c r="BS27" s="875">
        <v>220.50350369999998</v>
      </c>
      <c r="BT27" s="875">
        <v>225.95242809999999</v>
      </c>
      <c r="BU27" s="875">
        <v>177.48509927999999</v>
      </c>
      <c r="BV27" s="875">
        <v>175.36898070000001</v>
      </c>
      <c r="BW27" s="875">
        <v>176.57584118</v>
      </c>
      <c r="BX27" s="875">
        <v>178.63514168</v>
      </c>
      <c r="BY27" s="875">
        <v>178.33829273000001</v>
      </c>
      <c r="BZ27" s="875">
        <v>188.50625008000003</v>
      </c>
      <c r="CA27" s="875">
        <v>193.48212347999998</v>
      </c>
      <c r="CB27" s="875">
        <v>162.18699580000003</v>
      </c>
      <c r="CC27" s="875">
        <v>173.57844976999996</v>
      </c>
      <c r="CD27" s="875">
        <v>175.47095077999998</v>
      </c>
      <c r="CE27" s="875">
        <f t="shared" ref="CE27:CP27" si="9">+CE25-CE26</f>
        <v>177.90851247999998</v>
      </c>
      <c r="CF27" s="875">
        <f t="shared" si="9"/>
        <v>195.65679030999999</v>
      </c>
      <c r="CG27" s="875">
        <f t="shared" si="9"/>
        <v>235.81416334999997</v>
      </c>
      <c r="CH27" s="875">
        <f t="shared" si="9"/>
        <v>239.34650592999998</v>
      </c>
      <c r="CI27" s="875">
        <f t="shared" si="9"/>
        <v>234.14425702999998</v>
      </c>
      <c r="CJ27" s="875">
        <f t="shared" si="9"/>
        <v>244.22441316999999</v>
      </c>
      <c r="CK27" s="875">
        <f t="shared" si="9"/>
        <v>244.44029924</v>
      </c>
      <c r="CL27" s="875">
        <f t="shared" si="9"/>
        <v>251.43762689000002</v>
      </c>
      <c r="CM27" s="875">
        <f t="shared" si="9"/>
        <v>250.00717979000001</v>
      </c>
      <c r="CN27" s="875">
        <f t="shared" si="9"/>
        <v>254.55070713000003</v>
      </c>
      <c r="CO27" s="875">
        <f t="shared" si="9"/>
        <v>253.90578679000004</v>
      </c>
      <c r="CP27" s="875">
        <f t="shared" si="9"/>
        <v>254.70511356</v>
      </c>
      <c r="CQ27" s="875">
        <f>+CQ25-CQ26</f>
        <v>254.12061642999998</v>
      </c>
      <c r="CR27" s="875">
        <f>+CR25-CR26</f>
        <v>271.17812275999995</v>
      </c>
      <c r="CS27" s="875">
        <f>+CS25-CS26</f>
        <v>283.21721224000004</v>
      </c>
      <c r="CT27" s="875">
        <v>321.22670872000003</v>
      </c>
      <c r="CU27" s="875">
        <f>+CU25-CU26</f>
        <v>325.85265881999999</v>
      </c>
      <c r="CV27" s="875">
        <v>299.74932282000003</v>
      </c>
      <c r="CW27" s="875">
        <v>311.13722633000003</v>
      </c>
      <c r="CX27" s="875">
        <v>331.48871323000003</v>
      </c>
      <c r="CY27" s="875">
        <v>324.38989634000001</v>
      </c>
      <c r="CZ27" s="875">
        <v>324.83031836000004</v>
      </c>
      <c r="DA27" s="875">
        <v>336.08885088</v>
      </c>
      <c r="DB27" s="875">
        <v>362.80218814</v>
      </c>
      <c r="DC27" s="875">
        <f>+DC25-DC26</f>
        <v>375.91764115000001</v>
      </c>
      <c r="DD27" s="875">
        <v>375.15918988999999</v>
      </c>
      <c r="DE27" s="875">
        <v>384.07014047000001</v>
      </c>
      <c r="DF27" s="875">
        <v>388.41102763999999</v>
      </c>
      <c r="DG27" s="875">
        <f>+DG25-DG26</f>
        <v>398.69055930999997</v>
      </c>
      <c r="DH27" s="875">
        <v>411.89536293999998</v>
      </c>
      <c r="DI27" s="875">
        <f>+DI25-DI26</f>
        <v>458.20973787999998</v>
      </c>
      <c r="DJ27" s="875">
        <v>460.70346487999996</v>
      </c>
      <c r="DK27" s="875">
        <v>466.06703393000004</v>
      </c>
      <c r="DL27" s="875">
        <v>482.74395148999997</v>
      </c>
      <c r="DM27" s="875">
        <v>488.60074090000001</v>
      </c>
      <c r="DN27" s="875">
        <f>+DN25-DN26</f>
        <v>495.44438137999998</v>
      </c>
      <c r="DO27" s="875">
        <f>+DO25-DO26</f>
        <v>486.30677409999998</v>
      </c>
      <c r="DP27" s="875">
        <f>+DP25-DP26</f>
        <v>488.35615164999996</v>
      </c>
      <c r="DQ27" s="875">
        <f>+DQ25-DQ26</f>
        <v>542.30011773000001</v>
      </c>
      <c r="DR27" s="875">
        <v>580.59894226999995</v>
      </c>
      <c r="DS27" s="875">
        <v>547.60418891000006</v>
      </c>
      <c r="DT27" s="875">
        <v>525.28842911999993</v>
      </c>
      <c r="DU27" s="875">
        <f>+DU25-DU26</f>
        <v>531.99714518999997</v>
      </c>
      <c r="DV27" s="875">
        <f>+DV25-DV26</f>
        <v>579.55381266999996</v>
      </c>
      <c r="DW27" s="875">
        <v>601.62835473999996</v>
      </c>
      <c r="DX27" s="875">
        <v>612.85939627000005</v>
      </c>
      <c r="DY27" s="875">
        <v>604.59567623000009</v>
      </c>
      <c r="DZ27" s="875">
        <f>+DZ25-DZ26</f>
        <v>628.63231205</v>
      </c>
      <c r="EA27" s="875">
        <v>632.22102157000006</v>
      </c>
      <c r="EB27" s="875">
        <v>638.60753075000002</v>
      </c>
      <c r="EC27" s="875">
        <v>655.23906727999997</v>
      </c>
      <c r="ED27" s="875">
        <v>653.69693862999998</v>
      </c>
      <c r="EE27" s="875">
        <v>641.59076860000005</v>
      </c>
      <c r="EF27" s="875">
        <v>623.34527823999997</v>
      </c>
      <c r="EG27" s="875">
        <v>640.82293518000006</v>
      </c>
      <c r="EH27" s="875">
        <v>640.45775615000002</v>
      </c>
      <c r="EI27" s="875">
        <v>647.48034323000002</v>
      </c>
      <c r="EJ27" s="875">
        <f>+EJ25-EJ26</f>
        <v>641.94245152999997</v>
      </c>
      <c r="EK27" s="875">
        <v>663.50779037999996</v>
      </c>
      <c r="EL27" s="875">
        <v>661.52811909000002</v>
      </c>
      <c r="EM27" s="875">
        <v>788.32429916000001</v>
      </c>
      <c r="EN27" s="875">
        <f>+EN25-EN26</f>
        <v>819.52465094000001</v>
      </c>
      <c r="EO27" s="875">
        <v>804.98939682000002</v>
      </c>
      <c r="EP27" s="875">
        <v>829.37329478999993</v>
      </c>
      <c r="EQ27" s="875">
        <v>831.54462925999997</v>
      </c>
      <c r="ER27" s="875">
        <v>846.84069450999993</v>
      </c>
      <c r="ES27" s="875">
        <v>840.21768925999993</v>
      </c>
      <c r="ET27" s="875">
        <f>+ET25-ET26</f>
        <v>869.80327136999995</v>
      </c>
      <c r="EU27" s="1920" t="s">
        <v>4085</v>
      </c>
      <c r="EV27" s="339"/>
      <c r="EW27" s="339"/>
      <c r="EX27" s="339"/>
      <c r="EY27" s="339"/>
      <c r="EZ27" s="342"/>
      <c r="FA27" s="339"/>
      <c r="FB27" s="339"/>
      <c r="FC27" s="339"/>
      <c r="FD27" s="339"/>
      <c r="FE27" s="339"/>
      <c r="FF27" s="339"/>
      <c r="FG27" s="339"/>
      <c r="FH27" s="339"/>
      <c r="FI27" s="339"/>
      <c r="FJ27" s="339"/>
      <c r="FK27" s="339"/>
      <c r="FL27" s="339"/>
      <c r="FM27" s="339"/>
      <c r="FN27" s="339"/>
      <c r="FO27" s="339"/>
      <c r="FP27" s="339"/>
      <c r="FQ27" s="339"/>
      <c r="FR27" s="339"/>
      <c r="FS27" s="339"/>
      <c r="FT27" s="339"/>
      <c r="FU27" s="339"/>
      <c r="FV27" s="339"/>
      <c r="FW27" s="339"/>
      <c r="FX27" s="339"/>
      <c r="FY27" s="339"/>
      <c r="FZ27" s="339"/>
      <c r="GA27" s="339"/>
      <c r="GB27" s="339"/>
      <c r="GC27" s="339"/>
      <c r="GD27" s="339"/>
      <c r="GE27" s="339"/>
      <c r="GF27" s="339"/>
      <c r="GG27" s="339"/>
      <c r="GH27" s="339"/>
      <c r="GI27" s="339"/>
      <c r="GJ27" s="339"/>
      <c r="GK27" s="339"/>
      <c r="GL27" s="339"/>
      <c r="GM27" s="339"/>
      <c r="GN27" s="339"/>
      <c r="GO27" s="339"/>
      <c r="GP27" s="339"/>
      <c r="GQ27" s="339"/>
      <c r="GR27" s="339"/>
      <c r="GS27" s="339"/>
      <c r="GT27" s="339"/>
      <c r="GU27" s="339"/>
      <c r="GV27" s="339"/>
      <c r="GW27" s="339"/>
      <c r="GX27" s="339"/>
      <c r="GY27" s="339"/>
      <c r="GZ27" s="339"/>
      <c r="HA27" s="339"/>
      <c r="HB27" s="339"/>
      <c r="HC27" s="339"/>
      <c r="HD27" s="339"/>
      <c r="HE27" s="339"/>
      <c r="HF27" s="339"/>
      <c r="HG27" s="339"/>
      <c r="HH27" s="339"/>
      <c r="HI27" s="339"/>
      <c r="HJ27" s="339"/>
      <c r="HK27" s="339"/>
      <c r="HL27" s="339"/>
      <c r="HM27" s="339"/>
      <c r="HN27" s="339"/>
      <c r="HO27" s="339"/>
      <c r="HP27" s="339"/>
      <c r="HQ27" s="339"/>
      <c r="HR27" s="339"/>
      <c r="HS27" s="339"/>
      <c r="HT27" s="339"/>
      <c r="HU27" s="339"/>
      <c r="HV27" s="339"/>
      <c r="HW27" s="339"/>
      <c r="HX27" s="339"/>
      <c r="HY27" s="339"/>
      <c r="HZ27" s="339"/>
      <c r="IA27" s="339"/>
      <c r="IB27" s="339"/>
      <c r="IC27" s="339"/>
      <c r="ID27" s="339"/>
      <c r="IE27" s="339"/>
      <c r="IF27" s="339"/>
      <c r="IG27" s="339"/>
      <c r="IH27" s="339"/>
      <c r="II27" s="339"/>
      <c r="IJ27" s="339"/>
      <c r="IK27" s="339"/>
      <c r="IL27" s="339"/>
      <c r="IM27" s="339"/>
      <c r="IN27" s="339"/>
      <c r="IO27" s="339"/>
      <c r="IP27" s="339"/>
      <c r="IQ27" s="339"/>
      <c r="IR27" s="339"/>
      <c r="IS27" s="339"/>
      <c r="IT27" s="339"/>
      <c r="IU27" s="339"/>
      <c r="IV27" s="339"/>
      <c r="IW27" s="339"/>
      <c r="IX27" s="339"/>
      <c r="IY27" s="339"/>
      <c r="IZ27" s="339"/>
      <c r="JA27" s="339"/>
      <c r="JB27" s="339"/>
      <c r="JC27" s="339"/>
      <c r="JD27" s="339"/>
      <c r="JE27" s="339"/>
      <c r="JF27" s="339"/>
      <c r="JG27" s="339"/>
      <c r="JH27" s="339"/>
      <c r="JI27" s="339"/>
      <c r="JJ27" s="339"/>
      <c r="JK27" s="339"/>
      <c r="JL27" s="339"/>
      <c r="JM27" s="339"/>
      <c r="JN27" s="339"/>
      <c r="JO27" s="339"/>
      <c r="JP27" s="339"/>
      <c r="JQ27" s="339"/>
      <c r="JR27" s="339"/>
      <c r="JS27" s="339"/>
      <c r="JT27" s="339"/>
      <c r="JU27" s="339"/>
      <c r="JV27" s="339"/>
      <c r="JW27" s="339"/>
      <c r="JX27" s="339"/>
      <c r="JY27" s="339"/>
      <c r="JZ27" s="339"/>
      <c r="KA27" s="339"/>
      <c r="KB27" s="339"/>
      <c r="KC27" s="339"/>
    </row>
    <row r="28" spans="1:289" ht="21">
      <c r="A28" s="1929"/>
      <c r="B28" s="851"/>
      <c r="C28" s="851"/>
      <c r="D28" s="851"/>
      <c r="E28" s="851"/>
      <c r="F28" s="851"/>
      <c r="G28" s="851"/>
      <c r="H28" s="851"/>
      <c r="I28" s="851"/>
      <c r="J28" s="851"/>
      <c r="K28" s="851"/>
      <c r="L28" s="851"/>
      <c r="M28" s="843"/>
      <c r="N28" s="843"/>
      <c r="O28" s="843"/>
      <c r="P28" s="843"/>
      <c r="Q28" s="843"/>
      <c r="R28" s="843"/>
      <c r="S28" s="843"/>
      <c r="T28" s="843"/>
      <c r="U28" s="843"/>
      <c r="V28" s="843"/>
      <c r="W28" s="843"/>
      <c r="X28" s="843"/>
      <c r="Y28" s="843"/>
      <c r="Z28" s="843"/>
      <c r="AA28" s="843"/>
      <c r="AB28" s="843"/>
      <c r="AC28" s="843"/>
      <c r="AD28" s="843"/>
      <c r="AE28" s="843"/>
      <c r="AF28" s="843"/>
      <c r="AG28" s="843"/>
      <c r="AH28" s="843"/>
      <c r="AI28" s="843"/>
      <c r="AJ28" s="843"/>
      <c r="AK28" s="843"/>
      <c r="AL28" s="843"/>
      <c r="AM28" s="843"/>
      <c r="AN28" s="843"/>
      <c r="AO28" s="843"/>
      <c r="AP28" s="843"/>
      <c r="AQ28" s="843"/>
      <c r="AR28" s="843"/>
      <c r="AS28" s="843"/>
      <c r="AT28" s="843"/>
      <c r="AU28" s="843"/>
      <c r="AV28" s="843"/>
      <c r="AW28" s="843"/>
      <c r="AX28" s="843"/>
      <c r="AY28" s="843"/>
      <c r="AZ28" s="843"/>
      <c r="BA28" s="843"/>
      <c r="BB28" s="843"/>
      <c r="BC28" s="843"/>
      <c r="BD28" s="843"/>
      <c r="BE28" s="843"/>
      <c r="BF28" s="843"/>
      <c r="BG28" s="843"/>
      <c r="BH28" s="886"/>
      <c r="BI28" s="875"/>
      <c r="BJ28" s="875"/>
      <c r="BK28" s="875"/>
      <c r="BL28" s="875"/>
      <c r="BM28" s="875"/>
      <c r="BN28" s="875"/>
      <c r="BO28" s="875"/>
      <c r="BP28" s="875"/>
      <c r="BQ28" s="875"/>
      <c r="BR28" s="875"/>
      <c r="BS28" s="875"/>
      <c r="BT28" s="875"/>
      <c r="BU28" s="875"/>
      <c r="BV28" s="875"/>
      <c r="BW28" s="875"/>
      <c r="BX28" s="875"/>
      <c r="BY28" s="875"/>
      <c r="BZ28" s="875"/>
      <c r="CA28" s="875"/>
      <c r="CB28" s="875"/>
      <c r="CC28" s="875"/>
      <c r="CD28" s="875"/>
      <c r="CE28" s="875"/>
      <c r="CF28" s="875"/>
      <c r="CG28" s="875"/>
      <c r="CH28" s="875"/>
      <c r="CI28" s="875"/>
      <c r="CJ28" s="875"/>
      <c r="CK28" s="875"/>
      <c r="CL28" s="875"/>
      <c r="CM28" s="875"/>
      <c r="CN28" s="875"/>
      <c r="CO28" s="875"/>
      <c r="CP28" s="875"/>
      <c r="CQ28" s="875"/>
      <c r="CR28" s="875"/>
      <c r="CS28" s="875"/>
      <c r="CT28" s="875"/>
      <c r="CU28" s="875"/>
      <c r="CV28" s="875"/>
      <c r="CW28" s="875"/>
      <c r="CX28" s="875"/>
      <c r="CY28" s="875"/>
      <c r="CZ28" s="875"/>
      <c r="DA28" s="875"/>
      <c r="DB28" s="875"/>
      <c r="DC28" s="875"/>
      <c r="DD28" s="875"/>
      <c r="DE28" s="875"/>
      <c r="DF28" s="875"/>
      <c r="DG28" s="875"/>
      <c r="DH28" s="875"/>
      <c r="DI28" s="875"/>
      <c r="DJ28" s="875"/>
      <c r="DK28" s="875"/>
      <c r="DL28" s="875"/>
      <c r="DM28" s="875"/>
      <c r="DN28" s="875"/>
      <c r="DO28" s="875"/>
      <c r="DP28" s="875"/>
      <c r="DQ28" s="875"/>
      <c r="DR28" s="875"/>
      <c r="DS28" s="875"/>
      <c r="DT28" s="875"/>
      <c r="DU28" s="875"/>
      <c r="DV28" s="875"/>
      <c r="DW28" s="875"/>
      <c r="DX28" s="875"/>
      <c r="DY28" s="875"/>
      <c r="DZ28" s="875"/>
      <c r="EA28" s="875"/>
      <c r="EB28" s="875"/>
      <c r="EC28" s="875"/>
      <c r="ED28" s="875"/>
      <c r="EE28" s="875"/>
      <c r="EF28" s="875"/>
      <c r="EG28" s="875"/>
      <c r="EH28" s="875"/>
      <c r="EI28" s="875"/>
      <c r="EJ28" s="875"/>
      <c r="EK28" s="875"/>
      <c r="EL28" s="875"/>
      <c r="EM28" s="875"/>
      <c r="EN28" s="875"/>
      <c r="EO28" s="875"/>
      <c r="EP28" s="875"/>
      <c r="EQ28" s="875"/>
      <c r="ER28" s="875"/>
      <c r="ES28" s="875"/>
      <c r="ET28" s="875"/>
      <c r="EU28" s="1919"/>
      <c r="EV28" s="339"/>
      <c r="EW28" s="339"/>
      <c r="EX28" s="339"/>
      <c r="EY28" s="339"/>
      <c r="EZ28" s="342"/>
      <c r="FA28" s="339"/>
      <c r="FB28" s="339"/>
      <c r="FC28" s="339"/>
      <c r="FD28" s="339"/>
      <c r="FE28" s="339"/>
      <c r="FF28" s="339"/>
      <c r="FG28" s="339"/>
      <c r="FH28" s="339"/>
      <c r="FI28" s="339"/>
      <c r="FJ28" s="339"/>
      <c r="FK28" s="339"/>
      <c r="FL28" s="339"/>
      <c r="FM28" s="339"/>
      <c r="FN28" s="339"/>
      <c r="FO28" s="339"/>
      <c r="FP28" s="339"/>
      <c r="FQ28" s="339"/>
      <c r="FR28" s="339"/>
      <c r="FS28" s="339"/>
      <c r="FT28" s="339"/>
      <c r="FU28" s="339"/>
      <c r="FV28" s="339"/>
      <c r="FW28" s="339"/>
      <c r="FX28" s="339"/>
      <c r="FY28" s="339"/>
      <c r="FZ28" s="339"/>
      <c r="GA28" s="339"/>
      <c r="GB28" s="339"/>
      <c r="GC28" s="339"/>
      <c r="GD28" s="339"/>
      <c r="GE28" s="339"/>
      <c r="GF28" s="339"/>
      <c r="GG28" s="339"/>
      <c r="GH28" s="339"/>
      <c r="GI28" s="339"/>
      <c r="GJ28" s="339"/>
      <c r="GK28" s="339"/>
      <c r="GL28" s="339"/>
      <c r="GM28" s="339"/>
      <c r="GN28" s="339"/>
      <c r="GO28" s="339"/>
      <c r="GP28" s="339"/>
      <c r="GQ28" s="339"/>
      <c r="GR28" s="339"/>
      <c r="GS28" s="339"/>
      <c r="GT28" s="339"/>
      <c r="GU28" s="339"/>
      <c r="GV28" s="339"/>
      <c r="GW28" s="339"/>
      <c r="GX28" s="339"/>
      <c r="GY28" s="339"/>
      <c r="GZ28" s="339"/>
      <c r="HA28" s="339"/>
      <c r="HB28" s="339"/>
      <c r="HC28" s="339"/>
      <c r="HD28" s="339"/>
      <c r="HE28" s="339"/>
      <c r="HF28" s="339"/>
      <c r="HG28" s="339"/>
      <c r="HH28" s="339"/>
      <c r="HI28" s="339"/>
      <c r="HJ28" s="339"/>
      <c r="HK28" s="339"/>
      <c r="HL28" s="339"/>
      <c r="HM28" s="339"/>
      <c r="HN28" s="339"/>
      <c r="HO28" s="339"/>
      <c r="HP28" s="339"/>
      <c r="HQ28" s="339"/>
      <c r="HR28" s="339"/>
      <c r="HS28" s="339"/>
      <c r="HT28" s="339"/>
      <c r="HU28" s="339"/>
      <c r="HV28" s="339"/>
      <c r="HW28" s="339"/>
      <c r="HX28" s="339"/>
      <c r="HY28" s="339"/>
      <c r="HZ28" s="339"/>
      <c r="IA28" s="339"/>
      <c r="IB28" s="339"/>
      <c r="IC28" s="339"/>
      <c r="ID28" s="339"/>
      <c r="IE28" s="339"/>
      <c r="IF28" s="339"/>
      <c r="IG28" s="339"/>
      <c r="IH28" s="339"/>
      <c r="II28" s="339"/>
      <c r="IJ28" s="339"/>
      <c r="IK28" s="339"/>
      <c r="IL28" s="339"/>
      <c r="IM28" s="339"/>
      <c r="IN28" s="339"/>
      <c r="IO28" s="339"/>
      <c r="IP28" s="339"/>
      <c r="IQ28" s="339"/>
      <c r="IR28" s="339"/>
      <c r="IS28" s="339"/>
      <c r="IT28" s="339"/>
      <c r="IU28" s="339"/>
      <c r="IV28" s="339"/>
      <c r="IW28" s="339"/>
      <c r="IX28" s="339"/>
      <c r="IY28" s="339"/>
      <c r="IZ28" s="339"/>
      <c r="JA28" s="339"/>
      <c r="JB28" s="339"/>
      <c r="JC28" s="339"/>
      <c r="JD28" s="339"/>
      <c r="JE28" s="339"/>
      <c r="JF28" s="339"/>
      <c r="JG28" s="339"/>
      <c r="JH28" s="339"/>
      <c r="JI28" s="339"/>
      <c r="JJ28" s="339"/>
      <c r="JK28" s="339"/>
      <c r="JL28" s="339"/>
      <c r="JM28" s="339"/>
      <c r="JN28" s="339"/>
      <c r="JO28" s="339"/>
      <c r="JP28" s="339"/>
      <c r="JQ28" s="339"/>
      <c r="JR28" s="339"/>
      <c r="JS28" s="339"/>
      <c r="JT28" s="339"/>
      <c r="JU28" s="339"/>
      <c r="JV28" s="339"/>
      <c r="JW28" s="339"/>
      <c r="JX28" s="339"/>
      <c r="JY28" s="339"/>
      <c r="JZ28" s="339"/>
      <c r="KA28" s="339"/>
      <c r="KB28" s="339"/>
      <c r="KC28" s="339"/>
    </row>
    <row r="29" spans="1:289" ht="21">
      <c r="A29" s="1952" t="s">
        <v>189</v>
      </c>
      <c r="B29" s="851">
        <v>890.79571515999999</v>
      </c>
      <c r="C29" s="851">
        <v>1198.7368987</v>
      </c>
      <c r="D29" s="851">
        <v>1272.8284622400001</v>
      </c>
      <c r="E29" s="851">
        <v>1471.3395681400002</v>
      </c>
      <c r="F29" s="851">
        <v>1566.4748872100001</v>
      </c>
      <c r="G29" s="851">
        <v>1619.0921400500001</v>
      </c>
      <c r="H29" s="851">
        <v>1687.8298249200002</v>
      </c>
      <c r="I29" s="851">
        <v>1743.49229616</v>
      </c>
      <c r="J29" s="851">
        <v>1787.96960162</v>
      </c>
      <c r="K29" s="851">
        <v>1816.9938925499998</v>
      </c>
      <c r="L29" s="851">
        <v>1862.6899854200001</v>
      </c>
      <c r="M29" s="840">
        <v>1878.8883455599998</v>
      </c>
      <c r="N29" s="843">
        <v>1511.6176579799999</v>
      </c>
      <c r="O29" s="843">
        <v>1550.9892783299999</v>
      </c>
      <c r="P29" s="843">
        <v>1579.1461440100002</v>
      </c>
      <c r="Q29" s="843">
        <v>1611.5456076100002</v>
      </c>
      <c r="R29" s="843">
        <v>1678.88326923</v>
      </c>
      <c r="S29" s="843">
        <v>1738.3149132199999</v>
      </c>
      <c r="T29" s="843">
        <v>1788.43189207</v>
      </c>
      <c r="U29" s="843">
        <v>1837.0001609799999</v>
      </c>
      <c r="V29" s="843">
        <v>1863.4743088100001</v>
      </c>
      <c r="W29" s="843">
        <v>1889.6121977600001</v>
      </c>
      <c r="X29" s="843">
        <v>1942.86173001</v>
      </c>
      <c r="Y29" s="840">
        <v>1923.1711851400003</v>
      </c>
      <c r="Z29" s="843">
        <v>1921.8867576</v>
      </c>
      <c r="AA29" s="843">
        <v>1392.36091562</v>
      </c>
      <c r="AB29" s="840">
        <v>1346.28938034</v>
      </c>
      <c r="AC29" s="840">
        <v>1307.5959270199999</v>
      </c>
      <c r="AD29" s="840">
        <v>1297.9577175899999</v>
      </c>
      <c r="AE29" s="840">
        <v>1285.33523612</v>
      </c>
      <c r="AF29" s="840">
        <v>1309.56777124</v>
      </c>
      <c r="AG29" s="840">
        <v>1300.0164706099999</v>
      </c>
      <c r="AH29" s="840">
        <v>1281.0151419000003</v>
      </c>
      <c r="AI29" s="840">
        <v>1287.48181505</v>
      </c>
      <c r="AJ29" s="840">
        <v>1318.35725819</v>
      </c>
      <c r="AK29" s="840">
        <v>1497.2529906499999</v>
      </c>
      <c r="AL29" s="840">
        <v>1550.12783655</v>
      </c>
      <c r="AM29" s="840">
        <v>1549.0895509700001</v>
      </c>
      <c r="AN29" s="840">
        <v>1544.9567681500002</v>
      </c>
      <c r="AO29" s="840">
        <v>1414.1348277799998</v>
      </c>
      <c r="AP29" s="840">
        <v>1434.4991705800001</v>
      </c>
      <c r="AQ29" s="840">
        <v>1220.2067439100001</v>
      </c>
      <c r="AR29" s="840">
        <v>799.94520016000001</v>
      </c>
      <c r="AS29" s="840">
        <v>800.11657141000012</v>
      </c>
      <c r="AT29" s="840">
        <v>803.04256210999995</v>
      </c>
      <c r="AU29" s="840">
        <v>740.57597749999991</v>
      </c>
      <c r="AV29" s="840">
        <v>739.09115025999995</v>
      </c>
      <c r="AW29" s="840">
        <v>737.83972367000013</v>
      </c>
      <c r="AX29" s="840">
        <v>735.32486495000001</v>
      </c>
      <c r="AY29" s="840">
        <v>732.36087268999995</v>
      </c>
      <c r="AZ29" s="840">
        <v>725.70090312000002</v>
      </c>
      <c r="BA29" s="840">
        <v>723.19943367000008</v>
      </c>
      <c r="BB29" s="840">
        <v>691.37506354000004</v>
      </c>
      <c r="BC29" s="840">
        <v>652.14528225000004</v>
      </c>
      <c r="BD29" s="840">
        <v>382.22341072</v>
      </c>
      <c r="BE29" s="840">
        <v>351.52412009</v>
      </c>
      <c r="BF29" s="840">
        <v>346.49782775</v>
      </c>
      <c r="BG29" s="840">
        <v>341.72139575000006</v>
      </c>
      <c r="BH29" s="885">
        <v>334.97680702999997</v>
      </c>
      <c r="BI29" s="874">
        <v>354.94423090000004</v>
      </c>
      <c r="BJ29" s="874">
        <v>352.083395</v>
      </c>
      <c r="BK29" s="874">
        <v>347.64340625</v>
      </c>
      <c r="BL29" s="874">
        <v>335.38872108999999</v>
      </c>
      <c r="BM29" s="874">
        <v>325.92517979999997</v>
      </c>
      <c r="BN29" s="874">
        <v>321.97520028000002</v>
      </c>
      <c r="BO29" s="874">
        <v>323.09564045999997</v>
      </c>
      <c r="BP29" s="874">
        <v>312.18303608000002</v>
      </c>
      <c r="BQ29" s="874">
        <v>304.47872896000001</v>
      </c>
      <c r="BR29" s="874">
        <v>159.63269509999998</v>
      </c>
      <c r="BS29" s="874">
        <v>145.56443143000001</v>
      </c>
      <c r="BT29" s="874">
        <v>140.46951541999999</v>
      </c>
      <c r="BU29" s="874">
        <v>121.54355838000001</v>
      </c>
      <c r="BV29" s="874">
        <v>95.96268065000001</v>
      </c>
      <c r="BW29" s="874">
        <v>95.917389620000009</v>
      </c>
      <c r="BX29" s="874">
        <v>98.397067490000012</v>
      </c>
      <c r="BY29" s="874">
        <v>86.384385230000007</v>
      </c>
      <c r="BZ29" s="874">
        <v>84.266923140000003</v>
      </c>
      <c r="CA29" s="874">
        <v>84.825405849999996</v>
      </c>
      <c r="CB29" s="874">
        <v>80.925907820000006</v>
      </c>
      <c r="CC29" s="874">
        <v>88.506229579999982</v>
      </c>
      <c r="CD29" s="874">
        <v>91.765076379999996</v>
      </c>
      <c r="CE29" s="874">
        <v>85.204461679999994</v>
      </c>
      <c r="CF29" s="874">
        <v>106.93877567999998</v>
      </c>
      <c r="CG29" s="874">
        <v>117.96085544</v>
      </c>
      <c r="CH29" s="874">
        <v>113.76335682999999</v>
      </c>
      <c r="CI29" s="874">
        <v>111.59863451</v>
      </c>
      <c r="CJ29" s="874">
        <v>126.40781910999999</v>
      </c>
      <c r="CK29" s="874">
        <v>122.4747764</v>
      </c>
      <c r="CL29" s="874">
        <v>131.43122552</v>
      </c>
      <c r="CM29" s="874">
        <v>126.28819065</v>
      </c>
      <c r="CN29" s="874">
        <v>129.02320048000001</v>
      </c>
      <c r="CO29" s="874">
        <v>129.80404823000001</v>
      </c>
      <c r="CP29" s="874">
        <v>131.96744502999999</v>
      </c>
      <c r="CQ29" s="874">
        <v>127.95581802999999</v>
      </c>
      <c r="CR29" s="874">
        <v>146.54716535999998</v>
      </c>
      <c r="CS29" s="874">
        <v>158.77626090000001</v>
      </c>
      <c r="CT29" s="874">
        <v>172.36667965999999</v>
      </c>
      <c r="CU29" s="874">
        <v>178.03286011</v>
      </c>
      <c r="CV29" s="874">
        <v>175.91222725</v>
      </c>
      <c r="CW29" s="874">
        <v>187.54890130999999</v>
      </c>
      <c r="CX29" s="874">
        <v>188.04226036</v>
      </c>
      <c r="CY29" s="874">
        <v>194.78366169</v>
      </c>
      <c r="CZ29" s="874">
        <v>191.16270983000001</v>
      </c>
      <c r="DA29" s="874">
        <v>198.08410673</v>
      </c>
      <c r="DB29" s="874">
        <v>209.93223510000001</v>
      </c>
      <c r="DC29" s="874">
        <v>219.85982440999999</v>
      </c>
      <c r="DD29" s="874">
        <v>222.73273567999999</v>
      </c>
      <c r="DE29" s="874">
        <v>240.51215160000001</v>
      </c>
      <c r="DF29" s="874">
        <v>245.88349364999999</v>
      </c>
      <c r="DG29" s="874">
        <v>276.55412602000001</v>
      </c>
      <c r="DH29" s="874">
        <v>320.73492220000003</v>
      </c>
      <c r="DI29" s="874">
        <v>338.59527075</v>
      </c>
      <c r="DJ29" s="874">
        <v>341.60367215000002</v>
      </c>
      <c r="DK29" s="874">
        <v>349.31707141999999</v>
      </c>
      <c r="DL29" s="874">
        <v>366.76003234000001</v>
      </c>
      <c r="DM29" s="874">
        <v>376.49095388000001</v>
      </c>
      <c r="DN29" s="874">
        <v>383.07822636999998</v>
      </c>
      <c r="DO29" s="874">
        <v>373.48808291</v>
      </c>
      <c r="DP29" s="874">
        <v>378.15259449000001</v>
      </c>
      <c r="DQ29" s="874">
        <v>415.44770054999998</v>
      </c>
      <c r="DR29" s="874">
        <v>404.96158214000002</v>
      </c>
      <c r="DS29" s="874">
        <v>368.39667006000002</v>
      </c>
      <c r="DT29" s="874">
        <v>348.57128888</v>
      </c>
      <c r="DU29" s="874">
        <v>361.78920592999998</v>
      </c>
      <c r="DV29" s="874">
        <v>380.63661210999999</v>
      </c>
      <c r="DW29" s="874">
        <v>401.30466883999998</v>
      </c>
      <c r="DX29" s="874">
        <v>410.34907476000001</v>
      </c>
      <c r="DY29" s="874">
        <v>405.75321464000001</v>
      </c>
      <c r="DZ29" s="874">
        <v>431.96067763000002</v>
      </c>
      <c r="EA29" s="874">
        <v>438.10500918999998</v>
      </c>
      <c r="EB29" s="874">
        <v>467.92446805999998</v>
      </c>
      <c r="EC29" s="874">
        <v>496.47838488999997</v>
      </c>
      <c r="ED29" s="874">
        <v>494.46645344000001</v>
      </c>
      <c r="EE29" s="874">
        <v>498.12760682999999</v>
      </c>
      <c r="EF29" s="874">
        <v>497.99630363</v>
      </c>
      <c r="EG29" s="874">
        <v>513.60802859</v>
      </c>
      <c r="EH29" s="874">
        <v>519.30917316</v>
      </c>
      <c r="EI29" s="874">
        <v>527.91162033000001</v>
      </c>
      <c r="EJ29" s="874">
        <v>526.77163775999998</v>
      </c>
      <c r="EK29" s="874">
        <v>557.35253776000002</v>
      </c>
      <c r="EL29" s="874">
        <v>558.08852230000002</v>
      </c>
      <c r="EM29" s="874">
        <v>647.94660190000002</v>
      </c>
      <c r="EN29" s="874">
        <v>687.41437373999997</v>
      </c>
      <c r="EO29" s="874">
        <v>674.85302464999995</v>
      </c>
      <c r="EP29" s="874">
        <v>714.57726283</v>
      </c>
      <c r="EQ29" s="874">
        <v>727.35512334999999</v>
      </c>
      <c r="ER29" s="874">
        <v>741.94678979000003</v>
      </c>
      <c r="ES29" s="874">
        <v>739.52492529999995</v>
      </c>
      <c r="ET29" s="874">
        <v>763.40400394000005</v>
      </c>
      <c r="EU29" s="1922" t="s">
        <v>212</v>
      </c>
      <c r="EV29" s="339"/>
      <c r="EW29" s="339"/>
      <c r="EX29" s="339"/>
      <c r="EY29" s="339"/>
      <c r="EZ29" s="342"/>
      <c r="FA29" s="339"/>
      <c r="FB29" s="339"/>
      <c r="FC29" s="339"/>
      <c r="FD29" s="339"/>
      <c r="FE29" s="339"/>
      <c r="FF29" s="339"/>
      <c r="FG29" s="339"/>
      <c r="FH29" s="339"/>
      <c r="FI29" s="339"/>
      <c r="FJ29" s="339"/>
      <c r="FK29" s="339"/>
      <c r="FL29" s="339"/>
      <c r="FM29" s="339"/>
      <c r="FN29" s="339"/>
      <c r="FO29" s="339"/>
      <c r="FP29" s="339"/>
      <c r="FQ29" s="339"/>
      <c r="FR29" s="339"/>
      <c r="FS29" s="339"/>
      <c r="FT29" s="339"/>
      <c r="FU29" s="339"/>
      <c r="FV29" s="339"/>
      <c r="FW29" s="339"/>
      <c r="FX29" s="339"/>
      <c r="FY29" s="339"/>
      <c r="FZ29" s="339"/>
      <c r="GA29" s="339"/>
      <c r="GB29" s="339"/>
      <c r="GC29" s="339"/>
      <c r="GD29" s="339"/>
      <c r="GE29" s="339"/>
      <c r="GF29" s="339"/>
      <c r="GG29" s="339"/>
      <c r="GH29" s="339"/>
      <c r="GI29" s="339"/>
      <c r="GJ29" s="339"/>
      <c r="GK29" s="339"/>
      <c r="GL29" s="339"/>
      <c r="GM29" s="339"/>
      <c r="GN29" s="339"/>
      <c r="GO29" s="339"/>
      <c r="GP29" s="339"/>
      <c r="GQ29" s="339"/>
      <c r="GR29" s="339"/>
      <c r="GS29" s="339"/>
      <c r="GT29" s="339"/>
      <c r="GU29" s="339"/>
      <c r="GV29" s="339"/>
      <c r="GW29" s="339"/>
      <c r="GX29" s="339"/>
      <c r="GY29" s="339"/>
      <c r="GZ29" s="339"/>
      <c r="HA29" s="339"/>
      <c r="HB29" s="339"/>
      <c r="HC29" s="339"/>
      <c r="HD29" s="339"/>
      <c r="HE29" s="339"/>
      <c r="HF29" s="339"/>
      <c r="HG29" s="339"/>
      <c r="HH29" s="339"/>
      <c r="HI29" s="339"/>
      <c r="HJ29" s="339"/>
      <c r="HK29" s="339"/>
      <c r="HL29" s="339"/>
      <c r="HM29" s="339"/>
      <c r="HN29" s="339"/>
      <c r="HO29" s="339"/>
      <c r="HP29" s="339"/>
      <c r="HQ29" s="339"/>
      <c r="HR29" s="339"/>
      <c r="HS29" s="339"/>
      <c r="HT29" s="339"/>
      <c r="HU29" s="339"/>
      <c r="HV29" s="339"/>
      <c r="HW29" s="339"/>
      <c r="HX29" s="339"/>
      <c r="HY29" s="339"/>
      <c r="HZ29" s="339"/>
      <c r="IA29" s="339"/>
      <c r="IB29" s="339"/>
      <c r="IC29" s="339"/>
      <c r="ID29" s="339"/>
      <c r="IE29" s="339"/>
      <c r="IF29" s="339"/>
      <c r="IG29" s="339"/>
      <c r="IH29" s="339"/>
      <c r="II29" s="339"/>
      <c r="IJ29" s="339"/>
      <c r="IK29" s="339"/>
      <c r="IL29" s="339"/>
      <c r="IM29" s="339"/>
      <c r="IN29" s="339"/>
      <c r="IO29" s="339"/>
      <c r="IP29" s="339"/>
      <c r="IQ29" s="339"/>
      <c r="IR29" s="339"/>
      <c r="IS29" s="339"/>
      <c r="IT29" s="339"/>
      <c r="IU29" s="339"/>
      <c r="IV29" s="339"/>
      <c r="IW29" s="339"/>
      <c r="IX29" s="339"/>
      <c r="IY29" s="339"/>
      <c r="IZ29" s="339"/>
      <c r="JA29" s="339"/>
      <c r="JB29" s="339"/>
      <c r="JC29" s="339"/>
      <c r="JD29" s="339"/>
      <c r="JE29" s="339"/>
      <c r="JF29" s="339"/>
      <c r="JG29" s="339"/>
      <c r="JH29" s="339"/>
      <c r="JI29" s="339"/>
      <c r="JJ29" s="339"/>
      <c r="JK29" s="339"/>
      <c r="JL29" s="339"/>
      <c r="JM29" s="339"/>
      <c r="JN29" s="339"/>
      <c r="JO29" s="339"/>
      <c r="JP29" s="339"/>
      <c r="JQ29" s="339"/>
      <c r="JR29" s="339"/>
      <c r="JS29" s="339"/>
      <c r="JT29" s="339"/>
      <c r="JU29" s="339"/>
      <c r="JV29" s="339"/>
      <c r="JW29" s="339"/>
      <c r="JX29" s="339"/>
      <c r="JY29" s="339"/>
      <c r="JZ29" s="339"/>
      <c r="KA29" s="339"/>
      <c r="KB29" s="339"/>
      <c r="KC29" s="339"/>
    </row>
    <row r="30" spans="1:289" ht="21">
      <c r="A30" s="1953" t="s">
        <v>1974</v>
      </c>
      <c r="B30" s="851">
        <v>0.25</v>
      </c>
      <c r="C30" s="851">
        <v>0.25</v>
      </c>
      <c r="D30" s="851">
        <v>0.25</v>
      </c>
      <c r="E30" s="851">
        <v>0.25</v>
      </c>
      <c r="F30" s="851">
        <v>0.25</v>
      </c>
      <c r="G30" s="851">
        <v>0</v>
      </c>
      <c r="H30" s="851">
        <v>0</v>
      </c>
      <c r="I30" s="851">
        <v>0</v>
      </c>
      <c r="J30" s="851">
        <v>0</v>
      </c>
      <c r="K30" s="851">
        <v>0</v>
      </c>
      <c r="L30" s="851">
        <v>0</v>
      </c>
      <c r="M30" s="843">
        <v>7.4706999999999996E-2</v>
      </c>
      <c r="N30" s="843">
        <v>7.3109439999999998E-2</v>
      </c>
      <c r="O30" s="843">
        <v>7.142488000000001E-2</v>
      </c>
      <c r="P30" s="843">
        <v>6.9750350000000003E-2</v>
      </c>
      <c r="Q30" s="843">
        <v>6.8115490000000001E-2</v>
      </c>
      <c r="R30" s="843">
        <v>6.6336289999999992E-2</v>
      </c>
      <c r="S30" s="843">
        <v>15.064593910000001</v>
      </c>
      <c r="T30" s="843">
        <v>15.062885720000001</v>
      </c>
      <c r="U30" s="843">
        <v>15.06104144</v>
      </c>
      <c r="V30" s="843">
        <v>15.059228470000001</v>
      </c>
      <c r="W30" s="843">
        <v>13.18241765</v>
      </c>
      <c r="X30" s="843">
        <v>13.180530839999999</v>
      </c>
      <c r="Y30" s="843">
        <v>13.178644390000001</v>
      </c>
      <c r="Z30" s="843">
        <v>13.176732789999999</v>
      </c>
      <c r="AA30" s="843">
        <v>13.174795699999999</v>
      </c>
      <c r="AB30" s="843">
        <v>4.7832779999999998E-2</v>
      </c>
      <c r="AC30" s="843">
        <v>4.5864949999999995E-2</v>
      </c>
      <c r="AD30" s="843">
        <v>4.3829239999999998E-2</v>
      </c>
      <c r="AE30" s="843">
        <v>4.1786769999999994E-2</v>
      </c>
      <c r="AF30" s="843">
        <v>3.9735640000000003E-2</v>
      </c>
      <c r="AG30" s="843">
        <v>3.7620929999999997E-2</v>
      </c>
      <c r="AH30" s="843">
        <v>3.5529120000000004E-2</v>
      </c>
      <c r="AI30" s="843">
        <v>3.3344400000000003E-2</v>
      </c>
      <c r="AJ30" s="843">
        <v>3.116213E-2</v>
      </c>
      <c r="AK30" s="843">
        <v>2.8978459999999998E-2</v>
      </c>
      <c r="AL30" s="843">
        <v>4.6712219999999999E-2</v>
      </c>
      <c r="AM30" s="843">
        <v>4.4441519999999998E-2</v>
      </c>
      <c r="AN30" s="843">
        <v>6.0478279999999995E-2</v>
      </c>
      <c r="AO30" s="843">
        <v>5.4664629999999999E-2</v>
      </c>
      <c r="AP30" s="843">
        <v>56.314590189999997</v>
      </c>
      <c r="AQ30" s="843">
        <v>55.730397590000003</v>
      </c>
      <c r="AR30" s="843">
        <v>55.081193420000005</v>
      </c>
      <c r="AS30" s="843">
        <v>54.551722090000005</v>
      </c>
      <c r="AT30" s="843">
        <v>54.923990549999999</v>
      </c>
      <c r="AU30" s="843">
        <v>54.292623479999996</v>
      </c>
      <c r="AV30" s="843">
        <v>53.683810729999998</v>
      </c>
      <c r="AW30" s="843">
        <v>53.003649600000003</v>
      </c>
      <c r="AX30" s="843">
        <v>52.377924419999999</v>
      </c>
      <c r="AY30" s="843">
        <v>50.904900900000001</v>
      </c>
      <c r="AZ30" s="843">
        <v>48.536484869999995</v>
      </c>
      <c r="BA30" s="843">
        <v>47.479940810000002</v>
      </c>
      <c r="BB30" s="843">
        <v>46.475326200000005</v>
      </c>
      <c r="BC30" s="843">
        <v>45.826605630000003</v>
      </c>
      <c r="BD30" s="843">
        <v>45.105238899999996</v>
      </c>
      <c r="BE30" s="843">
        <v>44.03694385</v>
      </c>
      <c r="BF30" s="843">
        <v>43.070138360000001</v>
      </c>
      <c r="BG30" s="843">
        <v>42.063235509999998</v>
      </c>
      <c r="BH30" s="886">
        <v>41.181359880000002</v>
      </c>
      <c r="BI30" s="875">
        <v>40.200829729999995</v>
      </c>
      <c r="BJ30" s="875">
        <v>39.285286499999998</v>
      </c>
      <c r="BK30" s="875">
        <v>38.257577349999998</v>
      </c>
      <c r="BL30" s="875">
        <v>37.21594176</v>
      </c>
      <c r="BM30" s="875">
        <v>36.353385719999999</v>
      </c>
      <c r="BN30" s="875">
        <v>35.219896920000004</v>
      </c>
      <c r="BO30" s="875">
        <v>34.633920909999993</v>
      </c>
      <c r="BP30" s="875">
        <v>34.251979720000001</v>
      </c>
      <c r="BQ30" s="875">
        <v>33.725469459999999</v>
      </c>
      <c r="BR30" s="875">
        <v>36.154014939999996</v>
      </c>
      <c r="BS30" s="875">
        <v>35.667925140000001</v>
      </c>
      <c r="BT30" s="875">
        <v>34.090150689999994</v>
      </c>
      <c r="BU30" s="875">
        <v>32.47835697</v>
      </c>
      <c r="BV30" s="875">
        <v>7.7490047000000004</v>
      </c>
      <c r="BW30" s="875">
        <v>7.7490047000000004</v>
      </c>
      <c r="BX30" s="875">
        <v>7.7490047000000004</v>
      </c>
      <c r="BY30" s="875">
        <v>7.7490047000000004</v>
      </c>
      <c r="BZ30" s="875">
        <v>7.7490047000000004</v>
      </c>
      <c r="CA30" s="875">
        <v>7.1987613099999992</v>
      </c>
      <c r="CB30" s="875">
        <v>7.1987613099999992</v>
      </c>
      <c r="CC30" s="875">
        <v>7.1987613099999992</v>
      </c>
      <c r="CD30" s="875">
        <v>7.2495114100000002</v>
      </c>
      <c r="CE30" s="875">
        <v>7.2495114100000002</v>
      </c>
      <c r="CF30" s="875">
        <v>6.6920870800000003</v>
      </c>
      <c r="CG30" s="875">
        <v>13.743764759999999</v>
      </c>
      <c r="CH30" s="875">
        <v>6.7542097600000002</v>
      </c>
      <c r="CI30" s="875">
        <v>6.76465476</v>
      </c>
      <c r="CJ30" s="875">
        <v>10.04747476</v>
      </c>
      <c r="CK30" s="875">
        <v>6.9440869800000007</v>
      </c>
      <c r="CL30" s="875">
        <v>6.90028782</v>
      </c>
      <c r="CM30" s="875">
        <v>6.8296029200000001</v>
      </c>
      <c r="CN30" s="875">
        <v>6.8284654500000004</v>
      </c>
      <c r="CO30" s="875">
        <v>6.7577119699999999</v>
      </c>
      <c r="CP30" s="875">
        <v>6.6869387400000004</v>
      </c>
      <c r="CQ30" s="875">
        <v>6.6161454199999996</v>
      </c>
      <c r="CR30" s="875">
        <v>6.5451887900000001</v>
      </c>
      <c r="CS30" s="875">
        <v>6.4744988499999998</v>
      </c>
      <c r="CT30" s="875">
        <v>1.655616E-2</v>
      </c>
      <c r="CU30" s="875">
        <v>1.531357E-2</v>
      </c>
      <c r="CV30" s="875">
        <v>1.4039579999999999E-2</v>
      </c>
      <c r="CW30" s="875">
        <v>1.2735099999999999E-2</v>
      </c>
      <c r="CX30" s="875">
        <v>1.1415979999999999E-2</v>
      </c>
      <c r="CY30" s="875">
        <v>5.0073779999999998E-2</v>
      </c>
      <c r="CZ30" s="875">
        <v>4.8708090000000002E-2</v>
      </c>
      <c r="DA30" s="875">
        <v>4.597035E-2</v>
      </c>
      <c r="DB30" s="875">
        <v>4.0150859999999997E-2</v>
      </c>
      <c r="DC30" s="875">
        <v>8.7373889999999996E-2</v>
      </c>
      <c r="DD30" s="875">
        <v>1.07748541</v>
      </c>
      <c r="DE30" s="875">
        <v>3.5341092199999999</v>
      </c>
      <c r="DF30" s="875">
        <v>3.47492036</v>
      </c>
      <c r="DG30" s="875">
        <v>3.9652590000000001</v>
      </c>
      <c r="DH30" s="875">
        <v>4.3141974200000002</v>
      </c>
      <c r="DI30" s="875">
        <v>4.0142898499999999</v>
      </c>
      <c r="DJ30" s="875">
        <v>3.9360665500000001</v>
      </c>
      <c r="DK30" s="875">
        <v>3.8559742699999999</v>
      </c>
      <c r="DL30" s="875">
        <v>3.7757613999999999</v>
      </c>
      <c r="DM30" s="875">
        <v>3.8256600500000002</v>
      </c>
      <c r="DN30" s="875">
        <v>3.72869406</v>
      </c>
      <c r="DO30" s="875">
        <v>3.6407092200000002</v>
      </c>
      <c r="DP30" s="875">
        <v>3.5528039800000002</v>
      </c>
      <c r="DQ30" s="875">
        <v>3.4276491500000001</v>
      </c>
      <c r="DR30" s="875">
        <v>3.3272526500000001</v>
      </c>
      <c r="DS30" s="875">
        <v>3.2211372200000001</v>
      </c>
      <c r="DT30" s="875">
        <v>3.07214148</v>
      </c>
      <c r="DU30" s="875">
        <v>2.9378061600000001</v>
      </c>
      <c r="DV30" s="875">
        <v>2.80568989</v>
      </c>
      <c r="DW30" s="875">
        <v>2.7368298200000001</v>
      </c>
      <c r="DX30" s="875">
        <v>2.5393560800000001</v>
      </c>
      <c r="DY30" s="875">
        <v>2.40192351</v>
      </c>
      <c r="DZ30" s="875">
        <v>2.2569638200000002</v>
      </c>
      <c r="EA30" s="875">
        <v>2.1215335299999998</v>
      </c>
      <c r="EB30" s="875">
        <v>22.005020380000001</v>
      </c>
      <c r="EC30" s="875">
        <v>26.539853319999999</v>
      </c>
      <c r="ED30" s="875">
        <v>26.036267169999999</v>
      </c>
      <c r="EE30" s="875">
        <v>25.506268680000002</v>
      </c>
      <c r="EF30" s="875">
        <v>25.015596970000001</v>
      </c>
      <c r="EG30" s="875">
        <v>24.451615019999998</v>
      </c>
      <c r="EH30" s="875">
        <v>23.927911009999999</v>
      </c>
      <c r="EI30" s="875">
        <v>23.475236809999998</v>
      </c>
      <c r="EJ30" s="875">
        <v>22.923676260000001</v>
      </c>
      <c r="EK30" s="875">
        <v>32.543368600000001</v>
      </c>
      <c r="EL30" s="875">
        <v>31.936472240000001</v>
      </c>
      <c r="EM30" s="875">
        <v>31.310924610000001</v>
      </c>
      <c r="EN30" s="875">
        <v>34.062771840000003</v>
      </c>
      <c r="EO30" s="875">
        <v>33.704531350000003</v>
      </c>
      <c r="EP30" s="875">
        <v>33.01138272</v>
      </c>
      <c r="EQ30" s="875">
        <v>32.437535259999997</v>
      </c>
      <c r="ER30" s="875">
        <v>32.307414899999998</v>
      </c>
      <c r="ES30" s="875">
        <v>31.484647630000001</v>
      </c>
      <c r="ET30" s="875">
        <v>30.86975743</v>
      </c>
      <c r="EU30" s="1924" t="s">
        <v>4086</v>
      </c>
      <c r="EV30" s="339"/>
      <c r="EW30" s="339"/>
      <c r="EX30" s="339"/>
      <c r="EY30" s="339"/>
      <c r="EZ30" s="342"/>
      <c r="FA30" s="339"/>
      <c r="FB30" s="339"/>
      <c r="FC30" s="339"/>
      <c r="FD30" s="339"/>
      <c r="FE30" s="339"/>
      <c r="FF30" s="339"/>
      <c r="FG30" s="339"/>
      <c r="FH30" s="339"/>
      <c r="FI30" s="339"/>
      <c r="FJ30" s="339"/>
      <c r="FK30" s="339"/>
      <c r="FL30" s="339"/>
      <c r="FM30" s="339"/>
      <c r="FN30" s="339"/>
      <c r="FO30" s="339"/>
      <c r="FP30" s="339"/>
      <c r="FQ30" s="339"/>
      <c r="FR30" s="339"/>
      <c r="FS30" s="339"/>
      <c r="FT30" s="339"/>
      <c r="FU30" s="339"/>
      <c r="FV30" s="339"/>
      <c r="FW30" s="339"/>
      <c r="FX30" s="339"/>
      <c r="FY30" s="339"/>
      <c r="FZ30" s="339"/>
      <c r="GA30" s="339"/>
      <c r="GB30" s="339"/>
      <c r="GC30" s="339"/>
      <c r="GD30" s="339"/>
      <c r="GE30" s="339"/>
      <c r="GF30" s="339"/>
      <c r="GG30" s="339"/>
      <c r="GH30" s="339"/>
      <c r="GI30" s="339"/>
      <c r="GJ30" s="339"/>
      <c r="GK30" s="339"/>
      <c r="GL30" s="339"/>
      <c r="GM30" s="339"/>
      <c r="GN30" s="339"/>
      <c r="GO30" s="339"/>
      <c r="GP30" s="339"/>
      <c r="GQ30" s="339"/>
      <c r="GR30" s="339"/>
      <c r="GS30" s="339"/>
      <c r="GT30" s="339"/>
      <c r="GU30" s="339"/>
      <c r="GV30" s="339"/>
      <c r="GW30" s="339"/>
      <c r="GX30" s="339"/>
      <c r="GY30" s="339"/>
      <c r="GZ30" s="339"/>
      <c r="HA30" s="339"/>
      <c r="HB30" s="339"/>
      <c r="HC30" s="339"/>
      <c r="HD30" s="339"/>
      <c r="HE30" s="339"/>
      <c r="HF30" s="339"/>
      <c r="HG30" s="339"/>
      <c r="HH30" s="339"/>
      <c r="HI30" s="339"/>
      <c r="HJ30" s="339"/>
      <c r="HK30" s="339"/>
      <c r="HL30" s="339"/>
      <c r="HM30" s="339"/>
      <c r="HN30" s="339"/>
      <c r="HO30" s="339"/>
      <c r="HP30" s="339"/>
      <c r="HQ30" s="339"/>
      <c r="HR30" s="339"/>
      <c r="HS30" s="339"/>
      <c r="HT30" s="339"/>
      <c r="HU30" s="339"/>
      <c r="HV30" s="339"/>
      <c r="HW30" s="339"/>
      <c r="HX30" s="339"/>
      <c r="HY30" s="339"/>
      <c r="HZ30" s="339"/>
      <c r="IA30" s="339"/>
      <c r="IB30" s="339"/>
      <c r="IC30" s="339"/>
      <c r="ID30" s="339"/>
      <c r="IE30" s="339"/>
      <c r="IF30" s="339"/>
      <c r="IG30" s="339"/>
      <c r="IH30" s="339"/>
      <c r="II30" s="339"/>
      <c r="IJ30" s="339"/>
      <c r="IK30" s="339"/>
      <c r="IL30" s="339"/>
      <c r="IM30" s="339"/>
      <c r="IN30" s="339"/>
      <c r="IO30" s="339"/>
      <c r="IP30" s="339"/>
      <c r="IQ30" s="339"/>
      <c r="IR30" s="339"/>
      <c r="IS30" s="339"/>
      <c r="IT30" s="339"/>
      <c r="IU30" s="339"/>
      <c r="IV30" s="339"/>
      <c r="IW30" s="339"/>
      <c r="IX30" s="339"/>
      <c r="IY30" s="339"/>
      <c r="IZ30" s="339"/>
      <c r="JA30" s="339"/>
      <c r="JB30" s="339"/>
      <c r="JC30" s="339"/>
      <c r="JD30" s="339"/>
      <c r="JE30" s="339"/>
      <c r="JF30" s="339"/>
      <c r="JG30" s="339"/>
      <c r="JH30" s="339"/>
      <c r="JI30" s="339"/>
      <c r="JJ30" s="339"/>
      <c r="JK30" s="339"/>
      <c r="JL30" s="339"/>
      <c r="JM30" s="339"/>
      <c r="JN30" s="339"/>
      <c r="JO30" s="339"/>
      <c r="JP30" s="339"/>
      <c r="JQ30" s="339"/>
      <c r="JR30" s="339"/>
      <c r="JS30" s="339"/>
      <c r="JT30" s="339"/>
      <c r="JU30" s="339"/>
      <c r="JV30" s="339"/>
      <c r="JW30" s="339"/>
      <c r="JX30" s="339"/>
      <c r="JY30" s="339"/>
      <c r="JZ30" s="339"/>
      <c r="KA30" s="339"/>
      <c r="KB30" s="339"/>
      <c r="KC30" s="339"/>
    </row>
    <row r="31" spans="1:289" ht="21">
      <c r="A31" s="1953" t="s">
        <v>1975</v>
      </c>
      <c r="B31" s="850">
        <f>+B29-B30</f>
        <v>890.54571515999999</v>
      </c>
      <c r="C31" s="850">
        <f t="shared" ref="C31:R31" si="10">+C29-C30</f>
        <v>1198.4868987</v>
      </c>
      <c r="D31" s="850">
        <f t="shared" si="10"/>
        <v>1272.5784622400001</v>
      </c>
      <c r="E31" s="850">
        <f t="shared" si="10"/>
        <v>1471.0895681400002</v>
      </c>
      <c r="F31" s="850">
        <f t="shared" si="10"/>
        <v>1566.2248872100001</v>
      </c>
      <c r="G31" s="850">
        <f t="shared" si="10"/>
        <v>1619.0921400500001</v>
      </c>
      <c r="H31" s="850">
        <f t="shared" si="10"/>
        <v>1687.8298249200002</v>
      </c>
      <c r="I31" s="850">
        <f t="shared" si="10"/>
        <v>1743.49229616</v>
      </c>
      <c r="J31" s="850">
        <f t="shared" si="10"/>
        <v>1787.96960162</v>
      </c>
      <c r="K31" s="850">
        <f t="shared" si="10"/>
        <v>1816.9938925499998</v>
      </c>
      <c r="L31" s="850">
        <f t="shared" si="10"/>
        <v>1862.6899854200001</v>
      </c>
      <c r="M31" s="843">
        <f t="shared" si="10"/>
        <v>1878.8136385599998</v>
      </c>
      <c r="N31" s="840">
        <f t="shared" si="10"/>
        <v>1511.5445485399998</v>
      </c>
      <c r="O31" s="840">
        <f t="shared" si="10"/>
        <v>1550.9178534499999</v>
      </c>
      <c r="P31" s="840">
        <f t="shared" si="10"/>
        <v>1579.0763936600001</v>
      </c>
      <c r="Q31" s="840">
        <f t="shared" si="10"/>
        <v>1611.4774921200001</v>
      </c>
      <c r="R31" s="840">
        <f t="shared" si="10"/>
        <v>1678.81693294</v>
      </c>
      <c r="S31" s="840">
        <f>+S29-S30</f>
        <v>1723.2503193099999</v>
      </c>
      <c r="T31" s="840">
        <f>+T29-T30</f>
        <v>1773.3690063500001</v>
      </c>
      <c r="U31" s="840">
        <f>+U29-U30</f>
        <v>1821.9391195399999</v>
      </c>
      <c r="V31" s="840">
        <f>+V29-V30</f>
        <v>1848.41508034</v>
      </c>
      <c r="W31" s="840">
        <v>1876.4297801100001</v>
      </c>
      <c r="X31" s="840">
        <v>1929.6811991699999</v>
      </c>
      <c r="Y31" s="843">
        <v>1909.9925407500002</v>
      </c>
      <c r="Z31" s="840">
        <v>1908.71002481</v>
      </c>
      <c r="AA31" s="840">
        <v>1379.18611992</v>
      </c>
      <c r="AB31" s="843">
        <f>+AB29-AB30</f>
        <v>1346.2415475600001</v>
      </c>
      <c r="AC31" s="843">
        <v>1307.55006207</v>
      </c>
      <c r="AD31" s="843">
        <v>1297.91388835</v>
      </c>
      <c r="AE31" s="843">
        <v>1285.2934493499999</v>
      </c>
      <c r="AF31" s="843">
        <v>1309.5280356000001</v>
      </c>
      <c r="AG31" s="843">
        <v>1299.9788496799999</v>
      </c>
      <c r="AH31" s="843">
        <f>+AH29-AH30</f>
        <v>1280.9796127800003</v>
      </c>
      <c r="AI31" s="843">
        <v>1287.44847065</v>
      </c>
      <c r="AJ31" s="843">
        <f>+AJ29-AJ30</f>
        <v>1318.3260960600001</v>
      </c>
      <c r="AK31" s="843">
        <f>+AK29-AK30</f>
        <v>1497.2240121899999</v>
      </c>
      <c r="AL31" s="843">
        <v>1550.08112433</v>
      </c>
      <c r="AM31" s="843">
        <f>+AM29-AM30</f>
        <v>1549.0451094500002</v>
      </c>
      <c r="AN31" s="843">
        <f>+AN29-AN30</f>
        <v>1544.8962898700001</v>
      </c>
      <c r="AO31" s="843">
        <f>+AO29-AO30</f>
        <v>1414.0801631499999</v>
      </c>
      <c r="AP31" s="843">
        <f>+AP29-AP30</f>
        <v>1378.1845803900001</v>
      </c>
      <c r="AQ31" s="843">
        <v>1164.4763463200002</v>
      </c>
      <c r="AR31" s="843">
        <v>744.86400674000004</v>
      </c>
      <c r="AS31" s="843">
        <f>+AS29-AS30</f>
        <v>745.56484932000012</v>
      </c>
      <c r="AT31" s="843">
        <f>+AT29-AT30</f>
        <v>748.11857155999996</v>
      </c>
      <c r="AU31" s="843">
        <v>686.28335401999993</v>
      </c>
      <c r="AV31" s="843">
        <v>685.40733952999994</v>
      </c>
      <c r="AW31" s="843">
        <v>684.83607407000011</v>
      </c>
      <c r="AX31" s="843">
        <v>682.94694053000001</v>
      </c>
      <c r="AY31" s="843">
        <v>681.45597178999992</v>
      </c>
      <c r="AZ31" s="843">
        <v>677.16441825000004</v>
      </c>
      <c r="BA31" s="843">
        <v>675.71949286000006</v>
      </c>
      <c r="BB31" s="843">
        <v>644.89973734</v>
      </c>
      <c r="BC31" s="843">
        <v>606.31867662000002</v>
      </c>
      <c r="BD31" s="843">
        <f>+BD29-BD30</f>
        <v>337.11817181999999</v>
      </c>
      <c r="BE31" s="843">
        <v>307.48717624</v>
      </c>
      <c r="BF31" s="843">
        <v>303.42768939000001</v>
      </c>
      <c r="BG31" s="843">
        <v>299.65816024000003</v>
      </c>
      <c r="BH31" s="886">
        <v>293.79544714999997</v>
      </c>
      <c r="BI31" s="875">
        <v>314.74340117000003</v>
      </c>
      <c r="BJ31" s="875">
        <v>312.79810850000001</v>
      </c>
      <c r="BK31" s="875">
        <v>309.38582889999998</v>
      </c>
      <c r="BL31" s="875">
        <v>298.17277932999997</v>
      </c>
      <c r="BM31" s="875">
        <v>289.57179407999996</v>
      </c>
      <c r="BN31" s="875">
        <v>286.75530336000003</v>
      </c>
      <c r="BO31" s="875">
        <v>288.46171955</v>
      </c>
      <c r="BP31" s="875">
        <v>277.93105636000001</v>
      </c>
      <c r="BQ31" s="875">
        <v>270.75325950000001</v>
      </c>
      <c r="BR31" s="875">
        <v>123.47868015999998</v>
      </c>
      <c r="BS31" s="875">
        <v>109.89650629000002</v>
      </c>
      <c r="BT31" s="875">
        <v>106.37936472999999</v>
      </c>
      <c r="BU31" s="875">
        <v>89.065201410000014</v>
      </c>
      <c r="BV31" s="875">
        <v>88.21367595000001</v>
      </c>
      <c r="BW31" s="875">
        <v>88.168384920000008</v>
      </c>
      <c r="BX31" s="875">
        <v>90.648062790000012</v>
      </c>
      <c r="BY31" s="875">
        <v>78.635380530000006</v>
      </c>
      <c r="BZ31" s="875">
        <v>76.517918440000003</v>
      </c>
      <c r="CA31" s="875">
        <v>77.626644540000001</v>
      </c>
      <c r="CB31" s="875">
        <v>73.727146510000011</v>
      </c>
      <c r="CC31" s="875">
        <v>81.307468269999987</v>
      </c>
      <c r="CD31" s="875">
        <v>84.51556497</v>
      </c>
      <c r="CE31" s="875">
        <f t="shared" ref="CE31:CP31" si="11">+CE29-CE30</f>
        <v>77.954950269999998</v>
      </c>
      <c r="CF31" s="875">
        <f t="shared" si="11"/>
        <v>100.24668859999997</v>
      </c>
      <c r="CG31" s="875">
        <f t="shared" si="11"/>
        <v>104.21709068</v>
      </c>
      <c r="CH31" s="875">
        <f t="shared" si="11"/>
        <v>107.00914707</v>
      </c>
      <c r="CI31" s="875">
        <f t="shared" si="11"/>
        <v>104.83397975</v>
      </c>
      <c r="CJ31" s="875">
        <f t="shared" si="11"/>
        <v>116.36034434999999</v>
      </c>
      <c r="CK31" s="875">
        <f t="shared" si="11"/>
        <v>115.53068942</v>
      </c>
      <c r="CL31" s="875">
        <f t="shared" si="11"/>
        <v>124.5309377</v>
      </c>
      <c r="CM31" s="875">
        <f t="shared" si="11"/>
        <v>119.45858773</v>
      </c>
      <c r="CN31" s="875">
        <f t="shared" si="11"/>
        <v>122.19473503000002</v>
      </c>
      <c r="CO31" s="875">
        <f t="shared" si="11"/>
        <v>123.04633626</v>
      </c>
      <c r="CP31" s="875">
        <f t="shared" si="11"/>
        <v>125.28050628999999</v>
      </c>
      <c r="CQ31" s="875">
        <f>+CQ29-CQ30</f>
        <v>121.33967260999999</v>
      </c>
      <c r="CR31" s="875">
        <f>+CR29-CR30</f>
        <v>140.00197656999998</v>
      </c>
      <c r="CS31" s="875">
        <f>+CS29-CS30</f>
        <v>152.30176205000001</v>
      </c>
      <c r="CT31" s="875">
        <v>172.3501235</v>
      </c>
      <c r="CU31" s="875">
        <f>+CU29-CU30</f>
        <v>178.01754654000001</v>
      </c>
      <c r="CV31" s="875">
        <v>175.89818767</v>
      </c>
      <c r="CW31" s="875">
        <v>187.53616621</v>
      </c>
      <c r="CX31" s="875">
        <v>188.03084437999999</v>
      </c>
      <c r="CY31" s="875">
        <v>194.73358791000001</v>
      </c>
      <c r="CZ31" s="875">
        <v>191.11400174000002</v>
      </c>
      <c r="DA31" s="875">
        <v>198.03813638</v>
      </c>
      <c r="DB31" s="875">
        <v>209.89208424</v>
      </c>
      <c r="DC31" s="875">
        <f>+DC29-DC30</f>
        <v>219.77245051999998</v>
      </c>
      <c r="DD31" s="875">
        <v>221.65525026999998</v>
      </c>
      <c r="DE31" s="875">
        <v>236.97804238000001</v>
      </c>
      <c r="DF31" s="875">
        <v>242.40857328999999</v>
      </c>
      <c r="DG31" s="875">
        <f>+DG29-DG30</f>
        <v>272.58886702000001</v>
      </c>
      <c r="DH31" s="875">
        <v>316.42072478</v>
      </c>
      <c r="DI31" s="875">
        <f>+DI29-DI30</f>
        <v>334.58098089999999</v>
      </c>
      <c r="DJ31" s="875">
        <v>337.6676056</v>
      </c>
      <c r="DK31" s="875">
        <v>345.46109715</v>
      </c>
      <c r="DL31" s="875">
        <v>362.98427093999999</v>
      </c>
      <c r="DM31" s="875">
        <v>372.66529383</v>
      </c>
      <c r="DN31" s="875">
        <f>+DN29-DN30</f>
        <v>379.34953230999997</v>
      </c>
      <c r="DO31" s="875">
        <f>+DO29-DO30</f>
        <v>369.84737368999998</v>
      </c>
      <c r="DP31" s="875">
        <f>+DP29-DP30</f>
        <v>374.59979050999999</v>
      </c>
      <c r="DQ31" s="875">
        <f>+DQ29-DQ30</f>
        <v>412.0200514</v>
      </c>
      <c r="DR31" s="875">
        <v>401.63432949000003</v>
      </c>
      <c r="DS31" s="875">
        <v>365.17553284000002</v>
      </c>
      <c r="DT31" s="875">
        <v>345.49914739999997</v>
      </c>
      <c r="DU31" s="875">
        <f>+DU29-DU30</f>
        <v>358.85139977</v>
      </c>
      <c r="DV31" s="875">
        <f>+DV29-DV30</f>
        <v>377.83092221999999</v>
      </c>
      <c r="DW31" s="875">
        <v>398.56783901999995</v>
      </c>
      <c r="DX31" s="875">
        <v>407.80971868</v>
      </c>
      <c r="DY31" s="875">
        <v>403.35129112999999</v>
      </c>
      <c r="DZ31" s="875">
        <f>+DZ29-DZ30</f>
        <v>429.70371381000001</v>
      </c>
      <c r="EA31" s="875">
        <v>435.98347565999995</v>
      </c>
      <c r="EB31" s="875">
        <v>445.91944767999996</v>
      </c>
      <c r="EC31" s="875">
        <v>469.93853156999995</v>
      </c>
      <c r="ED31" s="875">
        <v>468.43018627000004</v>
      </c>
      <c r="EE31" s="875">
        <v>472.62133814999999</v>
      </c>
      <c r="EF31" s="875">
        <v>472.98070666000001</v>
      </c>
      <c r="EG31" s="875">
        <v>489.15641356999998</v>
      </c>
      <c r="EH31" s="875">
        <v>495.38126215</v>
      </c>
      <c r="EI31" s="875">
        <v>504.43638351999999</v>
      </c>
      <c r="EJ31" s="875">
        <f>+EJ29-EJ30</f>
        <v>503.8479615</v>
      </c>
      <c r="EK31" s="875">
        <v>524.80916916000001</v>
      </c>
      <c r="EL31" s="875">
        <v>526.15205005999997</v>
      </c>
      <c r="EM31" s="875">
        <v>616.63567728999999</v>
      </c>
      <c r="EN31" s="875">
        <f>+EN29-EN30</f>
        <v>653.35160189999999</v>
      </c>
      <c r="EO31" s="875">
        <v>641.14849329999993</v>
      </c>
      <c r="EP31" s="875">
        <v>681.56588010999997</v>
      </c>
      <c r="EQ31" s="875">
        <v>694.91758808999998</v>
      </c>
      <c r="ER31" s="875">
        <v>709.63937489</v>
      </c>
      <c r="ES31" s="875">
        <v>708.04027766999991</v>
      </c>
      <c r="ET31" s="875">
        <f>+ET29-ET30</f>
        <v>732.53424651</v>
      </c>
      <c r="EU31" s="1924" t="s">
        <v>4085</v>
      </c>
      <c r="EV31" s="339"/>
      <c r="EW31" s="339"/>
      <c r="EX31" s="339"/>
      <c r="EY31" s="339"/>
      <c r="EZ31" s="342"/>
      <c r="FA31" s="339"/>
      <c r="FB31" s="339"/>
      <c r="FC31" s="339"/>
      <c r="FD31" s="339"/>
      <c r="FE31" s="339"/>
      <c r="FF31" s="339"/>
      <c r="FG31" s="339"/>
      <c r="FH31" s="339"/>
      <c r="FI31" s="339"/>
      <c r="FJ31" s="339"/>
      <c r="FK31" s="339"/>
      <c r="FL31" s="339"/>
      <c r="FM31" s="339"/>
      <c r="FN31" s="339"/>
      <c r="FO31" s="339"/>
      <c r="FP31" s="339"/>
      <c r="FQ31" s="339"/>
      <c r="FR31" s="339"/>
      <c r="FS31" s="339"/>
      <c r="FT31" s="339"/>
      <c r="FU31" s="339"/>
      <c r="FV31" s="339"/>
      <c r="FW31" s="339"/>
      <c r="FX31" s="339"/>
      <c r="FY31" s="339"/>
      <c r="FZ31" s="339"/>
      <c r="GA31" s="339"/>
      <c r="GB31" s="339"/>
      <c r="GC31" s="339"/>
      <c r="GD31" s="339"/>
      <c r="GE31" s="339"/>
      <c r="GF31" s="339"/>
      <c r="GG31" s="339"/>
      <c r="GH31" s="339"/>
      <c r="GI31" s="339"/>
      <c r="GJ31" s="339"/>
      <c r="GK31" s="339"/>
      <c r="GL31" s="339"/>
      <c r="GM31" s="339"/>
      <c r="GN31" s="339"/>
      <c r="GO31" s="339"/>
      <c r="GP31" s="339"/>
      <c r="GQ31" s="339"/>
      <c r="GR31" s="339"/>
      <c r="GS31" s="339"/>
      <c r="GT31" s="339"/>
      <c r="GU31" s="339"/>
      <c r="GV31" s="339"/>
      <c r="GW31" s="339"/>
      <c r="GX31" s="339"/>
      <c r="GY31" s="339"/>
      <c r="GZ31" s="339"/>
      <c r="HA31" s="339"/>
      <c r="HB31" s="339"/>
      <c r="HC31" s="339"/>
      <c r="HD31" s="339"/>
      <c r="HE31" s="339"/>
      <c r="HF31" s="339"/>
      <c r="HG31" s="339"/>
      <c r="HH31" s="339"/>
      <c r="HI31" s="339"/>
      <c r="HJ31" s="339"/>
      <c r="HK31" s="339"/>
      <c r="HL31" s="339"/>
      <c r="HM31" s="339"/>
      <c r="HN31" s="339"/>
      <c r="HO31" s="339"/>
      <c r="HP31" s="339"/>
      <c r="HQ31" s="339"/>
      <c r="HR31" s="339"/>
      <c r="HS31" s="339"/>
      <c r="HT31" s="339"/>
      <c r="HU31" s="339"/>
      <c r="HV31" s="339"/>
      <c r="HW31" s="339"/>
      <c r="HX31" s="339"/>
      <c r="HY31" s="339"/>
      <c r="HZ31" s="339"/>
      <c r="IA31" s="339"/>
      <c r="IB31" s="339"/>
      <c r="IC31" s="339"/>
      <c r="ID31" s="339"/>
      <c r="IE31" s="339"/>
      <c r="IF31" s="339"/>
      <c r="IG31" s="339"/>
      <c r="IH31" s="339"/>
      <c r="II31" s="339"/>
      <c r="IJ31" s="339"/>
      <c r="IK31" s="339"/>
      <c r="IL31" s="339"/>
      <c r="IM31" s="339"/>
      <c r="IN31" s="339"/>
      <c r="IO31" s="339"/>
      <c r="IP31" s="339"/>
      <c r="IQ31" s="339"/>
      <c r="IR31" s="339"/>
      <c r="IS31" s="339"/>
      <c r="IT31" s="339"/>
      <c r="IU31" s="339"/>
      <c r="IV31" s="339"/>
      <c r="IW31" s="339"/>
      <c r="IX31" s="339"/>
      <c r="IY31" s="339"/>
      <c r="IZ31" s="339"/>
      <c r="JA31" s="339"/>
      <c r="JB31" s="339"/>
      <c r="JC31" s="339"/>
      <c r="JD31" s="339"/>
      <c r="JE31" s="339"/>
      <c r="JF31" s="339"/>
      <c r="JG31" s="339"/>
      <c r="JH31" s="339"/>
      <c r="JI31" s="339"/>
      <c r="JJ31" s="339"/>
      <c r="JK31" s="339"/>
      <c r="JL31" s="339"/>
      <c r="JM31" s="339"/>
      <c r="JN31" s="339"/>
      <c r="JO31" s="339"/>
      <c r="JP31" s="339"/>
      <c r="JQ31" s="339"/>
      <c r="JR31" s="339"/>
      <c r="JS31" s="339"/>
      <c r="JT31" s="339"/>
      <c r="JU31" s="339"/>
      <c r="JV31" s="339"/>
      <c r="JW31" s="339"/>
      <c r="JX31" s="339"/>
      <c r="JY31" s="339"/>
      <c r="JZ31" s="339"/>
      <c r="KA31" s="339"/>
      <c r="KB31" s="339"/>
      <c r="KC31" s="339"/>
    </row>
    <row r="32" spans="1:289" ht="21">
      <c r="A32" s="1954"/>
      <c r="B32" s="851"/>
      <c r="C32" s="851"/>
      <c r="D32" s="851"/>
      <c r="E32" s="851"/>
      <c r="F32" s="851"/>
      <c r="G32" s="851"/>
      <c r="H32" s="851"/>
      <c r="I32" s="851"/>
      <c r="J32" s="851"/>
      <c r="K32" s="851"/>
      <c r="L32" s="851"/>
      <c r="M32" s="843"/>
      <c r="N32" s="843"/>
      <c r="O32" s="843"/>
      <c r="P32" s="843"/>
      <c r="Q32" s="843"/>
      <c r="R32" s="843"/>
      <c r="S32" s="843"/>
      <c r="T32" s="843"/>
      <c r="U32" s="843"/>
      <c r="V32" s="843"/>
      <c r="W32" s="843"/>
      <c r="X32" s="843"/>
      <c r="Y32" s="843"/>
      <c r="Z32" s="843"/>
      <c r="AA32" s="843"/>
      <c r="AB32" s="843"/>
      <c r="AC32" s="843"/>
      <c r="AD32" s="843"/>
      <c r="AE32" s="843"/>
      <c r="AF32" s="843"/>
      <c r="AG32" s="843"/>
      <c r="AH32" s="843"/>
      <c r="AI32" s="843"/>
      <c r="AJ32" s="843"/>
      <c r="AK32" s="843"/>
      <c r="AL32" s="843"/>
      <c r="AM32" s="843"/>
      <c r="AN32" s="843"/>
      <c r="AO32" s="843"/>
      <c r="AP32" s="843"/>
      <c r="AQ32" s="843"/>
      <c r="AR32" s="843"/>
      <c r="AS32" s="843"/>
      <c r="AT32" s="843"/>
      <c r="AU32" s="843"/>
      <c r="AV32" s="843"/>
      <c r="AW32" s="843"/>
      <c r="AX32" s="843"/>
      <c r="AY32" s="843"/>
      <c r="AZ32" s="843"/>
      <c r="BA32" s="843"/>
      <c r="BB32" s="843"/>
      <c r="BC32" s="843"/>
      <c r="BD32" s="843"/>
      <c r="BE32" s="843"/>
      <c r="BF32" s="843"/>
      <c r="BG32" s="843"/>
      <c r="BH32" s="886"/>
      <c r="BI32" s="875"/>
      <c r="BJ32" s="875"/>
      <c r="BK32" s="875"/>
      <c r="BL32" s="875"/>
      <c r="BM32" s="875"/>
      <c r="BN32" s="875"/>
      <c r="BO32" s="875"/>
      <c r="BP32" s="875"/>
      <c r="BQ32" s="875"/>
      <c r="BR32" s="875"/>
      <c r="BS32" s="875"/>
      <c r="BT32" s="875"/>
      <c r="BU32" s="875"/>
      <c r="BV32" s="875"/>
      <c r="BW32" s="875"/>
      <c r="BX32" s="875"/>
      <c r="BY32" s="875"/>
      <c r="BZ32" s="875"/>
      <c r="CA32" s="875"/>
      <c r="CB32" s="875"/>
      <c r="CC32" s="875"/>
      <c r="CD32" s="875"/>
      <c r="CE32" s="875"/>
      <c r="CF32" s="875"/>
      <c r="CG32" s="875"/>
      <c r="CH32" s="875"/>
      <c r="CI32" s="875"/>
      <c r="CJ32" s="875"/>
      <c r="CK32" s="875"/>
      <c r="CL32" s="875"/>
      <c r="CM32" s="875"/>
      <c r="CN32" s="875"/>
      <c r="CO32" s="875"/>
      <c r="CP32" s="875"/>
      <c r="CQ32" s="875"/>
      <c r="CR32" s="875"/>
      <c r="CS32" s="875"/>
      <c r="CT32" s="875"/>
      <c r="CU32" s="875"/>
      <c r="CV32" s="875"/>
      <c r="CW32" s="875"/>
      <c r="CX32" s="875"/>
      <c r="CY32" s="875"/>
      <c r="CZ32" s="875"/>
      <c r="DA32" s="875"/>
      <c r="DB32" s="875"/>
      <c r="DC32" s="875"/>
      <c r="DD32" s="875"/>
      <c r="DE32" s="875"/>
      <c r="DF32" s="875"/>
      <c r="DG32" s="875"/>
      <c r="DH32" s="875"/>
      <c r="DI32" s="875"/>
      <c r="DJ32" s="875"/>
      <c r="DK32" s="875"/>
      <c r="DL32" s="875"/>
      <c r="DM32" s="875"/>
      <c r="DN32" s="875"/>
      <c r="DO32" s="875"/>
      <c r="DP32" s="875"/>
      <c r="DQ32" s="875"/>
      <c r="DR32" s="875"/>
      <c r="DS32" s="875"/>
      <c r="DT32" s="875"/>
      <c r="DU32" s="875"/>
      <c r="DV32" s="875"/>
      <c r="DW32" s="875"/>
      <c r="DX32" s="875"/>
      <c r="DY32" s="875"/>
      <c r="DZ32" s="875"/>
      <c r="EA32" s="875"/>
      <c r="EB32" s="875"/>
      <c r="EC32" s="875"/>
      <c r="ED32" s="875"/>
      <c r="EE32" s="875"/>
      <c r="EF32" s="875"/>
      <c r="EG32" s="875"/>
      <c r="EH32" s="875"/>
      <c r="EI32" s="875"/>
      <c r="EJ32" s="875"/>
      <c r="EK32" s="875"/>
      <c r="EL32" s="875"/>
      <c r="EM32" s="875"/>
      <c r="EN32" s="875"/>
      <c r="EO32" s="875"/>
      <c r="EP32" s="875"/>
      <c r="EQ32" s="875"/>
      <c r="ER32" s="875"/>
      <c r="ES32" s="875"/>
      <c r="ET32" s="875"/>
      <c r="EU32" s="1923"/>
      <c r="EV32" s="339"/>
      <c r="EW32" s="339"/>
      <c r="EX32" s="339"/>
      <c r="EY32" s="339"/>
      <c r="EZ32" s="342"/>
      <c r="FA32" s="339"/>
      <c r="FB32" s="339"/>
      <c r="FC32" s="339"/>
      <c r="FD32" s="339"/>
      <c r="FE32" s="339"/>
      <c r="FF32" s="339"/>
      <c r="FG32" s="339"/>
      <c r="FH32" s="339"/>
      <c r="FI32" s="339"/>
      <c r="FJ32" s="339"/>
      <c r="FK32" s="339"/>
      <c r="FL32" s="339"/>
      <c r="FM32" s="339"/>
      <c r="FN32" s="339"/>
      <c r="FO32" s="339"/>
      <c r="FP32" s="339"/>
      <c r="FQ32" s="339"/>
      <c r="FR32" s="339"/>
      <c r="FS32" s="339"/>
      <c r="FT32" s="339"/>
      <c r="FU32" s="339"/>
      <c r="FV32" s="339"/>
      <c r="FW32" s="339"/>
      <c r="FX32" s="339"/>
      <c r="FY32" s="339"/>
      <c r="FZ32" s="339"/>
      <c r="GA32" s="339"/>
      <c r="GB32" s="339"/>
      <c r="GC32" s="339"/>
      <c r="GD32" s="339"/>
      <c r="GE32" s="339"/>
      <c r="GF32" s="339"/>
      <c r="GG32" s="339"/>
      <c r="GH32" s="339"/>
      <c r="GI32" s="339"/>
      <c r="GJ32" s="339"/>
      <c r="GK32" s="339"/>
      <c r="GL32" s="339"/>
      <c r="GM32" s="339"/>
      <c r="GN32" s="339"/>
      <c r="GO32" s="339"/>
      <c r="GP32" s="339"/>
      <c r="GQ32" s="339"/>
      <c r="GR32" s="339"/>
      <c r="GS32" s="339"/>
      <c r="GT32" s="339"/>
      <c r="GU32" s="339"/>
      <c r="GV32" s="339"/>
      <c r="GW32" s="339"/>
      <c r="GX32" s="339"/>
      <c r="GY32" s="339"/>
      <c r="GZ32" s="339"/>
      <c r="HA32" s="339"/>
      <c r="HB32" s="339"/>
      <c r="HC32" s="339"/>
      <c r="HD32" s="339"/>
      <c r="HE32" s="339"/>
      <c r="HF32" s="339"/>
      <c r="HG32" s="339"/>
      <c r="HH32" s="339"/>
      <c r="HI32" s="339"/>
      <c r="HJ32" s="339"/>
      <c r="HK32" s="339"/>
      <c r="HL32" s="339"/>
      <c r="HM32" s="339"/>
      <c r="HN32" s="339"/>
      <c r="HO32" s="339"/>
      <c r="HP32" s="339"/>
      <c r="HQ32" s="339"/>
      <c r="HR32" s="339"/>
      <c r="HS32" s="339"/>
      <c r="HT32" s="339"/>
      <c r="HU32" s="339"/>
      <c r="HV32" s="339"/>
      <c r="HW32" s="339"/>
      <c r="HX32" s="339"/>
      <c r="HY32" s="339"/>
      <c r="HZ32" s="339"/>
      <c r="IA32" s="339"/>
      <c r="IB32" s="339"/>
      <c r="IC32" s="339"/>
      <c r="ID32" s="339"/>
      <c r="IE32" s="339"/>
      <c r="IF32" s="339"/>
      <c r="IG32" s="339"/>
      <c r="IH32" s="339"/>
      <c r="II32" s="339"/>
      <c r="IJ32" s="339"/>
      <c r="IK32" s="339"/>
      <c r="IL32" s="339"/>
      <c r="IM32" s="339"/>
      <c r="IN32" s="339"/>
      <c r="IO32" s="339"/>
      <c r="IP32" s="339"/>
      <c r="IQ32" s="339"/>
      <c r="IR32" s="339"/>
      <c r="IS32" s="339"/>
      <c r="IT32" s="339"/>
      <c r="IU32" s="339"/>
      <c r="IV32" s="339"/>
      <c r="IW32" s="339"/>
      <c r="IX32" s="339"/>
      <c r="IY32" s="339"/>
      <c r="IZ32" s="339"/>
      <c r="JA32" s="339"/>
      <c r="JB32" s="339"/>
      <c r="JC32" s="339"/>
      <c r="JD32" s="339"/>
      <c r="JE32" s="339"/>
      <c r="JF32" s="339"/>
      <c r="JG32" s="339"/>
      <c r="JH32" s="339"/>
      <c r="JI32" s="339"/>
      <c r="JJ32" s="339"/>
      <c r="JK32" s="339"/>
      <c r="JL32" s="339"/>
      <c r="JM32" s="339"/>
      <c r="JN32" s="339"/>
      <c r="JO32" s="339"/>
      <c r="JP32" s="339"/>
      <c r="JQ32" s="339"/>
      <c r="JR32" s="339"/>
      <c r="JS32" s="339"/>
      <c r="JT32" s="339"/>
      <c r="JU32" s="339"/>
      <c r="JV32" s="339"/>
      <c r="JW32" s="339"/>
      <c r="JX32" s="339"/>
      <c r="JY32" s="339"/>
      <c r="JZ32" s="339"/>
      <c r="KA32" s="339"/>
      <c r="KB32" s="339"/>
      <c r="KC32" s="339"/>
    </row>
    <row r="33" spans="1:289" ht="21">
      <c r="A33" s="1952" t="s">
        <v>2757</v>
      </c>
      <c r="B33" s="850">
        <v>16.586886620000001</v>
      </c>
      <c r="C33" s="850">
        <v>17.590047259999999</v>
      </c>
      <c r="D33" s="850">
        <v>17.343846760000002</v>
      </c>
      <c r="E33" s="850">
        <v>16.68701201</v>
      </c>
      <c r="F33" s="850">
        <v>16.639944359999998</v>
      </c>
      <c r="G33" s="850">
        <v>15.527294519999998</v>
      </c>
      <c r="H33" s="850">
        <v>15.296792099999999</v>
      </c>
      <c r="I33" s="850">
        <v>15.141291630000001</v>
      </c>
      <c r="J33" s="850">
        <v>15.041582849999999</v>
      </c>
      <c r="K33" s="850">
        <v>14.871355639999999</v>
      </c>
      <c r="L33" s="850">
        <v>13.632991879999999</v>
      </c>
      <c r="M33" s="840">
        <v>14.165009149999999</v>
      </c>
      <c r="N33" s="840">
        <v>13.889894819999999</v>
      </c>
      <c r="O33" s="840">
        <v>14.145466989999999</v>
      </c>
      <c r="P33" s="840">
        <v>13.67554971</v>
      </c>
      <c r="Q33" s="840">
        <v>12.856499149999999</v>
      </c>
      <c r="R33" s="840">
        <v>15.60375939</v>
      </c>
      <c r="S33" s="840">
        <v>14.11331884</v>
      </c>
      <c r="T33" s="840">
        <v>14.098292709999999</v>
      </c>
      <c r="U33" s="840">
        <v>14.2304341</v>
      </c>
      <c r="V33" s="840">
        <v>14.660327580000001</v>
      </c>
      <c r="W33" s="840">
        <v>14.217232410000001</v>
      </c>
      <c r="X33" s="840">
        <v>14.649338459999999</v>
      </c>
      <c r="Y33" s="840">
        <v>28.420459699999999</v>
      </c>
      <c r="Z33" s="840">
        <v>31.939256390000001</v>
      </c>
      <c r="AA33" s="840">
        <v>124.26472533</v>
      </c>
      <c r="AB33" s="840">
        <v>124.30419692000001</v>
      </c>
      <c r="AC33" s="840">
        <v>136.12890720999999</v>
      </c>
      <c r="AD33" s="840">
        <v>158.07206690000004</v>
      </c>
      <c r="AE33" s="840">
        <v>162.64536349000002</v>
      </c>
      <c r="AF33" s="840">
        <v>156.39861326000002</v>
      </c>
      <c r="AG33" s="840">
        <v>154.71432227</v>
      </c>
      <c r="AH33" s="840">
        <v>156.08747652999998</v>
      </c>
      <c r="AI33" s="840">
        <v>155.90128530999999</v>
      </c>
      <c r="AJ33" s="840">
        <v>155.01819488999999</v>
      </c>
      <c r="AK33" s="840">
        <v>228.66578813999999</v>
      </c>
      <c r="AL33" s="840">
        <v>213.90086819999999</v>
      </c>
      <c r="AM33" s="840">
        <v>246.43962814</v>
      </c>
      <c r="AN33" s="840">
        <v>244.36985571</v>
      </c>
      <c r="AO33" s="840">
        <v>238.13310683000003</v>
      </c>
      <c r="AP33" s="840">
        <v>176.30505947</v>
      </c>
      <c r="AQ33" s="840">
        <v>198.27300789</v>
      </c>
      <c r="AR33" s="840">
        <v>234.27200841999999</v>
      </c>
      <c r="AS33" s="840">
        <v>240.75710907000001</v>
      </c>
      <c r="AT33" s="840">
        <f>AT25-AT29</f>
        <v>175.40294093999989</v>
      </c>
      <c r="AU33" s="840">
        <v>125.68119931000001</v>
      </c>
      <c r="AV33" s="840">
        <v>131.40956282000013</v>
      </c>
      <c r="AW33" s="840">
        <v>107.55061236999995</v>
      </c>
      <c r="AX33" s="840">
        <v>116.20346352000013</v>
      </c>
      <c r="AY33" s="840">
        <v>103.67117392</v>
      </c>
      <c r="AZ33" s="840">
        <v>100.05175214</v>
      </c>
      <c r="BA33" s="840">
        <v>97.813401529999993</v>
      </c>
      <c r="BB33" s="840">
        <v>97.71158942000001</v>
      </c>
      <c r="BC33" s="840">
        <v>68.113907420000004</v>
      </c>
      <c r="BD33" s="840">
        <v>67.679341899999997</v>
      </c>
      <c r="BE33" s="840">
        <v>67.631158030000009</v>
      </c>
      <c r="BF33" s="840">
        <v>78.494252229999972</v>
      </c>
      <c r="BG33" s="840">
        <v>87.436748259999945</v>
      </c>
      <c r="BH33" s="885">
        <v>86.693187959999989</v>
      </c>
      <c r="BI33" s="874">
        <v>106.44572910000005</v>
      </c>
      <c r="BJ33" s="874">
        <v>108.36277689999997</v>
      </c>
      <c r="BK33" s="874">
        <v>113.74082812</v>
      </c>
      <c r="BL33" s="874">
        <v>115.93356870999997</v>
      </c>
      <c r="BM33" s="874">
        <v>105.29244775000001</v>
      </c>
      <c r="BN33" s="874">
        <v>102.68236416999997</v>
      </c>
      <c r="BO33" s="874">
        <v>104.36813552999996</v>
      </c>
      <c r="BP33" s="874">
        <v>104.42573457999998</v>
      </c>
      <c r="BQ33" s="874">
        <v>107.70895883999992</v>
      </c>
      <c r="BR33" s="874">
        <v>109.93943311999999</v>
      </c>
      <c r="BS33" s="874">
        <v>110.60699740999996</v>
      </c>
      <c r="BT33" s="874">
        <v>119.57306337</v>
      </c>
      <c r="BU33" s="874">
        <v>88.419897869999971</v>
      </c>
      <c r="BV33" s="874">
        <v>87.155304749999999</v>
      </c>
      <c r="BW33" s="874">
        <v>88.407456259999989</v>
      </c>
      <c r="BX33" s="874">
        <v>87.987078889999992</v>
      </c>
      <c r="BY33" s="874">
        <v>99.7029122</v>
      </c>
      <c r="BZ33" s="874">
        <v>111.98833164000003</v>
      </c>
      <c r="CA33" s="874">
        <v>115.85547894</v>
      </c>
      <c r="CB33" s="874">
        <v>88.459849290000037</v>
      </c>
      <c r="CC33" s="874">
        <v>92.270981499999991</v>
      </c>
      <c r="CD33" s="874">
        <v>90.955385809999996</v>
      </c>
      <c r="CE33" s="874">
        <v>99.953562210000001</v>
      </c>
      <c r="CF33" s="874">
        <v>95.410101710000006</v>
      </c>
      <c r="CG33" s="874">
        <v>131.59707266999999</v>
      </c>
      <c r="CH33" s="874">
        <v>132.33735885999999</v>
      </c>
      <c r="CI33" s="874">
        <v>129.31027728000001</v>
      </c>
      <c r="CJ33" s="874">
        <v>127.86406882</v>
      </c>
      <c r="CK33" s="874">
        <v>128.90960982000001</v>
      </c>
      <c r="CL33" s="874">
        <v>126.90668918999999</v>
      </c>
      <c r="CM33" s="874">
        <v>130.54859206</v>
      </c>
      <c r="CN33" s="874">
        <v>132.3559721</v>
      </c>
      <c r="CO33" s="874">
        <v>130.85945053</v>
      </c>
      <c r="CP33" s="874">
        <v>129.42460727</v>
      </c>
      <c r="CQ33" s="874">
        <v>132.78094382</v>
      </c>
      <c r="CR33" s="874">
        <v>131.17614619</v>
      </c>
      <c r="CS33" s="874">
        <v>130.91545019</v>
      </c>
      <c r="CT33" s="874">
        <v>148.87658522000001</v>
      </c>
      <c r="CU33" s="874">
        <v>147.83511228</v>
      </c>
      <c r="CV33" s="874">
        <v>123.85113515</v>
      </c>
      <c r="CW33" s="874">
        <v>123.60106012</v>
      </c>
      <c r="CX33" s="874">
        <v>143.45786885000001</v>
      </c>
      <c r="CY33" s="874">
        <v>129.65630843</v>
      </c>
      <c r="CZ33" s="874">
        <v>133.71631661999999</v>
      </c>
      <c r="DA33" s="874">
        <v>138.0507145</v>
      </c>
      <c r="DB33" s="874">
        <v>152.9101039</v>
      </c>
      <c r="DC33" s="874">
        <v>156.14519063</v>
      </c>
      <c r="DD33" s="874">
        <v>153.50393962000001</v>
      </c>
      <c r="DE33" s="874">
        <v>147.09209809000001</v>
      </c>
      <c r="DF33" s="874">
        <v>146.00245434999999</v>
      </c>
      <c r="DG33" s="874">
        <v>126.10169229</v>
      </c>
      <c r="DH33" s="874">
        <v>95.474638159999998</v>
      </c>
      <c r="DI33" s="874">
        <v>123.62875698000001</v>
      </c>
      <c r="DJ33" s="874">
        <v>123.03585928</v>
      </c>
      <c r="DK33" s="874">
        <v>120.60593677999999</v>
      </c>
      <c r="DL33" s="874">
        <v>119.75968055</v>
      </c>
      <c r="DM33" s="874">
        <v>115.93544707</v>
      </c>
      <c r="DN33" s="874">
        <v>116.09484907</v>
      </c>
      <c r="DO33" s="874">
        <v>116.45940041</v>
      </c>
      <c r="DP33" s="874">
        <v>113.75636114</v>
      </c>
      <c r="DQ33" s="874">
        <v>130.28006633000001</v>
      </c>
      <c r="DR33" s="874">
        <v>178.96461278000001</v>
      </c>
      <c r="DS33" s="874">
        <v>182.42865606999999</v>
      </c>
      <c r="DT33" s="874">
        <v>179.78928171999999</v>
      </c>
      <c r="DU33" s="874">
        <v>173.14574542</v>
      </c>
      <c r="DV33" s="874">
        <v>201.72289044999999</v>
      </c>
      <c r="DW33" s="874">
        <v>203.06051572000001</v>
      </c>
      <c r="DX33" s="874">
        <v>205.04967758999999</v>
      </c>
      <c r="DY33" s="874">
        <v>201.24438509999999</v>
      </c>
      <c r="DZ33" s="874">
        <v>198.92859824000001</v>
      </c>
      <c r="EA33" s="874">
        <v>196.23754590999999</v>
      </c>
      <c r="EB33" s="874">
        <v>192.68808307</v>
      </c>
      <c r="EC33" s="874">
        <v>185.30053570999999</v>
      </c>
      <c r="ED33" s="874">
        <v>185.26675236</v>
      </c>
      <c r="EE33" s="874">
        <v>168.96943045</v>
      </c>
      <c r="EF33" s="874">
        <v>150.36457157999999</v>
      </c>
      <c r="EG33" s="874">
        <v>151.66652160999999</v>
      </c>
      <c r="EH33" s="874">
        <v>145.076494</v>
      </c>
      <c r="EI33" s="874">
        <v>143.04395971</v>
      </c>
      <c r="EJ33" s="874">
        <v>138.09449003</v>
      </c>
      <c r="EK33" s="874">
        <v>138.69862122000001</v>
      </c>
      <c r="EL33" s="874">
        <v>135.37606903</v>
      </c>
      <c r="EM33" s="874">
        <v>171.68862186999999</v>
      </c>
      <c r="EN33" s="874">
        <v>166.17304904</v>
      </c>
      <c r="EO33" s="874">
        <v>163.84090352000001</v>
      </c>
      <c r="EP33" s="874">
        <v>147.80741467999999</v>
      </c>
      <c r="EQ33" s="874">
        <v>136.62704117000001</v>
      </c>
      <c r="ER33" s="874">
        <v>137.20131961999999</v>
      </c>
      <c r="ES33" s="874">
        <v>132.17741158999999</v>
      </c>
      <c r="ET33" s="874">
        <v>137.26902486</v>
      </c>
      <c r="EU33" s="1922" t="s">
        <v>4087</v>
      </c>
      <c r="EV33" s="339"/>
      <c r="EW33" s="339"/>
      <c r="EX33" s="339"/>
      <c r="EY33" s="339"/>
      <c r="EZ33" s="342"/>
      <c r="FA33" s="339"/>
      <c r="FB33" s="339"/>
      <c r="FC33" s="339"/>
      <c r="FD33" s="339"/>
      <c r="FE33" s="339"/>
      <c r="FF33" s="339"/>
      <c r="FG33" s="339"/>
      <c r="FH33" s="339"/>
      <c r="FI33" s="339"/>
      <c r="FJ33" s="339"/>
      <c r="FK33" s="339"/>
      <c r="FL33" s="339"/>
      <c r="FM33" s="339"/>
      <c r="FN33" s="339"/>
      <c r="FO33" s="339"/>
      <c r="FP33" s="339"/>
      <c r="FQ33" s="339"/>
      <c r="FR33" s="339"/>
      <c r="FS33" s="339"/>
      <c r="FT33" s="339"/>
      <c r="FU33" s="339"/>
      <c r="FV33" s="339"/>
      <c r="FW33" s="339"/>
      <c r="FX33" s="339"/>
      <c r="FY33" s="339"/>
      <c r="FZ33" s="339"/>
      <c r="GA33" s="339"/>
      <c r="GB33" s="339"/>
      <c r="GC33" s="339"/>
      <c r="GD33" s="339"/>
      <c r="GE33" s="339"/>
      <c r="GF33" s="339"/>
      <c r="GG33" s="339"/>
      <c r="GH33" s="339"/>
      <c r="GI33" s="339"/>
      <c r="GJ33" s="339"/>
      <c r="GK33" s="339"/>
      <c r="GL33" s="339"/>
      <c r="GM33" s="339"/>
      <c r="GN33" s="339"/>
      <c r="GO33" s="339"/>
      <c r="GP33" s="339"/>
      <c r="GQ33" s="339"/>
      <c r="GR33" s="339"/>
      <c r="GS33" s="339"/>
      <c r="GT33" s="339"/>
      <c r="GU33" s="339"/>
      <c r="GV33" s="339"/>
      <c r="GW33" s="339"/>
      <c r="GX33" s="339"/>
      <c r="GY33" s="339"/>
      <c r="GZ33" s="339"/>
      <c r="HA33" s="339"/>
      <c r="HB33" s="339"/>
      <c r="HC33" s="339"/>
      <c r="HD33" s="339"/>
      <c r="HE33" s="339"/>
      <c r="HF33" s="339"/>
      <c r="HG33" s="339"/>
      <c r="HH33" s="339"/>
      <c r="HI33" s="339"/>
      <c r="HJ33" s="339"/>
      <c r="HK33" s="339"/>
      <c r="HL33" s="339"/>
      <c r="HM33" s="339"/>
      <c r="HN33" s="339"/>
      <c r="HO33" s="339"/>
      <c r="HP33" s="339"/>
      <c r="HQ33" s="339"/>
      <c r="HR33" s="339"/>
      <c r="HS33" s="339"/>
      <c r="HT33" s="339"/>
      <c r="HU33" s="339"/>
      <c r="HV33" s="339"/>
      <c r="HW33" s="339"/>
      <c r="HX33" s="339"/>
      <c r="HY33" s="339"/>
      <c r="HZ33" s="339"/>
      <c r="IA33" s="339"/>
      <c r="IB33" s="339"/>
      <c r="IC33" s="339"/>
      <c r="ID33" s="339"/>
      <c r="IE33" s="339"/>
      <c r="IF33" s="339"/>
      <c r="IG33" s="339"/>
      <c r="IH33" s="339"/>
      <c r="II33" s="339"/>
      <c r="IJ33" s="339"/>
      <c r="IK33" s="339"/>
      <c r="IL33" s="339"/>
      <c r="IM33" s="339"/>
      <c r="IN33" s="339"/>
      <c r="IO33" s="339"/>
      <c r="IP33" s="339"/>
      <c r="IQ33" s="339"/>
      <c r="IR33" s="339"/>
      <c r="IS33" s="339"/>
      <c r="IT33" s="339"/>
      <c r="IU33" s="339"/>
      <c r="IV33" s="339"/>
      <c r="IW33" s="339"/>
      <c r="IX33" s="339"/>
      <c r="IY33" s="339"/>
      <c r="IZ33" s="339"/>
      <c r="JA33" s="339"/>
      <c r="JB33" s="339"/>
      <c r="JC33" s="339"/>
      <c r="JD33" s="339"/>
      <c r="JE33" s="339"/>
      <c r="JF33" s="339"/>
      <c r="JG33" s="339"/>
      <c r="JH33" s="339"/>
      <c r="JI33" s="339"/>
      <c r="JJ33" s="339"/>
      <c r="JK33" s="339"/>
      <c r="JL33" s="339"/>
      <c r="JM33" s="339"/>
      <c r="JN33" s="339"/>
      <c r="JO33" s="339"/>
      <c r="JP33" s="339"/>
      <c r="JQ33" s="339"/>
      <c r="JR33" s="339"/>
      <c r="JS33" s="339"/>
      <c r="JT33" s="339"/>
      <c r="JU33" s="339"/>
      <c r="JV33" s="339"/>
      <c r="JW33" s="339"/>
      <c r="JX33" s="339"/>
      <c r="JY33" s="339"/>
      <c r="JZ33" s="339"/>
      <c r="KA33" s="339"/>
      <c r="KB33" s="339"/>
      <c r="KC33" s="339"/>
    </row>
    <row r="34" spans="1:289" ht="21">
      <c r="A34" s="1953" t="s">
        <v>1974</v>
      </c>
      <c r="B34" s="851">
        <v>0.43612640000000003</v>
      </c>
      <c r="C34" s="851">
        <v>0.28880640000000002</v>
      </c>
      <c r="D34" s="851">
        <v>0.28880640000000002</v>
      </c>
      <c r="E34" s="851">
        <v>0</v>
      </c>
      <c r="F34" s="851">
        <v>0</v>
      </c>
      <c r="G34" s="851">
        <v>0</v>
      </c>
      <c r="H34" s="851">
        <v>0</v>
      </c>
      <c r="I34" s="851">
        <v>0</v>
      </c>
      <c r="J34" s="851">
        <v>0</v>
      </c>
      <c r="K34" s="851">
        <v>0</v>
      </c>
      <c r="L34" s="851">
        <v>0</v>
      </c>
      <c r="M34" s="843">
        <v>0</v>
      </c>
      <c r="N34" s="843">
        <v>0</v>
      </c>
      <c r="O34" s="843">
        <v>0</v>
      </c>
      <c r="P34" s="843">
        <v>0</v>
      </c>
      <c r="Q34" s="843">
        <v>0</v>
      </c>
      <c r="R34" s="843">
        <v>0</v>
      </c>
      <c r="S34" s="843">
        <v>0</v>
      </c>
      <c r="T34" s="843">
        <v>0</v>
      </c>
      <c r="U34" s="843">
        <v>0</v>
      </c>
      <c r="V34" s="843">
        <v>0</v>
      </c>
      <c r="W34" s="843">
        <v>0</v>
      </c>
      <c r="X34" s="843">
        <v>0</v>
      </c>
      <c r="Y34" s="843">
        <v>0</v>
      </c>
      <c r="Z34" s="843">
        <v>0</v>
      </c>
      <c r="AA34" s="843">
        <v>4.98655E-2</v>
      </c>
      <c r="AB34" s="843">
        <v>4.7728589999999994E-2</v>
      </c>
      <c r="AC34" s="843">
        <v>4.5662139999999997E-2</v>
      </c>
      <c r="AD34" s="843">
        <v>4.3602740000000001E-2</v>
      </c>
      <c r="AE34" s="843">
        <v>4.1462550000000001E-2</v>
      </c>
      <c r="AF34" s="843">
        <v>3.9374489999999998E-2</v>
      </c>
      <c r="AG34" s="843">
        <v>3.4586140000000001E-2</v>
      </c>
      <c r="AH34" s="843">
        <v>3.4586140000000001E-2</v>
      </c>
      <c r="AI34" s="843">
        <v>3.3227809999999997E-2</v>
      </c>
      <c r="AJ34" s="843">
        <v>3.1207470000000001E-2</v>
      </c>
      <c r="AK34" s="843">
        <v>4.3208320000000001E-2</v>
      </c>
      <c r="AL34" s="843">
        <v>4.1187190000000005E-2</v>
      </c>
      <c r="AM34" s="843">
        <v>3.7180559999999994E-2</v>
      </c>
      <c r="AN34" s="843">
        <v>51.41882433</v>
      </c>
      <c r="AO34" s="843">
        <v>50.252157400000002</v>
      </c>
      <c r="AP34" s="843">
        <v>2.655124E-2</v>
      </c>
      <c r="AQ34" s="843">
        <v>7.5367105399999996</v>
      </c>
      <c r="AR34" s="843">
        <v>7.13626089</v>
      </c>
      <c r="AS34" s="843">
        <v>7.3446261699999997</v>
      </c>
      <c r="AT34" s="843">
        <f>AT26-AT30</f>
        <v>7.2919165500000034</v>
      </c>
      <c r="AU34" s="843">
        <v>7.3651426599999965</v>
      </c>
      <c r="AV34" s="843">
        <v>7.7830043499999917</v>
      </c>
      <c r="AW34" s="843">
        <v>7.9543230600000001</v>
      </c>
      <c r="AX34" s="843">
        <v>8.601698540000001</v>
      </c>
      <c r="AY34" s="843">
        <v>7.1123563000000001</v>
      </c>
      <c r="AZ34" s="843">
        <v>5.09159074</v>
      </c>
      <c r="BA34" s="843">
        <v>5.0269271799999995</v>
      </c>
      <c r="BB34" s="843">
        <v>5.0254508399999995</v>
      </c>
      <c r="BC34" s="843">
        <v>2.55315</v>
      </c>
      <c r="BD34" s="843">
        <v>2.5513499999999998</v>
      </c>
      <c r="BE34" s="843">
        <v>2.5514999999999999</v>
      </c>
      <c r="BF34" s="843">
        <v>2.5503</v>
      </c>
      <c r="BG34" s="843">
        <v>2.5503</v>
      </c>
      <c r="BH34" s="886">
        <v>2.5501500000000021</v>
      </c>
      <c r="BI34" s="875">
        <v>0</v>
      </c>
      <c r="BJ34" s="875">
        <v>0</v>
      </c>
      <c r="BK34" s="875">
        <v>0</v>
      </c>
      <c r="BL34" s="875">
        <v>0</v>
      </c>
      <c r="BM34" s="875">
        <v>0</v>
      </c>
      <c r="BN34" s="875">
        <v>0</v>
      </c>
      <c r="BO34" s="875">
        <v>0</v>
      </c>
      <c r="BP34" s="875">
        <v>0</v>
      </c>
      <c r="BQ34" s="875">
        <v>0</v>
      </c>
      <c r="BR34" s="875">
        <v>0</v>
      </c>
      <c r="BS34" s="875">
        <v>0</v>
      </c>
      <c r="BT34" s="875">
        <v>0</v>
      </c>
      <c r="BU34" s="875">
        <v>0</v>
      </c>
      <c r="BV34" s="875">
        <v>0</v>
      </c>
      <c r="BW34" s="875">
        <v>0</v>
      </c>
      <c r="BX34" s="875">
        <v>0</v>
      </c>
      <c r="BY34" s="875">
        <v>0</v>
      </c>
      <c r="BZ34" s="875">
        <v>0</v>
      </c>
      <c r="CA34" s="875">
        <v>0</v>
      </c>
      <c r="CB34" s="875">
        <v>0</v>
      </c>
      <c r="CC34" s="875">
        <v>0</v>
      </c>
      <c r="CD34" s="875">
        <v>0</v>
      </c>
      <c r="CE34" s="875">
        <v>0</v>
      </c>
      <c r="CF34" s="875">
        <v>0</v>
      </c>
      <c r="CG34" s="875">
        <v>0</v>
      </c>
      <c r="CH34" s="875">
        <v>0</v>
      </c>
      <c r="CI34" s="875">
        <v>0</v>
      </c>
      <c r="CJ34" s="875">
        <v>0</v>
      </c>
      <c r="CK34" s="875">
        <v>0</v>
      </c>
      <c r="CL34" s="875">
        <v>0</v>
      </c>
      <c r="CM34" s="875">
        <v>0</v>
      </c>
      <c r="CN34" s="875">
        <v>0</v>
      </c>
      <c r="CO34" s="875">
        <v>0</v>
      </c>
      <c r="CP34" s="875">
        <v>0</v>
      </c>
      <c r="CQ34" s="875">
        <v>0</v>
      </c>
      <c r="CR34" s="875">
        <v>0</v>
      </c>
      <c r="CS34" s="875">
        <v>0</v>
      </c>
      <c r="CT34" s="875">
        <v>0</v>
      </c>
      <c r="CU34" s="875">
        <v>0</v>
      </c>
      <c r="CV34" s="875">
        <v>0</v>
      </c>
      <c r="CW34" s="875">
        <v>0</v>
      </c>
      <c r="CX34" s="875">
        <v>0</v>
      </c>
      <c r="CY34" s="875">
        <v>0</v>
      </c>
      <c r="CZ34" s="875">
        <v>0</v>
      </c>
      <c r="DA34" s="875">
        <v>0</v>
      </c>
      <c r="DB34" s="875">
        <v>0</v>
      </c>
      <c r="DC34" s="875">
        <v>0</v>
      </c>
      <c r="DD34" s="875">
        <v>0</v>
      </c>
      <c r="DE34" s="875">
        <v>0</v>
      </c>
      <c r="DF34" s="875">
        <v>0</v>
      </c>
      <c r="DG34" s="875">
        <v>0</v>
      </c>
      <c r="DH34" s="875">
        <v>0</v>
      </c>
      <c r="DI34" s="875">
        <v>0</v>
      </c>
      <c r="DJ34" s="875">
        <v>0</v>
      </c>
      <c r="DK34" s="875">
        <v>0</v>
      </c>
      <c r="DL34" s="875">
        <v>0</v>
      </c>
      <c r="DM34" s="875">
        <v>0</v>
      </c>
      <c r="DN34" s="875">
        <v>0</v>
      </c>
      <c r="DO34" s="875">
        <v>0</v>
      </c>
      <c r="DP34" s="875">
        <v>0</v>
      </c>
      <c r="DQ34" s="875">
        <v>0</v>
      </c>
      <c r="DR34" s="875">
        <v>0</v>
      </c>
      <c r="DS34" s="875">
        <v>0</v>
      </c>
      <c r="DT34" s="875">
        <v>0</v>
      </c>
      <c r="DU34" s="875">
        <v>0</v>
      </c>
      <c r="DV34" s="875">
        <v>0</v>
      </c>
      <c r="DW34" s="875">
        <v>0</v>
      </c>
      <c r="DX34" s="875">
        <v>0</v>
      </c>
      <c r="DY34" s="875">
        <v>0</v>
      </c>
      <c r="DZ34" s="875">
        <v>0</v>
      </c>
      <c r="EA34" s="875">
        <v>0</v>
      </c>
      <c r="EB34" s="875">
        <v>0</v>
      </c>
      <c r="EC34" s="875">
        <v>0</v>
      </c>
      <c r="ED34" s="875">
        <v>0</v>
      </c>
      <c r="EE34" s="875">
        <v>0</v>
      </c>
      <c r="EF34" s="875">
        <v>0</v>
      </c>
      <c r="EG34" s="875">
        <v>0</v>
      </c>
      <c r="EH34" s="875">
        <v>0</v>
      </c>
      <c r="EI34" s="875">
        <v>0</v>
      </c>
      <c r="EJ34" s="875">
        <v>0</v>
      </c>
      <c r="EK34" s="875">
        <v>0</v>
      </c>
      <c r="EL34" s="875">
        <v>0</v>
      </c>
      <c r="EM34" s="875">
        <v>0</v>
      </c>
      <c r="EN34" s="875">
        <v>0</v>
      </c>
      <c r="EO34" s="875">
        <v>0</v>
      </c>
      <c r="EP34" s="875">
        <v>0</v>
      </c>
      <c r="EQ34" s="875">
        <v>0</v>
      </c>
      <c r="ER34" s="875">
        <v>0</v>
      </c>
      <c r="ES34" s="875">
        <v>0</v>
      </c>
      <c r="ET34" s="875">
        <v>0</v>
      </c>
      <c r="EU34" s="1924" t="s">
        <v>4086</v>
      </c>
      <c r="EV34" s="339"/>
      <c r="EW34" s="339"/>
      <c r="EX34" s="339"/>
      <c r="EY34" s="339"/>
      <c r="EZ34" s="342"/>
      <c r="FA34" s="339"/>
      <c r="FB34" s="339"/>
      <c r="FC34" s="339"/>
      <c r="FD34" s="339"/>
      <c r="FE34" s="339"/>
      <c r="FF34" s="339"/>
      <c r="FG34" s="339"/>
      <c r="FH34" s="339"/>
      <c r="FI34" s="339"/>
      <c r="FJ34" s="339"/>
      <c r="FK34" s="339"/>
      <c r="FL34" s="339"/>
      <c r="FM34" s="339"/>
      <c r="FN34" s="339"/>
      <c r="FO34" s="339"/>
      <c r="FP34" s="339"/>
      <c r="FQ34" s="339"/>
      <c r="FR34" s="339"/>
      <c r="FS34" s="339"/>
      <c r="FT34" s="339"/>
      <c r="FU34" s="339"/>
      <c r="FV34" s="339"/>
      <c r="FW34" s="339"/>
      <c r="FX34" s="339"/>
      <c r="FY34" s="339"/>
      <c r="FZ34" s="339"/>
      <c r="GA34" s="339"/>
      <c r="GB34" s="339"/>
      <c r="GC34" s="339"/>
      <c r="GD34" s="339"/>
      <c r="GE34" s="339"/>
      <c r="GF34" s="339"/>
      <c r="GG34" s="339"/>
      <c r="GH34" s="339"/>
      <c r="GI34" s="339"/>
      <c r="GJ34" s="339"/>
      <c r="GK34" s="339"/>
      <c r="GL34" s="339"/>
      <c r="GM34" s="339"/>
      <c r="GN34" s="339"/>
      <c r="GO34" s="339"/>
      <c r="GP34" s="339"/>
      <c r="GQ34" s="339"/>
      <c r="GR34" s="339"/>
      <c r="GS34" s="339"/>
      <c r="GT34" s="339"/>
      <c r="GU34" s="339"/>
      <c r="GV34" s="339"/>
      <c r="GW34" s="339"/>
      <c r="GX34" s="339"/>
      <c r="GY34" s="339"/>
      <c r="GZ34" s="339"/>
      <c r="HA34" s="339"/>
      <c r="HB34" s="339"/>
      <c r="HC34" s="339"/>
      <c r="HD34" s="339"/>
      <c r="HE34" s="339"/>
      <c r="HF34" s="339"/>
      <c r="HG34" s="339"/>
      <c r="HH34" s="339"/>
      <c r="HI34" s="339"/>
      <c r="HJ34" s="339"/>
      <c r="HK34" s="339"/>
      <c r="HL34" s="339"/>
      <c r="HM34" s="339"/>
      <c r="HN34" s="339"/>
      <c r="HO34" s="339"/>
      <c r="HP34" s="339"/>
      <c r="HQ34" s="339"/>
      <c r="HR34" s="339"/>
      <c r="HS34" s="339"/>
      <c r="HT34" s="339"/>
      <c r="HU34" s="339"/>
      <c r="HV34" s="339"/>
      <c r="HW34" s="339"/>
      <c r="HX34" s="339"/>
      <c r="HY34" s="339"/>
      <c r="HZ34" s="339"/>
      <c r="IA34" s="339"/>
      <c r="IB34" s="339"/>
      <c r="IC34" s="339"/>
      <c r="ID34" s="339"/>
      <c r="IE34" s="339"/>
      <c r="IF34" s="339"/>
      <c r="IG34" s="339"/>
      <c r="IH34" s="339"/>
      <c r="II34" s="339"/>
      <c r="IJ34" s="339"/>
      <c r="IK34" s="339"/>
      <c r="IL34" s="339"/>
      <c r="IM34" s="339"/>
      <c r="IN34" s="339"/>
      <c r="IO34" s="339"/>
      <c r="IP34" s="339"/>
      <c r="IQ34" s="339"/>
      <c r="IR34" s="339"/>
      <c r="IS34" s="339"/>
      <c r="IT34" s="339"/>
      <c r="IU34" s="339"/>
      <c r="IV34" s="339"/>
      <c r="IW34" s="339"/>
      <c r="IX34" s="339"/>
      <c r="IY34" s="339"/>
      <c r="IZ34" s="339"/>
      <c r="JA34" s="339"/>
      <c r="JB34" s="339"/>
      <c r="JC34" s="339"/>
      <c r="JD34" s="339"/>
      <c r="JE34" s="339"/>
      <c r="JF34" s="339"/>
      <c r="JG34" s="339"/>
      <c r="JH34" s="339"/>
      <c r="JI34" s="339"/>
      <c r="JJ34" s="339"/>
      <c r="JK34" s="339"/>
      <c r="JL34" s="339"/>
      <c r="JM34" s="339"/>
      <c r="JN34" s="339"/>
      <c r="JO34" s="339"/>
      <c r="JP34" s="339"/>
      <c r="JQ34" s="339"/>
      <c r="JR34" s="339"/>
      <c r="JS34" s="339"/>
      <c r="JT34" s="339"/>
      <c r="JU34" s="339"/>
      <c r="JV34" s="339"/>
      <c r="JW34" s="339"/>
      <c r="JX34" s="339"/>
      <c r="JY34" s="339"/>
      <c r="JZ34" s="339"/>
      <c r="KA34" s="339"/>
      <c r="KB34" s="339"/>
      <c r="KC34" s="339"/>
    </row>
    <row r="35" spans="1:289" ht="21">
      <c r="A35" s="1955" t="s">
        <v>1975</v>
      </c>
      <c r="B35" s="852">
        <f>+B33-B34</f>
        <v>16.150760220000002</v>
      </c>
      <c r="C35" s="852">
        <f t="shared" ref="C35:V35" si="12">+C33-C34</f>
        <v>17.30124086</v>
      </c>
      <c r="D35" s="852">
        <f t="shared" si="12"/>
        <v>17.055040360000003</v>
      </c>
      <c r="E35" s="852">
        <f t="shared" si="12"/>
        <v>16.68701201</v>
      </c>
      <c r="F35" s="852">
        <f t="shared" si="12"/>
        <v>16.639944359999998</v>
      </c>
      <c r="G35" s="852">
        <f t="shared" si="12"/>
        <v>15.527294519999998</v>
      </c>
      <c r="H35" s="852">
        <f t="shared" si="12"/>
        <v>15.296792099999999</v>
      </c>
      <c r="I35" s="852">
        <f t="shared" si="12"/>
        <v>15.141291630000001</v>
      </c>
      <c r="J35" s="852">
        <f t="shared" si="12"/>
        <v>15.041582849999999</v>
      </c>
      <c r="K35" s="852">
        <f t="shared" si="12"/>
        <v>14.871355639999999</v>
      </c>
      <c r="L35" s="852">
        <f t="shared" si="12"/>
        <v>13.632991879999999</v>
      </c>
      <c r="M35" s="846">
        <f t="shared" si="12"/>
        <v>14.165009149999999</v>
      </c>
      <c r="N35" s="853">
        <f t="shared" si="12"/>
        <v>13.889894819999999</v>
      </c>
      <c r="O35" s="853">
        <f t="shared" si="12"/>
        <v>14.145466989999999</v>
      </c>
      <c r="P35" s="853">
        <f t="shared" si="12"/>
        <v>13.67554971</v>
      </c>
      <c r="Q35" s="853">
        <f t="shared" si="12"/>
        <v>12.856499149999999</v>
      </c>
      <c r="R35" s="853">
        <f t="shared" si="12"/>
        <v>15.60375939</v>
      </c>
      <c r="S35" s="853">
        <f t="shared" si="12"/>
        <v>14.11331884</v>
      </c>
      <c r="T35" s="853">
        <f t="shared" si="12"/>
        <v>14.098292709999999</v>
      </c>
      <c r="U35" s="853">
        <f t="shared" si="12"/>
        <v>14.2304341</v>
      </c>
      <c r="V35" s="853">
        <f t="shared" si="12"/>
        <v>14.660327580000001</v>
      </c>
      <c r="W35" s="853">
        <v>14.217232410000001</v>
      </c>
      <c r="X35" s="853">
        <v>14.649338459999999</v>
      </c>
      <c r="Y35" s="846">
        <v>28.420459699999999</v>
      </c>
      <c r="Z35" s="853">
        <v>31.939256390000001</v>
      </c>
      <c r="AA35" s="853">
        <v>124.21485983000001</v>
      </c>
      <c r="AB35" s="846">
        <f>+AB33-AB34</f>
        <v>124.25646833</v>
      </c>
      <c r="AC35" s="846">
        <v>136.08324507</v>
      </c>
      <c r="AD35" s="846">
        <v>158.02846416000003</v>
      </c>
      <c r="AE35" s="846">
        <v>162.60390094000002</v>
      </c>
      <c r="AF35" s="846">
        <v>156.35923877000002</v>
      </c>
      <c r="AG35" s="846">
        <v>154.67973613000001</v>
      </c>
      <c r="AH35" s="846">
        <f>+AH33-AH34</f>
        <v>156.05289038999999</v>
      </c>
      <c r="AI35" s="846">
        <v>155.86805749999999</v>
      </c>
      <c r="AJ35" s="846">
        <f>+AJ33-AJ34</f>
        <v>154.98698741999999</v>
      </c>
      <c r="AK35" s="846">
        <f>+AK33-AK34</f>
        <v>228.62257982</v>
      </c>
      <c r="AL35" s="846">
        <v>213.85968101</v>
      </c>
      <c r="AM35" s="846">
        <f>+AM33-AM34</f>
        <v>246.40244758</v>
      </c>
      <c r="AN35" s="846">
        <f>+AN33-AN34</f>
        <v>192.95103137999999</v>
      </c>
      <c r="AO35" s="846">
        <f>+AO33-AO34</f>
        <v>187.88094943000004</v>
      </c>
      <c r="AP35" s="846">
        <f>+AP33-AP34</f>
        <v>176.27850823</v>
      </c>
      <c r="AQ35" s="846">
        <v>190.73629735</v>
      </c>
      <c r="AR35" s="846">
        <v>227.13574753</v>
      </c>
      <c r="AS35" s="846">
        <f>+AS33-AS34</f>
        <v>233.41248290000001</v>
      </c>
      <c r="AT35" s="846">
        <f>AT27-AT31</f>
        <v>168.11102439000001</v>
      </c>
      <c r="AU35" s="846">
        <v>118.31605665000006</v>
      </c>
      <c r="AV35" s="846">
        <v>123.62655847000019</v>
      </c>
      <c r="AW35" s="846">
        <v>99.596289309999975</v>
      </c>
      <c r="AX35" s="846">
        <v>107.6017649800001</v>
      </c>
      <c r="AY35" s="846">
        <v>96.558817619999999</v>
      </c>
      <c r="AZ35" s="846">
        <v>94.960161400000004</v>
      </c>
      <c r="BA35" s="846">
        <v>92.786474349999992</v>
      </c>
      <c r="BB35" s="846">
        <v>92.686138580000005</v>
      </c>
      <c r="BC35" s="846">
        <v>65.560757420000002</v>
      </c>
      <c r="BD35" s="846">
        <f>+BD33-BD34</f>
        <v>65.127991899999998</v>
      </c>
      <c r="BE35" s="846">
        <v>65.079658030000004</v>
      </c>
      <c r="BF35" s="846">
        <v>75.943952229999979</v>
      </c>
      <c r="BG35" s="846">
        <v>84.886448259999952</v>
      </c>
      <c r="BH35" s="887">
        <v>84.143037959999987</v>
      </c>
      <c r="BI35" s="877">
        <v>106.44572910000005</v>
      </c>
      <c r="BJ35" s="877">
        <v>108.36277689999997</v>
      </c>
      <c r="BK35" s="877">
        <v>113.74082812</v>
      </c>
      <c r="BL35" s="877">
        <v>115.93356870999997</v>
      </c>
      <c r="BM35" s="877">
        <v>105.29244775000001</v>
      </c>
      <c r="BN35" s="877">
        <v>102.68236416999997</v>
      </c>
      <c r="BO35" s="877">
        <v>104.36813552999996</v>
      </c>
      <c r="BP35" s="877">
        <v>104.42573457999998</v>
      </c>
      <c r="BQ35" s="877">
        <v>107.70895883999992</v>
      </c>
      <c r="BR35" s="877">
        <v>109.93943311999999</v>
      </c>
      <c r="BS35" s="877">
        <v>110.60699740999996</v>
      </c>
      <c r="BT35" s="877">
        <v>119.57306337</v>
      </c>
      <c r="BU35" s="877">
        <v>88.419897869999971</v>
      </c>
      <c r="BV35" s="877">
        <v>87.155304749999999</v>
      </c>
      <c r="BW35" s="877">
        <v>88.407456259999989</v>
      </c>
      <c r="BX35" s="877">
        <v>87.987078889999992</v>
      </c>
      <c r="BY35" s="877">
        <v>99.7029122</v>
      </c>
      <c r="BZ35" s="877">
        <v>111.98833164000003</v>
      </c>
      <c r="CA35" s="877">
        <v>115.85547894</v>
      </c>
      <c r="CB35" s="877">
        <v>88.459849290000037</v>
      </c>
      <c r="CC35" s="877">
        <v>92.270981499999991</v>
      </c>
      <c r="CD35" s="877">
        <v>90.955385809999996</v>
      </c>
      <c r="CE35" s="877">
        <f t="shared" ref="CE35:CP35" si="13">+CE33-CE34</f>
        <v>99.953562210000001</v>
      </c>
      <c r="CF35" s="877">
        <f t="shared" si="13"/>
        <v>95.410101710000006</v>
      </c>
      <c r="CG35" s="877">
        <f t="shared" si="13"/>
        <v>131.59707266999999</v>
      </c>
      <c r="CH35" s="877">
        <f t="shared" si="13"/>
        <v>132.33735885999999</v>
      </c>
      <c r="CI35" s="877">
        <f t="shared" si="13"/>
        <v>129.31027728000001</v>
      </c>
      <c r="CJ35" s="877">
        <f t="shared" si="13"/>
        <v>127.86406882</v>
      </c>
      <c r="CK35" s="877">
        <f t="shared" si="13"/>
        <v>128.90960982000001</v>
      </c>
      <c r="CL35" s="877">
        <f t="shared" si="13"/>
        <v>126.90668918999999</v>
      </c>
      <c r="CM35" s="877">
        <f t="shared" si="13"/>
        <v>130.54859206</v>
      </c>
      <c r="CN35" s="877">
        <f t="shared" si="13"/>
        <v>132.3559721</v>
      </c>
      <c r="CO35" s="877">
        <f t="shared" si="13"/>
        <v>130.85945053</v>
      </c>
      <c r="CP35" s="877">
        <f t="shared" si="13"/>
        <v>129.42460727</v>
      </c>
      <c r="CQ35" s="877">
        <f>+CQ33-CQ34</f>
        <v>132.78094382</v>
      </c>
      <c r="CR35" s="877">
        <f>+CR33-CR34</f>
        <v>131.17614619</v>
      </c>
      <c r="CS35" s="877">
        <f>+CS33-CS34</f>
        <v>130.91545019</v>
      </c>
      <c r="CT35" s="877">
        <v>148.87658522000001</v>
      </c>
      <c r="CU35" s="877">
        <f>+CU33-CU34</f>
        <v>147.83511228</v>
      </c>
      <c r="CV35" s="877">
        <v>123.85113515</v>
      </c>
      <c r="CW35" s="877">
        <v>123.60106012</v>
      </c>
      <c r="CX35" s="877">
        <v>143.45786885000001</v>
      </c>
      <c r="CY35" s="877">
        <v>129.65630843</v>
      </c>
      <c r="CZ35" s="877">
        <v>133.71631661999999</v>
      </c>
      <c r="DA35" s="877">
        <v>138.0507145</v>
      </c>
      <c r="DB35" s="877">
        <v>152.9101039</v>
      </c>
      <c r="DC35" s="877">
        <f>+DC33-DC34</f>
        <v>156.14519063</v>
      </c>
      <c r="DD35" s="877">
        <v>153.50393962000001</v>
      </c>
      <c r="DE35" s="877">
        <v>147.09209809000001</v>
      </c>
      <c r="DF35" s="877">
        <v>146.00245434999999</v>
      </c>
      <c r="DG35" s="877">
        <f>+DG33-DG34</f>
        <v>126.10169229</v>
      </c>
      <c r="DH35" s="877">
        <v>95.474638159999998</v>
      </c>
      <c r="DI35" s="877">
        <f>+DI33-DI34</f>
        <v>123.62875698000001</v>
      </c>
      <c r="DJ35" s="877">
        <v>123.03585928</v>
      </c>
      <c r="DK35" s="877">
        <v>120.60593677999999</v>
      </c>
      <c r="DL35" s="877">
        <v>119.75968055</v>
      </c>
      <c r="DM35" s="877">
        <v>115.93544707</v>
      </c>
      <c r="DN35" s="877">
        <f>+DN33-DN34</f>
        <v>116.09484907</v>
      </c>
      <c r="DO35" s="877">
        <f>+DO33-DO34</f>
        <v>116.45940041</v>
      </c>
      <c r="DP35" s="877">
        <f>+DP33-DP34</f>
        <v>113.75636114</v>
      </c>
      <c r="DQ35" s="877">
        <f>+DQ33-DQ34</f>
        <v>130.28006633000001</v>
      </c>
      <c r="DR35" s="877">
        <v>178.96461278000001</v>
      </c>
      <c r="DS35" s="877">
        <v>182.42865606999999</v>
      </c>
      <c r="DT35" s="877">
        <v>179.78928171999999</v>
      </c>
      <c r="DU35" s="877">
        <f>+DU33-DU34</f>
        <v>173.14574542</v>
      </c>
      <c r="DV35" s="877">
        <f>+DV33-DV34</f>
        <v>201.72289044999999</v>
      </c>
      <c r="DW35" s="877">
        <v>203.06051572000001</v>
      </c>
      <c r="DX35" s="877">
        <v>205.04967758999999</v>
      </c>
      <c r="DY35" s="877">
        <v>201.24438509999999</v>
      </c>
      <c r="DZ35" s="877">
        <f>+DZ33-DZ34</f>
        <v>198.92859824000001</v>
      </c>
      <c r="EA35" s="877">
        <v>196.23754590999999</v>
      </c>
      <c r="EB35" s="877">
        <v>192.68808307</v>
      </c>
      <c r="EC35" s="877">
        <v>185.30053570999999</v>
      </c>
      <c r="ED35" s="877">
        <v>185.26675236</v>
      </c>
      <c r="EE35" s="877">
        <v>168.96943045</v>
      </c>
      <c r="EF35" s="877">
        <v>150.36457157999999</v>
      </c>
      <c r="EG35" s="877">
        <v>151.66652160999999</v>
      </c>
      <c r="EH35" s="877">
        <v>145.076494</v>
      </c>
      <c r="EI35" s="877">
        <v>143.04395971</v>
      </c>
      <c r="EJ35" s="877">
        <f>+EJ33-EJ34</f>
        <v>138.09449003</v>
      </c>
      <c r="EK35" s="875">
        <v>138.69862122000001</v>
      </c>
      <c r="EL35" s="875">
        <v>135.37606903</v>
      </c>
      <c r="EM35" s="875">
        <v>171.68862186999999</v>
      </c>
      <c r="EN35" s="875">
        <f>+EN33-EN34</f>
        <v>166.17304904</v>
      </c>
      <c r="EO35" s="875">
        <v>163.84090352000001</v>
      </c>
      <c r="EP35" s="875">
        <v>147.80741467999999</v>
      </c>
      <c r="EQ35" s="875">
        <v>136.62704117000001</v>
      </c>
      <c r="ER35" s="875">
        <v>137.20131961999999</v>
      </c>
      <c r="ES35" s="875">
        <v>132.17741158999999</v>
      </c>
      <c r="ET35" s="875">
        <f>+ET33-ET34</f>
        <v>137.26902486</v>
      </c>
      <c r="EU35" s="1925" t="s">
        <v>4085</v>
      </c>
      <c r="EV35" s="339"/>
      <c r="EW35" s="339"/>
      <c r="EX35" s="339"/>
      <c r="EY35" s="339"/>
      <c r="EZ35" s="342"/>
      <c r="FA35" s="339"/>
      <c r="FB35" s="339"/>
      <c r="FC35" s="339"/>
      <c r="FD35" s="339"/>
      <c r="FE35" s="339"/>
      <c r="FF35" s="339"/>
      <c r="FG35" s="339"/>
      <c r="FH35" s="339"/>
      <c r="FI35" s="339"/>
      <c r="FJ35" s="339"/>
      <c r="FK35" s="339"/>
      <c r="FL35" s="339"/>
      <c r="FM35" s="339"/>
      <c r="FN35" s="339"/>
      <c r="FO35" s="339"/>
      <c r="FP35" s="339"/>
      <c r="FQ35" s="339"/>
      <c r="FR35" s="339"/>
      <c r="FS35" s="339"/>
      <c r="FT35" s="339"/>
      <c r="FU35" s="339"/>
      <c r="FV35" s="339"/>
      <c r="FW35" s="339"/>
      <c r="FX35" s="339"/>
      <c r="FY35" s="339"/>
      <c r="FZ35" s="339"/>
      <c r="GA35" s="339"/>
      <c r="GB35" s="339"/>
      <c r="GC35" s="339"/>
      <c r="GD35" s="339"/>
      <c r="GE35" s="339"/>
      <c r="GF35" s="339"/>
      <c r="GG35" s="339"/>
      <c r="GH35" s="339"/>
      <c r="GI35" s="339"/>
      <c r="GJ35" s="339"/>
      <c r="GK35" s="339"/>
      <c r="GL35" s="339"/>
      <c r="GM35" s="339"/>
      <c r="GN35" s="339"/>
      <c r="GO35" s="339"/>
      <c r="GP35" s="339"/>
      <c r="GQ35" s="339"/>
      <c r="GR35" s="339"/>
      <c r="GS35" s="339"/>
      <c r="GT35" s="339"/>
      <c r="GU35" s="339"/>
      <c r="GV35" s="339"/>
      <c r="GW35" s="339"/>
      <c r="GX35" s="339"/>
      <c r="GY35" s="339"/>
      <c r="GZ35" s="339"/>
      <c r="HA35" s="339"/>
      <c r="HB35" s="339"/>
      <c r="HC35" s="339"/>
      <c r="HD35" s="339"/>
      <c r="HE35" s="339"/>
      <c r="HF35" s="339"/>
      <c r="HG35" s="339"/>
      <c r="HH35" s="339"/>
      <c r="HI35" s="339"/>
      <c r="HJ35" s="339"/>
      <c r="HK35" s="339"/>
      <c r="HL35" s="339"/>
      <c r="HM35" s="339"/>
      <c r="HN35" s="339"/>
      <c r="HO35" s="339"/>
      <c r="HP35" s="339"/>
      <c r="HQ35" s="339"/>
      <c r="HR35" s="339"/>
      <c r="HS35" s="339"/>
      <c r="HT35" s="339"/>
      <c r="HU35" s="339"/>
      <c r="HV35" s="339"/>
      <c r="HW35" s="339"/>
      <c r="HX35" s="339"/>
      <c r="HY35" s="339"/>
      <c r="HZ35" s="339"/>
      <c r="IA35" s="339"/>
      <c r="IB35" s="339"/>
      <c r="IC35" s="339"/>
      <c r="ID35" s="339"/>
      <c r="IE35" s="339"/>
      <c r="IF35" s="339"/>
      <c r="IG35" s="339"/>
      <c r="IH35" s="339"/>
      <c r="II35" s="339"/>
      <c r="IJ35" s="339"/>
      <c r="IK35" s="339"/>
      <c r="IL35" s="339"/>
      <c r="IM35" s="339"/>
      <c r="IN35" s="339"/>
      <c r="IO35" s="339"/>
      <c r="IP35" s="339"/>
      <c r="IQ35" s="339"/>
      <c r="IR35" s="339"/>
      <c r="IS35" s="339"/>
      <c r="IT35" s="339"/>
      <c r="IU35" s="339"/>
      <c r="IV35" s="339"/>
      <c r="IW35" s="339"/>
      <c r="IX35" s="339"/>
      <c r="IY35" s="339"/>
      <c r="IZ35" s="339"/>
      <c r="JA35" s="339"/>
      <c r="JB35" s="339"/>
      <c r="JC35" s="339"/>
      <c r="JD35" s="339"/>
      <c r="JE35" s="339"/>
      <c r="JF35" s="339"/>
      <c r="JG35" s="339"/>
      <c r="JH35" s="339"/>
      <c r="JI35" s="339"/>
      <c r="JJ35" s="339"/>
      <c r="JK35" s="339"/>
      <c r="JL35" s="339"/>
      <c r="JM35" s="339"/>
      <c r="JN35" s="339"/>
      <c r="JO35" s="339"/>
      <c r="JP35" s="339"/>
      <c r="JQ35" s="339"/>
      <c r="JR35" s="339"/>
      <c r="JS35" s="339"/>
      <c r="JT35" s="339"/>
      <c r="JU35" s="339"/>
      <c r="JV35" s="339"/>
      <c r="JW35" s="339"/>
      <c r="JX35" s="339"/>
      <c r="JY35" s="339"/>
      <c r="JZ35" s="339"/>
      <c r="KA35" s="339"/>
      <c r="KB35" s="339"/>
      <c r="KC35" s="339"/>
    </row>
    <row r="36" spans="1:289" s="792" customFormat="1" ht="39" customHeight="1">
      <c r="A36" s="2479" t="s">
        <v>3295</v>
      </c>
      <c r="B36" s="2479"/>
      <c r="C36" s="2479"/>
      <c r="D36" s="2479"/>
      <c r="E36" s="2479"/>
      <c r="F36" s="2479"/>
      <c r="G36" s="2479"/>
      <c r="H36" s="2479"/>
      <c r="I36" s="2479"/>
      <c r="J36" s="2479"/>
      <c r="K36" s="2479"/>
      <c r="L36" s="2479"/>
      <c r="M36" s="2479"/>
      <c r="N36" s="2479"/>
      <c r="O36" s="2479"/>
      <c r="P36" s="2479"/>
      <c r="Q36" s="2479"/>
      <c r="R36" s="2479"/>
      <c r="S36" s="2479"/>
      <c r="T36" s="2479"/>
      <c r="U36" s="2479"/>
      <c r="V36" s="2479"/>
      <c r="W36" s="2479"/>
      <c r="X36" s="2479"/>
      <c r="Y36" s="2479"/>
      <c r="Z36" s="2479"/>
      <c r="AA36" s="2479"/>
      <c r="AB36" s="2479"/>
      <c r="AC36" s="2479"/>
      <c r="AD36" s="2479"/>
      <c r="AE36" s="2479"/>
      <c r="AF36" s="2479"/>
      <c r="AG36" s="2479"/>
      <c r="AH36" s="2479"/>
      <c r="AI36" s="2479"/>
      <c r="AJ36" s="2479"/>
      <c r="AK36" s="2479"/>
      <c r="AL36" s="2479"/>
      <c r="AM36" s="2479"/>
      <c r="AN36" s="2479"/>
      <c r="AO36" s="2479"/>
      <c r="AP36" s="2479"/>
      <c r="AQ36" s="2479"/>
      <c r="AR36" s="2479"/>
      <c r="AS36" s="2479"/>
      <c r="AT36" s="2479"/>
      <c r="AU36" s="2479"/>
      <c r="AV36" s="2479"/>
      <c r="AW36" s="2479"/>
      <c r="AX36" s="2479"/>
      <c r="AY36" s="2479"/>
      <c r="AZ36" s="2479"/>
      <c r="BA36" s="2479"/>
      <c r="BB36" s="2479"/>
      <c r="BC36" s="2479"/>
      <c r="BD36" s="2479"/>
      <c r="BE36" s="2479"/>
      <c r="BF36" s="2479"/>
      <c r="BG36" s="2479"/>
      <c r="BH36" s="2479"/>
      <c r="BI36" s="2479"/>
      <c r="BJ36" s="2479"/>
      <c r="BK36" s="2479"/>
      <c r="BL36" s="2479"/>
      <c r="BM36" s="2479"/>
      <c r="BN36" s="2479"/>
      <c r="BO36" s="2479"/>
      <c r="BP36" s="2479"/>
      <c r="BQ36" s="2479"/>
      <c r="BR36" s="2479"/>
      <c r="BS36" s="2479"/>
      <c r="BT36" s="2479"/>
      <c r="BU36" s="2479"/>
      <c r="BV36" s="2479"/>
      <c r="BW36" s="2479"/>
      <c r="BX36" s="2479"/>
      <c r="BY36" s="2479"/>
      <c r="BZ36" s="2479"/>
      <c r="CA36" s="2479"/>
      <c r="CB36" s="2479"/>
      <c r="CC36" s="2479"/>
      <c r="CD36" s="2479"/>
      <c r="CE36" s="2479"/>
      <c r="CF36" s="2479"/>
      <c r="CG36" s="2479"/>
      <c r="CH36" s="2479"/>
      <c r="CI36" s="2479"/>
      <c r="CJ36" s="2479"/>
      <c r="CK36" s="2479"/>
      <c r="CL36" s="2479"/>
      <c r="CM36" s="2479"/>
      <c r="CN36" s="2479"/>
      <c r="CO36" s="2479"/>
      <c r="CP36" s="2479"/>
      <c r="CQ36" s="2479"/>
      <c r="CR36" s="2479"/>
      <c r="CS36" s="2479"/>
      <c r="CT36" s="2479"/>
      <c r="CU36" s="2479"/>
      <c r="CV36" s="2479"/>
      <c r="CW36" s="2479"/>
      <c r="CX36" s="2479"/>
      <c r="CY36" s="2479"/>
      <c r="CZ36" s="2479"/>
      <c r="DA36" s="2479"/>
      <c r="DB36" s="2479"/>
      <c r="DC36" s="2479"/>
      <c r="DD36" s="2479"/>
      <c r="DE36" s="2479"/>
      <c r="DF36" s="2479"/>
      <c r="DG36" s="2479"/>
      <c r="DH36" s="2479"/>
      <c r="DI36" s="2479"/>
      <c r="DJ36" s="2479"/>
      <c r="DK36" s="2479"/>
      <c r="DL36" s="2479"/>
      <c r="DM36" s="2479"/>
      <c r="DN36" s="2479"/>
      <c r="DO36" s="2479"/>
      <c r="DP36" s="2479"/>
      <c r="DQ36" s="2479"/>
      <c r="DR36" s="2479"/>
      <c r="DS36" s="2479"/>
      <c r="DT36" s="2479"/>
      <c r="DU36" s="2479"/>
      <c r="DV36" s="2479"/>
      <c r="DW36" s="2479"/>
      <c r="DX36" s="2479"/>
      <c r="DY36" s="2479"/>
      <c r="DZ36" s="2479"/>
      <c r="EA36" s="2480"/>
      <c r="EB36" s="2480"/>
      <c r="EC36" s="2480"/>
      <c r="ED36" s="2480"/>
      <c r="EE36" s="2480"/>
      <c r="EF36" s="2480"/>
      <c r="EG36" s="2480"/>
      <c r="EH36" s="2480"/>
      <c r="EI36" s="2480"/>
      <c r="EJ36" s="2480"/>
      <c r="EK36" s="2480"/>
      <c r="EL36" s="2480"/>
      <c r="EM36" s="2480"/>
      <c r="EN36" s="2480"/>
      <c r="EO36" s="2480"/>
      <c r="EP36" s="2480"/>
      <c r="EQ36" s="2480"/>
      <c r="ER36" s="2480"/>
      <c r="ES36" s="2480"/>
      <c r="ET36" s="2479"/>
    </row>
    <row r="37" spans="1:289" ht="18">
      <c r="A37" s="817"/>
      <c r="B37" s="289"/>
      <c r="C37" s="289"/>
      <c r="D37" s="289"/>
      <c r="E37" s="289"/>
      <c r="F37" s="289"/>
      <c r="G37" s="289"/>
      <c r="H37" s="289"/>
      <c r="I37" s="289"/>
      <c r="J37" s="289"/>
      <c r="K37" s="289"/>
      <c r="L37" s="289"/>
      <c r="M37" s="289"/>
      <c r="N37" s="289"/>
      <c r="O37" s="289"/>
      <c r="P37" s="289"/>
      <c r="Q37" s="289"/>
      <c r="R37" s="289"/>
      <c r="S37" s="289"/>
      <c r="T37" s="289"/>
      <c r="U37" s="289"/>
      <c r="V37" s="289"/>
      <c r="W37" s="289"/>
      <c r="X37" s="289"/>
      <c r="Y37" s="289"/>
      <c r="Z37" s="289"/>
      <c r="AA37" s="289"/>
      <c r="AB37" s="289"/>
      <c r="AC37" s="289"/>
      <c r="AD37" s="289"/>
      <c r="AE37" s="289"/>
      <c r="AF37" s="289"/>
      <c r="AG37" s="289"/>
      <c r="AH37" s="289"/>
      <c r="AI37" s="289"/>
      <c r="AJ37" s="289"/>
      <c r="AK37" s="289"/>
      <c r="AL37" s="289"/>
      <c r="AM37" s="289"/>
      <c r="AN37" s="289"/>
      <c r="AO37" s="289"/>
      <c r="AP37" s="289"/>
      <c r="AQ37" s="289"/>
      <c r="AR37" s="289"/>
      <c r="AS37" s="289"/>
      <c r="AT37" s="289"/>
      <c r="AU37" s="289"/>
      <c r="AV37" s="289"/>
      <c r="AW37" s="289"/>
      <c r="AX37" s="289"/>
      <c r="AY37" s="289"/>
      <c r="AZ37" s="289"/>
      <c r="BA37" s="289"/>
      <c r="BB37" s="289"/>
      <c r="BC37" s="289"/>
      <c r="BD37" s="289"/>
      <c r="BE37" s="289"/>
      <c r="BF37" s="289"/>
      <c r="BG37" s="289"/>
      <c r="BH37" s="289"/>
      <c r="BI37" s="289"/>
      <c r="BJ37" s="289"/>
      <c r="BK37" s="289"/>
      <c r="BL37" s="289"/>
      <c r="BM37" s="289"/>
      <c r="BN37" s="289"/>
      <c r="BO37" s="289"/>
      <c r="BP37" s="289"/>
      <c r="BQ37" s="289"/>
      <c r="BR37" s="289"/>
      <c r="BS37" s="289"/>
      <c r="BT37" s="289"/>
      <c r="BU37" s="289"/>
      <c r="BV37" s="289"/>
      <c r="BW37" s="289"/>
      <c r="BX37" s="289"/>
      <c r="BY37" s="289"/>
      <c r="BZ37" s="289"/>
      <c r="CA37" s="289"/>
      <c r="CB37" s="289"/>
      <c r="CC37" s="289"/>
      <c r="CD37" s="289"/>
      <c r="CE37" s="289"/>
      <c r="CF37" s="289"/>
      <c r="CG37" s="289"/>
    </row>
    <row r="38" spans="1:289" ht="18">
      <c r="A38" s="818"/>
      <c r="B38" s="288"/>
      <c r="C38" s="288"/>
      <c r="D38" s="288"/>
      <c r="E38" s="288"/>
      <c r="F38" s="288"/>
      <c r="G38" s="288"/>
      <c r="H38" s="288"/>
      <c r="I38" s="288"/>
      <c r="J38" s="288"/>
      <c r="K38" s="288"/>
      <c r="L38" s="288"/>
      <c r="M38" s="288"/>
      <c r="N38" s="288"/>
      <c r="O38" s="288"/>
      <c r="P38" s="288"/>
      <c r="Q38" s="288"/>
      <c r="R38" s="288"/>
      <c r="S38" s="288"/>
      <c r="T38" s="288"/>
      <c r="U38" s="288"/>
      <c r="V38" s="288"/>
      <c r="W38" s="288"/>
      <c r="X38" s="288"/>
      <c r="Y38" s="288"/>
      <c r="Z38" s="288"/>
      <c r="AA38" s="288"/>
      <c r="AB38" s="288"/>
      <c r="AC38" s="288"/>
      <c r="AD38" s="288"/>
      <c r="AE38" s="288"/>
      <c r="AF38" s="288"/>
      <c r="AG38" s="288"/>
      <c r="AH38" s="288"/>
      <c r="AI38" s="288"/>
      <c r="AJ38" s="288"/>
      <c r="AK38" s="288"/>
      <c r="AL38" s="288"/>
      <c r="AM38" s="288"/>
      <c r="AN38" s="288"/>
      <c r="AO38" s="288"/>
      <c r="AP38" s="288"/>
      <c r="AQ38" s="288"/>
      <c r="AR38" s="288"/>
      <c r="AS38" s="288"/>
      <c r="AT38" s="288"/>
      <c r="AU38" s="288"/>
      <c r="AV38" s="288"/>
      <c r="AW38" s="288"/>
      <c r="AX38" s="288"/>
      <c r="AY38" s="288"/>
      <c r="AZ38" s="288"/>
      <c r="BA38" s="288"/>
      <c r="BB38" s="288"/>
      <c r="BC38" s="288"/>
      <c r="BD38" s="288"/>
      <c r="BE38" s="288"/>
      <c r="BF38" s="288"/>
      <c r="BG38" s="288"/>
      <c r="BH38" s="288"/>
      <c r="BI38" s="288"/>
      <c r="BJ38" s="288"/>
      <c r="BK38" s="288"/>
      <c r="BL38" s="288"/>
      <c r="BM38" s="288"/>
      <c r="BN38" s="288"/>
      <c r="BO38" s="288"/>
      <c r="BP38" s="288"/>
      <c r="BQ38" s="288"/>
      <c r="BR38" s="288"/>
      <c r="BS38" s="288"/>
      <c r="BT38" s="288"/>
      <c r="BU38" s="288"/>
      <c r="BV38" s="288"/>
      <c r="BW38" s="288"/>
      <c r="BX38" s="288"/>
      <c r="BY38" s="288"/>
      <c r="BZ38" s="288"/>
      <c r="CA38" s="288"/>
      <c r="CB38" s="288"/>
      <c r="CC38" s="288"/>
      <c r="CD38" s="288"/>
      <c r="CE38" s="288"/>
      <c r="CF38" s="288"/>
      <c r="CG38" s="288"/>
    </row>
    <row r="39" spans="1:289" ht="18">
      <c r="A39" s="817"/>
      <c r="B39" s="289"/>
      <c r="C39" s="289"/>
      <c r="D39" s="289"/>
      <c r="E39" s="289"/>
      <c r="F39" s="289"/>
      <c r="G39" s="289"/>
      <c r="H39" s="289"/>
      <c r="I39" s="289"/>
      <c r="J39" s="289"/>
      <c r="K39" s="289"/>
      <c r="L39" s="289"/>
      <c r="M39" s="289"/>
      <c r="N39" s="289"/>
      <c r="O39" s="289"/>
      <c r="P39" s="289"/>
      <c r="Q39" s="289"/>
      <c r="R39" s="289"/>
      <c r="S39" s="289"/>
      <c r="T39" s="289"/>
      <c r="U39" s="289"/>
      <c r="V39" s="289"/>
      <c r="W39" s="289"/>
      <c r="X39" s="289"/>
      <c r="Y39" s="289"/>
      <c r="Z39" s="289"/>
      <c r="AA39" s="289"/>
      <c r="AB39" s="289"/>
      <c r="AC39" s="289"/>
      <c r="AD39" s="289"/>
      <c r="AE39" s="289"/>
      <c r="AF39" s="289"/>
      <c r="AG39" s="289"/>
      <c r="AH39" s="289"/>
      <c r="AI39" s="289"/>
      <c r="AJ39" s="289"/>
      <c r="AK39" s="289"/>
      <c r="AL39" s="289"/>
      <c r="AM39" s="289"/>
      <c r="AN39" s="289"/>
      <c r="AO39" s="289"/>
      <c r="AP39" s="289"/>
      <c r="AQ39" s="289"/>
      <c r="AR39" s="289"/>
      <c r="AS39" s="289"/>
      <c r="AT39" s="289"/>
      <c r="AU39" s="289"/>
      <c r="AV39" s="289"/>
      <c r="AW39" s="289"/>
      <c r="AX39" s="289"/>
      <c r="AY39" s="289"/>
      <c r="AZ39" s="289"/>
      <c r="BA39" s="289"/>
      <c r="BB39" s="289"/>
      <c r="BC39" s="289"/>
      <c r="BD39" s="289"/>
      <c r="BE39" s="289"/>
      <c r="BF39" s="289"/>
      <c r="BG39" s="289"/>
      <c r="BH39" s="289"/>
      <c r="BI39" s="289"/>
      <c r="BJ39" s="289"/>
      <c r="BK39" s="289"/>
      <c r="BL39" s="289"/>
      <c r="BM39" s="289"/>
      <c r="BN39" s="289"/>
      <c r="BO39" s="289"/>
      <c r="BP39" s="289"/>
      <c r="BQ39" s="289"/>
      <c r="BR39" s="289"/>
      <c r="BS39" s="289"/>
      <c r="BT39" s="289"/>
      <c r="BU39" s="289"/>
      <c r="BV39" s="289"/>
      <c r="BW39" s="289"/>
      <c r="BX39" s="289"/>
      <c r="BY39" s="289"/>
      <c r="BZ39" s="289"/>
      <c r="CA39" s="289"/>
      <c r="CB39" s="289"/>
      <c r="CC39" s="289"/>
      <c r="CD39" s="289"/>
      <c r="CE39" s="289"/>
      <c r="CF39" s="289"/>
      <c r="CG39" s="289"/>
    </row>
    <row r="40" spans="1:289" ht="18">
      <c r="A40" s="818"/>
      <c r="B40" s="288"/>
      <c r="C40" s="288"/>
      <c r="D40" s="288"/>
      <c r="E40" s="288"/>
      <c r="F40" s="288"/>
      <c r="G40" s="288"/>
      <c r="H40" s="288"/>
      <c r="I40" s="288"/>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row>
    <row r="41" spans="1:289" ht="18">
      <c r="A41" s="817"/>
      <c r="B41" s="289"/>
      <c r="C41" s="289"/>
      <c r="D41" s="289"/>
      <c r="E41" s="289"/>
      <c r="F41" s="289"/>
      <c r="G41" s="289"/>
      <c r="H41" s="289"/>
      <c r="I41" s="289"/>
      <c r="J41" s="289"/>
      <c r="K41" s="289"/>
      <c r="L41" s="289"/>
      <c r="M41" s="289"/>
      <c r="N41" s="289"/>
      <c r="O41" s="289"/>
      <c r="P41" s="289"/>
      <c r="Q41" s="289"/>
      <c r="R41" s="289"/>
      <c r="S41" s="289"/>
      <c r="T41" s="289"/>
      <c r="U41" s="289"/>
      <c r="V41" s="289"/>
      <c r="W41" s="289"/>
      <c r="X41" s="289"/>
      <c r="Y41" s="289"/>
      <c r="Z41" s="289"/>
      <c r="AA41" s="289"/>
      <c r="AB41" s="289"/>
      <c r="AC41" s="289"/>
      <c r="AD41" s="289"/>
      <c r="AE41" s="289"/>
      <c r="AF41" s="289"/>
      <c r="AG41" s="289"/>
      <c r="AH41" s="289"/>
      <c r="AI41" s="289"/>
      <c r="AJ41" s="289"/>
      <c r="AK41" s="289"/>
      <c r="AL41" s="289"/>
      <c r="AM41" s="289"/>
      <c r="AN41" s="289"/>
      <c r="AO41" s="289"/>
      <c r="AP41" s="289"/>
      <c r="AQ41" s="289"/>
      <c r="AR41" s="289"/>
      <c r="AS41" s="289"/>
      <c r="AT41" s="289"/>
      <c r="AU41" s="289"/>
      <c r="AV41" s="289"/>
      <c r="AW41" s="289"/>
      <c r="AX41" s="289"/>
      <c r="AY41" s="289"/>
      <c r="AZ41" s="289"/>
      <c r="BA41" s="289"/>
      <c r="BB41" s="289"/>
      <c r="BC41" s="289"/>
      <c r="BD41" s="289"/>
      <c r="BE41" s="289"/>
      <c r="BF41" s="289"/>
      <c r="BG41" s="289"/>
      <c r="BH41" s="289"/>
      <c r="BI41" s="289"/>
      <c r="BJ41" s="289"/>
      <c r="BK41" s="289"/>
      <c r="BL41" s="289"/>
      <c r="BM41" s="289"/>
      <c r="BN41" s="289"/>
      <c r="BO41" s="289"/>
      <c r="BP41" s="289"/>
      <c r="BQ41" s="289"/>
      <c r="BR41" s="289"/>
      <c r="BS41" s="289"/>
      <c r="BT41" s="289"/>
      <c r="BU41" s="289"/>
      <c r="BV41" s="289"/>
      <c r="BW41" s="289"/>
      <c r="BX41" s="289"/>
      <c r="BY41" s="289"/>
      <c r="BZ41" s="289"/>
      <c r="CA41" s="289"/>
      <c r="CB41" s="289"/>
      <c r="CC41" s="289"/>
      <c r="CD41" s="289"/>
      <c r="CE41" s="289"/>
      <c r="CF41" s="289"/>
      <c r="CG41" s="289"/>
    </row>
    <row r="42" spans="1:289" ht="18">
      <c r="A42" s="819"/>
      <c r="B42" s="289"/>
      <c r="C42" s="289"/>
      <c r="D42" s="289"/>
      <c r="E42" s="289"/>
      <c r="F42" s="289"/>
      <c r="G42" s="289"/>
      <c r="H42" s="289"/>
      <c r="I42" s="289"/>
      <c r="J42" s="289"/>
      <c r="K42" s="289"/>
      <c r="L42" s="289"/>
      <c r="M42" s="289"/>
      <c r="N42" s="289"/>
      <c r="O42" s="289"/>
      <c r="P42" s="289"/>
      <c r="Q42" s="289"/>
      <c r="R42" s="289"/>
      <c r="S42" s="289"/>
      <c r="T42" s="289"/>
      <c r="U42" s="289"/>
      <c r="V42" s="289"/>
      <c r="W42" s="289"/>
      <c r="X42" s="289"/>
      <c r="Y42" s="289"/>
      <c r="Z42" s="289"/>
      <c r="AA42" s="289"/>
      <c r="AB42" s="289"/>
      <c r="AC42" s="289"/>
      <c r="AD42" s="289"/>
      <c r="AE42" s="289"/>
      <c r="AF42" s="289"/>
      <c r="AG42" s="289"/>
      <c r="AH42" s="289"/>
      <c r="AI42" s="289"/>
      <c r="AJ42" s="289"/>
      <c r="AK42" s="289"/>
      <c r="AL42" s="289"/>
      <c r="AM42" s="289"/>
      <c r="AN42" s="289"/>
      <c r="AO42" s="289"/>
      <c r="AP42" s="289"/>
      <c r="AQ42" s="289"/>
      <c r="AR42" s="289"/>
      <c r="AS42" s="289"/>
      <c r="AT42" s="289"/>
      <c r="AU42" s="289"/>
      <c r="AV42" s="289"/>
      <c r="AW42" s="289"/>
      <c r="AX42" s="289"/>
      <c r="AY42" s="289"/>
      <c r="AZ42" s="289"/>
      <c r="BA42" s="289"/>
      <c r="BB42" s="289"/>
      <c r="BC42" s="289"/>
      <c r="BD42" s="289"/>
      <c r="BE42" s="289"/>
      <c r="BF42" s="289"/>
      <c r="BG42" s="289"/>
      <c r="BH42" s="289"/>
      <c r="BI42" s="289"/>
      <c r="BJ42" s="289"/>
      <c r="BK42" s="289"/>
      <c r="BL42" s="289"/>
      <c r="BM42" s="289"/>
      <c r="BN42" s="289"/>
      <c r="BO42" s="289"/>
      <c r="BP42" s="289"/>
      <c r="BQ42" s="289"/>
      <c r="BR42" s="289"/>
      <c r="BS42" s="289"/>
      <c r="BT42" s="289"/>
      <c r="BU42" s="289"/>
      <c r="BV42" s="289"/>
      <c r="BW42" s="289"/>
      <c r="BX42" s="289"/>
      <c r="BY42" s="289"/>
      <c r="BZ42" s="289"/>
      <c r="CA42" s="289"/>
      <c r="CB42" s="289"/>
      <c r="CC42" s="289"/>
      <c r="CD42" s="289"/>
      <c r="CE42" s="289"/>
      <c r="CF42" s="289"/>
      <c r="CG42" s="289"/>
    </row>
    <row r="43" spans="1:289" ht="18">
      <c r="A43" s="820"/>
      <c r="B43" s="288"/>
      <c r="C43" s="288"/>
      <c r="D43" s="288"/>
      <c r="E43" s="288"/>
      <c r="F43" s="288"/>
      <c r="G43" s="288"/>
      <c r="H43" s="288"/>
      <c r="I43" s="288"/>
      <c r="J43" s="288"/>
      <c r="K43" s="288"/>
      <c r="L43" s="288"/>
      <c r="M43" s="288"/>
      <c r="N43" s="288"/>
      <c r="O43" s="288"/>
      <c r="P43" s="288"/>
      <c r="Q43" s="288"/>
      <c r="R43" s="288"/>
      <c r="S43" s="288"/>
      <c r="T43" s="288"/>
      <c r="U43" s="288"/>
      <c r="V43" s="288"/>
      <c r="W43" s="288"/>
      <c r="X43" s="288"/>
      <c r="Y43" s="288"/>
      <c r="Z43" s="288"/>
      <c r="AA43" s="288"/>
      <c r="AB43" s="288"/>
      <c r="AC43" s="288"/>
      <c r="AD43" s="288"/>
      <c r="AE43" s="288"/>
      <c r="AF43" s="288"/>
      <c r="AG43" s="288"/>
      <c r="AH43" s="288"/>
      <c r="AI43" s="288"/>
      <c r="AJ43" s="288"/>
      <c r="AK43" s="288"/>
      <c r="AL43" s="288"/>
      <c r="AM43" s="288"/>
      <c r="AN43" s="288"/>
      <c r="AO43" s="288"/>
      <c r="AP43" s="288"/>
      <c r="AQ43" s="288"/>
      <c r="AR43" s="288"/>
      <c r="AS43" s="288"/>
      <c r="AT43" s="288"/>
      <c r="AU43" s="288"/>
      <c r="AV43" s="288"/>
      <c r="AW43" s="288"/>
      <c r="AX43" s="288"/>
      <c r="AY43" s="288"/>
      <c r="AZ43" s="288"/>
      <c r="BA43" s="288"/>
      <c r="BB43" s="288"/>
      <c r="BC43" s="288"/>
      <c r="BD43" s="288"/>
      <c r="BE43" s="288"/>
      <c r="BF43" s="288"/>
      <c r="BG43" s="288"/>
      <c r="BH43" s="288"/>
      <c r="BI43" s="288"/>
      <c r="BJ43" s="288"/>
      <c r="BK43" s="288"/>
      <c r="BL43" s="288"/>
      <c r="BM43" s="288"/>
      <c r="BN43" s="288"/>
      <c r="BO43" s="288"/>
      <c r="BP43" s="288"/>
      <c r="BQ43" s="288"/>
      <c r="BR43" s="288"/>
      <c r="BS43" s="288"/>
      <c r="BT43" s="288"/>
      <c r="BU43" s="288"/>
      <c r="BV43" s="288"/>
      <c r="BW43" s="288"/>
      <c r="BX43" s="288"/>
      <c r="BY43" s="288"/>
      <c r="BZ43" s="288"/>
      <c r="CA43" s="288"/>
      <c r="CB43" s="288"/>
      <c r="CC43" s="288"/>
      <c r="CD43" s="288"/>
      <c r="CE43" s="288"/>
      <c r="CF43" s="288"/>
      <c r="CG43" s="288"/>
    </row>
    <row r="44" spans="1:289" ht="18">
      <c r="A44" s="817"/>
      <c r="B44" s="289"/>
      <c r="C44" s="289"/>
      <c r="D44" s="289"/>
      <c r="E44" s="289"/>
      <c r="F44" s="289"/>
      <c r="G44" s="289"/>
      <c r="H44" s="289"/>
      <c r="I44" s="289"/>
      <c r="J44" s="289"/>
      <c r="K44" s="289"/>
      <c r="L44" s="289"/>
      <c r="M44" s="289"/>
      <c r="N44" s="289"/>
      <c r="O44" s="289"/>
      <c r="P44" s="289"/>
      <c r="Q44" s="289"/>
      <c r="R44" s="289"/>
      <c r="S44" s="289"/>
      <c r="T44" s="289"/>
      <c r="U44" s="289"/>
      <c r="V44" s="289"/>
      <c r="W44" s="289"/>
      <c r="X44" s="289"/>
      <c r="Y44" s="289"/>
      <c r="Z44" s="289"/>
      <c r="AA44" s="289"/>
      <c r="AB44" s="289"/>
      <c r="AC44" s="289"/>
      <c r="AD44" s="289"/>
      <c r="AE44" s="289"/>
      <c r="AF44" s="289"/>
      <c r="AG44" s="289"/>
      <c r="AH44" s="289"/>
      <c r="AI44" s="289"/>
      <c r="AJ44" s="289"/>
      <c r="AK44" s="289"/>
      <c r="AL44" s="289"/>
      <c r="AM44" s="289"/>
      <c r="AN44" s="289"/>
      <c r="AO44" s="289"/>
      <c r="AP44" s="289"/>
      <c r="AQ44" s="289"/>
      <c r="AR44" s="289"/>
      <c r="AS44" s="289"/>
      <c r="AT44" s="289"/>
      <c r="AU44" s="289"/>
      <c r="AV44" s="289"/>
      <c r="AW44" s="289"/>
      <c r="AX44" s="289"/>
      <c r="AY44" s="289"/>
      <c r="AZ44" s="289"/>
      <c r="BA44" s="289"/>
      <c r="BB44" s="289"/>
      <c r="BC44" s="289"/>
      <c r="BD44" s="289"/>
      <c r="BE44" s="289"/>
      <c r="BF44" s="289"/>
      <c r="BG44" s="289"/>
      <c r="BH44" s="289"/>
      <c r="BI44" s="289"/>
      <c r="BJ44" s="289"/>
      <c r="BK44" s="289"/>
      <c r="BL44" s="289"/>
      <c r="BM44" s="289"/>
      <c r="BN44" s="289"/>
      <c r="BO44" s="289"/>
      <c r="BP44" s="289"/>
      <c r="BQ44" s="289"/>
      <c r="BR44" s="289"/>
      <c r="BS44" s="289"/>
      <c r="BT44" s="289"/>
      <c r="BU44" s="289"/>
      <c r="BV44" s="289"/>
      <c r="BW44" s="289"/>
      <c r="BX44" s="289"/>
      <c r="BY44" s="289"/>
      <c r="BZ44" s="289"/>
      <c r="CA44" s="289"/>
      <c r="CB44" s="289"/>
      <c r="CC44" s="289"/>
      <c r="CD44" s="289"/>
      <c r="CE44" s="289"/>
      <c r="CF44" s="289"/>
      <c r="CG44" s="289"/>
    </row>
    <row r="45" spans="1:289" ht="18">
      <c r="A45" s="818"/>
      <c r="B45" s="288"/>
      <c r="C45" s="288"/>
      <c r="D45" s="288"/>
      <c r="E45" s="288"/>
      <c r="F45" s="288"/>
      <c r="G45" s="288"/>
      <c r="H45" s="288"/>
      <c r="I45" s="288"/>
      <c r="J45" s="288"/>
      <c r="K45" s="288"/>
      <c r="L45" s="288"/>
      <c r="M45" s="288"/>
      <c r="N45" s="288"/>
      <c r="O45" s="288"/>
      <c r="P45" s="288"/>
      <c r="Q45" s="288"/>
      <c r="R45" s="288"/>
      <c r="S45" s="288"/>
      <c r="T45" s="288"/>
      <c r="U45" s="288"/>
      <c r="V45" s="288"/>
      <c r="W45" s="288"/>
      <c r="X45" s="288"/>
      <c r="Y45" s="288"/>
      <c r="Z45" s="288"/>
      <c r="AA45" s="288"/>
      <c r="AB45" s="288"/>
      <c r="AC45" s="288"/>
      <c r="AD45" s="288"/>
      <c r="AE45" s="288"/>
      <c r="AF45" s="288"/>
      <c r="AG45" s="288"/>
      <c r="AH45" s="288"/>
      <c r="AI45" s="288"/>
      <c r="AJ45" s="288"/>
      <c r="AK45" s="288"/>
      <c r="AL45" s="288"/>
      <c r="AM45" s="288"/>
      <c r="AN45" s="288"/>
      <c r="AO45" s="288"/>
      <c r="AP45" s="288"/>
      <c r="AQ45" s="288"/>
      <c r="AR45" s="288"/>
      <c r="AS45" s="288"/>
      <c r="AT45" s="288"/>
      <c r="AU45" s="288"/>
      <c r="AV45" s="288"/>
      <c r="AW45" s="288"/>
      <c r="AX45" s="288"/>
      <c r="AY45" s="288"/>
      <c r="AZ45" s="288"/>
      <c r="BA45" s="288"/>
      <c r="BB45" s="288"/>
      <c r="BC45" s="288"/>
      <c r="BD45" s="288"/>
      <c r="BE45" s="288"/>
      <c r="BF45" s="288"/>
      <c r="BG45" s="288"/>
      <c r="BH45" s="288"/>
      <c r="BI45" s="288"/>
      <c r="BJ45" s="288"/>
      <c r="BK45" s="288"/>
      <c r="BL45" s="288"/>
      <c r="BM45" s="288"/>
      <c r="BN45" s="288"/>
      <c r="BO45" s="288"/>
      <c r="BP45" s="288"/>
      <c r="BQ45" s="288"/>
      <c r="BR45" s="288"/>
      <c r="BS45" s="288"/>
      <c r="BT45" s="288"/>
      <c r="BU45" s="288"/>
      <c r="BV45" s="288"/>
      <c r="BW45" s="288"/>
      <c r="BX45" s="288"/>
      <c r="BY45" s="288"/>
      <c r="BZ45" s="288"/>
      <c r="CA45" s="288"/>
      <c r="CB45" s="288"/>
      <c r="CC45" s="288"/>
      <c r="CD45" s="288"/>
      <c r="CE45" s="288"/>
      <c r="CF45" s="288"/>
      <c r="CG45" s="288"/>
    </row>
    <row r="46" spans="1:289" ht="18">
      <c r="A46" s="817"/>
      <c r="B46" s="289"/>
      <c r="C46" s="289"/>
      <c r="D46" s="289"/>
      <c r="E46" s="289"/>
      <c r="F46" s="289"/>
      <c r="G46" s="289"/>
      <c r="H46" s="289"/>
      <c r="I46" s="289"/>
      <c r="J46" s="289"/>
      <c r="K46" s="289"/>
      <c r="L46" s="289"/>
      <c r="M46" s="289"/>
      <c r="N46" s="289"/>
      <c r="O46" s="289"/>
      <c r="P46" s="289"/>
      <c r="Q46" s="289"/>
      <c r="R46" s="289"/>
      <c r="S46" s="289"/>
      <c r="T46" s="289"/>
      <c r="U46" s="289"/>
      <c r="V46" s="289"/>
      <c r="W46" s="289"/>
      <c r="X46" s="289"/>
      <c r="Y46" s="289"/>
      <c r="Z46" s="289"/>
      <c r="AA46" s="289"/>
      <c r="AB46" s="289"/>
      <c r="AC46" s="289"/>
      <c r="AD46" s="289"/>
      <c r="AE46" s="289"/>
      <c r="AF46" s="289"/>
      <c r="AG46" s="289"/>
      <c r="AH46" s="289"/>
      <c r="AI46" s="289"/>
      <c r="AJ46" s="289"/>
      <c r="AK46" s="289"/>
      <c r="AL46" s="289"/>
      <c r="AM46" s="289"/>
      <c r="AN46" s="289"/>
      <c r="AO46" s="289"/>
      <c r="AP46" s="289"/>
      <c r="AQ46" s="289"/>
      <c r="AR46" s="289"/>
      <c r="AS46" s="289"/>
      <c r="AT46" s="289"/>
      <c r="AU46" s="289"/>
      <c r="AV46" s="289"/>
      <c r="AW46" s="289"/>
      <c r="AX46" s="289"/>
      <c r="AY46" s="289"/>
      <c r="AZ46" s="289"/>
      <c r="BA46" s="289"/>
      <c r="BB46" s="289"/>
      <c r="BC46" s="289"/>
      <c r="BD46" s="289"/>
      <c r="BE46" s="289"/>
      <c r="BF46" s="289"/>
      <c r="BG46" s="289"/>
      <c r="BH46" s="289"/>
      <c r="BI46" s="289"/>
      <c r="BJ46" s="289"/>
      <c r="BK46" s="289"/>
      <c r="BL46" s="289"/>
      <c r="BM46" s="289"/>
      <c r="BN46" s="289"/>
      <c r="BO46" s="289"/>
      <c r="BP46" s="289"/>
      <c r="BQ46" s="289"/>
      <c r="BR46" s="289"/>
      <c r="BS46" s="289"/>
      <c r="BT46" s="289"/>
      <c r="BU46" s="289"/>
      <c r="BV46" s="289"/>
      <c r="BW46" s="289"/>
      <c r="BX46" s="289"/>
      <c r="BY46" s="289"/>
      <c r="BZ46" s="289"/>
      <c r="CA46" s="289"/>
      <c r="CB46" s="289"/>
      <c r="CC46" s="289"/>
      <c r="CD46" s="289"/>
      <c r="CE46" s="289"/>
      <c r="CF46" s="289"/>
      <c r="CG46" s="289"/>
    </row>
    <row r="47" spans="1:289" ht="18">
      <c r="A47" s="818"/>
      <c r="B47" s="288"/>
      <c r="C47" s="288"/>
      <c r="D47" s="288"/>
      <c r="E47" s="288"/>
      <c r="F47" s="288"/>
      <c r="G47" s="288"/>
      <c r="H47" s="288"/>
      <c r="I47" s="288"/>
      <c r="J47" s="288"/>
      <c r="K47" s="288"/>
      <c r="L47" s="288"/>
      <c r="M47" s="288"/>
      <c r="N47" s="288"/>
      <c r="O47" s="288"/>
      <c r="P47" s="288"/>
      <c r="Q47" s="288"/>
      <c r="R47" s="288"/>
      <c r="S47" s="288"/>
      <c r="T47" s="288"/>
      <c r="U47" s="288"/>
      <c r="V47" s="288"/>
      <c r="W47" s="288"/>
      <c r="X47" s="288"/>
      <c r="Y47" s="288"/>
      <c r="Z47" s="288"/>
      <c r="AA47" s="288"/>
      <c r="AB47" s="288"/>
      <c r="AC47" s="288"/>
      <c r="AD47" s="288"/>
      <c r="AE47" s="288"/>
      <c r="AF47" s="288"/>
      <c r="AG47" s="288"/>
      <c r="AH47" s="288"/>
      <c r="AI47" s="288"/>
      <c r="AJ47" s="288"/>
      <c r="AK47" s="288"/>
      <c r="AL47" s="288"/>
      <c r="AM47" s="288"/>
      <c r="AN47" s="288"/>
      <c r="AO47" s="288"/>
      <c r="AP47" s="288"/>
      <c r="AQ47" s="288"/>
      <c r="AR47" s="288"/>
      <c r="AS47" s="288"/>
      <c r="AT47" s="288"/>
      <c r="AU47" s="288"/>
      <c r="AV47" s="288"/>
      <c r="AW47" s="288"/>
      <c r="AX47" s="288"/>
      <c r="AY47" s="288"/>
      <c r="AZ47" s="288"/>
      <c r="BA47" s="288"/>
      <c r="BB47" s="288"/>
      <c r="BC47" s="288"/>
      <c r="BD47" s="288"/>
      <c r="BE47" s="288"/>
      <c r="BF47" s="288"/>
      <c r="BG47" s="288"/>
      <c r="BH47" s="288"/>
      <c r="BI47" s="288"/>
      <c r="BJ47" s="288"/>
      <c r="BK47" s="288"/>
      <c r="BL47" s="288"/>
      <c r="BM47" s="288"/>
      <c r="BN47" s="288"/>
      <c r="BO47" s="288"/>
      <c r="BP47" s="288"/>
      <c r="BQ47" s="288"/>
      <c r="BR47" s="288"/>
      <c r="BS47" s="288"/>
      <c r="BT47" s="288"/>
      <c r="BU47" s="288"/>
      <c r="BV47" s="288"/>
      <c r="BW47" s="288"/>
      <c r="BX47" s="288"/>
      <c r="BY47" s="288"/>
      <c r="BZ47" s="288"/>
      <c r="CA47" s="288"/>
      <c r="CB47" s="288"/>
      <c r="CC47" s="288"/>
      <c r="CD47" s="288"/>
      <c r="CE47" s="288"/>
      <c r="CF47" s="288"/>
      <c r="CG47" s="288"/>
    </row>
    <row r="48" spans="1:289" ht="18">
      <c r="A48" s="817"/>
      <c r="B48" s="289"/>
      <c r="C48" s="289"/>
      <c r="D48" s="289"/>
      <c r="E48" s="289"/>
      <c r="F48" s="289"/>
      <c r="G48" s="289"/>
      <c r="H48" s="289"/>
      <c r="I48" s="289"/>
      <c r="J48" s="289"/>
      <c r="K48" s="289"/>
      <c r="L48" s="289"/>
      <c r="M48" s="289"/>
      <c r="N48" s="289"/>
      <c r="O48" s="289"/>
      <c r="P48" s="289"/>
      <c r="Q48" s="289"/>
      <c r="R48" s="289"/>
      <c r="S48" s="289"/>
      <c r="T48" s="289"/>
      <c r="U48" s="289"/>
      <c r="V48" s="289"/>
      <c r="W48" s="289"/>
      <c r="X48" s="289"/>
      <c r="Y48" s="289"/>
      <c r="Z48" s="289"/>
      <c r="AA48" s="289"/>
      <c r="AB48" s="289"/>
      <c r="AC48" s="289"/>
      <c r="AD48" s="289"/>
      <c r="AE48" s="289"/>
      <c r="AF48" s="289"/>
      <c r="AG48" s="289"/>
      <c r="AH48" s="289"/>
      <c r="AI48" s="289"/>
      <c r="AJ48" s="289"/>
      <c r="AK48" s="289"/>
      <c r="AL48" s="289"/>
      <c r="AM48" s="289"/>
      <c r="AN48" s="289"/>
      <c r="AO48" s="289"/>
      <c r="AP48" s="289"/>
      <c r="AQ48" s="289"/>
      <c r="AR48" s="289"/>
      <c r="AS48" s="289"/>
      <c r="AT48" s="289"/>
      <c r="AU48" s="289"/>
      <c r="AV48" s="289"/>
      <c r="AW48" s="289"/>
      <c r="AX48" s="289"/>
      <c r="AY48" s="289"/>
      <c r="AZ48" s="289"/>
      <c r="BA48" s="289"/>
      <c r="BB48" s="289"/>
      <c r="BC48" s="289"/>
      <c r="BD48" s="289"/>
      <c r="BE48" s="289"/>
      <c r="BF48" s="289"/>
      <c r="BG48" s="289"/>
      <c r="BH48" s="289"/>
      <c r="BI48" s="289"/>
      <c r="BJ48" s="289"/>
      <c r="BK48" s="289"/>
      <c r="BL48" s="289"/>
      <c r="BM48" s="289"/>
      <c r="BN48" s="289"/>
      <c r="BO48" s="289"/>
      <c r="BP48" s="289"/>
      <c r="BQ48" s="289"/>
      <c r="BR48" s="289"/>
      <c r="BS48" s="289"/>
      <c r="BT48" s="289"/>
      <c r="BU48" s="289"/>
      <c r="BV48" s="289"/>
      <c r="BW48" s="289"/>
      <c r="BX48" s="289"/>
      <c r="BY48" s="289"/>
      <c r="BZ48" s="289"/>
      <c r="CA48" s="289"/>
      <c r="CB48" s="289"/>
      <c r="CC48" s="289"/>
      <c r="CD48" s="289"/>
      <c r="CE48" s="289"/>
      <c r="CF48" s="289"/>
      <c r="CG48" s="289"/>
    </row>
  </sheetData>
  <mergeCells count="16">
    <mergeCell ref="A2:EU2"/>
    <mergeCell ref="A3:EU3"/>
    <mergeCell ref="A6:A8"/>
    <mergeCell ref="EU6:EU8"/>
    <mergeCell ref="A36:ET36"/>
    <mergeCell ref="A5:ET5"/>
    <mergeCell ref="B6:M6"/>
    <mergeCell ref="N6:Y6"/>
    <mergeCell ref="Z6:AK6"/>
    <mergeCell ref="AV6:AW6"/>
    <mergeCell ref="BV6:CG6"/>
    <mergeCell ref="CT6:DE6"/>
    <mergeCell ref="DF6:DQ6"/>
    <mergeCell ref="DR6:EC6"/>
    <mergeCell ref="ED6:EO6"/>
    <mergeCell ref="EP6:ET6"/>
  </mergeCells>
  <pageMargins left="0.7" right="0.7" top="0.75" bottom="0.75" header="0.3" footer="0.3"/>
  <pageSetup scale="25"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8">
    <tabColor rgb="FF92D050"/>
  </sheetPr>
  <dimension ref="A2:KC63"/>
  <sheetViews>
    <sheetView showGridLines="0" view="pageBreakPreview" zoomScale="65" zoomScaleNormal="100" zoomScaleSheetLayoutView="65" workbookViewId="0">
      <selection activeCell="EU44" sqref="EU44"/>
    </sheetView>
  </sheetViews>
  <sheetFormatPr defaultColWidth="9.140625" defaultRowHeight="15"/>
  <cols>
    <col min="1" max="1" width="61.42578125" style="824" customWidth="1"/>
    <col min="2" max="12" width="13.5703125" style="339" hidden="1" customWidth="1"/>
    <col min="13" max="13" width="19" style="339" hidden="1" customWidth="1"/>
    <col min="14" max="23" width="13.5703125" style="339" hidden="1" customWidth="1"/>
    <col min="24" max="24" width="13.28515625" style="339" hidden="1" customWidth="1"/>
    <col min="25" max="25" width="18.140625" style="339" hidden="1" customWidth="1"/>
    <col min="26" max="33" width="14.7109375" style="339" hidden="1" customWidth="1"/>
    <col min="34" max="34" width="17.85546875" style="339" hidden="1" customWidth="1"/>
    <col min="35" max="35" width="18.140625" style="339" hidden="1" customWidth="1"/>
    <col min="36" max="36" width="17.140625" style="339" hidden="1" customWidth="1"/>
    <col min="37" max="37" width="16.85546875" style="339" hidden="1" customWidth="1"/>
    <col min="38" max="44" width="14.7109375" style="339" hidden="1" customWidth="1"/>
    <col min="45" max="45" width="17.140625" style="339" hidden="1" customWidth="1"/>
    <col min="46" max="60" width="17.28515625" style="339" hidden="1" customWidth="1"/>
    <col min="61" max="61" width="13.28515625" style="339" customWidth="1"/>
    <col min="62" max="72" width="17.28515625" style="339" hidden="1" customWidth="1"/>
    <col min="73" max="73" width="13.28515625" style="339" customWidth="1"/>
    <col min="74" max="82" width="17.28515625" style="339" hidden="1" customWidth="1"/>
    <col min="83" max="84" width="17.140625" style="339" hidden="1" customWidth="1"/>
    <col min="85" max="85" width="13.28515625" style="339" customWidth="1"/>
    <col min="86" max="96" width="16" style="339" hidden="1" customWidth="1"/>
    <col min="97" max="97" width="13.28515625" style="339" customWidth="1"/>
    <col min="98" max="108" width="13.28515625" style="339" hidden="1" customWidth="1"/>
    <col min="109" max="109" width="13.28515625" style="339" customWidth="1"/>
    <col min="110" max="120" width="13.28515625" style="339" hidden="1" customWidth="1"/>
    <col min="121" max="121" width="13.28515625" style="339" customWidth="1"/>
    <col min="122" max="132" width="13.28515625" style="339" hidden="1" customWidth="1"/>
    <col min="133" max="133" width="13.28515625" style="339" customWidth="1"/>
    <col min="134" max="144" width="13.28515625" style="339" hidden="1" customWidth="1"/>
    <col min="145" max="150" width="13.28515625" style="339" customWidth="1"/>
    <col min="151" max="151" width="57.28515625" style="339" customWidth="1"/>
    <col min="152" max="153" width="9.140625" style="339"/>
    <col min="154" max="154" width="0" style="339" hidden="1" customWidth="1"/>
    <col min="155" max="16384" width="9.140625" style="339"/>
  </cols>
  <sheetData>
    <row r="2" spans="1:289" ht="40.15" customHeight="1">
      <c r="A2" s="2488" t="s">
        <v>3298</v>
      </c>
      <c r="B2" s="2488"/>
      <c r="C2" s="2488"/>
      <c r="D2" s="2488"/>
      <c r="E2" s="2488"/>
      <c r="F2" s="2488"/>
      <c r="G2" s="2488"/>
      <c r="H2" s="2488"/>
      <c r="I2" s="2488"/>
      <c r="J2" s="2488"/>
      <c r="K2" s="2488"/>
      <c r="L2" s="2488"/>
      <c r="M2" s="2488"/>
      <c r="N2" s="2488"/>
      <c r="O2" s="2488"/>
      <c r="P2" s="2488"/>
      <c r="Q2" s="2488"/>
      <c r="R2" s="2488"/>
      <c r="S2" s="2488"/>
      <c r="T2" s="2488"/>
      <c r="U2" s="2488"/>
      <c r="V2" s="2488"/>
      <c r="W2" s="2488"/>
      <c r="X2" s="2488"/>
      <c r="Y2" s="2488"/>
      <c r="Z2" s="2488"/>
      <c r="AA2" s="2488"/>
      <c r="AB2" s="2488"/>
      <c r="AC2" s="2488"/>
      <c r="AD2" s="2488"/>
      <c r="AE2" s="2488"/>
      <c r="AF2" s="2488"/>
      <c r="AG2" s="2488"/>
      <c r="AH2" s="2488"/>
      <c r="AI2" s="2488"/>
      <c r="AJ2" s="2488"/>
      <c r="AK2" s="2488"/>
      <c r="AL2" s="2488"/>
      <c r="AM2" s="2488"/>
      <c r="AN2" s="2488"/>
      <c r="AO2" s="2488"/>
      <c r="AP2" s="2488"/>
      <c r="AQ2" s="2488"/>
      <c r="AR2" s="2488"/>
      <c r="AS2" s="2488"/>
      <c r="AT2" s="2488"/>
      <c r="AU2" s="2488"/>
      <c r="AV2" s="2488"/>
      <c r="AW2" s="2488"/>
      <c r="AX2" s="2488"/>
      <c r="AY2" s="2488"/>
      <c r="AZ2" s="2488"/>
      <c r="BA2" s="2488"/>
      <c r="BB2" s="2488"/>
      <c r="BC2" s="2488"/>
      <c r="BD2" s="2488"/>
      <c r="BE2" s="2488"/>
      <c r="BF2" s="2488"/>
      <c r="BG2" s="2488"/>
      <c r="BH2" s="2488"/>
      <c r="BI2" s="2488"/>
      <c r="BJ2" s="2488"/>
      <c r="BK2" s="2488"/>
      <c r="BL2" s="2488"/>
      <c r="BM2" s="2488"/>
      <c r="BN2" s="2488"/>
      <c r="BO2" s="2488"/>
      <c r="BP2" s="2488"/>
      <c r="BQ2" s="2488"/>
      <c r="BR2" s="2488"/>
      <c r="BS2" s="2488"/>
      <c r="BT2" s="2488"/>
      <c r="BU2" s="2488"/>
      <c r="BV2" s="2488"/>
      <c r="BW2" s="2488"/>
      <c r="BX2" s="2488"/>
      <c r="BY2" s="2488"/>
      <c r="BZ2" s="2488"/>
      <c r="CA2" s="2488"/>
      <c r="CB2" s="2488"/>
      <c r="CC2" s="2488"/>
      <c r="CD2" s="2488"/>
      <c r="CE2" s="2488"/>
      <c r="CF2" s="2488"/>
      <c r="CG2" s="2488"/>
      <c r="CH2" s="2488"/>
      <c r="CI2" s="2488"/>
      <c r="CJ2" s="2488"/>
      <c r="CK2" s="2488"/>
      <c r="CL2" s="2488"/>
      <c r="CM2" s="2488"/>
      <c r="CN2" s="2488"/>
      <c r="CO2" s="2488"/>
      <c r="CP2" s="2488"/>
      <c r="CQ2" s="2488"/>
      <c r="CR2" s="2488"/>
      <c r="CS2" s="2488"/>
      <c r="CT2" s="2488"/>
      <c r="CU2" s="2488"/>
      <c r="CV2" s="2488"/>
      <c r="CW2" s="2488"/>
      <c r="CX2" s="2488"/>
      <c r="CY2" s="2488"/>
      <c r="CZ2" s="2488"/>
      <c r="DA2" s="2488"/>
      <c r="DB2" s="2488"/>
      <c r="DC2" s="2488"/>
      <c r="DD2" s="2488"/>
      <c r="DE2" s="2488"/>
      <c r="DF2" s="2488"/>
      <c r="DG2" s="2488"/>
      <c r="DH2" s="2488"/>
      <c r="DI2" s="2488"/>
      <c r="DJ2" s="2488"/>
      <c r="DK2" s="2488"/>
      <c r="DL2" s="2488"/>
      <c r="DM2" s="2488"/>
      <c r="DN2" s="2488"/>
      <c r="DO2" s="2488"/>
      <c r="DP2" s="2488"/>
      <c r="DQ2" s="2488"/>
      <c r="DR2" s="2488"/>
      <c r="DS2" s="2488"/>
      <c r="DT2" s="2488"/>
      <c r="DU2" s="2488"/>
      <c r="DV2" s="2488"/>
      <c r="DW2" s="2488"/>
      <c r="DX2" s="2488"/>
      <c r="DY2" s="2488"/>
      <c r="DZ2" s="2488"/>
      <c r="EA2" s="2488"/>
      <c r="EB2" s="2488"/>
      <c r="EC2" s="2488"/>
      <c r="ED2" s="2488"/>
      <c r="EE2" s="2488"/>
      <c r="EF2" s="2488"/>
      <c r="EG2" s="2488"/>
      <c r="EH2" s="2488"/>
      <c r="EI2" s="2488"/>
      <c r="EJ2" s="2488"/>
      <c r="EK2" s="2488"/>
      <c r="EL2" s="2488"/>
      <c r="EM2" s="2488"/>
      <c r="EN2" s="2488"/>
      <c r="EO2" s="2488"/>
      <c r="EP2" s="2488"/>
      <c r="EQ2" s="2488"/>
      <c r="ER2" s="2488"/>
      <c r="ES2" s="2488"/>
      <c r="ET2" s="2488"/>
      <c r="EU2" s="2488"/>
    </row>
    <row r="3" spans="1:289" ht="47.25" customHeight="1">
      <c r="A3" s="2474" t="s">
        <v>3292</v>
      </c>
      <c r="B3" s="2474"/>
      <c r="C3" s="2474"/>
      <c r="D3" s="2474"/>
      <c r="E3" s="2474"/>
      <c r="F3" s="2474"/>
      <c r="G3" s="2474"/>
      <c r="H3" s="2474"/>
      <c r="I3" s="2474"/>
      <c r="J3" s="2474"/>
      <c r="K3" s="2474"/>
      <c r="L3" s="2474"/>
      <c r="M3" s="2474"/>
      <c r="N3" s="2474"/>
      <c r="O3" s="2474"/>
      <c r="P3" s="2474"/>
      <c r="Q3" s="2474"/>
      <c r="R3" s="2474"/>
      <c r="S3" s="2474"/>
      <c r="T3" s="2474"/>
      <c r="U3" s="2474"/>
      <c r="V3" s="2474"/>
      <c r="W3" s="2474"/>
      <c r="X3" s="2474"/>
      <c r="Y3" s="2474"/>
      <c r="Z3" s="2474"/>
      <c r="AA3" s="2474"/>
      <c r="AB3" s="2474"/>
      <c r="AC3" s="2474"/>
      <c r="AD3" s="2474"/>
      <c r="AE3" s="2474"/>
      <c r="AF3" s="2474"/>
      <c r="AG3" s="2474"/>
      <c r="AH3" s="2474"/>
      <c r="AI3" s="2474"/>
      <c r="AJ3" s="2474"/>
      <c r="AK3" s="2474"/>
      <c r="AL3" s="2474"/>
      <c r="AM3" s="2474"/>
      <c r="AN3" s="2474"/>
      <c r="AO3" s="2474"/>
      <c r="AP3" s="2474"/>
      <c r="AQ3" s="2474"/>
      <c r="AR3" s="2474"/>
      <c r="AS3" s="2474"/>
      <c r="AT3" s="2474"/>
      <c r="AU3" s="2474"/>
      <c r="AV3" s="2474"/>
      <c r="AW3" s="2474"/>
      <c r="AX3" s="2474"/>
      <c r="AY3" s="2474"/>
      <c r="AZ3" s="2474"/>
      <c r="BA3" s="2474"/>
      <c r="BB3" s="2474"/>
      <c r="BC3" s="2474"/>
      <c r="BD3" s="2474"/>
      <c r="BE3" s="2474"/>
      <c r="BF3" s="2474"/>
      <c r="BG3" s="2474"/>
      <c r="BH3" s="2474"/>
      <c r="BI3" s="2474"/>
      <c r="BJ3" s="2474"/>
      <c r="BK3" s="2474"/>
      <c r="BL3" s="2474"/>
      <c r="BM3" s="2474"/>
      <c r="BN3" s="2474"/>
      <c r="BO3" s="2474"/>
      <c r="BP3" s="2474"/>
      <c r="BQ3" s="2474"/>
      <c r="BR3" s="2474"/>
      <c r="BS3" s="2474"/>
      <c r="BT3" s="2474"/>
      <c r="BU3" s="2474"/>
      <c r="BV3" s="2474"/>
      <c r="BW3" s="2474"/>
      <c r="BX3" s="2474"/>
      <c r="BY3" s="2474"/>
      <c r="BZ3" s="2474"/>
      <c r="CA3" s="2474"/>
      <c r="CB3" s="2474"/>
      <c r="CC3" s="2474"/>
      <c r="CD3" s="2474"/>
      <c r="CE3" s="2474"/>
      <c r="CF3" s="2474"/>
      <c r="CG3" s="2474"/>
      <c r="CH3" s="2474"/>
      <c r="CI3" s="2474"/>
      <c r="CJ3" s="2474"/>
      <c r="CK3" s="2474"/>
      <c r="CL3" s="2474"/>
      <c r="CM3" s="2474"/>
      <c r="CN3" s="2474"/>
      <c r="CO3" s="2474"/>
      <c r="CP3" s="2474"/>
      <c r="CQ3" s="2474"/>
      <c r="CR3" s="2474"/>
      <c r="CS3" s="2474"/>
      <c r="CT3" s="2474"/>
      <c r="CU3" s="2474"/>
      <c r="CV3" s="2474"/>
      <c r="CW3" s="2474"/>
      <c r="CX3" s="2474"/>
      <c r="CY3" s="2474"/>
      <c r="CZ3" s="2474"/>
      <c r="DA3" s="2474"/>
      <c r="DB3" s="2474"/>
      <c r="DC3" s="2474"/>
      <c r="DD3" s="2474"/>
      <c r="DE3" s="2474"/>
      <c r="DF3" s="2474"/>
      <c r="DG3" s="2474"/>
      <c r="DH3" s="2474"/>
      <c r="DI3" s="2474"/>
      <c r="DJ3" s="2474"/>
      <c r="DK3" s="2474"/>
      <c r="DL3" s="2474"/>
      <c r="DM3" s="2474"/>
      <c r="DN3" s="2474"/>
      <c r="DO3" s="2474"/>
      <c r="DP3" s="2474"/>
      <c r="DQ3" s="2474"/>
      <c r="DR3" s="2474"/>
      <c r="DS3" s="2474"/>
      <c r="DT3" s="2474"/>
      <c r="DU3" s="2474"/>
      <c r="DV3" s="2474"/>
      <c r="DW3" s="2474"/>
      <c r="DX3" s="2474"/>
      <c r="DY3" s="2474"/>
      <c r="DZ3" s="2474"/>
      <c r="EA3" s="2474"/>
      <c r="EB3" s="2474"/>
      <c r="EC3" s="2474"/>
      <c r="ED3" s="2474"/>
      <c r="EE3" s="2474"/>
      <c r="EF3" s="2474"/>
      <c r="EG3" s="2474"/>
      <c r="EH3" s="2474"/>
      <c r="EI3" s="2474"/>
      <c r="EJ3" s="2474"/>
      <c r="EK3" s="2474"/>
      <c r="EL3" s="2474"/>
      <c r="EM3" s="2474"/>
      <c r="EN3" s="2474"/>
      <c r="EO3" s="2474"/>
      <c r="EP3" s="2474"/>
      <c r="EQ3" s="2474"/>
      <c r="ER3" s="2474"/>
      <c r="ES3" s="2474"/>
      <c r="ET3" s="2474"/>
      <c r="EU3" s="2474"/>
    </row>
    <row r="4" spans="1:289" s="702" customFormat="1" ht="20.25" customHeight="1">
      <c r="A4" s="826"/>
      <c r="B4" s="701"/>
      <c r="C4" s="701"/>
      <c r="D4" s="701"/>
      <c r="E4" s="701"/>
      <c r="F4" s="701"/>
      <c r="G4" s="701"/>
      <c r="H4" s="701"/>
      <c r="I4" s="701"/>
      <c r="J4" s="701"/>
      <c r="K4" s="701"/>
      <c r="L4" s="701"/>
      <c r="M4" s="701"/>
      <c r="N4" s="701"/>
      <c r="O4" s="701"/>
      <c r="P4" s="701"/>
      <c r="Q4" s="701"/>
      <c r="R4" s="701"/>
      <c r="S4" s="701"/>
      <c r="T4" s="701"/>
      <c r="U4" s="701"/>
      <c r="V4" s="701"/>
      <c r="W4" s="701"/>
      <c r="X4" s="701"/>
      <c r="Y4" s="701"/>
      <c r="Z4" s="701"/>
      <c r="AA4" s="701"/>
      <c r="AB4" s="701"/>
      <c r="AC4" s="701"/>
      <c r="AD4" s="701"/>
      <c r="AE4" s="701"/>
      <c r="AF4" s="701"/>
      <c r="AG4" s="701"/>
      <c r="AH4" s="701"/>
      <c r="AI4" s="701"/>
      <c r="AJ4" s="701"/>
      <c r="AK4" s="701"/>
      <c r="AL4" s="701"/>
      <c r="AM4" s="701"/>
      <c r="AN4" s="701"/>
      <c r="AO4" s="701"/>
      <c r="AP4" s="701"/>
      <c r="AQ4" s="701"/>
      <c r="AR4" s="701"/>
      <c r="AS4" s="701"/>
      <c r="AT4" s="701"/>
      <c r="AU4" s="701"/>
      <c r="AV4" s="701"/>
      <c r="AW4" s="701"/>
      <c r="AX4" s="701"/>
      <c r="AY4" s="701"/>
      <c r="AZ4" s="701"/>
      <c r="BA4" s="701"/>
      <c r="BB4" s="701"/>
      <c r="BC4" s="701"/>
      <c r="BD4" s="701"/>
      <c r="BE4" s="701"/>
      <c r="BF4" s="701"/>
      <c r="BG4" s="701"/>
      <c r="BH4" s="701"/>
      <c r="BI4" s="701"/>
      <c r="BJ4" s="701"/>
      <c r="BK4" s="701"/>
      <c r="BL4" s="701"/>
      <c r="BM4" s="701"/>
      <c r="BN4" s="701"/>
      <c r="BO4" s="701"/>
      <c r="BP4" s="701"/>
      <c r="BQ4" s="701"/>
      <c r="BR4" s="701"/>
      <c r="BS4" s="701"/>
      <c r="BT4" s="701"/>
      <c r="BU4" s="701"/>
      <c r="BV4" s="701"/>
      <c r="BW4" s="701"/>
      <c r="BX4" s="701"/>
      <c r="BY4" s="701"/>
      <c r="BZ4" s="701"/>
      <c r="CA4" s="701"/>
      <c r="CB4" s="701"/>
      <c r="CC4" s="701"/>
      <c r="CD4" s="701"/>
      <c r="CE4" s="701"/>
      <c r="CF4" s="701"/>
      <c r="CG4" s="701"/>
      <c r="CH4" s="701"/>
      <c r="CI4" s="701"/>
      <c r="CJ4" s="701"/>
      <c r="CK4" s="701"/>
      <c r="CL4" s="701"/>
      <c r="CM4" s="701"/>
      <c r="CN4" s="701"/>
      <c r="CO4" s="701"/>
      <c r="CP4" s="701"/>
      <c r="CQ4" s="701"/>
      <c r="CR4" s="701"/>
      <c r="CS4" s="701"/>
      <c r="CT4" s="701"/>
      <c r="CU4" s="701"/>
      <c r="CV4" s="701"/>
      <c r="CW4" s="701"/>
      <c r="CX4" s="701"/>
      <c r="CY4" s="701"/>
      <c r="CZ4" s="701"/>
      <c r="DA4" s="701"/>
      <c r="DB4" s="701"/>
      <c r="DC4" s="701"/>
      <c r="DD4" s="701"/>
      <c r="DE4" s="701"/>
      <c r="DF4" s="701"/>
      <c r="DG4" s="701"/>
      <c r="DH4" s="701"/>
      <c r="DI4" s="701"/>
      <c r="DJ4" s="701"/>
      <c r="DK4" s="701"/>
      <c r="DL4" s="701"/>
      <c r="DM4" s="701"/>
      <c r="DN4" s="701"/>
      <c r="DO4" s="701"/>
      <c r="DP4" s="701"/>
      <c r="DQ4" s="701"/>
      <c r="DR4" s="701"/>
      <c r="DS4" s="701"/>
      <c r="DT4" s="701"/>
      <c r="DU4" s="701"/>
      <c r="DV4" s="701"/>
      <c r="DW4" s="701"/>
      <c r="DX4" s="701"/>
      <c r="DY4" s="701"/>
      <c r="DZ4" s="701"/>
      <c r="EA4" s="701"/>
      <c r="EB4" s="701"/>
      <c r="EC4" s="701"/>
      <c r="ED4" s="701"/>
      <c r="EE4" s="701"/>
      <c r="EF4" s="701"/>
      <c r="EG4" s="701"/>
      <c r="EH4" s="701"/>
      <c r="EI4" s="701"/>
      <c r="EJ4" s="701"/>
      <c r="EK4" s="701"/>
      <c r="EL4" s="701"/>
      <c r="EM4" s="701"/>
      <c r="EN4" s="701"/>
      <c r="EO4" s="701"/>
      <c r="EP4" s="701"/>
      <c r="EQ4" s="701"/>
      <c r="ER4" s="701"/>
      <c r="ES4" s="701"/>
      <c r="ET4" s="701"/>
      <c r="EU4" s="809"/>
      <c r="EV4" s="339"/>
      <c r="EW4" s="339"/>
      <c r="EX4" s="339"/>
      <c r="EY4" s="339"/>
      <c r="EZ4" s="339"/>
      <c r="FA4" s="339"/>
      <c r="FB4" s="339"/>
      <c r="FC4" s="339"/>
      <c r="FD4" s="339"/>
      <c r="FE4" s="339"/>
      <c r="FF4" s="339"/>
      <c r="FG4" s="339"/>
      <c r="FH4" s="339"/>
      <c r="FI4" s="339"/>
      <c r="FJ4" s="339"/>
      <c r="FK4" s="339"/>
      <c r="FL4" s="339"/>
      <c r="FM4" s="339"/>
      <c r="FN4" s="339"/>
      <c r="FO4" s="339"/>
      <c r="FP4" s="339"/>
      <c r="FQ4" s="339"/>
      <c r="FR4" s="339"/>
      <c r="FS4" s="339"/>
      <c r="FT4" s="339"/>
      <c r="FU4" s="339"/>
      <c r="FV4" s="339"/>
      <c r="FW4" s="339"/>
      <c r="FX4" s="339"/>
      <c r="FY4" s="339"/>
      <c r="FZ4" s="339"/>
      <c r="GA4" s="339"/>
      <c r="GB4" s="339"/>
      <c r="GC4" s="339"/>
      <c r="GD4" s="339"/>
      <c r="GE4" s="339"/>
      <c r="GF4" s="339"/>
      <c r="GG4" s="339"/>
      <c r="GH4" s="339"/>
      <c r="GI4" s="339"/>
      <c r="GJ4" s="339"/>
      <c r="GK4" s="339"/>
      <c r="GL4" s="339"/>
      <c r="GM4" s="339"/>
      <c r="GN4" s="339"/>
      <c r="GO4" s="339"/>
      <c r="GP4" s="339"/>
      <c r="GQ4" s="339"/>
      <c r="GR4" s="339"/>
      <c r="GS4" s="339"/>
      <c r="GT4" s="339"/>
      <c r="GU4" s="339"/>
      <c r="GV4" s="339"/>
      <c r="GW4" s="339"/>
      <c r="GX4" s="339"/>
      <c r="GY4" s="339"/>
      <c r="GZ4" s="339"/>
      <c r="HA4" s="339"/>
      <c r="HB4" s="339"/>
      <c r="HC4" s="339"/>
      <c r="HD4" s="339"/>
      <c r="HE4" s="339"/>
      <c r="HF4" s="339"/>
      <c r="HG4" s="339"/>
      <c r="HH4" s="339"/>
      <c r="HI4" s="339"/>
      <c r="HJ4" s="339"/>
      <c r="HK4" s="339"/>
      <c r="HL4" s="339"/>
      <c r="HM4" s="339"/>
      <c r="HN4" s="339"/>
      <c r="HO4" s="339"/>
      <c r="HP4" s="339"/>
      <c r="HQ4" s="339"/>
      <c r="HR4" s="339"/>
      <c r="HS4" s="339"/>
      <c r="HT4" s="339"/>
      <c r="HU4" s="339"/>
      <c r="HV4" s="339"/>
      <c r="HW4" s="339"/>
      <c r="HX4" s="339"/>
      <c r="HY4" s="339"/>
      <c r="HZ4" s="339"/>
      <c r="IA4" s="339"/>
      <c r="IB4" s="339"/>
      <c r="IC4" s="339"/>
      <c r="ID4" s="339"/>
      <c r="IE4" s="339"/>
      <c r="IF4" s="339"/>
      <c r="IG4" s="339"/>
      <c r="IH4" s="339"/>
      <c r="II4" s="339"/>
      <c r="IJ4" s="339"/>
      <c r="IK4" s="339"/>
      <c r="IL4" s="339"/>
      <c r="IM4" s="339"/>
      <c r="IN4" s="339"/>
      <c r="IO4" s="339"/>
      <c r="IP4" s="339"/>
      <c r="IQ4" s="339"/>
      <c r="IR4" s="339"/>
      <c r="IS4" s="339"/>
      <c r="IT4" s="339"/>
      <c r="IU4" s="339"/>
      <c r="IV4" s="339"/>
      <c r="IW4" s="339"/>
      <c r="IX4" s="339"/>
      <c r="IY4" s="339"/>
      <c r="IZ4" s="339"/>
      <c r="JA4" s="339"/>
      <c r="JB4" s="339"/>
      <c r="JC4" s="339"/>
      <c r="JD4" s="339"/>
      <c r="JE4" s="339"/>
      <c r="JF4" s="339"/>
      <c r="JG4" s="339"/>
      <c r="JH4" s="339"/>
      <c r="JI4" s="339"/>
      <c r="JJ4" s="339"/>
      <c r="JK4" s="339"/>
      <c r="JL4" s="339"/>
      <c r="JM4" s="339"/>
      <c r="JN4" s="339"/>
      <c r="JO4" s="339"/>
      <c r="JP4" s="339"/>
      <c r="JQ4" s="339"/>
      <c r="JR4" s="339"/>
      <c r="JS4" s="339"/>
      <c r="JT4" s="339"/>
      <c r="JU4" s="339"/>
      <c r="JV4" s="339"/>
      <c r="JW4" s="339"/>
      <c r="JX4" s="339"/>
      <c r="JY4" s="339"/>
      <c r="JZ4" s="339"/>
      <c r="KA4" s="339"/>
      <c r="KB4" s="339"/>
      <c r="KC4" s="339"/>
    </row>
    <row r="5" spans="1:289" s="702" customFormat="1" ht="20.25" customHeight="1">
      <c r="A5" s="2526"/>
      <c r="B5" s="2526"/>
      <c r="C5" s="2526"/>
      <c r="D5" s="2526"/>
      <c r="E5" s="2526"/>
      <c r="F5" s="2526"/>
      <c r="G5" s="2526"/>
      <c r="H5" s="2526"/>
      <c r="I5" s="2526"/>
      <c r="J5" s="2526"/>
      <c r="K5" s="2526"/>
      <c r="L5" s="2526"/>
      <c r="M5" s="2526"/>
      <c r="N5" s="2526"/>
      <c r="O5" s="2526"/>
      <c r="P5" s="2526"/>
      <c r="Q5" s="2526"/>
      <c r="R5" s="2526"/>
      <c r="S5" s="2526"/>
      <c r="T5" s="2526"/>
      <c r="U5" s="2526"/>
      <c r="V5" s="2526"/>
      <c r="W5" s="2526"/>
      <c r="X5" s="2526"/>
      <c r="Y5" s="2526"/>
      <c r="Z5" s="2526"/>
      <c r="AA5" s="2526"/>
      <c r="AB5" s="2526"/>
      <c r="AC5" s="2526"/>
      <c r="AD5" s="2526"/>
      <c r="AE5" s="2526"/>
      <c r="AF5" s="2526"/>
      <c r="AG5" s="2526"/>
      <c r="AH5" s="2526"/>
      <c r="AI5" s="2526"/>
      <c r="AJ5" s="2526"/>
      <c r="AK5" s="2526"/>
      <c r="AL5" s="2526"/>
      <c r="AM5" s="2526"/>
      <c r="AN5" s="2526"/>
      <c r="AO5" s="2526"/>
      <c r="AP5" s="2526"/>
      <c r="AQ5" s="2526"/>
      <c r="AR5" s="2526"/>
      <c r="AS5" s="2526"/>
      <c r="AT5" s="2526"/>
      <c r="AU5" s="2526"/>
      <c r="AV5" s="2526"/>
      <c r="AW5" s="2526"/>
      <c r="AX5" s="2526"/>
      <c r="AY5" s="2526"/>
      <c r="AZ5" s="2526"/>
      <c r="BA5" s="2526"/>
      <c r="BB5" s="2526"/>
      <c r="BC5" s="2526"/>
      <c r="BD5" s="2526"/>
      <c r="BE5" s="2526"/>
      <c r="BF5" s="2526"/>
      <c r="BG5" s="2526"/>
      <c r="BH5" s="2526"/>
      <c r="BI5" s="2526"/>
      <c r="BJ5" s="2526"/>
      <c r="BK5" s="2526"/>
      <c r="BL5" s="2526"/>
      <c r="BM5" s="2526"/>
      <c r="BN5" s="2526"/>
      <c r="BO5" s="2526"/>
      <c r="BP5" s="2526"/>
      <c r="BQ5" s="2526"/>
      <c r="BR5" s="2526"/>
      <c r="BS5" s="2526"/>
      <c r="BT5" s="2526"/>
      <c r="BU5" s="2526"/>
      <c r="BV5" s="2526"/>
      <c r="BW5" s="2526"/>
      <c r="BX5" s="2526"/>
      <c r="BY5" s="2526"/>
      <c r="BZ5" s="2526"/>
      <c r="CA5" s="2526"/>
      <c r="CB5" s="2526"/>
      <c r="CC5" s="2526"/>
      <c r="CD5" s="2526"/>
      <c r="CE5" s="2526"/>
      <c r="CF5" s="2526"/>
      <c r="CG5" s="2526"/>
      <c r="CH5" s="2526"/>
      <c r="CI5" s="2526"/>
      <c r="CJ5" s="2526"/>
      <c r="CK5" s="2526"/>
      <c r="CL5" s="2526"/>
      <c r="CM5" s="2526"/>
      <c r="CN5" s="2526"/>
      <c r="CO5" s="2526"/>
      <c r="CP5" s="2526"/>
      <c r="CQ5" s="2526"/>
      <c r="CR5" s="2526"/>
      <c r="CS5" s="2526"/>
      <c r="CT5" s="2526"/>
      <c r="CU5" s="2526"/>
      <c r="CV5" s="2526"/>
      <c r="CW5" s="2526"/>
      <c r="CX5" s="2526"/>
      <c r="CY5" s="2526"/>
      <c r="CZ5" s="2526"/>
      <c r="DA5" s="2526"/>
      <c r="DB5" s="2526"/>
      <c r="DC5" s="2526"/>
      <c r="DD5" s="2526"/>
      <c r="DE5" s="2526"/>
      <c r="DF5" s="2526"/>
      <c r="DG5" s="2526"/>
      <c r="DH5" s="2526"/>
      <c r="DI5" s="2526"/>
      <c r="DJ5" s="2526"/>
      <c r="DK5" s="2526"/>
      <c r="DL5" s="2526"/>
      <c r="DM5" s="2526"/>
      <c r="DN5" s="2526"/>
      <c r="DO5" s="2526"/>
      <c r="DP5" s="2526"/>
      <c r="DQ5" s="2526"/>
      <c r="DR5" s="2526"/>
      <c r="DS5" s="2526"/>
      <c r="DT5" s="2526"/>
      <c r="DU5" s="2526"/>
      <c r="DV5" s="2526"/>
      <c r="DW5" s="2526"/>
      <c r="DX5" s="2526"/>
      <c r="DY5" s="2526"/>
      <c r="DZ5" s="2526"/>
      <c r="EA5" s="2526"/>
      <c r="EB5" s="2526"/>
      <c r="EC5" s="2526"/>
      <c r="ED5" s="2526"/>
      <c r="EE5" s="2526"/>
      <c r="EF5" s="2526"/>
      <c r="EG5" s="2526"/>
      <c r="EH5" s="2526"/>
      <c r="EI5" s="2526"/>
      <c r="EJ5" s="2526"/>
      <c r="EK5" s="2526"/>
      <c r="EL5" s="2526"/>
      <c r="EM5" s="2526"/>
      <c r="EN5" s="2526"/>
      <c r="EO5" s="2526"/>
      <c r="EP5" s="2526"/>
      <c r="EQ5" s="2526"/>
      <c r="ER5" s="2526"/>
      <c r="ES5" s="2526"/>
      <c r="ET5" s="2526"/>
      <c r="EU5" s="1917" t="s">
        <v>158</v>
      </c>
      <c r="EV5" s="1927"/>
      <c r="EW5" s="1927"/>
      <c r="EX5" s="1927"/>
      <c r="EY5" s="1927"/>
      <c r="EZ5" s="1927"/>
      <c r="FA5" s="1927"/>
      <c r="FB5" s="1927"/>
      <c r="FC5" s="1927"/>
      <c r="FD5" s="1927"/>
      <c r="FE5" s="1927"/>
      <c r="FF5" s="1927"/>
      <c r="FG5" s="1927"/>
      <c r="FH5" s="1927"/>
      <c r="FI5" s="1927"/>
      <c r="FJ5" s="1927"/>
      <c r="FK5" s="1927"/>
      <c r="FL5" s="1927"/>
      <c r="FM5" s="1927"/>
      <c r="FN5" s="1927"/>
      <c r="FO5" s="1927"/>
      <c r="FP5" s="1927"/>
      <c r="FQ5" s="1927"/>
      <c r="FR5" s="1927"/>
      <c r="FS5" s="1927"/>
      <c r="FT5" s="1927"/>
      <c r="FU5" s="1927"/>
      <c r="FV5" s="1927"/>
      <c r="FW5" s="1927"/>
      <c r="FX5" s="1927"/>
      <c r="FY5" s="1927"/>
      <c r="FZ5" s="1927"/>
      <c r="GA5" s="1927"/>
      <c r="GB5" s="1927"/>
      <c r="GC5" s="1927"/>
      <c r="GD5" s="1927"/>
      <c r="GE5" s="1927"/>
      <c r="GF5" s="1927"/>
      <c r="GG5" s="1927"/>
      <c r="GH5" s="1927"/>
      <c r="GI5" s="1927"/>
      <c r="GJ5" s="1927"/>
      <c r="GK5" s="1927"/>
      <c r="GL5" s="1927"/>
      <c r="GM5" s="1927"/>
      <c r="GN5" s="1927"/>
      <c r="GO5" s="1927"/>
      <c r="GP5" s="1927"/>
      <c r="GQ5" s="1927"/>
      <c r="GR5" s="1927"/>
      <c r="GS5" s="1927"/>
      <c r="GT5" s="1927"/>
      <c r="GU5" s="1927"/>
      <c r="GV5" s="1927"/>
      <c r="GW5" s="1927"/>
      <c r="GX5" s="1927"/>
      <c r="GY5" s="1927"/>
      <c r="GZ5" s="1927"/>
      <c r="HA5" s="1927"/>
      <c r="HB5" s="1927"/>
      <c r="HC5" s="1927"/>
      <c r="HD5" s="1927"/>
      <c r="HE5" s="1927"/>
      <c r="HF5" s="1927"/>
      <c r="HG5" s="1927"/>
      <c r="HH5" s="1927"/>
      <c r="HI5" s="1927"/>
      <c r="HJ5" s="1927"/>
      <c r="HK5" s="1927"/>
      <c r="HL5" s="1927"/>
      <c r="HM5" s="1927"/>
      <c r="HN5" s="1927"/>
      <c r="HO5" s="1927"/>
      <c r="HP5" s="1927"/>
      <c r="HQ5" s="1927"/>
      <c r="HR5" s="1927"/>
      <c r="HS5" s="1927"/>
      <c r="HT5" s="1927"/>
      <c r="HU5" s="1927"/>
      <c r="HV5" s="1927"/>
      <c r="HW5" s="1927"/>
      <c r="HX5" s="1927"/>
      <c r="HY5" s="1927"/>
      <c r="HZ5" s="1927"/>
      <c r="IA5" s="1927"/>
      <c r="IB5" s="1927"/>
      <c r="IC5" s="1927"/>
      <c r="ID5" s="1927"/>
      <c r="IE5" s="1927"/>
      <c r="IF5" s="1927"/>
      <c r="IG5" s="1927"/>
      <c r="IH5" s="1927"/>
      <c r="II5" s="1927"/>
      <c r="IJ5" s="1927"/>
      <c r="IK5" s="1927"/>
      <c r="IL5" s="1927"/>
      <c r="IM5" s="1927"/>
      <c r="IN5" s="1927"/>
      <c r="IO5" s="1927"/>
      <c r="IP5" s="1927"/>
      <c r="IQ5" s="1927"/>
      <c r="IR5" s="1927"/>
      <c r="IS5" s="1927"/>
      <c r="IT5" s="1927"/>
      <c r="IU5" s="1927"/>
      <c r="IV5" s="1927"/>
      <c r="IW5" s="1927"/>
      <c r="IX5" s="1927"/>
      <c r="IY5" s="1927"/>
      <c r="IZ5" s="1927"/>
      <c r="JA5" s="1927"/>
      <c r="JB5" s="1927"/>
      <c r="JC5" s="1927"/>
      <c r="JD5" s="1927"/>
      <c r="JE5" s="1927"/>
      <c r="JF5" s="1927"/>
      <c r="JG5" s="1927"/>
      <c r="JH5" s="1927"/>
      <c r="JI5" s="1927"/>
      <c r="JJ5" s="1927"/>
      <c r="JK5" s="1927"/>
      <c r="JL5" s="1927"/>
      <c r="JM5" s="1927"/>
      <c r="JN5" s="1927"/>
      <c r="JO5" s="1927"/>
      <c r="JP5" s="1927"/>
      <c r="JQ5" s="1927"/>
      <c r="JR5" s="1927"/>
      <c r="JS5" s="1927"/>
      <c r="JT5" s="1927"/>
      <c r="JU5" s="1927"/>
      <c r="JV5" s="1927"/>
      <c r="JW5" s="1927"/>
      <c r="JX5" s="1927"/>
      <c r="JY5" s="1927"/>
      <c r="JZ5" s="1927"/>
      <c r="KA5" s="1927"/>
      <c r="KB5" s="1927"/>
      <c r="KC5" s="1927"/>
    </row>
    <row r="6" spans="1:289" ht="28.5" customHeight="1">
      <c r="A6" s="2500"/>
      <c r="B6" s="2527">
        <v>2013</v>
      </c>
      <c r="C6" s="2527"/>
      <c r="D6" s="2527"/>
      <c r="E6" s="2527"/>
      <c r="F6" s="2527"/>
      <c r="G6" s="2527"/>
      <c r="H6" s="2527"/>
      <c r="I6" s="2527"/>
      <c r="J6" s="2527"/>
      <c r="K6" s="2527"/>
      <c r="L6" s="2527"/>
      <c r="M6" s="2527">
        <v>2013</v>
      </c>
      <c r="N6" s="2527">
        <v>2014</v>
      </c>
      <c r="O6" s="2527"/>
      <c r="P6" s="2527"/>
      <c r="Q6" s="2527"/>
      <c r="R6" s="2527"/>
      <c r="S6" s="2527"/>
      <c r="T6" s="2527"/>
      <c r="U6" s="2527"/>
      <c r="V6" s="2527"/>
      <c r="W6" s="2527"/>
      <c r="X6" s="2527"/>
      <c r="Y6" s="2527">
        <v>2014</v>
      </c>
      <c r="Z6" s="2527">
        <v>2015</v>
      </c>
      <c r="AA6" s="2527"/>
      <c r="AB6" s="2527">
        <v>2015</v>
      </c>
      <c r="AC6" s="2527"/>
      <c r="AD6" s="2527"/>
      <c r="AE6" s="2527"/>
      <c r="AF6" s="2527"/>
      <c r="AG6" s="2527"/>
      <c r="AH6" s="2527"/>
      <c r="AI6" s="2527"/>
      <c r="AJ6" s="2527"/>
      <c r="AK6" s="2527"/>
      <c r="AL6" s="2527">
        <v>2016</v>
      </c>
      <c r="AM6" s="2527"/>
      <c r="AN6" s="2527"/>
      <c r="AO6" s="2527"/>
      <c r="AP6" s="2527"/>
      <c r="AQ6" s="2527"/>
      <c r="AR6" s="2527"/>
      <c r="AS6" s="2527"/>
      <c r="AT6" s="2527"/>
      <c r="AU6" s="2527"/>
      <c r="AV6" s="2527"/>
      <c r="AW6" s="2527"/>
      <c r="AX6" s="868">
        <v>2017</v>
      </c>
      <c r="AY6" s="868"/>
      <c r="AZ6" s="868"/>
      <c r="BA6" s="868"/>
      <c r="BB6" s="868"/>
      <c r="BC6" s="868"/>
      <c r="BD6" s="868"/>
      <c r="BE6" s="868"/>
      <c r="BF6" s="868"/>
      <c r="BG6" s="868"/>
      <c r="BH6" s="900"/>
      <c r="BI6" s="891">
        <v>2017</v>
      </c>
      <c r="BJ6" s="892">
        <v>2018</v>
      </c>
      <c r="BK6" s="892"/>
      <c r="BL6" s="892"/>
      <c r="BM6" s="892"/>
      <c r="BN6" s="892"/>
      <c r="BO6" s="892"/>
      <c r="BP6" s="892"/>
      <c r="BQ6" s="892"/>
      <c r="BR6" s="892"/>
      <c r="BS6" s="892"/>
      <c r="BT6" s="892"/>
      <c r="BU6" s="891">
        <v>2018</v>
      </c>
      <c r="BV6" s="2519">
        <v>2019</v>
      </c>
      <c r="BW6" s="2519"/>
      <c r="BX6" s="2519"/>
      <c r="BY6" s="2519"/>
      <c r="BZ6" s="2519"/>
      <c r="CA6" s="2519"/>
      <c r="CB6" s="2519"/>
      <c r="CC6" s="2519"/>
      <c r="CD6" s="2519"/>
      <c r="CE6" s="2519"/>
      <c r="CF6" s="2519"/>
      <c r="CG6" s="2519"/>
      <c r="CH6" s="893">
        <v>2020</v>
      </c>
      <c r="CI6" s="893">
        <v>2020</v>
      </c>
      <c r="CJ6" s="893">
        <v>2020</v>
      </c>
      <c r="CK6" s="893">
        <v>2020</v>
      </c>
      <c r="CL6" s="893">
        <v>2020</v>
      </c>
      <c r="CM6" s="893">
        <v>2020</v>
      </c>
      <c r="CN6" s="893">
        <v>2020</v>
      </c>
      <c r="CO6" s="893">
        <v>2020</v>
      </c>
      <c r="CP6" s="893">
        <v>2020</v>
      </c>
      <c r="CQ6" s="893">
        <v>2020</v>
      </c>
      <c r="CR6" s="893">
        <v>2020</v>
      </c>
      <c r="CS6" s="893">
        <v>2020</v>
      </c>
      <c r="CT6" s="2496">
        <v>2021</v>
      </c>
      <c r="CU6" s="2497"/>
      <c r="CV6" s="2497"/>
      <c r="CW6" s="2497"/>
      <c r="CX6" s="2497"/>
      <c r="CY6" s="2497"/>
      <c r="CZ6" s="2497"/>
      <c r="DA6" s="2497"/>
      <c r="DB6" s="2497"/>
      <c r="DC6" s="2497"/>
      <c r="DD6" s="2497"/>
      <c r="DE6" s="2498"/>
      <c r="DF6" s="2499">
        <v>2022</v>
      </c>
      <c r="DG6" s="2497"/>
      <c r="DH6" s="2497"/>
      <c r="DI6" s="2497"/>
      <c r="DJ6" s="2497"/>
      <c r="DK6" s="2497"/>
      <c r="DL6" s="2497"/>
      <c r="DM6" s="2497"/>
      <c r="DN6" s="2497"/>
      <c r="DO6" s="2497"/>
      <c r="DP6" s="2497"/>
      <c r="DQ6" s="2498"/>
      <c r="DR6" s="2499">
        <v>2023</v>
      </c>
      <c r="DS6" s="2497"/>
      <c r="DT6" s="2497"/>
      <c r="DU6" s="2497"/>
      <c r="DV6" s="2497"/>
      <c r="DW6" s="2497"/>
      <c r="DX6" s="2497"/>
      <c r="DY6" s="2497"/>
      <c r="DZ6" s="2497"/>
      <c r="EA6" s="2497"/>
      <c r="EB6" s="2497"/>
      <c r="EC6" s="2498"/>
      <c r="ED6" s="2499">
        <v>2024</v>
      </c>
      <c r="EE6" s="2497"/>
      <c r="EF6" s="2497"/>
      <c r="EG6" s="2497"/>
      <c r="EH6" s="2497"/>
      <c r="EI6" s="2497"/>
      <c r="EJ6" s="2497"/>
      <c r="EK6" s="2497"/>
      <c r="EL6" s="2497"/>
      <c r="EM6" s="2497"/>
      <c r="EN6" s="2497"/>
      <c r="EO6" s="2498"/>
      <c r="EP6" s="2499">
        <v>2025</v>
      </c>
      <c r="EQ6" s="2497"/>
      <c r="ER6" s="2497"/>
      <c r="ES6" s="2497"/>
      <c r="ET6" s="2498"/>
      <c r="EU6" s="2523"/>
    </row>
    <row r="7" spans="1:289" ht="28.5" customHeight="1">
      <c r="A7" s="2501"/>
      <c r="B7" s="869" t="s">
        <v>1961</v>
      </c>
      <c r="C7" s="869" t="s">
        <v>1972</v>
      </c>
      <c r="D7" s="869" t="s">
        <v>1971</v>
      </c>
      <c r="E7" s="869" t="s">
        <v>1970</v>
      </c>
      <c r="F7" s="869" t="s">
        <v>1969</v>
      </c>
      <c r="G7" s="869" t="s">
        <v>1968</v>
      </c>
      <c r="H7" s="869" t="s">
        <v>1967</v>
      </c>
      <c r="I7" s="869" t="s">
        <v>1966</v>
      </c>
      <c r="J7" s="869" t="s">
        <v>1965</v>
      </c>
      <c r="K7" s="869" t="s">
        <v>1964</v>
      </c>
      <c r="L7" s="869" t="s">
        <v>1963</v>
      </c>
      <c r="M7" s="869" t="s">
        <v>1962</v>
      </c>
      <c r="N7" s="869" t="s">
        <v>1961</v>
      </c>
      <c r="O7" s="869" t="s">
        <v>1972</v>
      </c>
      <c r="P7" s="869" t="s">
        <v>1971</v>
      </c>
      <c r="Q7" s="869" t="s">
        <v>1970</v>
      </c>
      <c r="R7" s="869" t="s">
        <v>1969</v>
      </c>
      <c r="S7" s="869" t="s">
        <v>1968</v>
      </c>
      <c r="T7" s="869" t="s">
        <v>1967</v>
      </c>
      <c r="U7" s="869" t="s">
        <v>1966</v>
      </c>
      <c r="V7" s="869" t="s">
        <v>1965</v>
      </c>
      <c r="W7" s="869" t="s">
        <v>1964</v>
      </c>
      <c r="X7" s="869" t="s">
        <v>1963</v>
      </c>
      <c r="Y7" s="869" t="s">
        <v>1962</v>
      </c>
      <c r="Z7" s="869" t="s">
        <v>1961</v>
      </c>
      <c r="AA7" s="869" t="s">
        <v>1972</v>
      </c>
      <c r="AB7" s="869" t="s">
        <v>1971</v>
      </c>
      <c r="AC7" s="869" t="s">
        <v>1970</v>
      </c>
      <c r="AD7" s="869" t="s">
        <v>1969</v>
      </c>
      <c r="AE7" s="869" t="s">
        <v>1973</v>
      </c>
      <c r="AF7" s="869" t="s">
        <v>1977</v>
      </c>
      <c r="AG7" s="869" t="s">
        <v>1966</v>
      </c>
      <c r="AH7" s="869" t="s">
        <v>1965</v>
      </c>
      <c r="AI7" s="869" t="s">
        <v>1964</v>
      </c>
      <c r="AJ7" s="869" t="s">
        <v>1963</v>
      </c>
      <c r="AK7" s="869" t="s">
        <v>1962</v>
      </c>
      <c r="AL7" s="869" t="s">
        <v>1961</v>
      </c>
      <c r="AM7" s="869" t="s">
        <v>1972</v>
      </c>
      <c r="AN7" s="869" t="s">
        <v>1971</v>
      </c>
      <c r="AO7" s="869" t="s">
        <v>1970</v>
      </c>
      <c r="AP7" s="869" t="s">
        <v>1969</v>
      </c>
      <c r="AQ7" s="869" t="s">
        <v>1968</v>
      </c>
      <c r="AR7" s="869" t="s">
        <v>1967</v>
      </c>
      <c r="AS7" s="869" t="s">
        <v>1966</v>
      </c>
      <c r="AT7" s="869" t="s">
        <v>1965</v>
      </c>
      <c r="AU7" s="869" t="s">
        <v>1964</v>
      </c>
      <c r="AV7" s="869" t="s">
        <v>1963</v>
      </c>
      <c r="AW7" s="869" t="s">
        <v>1962</v>
      </c>
      <c r="AX7" s="869" t="s">
        <v>1961</v>
      </c>
      <c r="AY7" s="869" t="s">
        <v>1960</v>
      </c>
      <c r="AZ7" s="869" t="s">
        <v>1959</v>
      </c>
      <c r="BA7" s="869" t="s">
        <v>1958</v>
      </c>
      <c r="BB7" s="869" t="s">
        <v>1978</v>
      </c>
      <c r="BC7" s="869" t="s">
        <v>1979</v>
      </c>
      <c r="BD7" s="869" t="s">
        <v>1988</v>
      </c>
      <c r="BE7" s="869" t="s">
        <v>1998</v>
      </c>
      <c r="BF7" s="869" t="s">
        <v>2008</v>
      </c>
      <c r="BG7" s="869" t="s">
        <v>2021</v>
      </c>
      <c r="BH7" s="896" t="s">
        <v>2032</v>
      </c>
      <c r="BI7" s="906" t="s">
        <v>1962</v>
      </c>
      <c r="BJ7" s="906" t="s">
        <v>1961</v>
      </c>
      <c r="BK7" s="906" t="s">
        <v>1960</v>
      </c>
      <c r="BL7" s="906" t="s">
        <v>1959</v>
      </c>
      <c r="BM7" s="906" t="s">
        <v>1958</v>
      </c>
      <c r="BN7" s="906" t="s">
        <v>1978</v>
      </c>
      <c r="BO7" s="906" t="s">
        <v>1979</v>
      </c>
      <c r="BP7" s="906" t="s">
        <v>1988</v>
      </c>
      <c r="BQ7" s="906" t="s">
        <v>1998</v>
      </c>
      <c r="BR7" s="906" t="s">
        <v>2008</v>
      </c>
      <c r="BS7" s="906" t="s">
        <v>2021</v>
      </c>
      <c r="BT7" s="906" t="s">
        <v>2032</v>
      </c>
      <c r="BU7" s="906" t="s">
        <v>1962</v>
      </c>
      <c r="BV7" s="906" t="s">
        <v>1961</v>
      </c>
      <c r="BW7" s="906" t="s">
        <v>1960</v>
      </c>
      <c r="BX7" s="906" t="s">
        <v>1959</v>
      </c>
      <c r="BY7" s="906" t="s">
        <v>1958</v>
      </c>
      <c r="BZ7" s="906" t="s">
        <v>1978</v>
      </c>
      <c r="CA7" s="906" t="s">
        <v>1979</v>
      </c>
      <c r="CB7" s="906" t="s">
        <v>1988</v>
      </c>
      <c r="CC7" s="906" t="s">
        <v>1998</v>
      </c>
      <c r="CD7" s="906" t="s">
        <v>2008</v>
      </c>
      <c r="CE7" s="906" t="s">
        <v>2021</v>
      </c>
      <c r="CF7" s="906" t="s">
        <v>2032</v>
      </c>
      <c r="CG7" s="906" t="s">
        <v>1962</v>
      </c>
      <c r="CH7" s="906" t="s">
        <v>1961</v>
      </c>
      <c r="CI7" s="906" t="s">
        <v>1960</v>
      </c>
      <c r="CJ7" s="906" t="s">
        <v>1959</v>
      </c>
      <c r="CK7" s="906" t="s">
        <v>1958</v>
      </c>
      <c r="CL7" s="906" t="s">
        <v>1978</v>
      </c>
      <c r="CM7" s="906" t="s">
        <v>2426</v>
      </c>
      <c r="CN7" s="906" t="s">
        <v>2432</v>
      </c>
      <c r="CO7" s="906" t="s">
        <v>1998</v>
      </c>
      <c r="CP7" s="906" t="s">
        <v>2008</v>
      </c>
      <c r="CQ7" s="906" t="s">
        <v>2021</v>
      </c>
      <c r="CR7" s="906" t="s">
        <v>2032</v>
      </c>
      <c r="CS7" s="906" t="s">
        <v>1962</v>
      </c>
      <c r="CT7" s="906" t="s">
        <v>1961</v>
      </c>
      <c r="CU7" s="906" t="s">
        <v>1960</v>
      </c>
      <c r="CV7" s="906" t="s">
        <v>1959</v>
      </c>
      <c r="CW7" s="906" t="s">
        <v>1958</v>
      </c>
      <c r="CX7" s="906" t="s">
        <v>1978</v>
      </c>
      <c r="CY7" s="906" t="s">
        <v>1979</v>
      </c>
      <c r="CZ7" s="906" t="s">
        <v>1988</v>
      </c>
      <c r="DA7" s="906" t="s">
        <v>1998</v>
      </c>
      <c r="DB7" s="906" t="s">
        <v>2008</v>
      </c>
      <c r="DC7" s="906" t="s">
        <v>2021</v>
      </c>
      <c r="DD7" s="944" t="s">
        <v>2032</v>
      </c>
      <c r="DE7" s="944" t="s">
        <v>1962</v>
      </c>
      <c r="DF7" s="944" t="s">
        <v>1961</v>
      </c>
      <c r="DG7" s="907" t="s">
        <v>1960</v>
      </c>
      <c r="DH7" s="907" t="s">
        <v>1959</v>
      </c>
      <c r="DI7" s="907" t="s">
        <v>1958</v>
      </c>
      <c r="DJ7" s="907" t="s">
        <v>1978</v>
      </c>
      <c r="DK7" s="907" t="s">
        <v>1979</v>
      </c>
      <c r="DL7" s="907" t="s">
        <v>1988</v>
      </c>
      <c r="DM7" s="907" t="s">
        <v>1998</v>
      </c>
      <c r="DN7" s="907" t="s">
        <v>2008</v>
      </c>
      <c r="DO7" s="907" t="s">
        <v>2021</v>
      </c>
      <c r="DP7" s="907" t="s">
        <v>2032</v>
      </c>
      <c r="DQ7" s="907" t="s">
        <v>1962</v>
      </c>
      <c r="DR7" s="907" t="s">
        <v>1961</v>
      </c>
      <c r="DS7" s="907" t="s">
        <v>1960</v>
      </c>
      <c r="DT7" s="907" t="s">
        <v>1959</v>
      </c>
      <c r="DU7" s="907" t="s">
        <v>1958</v>
      </c>
      <c r="DV7" s="907" t="s">
        <v>1978</v>
      </c>
      <c r="DW7" s="907" t="s">
        <v>1979</v>
      </c>
      <c r="DX7" s="907" t="s">
        <v>1988</v>
      </c>
      <c r="DY7" s="907" t="s">
        <v>1998</v>
      </c>
      <c r="DZ7" s="907" t="s">
        <v>2008</v>
      </c>
      <c r="EA7" s="907" t="s">
        <v>2021</v>
      </c>
      <c r="EB7" s="907" t="s">
        <v>2032</v>
      </c>
      <c r="EC7" s="907" t="s">
        <v>1962</v>
      </c>
      <c r="ED7" s="907" t="s">
        <v>1961</v>
      </c>
      <c r="EE7" s="907" t="s">
        <v>1960</v>
      </c>
      <c r="EF7" s="907" t="s">
        <v>1959</v>
      </c>
      <c r="EG7" s="907" t="s">
        <v>1958</v>
      </c>
      <c r="EH7" s="907" t="s">
        <v>1978</v>
      </c>
      <c r="EI7" s="907" t="s">
        <v>1979</v>
      </c>
      <c r="EJ7" s="907" t="s">
        <v>1988</v>
      </c>
      <c r="EK7" s="907" t="s">
        <v>1998</v>
      </c>
      <c r="EL7" s="907" t="s">
        <v>2008</v>
      </c>
      <c r="EM7" s="907" t="s">
        <v>2021</v>
      </c>
      <c r="EN7" s="907" t="s">
        <v>2032</v>
      </c>
      <c r="EO7" s="907" t="s">
        <v>1962</v>
      </c>
      <c r="EP7" s="907" t="s">
        <v>1961</v>
      </c>
      <c r="EQ7" s="907" t="s">
        <v>1960</v>
      </c>
      <c r="ER7" s="907" t="s">
        <v>1959</v>
      </c>
      <c r="ES7" s="944" t="s">
        <v>1958</v>
      </c>
      <c r="ET7" s="906" t="s">
        <v>1978</v>
      </c>
      <c r="EU7" s="2524"/>
    </row>
    <row r="8" spans="1:289" ht="28.5" customHeight="1">
      <c r="A8" s="2502"/>
      <c r="B8" s="871"/>
      <c r="C8" s="871"/>
      <c r="D8" s="871"/>
      <c r="E8" s="871"/>
      <c r="F8" s="871"/>
      <c r="G8" s="871"/>
      <c r="H8" s="871"/>
      <c r="I8" s="871"/>
      <c r="J8" s="871"/>
      <c r="K8" s="871"/>
      <c r="L8" s="871"/>
      <c r="M8" s="871"/>
      <c r="N8" s="871"/>
      <c r="O8" s="871"/>
      <c r="P8" s="871"/>
      <c r="Q8" s="871"/>
      <c r="R8" s="871"/>
      <c r="S8" s="871"/>
      <c r="T8" s="871"/>
      <c r="U8" s="871"/>
      <c r="V8" s="871"/>
      <c r="W8" s="871"/>
      <c r="X8" s="871"/>
      <c r="Y8" s="871"/>
      <c r="Z8" s="871"/>
      <c r="AA8" s="871"/>
      <c r="AB8" s="871"/>
      <c r="AC8" s="871"/>
      <c r="AD8" s="871"/>
      <c r="AE8" s="871"/>
      <c r="AF8" s="871"/>
      <c r="AG8" s="871"/>
      <c r="AH8" s="871"/>
      <c r="AI8" s="871"/>
      <c r="AJ8" s="871"/>
      <c r="AK8" s="871"/>
      <c r="AL8" s="871"/>
      <c r="AM8" s="871"/>
      <c r="AN8" s="871"/>
      <c r="AO8" s="871"/>
      <c r="AP8" s="871"/>
      <c r="AQ8" s="871"/>
      <c r="AR8" s="871"/>
      <c r="AS8" s="871"/>
      <c r="AT8" s="871"/>
      <c r="AU8" s="871"/>
      <c r="AV8" s="871"/>
      <c r="AW8" s="871"/>
      <c r="AX8" s="871"/>
      <c r="AY8" s="871"/>
      <c r="AZ8" s="871"/>
      <c r="BA8" s="871"/>
      <c r="BB8" s="871"/>
      <c r="BC8" s="871"/>
      <c r="BD8" s="871"/>
      <c r="BE8" s="871"/>
      <c r="BF8" s="871"/>
      <c r="BG8" s="871"/>
      <c r="BH8" s="1949"/>
      <c r="BI8" s="1938" t="s">
        <v>3191</v>
      </c>
      <c r="BJ8" s="1938" t="s">
        <v>3191</v>
      </c>
      <c r="BK8" s="1938"/>
      <c r="BL8" s="1938"/>
      <c r="BM8" s="1938"/>
      <c r="BN8" s="1938"/>
      <c r="BO8" s="1938"/>
      <c r="BP8" s="1938"/>
      <c r="BQ8" s="1938"/>
      <c r="BR8" s="1938"/>
      <c r="BS8" s="1938"/>
      <c r="BT8" s="1938"/>
      <c r="BU8" s="1938" t="s">
        <v>3191</v>
      </c>
      <c r="BV8" s="1938" t="s">
        <v>3191</v>
      </c>
      <c r="BW8" s="1938"/>
      <c r="BX8" s="1938"/>
      <c r="BY8" s="1938"/>
      <c r="BZ8" s="1938"/>
      <c r="CA8" s="1938"/>
      <c r="CB8" s="1938"/>
      <c r="CC8" s="1938"/>
      <c r="CD8" s="1938"/>
      <c r="CE8" s="1938"/>
      <c r="CF8" s="1938"/>
      <c r="CG8" s="1938" t="s">
        <v>3191</v>
      </c>
      <c r="CH8" s="1938" t="s">
        <v>3191</v>
      </c>
      <c r="CI8" s="1938"/>
      <c r="CJ8" s="1938"/>
      <c r="CK8" s="1938"/>
      <c r="CL8" s="1938"/>
      <c r="CM8" s="1938"/>
      <c r="CN8" s="1938"/>
      <c r="CO8" s="1938"/>
      <c r="CP8" s="1938"/>
      <c r="CQ8" s="1938"/>
      <c r="CR8" s="1938"/>
      <c r="CS8" s="1938" t="s">
        <v>3191</v>
      </c>
      <c r="CT8" s="1938" t="s">
        <v>3191</v>
      </c>
      <c r="CU8" s="1938"/>
      <c r="CV8" s="1938"/>
      <c r="CW8" s="1938"/>
      <c r="CX8" s="1938"/>
      <c r="CY8" s="1938"/>
      <c r="CZ8" s="1938"/>
      <c r="DA8" s="1938"/>
      <c r="DB8" s="1938"/>
      <c r="DC8" s="1938"/>
      <c r="DD8" s="1938"/>
      <c r="DE8" s="1938" t="s">
        <v>3191</v>
      </c>
      <c r="DF8" s="1938" t="s">
        <v>3191</v>
      </c>
      <c r="DG8" s="1938"/>
      <c r="DH8" s="1938"/>
      <c r="DI8" s="1938"/>
      <c r="DJ8" s="1938"/>
      <c r="DK8" s="1938"/>
      <c r="DL8" s="1938"/>
      <c r="DM8" s="1938"/>
      <c r="DN8" s="1938"/>
      <c r="DO8" s="1938"/>
      <c r="DP8" s="1938"/>
      <c r="DQ8" s="1938" t="s">
        <v>3191</v>
      </c>
      <c r="DR8" s="1938" t="s">
        <v>3191</v>
      </c>
      <c r="DS8" s="1938"/>
      <c r="DT8" s="1938"/>
      <c r="DU8" s="1938"/>
      <c r="DV8" s="1938"/>
      <c r="DW8" s="1938"/>
      <c r="DX8" s="1938"/>
      <c r="DY8" s="1938"/>
      <c r="DZ8" s="1938"/>
      <c r="EA8" s="1938"/>
      <c r="EB8" s="1938"/>
      <c r="EC8" s="1938" t="s">
        <v>3191</v>
      </c>
      <c r="ED8" s="1938" t="s">
        <v>3120</v>
      </c>
      <c r="EE8" s="1938" t="s">
        <v>3121</v>
      </c>
      <c r="EF8" s="1938" t="s">
        <v>3122</v>
      </c>
      <c r="EG8" s="1938" t="s">
        <v>3123</v>
      </c>
      <c r="EH8" s="1938" t="s">
        <v>1978</v>
      </c>
      <c r="EI8" s="1938" t="s">
        <v>3124</v>
      </c>
      <c r="EJ8" s="1938" t="s">
        <v>3125</v>
      </c>
      <c r="EK8" s="1938" t="s">
        <v>3126</v>
      </c>
      <c r="EL8" s="1938" t="s">
        <v>3127</v>
      </c>
      <c r="EM8" s="1938" t="s">
        <v>3190</v>
      </c>
      <c r="EN8" s="1938" t="s">
        <v>3424</v>
      </c>
      <c r="EO8" s="1938" t="s">
        <v>3191</v>
      </c>
      <c r="EP8" s="1938" t="s">
        <v>3120</v>
      </c>
      <c r="EQ8" s="1938" t="s">
        <v>3121</v>
      </c>
      <c r="ER8" s="1938" t="s">
        <v>3122</v>
      </c>
      <c r="ES8" s="1938" t="s">
        <v>3123</v>
      </c>
      <c r="ET8" s="1938" t="s">
        <v>1978</v>
      </c>
      <c r="EU8" s="2525"/>
    </row>
    <row r="9" spans="1:289" ht="21">
      <c r="A9" s="1930" t="s">
        <v>2755</v>
      </c>
      <c r="B9" s="839">
        <v>169.88382347999999</v>
      </c>
      <c r="C9" s="839">
        <v>247.99884533000002</v>
      </c>
      <c r="D9" s="839">
        <v>242.24135702999999</v>
      </c>
      <c r="E9" s="839">
        <v>245.52382365</v>
      </c>
      <c r="F9" s="839">
        <v>246.21219626000001</v>
      </c>
      <c r="G9" s="839">
        <v>252.96139915999998</v>
      </c>
      <c r="H9" s="839">
        <v>251.37748672000001</v>
      </c>
      <c r="I9" s="839">
        <v>251.29768046000001</v>
      </c>
      <c r="J9" s="839">
        <v>251.67808912000001</v>
      </c>
      <c r="K9" s="839">
        <v>258.21215817999996</v>
      </c>
      <c r="L9" s="839">
        <v>259.46775642000006</v>
      </c>
      <c r="M9" s="840">
        <v>260.50737816000003</v>
      </c>
      <c r="N9" s="840">
        <v>259.0075324</v>
      </c>
      <c r="O9" s="840">
        <v>260.66100265999995</v>
      </c>
      <c r="P9" s="840">
        <v>260.95556768</v>
      </c>
      <c r="Q9" s="840">
        <v>261.31267273000003</v>
      </c>
      <c r="R9" s="840">
        <v>261.44438452000003</v>
      </c>
      <c r="S9" s="840">
        <v>264.39176478000002</v>
      </c>
      <c r="T9" s="840">
        <v>265.31255012000003</v>
      </c>
      <c r="U9" s="840">
        <v>263.80898729</v>
      </c>
      <c r="V9" s="840">
        <v>263.43730214999999</v>
      </c>
      <c r="W9" s="840">
        <v>262.92923533000004</v>
      </c>
      <c r="X9" s="840">
        <v>262.61974581000004</v>
      </c>
      <c r="Y9" s="840">
        <v>311.12994394999998</v>
      </c>
      <c r="Z9" s="840">
        <v>304.05473837999995</v>
      </c>
      <c r="AA9" s="840">
        <v>915.67673547000004</v>
      </c>
      <c r="AB9" s="840">
        <v>863.3438288000001</v>
      </c>
      <c r="AC9" s="840">
        <v>865.75160313000003</v>
      </c>
      <c r="AD9" s="840">
        <v>861.71480962999999</v>
      </c>
      <c r="AE9" s="840">
        <v>860.69671413000003</v>
      </c>
      <c r="AF9" s="840">
        <v>864.772156</v>
      </c>
      <c r="AG9" s="840">
        <v>864.54325744999983</v>
      </c>
      <c r="AH9" s="840">
        <v>863.41699129999995</v>
      </c>
      <c r="AI9" s="840">
        <v>603.54650871999991</v>
      </c>
      <c r="AJ9" s="840">
        <v>598.22206088000007</v>
      </c>
      <c r="AK9" s="840">
        <v>868.33384219999994</v>
      </c>
      <c r="AL9" s="840">
        <v>868.97574106000013</v>
      </c>
      <c r="AM9" s="840">
        <v>852.46831829999996</v>
      </c>
      <c r="AN9" s="840">
        <v>836.18880465999996</v>
      </c>
      <c r="AO9" s="840">
        <v>762.64084291999995</v>
      </c>
      <c r="AP9" s="840">
        <v>742.98158794000005</v>
      </c>
      <c r="AQ9" s="840">
        <v>766.15728853999985</v>
      </c>
      <c r="AR9" s="840">
        <v>773.38130673000001</v>
      </c>
      <c r="AS9" s="840">
        <v>775.36362268000005</v>
      </c>
      <c r="AT9" s="840">
        <v>767.86342136999997</v>
      </c>
      <c r="AU9" s="840">
        <v>771.95771472000013</v>
      </c>
      <c r="AV9" s="840">
        <v>813.86239699000009</v>
      </c>
      <c r="AW9" s="840">
        <v>831.06472173000009</v>
      </c>
      <c r="AX9" s="840">
        <v>898.53107594999994</v>
      </c>
      <c r="AY9" s="840">
        <v>818.37992768000004</v>
      </c>
      <c r="AZ9" s="840">
        <v>806.64993419999996</v>
      </c>
      <c r="BA9" s="840">
        <v>795.55517027999997</v>
      </c>
      <c r="BB9" s="840">
        <v>734.72260599999993</v>
      </c>
      <c r="BC9" s="840">
        <v>51.911281440000003</v>
      </c>
      <c r="BD9" s="840">
        <v>43.957436620000003</v>
      </c>
      <c r="BE9" s="840">
        <v>22.02057245</v>
      </c>
      <c r="BF9" s="840">
        <v>16.685853870000003</v>
      </c>
      <c r="BG9" s="840">
        <v>15.09283226</v>
      </c>
      <c r="BH9" s="885">
        <v>14.213046050000001</v>
      </c>
      <c r="BI9" s="874">
        <v>12.14333553</v>
      </c>
      <c r="BJ9" s="874">
        <v>8.3822816200000005</v>
      </c>
      <c r="BK9" s="874">
        <v>7.50647252</v>
      </c>
      <c r="BL9" s="874">
        <v>10.030302820000001</v>
      </c>
      <c r="BM9" s="874">
        <v>12.55454523</v>
      </c>
      <c r="BN9" s="874">
        <v>14.451147650000001</v>
      </c>
      <c r="BO9" s="874">
        <v>13.57539006</v>
      </c>
      <c r="BP9" s="874">
        <v>13.19963248</v>
      </c>
      <c r="BQ9" s="874">
        <v>9.9163587</v>
      </c>
      <c r="BR9" s="874">
        <v>6.4982411100000004</v>
      </c>
      <c r="BS9" s="874">
        <v>5.6924837999999998</v>
      </c>
      <c r="BT9" s="874">
        <v>5.8307804700000005</v>
      </c>
      <c r="BU9" s="874">
        <v>4.0889691800000003</v>
      </c>
      <c r="BV9" s="874">
        <v>4.0835534500000001</v>
      </c>
      <c r="BW9" s="874">
        <v>4.0687518599999999</v>
      </c>
      <c r="BX9" s="874">
        <v>4.0631907500000004</v>
      </c>
      <c r="BY9" s="874">
        <v>4.0575554900000004</v>
      </c>
      <c r="BZ9" s="874">
        <v>3.4147770900000003</v>
      </c>
      <c r="CA9" s="874">
        <v>3.4085130000000001</v>
      </c>
      <c r="CB9" s="874">
        <v>10.627164259999999</v>
      </c>
      <c r="CC9" s="874">
        <v>10.554968950000001</v>
      </c>
      <c r="CD9" s="874">
        <v>16.012061299999999</v>
      </c>
      <c r="CE9" s="874">
        <v>26.22584015</v>
      </c>
      <c r="CF9" s="874">
        <v>165.63629550000002</v>
      </c>
      <c r="CG9" s="874">
        <v>35.824461579999998</v>
      </c>
      <c r="CH9" s="874">
        <v>43.062833189999999</v>
      </c>
      <c r="CI9" s="874">
        <v>45.989883039999995</v>
      </c>
      <c r="CJ9" s="874">
        <v>42.438705810000002</v>
      </c>
      <c r="CK9" s="874">
        <v>41.324060490000008</v>
      </c>
      <c r="CL9" s="874">
        <v>47.775236360000001</v>
      </c>
      <c r="CM9" s="874">
        <v>51.594207059999995</v>
      </c>
      <c r="CN9" s="874">
        <v>66.601194359999994</v>
      </c>
      <c r="CO9" s="874">
        <v>69.123743109999992</v>
      </c>
      <c r="CP9" s="874">
        <v>75.250761589999996</v>
      </c>
      <c r="CQ9" s="874">
        <v>76.221932819999992</v>
      </c>
      <c r="CR9" s="874">
        <v>95.982817420000003</v>
      </c>
      <c r="CS9" s="874">
        <v>100.9654961</v>
      </c>
      <c r="CT9" s="874">
        <v>104.80600579999999</v>
      </c>
      <c r="CU9" s="874">
        <v>243.75187188999999</v>
      </c>
      <c r="CV9" s="874">
        <v>247.95774632000001</v>
      </c>
      <c r="CW9" s="874">
        <v>249.23912799999999</v>
      </c>
      <c r="CX9" s="874">
        <v>252.30897077</v>
      </c>
      <c r="CY9" s="874">
        <v>265.32752973999999</v>
      </c>
      <c r="CZ9" s="874">
        <v>266.33422457</v>
      </c>
      <c r="DA9" s="874">
        <v>265.78165603999997</v>
      </c>
      <c r="DB9" s="874">
        <v>275.40268788999998</v>
      </c>
      <c r="DC9" s="874">
        <v>273.13845358999998</v>
      </c>
      <c r="DD9" s="945">
        <v>270.36666331999999</v>
      </c>
      <c r="DE9" s="945">
        <v>279.93951504</v>
      </c>
      <c r="DF9" s="945">
        <v>276.66269678999998</v>
      </c>
      <c r="DG9" s="897">
        <v>275.02338974000003</v>
      </c>
      <c r="DH9" s="897">
        <v>268.45311521999997</v>
      </c>
      <c r="DI9" s="897">
        <v>274.00583617000001</v>
      </c>
      <c r="DJ9" s="897">
        <v>276.43745202999997</v>
      </c>
      <c r="DK9" s="897">
        <v>282.40821255999998</v>
      </c>
      <c r="DL9" s="897">
        <v>289.24492780999998</v>
      </c>
      <c r="DM9" s="897">
        <v>283.53300524000002</v>
      </c>
      <c r="DN9" s="897">
        <v>282.77153706000001</v>
      </c>
      <c r="DO9" s="897">
        <v>283.01895357000001</v>
      </c>
      <c r="DP9" s="897">
        <v>263.07961186</v>
      </c>
      <c r="DQ9" s="897">
        <v>261.26516622999998</v>
      </c>
      <c r="DR9" s="897">
        <v>261.50346846999997</v>
      </c>
      <c r="DS9" s="897">
        <v>259.71133880999997</v>
      </c>
      <c r="DT9" s="897">
        <v>257.22117804999999</v>
      </c>
      <c r="DU9" s="897">
        <v>265.60792450000002</v>
      </c>
      <c r="DV9" s="897">
        <v>282.31186286000002</v>
      </c>
      <c r="DW9" s="897">
        <v>281.33964673000003</v>
      </c>
      <c r="DX9" s="897">
        <v>276.86807190000002</v>
      </c>
      <c r="DY9" s="897">
        <v>275.17071999000001</v>
      </c>
      <c r="DZ9" s="897">
        <v>275.12530187999999</v>
      </c>
      <c r="EA9" s="897">
        <v>272.92844172999997</v>
      </c>
      <c r="EB9" s="897">
        <v>270.38717330999998</v>
      </c>
      <c r="EC9" s="897">
        <v>268.00238601000001</v>
      </c>
      <c r="ED9" s="897">
        <v>264.80877253</v>
      </c>
      <c r="EE9" s="897">
        <v>260.53925977</v>
      </c>
      <c r="EF9" s="897">
        <v>253.81463543000001</v>
      </c>
      <c r="EG9" s="897">
        <v>254.25884472999999</v>
      </c>
      <c r="EH9" s="897">
        <v>252.17487677</v>
      </c>
      <c r="EI9" s="897">
        <v>243.46622103999999</v>
      </c>
      <c r="EJ9" s="897">
        <v>259.92521068000002</v>
      </c>
      <c r="EK9" s="897">
        <v>259.27249302000001</v>
      </c>
      <c r="EL9" s="897">
        <v>259.97930203999999</v>
      </c>
      <c r="EM9" s="897">
        <v>85.517592269999994</v>
      </c>
      <c r="EN9" s="897">
        <v>83.724265889999998</v>
      </c>
      <c r="EO9" s="897">
        <v>86.697381210000003</v>
      </c>
      <c r="EP9" s="897">
        <v>85.430459060000004</v>
      </c>
      <c r="EQ9" s="897">
        <v>83.850993340000002</v>
      </c>
      <c r="ER9" s="897">
        <v>83.329404550000007</v>
      </c>
      <c r="ES9" s="897">
        <v>83.205988730000001</v>
      </c>
      <c r="ET9" s="897">
        <v>82.594778689999998</v>
      </c>
      <c r="EU9" s="1918" t="s">
        <v>1159</v>
      </c>
      <c r="EY9" s="340"/>
      <c r="EZ9" s="341"/>
    </row>
    <row r="10" spans="1:289" ht="21">
      <c r="A10" s="1931" t="s">
        <v>1974</v>
      </c>
      <c r="B10" s="842">
        <v>0</v>
      </c>
      <c r="C10" s="842">
        <v>0</v>
      </c>
      <c r="D10" s="842">
        <v>0</v>
      </c>
      <c r="E10" s="842">
        <v>0</v>
      </c>
      <c r="F10" s="842">
        <v>0</v>
      </c>
      <c r="G10" s="842">
        <v>0</v>
      </c>
      <c r="H10" s="842">
        <v>0</v>
      </c>
      <c r="I10" s="842">
        <v>0</v>
      </c>
      <c r="J10" s="842">
        <v>0</v>
      </c>
      <c r="K10" s="842">
        <v>0</v>
      </c>
      <c r="L10" s="842">
        <v>0</v>
      </c>
      <c r="M10" s="843">
        <v>0</v>
      </c>
      <c r="N10" s="843">
        <v>0</v>
      </c>
      <c r="O10" s="843">
        <v>0</v>
      </c>
      <c r="P10" s="843">
        <v>0</v>
      </c>
      <c r="Q10" s="843">
        <v>0</v>
      </c>
      <c r="R10" s="843">
        <v>0</v>
      </c>
      <c r="S10" s="843">
        <v>0</v>
      </c>
      <c r="T10" s="843">
        <v>0</v>
      </c>
      <c r="U10" s="843">
        <v>0</v>
      </c>
      <c r="V10" s="843">
        <v>0</v>
      </c>
      <c r="W10" s="843">
        <v>0</v>
      </c>
      <c r="X10" s="843">
        <v>0</v>
      </c>
      <c r="Y10" s="843">
        <v>0</v>
      </c>
      <c r="Z10" s="843">
        <v>0</v>
      </c>
      <c r="AA10" s="843">
        <v>0</v>
      </c>
      <c r="AB10" s="843">
        <v>0</v>
      </c>
      <c r="AC10" s="843">
        <v>0</v>
      </c>
      <c r="AD10" s="843">
        <v>0</v>
      </c>
      <c r="AE10" s="843">
        <v>0</v>
      </c>
      <c r="AF10" s="843">
        <v>0</v>
      </c>
      <c r="AG10" s="843">
        <v>0</v>
      </c>
      <c r="AH10" s="843">
        <v>0</v>
      </c>
      <c r="AI10" s="843">
        <v>0</v>
      </c>
      <c r="AJ10" s="843">
        <v>0</v>
      </c>
      <c r="AK10" s="843">
        <v>0</v>
      </c>
      <c r="AL10" s="843">
        <v>0</v>
      </c>
      <c r="AM10" s="843">
        <v>0</v>
      </c>
      <c r="AN10" s="843">
        <v>0</v>
      </c>
      <c r="AO10" s="843">
        <v>0</v>
      </c>
      <c r="AP10" s="843">
        <v>0</v>
      </c>
      <c r="AQ10" s="843">
        <v>0</v>
      </c>
      <c r="AR10" s="843">
        <v>0</v>
      </c>
      <c r="AS10" s="843">
        <v>0</v>
      </c>
      <c r="AT10" s="843">
        <v>0</v>
      </c>
      <c r="AU10" s="843">
        <v>0</v>
      </c>
      <c r="AV10" s="843">
        <v>0</v>
      </c>
      <c r="AW10" s="843">
        <v>0</v>
      </c>
      <c r="AX10" s="843">
        <v>0</v>
      </c>
      <c r="AY10" s="843">
        <v>0</v>
      </c>
      <c r="AZ10" s="843">
        <v>0</v>
      </c>
      <c r="BA10" s="843">
        <v>0</v>
      </c>
      <c r="BB10" s="843">
        <v>0</v>
      </c>
      <c r="BC10" s="843">
        <v>0</v>
      </c>
      <c r="BD10" s="843">
        <v>0</v>
      </c>
      <c r="BE10" s="843">
        <v>0</v>
      </c>
      <c r="BF10" s="843">
        <v>0</v>
      </c>
      <c r="BG10" s="843">
        <v>0</v>
      </c>
      <c r="BH10" s="886">
        <v>0</v>
      </c>
      <c r="BI10" s="875">
        <v>0</v>
      </c>
      <c r="BJ10" s="875">
        <v>0</v>
      </c>
      <c r="BK10" s="875">
        <v>0</v>
      </c>
      <c r="BL10" s="875">
        <v>0</v>
      </c>
      <c r="BM10" s="875">
        <v>0</v>
      </c>
      <c r="BN10" s="875">
        <v>0</v>
      </c>
      <c r="BO10" s="875">
        <v>0</v>
      </c>
      <c r="BP10" s="875">
        <v>0</v>
      </c>
      <c r="BQ10" s="875">
        <v>0</v>
      </c>
      <c r="BR10" s="875">
        <v>0</v>
      </c>
      <c r="BS10" s="875">
        <v>0</v>
      </c>
      <c r="BT10" s="875">
        <v>0</v>
      </c>
      <c r="BU10" s="875">
        <v>0</v>
      </c>
      <c r="BV10" s="875">
        <v>0</v>
      </c>
      <c r="BW10" s="875">
        <v>0</v>
      </c>
      <c r="BX10" s="875">
        <v>0</v>
      </c>
      <c r="BY10" s="875">
        <v>0</v>
      </c>
      <c r="BZ10" s="875">
        <v>0</v>
      </c>
      <c r="CA10" s="875">
        <v>0</v>
      </c>
      <c r="CB10" s="875">
        <v>0</v>
      </c>
      <c r="CC10" s="875">
        <v>0</v>
      </c>
      <c r="CD10" s="875">
        <v>5.1007791600000001</v>
      </c>
      <c r="CE10" s="875">
        <v>0</v>
      </c>
      <c r="CF10" s="875">
        <v>0</v>
      </c>
      <c r="CG10" s="875">
        <v>0</v>
      </c>
      <c r="CH10" s="875">
        <v>0</v>
      </c>
      <c r="CI10" s="875">
        <v>0</v>
      </c>
      <c r="CJ10" s="875">
        <v>0</v>
      </c>
      <c r="CK10" s="875">
        <v>0</v>
      </c>
      <c r="CL10" s="875">
        <v>0</v>
      </c>
      <c r="CM10" s="875">
        <v>0</v>
      </c>
      <c r="CN10" s="875">
        <v>0</v>
      </c>
      <c r="CO10" s="875">
        <v>0</v>
      </c>
      <c r="CP10" s="875">
        <v>0</v>
      </c>
      <c r="CQ10" s="875">
        <v>0</v>
      </c>
      <c r="CR10" s="875">
        <v>0</v>
      </c>
      <c r="CS10" s="875">
        <v>0</v>
      </c>
      <c r="CT10" s="875">
        <v>0</v>
      </c>
      <c r="CU10" s="875">
        <v>0</v>
      </c>
      <c r="CV10" s="875">
        <v>0</v>
      </c>
      <c r="CW10" s="875">
        <v>0</v>
      </c>
      <c r="CX10" s="875">
        <v>0</v>
      </c>
      <c r="CY10" s="875">
        <v>0</v>
      </c>
      <c r="CZ10" s="875">
        <v>0</v>
      </c>
      <c r="DA10" s="875">
        <v>0</v>
      </c>
      <c r="DB10" s="875">
        <v>0</v>
      </c>
      <c r="DC10" s="875">
        <v>0</v>
      </c>
      <c r="DD10" s="946">
        <v>0</v>
      </c>
      <c r="DE10" s="946">
        <v>0</v>
      </c>
      <c r="DF10" s="946">
        <v>0</v>
      </c>
      <c r="DG10" s="898">
        <v>0</v>
      </c>
      <c r="DH10" s="898">
        <v>0</v>
      </c>
      <c r="DI10" s="898">
        <v>0</v>
      </c>
      <c r="DJ10" s="898">
        <v>0</v>
      </c>
      <c r="DK10" s="898">
        <v>0</v>
      </c>
      <c r="DL10" s="898">
        <v>0</v>
      </c>
      <c r="DM10" s="898">
        <v>0</v>
      </c>
      <c r="DN10" s="898">
        <v>0</v>
      </c>
      <c r="DO10" s="898">
        <v>0</v>
      </c>
      <c r="DP10" s="898">
        <v>0</v>
      </c>
      <c r="DQ10" s="898">
        <v>0</v>
      </c>
      <c r="DR10" s="898">
        <v>0</v>
      </c>
      <c r="DS10" s="898">
        <v>0</v>
      </c>
      <c r="DT10" s="898">
        <v>0</v>
      </c>
      <c r="DU10" s="898">
        <v>0</v>
      </c>
      <c r="DV10" s="898">
        <v>0</v>
      </c>
      <c r="DW10" s="898">
        <v>0</v>
      </c>
      <c r="DX10" s="898">
        <v>0</v>
      </c>
      <c r="DY10" s="898">
        <v>0</v>
      </c>
      <c r="DZ10" s="898">
        <v>0</v>
      </c>
      <c r="EA10" s="898">
        <v>0</v>
      </c>
      <c r="EB10" s="898">
        <v>0</v>
      </c>
      <c r="EC10" s="898">
        <v>0</v>
      </c>
      <c r="ED10" s="898">
        <v>0</v>
      </c>
      <c r="EE10" s="898">
        <v>0</v>
      </c>
      <c r="EF10" s="898">
        <v>0</v>
      </c>
      <c r="EG10" s="898">
        <v>0</v>
      </c>
      <c r="EH10" s="898">
        <v>0</v>
      </c>
      <c r="EI10" s="898">
        <v>0</v>
      </c>
      <c r="EJ10" s="898">
        <v>0</v>
      </c>
      <c r="EK10" s="898">
        <v>0</v>
      </c>
      <c r="EL10" s="898">
        <v>0</v>
      </c>
      <c r="EM10" s="898">
        <v>7.7374760000000001E-2</v>
      </c>
      <c r="EN10" s="898">
        <v>7.3542910000000003E-2</v>
      </c>
      <c r="EO10" s="898">
        <v>6.9659970000000002E-2</v>
      </c>
      <c r="EP10" s="898">
        <v>6.5725259999999994E-2</v>
      </c>
      <c r="EQ10" s="898">
        <v>6.1738090000000002E-2</v>
      </c>
      <c r="ER10" s="898">
        <v>5.7697749999999999E-2</v>
      </c>
      <c r="ES10" s="898">
        <v>5.3603539999999998E-2</v>
      </c>
      <c r="ET10" s="898">
        <v>4.9454739999999997E-2</v>
      </c>
      <c r="EU10" s="1920" t="s">
        <v>4086</v>
      </c>
      <c r="EZ10" s="342"/>
    </row>
    <row r="11" spans="1:289" ht="21">
      <c r="A11" s="1931" t="s">
        <v>1975</v>
      </c>
      <c r="B11" s="839">
        <f>+B9-B10</f>
        <v>169.88382347999999</v>
      </c>
      <c r="C11" s="839">
        <f t="shared" ref="C11:V11" si="0">+C9-C10</f>
        <v>247.99884533000002</v>
      </c>
      <c r="D11" s="839">
        <f t="shared" si="0"/>
        <v>242.24135702999999</v>
      </c>
      <c r="E11" s="839">
        <f t="shared" si="0"/>
        <v>245.52382365</v>
      </c>
      <c r="F11" s="839">
        <f t="shared" si="0"/>
        <v>246.21219626000001</v>
      </c>
      <c r="G11" s="839">
        <f t="shared" si="0"/>
        <v>252.96139915999998</v>
      </c>
      <c r="H11" s="839">
        <f t="shared" si="0"/>
        <v>251.37748672000001</v>
      </c>
      <c r="I11" s="839">
        <f t="shared" si="0"/>
        <v>251.29768046000001</v>
      </c>
      <c r="J11" s="839">
        <f t="shared" si="0"/>
        <v>251.67808912000001</v>
      </c>
      <c r="K11" s="839">
        <f t="shared" si="0"/>
        <v>258.21215817999996</v>
      </c>
      <c r="L11" s="839">
        <f t="shared" si="0"/>
        <v>259.46775642000006</v>
      </c>
      <c r="M11" s="843">
        <f t="shared" si="0"/>
        <v>260.50737816000003</v>
      </c>
      <c r="N11" s="840">
        <f t="shared" si="0"/>
        <v>259.0075324</v>
      </c>
      <c r="O11" s="840">
        <f t="shared" si="0"/>
        <v>260.66100265999995</v>
      </c>
      <c r="P11" s="840">
        <f t="shared" si="0"/>
        <v>260.95556768</v>
      </c>
      <c r="Q11" s="840">
        <f t="shared" si="0"/>
        <v>261.31267273000003</v>
      </c>
      <c r="R11" s="840">
        <f t="shared" si="0"/>
        <v>261.44438452000003</v>
      </c>
      <c r="S11" s="840">
        <f t="shared" si="0"/>
        <v>264.39176478000002</v>
      </c>
      <c r="T11" s="840">
        <f t="shared" si="0"/>
        <v>265.31255012000003</v>
      </c>
      <c r="U11" s="840">
        <f t="shared" si="0"/>
        <v>263.80898729</v>
      </c>
      <c r="V11" s="840">
        <f t="shared" si="0"/>
        <v>263.43730214999999</v>
      </c>
      <c r="W11" s="840">
        <v>262.92923533000004</v>
      </c>
      <c r="X11" s="840">
        <v>262.61974581000004</v>
      </c>
      <c r="Y11" s="843">
        <v>311.12994394999998</v>
      </c>
      <c r="Z11" s="840">
        <v>304.05473837999995</v>
      </c>
      <c r="AA11" s="840">
        <v>915.67673547000004</v>
      </c>
      <c r="AB11" s="843">
        <v>863.3438288000001</v>
      </c>
      <c r="AC11" s="843">
        <v>865.75160313000003</v>
      </c>
      <c r="AD11" s="843">
        <v>861.71480962999999</v>
      </c>
      <c r="AE11" s="843">
        <v>860.69671413000003</v>
      </c>
      <c r="AF11" s="843">
        <v>864.772156</v>
      </c>
      <c r="AG11" s="843">
        <v>864.54325744999983</v>
      </c>
      <c r="AH11" s="843">
        <f>+AH9-AH10</f>
        <v>863.41699129999995</v>
      </c>
      <c r="AI11" s="843">
        <v>603.54650871999991</v>
      </c>
      <c r="AJ11" s="843">
        <f>+AJ9-AJ10</f>
        <v>598.22206088000007</v>
      </c>
      <c r="AK11" s="843">
        <f>+AK9-AK10</f>
        <v>868.33384219999994</v>
      </c>
      <c r="AL11" s="843">
        <v>868.97574106000013</v>
      </c>
      <c r="AM11" s="843">
        <f>+AM9-AM10</f>
        <v>852.46831829999996</v>
      </c>
      <c r="AN11" s="843">
        <f>+AN9-AN10</f>
        <v>836.18880465999996</v>
      </c>
      <c r="AO11" s="843">
        <f>+AO9-AO10</f>
        <v>762.64084291999995</v>
      </c>
      <c r="AP11" s="843">
        <f>+AP9-AP10</f>
        <v>742.98158794000005</v>
      </c>
      <c r="AQ11" s="843">
        <v>766.15728853999985</v>
      </c>
      <c r="AR11" s="843">
        <f>+AR9-AR10</f>
        <v>773.38130673000001</v>
      </c>
      <c r="AS11" s="843">
        <f>+AS9-AS10</f>
        <v>775.36362268000005</v>
      </c>
      <c r="AT11" s="843">
        <f>+AT9-AT10</f>
        <v>767.86342136999997</v>
      </c>
      <c r="AU11" s="843">
        <v>771.95771472000013</v>
      </c>
      <c r="AV11" s="843">
        <v>813.86239699000009</v>
      </c>
      <c r="AW11" s="843">
        <v>831.06472173000009</v>
      </c>
      <c r="AX11" s="843">
        <v>898.53107594999994</v>
      </c>
      <c r="AY11" s="843">
        <v>818.37992768000004</v>
      </c>
      <c r="AZ11" s="843">
        <v>806.64993419999996</v>
      </c>
      <c r="BA11" s="843">
        <v>795.55517027999997</v>
      </c>
      <c r="BB11" s="843">
        <v>734.72260599999993</v>
      </c>
      <c r="BC11" s="843">
        <v>51.911281440000003</v>
      </c>
      <c r="BD11" s="843">
        <f>+BD9-BD10</f>
        <v>43.957436620000003</v>
      </c>
      <c r="BE11" s="843">
        <v>22.02057245</v>
      </c>
      <c r="BF11" s="843">
        <v>16.685853870000003</v>
      </c>
      <c r="BG11" s="843">
        <v>15.09283226</v>
      </c>
      <c r="BH11" s="886">
        <v>14.213046050000001</v>
      </c>
      <c r="BI11" s="875">
        <v>12.14333553</v>
      </c>
      <c r="BJ11" s="875">
        <v>8.3822816200000005</v>
      </c>
      <c r="BK11" s="875">
        <v>7.50647252</v>
      </c>
      <c r="BL11" s="875">
        <v>10.030302820000001</v>
      </c>
      <c r="BM11" s="875">
        <v>12.55454523</v>
      </c>
      <c r="BN11" s="875">
        <v>14.451147650000001</v>
      </c>
      <c r="BO11" s="875">
        <v>13.57539006</v>
      </c>
      <c r="BP11" s="875">
        <v>13.19963248</v>
      </c>
      <c r="BQ11" s="875">
        <v>9.9163587</v>
      </c>
      <c r="BR11" s="875">
        <v>6.4982411100000004</v>
      </c>
      <c r="BS11" s="875">
        <v>5.6924837999999998</v>
      </c>
      <c r="BT11" s="875">
        <v>5.8307804700000005</v>
      </c>
      <c r="BU11" s="875">
        <v>4.0889691800000003</v>
      </c>
      <c r="BV11" s="875">
        <v>4.0835534500000001</v>
      </c>
      <c r="BW11" s="875">
        <v>4.0687518599999999</v>
      </c>
      <c r="BX11" s="875">
        <v>4.0631907500000004</v>
      </c>
      <c r="BY11" s="875">
        <v>4.0575554900000004</v>
      </c>
      <c r="BZ11" s="875">
        <v>3.4147770900000003</v>
      </c>
      <c r="CA11" s="875">
        <v>3.4085130000000001</v>
      </c>
      <c r="CB11" s="875">
        <v>10.627164259999999</v>
      </c>
      <c r="CC11" s="875">
        <v>10.554968950000001</v>
      </c>
      <c r="CD11" s="875">
        <v>10.911282139999999</v>
      </c>
      <c r="CE11" s="875">
        <f t="shared" ref="CE11:CP11" si="1">+CE9-CE10</f>
        <v>26.22584015</v>
      </c>
      <c r="CF11" s="875">
        <f t="shared" si="1"/>
        <v>165.63629550000002</v>
      </c>
      <c r="CG11" s="875">
        <f t="shared" si="1"/>
        <v>35.824461579999998</v>
      </c>
      <c r="CH11" s="875">
        <f t="shared" si="1"/>
        <v>43.062833189999999</v>
      </c>
      <c r="CI11" s="875">
        <f t="shared" si="1"/>
        <v>45.989883039999995</v>
      </c>
      <c r="CJ11" s="875">
        <f t="shared" si="1"/>
        <v>42.438705810000002</v>
      </c>
      <c r="CK11" s="875">
        <f t="shared" si="1"/>
        <v>41.324060490000008</v>
      </c>
      <c r="CL11" s="875">
        <f t="shared" si="1"/>
        <v>47.775236360000001</v>
      </c>
      <c r="CM11" s="875">
        <f t="shared" si="1"/>
        <v>51.594207059999995</v>
      </c>
      <c r="CN11" s="875">
        <f t="shared" si="1"/>
        <v>66.601194359999994</v>
      </c>
      <c r="CO11" s="875">
        <f t="shared" si="1"/>
        <v>69.123743109999992</v>
      </c>
      <c r="CP11" s="875">
        <f t="shared" si="1"/>
        <v>75.250761589999996</v>
      </c>
      <c r="CQ11" s="875">
        <f>+CQ9-CQ10</f>
        <v>76.221932819999992</v>
      </c>
      <c r="CR11" s="875">
        <f>+CR9-CR10</f>
        <v>95.982817420000003</v>
      </c>
      <c r="CS11" s="875">
        <f>+CS9-CS10</f>
        <v>100.9654961</v>
      </c>
      <c r="CT11" s="875">
        <v>104.80600579999999</v>
      </c>
      <c r="CU11" s="875">
        <v>243.75187188999999</v>
      </c>
      <c r="CV11" s="875">
        <v>247.95774632000001</v>
      </c>
      <c r="CW11" s="875">
        <v>249.23912799999999</v>
      </c>
      <c r="CX11" s="875">
        <v>252.30897077</v>
      </c>
      <c r="CY11" s="875">
        <v>265.32752973999999</v>
      </c>
      <c r="CZ11" s="875">
        <v>266.33422457</v>
      </c>
      <c r="DA11" s="875">
        <v>265.78165603999997</v>
      </c>
      <c r="DB11" s="875">
        <v>275.40268788999998</v>
      </c>
      <c r="DC11" s="875">
        <v>273.13845358999998</v>
      </c>
      <c r="DD11" s="946">
        <v>270.36666331999999</v>
      </c>
      <c r="DE11" s="946">
        <v>279.93951504</v>
      </c>
      <c r="DF11" s="946">
        <v>276.66269678999998</v>
      </c>
      <c r="DG11" s="898">
        <v>275.02338974000003</v>
      </c>
      <c r="DH11" s="898">
        <v>268.45311521999997</v>
      </c>
      <c r="DI11" s="898">
        <v>274.00583617000001</v>
      </c>
      <c r="DJ11" s="898">
        <v>276.43745202999997</v>
      </c>
      <c r="DK11" s="898">
        <v>282.40821255999998</v>
      </c>
      <c r="DL11" s="898">
        <v>289.24492780999998</v>
      </c>
      <c r="DM11" s="898">
        <v>283.53300524000002</v>
      </c>
      <c r="DN11" s="898">
        <v>282.77153706000001</v>
      </c>
      <c r="DO11" s="898">
        <v>283.01895357000001</v>
      </c>
      <c r="DP11" s="898">
        <v>263.07961186</v>
      </c>
      <c r="DQ11" s="898">
        <v>261.26516622999998</v>
      </c>
      <c r="DR11" s="898">
        <v>261.50346846999997</v>
      </c>
      <c r="DS11" s="898">
        <v>259.71133880999997</v>
      </c>
      <c r="DT11" s="898">
        <v>257.22117804999999</v>
      </c>
      <c r="DU11" s="898">
        <v>265.60792450000002</v>
      </c>
      <c r="DV11" s="898">
        <v>282.31186286000002</v>
      </c>
      <c r="DW11" s="898">
        <v>281.33964673000003</v>
      </c>
      <c r="DX11" s="898">
        <v>276.86807190000002</v>
      </c>
      <c r="DY11" s="898">
        <v>275.17071999000001</v>
      </c>
      <c r="DZ11" s="898">
        <v>275.12530187999999</v>
      </c>
      <c r="EA11" s="898">
        <v>272.92844172999997</v>
      </c>
      <c r="EB11" s="898">
        <v>270.38717330999998</v>
      </c>
      <c r="EC11" s="898">
        <v>268.00238601000001</v>
      </c>
      <c r="ED11" s="898">
        <v>264.80877253</v>
      </c>
      <c r="EE11" s="898">
        <v>260.53925977</v>
      </c>
      <c r="EF11" s="898">
        <v>253.81463543000001</v>
      </c>
      <c r="EG11" s="898">
        <v>254.25884472999999</v>
      </c>
      <c r="EH11" s="898">
        <v>252.17487677</v>
      </c>
      <c r="EI11" s="898">
        <v>243.46622103999999</v>
      </c>
      <c r="EJ11" s="898">
        <v>259.92521068000002</v>
      </c>
      <c r="EK11" s="898">
        <v>259.27249302000001</v>
      </c>
      <c r="EL11" s="898">
        <v>259.97930203999999</v>
      </c>
      <c r="EM11" s="898">
        <v>85.440217509999997</v>
      </c>
      <c r="EN11" s="898">
        <v>83.650722979999998</v>
      </c>
      <c r="EO11" s="898">
        <v>86.62772124</v>
      </c>
      <c r="EP11" s="898">
        <v>85.364733799999996</v>
      </c>
      <c r="EQ11" s="898">
        <v>83.789255249999997</v>
      </c>
      <c r="ER11" s="898">
        <v>83.271706800000004</v>
      </c>
      <c r="ES11" s="898">
        <v>83.152385190000004</v>
      </c>
      <c r="ET11" s="898">
        <v>82.545323949999997</v>
      </c>
      <c r="EU11" s="1920" t="s">
        <v>4085</v>
      </c>
      <c r="EZ11" s="342"/>
    </row>
    <row r="12" spans="1:289" ht="21">
      <c r="A12" s="1929"/>
      <c r="B12" s="842"/>
      <c r="C12" s="842"/>
      <c r="D12" s="842"/>
      <c r="E12" s="842"/>
      <c r="F12" s="842"/>
      <c r="G12" s="842"/>
      <c r="H12" s="842"/>
      <c r="I12" s="842"/>
      <c r="J12" s="842"/>
      <c r="K12" s="842"/>
      <c r="L12" s="842"/>
      <c r="M12" s="843"/>
      <c r="N12" s="843"/>
      <c r="O12" s="843"/>
      <c r="P12" s="843"/>
      <c r="Q12" s="843"/>
      <c r="R12" s="843"/>
      <c r="S12" s="843"/>
      <c r="T12" s="843"/>
      <c r="U12" s="843"/>
      <c r="V12" s="843"/>
      <c r="W12" s="843"/>
      <c r="X12" s="843"/>
      <c r="Y12" s="843"/>
      <c r="Z12" s="843"/>
      <c r="AA12" s="843"/>
      <c r="AB12" s="843"/>
      <c r="AC12" s="843"/>
      <c r="AD12" s="843"/>
      <c r="AE12" s="843"/>
      <c r="AF12" s="843"/>
      <c r="AG12" s="843"/>
      <c r="AH12" s="843"/>
      <c r="AI12" s="843"/>
      <c r="AJ12" s="843"/>
      <c r="AK12" s="843"/>
      <c r="AL12" s="843"/>
      <c r="AM12" s="843"/>
      <c r="AN12" s="843"/>
      <c r="AO12" s="843"/>
      <c r="AP12" s="843"/>
      <c r="AQ12" s="843"/>
      <c r="AR12" s="843"/>
      <c r="AS12" s="843"/>
      <c r="AT12" s="843"/>
      <c r="AU12" s="843"/>
      <c r="AV12" s="843"/>
      <c r="AW12" s="843"/>
      <c r="AX12" s="843"/>
      <c r="AY12" s="843"/>
      <c r="AZ12" s="843"/>
      <c r="BA12" s="843"/>
      <c r="BB12" s="843"/>
      <c r="BC12" s="843"/>
      <c r="BD12" s="843"/>
      <c r="BE12" s="843"/>
      <c r="BF12" s="843"/>
      <c r="BG12" s="843"/>
      <c r="BH12" s="886"/>
      <c r="BI12" s="875"/>
      <c r="BJ12" s="875"/>
      <c r="BK12" s="875"/>
      <c r="BL12" s="875"/>
      <c r="BM12" s="875"/>
      <c r="BN12" s="875"/>
      <c r="BO12" s="875"/>
      <c r="BP12" s="875"/>
      <c r="BQ12" s="875"/>
      <c r="BR12" s="875"/>
      <c r="BS12" s="875"/>
      <c r="BT12" s="875"/>
      <c r="BU12" s="875"/>
      <c r="BV12" s="875"/>
      <c r="BW12" s="875"/>
      <c r="BX12" s="875"/>
      <c r="BY12" s="875"/>
      <c r="BZ12" s="875"/>
      <c r="CA12" s="875"/>
      <c r="CB12" s="875"/>
      <c r="CC12" s="875"/>
      <c r="CD12" s="875"/>
      <c r="CE12" s="875"/>
      <c r="CF12" s="875"/>
      <c r="CG12" s="875"/>
      <c r="CH12" s="875"/>
      <c r="CI12" s="875"/>
      <c r="CJ12" s="875"/>
      <c r="CK12" s="875"/>
      <c r="CL12" s="875"/>
      <c r="CM12" s="875"/>
      <c r="CN12" s="875"/>
      <c r="CO12" s="875"/>
      <c r="CP12" s="875"/>
      <c r="CQ12" s="875"/>
      <c r="CR12" s="875"/>
      <c r="CS12" s="875"/>
      <c r="CT12" s="875"/>
      <c r="CU12" s="875"/>
      <c r="CV12" s="875"/>
      <c r="CW12" s="875"/>
      <c r="CX12" s="875"/>
      <c r="CY12" s="875"/>
      <c r="CZ12" s="875"/>
      <c r="DA12" s="875"/>
      <c r="DB12" s="875"/>
      <c r="DC12" s="875"/>
      <c r="DD12" s="946"/>
      <c r="DE12" s="946"/>
      <c r="DF12" s="946"/>
      <c r="DG12" s="898"/>
      <c r="DH12" s="898"/>
      <c r="DI12" s="898"/>
      <c r="DJ12" s="898"/>
      <c r="DK12" s="898"/>
      <c r="DL12" s="898"/>
      <c r="DM12" s="898"/>
      <c r="DN12" s="898"/>
      <c r="DO12" s="898"/>
      <c r="DP12" s="898"/>
      <c r="DQ12" s="898"/>
      <c r="DR12" s="898"/>
      <c r="DS12" s="898"/>
      <c r="DT12" s="898"/>
      <c r="DU12" s="898"/>
      <c r="DV12" s="898"/>
      <c r="DW12" s="898"/>
      <c r="DX12" s="898"/>
      <c r="DY12" s="898"/>
      <c r="DZ12" s="898"/>
      <c r="EA12" s="898"/>
      <c r="EB12" s="898"/>
      <c r="EC12" s="898"/>
      <c r="ED12" s="898"/>
      <c r="EE12" s="898"/>
      <c r="EF12" s="898"/>
      <c r="EG12" s="898"/>
      <c r="EH12" s="898"/>
      <c r="EI12" s="898"/>
      <c r="EJ12" s="898"/>
      <c r="EK12" s="898"/>
      <c r="EL12" s="898"/>
      <c r="EM12" s="898"/>
      <c r="EN12" s="898"/>
      <c r="EO12" s="898"/>
      <c r="EP12" s="898"/>
      <c r="EQ12" s="898"/>
      <c r="ER12" s="898"/>
      <c r="ES12" s="898"/>
      <c r="ET12" s="898"/>
      <c r="EU12" s="1919"/>
      <c r="EZ12" s="342"/>
    </row>
    <row r="13" spans="1:289" ht="21">
      <c r="A13" s="1930" t="s">
        <v>2756</v>
      </c>
      <c r="B13" s="839">
        <v>0.71924679999999996</v>
      </c>
      <c r="C13" s="839">
        <v>3.3257617499999999</v>
      </c>
      <c r="D13" s="839">
        <v>3.1663374599999998</v>
      </c>
      <c r="E13" s="839">
        <v>3.08069361</v>
      </c>
      <c r="F13" s="839">
        <v>3.0398728500000001</v>
      </c>
      <c r="G13" s="839">
        <v>2.9984903100000002</v>
      </c>
      <c r="H13" s="839">
        <v>2.9565737400000005</v>
      </c>
      <c r="I13" s="839">
        <v>2.8748607900000001</v>
      </c>
      <c r="J13" s="839">
        <v>2.7822050099999998</v>
      </c>
      <c r="K13" s="839">
        <v>2.7543022000000001</v>
      </c>
      <c r="L13" s="839">
        <v>2.7542897000000002</v>
      </c>
      <c r="M13" s="840">
        <v>2.6973755000000001</v>
      </c>
      <c r="N13" s="840">
        <v>2.6973379999999998</v>
      </c>
      <c r="O13" s="840">
        <v>2.7603630000000003</v>
      </c>
      <c r="P13" s="840">
        <v>2.7603505000000004</v>
      </c>
      <c r="Q13" s="840">
        <v>2.7603505000000004</v>
      </c>
      <c r="R13" s="840">
        <v>2.8056975000000004</v>
      </c>
      <c r="S13" s="840">
        <v>2.7679602799999996</v>
      </c>
      <c r="T13" s="840">
        <v>2.5448661900000005</v>
      </c>
      <c r="U13" s="840">
        <v>2.9322027899999998</v>
      </c>
      <c r="V13" s="840">
        <v>3.7422552900000001</v>
      </c>
      <c r="W13" s="840">
        <v>4.4065872299999995</v>
      </c>
      <c r="X13" s="840">
        <v>4.7866376800000001</v>
      </c>
      <c r="Y13" s="840">
        <v>5.00299491</v>
      </c>
      <c r="Z13" s="840">
        <v>5.0037725799999997</v>
      </c>
      <c r="AA13" s="840">
        <v>5.6717204199999998</v>
      </c>
      <c r="AB13" s="840">
        <v>5.6783570399999999</v>
      </c>
      <c r="AC13" s="840">
        <v>5.6940404400000002</v>
      </c>
      <c r="AD13" s="840">
        <v>5.7065762800000002</v>
      </c>
      <c r="AE13" s="840">
        <v>4.70644638</v>
      </c>
      <c r="AF13" s="840">
        <v>4.7108481700000002</v>
      </c>
      <c r="AG13" s="840">
        <v>4.9477580699999999</v>
      </c>
      <c r="AH13" s="840">
        <v>3.9207857599999998</v>
      </c>
      <c r="AI13" s="840">
        <v>3.9145460000000001</v>
      </c>
      <c r="AJ13" s="840">
        <v>3.89771767</v>
      </c>
      <c r="AK13" s="840">
        <v>4.6234668399999999</v>
      </c>
      <c r="AL13" s="840">
        <v>2.1435756800000001</v>
      </c>
      <c r="AM13" s="840">
        <v>2.0958947000000001</v>
      </c>
      <c r="AN13" s="840">
        <v>2.1495100000000003E-3</v>
      </c>
      <c r="AO13" s="840">
        <v>2.1495100000000003E-3</v>
      </c>
      <c r="AP13" s="840">
        <v>1.5647899999999999E-3</v>
      </c>
      <c r="AQ13" s="840">
        <v>1.5647899999999999E-3</v>
      </c>
      <c r="AR13" s="840">
        <v>1.26399E-3</v>
      </c>
      <c r="AS13" s="840">
        <v>6.4259000000000007E-4</v>
      </c>
      <c r="AT13" s="840">
        <v>6.4259000000000007E-4</v>
      </c>
      <c r="AU13" s="840">
        <v>0</v>
      </c>
      <c r="AV13" s="840">
        <v>0</v>
      </c>
      <c r="AW13" s="840">
        <v>0</v>
      </c>
      <c r="AX13" s="840">
        <v>0</v>
      </c>
      <c r="AY13" s="840">
        <v>0</v>
      </c>
      <c r="AZ13" s="840">
        <v>0</v>
      </c>
      <c r="BA13" s="840">
        <v>0</v>
      </c>
      <c r="BB13" s="840">
        <v>0</v>
      </c>
      <c r="BC13" s="840">
        <v>0</v>
      </c>
      <c r="BD13" s="840">
        <v>0</v>
      </c>
      <c r="BE13" s="840">
        <v>0</v>
      </c>
      <c r="BF13" s="840">
        <v>0</v>
      </c>
      <c r="BG13" s="840">
        <v>0</v>
      </c>
      <c r="BH13" s="885">
        <v>0</v>
      </c>
      <c r="BI13" s="874">
        <v>0</v>
      </c>
      <c r="BJ13" s="874">
        <v>0</v>
      </c>
      <c r="BK13" s="874">
        <v>0</v>
      </c>
      <c r="BL13" s="874">
        <v>3.4</v>
      </c>
      <c r="BM13" s="874">
        <v>3.4</v>
      </c>
      <c r="BN13" s="874">
        <v>3.4</v>
      </c>
      <c r="BO13" s="874">
        <v>3.4</v>
      </c>
      <c r="BP13" s="874">
        <v>3.4</v>
      </c>
      <c r="BQ13" s="874">
        <v>2.9750000000000001</v>
      </c>
      <c r="BR13" s="874">
        <v>2.9750000000000001</v>
      </c>
      <c r="BS13" s="874">
        <v>2.9750000000000001</v>
      </c>
      <c r="BT13" s="874">
        <v>2.9750000000000001</v>
      </c>
      <c r="BU13" s="874">
        <v>2.9750000000000001</v>
      </c>
      <c r="BV13" s="874">
        <v>2.9750000000000001</v>
      </c>
      <c r="BW13" s="874">
        <v>2.9750000000000001</v>
      </c>
      <c r="BX13" s="874">
        <v>2.9750000000000001</v>
      </c>
      <c r="BY13" s="874">
        <v>2.9750000000000001</v>
      </c>
      <c r="BZ13" s="874">
        <v>2.9750000000000001</v>
      </c>
      <c r="CA13" s="874">
        <v>2.9750000000000001</v>
      </c>
      <c r="CB13" s="874">
        <v>2.9750000000000001</v>
      </c>
      <c r="CC13" s="874">
        <v>2.9750000000000001</v>
      </c>
      <c r="CD13" s="874">
        <v>2.9750000000000001</v>
      </c>
      <c r="CE13" s="874">
        <v>3.145</v>
      </c>
      <c r="CF13" s="874">
        <v>3.3149999999999999</v>
      </c>
      <c r="CG13" s="874">
        <v>3.3149999999999999</v>
      </c>
      <c r="CH13" s="874">
        <v>3.3149999999999999</v>
      </c>
      <c r="CI13" s="874">
        <v>3.3510149999999999</v>
      </c>
      <c r="CJ13" s="874">
        <v>3.4849999999999999</v>
      </c>
      <c r="CK13" s="874">
        <v>3.6209988100000001</v>
      </c>
      <c r="CL13" s="874">
        <v>3.90305233</v>
      </c>
      <c r="CM13" s="874">
        <v>3.91807317</v>
      </c>
      <c r="CN13" s="874">
        <v>3.9283878200000002</v>
      </c>
      <c r="CO13" s="874">
        <v>3.9468023099999998</v>
      </c>
      <c r="CP13" s="874">
        <v>6.5682484999999993</v>
      </c>
      <c r="CQ13" s="874">
        <v>9.36269347</v>
      </c>
      <c r="CR13" s="874">
        <v>16.961453479999999</v>
      </c>
      <c r="CS13" s="874">
        <v>16.630232190000001</v>
      </c>
      <c r="CT13" s="874">
        <v>15.83908175</v>
      </c>
      <c r="CU13" s="874">
        <v>14.61538648</v>
      </c>
      <c r="CV13" s="874">
        <v>14.209023869999999</v>
      </c>
      <c r="CW13" s="874">
        <v>12.34617873</v>
      </c>
      <c r="CX13" s="874">
        <v>11.57953597</v>
      </c>
      <c r="CY13" s="874">
        <v>11.820621279999999</v>
      </c>
      <c r="CZ13" s="874">
        <v>13.051994410000001</v>
      </c>
      <c r="DA13" s="874">
        <v>14.430100080000001</v>
      </c>
      <c r="DB13" s="874">
        <v>15.21314971</v>
      </c>
      <c r="DC13" s="874">
        <v>14.725355049999999</v>
      </c>
      <c r="DD13" s="945">
        <v>13.449618470000001</v>
      </c>
      <c r="DE13" s="945">
        <v>13.49137487</v>
      </c>
      <c r="DF13" s="945">
        <v>13.693136109999999</v>
      </c>
      <c r="DG13" s="897">
        <v>13.2541612</v>
      </c>
      <c r="DH13" s="897">
        <v>8.3835420900000006</v>
      </c>
      <c r="DI13" s="897">
        <v>10.29822912</v>
      </c>
      <c r="DJ13" s="897">
        <v>10.11127774</v>
      </c>
      <c r="DK13" s="897">
        <v>10.43964443</v>
      </c>
      <c r="DL13" s="897">
        <v>18.530975040000001</v>
      </c>
      <c r="DM13" s="897">
        <v>13.16586676</v>
      </c>
      <c r="DN13" s="897">
        <v>13.283064639999999</v>
      </c>
      <c r="DO13" s="897">
        <v>13.595074609999999</v>
      </c>
      <c r="DP13" s="897">
        <v>13.596465650000001</v>
      </c>
      <c r="DQ13" s="897">
        <v>10.45711551</v>
      </c>
      <c r="DR13" s="897">
        <v>9.5560258699999991</v>
      </c>
      <c r="DS13" s="897">
        <v>8.7300143600000002</v>
      </c>
      <c r="DT13" s="897">
        <v>7.7894355800000001</v>
      </c>
      <c r="DU13" s="897">
        <v>16.220745340000001</v>
      </c>
      <c r="DV13" s="897">
        <v>16.626281630000001</v>
      </c>
      <c r="DW13" s="897">
        <v>17.317262360000001</v>
      </c>
      <c r="DX13" s="897">
        <v>15.71157923</v>
      </c>
      <c r="DY13" s="897">
        <v>15.202089559999999</v>
      </c>
      <c r="DZ13" s="897">
        <v>14.979586599999999</v>
      </c>
      <c r="EA13" s="897">
        <v>13.82867304</v>
      </c>
      <c r="EB13" s="897">
        <v>12.5698259</v>
      </c>
      <c r="EC13" s="897">
        <v>11.238747679999999</v>
      </c>
      <c r="ED13" s="897">
        <v>9.8295236100000007</v>
      </c>
      <c r="EE13" s="897">
        <v>8.4128692100000002</v>
      </c>
      <c r="EF13" s="897">
        <v>3.4863865999999999</v>
      </c>
      <c r="EG13" s="897">
        <v>2.4028964300000002</v>
      </c>
      <c r="EH13" s="897">
        <v>1.22103469</v>
      </c>
      <c r="EI13" s="897">
        <v>2.77270328</v>
      </c>
      <c r="EJ13" s="897">
        <v>5.3975254100000001</v>
      </c>
      <c r="EK13" s="897">
        <v>6.4213099500000004</v>
      </c>
      <c r="EL13" s="897">
        <v>7.1522106499999998</v>
      </c>
      <c r="EM13" s="897">
        <v>7.0905498199999997</v>
      </c>
      <c r="EN13" s="897">
        <v>6.5991249300000003</v>
      </c>
      <c r="EO13" s="897">
        <v>6.8954811200000004</v>
      </c>
      <c r="EP13" s="897">
        <v>6.6674565299999999</v>
      </c>
      <c r="EQ13" s="897">
        <v>6.3359490000000003</v>
      </c>
      <c r="ER13" s="897">
        <v>6.1833278600000003</v>
      </c>
      <c r="ES13" s="897">
        <v>6.11791661</v>
      </c>
      <c r="ET13" s="897">
        <v>6.8617808800000004</v>
      </c>
      <c r="EU13" s="1918" t="s">
        <v>4083</v>
      </c>
      <c r="EZ13" s="342"/>
    </row>
    <row r="14" spans="1:289" ht="21">
      <c r="A14" s="1931" t="s">
        <v>1974</v>
      </c>
      <c r="B14" s="842">
        <v>0</v>
      </c>
      <c r="C14" s="842">
        <v>0</v>
      </c>
      <c r="D14" s="842">
        <v>0</v>
      </c>
      <c r="E14" s="842">
        <v>0</v>
      </c>
      <c r="F14" s="842">
        <v>0</v>
      </c>
      <c r="G14" s="842">
        <v>0</v>
      </c>
      <c r="H14" s="842">
        <v>0</v>
      </c>
      <c r="I14" s="842">
        <v>0</v>
      </c>
      <c r="J14" s="842">
        <v>0</v>
      </c>
      <c r="K14" s="842">
        <v>0</v>
      </c>
      <c r="L14" s="842">
        <v>0</v>
      </c>
      <c r="M14" s="843">
        <v>0</v>
      </c>
      <c r="N14" s="843">
        <v>0</v>
      </c>
      <c r="O14" s="843">
        <v>0</v>
      </c>
      <c r="P14" s="843">
        <v>0</v>
      </c>
      <c r="Q14" s="843">
        <v>0</v>
      </c>
      <c r="R14" s="843">
        <v>0</v>
      </c>
      <c r="S14" s="843">
        <v>0</v>
      </c>
      <c r="T14" s="843">
        <v>0</v>
      </c>
      <c r="U14" s="843">
        <v>0</v>
      </c>
      <c r="V14" s="843">
        <v>0</v>
      </c>
      <c r="W14" s="843">
        <v>0</v>
      </c>
      <c r="X14" s="843">
        <v>0</v>
      </c>
      <c r="Y14" s="843">
        <v>0</v>
      </c>
      <c r="Z14" s="843">
        <v>0</v>
      </c>
      <c r="AA14" s="843">
        <v>0</v>
      </c>
      <c r="AB14" s="843">
        <v>0</v>
      </c>
      <c r="AC14" s="843">
        <v>0</v>
      </c>
      <c r="AD14" s="843">
        <v>0</v>
      </c>
      <c r="AE14" s="843">
        <v>0</v>
      </c>
      <c r="AF14" s="843">
        <v>0</v>
      </c>
      <c r="AG14" s="843">
        <v>0</v>
      </c>
      <c r="AH14" s="843">
        <v>0</v>
      </c>
      <c r="AI14" s="843">
        <v>0</v>
      </c>
      <c r="AJ14" s="843">
        <v>0</v>
      </c>
      <c r="AK14" s="843">
        <v>0</v>
      </c>
      <c r="AL14" s="843">
        <v>0</v>
      </c>
      <c r="AM14" s="843">
        <v>0</v>
      </c>
      <c r="AN14" s="843">
        <v>0</v>
      </c>
      <c r="AO14" s="843">
        <v>0</v>
      </c>
      <c r="AP14" s="843">
        <v>0</v>
      </c>
      <c r="AQ14" s="843">
        <v>0</v>
      </c>
      <c r="AR14" s="843">
        <v>0</v>
      </c>
      <c r="AS14" s="843">
        <v>0</v>
      </c>
      <c r="AT14" s="843">
        <v>0</v>
      </c>
      <c r="AU14" s="843">
        <v>0</v>
      </c>
      <c r="AV14" s="843">
        <v>0</v>
      </c>
      <c r="AW14" s="843">
        <v>0</v>
      </c>
      <c r="AX14" s="843">
        <v>0</v>
      </c>
      <c r="AY14" s="843">
        <v>0</v>
      </c>
      <c r="AZ14" s="843">
        <v>0</v>
      </c>
      <c r="BA14" s="843">
        <v>0</v>
      </c>
      <c r="BB14" s="843">
        <v>0</v>
      </c>
      <c r="BC14" s="843">
        <v>0</v>
      </c>
      <c r="BD14" s="843">
        <v>0</v>
      </c>
      <c r="BE14" s="843">
        <v>0</v>
      </c>
      <c r="BF14" s="843">
        <v>0</v>
      </c>
      <c r="BG14" s="843">
        <v>0</v>
      </c>
      <c r="BH14" s="886">
        <v>0</v>
      </c>
      <c r="BI14" s="875">
        <v>0</v>
      </c>
      <c r="BJ14" s="875">
        <v>0</v>
      </c>
      <c r="BK14" s="875">
        <v>0</v>
      </c>
      <c r="BL14" s="875">
        <v>0</v>
      </c>
      <c r="BM14" s="875">
        <v>0</v>
      </c>
      <c r="BN14" s="875">
        <v>0</v>
      </c>
      <c r="BO14" s="875">
        <v>0</v>
      </c>
      <c r="BP14" s="875">
        <v>0</v>
      </c>
      <c r="BQ14" s="875">
        <v>0</v>
      </c>
      <c r="BR14" s="875">
        <v>0</v>
      </c>
      <c r="BS14" s="875">
        <v>0</v>
      </c>
      <c r="BT14" s="875">
        <v>0</v>
      </c>
      <c r="BU14" s="875">
        <v>0</v>
      </c>
      <c r="BV14" s="875">
        <v>0</v>
      </c>
      <c r="BW14" s="875">
        <v>0</v>
      </c>
      <c r="BX14" s="875">
        <v>0</v>
      </c>
      <c r="BY14" s="875">
        <v>0</v>
      </c>
      <c r="BZ14" s="875">
        <v>0</v>
      </c>
      <c r="CA14" s="875">
        <v>0</v>
      </c>
      <c r="CB14" s="875">
        <v>0</v>
      </c>
      <c r="CC14" s="875">
        <v>0</v>
      </c>
      <c r="CD14" s="875">
        <v>0</v>
      </c>
      <c r="CE14" s="875">
        <v>0</v>
      </c>
      <c r="CF14" s="875">
        <v>0</v>
      </c>
      <c r="CG14" s="875">
        <v>0</v>
      </c>
      <c r="CH14" s="875">
        <v>0</v>
      </c>
      <c r="CI14" s="875">
        <v>0</v>
      </c>
      <c r="CJ14" s="875">
        <v>0</v>
      </c>
      <c r="CK14" s="875">
        <v>0</v>
      </c>
      <c r="CL14" s="875">
        <v>0</v>
      </c>
      <c r="CM14" s="875">
        <v>0</v>
      </c>
      <c r="CN14" s="875">
        <v>0</v>
      </c>
      <c r="CO14" s="875">
        <v>0</v>
      </c>
      <c r="CP14" s="875">
        <v>0</v>
      </c>
      <c r="CQ14" s="875">
        <v>0</v>
      </c>
      <c r="CR14" s="875">
        <v>0</v>
      </c>
      <c r="CS14" s="875">
        <v>0</v>
      </c>
      <c r="CT14" s="875">
        <v>0</v>
      </c>
      <c r="CU14" s="875">
        <v>0</v>
      </c>
      <c r="CV14" s="875">
        <v>0</v>
      </c>
      <c r="CW14" s="875">
        <v>0</v>
      </c>
      <c r="CX14" s="875">
        <v>0</v>
      </c>
      <c r="CY14" s="875">
        <v>0</v>
      </c>
      <c r="CZ14" s="875">
        <v>0</v>
      </c>
      <c r="DA14" s="875">
        <v>0</v>
      </c>
      <c r="DB14" s="875">
        <v>0</v>
      </c>
      <c r="DC14" s="875">
        <v>0</v>
      </c>
      <c r="DD14" s="946">
        <v>0</v>
      </c>
      <c r="DE14" s="946">
        <v>0</v>
      </c>
      <c r="DF14" s="946">
        <v>0</v>
      </c>
      <c r="DG14" s="898">
        <v>0</v>
      </c>
      <c r="DH14" s="898">
        <v>0</v>
      </c>
      <c r="DI14" s="898">
        <v>0</v>
      </c>
      <c r="DJ14" s="898">
        <v>0</v>
      </c>
      <c r="DK14" s="898">
        <v>0</v>
      </c>
      <c r="DL14" s="898">
        <v>0</v>
      </c>
      <c r="DM14" s="898">
        <v>0</v>
      </c>
      <c r="DN14" s="898">
        <v>0</v>
      </c>
      <c r="DO14" s="898">
        <v>0</v>
      </c>
      <c r="DP14" s="898">
        <v>0</v>
      </c>
      <c r="DQ14" s="898">
        <v>0</v>
      </c>
      <c r="DR14" s="898">
        <v>0</v>
      </c>
      <c r="DS14" s="898">
        <v>0</v>
      </c>
      <c r="DT14" s="898">
        <v>0</v>
      </c>
      <c r="DU14" s="898">
        <v>0</v>
      </c>
      <c r="DV14" s="898">
        <v>0</v>
      </c>
      <c r="DW14" s="898">
        <v>0</v>
      </c>
      <c r="DX14" s="898">
        <v>0</v>
      </c>
      <c r="DY14" s="898">
        <v>0</v>
      </c>
      <c r="DZ14" s="898">
        <v>0</v>
      </c>
      <c r="EA14" s="898">
        <v>0</v>
      </c>
      <c r="EB14" s="898">
        <v>0</v>
      </c>
      <c r="EC14" s="898">
        <v>0</v>
      </c>
      <c r="ED14" s="898">
        <v>0</v>
      </c>
      <c r="EE14" s="898">
        <v>0</v>
      </c>
      <c r="EF14" s="898">
        <v>0</v>
      </c>
      <c r="EG14" s="898">
        <v>0</v>
      </c>
      <c r="EH14" s="898">
        <v>0</v>
      </c>
      <c r="EI14" s="898">
        <v>0</v>
      </c>
      <c r="EJ14" s="898">
        <v>0</v>
      </c>
      <c r="EK14" s="898">
        <v>0</v>
      </c>
      <c r="EL14" s="898">
        <v>0</v>
      </c>
      <c r="EM14" s="898">
        <v>0</v>
      </c>
      <c r="EN14" s="898">
        <v>0</v>
      </c>
      <c r="EO14" s="898">
        <v>0</v>
      </c>
      <c r="EP14" s="898">
        <v>0</v>
      </c>
      <c r="EQ14" s="898">
        <v>0</v>
      </c>
      <c r="ER14" s="898">
        <v>0</v>
      </c>
      <c r="ES14" s="898">
        <v>0</v>
      </c>
      <c r="ET14" s="898">
        <v>0</v>
      </c>
      <c r="EU14" s="1920" t="s">
        <v>4086</v>
      </c>
      <c r="EZ14" s="342"/>
    </row>
    <row r="15" spans="1:289" ht="21">
      <c r="A15" s="1931" t="s">
        <v>1975</v>
      </c>
      <c r="B15" s="842">
        <f>+B13-B14</f>
        <v>0.71924679999999996</v>
      </c>
      <c r="C15" s="842">
        <f t="shared" ref="C15:V15" si="2">+C13-C14</f>
        <v>3.3257617499999999</v>
      </c>
      <c r="D15" s="842">
        <f t="shared" si="2"/>
        <v>3.1663374599999998</v>
      </c>
      <c r="E15" s="842">
        <f t="shared" si="2"/>
        <v>3.08069361</v>
      </c>
      <c r="F15" s="842">
        <f t="shared" si="2"/>
        <v>3.0398728500000001</v>
      </c>
      <c r="G15" s="842">
        <f t="shared" si="2"/>
        <v>2.9984903100000002</v>
      </c>
      <c r="H15" s="842">
        <f t="shared" si="2"/>
        <v>2.9565737400000005</v>
      </c>
      <c r="I15" s="842">
        <f t="shared" si="2"/>
        <v>2.8748607900000001</v>
      </c>
      <c r="J15" s="842">
        <f t="shared" si="2"/>
        <v>2.7822050099999998</v>
      </c>
      <c r="K15" s="842">
        <f t="shared" si="2"/>
        <v>2.7543022000000001</v>
      </c>
      <c r="L15" s="842">
        <f t="shared" si="2"/>
        <v>2.7542897000000002</v>
      </c>
      <c r="M15" s="843">
        <f t="shared" si="2"/>
        <v>2.6973755000000001</v>
      </c>
      <c r="N15" s="843">
        <f t="shared" si="2"/>
        <v>2.6973379999999998</v>
      </c>
      <c r="O15" s="843">
        <f t="shared" si="2"/>
        <v>2.7603630000000003</v>
      </c>
      <c r="P15" s="843">
        <f t="shared" si="2"/>
        <v>2.7603505000000004</v>
      </c>
      <c r="Q15" s="843">
        <f t="shared" si="2"/>
        <v>2.7603505000000004</v>
      </c>
      <c r="R15" s="843">
        <f t="shared" si="2"/>
        <v>2.8056975000000004</v>
      </c>
      <c r="S15" s="843">
        <f t="shared" si="2"/>
        <v>2.7679602799999996</v>
      </c>
      <c r="T15" s="843">
        <f t="shared" si="2"/>
        <v>2.5448661900000005</v>
      </c>
      <c r="U15" s="843">
        <f t="shared" si="2"/>
        <v>2.9322027899999998</v>
      </c>
      <c r="V15" s="843">
        <f t="shared" si="2"/>
        <v>3.7422552900000001</v>
      </c>
      <c r="W15" s="843">
        <v>4.4065872299999995</v>
      </c>
      <c r="X15" s="843">
        <v>4.7866376800000001</v>
      </c>
      <c r="Y15" s="843">
        <v>5.00299491</v>
      </c>
      <c r="Z15" s="843">
        <v>5.0037725799999997</v>
      </c>
      <c r="AA15" s="843">
        <v>5.6717204199999998</v>
      </c>
      <c r="AB15" s="843">
        <v>5.6783570399999999</v>
      </c>
      <c r="AC15" s="843">
        <v>5.6940404400000002</v>
      </c>
      <c r="AD15" s="843">
        <v>5.7065762800000002</v>
      </c>
      <c r="AE15" s="843">
        <v>4.70644638</v>
      </c>
      <c r="AF15" s="843">
        <v>4.7108481700000002</v>
      </c>
      <c r="AG15" s="843">
        <v>4.9477580699999999</v>
      </c>
      <c r="AH15" s="843">
        <f>+AH13-AH14</f>
        <v>3.9207857599999998</v>
      </c>
      <c r="AI15" s="843">
        <v>3.9145460000000001</v>
      </c>
      <c r="AJ15" s="843">
        <f>+AJ13-AJ14</f>
        <v>3.89771767</v>
      </c>
      <c r="AK15" s="843">
        <f>+AK13-AK14</f>
        <v>4.6234668399999999</v>
      </c>
      <c r="AL15" s="843">
        <v>2.1435756800000001</v>
      </c>
      <c r="AM15" s="843">
        <f>+AM13-AM14</f>
        <v>2.0958947000000001</v>
      </c>
      <c r="AN15" s="843">
        <f>+AN13-AN14</f>
        <v>2.1495100000000003E-3</v>
      </c>
      <c r="AO15" s="843">
        <f>+AO13-AO14</f>
        <v>2.1495100000000003E-3</v>
      </c>
      <c r="AP15" s="843">
        <f>+AP13-AP14</f>
        <v>1.5647899999999999E-3</v>
      </c>
      <c r="AQ15" s="843">
        <v>1.5647899999999999E-3</v>
      </c>
      <c r="AR15" s="843">
        <f>+AR13-AR14</f>
        <v>1.26399E-3</v>
      </c>
      <c r="AS15" s="843">
        <f>+AS13-AS14</f>
        <v>6.4259000000000007E-4</v>
      </c>
      <c r="AT15" s="843">
        <f>+AT13-AT14</f>
        <v>6.4259000000000007E-4</v>
      </c>
      <c r="AU15" s="843">
        <v>0</v>
      </c>
      <c r="AV15" s="843">
        <v>0</v>
      </c>
      <c r="AW15" s="843">
        <v>0</v>
      </c>
      <c r="AX15" s="843">
        <v>0</v>
      </c>
      <c r="AY15" s="843">
        <v>0</v>
      </c>
      <c r="AZ15" s="843">
        <v>0</v>
      </c>
      <c r="BA15" s="843">
        <v>0</v>
      </c>
      <c r="BB15" s="843">
        <v>0</v>
      </c>
      <c r="BC15" s="843">
        <v>0</v>
      </c>
      <c r="BD15" s="843">
        <f>+BD13-BD14</f>
        <v>0</v>
      </c>
      <c r="BE15" s="843">
        <v>0</v>
      </c>
      <c r="BF15" s="843">
        <v>0</v>
      </c>
      <c r="BG15" s="843">
        <v>0</v>
      </c>
      <c r="BH15" s="886">
        <v>0</v>
      </c>
      <c r="BI15" s="875">
        <v>0</v>
      </c>
      <c r="BJ15" s="875">
        <v>0</v>
      </c>
      <c r="BK15" s="875">
        <v>0</v>
      </c>
      <c r="BL15" s="875">
        <v>3.4</v>
      </c>
      <c r="BM15" s="875">
        <v>3.4</v>
      </c>
      <c r="BN15" s="875">
        <v>3.4</v>
      </c>
      <c r="BO15" s="875">
        <v>3.4</v>
      </c>
      <c r="BP15" s="875">
        <v>3.4</v>
      </c>
      <c r="BQ15" s="875">
        <v>2.9750000000000001</v>
      </c>
      <c r="BR15" s="875">
        <v>2.9750000000000001</v>
      </c>
      <c r="BS15" s="875">
        <v>2.9750000000000001</v>
      </c>
      <c r="BT15" s="875">
        <v>2.9750000000000001</v>
      </c>
      <c r="BU15" s="875">
        <v>2.9750000000000001</v>
      </c>
      <c r="BV15" s="875">
        <v>2.9750000000000001</v>
      </c>
      <c r="BW15" s="875">
        <v>2.9750000000000001</v>
      </c>
      <c r="BX15" s="875">
        <v>2.9750000000000001</v>
      </c>
      <c r="BY15" s="875">
        <v>2.9750000000000001</v>
      </c>
      <c r="BZ15" s="875">
        <v>2.9750000000000001</v>
      </c>
      <c r="CA15" s="875">
        <v>2.9750000000000001</v>
      </c>
      <c r="CB15" s="875">
        <v>2.9750000000000001</v>
      </c>
      <c r="CC15" s="875">
        <v>2.9750000000000001</v>
      </c>
      <c r="CD15" s="875">
        <v>2.9750000000000001</v>
      </c>
      <c r="CE15" s="875">
        <f t="shared" ref="CE15:CP15" si="3">+CE13-CE14</f>
        <v>3.145</v>
      </c>
      <c r="CF15" s="875">
        <f t="shared" si="3"/>
        <v>3.3149999999999999</v>
      </c>
      <c r="CG15" s="875">
        <f t="shared" si="3"/>
        <v>3.3149999999999999</v>
      </c>
      <c r="CH15" s="875">
        <f t="shared" si="3"/>
        <v>3.3149999999999999</v>
      </c>
      <c r="CI15" s="875">
        <f t="shared" si="3"/>
        <v>3.3510149999999999</v>
      </c>
      <c r="CJ15" s="875">
        <f t="shared" si="3"/>
        <v>3.4849999999999999</v>
      </c>
      <c r="CK15" s="875">
        <f t="shared" si="3"/>
        <v>3.6209988100000001</v>
      </c>
      <c r="CL15" s="875">
        <f t="shared" si="3"/>
        <v>3.90305233</v>
      </c>
      <c r="CM15" s="875">
        <f t="shared" si="3"/>
        <v>3.91807317</v>
      </c>
      <c r="CN15" s="875">
        <f t="shared" si="3"/>
        <v>3.9283878200000002</v>
      </c>
      <c r="CO15" s="875">
        <f t="shared" si="3"/>
        <v>3.9468023099999998</v>
      </c>
      <c r="CP15" s="875">
        <f t="shared" si="3"/>
        <v>6.5682484999999993</v>
      </c>
      <c r="CQ15" s="875">
        <f>+CQ13-CQ14</f>
        <v>9.36269347</v>
      </c>
      <c r="CR15" s="875">
        <f>+CR13-CR14</f>
        <v>16.961453479999999</v>
      </c>
      <c r="CS15" s="875">
        <f>+CS13-CS14</f>
        <v>16.630232190000001</v>
      </c>
      <c r="CT15" s="875">
        <v>15.83908175</v>
      </c>
      <c r="CU15" s="875">
        <v>14.61538648</v>
      </c>
      <c r="CV15" s="875">
        <v>14.209023869999999</v>
      </c>
      <c r="CW15" s="875">
        <v>12.34617873</v>
      </c>
      <c r="CX15" s="875">
        <v>11.57953597</v>
      </c>
      <c r="CY15" s="875">
        <v>11.820621279999999</v>
      </c>
      <c r="CZ15" s="875">
        <v>13.051994410000001</v>
      </c>
      <c r="DA15" s="875">
        <v>14.430100080000001</v>
      </c>
      <c r="DB15" s="875">
        <v>15.21314971</v>
      </c>
      <c r="DC15" s="875">
        <v>14.725355049999999</v>
      </c>
      <c r="DD15" s="946">
        <v>13.449618470000001</v>
      </c>
      <c r="DE15" s="946">
        <v>13.49137487</v>
      </c>
      <c r="DF15" s="946">
        <v>13.693136109999999</v>
      </c>
      <c r="DG15" s="898">
        <v>13.2541612</v>
      </c>
      <c r="DH15" s="898">
        <v>8.3835420900000006</v>
      </c>
      <c r="DI15" s="898">
        <v>10.29822912</v>
      </c>
      <c r="DJ15" s="898">
        <v>10.11127774</v>
      </c>
      <c r="DK15" s="898">
        <v>10.43964443</v>
      </c>
      <c r="DL15" s="898">
        <v>18.530975040000001</v>
      </c>
      <c r="DM15" s="898">
        <v>13.16586676</v>
      </c>
      <c r="DN15" s="898">
        <v>13.283064639999999</v>
      </c>
      <c r="DO15" s="898">
        <v>13.595074609999999</v>
      </c>
      <c r="DP15" s="898">
        <v>13.596465650000001</v>
      </c>
      <c r="DQ15" s="898">
        <v>10.45711551</v>
      </c>
      <c r="DR15" s="898">
        <v>9.5560258699999991</v>
      </c>
      <c r="DS15" s="898">
        <v>8.7300143600000002</v>
      </c>
      <c r="DT15" s="898">
        <v>7.7894355800000001</v>
      </c>
      <c r="DU15" s="898">
        <v>16.220745340000001</v>
      </c>
      <c r="DV15" s="898">
        <v>16.626281630000001</v>
      </c>
      <c r="DW15" s="898">
        <v>17.317262360000001</v>
      </c>
      <c r="DX15" s="898">
        <v>15.71157923</v>
      </c>
      <c r="DY15" s="898">
        <v>15.202089559999999</v>
      </c>
      <c r="DZ15" s="898">
        <v>14.979586599999999</v>
      </c>
      <c r="EA15" s="898">
        <v>13.82867304</v>
      </c>
      <c r="EB15" s="898">
        <v>12.5698259</v>
      </c>
      <c r="EC15" s="898">
        <v>11.238747679999999</v>
      </c>
      <c r="ED15" s="898">
        <v>9.8295236100000007</v>
      </c>
      <c r="EE15" s="898">
        <v>8.4128692100000002</v>
      </c>
      <c r="EF15" s="898">
        <v>3.4863865999999999</v>
      </c>
      <c r="EG15" s="898">
        <v>2.4028964300000002</v>
      </c>
      <c r="EH15" s="898">
        <v>1.22103469</v>
      </c>
      <c r="EI15" s="898">
        <v>2.77270328</v>
      </c>
      <c r="EJ15" s="898">
        <v>5.3975254100000001</v>
      </c>
      <c r="EK15" s="898">
        <v>6.4213099500000004</v>
      </c>
      <c r="EL15" s="898">
        <v>7.1522106499999998</v>
      </c>
      <c r="EM15" s="898">
        <v>7.0905498199999997</v>
      </c>
      <c r="EN15" s="898">
        <v>6.5991249300000003</v>
      </c>
      <c r="EO15" s="898">
        <v>6.8954811200000004</v>
      </c>
      <c r="EP15" s="898">
        <v>6.6674565299999999</v>
      </c>
      <c r="EQ15" s="898">
        <v>6.3359490000000003</v>
      </c>
      <c r="ER15" s="898">
        <v>6.1833278600000003</v>
      </c>
      <c r="ES15" s="898">
        <v>6.11791661</v>
      </c>
      <c r="ET15" s="898">
        <v>6.8617808800000004</v>
      </c>
      <c r="EU15" s="1920" t="s">
        <v>4085</v>
      </c>
      <c r="EZ15" s="342"/>
    </row>
    <row r="16" spans="1:289" ht="21">
      <c r="A16" s="1928"/>
      <c r="B16" s="839"/>
      <c r="C16" s="839"/>
      <c r="D16" s="839"/>
      <c r="E16" s="839"/>
      <c r="F16" s="839"/>
      <c r="G16" s="839"/>
      <c r="H16" s="839"/>
      <c r="I16" s="839"/>
      <c r="J16" s="839"/>
      <c r="K16" s="839"/>
      <c r="L16" s="839"/>
      <c r="M16" s="840"/>
      <c r="N16" s="840"/>
      <c r="O16" s="840"/>
      <c r="P16" s="840"/>
      <c r="Q16" s="840"/>
      <c r="R16" s="840"/>
      <c r="S16" s="840"/>
      <c r="T16" s="840"/>
      <c r="U16" s="840"/>
      <c r="V16" s="840"/>
      <c r="W16" s="840"/>
      <c r="X16" s="840"/>
      <c r="Y16" s="840"/>
      <c r="Z16" s="840"/>
      <c r="AA16" s="840"/>
      <c r="AB16" s="840"/>
      <c r="AC16" s="840"/>
      <c r="AD16" s="840"/>
      <c r="AE16" s="840"/>
      <c r="AF16" s="840"/>
      <c r="AG16" s="840"/>
      <c r="AH16" s="840"/>
      <c r="AI16" s="840"/>
      <c r="AJ16" s="840"/>
      <c r="AK16" s="840"/>
      <c r="AL16" s="840"/>
      <c r="AM16" s="840"/>
      <c r="AN16" s="840"/>
      <c r="AO16" s="840"/>
      <c r="AP16" s="840"/>
      <c r="AQ16" s="840"/>
      <c r="AR16" s="840"/>
      <c r="AS16" s="840"/>
      <c r="AT16" s="840"/>
      <c r="AU16" s="840"/>
      <c r="AV16" s="840"/>
      <c r="AW16" s="840"/>
      <c r="AX16" s="840"/>
      <c r="AY16" s="840"/>
      <c r="AZ16" s="840"/>
      <c r="BA16" s="840"/>
      <c r="BB16" s="840"/>
      <c r="BC16" s="840"/>
      <c r="BD16" s="840"/>
      <c r="BE16" s="840"/>
      <c r="BF16" s="840"/>
      <c r="BG16" s="840"/>
      <c r="BH16" s="885"/>
      <c r="BI16" s="874"/>
      <c r="BJ16" s="874"/>
      <c r="BK16" s="874"/>
      <c r="BL16" s="874"/>
      <c r="BM16" s="874"/>
      <c r="BN16" s="874"/>
      <c r="BO16" s="874"/>
      <c r="BP16" s="874"/>
      <c r="BQ16" s="874"/>
      <c r="BR16" s="874"/>
      <c r="BS16" s="874"/>
      <c r="BT16" s="874"/>
      <c r="BU16" s="874"/>
      <c r="BV16" s="874"/>
      <c r="BW16" s="874"/>
      <c r="BX16" s="874"/>
      <c r="BY16" s="874"/>
      <c r="BZ16" s="874"/>
      <c r="CA16" s="874"/>
      <c r="CB16" s="874"/>
      <c r="CC16" s="874"/>
      <c r="CD16" s="874"/>
      <c r="CE16" s="874"/>
      <c r="CF16" s="874"/>
      <c r="CG16" s="874"/>
      <c r="CH16" s="874"/>
      <c r="CI16" s="874"/>
      <c r="CJ16" s="874"/>
      <c r="CK16" s="874"/>
      <c r="CL16" s="874"/>
      <c r="CM16" s="874"/>
      <c r="CN16" s="874"/>
      <c r="CO16" s="874"/>
      <c r="CP16" s="874"/>
      <c r="CQ16" s="874"/>
      <c r="CR16" s="874"/>
      <c r="CS16" s="874"/>
      <c r="CT16" s="874"/>
      <c r="CU16" s="874"/>
      <c r="CV16" s="874"/>
      <c r="CW16" s="874"/>
      <c r="CX16" s="874"/>
      <c r="CY16" s="874"/>
      <c r="CZ16" s="874"/>
      <c r="DA16" s="874"/>
      <c r="DB16" s="874"/>
      <c r="DC16" s="874"/>
      <c r="DD16" s="945"/>
      <c r="DE16" s="945"/>
      <c r="DF16" s="945"/>
      <c r="DG16" s="897"/>
      <c r="DH16" s="897"/>
      <c r="DI16" s="897"/>
      <c r="DJ16" s="897"/>
      <c r="DK16" s="897"/>
      <c r="DL16" s="897"/>
      <c r="DM16" s="897"/>
      <c r="DN16" s="897"/>
      <c r="DO16" s="897"/>
      <c r="DP16" s="897"/>
      <c r="DQ16" s="897"/>
      <c r="DR16" s="897"/>
      <c r="DS16" s="897"/>
      <c r="DT16" s="897"/>
      <c r="DU16" s="897"/>
      <c r="DV16" s="897"/>
      <c r="DW16" s="897"/>
      <c r="DX16" s="897"/>
      <c r="DY16" s="897"/>
      <c r="DZ16" s="897"/>
      <c r="EA16" s="897"/>
      <c r="EB16" s="897"/>
      <c r="EC16" s="897"/>
      <c r="ED16" s="897"/>
      <c r="EE16" s="897"/>
      <c r="EF16" s="897"/>
      <c r="EG16" s="897"/>
      <c r="EH16" s="897"/>
      <c r="EI16" s="897"/>
      <c r="EJ16" s="897"/>
      <c r="EK16" s="897"/>
      <c r="EL16" s="897"/>
      <c r="EM16" s="897"/>
      <c r="EN16" s="897"/>
      <c r="EO16" s="897"/>
      <c r="EP16" s="897"/>
      <c r="EQ16" s="897"/>
      <c r="ER16" s="897"/>
      <c r="ES16" s="897"/>
      <c r="ET16" s="897"/>
      <c r="EU16" s="1921"/>
      <c r="EZ16" s="342"/>
    </row>
    <row r="17" spans="1:156" ht="21">
      <c r="A17" s="1952" t="s">
        <v>189</v>
      </c>
      <c r="B17" s="842">
        <v>0.64119899999999996</v>
      </c>
      <c r="C17" s="842">
        <v>3.1885865600000001</v>
      </c>
      <c r="D17" s="842">
        <v>3.0289974599999998</v>
      </c>
      <c r="E17" s="842">
        <v>2.94338861</v>
      </c>
      <c r="F17" s="842">
        <v>2.9025678500000001</v>
      </c>
      <c r="G17" s="842">
        <v>2.86120281</v>
      </c>
      <c r="H17" s="842">
        <v>2.8192862400000003</v>
      </c>
      <c r="I17" s="842">
        <v>2.7768107899999999</v>
      </c>
      <c r="J17" s="842">
        <v>2.6841425099999996</v>
      </c>
      <c r="K17" s="842">
        <v>2.6562397</v>
      </c>
      <c r="L17" s="842">
        <v>2.6562397</v>
      </c>
      <c r="M17" s="840">
        <v>2.599313</v>
      </c>
      <c r="N17" s="843">
        <v>2.599313</v>
      </c>
      <c r="O17" s="843">
        <v>2.6623130000000002</v>
      </c>
      <c r="P17" s="843">
        <v>2.6623130000000002</v>
      </c>
      <c r="Q17" s="843">
        <v>2.6623130000000002</v>
      </c>
      <c r="R17" s="843">
        <v>2.7076475000000002</v>
      </c>
      <c r="S17" s="843">
        <v>2.6699227799999998</v>
      </c>
      <c r="T17" s="843">
        <v>2.4580871600000003</v>
      </c>
      <c r="U17" s="843">
        <v>2.4454015600000001</v>
      </c>
      <c r="V17" s="843">
        <v>2.9325502999999999</v>
      </c>
      <c r="W17" s="843">
        <v>3.4191944799999998</v>
      </c>
      <c r="X17" s="843">
        <v>3.4063452400000003</v>
      </c>
      <c r="Y17" s="840">
        <v>3.3829859</v>
      </c>
      <c r="Z17" s="843">
        <v>3.3694529800000002</v>
      </c>
      <c r="AA17" s="843">
        <v>3.3557439100000002</v>
      </c>
      <c r="AB17" s="840">
        <v>3.3418563999999997</v>
      </c>
      <c r="AC17" s="840">
        <v>3.3331367699999999</v>
      </c>
      <c r="AD17" s="840">
        <v>3.3239522400000001</v>
      </c>
      <c r="AE17" s="840">
        <v>3.3251662099999999</v>
      </c>
      <c r="AF17" s="840">
        <v>3.3251662099999999</v>
      </c>
      <c r="AG17" s="840">
        <v>3.3039457099999998</v>
      </c>
      <c r="AH17" s="840">
        <v>2.3027786899999998</v>
      </c>
      <c r="AI17" s="840">
        <v>2.30507975</v>
      </c>
      <c r="AJ17" s="840">
        <v>2.3035937400000002</v>
      </c>
      <c r="AK17" s="840">
        <v>2.3029763999999999</v>
      </c>
      <c r="AL17" s="840">
        <v>2.9057499999999999E-3</v>
      </c>
      <c r="AM17" s="840">
        <v>2.4296999999999999E-3</v>
      </c>
      <c r="AN17" s="840">
        <v>2.4296999999999999E-3</v>
      </c>
      <c r="AO17" s="840">
        <v>2.1495100000000003E-3</v>
      </c>
      <c r="AP17" s="840">
        <v>1.5647899999999999E-3</v>
      </c>
      <c r="AQ17" s="840">
        <v>1.5647899999999999E-3</v>
      </c>
      <c r="AR17" s="840">
        <v>1.26399E-3</v>
      </c>
      <c r="AS17" s="840">
        <v>6.4259000000000007E-4</v>
      </c>
      <c r="AT17" s="840">
        <v>6.4259000000000007E-4</v>
      </c>
      <c r="AU17" s="840">
        <v>0</v>
      </c>
      <c r="AV17" s="840">
        <v>0</v>
      </c>
      <c r="AW17" s="840">
        <v>0</v>
      </c>
      <c r="AX17" s="840">
        <v>0</v>
      </c>
      <c r="AY17" s="840">
        <v>0</v>
      </c>
      <c r="AZ17" s="840">
        <v>0</v>
      </c>
      <c r="BA17" s="840">
        <v>0</v>
      </c>
      <c r="BB17" s="840">
        <v>0</v>
      </c>
      <c r="BC17" s="840">
        <v>0</v>
      </c>
      <c r="BD17" s="840">
        <v>0</v>
      </c>
      <c r="BE17" s="840">
        <v>0</v>
      </c>
      <c r="BF17" s="840">
        <v>0</v>
      </c>
      <c r="BG17" s="840">
        <v>0</v>
      </c>
      <c r="BH17" s="885">
        <v>0</v>
      </c>
      <c r="BI17" s="874">
        <v>0</v>
      </c>
      <c r="BJ17" s="874">
        <v>0</v>
      </c>
      <c r="BK17" s="874">
        <v>0</v>
      </c>
      <c r="BL17" s="874">
        <v>0</v>
      </c>
      <c r="BM17" s="874">
        <v>0</v>
      </c>
      <c r="BN17" s="874">
        <v>0</v>
      </c>
      <c r="BO17" s="874">
        <v>0</v>
      </c>
      <c r="BP17" s="874">
        <v>0</v>
      </c>
      <c r="BQ17" s="874">
        <v>0</v>
      </c>
      <c r="BR17" s="874">
        <v>0</v>
      </c>
      <c r="BS17" s="874">
        <v>0</v>
      </c>
      <c r="BT17" s="874">
        <v>0</v>
      </c>
      <c r="BU17" s="874">
        <v>0</v>
      </c>
      <c r="BV17" s="874">
        <v>0</v>
      </c>
      <c r="BW17" s="874">
        <v>0</v>
      </c>
      <c r="BX17" s="874">
        <v>0</v>
      </c>
      <c r="BY17" s="874">
        <v>0</v>
      </c>
      <c r="BZ17" s="874">
        <v>0</v>
      </c>
      <c r="CA17" s="874">
        <v>0</v>
      </c>
      <c r="CB17" s="874">
        <v>0</v>
      </c>
      <c r="CC17" s="874">
        <v>0</v>
      </c>
      <c r="CD17" s="874">
        <v>0</v>
      </c>
      <c r="CE17" s="874">
        <v>0</v>
      </c>
      <c r="CF17" s="874">
        <v>0</v>
      </c>
      <c r="CG17" s="874">
        <v>0</v>
      </c>
      <c r="CH17" s="874">
        <v>0</v>
      </c>
      <c r="CI17" s="874">
        <v>3.6014999999999998E-2</v>
      </c>
      <c r="CJ17" s="874">
        <v>0.17</v>
      </c>
      <c r="CK17" s="874">
        <v>0.16999881</v>
      </c>
      <c r="CL17" s="874">
        <v>0.22813617</v>
      </c>
      <c r="CM17" s="874">
        <v>0.24810538000000001</v>
      </c>
      <c r="CN17" s="874">
        <v>0.26338486999999999</v>
      </c>
      <c r="CO17" s="874">
        <v>0.28679180999999998</v>
      </c>
      <c r="CP17" s="874">
        <v>0.27318320000000001</v>
      </c>
      <c r="CQ17" s="874">
        <v>2.5516420600000003</v>
      </c>
      <c r="CR17" s="874">
        <v>6.5469235299999999</v>
      </c>
      <c r="CS17" s="874">
        <v>6.5372503200000001</v>
      </c>
      <c r="CT17" s="874">
        <v>6.5357042500000002</v>
      </c>
      <c r="CU17" s="874">
        <v>6.56729479</v>
      </c>
      <c r="CV17" s="874">
        <v>6.6029321799999998</v>
      </c>
      <c r="CW17" s="874">
        <v>5.7637168000000001</v>
      </c>
      <c r="CX17" s="874">
        <v>5.6817105699999999</v>
      </c>
      <c r="CY17" s="874">
        <v>5.5884434000000001</v>
      </c>
      <c r="CZ17" s="874">
        <v>5.4598165300000003</v>
      </c>
      <c r="DA17" s="874">
        <v>5.3929222000000001</v>
      </c>
      <c r="DB17" s="874">
        <v>5.3089718299999999</v>
      </c>
      <c r="DC17" s="874">
        <v>5.3413550499999998</v>
      </c>
      <c r="DD17" s="945">
        <v>5.2810724699999998</v>
      </c>
      <c r="DE17" s="945">
        <v>4.3113288699999996</v>
      </c>
      <c r="DF17" s="945">
        <v>4.3413278699999998</v>
      </c>
      <c r="DG17" s="897">
        <v>4.3603377200000004</v>
      </c>
      <c r="DH17" s="897">
        <v>0.34827711</v>
      </c>
      <c r="DI17" s="897">
        <v>0.33360413999999999</v>
      </c>
      <c r="DJ17" s="897">
        <v>0.30063297</v>
      </c>
      <c r="DK17" s="897">
        <v>0.30405411999999998</v>
      </c>
      <c r="DL17" s="897">
        <v>5.7688247500000003</v>
      </c>
      <c r="DM17" s="897">
        <v>0.10602584</v>
      </c>
      <c r="DN17" s="897">
        <v>0.11482098</v>
      </c>
      <c r="DO17" s="897">
        <v>0.42209913999999998</v>
      </c>
      <c r="DP17" s="897">
        <v>0.43780026999999999</v>
      </c>
      <c r="DQ17" s="897">
        <v>9.8862350000000002E-2</v>
      </c>
      <c r="DR17" s="897">
        <v>9.4607689999999994E-2</v>
      </c>
      <c r="DS17" s="897">
        <v>0.2114558</v>
      </c>
      <c r="DT17" s="897">
        <v>0.20791689999999999</v>
      </c>
      <c r="DU17" s="897">
        <v>10.242612449999999</v>
      </c>
      <c r="DV17" s="897">
        <v>9.59196676</v>
      </c>
      <c r="DW17" s="897">
        <v>8.8117587799999999</v>
      </c>
      <c r="DX17" s="897">
        <v>7.9343709100000002</v>
      </c>
      <c r="DY17" s="897">
        <v>6.9759928100000002</v>
      </c>
      <c r="DZ17" s="897">
        <v>6.9985704999999996</v>
      </c>
      <c r="EA17" s="897">
        <v>6.0937587500000001</v>
      </c>
      <c r="EB17" s="897">
        <v>5.18080769</v>
      </c>
      <c r="EC17" s="897">
        <v>4.2528200900000002</v>
      </c>
      <c r="ED17" s="897">
        <v>3.3433034400000001</v>
      </c>
      <c r="EE17" s="897">
        <v>2.4287300599999999</v>
      </c>
      <c r="EF17" s="897">
        <v>1.5043004799999999</v>
      </c>
      <c r="EG17" s="897">
        <v>0.88730291999999999</v>
      </c>
      <c r="EH17" s="897">
        <v>0.49749330000000003</v>
      </c>
      <c r="EI17" s="897">
        <v>2.27278834</v>
      </c>
      <c r="EJ17" s="897">
        <v>4.89761047</v>
      </c>
      <c r="EK17" s="897">
        <v>5.9113099499999997</v>
      </c>
      <c r="EL17" s="897">
        <v>6.64221065</v>
      </c>
      <c r="EM17" s="897">
        <v>6.5805498199999999</v>
      </c>
      <c r="EN17" s="897">
        <v>6.0891249299999997</v>
      </c>
      <c r="EO17" s="897">
        <v>6.3854811199999997</v>
      </c>
      <c r="EP17" s="897">
        <v>6.1574565300000001</v>
      </c>
      <c r="EQ17" s="897">
        <v>5.8259489999999996</v>
      </c>
      <c r="ER17" s="897">
        <v>5.6733278599999997</v>
      </c>
      <c r="ES17" s="897">
        <v>5.6079166100000002</v>
      </c>
      <c r="ET17" s="897">
        <v>6.3517808799999997</v>
      </c>
      <c r="EU17" s="1922" t="s">
        <v>212</v>
      </c>
      <c r="EZ17" s="342"/>
    </row>
    <row r="18" spans="1:156" ht="21">
      <c r="A18" s="1953" t="s">
        <v>1974</v>
      </c>
      <c r="B18" s="839">
        <v>0</v>
      </c>
      <c r="C18" s="839">
        <v>0</v>
      </c>
      <c r="D18" s="839">
        <v>0</v>
      </c>
      <c r="E18" s="839">
        <v>0</v>
      </c>
      <c r="F18" s="839">
        <v>0</v>
      </c>
      <c r="G18" s="839">
        <v>0</v>
      </c>
      <c r="H18" s="839">
        <v>0</v>
      </c>
      <c r="I18" s="839">
        <v>0</v>
      </c>
      <c r="J18" s="839">
        <v>0</v>
      </c>
      <c r="K18" s="839">
        <v>0</v>
      </c>
      <c r="L18" s="839">
        <v>0</v>
      </c>
      <c r="M18" s="843">
        <v>0</v>
      </c>
      <c r="N18" s="840">
        <v>0</v>
      </c>
      <c r="O18" s="840">
        <v>0</v>
      </c>
      <c r="P18" s="840">
        <v>0</v>
      </c>
      <c r="Q18" s="840">
        <v>0</v>
      </c>
      <c r="R18" s="840">
        <v>0</v>
      </c>
      <c r="S18" s="840">
        <v>0</v>
      </c>
      <c r="T18" s="840">
        <v>0</v>
      </c>
      <c r="U18" s="840">
        <v>0</v>
      </c>
      <c r="V18" s="840">
        <v>0</v>
      </c>
      <c r="W18" s="840">
        <v>0</v>
      </c>
      <c r="X18" s="840">
        <v>0</v>
      </c>
      <c r="Y18" s="843">
        <v>0</v>
      </c>
      <c r="Z18" s="840">
        <v>0</v>
      </c>
      <c r="AA18" s="840">
        <v>0</v>
      </c>
      <c r="AB18" s="843">
        <v>0</v>
      </c>
      <c r="AC18" s="843">
        <v>0</v>
      </c>
      <c r="AD18" s="843">
        <v>0</v>
      </c>
      <c r="AE18" s="843">
        <v>0</v>
      </c>
      <c r="AF18" s="843">
        <v>0</v>
      </c>
      <c r="AG18" s="843">
        <v>0</v>
      </c>
      <c r="AH18" s="843">
        <v>0</v>
      </c>
      <c r="AI18" s="843">
        <v>0</v>
      </c>
      <c r="AJ18" s="843">
        <v>0</v>
      </c>
      <c r="AK18" s="843">
        <v>0</v>
      </c>
      <c r="AL18" s="843">
        <v>0</v>
      </c>
      <c r="AM18" s="843">
        <v>0</v>
      </c>
      <c r="AN18" s="843">
        <v>0</v>
      </c>
      <c r="AO18" s="843">
        <v>0</v>
      </c>
      <c r="AP18" s="843">
        <v>0</v>
      </c>
      <c r="AQ18" s="843">
        <v>0</v>
      </c>
      <c r="AR18" s="843">
        <v>0</v>
      </c>
      <c r="AS18" s="843">
        <v>0</v>
      </c>
      <c r="AT18" s="843">
        <v>0</v>
      </c>
      <c r="AU18" s="843">
        <v>0</v>
      </c>
      <c r="AV18" s="843">
        <v>0</v>
      </c>
      <c r="AW18" s="843">
        <v>0</v>
      </c>
      <c r="AX18" s="843">
        <v>0</v>
      </c>
      <c r="AY18" s="843">
        <v>0</v>
      </c>
      <c r="AZ18" s="843">
        <v>0</v>
      </c>
      <c r="BA18" s="843">
        <v>0</v>
      </c>
      <c r="BB18" s="843">
        <v>0</v>
      </c>
      <c r="BC18" s="843">
        <v>0</v>
      </c>
      <c r="BD18" s="843">
        <v>0</v>
      </c>
      <c r="BE18" s="843">
        <v>0</v>
      </c>
      <c r="BF18" s="843">
        <v>0</v>
      </c>
      <c r="BG18" s="843">
        <v>0</v>
      </c>
      <c r="BH18" s="886">
        <v>0</v>
      </c>
      <c r="BI18" s="875">
        <v>0</v>
      </c>
      <c r="BJ18" s="875">
        <v>0</v>
      </c>
      <c r="BK18" s="875">
        <v>0</v>
      </c>
      <c r="BL18" s="875">
        <v>0</v>
      </c>
      <c r="BM18" s="875">
        <v>0</v>
      </c>
      <c r="BN18" s="875">
        <v>0</v>
      </c>
      <c r="BO18" s="875">
        <v>0</v>
      </c>
      <c r="BP18" s="875">
        <v>0</v>
      </c>
      <c r="BQ18" s="875">
        <v>0</v>
      </c>
      <c r="BR18" s="875">
        <v>0</v>
      </c>
      <c r="BS18" s="875">
        <v>0</v>
      </c>
      <c r="BT18" s="875">
        <v>0</v>
      </c>
      <c r="BU18" s="875">
        <v>0</v>
      </c>
      <c r="BV18" s="875">
        <v>0</v>
      </c>
      <c r="BW18" s="875">
        <v>0</v>
      </c>
      <c r="BX18" s="875">
        <v>0</v>
      </c>
      <c r="BY18" s="875">
        <v>0</v>
      </c>
      <c r="BZ18" s="875">
        <v>0</v>
      </c>
      <c r="CA18" s="875">
        <v>0</v>
      </c>
      <c r="CB18" s="875">
        <v>0</v>
      </c>
      <c r="CC18" s="875">
        <v>0</v>
      </c>
      <c r="CD18" s="875">
        <v>0</v>
      </c>
      <c r="CE18" s="875">
        <v>0</v>
      </c>
      <c r="CF18" s="875">
        <v>0</v>
      </c>
      <c r="CG18" s="875">
        <v>0</v>
      </c>
      <c r="CH18" s="875">
        <v>0</v>
      </c>
      <c r="CI18" s="875">
        <v>0</v>
      </c>
      <c r="CJ18" s="875">
        <v>0</v>
      </c>
      <c r="CK18" s="875">
        <v>0</v>
      </c>
      <c r="CL18" s="875">
        <v>0</v>
      </c>
      <c r="CM18" s="875">
        <v>0</v>
      </c>
      <c r="CN18" s="875">
        <v>0</v>
      </c>
      <c r="CO18" s="875">
        <v>0</v>
      </c>
      <c r="CP18" s="875">
        <v>0</v>
      </c>
      <c r="CQ18" s="875">
        <v>0</v>
      </c>
      <c r="CR18" s="875">
        <v>0</v>
      </c>
      <c r="CS18" s="875">
        <v>0</v>
      </c>
      <c r="CT18" s="875">
        <v>0</v>
      </c>
      <c r="CU18" s="875">
        <v>0</v>
      </c>
      <c r="CV18" s="875">
        <v>0</v>
      </c>
      <c r="CW18" s="875">
        <v>0</v>
      </c>
      <c r="CX18" s="875">
        <v>0</v>
      </c>
      <c r="CY18" s="875">
        <v>0</v>
      </c>
      <c r="CZ18" s="875">
        <v>0</v>
      </c>
      <c r="DA18" s="875">
        <v>0</v>
      </c>
      <c r="DB18" s="875">
        <v>0</v>
      </c>
      <c r="DC18" s="875">
        <v>0</v>
      </c>
      <c r="DD18" s="946">
        <v>0</v>
      </c>
      <c r="DE18" s="946">
        <v>0</v>
      </c>
      <c r="DF18" s="946">
        <v>0</v>
      </c>
      <c r="DG18" s="898">
        <v>0</v>
      </c>
      <c r="DH18" s="898">
        <v>0</v>
      </c>
      <c r="DI18" s="898">
        <v>0</v>
      </c>
      <c r="DJ18" s="898">
        <v>0</v>
      </c>
      <c r="DK18" s="898">
        <v>0</v>
      </c>
      <c r="DL18" s="898">
        <v>0</v>
      </c>
      <c r="DM18" s="898">
        <v>0</v>
      </c>
      <c r="DN18" s="898">
        <v>0</v>
      </c>
      <c r="DO18" s="898">
        <v>0</v>
      </c>
      <c r="DP18" s="898">
        <v>0</v>
      </c>
      <c r="DQ18" s="898">
        <v>0</v>
      </c>
      <c r="DR18" s="898">
        <v>0</v>
      </c>
      <c r="DS18" s="898">
        <v>0</v>
      </c>
      <c r="DT18" s="898">
        <v>0</v>
      </c>
      <c r="DU18" s="898">
        <v>0</v>
      </c>
      <c r="DV18" s="898">
        <v>0</v>
      </c>
      <c r="DW18" s="898">
        <v>0</v>
      </c>
      <c r="DX18" s="898">
        <v>0</v>
      </c>
      <c r="DY18" s="898">
        <v>0</v>
      </c>
      <c r="DZ18" s="898">
        <v>0</v>
      </c>
      <c r="EA18" s="898">
        <v>0</v>
      </c>
      <c r="EB18" s="898">
        <v>0</v>
      </c>
      <c r="EC18" s="898">
        <v>0</v>
      </c>
      <c r="ED18" s="898">
        <v>0</v>
      </c>
      <c r="EE18" s="898">
        <v>0</v>
      </c>
      <c r="EF18" s="898">
        <v>0</v>
      </c>
      <c r="EG18" s="898">
        <v>0</v>
      </c>
      <c r="EH18" s="898">
        <v>0</v>
      </c>
      <c r="EI18" s="898">
        <v>0</v>
      </c>
      <c r="EJ18" s="898">
        <v>0</v>
      </c>
      <c r="EK18" s="898">
        <v>0</v>
      </c>
      <c r="EL18" s="898">
        <v>0</v>
      </c>
      <c r="EM18" s="898">
        <v>0</v>
      </c>
      <c r="EN18" s="898">
        <v>0</v>
      </c>
      <c r="EO18" s="898">
        <v>0</v>
      </c>
      <c r="EP18" s="898">
        <v>0</v>
      </c>
      <c r="EQ18" s="898">
        <v>0</v>
      </c>
      <c r="ER18" s="898">
        <v>0</v>
      </c>
      <c r="ES18" s="898">
        <v>0</v>
      </c>
      <c r="ET18" s="898">
        <v>0</v>
      </c>
      <c r="EU18" s="1924" t="s">
        <v>4086</v>
      </c>
      <c r="EZ18" s="342"/>
    </row>
    <row r="19" spans="1:156" ht="21">
      <c r="A19" s="1953" t="s">
        <v>1975</v>
      </c>
      <c r="B19" s="842">
        <f>+B17-B18</f>
        <v>0.64119899999999996</v>
      </c>
      <c r="C19" s="842">
        <f t="shared" ref="C19:V19" si="4">+C17-C18</f>
        <v>3.1885865600000001</v>
      </c>
      <c r="D19" s="842">
        <f t="shared" si="4"/>
        <v>3.0289974599999998</v>
      </c>
      <c r="E19" s="842">
        <f t="shared" si="4"/>
        <v>2.94338861</v>
      </c>
      <c r="F19" s="842">
        <f t="shared" si="4"/>
        <v>2.9025678500000001</v>
      </c>
      <c r="G19" s="842">
        <f t="shared" si="4"/>
        <v>2.86120281</v>
      </c>
      <c r="H19" s="842">
        <f t="shared" si="4"/>
        <v>2.8192862400000003</v>
      </c>
      <c r="I19" s="842">
        <f t="shared" si="4"/>
        <v>2.7768107899999999</v>
      </c>
      <c r="J19" s="842">
        <f t="shared" si="4"/>
        <v>2.6841425099999996</v>
      </c>
      <c r="K19" s="842">
        <f t="shared" si="4"/>
        <v>2.6562397</v>
      </c>
      <c r="L19" s="842">
        <f t="shared" si="4"/>
        <v>2.6562397</v>
      </c>
      <c r="M19" s="843">
        <f t="shared" si="4"/>
        <v>2.599313</v>
      </c>
      <c r="N19" s="843">
        <f t="shared" si="4"/>
        <v>2.599313</v>
      </c>
      <c r="O19" s="843">
        <f t="shared" si="4"/>
        <v>2.6623130000000002</v>
      </c>
      <c r="P19" s="843">
        <f t="shared" si="4"/>
        <v>2.6623130000000002</v>
      </c>
      <c r="Q19" s="843">
        <f t="shared" si="4"/>
        <v>2.6623130000000002</v>
      </c>
      <c r="R19" s="843">
        <f t="shared" si="4"/>
        <v>2.7076475000000002</v>
      </c>
      <c r="S19" s="843">
        <f t="shared" si="4"/>
        <v>2.6699227799999998</v>
      </c>
      <c r="T19" s="843">
        <f t="shared" si="4"/>
        <v>2.4580871600000003</v>
      </c>
      <c r="U19" s="843">
        <f t="shared" si="4"/>
        <v>2.4454015600000001</v>
      </c>
      <c r="V19" s="843">
        <f t="shared" si="4"/>
        <v>2.9325502999999999</v>
      </c>
      <c r="W19" s="843">
        <v>3.4191944799999998</v>
      </c>
      <c r="X19" s="843">
        <v>3.4063452400000003</v>
      </c>
      <c r="Y19" s="843">
        <v>3.3829859</v>
      </c>
      <c r="Z19" s="843">
        <v>3.3694529800000002</v>
      </c>
      <c r="AA19" s="843">
        <v>3.3557439100000002</v>
      </c>
      <c r="AB19" s="843">
        <v>3.3418563999999997</v>
      </c>
      <c r="AC19" s="843">
        <v>3.3331367699999999</v>
      </c>
      <c r="AD19" s="843">
        <v>3.3239522400000001</v>
      </c>
      <c r="AE19" s="843">
        <v>3.3251662099999999</v>
      </c>
      <c r="AF19" s="843">
        <v>3.3251662099999999</v>
      </c>
      <c r="AG19" s="843">
        <v>3.3039457099999998</v>
      </c>
      <c r="AH19" s="843">
        <f>+AH17-AH18</f>
        <v>2.3027786899999998</v>
      </c>
      <c r="AI19" s="843">
        <v>2.30507975</v>
      </c>
      <c r="AJ19" s="843">
        <f>+AJ17-AJ18</f>
        <v>2.3035937400000002</v>
      </c>
      <c r="AK19" s="843">
        <f>+AK17-AK18</f>
        <v>2.3029763999999999</v>
      </c>
      <c r="AL19" s="843">
        <v>2.9057499999999999E-3</v>
      </c>
      <c r="AM19" s="843">
        <f>+AM17-AM18</f>
        <v>2.4296999999999999E-3</v>
      </c>
      <c r="AN19" s="843">
        <f>+AN17-AN18</f>
        <v>2.4296999999999999E-3</v>
      </c>
      <c r="AO19" s="843">
        <f>+AO17-AO18</f>
        <v>2.1495100000000003E-3</v>
      </c>
      <c r="AP19" s="843">
        <f>+AP17-AP18</f>
        <v>1.5647899999999999E-3</v>
      </c>
      <c r="AQ19" s="843">
        <v>1.5647899999999999E-3</v>
      </c>
      <c r="AR19" s="843">
        <f>+AR17-AR18</f>
        <v>1.26399E-3</v>
      </c>
      <c r="AS19" s="843">
        <f>+AS17-AS18</f>
        <v>6.4259000000000007E-4</v>
      </c>
      <c r="AT19" s="843">
        <f>+AT17-AT18</f>
        <v>6.4259000000000007E-4</v>
      </c>
      <c r="AU19" s="843">
        <v>0</v>
      </c>
      <c r="AV19" s="843">
        <v>0</v>
      </c>
      <c r="AW19" s="843">
        <v>0</v>
      </c>
      <c r="AX19" s="843">
        <v>0</v>
      </c>
      <c r="AY19" s="843">
        <v>0</v>
      </c>
      <c r="AZ19" s="843">
        <v>0</v>
      </c>
      <c r="BA19" s="843">
        <v>0</v>
      </c>
      <c r="BB19" s="843">
        <v>0</v>
      </c>
      <c r="BC19" s="843">
        <v>0</v>
      </c>
      <c r="BD19" s="843">
        <f>+BD17-BD18</f>
        <v>0</v>
      </c>
      <c r="BE19" s="843">
        <v>0</v>
      </c>
      <c r="BF19" s="843">
        <v>0</v>
      </c>
      <c r="BG19" s="843">
        <v>0</v>
      </c>
      <c r="BH19" s="886">
        <v>0</v>
      </c>
      <c r="BI19" s="875">
        <v>0</v>
      </c>
      <c r="BJ19" s="875">
        <v>0</v>
      </c>
      <c r="BK19" s="875">
        <v>0</v>
      </c>
      <c r="BL19" s="875">
        <v>0</v>
      </c>
      <c r="BM19" s="875">
        <v>0</v>
      </c>
      <c r="BN19" s="875">
        <v>0</v>
      </c>
      <c r="BO19" s="875">
        <v>0</v>
      </c>
      <c r="BP19" s="875">
        <v>0</v>
      </c>
      <c r="BQ19" s="875">
        <v>0</v>
      </c>
      <c r="BR19" s="875">
        <v>0</v>
      </c>
      <c r="BS19" s="875">
        <v>0</v>
      </c>
      <c r="BT19" s="875">
        <v>0</v>
      </c>
      <c r="BU19" s="875">
        <v>0</v>
      </c>
      <c r="BV19" s="875">
        <v>0</v>
      </c>
      <c r="BW19" s="875">
        <v>0</v>
      </c>
      <c r="BX19" s="875">
        <v>0</v>
      </c>
      <c r="BY19" s="875">
        <v>0</v>
      </c>
      <c r="BZ19" s="875">
        <v>0</v>
      </c>
      <c r="CA19" s="875">
        <v>0</v>
      </c>
      <c r="CB19" s="875">
        <v>0</v>
      </c>
      <c r="CC19" s="875">
        <v>0</v>
      </c>
      <c r="CD19" s="875">
        <v>0</v>
      </c>
      <c r="CE19" s="875">
        <f t="shared" ref="CE19:CP19" si="5">+CE17-CE18</f>
        <v>0</v>
      </c>
      <c r="CF19" s="875">
        <f t="shared" si="5"/>
        <v>0</v>
      </c>
      <c r="CG19" s="875">
        <f t="shared" si="5"/>
        <v>0</v>
      </c>
      <c r="CH19" s="875">
        <f t="shared" si="5"/>
        <v>0</v>
      </c>
      <c r="CI19" s="875">
        <f t="shared" si="5"/>
        <v>3.6014999999999998E-2</v>
      </c>
      <c r="CJ19" s="875">
        <f t="shared" si="5"/>
        <v>0.17</v>
      </c>
      <c r="CK19" s="875">
        <f t="shared" si="5"/>
        <v>0.16999881</v>
      </c>
      <c r="CL19" s="875">
        <f t="shared" si="5"/>
        <v>0.22813617</v>
      </c>
      <c r="CM19" s="875">
        <f t="shared" si="5"/>
        <v>0.24810538000000001</v>
      </c>
      <c r="CN19" s="875">
        <f t="shared" si="5"/>
        <v>0.26338486999999999</v>
      </c>
      <c r="CO19" s="875">
        <f t="shared" si="5"/>
        <v>0.28679180999999998</v>
      </c>
      <c r="CP19" s="875">
        <f t="shared" si="5"/>
        <v>0.27318320000000001</v>
      </c>
      <c r="CQ19" s="875">
        <f>+CQ17-CQ18</f>
        <v>2.5516420600000003</v>
      </c>
      <c r="CR19" s="875">
        <f>+CR17-CR18</f>
        <v>6.5469235299999999</v>
      </c>
      <c r="CS19" s="875">
        <f>+CS17-CS18</f>
        <v>6.5372503200000001</v>
      </c>
      <c r="CT19" s="875">
        <v>6.5357042500000002</v>
      </c>
      <c r="CU19" s="875">
        <v>6.56729479</v>
      </c>
      <c r="CV19" s="875">
        <v>6.6029321799999998</v>
      </c>
      <c r="CW19" s="875">
        <v>5.7637168000000001</v>
      </c>
      <c r="CX19" s="875">
        <v>5.6817105699999999</v>
      </c>
      <c r="CY19" s="875">
        <v>5.5884434000000001</v>
      </c>
      <c r="CZ19" s="875">
        <v>5.4598165300000003</v>
      </c>
      <c r="DA19" s="875">
        <v>5.3929222000000001</v>
      </c>
      <c r="DB19" s="875">
        <v>5.3089718299999999</v>
      </c>
      <c r="DC19" s="875">
        <v>5.3413550499999998</v>
      </c>
      <c r="DD19" s="946">
        <v>5.2810724699999998</v>
      </c>
      <c r="DE19" s="946">
        <v>4.3113288699999996</v>
      </c>
      <c r="DF19" s="946">
        <v>4.3413278699999998</v>
      </c>
      <c r="DG19" s="898">
        <v>4.3603377200000004</v>
      </c>
      <c r="DH19" s="898">
        <v>0.34827711</v>
      </c>
      <c r="DI19" s="898">
        <v>0.33360413999999999</v>
      </c>
      <c r="DJ19" s="898">
        <v>0.30063297</v>
      </c>
      <c r="DK19" s="898">
        <v>0.30405411999999998</v>
      </c>
      <c r="DL19" s="898">
        <v>5.7688247500000003</v>
      </c>
      <c r="DM19" s="898">
        <v>0.10602584</v>
      </c>
      <c r="DN19" s="898">
        <v>0.11482098</v>
      </c>
      <c r="DO19" s="898">
        <v>0.42209913999999998</v>
      </c>
      <c r="DP19" s="898">
        <v>0.43780026999999999</v>
      </c>
      <c r="DQ19" s="898">
        <v>9.8862350000000002E-2</v>
      </c>
      <c r="DR19" s="898">
        <v>9.4607689999999994E-2</v>
      </c>
      <c r="DS19" s="898">
        <v>0.2114558</v>
      </c>
      <c r="DT19" s="898">
        <v>0.20791689999999999</v>
      </c>
      <c r="DU19" s="898">
        <v>10.242612449999999</v>
      </c>
      <c r="DV19" s="898">
        <v>9.59196676</v>
      </c>
      <c r="DW19" s="898">
        <v>8.8117587799999999</v>
      </c>
      <c r="DX19" s="898">
        <v>7.9343709100000002</v>
      </c>
      <c r="DY19" s="898">
        <v>6.9759928100000002</v>
      </c>
      <c r="DZ19" s="898">
        <v>6.9985704999999996</v>
      </c>
      <c r="EA19" s="898">
        <v>6.0937587500000001</v>
      </c>
      <c r="EB19" s="898">
        <v>5.18080769</v>
      </c>
      <c r="EC19" s="898">
        <v>4.2528200900000002</v>
      </c>
      <c r="ED19" s="898">
        <v>3.3433034400000001</v>
      </c>
      <c r="EE19" s="898">
        <v>2.4287300599999999</v>
      </c>
      <c r="EF19" s="898">
        <v>1.5043004799999999</v>
      </c>
      <c r="EG19" s="898">
        <v>0.88730291999999999</v>
      </c>
      <c r="EH19" s="898">
        <v>0.49749330000000003</v>
      </c>
      <c r="EI19" s="898">
        <v>2.27278834</v>
      </c>
      <c r="EJ19" s="898">
        <v>4.89761047</v>
      </c>
      <c r="EK19" s="898">
        <v>5.9113099499999997</v>
      </c>
      <c r="EL19" s="898">
        <v>6.64221065</v>
      </c>
      <c r="EM19" s="898">
        <v>6.5805498199999999</v>
      </c>
      <c r="EN19" s="898">
        <v>6.0891249299999997</v>
      </c>
      <c r="EO19" s="898">
        <v>6.3854811199999997</v>
      </c>
      <c r="EP19" s="898">
        <v>6.1574565300000001</v>
      </c>
      <c r="EQ19" s="898">
        <v>5.8259489999999996</v>
      </c>
      <c r="ER19" s="898">
        <v>5.6733278599999997</v>
      </c>
      <c r="ES19" s="898">
        <v>5.6079166100000002</v>
      </c>
      <c r="ET19" s="898">
        <v>6.3517808799999997</v>
      </c>
      <c r="EU19" s="1924" t="s">
        <v>4085</v>
      </c>
      <c r="EZ19" s="342"/>
    </row>
    <row r="20" spans="1:156" ht="21">
      <c r="A20" s="1952"/>
      <c r="B20" s="839"/>
      <c r="C20" s="839"/>
      <c r="D20" s="839"/>
      <c r="E20" s="839"/>
      <c r="F20" s="839"/>
      <c r="G20" s="839"/>
      <c r="H20" s="839"/>
      <c r="I20" s="839"/>
      <c r="J20" s="839"/>
      <c r="K20" s="839"/>
      <c r="L20" s="839"/>
      <c r="M20" s="840"/>
      <c r="N20" s="840"/>
      <c r="O20" s="840"/>
      <c r="P20" s="840"/>
      <c r="Q20" s="840"/>
      <c r="R20" s="840"/>
      <c r="S20" s="840"/>
      <c r="T20" s="840"/>
      <c r="U20" s="840"/>
      <c r="V20" s="840"/>
      <c r="W20" s="840"/>
      <c r="X20" s="840"/>
      <c r="Y20" s="840"/>
      <c r="Z20" s="840"/>
      <c r="AA20" s="840"/>
      <c r="AB20" s="840"/>
      <c r="AC20" s="840"/>
      <c r="AD20" s="840"/>
      <c r="AE20" s="840"/>
      <c r="AF20" s="840"/>
      <c r="AG20" s="840"/>
      <c r="AH20" s="840"/>
      <c r="AI20" s="840"/>
      <c r="AJ20" s="840"/>
      <c r="AK20" s="840"/>
      <c r="AL20" s="840"/>
      <c r="AM20" s="840"/>
      <c r="AN20" s="840"/>
      <c r="AO20" s="840"/>
      <c r="AP20" s="840"/>
      <c r="AQ20" s="840"/>
      <c r="AR20" s="840"/>
      <c r="AS20" s="840"/>
      <c r="AT20" s="840"/>
      <c r="AU20" s="840"/>
      <c r="AV20" s="840"/>
      <c r="AW20" s="840"/>
      <c r="AX20" s="840"/>
      <c r="AY20" s="840"/>
      <c r="AZ20" s="840"/>
      <c r="BA20" s="840"/>
      <c r="BB20" s="840"/>
      <c r="BC20" s="840"/>
      <c r="BD20" s="840"/>
      <c r="BE20" s="840"/>
      <c r="BF20" s="840"/>
      <c r="BG20" s="840"/>
      <c r="BH20" s="885"/>
      <c r="BI20" s="874"/>
      <c r="BJ20" s="874"/>
      <c r="BK20" s="874"/>
      <c r="BL20" s="874"/>
      <c r="BM20" s="874"/>
      <c r="BN20" s="874"/>
      <c r="BO20" s="874"/>
      <c r="BP20" s="874"/>
      <c r="BQ20" s="874"/>
      <c r="BR20" s="874"/>
      <c r="BS20" s="874"/>
      <c r="BT20" s="874"/>
      <c r="BU20" s="874"/>
      <c r="BV20" s="874"/>
      <c r="BW20" s="874"/>
      <c r="BX20" s="874"/>
      <c r="BY20" s="874"/>
      <c r="BZ20" s="874"/>
      <c r="CA20" s="874"/>
      <c r="CB20" s="874"/>
      <c r="CC20" s="874"/>
      <c r="CD20" s="874"/>
      <c r="CE20" s="874"/>
      <c r="CF20" s="874"/>
      <c r="CG20" s="874"/>
      <c r="CH20" s="874"/>
      <c r="CI20" s="874"/>
      <c r="CJ20" s="874"/>
      <c r="CK20" s="874"/>
      <c r="CL20" s="874"/>
      <c r="CM20" s="874"/>
      <c r="CN20" s="874"/>
      <c r="CO20" s="874"/>
      <c r="CP20" s="874"/>
      <c r="CQ20" s="874"/>
      <c r="CR20" s="874"/>
      <c r="CS20" s="874"/>
      <c r="CT20" s="874"/>
      <c r="CU20" s="874"/>
      <c r="CV20" s="874"/>
      <c r="CW20" s="874"/>
      <c r="CX20" s="874"/>
      <c r="CY20" s="874"/>
      <c r="CZ20" s="874"/>
      <c r="DA20" s="874"/>
      <c r="DB20" s="874"/>
      <c r="DC20" s="874"/>
      <c r="DD20" s="945"/>
      <c r="DE20" s="945"/>
      <c r="DF20" s="945"/>
      <c r="DG20" s="897"/>
      <c r="DH20" s="897"/>
      <c r="DI20" s="897"/>
      <c r="DJ20" s="897"/>
      <c r="DK20" s="897"/>
      <c r="DL20" s="897"/>
      <c r="DM20" s="897"/>
      <c r="DN20" s="897"/>
      <c r="DO20" s="897"/>
      <c r="DP20" s="897"/>
      <c r="DQ20" s="897"/>
      <c r="DR20" s="897"/>
      <c r="DS20" s="897"/>
      <c r="DT20" s="897"/>
      <c r="DU20" s="897"/>
      <c r="DV20" s="897"/>
      <c r="DW20" s="897"/>
      <c r="DX20" s="897"/>
      <c r="DY20" s="897"/>
      <c r="DZ20" s="897"/>
      <c r="EA20" s="897"/>
      <c r="EB20" s="897"/>
      <c r="EC20" s="897"/>
      <c r="ED20" s="897"/>
      <c r="EE20" s="897"/>
      <c r="EF20" s="897"/>
      <c r="EG20" s="897"/>
      <c r="EH20" s="897"/>
      <c r="EI20" s="897"/>
      <c r="EJ20" s="897"/>
      <c r="EK20" s="897"/>
      <c r="EL20" s="897"/>
      <c r="EM20" s="897"/>
      <c r="EN20" s="897"/>
      <c r="EO20" s="897"/>
      <c r="EP20" s="897"/>
      <c r="EQ20" s="897"/>
      <c r="ER20" s="897"/>
      <c r="ES20" s="897"/>
      <c r="ET20" s="897"/>
      <c r="EU20" s="1922"/>
      <c r="EZ20" s="342"/>
    </row>
    <row r="21" spans="1:156" ht="21">
      <c r="A21" s="1952" t="s">
        <v>2757</v>
      </c>
      <c r="B21" s="842">
        <v>7.8047800000000001E-2</v>
      </c>
      <c r="C21" s="842">
        <v>0.13717519</v>
      </c>
      <c r="D21" s="842">
        <v>0.13733999999999999</v>
      </c>
      <c r="E21" s="842">
        <v>0.13730500000000001</v>
      </c>
      <c r="F21" s="842">
        <v>0.13730500000000001</v>
      </c>
      <c r="G21" s="842">
        <v>0.13728750000000001</v>
      </c>
      <c r="H21" s="842">
        <v>0.13728750000000001</v>
      </c>
      <c r="I21" s="842">
        <v>9.8049999999999998E-2</v>
      </c>
      <c r="J21" s="842">
        <v>9.8062499999999997E-2</v>
      </c>
      <c r="K21" s="842">
        <v>9.8062499999999997E-2</v>
      </c>
      <c r="L21" s="842">
        <v>9.8049999999999998E-2</v>
      </c>
      <c r="M21" s="840">
        <v>9.8062499999999997E-2</v>
      </c>
      <c r="N21" s="843">
        <v>9.8025000000000001E-2</v>
      </c>
      <c r="O21" s="843">
        <v>9.8049999999999998E-2</v>
      </c>
      <c r="P21" s="843">
        <v>9.80375E-2</v>
      </c>
      <c r="Q21" s="843">
        <v>9.80375E-2</v>
      </c>
      <c r="R21" s="843">
        <v>9.8049999999999998E-2</v>
      </c>
      <c r="S21" s="843">
        <v>9.80375E-2</v>
      </c>
      <c r="T21" s="843">
        <v>8.6779029999999993E-2</v>
      </c>
      <c r="U21" s="843">
        <v>0.48680122999999997</v>
      </c>
      <c r="V21" s="843">
        <v>0.80970498999999996</v>
      </c>
      <c r="W21" s="843">
        <v>0.98739275000000004</v>
      </c>
      <c r="X21" s="843">
        <v>1.3802924399999998</v>
      </c>
      <c r="Y21" s="840">
        <v>1.62000901</v>
      </c>
      <c r="Z21" s="843">
        <v>1.6343196</v>
      </c>
      <c r="AA21" s="843">
        <v>2.3159765099999996</v>
      </c>
      <c r="AB21" s="840">
        <v>2.3365006400000001</v>
      </c>
      <c r="AC21" s="840">
        <v>2.3609036699999999</v>
      </c>
      <c r="AD21" s="840">
        <v>2.3609036699999999</v>
      </c>
      <c r="AE21" s="840">
        <v>1.3812801699999999</v>
      </c>
      <c r="AF21" s="840">
        <v>1.3812801699999999</v>
      </c>
      <c r="AG21" s="840">
        <v>1.6438123600000001</v>
      </c>
      <c r="AH21" s="840">
        <v>1.61800707</v>
      </c>
      <c r="AI21" s="840">
        <v>1.6094662500000001</v>
      </c>
      <c r="AJ21" s="840">
        <v>1.5941239299999999</v>
      </c>
      <c r="AK21" s="840">
        <v>2.3204904399999999</v>
      </c>
      <c r="AL21" s="840">
        <v>2.1406699300000001</v>
      </c>
      <c r="AM21" s="840">
        <v>2.0934650000000001</v>
      </c>
      <c r="AN21" s="840">
        <v>0</v>
      </c>
      <c r="AO21" s="840">
        <v>0</v>
      </c>
      <c r="AP21" s="840">
        <v>0</v>
      </c>
      <c r="AQ21" s="840">
        <v>0</v>
      </c>
      <c r="AR21" s="840">
        <v>0</v>
      </c>
      <c r="AS21" s="840">
        <v>0</v>
      </c>
      <c r="AT21" s="840">
        <f>AT13-AT17</f>
        <v>0</v>
      </c>
      <c r="AU21" s="840">
        <v>0</v>
      </c>
      <c r="AV21" s="840">
        <v>0</v>
      </c>
      <c r="AW21" s="840">
        <v>0</v>
      </c>
      <c r="AX21" s="840">
        <v>0</v>
      </c>
      <c r="AY21" s="840">
        <v>0</v>
      </c>
      <c r="AZ21" s="840">
        <v>0</v>
      </c>
      <c r="BA21" s="840">
        <v>0</v>
      </c>
      <c r="BB21" s="840">
        <v>0</v>
      </c>
      <c r="BC21" s="840">
        <v>0</v>
      </c>
      <c r="BD21" s="840">
        <v>0</v>
      </c>
      <c r="BE21" s="840">
        <v>0</v>
      </c>
      <c r="BF21" s="840">
        <v>0</v>
      </c>
      <c r="BG21" s="840">
        <v>0</v>
      </c>
      <c r="BH21" s="885">
        <v>0</v>
      </c>
      <c r="BI21" s="874">
        <v>0</v>
      </c>
      <c r="BJ21" s="874">
        <v>0</v>
      </c>
      <c r="BK21" s="874">
        <v>0</v>
      </c>
      <c r="BL21" s="874">
        <v>3.4</v>
      </c>
      <c r="BM21" s="874">
        <v>3.4</v>
      </c>
      <c r="BN21" s="874">
        <v>3.4</v>
      </c>
      <c r="BO21" s="874">
        <v>3.4</v>
      </c>
      <c r="BP21" s="874">
        <v>3.4</v>
      </c>
      <c r="BQ21" s="874">
        <v>2.9750000000000001</v>
      </c>
      <c r="BR21" s="874">
        <v>2.9750000000000001</v>
      </c>
      <c r="BS21" s="874">
        <v>2.9750000000000001</v>
      </c>
      <c r="BT21" s="874">
        <v>2.9750000000000001</v>
      </c>
      <c r="BU21" s="874">
        <v>2.9750000000000001</v>
      </c>
      <c r="BV21" s="874">
        <v>2.9750000000000001</v>
      </c>
      <c r="BW21" s="874">
        <v>2.9750000000000001</v>
      </c>
      <c r="BX21" s="874">
        <v>2.9750000000000001</v>
      </c>
      <c r="BY21" s="874">
        <v>2.9750000000000001</v>
      </c>
      <c r="BZ21" s="874">
        <v>2.9750000000000001</v>
      </c>
      <c r="CA21" s="874">
        <v>2.9750000000000001</v>
      </c>
      <c r="CB21" s="874">
        <v>2.9750000000000001</v>
      </c>
      <c r="CC21" s="874">
        <v>2.9750000000000001</v>
      </c>
      <c r="CD21" s="874">
        <v>2.9750000000000001</v>
      </c>
      <c r="CE21" s="874">
        <v>3.145</v>
      </c>
      <c r="CF21" s="874">
        <v>3.3149999999999999</v>
      </c>
      <c r="CG21" s="874">
        <v>3.3149999999999999</v>
      </c>
      <c r="CH21" s="874">
        <v>3.3149999999999999</v>
      </c>
      <c r="CI21" s="874">
        <v>3.3149999999999999</v>
      </c>
      <c r="CJ21" s="874">
        <v>3.3149999999999999</v>
      </c>
      <c r="CK21" s="874">
        <v>3.4510000000000001</v>
      </c>
      <c r="CL21" s="874">
        <v>3.67491616</v>
      </c>
      <c r="CM21" s="874">
        <v>3.6699677899999998</v>
      </c>
      <c r="CN21" s="874">
        <v>3.6650029500000003</v>
      </c>
      <c r="CO21" s="874">
        <v>3.6600104999999998</v>
      </c>
      <c r="CP21" s="874">
        <v>6.2950652999999992</v>
      </c>
      <c r="CQ21" s="874">
        <v>6.8110514100000001</v>
      </c>
      <c r="CR21" s="874">
        <v>10.41452995</v>
      </c>
      <c r="CS21" s="874">
        <v>10.092981870000001</v>
      </c>
      <c r="CT21" s="874">
        <v>9.3033774999999999</v>
      </c>
      <c r="CU21" s="874">
        <v>8.0480916899999997</v>
      </c>
      <c r="CV21" s="874">
        <v>7.6060916900000004</v>
      </c>
      <c r="CW21" s="874">
        <v>6.58246193</v>
      </c>
      <c r="CX21" s="874">
        <v>5.8978254000000003</v>
      </c>
      <c r="CY21" s="874">
        <v>6.2321778800000001</v>
      </c>
      <c r="CZ21" s="874">
        <v>7.5921778800000004</v>
      </c>
      <c r="DA21" s="874">
        <v>9.0371778799999998</v>
      </c>
      <c r="DB21" s="874">
        <v>9.9041778800000007</v>
      </c>
      <c r="DC21" s="874">
        <v>9.3840000000000003</v>
      </c>
      <c r="DD21" s="945">
        <v>8.1685459999999992</v>
      </c>
      <c r="DE21" s="945">
        <v>9.1800460000000008</v>
      </c>
      <c r="DF21" s="945">
        <v>9.3518082400000004</v>
      </c>
      <c r="DG21" s="897">
        <v>8.89382348</v>
      </c>
      <c r="DH21" s="897">
        <v>8.0352649799999991</v>
      </c>
      <c r="DI21" s="897">
        <v>9.96462498</v>
      </c>
      <c r="DJ21" s="897">
        <v>9.8106447699999997</v>
      </c>
      <c r="DK21" s="897">
        <v>10.13559031</v>
      </c>
      <c r="DL21" s="897">
        <v>12.762150289999999</v>
      </c>
      <c r="DM21" s="897">
        <v>13.059840919999999</v>
      </c>
      <c r="DN21" s="897">
        <v>13.16824366</v>
      </c>
      <c r="DO21" s="897">
        <v>13.172975470000001</v>
      </c>
      <c r="DP21" s="897">
        <v>13.15866538</v>
      </c>
      <c r="DQ21" s="897">
        <v>10.35825316</v>
      </c>
      <c r="DR21" s="897">
        <v>9.4614181800000008</v>
      </c>
      <c r="DS21" s="897">
        <v>8.5185585600000007</v>
      </c>
      <c r="DT21" s="897">
        <v>7.5815186800000003</v>
      </c>
      <c r="DU21" s="897">
        <v>5.9781328900000004</v>
      </c>
      <c r="DV21" s="897">
        <v>7.0343148700000002</v>
      </c>
      <c r="DW21" s="897">
        <v>8.5055035799999992</v>
      </c>
      <c r="DX21" s="897">
        <v>7.7772083199999997</v>
      </c>
      <c r="DY21" s="897">
        <v>8.22609675</v>
      </c>
      <c r="DZ21" s="897">
        <v>7.9810160999999997</v>
      </c>
      <c r="EA21" s="897">
        <v>7.7349142899999999</v>
      </c>
      <c r="EB21" s="897">
        <v>7.3890182099999997</v>
      </c>
      <c r="EC21" s="897">
        <v>6.9859275900000002</v>
      </c>
      <c r="ED21" s="897">
        <v>6.4862201700000002</v>
      </c>
      <c r="EE21" s="897">
        <v>5.9841391499999999</v>
      </c>
      <c r="EF21" s="897">
        <v>1.98208612</v>
      </c>
      <c r="EG21" s="897">
        <v>1.51559351</v>
      </c>
      <c r="EH21" s="897">
        <v>0.72354138999999995</v>
      </c>
      <c r="EI21" s="897">
        <v>0.49991493999999997</v>
      </c>
      <c r="EJ21" s="897">
        <v>0.49991493999999997</v>
      </c>
      <c r="EK21" s="897">
        <v>0.51</v>
      </c>
      <c r="EL21" s="897">
        <v>0.51</v>
      </c>
      <c r="EM21" s="897">
        <v>0.51</v>
      </c>
      <c r="EN21" s="897">
        <v>0.51</v>
      </c>
      <c r="EO21" s="897">
        <v>0.51</v>
      </c>
      <c r="EP21" s="897">
        <v>0.51</v>
      </c>
      <c r="EQ21" s="897">
        <v>0.51</v>
      </c>
      <c r="ER21" s="897">
        <v>0.51</v>
      </c>
      <c r="ES21" s="897">
        <v>0.51</v>
      </c>
      <c r="ET21" s="897">
        <v>0.51</v>
      </c>
      <c r="EU21" s="1922" t="s">
        <v>4087</v>
      </c>
      <c r="EZ21" s="342"/>
    </row>
    <row r="22" spans="1:156" ht="21">
      <c r="A22" s="1953" t="s">
        <v>1974</v>
      </c>
      <c r="B22" s="842">
        <v>0</v>
      </c>
      <c r="C22" s="842">
        <v>0</v>
      </c>
      <c r="D22" s="842">
        <v>0</v>
      </c>
      <c r="E22" s="842">
        <v>0</v>
      </c>
      <c r="F22" s="842">
        <v>0</v>
      </c>
      <c r="G22" s="842">
        <v>0</v>
      </c>
      <c r="H22" s="842">
        <v>0</v>
      </c>
      <c r="I22" s="842">
        <v>0</v>
      </c>
      <c r="J22" s="842">
        <v>0</v>
      </c>
      <c r="K22" s="842">
        <v>0</v>
      </c>
      <c r="L22" s="842">
        <v>0</v>
      </c>
      <c r="M22" s="843">
        <v>0</v>
      </c>
      <c r="N22" s="843">
        <v>0</v>
      </c>
      <c r="O22" s="843">
        <v>0</v>
      </c>
      <c r="P22" s="843">
        <v>0</v>
      </c>
      <c r="Q22" s="843">
        <v>0</v>
      </c>
      <c r="R22" s="843">
        <v>0</v>
      </c>
      <c r="S22" s="843">
        <v>0</v>
      </c>
      <c r="T22" s="843">
        <v>0</v>
      </c>
      <c r="U22" s="843">
        <v>0</v>
      </c>
      <c r="V22" s="843">
        <v>0</v>
      </c>
      <c r="W22" s="843">
        <v>0</v>
      </c>
      <c r="X22" s="843">
        <v>0</v>
      </c>
      <c r="Y22" s="843">
        <v>0</v>
      </c>
      <c r="Z22" s="843">
        <v>0</v>
      </c>
      <c r="AA22" s="843">
        <v>0</v>
      </c>
      <c r="AB22" s="843">
        <v>0</v>
      </c>
      <c r="AC22" s="843">
        <v>0</v>
      </c>
      <c r="AD22" s="843">
        <v>0</v>
      </c>
      <c r="AE22" s="843">
        <v>0</v>
      </c>
      <c r="AF22" s="843">
        <v>0</v>
      </c>
      <c r="AG22" s="843">
        <v>0</v>
      </c>
      <c r="AH22" s="843">
        <v>0</v>
      </c>
      <c r="AI22" s="843">
        <v>0</v>
      </c>
      <c r="AJ22" s="843">
        <v>0</v>
      </c>
      <c r="AK22" s="843">
        <v>0</v>
      </c>
      <c r="AL22" s="843">
        <v>0</v>
      </c>
      <c r="AM22" s="843">
        <v>0</v>
      </c>
      <c r="AN22" s="843">
        <v>0</v>
      </c>
      <c r="AO22" s="843">
        <v>0</v>
      </c>
      <c r="AP22" s="843">
        <v>0</v>
      </c>
      <c r="AQ22" s="843">
        <v>0</v>
      </c>
      <c r="AR22" s="843">
        <v>0</v>
      </c>
      <c r="AS22" s="843">
        <v>0</v>
      </c>
      <c r="AT22" s="843">
        <f>AT14-AT18</f>
        <v>0</v>
      </c>
      <c r="AU22" s="843">
        <v>0</v>
      </c>
      <c r="AV22" s="843">
        <v>0</v>
      </c>
      <c r="AW22" s="843">
        <v>0</v>
      </c>
      <c r="AX22" s="843">
        <v>0</v>
      </c>
      <c r="AY22" s="843">
        <v>0</v>
      </c>
      <c r="AZ22" s="843">
        <v>0</v>
      </c>
      <c r="BA22" s="843">
        <v>0</v>
      </c>
      <c r="BB22" s="843">
        <v>0</v>
      </c>
      <c r="BC22" s="843">
        <v>0</v>
      </c>
      <c r="BD22" s="843">
        <v>0</v>
      </c>
      <c r="BE22" s="843">
        <v>0</v>
      </c>
      <c r="BF22" s="843">
        <v>0</v>
      </c>
      <c r="BG22" s="843">
        <v>0</v>
      </c>
      <c r="BH22" s="886">
        <v>0</v>
      </c>
      <c r="BI22" s="875">
        <v>0</v>
      </c>
      <c r="BJ22" s="875">
        <v>0</v>
      </c>
      <c r="BK22" s="875">
        <v>0</v>
      </c>
      <c r="BL22" s="875">
        <v>0</v>
      </c>
      <c r="BM22" s="875">
        <v>0</v>
      </c>
      <c r="BN22" s="875">
        <v>0</v>
      </c>
      <c r="BO22" s="875">
        <v>0</v>
      </c>
      <c r="BP22" s="875">
        <v>0</v>
      </c>
      <c r="BQ22" s="875">
        <v>0</v>
      </c>
      <c r="BR22" s="875">
        <v>0</v>
      </c>
      <c r="BS22" s="875">
        <v>0</v>
      </c>
      <c r="BT22" s="875">
        <v>0</v>
      </c>
      <c r="BU22" s="875">
        <v>0</v>
      </c>
      <c r="BV22" s="875">
        <v>0</v>
      </c>
      <c r="BW22" s="875">
        <v>0</v>
      </c>
      <c r="BX22" s="875">
        <v>0</v>
      </c>
      <c r="BY22" s="875">
        <v>0</v>
      </c>
      <c r="BZ22" s="875">
        <v>0</v>
      </c>
      <c r="CA22" s="875">
        <v>0</v>
      </c>
      <c r="CB22" s="875">
        <v>0</v>
      </c>
      <c r="CC22" s="875">
        <v>0</v>
      </c>
      <c r="CD22" s="875">
        <v>0</v>
      </c>
      <c r="CE22" s="875">
        <v>0</v>
      </c>
      <c r="CF22" s="875">
        <v>0</v>
      </c>
      <c r="CG22" s="875">
        <v>0</v>
      </c>
      <c r="CH22" s="875">
        <v>0</v>
      </c>
      <c r="CI22" s="875">
        <v>0</v>
      </c>
      <c r="CJ22" s="875">
        <v>0</v>
      </c>
      <c r="CK22" s="875">
        <v>0</v>
      </c>
      <c r="CL22" s="875">
        <v>0</v>
      </c>
      <c r="CM22" s="875">
        <v>0</v>
      </c>
      <c r="CN22" s="875">
        <v>0</v>
      </c>
      <c r="CO22" s="875">
        <v>0</v>
      </c>
      <c r="CP22" s="875">
        <v>0</v>
      </c>
      <c r="CQ22" s="875">
        <v>0</v>
      </c>
      <c r="CR22" s="875">
        <v>0</v>
      </c>
      <c r="CS22" s="875">
        <v>0</v>
      </c>
      <c r="CT22" s="875">
        <v>0</v>
      </c>
      <c r="CU22" s="875">
        <v>0</v>
      </c>
      <c r="CV22" s="875">
        <v>0</v>
      </c>
      <c r="CW22" s="875">
        <v>0</v>
      </c>
      <c r="CX22" s="875">
        <v>0</v>
      </c>
      <c r="CY22" s="875">
        <v>0</v>
      </c>
      <c r="CZ22" s="875">
        <v>0</v>
      </c>
      <c r="DA22" s="875">
        <v>0</v>
      </c>
      <c r="DB22" s="875">
        <v>0</v>
      </c>
      <c r="DC22" s="875">
        <v>0</v>
      </c>
      <c r="DD22" s="946">
        <v>0</v>
      </c>
      <c r="DE22" s="946">
        <v>0</v>
      </c>
      <c r="DF22" s="946">
        <v>0</v>
      </c>
      <c r="DG22" s="898">
        <v>0</v>
      </c>
      <c r="DH22" s="898">
        <v>0</v>
      </c>
      <c r="DI22" s="898">
        <v>0</v>
      </c>
      <c r="DJ22" s="898">
        <v>0</v>
      </c>
      <c r="DK22" s="898">
        <v>0</v>
      </c>
      <c r="DL22" s="898">
        <v>0</v>
      </c>
      <c r="DM22" s="898">
        <v>0</v>
      </c>
      <c r="DN22" s="898">
        <v>0</v>
      </c>
      <c r="DO22" s="898">
        <v>0</v>
      </c>
      <c r="DP22" s="898">
        <v>0</v>
      </c>
      <c r="DQ22" s="898">
        <v>0</v>
      </c>
      <c r="DR22" s="898">
        <v>0</v>
      </c>
      <c r="DS22" s="898">
        <v>0</v>
      </c>
      <c r="DT22" s="898">
        <v>0</v>
      </c>
      <c r="DU22" s="898">
        <v>0</v>
      </c>
      <c r="DV22" s="898">
        <v>0</v>
      </c>
      <c r="DW22" s="898">
        <v>0</v>
      </c>
      <c r="DX22" s="898">
        <v>0</v>
      </c>
      <c r="DY22" s="898">
        <v>0</v>
      </c>
      <c r="DZ22" s="898">
        <v>0</v>
      </c>
      <c r="EA22" s="898">
        <v>0</v>
      </c>
      <c r="EB22" s="898">
        <v>0</v>
      </c>
      <c r="EC22" s="898">
        <v>0</v>
      </c>
      <c r="ED22" s="898">
        <v>0</v>
      </c>
      <c r="EE22" s="898">
        <v>0</v>
      </c>
      <c r="EF22" s="898">
        <v>0</v>
      </c>
      <c r="EG22" s="898">
        <v>0</v>
      </c>
      <c r="EH22" s="898">
        <v>0</v>
      </c>
      <c r="EI22" s="898">
        <v>0</v>
      </c>
      <c r="EJ22" s="898">
        <v>0</v>
      </c>
      <c r="EK22" s="898">
        <v>0</v>
      </c>
      <c r="EL22" s="898">
        <v>0</v>
      </c>
      <c r="EM22" s="898">
        <v>0</v>
      </c>
      <c r="EN22" s="898">
        <v>0</v>
      </c>
      <c r="EO22" s="898">
        <v>0</v>
      </c>
      <c r="EP22" s="898">
        <v>0</v>
      </c>
      <c r="EQ22" s="898">
        <v>0</v>
      </c>
      <c r="ER22" s="898">
        <v>0</v>
      </c>
      <c r="ES22" s="898">
        <v>0</v>
      </c>
      <c r="ET22" s="898">
        <v>0</v>
      </c>
      <c r="EU22" s="1924" t="s">
        <v>4086</v>
      </c>
      <c r="EZ22" s="342"/>
    </row>
    <row r="23" spans="1:156" ht="21">
      <c r="A23" s="1953" t="s">
        <v>1975</v>
      </c>
      <c r="B23" s="839">
        <f>+B21-B22</f>
        <v>7.8047800000000001E-2</v>
      </c>
      <c r="C23" s="842">
        <f t="shared" ref="C23:V23" si="6">+C21-C22</f>
        <v>0.13717519</v>
      </c>
      <c r="D23" s="842">
        <f t="shared" si="6"/>
        <v>0.13733999999999999</v>
      </c>
      <c r="E23" s="842">
        <f t="shared" si="6"/>
        <v>0.13730500000000001</v>
      </c>
      <c r="F23" s="842">
        <f t="shared" si="6"/>
        <v>0.13730500000000001</v>
      </c>
      <c r="G23" s="842">
        <f t="shared" si="6"/>
        <v>0.13728750000000001</v>
      </c>
      <c r="H23" s="842">
        <f t="shared" si="6"/>
        <v>0.13728750000000001</v>
      </c>
      <c r="I23" s="842">
        <f t="shared" si="6"/>
        <v>9.8049999999999998E-2</v>
      </c>
      <c r="J23" s="842">
        <f t="shared" si="6"/>
        <v>9.8062499999999997E-2</v>
      </c>
      <c r="K23" s="842">
        <f t="shared" si="6"/>
        <v>9.8062499999999997E-2</v>
      </c>
      <c r="L23" s="842">
        <f t="shared" si="6"/>
        <v>9.8049999999999998E-2</v>
      </c>
      <c r="M23" s="843">
        <f t="shared" si="6"/>
        <v>9.8062499999999997E-2</v>
      </c>
      <c r="N23" s="843">
        <f t="shared" si="6"/>
        <v>9.8025000000000001E-2</v>
      </c>
      <c r="O23" s="843">
        <f t="shared" si="6"/>
        <v>9.8049999999999998E-2</v>
      </c>
      <c r="P23" s="840">
        <f t="shared" si="6"/>
        <v>9.80375E-2</v>
      </c>
      <c r="Q23" s="840">
        <f t="shared" si="6"/>
        <v>9.80375E-2</v>
      </c>
      <c r="R23" s="840">
        <f t="shared" si="6"/>
        <v>9.8049999999999998E-2</v>
      </c>
      <c r="S23" s="840">
        <f t="shared" si="6"/>
        <v>9.80375E-2</v>
      </c>
      <c r="T23" s="840">
        <f t="shared" si="6"/>
        <v>8.6779029999999993E-2</v>
      </c>
      <c r="U23" s="840">
        <f t="shared" si="6"/>
        <v>0.48680122999999997</v>
      </c>
      <c r="V23" s="840">
        <f t="shared" si="6"/>
        <v>0.80970498999999996</v>
      </c>
      <c r="W23" s="840">
        <v>0.98739275000000004</v>
      </c>
      <c r="X23" s="840">
        <v>1.3802924399999998</v>
      </c>
      <c r="Y23" s="843">
        <v>1.62000901</v>
      </c>
      <c r="Z23" s="840">
        <v>1.6343196</v>
      </c>
      <c r="AA23" s="843">
        <v>2.3159765099999996</v>
      </c>
      <c r="AB23" s="843">
        <v>2.3365006400000001</v>
      </c>
      <c r="AC23" s="843">
        <v>2.3609036699999999</v>
      </c>
      <c r="AD23" s="843">
        <v>2.3609036699999999</v>
      </c>
      <c r="AE23" s="843">
        <v>1.3812801699999999</v>
      </c>
      <c r="AF23" s="843">
        <v>1.3812801699999999</v>
      </c>
      <c r="AG23" s="843">
        <v>1.6438123600000001</v>
      </c>
      <c r="AH23" s="843">
        <f>+AH21-AH22</f>
        <v>1.61800707</v>
      </c>
      <c r="AI23" s="843">
        <v>1.6094662500000001</v>
      </c>
      <c r="AJ23" s="843">
        <f>+AJ21-AJ22</f>
        <v>1.5941239299999999</v>
      </c>
      <c r="AK23" s="843">
        <f>+AK21-AK22</f>
        <v>2.3204904399999999</v>
      </c>
      <c r="AL23" s="843">
        <v>2.1406699300000001</v>
      </c>
      <c r="AM23" s="843">
        <f>+AM21-AM22</f>
        <v>2.0934650000000001</v>
      </c>
      <c r="AN23" s="843">
        <f>+AN21-AN22</f>
        <v>0</v>
      </c>
      <c r="AO23" s="843">
        <f>+AO21-AO22</f>
        <v>0</v>
      </c>
      <c r="AP23" s="843">
        <f>+AP21-AP22</f>
        <v>0</v>
      </c>
      <c r="AQ23" s="843">
        <v>0</v>
      </c>
      <c r="AR23" s="843">
        <f>+AR21-AR22</f>
        <v>0</v>
      </c>
      <c r="AS23" s="843">
        <f>+AS21-AS22</f>
        <v>0</v>
      </c>
      <c r="AT23" s="843">
        <f>AT15-AT19</f>
        <v>0</v>
      </c>
      <c r="AU23" s="843">
        <v>0</v>
      </c>
      <c r="AV23" s="843">
        <v>0</v>
      </c>
      <c r="AW23" s="843">
        <v>0</v>
      </c>
      <c r="AX23" s="843">
        <v>0</v>
      </c>
      <c r="AY23" s="843">
        <v>0</v>
      </c>
      <c r="AZ23" s="843">
        <v>0</v>
      </c>
      <c r="BA23" s="843">
        <v>0</v>
      </c>
      <c r="BB23" s="843">
        <v>0</v>
      </c>
      <c r="BC23" s="843">
        <v>0</v>
      </c>
      <c r="BD23" s="843">
        <f>+BD21-BD22</f>
        <v>0</v>
      </c>
      <c r="BE23" s="843">
        <v>0</v>
      </c>
      <c r="BF23" s="843">
        <v>0</v>
      </c>
      <c r="BG23" s="843">
        <v>0</v>
      </c>
      <c r="BH23" s="886">
        <v>0</v>
      </c>
      <c r="BI23" s="875">
        <v>0</v>
      </c>
      <c r="BJ23" s="875">
        <v>0</v>
      </c>
      <c r="BK23" s="875">
        <v>0</v>
      </c>
      <c r="BL23" s="875">
        <v>3.4</v>
      </c>
      <c r="BM23" s="875">
        <v>3.4</v>
      </c>
      <c r="BN23" s="875">
        <v>3.4</v>
      </c>
      <c r="BO23" s="875">
        <v>3.4</v>
      </c>
      <c r="BP23" s="875">
        <v>3.4</v>
      </c>
      <c r="BQ23" s="875">
        <v>2.9750000000000001</v>
      </c>
      <c r="BR23" s="875">
        <v>2.9750000000000001</v>
      </c>
      <c r="BS23" s="875">
        <v>2.9750000000000001</v>
      </c>
      <c r="BT23" s="875">
        <v>2.9750000000000001</v>
      </c>
      <c r="BU23" s="875">
        <v>2.9750000000000001</v>
      </c>
      <c r="BV23" s="875">
        <v>2.9750000000000001</v>
      </c>
      <c r="BW23" s="875">
        <v>2.9750000000000001</v>
      </c>
      <c r="BX23" s="875">
        <v>2.9750000000000001</v>
      </c>
      <c r="BY23" s="875">
        <v>2.9750000000000001</v>
      </c>
      <c r="BZ23" s="875">
        <v>2.9750000000000001</v>
      </c>
      <c r="CA23" s="875">
        <v>2.9750000000000001</v>
      </c>
      <c r="CB23" s="875">
        <v>2.9750000000000001</v>
      </c>
      <c r="CC23" s="875">
        <v>2.9750000000000001</v>
      </c>
      <c r="CD23" s="875">
        <v>2.9750000000000001</v>
      </c>
      <c r="CE23" s="875">
        <f t="shared" ref="CE23:CP23" si="7">+CE21-CE22</f>
        <v>3.145</v>
      </c>
      <c r="CF23" s="875">
        <f t="shared" si="7"/>
        <v>3.3149999999999999</v>
      </c>
      <c r="CG23" s="875">
        <f t="shared" si="7"/>
        <v>3.3149999999999999</v>
      </c>
      <c r="CH23" s="875">
        <f t="shared" si="7"/>
        <v>3.3149999999999999</v>
      </c>
      <c r="CI23" s="875">
        <f t="shared" si="7"/>
        <v>3.3149999999999999</v>
      </c>
      <c r="CJ23" s="875">
        <f t="shared" si="7"/>
        <v>3.3149999999999999</v>
      </c>
      <c r="CK23" s="875">
        <f t="shared" si="7"/>
        <v>3.4510000000000001</v>
      </c>
      <c r="CL23" s="875">
        <f t="shared" si="7"/>
        <v>3.67491616</v>
      </c>
      <c r="CM23" s="875">
        <f t="shared" si="7"/>
        <v>3.6699677899999998</v>
      </c>
      <c r="CN23" s="875">
        <f t="shared" si="7"/>
        <v>3.6650029500000003</v>
      </c>
      <c r="CO23" s="875">
        <f t="shared" si="7"/>
        <v>3.6600104999999998</v>
      </c>
      <c r="CP23" s="875">
        <f t="shared" si="7"/>
        <v>6.2950652999999992</v>
      </c>
      <c r="CQ23" s="875">
        <f>+CQ21-CQ22</f>
        <v>6.8110514100000001</v>
      </c>
      <c r="CR23" s="875">
        <f>+CR21-CR22</f>
        <v>10.41452995</v>
      </c>
      <c r="CS23" s="875">
        <f>+CS21-CS22</f>
        <v>10.092981870000001</v>
      </c>
      <c r="CT23" s="875">
        <v>9.3033774999999999</v>
      </c>
      <c r="CU23" s="875">
        <v>8.0480916899999997</v>
      </c>
      <c r="CV23" s="875">
        <v>7.6060916900000004</v>
      </c>
      <c r="CW23" s="875">
        <v>6.58246193</v>
      </c>
      <c r="CX23" s="875">
        <v>5.8978254000000003</v>
      </c>
      <c r="CY23" s="875">
        <v>6.2321778800000001</v>
      </c>
      <c r="CZ23" s="875">
        <v>7.5921778800000004</v>
      </c>
      <c r="DA23" s="875">
        <v>9.0371778799999998</v>
      </c>
      <c r="DB23" s="875">
        <v>9.9041778800000007</v>
      </c>
      <c r="DC23" s="875">
        <v>9.3840000000000003</v>
      </c>
      <c r="DD23" s="946">
        <v>8.1685459999999992</v>
      </c>
      <c r="DE23" s="946">
        <v>9.1800460000000008</v>
      </c>
      <c r="DF23" s="946">
        <v>9.3518082400000004</v>
      </c>
      <c r="DG23" s="898">
        <v>8.89382348</v>
      </c>
      <c r="DH23" s="898">
        <v>8.0352649799999991</v>
      </c>
      <c r="DI23" s="898">
        <v>9.96462498</v>
      </c>
      <c r="DJ23" s="898">
        <v>9.8106447699999997</v>
      </c>
      <c r="DK23" s="898">
        <v>10.13559031</v>
      </c>
      <c r="DL23" s="898">
        <v>12.762150289999999</v>
      </c>
      <c r="DM23" s="898">
        <v>13.059840919999999</v>
      </c>
      <c r="DN23" s="898">
        <v>13.16824366</v>
      </c>
      <c r="DO23" s="898">
        <v>13.172975470000001</v>
      </c>
      <c r="DP23" s="898">
        <v>13.15866538</v>
      </c>
      <c r="DQ23" s="898">
        <v>10.35825316</v>
      </c>
      <c r="DR23" s="898">
        <v>9.4614181800000008</v>
      </c>
      <c r="DS23" s="898">
        <v>8.5185585600000007</v>
      </c>
      <c r="DT23" s="898">
        <v>7.5815186800000003</v>
      </c>
      <c r="DU23" s="898">
        <v>5.9781328900000004</v>
      </c>
      <c r="DV23" s="898">
        <v>7.0343148700000002</v>
      </c>
      <c r="DW23" s="898">
        <v>8.5055035799999992</v>
      </c>
      <c r="DX23" s="898">
        <v>7.7772083199999997</v>
      </c>
      <c r="DY23" s="898">
        <v>8.22609675</v>
      </c>
      <c r="DZ23" s="898">
        <v>7.9810160999999997</v>
      </c>
      <c r="EA23" s="898">
        <v>7.7349142899999999</v>
      </c>
      <c r="EB23" s="898">
        <v>7.3890182099999997</v>
      </c>
      <c r="EC23" s="898">
        <v>6.9859275900000002</v>
      </c>
      <c r="ED23" s="898">
        <v>6.4862201700000002</v>
      </c>
      <c r="EE23" s="898">
        <v>5.9841391499999999</v>
      </c>
      <c r="EF23" s="898">
        <v>1.98208612</v>
      </c>
      <c r="EG23" s="898">
        <v>1.51559351</v>
      </c>
      <c r="EH23" s="898">
        <v>0.72354138999999995</v>
      </c>
      <c r="EI23" s="898">
        <v>0.49991493999999997</v>
      </c>
      <c r="EJ23" s="898">
        <v>0.49991493999999997</v>
      </c>
      <c r="EK23" s="898">
        <v>0.51</v>
      </c>
      <c r="EL23" s="898">
        <v>0.51</v>
      </c>
      <c r="EM23" s="898">
        <v>0.51</v>
      </c>
      <c r="EN23" s="898">
        <v>0.51</v>
      </c>
      <c r="EO23" s="898">
        <v>0.51</v>
      </c>
      <c r="EP23" s="898">
        <v>0.51</v>
      </c>
      <c r="EQ23" s="898">
        <v>0.51</v>
      </c>
      <c r="ER23" s="898">
        <v>0.51</v>
      </c>
      <c r="ES23" s="898">
        <v>0.51</v>
      </c>
      <c r="ET23" s="898">
        <v>0.51</v>
      </c>
      <c r="EU23" s="1924" t="s">
        <v>4085</v>
      </c>
      <c r="EZ23" s="342"/>
    </row>
    <row r="24" spans="1:156" ht="21">
      <c r="A24" s="1929"/>
      <c r="B24" s="842"/>
      <c r="C24" s="842"/>
      <c r="D24" s="842"/>
      <c r="E24" s="842"/>
      <c r="F24" s="842"/>
      <c r="G24" s="842"/>
      <c r="H24" s="842"/>
      <c r="I24" s="842"/>
      <c r="J24" s="842"/>
      <c r="K24" s="842"/>
      <c r="L24" s="842"/>
      <c r="M24" s="843"/>
      <c r="N24" s="843"/>
      <c r="O24" s="843"/>
      <c r="P24" s="843"/>
      <c r="Q24" s="843"/>
      <c r="R24" s="843"/>
      <c r="S24" s="843"/>
      <c r="T24" s="843"/>
      <c r="U24" s="843"/>
      <c r="V24" s="843"/>
      <c r="W24" s="843"/>
      <c r="X24" s="843"/>
      <c r="Y24" s="843"/>
      <c r="Z24" s="843"/>
      <c r="AA24" s="843"/>
      <c r="AB24" s="843"/>
      <c r="AC24" s="843"/>
      <c r="AD24" s="843"/>
      <c r="AE24" s="843"/>
      <c r="AF24" s="843"/>
      <c r="AG24" s="843"/>
      <c r="AH24" s="843"/>
      <c r="AI24" s="843"/>
      <c r="AJ24" s="843"/>
      <c r="AK24" s="843"/>
      <c r="AL24" s="843"/>
      <c r="AM24" s="843"/>
      <c r="AN24" s="843"/>
      <c r="AO24" s="843"/>
      <c r="AP24" s="843"/>
      <c r="AQ24" s="843"/>
      <c r="AR24" s="843"/>
      <c r="AS24" s="843"/>
      <c r="AT24" s="843"/>
      <c r="AU24" s="843"/>
      <c r="AV24" s="843"/>
      <c r="AW24" s="843"/>
      <c r="AX24" s="843"/>
      <c r="AY24" s="843"/>
      <c r="AZ24" s="843"/>
      <c r="BA24" s="843"/>
      <c r="BB24" s="843"/>
      <c r="BC24" s="843"/>
      <c r="BD24" s="843"/>
      <c r="BE24" s="843"/>
      <c r="BF24" s="843"/>
      <c r="BG24" s="843"/>
      <c r="BH24" s="886"/>
      <c r="BI24" s="875"/>
      <c r="BJ24" s="875"/>
      <c r="BK24" s="875"/>
      <c r="BL24" s="875"/>
      <c r="BM24" s="875"/>
      <c r="BN24" s="875"/>
      <c r="BO24" s="875"/>
      <c r="BP24" s="875"/>
      <c r="BQ24" s="875"/>
      <c r="BR24" s="875"/>
      <c r="BS24" s="875"/>
      <c r="BT24" s="875"/>
      <c r="BU24" s="875"/>
      <c r="BV24" s="875"/>
      <c r="BW24" s="875"/>
      <c r="BX24" s="875"/>
      <c r="BY24" s="875"/>
      <c r="BZ24" s="875"/>
      <c r="CA24" s="875"/>
      <c r="CB24" s="875"/>
      <c r="CC24" s="875"/>
      <c r="CD24" s="875"/>
      <c r="CE24" s="875"/>
      <c r="CF24" s="875"/>
      <c r="CG24" s="875"/>
      <c r="CH24" s="875"/>
      <c r="CI24" s="875"/>
      <c r="CJ24" s="875"/>
      <c r="CK24" s="875"/>
      <c r="CL24" s="875"/>
      <c r="CM24" s="875"/>
      <c r="CN24" s="875"/>
      <c r="CO24" s="875"/>
      <c r="CP24" s="875"/>
      <c r="CQ24" s="875"/>
      <c r="CR24" s="875"/>
      <c r="CS24" s="875"/>
      <c r="CT24" s="875"/>
      <c r="CU24" s="875"/>
      <c r="CV24" s="875"/>
      <c r="CW24" s="875"/>
      <c r="CX24" s="875"/>
      <c r="CY24" s="875"/>
      <c r="CZ24" s="875"/>
      <c r="DA24" s="875"/>
      <c r="DB24" s="875"/>
      <c r="DC24" s="875"/>
      <c r="DD24" s="946"/>
      <c r="DE24" s="946"/>
      <c r="DF24" s="946"/>
      <c r="DG24" s="898"/>
      <c r="DH24" s="898"/>
      <c r="DI24" s="898"/>
      <c r="DJ24" s="898"/>
      <c r="DK24" s="898"/>
      <c r="DL24" s="898"/>
      <c r="DM24" s="898"/>
      <c r="DN24" s="898"/>
      <c r="DO24" s="898"/>
      <c r="DP24" s="898"/>
      <c r="DQ24" s="898"/>
      <c r="DR24" s="898"/>
      <c r="DS24" s="898"/>
      <c r="DT24" s="898"/>
      <c r="DU24" s="898"/>
      <c r="DV24" s="898"/>
      <c r="DW24" s="898"/>
      <c r="DX24" s="898"/>
      <c r="DY24" s="898"/>
      <c r="DZ24" s="898"/>
      <c r="EA24" s="898"/>
      <c r="EB24" s="898"/>
      <c r="EC24" s="898"/>
      <c r="ED24" s="898"/>
      <c r="EE24" s="898"/>
      <c r="EF24" s="898"/>
      <c r="EG24" s="898"/>
      <c r="EH24" s="898"/>
      <c r="EI24" s="898"/>
      <c r="EJ24" s="898"/>
      <c r="EK24" s="898"/>
      <c r="EL24" s="898"/>
      <c r="EM24" s="898"/>
      <c r="EN24" s="898"/>
      <c r="EO24" s="898"/>
      <c r="EP24" s="898"/>
      <c r="EQ24" s="898"/>
      <c r="ER24" s="898"/>
      <c r="ES24" s="898"/>
      <c r="ET24" s="898"/>
      <c r="EU24" s="1919"/>
      <c r="EZ24" s="342"/>
    </row>
    <row r="25" spans="1:156" ht="21">
      <c r="A25" s="1930" t="s">
        <v>2758</v>
      </c>
      <c r="B25" s="839">
        <v>169.16457667999998</v>
      </c>
      <c r="C25" s="842">
        <v>244.67308358000002</v>
      </c>
      <c r="D25" s="842">
        <v>239.07501956999999</v>
      </c>
      <c r="E25" s="842">
        <v>242.44313004</v>
      </c>
      <c r="F25" s="842">
        <v>243.17232341000002</v>
      </c>
      <c r="G25" s="842">
        <v>249.96290884999999</v>
      </c>
      <c r="H25" s="842">
        <v>248.42091298</v>
      </c>
      <c r="I25" s="842">
        <v>248.42281967</v>
      </c>
      <c r="J25" s="842">
        <v>248.89588411</v>
      </c>
      <c r="K25" s="842">
        <v>255.45785597999998</v>
      </c>
      <c r="L25" s="842">
        <v>256.71346672000004</v>
      </c>
      <c r="M25" s="840">
        <v>257.81000266000001</v>
      </c>
      <c r="N25" s="843">
        <v>256.3101944</v>
      </c>
      <c r="O25" s="843">
        <v>257.90063965999997</v>
      </c>
      <c r="P25" s="840">
        <v>258.19521717999999</v>
      </c>
      <c r="Q25" s="840">
        <v>258.55232223000002</v>
      </c>
      <c r="R25" s="840">
        <v>258.63868702000002</v>
      </c>
      <c r="S25" s="840">
        <v>261.62380450000001</v>
      </c>
      <c r="T25" s="840">
        <v>262.76768393000003</v>
      </c>
      <c r="U25" s="840">
        <v>260.87678449999999</v>
      </c>
      <c r="V25" s="840">
        <v>259.69504685999999</v>
      </c>
      <c r="W25" s="840">
        <v>258.52264810000003</v>
      </c>
      <c r="X25" s="840">
        <v>257.83310813000003</v>
      </c>
      <c r="Y25" s="840">
        <v>306.12694904</v>
      </c>
      <c r="Z25" s="840">
        <v>299.05096579999997</v>
      </c>
      <c r="AA25" s="843">
        <v>910.00501505</v>
      </c>
      <c r="AB25" s="840">
        <v>857.66547176000006</v>
      </c>
      <c r="AC25" s="840">
        <v>860.05756269000005</v>
      </c>
      <c r="AD25" s="840">
        <v>856.00823334999995</v>
      </c>
      <c r="AE25" s="840">
        <v>855.99026775000004</v>
      </c>
      <c r="AF25" s="840">
        <v>860.06130783000003</v>
      </c>
      <c r="AG25" s="840">
        <v>859.59549937999986</v>
      </c>
      <c r="AH25" s="840">
        <v>859.49620554000001</v>
      </c>
      <c r="AI25" s="840">
        <v>599.63196271999993</v>
      </c>
      <c r="AJ25" s="840">
        <v>594.32434321000005</v>
      </c>
      <c r="AK25" s="840">
        <v>863.71037535999994</v>
      </c>
      <c r="AL25" s="840">
        <v>866.83216538000011</v>
      </c>
      <c r="AM25" s="840">
        <v>850.37242359999993</v>
      </c>
      <c r="AN25" s="840">
        <v>836.18665514999998</v>
      </c>
      <c r="AO25" s="840">
        <v>762.63869340999997</v>
      </c>
      <c r="AP25" s="840">
        <v>742.98002315000008</v>
      </c>
      <c r="AQ25" s="840">
        <v>766.15572374999988</v>
      </c>
      <c r="AR25" s="840">
        <v>773.38004274000002</v>
      </c>
      <c r="AS25" s="840">
        <v>775.36298009000006</v>
      </c>
      <c r="AT25" s="840">
        <f>AT9-AT13</f>
        <v>767.86277877999999</v>
      </c>
      <c r="AU25" s="840">
        <v>771.95771472000013</v>
      </c>
      <c r="AV25" s="840">
        <v>813.86239699000009</v>
      </c>
      <c r="AW25" s="840">
        <v>831.06472173000009</v>
      </c>
      <c r="AX25" s="840">
        <v>898.53107594999994</v>
      </c>
      <c r="AY25" s="840">
        <v>818.37992768000004</v>
      </c>
      <c r="AZ25" s="840">
        <v>806.64993419999996</v>
      </c>
      <c r="BA25" s="840">
        <v>795.55517027999997</v>
      </c>
      <c r="BB25" s="840">
        <v>734.72260599999993</v>
      </c>
      <c r="BC25" s="840">
        <v>51.911281440000003</v>
      </c>
      <c r="BD25" s="840">
        <v>43.957436620000003</v>
      </c>
      <c r="BE25" s="840">
        <v>22.02057245</v>
      </c>
      <c r="BF25" s="840">
        <v>16.685853870000003</v>
      </c>
      <c r="BG25" s="840">
        <v>15.09283226</v>
      </c>
      <c r="BH25" s="885">
        <v>14.213046050000001</v>
      </c>
      <c r="BI25" s="874">
        <v>12.14333553</v>
      </c>
      <c r="BJ25" s="874">
        <v>8.3822816200000005</v>
      </c>
      <c r="BK25" s="874">
        <v>7.50647252</v>
      </c>
      <c r="BL25" s="874">
        <v>6.6303028200000007</v>
      </c>
      <c r="BM25" s="874">
        <v>9.1545452300000001</v>
      </c>
      <c r="BN25" s="874">
        <v>11.051147650000001</v>
      </c>
      <c r="BO25" s="874">
        <v>10.17539006</v>
      </c>
      <c r="BP25" s="874">
        <v>9.7996324799999996</v>
      </c>
      <c r="BQ25" s="874">
        <v>6.9413587000000003</v>
      </c>
      <c r="BR25" s="874">
        <v>3.5232411100000003</v>
      </c>
      <c r="BS25" s="874">
        <v>2.7174837999999997</v>
      </c>
      <c r="BT25" s="874">
        <v>2.8557804700000005</v>
      </c>
      <c r="BU25" s="874">
        <v>1.1139691800000002</v>
      </c>
      <c r="BV25" s="874">
        <v>1.1085534500000001</v>
      </c>
      <c r="BW25" s="874">
        <v>1.0937518599999998</v>
      </c>
      <c r="BX25" s="874">
        <v>1.0881907500000003</v>
      </c>
      <c r="BY25" s="874">
        <v>1.0825554900000003</v>
      </c>
      <c r="BZ25" s="874">
        <v>0.4397770900000002</v>
      </c>
      <c r="CA25" s="874">
        <v>0.43351300000000004</v>
      </c>
      <c r="CB25" s="874">
        <v>7.6521642599999993</v>
      </c>
      <c r="CC25" s="874">
        <v>7.5799689500000014</v>
      </c>
      <c r="CD25" s="874">
        <v>13.0370613</v>
      </c>
      <c r="CE25" s="874">
        <v>23.08084015</v>
      </c>
      <c r="CF25" s="874">
        <v>162.32129550000002</v>
      </c>
      <c r="CG25" s="874">
        <v>32.50946158</v>
      </c>
      <c r="CH25" s="874">
        <v>39.747833190000001</v>
      </c>
      <c r="CI25" s="874">
        <v>42.638868039999998</v>
      </c>
      <c r="CJ25" s="874">
        <v>38.953705810000002</v>
      </c>
      <c r="CK25" s="874">
        <v>37.703061680000005</v>
      </c>
      <c r="CL25" s="874">
        <v>43.87218403</v>
      </c>
      <c r="CM25" s="874">
        <v>47.676133889999996</v>
      </c>
      <c r="CN25" s="874">
        <v>62.672806539999996</v>
      </c>
      <c r="CO25" s="874">
        <v>65.176940799999997</v>
      </c>
      <c r="CP25" s="874">
        <v>68.68251309</v>
      </c>
      <c r="CQ25" s="874">
        <v>66.859239349999996</v>
      </c>
      <c r="CR25" s="874">
        <v>79.021363940000001</v>
      </c>
      <c r="CS25" s="874">
        <v>84.335263909999995</v>
      </c>
      <c r="CT25" s="874">
        <v>88.966924050000003</v>
      </c>
      <c r="CU25" s="874">
        <v>229.13648541000001</v>
      </c>
      <c r="CV25" s="874">
        <v>233.74872245</v>
      </c>
      <c r="CW25" s="874">
        <v>236.89294927</v>
      </c>
      <c r="CX25" s="874">
        <v>240.72943480000001</v>
      </c>
      <c r="CY25" s="874">
        <v>253.50690846000001</v>
      </c>
      <c r="CZ25" s="874">
        <v>253.28223016000001</v>
      </c>
      <c r="DA25" s="874">
        <v>251.35155596000001</v>
      </c>
      <c r="DB25" s="874">
        <v>260.18953818</v>
      </c>
      <c r="DC25" s="874">
        <v>258.41309854000002</v>
      </c>
      <c r="DD25" s="945">
        <v>256.91704485000002</v>
      </c>
      <c r="DE25" s="945">
        <v>266.44814016999999</v>
      </c>
      <c r="DF25" s="945">
        <v>262.96956067999997</v>
      </c>
      <c r="DG25" s="897">
        <v>261.76922853999997</v>
      </c>
      <c r="DH25" s="897">
        <v>260.06957312999998</v>
      </c>
      <c r="DI25" s="897">
        <v>263.70760704999998</v>
      </c>
      <c r="DJ25" s="897">
        <v>266.32617428999998</v>
      </c>
      <c r="DK25" s="897">
        <v>271.96856812999999</v>
      </c>
      <c r="DL25" s="897">
        <v>270.71395276999999</v>
      </c>
      <c r="DM25" s="897">
        <v>270.36713847999999</v>
      </c>
      <c r="DN25" s="897">
        <v>269.48847241999999</v>
      </c>
      <c r="DO25" s="897">
        <v>269.42387896000002</v>
      </c>
      <c r="DP25" s="897">
        <v>249.48314621</v>
      </c>
      <c r="DQ25" s="897">
        <v>250.80805072000001</v>
      </c>
      <c r="DR25" s="897">
        <v>251.94744259999999</v>
      </c>
      <c r="DS25" s="897">
        <v>250.98132444999999</v>
      </c>
      <c r="DT25" s="897">
        <v>249.43174246999999</v>
      </c>
      <c r="DU25" s="897">
        <v>249.38717915999999</v>
      </c>
      <c r="DV25" s="897">
        <v>265.68558123000003</v>
      </c>
      <c r="DW25" s="897">
        <v>264.02238437</v>
      </c>
      <c r="DX25" s="897">
        <v>261.15649266999998</v>
      </c>
      <c r="DY25" s="897">
        <v>259.96863043000002</v>
      </c>
      <c r="DZ25" s="897">
        <v>260.14571527999999</v>
      </c>
      <c r="EA25" s="897">
        <v>259.09976869000002</v>
      </c>
      <c r="EB25" s="897">
        <v>257.81734741000002</v>
      </c>
      <c r="EC25" s="897">
        <v>256.76363832999999</v>
      </c>
      <c r="ED25" s="897">
        <v>254.97924892</v>
      </c>
      <c r="EE25" s="897">
        <v>252.12639056</v>
      </c>
      <c r="EF25" s="897">
        <v>250.32824883000001</v>
      </c>
      <c r="EG25" s="897">
        <v>251.85594829999999</v>
      </c>
      <c r="EH25" s="897">
        <v>250.95384207999999</v>
      </c>
      <c r="EI25" s="897">
        <v>240.69351775999999</v>
      </c>
      <c r="EJ25" s="897">
        <v>254.52768527000001</v>
      </c>
      <c r="EK25" s="897">
        <v>252.85118306999999</v>
      </c>
      <c r="EL25" s="897">
        <v>252.82709138999999</v>
      </c>
      <c r="EM25" s="897">
        <v>78.427042450000002</v>
      </c>
      <c r="EN25" s="897">
        <v>77.125140959999996</v>
      </c>
      <c r="EO25" s="897">
        <v>79.801900090000004</v>
      </c>
      <c r="EP25" s="897">
        <v>78.763002529999994</v>
      </c>
      <c r="EQ25" s="897">
        <v>77.515044340000003</v>
      </c>
      <c r="ER25" s="897">
        <v>77.146076690000001</v>
      </c>
      <c r="ES25" s="897">
        <v>77.088072120000007</v>
      </c>
      <c r="ET25" s="897">
        <v>75.732997810000001</v>
      </c>
      <c r="EU25" s="1918" t="s">
        <v>4084</v>
      </c>
      <c r="EZ25" s="342"/>
    </row>
    <row r="26" spans="1:156" ht="21">
      <c r="A26" s="1931" t="s">
        <v>1974</v>
      </c>
      <c r="B26" s="842">
        <v>0</v>
      </c>
      <c r="C26" s="842">
        <v>0</v>
      </c>
      <c r="D26" s="842">
        <v>0</v>
      </c>
      <c r="E26" s="842">
        <v>0</v>
      </c>
      <c r="F26" s="842">
        <v>0</v>
      </c>
      <c r="G26" s="842">
        <v>0</v>
      </c>
      <c r="H26" s="842">
        <v>0</v>
      </c>
      <c r="I26" s="842">
        <v>0</v>
      </c>
      <c r="J26" s="842">
        <v>0</v>
      </c>
      <c r="K26" s="842">
        <v>0</v>
      </c>
      <c r="L26" s="842">
        <v>0</v>
      </c>
      <c r="M26" s="843">
        <v>0</v>
      </c>
      <c r="N26" s="843">
        <v>0</v>
      </c>
      <c r="O26" s="843">
        <v>0</v>
      </c>
      <c r="P26" s="843">
        <v>0</v>
      </c>
      <c r="Q26" s="843">
        <v>0</v>
      </c>
      <c r="R26" s="843">
        <v>0</v>
      </c>
      <c r="S26" s="843">
        <v>0</v>
      </c>
      <c r="T26" s="843">
        <v>0</v>
      </c>
      <c r="U26" s="843">
        <v>0</v>
      </c>
      <c r="V26" s="843">
        <v>0</v>
      </c>
      <c r="W26" s="843">
        <v>0</v>
      </c>
      <c r="X26" s="843">
        <v>0</v>
      </c>
      <c r="Y26" s="843">
        <v>0</v>
      </c>
      <c r="Z26" s="843">
        <v>0</v>
      </c>
      <c r="AA26" s="843">
        <v>0</v>
      </c>
      <c r="AB26" s="843">
        <v>0</v>
      </c>
      <c r="AC26" s="843">
        <v>0</v>
      </c>
      <c r="AD26" s="843">
        <v>0</v>
      </c>
      <c r="AE26" s="843">
        <v>0</v>
      </c>
      <c r="AF26" s="843">
        <v>0</v>
      </c>
      <c r="AG26" s="843">
        <v>0</v>
      </c>
      <c r="AH26" s="843">
        <v>0</v>
      </c>
      <c r="AI26" s="843">
        <v>0</v>
      </c>
      <c r="AJ26" s="843">
        <v>0</v>
      </c>
      <c r="AK26" s="843">
        <v>0</v>
      </c>
      <c r="AL26" s="843">
        <v>0</v>
      </c>
      <c r="AM26" s="843">
        <v>0</v>
      </c>
      <c r="AN26" s="843">
        <v>0</v>
      </c>
      <c r="AO26" s="843">
        <v>0</v>
      </c>
      <c r="AP26" s="843">
        <v>0</v>
      </c>
      <c r="AQ26" s="843">
        <v>0</v>
      </c>
      <c r="AR26" s="843">
        <v>0</v>
      </c>
      <c r="AS26" s="843">
        <v>0</v>
      </c>
      <c r="AT26" s="843">
        <f>AT10-AT14</f>
        <v>0</v>
      </c>
      <c r="AU26" s="843">
        <v>0</v>
      </c>
      <c r="AV26" s="843">
        <v>0</v>
      </c>
      <c r="AW26" s="843">
        <v>0</v>
      </c>
      <c r="AX26" s="843">
        <v>0</v>
      </c>
      <c r="AY26" s="843">
        <v>0</v>
      </c>
      <c r="AZ26" s="843">
        <v>0</v>
      </c>
      <c r="BA26" s="843">
        <v>0</v>
      </c>
      <c r="BB26" s="843">
        <v>0</v>
      </c>
      <c r="BC26" s="843">
        <v>0</v>
      </c>
      <c r="BD26" s="843">
        <v>0</v>
      </c>
      <c r="BE26" s="843">
        <v>0</v>
      </c>
      <c r="BF26" s="843">
        <v>0</v>
      </c>
      <c r="BG26" s="843">
        <v>0</v>
      </c>
      <c r="BH26" s="886">
        <v>0</v>
      </c>
      <c r="BI26" s="875">
        <v>0</v>
      </c>
      <c r="BJ26" s="875">
        <v>0</v>
      </c>
      <c r="BK26" s="875">
        <v>0</v>
      </c>
      <c r="BL26" s="875">
        <v>0</v>
      </c>
      <c r="BM26" s="875">
        <v>0</v>
      </c>
      <c r="BN26" s="875">
        <v>0</v>
      </c>
      <c r="BO26" s="875">
        <v>0</v>
      </c>
      <c r="BP26" s="875">
        <v>0</v>
      </c>
      <c r="BQ26" s="875">
        <v>0</v>
      </c>
      <c r="BR26" s="875">
        <v>0</v>
      </c>
      <c r="BS26" s="875">
        <v>0</v>
      </c>
      <c r="BT26" s="875">
        <v>0</v>
      </c>
      <c r="BU26" s="875">
        <v>0</v>
      </c>
      <c r="BV26" s="875">
        <v>0</v>
      </c>
      <c r="BW26" s="875">
        <v>0</v>
      </c>
      <c r="BX26" s="875">
        <v>0</v>
      </c>
      <c r="BY26" s="875">
        <v>0</v>
      </c>
      <c r="BZ26" s="875">
        <v>0</v>
      </c>
      <c r="CA26" s="875">
        <v>0</v>
      </c>
      <c r="CB26" s="875">
        <v>0</v>
      </c>
      <c r="CC26" s="875">
        <v>0</v>
      </c>
      <c r="CD26" s="875">
        <v>5.1007791600000001</v>
      </c>
      <c r="CE26" s="875">
        <v>0</v>
      </c>
      <c r="CF26" s="875">
        <v>0</v>
      </c>
      <c r="CG26" s="875">
        <v>0</v>
      </c>
      <c r="CH26" s="875">
        <v>0</v>
      </c>
      <c r="CI26" s="875">
        <v>0</v>
      </c>
      <c r="CJ26" s="875">
        <v>0</v>
      </c>
      <c r="CK26" s="875">
        <v>0</v>
      </c>
      <c r="CL26" s="875">
        <v>0</v>
      </c>
      <c r="CM26" s="875">
        <v>0</v>
      </c>
      <c r="CN26" s="875">
        <v>0</v>
      </c>
      <c r="CO26" s="875">
        <v>0</v>
      </c>
      <c r="CP26" s="875">
        <v>0</v>
      </c>
      <c r="CQ26" s="875">
        <v>0</v>
      </c>
      <c r="CR26" s="875">
        <v>0</v>
      </c>
      <c r="CS26" s="875">
        <v>0</v>
      </c>
      <c r="CT26" s="875">
        <v>0</v>
      </c>
      <c r="CU26" s="875">
        <v>0</v>
      </c>
      <c r="CV26" s="875">
        <v>0</v>
      </c>
      <c r="CW26" s="875">
        <v>0</v>
      </c>
      <c r="CX26" s="875">
        <v>0</v>
      </c>
      <c r="CY26" s="875">
        <v>0</v>
      </c>
      <c r="CZ26" s="875">
        <v>0</v>
      </c>
      <c r="DA26" s="875">
        <v>0</v>
      </c>
      <c r="DB26" s="875">
        <v>0</v>
      </c>
      <c r="DC26" s="875">
        <v>0</v>
      </c>
      <c r="DD26" s="946">
        <v>0</v>
      </c>
      <c r="DE26" s="946">
        <v>0</v>
      </c>
      <c r="DF26" s="946">
        <v>0</v>
      </c>
      <c r="DG26" s="898">
        <v>0</v>
      </c>
      <c r="DH26" s="898">
        <v>0</v>
      </c>
      <c r="DI26" s="898">
        <v>0</v>
      </c>
      <c r="DJ26" s="898">
        <v>0</v>
      </c>
      <c r="DK26" s="898">
        <v>0</v>
      </c>
      <c r="DL26" s="898">
        <v>0</v>
      </c>
      <c r="DM26" s="898">
        <v>0</v>
      </c>
      <c r="DN26" s="898">
        <v>0</v>
      </c>
      <c r="DO26" s="898">
        <v>0</v>
      </c>
      <c r="DP26" s="898">
        <v>0</v>
      </c>
      <c r="DQ26" s="898">
        <v>0</v>
      </c>
      <c r="DR26" s="898">
        <v>0</v>
      </c>
      <c r="DS26" s="898">
        <v>0</v>
      </c>
      <c r="DT26" s="898">
        <v>0</v>
      </c>
      <c r="DU26" s="898">
        <v>0</v>
      </c>
      <c r="DV26" s="898">
        <v>0</v>
      </c>
      <c r="DW26" s="898">
        <v>0</v>
      </c>
      <c r="DX26" s="898">
        <v>0</v>
      </c>
      <c r="DY26" s="898">
        <v>0</v>
      </c>
      <c r="DZ26" s="898">
        <v>0</v>
      </c>
      <c r="EA26" s="898">
        <v>0</v>
      </c>
      <c r="EB26" s="898">
        <v>0</v>
      </c>
      <c r="EC26" s="898">
        <v>0</v>
      </c>
      <c r="ED26" s="898">
        <v>0</v>
      </c>
      <c r="EE26" s="898">
        <v>0</v>
      </c>
      <c r="EF26" s="898">
        <v>0</v>
      </c>
      <c r="EG26" s="898">
        <v>0</v>
      </c>
      <c r="EH26" s="898">
        <v>0</v>
      </c>
      <c r="EI26" s="898">
        <v>0</v>
      </c>
      <c r="EJ26" s="898">
        <v>0</v>
      </c>
      <c r="EK26" s="898">
        <v>0</v>
      </c>
      <c r="EL26" s="898">
        <v>0</v>
      </c>
      <c r="EM26" s="898">
        <v>7.7374760000000001E-2</v>
      </c>
      <c r="EN26" s="898">
        <v>7.3542910000000003E-2</v>
      </c>
      <c r="EO26" s="898">
        <v>6.9659970000000002E-2</v>
      </c>
      <c r="EP26" s="898">
        <v>6.5725259999999994E-2</v>
      </c>
      <c r="EQ26" s="898">
        <v>6.1738090000000002E-2</v>
      </c>
      <c r="ER26" s="898">
        <v>5.7697749999999999E-2</v>
      </c>
      <c r="ES26" s="898">
        <v>5.3603539999999998E-2</v>
      </c>
      <c r="ET26" s="898">
        <v>4.9454739999999997E-2</v>
      </c>
      <c r="EU26" s="1920" t="s">
        <v>4086</v>
      </c>
      <c r="EZ26" s="342"/>
    </row>
    <row r="27" spans="1:156" ht="21">
      <c r="A27" s="1931" t="s">
        <v>1975</v>
      </c>
      <c r="B27" s="839">
        <f>+B25-B26</f>
        <v>169.16457667999998</v>
      </c>
      <c r="C27" s="842">
        <f t="shared" ref="C27:V27" si="8">+C25-C26</f>
        <v>244.67308358000002</v>
      </c>
      <c r="D27" s="842">
        <f t="shared" si="8"/>
        <v>239.07501956999999</v>
      </c>
      <c r="E27" s="842">
        <f t="shared" si="8"/>
        <v>242.44313004</v>
      </c>
      <c r="F27" s="842">
        <f t="shared" si="8"/>
        <v>243.17232341000002</v>
      </c>
      <c r="G27" s="842">
        <f t="shared" si="8"/>
        <v>249.96290884999999</v>
      </c>
      <c r="H27" s="842">
        <f t="shared" si="8"/>
        <v>248.42091298</v>
      </c>
      <c r="I27" s="842">
        <f t="shared" si="8"/>
        <v>248.42281967</v>
      </c>
      <c r="J27" s="842">
        <f t="shared" si="8"/>
        <v>248.89588411</v>
      </c>
      <c r="K27" s="842">
        <f t="shared" si="8"/>
        <v>255.45785597999998</v>
      </c>
      <c r="L27" s="842">
        <f t="shared" si="8"/>
        <v>256.71346672000004</v>
      </c>
      <c r="M27" s="843">
        <f t="shared" si="8"/>
        <v>257.81000266000001</v>
      </c>
      <c r="N27" s="843">
        <f t="shared" si="8"/>
        <v>256.3101944</v>
      </c>
      <c r="O27" s="843">
        <f t="shared" si="8"/>
        <v>257.90063965999997</v>
      </c>
      <c r="P27" s="840">
        <f t="shared" si="8"/>
        <v>258.19521717999999</v>
      </c>
      <c r="Q27" s="840">
        <f t="shared" si="8"/>
        <v>258.55232223000002</v>
      </c>
      <c r="R27" s="840">
        <f t="shared" si="8"/>
        <v>258.63868702000002</v>
      </c>
      <c r="S27" s="840">
        <f t="shared" si="8"/>
        <v>261.62380450000001</v>
      </c>
      <c r="T27" s="840">
        <f t="shared" si="8"/>
        <v>262.76768393000003</v>
      </c>
      <c r="U27" s="840">
        <f t="shared" si="8"/>
        <v>260.87678449999999</v>
      </c>
      <c r="V27" s="840">
        <f t="shared" si="8"/>
        <v>259.69504685999999</v>
      </c>
      <c r="W27" s="840">
        <v>258.52264810000003</v>
      </c>
      <c r="X27" s="840">
        <v>257.83310813000003</v>
      </c>
      <c r="Y27" s="843">
        <v>306.12694904</v>
      </c>
      <c r="Z27" s="840">
        <v>299.05096579999997</v>
      </c>
      <c r="AA27" s="843">
        <v>910.00501505</v>
      </c>
      <c r="AB27" s="843">
        <v>857.66547176000006</v>
      </c>
      <c r="AC27" s="843">
        <v>860.05756269000005</v>
      </c>
      <c r="AD27" s="843">
        <v>856.00823334999995</v>
      </c>
      <c r="AE27" s="843">
        <v>855.99026775000004</v>
      </c>
      <c r="AF27" s="843">
        <v>860.06130783000003</v>
      </c>
      <c r="AG27" s="843">
        <v>859.59549937999986</v>
      </c>
      <c r="AH27" s="843">
        <f>+AH25-AH26</f>
        <v>859.49620554000001</v>
      </c>
      <c r="AI27" s="843">
        <v>599.63196271999993</v>
      </c>
      <c r="AJ27" s="843">
        <f>+AJ25-AJ26</f>
        <v>594.32434321000005</v>
      </c>
      <c r="AK27" s="843">
        <f>+AK25-AK26</f>
        <v>863.71037535999994</v>
      </c>
      <c r="AL27" s="843">
        <v>866.83216538000011</v>
      </c>
      <c r="AM27" s="843">
        <f>+AM25-AM26</f>
        <v>850.37242359999993</v>
      </c>
      <c r="AN27" s="843">
        <f>+AN25-AN26</f>
        <v>836.18665514999998</v>
      </c>
      <c r="AO27" s="843">
        <f>+AO25-AO26</f>
        <v>762.63869340999997</v>
      </c>
      <c r="AP27" s="843">
        <f>+AP25-AP26</f>
        <v>742.98002315000008</v>
      </c>
      <c r="AQ27" s="843">
        <v>766.15572374999988</v>
      </c>
      <c r="AR27" s="843">
        <f>+AR25-AR26</f>
        <v>773.38004274000002</v>
      </c>
      <c r="AS27" s="843">
        <f>+AS25-AS26</f>
        <v>775.36298009000006</v>
      </c>
      <c r="AT27" s="843">
        <f>AT11-AT15</f>
        <v>767.86277877999999</v>
      </c>
      <c r="AU27" s="843">
        <v>771.95771472000013</v>
      </c>
      <c r="AV27" s="843">
        <v>813.86239699000009</v>
      </c>
      <c r="AW27" s="843">
        <v>831.06472173000009</v>
      </c>
      <c r="AX27" s="843">
        <v>898.53107594999994</v>
      </c>
      <c r="AY27" s="843">
        <v>818.37992768000004</v>
      </c>
      <c r="AZ27" s="843">
        <v>806.64993419999996</v>
      </c>
      <c r="BA27" s="843">
        <v>795.55517027999997</v>
      </c>
      <c r="BB27" s="843">
        <v>734.72260599999993</v>
      </c>
      <c r="BC27" s="843">
        <v>51.911281440000003</v>
      </c>
      <c r="BD27" s="843">
        <f>+BD25-BD26</f>
        <v>43.957436620000003</v>
      </c>
      <c r="BE27" s="843">
        <v>22.02057245</v>
      </c>
      <c r="BF27" s="843">
        <v>16.685853870000003</v>
      </c>
      <c r="BG27" s="843">
        <v>15.09283226</v>
      </c>
      <c r="BH27" s="886">
        <v>14.213046050000001</v>
      </c>
      <c r="BI27" s="875">
        <v>12.14333553</v>
      </c>
      <c r="BJ27" s="875">
        <v>8.3822816200000005</v>
      </c>
      <c r="BK27" s="875">
        <v>7.50647252</v>
      </c>
      <c r="BL27" s="875">
        <v>6.6303028200000007</v>
      </c>
      <c r="BM27" s="875">
        <v>9.1545452300000001</v>
      </c>
      <c r="BN27" s="875">
        <v>11.051147650000001</v>
      </c>
      <c r="BO27" s="875">
        <v>10.17539006</v>
      </c>
      <c r="BP27" s="875">
        <v>9.7996324799999996</v>
      </c>
      <c r="BQ27" s="875">
        <v>6.9413587000000003</v>
      </c>
      <c r="BR27" s="875">
        <v>3.5232411100000003</v>
      </c>
      <c r="BS27" s="875">
        <v>2.7174837999999997</v>
      </c>
      <c r="BT27" s="875">
        <v>2.8557804700000005</v>
      </c>
      <c r="BU27" s="875">
        <v>1.1139691800000002</v>
      </c>
      <c r="BV27" s="875">
        <v>1.1085534500000001</v>
      </c>
      <c r="BW27" s="875">
        <v>1.0937518599999998</v>
      </c>
      <c r="BX27" s="875">
        <v>1.0881907500000003</v>
      </c>
      <c r="BY27" s="875">
        <v>1.0825554900000003</v>
      </c>
      <c r="BZ27" s="875">
        <v>0.4397770900000002</v>
      </c>
      <c r="CA27" s="875">
        <v>0.43351300000000004</v>
      </c>
      <c r="CB27" s="875">
        <v>7.6521642599999993</v>
      </c>
      <c r="CC27" s="875">
        <v>7.5799689500000014</v>
      </c>
      <c r="CD27" s="875">
        <v>7.9362821399999994</v>
      </c>
      <c r="CE27" s="875">
        <f t="shared" ref="CE27:CJ27" si="9">+CE11-CE15</f>
        <v>23.08084015</v>
      </c>
      <c r="CF27" s="875">
        <f t="shared" si="9"/>
        <v>162.32129550000002</v>
      </c>
      <c r="CG27" s="875">
        <f t="shared" si="9"/>
        <v>32.50946158</v>
      </c>
      <c r="CH27" s="875">
        <f t="shared" si="9"/>
        <v>39.747833190000001</v>
      </c>
      <c r="CI27" s="875">
        <f t="shared" si="9"/>
        <v>42.638868039999998</v>
      </c>
      <c r="CJ27" s="875">
        <f t="shared" si="9"/>
        <v>38.953705810000002</v>
      </c>
      <c r="CK27" s="875">
        <f>+CK11-CK15</f>
        <v>37.703061680000005</v>
      </c>
      <c r="CL27" s="875">
        <f>+CL11-CL15</f>
        <v>43.87218403</v>
      </c>
      <c r="CM27" s="875">
        <f>+CM11-CM15</f>
        <v>47.676133889999996</v>
      </c>
      <c r="CN27" s="875">
        <f>+CN11-CN15</f>
        <v>62.672806539999996</v>
      </c>
      <c r="CO27" s="875">
        <f>+CO25-CO26</f>
        <v>65.176940799999997</v>
      </c>
      <c r="CP27" s="875">
        <f>+CP25-CP26</f>
        <v>68.68251309</v>
      </c>
      <c r="CQ27" s="875">
        <f>+CQ25-CQ26</f>
        <v>66.859239349999996</v>
      </c>
      <c r="CR27" s="875">
        <f>+CR25-CR26</f>
        <v>79.021363940000001</v>
      </c>
      <c r="CS27" s="875">
        <f>+CS25-CS26</f>
        <v>84.335263909999995</v>
      </c>
      <c r="CT27" s="875">
        <v>88.966924050000003</v>
      </c>
      <c r="CU27" s="875">
        <v>229.13648541000001</v>
      </c>
      <c r="CV27" s="875">
        <v>233.74872245</v>
      </c>
      <c r="CW27" s="875">
        <v>236.89294927</v>
      </c>
      <c r="CX27" s="875">
        <v>240.72943480000001</v>
      </c>
      <c r="CY27" s="875">
        <v>253.50690846000001</v>
      </c>
      <c r="CZ27" s="875">
        <v>253.28223016000001</v>
      </c>
      <c r="DA27" s="875">
        <v>251.35155596000001</v>
      </c>
      <c r="DB27" s="875">
        <v>260.18953818</v>
      </c>
      <c r="DC27" s="875">
        <v>258.41309854000002</v>
      </c>
      <c r="DD27" s="946">
        <v>256.91704485000002</v>
      </c>
      <c r="DE27" s="946">
        <v>266.44814016999999</v>
      </c>
      <c r="DF27" s="946">
        <v>262.96956067999997</v>
      </c>
      <c r="DG27" s="898">
        <v>261.76922853999997</v>
      </c>
      <c r="DH27" s="898">
        <v>260.06957312999998</v>
      </c>
      <c r="DI27" s="898">
        <v>263.70760704999998</v>
      </c>
      <c r="DJ27" s="898">
        <v>266.32617428999998</v>
      </c>
      <c r="DK27" s="898">
        <v>271.96856812999999</v>
      </c>
      <c r="DL27" s="898">
        <v>270.71395276999999</v>
      </c>
      <c r="DM27" s="898">
        <v>270.36713847999999</v>
      </c>
      <c r="DN27" s="898">
        <v>269.48847241999999</v>
      </c>
      <c r="DO27" s="898">
        <v>269.42387896000002</v>
      </c>
      <c r="DP27" s="898">
        <v>249.48314621</v>
      </c>
      <c r="DQ27" s="898">
        <v>250.80805072000001</v>
      </c>
      <c r="DR27" s="898">
        <v>251.94744259999999</v>
      </c>
      <c r="DS27" s="898">
        <v>250.98132444999999</v>
      </c>
      <c r="DT27" s="898">
        <v>249.43174246999999</v>
      </c>
      <c r="DU27" s="898">
        <v>249.38717915999999</v>
      </c>
      <c r="DV27" s="898">
        <v>265.68558123000003</v>
      </c>
      <c r="DW27" s="898">
        <v>264.02238437</v>
      </c>
      <c r="DX27" s="898">
        <v>261.15649266999998</v>
      </c>
      <c r="DY27" s="898">
        <v>259.96863043000002</v>
      </c>
      <c r="DZ27" s="898">
        <v>260.14571527999999</v>
      </c>
      <c r="EA27" s="898">
        <v>259.09976869000002</v>
      </c>
      <c r="EB27" s="898">
        <v>257.81734741000002</v>
      </c>
      <c r="EC27" s="898">
        <v>256.76363832999999</v>
      </c>
      <c r="ED27" s="898">
        <v>254.97924892</v>
      </c>
      <c r="EE27" s="898">
        <v>252.12639056</v>
      </c>
      <c r="EF27" s="898">
        <v>250.32824883000001</v>
      </c>
      <c r="EG27" s="898">
        <v>251.85594829999999</v>
      </c>
      <c r="EH27" s="898">
        <v>250.95384207999999</v>
      </c>
      <c r="EI27" s="898">
        <v>240.69351775999999</v>
      </c>
      <c r="EJ27" s="898">
        <v>254.52768527000001</v>
      </c>
      <c r="EK27" s="898">
        <v>252.85118306999999</v>
      </c>
      <c r="EL27" s="898">
        <v>252.82709138999999</v>
      </c>
      <c r="EM27" s="898">
        <v>78.349667690000004</v>
      </c>
      <c r="EN27" s="898">
        <v>77.051598049999996</v>
      </c>
      <c r="EO27" s="898">
        <v>79.73224012</v>
      </c>
      <c r="EP27" s="898">
        <v>78.697277270000001</v>
      </c>
      <c r="EQ27" s="898">
        <v>77.453306249999997</v>
      </c>
      <c r="ER27" s="898">
        <v>77.088378939999998</v>
      </c>
      <c r="ES27" s="898">
        <v>77.034468579999995</v>
      </c>
      <c r="ET27" s="898">
        <v>75.683543069999999</v>
      </c>
      <c r="EU27" s="1920" t="s">
        <v>4085</v>
      </c>
      <c r="EZ27" s="342"/>
    </row>
    <row r="28" spans="1:156" ht="21">
      <c r="A28" s="1929"/>
      <c r="B28" s="842"/>
      <c r="C28" s="842"/>
      <c r="D28" s="842"/>
      <c r="E28" s="842"/>
      <c r="F28" s="842"/>
      <c r="G28" s="842"/>
      <c r="H28" s="842"/>
      <c r="I28" s="842"/>
      <c r="J28" s="842"/>
      <c r="K28" s="842"/>
      <c r="L28" s="842"/>
      <c r="M28" s="843"/>
      <c r="N28" s="843"/>
      <c r="O28" s="843"/>
      <c r="P28" s="843"/>
      <c r="Q28" s="843"/>
      <c r="R28" s="843"/>
      <c r="S28" s="843"/>
      <c r="T28" s="843"/>
      <c r="U28" s="843"/>
      <c r="V28" s="843"/>
      <c r="W28" s="843"/>
      <c r="X28" s="843"/>
      <c r="Y28" s="843"/>
      <c r="Z28" s="843"/>
      <c r="AA28" s="843"/>
      <c r="AB28" s="843"/>
      <c r="AC28" s="843"/>
      <c r="AD28" s="843"/>
      <c r="AE28" s="843"/>
      <c r="AF28" s="843"/>
      <c r="AG28" s="843"/>
      <c r="AH28" s="843"/>
      <c r="AI28" s="843"/>
      <c r="AJ28" s="843"/>
      <c r="AK28" s="843"/>
      <c r="AL28" s="843"/>
      <c r="AM28" s="843"/>
      <c r="AN28" s="843"/>
      <c r="AO28" s="843"/>
      <c r="AP28" s="843"/>
      <c r="AQ28" s="843"/>
      <c r="AR28" s="843"/>
      <c r="AS28" s="843"/>
      <c r="AT28" s="843"/>
      <c r="AU28" s="843"/>
      <c r="AV28" s="843"/>
      <c r="AW28" s="843"/>
      <c r="AX28" s="843"/>
      <c r="AY28" s="843"/>
      <c r="AZ28" s="843"/>
      <c r="BA28" s="843"/>
      <c r="BB28" s="843"/>
      <c r="BC28" s="843"/>
      <c r="BD28" s="843"/>
      <c r="BE28" s="843"/>
      <c r="BF28" s="843"/>
      <c r="BG28" s="843"/>
      <c r="BH28" s="886"/>
      <c r="BI28" s="875"/>
      <c r="BJ28" s="875"/>
      <c r="BK28" s="875"/>
      <c r="BL28" s="875"/>
      <c r="BM28" s="875"/>
      <c r="BN28" s="875"/>
      <c r="BO28" s="875"/>
      <c r="BP28" s="875"/>
      <c r="BQ28" s="875"/>
      <c r="BR28" s="875"/>
      <c r="BS28" s="875"/>
      <c r="BT28" s="875"/>
      <c r="BU28" s="875"/>
      <c r="BV28" s="875"/>
      <c r="BW28" s="875"/>
      <c r="BX28" s="875"/>
      <c r="BY28" s="875"/>
      <c r="BZ28" s="875"/>
      <c r="CA28" s="875"/>
      <c r="CB28" s="875"/>
      <c r="CC28" s="875"/>
      <c r="CD28" s="875"/>
      <c r="CE28" s="875"/>
      <c r="CF28" s="875"/>
      <c r="CG28" s="875"/>
      <c r="CH28" s="875"/>
      <c r="CI28" s="875"/>
      <c r="CJ28" s="875"/>
      <c r="CK28" s="875"/>
      <c r="CL28" s="875"/>
      <c r="CM28" s="875"/>
      <c r="CN28" s="875"/>
      <c r="CO28" s="875"/>
      <c r="CP28" s="875"/>
      <c r="CQ28" s="875"/>
      <c r="CR28" s="875"/>
      <c r="CS28" s="875"/>
      <c r="CT28" s="875"/>
      <c r="CU28" s="875"/>
      <c r="CV28" s="875"/>
      <c r="CW28" s="875"/>
      <c r="CX28" s="875"/>
      <c r="CY28" s="875"/>
      <c r="CZ28" s="875"/>
      <c r="DA28" s="875"/>
      <c r="DB28" s="875"/>
      <c r="DC28" s="875"/>
      <c r="DD28" s="946"/>
      <c r="DE28" s="946"/>
      <c r="DF28" s="946"/>
      <c r="DG28" s="898"/>
      <c r="DH28" s="898"/>
      <c r="DI28" s="898"/>
      <c r="DJ28" s="898"/>
      <c r="DK28" s="898"/>
      <c r="DL28" s="898"/>
      <c r="DM28" s="898"/>
      <c r="DN28" s="898"/>
      <c r="DO28" s="898"/>
      <c r="DP28" s="898"/>
      <c r="DQ28" s="898"/>
      <c r="DR28" s="898"/>
      <c r="DS28" s="898"/>
      <c r="DT28" s="898"/>
      <c r="DU28" s="898"/>
      <c r="DV28" s="898"/>
      <c r="DW28" s="898"/>
      <c r="DX28" s="898"/>
      <c r="DY28" s="898"/>
      <c r="DZ28" s="898"/>
      <c r="EA28" s="898"/>
      <c r="EB28" s="898"/>
      <c r="EC28" s="898"/>
      <c r="ED28" s="898"/>
      <c r="EE28" s="898"/>
      <c r="EF28" s="898"/>
      <c r="EG28" s="898"/>
      <c r="EH28" s="898"/>
      <c r="EI28" s="898"/>
      <c r="EJ28" s="898"/>
      <c r="EK28" s="898"/>
      <c r="EL28" s="898"/>
      <c r="EM28" s="898"/>
      <c r="EN28" s="898"/>
      <c r="EO28" s="898"/>
      <c r="EP28" s="898"/>
      <c r="EQ28" s="898"/>
      <c r="ER28" s="898"/>
      <c r="ES28" s="898"/>
      <c r="ET28" s="898"/>
      <c r="EU28" s="1919"/>
      <c r="EZ28" s="342"/>
    </row>
    <row r="29" spans="1:156" ht="21">
      <c r="A29" s="1952" t="s">
        <v>189</v>
      </c>
      <c r="B29" s="842">
        <v>46.254203830000002</v>
      </c>
      <c r="C29" s="842">
        <v>38.63327065</v>
      </c>
      <c r="D29" s="842">
        <v>38.005698259999996</v>
      </c>
      <c r="E29" s="842">
        <v>37.752392560000004</v>
      </c>
      <c r="F29" s="842">
        <v>38.409636040000002</v>
      </c>
      <c r="G29" s="842">
        <v>38.030524630000002</v>
      </c>
      <c r="H29" s="842">
        <v>41.412116140000002</v>
      </c>
      <c r="I29" s="842">
        <v>41.423112780000004</v>
      </c>
      <c r="J29" s="842">
        <v>40.948909869999994</v>
      </c>
      <c r="K29" s="842">
        <v>46.425499030000005</v>
      </c>
      <c r="L29" s="842">
        <v>46.771095100000004</v>
      </c>
      <c r="M29" s="840">
        <v>47.724016729999995</v>
      </c>
      <c r="N29" s="843">
        <v>47.62525333</v>
      </c>
      <c r="O29" s="843">
        <v>48.289740159999994</v>
      </c>
      <c r="P29" s="843">
        <v>48.47032652</v>
      </c>
      <c r="Q29" s="843">
        <v>48.325112920000002</v>
      </c>
      <c r="R29" s="843">
        <v>49.679857920000003</v>
      </c>
      <c r="S29" s="843">
        <v>50.427143649999998</v>
      </c>
      <c r="T29" s="843">
        <v>52.78641588</v>
      </c>
      <c r="U29" s="843">
        <v>52.462860110000001</v>
      </c>
      <c r="V29" s="843">
        <v>54.315938729999999</v>
      </c>
      <c r="W29" s="843">
        <v>53.859680350000005</v>
      </c>
      <c r="X29" s="843">
        <v>52.73801933</v>
      </c>
      <c r="Y29" s="840">
        <v>50.650812119999998</v>
      </c>
      <c r="Z29" s="843">
        <v>48.588748100000004</v>
      </c>
      <c r="AA29" s="843">
        <v>53.085998420000003</v>
      </c>
      <c r="AB29" s="840">
        <v>50.670332070000001</v>
      </c>
      <c r="AC29" s="840">
        <v>49.512955689999998</v>
      </c>
      <c r="AD29" s="840">
        <v>48.395055820000003</v>
      </c>
      <c r="AE29" s="840">
        <v>47.587859479999999</v>
      </c>
      <c r="AF29" s="840">
        <v>35.700965109999999</v>
      </c>
      <c r="AG29" s="840">
        <v>33.519754329999998</v>
      </c>
      <c r="AH29" s="840">
        <v>33.222163610000003</v>
      </c>
      <c r="AI29" s="840">
        <v>32.218120939999999</v>
      </c>
      <c r="AJ29" s="840">
        <v>594.32434321000005</v>
      </c>
      <c r="AK29" s="840">
        <v>21.745366440000002</v>
      </c>
      <c r="AL29" s="840">
        <v>2.95465131</v>
      </c>
      <c r="AM29" s="840">
        <v>2.69867546</v>
      </c>
      <c r="AN29" s="840">
        <v>2.3819547700000001</v>
      </c>
      <c r="AO29" s="840">
        <v>2.1228837</v>
      </c>
      <c r="AP29" s="840">
        <v>1.86236366</v>
      </c>
      <c r="AQ29" s="840">
        <v>1.5902256100000001</v>
      </c>
      <c r="AR29" s="840">
        <v>1.3071844699999999</v>
      </c>
      <c r="AS29" s="840">
        <v>1.14420543</v>
      </c>
      <c r="AT29" s="840">
        <v>1.0801258999999999</v>
      </c>
      <c r="AU29" s="840">
        <v>4.1510900000000003E-2</v>
      </c>
      <c r="AV29" s="840">
        <v>3.6001390000000001E-2</v>
      </c>
      <c r="AW29" s="840">
        <v>3.6001390000000001E-2</v>
      </c>
      <c r="AX29" s="840">
        <v>3.3181410000000001E-2</v>
      </c>
      <c r="AY29" s="840">
        <v>3.0323830000000003E-2</v>
      </c>
      <c r="AZ29" s="840">
        <v>2.7428150000000002E-2</v>
      </c>
      <c r="BA29" s="840">
        <v>2.7428150000000002E-2</v>
      </c>
      <c r="BB29" s="840">
        <v>2.1520439999999998E-2</v>
      </c>
      <c r="BC29" s="840">
        <v>2.1520439999999998E-2</v>
      </c>
      <c r="BD29" s="840">
        <v>2.1520439999999998E-2</v>
      </c>
      <c r="BE29" s="840">
        <v>2.1520439999999998E-2</v>
      </c>
      <c r="BF29" s="840">
        <v>0.50922513999999997</v>
      </c>
      <c r="BG29" s="840">
        <v>0.50614813999999997</v>
      </c>
      <c r="BH29" s="885">
        <v>0.50302897999999996</v>
      </c>
      <c r="BI29" s="874">
        <v>0.5</v>
      </c>
      <c r="BJ29" s="874">
        <v>0.5</v>
      </c>
      <c r="BK29" s="874">
        <v>0.5</v>
      </c>
      <c r="BL29" s="874">
        <v>0.5</v>
      </c>
      <c r="BM29" s="874">
        <v>0.5</v>
      </c>
      <c r="BN29" s="874">
        <v>0.5</v>
      </c>
      <c r="BO29" s="874">
        <v>0.5</v>
      </c>
      <c r="BP29" s="874">
        <v>1</v>
      </c>
      <c r="BQ29" s="874">
        <v>1</v>
      </c>
      <c r="BR29" s="874">
        <v>1.23</v>
      </c>
      <c r="BS29" s="874">
        <v>1.3</v>
      </c>
      <c r="BT29" s="874">
        <v>1.4382966699999999</v>
      </c>
      <c r="BU29" s="874">
        <v>1.1046555300000001</v>
      </c>
      <c r="BV29" s="874">
        <v>1.0992398000000001</v>
      </c>
      <c r="BW29" s="874">
        <v>1.09375186</v>
      </c>
      <c r="BX29" s="874">
        <v>1.0881907500000001</v>
      </c>
      <c r="BY29" s="874">
        <v>1.0825554900000001</v>
      </c>
      <c r="BZ29" s="874">
        <v>0.43977709000000004</v>
      </c>
      <c r="CA29" s="874">
        <v>0.43351299999999998</v>
      </c>
      <c r="CB29" s="874">
        <v>0.42716426000000002</v>
      </c>
      <c r="CC29" s="874">
        <v>0.42072953999999996</v>
      </c>
      <c r="CD29" s="874">
        <v>0.91420779000000008</v>
      </c>
      <c r="CE29" s="874">
        <v>0.88817696000000002</v>
      </c>
      <c r="CF29" s="874">
        <v>0.85961054000000003</v>
      </c>
      <c r="CG29" s="874">
        <v>0.82986705000000005</v>
      </c>
      <c r="CH29" s="874">
        <v>0.80053240000000003</v>
      </c>
      <c r="CI29" s="874">
        <v>0.77084754</v>
      </c>
      <c r="CJ29" s="874">
        <v>1.0837384800000001</v>
      </c>
      <c r="CK29" s="874">
        <v>1.06462246</v>
      </c>
      <c r="CL29" s="874">
        <v>3.4928417299999999</v>
      </c>
      <c r="CM29" s="874">
        <v>3.3867915899999996</v>
      </c>
      <c r="CN29" s="874">
        <v>3.48192586</v>
      </c>
      <c r="CO29" s="874">
        <v>3.3735617200000001</v>
      </c>
      <c r="CP29" s="874">
        <v>3.2288478199999999</v>
      </c>
      <c r="CQ29" s="874">
        <v>3.0862252200000002</v>
      </c>
      <c r="CR29" s="874">
        <v>3.0259489400000001</v>
      </c>
      <c r="CS29" s="874">
        <v>3.1478981400000001</v>
      </c>
      <c r="CT29" s="874">
        <v>5.6253254200000002</v>
      </c>
      <c r="CU29" s="874">
        <v>6.5365980400000003</v>
      </c>
      <c r="CV29" s="874">
        <v>6.70918964</v>
      </c>
      <c r="CW29" s="874">
        <v>8.4208723699999997</v>
      </c>
      <c r="CX29" s="874">
        <v>8.3062313799999998</v>
      </c>
      <c r="CY29" s="874">
        <v>8.4308104999999998</v>
      </c>
      <c r="CZ29" s="874">
        <v>9.9346093500000006</v>
      </c>
      <c r="DA29" s="874">
        <v>9.6225126799999998</v>
      </c>
      <c r="DB29" s="874">
        <v>9.2815698900000001</v>
      </c>
      <c r="DC29" s="874">
        <v>9.0561801299999996</v>
      </c>
      <c r="DD29" s="945">
        <v>8.6403173100000004</v>
      </c>
      <c r="DE29" s="945">
        <v>9.9563370800000008</v>
      </c>
      <c r="DF29" s="945">
        <v>6.7567788699999998</v>
      </c>
      <c r="DG29" s="897">
        <v>6.4284177099999997</v>
      </c>
      <c r="DH29" s="897">
        <v>5.9816840100000004</v>
      </c>
      <c r="DI29" s="897">
        <v>5.9379101700000003</v>
      </c>
      <c r="DJ29" s="897">
        <v>5.8115643200000004</v>
      </c>
      <c r="DK29" s="897">
        <v>5.9884891299999996</v>
      </c>
      <c r="DL29" s="897">
        <v>6.2783188799999996</v>
      </c>
      <c r="DM29" s="897">
        <v>6.3582407500000002</v>
      </c>
      <c r="DN29" s="897">
        <v>7.0952761100000004</v>
      </c>
      <c r="DO29" s="897">
        <v>7.4373536700000002</v>
      </c>
      <c r="DP29" s="897">
        <v>7.1380993699999999</v>
      </c>
      <c r="DQ29" s="897">
        <v>7.4423620799999997</v>
      </c>
      <c r="DR29" s="897">
        <v>8.1970261999999998</v>
      </c>
      <c r="DS29" s="897">
        <v>7.9577714100000003</v>
      </c>
      <c r="DT29" s="897">
        <v>7.8265489300000004</v>
      </c>
      <c r="DU29" s="897">
        <v>8.2620568199999997</v>
      </c>
      <c r="DV29" s="897">
        <v>7.7208884600000003</v>
      </c>
      <c r="DW29" s="897">
        <v>7.6056059400000002</v>
      </c>
      <c r="DX29" s="897">
        <v>7.5055935500000004</v>
      </c>
      <c r="DY29" s="897">
        <v>7.2034147099999997</v>
      </c>
      <c r="DZ29" s="897">
        <v>8.2190036000000006</v>
      </c>
      <c r="EA29" s="897">
        <v>8.9177553199999995</v>
      </c>
      <c r="EB29" s="897">
        <v>8.7709543799999992</v>
      </c>
      <c r="EC29" s="897">
        <v>8.9404617799999997</v>
      </c>
      <c r="ED29" s="897">
        <v>9.0334841499999996</v>
      </c>
      <c r="EE29" s="897">
        <v>8.8891335700000003</v>
      </c>
      <c r="EF29" s="897">
        <v>8.2173077899999996</v>
      </c>
      <c r="EG29" s="897">
        <v>7.8820688099999998</v>
      </c>
      <c r="EH29" s="897">
        <v>7.4889928000000001</v>
      </c>
      <c r="EI29" s="897">
        <v>8.3136611200000008</v>
      </c>
      <c r="EJ29" s="897">
        <v>19.05155865</v>
      </c>
      <c r="EK29" s="897">
        <v>19.212249839999998</v>
      </c>
      <c r="EL29" s="897">
        <v>20.45845207</v>
      </c>
      <c r="EM29" s="897">
        <v>25.528986400000001</v>
      </c>
      <c r="EN29" s="897">
        <v>24.487483990000001</v>
      </c>
      <c r="EO29" s="897">
        <v>27.447466890000001</v>
      </c>
      <c r="EP29" s="897">
        <v>26.5448956</v>
      </c>
      <c r="EQ29" s="897">
        <v>25.45019817</v>
      </c>
      <c r="ER29" s="897">
        <v>25.116887439999999</v>
      </c>
      <c r="ES29" s="897">
        <v>25.13900121</v>
      </c>
      <c r="ET29" s="897">
        <v>23.831525979999999</v>
      </c>
      <c r="EU29" s="1922" t="s">
        <v>212</v>
      </c>
      <c r="EZ29" s="342"/>
    </row>
    <row r="30" spans="1:156" ht="21">
      <c r="A30" s="1953" t="s">
        <v>1974</v>
      </c>
      <c r="B30" s="842">
        <v>0</v>
      </c>
      <c r="C30" s="842">
        <v>0</v>
      </c>
      <c r="D30" s="842">
        <v>0</v>
      </c>
      <c r="E30" s="842">
        <v>0</v>
      </c>
      <c r="F30" s="842">
        <v>0</v>
      </c>
      <c r="G30" s="842">
        <v>0</v>
      </c>
      <c r="H30" s="842">
        <v>0</v>
      </c>
      <c r="I30" s="842">
        <v>0</v>
      </c>
      <c r="J30" s="842">
        <v>0</v>
      </c>
      <c r="K30" s="842">
        <v>0</v>
      </c>
      <c r="L30" s="842">
        <v>0</v>
      </c>
      <c r="M30" s="843">
        <v>0</v>
      </c>
      <c r="N30" s="843">
        <v>0</v>
      </c>
      <c r="O30" s="843">
        <v>0</v>
      </c>
      <c r="P30" s="843">
        <v>0</v>
      </c>
      <c r="Q30" s="843">
        <v>0</v>
      </c>
      <c r="R30" s="843">
        <v>0</v>
      </c>
      <c r="S30" s="843">
        <v>0</v>
      </c>
      <c r="T30" s="843">
        <v>0</v>
      </c>
      <c r="U30" s="843">
        <v>0</v>
      </c>
      <c r="V30" s="843">
        <v>0</v>
      </c>
      <c r="W30" s="843">
        <v>0</v>
      </c>
      <c r="X30" s="843">
        <v>0</v>
      </c>
      <c r="Y30" s="843">
        <v>0</v>
      </c>
      <c r="Z30" s="843">
        <v>0</v>
      </c>
      <c r="AA30" s="843">
        <v>0</v>
      </c>
      <c r="AB30" s="843">
        <v>0</v>
      </c>
      <c r="AC30" s="843">
        <v>0</v>
      </c>
      <c r="AD30" s="843">
        <v>0</v>
      </c>
      <c r="AE30" s="843">
        <v>0</v>
      </c>
      <c r="AF30" s="843">
        <v>0</v>
      </c>
      <c r="AG30" s="843">
        <v>0</v>
      </c>
      <c r="AH30" s="843">
        <v>0</v>
      </c>
      <c r="AI30" s="843">
        <v>0</v>
      </c>
      <c r="AJ30" s="843">
        <v>0</v>
      </c>
      <c r="AK30" s="843">
        <v>0</v>
      </c>
      <c r="AL30" s="843">
        <v>0</v>
      </c>
      <c r="AM30" s="843">
        <v>0</v>
      </c>
      <c r="AN30" s="843">
        <v>0</v>
      </c>
      <c r="AO30" s="843">
        <v>0</v>
      </c>
      <c r="AP30" s="843">
        <v>0</v>
      </c>
      <c r="AQ30" s="843">
        <v>0</v>
      </c>
      <c r="AR30" s="843">
        <v>0</v>
      </c>
      <c r="AS30" s="843">
        <v>0</v>
      </c>
      <c r="AT30" s="843">
        <v>0</v>
      </c>
      <c r="AU30" s="843">
        <v>0</v>
      </c>
      <c r="AV30" s="843">
        <v>0</v>
      </c>
      <c r="AW30" s="843">
        <v>0</v>
      </c>
      <c r="AX30" s="843">
        <v>0</v>
      </c>
      <c r="AY30" s="843">
        <v>0</v>
      </c>
      <c r="AZ30" s="843">
        <v>0</v>
      </c>
      <c r="BA30" s="843">
        <v>0</v>
      </c>
      <c r="BB30" s="843">
        <v>0</v>
      </c>
      <c r="BC30" s="843">
        <v>0</v>
      </c>
      <c r="BD30" s="843">
        <v>0</v>
      </c>
      <c r="BE30" s="843">
        <v>0</v>
      </c>
      <c r="BF30" s="843">
        <v>0</v>
      </c>
      <c r="BG30" s="843">
        <v>0</v>
      </c>
      <c r="BH30" s="886">
        <v>0</v>
      </c>
      <c r="BI30" s="875">
        <v>0</v>
      </c>
      <c r="BJ30" s="875">
        <v>0</v>
      </c>
      <c r="BK30" s="875">
        <v>0</v>
      </c>
      <c r="BL30" s="875">
        <v>0</v>
      </c>
      <c r="BM30" s="875">
        <v>0</v>
      </c>
      <c r="BN30" s="875">
        <v>0</v>
      </c>
      <c r="BO30" s="875">
        <v>0</v>
      </c>
      <c r="BP30" s="875">
        <v>0</v>
      </c>
      <c r="BQ30" s="875">
        <v>0</v>
      </c>
      <c r="BR30" s="875">
        <v>0</v>
      </c>
      <c r="BS30" s="875">
        <v>0</v>
      </c>
      <c r="BT30" s="875">
        <v>0</v>
      </c>
      <c r="BU30" s="875">
        <v>0</v>
      </c>
      <c r="BV30" s="875">
        <v>0</v>
      </c>
      <c r="BW30" s="875">
        <v>0</v>
      </c>
      <c r="BX30" s="875">
        <v>0</v>
      </c>
      <c r="BY30" s="875">
        <v>0</v>
      </c>
      <c r="BZ30" s="875">
        <v>0</v>
      </c>
      <c r="CA30" s="875">
        <v>0</v>
      </c>
      <c r="CB30" s="875">
        <v>0</v>
      </c>
      <c r="CC30" s="875">
        <v>0</v>
      </c>
      <c r="CD30" s="875">
        <v>0</v>
      </c>
      <c r="CE30" s="875">
        <v>0</v>
      </c>
      <c r="CF30" s="875">
        <v>0</v>
      </c>
      <c r="CG30" s="875">
        <v>0</v>
      </c>
      <c r="CH30" s="875">
        <v>0</v>
      </c>
      <c r="CI30" s="875">
        <v>0</v>
      </c>
      <c r="CJ30" s="875">
        <v>0</v>
      </c>
      <c r="CK30" s="875">
        <v>0</v>
      </c>
      <c r="CL30" s="875">
        <v>0</v>
      </c>
      <c r="CM30" s="875">
        <v>0</v>
      </c>
      <c r="CN30" s="875">
        <v>0</v>
      </c>
      <c r="CO30" s="875">
        <v>0</v>
      </c>
      <c r="CP30" s="875">
        <v>0</v>
      </c>
      <c r="CQ30" s="875">
        <v>0</v>
      </c>
      <c r="CR30" s="875">
        <v>0</v>
      </c>
      <c r="CS30" s="875">
        <v>0</v>
      </c>
      <c r="CT30" s="875">
        <v>0</v>
      </c>
      <c r="CU30" s="875">
        <v>0</v>
      </c>
      <c r="CV30" s="875">
        <v>0</v>
      </c>
      <c r="CW30" s="875">
        <v>0</v>
      </c>
      <c r="CX30" s="875">
        <v>0</v>
      </c>
      <c r="CY30" s="875">
        <v>0</v>
      </c>
      <c r="CZ30" s="875">
        <v>0</v>
      </c>
      <c r="DA30" s="875">
        <v>0</v>
      </c>
      <c r="DB30" s="875">
        <v>0</v>
      </c>
      <c r="DC30" s="875">
        <v>0</v>
      </c>
      <c r="DD30" s="946">
        <v>0</v>
      </c>
      <c r="DE30" s="946">
        <v>0</v>
      </c>
      <c r="DF30" s="946">
        <v>0</v>
      </c>
      <c r="DG30" s="898">
        <v>0</v>
      </c>
      <c r="DH30" s="898">
        <v>0</v>
      </c>
      <c r="DI30" s="898">
        <v>0</v>
      </c>
      <c r="DJ30" s="898">
        <v>0</v>
      </c>
      <c r="DK30" s="898">
        <v>0</v>
      </c>
      <c r="DL30" s="898">
        <v>0</v>
      </c>
      <c r="DM30" s="898">
        <v>0</v>
      </c>
      <c r="DN30" s="898">
        <v>0</v>
      </c>
      <c r="DO30" s="898">
        <v>0</v>
      </c>
      <c r="DP30" s="898">
        <v>0</v>
      </c>
      <c r="DQ30" s="898">
        <v>0</v>
      </c>
      <c r="DR30" s="898">
        <v>0</v>
      </c>
      <c r="DS30" s="898">
        <v>0</v>
      </c>
      <c r="DT30" s="898">
        <v>0</v>
      </c>
      <c r="DU30" s="898">
        <v>0</v>
      </c>
      <c r="DV30" s="898">
        <v>0</v>
      </c>
      <c r="DW30" s="898">
        <v>0</v>
      </c>
      <c r="DX30" s="898">
        <v>0</v>
      </c>
      <c r="DY30" s="898">
        <v>0</v>
      </c>
      <c r="DZ30" s="898">
        <v>0</v>
      </c>
      <c r="EA30" s="898">
        <v>0</v>
      </c>
      <c r="EB30" s="898">
        <v>0</v>
      </c>
      <c r="EC30" s="898">
        <v>0</v>
      </c>
      <c r="ED30" s="898">
        <v>0</v>
      </c>
      <c r="EE30" s="898">
        <v>0</v>
      </c>
      <c r="EF30" s="898">
        <v>0</v>
      </c>
      <c r="EG30" s="898">
        <v>0</v>
      </c>
      <c r="EH30" s="898">
        <v>0</v>
      </c>
      <c r="EI30" s="898">
        <v>0</v>
      </c>
      <c r="EJ30" s="898">
        <v>0</v>
      </c>
      <c r="EK30" s="898">
        <v>0</v>
      </c>
      <c r="EL30" s="898">
        <v>0</v>
      </c>
      <c r="EM30" s="898">
        <v>7.7374760000000001E-2</v>
      </c>
      <c r="EN30" s="898">
        <v>7.3542910000000003E-2</v>
      </c>
      <c r="EO30" s="898">
        <v>6.9659970000000002E-2</v>
      </c>
      <c r="EP30" s="898">
        <v>6.5725259999999994E-2</v>
      </c>
      <c r="EQ30" s="898">
        <v>6.1738090000000002E-2</v>
      </c>
      <c r="ER30" s="898">
        <v>5.7697749999999999E-2</v>
      </c>
      <c r="ES30" s="898">
        <v>5.3603539999999998E-2</v>
      </c>
      <c r="ET30" s="898">
        <v>4.9454739999999997E-2</v>
      </c>
      <c r="EU30" s="1924" t="s">
        <v>4086</v>
      </c>
      <c r="EZ30" s="342"/>
    </row>
    <row r="31" spans="1:156" ht="21">
      <c r="A31" s="1953" t="s">
        <v>1975</v>
      </c>
      <c r="B31" s="839">
        <f>+B29-B30</f>
        <v>46.254203830000002</v>
      </c>
      <c r="C31" s="839">
        <f t="shared" ref="C31:V31" si="10">+C29-C30</f>
        <v>38.63327065</v>
      </c>
      <c r="D31" s="839">
        <f t="shared" si="10"/>
        <v>38.005698259999996</v>
      </c>
      <c r="E31" s="839">
        <f t="shared" si="10"/>
        <v>37.752392560000004</v>
      </c>
      <c r="F31" s="839">
        <f t="shared" si="10"/>
        <v>38.409636040000002</v>
      </c>
      <c r="G31" s="839">
        <f t="shared" si="10"/>
        <v>38.030524630000002</v>
      </c>
      <c r="H31" s="839">
        <f t="shared" si="10"/>
        <v>41.412116140000002</v>
      </c>
      <c r="I31" s="839">
        <f t="shared" si="10"/>
        <v>41.423112780000004</v>
      </c>
      <c r="J31" s="839">
        <f t="shared" si="10"/>
        <v>40.948909869999994</v>
      </c>
      <c r="K31" s="839">
        <f t="shared" si="10"/>
        <v>46.425499030000005</v>
      </c>
      <c r="L31" s="839">
        <f t="shared" si="10"/>
        <v>46.771095100000004</v>
      </c>
      <c r="M31" s="843">
        <f t="shared" si="10"/>
        <v>47.724016729999995</v>
      </c>
      <c r="N31" s="840">
        <f t="shared" si="10"/>
        <v>47.62525333</v>
      </c>
      <c r="O31" s="840">
        <f t="shared" si="10"/>
        <v>48.289740159999994</v>
      </c>
      <c r="P31" s="840">
        <f t="shared" si="10"/>
        <v>48.47032652</v>
      </c>
      <c r="Q31" s="840">
        <f t="shared" si="10"/>
        <v>48.325112920000002</v>
      </c>
      <c r="R31" s="840">
        <f t="shared" si="10"/>
        <v>49.679857920000003</v>
      </c>
      <c r="S31" s="840">
        <f t="shared" si="10"/>
        <v>50.427143649999998</v>
      </c>
      <c r="T31" s="840">
        <f t="shared" si="10"/>
        <v>52.78641588</v>
      </c>
      <c r="U31" s="840">
        <f t="shared" si="10"/>
        <v>52.462860110000001</v>
      </c>
      <c r="V31" s="840">
        <f t="shared" si="10"/>
        <v>54.315938729999999</v>
      </c>
      <c r="W31" s="840">
        <v>53.859680350000005</v>
      </c>
      <c r="X31" s="840">
        <v>52.73801933</v>
      </c>
      <c r="Y31" s="843">
        <v>50.650812119999998</v>
      </c>
      <c r="Z31" s="840">
        <v>48.588748100000004</v>
      </c>
      <c r="AA31" s="840">
        <v>53.085998420000003</v>
      </c>
      <c r="AB31" s="843">
        <v>50.670332070000001</v>
      </c>
      <c r="AC31" s="843">
        <v>49.512955689999998</v>
      </c>
      <c r="AD31" s="843">
        <v>48.395055820000003</v>
      </c>
      <c r="AE31" s="843">
        <v>47.587859479999999</v>
      </c>
      <c r="AF31" s="843">
        <v>35.700965109999999</v>
      </c>
      <c r="AG31" s="843">
        <v>33.519754329999998</v>
      </c>
      <c r="AH31" s="843">
        <f>+AH29-AH30</f>
        <v>33.222163610000003</v>
      </c>
      <c r="AI31" s="843">
        <v>32.218120939999999</v>
      </c>
      <c r="AJ31" s="843">
        <f>+AJ29-AJ30</f>
        <v>594.32434321000005</v>
      </c>
      <c r="AK31" s="843">
        <f>+AK29-AK30</f>
        <v>21.745366440000002</v>
      </c>
      <c r="AL31" s="843">
        <v>2.95465131</v>
      </c>
      <c r="AM31" s="843">
        <f>+AM29-AM30</f>
        <v>2.69867546</v>
      </c>
      <c r="AN31" s="843">
        <f>+AN29-AN30</f>
        <v>2.3819547700000001</v>
      </c>
      <c r="AO31" s="843">
        <f>+AO29-AO30</f>
        <v>2.1228837</v>
      </c>
      <c r="AP31" s="843">
        <f>+AP29-AP30</f>
        <v>1.86236366</v>
      </c>
      <c r="AQ31" s="843">
        <v>1.5902256100000001</v>
      </c>
      <c r="AR31" s="843">
        <f>+AR29-AR30</f>
        <v>1.3071844699999999</v>
      </c>
      <c r="AS31" s="843">
        <f>+AS29-AS30</f>
        <v>1.14420543</v>
      </c>
      <c r="AT31" s="843">
        <f>+AT29-AT30</f>
        <v>1.0801258999999999</v>
      </c>
      <c r="AU31" s="843">
        <v>4.1510900000000003E-2</v>
      </c>
      <c r="AV31" s="843">
        <v>3.6001390000000001E-2</v>
      </c>
      <c r="AW31" s="843">
        <v>3.6001390000000001E-2</v>
      </c>
      <c r="AX31" s="843">
        <v>3.3181410000000001E-2</v>
      </c>
      <c r="AY31" s="843">
        <v>3.0323830000000003E-2</v>
      </c>
      <c r="AZ31" s="843">
        <v>2.7428150000000002E-2</v>
      </c>
      <c r="BA31" s="843">
        <v>2.7428150000000002E-2</v>
      </c>
      <c r="BB31" s="843">
        <v>2.1520439999999998E-2</v>
      </c>
      <c r="BC31" s="843">
        <v>2.1520439999999998E-2</v>
      </c>
      <c r="BD31" s="843">
        <f>+BD29-BD30</f>
        <v>2.1520439999999998E-2</v>
      </c>
      <c r="BE31" s="843">
        <v>2.1520439999999998E-2</v>
      </c>
      <c r="BF31" s="843">
        <v>0.50922513999999997</v>
      </c>
      <c r="BG31" s="843">
        <v>0.50614813999999997</v>
      </c>
      <c r="BH31" s="886">
        <v>0.50302897999999996</v>
      </c>
      <c r="BI31" s="875">
        <v>0.5</v>
      </c>
      <c r="BJ31" s="875">
        <v>0.5</v>
      </c>
      <c r="BK31" s="875">
        <v>0.5</v>
      </c>
      <c r="BL31" s="875">
        <v>0.5</v>
      </c>
      <c r="BM31" s="875">
        <v>0.5</v>
      </c>
      <c r="BN31" s="875">
        <v>0.5</v>
      </c>
      <c r="BO31" s="875">
        <v>0.5</v>
      </c>
      <c r="BP31" s="875">
        <v>1</v>
      </c>
      <c r="BQ31" s="875">
        <v>1</v>
      </c>
      <c r="BR31" s="875">
        <v>1.23</v>
      </c>
      <c r="BS31" s="875">
        <v>1.3</v>
      </c>
      <c r="BT31" s="875">
        <v>1.4382966699999999</v>
      </c>
      <c r="BU31" s="875">
        <v>1.1046555300000001</v>
      </c>
      <c r="BV31" s="875">
        <v>1.0992398000000001</v>
      </c>
      <c r="BW31" s="875">
        <v>1.09375186</v>
      </c>
      <c r="BX31" s="875">
        <v>1.0881907500000001</v>
      </c>
      <c r="BY31" s="875">
        <v>1.0825554900000001</v>
      </c>
      <c r="BZ31" s="875">
        <v>0.43977709000000004</v>
      </c>
      <c r="CA31" s="875">
        <v>0.43351299999999998</v>
      </c>
      <c r="CB31" s="875">
        <v>0.42716426000000002</v>
      </c>
      <c r="CC31" s="875">
        <v>0.42072953999999996</v>
      </c>
      <c r="CD31" s="875">
        <v>0.91420779000000008</v>
      </c>
      <c r="CE31" s="875">
        <f t="shared" ref="CE31:CP31" si="11">+CE29-CE30</f>
        <v>0.88817696000000002</v>
      </c>
      <c r="CF31" s="875">
        <f t="shared" si="11"/>
        <v>0.85961054000000003</v>
      </c>
      <c r="CG31" s="875">
        <f t="shared" si="11"/>
        <v>0.82986705000000005</v>
      </c>
      <c r="CH31" s="875">
        <f t="shared" si="11"/>
        <v>0.80053240000000003</v>
      </c>
      <c r="CI31" s="875">
        <f t="shared" si="11"/>
        <v>0.77084754</v>
      </c>
      <c r="CJ31" s="875">
        <f t="shared" si="11"/>
        <v>1.0837384800000001</v>
      </c>
      <c r="CK31" s="875">
        <f t="shared" si="11"/>
        <v>1.06462246</v>
      </c>
      <c r="CL31" s="875">
        <f t="shared" si="11"/>
        <v>3.4928417299999999</v>
      </c>
      <c r="CM31" s="875">
        <f t="shared" si="11"/>
        <v>3.3867915899999996</v>
      </c>
      <c r="CN31" s="875">
        <f t="shared" si="11"/>
        <v>3.48192586</v>
      </c>
      <c r="CO31" s="875">
        <f t="shared" si="11"/>
        <v>3.3735617200000001</v>
      </c>
      <c r="CP31" s="875">
        <f t="shared" si="11"/>
        <v>3.2288478199999999</v>
      </c>
      <c r="CQ31" s="875">
        <f>+CQ29-CQ30</f>
        <v>3.0862252200000002</v>
      </c>
      <c r="CR31" s="875">
        <f>+CR29-CR30</f>
        <v>3.0259489400000001</v>
      </c>
      <c r="CS31" s="875">
        <f>+CS29-CS30</f>
        <v>3.1478981400000001</v>
      </c>
      <c r="CT31" s="875">
        <v>5.6253254200000002</v>
      </c>
      <c r="CU31" s="875">
        <v>6.5365980400000003</v>
      </c>
      <c r="CV31" s="875">
        <v>6.70918964</v>
      </c>
      <c r="CW31" s="875">
        <v>8.4208723699999997</v>
      </c>
      <c r="CX31" s="875">
        <v>8.3062313799999998</v>
      </c>
      <c r="CY31" s="875">
        <v>8.4308104999999998</v>
      </c>
      <c r="CZ31" s="875">
        <v>9.9346093500000006</v>
      </c>
      <c r="DA31" s="875">
        <v>9.6225126799999998</v>
      </c>
      <c r="DB31" s="875">
        <v>9.2815698900000001</v>
      </c>
      <c r="DC31" s="875">
        <v>9.0561801299999996</v>
      </c>
      <c r="DD31" s="946">
        <v>8.6403173100000004</v>
      </c>
      <c r="DE31" s="946">
        <v>9.9563370800000008</v>
      </c>
      <c r="DF31" s="946">
        <v>6.7567788699999998</v>
      </c>
      <c r="DG31" s="898">
        <v>6.4284177099999997</v>
      </c>
      <c r="DH31" s="898">
        <v>5.9816840100000004</v>
      </c>
      <c r="DI31" s="898">
        <v>5.9379101700000003</v>
      </c>
      <c r="DJ31" s="898">
        <v>5.8115643200000004</v>
      </c>
      <c r="DK31" s="898">
        <v>5.9884891299999996</v>
      </c>
      <c r="DL31" s="898">
        <v>6.2783188799999996</v>
      </c>
      <c r="DM31" s="898">
        <v>6.3582407500000002</v>
      </c>
      <c r="DN31" s="898">
        <v>7.0952761100000004</v>
      </c>
      <c r="DO31" s="898">
        <v>7.4373536700000002</v>
      </c>
      <c r="DP31" s="898">
        <v>7.1380993699999999</v>
      </c>
      <c r="DQ31" s="898">
        <v>7.4423620799999997</v>
      </c>
      <c r="DR31" s="898">
        <v>8.1970261999999998</v>
      </c>
      <c r="DS31" s="898">
        <v>7.9577714100000003</v>
      </c>
      <c r="DT31" s="898">
        <v>7.8265489300000004</v>
      </c>
      <c r="DU31" s="898">
        <v>8.2620568199999997</v>
      </c>
      <c r="DV31" s="898">
        <v>7.7208884600000003</v>
      </c>
      <c r="DW31" s="898">
        <v>7.6056059400000002</v>
      </c>
      <c r="DX31" s="898">
        <v>7.5055935500000004</v>
      </c>
      <c r="DY31" s="898">
        <v>7.2034147099999997</v>
      </c>
      <c r="DZ31" s="898">
        <v>8.2190036000000006</v>
      </c>
      <c r="EA31" s="898">
        <v>8.9177553199999995</v>
      </c>
      <c r="EB31" s="898">
        <v>8.7709543799999992</v>
      </c>
      <c r="EC31" s="898">
        <v>8.9404617799999997</v>
      </c>
      <c r="ED31" s="898">
        <v>9.0334841499999996</v>
      </c>
      <c r="EE31" s="898">
        <v>8.8891335700000003</v>
      </c>
      <c r="EF31" s="898">
        <v>8.2173077899999996</v>
      </c>
      <c r="EG31" s="898">
        <v>7.8820688099999998</v>
      </c>
      <c r="EH31" s="898">
        <v>7.4889928000000001</v>
      </c>
      <c r="EI31" s="898">
        <v>8.3136611200000008</v>
      </c>
      <c r="EJ31" s="898">
        <v>19.05155865</v>
      </c>
      <c r="EK31" s="898">
        <v>19.212249839999998</v>
      </c>
      <c r="EL31" s="898">
        <v>20.45845207</v>
      </c>
      <c r="EM31" s="898">
        <v>25.451611639999999</v>
      </c>
      <c r="EN31" s="898">
        <v>24.413941080000001</v>
      </c>
      <c r="EO31" s="898">
        <v>27.377806920000001</v>
      </c>
      <c r="EP31" s="898">
        <v>26.47917034</v>
      </c>
      <c r="EQ31" s="898">
        <v>25.388460080000002</v>
      </c>
      <c r="ER31" s="898">
        <v>25.05918969</v>
      </c>
      <c r="ES31" s="898">
        <v>25.085397669999999</v>
      </c>
      <c r="ET31" s="898">
        <v>23.782071240000001</v>
      </c>
      <c r="EU31" s="1924" t="s">
        <v>4085</v>
      </c>
      <c r="EZ31" s="342"/>
    </row>
    <row r="32" spans="1:156" ht="21">
      <c r="A32" s="1954"/>
      <c r="B32" s="842"/>
      <c r="C32" s="842"/>
      <c r="D32" s="842"/>
      <c r="E32" s="842"/>
      <c r="F32" s="842"/>
      <c r="G32" s="842"/>
      <c r="H32" s="842"/>
      <c r="I32" s="842"/>
      <c r="J32" s="842"/>
      <c r="K32" s="842"/>
      <c r="L32" s="842"/>
      <c r="M32" s="843"/>
      <c r="N32" s="843"/>
      <c r="O32" s="843"/>
      <c r="P32" s="843"/>
      <c r="Q32" s="843"/>
      <c r="R32" s="843"/>
      <c r="S32" s="843"/>
      <c r="T32" s="843"/>
      <c r="U32" s="843"/>
      <c r="V32" s="843"/>
      <c r="W32" s="843"/>
      <c r="X32" s="843"/>
      <c r="Y32" s="843"/>
      <c r="Z32" s="843"/>
      <c r="AA32" s="843"/>
      <c r="AB32" s="843"/>
      <c r="AC32" s="843"/>
      <c r="AD32" s="843"/>
      <c r="AE32" s="843"/>
      <c r="AF32" s="843"/>
      <c r="AG32" s="843"/>
      <c r="AH32" s="843"/>
      <c r="AI32" s="843"/>
      <c r="AJ32" s="843"/>
      <c r="AK32" s="843"/>
      <c r="AL32" s="843"/>
      <c r="AM32" s="843"/>
      <c r="AN32" s="843"/>
      <c r="AO32" s="843"/>
      <c r="AP32" s="843"/>
      <c r="AQ32" s="843"/>
      <c r="AR32" s="843"/>
      <c r="AS32" s="843"/>
      <c r="AT32" s="843"/>
      <c r="AU32" s="843"/>
      <c r="AV32" s="843"/>
      <c r="AW32" s="843"/>
      <c r="AX32" s="843"/>
      <c r="AY32" s="843"/>
      <c r="AZ32" s="843"/>
      <c r="BA32" s="843"/>
      <c r="BB32" s="843"/>
      <c r="BC32" s="843"/>
      <c r="BD32" s="843"/>
      <c r="BE32" s="843"/>
      <c r="BF32" s="843"/>
      <c r="BG32" s="843"/>
      <c r="BH32" s="886"/>
      <c r="BI32" s="875"/>
      <c r="BJ32" s="875"/>
      <c r="BK32" s="875"/>
      <c r="BL32" s="875"/>
      <c r="BM32" s="875"/>
      <c r="BN32" s="875"/>
      <c r="BO32" s="875"/>
      <c r="BP32" s="875"/>
      <c r="BQ32" s="875"/>
      <c r="BR32" s="875"/>
      <c r="BS32" s="875"/>
      <c r="BT32" s="875"/>
      <c r="BU32" s="875"/>
      <c r="BV32" s="875"/>
      <c r="BW32" s="875"/>
      <c r="BX32" s="875"/>
      <c r="BY32" s="875"/>
      <c r="BZ32" s="875"/>
      <c r="CA32" s="875"/>
      <c r="CB32" s="875"/>
      <c r="CC32" s="875"/>
      <c r="CD32" s="875"/>
      <c r="CE32" s="875"/>
      <c r="CF32" s="875"/>
      <c r="CG32" s="875"/>
      <c r="CH32" s="875"/>
      <c r="CI32" s="875"/>
      <c r="CJ32" s="875"/>
      <c r="CK32" s="875"/>
      <c r="CL32" s="875"/>
      <c r="CM32" s="875"/>
      <c r="CN32" s="875"/>
      <c r="CO32" s="875"/>
      <c r="CP32" s="875"/>
      <c r="CQ32" s="875"/>
      <c r="CR32" s="875"/>
      <c r="CS32" s="875"/>
      <c r="CT32" s="875"/>
      <c r="CU32" s="875"/>
      <c r="CV32" s="875"/>
      <c r="CW32" s="875"/>
      <c r="CX32" s="875"/>
      <c r="CY32" s="875"/>
      <c r="CZ32" s="875"/>
      <c r="DA32" s="875"/>
      <c r="DB32" s="875"/>
      <c r="DC32" s="875"/>
      <c r="DD32" s="946"/>
      <c r="DE32" s="946"/>
      <c r="DF32" s="946"/>
      <c r="DG32" s="898"/>
      <c r="DH32" s="898"/>
      <c r="DI32" s="898"/>
      <c r="DJ32" s="898"/>
      <c r="DK32" s="898"/>
      <c r="DL32" s="898"/>
      <c r="DM32" s="898"/>
      <c r="DN32" s="898"/>
      <c r="DO32" s="898"/>
      <c r="DP32" s="898"/>
      <c r="DQ32" s="898"/>
      <c r="DR32" s="898"/>
      <c r="DS32" s="898"/>
      <c r="DT32" s="898"/>
      <c r="DU32" s="898"/>
      <c r="DV32" s="898"/>
      <c r="DW32" s="898"/>
      <c r="DX32" s="898"/>
      <c r="DY32" s="898"/>
      <c r="DZ32" s="898"/>
      <c r="EA32" s="898"/>
      <c r="EB32" s="898"/>
      <c r="EC32" s="898"/>
      <c r="ED32" s="898"/>
      <c r="EE32" s="898"/>
      <c r="EF32" s="898"/>
      <c r="EG32" s="898"/>
      <c r="EH32" s="898"/>
      <c r="EI32" s="898"/>
      <c r="EJ32" s="898"/>
      <c r="EK32" s="898"/>
      <c r="EL32" s="898"/>
      <c r="EM32" s="898"/>
      <c r="EN32" s="898"/>
      <c r="EO32" s="898"/>
      <c r="EP32" s="898"/>
      <c r="EQ32" s="898"/>
      <c r="ER32" s="898"/>
      <c r="ES32" s="898"/>
      <c r="ET32" s="898"/>
      <c r="EU32" s="1923"/>
      <c r="EZ32" s="342"/>
    </row>
    <row r="33" spans="1:156" ht="21">
      <c r="A33" s="1952" t="s">
        <v>2757</v>
      </c>
      <c r="B33" s="839">
        <v>122.91037284999999</v>
      </c>
      <c r="C33" s="839">
        <v>206.03981293000001</v>
      </c>
      <c r="D33" s="839">
        <v>201.06932130999999</v>
      </c>
      <c r="E33" s="839">
        <v>204.69073748</v>
      </c>
      <c r="F33" s="839">
        <v>204.76268737000001</v>
      </c>
      <c r="G33" s="839">
        <v>211.93238421999999</v>
      </c>
      <c r="H33" s="839">
        <v>207.00879684</v>
      </c>
      <c r="I33" s="839">
        <v>206.99970689</v>
      </c>
      <c r="J33" s="839">
        <v>207.94697424</v>
      </c>
      <c r="K33" s="839">
        <v>209.03235694999998</v>
      </c>
      <c r="L33" s="839">
        <v>209.94237162000002</v>
      </c>
      <c r="M33" s="840">
        <v>210.08598593000002</v>
      </c>
      <c r="N33" s="840">
        <v>208.68494106999998</v>
      </c>
      <c r="O33" s="840">
        <v>209.61089949999999</v>
      </c>
      <c r="P33" s="840">
        <v>209.72489066</v>
      </c>
      <c r="Q33" s="840">
        <v>210.22720931000001</v>
      </c>
      <c r="R33" s="840">
        <v>208.9588291</v>
      </c>
      <c r="S33" s="840">
        <v>211.19666085</v>
      </c>
      <c r="T33" s="840">
        <v>209.98126805000001</v>
      </c>
      <c r="U33" s="840">
        <v>208.41392438999998</v>
      </c>
      <c r="V33" s="840">
        <v>205.37910812999999</v>
      </c>
      <c r="W33" s="840">
        <v>204.66296775000001</v>
      </c>
      <c r="X33" s="840">
        <v>205.09508880000001</v>
      </c>
      <c r="Y33" s="840">
        <v>255.47613691999999</v>
      </c>
      <c r="Z33" s="840">
        <v>250.4622177</v>
      </c>
      <c r="AA33" s="840">
        <v>856.91901662999999</v>
      </c>
      <c r="AB33" s="840">
        <v>806.99513969000009</v>
      </c>
      <c r="AC33" s="840">
        <v>810.54460700000004</v>
      </c>
      <c r="AD33" s="840">
        <v>807.61317752999992</v>
      </c>
      <c r="AE33" s="840">
        <v>808.40240827000002</v>
      </c>
      <c r="AF33" s="840">
        <v>824.36034272000006</v>
      </c>
      <c r="AG33" s="840">
        <v>826.07574504999991</v>
      </c>
      <c r="AH33" s="840">
        <v>826.27404192999995</v>
      </c>
      <c r="AI33" s="840">
        <v>567.41384177999998</v>
      </c>
      <c r="AJ33" s="840">
        <v>567.38418463000005</v>
      </c>
      <c r="AK33" s="840">
        <v>841.96500891999995</v>
      </c>
      <c r="AL33" s="840">
        <v>863.87751407000007</v>
      </c>
      <c r="AM33" s="840">
        <v>847.67374813999993</v>
      </c>
      <c r="AN33" s="840">
        <v>833.80470037999999</v>
      </c>
      <c r="AO33" s="840">
        <v>760.51580970999998</v>
      </c>
      <c r="AP33" s="840">
        <v>741.11765949000005</v>
      </c>
      <c r="AQ33" s="840">
        <v>764.56549813999993</v>
      </c>
      <c r="AR33" s="840">
        <v>772.07285826999998</v>
      </c>
      <c r="AS33" s="840">
        <v>774.21877466000001</v>
      </c>
      <c r="AT33" s="840">
        <f>AT25-AT29</f>
        <v>766.78265288</v>
      </c>
      <c r="AU33" s="840">
        <v>771.91620382000008</v>
      </c>
      <c r="AV33" s="840">
        <v>813.82639560000007</v>
      </c>
      <c r="AW33" s="840">
        <v>831.02872034000006</v>
      </c>
      <c r="AX33" s="840">
        <v>898.49789453999995</v>
      </c>
      <c r="AY33" s="840">
        <v>818.34960384999999</v>
      </c>
      <c r="AZ33" s="840">
        <v>806.62250604999997</v>
      </c>
      <c r="BA33" s="840">
        <v>795.53067641999996</v>
      </c>
      <c r="BB33" s="840">
        <v>734.70108555999991</v>
      </c>
      <c r="BC33" s="840">
        <v>51.89276581</v>
      </c>
      <c r="BD33" s="840">
        <v>43.941982340000003</v>
      </c>
      <c r="BE33" s="840">
        <v>22.02057245</v>
      </c>
      <c r="BF33" s="840">
        <v>16.176628730000001</v>
      </c>
      <c r="BG33" s="840">
        <v>14.586684119999999</v>
      </c>
      <c r="BH33" s="885">
        <v>13.710017070000001</v>
      </c>
      <c r="BI33" s="874">
        <v>11.64333553</v>
      </c>
      <c r="BJ33" s="874">
        <v>7.8822816200000005</v>
      </c>
      <c r="BK33" s="874">
        <v>7.00647252</v>
      </c>
      <c r="BL33" s="874">
        <v>6.1303028200000007</v>
      </c>
      <c r="BM33" s="874">
        <v>8.6545452300000001</v>
      </c>
      <c r="BN33" s="874">
        <v>10.551147650000001</v>
      </c>
      <c r="BO33" s="874">
        <v>9.6753900599999998</v>
      </c>
      <c r="BP33" s="874">
        <v>8.7996324799999996</v>
      </c>
      <c r="BQ33" s="874">
        <v>5.9413587000000003</v>
      </c>
      <c r="BR33" s="874">
        <v>2.2932411100000003</v>
      </c>
      <c r="BS33" s="874">
        <v>1.4174837999999996</v>
      </c>
      <c r="BT33" s="874">
        <v>1.4174838000000005</v>
      </c>
      <c r="BU33" s="874">
        <v>9.3136500000001732E-3</v>
      </c>
      <c r="BV33" s="874">
        <v>9.3136499999999511E-3</v>
      </c>
      <c r="BW33" s="874">
        <v>0</v>
      </c>
      <c r="BX33" s="874">
        <v>0</v>
      </c>
      <c r="BY33" s="874">
        <v>0</v>
      </c>
      <c r="BZ33" s="874">
        <v>0</v>
      </c>
      <c r="CA33" s="874">
        <v>0</v>
      </c>
      <c r="CB33" s="874">
        <v>7.2249999999999996</v>
      </c>
      <c r="CC33" s="874">
        <v>7.1592394100000014</v>
      </c>
      <c r="CD33" s="874">
        <v>12.122853509999999</v>
      </c>
      <c r="CE33" s="874">
        <v>22.192663190000001</v>
      </c>
      <c r="CF33" s="874">
        <v>161.46168496000001</v>
      </c>
      <c r="CG33" s="874">
        <v>31.679594530000003</v>
      </c>
      <c r="CH33" s="874">
        <v>38.94730079</v>
      </c>
      <c r="CI33" s="874">
        <v>41.8680205</v>
      </c>
      <c r="CJ33" s="874">
        <v>37.869967330000001</v>
      </c>
      <c r="CK33" s="874">
        <v>36.638439220000002</v>
      </c>
      <c r="CL33" s="874">
        <v>40.379342299999998</v>
      </c>
      <c r="CM33" s="874">
        <v>44.289342299999994</v>
      </c>
      <c r="CN33" s="874">
        <v>59.190880679999999</v>
      </c>
      <c r="CO33" s="874">
        <v>61.803379079999999</v>
      </c>
      <c r="CP33" s="874">
        <v>65.453665270000002</v>
      </c>
      <c r="CQ33" s="874">
        <v>63.77301413</v>
      </c>
      <c r="CR33" s="874">
        <v>75.995414999999994</v>
      </c>
      <c r="CS33" s="874">
        <v>81.18736577</v>
      </c>
      <c r="CT33" s="874">
        <v>83.341598629999993</v>
      </c>
      <c r="CU33" s="874">
        <v>222.59988737</v>
      </c>
      <c r="CV33" s="874">
        <v>227.03953281</v>
      </c>
      <c r="CW33" s="874">
        <v>228.47207689999999</v>
      </c>
      <c r="CX33" s="874">
        <v>232.42320341999999</v>
      </c>
      <c r="CY33" s="874">
        <v>245.07609796</v>
      </c>
      <c r="CZ33" s="874">
        <v>243.34762081</v>
      </c>
      <c r="DA33" s="874">
        <v>241.72904328000001</v>
      </c>
      <c r="DB33" s="874">
        <v>250.90796829000001</v>
      </c>
      <c r="DC33" s="874">
        <v>249.35691840999999</v>
      </c>
      <c r="DD33" s="945">
        <v>248.27672754</v>
      </c>
      <c r="DE33" s="945">
        <v>256.49180309000002</v>
      </c>
      <c r="DF33" s="945">
        <v>256.21278181000002</v>
      </c>
      <c r="DG33" s="897">
        <v>255.34081083000001</v>
      </c>
      <c r="DH33" s="897">
        <v>254.08788912</v>
      </c>
      <c r="DI33" s="897">
        <v>257.76969688000003</v>
      </c>
      <c r="DJ33" s="897">
        <v>260.51460996999998</v>
      </c>
      <c r="DK33" s="897">
        <v>265.98007899999999</v>
      </c>
      <c r="DL33" s="897">
        <v>264.43563389000002</v>
      </c>
      <c r="DM33" s="897">
        <v>264.00889773</v>
      </c>
      <c r="DN33" s="897">
        <v>262.39319631000001</v>
      </c>
      <c r="DO33" s="897">
        <v>261.98652528999997</v>
      </c>
      <c r="DP33" s="897">
        <v>242.34504684000001</v>
      </c>
      <c r="DQ33" s="897">
        <v>243.36568864</v>
      </c>
      <c r="DR33" s="897">
        <v>243.75041640000001</v>
      </c>
      <c r="DS33" s="897">
        <v>243.02355304</v>
      </c>
      <c r="DT33" s="897">
        <v>241.60519353999999</v>
      </c>
      <c r="DU33" s="897">
        <v>241.12512233999999</v>
      </c>
      <c r="DV33" s="897">
        <v>257.96469277</v>
      </c>
      <c r="DW33" s="897">
        <v>256.41677843000002</v>
      </c>
      <c r="DX33" s="897">
        <v>253.65089911999999</v>
      </c>
      <c r="DY33" s="897">
        <v>252.76521571999999</v>
      </c>
      <c r="DZ33" s="897">
        <v>251.92671168000001</v>
      </c>
      <c r="EA33" s="897">
        <v>250.18201336999999</v>
      </c>
      <c r="EB33" s="897">
        <v>249.04639302999999</v>
      </c>
      <c r="EC33" s="897">
        <v>247.82317655</v>
      </c>
      <c r="ED33" s="897">
        <v>245.94576477000001</v>
      </c>
      <c r="EE33" s="897">
        <v>243.23725698999999</v>
      </c>
      <c r="EF33" s="897">
        <v>242.11094104</v>
      </c>
      <c r="EG33" s="897">
        <v>243.97387949</v>
      </c>
      <c r="EH33" s="897">
        <v>243.46484928000001</v>
      </c>
      <c r="EI33" s="897">
        <v>232.37985664000001</v>
      </c>
      <c r="EJ33" s="897">
        <v>235.47612662</v>
      </c>
      <c r="EK33" s="897">
        <v>233.63893322999999</v>
      </c>
      <c r="EL33" s="897">
        <v>232.36863932</v>
      </c>
      <c r="EM33" s="897">
        <v>52.898056050000001</v>
      </c>
      <c r="EN33" s="897">
        <v>52.637656970000002</v>
      </c>
      <c r="EO33" s="897">
        <v>52.354433200000003</v>
      </c>
      <c r="EP33" s="897">
        <v>52.218106929999998</v>
      </c>
      <c r="EQ33" s="897">
        <v>52.064846170000003</v>
      </c>
      <c r="ER33" s="897">
        <v>52.029189250000002</v>
      </c>
      <c r="ES33" s="897">
        <v>51.949070910000003</v>
      </c>
      <c r="ET33" s="897">
        <v>51.901471829999998</v>
      </c>
      <c r="EU33" s="1922" t="s">
        <v>4087</v>
      </c>
      <c r="EZ33" s="342"/>
    </row>
    <row r="34" spans="1:156" ht="21">
      <c r="A34" s="1953" t="s">
        <v>1974</v>
      </c>
      <c r="B34" s="842">
        <v>0</v>
      </c>
      <c r="C34" s="842">
        <v>0</v>
      </c>
      <c r="D34" s="842">
        <v>0</v>
      </c>
      <c r="E34" s="842">
        <v>0</v>
      </c>
      <c r="F34" s="842">
        <v>0</v>
      </c>
      <c r="G34" s="842">
        <v>0</v>
      </c>
      <c r="H34" s="842">
        <v>0</v>
      </c>
      <c r="I34" s="842">
        <v>0</v>
      </c>
      <c r="J34" s="842">
        <v>0</v>
      </c>
      <c r="K34" s="842">
        <v>0</v>
      </c>
      <c r="L34" s="842">
        <v>0</v>
      </c>
      <c r="M34" s="843">
        <v>0</v>
      </c>
      <c r="N34" s="843">
        <v>0</v>
      </c>
      <c r="O34" s="843">
        <v>0</v>
      </c>
      <c r="P34" s="843">
        <v>0</v>
      </c>
      <c r="Q34" s="843">
        <v>0</v>
      </c>
      <c r="R34" s="843">
        <v>0</v>
      </c>
      <c r="S34" s="843">
        <v>0</v>
      </c>
      <c r="T34" s="843">
        <v>0</v>
      </c>
      <c r="U34" s="843">
        <v>0</v>
      </c>
      <c r="V34" s="843">
        <v>0</v>
      </c>
      <c r="W34" s="843">
        <v>0</v>
      </c>
      <c r="X34" s="843">
        <v>0</v>
      </c>
      <c r="Y34" s="843">
        <v>0</v>
      </c>
      <c r="Z34" s="843">
        <v>0</v>
      </c>
      <c r="AA34" s="843">
        <v>0</v>
      </c>
      <c r="AB34" s="843">
        <v>0</v>
      </c>
      <c r="AC34" s="843">
        <v>0</v>
      </c>
      <c r="AD34" s="843">
        <v>0</v>
      </c>
      <c r="AE34" s="843">
        <v>0</v>
      </c>
      <c r="AF34" s="843">
        <v>0</v>
      </c>
      <c r="AG34" s="843">
        <v>0</v>
      </c>
      <c r="AH34" s="843">
        <v>0</v>
      </c>
      <c r="AI34" s="843">
        <v>0</v>
      </c>
      <c r="AJ34" s="843">
        <v>0</v>
      </c>
      <c r="AK34" s="843">
        <v>0</v>
      </c>
      <c r="AL34" s="843">
        <v>0</v>
      </c>
      <c r="AM34" s="843">
        <v>0</v>
      </c>
      <c r="AN34" s="843">
        <v>0</v>
      </c>
      <c r="AO34" s="843">
        <v>0</v>
      </c>
      <c r="AP34" s="843">
        <v>0</v>
      </c>
      <c r="AQ34" s="843">
        <v>0</v>
      </c>
      <c r="AR34" s="843">
        <v>0</v>
      </c>
      <c r="AS34" s="843">
        <v>0</v>
      </c>
      <c r="AT34" s="843">
        <f>AT26-AT30</f>
        <v>0</v>
      </c>
      <c r="AU34" s="843">
        <v>0</v>
      </c>
      <c r="AV34" s="843">
        <v>0</v>
      </c>
      <c r="AW34" s="843">
        <v>0</v>
      </c>
      <c r="AX34" s="843">
        <v>0</v>
      </c>
      <c r="AY34" s="843">
        <v>0</v>
      </c>
      <c r="AZ34" s="843">
        <v>0</v>
      </c>
      <c r="BA34" s="843">
        <v>0</v>
      </c>
      <c r="BB34" s="843">
        <v>0</v>
      </c>
      <c r="BC34" s="843">
        <v>0</v>
      </c>
      <c r="BD34" s="843">
        <v>0</v>
      </c>
      <c r="BE34" s="843">
        <v>0</v>
      </c>
      <c r="BF34" s="843">
        <v>0</v>
      </c>
      <c r="BG34" s="843">
        <v>0</v>
      </c>
      <c r="BH34" s="886">
        <v>0</v>
      </c>
      <c r="BI34" s="875">
        <v>0</v>
      </c>
      <c r="BJ34" s="875">
        <v>0</v>
      </c>
      <c r="BK34" s="875">
        <v>0</v>
      </c>
      <c r="BL34" s="875">
        <v>0</v>
      </c>
      <c r="BM34" s="875">
        <v>0</v>
      </c>
      <c r="BN34" s="875">
        <v>0</v>
      </c>
      <c r="BO34" s="875">
        <v>0</v>
      </c>
      <c r="BP34" s="875">
        <v>0</v>
      </c>
      <c r="BQ34" s="875">
        <v>0</v>
      </c>
      <c r="BR34" s="875">
        <v>0</v>
      </c>
      <c r="BS34" s="875">
        <v>0</v>
      </c>
      <c r="BT34" s="875">
        <v>0</v>
      </c>
      <c r="BU34" s="875">
        <v>0</v>
      </c>
      <c r="BV34" s="875">
        <v>0</v>
      </c>
      <c r="BW34" s="875">
        <v>0</v>
      </c>
      <c r="BX34" s="875">
        <v>0</v>
      </c>
      <c r="BY34" s="875">
        <v>0</v>
      </c>
      <c r="BZ34" s="875">
        <v>0</v>
      </c>
      <c r="CA34" s="875">
        <v>0</v>
      </c>
      <c r="CB34" s="875">
        <v>0</v>
      </c>
      <c r="CC34" s="875">
        <v>0</v>
      </c>
      <c r="CD34" s="875">
        <v>5.1007791600000001</v>
      </c>
      <c r="CE34" s="875">
        <v>0</v>
      </c>
      <c r="CF34" s="875">
        <v>0</v>
      </c>
      <c r="CG34" s="875">
        <v>0</v>
      </c>
      <c r="CH34" s="875">
        <v>0</v>
      </c>
      <c r="CI34" s="875">
        <v>0</v>
      </c>
      <c r="CJ34" s="875">
        <v>0</v>
      </c>
      <c r="CK34" s="875">
        <v>0</v>
      </c>
      <c r="CL34" s="875">
        <v>0</v>
      </c>
      <c r="CM34" s="875">
        <v>0</v>
      </c>
      <c r="CN34" s="875">
        <v>0</v>
      </c>
      <c r="CO34" s="875">
        <v>0</v>
      </c>
      <c r="CP34" s="875">
        <v>0</v>
      </c>
      <c r="CQ34" s="875">
        <v>0</v>
      </c>
      <c r="CR34" s="875">
        <v>0</v>
      </c>
      <c r="CS34" s="875">
        <v>0</v>
      </c>
      <c r="CT34" s="875">
        <v>0</v>
      </c>
      <c r="CU34" s="875">
        <v>0</v>
      </c>
      <c r="CV34" s="875">
        <v>0</v>
      </c>
      <c r="CW34" s="875">
        <v>0</v>
      </c>
      <c r="CX34" s="875">
        <v>0</v>
      </c>
      <c r="CY34" s="875">
        <v>0</v>
      </c>
      <c r="CZ34" s="875">
        <v>0</v>
      </c>
      <c r="DA34" s="875">
        <v>0</v>
      </c>
      <c r="DB34" s="875">
        <v>0</v>
      </c>
      <c r="DC34" s="875">
        <v>0</v>
      </c>
      <c r="DD34" s="946">
        <v>0</v>
      </c>
      <c r="DE34" s="946">
        <v>0</v>
      </c>
      <c r="DF34" s="946">
        <v>0</v>
      </c>
      <c r="DG34" s="898">
        <v>0</v>
      </c>
      <c r="DH34" s="898">
        <v>0</v>
      </c>
      <c r="DI34" s="898">
        <v>0</v>
      </c>
      <c r="DJ34" s="898">
        <v>0</v>
      </c>
      <c r="DK34" s="898">
        <v>0</v>
      </c>
      <c r="DL34" s="898">
        <v>0</v>
      </c>
      <c r="DM34" s="898">
        <v>0</v>
      </c>
      <c r="DN34" s="898">
        <v>0</v>
      </c>
      <c r="DO34" s="898">
        <v>0</v>
      </c>
      <c r="DP34" s="898">
        <v>0</v>
      </c>
      <c r="DQ34" s="898">
        <v>0</v>
      </c>
      <c r="DR34" s="898">
        <v>0</v>
      </c>
      <c r="DS34" s="898">
        <v>0</v>
      </c>
      <c r="DT34" s="898">
        <v>0</v>
      </c>
      <c r="DU34" s="898">
        <v>0</v>
      </c>
      <c r="DV34" s="898">
        <v>0</v>
      </c>
      <c r="DW34" s="898">
        <v>0</v>
      </c>
      <c r="DX34" s="898">
        <v>0</v>
      </c>
      <c r="DY34" s="898">
        <v>0</v>
      </c>
      <c r="DZ34" s="898">
        <v>0</v>
      </c>
      <c r="EA34" s="898">
        <v>0</v>
      </c>
      <c r="EB34" s="898">
        <v>0</v>
      </c>
      <c r="EC34" s="898">
        <v>0</v>
      </c>
      <c r="ED34" s="898">
        <v>0</v>
      </c>
      <c r="EE34" s="898">
        <v>0</v>
      </c>
      <c r="EF34" s="898">
        <v>0</v>
      </c>
      <c r="EG34" s="898">
        <v>0</v>
      </c>
      <c r="EH34" s="898">
        <v>0</v>
      </c>
      <c r="EI34" s="898">
        <v>0</v>
      </c>
      <c r="EJ34" s="898">
        <v>0</v>
      </c>
      <c r="EK34" s="898">
        <v>0</v>
      </c>
      <c r="EL34" s="898">
        <v>0</v>
      </c>
      <c r="EM34" s="898">
        <v>0</v>
      </c>
      <c r="EN34" s="898">
        <v>0</v>
      </c>
      <c r="EO34" s="898">
        <v>0</v>
      </c>
      <c r="EP34" s="898">
        <v>0</v>
      </c>
      <c r="EQ34" s="898">
        <v>0</v>
      </c>
      <c r="ER34" s="898">
        <v>0</v>
      </c>
      <c r="ES34" s="898">
        <v>0</v>
      </c>
      <c r="ET34" s="898">
        <v>0</v>
      </c>
      <c r="EU34" s="1924" t="s">
        <v>4086</v>
      </c>
      <c r="EZ34" s="342"/>
    </row>
    <row r="35" spans="1:156" ht="21">
      <c r="A35" s="1955" t="s">
        <v>1975</v>
      </c>
      <c r="B35" s="867">
        <f>+B33-B34</f>
        <v>122.91037284999999</v>
      </c>
      <c r="C35" s="867">
        <f t="shared" ref="C35:V35" si="12">+C33-C34</f>
        <v>206.03981293000001</v>
      </c>
      <c r="D35" s="867">
        <f t="shared" si="12"/>
        <v>201.06932130999999</v>
      </c>
      <c r="E35" s="867">
        <f t="shared" si="12"/>
        <v>204.69073748</v>
      </c>
      <c r="F35" s="867">
        <f t="shared" si="12"/>
        <v>204.76268737000001</v>
      </c>
      <c r="G35" s="867">
        <f t="shared" si="12"/>
        <v>211.93238421999999</v>
      </c>
      <c r="H35" s="867">
        <f t="shared" si="12"/>
        <v>207.00879684</v>
      </c>
      <c r="I35" s="867">
        <f t="shared" si="12"/>
        <v>206.99970689</v>
      </c>
      <c r="J35" s="867">
        <f t="shared" si="12"/>
        <v>207.94697424</v>
      </c>
      <c r="K35" s="867">
        <f t="shared" si="12"/>
        <v>209.03235694999998</v>
      </c>
      <c r="L35" s="867">
        <f t="shared" si="12"/>
        <v>209.94237162000002</v>
      </c>
      <c r="M35" s="846">
        <f t="shared" si="12"/>
        <v>210.08598593000002</v>
      </c>
      <c r="N35" s="853">
        <f t="shared" si="12"/>
        <v>208.68494106999998</v>
      </c>
      <c r="O35" s="853">
        <f t="shared" si="12"/>
        <v>209.61089949999999</v>
      </c>
      <c r="P35" s="853">
        <f t="shared" si="12"/>
        <v>209.72489066</v>
      </c>
      <c r="Q35" s="853">
        <f t="shared" si="12"/>
        <v>210.22720931000001</v>
      </c>
      <c r="R35" s="853">
        <f t="shared" si="12"/>
        <v>208.9588291</v>
      </c>
      <c r="S35" s="853">
        <f t="shared" si="12"/>
        <v>211.19666085</v>
      </c>
      <c r="T35" s="853">
        <f t="shared" si="12"/>
        <v>209.98126805000001</v>
      </c>
      <c r="U35" s="853">
        <f t="shared" si="12"/>
        <v>208.41392438999998</v>
      </c>
      <c r="V35" s="853">
        <f t="shared" si="12"/>
        <v>205.37910812999999</v>
      </c>
      <c r="W35" s="853">
        <v>204.66296775000001</v>
      </c>
      <c r="X35" s="853">
        <v>205.09508880000001</v>
      </c>
      <c r="Y35" s="846">
        <v>255.47613691999999</v>
      </c>
      <c r="Z35" s="853">
        <v>250.4622177</v>
      </c>
      <c r="AA35" s="853">
        <v>856.91901662999999</v>
      </c>
      <c r="AB35" s="846">
        <v>806.99513969000009</v>
      </c>
      <c r="AC35" s="846">
        <v>810.54460700000004</v>
      </c>
      <c r="AD35" s="846">
        <v>807.61317752999992</v>
      </c>
      <c r="AE35" s="846">
        <v>808.40240827000002</v>
      </c>
      <c r="AF35" s="846">
        <v>824.36034272000006</v>
      </c>
      <c r="AG35" s="846">
        <v>826.07574504999991</v>
      </c>
      <c r="AH35" s="846">
        <f>+AH33-AH34</f>
        <v>826.27404192999995</v>
      </c>
      <c r="AI35" s="846">
        <v>567.41384177999998</v>
      </c>
      <c r="AJ35" s="846">
        <f>+AJ33-AJ34</f>
        <v>567.38418463000005</v>
      </c>
      <c r="AK35" s="846">
        <f>+AK33-AK34</f>
        <v>841.96500891999995</v>
      </c>
      <c r="AL35" s="846">
        <v>863.87751407000007</v>
      </c>
      <c r="AM35" s="846">
        <f>+AM33-AM34</f>
        <v>847.67374813999993</v>
      </c>
      <c r="AN35" s="846">
        <f>+AN33-AN34</f>
        <v>833.80470037999999</v>
      </c>
      <c r="AO35" s="846">
        <f>+AO33-AO34</f>
        <v>760.51580970999998</v>
      </c>
      <c r="AP35" s="846">
        <f>+AP33-AP34</f>
        <v>741.11765949000005</v>
      </c>
      <c r="AQ35" s="846">
        <v>764.56549813999993</v>
      </c>
      <c r="AR35" s="846">
        <f>+AR33-AR34</f>
        <v>772.07285826999998</v>
      </c>
      <c r="AS35" s="846">
        <f>+AS33-AS34</f>
        <v>774.21877466000001</v>
      </c>
      <c r="AT35" s="846">
        <f>AT27-AT31</f>
        <v>766.78265288</v>
      </c>
      <c r="AU35" s="846">
        <v>771.91620382000008</v>
      </c>
      <c r="AV35" s="846">
        <v>813.82639560000007</v>
      </c>
      <c r="AW35" s="846">
        <v>831.02872034000006</v>
      </c>
      <c r="AX35" s="846">
        <v>898.49789453999995</v>
      </c>
      <c r="AY35" s="846">
        <v>818.34960384999999</v>
      </c>
      <c r="AZ35" s="846">
        <v>806.62250604999997</v>
      </c>
      <c r="BA35" s="846">
        <v>795.53067641999996</v>
      </c>
      <c r="BB35" s="846">
        <v>734.70108555999991</v>
      </c>
      <c r="BC35" s="846">
        <v>51.89276581</v>
      </c>
      <c r="BD35" s="846">
        <f>+BD33-BD34</f>
        <v>43.941982340000003</v>
      </c>
      <c r="BE35" s="846">
        <v>22.02057245</v>
      </c>
      <c r="BF35" s="846">
        <v>16.176628730000001</v>
      </c>
      <c r="BG35" s="846">
        <v>14.586684119999999</v>
      </c>
      <c r="BH35" s="887">
        <v>13.710017070000001</v>
      </c>
      <c r="BI35" s="877">
        <v>11.64333553</v>
      </c>
      <c r="BJ35" s="877">
        <v>7.8822816200000005</v>
      </c>
      <c r="BK35" s="877">
        <v>7.00647252</v>
      </c>
      <c r="BL35" s="877">
        <v>6.1303028200000007</v>
      </c>
      <c r="BM35" s="877">
        <v>8.6545452300000001</v>
      </c>
      <c r="BN35" s="877">
        <v>10.551147650000001</v>
      </c>
      <c r="BO35" s="877">
        <v>9.6753900599999998</v>
      </c>
      <c r="BP35" s="877">
        <v>8.7996324799999996</v>
      </c>
      <c r="BQ35" s="877">
        <v>5.9413587000000003</v>
      </c>
      <c r="BR35" s="877">
        <v>2.2932411100000003</v>
      </c>
      <c r="BS35" s="877">
        <v>1.4174837999999996</v>
      </c>
      <c r="BT35" s="877">
        <v>1.4174838000000005</v>
      </c>
      <c r="BU35" s="877">
        <v>9.3136500000001732E-3</v>
      </c>
      <c r="BV35" s="877">
        <v>9.3136499999999511E-3</v>
      </c>
      <c r="BW35" s="877">
        <v>0</v>
      </c>
      <c r="BX35" s="877">
        <v>0</v>
      </c>
      <c r="BY35" s="877">
        <v>0</v>
      </c>
      <c r="BZ35" s="877">
        <v>0</v>
      </c>
      <c r="CA35" s="877">
        <v>0</v>
      </c>
      <c r="CB35" s="877">
        <v>7.2249999999999996</v>
      </c>
      <c r="CC35" s="877">
        <v>7.1592394100000014</v>
      </c>
      <c r="CD35" s="877">
        <v>7.0220743499999987</v>
      </c>
      <c r="CE35" s="877">
        <f t="shared" ref="CE35:CP35" si="13">+CE33-CE34</f>
        <v>22.192663190000001</v>
      </c>
      <c r="CF35" s="877">
        <f t="shared" si="13"/>
        <v>161.46168496000001</v>
      </c>
      <c r="CG35" s="877">
        <f t="shared" si="13"/>
        <v>31.679594530000003</v>
      </c>
      <c r="CH35" s="877">
        <f t="shared" si="13"/>
        <v>38.94730079</v>
      </c>
      <c r="CI35" s="877">
        <f t="shared" si="13"/>
        <v>41.8680205</v>
      </c>
      <c r="CJ35" s="877">
        <f t="shared" si="13"/>
        <v>37.869967330000001</v>
      </c>
      <c r="CK35" s="877">
        <f t="shared" si="13"/>
        <v>36.638439220000002</v>
      </c>
      <c r="CL35" s="877">
        <f t="shared" si="13"/>
        <v>40.379342299999998</v>
      </c>
      <c r="CM35" s="877">
        <f t="shared" si="13"/>
        <v>44.289342299999994</v>
      </c>
      <c r="CN35" s="877">
        <f t="shared" si="13"/>
        <v>59.190880679999999</v>
      </c>
      <c r="CO35" s="877">
        <f t="shared" si="13"/>
        <v>61.803379079999999</v>
      </c>
      <c r="CP35" s="877">
        <f t="shared" si="13"/>
        <v>65.453665270000002</v>
      </c>
      <c r="CQ35" s="877">
        <f>+CQ33-CQ34</f>
        <v>63.77301413</v>
      </c>
      <c r="CR35" s="877">
        <f>+CR33-CR34</f>
        <v>75.995414999999994</v>
      </c>
      <c r="CS35" s="877">
        <f>+CS33-CS34</f>
        <v>81.18736577</v>
      </c>
      <c r="CT35" s="877">
        <v>83.341598629999993</v>
      </c>
      <c r="CU35" s="877">
        <v>222.59988737</v>
      </c>
      <c r="CV35" s="877">
        <v>227.03953281</v>
      </c>
      <c r="CW35" s="877">
        <v>228.47207689999999</v>
      </c>
      <c r="CX35" s="877">
        <v>232.42320341999999</v>
      </c>
      <c r="CY35" s="877">
        <v>245.07609796</v>
      </c>
      <c r="CZ35" s="877">
        <v>243.34762081</v>
      </c>
      <c r="DA35" s="877">
        <v>241.72904328000001</v>
      </c>
      <c r="DB35" s="877">
        <v>250.90796829000001</v>
      </c>
      <c r="DC35" s="877">
        <v>249.35691840999999</v>
      </c>
      <c r="DD35" s="947">
        <v>248.27672754</v>
      </c>
      <c r="DE35" s="947">
        <v>256.49180309000002</v>
      </c>
      <c r="DF35" s="947">
        <v>256.21278181000002</v>
      </c>
      <c r="DG35" s="899">
        <v>255.34081083000001</v>
      </c>
      <c r="DH35" s="899">
        <v>254.08788912</v>
      </c>
      <c r="DI35" s="899">
        <v>257.76969688000003</v>
      </c>
      <c r="DJ35" s="899">
        <v>260.51460996999998</v>
      </c>
      <c r="DK35" s="899">
        <v>265.98007899999999</v>
      </c>
      <c r="DL35" s="899">
        <v>264.43563389000002</v>
      </c>
      <c r="DM35" s="899">
        <v>264.00889773</v>
      </c>
      <c r="DN35" s="899">
        <v>262.39319631000001</v>
      </c>
      <c r="DO35" s="899">
        <v>261.98652528999997</v>
      </c>
      <c r="DP35" s="899">
        <v>242.34504684000001</v>
      </c>
      <c r="DQ35" s="899">
        <v>243.36568864</v>
      </c>
      <c r="DR35" s="899">
        <v>243.75041640000001</v>
      </c>
      <c r="DS35" s="899">
        <v>243.02355304</v>
      </c>
      <c r="DT35" s="899">
        <v>241.60519353999999</v>
      </c>
      <c r="DU35" s="899">
        <v>241.12512233999999</v>
      </c>
      <c r="DV35" s="899">
        <v>257.96469277</v>
      </c>
      <c r="DW35" s="899">
        <v>256.41677843000002</v>
      </c>
      <c r="DX35" s="899">
        <v>253.65089911999999</v>
      </c>
      <c r="DY35" s="899">
        <f>DY33-DY34</f>
        <v>252.76521571999999</v>
      </c>
      <c r="DZ35" s="899">
        <v>251.92671168000001</v>
      </c>
      <c r="EA35" s="899">
        <v>250.18201336999999</v>
      </c>
      <c r="EB35" s="899">
        <v>249.04639302999999</v>
      </c>
      <c r="EC35" s="899">
        <v>247.82317655</v>
      </c>
      <c r="ED35" s="899">
        <v>245.94576477000001</v>
      </c>
      <c r="EE35" s="899">
        <v>243.23725698999999</v>
      </c>
      <c r="EF35" s="899">
        <v>242.11094104</v>
      </c>
      <c r="EG35" s="899">
        <v>243.97387949</v>
      </c>
      <c r="EH35" s="899">
        <v>243.46484928000001</v>
      </c>
      <c r="EI35" s="899">
        <v>232.37985664000001</v>
      </c>
      <c r="EJ35" s="899">
        <v>235.47612662</v>
      </c>
      <c r="EK35" s="899">
        <v>233.63893322999999</v>
      </c>
      <c r="EL35" s="899">
        <v>232.36863932</v>
      </c>
      <c r="EM35" s="899">
        <v>52.898056050000001</v>
      </c>
      <c r="EN35" s="899">
        <v>52.637656970000002</v>
      </c>
      <c r="EO35" s="899">
        <v>52.354433200000003</v>
      </c>
      <c r="EP35" s="899">
        <v>52.218106929999998</v>
      </c>
      <c r="EQ35" s="899">
        <v>52.064846170000003</v>
      </c>
      <c r="ER35" s="899">
        <v>52.029189250000002</v>
      </c>
      <c r="ES35" s="899">
        <v>51.949070910000003</v>
      </c>
      <c r="ET35" s="899">
        <v>51.901471829999998</v>
      </c>
      <c r="EU35" s="1925" t="s">
        <v>4085</v>
      </c>
      <c r="EZ35" s="342"/>
    </row>
    <row r="36" spans="1:156" s="792" customFormat="1" ht="42.75" customHeight="1">
      <c r="A36" s="2479" t="s">
        <v>3295</v>
      </c>
      <c r="B36" s="2479"/>
      <c r="C36" s="2479"/>
      <c r="D36" s="2479"/>
      <c r="E36" s="2479"/>
      <c r="F36" s="2479"/>
      <c r="G36" s="2479"/>
      <c r="H36" s="2479"/>
      <c r="I36" s="2479"/>
      <c r="J36" s="2479"/>
      <c r="K36" s="2479"/>
      <c r="L36" s="2479"/>
      <c r="M36" s="2479"/>
      <c r="N36" s="2479"/>
      <c r="O36" s="2479"/>
      <c r="P36" s="2479"/>
      <c r="Q36" s="2479"/>
      <c r="R36" s="2479"/>
      <c r="S36" s="2479"/>
      <c r="T36" s="2479"/>
      <c r="U36" s="2479"/>
      <c r="V36" s="2479"/>
      <c r="W36" s="2479"/>
      <c r="X36" s="2479"/>
      <c r="Y36" s="2479"/>
      <c r="Z36" s="2479"/>
      <c r="AA36" s="2479"/>
      <c r="AB36" s="2479"/>
      <c r="AC36" s="2479"/>
      <c r="AD36" s="2479"/>
      <c r="AE36" s="2479"/>
      <c r="AF36" s="2479"/>
      <c r="AG36" s="2479"/>
      <c r="AH36" s="2479"/>
      <c r="AI36" s="2479"/>
      <c r="AJ36" s="2479"/>
      <c r="AK36" s="2479"/>
      <c r="AL36" s="2479"/>
      <c r="AM36" s="2479"/>
      <c r="AN36" s="2479"/>
      <c r="AO36" s="2479"/>
      <c r="AP36" s="2479"/>
      <c r="AQ36" s="2479"/>
      <c r="AR36" s="2479"/>
      <c r="AS36" s="2479"/>
      <c r="AT36" s="2479"/>
      <c r="AU36" s="2479"/>
      <c r="AV36" s="2479"/>
      <c r="AW36" s="2479"/>
      <c r="AX36" s="2479"/>
      <c r="AY36" s="2479"/>
      <c r="AZ36" s="2479"/>
      <c r="BA36" s="2479"/>
      <c r="BB36" s="2479"/>
      <c r="BC36" s="2479"/>
      <c r="BD36" s="2479"/>
      <c r="BE36" s="2479"/>
      <c r="BF36" s="2479"/>
      <c r="BG36" s="2479"/>
      <c r="BH36" s="2479"/>
      <c r="BI36" s="2479"/>
      <c r="BJ36" s="2479"/>
      <c r="BK36" s="2479"/>
      <c r="BL36" s="2479"/>
      <c r="BM36" s="2479"/>
      <c r="BN36" s="2479"/>
      <c r="BO36" s="2479"/>
      <c r="BP36" s="2479"/>
      <c r="BQ36" s="2479"/>
      <c r="BR36" s="2479"/>
      <c r="BS36" s="2479"/>
      <c r="BT36" s="2479"/>
      <c r="BU36" s="2479"/>
      <c r="BV36" s="2479"/>
      <c r="BW36" s="2479"/>
      <c r="BX36" s="2479"/>
      <c r="BY36" s="2479"/>
      <c r="BZ36" s="2479"/>
      <c r="CA36" s="2479"/>
      <c r="CB36" s="2479"/>
      <c r="CC36" s="2479"/>
      <c r="CD36" s="2479"/>
      <c r="CE36" s="2479"/>
      <c r="CF36" s="2479"/>
      <c r="CG36" s="2479"/>
      <c r="CH36" s="2479"/>
      <c r="CI36" s="2479"/>
      <c r="CJ36" s="2479"/>
      <c r="CK36" s="2479"/>
      <c r="CL36" s="2479"/>
      <c r="CM36" s="2479"/>
      <c r="CN36" s="2479"/>
      <c r="CO36" s="2479"/>
      <c r="CP36" s="2479"/>
      <c r="CQ36" s="2479"/>
      <c r="CR36" s="2479"/>
      <c r="CS36" s="2479"/>
      <c r="CT36" s="2479"/>
      <c r="CU36" s="2479"/>
      <c r="CV36" s="2479"/>
      <c r="CW36" s="2479"/>
      <c r="CX36" s="2479"/>
      <c r="CY36" s="2479"/>
      <c r="CZ36" s="2479"/>
      <c r="DA36" s="2479"/>
      <c r="DB36" s="2479"/>
      <c r="DC36" s="2479"/>
      <c r="DD36" s="2479"/>
      <c r="DE36" s="2479"/>
      <c r="DF36" s="2479"/>
      <c r="DG36" s="2479"/>
      <c r="DH36" s="2479"/>
      <c r="DI36" s="2479"/>
      <c r="DJ36" s="2479"/>
      <c r="DK36" s="2479"/>
      <c r="DL36" s="2479"/>
      <c r="DM36" s="2479"/>
      <c r="DN36" s="2479"/>
      <c r="DO36" s="2479"/>
      <c r="DP36" s="2479"/>
      <c r="DQ36" s="2479"/>
      <c r="DR36" s="2479"/>
      <c r="DS36" s="2479"/>
      <c r="DT36" s="2479"/>
      <c r="DU36" s="2479"/>
      <c r="DV36" s="2479"/>
      <c r="DW36" s="2479"/>
      <c r="DX36" s="2479"/>
      <c r="DY36" s="2479"/>
      <c r="DZ36" s="2479"/>
      <c r="EA36" s="2480"/>
      <c r="EB36" s="2480"/>
      <c r="EC36" s="2480"/>
      <c r="ED36" s="2480"/>
      <c r="EE36" s="2480"/>
      <c r="EF36" s="2480"/>
      <c r="EG36" s="2480"/>
      <c r="EH36" s="2480"/>
      <c r="EI36" s="2480"/>
      <c r="EJ36" s="2480"/>
      <c r="EK36" s="2480"/>
      <c r="EL36" s="2480"/>
      <c r="EM36" s="2480"/>
      <c r="EN36" s="2480"/>
      <c r="EO36" s="2480"/>
      <c r="EP36" s="2480"/>
      <c r="EQ36" s="2480"/>
      <c r="ER36" s="2480"/>
      <c r="ES36" s="2480"/>
      <c r="ET36" s="2479"/>
    </row>
    <row r="37" spans="1:156" ht="18">
      <c r="A37" s="817"/>
      <c r="B37" s="285"/>
      <c r="C37" s="285"/>
      <c r="D37" s="285"/>
      <c r="E37" s="285"/>
      <c r="F37" s="285"/>
      <c r="G37" s="285"/>
      <c r="H37" s="285"/>
      <c r="I37" s="285"/>
      <c r="J37" s="285"/>
      <c r="K37" s="285"/>
      <c r="L37" s="285"/>
      <c r="M37" s="285"/>
      <c r="N37" s="285"/>
      <c r="O37" s="285"/>
      <c r="P37" s="285"/>
      <c r="Q37" s="285"/>
      <c r="R37" s="285"/>
      <c r="S37" s="285"/>
      <c r="T37" s="285"/>
      <c r="U37" s="285"/>
      <c r="V37" s="285"/>
      <c r="W37" s="285"/>
      <c r="X37" s="285"/>
      <c r="Y37" s="285"/>
      <c r="Z37" s="285"/>
      <c r="AA37" s="285"/>
      <c r="AB37" s="285"/>
      <c r="AC37" s="285"/>
      <c r="AD37" s="285"/>
      <c r="AE37" s="285"/>
      <c r="AF37" s="285"/>
      <c r="AG37" s="285"/>
      <c r="AH37" s="285"/>
      <c r="AI37" s="285"/>
      <c r="AJ37" s="285"/>
      <c r="AK37" s="285"/>
      <c r="AL37" s="285"/>
      <c r="AM37" s="285"/>
      <c r="AN37" s="285"/>
      <c r="AO37" s="285"/>
      <c r="AP37" s="285"/>
      <c r="AQ37" s="285"/>
      <c r="AR37" s="285"/>
      <c r="AS37" s="285"/>
      <c r="AT37" s="285"/>
      <c r="AU37" s="285"/>
      <c r="AV37" s="285"/>
      <c r="AW37" s="285"/>
      <c r="AX37" s="285"/>
      <c r="AY37" s="285"/>
      <c r="AZ37" s="285"/>
      <c r="BA37" s="285"/>
      <c r="BB37" s="285"/>
      <c r="BC37" s="285"/>
      <c r="BD37" s="285"/>
      <c r="BE37" s="285"/>
      <c r="BF37" s="285"/>
      <c r="BG37" s="285"/>
      <c r="BH37" s="285"/>
      <c r="BI37" s="285"/>
      <c r="BJ37" s="285"/>
      <c r="BK37" s="285"/>
      <c r="BL37" s="285"/>
      <c r="BM37" s="285"/>
      <c r="BN37" s="285"/>
      <c r="BO37" s="285"/>
      <c r="BP37" s="285"/>
      <c r="BQ37" s="285"/>
      <c r="BR37" s="285"/>
      <c r="BS37" s="285"/>
      <c r="BT37" s="285"/>
      <c r="BU37" s="285"/>
      <c r="BV37" s="285"/>
      <c r="BW37" s="285"/>
      <c r="BX37" s="285"/>
      <c r="BY37" s="285"/>
      <c r="BZ37" s="285"/>
      <c r="CA37" s="285"/>
      <c r="CB37" s="285"/>
      <c r="CC37" s="285"/>
      <c r="CD37" s="285"/>
      <c r="CE37" s="285"/>
      <c r="CF37" s="285"/>
      <c r="CG37" s="285"/>
      <c r="EZ37" s="342"/>
    </row>
    <row r="38" spans="1:156" ht="18">
      <c r="A38" s="818"/>
      <c r="B38" s="286"/>
      <c r="C38" s="286"/>
      <c r="D38" s="286"/>
      <c r="E38" s="286"/>
      <c r="F38" s="286"/>
      <c r="G38" s="286"/>
      <c r="H38" s="286"/>
      <c r="I38" s="286"/>
      <c r="J38" s="286"/>
      <c r="K38" s="286"/>
      <c r="L38" s="286"/>
      <c r="M38" s="286"/>
      <c r="N38" s="286"/>
      <c r="O38" s="286"/>
      <c r="P38" s="286"/>
      <c r="Q38" s="286"/>
      <c r="R38" s="286"/>
      <c r="S38" s="286"/>
      <c r="T38" s="286"/>
      <c r="U38" s="286"/>
      <c r="V38" s="286"/>
      <c r="W38" s="286"/>
      <c r="X38" s="286"/>
      <c r="Y38" s="286"/>
      <c r="Z38" s="286"/>
      <c r="AA38" s="286"/>
      <c r="AB38" s="286"/>
      <c r="AC38" s="286"/>
      <c r="AD38" s="286"/>
      <c r="AE38" s="286"/>
      <c r="AF38" s="286"/>
      <c r="AG38" s="286"/>
      <c r="AH38" s="286"/>
      <c r="AI38" s="286"/>
      <c r="AJ38" s="286"/>
      <c r="AK38" s="286"/>
      <c r="AL38" s="286"/>
      <c r="AM38" s="286"/>
      <c r="AN38" s="286"/>
      <c r="AO38" s="286"/>
      <c r="AP38" s="286"/>
      <c r="AQ38" s="286"/>
      <c r="AR38" s="286"/>
      <c r="AS38" s="286"/>
      <c r="AT38" s="286"/>
      <c r="AU38" s="286"/>
      <c r="AV38" s="286"/>
      <c r="AW38" s="286"/>
      <c r="AX38" s="286"/>
      <c r="AY38" s="286"/>
      <c r="AZ38" s="286"/>
      <c r="BA38" s="286"/>
      <c r="BB38" s="286"/>
      <c r="BC38" s="286"/>
      <c r="BD38" s="286"/>
      <c r="BE38" s="286"/>
      <c r="BF38" s="286"/>
      <c r="BG38" s="286"/>
      <c r="BH38" s="286"/>
      <c r="BI38" s="286"/>
      <c r="BJ38" s="286"/>
      <c r="BK38" s="286"/>
      <c r="BL38" s="286"/>
      <c r="BM38" s="286"/>
      <c r="BN38" s="286"/>
      <c r="BO38" s="286"/>
      <c r="BP38" s="286"/>
      <c r="BQ38" s="286"/>
      <c r="BR38" s="286"/>
      <c r="BS38" s="286"/>
      <c r="BT38" s="286"/>
      <c r="BU38" s="286"/>
      <c r="BV38" s="286"/>
      <c r="BW38" s="286"/>
      <c r="BX38" s="286"/>
      <c r="BY38" s="286"/>
      <c r="BZ38" s="286"/>
      <c r="CA38" s="286"/>
      <c r="CB38" s="286"/>
      <c r="CC38" s="286"/>
      <c r="CD38" s="286"/>
      <c r="CE38" s="286"/>
      <c r="CF38" s="286"/>
      <c r="CG38" s="286"/>
      <c r="EZ38" s="342"/>
    </row>
    <row r="39" spans="1:156" ht="18">
      <c r="A39" s="817"/>
      <c r="B39" s="285"/>
      <c r="C39" s="285"/>
      <c r="D39" s="285"/>
      <c r="E39" s="285"/>
      <c r="F39" s="285"/>
      <c r="G39" s="285"/>
      <c r="H39" s="285"/>
      <c r="I39" s="285"/>
      <c r="J39" s="285"/>
      <c r="K39" s="285"/>
      <c r="L39" s="285"/>
      <c r="M39" s="285"/>
      <c r="N39" s="285"/>
      <c r="O39" s="285"/>
      <c r="P39" s="285"/>
      <c r="Q39" s="285"/>
      <c r="R39" s="285"/>
      <c r="S39" s="285"/>
      <c r="T39" s="285"/>
      <c r="U39" s="285"/>
      <c r="V39" s="285"/>
      <c r="W39" s="285"/>
      <c r="X39" s="285"/>
      <c r="Y39" s="285"/>
      <c r="Z39" s="285"/>
      <c r="AA39" s="285"/>
      <c r="AB39" s="285"/>
      <c r="AC39" s="285"/>
      <c r="AD39" s="285"/>
      <c r="AE39" s="285"/>
      <c r="AF39" s="285"/>
      <c r="AG39" s="285"/>
      <c r="AH39" s="285"/>
      <c r="AI39" s="285"/>
      <c r="AJ39" s="285"/>
      <c r="AK39" s="285"/>
      <c r="AL39" s="285"/>
      <c r="AM39" s="285"/>
      <c r="AN39" s="285"/>
      <c r="AO39" s="285"/>
      <c r="AP39" s="285"/>
      <c r="AQ39" s="285"/>
      <c r="AR39" s="285"/>
      <c r="AS39" s="285"/>
      <c r="AT39" s="285"/>
      <c r="AU39" s="285"/>
      <c r="AV39" s="285"/>
      <c r="AW39" s="285"/>
      <c r="AX39" s="285"/>
      <c r="AY39" s="285"/>
      <c r="AZ39" s="285"/>
      <c r="BA39" s="285"/>
      <c r="BB39" s="285"/>
      <c r="BC39" s="285"/>
      <c r="BD39" s="285"/>
      <c r="BE39" s="285"/>
      <c r="BF39" s="285"/>
      <c r="BG39" s="285"/>
      <c r="BH39" s="285"/>
      <c r="BI39" s="285"/>
      <c r="BJ39" s="285"/>
      <c r="BK39" s="285"/>
      <c r="BL39" s="285"/>
      <c r="BM39" s="285"/>
      <c r="BN39" s="285"/>
      <c r="BO39" s="285"/>
      <c r="BP39" s="285"/>
      <c r="BQ39" s="285"/>
      <c r="BR39" s="285"/>
      <c r="BS39" s="285"/>
      <c r="BT39" s="285"/>
      <c r="BU39" s="285"/>
      <c r="BV39" s="285"/>
      <c r="BW39" s="285"/>
      <c r="BX39" s="285"/>
      <c r="BY39" s="285"/>
      <c r="BZ39" s="285"/>
      <c r="CA39" s="285"/>
      <c r="CB39" s="285"/>
      <c r="CC39" s="285"/>
      <c r="CD39" s="285"/>
      <c r="CE39" s="285"/>
      <c r="CF39" s="285"/>
      <c r="CG39" s="285"/>
      <c r="EZ39" s="342"/>
    </row>
    <row r="40" spans="1:156" ht="18">
      <c r="A40" s="818"/>
      <c r="B40" s="286"/>
      <c r="C40" s="286"/>
      <c r="D40" s="286"/>
      <c r="E40" s="286"/>
      <c r="F40" s="286"/>
      <c r="G40" s="286"/>
      <c r="H40" s="286"/>
      <c r="I40" s="286"/>
      <c r="J40" s="286"/>
      <c r="K40" s="286"/>
      <c r="L40" s="286"/>
      <c r="M40" s="286"/>
      <c r="N40" s="286"/>
      <c r="O40" s="286"/>
      <c r="P40" s="286"/>
      <c r="Q40" s="286"/>
      <c r="R40" s="286"/>
      <c r="S40" s="286"/>
      <c r="T40" s="286"/>
      <c r="U40" s="286"/>
      <c r="V40" s="286"/>
      <c r="W40" s="286"/>
      <c r="X40" s="286"/>
      <c r="Y40" s="286"/>
      <c r="Z40" s="286"/>
      <c r="AA40" s="286"/>
      <c r="AB40" s="286"/>
      <c r="AC40" s="286"/>
      <c r="AD40" s="286"/>
      <c r="AE40" s="286"/>
      <c r="AF40" s="286"/>
      <c r="AG40" s="286"/>
      <c r="AH40" s="286"/>
      <c r="AI40" s="286"/>
      <c r="AJ40" s="286"/>
      <c r="AK40" s="286"/>
      <c r="AL40" s="286"/>
      <c r="AM40" s="286"/>
      <c r="AN40" s="286"/>
      <c r="AO40" s="286"/>
      <c r="AP40" s="286"/>
      <c r="AQ40" s="286"/>
      <c r="AR40" s="286"/>
      <c r="AS40" s="286"/>
      <c r="AT40" s="286"/>
      <c r="AU40" s="286"/>
      <c r="AV40" s="286"/>
      <c r="AW40" s="286"/>
      <c r="AX40" s="286"/>
      <c r="AY40" s="286"/>
      <c r="AZ40" s="286"/>
      <c r="BA40" s="286"/>
      <c r="BB40" s="286"/>
      <c r="BC40" s="286"/>
      <c r="BD40" s="286"/>
      <c r="BE40" s="286"/>
      <c r="BF40" s="286"/>
      <c r="BG40" s="286"/>
      <c r="BH40" s="286"/>
      <c r="BI40" s="286"/>
      <c r="BJ40" s="286"/>
      <c r="BK40" s="286"/>
      <c r="BL40" s="286"/>
      <c r="BM40" s="286"/>
      <c r="BN40" s="286"/>
      <c r="BO40" s="286"/>
      <c r="BP40" s="286"/>
      <c r="BQ40" s="286"/>
      <c r="BR40" s="286"/>
      <c r="BS40" s="286"/>
      <c r="BT40" s="286"/>
      <c r="BU40" s="286"/>
      <c r="BV40" s="286"/>
      <c r="BW40" s="286"/>
      <c r="BX40" s="286"/>
      <c r="BY40" s="286"/>
      <c r="BZ40" s="286"/>
      <c r="CA40" s="286"/>
      <c r="CB40" s="286"/>
      <c r="CC40" s="286"/>
      <c r="CD40" s="286"/>
      <c r="CE40" s="286"/>
      <c r="CF40" s="286"/>
      <c r="CG40" s="286"/>
      <c r="EZ40" s="342"/>
    </row>
    <row r="41" spans="1:156" ht="18">
      <c r="A41" s="817"/>
      <c r="B41" s="285"/>
      <c r="C41" s="285"/>
      <c r="D41" s="285"/>
      <c r="E41" s="285"/>
      <c r="F41" s="285"/>
      <c r="G41" s="285"/>
      <c r="H41" s="285"/>
      <c r="I41" s="285"/>
      <c r="J41" s="285"/>
      <c r="K41" s="285"/>
      <c r="L41" s="285"/>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5"/>
      <c r="AR41" s="285"/>
      <c r="AS41" s="285"/>
      <c r="AT41" s="285"/>
      <c r="AU41" s="285"/>
      <c r="AV41" s="285"/>
      <c r="AW41" s="285"/>
      <c r="AX41" s="285"/>
      <c r="AY41" s="285"/>
      <c r="AZ41" s="285"/>
      <c r="BA41" s="285"/>
      <c r="BB41" s="285"/>
      <c r="BC41" s="285"/>
      <c r="BD41" s="285"/>
      <c r="BE41" s="285"/>
      <c r="BF41" s="285"/>
      <c r="BG41" s="285"/>
      <c r="BH41" s="285"/>
      <c r="BI41" s="285"/>
      <c r="BJ41" s="285"/>
      <c r="BK41" s="285"/>
      <c r="BL41" s="285"/>
      <c r="BM41" s="285"/>
      <c r="BN41" s="285"/>
      <c r="BO41" s="285"/>
      <c r="BP41" s="285"/>
      <c r="BQ41" s="285"/>
      <c r="BR41" s="285"/>
      <c r="BS41" s="285"/>
      <c r="BT41" s="285"/>
      <c r="BU41" s="285"/>
      <c r="BV41" s="285"/>
      <c r="BW41" s="285"/>
      <c r="BX41" s="285"/>
      <c r="BY41" s="285"/>
      <c r="BZ41" s="285"/>
      <c r="CA41" s="285"/>
      <c r="CB41" s="285"/>
      <c r="CC41" s="285"/>
      <c r="CD41" s="285"/>
      <c r="CE41" s="285"/>
      <c r="CF41" s="285"/>
      <c r="CG41" s="285"/>
      <c r="EZ41" s="342"/>
    </row>
    <row r="42" spans="1:156" ht="18">
      <c r="A42" s="819"/>
      <c r="B42" s="285"/>
      <c r="C42" s="285"/>
      <c r="D42" s="285"/>
      <c r="E42" s="285"/>
      <c r="F42" s="285"/>
      <c r="G42" s="285"/>
      <c r="H42" s="285"/>
      <c r="I42" s="285"/>
      <c r="J42" s="285"/>
      <c r="K42" s="285"/>
      <c r="L42" s="285"/>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5"/>
      <c r="AR42" s="285"/>
      <c r="AS42" s="285"/>
      <c r="AT42" s="285"/>
      <c r="AU42" s="285"/>
      <c r="AV42" s="285"/>
      <c r="AW42" s="285"/>
      <c r="AX42" s="285"/>
      <c r="AY42" s="285"/>
      <c r="AZ42" s="285"/>
      <c r="BA42" s="285"/>
      <c r="BB42" s="285"/>
      <c r="BC42" s="285"/>
      <c r="BD42" s="285"/>
      <c r="BE42" s="285"/>
      <c r="BF42" s="285"/>
      <c r="BG42" s="285"/>
      <c r="BH42" s="285"/>
      <c r="BI42" s="285"/>
      <c r="BJ42" s="285"/>
      <c r="BK42" s="285"/>
      <c r="BL42" s="285"/>
      <c r="BM42" s="285"/>
      <c r="BN42" s="285"/>
      <c r="BO42" s="285"/>
      <c r="BP42" s="285"/>
      <c r="BQ42" s="285"/>
      <c r="BR42" s="285"/>
      <c r="BS42" s="285"/>
      <c r="BT42" s="285"/>
      <c r="BU42" s="285"/>
      <c r="BV42" s="285"/>
      <c r="BW42" s="285"/>
      <c r="BX42" s="285"/>
      <c r="BY42" s="285"/>
      <c r="BZ42" s="285"/>
      <c r="CA42" s="285"/>
      <c r="CB42" s="285"/>
      <c r="CC42" s="285"/>
      <c r="CD42" s="285"/>
      <c r="CE42" s="285"/>
      <c r="CF42" s="285"/>
      <c r="CG42" s="285"/>
      <c r="EZ42" s="342"/>
    </row>
    <row r="43" spans="1:156" ht="18">
      <c r="A43" s="820"/>
      <c r="B43" s="286"/>
      <c r="C43" s="286"/>
      <c r="D43" s="286"/>
      <c r="E43" s="286"/>
      <c r="F43" s="286"/>
      <c r="G43" s="286"/>
      <c r="H43" s="286"/>
      <c r="I43" s="286"/>
      <c r="J43" s="286"/>
      <c r="K43" s="286"/>
      <c r="L43" s="286"/>
      <c r="M43" s="286"/>
      <c r="N43" s="286"/>
      <c r="O43" s="286"/>
      <c r="P43" s="286"/>
      <c r="Q43" s="286"/>
      <c r="R43" s="286"/>
      <c r="S43" s="286"/>
      <c r="T43" s="286"/>
      <c r="U43" s="286"/>
      <c r="V43" s="286"/>
      <c r="W43" s="286"/>
      <c r="X43" s="286"/>
      <c r="Y43" s="286"/>
      <c r="Z43" s="286"/>
      <c r="AA43" s="286"/>
      <c r="AB43" s="286"/>
      <c r="AC43" s="286"/>
      <c r="AD43" s="286"/>
      <c r="AE43" s="286"/>
      <c r="AF43" s="286"/>
      <c r="AG43" s="286"/>
      <c r="AH43" s="286"/>
      <c r="AI43" s="286"/>
      <c r="AJ43" s="286"/>
      <c r="AK43" s="286"/>
      <c r="AL43" s="286"/>
      <c r="AM43" s="286"/>
      <c r="AN43" s="286"/>
      <c r="AO43" s="286"/>
      <c r="AP43" s="286"/>
      <c r="AQ43" s="286"/>
      <c r="AR43" s="286"/>
      <c r="AS43" s="286"/>
      <c r="AT43" s="286"/>
      <c r="AU43" s="286"/>
      <c r="AV43" s="286"/>
      <c r="AW43" s="286"/>
      <c r="AX43" s="286"/>
      <c r="AY43" s="286"/>
      <c r="AZ43" s="286"/>
      <c r="BA43" s="286"/>
      <c r="BB43" s="286"/>
      <c r="BC43" s="286"/>
      <c r="BD43" s="286"/>
      <c r="BE43" s="286"/>
      <c r="BF43" s="286"/>
      <c r="BG43" s="286"/>
      <c r="BH43" s="286"/>
      <c r="BI43" s="286"/>
      <c r="BJ43" s="286"/>
      <c r="BK43" s="286"/>
      <c r="BL43" s="286"/>
      <c r="BM43" s="286"/>
      <c r="BN43" s="286"/>
      <c r="BO43" s="286"/>
      <c r="BP43" s="286"/>
      <c r="BQ43" s="286"/>
      <c r="BR43" s="286"/>
      <c r="BS43" s="286"/>
      <c r="BT43" s="286"/>
      <c r="BU43" s="286"/>
      <c r="BV43" s="286"/>
      <c r="BW43" s="286"/>
      <c r="BX43" s="286"/>
      <c r="BY43" s="286"/>
      <c r="BZ43" s="286"/>
      <c r="CA43" s="286"/>
      <c r="CB43" s="286"/>
      <c r="CC43" s="286"/>
      <c r="CD43" s="286"/>
      <c r="CE43" s="286"/>
      <c r="CF43" s="286"/>
      <c r="CG43" s="286"/>
      <c r="EZ43" s="342"/>
    </row>
    <row r="44" spans="1:156" ht="18">
      <c r="A44" s="817"/>
      <c r="B44" s="285"/>
      <c r="C44" s="285"/>
      <c r="D44" s="285"/>
      <c r="E44" s="285"/>
      <c r="F44" s="285"/>
      <c r="G44" s="285"/>
      <c r="H44" s="285"/>
      <c r="I44" s="285"/>
      <c r="J44" s="285"/>
      <c r="K44" s="285"/>
      <c r="L44" s="285"/>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5"/>
      <c r="AR44" s="285"/>
      <c r="AS44" s="285"/>
      <c r="AT44" s="285"/>
      <c r="AU44" s="285"/>
      <c r="AV44" s="285"/>
      <c r="AW44" s="285"/>
      <c r="AX44" s="285"/>
      <c r="AY44" s="285"/>
      <c r="AZ44" s="285"/>
      <c r="BA44" s="285"/>
      <c r="BB44" s="285"/>
      <c r="BC44" s="285"/>
      <c r="BD44" s="285"/>
      <c r="BE44" s="285"/>
      <c r="BF44" s="285"/>
      <c r="BG44" s="285"/>
      <c r="BH44" s="285"/>
      <c r="BI44" s="285"/>
      <c r="BJ44" s="285"/>
      <c r="BK44" s="285"/>
      <c r="BL44" s="285"/>
      <c r="BM44" s="285"/>
      <c r="BN44" s="285"/>
      <c r="BO44" s="285"/>
      <c r="BP44" s="285"/>
      <c r="BQ44" s="285"/>
      <c r="BR44" s="285"/>
      <c r="BS44" s="285"/>
      <c r="BT44" s="285"/>
      <c r="BU44" s="285"/>
      <c r="BV44" s="285"/>
      <c r="BW44" s="285"/>
      <c r="BX44" s="285"/>
      <c r="BY44" s="285"/>
      <c r="BZ44" s="285"/>
      <c r="CA44" s="285"/>
      <c r="CB44" s="285"/>
      <c r="CC44" s="285"/>
      <c r="CD44" s="285"/>
      <c r="CE44" s="285"/>
      <c r="CF44" s="285"/>
      <c r="CG44" s="285"/>
      <c r="EZ44" s="342"/>
    </row>
    <row r="45" spans="1:156" ht="18">
      <c r="A45" s="818"/>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6"/>
      <c r="AE45" s="286"/>
      <c r="AF45" s="286"/>
      <c r="AG45" s="286"/>
      <c r="AH45" s="286"/>
      <c r="AI45" s="286"/>
      <c r="AJ45" s="286"/>
      <c r="AK45" s="286"/>
      <c r="AL45" s="286"/>
      <c r="AM45" s="286"/>
      <c r="AN45" s="286"/>
      <c r="AO45" s="286"/>
      <c r="AP45" s="286"/>
      <c r="AQ45" s="286"/>
      <c r="AR45" s="286"/>
      <c r="AS45" s="286"/>
      <c r="AT45" s="286"/>
      <c r="AU45" s="286"/>
      <c r="AV45" s="286"/>
      <c r="AW45" s="286"/>
      <c r="AX45" s="286"/>
      <c r="AY45" s="286"/>
      <c r="AZ45" s="286"/>
      <c r="BA45" s="286"/>
      <c r="BB45" s="286"/>
      <c r="BC45" s="286"/>
      <c r="BD45" s="286"/>
      <c r="BE45" s="286"/>
      <c r="BF45" s="286"/>
      <c r="BG45" s="286"/>
      <c r="BH45" s="286"/>
      <c r="BI45" s="286"/>
      <c r="BJ45" s="286"/>
      <c r="BK45" s="286"/>
      <c r="BL45" s="286"/>
      <c r="BM45" s="286"/>
      <c r="BN45" s="286"/>
      <c r="BO45" s="286"/>
      <c r="BP45" s="286"/>
      <c r="BQ45" s="286"/>
      <c r="BR45" s="286"/>
      <c r="BS45" s="286"/>
      <c r="BT45" s="286"/>
      <c r="BU45" s="286"/>
      <c r="BV45" s="286"/>
      <c r="BW45" s="286"/>
      <c r="BX45" s="286"/>
      <c r="BY45" s="286"/>
      <c r="BZ45" s="286"/>
      <c r="CA45" s="286"/>
      <c r="CB45" s="286"/>
      <c r="CC45" s="286"/>
      <c r="CD45" s="286"/>
      <c r="CE45" s="286"/>
      <c r="CF45" s="286"/>
      <c r="CG45" s="286"/>
      <c r="EZ45" s="342"/>
    </row>
    <row r="46" spans="1:156" ht="18">
      <c r="A46" s="817"/>
      <c r="B46" s="285"/>
      <c r="C46" s="285"/>
      <c r="D46" s="285"/>
      <c r="E46" s="285"/>
      <c r="F46" s="285"/>
      <c r="G46" s="285"/>
      <c r="H46" s="285"/>
      <c r="I46" s="285"/>
      <c r="J46" s="285"/>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5"/>
      <c r="AR46" s="285"/>
      <c r="AS46" s="285"/>
      <c r="AT46" s="285"/>
      <c r="AU46" s="285"/>
      <c r="AV46" s="285"/>
      <c r="AW46" s="285"/>
      <c r="AX46" s="285"/>
      <c r="AY46" s="285"/>
      <c r="AZ46" s="285"/>
      <c r="BA46" s="285"/>
      <c r="BB46" s="285"/>
      <c r="BC46" s="285"/>
      <c r="BD46" s="285"/>
      <c r="BE46" s="285"/>
      <c r="BF46" s="285"/>
      <c r="BG46" s="285"/>
      <c r="BH46" s="285"/>
      <c r="BI46" s="285"/>
      <c r="BJ46" s="285"/>
      <c r="BK46" s="285"/>
      <c r="BL46" s="285"/>
      <c r="BM46" s="285"/>
      <c r="BN46" s="285"/>
      <c r="BO46" s="285"/>
      <c r="BP46" s="285"/>
      <c r="BQ46" s="285"/>
      <c r="BR46" s="285"/>
      <c r="BS46" s="285"/>
      <c r="BT46" s="285"/>
      <c r="BU46" s="285"/>
      <c r="BV46" s="285"/>
      <c r="BW46" s="285"/>
      <c r="BX46" s="285"/>
      <c r="BY46" s="285"/>
      <c r="BZ46" s="285"/>
      <c r="CA46" s="285"/>
      <c r="CB46" s="285"/>
      <c r="CC46" s="285"/>
      <c r="CD46" s="285"/>
      <c r="CE46" s="285"/>
      <c r="CF46" s="285"/>
      <c r="CG46" s="285"/>
      <c r="EZ46" s="342"/>
    </row>
    <row r="47" spans="1:156" ht="18">
      <c r="A47" s="818"/>
      <c r="B47" s="286"/>
      <c r="C47" s="286"/>
      <c r="D47" s="286"/>
      <c r="E47" s="286"/>
      <c r="F47" s="286"/>
      <c r="G47" s="286"/>
      <c r="H47" s="286"/>
      <c r="I47" s="286"/>
      <c r="J47" s="286"/>
      <c r="K47" s="286"/>
      <c r="L47" s="286"/>
      <c r="M47" s="286"/>
      <c r="N47" s="286"/>
      <c r="O47" s="286"/>
      <c r="P47" s="286"/>
      <c r="Q47" s="286"/>
      <c r="R47" s="286"/>
      <c r="S47" s="286"/>
      <c r="T47" s="286"/>
      <c r="U47" s="286"/>
      <c r="V47" s="286"/>
      <c r="W47" s="286"/>
      <c r="X47" s="286"/>
      <c r="Y47" s="286"/>
      <c r="Z47" s="286"/>
      <c r="AA47" s="286"/>
      <c r="AB47" s="286"/>
      <c r="AC47" s="286"/>
      <c r="AD47" s="286"/>
      <c r="AE47" s="286"/>
      <c r="AF47" s="286"/>
      <c r="AG47" s="286"/>
      <c r="AH47" s="286"/>
      <c r="AI47" s="286"/>
      <c r="AJ47" s="286"/>
      <c r="AK47" s="286"/>
      <c r="AL47" s="286"/>
      <c r="AM47" s="286"/>
      <c r="AN47" s="286"/>
      <c r="AO47" s="286"/>
      <c r="AP47" s="286"/>
      <c r="AQ47" s="286"/>
      <c r="AR47" s="286"/>
      <c r="AS47" s="286"/>
      <c r="AT47" s="286"/>
      <c r="AU47" s="286"/>
      <c r="AV47" s="286"/>
      <c r="AW47" s="286"/>
      <c r="AX47" s="286"/>
      <c r="AY47" s="286"/>
      <c r="AZ47" s="286"/>
      <c r="BA47" s="286"/>
      <c r="BB47" s="286"/>
      <c r="BC47" s="286"/>
      <c r="BD47" s="286"/>
      <c r="BE47" s="286"/>
      <c r="BF47" s="286"/>
      <c r="BG47" s="286"/>
      <c r="BH47" s="286"/>
      <c r="BI47" s="286"/>
      <c r="BJ47" s="286"/>
      <c r="BK47" s="286"/>
      <c r="BL47" s="286"/>
      <c r="BM47" s="286"/>
      <c r="BN47" s="286"/>
      <c r="BO47" s="286"/>
      <c r="BP47" s="286"/>
      <c r="BQ47" s="286"/>
      <c r="BR47" s="286"/>
      <c r="BS47" s="286"/>
      <c r="BT47" s="286"/>
      <c r="BU47" s="286"/>
      <c r="BV47" s="286"/>
      <c r="BW47" s="286"/>
      <c r="BX47" s="286"/>
      <c r="BY47" s="286"/>
      <c r="BZ47" s="286"/>
      <c r="CA47" s="286"/>
      <c r="CB47" s="286"/>
      <c r="CC47" s="286"/>
      <c r="CD47" s="286"/>
      <c r="CE47" s="286"/>
      <c r="CF47" s="286"/>
      <c r="CG47" s="286"/>
      <c r="EZ47" s="342"/>
    </row>
    <row r="48" spans="1:156" ht="18">
      <c r="A48" s="817"/>
      <c r="B48" s="285"/>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5"/>
      <c r="AR48" s="285"/>
      <c r="AS48" s="285"/>
      <c r="AT48" s="285"/>
      <c r="AU48" s="285"/>
      <c r="AV48" s="285"/>
      <c r="AW48" s="285"/>
      <c r="AX48" s="285"/>
      <c r="AY48" s="285"/>
      <c r="AZ48" s="285"/>
      <c r="BA48" s="285"/>
      <c r="BB48" s="285"/>
      <c r="BC48" s="285"/>
      <c r="BD48" s="285"/>
      <c r="BE48" s="285"/>
      <c r="BF48" s="285"/>
      <c r="BG48" s="285"/>
      <c r="BH48" s="285"/>
      <c r="BI48" s="285"/>
      <c r="BJ48" s="285"/>
      <c r="BK48" s="285"/>
      <c r="BL48" s="285"/>
      <c r="BM48" s="285"/>
      <c r="BN48" s="285"/>
      <c r="BO48" s="285"/>
      <c r="BP48" s="285"/>
      <c r="BQ48" s="285"/>
      <c r="BR48" s="285"/>
      <c r="BS48" s="285"/>
      <c r="BT48" s="285"/>
      <c r="BU48" s="285"/>
      <c r="BV48" s="285"/>
      <c r="BW48" s="285"/>
      <c r="BX48" s="285"/>
      <c r="BY48" s="285"/>
      <c r="BZ48" s="285"/>
      <c r="CA48" s="285"/>
      <c r="CB48" s="285"/>
      <c r="CC48" s="285"/>
      <c r="CD48" s="285"/>
      <c r="CE48" s="285"/>
      <c r="CF48" s="285"/>
      <c r="CG48" s="285"/>
      <c r="EZ48" s="342"/>
    </row>
    <row r="49" spans="1:156" ht="18">
      <c r="A49" s="821"/>
      <c r="B49" s="343"/>
      <c r="C49" s="343"/>
      <c r="D49" s="343"/>
      <c r="E49" s="343"/>
      <c r="F49" s="343"/>
      <c r="G49" s="343"/>
      <c r="H49" s="343"/>
      <c r="I49" s="343"/>
      <c r="J49" s="343"/>
      <c r="K49" s="343"/>
      <c r="L49" s="343"/>
      <c r="M49" s="343"/>
      <c r="N49" s="343"/>
      <c r="O49" s="343"/>
      <c r="P49" s="343"/>
      <c r="Q49" s="343"/>
      <c r="R49" s="343"/>
      <c r="S49" s="343"/>
      <c r="T49" s="343"/>
      <c r="U49" s="343"/>
      <c r="V49" s="343"/>
      <c r="W49" s="343"/>
      <c r="X49" s="343"/>
      <c r="Y49" s="343"/>
      <c r="Z49" s="343"/>
      <c r="AA49" s="343"/>
      <c r="AB49" s="343"/>
      <c r="AC49" s="343"/>
      <c r="AD49" s="343"/>
      <c r="AE49" s="343"/>
      <c r="AF49" s="343"/>
      <c r="AG49" s="343"/>
      <c r="AH49" s="343"/>
      <c r="AI49" s="343"/>
      <c r="AJ49" s="343"/>
      <c r="AK49" s="343"/>
      <c r="AL49" s="343"/>
      <c r="AM49" s="343"/>
      <c r="AN49" s="343"/>
      <c r="AO49" s="343"/>
      <c r="AP49" s="343"/>
      <c r="AQ49" s="343"/>
      <c r="AR49" s="343"/>
      <c r="AS49" s="343"/>
      <c r="AT49" s="343"/>
      <c r="AU49" s="343"/>
      <c r="AV49" s="343"/>
      <c r="AW49" s="343"/>
      <c r="AX49" s="343"/>
      <c r="AY49" s="343"/>
      <c r="AZ49" s="343"/>
      <c r="BA49" s="343"/>
      <c r="BB49" s="343"/>
      <c r="BC49" s="343"/>
      <c r="BD49" s="343"/>
      <c r="BE49" s="343"/>
      <c r="BF49" s="343"/>
      <c r="BG49" s="343"/>
      <c r="BH49" s="343"/>
      <c r="BI49" s="343"/>
      <c r="BJ49" s="343"/>
      <c r="BK49" s="343"/>
      <c r="BL49" s="343"/>
      <c r="BM49" s="343"/>
      <c r="BN49" s="343"/>
      <c r="BO49" s="343"/>
      <c r="BP49" s="343"/>
      <c r="BQ49" s="343"/>
      <c r="BR49" s="343"/>
      <c r="BS49" s="343"/>
      <c r="BT49" s="343"/>
      <c r="BU49" s="343"/>
      <c r="BV49" s="343"/>
      <c r="BW49" s="343"/>
      <c r="BX49" s="343"/>
      <c r="BY49" s="343"/>
      <c r="BZ49" s="343"/>
      <c r="CA49" s="343"/>
      <c r="CB49" s="343"/>
      <c r="CC49" s="343"/>
      <c r="CD49" s="343"/>
      <c r="CE49" s="343"/>
      <c r="CF49" s="343"/>
      <c r="CG49" s="343"/>
      <c r="EZ49" s="342"/>
    </row>
    <row r="50" spans="1:156" ht="18.75">
      <c r="A50" s="822"/>
      <c r="B50" s="343"/>
      <c r="C50" s="343"/>
      <c r="D50" s="343"/>
      <c r="E50" s="343"/>
      <c r="F50" s="343"/>
      <c r="G50" s="343"/>
      <c r="H50" s="343"/>
      <c r="I50" s="343"/>
      <c r="J50" s="343"/>
      <c r="K50" s="343"/>
      <c r="L50" s="343"/>
      <c r="M50" s="343"/>
      <c r="N50" s="343"/>
      <c r="O50" s="343"/>
      <c r="P50" s="343"/>
      <c r="Q50" s="343"/>
      <c r="R50" s="343"/>
      <c r="S50" s="343"/>
      <c r="T50" s="343"/>
      <c r="U50" s="343"/>
      <c r="V50" s="343"/>
      <c r="W50" s="343"/>
      <c r="X50" s="343"/>
      <c r="Y50" s="343"/>
      <c r="Z50" s="343"/>
      <c r="AA50" s="343"/>
      <c r="AB50" s="343"/>
      <c r="AC50" s="343"/>
      <c r="AD50" s="343"/>
      <c r="AE50" s="343"/>
      <c r="AF50" s="343"/>
      <c r="AG50" s="343"/>
      <c r="AH50" s="343"/>
      <c r="AI50" s="343"/>
      <c r="AJ50" s="343"/>
      <c r="AK50" s="343"/>
      <c r="AL50" s="343"/>
      <c r="AM50" s="343"/>
      <c r="AN50" s="343"/>
      <c r="AO50" s="343"/>
      <c r="AP50" s="343"/>
      <c r="AQ50" s="343"/>
      <c r="AR50" s="343"/>
      <c r="AS50" s="343"/>
      <c r="AT50" s="343"/>
      <c r="AU50" s="343"/>
      <c r="AV50" s="343"/>
      <c r="AW50" s="343"/>
      <c r="AX50" s="343"/>
      <c r="AY50" s="343"/>
      <c r="AZ50" s="343"/>
      <c r="BA50" s="343"/>
      <c r="BB50" s="343"/>
      <c r="BC50" s="343"/>
      <c r="BD50" s="343"/>
      <c r="BE50" s="343"/>
      <c r="BF50" s="343"/>
      <c r="BG50" s="343"/>
      <c r="BH50" s="343"/>
      <c r="BI50" s="343"/>
      <c r="BJ50" s="343"/>
      <c r="BK50" s="343"/>
      <c r="BL50" s="343"/>
      <c r="BM50" s="343"/>
      <c r="BN50" s="343"/>
      <c r="BO50" s="343"/>
      <c r="BP50" s="343"/>
      <c r="BQ50" s="343"/>
      <c r="BR50" s="343"/>
      <c r="BS50" s="343"/>
      <c r="BT50" s="343"/>
      <c r="BU50" s="343"/>
      <c r="BV50" s="343"/>
      <c r="BW50" s="343"/>
      <c r="BX50" s="343"/>
      <c r="BY50" s="343"/>
      <c r="BZ50" s="343"/>
      <c r="CA50" s="343"/>
      <c r="CB50" s="343"/>
      <c r="CC50" s="343"/>
      <c r="CD50" s="343"/>
      <c r="CE50" s="343"/>
      <c r="CF50" s="343"/>
      <c r="CG50" s="343"/>
      <c r="EZ50" s="342"/>
    </row>
    <row r="51" spans="1:156">
      <c r="A51" s="823"/>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c r="BS51" s="417"/>
      <c r="BT51" s="417"/>
      <c r="BU51" s="417"/>
      <c r="BV51" s="417"/>
      <c r="BW51" s="417"/>
      <c r="BX51" s="417"/>
      <c r="BY51" s="417"/>
      <c r="BZ51" s="417"/>
      <c r="CA51" s="417"/>
      <c r="CB51" s="417"/>
      <c r="CC51" s="417"/>
      <c r="CD51" s="417"/>
      <c r="CE51" s="417"/>
      <c r="CF51" s="417"/>
      <c r="CG51" s="417"/>
      <c r="EZ51" s="342"/>
    </row>
    <row r="52" spans="1:156">
      <c r="A52" s="823"/>
      <c r="B52" s="417"/>
      <c r="C52" s="417"/>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c r="AC52" s="417"/>
      <c r="AD52" s="417"/>
      <c r="AE52" s="417"/>
      <c r="AF52" s="417"/>
      <c r="AG52" s="417"/>
      <c r="AH52" s="417"/>
      <c r="AI52" s="417"/>
      <c r="AJ52" s="417"/>
      <c r="AK52" s="417"/>
      <c r="AL52" s="417"/>
      <c r="AM52" s="417"/>
      <c r="AN52" s="417"/>
      <c r="AO52" s="417"/>
      <c r="AP52" s="417"/>
      <c r="AQ52" s="417"/>
      <c r="AR52" s="417"/>
      <c r="AS52" s="417"/>
      <c r="AT52" s="417"/>
      <c r="AU52" s="417"/>
      <c r="AV52" s="417"/>
      <c r="AW52" s="417"/>
      <c r="AX52" s="417"/>
      <c r="AY52" s="417"/>
      <c r="AZ52" s="417"/>
      <c r="BA52" s="417"/>
      <c r="BB52" s="417"/>
      <c r="BC52" s="417"/>
      <c r="BD52" s="417"/>
      <c r="BE52" s="417"/>
      <c r="BF52" s="417"/>
      <c r="BG52" s="417"/>
      <c r="BH52" s="417"/>
      <c r="BI52" s="417"/>
      <c r="BJ52" s="417"/>
      <c r="BK52" s="417"/>
      <c r="BL52" s="417"/>
      <c r="BM52" s="417"/>
      <c r="BN52" s="417"/>
      <c r="BO52" s="417"/>
      <c r="BP52" s="417"/>
      <c r="BQ52" s="417"/>
      <c r="BR52" s="417"/>
      <c r="BS52" s="417"/>
      <c r="BT52" s="417"/>
      <c r="BU52" s="417"/>
      <c r="BV52" s="417"/>
      <c r="BW52" s="417"/>
      <c r="BX52" s="417"/>
      <c r="BY52" s="417"/>
      <c r="BZ52" s="417"/>
      <c r="CA52" s="417"/>
      <c r="CB52" s="417"/>
      <c r="CC52" s="417"/>
      <c r="CD52" s="417"/>
      <c r="CE52" s="417"/>
      <c r="CF52" s="417"/>
      <c r="CG52" s="417"/>
      <c r="EZ52" s="342"/>
    </row>
    <row r="53" spans="1:156">
      <c r="EZ53" s="342"/>
    </row>
    <row r="54" spans="1:156">
      <c r="EZ54" s="342"/>
    </row>
    <row r="55" spans="1:156">
      <c r="EZ55" s="342"/>
    </row>
    <row r="56" spans="1:156">
      <c r="EZ56" s="342"/>
    </row>
    <row r="57" spans="1:156">
      <c r="EZ57" s="342"/>
    </row>
    <row r="58" spans="1:156">
      <c r="EZ58" s="342"/>
    </row>
    <row r="59" spans="1:156">
      <c r="EZ59" s="342"/>
    </row>
    <row r="60" spans="1:156">
      <c r="EZ60" s="342"/>
    </row>
    <row r="61" spans="1:156">
      <c r="EZ61" s="342"/>
    </row>
    <row r="62" spans="1:156">
      <c r="EZ62" s="342"/>
    </row>
    <row r="63" spans="1:156">
      <c r="EZ63" s="342"/>
    </row>
  </sheetData>
  <mergeCells count="16">
    <mergeCell ref="A2:EU2"/>
    <mergeCell ref="A3:EU3"/>
    <mergeCell ref="A6:A8"/>
    <mergeCell ref="EU6:EU8"/>
    <mergeCell ref="A36:ET36"/>
    <mergeCell ref="A5:ET5"/>
    <mergeCell ref="B6:M6"/>
    <mergeCell ref="N6:Y6"/>
    <mergeCell ref="Z6:AK6"/>
    <mergeCell ref="AL6:AW6"/>
    <mergeCell ref="BV6:CG6"/>
    <mergeCell ref="CT6:DE6"/>
    <mergeCell ref="DF6:DQ6"/>
    <mergeCell ref="DR6:EC6"/>
    <mergeCell ref="ED6:EO6"/>
    <mergeCell ref="EP6:ET6"/>
  </mergeCells>
  <pageMargins left="0.7" right="0.7" top="0.75" bottom="0.75" header="0.3" footer="0.3"/>
  <pageSetup scale="24"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9">
    <tabColor rgb="FF92D050"/>
  </sheetPr>
  <dimension ref="A2:KC52"/>
  <sheetViews>
    <sheetView showGridLines="0" view="pageBreakPreview" zoomScale="66" zoomScaleNormal="100" zoomScaleSheetLayoutView="66" workbookViewId="0">
      <selection activeCell="EU42" sqref="EU42"/>
    </sheetView>
  </sheetViews>
  <sheetFormatPr defaultColWidth="9.140625" defaultRowHeight="15"/>
  <cols>
    <col min="1" max="1" width="61.42578125" style="824" customWidth="1"/>
    <col min="2" max="12" width="13.5703125" style="339" hidden="1" customWidth="1"/>
    <col min="13" max="13" width="19" style="339" hidden="1" customWidth="1"/>
    <col min="14" max="23" width="13.5703125" style="339" hidden="1" customWidth="1"/>
    <col min="24" max="24" width="13.28515625" style="339" hidden="1" customWidth="1"/>
    <col min="25" max="25" width="18.140625" style="339" hidden="1" customWidth="1"/>
    <col min="26" max="33" width="14.7109375" style="339" hidden="1" customWidth="1"/>
    <col min="34" max="34" width="17.85546875" style="339" hidden="1" customWidth="1"/>
    <col min="35" max="35" width="18" style="339" hidden="1" customWidth="1"/>
    <col min="36" max="36" width="18.85546875" style="339" hidden="1" customWidth="1"/>
    <col min="37" max="37" width="16.85546875" style="339" hidden="1" customWidth="1"/>
    <col min="38" max="44" width="14.7109375" style="339" hidden="1" customWidth="1"/>
    <col min="45" max="60" width="18" style="339" hidden="1" customWidth="1"/>
    <col min="61" max="61" width="14" style="339" customWidth="1"/>
    <col min="62" max="72" width="18" style="339" hidden="1" customWidth="1"/>
    <col min="73" max="73" width="14" style="339" customWidth="1"/>
    <col min="74" max="82" width="18" style="339" hidden="1" customWidth="1"/>
    <col min="83" max="84" width="17" style="339" hidden="1" customWidth="1"/>
    <col min="85" max="85" width="14" style="339" customWidth="1"/>
    <col min="86" max="90" width="17" style="339" hidden="1" customWidth="1"/>
    <col min="91" max="96" width="14.85546875" style="339" hidden="1" customWidth="1"/>
    <col min="97" max="97" width="14" style="339" customWidth="1"/>
    <col min="98" max="108" width="14" style="339" hidden="1" customWidth="1"/>
    <col min="109" max="109" width="14" style="339" customWidth="1"/>
    <col min="110" max="120" width="14" style="339" hidden="1" customWidth="1"/>
    <col min="121" max="121" width="14" style="339" customWidth="1"/>
    <col min="122" max="132" width="14" style="339" hidden="1" customWidth="1"/>
    <col min="133" max="133" width="14" style="339" customWidth="1"/>
    <col min="134" max="144" width="14" style="339" hidden="1" customWidth="1"/>
    <col min="145" max="150" width="14" style="339" customWidth="1"/>
    <col min="151" max="151" width="55.28515625" style="339" customWidth="1"/>
    <col min="152" max="16384" width="9.140625" style="339"/>
  </cols>
  <sheetData>
    <row r="2" spans="1:289" ht="37.15" customHeight="1">
      <c r="A2" s="2488" t="s">
        <v>3297</v>
      </c>
      <c r="B2" s="2488"/>
      <c r="C2" s="2488"/>
      <c r="D2" s="2488"/>
      <c r="E2" s="2488"/>
      <c r="F2" s="2488"/>
      <c r="G2" s="2488"/>
      <c r="H2" s="2488"/>
      <c r="I2" s="2488"/>
      <c r="J2" s="2488"/>
      <c r="K2" s="2488"/>
      <c r="L2" s="2488"/>
      <c r="M2" s="2488"/>
      <c r="N2" s="2488"/>
      <c r="O2" s="2488"/>
      <c r="P2" s="2488"/>
      <c r="Q2" s="2488"/>
      <c r="R2" s="2488"/>
      <c r="S2" s="2488"/>
      <c r="T2" s="2488"/>
      <c r="U2" s="2488"/>
      <c r="V2" s="2488"/>
      <c r="W2" s="2488"/>
      <c r="X2" s="2488"/>
      <c r="Y2" s="2488"/>
      <c r="Z2" s="2488"/>
      <c r="AA2" s="2488"/>
      <c r="AB2" s="2488"/>
      <c r="AC2" s="2488"/>
      <c r="AD2" s="2488"/>
      <c r="AE2" s="2488"/>
      <c r="AF2" s="2488"/>
      <c r="AG2" s="2488"/>
      <c r="AH2" s="2488"/>
      <c r="AI2" s="2488"/>
      <c r="AJ2" s="2488"/>
      <c r="AK2" s="2488"/>
      <c r="AL2" s="2488"/>
      <c r="AM2" s="2488"/>
      <c r="AN2" s="2488"/>
      <c r="AO2" s="2488"/>
      <c r="AP2" s="2488"/>
      <c r="AQ2" s="2488"/>
      <c r="AR2" s="2488"/>
      <c r="AS2" s="2488"/>
      <c r="AT2" s="2488"/>
      <c r="AU2" s="2488"/>
      <c r="AV2" s="2488"/>
      <c r="AW2" s="2488"/>
      <c r="AX2" s="2488"/>
      <c r="AY2" s="2488"/>
      <c r="AZ2" s="2488"/>
      <c r="BA2" s="2488"/>
      <c r="BB2" s="2488"/>
      <c r="BC2" s="2488"/>
      <c r="BD2" s="2488"/>
      <c r="BE2" s="2488"/>
      <c r="BF2" s="2488"/>
      <c r="BG2" s="2488"/>
      <c r="BH2" s="2488"/>
      <c r="BI2" s="2488"/>
      <c r="BJ2" s="2488"/>
      <c r="BK2" s="2488"/>
      <c r="BL2" s="2488"/>
      <c r="BM2" s="2488"/>
      <c r="BN2" s="2488"/>
      <c r="BO2" s="2488"/>
      <c r="BP2" s="2488"/>
      <c r="BQ2" s="2488"/>
      <c r="BR2" s="2488"/>
      <c r="BS2" s="2488"/>
      <c r="BT2" s="2488"/>
      <c r="BU2" s="2488"/>
      <c r="BV2" s="2488"/>
      <c r="BW2" s="2488"/>
      <c r="BX2" s="2488"/>
      <c r="BY2" s="2488"/>
      <c r="BZ2" s="2488"/>
      <c r="CA2" s="2488"/>
      <c r="CB2" s="2488"/>
      <c r="CC2" s="2488"/>
      <c r="CD2" s="2488"/>
      <c r="CE2" s="2488"/>
      <c r="CF2" s="2488"/>
      <c r="CG2" s="2488"/>
      <c r="CH2" s="2488"/>
      <c r="CI2" s="2488"/>
      <c r="CJ2" s="2488"/>
      <c r="CK2" s="2488"/>
      <c r="CL2" s="2488"/>
      <c r="CM2" s="2488"/>
      <c r="CN2" s="2488"/>
      <c r="CO2" s="2488"/>
      <c r="CP2" s="2488"/>
      <c r="CQ2" s="2488"/>
      <c r="CR2" s="2488"/>
      <c r="CS2" s="2488"/>
      <c r="CT2" s="2488"/>
      <c r="CU2" s="2488"/>
      <c r="CV2" s="2488"/>
      <c r="CW2" s="2488"/>
      <c r="CX2" s="2488"/>
      <c r="CY2" s="2488"/>
      <c r="CZ2" s="2488"/>
      <c r="DA2" s="2488"/>
      <c r="DB2" s="2488"/>
      <c r="DC2" s="2488"/>
      <c r="DD2" s="2488"/>
      <c r="DE2" s="2488"/>
      <c r="DF2" s="2488"/>
      <c r="DG2" s="2488"/>
      <c r="DH2" s="2488"/>
      <c r="DI2" s="2488"/>
      <c r="DJ2" s="2488"/>
      <c r="DK2" s="2488"/>
      <c r="DL2" s="2488"/>
      <c r="DM2" s="2488"/>
      <c r="DN2" s="2488"/>
      <c r="DO2" s="2488"/>
      <c r="DP2" s="2488"/>
      <c r="DQ2" s="2488"/>
      <c r="DR2" s="2488"/>
      <c r="DS2" s="2488"/>
      <c r="DT2" s="2488"/>
      <c r="DU2" s="2488"/>
      <c r="DV2" s="2488"/>
      <c r="DW2" s="2488"/>
      <c r="DX2" s="2488"/>
      <c r="DY2" s="2488"/>
      <c r="DZ2" s="2488"/>
      <c r="EA2" s="2488"/>
      <c r="EB2" s="2488"/>
      <c r="EC2" s="2488"/>
      <c r="ED2" s="2488"/>
      <c r="EE2" s="2488"/>
      <c r="EF2" s="2488"/>
      <c r="EG2" s="2488"/>
      <c r="EH2" s="2488"/>
      <c r="EI2" s="2488"/>
      <c r="EJ2" s="2488"/>
      <c r="EK2" s="2488"/>
      <c r="EL2" s="2488"/>
      <c r="EM2" s="2488"/>
      <c r="EN2" s="2488"/>
      <c r="EO2" s="2488"/>
      <c r="EP2" s="2488"/>
      <c r="EQ2" s="2488"/>
      <c r="ER2" s="2488"/>
      <c r="ES2" s="2488"/>
      <c r="ET2" s="2488"/>
      <c r="EU2" s="2488"/>
    </row>
    <row r="3" spans="1:289" ht="41.25" customHeight="1">
      <c r="A3" s="2474" t="s">
        <v>3293</v>
      </c>
      <c r="B3" s="2474"/>
      <c r="C3" s="2474"/>
      <c r="D3" s="2474"/>
      <c r="E3" s="2474"/>
      <c r="F3" s="2474"/>
      <c r="G3" s="2474"/>
      <c r="H3" s="2474"/>
      <c r="I3" s="2474"/>
      <c r="J3" s="2474"/>
      <c r="K3" s="2474"/>
      <c r="L3" s="2474"/>
      <c r="M3" s="2474"/>
      <c r="N3" s="2474"/>
      <c r="O3" s="2474"/>
      <c r="P3" s="2474"/>
      <c r="Q3" s="2474"/>
      <c r="R3" s="2474"/>
      <c r="S3" s="2474"/>
      <c r="T3" s="2474"/>
      <c r="U3" s="2474"/>
      <c r="V3" s="2474"/>
      <c r="W3" s="2474"/>
      <c r="X3" s="2474"/>
      <c r="Y3" s="2474"/>
      <c r="Z3" s="2474"/>
      <c r="AA3" s="2474"/>
      <c r="AB3" s="2474"/>
      <c r="AC3" s="2474"/>
      <c r="AD3" s="2474"/>
      <c r="AE3" s="2474"/>
      <c r="AF3" s="2474"/>
      <c r="AG3" s="2474"/>
      <c r="AH3" s="2474"/>
      <c r="AI3" s="2474"/>
      <c r="AJ3" s="2474"/>
      <c r="AK3" s="2474"/>
      <c r="AL3" s="2474"/>
      <c r="AM3" s="2474"/>
      <c r="AN3" s="2474"/>
      <c r="AO3" s="2474"/>
      <c r="AP3" s="2474"/>
      <c r="AQ3" s="2474"/>
      <c r="AR3" s="2474"/>
      <c r="AS3" s="2474"/>
      <c r="AT3" s="2474"/>
      <c r="AU3" s="2474"/>
      <c r="AV3" s="2474"/>
      <c r="AW3" s="2474"/>
      <c r="AX3" s="2474"/>
      <c r="AY3" s="2474"/>
      <c r="AZ3" s="2474"/>
      <c r="BA3" s="2474"/>
      <c r="BB3" s="2474"/>
      <c r="BC3" s="2474"/>
      <c r="BD3" s="2474"/>
      <c r="BE3" s="2474"/>
      <c r="BF3" s="2474"/>
      <c r="BG3" s="2474"/>
      <c r="BH3" s="2474"/>
      <c r="BI3" s="2474"/>
      <c r="BJ3" s="2474"/>
      <c r="BK3" s="2474"/>
      <c r="BL3" s="2474"/>
      <c r="BM3" s="2474"/>
      <c r="BN3" s="2474"/>
      <c r="BO3" s="2474"/>
      <c r="BP3" s="2474"/>
      <c r="BQ3" s="2474"/>
      <c r="BR3" s="2474"/>
      <c r="BS3" s="2474"/>
      <c r="BT3" s="2474"/>
      <c r="BU3" s="2474"/>
      <c r="BV3" s="2474"/>
      <c r="BW3" s="2474"/>
      <c r="BX3" s="2474"/>
      <c r="BY3" s="2474"/>
      <c r="BZ3" s="2474"/>
      <c r="CA3" s="2474"/>
      <c r="CB3" s="2474"/>
      <c r="CC3" s="2474"/>
      <c r="CD3" s="2474"/>
      <c r="CE3" s="2474"/>
      <c r="CF3" s="2474"/>
      <c r="CG3" s="2474"/>
      <c r="CH3" s="2474"/>
      <c r="CI3" s="2474"/>
      <c r="CJ3" s="2474"/>
      <c r="CK3" s="2474"/>
      <c r="CL3" s="2474"/>
      <c r="CM3" s="2474"/>
      <c r="CN3" s="2474"/>
      <c r="CO3" s="2474"/>
      <c r="CP3" s="2474"/>
      <c r="CQ3" s="2474"/>
      <c r="CR3" s="2474"/>
      <c r="CS3" s="2474"/>
      <c r="CT3" s="2474"/>
      <c r="CU3" s="2474"/>
      <c r="CV3" s="2474"/>
      <c r="CW3" s="2474"/>
      <c r="CX3" s="2474"/>
      <c r="CY3" s="2474"/>
      <c r="CZ3" s="2474"/>
      <c r="DA3" s="2474"/>
      <c r="DB3" s="2474"/>
      <c r="DC3" s="2474"/>
      <c r="DD3" s="2474"/>
      <c r="DE3" s="2474"/>
      <c r="DF3" s="2474"/>
      <c r="DG3" s="2474"/>
      <c r="DH3" s="2474"/>
      <c r="DI3" s="2474"/>
      <c r="DJ3" s="2474"/>
      <c r="DK3" s="2474"/>
      <c r="DL3" s="2474"/>
      <c r="DM3" s="2474"/>
      <c r="DN3" s="2474"/>
      <c r="DO3" s="2474"/>
      <c r="DP3" s="2474"/>
      <c r="DQ3" s="2474"/>
      <c r="DR3" s="2474"/>
      <c r="DS3" s="2474"/>
      <c r="DT3" s="2474"/>
      <c r="DU3" s="2474"/>
      <c r="DV3" s="2474"/>
      <c r="DW3" s="2474"/>
      <c r="DX3" s="2474"/>
      <c r="DY3" s="2474"/>
      <c r="DZ3" s="2474"/>
      <c r="EA3" s="2474"/>
      <c r="EB3" s="2474"/>
      <c r="EC3" s="2474"/>
      <c r="ED3" s="2474"/>
      <c r="EE3" s="2474"/>
      <c r="EF3" s="2474"/>
      <c r="EG3" s="2474"/>
      <c r="EH3" s="2474"/>
      <c r="EI3" s="2474"/>
      <c r="EJ3" s="2474"/>
      <c r="EK3" s="2474"/>
      <c r="EL3" s="2474"/>
      <c r="EM3" s="2474"/>
      <c r="EN3" s="2474"/>
      <c r="EO3" s="2474"/>
      <c r="EP3" s="2474"/>
      <c r="EQ3" s="2474"/>
      <c r="ER3" s="2474"/>
      <c r="ES3" s="2474"/>
      <c r="ET3" s="2474"/>
      <c r="EU3" s="2474"/>
    </row>
    <row r="4" spans="1:289" s="702" customFormat="1" ht="27">
      <c r="A4" s="827"/>
      <c r="B4" s="703"/>
      <c r="C4" s="703"/>
      <c r="D4" s="703"/>
      <c r="E4" s="703"/>
      <c r="F4" s="703"/>
      <c r="G4" s="703"/>
      <c r="H4" s="703"/>
      <c r="I4" s="703"/>
      <c r="J4" s="703"/>
      <c r="K4" s="703"/>
      <c r="L4" s="703"/>
      <c r="M4" s="703"/>
      <c r="N4" s="703"/>
      <c r="O4" s="703"/>
      <c r="P4" s="703"/>
      <c r="Q4" s="703"/>
      <c r="R4" s="703"/>
      <c r="S4" s="703"/>
      <c r="T4" s="703"/>
      <c r="U4" s="703"/>
      <c r="V4" s="703"/>
      <c r="W4" s="703"/>
      <c r="X4" s="703"/>
      <c r="Y4" s="703"/>
      <c r="Z4" s="703"/>
      <c r="AA4" s="703"/>
      <c r="AB4" s="703"/>
      <c r="AC4" s="703"/>
      <c r="AD4" s="703"/>
      <c r="AE4" s="703"/>
      <c r="AF4" s="703"/>
      <c r="AG4" s="703"/>
      <c r="AH4" s="703"/>
      <c r="AI4" s="703"/>
      <c r="AJ4" s="703"/>
      <c r="AK4" s="703"/>
      <c r="AL4" s="703"/>
      <c r="AM4" s="703"/>
      <c r="AN4" s="703"/>
      <c r="AO4" s="703"/>
      <c r="AP4" s="703"/>
      <c r="AQ4" s="703"/>
      <c r="AR4" s="703"/>
      <c r="AS4" s="703"/>
      <c r="AT4" s="703"/>
      <c r="AU4" s="703"/>
      <c r="AV4" s="703"/>
      <c r="AW4" s="703"/>
      <c r="AX4" s="703"/>
      <c r="AY4" s="703"/>
      <c r="AZ4" s="703"/>
      <c r="BA4" s="703"/>
      <c r="BB4" s="703"/>
      <c r="BC4" s="703"/>
      <c r="BD4" s="703"/>
      <c r="BE4" s="703"/>
      <c r="BF4" s="703"/>
      <c r="BG4" s="703"/>
      <c r="BH4" s="703"/>
      <c r="BI4" s="703"/>
      <c r="BJ4" s="703"/>
      <c r="BK4" s="703"/>
      <c r="BL4" s="703"/>
      <c r="BM4" s="703"/>
      <c r="BN4" s="703"/>
      <c r="BO4" s="703"/>
      <c r="BP4" s="703"/>
      <c r="BQ4" s="703"/>
      <c r="BR4" s="703"/>
      <c r="BS4" s="703"/>
      <c r="BT4" s="703"/>
      <c r="BU4" s="703"/>
      <c r="BV4" s="703"/>
      <c r="BW4" s="703"/>
      <c r="BX4" s="703"/>
      <c r="BY4" s="703"/>
      <c r="BZ4" s="703"/>
      <c r="CA4" s="703"/>
      <c r="CB4" s="703"/>
      <c r="CC4" s="703"/>
      <c r="CD4" s="703"/>
      <c r="CE4" s="703"/>
      <c r="CF4" s="703"/>
      <c r="CG4" s="703"/>
      <c r="CH4" s="703"/>
      <c r="CI4" s="703"/>
      <c r="CJ4" s="703"/>
      <c r="CK4" s="703"/>
      <c r="CL4" s="703"/>
      <c r="CM4" s="703"/>
      <c r="CN4" s="703"/>
      <c r="CO4" s="703"/>
      <c r="CP4" s="703"/>
      <c r="CQ4" s="703"/>
      <c r="CR4" s="703"/>
      <c r="CS4" s="703"/>
      <c r="CT4" s="703"/>
      <c r="CU4" s="703"/>
      <c r="CV4" s="703"/>
      <c r="CW4" s="703"/>
      <c r="CX4" s="703"/>
      <c r="CY4" s="703"/>
      <c r="CZ4" s="703"/>
      <c r="DA4" s="703"/>
      <c r="DB4" s="703"/>
      <c r="DC4" s="703"/>
      <c r="DD4" s="703"/>
      <c r="DE4" s="703"/>
      <c r="DF4" s="703"/>
      <c r="DG4" s="703"/>
      <c r="DH4" s="703"/>
      <c r="DI4" s="703"/>
      <c r="DJ4" s="703"/>
      <c r="DK4" s="703"/>
      <c r="DL4" s="703"/>
      <c r="DM4" s="703"/>
      <c r="DN4" s="703"/>
      <c r="DO4" s="703"/>
      <c r="DP4" s="703"/>
      <c r="DQ4" s="703"/>
      <c r="DR4" s="703"/>
      <c r="DS4" s="703"/>
      <c r="DT4" s="703"/>
      <c r="DU4" s="703"/>
      <c r="DV4" s="703"/>
      <c r="DW4" s="703"/>
      <c r="DX4" s="703"/>
      <c r="DY4" s="703"/>
      <c r="DZ4" s="703"/>
      <c r="EA4" s="703"/>
      <c r="EB4" s="703"/>
      <c r="EC4" s="703"/>
      <c r="ED4" s="703"/>
      <c r="EE4" s="703"/>
      <c r="EF4" s="703"/>
      <c r="EG4" s="703"/>
      <c r="EH4" s="703"/>
      <c r="EI4" s="703"/>
      <c r="EJ4" s="703"/>
      <c r="EK4" s="703"/>
      <c r="EL4" s="703"/>
      <c r="EM4" s="703"/>
      <c r="EN4" s="703"/>
      <c r="EO4" s="703"/>
      <c r="EP4" s="703"/>
      <c r="EQ4" s="703"/>
      <c r="ER4" s="703"/>
      <c r="ES4" s="703"/>
      <c r="ET4" s="703"/>
      <c r="EU4" s="809"/>
      <c r="EV4" s="339"/>
      <c r="EW4" s="339"/>
      <c r="EX4" s="339"/>
      <c r="EY4" s="339"/>
      <c r="EZ4" s="339"/>
      <c r="FA4" s="339"/>
      <c r="FB4" s="339"/>
      <c r="FC4" s="339"/>
      <c r="FD4" s="339"/>
      <c r="FE4" s="339"/>
      <c r="FF4" s="339"/>
      <c r="FG4" s="339"/>
      <c r="FH4" s="339"/>
      <c r="FI4" s="339"/>
      <c r="FJ4" s="339"/>
      <c r="FK4" s="339"/>
      <c r="FL4" s="339"/>
      <c r="FM4" s="339"/>
      <c r="FN4" s="339"/>
      <c r="FO4" s="339"/>
      <c r="FP4" s="339"/>
      <c r="FQ4" s="339"/>
      <c r="FR4" s="339"/>
      <c r="FS4" s="339"/>
      <c r="FT4" s="339"/>
      <c r="FU4" s="339"/>
      <c r="FV4" s="339"/>
      <c r="FW4" s="339"/>
      <c r="FX4" s="339"/>
      <c r="FY4" s="339"/>
      <c r="FZ4" s="339"/>
      <c r="GA4" s="339"/>
      <c r="GB4" s="339"/>
      <c r="GC4" s="339"/>
      <c r="GD4" s="339"/>
      <c r="GE4" s="339"/>
      <c r="GF4" s="339"/>
      <c r="GG4" s="339"/>
      <c r="GH4" s="339"/>
      <c r="GI4" s="339"/>
      <c r="GJ4" s="339"/>
      <c r="GK4" s="339"/>
      <c r="GL4" s="339"/>
      <c r="GM4" s="339"/>
      <c r="GN4" s="339"/>
      <c r="GO4" s="339"/>
      <c r="GP4" s="339"/>
      <c r="GQ4" s="339"/>
      <c r="GR4" s="339"/>
      <c r="GS4" s="339"/>
      <c r="GT4" s="339"/>
      <c r="GU4" s="339"/>
      <c r="GV4" s="339"/>
      <c r="GW4" s="339"/>
      <c r="GX4" s="339"/>
      <c r="GY4" s="339"/>
      <c r="GZ4" s="339"/>
      <c r="HA4" s="339"/>
      <c r="HB4" s="339"/>
      <c r="HC4" s="339"/>
      <c r="HD4" s="339"/>
      <c r="HE4" s="339"/>
      <c r="HF4" s="339"/>
      <c r="HG4" s="339"/>
      <c r="HH4" s="339"/>
      <c r="HI4" s="339"/>
      <c r="HJ4" s="339"/>
      <c r="HK4" s="339"/>
      <c r="HL4" s="339"/>
      <c r="HM4" s="339"/>
      <c r="HN4" s="339"/>
      <c r="HO4" s="339"/>
      <c r="HP4" s="339"/>
      <c r="HQ4" s="339"/>
      <c r="HR4" s="339"/>
      <c r="HS4" s="339"/>
      <c r="HT4" s="339"/>
      <c r="HU4" s="339"/>
      <c r="HV4" s="339"/>
      <c r="HW4" s="339"/>
      <c r="HX4" s="339"/>
      <c r="HY4" s="339"/>
      <c r="HZ4" s="339"/>
      <c r="IA4" s="339"/>
      <c r="IB4" s="339"/>
      <c r="IC4" s="339"/>
      <c r="ID4" s="339"/>
      <c r="IE4" s="339"/>
      <c r="IF4" s="339"/>
      <c r="IG4" s="339"/>
      <c r="IH4" s="339"/>
      <c r="II4" s="339"/>
      <c r="IJ4" s="339"/>
      <c r="IK4" s="339"/>
      <c r="IL4" s="339"/>
      <c r="IM4" s="339"/>
      <c r="IN4" s="339"/>
      <c r="IO4" s="339"/>
      <c r="IP4" s="339"/>
      <c r="IQ4" s="339"/>
      <c r="IR4" s="339"/>
      <c r="IS4" s="339"/>
      <c r="IT4" s="339"/>
      <c r="IU4" s="339"/>
      <c r="IV4" s="339"/>
      <c r="IW4" s="339"/>
      <c r="IX4" s="339"/>
      <c r="IY4" s="339"/>
      <c r="IZ4" s="339"/>
      <c r="JA4" s="339"/>
      <c r="JB4" s="339"/>
      <c r="JC4" s="339"/>
      <c r="JD4" s="339"/>
      <c r="JE4" s="339"/>
      <c r="JF4" s="339"/>
      <c r="JG4" s="339"/>
      <c r="JH4" s="339"/>
      <c r="JI4" s="339"/>
      <c r="JJ4" s="339"/>
      <c r="JK4" s="339"/>
      <c r="JL4" s="339"/>
      <c r="JM4" s="339"/>
      <c r="JN4" s="339"/>
      <c r="JO4" s="339"/>
      <c r="JP4" s="339"/>
      <c r="JQ4" s="339"/>
      <c r="JR4" s="339"/>
      <c r="JS4" s="339"/>
      <c r="JT4" s="339"/>
      <c r="JU4" s="339"/>
      <c r="JV4" s="339"/>
      <c r="JW4" s="339"/>
      <c r="JX4" s="339"/>
      <c r="JY4" s="339"/>
      <c r="JZ4" s="339"/>
      <c r="KA4" s="339"/>
      <c r="KB4" s="339"/>
      <c r="KC4" s="339"/>
    </row>
    <row r="5" spans="1:289" s="702" customFormat="1" ht="21.75" customHeight="1">
      <c r="A5" s="2526"/>
      <c r="B5" s="2526"/>
      <c r="C5" s="2526"/>
      <c r="D5" s="2526"/>
      <c r="E5" s="2526"/>
      <c r="F5" s="2526"/>
      <c r="G5" s="2526"/>
      <c r="H5" s="2526"/>
      <c r="I5" s="2526"/>
      <c r="J5" s="2526"/>
      <c r="K5" s="2526"/>
      <c r="L5" s="2526"/>
      <c r="M5" s="2526"/>
      <c r="N5" s="2526"/>
      <c r="O5" s="2526"/>
      <c r="P5" s="2526"/>
      <c r="Q5" s="2526"/>
      <c r="R5" s="2526"/>
      <c r="S5" s="2526"/>
      <c r="T5" s="2526"/>
      <c r="U5" s="2526"/>
      <c r="V5" s="2526"/>
      <c r="W5" s="2526"/>
      <c r="X5" s="2526"/>
      <c r="Y5" s="2526"/>
      <c r="Z5" s="2526"/>
      <c r="AA5" s="2526"/>
      <c r="AB5" s="2526"/>
      <c r="AC5" s="2526"/>
      <c r="AD5" s="2526"/>
      <c r="AE5" s="2526"/>
      <c r="AF5" s="2526"/>
      <c r="AG5" s="2526"/>
      <c r="AH5" s="2526"/>
      <c r="AI5" s="2526"/>
      <c r="AJ5" s="2526"/>
      <c r="AK5" s="2526"/>
      <c r="AL5" s="2526"/>
      <c r="AM5" s="2526"/>
      <c r="AN5" s="2526"/>
      <c r="AO5" s="2526"/>
      <c r="AP5" s="2526"/>
      <c r="AQ5" s="2526"/>
      <c r="AR5" s="2526"/>
      <c r="AS5" s="2526"/>
      <c r="AT5" s="2526"/>
      <c r="AU5" s="2526"/>
      <c r="AV5" s="2526"/>
      <c r="AW5" s="2526"/>
      <c r="AX5" s="2526"/>
      <c r="AY5" s="2526"/>
      <c r="AZ5" s="2526"/>
      <c r="BA5" s="2526"/>
      <c r="BB5" s="2526"/>
      <c r="BC5" s="2526"/>
      <c r="BD5" s="2526"/>
      <c r="BE5" s="2526"/>
      <c r="BF5" s="2526"/>
      <c r="BG5" s="2526"/>
      <c r="BH5" s="2526"/>
      <c r="BI5" s="2526"/>
      <c r="BJ5" s="2526"/>
      <c r="BK5" s="2526"/>
      <c r="BL5" s="2526"/>
      <c r="BM5" s="2526"/>
      <c r="BN5" s="2526"/>
      <c r="BO5" s="2526"/>
      <c r="BP5" s="2526"/>
      <c r="BQ5" s="2526"/>
      <c r="BR5" s="2526"/>
      <c r="BS5" s="2526"/>
      <c r="BT5" s="2526"/>
      <c r="BU5" s="2526"/>
      <c r="BV5" s="2526"/>
      <c r="BW5" s="2526"/>
      <c r="BX5" s="2526"/>
      <c r="BY5" s="2526"/>
      <c r="BZ5" s="2526"/>
      <c r="CA5" s="2526"/>
      <c r="CB5" s="2526"/>
      <c r="CC5" s="2526"/>
      <c r="CD5" s="2526"/>
      <c r="CE5" s="2526"/>
      <c r="CF5" s="2526"/>
      <c r="CG5" s="2526"/>
      <c r="CH5" s="2526"/>
      <c r="CI5" s="2526"/>
      <c r="CJ5" s="2526"/>
      <c r="CK5" s="2526"/>
      <c r="CL5" s="2526"/>
      <c r="CM5" s="2526"/>
      <c r="CN5" s="2526"/>
      <c r="CO5" s="2526"/>
      <c r="CP5" s="2526"/>
      <c r="CQ5" s="2526"/>
      <c r="CR5" s="2526"/>
      <c r="CS5" s="2526"/>
      <c r="CT5" s="2526"/>
      <c r="CU5" s="2526"/>
      <c r="CV5" s="2526"/>
      <c r="CW5" s="2526"/>
      <c r="CX5" s="2526"/>
      <c r="CY5" s="2526"/>
      <c r="CZ5" s="2526"/>
      <c r="DA5" s="2526"/>
      <c r="DB5" s="2526"/>
      <c r="DC5" s="2526"/>
      <c r="DD5" s="2526"/>
      <c r="DE5" s="2526"/>
      <c r="DF5" s="2526"/>
      <c r="DG5" s="2526"/>
      <c r="DH5" s="2526"/>
      <c r="DI5" s="2526"/>
      <c r="DJ5" s="2526"/>
      <c r="DK5" s="2526"/>
      <c r="DL5" s="2526"/>
      <c r="DM5" s="2526"/>
      <c r="DN5" s="2526"/>
      <c r="DO5" s="2526"/>
      <c r="DP5" s="2526"/>
      <c r="DQ5" s="2526"/>
      <c r="DR5" s="2526"/>
      <c r="DS5" s="2526"/>
      <c r="DT5" s="2526"/>
      <c r="DU5" s="2526"/>
      <c r="DV5" s="2526"/>
      <c r="DW5" s="2526"/>
      <c r="DX5" s="2526"/>
      <c r="DY5" s="2526"/>
      <c r="DZ5" s="2526"/>
      <c r="EA5" s="2526"/>
      <c r="EB5" s="2526"/>
      <c r="EC5" s="2526"/>
      <c r="ED5" s="2526"/>
      <c r="EE5" s="2526"/>
      <c r="EF5" s="2526"/>
      <c r="EG5" s="2526"/>
      <c r="EH5" s="2526"/>
      <c r="EI5" s="2526"/>
      <c r="EJ5" s="2526"/>
      <c r="EK5" s="2526"/>
      <c r="EL5" s="2526"/>
      <c r="EM5" s="2526"/>
      <c r="EN5" s="2526"/>
      <c r="EO5" s="2526"/>
      <c r="EP5" s="2526"/>
      <c r="EQ5" s="2526"/>
      <c r="ER5" s="2526"/>
      <c r="ES5" s="2526"/>
      <c r="ET5" s="2526"/>
      <c r="EU5" s="1917" t="s">
        <v>158</v>
      </c>
      <c r="EV5" s="1927"/>
      <c r="EW5" s="1927"/>
      <c r="EX5" s="1927"/>
      <c r="EY5" s="1927"/>
      <c r="EZ5" s="1927"/>
      <c r="FA5" s="1927"/>
      <c r="FB5" s="1927"/>
      <c r="FC5" s="1927"/>
      <c r="FD5" s="1927"/>
      <c r="FE5" s="1927"/>
      <c r="FF5" s="1927"/>
      <c r="FG5" s="1927"/>
      <c r="FH5" s="1927"/>
      <c r="FI5" s="1927"/>
      <c r="FJ5" s="1927"/>
      <c r="FK5" s="1927"/>
      <c r="FL5" s="1927"/>
      <c r="FM5" s="1927"/>
      <c r="FN5" s="1927"/>
      <c r="FO5" s="1927"/>
      <c r="FP5" s="1927"/>
      <c r="FQ5" s="1927"/>
      <c r="FR5" s="1927"/>
      <c r="FS5" s="1927"/>
      <c r="FT5" s="1927"/>
      <c r="FU5" s="1927"/>
      <c r="FV5" s="1927"/>
      <c r="FW5" s="1927"/>
      <c r="FX5" s="1927"/>
      <c r="FY5" s="1927"/>
      <c r="FZ5" s="1927"/>
      <c r="GA5" s="1927"/>
      <c r="GB5" s="1927"/>
      <c r="GC5" s="1927"/>
      <c r="GD5" s="1927"/>
      <c r="GE5" s="1927"/>
      <c r="GF5" s="1927"/>
      <c r="GG5" s="1927"/>
      <c r="GH5" s="1927"/>
      <c r="GI5" s="1927"/>
      <c r="GJ5" s="1927"/>
      <c r="GK5" s="1927"/>
      <c r="GL5" s="1927"/>
      <c r="GM5" s="1927"/>
      <c r="GN5" s="1927"/>
      <c r="GO5" s="1927"/>
      <c r="GP5" s="1927"/>
      <c r="GQ5" s="1927"/>
      <c r="GR5" s="1927"/>
      <c r="GS5" s="1927"/>
      <c r="GT5" s="1927"/>
      <c r="GU5" s="1927"/>
      <c r="GV5" s="1927"/>
      <c r="GW5" s="1927"/>
      <c r="GX5" s="1927"/>
      <c r="GY5" s="1927"/>
      <c r="GZ5" s="1927"/>
      <c r="HA5" s="1927"/>
      <c r="HB5" s="1927"/>
      <c r="HC5" s="1927"/>
      <c r="HD5" s="1927"/>
      <c r="HE5" s="1927"/>
      <c r="HF5" s="1927"/>
      <c r="HG5" s="1927"/>
      <c r="HH5" s="1927"/>
      <c r="HI5" s="1927"/>
      <c r="HJ5" s="1927"/>
      <c r="HK5" s="1927"/>
      <c r="HL5" s="1927"/>
      <c r="HM5" s="1927"/>
      <c r="HN5" s="1927"/>
      <c r="HO5" s="1927"/>
      <c r="HP5" s="1927"/>
      <c r="HQ5" s="1927"/>
      <c r="HR5" s="1927"/>
      <c r="HS5" s="1927"/>
      <c r="HT5" s="1927"/>
      <c r="HU5" s="1927"/>
      <c r="HV5" s="1927"/>
      <c r="HW5" s="1927"/>
      <c r="HX5" s="1927"/>
      <c r="HY5" s="1927"/>
      <c r="HZ5" s="1927"/>
      <c r="IA5" s="1927"/>
      <c r="IB5" s="1927"/>
      <c r="IC5" s="1927"/>
      <c r="ID5" s="1927"/>
      <c r="IE5" s="1927"/>
      <c r="IF5" s="1927"/>
      <c r="IG5" s="1927"/>
      <c r="IH5" s="1927"/>
      <c r="II5" s="1927"/>
      <c r="IJ5" s="1927"/>
      <c r="IK5" s="1927"/>
      <c r="IL5" s="1927"/>
      <c r="IM5" s="1927"/>
      <c r="IN5" s="1927"/>
      <c r="IO5" s="1927"/>
      <c r="IP5" s="1927"/>
      <c r="IQ5" s="1927"/>
      <c r="IR5" s="1927"/>
      <c r="IS5" s="1927"/>
      <c r="IT5" s="1927"/>
      <c r="IU5" s="1927"/>
      <c r="IV5" s="1927"/>
      <c r="IW5" s="1927"/>
      <c r="IX5" s="1927"/>
      <c r="IY5" s="1927"/>
      <c r="IZ5" s="1927"/>
      <c r="JA5" s="1927"/>
      <c r="JB5" s="1927"/>
      <c r="JC5" s="1927"/>
      <c r="JD5" s="1927"/>
      <c r="JE5" s="1927"/>
      <c r="JF5" s="1927"/>
      <c r="JG5" s="1927"/>
      <c r="JH5" s="1927"/>
      <c r="JI5" s="1927"/>
      <c r="JJ5" s="1927"/>
      <c r="JK5" s="1927"/>
      <c r="JL5" s="1927"/>
      <c r="JM5" s="1927"/>
      <c r="JN5" s="1927"/>
      <c r="JO5" s="1927"/>
      <c r="JP5" s="1927"/>
      <c r="JQ5" s="1927"/>
      <c r="JR5" s="1927"/>
      <c r="JS5" s="1927"/>
      <c r="JT5" s="1927"/>
      <c r="JU5" s="1927"/>
      <c r="JV5" s="1927"/>
      <c r="JW5" s="1927"/>
      <c r="JX5" s="1927"/>
      <c r="JY5" s="1927"/>
      <c r="JZ5" s="1927"/>
      <c r="KA5" s="1927"/>
      <c r="KB5" s="1927"/>
      <c r="KC5" s="1927"/>
    </row>
    <row r="6" spans="1:289" ht="31.5" customHeight="1">
      <c r="A6" s="2500"/>
      <c r="B6" s="2527">
        <v>2013</v>
      </c>
      <c r="C6" s="2527"/>
      <c r="D6" s="2527"/>
      <c r="E6" s="2527"/>
      <c r="F6" s="2527"/>
      <c r="G6" s="2527"/>
      <c r="H6" s="2527"/>
      <c r="I6" s="2527"/>
      <c r="J6" s="2527"/>
      <c r="K6" s="2527"/>
      <c r="L6" s="2527"/>
      <c r="M6" s="2527"/>
      <c r="N6" s="2527">
        <v>2014</v>
      </c>
      <c r="O6" s="2527"/>
      <c r="P6" s="2527"/>
      <c r="Q6" s="2527"/>
      <c r="R6" s="2527"/>
      <c r="S6" s="2527"/>
      <c r="T6" s="2527"/>
      <c r="U6" s="2527"/>
      <c r="V6" s="2527"/>
      <c r="W6" s="2527"/>
      <c r="X6" s="2527"/>
      <c r="Y6" s="2527"/>
      <c r="Z6" s="2527">
        <v>2015</v>
      </c>
      <c r="AA6" s="2527"/>
      <c r="AB6" s="2527"/>
      <c r="AC6" s="2527"/>
      <c r="AD6" s="2527"/>
      <c r="AE6" s="2527"/>
      <c r="AF6" s="2527"/>
      <c r="AG6" s="2527"/>
      <c r="AH6" s="2527"/>
      <c r="AI6" s="2527"/>
      <c r="AJ6" s="2527"/>
      <c r="AK6" s="2527"/>
      <c r="AL6" s="868">
        <v>2016</v>
      </c>
      <c r="AM6" s="868"/>
      <c r="AN6" s="868"/>
      <c r="AO6" s="868"/>
      <c r="AP6" s="868"/>
      <c r="AQ6" s="868"/>
      <c r="AR6" s="868"/>
      <c r="AS6" s="868"/>
      <c r="AT6" s="868"/>
      <c r="AU6" s="868"/>
      <c r="AV6" s="2527">
        <v>2016</v>
      </c>
      <c r="AW6" s="2527"/>
      <c r="AX6" s="868">
        <v>2017</v>
      </c>
      <c r="AY6" s="868"/>
      <c r="AZ6" s="868"/>
      <c r="BA6" s="868"/>
      <c r="BB6" s="868"/>
      <c r="BC6" s="868"/>
      <c r="BD6" s="868"/>
      <c r="BE6" s="868"/>
      <c r="BF6" s="868"/>
      <c r="BG6" s="868"/>
      <c r="BH6" s="900"/>
      <c r="BI6" s="891">
        <v>2017</v>
      </c>
      <c r="BJ6" s="892">
        <v>2018</v>
      </c>
      <c r="BK6" s="892"/>
      <c r="BL6" s="892"/>
      <c r="BM6" s="892"/>
      <c r="BN6" s="892"/>
      <c r="BO6" s="892"/>
      <c r="BP6" s="892"/>
      <c r="BQ6" s="892"/>
      <c r="BR6" s="892"/>
      <c r="BS6" s="892"/>
      <c r="BT6" s="892"/>
      <c r="BU6" s="891">
        <v>2018</v>
      </c>
      <c r="BV6" s="2519">
        <v>2019</v>
      </c>
      <c r="BW6" s="2519"/>
      <c r="BX6" s="2519"/>
      <c r="BY6" s="2519"/>
      <c r="BZ6" s="2519"/>
      <c r="CA6" s="2519"/>
      <c r="CB6" s="2519"/>
      <c r="CC6" s="2519"/>
      <c r="CD6" s="2519"/>
      <c r="CE6" s="2519"/>
      <c r="CF6" s="2519"/>
      <c r="CG6" s="2519"/>
      <c r="CH6" s="893">
        <v>2020</v>
      </c>
      <c r="CI6" s="893">
        <v>2020</v>
      </c>
      <c r="CJ6" s="893">
        <v>2020</v>
      </c>
      <c r="CK6" s="893">
        <v>2020</v>
      </c>
      <c r="CL6" s="893">
        <v>2020</v>
      </c>
      <c r="CM6" s="893">
        <v>2020</v>
      </c>
      <c r="CN6" s="893">
        <v>2020</v>
      </c>
      <c r="CO6" s="893">
        <v>2020</v>
      </c>
      <c r="CP6" s="893">
        <v>2020</v>
      </c>
      <c r="CQ6" s="893">
        <v>2020</v>
      </c>
      <c r="CR6" s="893">
        <v>2020</v>
      </c>
      <c r="CS6" s="893">
        <v>2020</v>
      </c>
      <c r="CT6" s="2496">
        <v>2021</v>
      </c>
      <c r="CU6" s="2497"/>
      <c r="CV6" s="2497"/>
      <c r="CW6" s="2497"/>
      <c r="CX6" s="2497"/>
      <c r="CY6" s="2497"/>
      <c r="CZ6" s="2497"/>
      <c r="DA6" s="2497"/>
      <c r="DB6" s="2497"/>
      <c r="DC6" s="2497"/>
      <c r="DD6" s="2497"/>
      <c r="DE6" s="2498"/>
      <c r="DF6" s="2499">
        <v>2022</v>
      </c>
      <c r="DG6" s="2497"/>
      <c r="DH6" s="2497"/>
      <c r="DI6" s="2497"/>
      <c r="DJ6" s="2497"/>
      <c r="DK6" s="2497"/>
      <c r="DL6" s="2497"/>
      <c r="DM6" s="2497"/>
      <c r="DN6" s="2497"/>
      <c r="DO6" s="2497"/>
      <c r="DP6" s="2497"/>
      <c r="DQ6" s="2498"/>
      <c r="DR6" s="2499">
        <v>2023</v>
      </c>
      <c r="DS6" s="2497"/>
      <c r="DT6" s="2497"/>
      <c r="DU6" s="2497"/>
      <c r="DV6" s="2497"/>
      <c r="DW6" s="2497"/>
      <c r="DX6" s="2497"/>
      <c r="DY6" s="2497"/>
      <c r="DZ6" s="2497"/>
      <c r="EA6" s="2497"/>
      <c r="EB6" s="2497"/>
      <c r="EC6" s="2498"/>
      <c r="ED6" s="2499">
        <v>2024</v>
      </c>
      <c r="EE6" s="2497"/>
      <c r="EF6" s="2497"/>
      <c r="EG6" s="2497"/>
      <c r="EH6" s="2497"/>
      <c r="EI6" s="2497"/>
      <c r="EJ6" s="2497"/>
      <c r="EK6" s="2497"/>
      <c r="EL6" s="2497"/>
      <c r="EM6" s="2497"/>
      <c r="EN6" s="2497"/>
      <c r="EO6" s="2498"/>
      <c r="EP6" s="2499">
        <v>2025</v>
      </c>
      <c r="EQ6" s="2497"/>
      <c r="ER6" s="2497"/>
      <c r="ES6" s="2497"/>
      <c r="ET6" s="2498"/>
      <c r="EU6" s="2523"/>
    </row>
    <row r="7" spans="1:289" ht="31.5" customHeight="1">
      <c r="A7" s="2501"/>
      <c r="B7" s="869" t="s">
        <v>1961</v>
      </c>
      <c r="C7" s="869" t="s">
        <v>1972</v>
      </c>
      <c r="D7" s="869" t="s">
        <v>1971</v>
      </c>
      <c r="E7" s="869" t="s">
        <v>1970</v>
      </c>
      <c r="F7" s="869" t="s">
        <v>1969</v>
      </c>
      <c r="G7" s="869" t="s">
        <v>1968</v>
      </c>
      <c r="H7" s="869" t="s">
        <v>1967</v>
      </c>
      <c r="I7" s="869" t="s">
        <v>1966</v>
      </c>
      <c r="J7" s="869" t="s">
        <v>1965</v>
      </c>
      <c r="K7" s="869" t="s">
        <v>1964</v>
      </c>
      <c r="L7" s="869" t="s">
        <v>1963</v>
      </c>
      <c r="M7" s="869" t="s">
        <v>1962</v>
      </c>
      <c r="N7" s="869" t="s">
        <v>1961</v>
      </c>
      <c r="O7" s="869" t="s">
        <v>1972</v>
      </c>
      <c r="P7" s="869" t="s">
        <v>1971</v>
      </c>
      <c r="Q7" s="869" t="s">
        <v>1970</v>
      </c>
      <c r="R7" s="869" t="s">
        <v>1969</v>
      </c>
      <c r="S7" s="869" t="s">
        <v>1968</v>
      </c>
      <c r="T7" s="869" t="s">
        <v>1967</v>
      </c>
      <c r="U7" s="869" t="s">
        <v>1966</v>
      </c>
      <c r="V7" s="869" t="s">
        <v>1965</v>
      </c>
      <c r="W7" s="869" t="s">
        <v>1964</v>
      </c>
      <c r="X7" s="869" t="s">
        <v>1963</v>
      </c>
      <c r="Y7" s="869" t="s">
        <v>1962</v>
      </c>
      <c r="Z7" s="869" t="s">
        <v>1961</v>
      </c>
      <c r="AA7" s="869" t="s">
        <v>1972</v>
      </c>
      <c r="AB7" s="869" t="s">
        <v>1971</v>
      </c>
      <c r="AC7" s="869" t="s">
        <v>1970</v>
      </c>
      <c r="AD7" s="869" t="s">
        <v>1969</v>
      </c>
      <c r="AE7" s="869" t="s">
        <v>1973</v>
      </c>
      <c r="AF7" s="869" t="s">
        <v>1977</v>
      </c>
      <c r="AG7" s="869" t="s">
        <v>1966</v>
      </c>
      <c r="AH7" s="869" t="s">
        <v>1965</v>
      </c>
      <c r="AI7" s="869" t="s">
        <v>1964</v>
      </c>
      <c r="AJ7" s="869" t="s">
        <v>1963</v>
      </c>
      <c r="AK7" s="869" t="s">
        <v>1962</v>
      </c>
      <c r="AL7" s="869" t="s">
        <v>1961</v>
      </c>
      <c r="AM7" s="869" t="s">
        <v>1972</v>
      </c>
      <c r="AN7" s="869" t="s">
        <v>1971</v>
      </c>
      <c r="AO7" s="869" t="s">
        <v>1970</v>
      </c>
      <c r="AP7" s="869" t="s">
        <v>1969</v>
      </c>
      <c r="AQ7" s="869" t="s">
        <v>1968</v>
      </c>
      <c r="AR7" s="869" t="s">
        <v>1967</v>
      </c>
      <c r="AS7" s="869" t="s">
        <v>1966</v>
      </c>
      <c r="AT7" s="869" t="s">
        <v>1965</v>
      </c>
      <c r="AU7" s="869" t="s">
        <v>1964</v>
      </c>
      <c r="AV7" s="869" t="s">
        <v>1963</v>
      </c>
      <c r="AW7" s="869" t="s">
        <v>1962</v>
      </c>
      <c r="AX7" s="869" t="s">
        <v>1961</v>
      </c>
      <c r="AY7" s="869" t="s">
        <v>1960</v>
      </c>
      <c r="AZ7" s="869" t="s">
        <v>1959</v>
      </c>
      <c r="BA7" s="869" t="s">
        <v>1958</v>
      </c>
      <c r="BB7" s="869" t="s">
        <v>1978</v>
      </c>
      <c r="BC7" s="869" t="s">
        <v>1979</v>
      </c>
      <c r="BD7" s="869" t="s">
        <v>1988</v>
      </c>
      <c r="BE7" s="869" t="s">
        <v>1998</v>
      </c>
      <c r="BF7" s="869" t="s">
        <v>2008</v>
      </c>
      <c r="BG7" s="869" t="s">
        <v>2021</v>
      </c>
      <c r="BH7" s="896" t="s">
        <v>2032</v>
      </c>
      <c r="BI7" s="906" t="s">
        <v>1962</v>
      </c>
      <c r="BJ7" s="906" t="s">
        <v>1961</v>
      </c>
      <c r="BK7" s="906" t="s">
        <v>1960</v>
      </c>
      <c r="BL7" s="906" t="s">
        <v>1959</v>
      </c>
      <c r="BM7" s="906" t="s">
        <v>1958</v>
      </c>
      <c r="BN7" s="906" t="s">
        <v>1978</v>
      </c>
      <c r="BO7" s="906" t="s">
        <v>1979</v>
      </c>
      <c r="BP7" s="906" t="s">
        <v>1988</v>
      </c>
      <c r="BQ7" s="906" t="s">
        <v>1998</v>
      </c>
      <c r="BR7" s="906" t="s">
        <v>2008</v>
      </c>
      <c r="BS7" s="906" t="s">
        <v>2021</v>
      </c>
      <c r="BT7" s="906" t="s">
        <v>2032</v>
      </c>
      <c r="BU7" s="906" t="s">
        <v>1962</v>
      </c>
      <c r="BV7" s="906" t="s">
        <v>1961</v>
      </c>
      <c r="BW7" s="906" t="s">
        <v>1960</v>
      </c>
      <c r="BX7" s="906" t="s">
        <v>1959</v>
      </c>
      <c r="BY7" s="906" t="s">
        <v>1958</v>
      </c>
      <c r="BZ7" s="906" t="s">
        <v>1978</v>
      </c>
      <c r="CA7" s="906" t="s">
        <v>1979</v>
      </c>
      <c r="CB7" s="906" t="s">
        <v>1988</v>
      </c>
      <c r="CC7" s="906" t="s">
        <v>1998</v>
      </c>
      <c r="CD7" s="906" t="s">
        <v>2008</v>
      </c>
      <c r="CE7" s="906" t="s">
        <v>2021</v>
      </c>
      <c r="CF7" s="906" t="s">
        <v>2032</v>
      </c>
      <c r="CG7" s="906" t="s">
        <v>1962</v>
      </c>
      <c r="CH7" s="906" t="s">
        <v>1961</v>
      </c>
      <c r="CI7" s="906" t="s">
        <v>1960</v>
      </c>
      <c r="CJ7" s="906" t="s">
        <v>1959</v>
      </c>
      <c r="CK7" s="906" t="s">
        <v>1958</v>
      </c>
      <c r="CL7" s="906" t="s">
        <v>1978</v>
      </c>
      <c r="CM7" s="906" t="s">
        <v>2426</v>
      </c>
      <c r="CN7" s="906" t="s">
        <v>2432</v>
      </c>
      <c r="CO7" s="906" t="s">
        <v>1998</v>
      </c>
      <c r="CP7" s="906" t="s">
        <v>2008</v>
      </c>
      <c r="CQ7" s="906" t="s">
        <v>2021</v>
      </c>
      <c r="CR7" s="906" t="s">
        <v>2032</v>
      </c>
      <c r="CS7" s="906" t="s">
        <v>1962</v>
      </c>
      <c r="CT7" s="906" t="s">
        <v>1961</v>
      </c>
      <c r="CU7" s="906" t="s">
        <v>1960</v>
      </c>
      <c r="CV7" s="906" t="s">
        <v>1959</v>
      </c>
      <c r="CW7" s="906" t="s">
        <v>1958</v>
      </c>
      <c r="CX7" s="906" t="s">
        <v>1978</v>
      </c>
      <c r="CY7" s="906" t="s">
        <v>1979</v>
      </c>
      <c r="CZ7" s="906" t="s">
        <v>1988</v>
      </c>
      <c r="DA7" s="906" t="s">
        <v>1998</v>
      </c>
      <c r="DB7" s="906" t="s">
        <v>2008</v>
      </c>
      <c r="DC7" s="906" t="s">
        <v>2021</v>
      </c>
      <c r="DD7" s="944" t="s">
        <v>2032</v>
      </c>
      <c r="DE7" s="944" t="s">
        <v>1962</v>
      </c>
      <c r="DF7" s="944" t="s">
        <v>1961</v>
      </c>
      <c r="DG7" s="907" t="s">
        <v>1960</v>
      </c>
      <c r="DH7" s="907" t="s">
        <v>1959</v>
      </c>
      <c r="DI7" s="907" t="s">
        <v>1958</v>
      </c>
      <c r="DJ7" s="907" t="s">
        <v>1978</v>
      </c>
      <c r="DK7" s="907" t="s">
        <v>1979</v>
      </c>
      <c r="DL7" s="907" t="s">
        <v>1988</v>
      </c>
      <c r="DM7" s="907" t="s">
        <v>1998</v>
      </c>
      <c r="DN7" s="907" t="s">
        <v>2008</v>
      </c>
      <c r="DO7" s="907" t="s">
        <v>2021</v>
      </c>
      <c r="DP7" s="907" t="s">
        <v>2032</v>
      </c>
      <c r="DQ7" s="907" t="s">
        <v>1962</v>
      </c>
      <c r="DR7" s="907" t="s">
        <v>1961</v>
      </c>
      <c r="DS7" s="907" t="s">
        <v>1960</v>
      </c>
      <c r="DT7" s="907" t="s">
        <v>1959</v>
      </c>
      <c r="DU7" s="907" t="s">
        <v>1958</v>
      </c>
      <c r="DV7" s="907" t="s">
        <v>1978</v>
      </c>
      <c r="DW7" s="907" t="s">
        <v>1979</v>
      </c>
      <c r="DX7" s="907" t="s">
        <v>1988</v>
      </c>
      <c r="DY7" s="907" t="s">
        <v>1998</v>
      </c>
      <c r="DZ7" s="907" t="s">
        <v>2008</v>
      </c>
      <c r="EA7" s="907" t="s">
        <v>2021</v>
      </c>
      <c r="EB7" s="907" t="s">
        <v>2032</v>
      </c>
      <c r="EC7" s="907" t="s">
        <v>1962</v>
      </c>
      <c r="ED7" s="907" t="s">
        <v>1961</v>
      </c>
      <c r="EE7" s="907" t="s">
        <v>1960</v>
      </c>
      <c r="EF7" s="907" t="s">
        <v>1959</v>
      </c>
      <c r="EG7" s="907" t="s">
        <v>1958</v>
      </c>
      <c r="EH7" s="907" t="s">
        <v>1978</v>
      </c>
      <c r="EI7" s="907" t="s">
        <v>1979</v>
      </c>
      <c r="EJ7" s="907" t="s">
        <v>1988</v>
      </c>
      <c r="EK7" s="907" t="s">
        <v>1998</v>
      </c>
      <c r="EL7" s="907" t="s">
        <v>2008</v>
      </c>
      <c r="EM7" s="907" t="s">
        <v>2021</v>
      </c>
      <c r="EN7" s="907" t="s">
        <v>2032</v>
      </c>
      <c r="EO7" s="907" t="s">
        <v>1962</v>
      </c>
      <c r="EP7" s="907" t="s">
        <v>1961</v>
      </c>
      <c r="EQ7" s="907" t="s">
        <v>1960</v>
      </c>
      <c r="ER7" s="907" t="s">
        <v>1959</v>
      </c>
      <c r="ES7" s="944" t="s">
        <v>1958</v>
      </c>
      <c r="ET7" s="906" t="s">
        <v>1978</v>
      </c>
      <c r="EU7" s="2524"/>
    </row>
    <row r="8" spans="1:289" ht="31.5" customHeight="1">
      <c r="A8" s="2502"/>
      <c r="B8" s="871"/>
      <c r="C8" s="871"/>
      <c r="D8" s="871"/>
      <c r="E8" s="871"/>
      <c r="F8" s="871"/>
      <c r="G8" s="871"/>
      <c r="H8" s="871"/>
      <c r="I8" s="871"/>
      <c r="J8" s="871"/>
      <c r="K8" s="871"/>
      <c r="L8" s="871"/>
      <c r="M8" s="871"/>
      <c r="N8" s="871"/>
      <c r="O8" s="871"/>
      <c r="P8" s="871"/>
      <c r="Q8" s="871"/>
      <c r="R8" s="871"/>
      <c r="S8" s="871"/>
      <c r="T8" s="871"/>
      <c r="U8" s="871"/>
      <c r="V8" s="871"/>
      <c r="W8" s="871"/>
      <c r="X8" s="871"/>
      <c r="Y8" s="871"/>
      <c r="Z8" s="871"/>
      <c r="AA8" s="871"/>
      <c r="AB8" s="871"/>
      <c r="AC8" s="871"/>
      <c r="AD8" s="871"/>
      <c r="AE8" s="871"/>
      <c r="AF8" s="871"/>
      <c r="AG8" s="871"/>
      <c r="AH8" s="871"/>
      <c r="AI8" s="871"/>
      <c r="AJ8" s="871"/>
      <c r="AK8" s="871"/>
      <c r="AL8" s="871"/>
      <c r="AM8" s="871"/>
      <c r="AN8" s="871"/>
      <c r="AO8" s="871"/>
      <c r="AP8" s="871"/>
      <c r="AQ8" s="871"/>
      <c r="AR8" s="871"/>
      <c r="AS8" s="871"/>
      <c r="AT8" s="871"/>
      <c r="AU8" s="871"/>
      <c r="AV8" s="871"/>
      <c r="AW8" s="871"/>
      <c r="AX8" s="871"/>
      <c r="AY8" s="871"/>
      <c r="AZ8" s="871"/>
      <c r="BA8" s="871"/>
      <c r="BB8" s="871"/>
      <c r="BC8" s="871"/>
      <c r="BD8" s="871"/>
      <c r="BE8" s="871"/>
      <c r="BF8" s="871"/>
      <c r="BG8" s="871"/>
      <c r="BH8" s="1949"/>
      <c r="BI8" s="1938" t="s">
        <v>3191</v>
      </c>
      <c r="BJ8" s="1938" t="s">
        <v>3191</v>
      </c>
      <c r="BK8" s="1938"/>
      <c r="BL8" s="1938"/>
      <c r="BM8" s="1938"/>
      <c r="BN8" s="1938"/>
      <c r="BO8" s="1938"/>
      <c r="BP8" s="1938"/>
      <c r="BQ8" s="1938"/>
      <c r="BR8" s="1938"/>
      <c r="BS8" s="1938"/>
      <c r="BT8" s="1938"/>
      <c r="BU8" s="1938" t="s">
        <v>3191</v>
      </c>
      <c r="BV8" s="1938" t="s">
        <v>3191</v>
      </c>
      <c r="BW8" s="1938"/>
      <c r="BX8" s="1938"/>
      <c r="BY8" s="1938"/>
      <c r="BZ8" s="1938"/>
      <c r="CA8" s="1938"/>
      <c r="CB8" s="1938"/>
      <c r="CC8" s="1938"/>
      <c r="CD8" s="1938"/>
      <c r="CE8" s="1938"/>
      <c r="CF8" s="1938"/>
      <c r="CG8" s="1938" t="s">
        <v>3191</v>
      </c>
      <c r="CH8" s="1938" t="s">
        <v>3191</v>
      </c>
      <c r="CI8" s="1938"/>
      <c r="CJ8" s="1938"/>
      <c r="CK8" s="1938"/>
      <c r="CL8" s="1938"/>
      <c r="CM8" s="1938"/>
      <c r="CN8" s="1938"/>
      <c r="CO8" s="1938"/>
      <c r="CP8" s="1938"/>
      <c r="CQ8" s="1938"/>
      <c r="CR8" s="1938"/>
      <c r="CS8" s="1938" t="s">
        <v>3191</v>
      </c>
      <c r="CT8" s="1938" t="s">
        <v>3191</v>
      </c>
      <c r="CU8" s="1938"/>
      <c r="CV8" s="1938"/>
      <c r="CW8" s="1938"/>
      <c r="CX8" s="1938"/>
      <c r="CY8" s="1938"/>
      <c r="CZ8" s="1938"/>
      <c r="DA8" s="1938"/>
      <c r="DB8" s="1938"/>
      <c r="DC8" s="1938"/>
      <c r="DD8" s="1938"/>
      <c r="DE8" s="1938" t="s">
        <v>3191</v>
      </c>
      <c r="DF8" s="1938" t="s">
        <v>3191</v>
      </c>
      <c r="DG8" s="1938"/>
      <c r="DH8" s="1938"/>
      <c r="DI8" s="1938"/>
      <c r="DJ8" s="1938"/>
      <c r="DK8" s="1938"/>
      <c r="DL8" s="1938"/>
      <c r="DM8" s="1938"/>
      <c r="DN8" s="1938"/>
      <c r="DO8" s="1938"/>
      <c r="DP8" s="1938"/>
      <c r="DQ8" s="1938" t="s">
        <v>3191</v>
      </c>
      <c r="DR8" s="1938" t="s">
        <v>3191</v>
      </c>
      <c r="DS8" s="1938"/>
      <c r="DT8" s="1938"/>
      <c r="DU8" s="1938"/>
      <c r="DV8" s="1938"/>
      <c r="DW8" s="1938"/>
      <c r="DX8" s="1938"/>
      <c r="DY8" s="1938"/>
      <c r="DZ8" s="1938"/>
      <c r="EA8" s="1938"/>
      <c r="EB8" s="1938"/>
      <c r="EC8" s="1938" t="s">
        <v>3191</v>
      </c>
      <c r="ED8" s="1938" t="s">
        <v>3120</v>
      </c>
      <c r="EE8" s="1938" t="s">
        <v>3121</v>
      </c>
      <c r="EF8" s="1938" t="s">
        <v>3122</v>
      </c>
      <c r="EG8" s="1938" t="s">
        <v>3123</v>
      </c>
      <c r="EH8" s="1938" t="s">
        <v>1978</v>
      </c>
      <c r="EI8" s="1938" t="s">
        <v>3124</v>
      </c>
      <c r="EJ8" s="1938" t="s">
        <v>3125</v>
      </c>
      <c r="EK8" s="1938" t="s">
        <v>3126</v>
      </c>
      <c r="EL8" s="1938" t="s">
        <v>3127</v>
      </c>
      <c r="EM8" s="1938" t="s">
        <v>3190</v>
      </c>
      <c r="EN8" s="1938" t="s">
        <v>3424</v>
      </c>
      <c r="EO8" s="1938" t="s">
        <v>3191</v>
      </c>
      <c r="EP8" s="1938" t="s">
        <v>3120</v>
      </c>
      <c r="EQ8" s="1938" t="s">
        <v>3121</v>
      </c>
      <c r="ER8" s="1938" t="s">
        <v>3122</v>
      </c>
      <c r="ES8" s="1938" t="s">
        <v>3123</v>
      </c>
      <c r="ET8" s="1938" t="s">
        <v>1978</v>
      </c>
      <c r="EU8" s="2525"/>
    </row>
    <row r="9" spans="1:289" ht="21">
      <c r="A9" s="1930" t="s">
        <v>2755</v>
      </c>
      <c r="B9" s="839">
        <v>1428.183906</v>
      </c>
      <c r="C9" s="839">
        <v>1149.18645735</v>
      </c>
      <c r="D9" s="839">
        <v>1139.6423065099998</v>
      </c>
      <c r="E9" s="839">
        <v>1230.9027256600002</v>
      </c>
      <c r="F9" s="839">
        <v>1283.85502954</v>
      </c>
      <c r="G9" s="839">
        <v>1341.61179952</v>
      </c>
      <c r="H9" s="839">
        <v>1371.82922347</v>
      </c>
      <c r="I9" s="839">
        <v>1412.9474226100001</v>
      </c>
      <c r="J9" s="839">
        <v>1467.32344638</v>
      </c>
      <c r="K9" s="839">
        <v>1456.38456032</v>
      </c>
      <c r="L9" s="839">
        <v>1461.20563808</v>
      </c>
      <c r="M9" s="840">
        <v>1516.4168226499999</v>
      </c>
      <c r="N9" s="840">
        <v>1841.3114409099999</v>
      </c>
      <c r="O9" s="840">
        <v>1801.4803269099998</v>
      </c>
      <c r="P9" s="840">
        <v>1830.6190634100003</v>
      </c>
      <c r="Q9" s="840">
        <v>1907.9842716100002</v>
      </c>
      <c r="R9" s="840">
        <v>1925.2843710400002</v>
      </c>
      <c r="S9" s="840">
        <v>1965.7615578500004</v>
      </c>
      <c r="T9" s="840">
        <v>1994.8483600300001</v>
      </c>
      <c r="U9" s="840">
        <v>2008.4568079000001</v>
      </c>
      <c r="V9" s="840">
        <v>2021.0187138399999</v>
      </c>
      <c r="W9" s="840">
        <v>2078.34941669</v>
      </c>
      <c r="X9" s="840">
        <v>2066.6721560299998</v>
      </c>
      <c r="Y9" s="840">
        <v>2027.84494105</v>
      </c>
      <c r="Z9" s="840">
        <v>2007.0901509099999</v>
      </c>
      <c r="AA9" s="840">
        <v>2248.13395915</v>
      </c>
      <c r="AB9" s="840">
        <v>2238.0025100100002</v>
      </c>
      <c r="AC9" s="840">
        <v>2210.9461330099998</v>
      </c>
      <c r="AD9" s="840">
        <v>2182.7752435699999</v>
      </c>
      <c r="AE9" s="840">
        <v>2172.1726600900001</v>
      </c>
      <c r="AF9" s="840">
        <v>2177.4185807900003</v>
      </c>
      <c r="AG9" s="840">
        <v>2135.7916002400002</v>
      </c>
      <c r="AH9" s="840">
        <v>1968.91817251</v>
      </c>
      <c r="AI9" s="840">
        <v>1610.2726114500001</v>
      </c>
      <c r="AJ9" s="840">
        <v>1818.6654537099998</v>
      </c>
      <c r="AK9" s="840">
        <v>1948.3333018399999</v>
      </c>
      <c r="AL9" s="840">
        <v>1881.53008694</v>
      </c>
      <c r="AM9" s="840">
        <v>1723.0961431700002</v>
      </c>
      <c r="AN9" s="840">
        <v>1369.0636536899999</v>
      </c>
      <c r="AO9" s="840">
        <v>1208.0488752299998</v>
      </c>
      <c r="AP9" s="840">
        <v>1211.70943842</v>
      </c>
      <c r="AQ9" s="840">
        <v>1325.8798217900001</v>
      </c>
      <c r="AR9" s="840">
        <v>1306.0223551099998</v>
      </c>
      <c r="AS9" s="840">
        <v>1320.3134043</v>
      </c>
      <c r="AT9" s="840">
        <v>1332.11418411</v>
      </c>
      <c r="AU9" s="840">
        <v>1208.6823844099999</v>
      </c>
      <c r="AV9" s="840">
        <v>1238.3630109599999</v>
      </c>
      <c r="AW9" s="840">
        <v>1263.1095771600001</v>
      </c>
      <c r="AX9" s="840">
        <v>1298.45241844</v>
      </c>
      <c r="AY9" s="840">
        <v>1254.3710778200002</v>
      </c>
      <c r="AZ9" s="840">
        <v>1204.3293183199999</v>
      </c>
      <c r="BA9" s="840">
        <v>1206.1408741700002</v>
      </c>
      <c r="BB9" s="840">
        <v>1071.5953943</v>
      </c>
      <c r="BC9" s="840">
        <v>1040.3336183599999</v>
      </c>
      <c r="BD9" s="840">
        <v>633.34679924</v>
      </c>
      <c r="BE9" s="840">
        <v>638.24987032000001</v>
      </c>
      <c r="BF9" s="840">
        <v>632.05855556999995</v>
      </c>
      <c r="BG9" s="840">
        <v>615.22808975999999</v>
      </c>
      <c r="BH9" s="885">
        <v>625.64178061999996</v>
      </c>
      <c r="BI9" s="874">
        <v>612.36645699999997</v>
      </c>
      <c r="BJ9" s="874">
        <v>614.72017367000001</v>
      </c>
      <c r="BK9" s="874">
        <v>651.64406981000002</v>
      </c>
      <c r="BL9" s="874">
        <v>647.4186706800001</v>
      </c>
      <c r="BM9" s="874">
        <v>669.29635422000001</v>
      </c>
      <c r="BN9" s="874">
        <v>685.77672811000002</v>
      </c>
      <c r="BO9" s="874">
        <v>677.00939595999989</v>
      </c>
      <c r="BP9" s="874">
        <v>664.36494074999996</v>
      </c>
      <c r="BQ9" s="874">
        <v>676.72343440999998</v>
      </c>
      <c r="BR9" s="874">
        <v>671.8785015200001</v>
      </c>
      <c r="BS9" s="874">
        <v>681.46482938999998</v>
      </c>
      <c r="BT9" s="874">
        <v>679.59337290999997</v>
      </c>
      <c r="BU9" s="874">
        <v>700.64651284000001</v>
      </c>
      <c r="BV9" s="874">
        <v>701.46210560999998</v>
      </c>
      <c r="BW9" s="874">
        <v>720.27792026999998</v>
      </c>
      <c r="BX9" s="874">
        <v>742.80116336000003</v>
      </c>
      <c r="BY9" s="874">
        <v>757.10349629999996</v>
      </c>
      <c r="BZ9" s="874">
        <v>766.29979461999994</v>
      </c>
      <c r="CA9" s="874">
        <v>777.35009609999997</v>
      </c>
      <c r="CB9" s="874">
        <v>895.79496054999993</v>
      </c>
      <c r="CC9" s="874">
        <v>856.11254572999997</v>
      </c>
      <c r="CD9" s="874">
        <v>866.21003390999999</v>
      </c>
      <c r="CE9" s="874">
        <v>898.55133841999987</v>
      </c>
      <c r="CF9" s="874">
        <v>924.54653706999989</v>
      </c>
      <c r="CG9" s="874">
        <v>869.43478271000004</v>
      </c>
      <c r="CH9" s="874">
        <v>1135.2953768500001</v>
      </c>
      <c r="CI9" s="874">
        <v>1132.1902052399998</v>
      </c>
      <c r="CJ9" s="874">
        <v>1123.7267305099999</v>
      </c>
      <c r="CK9" s="874">
        <v>1132.2547219600001</v>
      </c>
      <c r="CL9" s="874">
        <v>1153.8423967900001</v>
      </c>
      <c r="CM9" s="874">
        <v>1164.4747104199998</v>
      </c>
      <c r="CN9" s="874">
        <v>1183.6976434199998</v>
      </c>
      <c r="CO9" s="874">
        <v>1187.6001615399998</v>
      </c>
      <c r="CP9" s="874">
        <v>1182.60945509</v>
      </c>
      <c r="CQ9" s="874">
        <v>1221.48748387</v>
      </c>
      <c r="CR9" s="874">
        <v>1375.1527625599999</v>
      </c>
      <c r="CS9" s="874">
        <v>1241.2799363700001</v>
      </c>
      <c r="CT9" s="874">
        <v>972.77601623999999</v>
      </c>
      <c r="CU9" s="874">
        <v>899.53158281000003</v>
      </c>
      <c r="CV9" s="874">
        <v>910.73295687999996</v>
      </c>
      <c r="CW9" s="874">
        <v>905.59455224999999</v>
      </c>
      <c r="CX9" s="874">
        <v>915.36763212000005</v>
      </c>
      <c r="CY9" s="874">
        <v>910.15272129000004</v>
      </c>
      <c r="CZ9" s="874">
        <v>906.00177702999997</v>
      </c>
      <c r="DA9" s="874">
        <v>860.10702729000002</v>
      </c>
      <c r="DB9" s="874">
        <v>894.29216449</v>
      </c>
      <c r="DC9" s="874">
        <v>931.10649753999996</v>
      </c>
      <c r="DD9" s="945">
        <v>924.56066939000004</v>
      </c>
      <c r="DE9" s="945">
        <v>960.22491319000005</v>
      </c>
      <c r="DF9" s="945">
        <v>948.28755951000005</v>
      </c>
      <c r="DG9" s="897">
        <v>985.04823421000003</v>
      </c>
      <c r="DH9" s="897">
        <v>1004.56486473</v>
      </c>
      <c r="DI9" s="897">
        <v>1013.29004033</v>
      </c>
      <c r="DJ9" s="897">
        <v>981.09731834000002</v>
      </c>
      <c r="DK9" s="897">
        <v>980.58902658</v>
      </c>
      <c r="DL9" s="897">
        <v>1037.67454316</v>
      </c>
      <c r="DM9" s="897">
        <v>1061.30586866</v>
      </c>
      <c r="DN9" s="897">
        <v>1057.6198145200001</v>
      </c>
      <c r="DO9" s="897">
        <v>1068.7433036299999</v>
      </c>
      <c r="DP9" s="897">
        <v>1052.0862463799999</v>
      </c>
      <c r="DQ9" s="897">
        <v>1048.8211128</v>
      </c>
      <c r="DR9" s="897">
        <v>1064.04884924</v>
      </c>
      <c r="DS9" s="897">
        <v>1064.9589326600001</v>
      </c>
      <c r="DT9" s="897">
        <v>1077.43719143</v>
      </c>
      <c r="DU9" s="897">
        <v>1050.6385203299999</v>
      </c>
      <c r="DV9" s="897">
        <v>1021.98210517</v>
      </c>
      <c r="DW9" s="897">
        <v>1065.86555006</v>
      </c>
      <c r="DX9" s="897">
        <v>1070.5849528399999</v>
      </c>
      <c r="DY9" s="897">
        <v>1084.6226701200001</v>
      </c>
      <c r="DZ9" s="897">
        <v>1089.5345540999999</v>
      </c>
      <c r="EA9" s="897">
        <v>1130.77302792</v>
      </c>
      <c r="EB9" s="897">
        <v>1143.0243782</v>
      </c>
      <c r="EC9" s="897">
        <v>1188.0659588000001</v>
      </c>
      <c r="ED9" s="897">
        <v>1386.1662965099999</v>
      </c>
      <c r="EE9" s="897">
        <v>1390.6726234499999</v>
      </c>
      <c r="EF9" s="897">
        <v>1399.8904659699999</v>
      </c>
      <c r="EG9" s="897">
        <v>1397.4653280499999</v>
      </c>
      <c r="EH9" s="897">
        <v>1437.23427683</v>
      </c>
      <c r="EI9" s="897">
        <v>1452.6443335199999</v>
      </c>
      <c r="EJ9" s="897">
        <v>1421.78829436</v>
      </c>
      <c r="EK9" s="897">
        <v>1417.48038524</v>
      </c>
      <c r="EL9" s="897">
        <v>1441.7466851500001</v>
      </c>
      <c r="EM9" s="897">
        <v>1507.88893183</v>
      </c>
      <c r="EN9" s="897">
        <v>1517.40410896</v>
      </c>
      <c r="EO9" s="897">
        <v>1534.8844257200001</v>
      </c>
      <c r="EP9" s="897">
        <v>1536.7714749300001</v>
      </c>
      <c r="EQ9" s="897">
        <v>1556.2937602899999</v>
      </c>
      <c r="ER9" s="897">
        <v>1568.8462233400001</v>
      </c>
      <c r="ES9" s="897">
        <v>1554.56446016</v>
      </c>
      <c r="ET9" s="897">
        <v>1559.6696848900001</v>
      </c>
      <c r="EU9" s="1918" t="s">
        <v>1159</v>
      </c>
      <c r="EY9" s="340"/>
      <c r="EZ9" s="341"/>
    </row>
    <row r="10" spans="1:289" ht="21">
      <c r="A10" s="1931" t="s">
        <v>1974</v>
      </c>
      <c r="B10" s="842">
        <v>651.98611257999994</v>
      </c>
      <c r="C10" s="842">
        <v>123.34811096</v>
      </c>
      <c r="D10" s="842">
        <v>84.942547319999989</v>
      </c>
      <c r="E10" s="842">
        <v>93.558326480000005</v>
      </c>
      <c r="F10" s="842">
        <v>107.3112879</v>
      </c>
      <c r="G10" s="842">
        <v>121.18865502</v>
      </c>
      <c r="H10" s="842">
        <v>112.74529396</v>
      </c>
      <c r="I10" s="842">
        <v>115.3464295</v>
      </c>
      <c r="J10" s="842">
        <v>115.02437277</v>
      </c>
      <c r="K10" s="842">
        <v>105.37847120000001</v>
      </c>
      <c r="L10" s="842">
        <v>93.916759949999999</v>
      </c>
      <c r="M10" s="843">
        <v>79.894837569999993</v>
      </c>
      <c r="N10" s="843">
        <v>60.546527869999998</v>
      </c>
      <c r="O10" s="843">
        <v>54.994578830000002</v>
      </c>
      <c r="P10" s="843">
        <v>53.3447344</v>
      </c>
      <c r="Q10" s="843">
        <v>51.62177234</v>
      </c>
      <c r="R10" s="843">
        <v>52.261443479999997</v>
      </c>
      <c r="S10" s="843">
        <v>52.530328589999996</v>
      </c>
      <c r="T10" s="843">
        <v>53.531505750000001</v>
      </c>
      <c r="U10" s="843">
        <v>54.019738589999996</v>
      </c>
      <c r="V10" s="843">
        <v>53.310998820000002</v>
      </c>
      <c r="W10" s="843">
        <v>52.87204741</v>
      </c>
      <c r="X10" s="843">
        <v>48.302395709999999</v>
      </c>
      <c r="Y10" s="843">
        <v>40.770908400000003</v>
      </c>
      <c r="Z10" s="843">
        <v>33.28503164</v>
      </c>
      <c r="AA10" s="843">
        <v>27.107521759999997</v>
      </c>
      <c r="AB10" s="843">
        <v>18.536644770000002</v>
      </c>
      <c r="AC10" s="843">
        <v>15.784246169999999</v>
      </c>
      <c r="AD10" s="843">
        <v>14.779076669999998</v>
      </c>
      <c r="AE10" s="843">
        <v>13.26026487</v>
      </c>
      <c r="AF10" s="843">
        <v>13.94947726</v>
      </c>
      <c r="AG10" s="843">
        <v>13.85207387</v>
      </c>
      <c r="AH10" s="843">
        <v>13.49778178</v>
      </c>
      <c r="AI10" s="843">
        <v>15.92621205</v>
      </c>
      <c r="AJ10" s="843">
        <v>14.416971999999998</v>
      </c>
      <c r="AK10" s="843">
        <v>19.46189841</v>
      </c>
      <c r="AL10" s="843">
        <v>21.357508299999999</v>
      </c>
      <c r="AM10" s="843">
        <v>20.367606909999999</v>
      </c>
      <c r="AN10" s="843">
        <v>22.914722780000002</v>
      </c>
      <c r="AO10" s="843">
        <v>21.132616680000002</v>
      </c>
      <c r="AP10" s="843">
        <v>21.499350680000003</v>
      </c>
      <c r="AQ10" s="843">
        <v>22.26900942</v>
      </c>
      <c r="AR10" s="843">
        <v>22.45482453</v>
      </c>
      <c r="AS10" s="843">
        <v>22.280903590000001</v>
      </c>
      <c r="AT10" s="843">
        <v>23.485196890000001</v>
      </c>
      <c r="AU10" s="843">
        <v>20.956096049999999</v>
      </c>
      <c r="AV10" s="843">
        <v>21.044413550000002</v>
      </c>
      <c r="AW10" s="843">
        <v>17.73985519</v>
      </c>
      <c r="AX10" s="843">
        <v>22.30469712</v>
      </c>
      <c r="AY10" s="843">
        <v>22.897321599999998</v>
      </c>
      <c r="AZ10" s="843">
        <v>20.292370980000001</v>
      </c>
      <c r="BA10" s="843">
        <v>23.61504691</v>
      </c>
      <c r="BB10" s="843">
        <v>22.90025121</v>
      </c>
      <c r="BC10" s="843">
        <v>22.938948440000001</v>
      </c>
      <c r="BD10" s="843">
        <v>22.403413019999999</v>
      </c>
      <c r="BE10" s="843">
        <v>24.46950056</v>
      </c>
      <c r="BF10" s="843">
        <v>23.432095689999997</v>
      </c>
      <c r="BG10" s="843">
        <v>22.675817760000001</v>
      </c>
      <c r="BH10" s="886">
        <v>23.54920005</v>
      </c>
      <c r="BI10" s="875">
        <v>23.637622069999999</v>
      </c>
      <c r="BJ10" s="875">
        <v>20.342743950000003</v>
      </c>
      <c r="BK10" s="875">
        <v>24.144741289999999</v>
      </c>
      <c r="BL10" s="875">
        <v>23.137942340000002</v>
      </c>
      <c r="BM10" s="875">
        <v>21.437334610000001</v>
      </c>
      <c r="BN10" s="875">
        <v>21.633768979999999</v>
      </c>
      <c r="BO10" s="875">
        <v>22.662641319999999</v>
      </c>
      <c r="BP10" s="875">
        <v>21.761955990000004</v>
      </c>
      <c r="BQ10" s="875">
        <v>19.806999430000001</v>
      </c>
      <c r="BR10" s="875">
        <v>20.397622049999999</v>
      </c>
      <c r="BS10" s="875">
        <v>19.575226149999999</v>
      </c>
      <c r="BT10" s="875">
        <v>23.448292249999998</v>
      </c>
      <c r="BU10" s="875">
        <v>12.177229570000002</v>
      </c>
      <c r="BV10" s="875">
        <v>12.43824287</v>
      </c>
      <c r="BW10" s="875">
        <v>13.67680236</v>
      </c>
      <c r="BX10" s="875">
        <v>13.57144452</v>
      </c>
      <c r="BY10" s="875">
        <v>15.702372579999999</v>
      </c>
      <c r="BZ10" s="875">
        <v>14.08868629</v>
      </c>
      <c r="CA10" s="875">
        <v>16.750325050000001</v>
      </c>
      <c r="CB10" s="875">
        <v>14.1899651</v>
      </c>
      <c r="CC10" s="875">
        <v>12.52060232</v>
      </c>
      <c r="CD10" s="875">
        <v>12.352258450000001</v>
      </c>
      <c r="CE10" s="875">
        <v>12.20372592</v>
      </c>
      <c r="CF10" s="875">
        <v>12.215536160000001</v>
      </c>
      <c r="CG10" s="875">
        <v>8.8058696399999992</v>
      </c>
      <c r="CH10" s="875">
        <v>264.49295413999999</v>
      </c>
      <c r="CI10" s="875">
        <v>266.14130547000002</v>
      </c>
      <c r="CJ10" s="875">
        <v>267.28400216</v>
      </c>
      <c r="CK10" s="875">
        <v>265.30857500000002</v>
      </c>
      <c r="CL10" s="875">
        <v>274.49015537999998</v>
      </c>
      <c r="CM10" s="875">
        <v>280.19506337000001</v>
      </c>
      <c r="CN10" s="875">
        <v>280.98960104999998</v>
      </c>
      <c r="CO10" s="875">
        <v>280.63102354</v>
      </c>
      <c r="CP10" s="875">
        <v>278.43564430999999</v>
      </c>
      <c r="CQ10" s="875">
        <v>283.33021944000001</v>
      </c>
      <c r="CR10" s="875">
        <v>413.50147177999997</v>
      </c>
      <c r="CS10" s="875">
        <v>286.41053583000001</v>
      </c>
      <c r="CT10" s="875">
        <v>15.9027449</v>
      </c>
      <c r="CU10" s="875">
        <v>15.368054860000001</v>
      </c>
      <c r="CV10" s="875">
        <v>15.2672519</v>
      </c>
      <c r="CW10" s="875">
        <v>11.529267020000001</v>
      </c>
      <c r="CX10" s="875">
        <v>16.267083329999998</v>
      </c>
      <c r="CY10" s="875">
        <v>16.473009080000001</v>
      </c>
      <c r="CZ10" s="875">
        <v>15.80165077</v>
      </c>
      <c r="DA10" s="875">
        <v>15.57330054</v>
      </c>
      <c r="DB10" s="875">
        <v>15.64790814</v>
      </c>
      <c r="DC10" s="875">
        <v>16.702823819999999</v>
      </c>
      <c r="DD10" s="946">
        <v>16.683767499999998</v>
      </c>
      <c r="DE10" s="946">
        <v>14.19515752</v>
      </c>
      <c r="DF10" s="946">
        <v>14.00784185</v>
      </c>
      <c r="DG10" s="898">
        <v>13.823232170000001</v>
      </c>
      <c r="DH10" s="898">
        <v>13.66506221</v>
      </c>
      <c r="DI10" s="898">
        <v>14.52001843</v>
      </c>
      <c r="DJ10" s="898">
        <v>14.11484432</v>
      </c>
      <c r="DK10" s="898">
        <v>10.81065757</v>
      </c>
      <c r="DL10" s="898">
        <v>11.19815386</v>
      </c>
      <c r="DM10" s="898">
        <v>11.17009751</v>
      </c>
      <c r="DN10" s="898">
        <v>8.5135082299999993</v>
      </c>
      <c r="DO10" s="898">
        <v>7.7260031099999997</v>
      </c>
      <c r="DP10" s="898">
        <v>7.5939121399999996</v>
      </c>
      <c r="DQ10" s="898">
        <v>13.03948666</v>
      </c>
      <c r="DR10" s="898">
        <v>12.74168663</v>
      </c>
      <c r="DS10" s="898">
        <v>10.956747910000001</v>
      </c>
      <c r="DT10" s="898">
        <v>9.8013200200000004</v>
      </c>
      <c r="DU10" s="898">
        <v>7.9357922399999996</v>
      </c>
      <c r="DV10" s="898">
        <v>12.98133402</v>
      </c>
      <c r="DW10" s="898">
        <v>12.14476973</v>
      </c>
      <c r="DX10" s="898">
        <v>12.46498132</v>
      </c>
      <c r="DY10" s="898">
        <v>13.58357942</v>
      </c>
      <c r="DZ10" s="898">
        <v>13.890954860000001</v>
      </c>
      <c r="EA10" s="898">
        <v>6.32633724</v>
      </c>
      <c r="EB10" s="898">
        <v>12.241687499999999</v>
      </c>
      <c r="EC10" s="898">
        <v>12.831688550000001</v>
      </c>
      <c r="ED10" s="898">
        <v>225.40449473999999</v>
      </c>
      <c r="EE10" s="898">
        <v>225.63851518999999</v>
      </c>
      <c r="EF10" s="898">
        <v>225.50510588</v>
      </c>
      <c r="EG10" s="898">
        <v>227.19034499</v>
      </c>
      <c r="EH10" s="898">
        <v>227.27673952999999</v>
      </c>
      <c r="EI10" s="898">
        <v>227.21248492999999</v>
      </c>
      <c r="EJ10" s="898">
        <v>226.84144158000001</v>
      </c>
      <c r="EK10" s="898">
        <v>225.96290988000001</v>
      </c>
      <c r="EL10" s="898">
        <v>226.69057733</v>
      </c>
      <c r="EM10" s="898">
        <v>226.92780195</v>
      </c>
      <c r="EN10" s="898">
        <v>229.04718226</v>
      </c>
      <c r="EO10" s="898">
        <v>227.05094226</v>
      </c>
      <c r="EP10" s="898">
        <v>226.73861067000001</v>
      </c>
      <c r="EQ10" s="898">
        <v>225.78174942000001</v>
      </c>
      <c r="ER10" s="898">
        <v>222.43401435000001</v>
      </c>
      <c r="ES10" s="898">
        <v>209.16001315</v>
      </c>
      <c r="ET10" s="898">
        <v>209.15125995</v>
      </c>
      <c r="EU10" s="1920" t="s">
        <v>4086</v>
      </c>
      <c r="EZ10" s="342"/>
    </row>
    <row r="11" spans="1:289" ht="21">
      <c r="A11" s="1931" t="s">
        <v>1975</v>
      </c>
      <c r="B11" s="839">
        <f>+B9-B10</f>
        <v>776.19779342000004</v>
      </c>
      <c r="C11" s="839">
        <f t="shared" ref="C11:V11" si="0">+C9-C10</f>
        <v>1025.83834639</v>
      </c>
      <c r="D11" s="839">
        <f t="shared" si="0"/>
        <v>1054.6997591899999</v>
      </c>
      <c r="E11" s="839">
        <f t="shared" si="0"/>
        <v>1137.3443991800002</v>
      </c>
      <c r="F11" s="839">
        <f t="shared" si="0"/>
        <v>1176.54374164</v>
      </c>
      <c r="G11" s="839">
        <f t="shared" si="0"/>
        <v>1220.4231445</v>
      </c>
      <c r="H11" s="839">
        <f t="shared" si="0"/>
        <v>1259.08392951</v>
      </c>
      <c r="I11" s="839">
        <f t="shared" si="0"/>
        <v>1297.6009931100002</v>
      </c>
      <c r="J11" s="839">
        <f t="shared" si="0"/>
        <v>1352.2990736100001</v>
      </c>
      <c r="K11" s="839">
        <f t="shared" si="0"/>
        <v>1351.0060891200001</v>
      </c>
      <c r="L11" s="839">
        <f t="shared" si="0"/>
        <v>1367.2888781300001</v>
      </c>
      <c r="M11" s="843">
        <f t="shared" si="0"/>
        <v>1436.5219850799999</v>
      </c>
      <c r="N11" s="840">
        <f t="shared" si="0"/>
        <v>1780.7649130399998</v>
      </c>
      <c r="O11" s="840">
        <f t="shared" si="0"/>
        <v>1746.4857480799999</v>
      </c>
      <c r="P11" s="840">
        <f t="shared" si="0"/>
        <v>1777.2743290100002</v>
      </c>
      <c r="Q11" s="840">
        <f t="shared" si="0"/>
        <v>1856.3624992700002</v>
      </c>
      <c r="R11" s="840">
        <f t="shared" si="0"/>
        <v>1873.0229275600002</v>
      </c>
      <c r="S11" s="840">
        <f t="shared" si="0"/>
        <v>1913.2312292600004</v>
      </c>
      <c r="T11" s="840">
        <f t="shared" si="0"/>
        <v>1941.3168542800001</v>
      </c>
      <c r="U11" s="840">
        <f t="shared" si="0"/>
        <v>1954.43706931</v>
      </c>
      <c r="V11" s="840">
        <f t="shared" si="0"/>
        <v>1967.70771502</v>
      </c>
      <c r="W11" s="840">
        <v>2025.4773692799999</v>
      </c>
      <c r="X11" s="840">
        <v>2018.3697603199998</v>
      </c>
      <c r="Y11" s="843">
        <v>1987.0740326499999</v>
      </c>
      <c r="Z11" s="840">
        <v>1973.80511927</v>
      </c>
      <c r="AA11" s="840">
        <v>2221.02643739</v>
      </c>
      <c r="AB11" s="843">
        <f>+AB9-AB10</f>
        <v>2219.4658652400003</v>
      </c>
      <c r="AC11" s="843">
        <v>2195.1618868399996</v>
      </c>
      <c r="AD11" s="843">
        <v>2167.9961668999999</v>
      </c>
      <c r="AE11" s="843">
        <v>2158.9123952200002</v>
      </c>
      <c r="AF11" s="843">
        <v>2163.4691035300002</v>
      </c>
      <c r="AG11" s="843">
        <v>2121.9395263700003</v>
      </c>
      <c r="AH11" s="843">
        <f>+AH9-AH10</f>
        <v>1955.42039073</v>
      </c>
      <c r="AI11" s="843">
        <v>1594.3463994000001</v>
      </c>
      <c r="AJ11" s="843">
        <f>+AJ9-AJ10</f>
        <v>1804.2484817099999</v>
      </c>
      <c r="AK11" s="843">
        <f>+AK9-AK10</f>
        <v>1928.8714034299999</v>
      </c>
      <c r="AL11" s="843">
        <v>1860.17257864</v>
      </c>
      <c r="AM11" s="843">
        <f>+AM9-AM10</f>
        <v>1702.7285362600003</v>
      </c>
      <c r="AN11" s="843">
        <f>+AN9-AN10</f>
        <v>1346.14893091</v>
      </c>
      <c r="AO11" s="843">
        <f>+AO9-AO10</f>
        <v>1186.9162585499998</v>
      </c>
      <c r="AP11" s="843">
        <f>+AP9-AP10</f>
        <v>1190.2100877400001</v>
      </c>
      <c r="AQ11" s="843">
        <v>1303.6108123700001</v>
      </c>
      <c r="AR11" s="843">
        <f>+AR9-AR10</f>
        <v>1283.5675305799998</v>
      </c>
      <c r="AS11" s="843">
        <f>+AS9-AS10</f>
        <v>1298.03250071</v>
      </c>
      <c r="AT11" s="843">
        <f>+AT9-AT10</f>
        <v>1308.62898722</v>
      </c>
      <c r="AU11" s="843">
        <v>1187.7262883599999</v>
      </c>
      <c r="AV11" s="843">
        <v>1217.3185974099999</v>
      </c>
      <c r="AW11" s="843">
        <v>1245.36972197</v>
      </c>
      <c r="AX11" s="843">
        <v>1276.1477213200001</v>
      </c>
      <c r="AY11" s="843">
        <v>1231.4737562200003</v>
      </c>
      <c r="AZ11" s="843">
        <v>1184.0369473399999</v>
      </c>
      <c r="BA11" s="843">
        <v>1182.5258272600001</v>
      </c>
      <c r="BB11" s="843">
        <v>1048.6951430899999</v>
      </c>
      <c r="BC11" s="843">
        <v>1017.39466992</v>
      </c>
      <c r="BD11" s="843">
        <f>+BD9-BD10</f>
        <v>610.94338621999998</v>
      </c>
      <c r="BE11" s="843">
        <v>613.78036975999999</v>
      </c>
      <c r="BF11" s="843">
        <v>608.62645987999997</v>
      </c>
      <c r="BG11" s="843">
        <v>592.55227200000002</v>
      </c>
      <c r="BH11" s="886">
        <v>602.09258057</v>
      </c>
      <c r="BI11" s="875">
        <v>588.72883492999995</v>
      </c>
      <c r="BJ11" s="875">
        <v>594.37742972000001</v>
      </c>
      <c r="BK11" s="875">
        <v>627.49932852000006</v>
      </c>
      <c r="BL11" s="875">
        <v>624.28072834000011</v>
      </c>
      <c r="BM11" s="875">
        <v>647.85901961000002</v>
      </c>
      <c r="BN11" s="875">
        <v>664.14295913000001</v>
      </c>
      <c r="BO11" s="875">
        <v>654.34675463999986</v>
      </c>
      <c r="BP11" s="875">
        <v>642.60298475999991</v>
      </c>
      <c r="BQ11" s="875">
        <v>656.91643497999996</v>
      </c>
      <c r="BR11" s="875">
        <v>651.4808794700001</v>
      </c>
      <c r="BS11" s="875">
        <v>661.88960323999993</v>
      </c>
      <c r="BT11" s="875">
        <v>656.14508065999996</v>
      </c>
      <c r="BU11" s="875">
        <v>688.46928327000001</v>
      </c>
      <c r="BV11" s="875">
        <v>689.02386274000003</v>
      </c>
      <c r="BW11" s="875">
        <v>706.60111790999997</v>
      </c>
      <c r="BX11" s="875">
        <v>729.22971884000003</v>
      </c>
      <c r="BY11" s="875">
        <v>741.40112371999999</v>
      </c>
      <c r="BZ11" s="875">
        <v>752.21110832999989</v>
      </c>
      <c r="CA11" s="875">
        <v>760.59977104999996</v>
      </c>
      <c r="CB11" s="875">
        <v>881.60499544999993</v>
      </c>
      <c r="CC11" s="875">
        <v>843.59194341</v>
      </c>
      <c r="CD11" s="875">
        <v>853.85777545999997</v>
      </c>
      <c r="CE11" s="875">
        <f t="shared" ref="CE11:CP11" si="1">+CE9-CE10</f>
        <v>886.34761249999985</v>
      </c>
      <c r="CF11" s="875">
        <f t="shared" si="1"/>
        <v>912.33100090999983</v>
      </c>
      <c r="CG11" s="875">
        <f t="shared" si="1"/>
        <v>860.62891307000007</v>
      </c>
      <c r="CH11" s="875">
        <f t="shared" si="1"/>
        <v>870.8024227100002</v>
      </c>
      <c r="CI11" s="875">
        <f t="shared" si="1"/>
        <v>866.04889976999982</v>
      </c>
      <c r="CJ11" s="875">
        <f t="shared" si="1"/>
        <v>856.44272834999992</v>
      </c>
      <c r="CK11" s="875">
        <f t="shared" si="1"/>
        <v>866.94614696000008</v>
      </c>
      <c r="CL11" s="875">
        <f t="shared" si="1"/>
        <v>879.35224141000003</v>
      </c>
      <c r="CM11" s="875">
        <f t="shared" si="1"/>
        <v>884.27964704999977</v>
      </c>
      <c r="CN11" s="875">
        <f t="shared" si="1"/>
        <v>902.70804236999993</v>
      </c>
      <c r="CO11" s="875">
        <f t="shared" si="1"/>
        <v>906.96913799999982</v>
      </c>
      <c r="CP11" s="875">
        <f t="shared" si="1"/>
        <v>904.17381077999994</v>
      </c>
      <c r="CQ11" s="875">
        <f>+CQ9-CQ10</f>
        <v>938.15726442999994</v>
      </c>
      <c r="CR11" s="875">
        <f>+CR9-CR10</f>
        <v>961.65129077999995</v>
      </c>
      <c r="CS11" s="875">
        <v>954.86940054000002</v>
      </c>
      <c r="CT11" s="875">
        <v>956.87327133999997</v>
      </c>
      <c r="CU11" s="875">
        <v>884.16352795</v>
      </c>
      <c r="CV11" s="875">
        <v>895.46570498000006</v>
      </c>
      <c r="CW11" s="875">
        <v>894.06528522999997</v>
      </c>
      <c r="CX11" s="875">
        <v>899.10054878999995</v>
      </c>
      <c r="CY11" s="875">
        <v>893.67971221000005</v>
      </c>
      <c r="CZ11" s="875">
        <v>890.20012626000005</v>
      </c>
      <c r="DA11" s="875">
        <v>844.53372675000003</v>
      </c>
      <c r="DB11" s="875">
        <v>878.64425634999998</v>
      </c>
      <c r="DC11" s="875">
        <v>914.40367372000003</v>
      </c>
      <c r="DD11" s="946">
        <v>907.87690189</v>
      </c>
      <c r="DE11" s="946">
        <v>946.02975566999999</v>
      </c>
      <c r="DF11" s="946">
        <v>934.27971765999996</v>
      </c>
      <c r="DG11" s="898">
        <v>971.22500204000005</v>
      </c>
      <c r="DH11" s="898">
        <v>990.89980251999998</v>
      </c>
      <c r="DI11" s="898">
        <v>998.77002189999996</v>
      </c>
      <c r="DJ11" s="898">
        <v>966.98247402000004</v>
      </c>
      <c r="DK11" s="898">
        <v>969.77836901000001</v>
      </c>
      <c r="DL11" s="898">
        <v>1026.4763892999999</v>
      </c>
      <c r="DM11" s="898">
        <v>1050.13577115</v>
      </c>
      <c r="DN11" s="898">
        <v>1049.10630629</v>
      </c>
      <c r="DO11" s="898">
        <v>1061.0173005199999</v>
      </c>
      <c r="DP11" s="898">
        <v>1044.49233424</v>
      </c>
      <c r="DQ11" s="898">
        <v>1035.7816261400001</v>
      </c>
      <c r="DR11" s="898">
        <v>1051.30716261</v>
      </c>
      <c r="DS11" s="898">
        <v>1054.00218475</v>
      </c>
      <c r="DT11" s="898">
        <v>1067.6358714099999</v>
      </c>
      <c r="DU11" s="898">
        <v>1042.7027280899999</v>
      </c>
      <c r="DV11" s="898">
        <v>1009.00077115</v>
      </c>
      <c r="DW11" s="898">
        <v>1053.72078033</v>
      </c>
      <c r="DX11" s="898">
        <v>1058.11997152</v>
      </c>
      <c r="DY11" s="898">
        <v>1071.0390907000001</v>
      </c>
      <c r="DZ11" s="898">
        <v>1075.64359924</v>
      </c>
      <c r="EA11" s="898">
        <v>1124.4466906800001</v>
      </c>
      <c r="EB11" s="898">
        <v>1130.7826907000001</v>
      </c>
      <c r="EC11" s="898">
        <v>1175.23427025</v>
      </c>
      <c r="ED11" s="898">
        <v>1160.7618017699999</v>
      </c>
      <c r="EE11" s="898">
        <v>1165.03410826</v>
      </c>
      <c r="EF11" s="898">
        <v>1174.3853600899999</v>
      </c>
      <c r="EG11" s="898">
        <v>1170.2749830600001</v>
      </c>
      <c r="EH11" s="898">
        <v>1209.9575373</v>
      </c>
      <c r="EI11" s="898">
        <v>1225.4318485900001</v>
      </c>
      <c r="EJ11" s="898">
        <v>1194.94685278</v>
      </c>
      <c r="EK11" s="898">
        <v>1191.5174753599999</v>
      </c>
      <c r="EL11" s="898">
        <v>1215.0561078200001</v>
      </c>
      <c r="EM11" s="898">
        <v>1280.96112988</v>
      </c>
      <c r="EN11" s="898">
        <v>1288.3569267</v>
      </c>
      <c r="EO11" s="898">
        <v>1307.83348346</v>
      </c>
      <c r="EP11" s="898">
        <v>1310.03286426</v>
      </c>
      <c r="EQ11" s="898">
        <v>1330.51201087</v>
      </c>
      <c r="ER11" s="898">
        <v>1346.41220899</v>
      </c>
      <c r="ES11" s="898">
        <v>1345.40444701</v>
      </c>
      <c r="ET11" s="898">
        <v>1350.5184249399999</v>
      </c>
      <c r="EU11" s="1920" t="s">
        <v>4085</v>
      </c>
      <c r="EZ11" s="342"/>
    </row>
    <row r="12" spans="1:289" ht="21">
      <c r="A12" s="1929"/>
      <c r="B12" s="842"/>
      <c r="C12" s="842"/>
      <c r="D12" s="842"/>
      <c r="E12" s="842"/>
      <c r="F12" s="842"/>
      <c r="G12" s="842"/>
      <c r="H12" s="842"/>
      <c r="I12" s="842"/>
      <c r="J12" s="842"/>
      <c r="K12" s="842"/>
      <c r="L12" s="842"/>
      <c r="M12" s="843"/>
      <c r="N12" s="843"/>
      <c r="O12" s="843"/>
      <c r="P12" s="843"/>
      <c r="Q12" s="843"/>
      <c r="R12" s="843"/>
      <c r="S12" s="843"/>
      <c r="T12" s="843"/>
      <c r="U12" s="843"/>
      <c r="V12" s="843"/>
      <c r="W12" s="843"/>
      <c r="X12" s="843"/>
      <c r="Y12" s="843"/>
      <c r="Z12" s="843"/>
      <c r="AA12" s="843"/>
      <c r="AB12" s="843"/>
      <c r="AC12" s="843"/>
      <c r="AD12" s="843"/>
      <c r="AE12" s="843"/>
      <c r="AF12" s="843"/>
      <c r="AG12" s="843"/>
      <c r="AH12" s="843"/>
      <c r="AI12" s="843"/>
      <c r="AJ12" s="843"/>
      <c r="AK12" s="843"/>
      <c r="AL12" s="843"/>
      <c r="AM12" s="843"/>
      <c r="AN12" s="843"/>
      <c r="AO12" s="843"/>
      <c r="AP12" s="843"/>
      <c r="AQ12" s="843"/>
      <c r="AR12" s="843"/>
      <c r="AS12" s="843"/>
      <c r="AT12" s="843"/>
      <c r="AU12" s="843"/>
      <c r="AV12" s="843"/>
      <c r="AW12" s="843"/>
      <c r="AX12" s="843"/>
      <c r="AY12" s="843"/>
      <c r="AZ12" s="843"/>
      <c r="BA12" s="843"/>
      <c r="BB12" s="843"/>
      <c r="BC12" s="843"/>
      <c r="BD12" s="843"/>
      <c r="BE12" s="843"/>
      <c r="BF12" s="843"/>
      <c r="BG12" s="843"/>
      <c r="BH12" s="886"/>
      <c r="BI12" s="875"/>
      <c r="BJ12" s="875"/>
      <c r="BK12" s="875"/>
      <c r="BL12" s="875"/>
      <c r="BM12" s="875"/>
      <c r="BN12" s="875"/>
      <c r="BO12" s="875"/>
      <c r="BP12" s="875"/>
      <c r="BQ12" s="875"/>
      <c r="BR12" s="875"/>
      <c r="BS12" s="875"/>
      <c r="BT12" s="875"/>
      <c r="BU12" s="875"/>
      <c r="BV12" s="875"/>
      <c r="BW12" s="875"/>
      <c r="BX12" s="875"/>
      <c r="BY12" s="875"/>
      <c r="BZ12" s="875"/>
      <c r="CA12" s="875"/>
      <c r="CB12" s="875"/>
      <c r="CC12" s="875"/>
      <c r="CD12" s="875"/>
      <c r="CE12" s="875"/>
      <c r="CF12" s="875"/>
      <c r="CG12" s="875"/>
      <c r="CH12" s="875"/>
      <c r="CI12" s="875"/>
      <c r="CJ12" s="875"/>
      <c r="CK12" s="875"/>
      <c r="CL12" s="875"/>
      <c r="CM12" s="875"/>
      <c r="CN12" s="875"/>
      <c r="CO12" s="875"/>
      <c r="CP12" s="875"/>
      <c r="CQ12" s="875"/>
      <c r="CR12" s="875"/>
      <c r="CS12" s="875"/>
      <c r="CT12" s="875"/>
      <c r="CU12" s="875"/>
      <c r="CV12" s="875"/>
      <c r="CW12" s="875"/>
      <c r="CX12" s="875"/>
      <c r="CY12" s="875"/>
      <c r="CZ12" s="875"/>
      <c r="DA12" s="875"/>
      <c r="DB12" s="875"/>
      <c r="DC12" s="875"/>
      <c r="DD12" s="946"/>
      <c r="DE12" s="946"/>
      <c r="DF12" s="946"/>
      <c r="DG12" s="898"/>
      <c r="DH12" s="898"/>
      <c r="DI12" s="898"/>
      <c r="DJ12" s="898"/>
      <c r="DK12" s="898"/>
      <c r="DL12" s="898"/>
      <c r="DM12" s="898"/>
      <c r="DN12" s="898"/>
      <c r="DO12" s="898"/>
      <c r="DP12" s="898"/>
      <c r="DQ12" s="898"/>
      <c r="DR12" s="898"/>
      <c r="DS12" s="898"/>
      <c r="DT12" s="898"/>
      <c r="DU12" s="898"/>
      <c r="DV12" s="898"/>
      <c r="DW12" s="898"/>
      <c r="DX12" s="898"/>
      <c r="DY12" s="898"/>
      <c r="DZ12" s="898"/>
      <c r="EA12" s="898"/>
      <c r="EB12" s="898"/>
      <c r="EC12" s="898"/>
      <c r="ED12" s="898"/>
      <c r="EE12" s="898"/>
      <c r="EF12" s="898"/>
      <c r="EG12" s="898"/>
      <c r="EH12" s="898"/>
      <c r="EI12" s="898"/>
      <c r="EJ12" s="898"/>
      <c r="EK12" s="898"/>
      <c r="EL12" s="898"/>
      <c r="EM12" s="898"/>
      <c r="EN12" s="898"/>
      <c r="EO12" s="898"/>
      <c r="EP12" s="898"/>
      <c r="EQ12" s="898"/>
      <c r="ER12" s="898"/>
      <c r="ES12" s="898"/>
      <c r="ET12" s="898"/>
      <c r="EU12" s="1919"/>
      <c r="EZ12" s="342"/>
    </row>
    <row r="13" spans="1:289" ht="21">
      <c r="A13" s="1930" t="s">
        <v>2756</v>
      </c>
      <c r="B13" s="839">
        <v>764.33278829999995</v>
      </c>
      <c r="C13" s="839">
        <v>273.13636229999997</v>
      </c>
      <c r="D13" s="839">
        <v>242.81806624999996</v>
      </c>
      <c r="E13" s="839">
        <v>235.77288635000002</v>
      </c>
      <c r="F13" s="839">
        <v>239.94204141</v>
      </c>
      <c r="G13" s="839">
        <v>249.33901094000001</v>
      </c>
      <c r="H13" s="839">
        <v>250.32201478000002</v>
      </c>
      <c r="I13" s="839">
        <v>269.24925845000001</v>
      </c>
      <c r="J13" s="839">
        <v>272.96780111999999</v>
      </c>
      <c r="K13" s="839">
        <v>271.79538146000004</v>
      </c>
      <c r="L13" s="839">
        <v>262.01861151999998</v>
      </c>
      <c r="M13" s="840">
        <v>261.23455690999998</v>
      </c>
      <c r="N13" s="840">
        <v>238.20380871999998</v>
      </c>
      <c r="O13" s="840">
        <v>252.48645586000001</v>
      </c>
      <c r="P13" s="840">
        <v>260.79145755000002</v>
      </c>
      <c r="Q13" s="840">
        <v>294.34738585000002</v>
      </c>
      <c r="R13" s="840">
        <v>295.23385059999998</v>
      </c>
      <c r="S13" s="840">
        <v>294.84701727000004</v>
      </c>
      <c r="T13" s="840">
        <v>304.00494399000002</v>
      </c>
      <c r="U13" s="840">
        <v>300.20331023999995</v>
      </c>
      <c r="V13" s="840">
        <v>309.53497033999997</v>
      </c>
      <c r="W13" s="840">
        <v>309.96735160000003</v>
      </c>
      <c r="X13" s="840">
        <v>315.55264082000002</v>
      </c>
      <c r="Y13" s="840">
        <v>307.32375281999998</v>
      </c>
      <c r="Z13" s="840">
        <v>300.26873007999995</v>
      </c>
      <c r="AA13" s="840">
        <v>479.40811377</v>
      </c>
      <c r="AB13" s="840">
        <v>481.54872170000004</v>
      </c>
      <c r="AC13" s="840">
        <v>486.29095879000005</v>
      </c>
      <c r="AD13" s="840">
        <v>456.50135356999999</v>
      </c>
      <c r="AE13" s="840">
        <v>447.74253826</v>
      </c>
      <c r="AF13" s="840">
        <v>452.89100569000004</v>
      </c>
      <c r="AG13" s="840">
        <v>405.89062719000003</v>
      </c>
      <c r="AH13" s="840">
        <v>405.31201484000002</v>
      </c>
      <c r="AI13" s="840">
        <v>483.05333233000005</v>
      </c>
      <c r="AJ13" s="840">
        <v>700.20921448000001</v>
      </c>
      <c r="AK13" s="840">
        <v>723.13352765999991</v>
      </c>
      <c r="AL13" s="840">
        <v>673.39233919000003</v>
      </c>
      <c r="AM13" s="840">
        <v>609.50014180000005</v>
      </c>
      <c r="AN13" s="840">
        <v>323.16673334000001</v>
      </c>
      <c r="AO13" s="840">
        <v>315.88162025999998</v>
      </c>
      <c r="AP13" s="840">
        <v>313.42586082000003</v>
      </c>
      <c r="AQ13" s="840">
        <v>431.35450308000003</v>
      </c>
      <c r="AR13" s="840">
        <v>417.40145485999994</v>
      </c>
      <c r="AS13" s="840">
        <v>431.92466652000002</v>
      </c>
      <c r="AT13" s="840">
        <v>432.87207080000002</v>
      </c>
      <c r="AU13" s="840">
        <v>327.43604424</v>
      </c>
      <c r="AV13" s="840">
        <v>344.96267849000003</v>
      </c>
      <c r="AW13" s="840">
        <v>382.95774993999999</v>
      </c>
      <c r="AX13" s="840">
        <v>405.18065394000001</v>
      </c>
      <c r="AY13" s="840">
        <v>378.28280013000006</v>
      </c>
      <c r="AZ13" s="840">
        <v>377.09081828000001</v>
      </c>
      <c r="BA13" s="840">
        <v>385.58098824000012</v>
      </c>
      <c r="BB13" s="840">
        <v>253.95349143999999</v>
      </c>
      <c r="BC13" s="840">
        <v>250.19132418000001</v>
      </c>
      <c r="BD13" s="840">
        <v>240.80403874999996</v>
      </c>
      <c r="BE13" s="840">
        <v>245.11331634999999</v>
      </c>
      <c r="BF13" s="840">
        <v>248.42211828000001</v>
      </c>
      <c r="BG13" s="840">
        <v>244.90238615000001</v>
      </c>
      <c r="BH13" s="885">
        <v>255.09694987000003</v>
      </c>
      <c r="BI13" s="874">
        <v>256.80792014999997</v>
      </c>
      <c r="BJ13" s="874">
        <v>251.82990612</v>
      </c>
      <c r="BK13" s="874">
        <v>268.17866142000003</v>
      </c>
      <c r="BL13" s="874">
        <v>261.75677084</v>
      </c>
      <c r="BM13" s="874">
        <v>264.84207832999999</v>
      </c>
      <c r="BN13" s="874">
        <v>267.24130347000005</v>
      </c>
      <c r="BO13" s="874">
        <v>250.57817277999996</v>
      </c>
      <c r="BP13" s="874">
        <v>244.87794990000003</v>
      </c>
      <c r="BQ13" s="874">
        <v>257.78054635000001</v>
      </c>
      <c r="BR13" s="874">
        <v>258.74390237</v>
      </c>
      <c r="BS13" s="874">
        <v>271.71127867999996</v>
      </c>
      <c r="BT13" s="874">
        <v>271.19047797999997</v>
      </c>
      <c r="BU13" s="874">
        <v>264.58771673000001</v>
      </c>
      <c r="BV13" s="874">
        <v>270.61441042999996</v>
      </c>
      <c r="BW13" s="874">
        <v>249.41993125000002</v>
      </c>
      <c r="BX13" s="874">
        <v>261.10512685000003</v>
      </c>
      <c r="BY13" s="874">
        <v>269.69504792999999</v>
      </c>
      <c r="BZ13" s="874">
        <v>273.19123680999996</v>
      </c>
      <c r="CA13" s="874">
        <v>277.99782220999998</v>
      </c>
      <c r="CB13" s="874">
        <v>284.05481932999999</v>
      </c>
      <c r="CC13" s="874">
        <v>251.21388495999997</v>
      </c>
      <c r="CD13" s="874">
        <v>229.37810027</v>
      </c>
      <c r="CE13" s="874">
        <v>226.89817868999995</v>
      </c>
      <c r="CF13" s="874">
        <v>224.99674381</v>
      </c>
      <c r="CG13" s="874">
        <v>196.18120028999999</v>
      </c>
      <c r="CH13" s="874">
        <v>171.731109</v>
      </c>
      <c r="CI13" s="874">
        <v>166.70615744</v>
      </c>
      <c r="CJ13" s="874">
        <v>158.17235597000001</v>
      </c>
      <c r="CK13" s="874">
        <v>171.86250315000001</v>
      </c>
      <c r="CL13" s="874">
        <v>176.08408481000001</v>
      </c>
      <c r="CM13" s="874">
        <v>190.20428197999999</v>
      </c>
      <c r="CN13" s="874">
        <v>203.66827004000001</v>
      </c>
      <c r="CO13" s="874">
        <v>188.15086406999998</v>
      </c>
      <c r="CP13" s="874">
        <v>167.85167876</v>
      </c>
      <c r="CQ13" s="874">
        <v>180.27271314000001</v>
      </c>
      <c r="CR13" s="874">
        <v>196.59545661999999</v>
      </c>
      <c r="CS13" s="874">
        <v>198.11179692000002</v>
      </c>
      <c r="CT13" s="874">
        <v>187.93672921999999</v>
      </c>
      <c r="CU13" s="874">
        <v>180.04779614</v>
      </c>
      <c r="CV13" s="874">
        <v>189.1546233</v>
      </c>
      <c r="CW13" s="874">
        <v>185.01074826999999</v>
      </c>
      <c r="CX13" s="874">
        <v>188.00151504999999</v>
      </c>
      <c r="CY13" s="874">
        <v>184.44429113999999</v>
      </c>
      <c r="CZ13" s="874">
        <v>181.21699839999999</v>
      </c>
      <c r="DA13" s="874">
        <v>165.13474151</v>
      </c>
      <c r="DB13" s="874">
        <v>188.18320693999999</v>
      </c>
      <c r="DC13" s="874">
        <v>181.41635216</v>
      </c>
      <c r="DD13" s="945">
        <v>161.97030642999999</v>
      </c>
      <c r="DE13" s="945">
        <v>193.21195172</v>
      </c>
      <c r="DF13" s="945">
        <v>182.3762893</v>
      </c>
      <c r="DG13" s="897">
        <v>219.14479502</v>
      </c>
      <c r="DH13" s="897">
        <v>228.29227791</v>
      </c>
      <c r="DI13" s="897">
        <v>237.87733865999999</v>
      </c>
      <c r="DJ13" s="897">
        <v>205.38218677</v>
      </c>
      <c r="DK13" s="897">
        <v>216.96679571000001</v>
      </c>
      <c r="DL13" s="897">
        <v>277.10623106999998</v>
      </c>
      <c r="DM13" s="897">
        <v>302.72616127999999</v>
      </c>
      <c r="DN13" s="897">
        <v>309.67748311999998</v>
      </c>
      <c r="DO13" s="897">
        <v>325.95657333999998</v>
      </c>
      <c r="DP13" s="897">
        <v>295.18903718000001</v>
      </c>
      <c r="DQ13" s="897">
        <v>292.72840972</v>
      </c>
      <c r="DR13" s="897">
        <v>316.86186744999998</v>
      </c>
      <c r="DS13" s="897">
        <v>324.04200945999997</v>
      </c>
      <c r="DT13" s="897">
        <v>326.41512289999997</v>
      </c>
      <c r="DU13" s="897">
        <v>308.42903669999998</v>
      </c>
      <c r="DV13" s="897">
        <v>310.94359176</v>
      </c>
      <c r="DW13" s="897">
        <v>299.35875191000002</v>
      </c>
      <c r="DX13" s="897">
        <v>241.24993072999999</v>
      </c>
      <c r="DY13" s="897">
        <v>257.60235734999998</v>
      </c>
      <c r="DZ13" s="897">
        <v>268.41155113000002</v>
      </c>
      <c r="EA13" s="897">
        <v>263.92982164</v>
      </c>
      <c r="EB13" s="897">
        <v>275.41044871000003</v>
      </c>
      <c r="EC13" s="897">
        <v>283.93735722999998</v>
      </c>
      <c r="ED13" s="897">
        <v>240.15516047</v>
      </c>
      <c r="EE13" s="897">
        <v>267.93743290999998</v>
      </c>
      <c r="EF13" s="897">
        <v>283.84134596000001</v>
      </c>
      <c r="EG13" s="897">
        <v>298.34930036999998</v>
      </c>
      <c r="EH13" s="897">
        <v>301.80546859999998</v>
      </c>
      <c r="EI13" s="897">
        <v>316.16962982000001</v>
      </c>
      <c r="EJ13" s="897">
        <v>301.55279445999997</v>
      </c>
      <c r="EK13" s="897">
        <v>279.08263332000001</v>
      </c>
      <c r="EL13" s="897">
        <v>295.24754823000001</v>
      </c>
      <c r="EM13" s="897">
        <v>309.86489827000003</v>
      </c>
      <c r="EN13" s="897">
        <v>329.37017999</v>
      </c>
      <c r="EO13" s="897">
        <v>342.60955251000001</v>
      </c>
      <c r="EP13" s="897">
        <v>306.59552860000002</v>
      </c>
      <c r="EQ13" s="897">
        <v>335.65291445000003</v>
      </c>
      <c r="ER13" s="897">
        <v>341.26056856000002</v>
      </c>
      <c r="ES13" s="897">
        <v>315.79528116</v>
      </c>
      <c r="ET13" s="897">
        <v>332.2562848</v>
      </c>
      <c r="EU13" s="1918" t="s">
        <v>4083</v>
      </c>
      <c r="EZ13" s="342"/>
    </row>
    <row r="14" spans="1:289" ht="21">
      <c r="A14" s="1931" t="s">
        <v>1974</v>
      </c>
      <c r="B14" s="842">
        <v>650.41113174999998</v>
      </c>
      <c r="C14" s="842">
        <v>121.7726464</v>
      </c>
      <c r="D14" s="842">
        <v>83.368055939999991</v>
      </c>
      <c r="E14" s="842">
        <v>72.055313510000005</v>
      </c>
      <c r="F14" s="842">
        <v>65.779194959999998</v>
      </c>
      <c r="G14" s="842">
        <v>59.858204659999998</v>
      </c>
      <c r="H14" s="842">
        <v>51.425258720000002</v>
      </c>
      <c r="I14" s="842">
        <v>54.107795719999999</v>
      </c>
      <c r="J14" s="842">
        <v>53.813629559999995</v>
      </c>
      <c r="K14" s="842">
        <v>45.197733810000003</v>
      </c>
      <c r="L14" s="842">
        <v>35.764143869999998</v>
      </c>
      <c r="M14" s="843">
        <v>25.942348289999998</v>
      </c>
      <c r="N14" s="843">
        <v>9.4000834700000002</v>
      </c>
      <c r="O14" s="843">
        <v>8.5983040000000006</v>
      </c>
      <c r="P14" s="843">
        <v>11.97663275</v>
      </c>
      <c r="Q14" s="843">
        <v>12.281787339999999</v>
      </c>
      <c r="R14" s="843">
        <v>13.766649789999999</v>
      </c>
      <c r="S14" s="843">
        <v>12.529960460000002</v>
      </c>
      <c r="T14" s="843">
        <v>13.914934199999999</v>
      </c>
      <c r="U14" s="843">
        <v>13.24890291</v>
      </c>
      <c r="V14" s="843">
        <v>13.416887300000001</v>
      </c>
      <c r="W14" s="843">
        <v>14.015406050000001</v>
      </c>
      <c r="X14" s="843">
        <v>13.613941310000001</v>
      </c>
      <c r="Y14" s="843">
        <v>12.48963131</v>
      </c>
      <c r="Z14" s="843">
        <v>7.5203049900000005</v>
      </c>
      <c r="AA14" s="843">
        <v>6.9408427599999998</v>
      </c>
      <c r="AB14" s="843">
        <v>2.4049563300000001</v>
      </c>
      <c r="AC14" s="843">
        <v>1.8466481200000002</v>
      </c>
      <c r="AD14" s="843">
        <v>2.1767448899999997</v>
      </c>
      <c r="AE14" s="843">
        <v>1.08859321</v>
      </c>
      <c r="AF14" s="843">
        <v>1.896695</v>
      </c>
      <c r="AG14" s="843">
        <v>1.9988699999999999</v>
      </c>
      <c r="AH14" s="843">
        <v>1.8954366899999999</v>
      </c>
      <c r="AI14" s="843">
        <v>5.3511279599999995</v>
      </c>
      <c r="AJ14" s="843">
        <v>7.5500896499999994</v>
      </c>
      <c r="AK14" s="843">
        <v>17.543890359999999</v>
      </c>
      <c r="AL14" s="843">
        <v>19.240113940000001</v>
      </c>
      <c r="AM14" s="843">
        <v>18.2445795</v>
      </c>
      <c r="AN14" s="843">
        <v>18.772289520000001</v>
      </c>
      <c r="AO14" s="843">
        <v>18.914564640000002</v>
      </c>
      <c r="AP14" s="843">
        <v>18.014781990000003</v>
      </c>
      <c r="AQ14" s="843">
        <v>18.06390648</v>
      </c>
      <c r="AR14" s="843">
        <v>18.973721699999999</v>
      </c>
      <c r="AS14" s="843">
        <v>19.313851190000001</v>
      </c>
      <c r="AT14" s="843">
        <v>19.672717380000002</v>
      </c>
      <c r="AU14" s="843">
        <v>17.37625091</v>
      </c>
      <c r="AV14" s="843">
        <v>17.040956449999999</v>
      </c>
      <c r="AW14" s="843">
        <v>17.54308606</v>
      </c>
      <c r="AX14" s="843">
        <v>20.497531479999999</v>
      </c>
      <c r="AY14" s="843">
        <v>19.751545419999999</v>
      </c>
      <c r="AZ14" s="843">
        <v>16.91437535</v>
      </c>
      <c r="BA14" s="843">
        <v>20.12416035</v>
      </c>
      <c r="BB14" s="843">
        <v>21.064033819999999</v>
      </c>
      <c r="BC14" s="843">
        <v>20.525368280000002</v>
      </c>
      <c r="BD14" s="843">
        <v>20.946569279999999</v>
      </c>
      <c r="BE14" s="843">
        <v>20.902486879999998</v>
      </c>
      <c r="BF14" s="843">
        <v>20.682232889999998</v>
      </c>
      <c r="BG14" s="843">
        <v>19.15858742</v>
      </c>
      <c r="BH14" s="886">
        <v>21.570038180000001</v>
      </c>
      <c r="BI14" s="875">
        <v>21.557572069999999</v>
      </c>
      <c r="BJ14" s="875">
        <v>19.034693950000001</v>
      </c>
      <c r="BK14" s="875">
        <v>21.245904289999999</v>
      </c>
      <c r="BL14" s="875">
        <v>21.079163270000002</v>
      </c>
      <c r="BM14" s="875">
        <v>18.459834610000001</v>
      </c>
      <c r="BN14" s="875">
        <v>18.103456810000001</v>
      </c>
      <c r="BO14" s="875">
        <v>15.836106860000001</v>
      </c>
      <c r="BP14" s="875">
        <v>15.282047380000002</v>
      </c>
      <c r="BQ14" s="875">
        <v>15.35496749</v>
      </c>
      <c r="BR14" s="875">
        <v>16.21010922</v>
      </c>
      <c r="BS14" s="875">
        <v>14.549584830000001</v>
      </c>
      <c r="BT14" s="875">
        <v>16.812253519999999</v>
      </c>
      <c r="BU14" s="875">
        <v>6.2650000000000006</v>
      </c>
      <c r="BV14" s="875">
        <v>6.7940000000000005</v>
      </c>
      <c r="BW14" s="875">
        <v>7.0139999999999993</v>
      </c>
      <c r="BX14" s="875">
        <v>8.1950000000000003</v>
      </c>
      <c r="BY14" s="875">
        <v>8.0359999999999996</v>
      </c>
      <c r="BZ14" s="875">
        <v>8.2110000000000003</v>
      </c>
      <c r="CA14" s="875">
        <v>7.6859999999999999</v>
      </c>
      <c r="CB14" s="875">
        <v>7.7887000000000004</v>
      </c>
      <c r="CC14" s="875">
        <v>7.3456999999999999</v>
      </c>
      <c r="CD14" s="875">
        <v>7.1909999999999998</v>
      </c>
      <c r="CE14" s="875">
        <v>6.7069999999999999</v>
      </c>
      <c r="CF14" s="875">
        <v>6.5890000000000004</v>
      </c>
      <c r="CG14" s="875">
        <v>6.5227458799999996</v>
      </c>
      <c r="CH14" s="875">
        <v>7.5727396699999998</v>
      </c>
      <c r="CI14" s="875">
        <v>9.1257390000000012</v>
      </c>
      <c r="CJ14" s="875">
        <v>9.5325889999999998</v>
      </c>
      <c r="CK14" s="875">
        <v>7.54405036</v>
      </c>
      <c r="CL14" s="875">
        <v>15.333654800000001</v>
      </c>
      <c r="CM14" s="875">
        <v>21.437702510000001</v>
      </c>
      <c r="CN14" s="875">
        <v>22.549366110000001</v>
      </c>
      <c r="CO14" s="875">
        <v>22.42336611</v>
      </c>
      <c r="CP14" s="875">
        <v>21.76210335</v>
      </c>
      <c r="CQ14" s="875">
        <v>26.53186479</v>
      </c>
      <c r="CR14" s="875">
        <v>29.511061259999998</v>
      </c>
      <c r="CS14" s="875">
        <v>21.133880769999998</v>
      </c>
      <c r="CT14" s="875">
        <v>13.09826934</v>
      </c>
      <c r="CU14" s="875">
        <v>9.0209716400000008</v>
      </c>
      <c r="CV14" s="875">
        <v>8.7614615899999997</v>
      </c>
      <c r="CW14" s="875">
        <v>4.8704298000000001</v>
      </c>
      <c r="CX14" s="875">
        <v>8.9205261999999994</v>
      </c>
      <c r="CY14" s="875">
        <v>9.2053453800000007</v>
      </c>
      <c r="CZ14" s="875">
        <v>9.7330824699999994</v>
      </c>
      <c r="DA14" s="875">
        <v>9.3675582500000001</v>
      </c>
      <c r="DB14" s="875">
        <v>9.6358915500000002</v>
      </c>
      <c r="DC14" s="875">
        <v>10.078200000000001</v>
      </c>
      <c r="DD14" s="946">
        <v>10.281391920000001</v>
      </c>
      <c r="DE14" s="946">
        <v>8.4299919200000009</v>
      </c>
      <c r="DF14" s="946">
        <v>8.4279919200000002</v>
      </c>
      <c r="DG14" s="898">
        <v>8.4279919200000002</v>
      </c>
      <c r="DH14" s="898">
        <v>8.4562030200000002</v>
      </c>
      <c r="DI14" s="898">
        <v>8.4732030199999997</v>
      </c>
      <c r="DJ14" s="898">
        <v>8.3318947600000008</v>
      </c>
      <c r="DK14" s="898">
        <v>5.2045525599999998</v>
      </c>
      <c r="DL14" s="898">
        <v>5.2024812999999996</v>
      </c>
      <c r="DM14" s="898">
        <v>5.4320924100000001</v>
      </c>
      <c r="DN14" s="898">
        <v>5.4067743699999999</v>
      </c>
      <c r="DO14" s="898">
        <v>5.3827034999999999</v>
      </c>
      <c r="DP14" s="898">
        <v>5.3224290200000004</v>
      </c>
      <c r="DQ14" s="898">
        <v>10.308236490000001</v>
      </c>
      <c r="DR14" s="898">
        <v>10.29899397</v>
      </c>
      <c r="DS14" s="898">
        <v>8.6647075200000003</v>
      </c>
      <c r="DT14" s="898">
        <v>7.4537629799999996</v>
      </c>
      <c r="DU14" s="898">
        <v>5.67875029</v>
      </c>
      <c r="DV14" s="898">
        <v>10.775110059999999</v>
      </c>
      <c r="DW14" s="898">
        <v>9.9747194500000003</v>
      </c>
      <c r="DX14" s="898">
        <v>10.463433090000001</v>
      </c>
      <c r="DY14" s="898">
        <v>11.045642300000001</v>
      </c>
      <c r="DZ14" s="898">
        <v>11.203847870000001</v>
      </c>
      <c r="EA14" s="898">
        <v>3.7315561000000002</v>
      </c>
      <c r="EB14" s="898">
        <v>10.050590189999999</v>
      </c>
      <c r="EC14" s="898">
        <v>11.08775857</v>
      </c>
      <c r="ED14" s="898">
        <v>11.05338845</v>
      </c>
      <c r="EE14" s="898">
        <v>11.387021880000001</v>
      </c>
      <c r="EF14" s="898">
        <v>11.377165339999999</v>
      </c>
      <c r="EG14" s="898">
        <v>11.3652085</v>
      </c>
      <c r="EH14" s="898">
        <v>11.3827765</v>
      </c>
      <c r="EI14" s="898">
        <v>11.362555</v>
      </c>
      <c r="EJ14" s="898">
        <v>10.868392869999999</v>
      </c>
      <c r="EK14" s="898">
        <v>10.96</v>
      </c>
      <c r="EL14" s="898">
        <v>10.96</v>
      </c>
      <c r="EM14" s="898">
        <v>10.96</v>
      </c>
      <c r="EN14" s="898">
        <v>6.25</v>
      </c>
      <c r="EO14" s="898">
        <v>4.88614704</v>
      </c>
      <c r="EP14" s="898">
        <v>4.8822612899999998</v>
      </c>
      <c r="EQ14" s="898">
        <v>4.8782787399999998</v>
      </c>
      <c r="ER14" s="898">
        <v>2.0740776699999999</v>
      </c>
      <c r="ES14" s="898">
        <v>2.0700555700000001</v>
      </c>
      <c r="ET14" s="898">
        <v>2.04</v>
      </c>
      <c r="EU14" s="1920" t="s">
        <v>4086</v>
      </c>
      <c r="EZ14" s="342"/>
    </row>
    <row r="15" spans="1:289" ht="21">
      <c r="A15" s="1931" t="s">
        <v>1975</v>
      </c>
      <c r="B15" s="842">
        <f>+B13-B14</f>
        <v>113.92165654999997</v>
      </c>
      <c r="C15" s="842">
        <f t="shared" ref="C15:V15" si="2">+C13-C14</f>
        <v>151.36371589999999</v>
      </c>
      <c r="D15" s="842">
        <f t="shared" si="2"/>
        <v>159.45001030999998</v>
      </c>
      <c r="E15" s="842">
        <f t="shared" si="2"/>
        <v>163.71757284</v>
      </c>
      <c r="F15" s="842">
        <f t="shared" si="2"/>
        <v>174.16284645000002</v>
      </c>
      <c r="G15" s="842">
        <f t="shared" si="2"/>
        <v>189.48080628000002</v>
      </c>
      <c r="H15" s="842">
        <f t="shared" si="2"/>
        <v>198.89675606000003</v>
      </c>
      <c r="I15" s="842">
        <f t="shared" si="2"/>
        <v>215.14146273</v>
      </c>
      <c r="J15" s="842">
        <f t="shared" si="2"/>
        <v>219.15417156000001</v>
      </c>
      <c r="K15" s="842">
        <f t="shared" si="2"/>
        <v>226.59764765000006</v>
      </c>
      <c r="L15" s="842">
        <f t="shared" si="2"/>
        <v>226.25446764999998</v>
      </c>
      <c r="M15" s="843">
        <f t="shared" si="2"/>
        <v>235.29220862</v>
      </c>
      <c r="N15" s="843">
        <f t="shared" si="2"/>
        <v>228.80372524999999</v>
      </c>
      <c r="O15" s="843">
        <f t="shared" si="2"/>
        <v>243.88815185999999</v>
      </c>
      <c r="P15" s="843">
        <f t="shared" si="2"/>
        <v>248.81482480000003</v>
      </c>
      <c r="Q15" s="843">
        <f t="shared" si="2"/>
        <v>282.06559851000003</v>
      </c>
      <c r="R15" s="843">
        <f t="shared" si="2"/>
        <v>281.46720081000001</v>
      </c>
      <c r="S15" s="843">
        <f t="shared" si="2"/>
        <v>282.31705681000005</v>
      </c>
      <c r="T15" s="843">
        <f t="shared" si="2"/>
        <v>290.09000979000001</v>
      </c>
      <c r="U15" s="843">
        <f t="shared" si="2"/>
        <v>286.95440732999992</v>
      </c>
      <c r="V15" s="843">
        <f t="shared" si="2"/>
        <v>296.11808303999999</v>
      </c>
      <c r="W15" s="843">
        <v>295.95194555</v>
      </c>
      <c r="X15" s="843">
        <v>301.93869950999999</v>
      </c>
      <c r="Y15" s="843">
        <v>294.83412150999999</v>
      </c>
      <c r="Z15" s="843">
        <v>292.74842508999996</v>
      </c>
      <c r="AA15" s="843">
        <v>472.46727100999999</v>
      </c>
      <c r="AB15" s="843">
        <f>+AB13-AB14</f>
        <v>479.14376537000004</v>
      </c>
      <c r="AC15" s="843">
        <v>484.44431067000005</v>
      </c>
      <c r="AD15" s="843">
        <v>454.32460867999998</v>
      </c>
      <c r="AE15" s="843">
        <v>446.65394505</v>
      </c>
      <c r="AF15" s="843">
        <v>450.99431069000002</v>
      </c>
      <c r="AG15" s="843">
        <v>403.89175719000002</v>
      </c>
      <c r="AH15" s="843">
        <f>+AH13-AH14</f>
        <v>403.41657815000002</v>
      </c>
      <c r="AI15" s="843">
        <v>477.70220437000006</v>
      </c>
      <c r="AJ15" s="843">
        <f>+AJ13-AJ14</f>
        <v>692.65912483</v>
      </c>
      <c r="AK15" s="843">
        <f>+AK13-AK14</f>
        <v>705.58963729999994</v>
      </c>
      <c r="AL15" s="843">
        <v>654.15222525000001</v>
      </c>
      <c r="AM15" s="843">
        <f>+AM13-AM14</f>
        <v>591.25556230000007</v>
      </c>
      <c r="AN15" s="843">
        <f>+AN13-AN14</f>
        <v>304.39444381999999</v>
      </c>
      <c r="AO15" s="843">
        <f>+AO13-AO14</f>
        <v>296.96705562</v>
      </c>
      <c r="AP15" s="843">
        <f>+AP13-AP14</f>
        <v>295.41107883000001</v>
      </c>
      <c r="AQ15" s="843">
        <v>413.29059660000001</v>
      </c>
      <c r="AR15" s="843">
        <f>+AR13-AR14</f>
        <v>398.42773315999995</v>
      </c>
      <c r="AS15" s="843">
        <f>+AS13-AS14</f>
        <v>412.61081533000004</v>
      </c>
      <c r="AT15" s="843">
        <f>+AT13-AT14</f>
        <v>413.19935342000002</v>
      </c>
      <c r="AU15" s="843">
        <v>310.05979332999999</v>
      </c>
      <c r="AV15" s="843">
        <v>327.92172204000002</v>
      </c>
      <c r="AW15" s="843">
        <v>365.41466387999998</v>
      </c>
      <c r="AX15" s="843">
        <v>384.68312245999999</v>
      </c>
      <c r="AY15" s="843">
        <v>358.53125471000004</v>
      </c>
      <c r="AZ15" s="843">
        <v>360.17644293000001</v>
      </c>
      <c r="BA15" s="843">
        <v>365.45682789000011</v>
      </c>
      <c r="BB15" s="843">
        <v>232.88945762</v>
      </c>
      <c r="BC15" s="843">
        <v>229.6659559</v>
      </c>
      <c r="BD15" s="843">
        <f>+BD13-BD14</f>
        <v>219.85746946999996</v>
      </c>
      <c r="BE15" s="843">
        <v>224.21082946999999</v>
      </c>
      <c r="BF15" s="843">
        <v>227.73988539000001</v>
      </c>
      <c r="BG15" s="843">
        <v>225.74379873000001</v>
      </c>
      <c r="BH15" s="886">
        <v>233.52691169000002</v>
      </c>
      <c r="BI15" s="875">
        <v>235.25034807999998</v>
      </c>
      <c r="BJ15" s="875">
        <v>232.79521217000001</v>
      </c>
      <c r="BK15" s="875">
        <v>246.93275713000003</v>
      </c>
      <c r="BL15" s="875">
        <v>240.67760756999999</v>
      </c>
      <c r="BM15" s="875">
        <v>246.38224371999999</v>
      </c>
      <c r="BN15" s="875">
        <v>249.13784666000004</v>
      </c>
      <c r="BO15" s="875">
        <v>234.74206591999996</v>
      </c>
      <c r="BP15" s="875">
        <v>229.59590252000004</v>
      </c>
      <c r="BQ15" s="875">
        <v>242.42557886</v>
      </c>
      <c r="BR15" s="875">
        <v>242.53379315000001</v>
      </c>
      <c r="BS15" s="875">
        <v>257.16169384999995</v>
      </c>
      <c r="BT15" s="875">
        <v>254.37822445999996</v>
      </c>
      <c r="BU15" s="875">
        <v>258.32271673000002</v>
      </c>
      <c r="BV15" s="875">
        <v>263.82041042999998</v>
      </c>
      <c r="BW15" s="875">
        <v>242.40593125000001</v>
      </c>
      <c r="BX15" s="875">
        <v>252.91012685000004</v>
      </c>
      <c r="BY15" s="875">
        <v>261.65904792999999</v>
      </c>
      <c r="BZ15" s="875">
        <v>264.98023680999995</v>
      </c>
      <c r="CA15" s="875">
        <v>270.31182221</v>
      </c>
      <c r="CB15" s="875">
        <v>276.26611932999998</v>
      </c>
      <c r="CC15" s="875">
        <v>243.86818495999998</v>
      </c>
      <c r="CD15" s="875">
        <v>222.18710027</v>
      </c>
      <c r="CE15" s="875">
        <f t="shared" ref="CE15:CP15" si="3">+CE13-CE14</f>
        <v>220.19117868999996</v>
      </c>
      <c r="CF15" s="875">
        <f t="shared" si="3"/>
        <v>218.40774381</v>
      </c>
      <c r="CG15" s="875">
        <f t="shared" si="3"/>
        <v>189.65845440999999</v>
      </c>
      <c r="CH15" s="875">
        <f t="shared" si="3"/>
        <v>164.15836933</v>
      </c>
      <c r="CI15" s="875">
        <f t="shared" si="3"/>
        <v>157.58041843999999</v>
      </c>
      <c r="CJ15" s="875">
        <f t="shared" si="3"/>
        <v>148.63976697000001</v>
      </c>
      <c r="CK15" s="875">
        <f t="shared" si="3"/>
        <v>164.31845279000001</v>
      </c>
      <c r="CL15" s="875">
        <f t="shared" si="3"/>
        <v>160.75043001</v>
      </c>
      <c r="CM15" s="875">
        <f t="shared" si="3"/>
        <v>168.76657946999998</v>
      </c>
      <c r="CN15" s="875">
        <f t="shared" si="3"/>
        <v>181.11890393000002</v>
      </c>
      <c r="CO15" s="875">
        <f t="shared" si="3"/>
        <v>165.72749795999999</v>
      </c>
      <c r="CP15" s="875">
        <f t="shared" si="3"/>
        <v>146.08957541000001</v>
      </c>
      <c r="CQ15" s="875">
        <f>+CQ13-CQ14</f>
        <v>153.74084835000002</v>
      </c>
      <c r="CR15" s="875">
        <f>+CR13-CR14</f>
        <v>167.08439536</v>
      </c>
      <c r="CS15" s="875">
        <v>176.97791615000003</v>
      </c>
      <c r="CT15" s="875">
        <v>174.83845987999999</v>
      </c>
      <c r="CU15" s="875">
        <v>171.0268245</v>
      </c>
      <c r="CV15" s="875">
        <v>180.39316170999999</v>
      </c>
      <c r="CW15" s="875">
        <v>180.14031847000001</v>
      </c>
      <c r="CX15" s="875">
        <v>179.08098885000001</v>
      </c>
      <c r="CY15" s="875">
        <v>175.23894576000001</v>
      </c>
      <c r="CZ15" s="875">
        <v>171.48391592999999</v>
      </c>
      <c r="DA15" s="875">
        <v>155.76718326</v>
      </c>
      <c r="DB15" s="875">
        <v>178.54731538999999</v>
      </c>
      <c r="DC15" s="875">
        <v>171.33815215999999</v>
      </c>
      <c r="DD15" s="946">
        <v>151.68891450999999</v>
      </c>
      <c r="DE15" s="946">
        <v>184.78195980000001</v>
      </c>
      <c r="DF15" s="946">
        <v>173.94829738000001</v>
      </c>
      <c r="DG15" s="898">
        <v>210.71680309999999</v>
      </c>
      <c r="DH15" s="898">
        <v>219.83607488999999</v>
      </c>
      <c r="DI15" s="898">
        <v>229.40413563999999</v>
      </c>
      <c r="DJ15" s="898">
        <v>197.05029200999999</v>
      </c>
      <c r="DK15" s="898">
        <v>211.76224314999999</v>
      </c>
      <c r="DL15" s="898">
        <v>271.90374976999999</v>
      </c>
      <c r="DM15" s="898">
        <v>297.29406886999999</v>
      </c>
      <c r="DN15" s="898">
        <v>304.27070874999998</v>
      </c>
      <c r="DO15" s="898">
        <v>320.57386983999999</v>
      </c>
      <c r="DP15" s="898">
        <v>289.86660816</v>
      </c>
      <c r="DQ15" s="898">
        <v>282.42017322999999</v>
      </c>
      <c r="DR15" s="898">
        <v>306.56287348000001</v>
      </c>
      <c r="DS15" s="898">
        <v>315.37730194</v>
      </c>
      <c r="DT15" s="898">
        <v>318.96135992000001</v>
      </c>
      <c r="DU15" s="898">
        <v>302.75028641</v>
      </c>
      <c r="DV15" s="898">
        <v>300.16848169999997</v>
      </c>
      <c r="DW15" s="898">
        <v>289.38403246000001</v>
      </c>
      <c r="DX15" s="898">
        <v>230.78649763999999</v>
      </c>
      <c r="DY15" s="898">
        <v>246.55671505000001</v>
      </c>
      <c r="DZ15" s="898">
        <v>257.20770326000002</v>
      </c>
      <c r="EA15" s="898">
        <v>260.19826554000002</v>
      </c>
      <c r="EB15" s="898">
        <v>265.35985851999999</v>
      </c>
      <c r="EC15" s="898">
        <v>272.84959866000003</v>
      </c>
      <c r="ED15" s="898">
        <v>229.10177202</v>
      </c>
      <c r="EE15" s="898">
        <v>256.55041103000002</v>
      </c>
      <c r="EF15" s="898">
        <v>272.46418061999998</v>
      </c>
      <c r="EG15" s="898">
        <v>286.98409186999999</v>
      </c>
      <c r="EH15" s="898">
        <v>290.42269210000001</v>
      </c>
      <c r="EI15" s="898">
        <v>304.80707482000003</v>
      </c>
      <c r="EJ15" s="898">
        <v>290.68440158999999</v>
      </c>
      <c r="EK15" s="898">
        <v>268.12263331999998</v>
      </c>
      <c r="EL15" s="898">
        <v>284.28754823000003</v>
      </c>
      <c r="EM15" s="898">
        <v>298.90489826999999</v>
      </c>
      <c r="EN15" s="898">
        <v>323.12017999</v>
      </c>
      <c r="EO15" s="898">
        <v>337.72340546999999</v>
      </c>
      <c r="EP15" s="898">
        <v>301.71326730999999</v>
      </c>
      <c r="EQ15" s="898">
        <v>330.77463570999998</v>
      </c>
      <c r="ER15" s="898">
        <v>339.18649089000002</v>
      </c>
      <c r="ES15" s="898">
        <v>313.72522558999998</v>
      </c>
      <c r="ET15" s="898">
        <v>330.21628479999998</v>
      </c>
      <c r="EU15" s="1920" t="s">
        <v>4085</v>
      </c>
      <c r="EZ15" s="342"/>
    </row>
    <row r="16" spans="1:289" ht="21">
      <c r="A16" s="1928"/>
      <c r="B16" s="839"/>
      <c r="C16" s="839"/>
      <c r="D16" s="839"/>
      <c r="E16" s="839"/>
      <c r="F16" s="839"/>
      <c r="G16" s="839"/>
      <c r="H16" s="839"/>
      <c r="I16" s="839"/>
      <c r="J16" s="839"/>
      <c r="K16" s="839"/>
      <c r="L16" s="839"/>
      <c r="M16" s="840"/>
      <c r="N16" s="840"/>
      <c r="O16" s="840"/>
      <c r="P16" s="840"/>
      <c r="Q16" s="840"/>
      <c r="R16" s="840"/>
      <c r="S16" s="840"/>
      <c r="T16" s="840"/>
      <c r="U16" s="840"/>
      <c r="V16" s="840"/>
      <c r="W16" s="840"/>
      <c r="X16" s="840"/>
      <c r="Y16" s="840"/>
      <c r="Z16" s="840"/>
      <c r="AA16" s="840"/>
      <c r="AB16" s="840"/>
      <c r="AC16" s="840"/>
      <c r="AD16" s="840"/>
      <c r="AE16" s="840"/>
      <c r="AF16" s="840"/>
      <c r="AG16" s="840"/>
      <c r="AH16" s="840"/>
      <c r="AI16" s="840"/>
      <c r="AJ16" s="840"/>
      <c r="AK16" s="840"/>
      <c r="AL16" s="840"/>
      <c r="AM16" s="840"/>
      <c r="AN16" s="840"/>
      <c r="AO16" s="840"/>
      <c r="AP16" s="840"/>
      <c r="AQ16" s="840"/>
      <c r="AR16" s="840"/>
      <c r="AS16" s="840"/>
      <c r="AT16" s="840"/>
      <c r="AU16" s="840"/>
      <c r="AV16" s="840"/>
      <c r="AW16" s="840"/>
      <c r="AX16" s="840"/>
      <c r="AY16" s="840"/>
      <c r="AZ16" s="840"/>
      <c r="BA16" s="840"/>
      <c r="BB16" s="840"/>
      <c r="BC16" s="840"/>
      <c r="BD16" s="840"/>
      <c r="BE16" s="840"/>
      <c r="BF16" s="840"/>
      <c r="BG16" s="840"/>
      <c r="BH16" s="885"/>
      <c r="BI16" s="874"/>
      <c r="BJ16" s="874"/>
      <c r="BK16" s="874"/>
      <c r="BL16" s="874"/>
      <c r="BM16" s="874"/>
      <c r="BN16" s="874"/>
      <c r="BO16" s="874"/>
      <c r="BP16" s="874"/>
      <c r="BQ16" s="874"/>
      <c r="BR16" s="874"/>
      <c r="BS16" s="874"/>
      <c r="BT16" s="874"/>
      <c r="BU16" s="874"/>
      <c r="BV16" s="874"/>
      <c r="BW16" s="874"/>
      <c r="BX16" s="874"/>
      <c r="BY16" s="874"/>
      <c r="BZ16" s="874"/>
      <c r="CA16" s="874"/>
      <c r="CB16" s="874"/>
      <c r="CC16" s="874"/>
      <c r="CD16" s="874"/>
      <c r="CE16" s="874"/>
      <c r="CF16" s="874"/>
      <c r="CG16" s="874"/>
      <c r="CH16" s="874"/>
      <c r="CI16" s="874"/>
      <c r="CJ16" s="874"/>
      <c r="CK16" s="874"/>
      <c r="CL16" s="874"/>
      <c r="CM16" s="874"/>
      <c r="CN16" s="874"/>
      <c r="CO16" s="874"/>
      <c r="CP16" s="874"/>
      <c r="CQ16" s="874"/>
      <c r="CR16" s="874"/>
      <c r="CS16" s="874"/>
      <c r="CT16" s="874"/>
      <c r="CU16" s="874"/>
      <c r="CV16" s="874"/>
      <c r="CW16" s="874"/>
      <c r="CX16" s="874"/>
      <c r="CY16" s="874"/>
      <c r="CZ16" s="874"/>
      <c r="DA16" s="874"/>
      <c r="DB16" s="874"/>
      <c r="DC16" s="874"/>
      <c r="DD16" s="945"/>
      <c r="DE16" s="945"/>
      <c r="DF16" s="945"/>
      <c r="DG16" s="897"/>
      <c r="DH16" s="897"/>
      <c r="DI16" s="897"/>
      <c r="DJ16" s="897"/>
      <c r="DK16" s="897"/>
      <c r="DL16" s="897"/>
      <c r="DM16" s="897"/>
      <c r="DN16" s="897"/>
      <c r="DO16" s="897"/>
      <c r="DP16" s="897"/>
      <c r="DQ16" s="897"/>
      <c r="DR16" s="897"/>
      <c r="DS16" s="897"/>
      <c r="DT16" s="897"/>
      <c r="DU16" s="897"/>
      <c r="DV16" s="897"/>
      <c r="DW16" s="897"/>
      <c r="DX16" s="897"/>
      <c r="DY16" s="897"/>
      <c r="DZ16" s="897"/>
      <c r="EA16" s="897"/>
      <c r="EB16" s="897"/>
      <c r="EC16" s="897"/>
      <c r="ED16" s="897"/>
      <c r="EE16" s="897"/>
      <c r="EF16" s="897"/>
      <c r="EG16" s="897"/>
      <c r="EH16" s="897"/>
      <c r="EI16" s="897"/>
      <c r="EJ16" s="897"/>
      <c r="EK16" s="897"/>
      <c r="EL16" s="897"/>
      <c r="EM16" s="897"/>
      <c r="EN16" s="897"/>
      <c r="EO16" s="897"/>
      <c r="EP16" s="897"/>
      <c r="EQ16" s="897"/>
      <c r="ER16" s="897"/>
      <c r="ES16" s="897"/>
      <c r="ET16" s="897"/>
      <c r="EU16" s="1921"/>
      <c r="EZ16" s="342"/>
    </row>
    <row r="17" spans="1:156" ht="21">
      <c r="A17" s="1952" t="s">
        <v>189</v>
      </c>
      <c r="B17" s="842">
        <v>720.11121107999998</v>
      </c>
      <c r="C17" s="842">
        <v>194.72925989999999</v>
      </c>
      <c r="D17" s="842">
        <v>159.93338204999998</v>
      </c>
      <c r="E17" s="842">
        <v>160.52472284000001</v>
      </c>
      <c r="F17" s="842">
        <v>159.52265652</v>
      </c>
      <c r="G17" s="842">
        <v>144.70108126</v>
      </c>
      <c r="H17" s="842">
        <v>142.56554070999999</v>
      </c>
      <c r="I17" s="842">
        <v>146.10422783000001</v>
      </c>
      <c r="J17" s="842">
        <v>145.40225165000001</v>
      </c>
      <c r="K17" s="842">
        <v>147.33464153</v>
      </c>
      <c r="L17" s="842">
        <v>135.83484147999999</v>
      </c>
      <c r="M17" s="840">
        <v>111.85460558999999</v>
      </c>
      <c r="N17" s="843">
        <v>89.153139980000006</v>
      </c>
      <c r="O17" s="843">
        <v>100.10180312</v>
      </c>
      <c r="P17" s="843">
        <v>105.09325987</v>
      </c>
      <c r="Q17" s="843">
        <v>126.47441056</v>
      </c>
      <c r="R17" s="843">
        <v>117.59632866000001</v>
      </c>
      <c r="S17" s="843">
        <v>121.62733879</v>
      </c>
      <c r="T17" s="843">
        <v>128.20105099</v>
      </c>
      <c r="U17" s="843">
        <v>121.85977472</v>
      </c>
      <c r="V17" s="843">
        <v>132.65585058000002</v>
      </c>
      <c r="W17" s="843">
        <v>134.07466457000001</v>
      </c>
      <c r="X17" s="843">
        <v>133.09121311000001</v>
      </c>
      <c r="Y17" s="840">
        <v>133.20614158000001</v>
      </c>
      <c r="Z17" s="843">
        <v>128.83268241000002</v>
      </c>
      <c r="AA17" s="843">
        <v>127.81307801</v>
      </c>
      <c r="AB17" s="840">
        <v>112.93254564999999</v>
      </c>
      <c r="AC17" s="840">
        <v>115.16454180000001</v>
      </c>
      <c r="AD17" s="840">
        <v>92.58494327999999</v>
      </c>
      <c r="AE17" s="840">
        <v>90.389732970000011</v>
      </c>
      <c r="AF17" s="840">
        <v>91.315301329999997</v>
      </c>
      <c r="AG17" s="840">
        <v>93.629050989999996</v>
      </c>
      <c r="AH17" s="840">
        <v>92.935331599999998</v>
      </c>
      <c r="AI17" s="840">
        <v>304.14350253000003</v>
      </c>
      <c r="AJ17" s="840">
        <v>90.290286630000011</v>
      </c>
      <c r="AK17" s="840">
        <v>95.557863440000006</v>
      </c>
      <c r="AL17" s="840">
        <v>87.708865000000003</v>
      </c>
      <c r="AM17" s="840">
        <v>90.368312549999999</v>
      </c>
      <c r="AN17" s="840">
        <v>82.726903800000002</v>
      </c>
      <c r="AO17" s="840">
        <v>85.98050997</v>
      </c>
      <c r="AP17" s="840">
        <v>82.526037279999997</v>
      </c>
      <c r="AQ17" s="840">
        <v>86.779612319999998</v>
      </c>
      <c r="AR17" s="840">
        <v>68.613470180000007</v>
      </c>
      <c r="AS17" s="840">
        <v>68.066315630000005</v>
      </c>
      <c r="AT17" s="840">
        <v>71.442575829999996</v>
      </c>
      <c r="AU17" s="840">
        <v>72.161136929999998</v>
      </c>
      <c r="AV17" s="840">
        <v>72.521586650000017</v>
      </c>
      <c r="AW17" s="840">
        <v>96.738754749999998</v>
      </c>
      <c r="AX17" s="840">
        <v>98.321915919999995</v>
      </c>
      <c r="AY17" s="840">
        <v>100.93252884</v>
      </c>
      <c r="AZ17" s="840">
        <v>89.123798640000004</v>
      </c>
      <c r="BA17" s="840">
        <v>81.836132660000004</v>
      </c>
      <c r="BB17" s="840">
        <v>80.807884320000014</v>
      </c>
      <c r="BC17" s="840">
        <v>81.084688370000009</v>
      </c>
      <c r="BD17" s="840">
        <v>82.561553079999996</v>
      </c>
      <c r="BE17" s="840">
        <v>88.55584816999999</v>
      </c>
      <c r="BF17" s="840">
        <v>88.351730759999995</v>
      </c>
      <c r="BG17" s="840">
        <v>88.290310669999997</v>
      </c>
      <c r="BH17" s="885">
        <v>93.113518090000014</v>
      </c>
      <c r="BI17" s="874">
        <v>86.056356940000001</v>
      </c>
      <c r="BJ17" s="874">
        <v>76.828976130000001</v>
      </c>
      <c r="BK17" s="874">
        <v>110.73359939000001</v>
      </c>
      <c r="BL17" s="874">
        <v>105.89611619</v>
      </c>
      <c r="BM17" s="874">
        <v>109.37079328999999</v>
      </c>
      <c r="BN17" s="874">
        <v>108.28777256000001</v>
      </c>
      <c r="BO17" s="874">
        <v>105.38545138999999</v>
      </c>
      <c r="BP17" s="874">
        <v>104.02466145000001</v>
      </c>
      <c r="BQ17" s="874">
        <v>102.76030075999999</v>
      </c>
      <c r="BR17" s="874">
        <v>103.35884204999999</v>
      </c>
      <c r="BS17" s="874">
        <v>107.75461632</v>
      </c>
      <c r="BT17" s="874">
        <v>111.22226065999999</v>
      </c>
      <c r="BU17" s="874">
        <v>117.00546561</v>
      </c>
      <c r="BV17" s="874">
        <v>127.90872376</v>
      </c>
      <c r="BW17" s="874">
        <v>98.859927260000006</v>
      </c>
      <c r="BX17" s="874">
        <v>99.354056549999996</v>
      </c>
      <c r="BY17" s="874">
        <v>104.12769965000001</v>
      </c>
      <c r="BZ17" s="874">
        <v>107.73652255</v>
      </c>
      <c r="CA17" s="874">
        <v>112.32144751</v>
      </c>
      <c r="CB17" s="874">
        <v>117.58753481000001</v>
      </c>
      <c r="CC17" s="874">
        <v>79.277199769999996</v>
      </c>
      <c r="CD17" s="874">
        <v>88.649087569999992</v>
      </c>
      <c r="CE17" s="874">
        <v>91.320025909999984</v>
      </c>
      <c r="CF17" s="874">
        <v>96.827300219999998</v>
      </c>
      <c r="CG17" s="874">
        <v>82.710180479999991</v>
      </c>
      <c r="CH17" s="874">
        <v>82.15486829000001</v>
      </c>
      <c r="CI17" s="874">
        <v>84.986707060000001</v>
      </c>
      <c r="CJ17" s="874">
        <v>92.257867050000002</v>
      </c>
      <c r="CK17" s="874">
        <v>105.82295098000002</v>
      </c>
      <c r="CL17" s="874">
        <v>105.88883366</v>
      </c>
      <c r="CM17" s="874">
        <v>117.17730945999999</v>
      </c>
      <c r="CN17" s="874">
        <v>129.4674224</v>
      </c>
      <c r="CO17" s="874">
        <v>133.62233340999998</v>
      </c>
      <c r="CP17" s="874">
        <v>120.99077589000001</v>
      </c>
      <c r="CQ17" s="874">
        <v>126.92148451</v>
      </c>
      <c r="CR17" s="874">
        <v>136.19566469</v>
      </c>
      <c r="CS17" s="874">
        <v>142.24177610000001</v>
      </c>
      <c r="CT17" s="874">
        <v>145.53592545000001</v>
      </c>
      <c r="CU17" s="874">
        <v>146.14189972</v>
      </c>
      <c r="CV17" s="874">
        <v>155.81307996000001</v>
      </c>
      <c r="CW17" s="874">
        <v>149.76039560000001</v>
      </c>
      <c r="CX17" s="874">
        <v>152.75246217</v>
      </c>
      <c r="CY17" s="874">
        <v>148.22829204000001</v>
      </c>
      <c r="CZ17" s="874">
        <v>142.73280592</v>
      </c>
      <c r="DA17" s="874">
        <v>122.93782935999999</v>
      </c>
      <c r="DB17" s="874">
        <v>128.02028483000001</v>
      </c>
      <c r="DC17" s="874">
        <v>128.45369385999999</v>
      </c>
      <c r="DD17" s="945">
        <v>123.17923958</v>
      </c>
      <c r="DE17" s="945">
        <v>146.82455558000001</v>
      </c>
      <c r="DF17" s="945">
        <v>133.54999178</v>
      </c>
      <c r="DG17" s="897">
        <v>167.44911625</v>
      </c>
      <c r="DH17" s="897">
        <v>171.85857386000001</v>
      </c>
      <c r="DI17" s="897">
        <v>180.95014789999999</v>
      </c>
      <c r="DJ17" s="897">
        <v>154.09880745000001</v>
      </c>
      <c r="DK17" s="897">
        <v>156.65372793</v>
      </c>
      <c r="DL17" s="897">
        <v>170.79291794</v>
      </c>
      <c r="DM17" s="897">
        <v>191.38931873999999</v>
      </c>
      <c r="DN17" s="897">
        <v>218.35430608999999</v>
      </c>
      <c r="DO17" s="897">
        <v>232.44670146000001</v>
      </c>
      <c r="DP17" s="897">
        <v>224.49026789999999</v>
      </c>
      <c r="DQ17" s="897">
        <v>217.71049951000001</v>
      </c>
      <c r="DR17" s="897">
        <v>242.23235002999999</v>
      </c>
      <c r="DS17" s="897">
        <v>246.7641429</v>
      </c>
      <c r="DT17" s="897">
        <v>253.20969435000001</v>
      </c>
      <c r="DU17" s="897">
        <v>245.50933921999999</v>
      </c>
      <c r="DV17" s="897">
        <v>255.58430145</v>
      </c>
      <c r="DW17" s="897">
        <v>250.03115775000001</v>
      </c>
      <c r="DX17" s="897">
        <v>181.60744059999999</v>
      </c>
      <c r="DY17" s="897">
        <v>187.65763683</v>
      </c>
      <c r="DZ17" s="897">
        <v>188.57040778000001</v>
      </c>
      <c r="EA17" s="897">
        <v>179.74251558</v>
      </c>
      <c r="EB17" s="897">
        <v>174.8259075</v>
      </c>
      <c r="EC17" s="897">
        <v>171.56673466000001</v>
      </c>
      <c r="ED17" s="897">
        <v>135.02707896000001</v>
      </c>
      <c r="EE17" s="897">
        <v>163.89239950000001</v>
      </c>
      <c r="EF17" s="897">
        <v>187.21103704000001</v>
      </c>
      <c r="EG17" s="897">
        <v>217.06067715</v>
      </c>
      <c r="EH17" s="897">
        <v>223.36319778999999</v>
      </c>
      <c r="EI17" s="897">
        <v>234.06631032000001</v>
      </c>
      <c r="EJ17" s="897">
        <v>222.07519550000001</v>
      </c>
      <c r="EK17" s="897">
        <v>213.52907403</v>
      </c>
      <c r="EL17" s="897">
        <v>219.92156764999999</v>
      </c>
      <c r="EM17" s="897">
        <v>229.01970154</v>
      </c>
      <c r="EN17" s="897">
        <v>236.85390142</v>
      </c>
      <c r="EO17" s="897">
        <v>243.26476762999999</v>
      </c>
      <c r="EP17" s="897">
        <v>209.40642908000001</v>
      </c>
      <c r="EQ17" s="897">
        <v>228.22350223999999</v>
      </c>
      <c r="ER17" s="897">
        <v>230.01631814000001</v>
      </c>
      <c r="ES17" s="897">
        <v>218.87772687</v>
      </c>
      <c r="ET17" s="897">
        <v>245.01218781</v>
      </c>
      <c r="EU17" s="1922" t="s">
        <v>212</v>
      </c>
      <c r="EZ17" s="342"/>
    </row>
    <row r="18" spans="1:156" ht="21">
      <c r="A18" s="1953" t="s">
        <v>1974</v>
      </c>
      <c r="B18" s="839">
        <v>636.01739175</v>
      </c>
      <c r="C18" s="839">
        <v>115.9651264</v>
      </c>
      <c r="D18" s="839">
        <v>79.914935939999992</v>
      </c>
      <c r="E18" s="839">
        <v>72.055313510000005</v>
      </c>
      <c r="F18" s="839">
        <v>65.779194959999998</v>
      </c>
      <c r="G18" s="839">
        <v>59.269829659999999</v>
      </c>
      <c r="H18" s="839">
        <v>51.425258720000002</v>
      </c>
      <c r="I18" s="839">
        <v>52.382115720000002</v>
      </c>
      <c r="J18" s="839">
        <v>49.498879559999999</v>
      </c>
      <c r="K18" s="839">
        <v>45.197733810000003</v>
      </c>
      <c r="L18" s="839">
        <v>35.764143869999998</v>
      </c>
      <c r="M18" s="843">
        <v>25.942348289999998</v>
      </c>
      <c r="N18" s="840">
        <v>9.4000834700000002</v>
      </c>
      <c r="O18" s="840">
        <v>8.5983040000000006</v>
      </c>
      <c r="P18" s="840">
        <v>11.97663275</v>
      </c>
      <c r="Q18" s="840">
        <v>12.281787339999999</v>
      </c>
      <c r="R18" s="840">
        <v>13.766649789999999</v>
      </c>
      <c r="S18" s="840">
        <v>12.529960460000002</v>
      </c>
      <c r="T18" s="840">
        <v>13.914934199999999</v>
      </c>
      <c r="U18" s="840">
        <v>13.24890291</v>
      </c>
      <c r="V18" s="840">
        <v>13.416887300000001</v>
      </c>
      <c r="W18" s="840">
        <v>14.015406050000001</v>
      </c>
      <c r="X18" s="840">
        <v>13.613941310000001</v>
      </c>
      <c r="Y18" s="843">
        <v>12.48963131</v>
      </c>
      <c r="Z18" s="840">
        <v>7.5203049900000005</v>
      </c>
      <c r="AA18" s="840">
        <v>6.7308827600000001</v>
      </c>
      <c r="AB18" s="843">
        <v>2.1952563299999999</v>
      </c>
      <c r="AC18" s="843">
        <v>1.6369081200000002</v>
      </c>
      <c r="AD18" s="843">
        <v>1.9668648899999999</v>
      </c>
      <c r="AE18" s="843">
        <v>0.87893320999999991</v>
      </c>
      <c r="AF18" s="843">
        <v>1.7392700000000001</v>
      </c>
      <c r="AG18" s="843">
        <v>1.7892699999999999</v>
      </c>
      <c r="AH18" s="843">
        <v>1.6858366899999999</v>
      </c>
      <c r="AI18" s="843">
        <v>2.5095144300000003</v>
      </c>
      <c r="AJ18" s="843">
        <v>4.7681624299999994</v>
      </c>
      <c r="AK18" s="843">
        <v>2.51684142</v>
      </c>
      <c r="AL18" s="843">
        <v>3.7653435399999999</v>
      </c>
      <c r="AM18" s="843">
        <v>3.56099342</v>
      </c>
      <c r="AN18" s="843">
        <v>4.3081834199999998</v>
      </c>
      <c r="AO18" s="843">
        <v>4.8365834200000002</v>
      </c>
      <c r="AP18" s="843">
        <v>4.5915445300000002</v>
      </c>
      <c r="AQ18" s="843">
        <v>4.2775630400000004</v>
      </c>
      <c r="AR18" s="843">
        <v>4.3514367500000004</v>
      </c>
      <c r="AS18" s="843">
        <v>3.9271130400000001</v>
      </c>
      <c r="AT18" s="843">
        <v>4.5648387900000005</v>
      </c>
      <c r="AU18" s="843">
        <v>4.5571547900000002</v>
      </c>
      <c r="AV18" s="843">
        <v>3.7206134700000004</v>
      </c>
      <c r="AW18" s="843">
        <v>4.0084596800000005</v>
      </c>
      <c r="AX18" s="843">
        <v>5.8484596799999995</v>
      </c>
      <c r="AY18" s="843">
        <v>6.37080118</v>
      </c>
      <c r="AZ18" s="843">
        <v>3.2525686299999998</v>
      </c>
      <c r="BA18" s="843">
        <v>6.9486822500000001</v>
      </c>
      <c r="BB18" s="843">
        <v>6.6975244000000007</v>
      </c>
      <c r="BC18" s="843">
        <v>6.2060431900000008</v>
      </c>
      <c r="BD18" s="843">
        <v>7.1442663299999998</v>
      </c>
      <c r="BE18" s="843">
        <v>7.2661542099999998</v>
      </c>
      <c r="BF18" s="843">
        <v>7.1373235399999997</v>
      </c>
      <c r="BG18" s="843">
        <v>6.16622629</v>
      </c>
      <c r="BH18" s="886">
        <v>8.5784412200000002</v>
      </c>
      <c r="BI18" s="875">
        <v>8.5659751100000001</v>
      </c>
      <c r="BJ18" s="875">
        <v>6.0430969900000004</v>
      </c>
      <c r="BK18" s="875">
        <v>8.2543073299999996</v>
      </c>
      <c r="BL18" s="875">
        <v>8.0883304699999989</v>
      </c>
      <c r="BM18" s="875">
        <v>5.46900181</v>
      </c>
      <c r="BN18" s="875">
        <v>5.1126240100000002</v>
      </c>
      <c r="BO18" s="875">
        <v>2.8452740599999999</v>
      </c>
      <c r="BP18" s="875">
        <v>2.2912145800000001</v>
      </c>
      <c r="BQ18" s="875">
        <v>3.0101346900000001</v>
      </c>
      <c r="BR18" s="875">
        <v>3.8652764199999998</v>
      </c>
      <c r="BS18" s="875">
        <v>2.2047520299999999</v>
      </c>
      <c r="BT18" s="875">
        <v>4.4674207199999998</v>
      </c>
      <c r="BU18" s="875">
        <v>5.0750000000000002</v>
      </c>
      <c r="BV18" s="875">
        <v>5.6040000000000001</v>
      </c>
      <c r="BW18" s="875">
        <v>5.8239999999999998</v>
      </c>
      <c r="BX18" s="875">
        <v>7.0049999999999999</v>
      </c>
      <c r="BY18" s="875">
        <v>6.8460000000000001</v>
      </c>
      <c r="BZ18" s="875">
        <v>7.0209999999999999</v>
      </c>
      <c r="CA18" s="875">
        <v>6.4960000000000004</v>
      </c>
      <c r="CB18" s="875">
        <v>7.7887000000000004</v>
      </c>
      <c r="CC18" s="875">
        <v>7.3456999999999999</v>
      </c>
      <c r="CD18" s="875">
        <v>7.1909999999999998</v>
      </c>
      <c r="CE18" s="875">
        <v>6.7069999999999999</v>
      </c>
      <c r="CF18" s="875">
        <v>6.5890000000000004</v>
      </c>
      <c r="CG18" s="875">
        <v>6.5227458799999996</v>
      </c>
      <c r="CH18" s="875">
        <v>7.4197396700000002</v>
      </c>
      <c r="CI18" s="875">
        <v>8.9727390000000007</v>
      </c>
      <c r="CJ18" s="875">
        <v>9.0727390000000003</v>
      </c>
      <c r="CK18" s="875">
        <v>4.97620036</v>
      </c>
      <c r="CL18" s="875">
        <v>6.8843930000000002</v>
      </c>
      <c r="CM18" s="875">
        <v>9.0353929999999991</v>
      </c>
      <c r="CN18" s="875">
        <v>9.0853929999999998</v>
      </c>
      <c r="CO18" s="875">
        <v>8.9593930000000004</v>
      </c>
      <c r="CP18" s="875">
        <v>8.7506532400000001</v>
      </c>
      <c r="CQ18" s="875">
        <v>9.2478102899999985</v>
      </c>
      <c r="CR18" s="875">
        <v>9.3370067599999995</v>
      </c>
      <c r="CS18" s="875">
        <v>9.4598262699999989</v>
      </c>
      <c r="CT18" s="875">
        <v>7.1491462200000004</v>
      </c>
      <c r="CU18" s="875">
        <v>8.9881345400000008</v>
      </c>
      <c r="CV18" s="875">
        <v>8.7614615899999997</v>
      </c>
      <c r="CW18" s="875">
        <v>4.8704298000000001</v>
      </c>
      <c r="CX18" s="875">
        <v>8.9205261999999994</v>
      </c>
      <c r="CY18" s="875">
        <v>9.2053453800000007</v>
      </c>
      <c r="CZ18" s="875">
        <v>9.7330824699999994</v>
      </c>
      <c r="DA18" s="875">
        <v>9.3675582500000001</v>
      </c>
      <c r="DB18" s="875">
        <v>9.6358915500000002</v>
      </c>
      <c r="DC18" s="875">
        <v>10.078200000000001</v>
      </c>
      <c r="DD18" s="946">
        <v>10.281391920000001</v>
      </c>
      <c r="DE18" s="946">
        <v>8.4299919200000009</v>
      </c>
      <c r="DF18" s="946">
        <v>8.4279919200000002</v>
      </c>
      <c r="DG18" s="898">
        <v>8.4279919200000002</v>
      </c>
      <c r="DH18" s="898">
        <v>8.4562030200000002</v>
      </c>
      <c r="DI18" s="898">
        <v>8.4732030199999997</v>
      </c>
      <c r="DJ18" s="898">
        <v>8.3318947600000008</v>
      </c>
      <c r="DK18" s="898">
        <v>5.2045525599999998</v>
      </c>
      <c r="DL18" s="898">
        <v>5.2024812999999996</v>
      </c>
      <c r="DM18" s="898">
        <v>5.1940924099999997</v>
      </c>
      <c r="DN18" s="898">
        <v>5.18811423</v>
      </c>
      <c r="DO18" s="898">
        <v>5.1834050500000002</v>
      </c>
      <c r="DP18" s="898">
        <v>5.1819736399999998</v>
      </c>
      <c r="DQ18" s="898">
        <v>10.273671119999999</v>
      </c>
      <c r="DR18" s="898">
        <v>10.26867549</v>
      </c>
      <c r="DS18" s="898">
        <v>8.6386699500000006</v>
      </c>
      <c r="DT18" s="898">
        <v>7.4320126899999996</v>
      </c>
      <c r="DU18" s="898">
        <v>5.657</v>
      </c>
      <c r="DV18" s="898">
        <v>10.762</v>
      </c>
      <c r="DW18" s="898">
        <v>9.9616093899999996</v>
      </c>
      <c r="DX18" s="898">
        <v>8.8590798100000008</v>
      </c>
      <c r="DY18" s="898">
        <v>9.4586767999999992</v>
      </c>
      <c r="DZ18" s="898">
        <v>9.6661303699999994</v>
      </c>
      <c r="EA18" s="898">
        <v>2.9030025400000001</v>
      </c>
      <c r="EB18" s="898">
        <v>2.9025932999999999</v>
      </c>
      <c r="EC18" s="898">
        <v>2.9021695699999999</v>
      </c>
      <c r="ED18" s="898">
        <v>2.90174595</v>
      </c>
      <c r="EE18" s="898">
        <v>2.9013173800000001</v>
      </c>
      <c r="EF18" s="898">
        <v>2.9008853399999999</v>
      </c>
      <c r="EG18" s="898">
        <v>2.9</v>
      </c>
      <c r="EH18" s="898">
        <v>2.9</v>
      </c>
      <c r="EI18" s="898">
        <v>2.9</v>
      </c>
      <c r="EJ18" s="898">
        <v>2.4</v>
      </c>
      <c r="EK18" s="898">
        <v>2.8</v>
      </c>
      <c r="EL18" s="898">
        <v>2.8</v>
      </c>
      <c r="EM18" s="898">
        <v>2.8</v>
      </c>
      <c r="EN18" s="898">
        <v>2.85</v>
      </c>
      <c r="EO18" s="898">
        <v>2.84614704</v>
      </c>
      <c r="EP18" s="898">
        <v>2.8422612900000002</v>
      </c>
      <c r="EQ18" s="898">
        <v>2.8382787399999998</v>
      </c>
      <c r="ER18" s="898">
        <v>3.4077669999999997E-2</v>
      </c>
      <c r="ES18" s="898">
        <v>3.005557E-2</v>
      </c>
      <c r="ET18" s="898">
        <v>0</v>
      </c>
      <c r="EU18" s="1924" t="s">
        <v>4086</v>
      </c>
      <c r="EZ18" s="342"/>
    </row>
    <row r="19" spans="1:156" ht="21">
      <c r="A19" s="1953" t="s">
        <v>1975</v>
      </c>
      <c r="B19" s="842">
        <f>+B17-B18</f>
        <v>84.093819329999974</v>
      </c>
      <c r="C19" s="842">
        <f t="shared" ref="C19:V19" si="4">+C17-C18</f>
        <v>78.764133499999986</v>
      </c>
      <c r="D19" s="842">
        <f t="shared" si="4"/>
        <v>80.018446109999985</v>
      </c>
      <c r="E19" s="842">
        <f t="shared" si="4"/>
        <v>88.469409330000005</v>
      </c>
      <c r="F19" s="842">
        <f t="shared" si="4"/>
        <v>93.74346156</v>
      </c>
      <c r="G19" s="842">
        <f t="shared" si="4"/>
        <v>85.431251599999996</v>
      </c>
      <c r="H19" s="842">
        <f t="shared" si="4"/>
        <v>91.140281989999991</v>
      </c>
      <c r="I19" s="842">
        <f t="shared" si="4"/>
        <v>93.722112110000012</v>
      </c>
      <c r="J19" s="842">
        <f t="shared" si="4"/>
        <v>95.903372090000005</v>
      </c>
      <c r="K19" s="842">
        <f t="shared" si="4"/>
        <v>102.13690772</v>
      </c>
      <c r="L19" s="842">
        <f t="shared" si="4"/>
        <v>100.07069761</v>
      </c>
      <c r="M19" s="843">
        <f t="shared" si="4"/>
        <v>85.912257299999993</v>
      </c>
      <c r="N19" s="843">
        <f t="shared" si="4"/>
        <v>79.753056510000008</v>
      </c>
      <c r="O19" s="843">
        <f t="shared" si="4"/>
        <v>91.503499120000001</v>
      </c>
      <c r="P19" s="843">
        <f t="shared" si="4"/>
        <v>93.116627120000004</v>
      </c>
      <c r="Q19" s="843">
        <f t="shared" si="4"/>
        <v>114.19262322</v>
      </c>
      <c r="R19" s="843">
        <f t="shared" si="4"/>
        <v>103.82967887000001</v>
      </c>
      <c r="S19" s="843">
        <f t="shared" si="4"/>
        <v>109.09737833</v>
      </c>
      <c r="T19" s="843">
        <f t="shared" si="4"/>
        <v>114.28611678999999</v>
      </c>
      <c r="U19" s="843">
        <f t="shared" si="4"/>
        <v>108.61087181000001</v>
      </c>
      <c r="V19" s="843">
        <f t="shared" si="4"/>
        <v>119.23896328000002</v>
      </c>
      <c r="W19" s="843">
        <v>120.05925852000001</v>
      </c>
      <c r="X19" s="843">
        <v>119.47727180000001</v>
      </c>
      <c r="Y19" s="843">
        <v>120.71651027000001</v>
      </c>
      <c r="Z19" s="843">
        <v>121.31237742000002</v>
      </c>
      <c r="AA19" s="843">
        <v>121.08219525</v>
      </c>
      <c r="AB19" s="843">
        <f>+AB17-AB18</f>
        <v>110.73728931999999</v>
      </c>
      <c r="AC19" s="843">
        <v>113.52763368000001</v>
      </c>
      <c r="AD19" s="843">
        <v>90.618078389999994</v>
      </c>
      <c r="AE19" s="843">
        <v>89.510799760000012</v>
      </c>
      <c r="AF19" s="843">
        <v>89.576031329999992</v>
      </c>
      <c r="AG19" s="843">
        <v>91.839780989999994</v>
      </c>
      <c r="AH19" s="843">
        <f>+AH17-AH18</f>
        <v>91.249494909999996</v>
      </c>
      <c r="AI19" s="843">
        <v>301.63398810000001</v>
      </c>
      <c r="AJ19" s="843">
        <f>+AJ17-AJ18</f>
        <v>85.522124200000007</v>
      </c>
      <c r="AK19" s="843">
        <f>+AK17-AK18</f>
        <v>93.04102202</v>
      </c>
      <c r="AL19" s="843">
        <v>83.943521459999999</v>
      </c>
      <c r="AM19" s="843">
        <f>+AM17-AM18</f>
        <v>86.807319129999996</v>
      </c>
      <c r="AN19" s="843">
        <f>+AN17-AN18</f>
        <v>78.418720379999996</v>
      </c>
      <c r="AO19" s="843">
        <f>+AO17-AO18</f>
        <v>81.143926550000003</v>
      </c>
      <c r="AP19" s="843">
        <f>+AP17-AP18</f>
        <v>77.934492750000004</v>
      </c>
      <c r="AQ19" s="843">
        <v>82.502049279999994</v>
      </c>
      <c r="AR19" s="843">
        <f>+AR17-AR18</f>
        <v>64.262033430000002</v>
      </c>
      <c r="AS19" s="843">
        <f>+AS17-AS18</f>
        <v>64.139202590000011</v>
      </c>
      <c r="AT19" s="843">
        <f>+AT17-AT18</f>
        <v>66.87773704</v>
      </c>
      <c r="AU19" s="843">
        <v>67.603982139999999</v>
      </c>
      <c r="AV19" s="843">
        <v>68.800973180000014</v>
      </c>
      <c r="AW19" s="843">
        <v>92.730295069999997</v>
      </c>
      <c r="AX19" s="843">
        <v>92.47345623999999</v>
      </c>
      <c r="AY19" s="843">
        <v>94.561727660000003</v>
      </c>
      <c r="AZ19" s="843">
        <v>85.871230010000005</v>
      </c>
      <c r="BA19" s="843">
        <v>74.88745041</v>
      </c>
      <c r="BB19" s="843">
        <v>74.110359920000008</v>
      </c>
      <c r="BC19" s="843">
        <v>74.878645180000007</v>
      </c>
      <c r="BD19" s="843">
        <f>+BD17-BD18</f>
        <v>75.417286750000002</v>
      </c>
      <c r="BE19" s="843">
        <v>81.289693959999994</v>
      </c>
      <c r="BF19" s="843">
        <v>81.214407219999998</v>
      </c>
      <c r="BG19" s="843">
        <v>82.124084379999999</v>
      </c>
      <c r="BH19" s="886">
        <v>84.535076870000012</v>
      </c>
      <c r="BI19" s="875">
        <v>77.490381830000004</v>
      </c>
      <c r="BJ19" s="875">
        <v>70.785879140000006</v>
      </c>
      <c r="BK19" s="875">
        <v>102.47929206000001</v>
      </c>
      <c r="BL19" s="875">
        <v>97.807785719999998</v>
      </c>
      <c r="BM19" s="875">
        <v>103.90179148</v>
      </c>
      <c r="BN19" s="875">
        <v>103.17514855</v>
      </c>
      <c r="BO19" s="875">
        <v>102.54017732999999</v>
      </c>
      <c r="BP19" s="875">
        <v>101.73344687000001</v>
      </c>
      <c r="BQ19" s="875">
        <v>99.750166069999992</v>
      </c>
      <c r="BR19" s="875">
        <v>99.493565629999992</v>
      </c>
      <c r="BS19" s="875">
        <v>105.54986429</v>
      </c>
      <c r="BT19" s="875">
        <v>106.75483993999998</v>
      </c>
      <c r="BU19" s="875">
        <v>111.93046561</v>
      </c>
      <c r="BV19" s="875">
        <v>122.30472376</v>
      </c>
      <c r="BW19" s="875">
        <v>93.035927260000008</v>
      </c>
      <c r="BX19" s="875">
        <v>92.34905655</v>
      </c>
      <c r="BY19" s="875">
        <v>97.281699650000007</v>
      </c>
      <c r="BZ19" s="875">
        <v>100.71552255</v>
      </c>
      <c r="CA19" s="875">
        <v>105.82544751</v>
      </c>
      <c r="CB19" s="875">
        <v>109.79883481</v>
      </c>
      <c r="CC19" s="875">
        <v>71.931499770000002</v>
      </c>
      <c r="CD19" s="875">
        <v>81.458087569999989</v>
      </c>
      <c r="CE19" s="875">
        <f t="shared" ref="CE19:CP19" si="5">+CE17-CE18</f>
        <v>84.61302590999999</v>
      </c>
      <c r="CF19" s="875">
        <f t="shared" si="5"/>
        <v>90.238300219999999</v>
      </c>
      <c r="CG19" s="875">
        <f t="shared" si="5"/>
        <v>76.187434599999989</v>
      </c>
      <c r="CH19" s="875">
        <f t="shared" si="5"/>
        <v>74.735128620000012</v>
      </c>
      <c r="CI19" s="875">
        <f t="shared" si="5"/>
        <v>76.013968059999996</v>
      </c>
      <c r="CJ19" s="875">
        <f t="shared" si="5"/>
        <v>83.185128050000003</v>
      </c>
      <c r="CK19" s="875">
        <f t="shared" si="5"/>
        <v>100.84675062000002</v>
      </c>
      <c r="CL19" s="875">
        <f t="shared" si="5"/>
        <v>99.00444066</v>
      </c>
      <c r="CM19" s="875">
        <f t="shared" si="5"/>
        <v>108.14191645999999</v>
      </c>
      <c r="CN19" s="875">
        <f t="shared" si="5"/>
        <v>120.38202940000001</v>
      </c>
      <c r="CO19" s="875">
        <f t="shared" si="5"/>
        <v>124.66294040999998</v>
      </c>
      <c r="CP19" s="875">
        <f t="shared" si="5"/>
        <v>112.24012265</v>
      </c>
      <c r="CQ19" s="875">
        <f>+CQ17-CQ18</f>
        <v>117.67367422</v>
      </c>
      <c r="CR19" s="875">
        <f>+CR17-CR18</f>
        <v>126.85865793000001</v>
      </c>
      <c r="CS19" s="875">
        <v>132.78194983</v>
      </c>
      <c r="CT19" s="875">
        <v>138.38677923</v>
      </c>
      <c r="CU19" s="875">
        <v>137.15376517999999</v>
      </c>
      <c r="CV19" s="875">
        <v>147.05161837</v>
      </c>
      <c r="CW19" s="875">
        <v>144.8899658</v>
      </c>
      <c r="CX19" s="875">
        <v>143.83193596999999</v>
      </c>
      <c r="CY19" s="875">
        <v>139.02294666</v>
      </c>
      <c r="CZ19" s="875">
        <v>132.99972345</v>
      </c>
      <c r="DA19" s="875">
        <v>113.57027110999999</v>
      </c>
      <c r="DB19" s="875">
        <v>118.38439328</v>
      </c>
      <c r="DC19" s="875">
        <v>118.37549386000001</v>
      </c>
      <c r="DD19" s="946">
        <v>112.89784766</v>
      </c>
      <c r="DE19" s="946">
        <v>138.39456365999999</v>
      </c>
      <c r="DF19" s="946">
        <v>125.12199986</v>
      </c>
      <c r="DG19" s="898">
        <v>159.02112432999999</v>
      </c>
      <c r="DH19" s="898">
        <v>163.40237084</v>
      </c>
      <c r="DI19" s="898">
        <v>172.47694487999999</v>
      </c>
      <c r="DJ19" s="898">
        <v>145.76691269</v>
      </c>
      <c r="DK19" s="898">
        <v>151.44917537000001</v>
      </c>
      <c r="DL19" s="898">
        <v>165.59043664000001</v>
      </c>
      <c r="DM19" s="898">
        <v>186.19522633</v>
      </c>
      <c r="DN19" s="898">
        <v>213.16619186</v>
      </c>
      <c r="DO19" s="898">
        <v>227.26329641000001</v>
      </c>
      <c r="DP19" s="898">
        <v>219.30829426</v>
      </c>
      <c r="DQ19" s="898">
        <v>207.43682838999999</v>
      </c>
      <c r="DR19" s="898">
        <v>231.96367454</v>
      </c>
      <c r="DS19" s="898">
        <v>238.12547294999999</v>
      </c>
      <c r="DT19" s="898">
        <v>245.77768166000001</v>
      </c>
      <c r="DU19" s="898">
        <v>239.85233922</v>
      </c>
      <c r="DV19" s="898">
        <v>244.82230145</v>
      </c>
      <c r="DW19" s="898">
        <v>240.06954836</v>
      </c>
      <c r="DX19" s="898">
        <v>172.74836078999999</v>
      </c>
      <c r="DY19" s="898">
        <v>178.19896002999999</v>
      </c>
      <c r="DZ19" s="898">
        <v>178.90427740999999</v>
      </c>
      <c r="EA19" s="898">
        <v>176.83951304000001</v>
      </c>
      <c r="EB19" s="898">
        <v>171.92331419999999</v>
      </c>
      <c r="EC19" s="898">
        <v>168.66456509</v>
      </c>
      <c r="ED19" s="898">
        <v>132.12533300999999</v>
      </c>
      <c r="EE19" s="898">
        <v>160.99108211999999</v>
      </c>
      <c r="EF19" s="898">
        <v>184.31015170000001</v>
      </c>
      <c r="EG19" s="898">
        <v>214.16067715</v>
      </c>
      <c r="EH19" s="898">
        <v>220.46319779000001</v>
      </c>
      <c r="EI19" s="898">
        <v>231.16631032000001</v>
      </c>
      <c r="EJ19" s="898">
        <v>219.6751955</v>
      </c>
      <c r="EK19" s="898">
        <v>210.72907402999999</v>
      </c>
      <c r="EL19" s="898">
        <v>217.12156765</v>
      </c>
      <c r="EM19" s="898">
        <v>226.21970153999999</v>
      </c>
      <c r="EN19" s="898">
        <v>234.00390142000001</v>
      </c>
      <c r="EO19" s="898">
        <v>240.41862058999999</v>
      </c>
      <c r="EP19" s="898">
        <v>206.56416779</v>
      </c>
      <c r="EQ19" s="898">
        <v>225.3852235</v>
      </c>
      <c r="ER19" s="898">
        <v>229.98224046999999</v>
      </c>
      <c r="ES19" s="898">
        <v>218.8476713</v>
      </c>
      <c r="ET19" s="898">
        <v>245.01218781</v>
      </c>
      <c r="EU19" s="1924" t="s">
        <v>4085</v>
      </c>
      <c r="EZ19" s="342"/>
    </row>
    <row r="20" spans="1:156" ht="21">
      <c r="A20" s="1952"/>
      <c r="B20" s="839"/>
      <c r="C20" s="839"/>
      <c r="D20" s="839"/>
      <c r="E20" s="839"/>
      <c r="F20" s="839"/>
      <c r="G20" s="839"/>
      <c r="H20" s="839"/>
      <c r="I20" s="839"/>
      <c r="J20" s="839"/>
      <c r="K20" s="839"/>
      <c r="L20" s="839"/>
      <c r="M20" s="840"/>
      <c r="N20" s="840"/>
      <c r="O20" s="840"/>
      <c r="P20" s="840"/>
      <c r="Q20" s="840"/>
      <c r="R20" s="840"/>
      <c r="S20" s="840"/>
      <c r="T20" s="840"/>
      <c r="U20" s="840"/>
      <c r="V20" s="840"/>
      <c r="W20" s="840"/>
      <c r="X20" s="840"/>
      <c r="Y20" s="840"/>
      <c r="Z20" s="840"/>
      <c r="AA20" s="840"/>
      <c r="AB20" s="840"/>
      <c r="AC20" s="840"/>
      <c r="AD20" s="840"/>
      <c r="AE20" s="840"/>
      <c r="AF20" s="840"/>
      <c r="AG20" s="840"/>
      <c r="AH20" s="840"/>
      <c r="AI20" s="840"/>
      <c r="AJ20" s="840"/>
      <c r="AK20" s="840"/>
      <c r="AL20" s="840"/>
      <c r="AM20" s="840"/>
      <c r="AN20" s="840"/>
      <c r="AO20" s="840"/>
      <c r="AP20" s="840"/>
      <c r="AQ20" s="840"/>
      <c r="AR20" s="840"/>
      <c r="AS20" s="840"/>
      <c r="AT20" s="840"/>
      <c r="AU20" s="840"/>
      <c r="AV20" s="840"/>
      <c r="AW20" s="840"/>
      <c r="AX20" s="840"/>
      <c r="AY20" s="840"/>
      <c r="AZ20" s="840"/>
      <c r="BA20" s="840"/>
      <c r="BB20" s="840"/>
      <c r="BC20" s="840"/>
      <c r="BD20" s="840"/>
      <c r="BE20" s="840"/>
      <c r="BF20" s="840"/>
      <c r="BG20" s="840"/>
      <c r="BH20" s="885"/>
      <c r="BI20" s="874"/>
      <c r="BJ20" s="874"/>
      <c r="BK20" s="874"/>
      <c r="BL20" s="874"/>
      <c r="BM20" s="874"/>
      <c r="BN20" s="874"/>
      <c r="BO20" s="874"/>
      <c r="BP20" s="874"/>
      <c r="BQ20" s="874"/>
      <c r="BR20" s="874"/>
      <c r="BS20" s="874"/>
      <c r="BT20" s="874"/>
      <c r="BU20" s="874"/>
      <c r="BV20" s="874"/>
      <c r="BW20" s="874"/>
      <c r="BX20" s="874"/>
      <c r="BY20" s="874"/>
      <c r="BZ20" s="874"/>
      <c r="CA20" s="874"/>
      <c r="CB20" s="874"/>
      <c r="CC20" s="874"/>
      <c r="CD20" s="874"/>
      <c r="CE20" s="874"/>
      <c r="CF20" s="874"/>
      <c r="CG20" s="874"/>
      <c r="CH20" s="874"/>
      <c r="CI20" s="874"/>
      <c r="CJ20" s="874"/>
      <c r="CK20" s="874"/>
      <c r="CL20" s="874"/>
      <c r="CM20" s="874"/>
      <c r="CN20" s="874"/>
      <c r="CO20" s="874"/>
      <c r="CP20" s="874"/>
      <c r="CQ20" s="874"/>
      <c r="CR20" s="874"/>
      <c r="CS20" s="874"/>
      <c r="CT20" s="874"/>
      <c r="CU20" s="874"/>
      <c r="CV20" s="874"/>
      <c r="CW20" s="874"/>
      <c r="CX20" s="874"/>
      <c r="CY20" s="874"/>
      <c r="CZ20" s="874"/>
      <c r="DA20" s="874"/>
      <c r="DB20" s="874"/>
      <c r="DC20" s="874"/>
      <c r="DD20" s="945"/>
      <c r="DE20" s="945"/>
      <c r="DF20" s="945"/>
      <c r="DG20" s="897"/>
      <c r="DH20" s="897"/>
      <c r="DI20" s="897"/>
      <c r="DJ20" s="897"/>
      <c r="DK20" s="897"/>
      <c r="DL20" s="897"/>
      <c r="DM20" s="897"/>
      <c r="DN20" s="897"/>
      <c r="DO20" s="897"/>
      <c r="DP20" s="897"/>
      <c r="DQ20" s="897"/>
      <c r="DR20" s="897"/>
      <c r="DS20" s="897"/>
      <c r="DT20" s="897"/>
      <c r="DU20" s="897"/>
      <c r="DV20" s="897"/>
      <c r="DW20" s="897"/>
      <c r="DX20" s="897"/>
      <c r="DY20" s="897"/>
      <c r="DZ20" s="897"/>
      <c r="EA20" s="897"/>
      <c r="EB20" s="897"/>
      <c r="EC20" s="897"/>
      <c r="ED20" s="897"/>
      <c r="EE20" s="897"/>
      <c r="EF20" s="897"/>
      <c r="EG20" s="897"/>
      <c r="EH20" s="897"/>
      <c r="EI20" s="897"/>
      <c r="EJ20" s="897"/>
      <c r="EK20" s="897"/>
      <c r="EL20" s="897"/>
      <c r="EM20" s="897"/>
      <c r="EN20" s="897"/>
      <c r="EO20" s="897"/>
      <c r="EP20" s="897"/>
      <c r="EQ20" s="897"/>
      <c r="ER20" s="897"/>
      <c r="ES20" s="897"/>
      <c r="ET20" s="897"/>
      <c r="EU20" s="1922"/>
      <c r="EZ20" s="342"/>
    </row>
    <row r="21" spans="1:156" ht="21">
      <c r="A21" s="1952" t="s">
        <v>2757</v>
      </c>
      <c r="B21" s="842">
        <v>44.22157722</v>
      </c>
      <c r="C21" s="842">
        <v>78.407102399999985</v>
      </c>
      <c r="D21" s="842">
        <v>82.884684199999995</v>
      </c>
      <c r="E21" s="842">
        <v>75.248163509999998</v>
      </c>
      <c r="F21" s="842">
        <v>80.419384890000003</v>
      </c>
      <c r="G21" s="842">
        <v>104.63792968000001</v>
      </c>
      <c r="H21" s="842">
        <v>107.75647407000001</v>
      </c>
      <c r="I21" s="842">
        <v>123.14503061999999</v>
      </c>
      <c r="J21" s="842">
        <v>127.56554947000001</v>
      </c>
      <c r="K21" s="842">
        <v>124.46073993000002</v>
      </c>
      <c r="L21" s="842">
        <v>126.18377004</v>
      </c>
      <c r="M21" s="840">
        <v>149.37995132</v>
      </c>
      <c r="N21" s="843">
        <v>149.05066873999999</v>
      </c>
      <c r="O21" s="843">
        <v>152.38465274000001</v>
      </c>
      <c r="P21" s="843">
        <v>155.69819767999999</v>
      </c>
      <c r="Q21" s="843">
        <v>167.87297529000003</v>
      </c>
      <c r="R21" s="843">
        <v>177.63752194</v>
      </c>
      <c r="S21" s="843">
        <v>173.21967848000003</v>
      </c>
      <c r="T21" s="843">
        <v>175.80389299999999</v>
      </c>
      <c r="U21" s="843">
        <v>178.34353551999996</v>
      </c>
      <c r="V21" s="843">
        <v>176.87911975999998</v>
      </c>
      <c r="W21" s="843">
        <v>175.89268702999999</v>
      </c>
      <c r="X21" s="843">
        <v>182.46142771000001</v>
      </c>
      <c r="Y21" s="840">
        <v>174.11761124</v>
      </c>
      <c r="Z21" s="843">
        <v>171.43604766999997</v>
      </c>
      <c r="AA21" s="843">
        <v>351.59503576000003</v>
      </c>
      <c r="AB21" s="840">
        <v>368.61617605000004</v>
      </c>
      <c r="AC21" s="840">
        <v>371.12641699000005</v>
      </c>
      <c r="AD21" s="840">
        <v>363.91641028999999</v>
      </c>
      <c r="AE21" s="840">
        <v>357.35280528999999</v>
      </c>
      <c r="AF21" s="840">
        <v>361.57570436000003</v>
      </c>
      <c r="AG21" s="840">
        <v>312.26157620000004</v>
      </c>
      <c r="AH21" s="840">
        <v>312.37668324000003</v>
      </c>
      <c r="AI21" s="840">
        <v>178.90982980000001</v>
      </c>
      <c r="AJ21" s="840">
        <v>609.91892785000005</v>
      </c>
      <c r="AK21" s="840">
        <v>627.57566421999991</v>
      </c>
      <c r="AL21" s="840">
        <v>585.68347418999997</v>
      </c>
      <c r="AM21" s="840">
        <v>519.13182925000001</v>
      </c>
      <c r="AN21" s="840">
        <v>240.43982954000001</v>
      </c>
      <c r="AO21" s="840">
        <v>229.90111028999999</v>
      </c>
      <c r="AP21" s="840">
        <v>230.89982354</v>
      </c>
      <c r="AQ21" s="840">
        <v>344.57489076000002</v>
      </c>
      <c r="AR21" s="840">
        <v>348.78798467999997</v>
      </c>
      <c r="AS21" s="840">
        <v>363.85835089</v>
      </c>
      <c r="AT21" s="840">
        <f>AT13-AT17</f>
        <v>361.42949497000001</v>
      </c>
      <c r="AU21" s="840">
        <v>255.27490731</v>
      </c>
      <c r="AV21" s="840">
        <v>272.44109184000001</v>
      </c>
      <c r="AW21" s="840">
        <v>286.21899518999999</v>
      </c>
      <c r="AX21" s="840">
        <v>306.85873802000003</v>
      </c>
      <c r="AY21" s="840">
        <v>277.35027129000002</v>
      </c>
      <c r="AZ21" s="840">
        <v>287.96701963999999</v>
      </c>
      <c r="BA21" s="840">
        <v>303.74485558000009</v>
      </c>
      <c r="BB21" s="840">
        <v>173.14560711999999</v>
      </c>
      <c r="BC21" s="840">
        <v>169.10663581</v>
      </c>
      <c r="BD21" s="840">
        <v>158.24248566999998</v>
      </c>
      <c r="BE21" s="840">
        <v>156.55746818</v>
      </c>
      <c r="BF21" s="840">
        <v>160.07038752</v>
      </c>
      <c r="BG21" s="840">
        <v>156.61207548000002</v>
      </c>
      <c r="BH21" s="885">
        <v>161.98343178000002</v>
      </c>
      <c r="BI21" s="874">
        <v>170.75156320999997</v>
      </c>
      <c r="BJ21" s="874">
        <v>175.00092999</v>
      </c>
      <c r="BK21" s="874">
        <v>157.44506203000003</v>
      </c>
      <c r="BL21" s="874">
        <v>155.86065465000001</v>
      </c>
      <c r="BM21" s="874">
        <v>155.47128504</v>
      </c>
      <c r="BN21" s="874">
        <v>158.95353091000004</v>
      </c>
      <c r="BO21" s="874">
        <v>145.19272138999997</v>
      </c>
      <c r="BP21" s="874">
        <v>140.85328845000004</v>
      </c>
      <c r="BQ21" s="874">
        <v>155.02024559</v>
      </c>
      <c r="BR21" s="874">
        <v>155.38506032000001</v>
      </c>
      <c r="BS21" s="874">
        <v>163.95666235999997</v>
      </c>
      <c r="BT21" s="874">
        <v>159.96821731999998</v>
      </c>
      <c r="BU21" s="874">
        <v>147.58225112000002</v>
      </c>
      <c r="BV21" s="874">
        <v>142.70568666999998</v>
      </c>
      <c r="BW21" s="874">
        <v>150.56000399000001</v>
      </c>
      <c r="BX21" s="874">
        <v>161.75107030000004</v>
      </c>
      <c r="BY21" s="874">
        <v>165.56734827999998</v>
      </c>
      <c r="BZ21" s="874">
        <v>165.45471425999995</v>
      </c>
      <c r="CA21" s="874">
        <v>165.6763747</v>
      </c>
      <c r="CB21" s="874">
        <v>166.46728451999996</v>
      </c>
      <c r="CC21" s="874">
        <v>171.93668518999999</v>
      </c>
      <c r="CD21" s="874">
        <v>140.7290127</v>
      </c>
      <c r="CE21" s="874">
        <v>135.57815277999998</v>
      </c>
      <c r="CF21" s="874">
        <v>128.16944359000001</v>
      </c>
      <c r="CG21" s="874">
        <v>113.47101981</v>
      </c>
      <c r="CH21" s="874">
        <v>89.576240709999993</v>
      </c>
      <c r="CI21" s="874">
        <v>81.719450379999998</v>
      </c>
      <c r="CJ21" s="874">
        <v>65.914488920000011</v>
      </c>
      <c r="CK21" s="874">
        <v>66.039552170000007</v>
      </c>
      <c r="CL21" s="874">
        <v>70.195251150000004</v>
      </c>
      <c r="CM21" s="874">
        <v>73.026972520000001</v>
      </c>
      <c r="CN21" s="874">
        <v>74.200847640000006</v>
      </c>
      <c r="CO21" s="874">
        <v>54.528530659999994</v>
      </c>
      <c r="CP21" s="874">
        <v>46.860902869999997</v>
      </c>
      <c r="CQ21" s="874">
        <v>53.351228630000008</v>
      </c>
      <c r="CR21" s="874">
        <v>60.399791930000006</v>
      </c>
      <c r="CS21" s="874">
        <v>55.870020820000008</v>
      </c>
      <c r="CT21" s="874">
        <v>42.400803770000003</v>
      </c>
      <c r="CU21" s="874">
        <v>33.905896419999998</v>
      </c>
      <c r="CV21" s="874">
        <v>33.341543340000001</v>
      </c>
      <c r="CW21" s="874">
        <v>35.250352669999998</v>
      </c>
      <c r="CX21" s="874">
        <v>35.249052880000001</v>
      </c>
      <c r="CY21" s="874">
        <v>36.215999099999998</v>
      </c>
      <c r="CZ21" s="874">
        <v>38.484192479999997</v>
      </c>
      <c r="DA21" s="874">
        <v>42.196912150000003</v>
      </c>
      <c r="DB21" s="874">
        <v>60.162922109999997</v>
      </c>
      <c r="DC21" s="874">
        <v>52.962658300000001</v>
      </c>
      <c r="DD21" s="945">
        <v>38.79106685</v>
      </c>
      <c r="DE21" s="945">
        <v>46.38739614</v>
      </c>
      <c r="DF21" s="945">
        <v>48.826297519999997</v>
      </c>
      <c r="DG21" s="897">
        <v>51.695678770000001</v>
      </c>
      <c r="DH21" s="897">
        <v>56.433704050000003</v>
      </c>
      <c r="DI21" s="897">
        <v>56.927190760000002</v>
      </c>
      <c r="DJ21" s="897">
        <v>51.283379320000002</v>
      </c>
      <c r="DK21" s="897">
        <v>60.313067779999997</v>
      </c>
      <c r="DL21" s="897">
        <v>106.31331313</v>
      </c>
      <c r="DM21" s="897">
        <v>111.33684254000001</v>
      </c>
      <c r="DN21" s="897">
        <v>91.323177029999997</v>
      </c>
      <c r="DO21" s="897">
        <v>93.509871880000006</v>
      </c>
      <c r="DP21" s="897">
        <v>70.698769279999993</v>
      </c>
      <c r="DQ21" s="897">
        <v>75.017910209999997</v>
      </c>
      <c r="DR21" s="897">
        <v>74.629517419999999</v>
      </c>
      <c r="DS21" s="897">
        <v>77.277866560000007</v>
      </c>
      <c r="DT21" s="897">
        <v>73.205428549999993</v>
      </c>
      <c r="DU21" s="897">
        <v>62.919697480000004</v>
      </c>
      <c r="DV21" s="897">
        <v>55.359290309999999</v>
      </c>
      <c r="DW21" s="897">
        <v>49.327594159999997</v>
      </c>
      <c r="DX21" s="897">
        <v>59.642490129999999</v>
      </c>
      <c r="DY21" s="897">
        <v>69.944720520000004</v>
      </c>
      <c r="DZ21" s="897">
        <v>79.841143349999996</v>
      </c>
      <c r="EA21" s="897">
        <v>84.187306059999997</v>
      </c>
      <c r="EB21" s="897">
        <v>100.58454121</v>
      </c>
      <c r="EC21" s="897">
        <v>112.37062256999999</v>
      </c>
      <c r="ED21" s="897">
        <v>105.12808151</v>
      </c>
      <c r="EE21" s="897">
        <v>104.04503341</v>
      </c>
      <c r="EF21" s="897">
        <v>96.630308920000004</v>
      </c>
      <c r="EG21" s="897">
        <v>81.288623220000005</v>
      </c>
      <c r="EH21" s="897">
        <v>78.442270809999997</v>
      </c>
      <c r="EI21" s="897">
        <v>82.103319499999998</v>
      </c>
      <c r="EJ21" s="897">
        <v>79.477598959999995</v>
      </c>
      <c r="EK21" s="897">
        <v>65.553559289999995</v>
      </c>
      <c r="EL21" s="897">
        <v>75.325980580000007</v>
      </c>
      <c r="EM21" s="897">
        <v>80.845196729999998</v>
      </c>
      <c r="EN21" s="897">
        <v>92.516278569999997</v>
      </c>
      <c r="EO21" s="897">
        <v>99.344784880000006</v>
      </c>
      <c r="EP21" s="897">
        <v>97.189099519999999</v>
      </c>
      <c r="EQ21" s="897">
        <v>107.42941221</v>
      </c>
      <c r="ER21" s="897">
        <v>111.24425042</v>
      </c>
      <c r="ES21" s="897">
        <v>96.917554289999998</v>
      </c>
      <c r="ET21" s="897">
        <v>87.244096990000003</v>
      </c>
      <c r="EU21" s="1922" t="s">
        <v>4087</v>
      </c>
      <c r="EZ21" s="342"/>
    </row>
    <row r="22" spans="1:156" ht="21">
      <c r="A22" s="1953" t="s">
        <v>1974</v>
      </c>
      <c r="B22" s="842">
        <v>14.393739999999999</v>
      </c>
      <c r="C22" s="842">
        <v>5.8075200000000002</v>
      </c>
      <c r="D22" s="842">
        <v>3.4531200000000002</v>
      </c>
      <c r="E22" s="842">
        <v>0</v>
      </c>
      <c r="F22" s="842">
        <v>0</v>
      </c>
      <c r="G22" s="842">
        <v>0.58837499999999998</v>
      </c>
      <c r="H22" s="842">
        <v>0</v>
      </c>
      <c r="I22" s="842">
        <v>1.7256800000000001</v>
      </c>
      <c r="J22" s="842">
        <v>4.3147500000000001</v>
      </c>
      <c r="K22" s="842">
        <v>0</v>
      </c>
      <c r="L22" s="842">
        <v>0</v>
      </c>
      <c r="M22" s="843">
        <v>0</v>
      </c>
      <c r="N22" s="843">
        <v>0</v>
      </c>
      <c r="O22" s="843">
        <v>0</v>
      </c>
      <c r="P22" s="843">
        <v>0</v>
      </c>
      <c r="Q22" s="843">
        <v>0</v>
      </c>
      <c r="R22" s="843">
        <v>0</v>
      </c>
      <c r="S22" s="843">
        <v>0</v>
      </c>
      <c r="T22" s="843">
        <v>0</v>
      </c>
      <c r="U22" s="843">
        <v>0</v>
      </c>
      <c r="V22" s="843">
        <v>0</v>
      </c>
      <c r="W22" s="843">
        <v>0</v>
      </c>
      <c r="X22" s="843">
        <v>0</v>
      </c>
      <c r="Y22" s="843">
        <v>0</v>
      </c>
      <c r="Z22" s="843">
        <v>0</v>
      </c>
      <c r="AA22" s="843">
        <v>0.20996000000000001</v>
      </c>
      <c r="AB22" s="843">
        <v>0.2097</v>
      </c>
      <c r="AC22" s="843">
        <v>0.20974000000000001</v>
      </c>
      <c r="AD22" s="843">
        <v>0.20988000000000001</v>
      </c>
      <c r="AE22" s="843">
        <v>0.20966000000000001</v>
      </c>
      <c r="AF22" s="843">
        <v>0.15742500000000001</v>
      </c>
      <c r="AG22" s="843">
        <v>0.20960000000000001</v>
      </c>
      <c r="AH22" s="843">
        <v>0.20960000000000001</v>
      </c>
      <c r="AI22" s="843">
        <v>2.8416135299999996</v>
      </c>
      <c r="AJ22" s="843">
        <v>2.78192722</v>
      </c>
      <c r="AK22" s="843">
        <v>15.02704894</v>
      </c>
      <c r="AL22" s="843">
        <v>15.474770400000001</v>
      </c>
      <c r="AM22" s="843">
        <v>14.68358608</v>
      </c>
      <c r="AN22" s="843">
        <v>14.4641061</v>
      </c>
      <c r="AO22" s="843">
        <v>14.07798122</v>
      </c>
      <c r="AP22" s="843">
        <v>13.423237460000001</v>
      </c>
      <c r="AQ22" s="843">
        <v>13.78634344</v>
      </c>
      <c r="AR22" s="843">
        <v>14.622284949999999</v>
      </c>
      <c r="AS22" s="843">
        <v>15.386738149999999</v>
      </c>
      <c r="AT22" s="843">
        <f>AT14-AT18</f>
        <v>15.107878590000002</v>
      </c>
      <c r="AU22" s="843">
        <v>12.819096119999999</v>
      </c>
      <c r="AV22" s="843">
        <v>13.320342979999999</v>
      </c>
      <c r="AW22" s="843">
        <v>13.534626379999999</v>
      </c>
      <c r="AX22" s="843">
        <v>14.6490718</v>
      </c>
      <c r="AY22" s="843">
        <v>13.38074424</v>
      </c>
      <c r="AZ22" s="843">
        <v>13.661806720000001</v>
      </c>
      <c r="BA22" s="843">
        <v>13.175478099999999</v>
      </c>
      <c r="BB22" s="843">
        <v>14.36650942</v>
      </c>
      <c r="BC22" s="843">
        <v>14.31932509</v>
      </c>
      <c r="BD22" s="843">
        <v>13.80230295</v>
      </c>
      <c r="BE22" s="843">
        <v>13.63633267</v>
      </c>
      <c r="BF22" s="843">
        <v>13.544909349999998</v>
      </c>
      <c r="BG22" s="843">
        <v>12.992361129999999</v>
      </c>
      <c r="BH22" s="886">
        <v>12.991596960000001</v>
      </c>
      <c r="BI22" s="875">
        <v>12.991596959999999</v>
      </c>
      <c r="BJ22" s="875">
        <v>12.991596960000001</v>
      </c>
      <c r="BK22" s="875">
        <v>12.991596959999999</v>
      </c>
      <c r="BL22" s="875">
        <v>12.990832800000003</v>
      </c>
      <c r="BM22" s="875">
        <v>12.990832800000002</v>
      </c>
      <c r="BN22" s="875">
        <v>12.9908328</v>
      </c>
      <c r="BO22" s="875">
        <v>12.990832800000002</v>
      </c>
      <c r="BP22" s="875">
        <v>12.990832800000002</v>
      </c>
      <c r="BQ22" s="875">
        <v>12.344832799999999</v>
      </c>
      <c r="BR22" s="875">
        <v>12.344832799999999</v>
      </c>
      <c r="BS22" s="875">
        <v>12.344832800000001</v>
      </c>
      <c r="BT22" s="875">
        <v>12.344832799999999</v>
      </c>
      <c r="BU22" s="875">
        <v>1.1900000000000004</v>
      </c>
      <c r="BV22" s="875">
        <v>1.1900000000000004</v>
      </c>
      <c r="BW22" s="875">
        <v>1.1899999999999995</v>
      </c>
      <c r="BX22" s="875">
        <v>1.1900000000000004</v>
      </c>
      <c r="BY22" s="875">
        <v>1.1899999999999995</v>
      </c>
      <c r="BZ22" s="875">
        <v>1.1900000000000004</v>
      </c>
      <c r="CA22" s="875">
        <v>1.1899999999999995</v>
      </c>
      <c r="CB22" s="875">
        <v>0</v>
      </c>
      <c r="CC22" s="875">
        <v>0</v>
      </c>
      <c r="CD22" s="875">
        <v>0</v>
      </c>
      <c r="CE22" s="875">
        <v>0</v>
      </c>
      <c r="CF22" s="875">
        <v>0</v>
      </c>
      <c r="CG22" s="875">
        <v>0</v>
      </c>
      <c r="CH22" s="875">
        <v>0.153</v>
      </c>
      <c r="CI22" s="875">
        <v>0.153</v>
      </c>
      <c r="CJ22" s="875">
        <v>0.45984999999999998</v>
      </c>
      <c r="CK22" s="875">
        <v>2.56785</v>
      </c>
      <c r="CL22" s="875">
        <v>8.4492618000000004</v>
      </c>
      <c r="CM22" s="875">
        <v>12.40230951</v>
      </c>
      <c r="CN22" s="875">
        <v>13.46397311</v>
      </c>
      <c r="CO22" s="875">
        <v>13.46397311</v>
      </c>
      <c r="CP22" s="875">
        <v>13.01145011</v>
      </c>
      <c r="CQ22" s="875">
        <v>17.2840545</v>
      </c>
      <c r="CR22" s="875">
        <v>20.1740545</v>
      </c>
      <c r="CS22" s="875">
        <v>11.6740545</v>
      </c>
      <c r="CT22" s="875">
        <v>5.9491231200000003</v>
      </c>
      <c r="CU22" s="875">
        <v>3.2837100000000001E-2</v>
      </c>
      <c r="CV22" s="875">
        <v>0</v>
      </c>
      <c r="CW22" s="875">
        <v>0</v>
      </c>
      <c r="CX22" s="875">
        <v>0</v>
      </c>
      <c r="CY22" s="875">
        <v>0</v>
      </c>
      <c r="CZ22" s="875">
        <v>0</v>
      </c>
      <c r="DA22" s="875">
        <v>0</v>
      </c>
      <c r="DB22" s="875">
        <v>0</v>
      </c>
      <c r="DC22" s="875">
        <v>0</v>
      </c>
      <c r="DD22" s="946">
        <v>0</v>
      </c>
      <c r="DE22" s="946">
        <v>0</v>
      </c>
      <c r="DF22" s="946">
        <v>0</v>
      </c>
      <c r="DG22" s="898">
        <v>0</v>
      </c>
      <c r="DH22" s="898">
        <v>0</v>
      </c>
      <c r="DI22" s="898">
        <v>0</v>
      </c>
      <c r="DJ22" s="898">
        <v>0</v>
      </c>
      <c r="DK22" s="898">
        <v>0</v>
      </c>
      <c r="DL22" s="898">
        <v>0</v>
      </c>
      <c r="DM22" s="898">
        <v>0.23799999999999999</v>
      </c>
      <c r="DN22" s="898">
        <v>0.21866014</v>
      </c>
      <c r="DO22" s="898">
        <v>0.19929844999999999</v>
      </c>
      <c r="DP22" s="898">
        <v>0.14045537999999999</v>
      </c>
      <c r="DQ22" s="898">
        <v>3.4565369999999998E-2</v>
      </c>
      <c r="DR22" s="898">
        <v>3.0318479999999998E-2</v>
      </c>
      <c r="DS22" s="898">
        <v>2.6037569999999999E-2</v>
      </c>
      <c r="DT22" s="898">
        <v>2.1750289999999999E-2</v>
      </c>
      <c r="DU22" s="898">
        <v>2.1750289999999999E-2</v>
      </c>
      <c r="DV22" s="898">
        <v>1.311006E-2</v>
      </c>
      <c r="DW22" s="898">
        <v>1.311006E-2</v>
      </c>
      <c r="DX22" s="898">
        <v>1.60435328</v>
      </c>
      <c r="DY22" s="898">
        <v>1.5869655</v>
      </c>
      <c r="DZ22" s="898">
        <v>1.5377175000000001</v>
      </c>
      <c r="EA22" s="898">
        <v>0.82855356000000002</v>
      </c>
      <c r="EB22" s="898">
        <v>7.1479968899999999</v>
      </c>
      <c r="EC22" s="898">
        <v>8.1855890000000002</v>
      </c>
      <c r="ED22" s="898">
        <v>8.1516424999999995</v>
      </c>
      <c r="EE22" s="898">
        <v>8.4857045000000006</v>
      </c>
      <c r="EF22" s="898">
        <v>8.4762799999999991</v>
      </c>
      <c r="EG22" s="898">
        <v>8.4652084999999992</v>
      </c>
      <c r="EH22" s="898">
        <v>8.4827764999999999</v>
      </c>
      <c r="EI22" s="898">
        <v>8.462555</v>
      </c>
      <c r="EJ22" s="898">
        <v>8.4683928700000006</v>
      </c>
      <c r="EK22" s="898">
        <v>8.16</v>
      </c>
      <c r="EL22" s="898">
        <v>8.16</v>
      </c>
      <c r="EM22" s="898">
        <v>8.16</v>
      </c>
      <c r="EN22" s="898">
        <v>3.4</v>
      </c>
      <c r="EO22" s="898">
        <v>2.04</v>
      </c>
      <c r="EP22" s="898">
        <v>2.04</v>
      </c>
      <c r="EQ22" s="898">
        <v>2.04</v>
      </c>
      <c r="ER22" s="898">
        <v>2.04</v>
      </c>
      <c r="ES22" s="898">
        <v>2.04</v>
      </c>
      <c r="ET22" s="898">
        <v>2.04</v>
      </c>
      <c r="EU22" s="1924" t="s">
        <v>4086</v>
      </c>
      <c r="EZ22" s="342"/>
    </row>
    <row r="23" spans="1:156" ht="21">
      <c r="A23" s="1953" t="s">
        <v>1975</v>
      </c>
      <c r="B23" s="839">
        <f>+B21-B22</f>
        <v>29.827837219999999</v>
      </c>
      <c r="C23" s="842">
        <f t="shared" ref="C23:V23" si="6">+C21-C22</f>
        <v>72.599582399999989</v>
      </c>
      <c r="D23" s="842">
        <f t="shared" si="6"/>
        <v>79.431564199999997</v>
      </c>
      <c r="E23" s="842">
        <f t="shared" si="6"/>
        <v>75.248163509999998</v>
      </c>
      <c r="F23" s="842">
        <f t="shared" si="6"/>
        <v>80.419384890000003</v>
      </c>
      <c r="G23" s="842">
        <f t="shared" si="6"/>
        <v>104.04955468000001</v>
      </c>
      <c r="H23" s="842">
        <f t="shared" si="6"/>
        <v>107.75647407000001</v>
      </c>
      <c r="I23" s="842">
        <f t="shared" si="6"/>
        <v>121.41935061999999</v>
      </c>
      <c r="J23" s="842">
        <f t="shared" si="6"/>
        <v>123.25079947</v>
      </c>
      <c r="K23" s="842">
        <f t="shared" si="6"/>
        <v>124.46073993000002</v>
      </c>
      <c r="L23" s="842">
        <f t="shared" si="6"/>
        <v>126.18377004</v>
      </c>
      <c r="M23" s="843">
        <f t="shared" si="6"/>
        <v>149.37995132</v>
      </c>
      <c r="N23" s="843">
        <f t="shared" si="6"/>
        <v>149.05066873999999</v>
      </c>
      <c r="O23" s="843">
        <f t="shared" si="6"/>
        <v>152.38465274000001</v>
      </c>
      <c r="P23" s="840">
        <f t="shared" si="6"/>
        <v>155.69819767999999</v>
      </c>
      <c r="Q23" s="840">
        <f t="shared" si="6"/>
        <v>167.87297529000003</v>
      </c>
      <c r="R23" s="840">
        <f t="shared" si="6"/>
        <v>177.63752194</v>
      </c>
      <c r="S23" s="840">
        <f t="shared" si="6"/>
        <v>173.21967848000003</v>
      </c>
      <c r="T23" s="840">
        <f t="shared" si="6"/>
        <v>175.80389299999999</v>
      </c>
      <c r="U23" s="840">
        <f t="shared" si="6"/>
        <v>178.34353551999996</v>
      </c>
      <c r="V23" s="840">
        <f t="shared" si="6"/>
        <v>176.87911975999998</v>
      </c>
      <c r="W23" s="840">
        <v>175.89268702999999</v>
      </c>
      <c r="X23" s="840">
        <v>182.46142771000001</v>
      </c>
      <c r="Y23" s="843">
        <v>174.11761124</v>
      </c>
      <c r="Z23" s="840">
        <v>171.43604766999997</v>
      </c>
      <c r="AA23" s="843">
        <v>351.38507576000001</v>
      </c>
      <c r="AB23" s="843">
        <f>+AB21-AB22</f>
        <v>368.40647605000004</v>
      </c>
      <c r="AC23" s="843">
        <v>370.91667699000004</v>
      </c>
      <c r="AD23" s="843">
        <v>363.70653028999999</v>
      </c>
      <c r="AE23" s="843">
        <v>357.14314529000001</v>
      </c>
      <c r="AF23" s="843">
        <v>361.41827936000004</v>
      </c>
      <c r="AG23" s="843">
        <v>312.05197620000001</v>
      </c>
      <c r="AH23" s="843">
        <f>+AH21-AH22</f>
        <v>312.16708324000001</v>
      </c>
      <c r="AI23" s="843">
        <v>176.06821627000002</v>
      </c>
      <c r="AJ23" s="843">
        <f>+AJ21-AJ22</f>
        <v>607.1370006300001</v>
      </c>
      <c r="AK23" s="843">
        <f>+AK21-AK22</f>
        <v>612.54861527999992</v>
      </c>
      <c r="AL23" s="843">
        <v>570.20870378999996</v>
      </c>
      <c r="AM23" s="843">
        <f>+AM21-AM22</f>
        <v>504.44824317000001</v>
      </c>
      <c r="AN23" s="843">
        <f>+AN21-AN22</f>
        <v>225.97572344</v>
      </c>
      <c r="AO23" s="843">
        <f>+AO21-AO22</f>
        <v>215.82312906999999</v>
      </c>
      <c r="AP23" s="843">
        <f>+AP21-AP22</f>
        <v>217.47658608</v>
      </c>
      <c r="AQ23" s="843">
        <v>330.78854732000002</v>
      </c>
      <c r="AR23" s="843">
        <f>+AR21-AR22</f>
        <v>334.16569972999997</v>
      </c>
      <c r="AS23" s="843">
        <f>+AS21-AS22</f>
        <v>348.47161274000001</v>
      </c>
      <c r="AT23" s="843">
        <f>AT15-AT19</f>
        <v>346.32161638000002</v>
      </c>
      <c r="AU23" s="843">
        <v>242.45581118999999</v>
      </c>
      <c r="AV23" s="843">
        <v>259.12074885999999</v>
      </c>
      <c r="AW23" s="843">
        <v>272.68436880999997</v>
      </c>
      <c r="AX23" s="843">
        <v>292.20966622000003</v>
      </c>
      <c r="AY23" s="843">
        <v>263.96952705000001</v>
      </c>
      <c r="AZ23" s="843">
        <v>274.30521291999997</v>
      </c>
      <c r="BA23" s="843">
        <v>290.56937748000007</v>
      </c>
      <c r="BB23" s="843">
        <v>158.77909769999999</v>
      </c>
      <c r="BC23" s="843">
        <v>154.78731071999999</v>
      </c>
      <c r="BD23" s="843">
        <f>+BD21-BD22</f>
        <v>144.44018271999997</v>
      </c>
      <c r="BE23" s="843">
        <v>142.92113551</v>
      </c>
      <c r="BF23" s="843">
        <v>146.52547816999999</v>
      </c>
      <c r="BG23" s="843">
        <v>143.61971435000001</v>
      </c>
      <c r="BH23" s="886">
        <v>148.99183482000001</v>
      </c>
      <c r="BI23" s="875">
        <v>157.75996624999996</v>
      </c>
      <c r="BJ23" s="875">
        <v>162.00933302999999</v>
      </c>
      <c r="BK23" s="875">
        <v>144.45346507000002</v>
      </c>
      <c r="BL23" s="875">
        <v>142.86982185000002</v>
      </c>
      <c r="BM23" s="875">
        <v>142.48045224000001</v>
      </c>
      <c r="BN23" s="875">
        <v>145.96269811000005</v>
      </c>
      <c r="BO23" s="875">
        <v>132.20188858999998</v>
      </c>
      <c r="BP23" s="875">
        <v>127.86245565000003</v>
      </c>
      <c r="BQ23" s="875">
        <v>142.67541279</v>
      </c>
      <c r="BR23" s="875">
        <v>143.04022752</v>
      </c>
      <c r="BS23" s="875">
        <v>151.61182955999996</v>
      </c>
      <c r="BT23" s="875">
        <v>147.62338451999997</v>
      </c>
      <c r="BU23" s="875">
        <v>146.39225112000003</v>
      </c>
      <c r="BV23" s="875">
        <v>141.51568666999998</v>
      </c>
      <c r="BW23" s="875">
        <v>149.37000399000001</v>
      </c>
      <c r="BX23" s="875">
        <v>160.56107030000004</v>
      </c>
      <c r="BY23" s="875">
        <v>164.37734827999998</v>
      </c>
      <c r="BZ23" s="875">
        <v>164.26471425999995</v>
      </c>
      <c r="CA23" s="875">
        <v>164.4863747</v>
      </c>
      <c r="CB23" s="875">
        <v>166.46728451999996</v>
      </c>
      <c r="CC23" s="875">
        <v>171.93668518999999</v>
      </c>
      <c r="CD23" s="875">
        <v>140.7290127</v>
      </c>
      <c r="CE23" s="875">
        <f t="shared" ref="CE23:CP23" si="7">+CE21-CE22</f>
        <v>135.57815277999998</v>
      </c>
      <c r="CF23" s="875">
        <f t="shared" si="7"/>
        <v>128.16944359000001</v>
      </c>
      <c r="CG23" s="875">
        <f t="shared" si="7"/>
        <v>113.47101981</v>
      </c>
      <c r="CH23" s="875">
        <f t="shared" si="7"/>
        <v>89.423240709999988</v>
      </c>
      <c r="CI23" s="875">
        <f t="shared" si="7"/>
        <v>81.566450379999992</v>
      </c>
      <c r="CJ23" s="875">
        <f t="shared" si="7"/>
        <v>65.454638920000008</v>
      </c>
      <c r="CK23" s="875">
        <f t="shared" si="7"/>
        <v>63.471702170000007</v>
      </c>
      <c r="CL23" s="875">
        <f t="shared" si="7"/>
        <v>61.745989350000002</v>
      </c>
      <c r="CM23" s="875">
        <f t="shared" si="7"/>
        <v>60.624663009999999</v>
      </c>
      <c r="CN23" s="875">
        <f t="shared" si="7"/>
        <v>60.736874530000009</v>
      </c>
      <c r="CO23" s="875">
        <f t="shared" si="7"/>
        <v>41.064557549999996</v>
      </c>
      <c r="CP23" s="875">
        <f t="shared" si="7"/>
        <v>33.849452759999998</v>
      </c>
      <c r="CQ23" s="875">
        <f>+CQ21-CQ22</f>
        <v>36.067174130000012</v>
      </c>
      <c r="CR23" s="875">
        <f>+CR21-CR22</f>
        <v>40.225737430000009</v>
      </c>
      <c r="CS23" s="875">
        <v>44.195966320000011</v>
      </c>
      <c r="CT23" s="875">
        <v>36.45168065</v>
      </c>
      <c r="CU23" s="875">
        <v>33.873059320000003</v>
      </c>
      <c r="CV23" s="875">
        <v>33.341543340000001</v>
      </c>
      <c r="CW23" s="875">
        <v>35.250352669999998</v>
      </c>
      <c r="CX23" s="875">
        <v>35.249052880000001</v>
      </c>
      <c r="CY23" s="875">
        <v>36.215999099999998</v>
      </c>
      <c r="CZ23" s="875">
        <v>38.484192479999997</v>
      </c>
      <c r="DA23" s="875">
        <v>42.196912150000003</v>
      </c>
      <c r="DB23" s="875">
        <v>60.162922109999997</v>
      </c>
      <c r="DC23" s="875">
        <v>52.962658300000001</v>
      </c>
      <c r="DD23" s="946">
        <v>38.79106685</v>
      </c>
      <c r="DE23" s="946">
        <v>46.38739614</v>
      </c>
      <c r="DF23" s="946">
        <v>48.826297519999997</v>
      </c>
      <c r="DG23" s="898">
        <v>51.695678770000001</v>
      </c>
      <c r="DH23" s="898">
        <v>56.433704050000003</v>
      </c>
      <c r="DI23" s="898">
        <v>56.927190760000002</v>
      </c>
      <c r="DJ23" s="898">
        <v>51.283379320000002</v>
      </c>
      <c r="DK23" s="898">
        <v>60.313067779999997</v>
      </c>
      <c r="DL23" s="898">
        <v>106.31331313</v>
      </c>
      <c r="DM23" s="898">
        <v>111.09884254000001</v>
      </c>
      <c r="DN23" s="898">
        <v>91.104516889999999</v>
      </c>
      <c r="DO23" s="898">
        <v>93.310573430000005</v>
      </c>
      <c r="DP23" s="898">
        <v>70.558313900000002</v>
      </c>
      <c r="DQ23" s="898">
        <v>74.983344840000001</v>
      </c>
      <c r="DR23" s="898">
        <v>74.599198939999994</v>
      </c>
      <c r="DS23" s="898">
        <v>77.251828990000007</v>
      </c>
      <c r="DT23" s="898">
        <v>73.183678259999994</v>
      </c>
      <c r="DU23" s="898">
        <v>62.897947189999996</v>
      </c>
      <c r="DV23" s="898">
        <v>55.346180250000003</v>
      </c>
      <c r="DW23" s="898">
        <v>49.314484100000001</v>
      </c>
      <c r="DX23" s="898">
        <v>58.038136850000001</v>
      </c>
      <c r="DY23" s="898">
        <v>68.357755019999999</v>
      </c>
      <c r="DZ23" s="898">
        <v>78.303425849999996</v>
      </c>
      <c r="EA23" s="898">
        <v>83.358752499999994</v>
      </c>
      <c r="EB23" s="898">
        <v>93.436544319999996</v>
      </c>
      <c r="EC23" s="898">
        <v>104.18503357</v>
      </c>
      <c r="ED23" s="898">
        <v>96.976439010000007</v>
      </c>
      <c r="EE23" s="898">
        <v>95.559328910000005</v>
      </c>
      <c r="EF23" s="898">
        <v>88.154028920000002</v>
      </c>
      <c r="EG23" s="898">
        <v>72.823414720000002</v>
      </c>
      <c r="EH23" s="898">
        <v>69.959494309999997</v>
      </c>
      <c r="EI23" s="898">
        <v>73.640764500000003</v>
      </c>
      <c r="EJ23" s="898">
        <v>71.009206090000006</v>
      </c>
      <c r="EK23" s="898">
        <v>57.393559289999999</v>
      </c>
      <c r="EL23" s="898">
        <v>67.165980579999996</v>
      </c>
      <c r="EM23" s="898">
        <v>72.685196730000001</v>
      </c>
      <c r="EN23" s="898">
        <v>89.116278570000006</v>
      </c>
      <c r="EO23" s="898">
        <v>97.30478488</v>
      </c>
      <c r="EP23" s="898">
        <v>95.149099519999993</v>
      </c>
      <c r="EQ23" s="898">
        <v>105.38941221</v>
      </c>
      <c r="ER23" s="898">
        <v>109.20425041999999</v>
      </c>
      <c r="ES23" s="898">
        <v>94.877554290000006</v>
      </c>
      <c r="ET23" s="898">
        <v>85.204096989999996</v>
      </c>
      <c r="EU23" s="1924" t="s">
        <v>4085</v>
      </c>
      <c r="EZ23" s="342"/>
    </row>
    <row r="24" spans="1:156" ht="21">
      <c r="A24" s="1929"/>
      <c r="B24" s="842"/>
      <c r="C24" s="842"/>
      <c r="D24" s="842"/>
      <c r="E24" s="842"/>
      <c r="F24" s="842"/>
      <c r="G24" s="842"/>
      <c r="H24" s="842"/>
      <c r="I24" s="842"/>
      <c r="J24" s="842"/>
      <c r="K24" s="842"/>
      <c r="L24" s="842"/>
      <c r="M24" s="843"/>
      <c r="N24" s="843"/>
      <c r="O24" s="843"/>
      <c r="P24" s="843"/>
      <c r="Q24" s="843"/>
      <c r="R24" s="843"/>
      <c r="S24" s="843"/>
      <c r="T24" s="843"/>
      <c r="U24" s="843"/>
      <c r="V24" s="843"/>
      <c r="W24" s="843"/>
      <c r="X24" s="843"/>
      <c r="Y24" s="843"/>
      <c r="Z24" s="843"/>
      <c r="AA24" s="843"/>
      <c r="AB24" s="843"/>
      <c r="AC24" s="843"/>
      <c r="AD24" s="843"/>
      <c r="AE24" s="843"/>
      <c r="AF24" s="843"/>
      <c r="AG24" s="843"/>
      <c r="AH24" s="843"/>
      <c r="AI24" s="843"/>
      <c r="AJ24" s="843"/>
      <c r="AK24" s="843"/>
      <c r="AL24" s="843"/>
      <c r="AM24" s="843"/>
      <c r="AN24" s="843"/>
      <c r="AO24" s="843"/>
      <c r="AP24" s="843"/>
      <c r="AQ24" s="843"/>
      <c r="AR24" s="843"/>
      <c r="AS24" s="843"/>
      <c r="AT24" s="843"/>
      <c r="AU24" s="843"/>
      <c r="AV24" s="843"/>
      <c r="AW24" s="843"/>
      <c r="AX24" s="843"/>
      <c r="AY24" s="843"/>
      <c r="AZ24" s="843"/>
      <c r="BA24" s="843"/>
      <c r="BB24" s="843"/>
      <c r="BC24" s="843"/>
      <c r="BD24" s="843"/>
      <c r="BE24" s="843"/>
      <c r="BF24" s="843"/>
      <c r="BG24" s="843"/>
      <c r="BH24" s="886"/>
      <c r="BI24" s="875"/>
      <c r="BJ24" s="875"/>
      <c r="BK24" s="875"/>
      <c r="BL24" s="875"/>
      <c r="BM24" s="875"/>
      <c r="BN24" s="875"/>
      <c r="BO24" s="875"/>
      <c r="BP24" s="875"/>
      <c r="BQ24" s="875"/>
      <c r="BR24" s="875"/>
      <c r="BS24" s="875"/>
      <c r="BT24" s="875"/>
      <c r="BU24" s="875"/>
      <c r="BV24" s="875"/>
      <c r="BW24" s="875"/>
      <c r="BX24" s="875"/>
      <c r="BY24" s="875"/>
      <c r="BZ24" s="875"/>
      <c r="CA24" s="875"/>
      <c r="CB24" s="875"/>
      <c r="CC24" s="875"/>
      <c r="CD24" s="875"/>
      <c r="CE24" s="875"/>
      <c r="CF24" s="875"/>
      <c r="CG24" s="875"/>
      <c r="CH24" s="875">
        <v>0</v>
      </c>
      <c r="CI24" s="875"/>
      <c r="CJ24" s="875"/>
      <c r="CK24" s="875"/>
      <c r="CL24" s="875"/>
      <c r="CM24" s="875"/>
      <c r="CN24" s="875"/>
      <c r="CO24" s="875"/>
      <c r="CP24" s="875"/>
      <c r="CQ24" s="875"/>
      <c r="CR24" s="875"/>
      <c r="CS24" s="875"/>
      <c r="CT24" s="875"/>
      <c r="CU24" s="875"/>
      <c r="CV24" s="875"/>
      <c r="CW24" s="875"/>
      <c r="CX24" s="875"/>
      <c r="CY24" s="875"/>
      <c r="CZ24" s="875"/>
      <c r="DA24" s="875"/>
      <c r="DB24" s="875"/>
      <c r="DC24" s="875"/>
      <c r="DD24" s="946"/>
      <c r="DE24" s="946"/>
      <c r="DF24" s="946"/>
      <c r="DG24" s="898"/>
      <c r="DH24" s="898"/>
      <c r="DI24" s="898"/>
      <c r="DJ24" s="898"/>
      <c r="DK24" s="898"/>
      <c r="DL24" s="898"/>
      <c r="DM24" s="898"/>
      <c r="DN24" s="898"/>
      <c r="DO24" s="898"/>
      <c r="DP24" s="898"/>
      <c r="DQ24" s="898"/>
      <c r="DR24" s="898"/>
      <c r="DS24" s="898"/>
      <c r="DT24" s="898"/>
      <c r="DU24" s="898"/>
      <c r="DV24" s="898"/>
      <c r="DW24" s="898"/>
      <c r="DX24" s="898"/>
      <c r="DY24" s="898"/>
      <c r="DZ24" s="898"/>
      <c r="EA24" s="898"/>
      <c r="EB24" s="898"/>
      <c r="EC24" s="898"/>
      <c r="ED24" s="898"/>
      <c r="EE24" s="898"/>
      <c r="EF24" s="898"/>
      <c r="EG24" s="898"/>
      <c r="EH24" s="898"/>
      <c r="EI24" s="898"/>
      <c r="EJ24" s="898"/>
      <c r="EK24" s="898"/>
      <c r="EL24" s="898"/>
      <c r="EM24" s="898"/>
      <c r="EN24" s="898"/>
      <c r="EO24" s="898"/>
      <c r="EP24" s="898"/>
      <c r="EQ24" s="898"/>
      <c r="ER24" s="898"/>
      <c r="ES24" s="898"/>
      <c r="ET24" s="898"/>
      <c r="EU24" s="1919"/>
      <c r="EZ24" s="342"/>
    </row>
    <row r="25" spans="1:156" ht="21">
      <c r="A25" s="1930" t="s">
        <v>2758</v>
      </c>
      <c r="B25" s="839">
        <v>663.85111770000003</v>
      </c>
      <c r="C25" s="842">
        <v>876.05009504999998</v>
      </c>
      <c r="D25" s="842">
        <v>896.8242402599999</v>
      </c>
      <c r="E25" s="842">
        <v>995.12983931000008</v>
      </c>
      <c r="F25" s="842">
        <v>1043.91298813</v>
      </c>
      <c r="G25" s="842">
        <v>1092.27278858</v>
      </c>
      <c r="H25" s="842">
        <v>1121.50720869</v>
      </c>
      <c r="I25" s="842">
        <v>1143.69816416</v>
      </c>
      <c r="J25" s="842">
        <v>1194.3556452600001</v>
      </c>
      <c r="K25" s="842">
        <v>1184.5891788599999</v>
      </c>
      <c r="L25" s="842">
        <v>1199.18702656</v>
      </c>
      <c r="M25" s="840">
        <v>1255.1822657399998</v>
      </c>
      <c r="N25" s="843">
        <v>1603.10763219</v>
      </c>
      <c r="O25" s="843">
        <v>1548.9938710499998</v>
      </c>
      <c r="P25" s="840">
        <v>1569.8276058600002</v>
      </c>
      <c r="Q25" s="840">
        <v>1613.63688576</v>
      </c>
      <c r="R25" s="840">
        <v>1630.0505204400001</v>
      </c>
      <c r="S25" s="840">
        <v>1670.9145405800002</v>
      </c>
      <c r="T25" s="840">
        <v>1690.8434160400002</v>
      </c>
      <c r="U25" s="840">
        <v>1708.25349766</v>
      </c>
      <c r="V25" s="840">
        <v>1711.4837434999999</v>
      </c>
      <c r="W25" s="840">
        <v>1768.3820650900002</v>
      </c>
      <c r="X25" s="840">
        <v>1751.1195152099999</v>
      </c>
      <c r="Y25" s="840">
        <v>1720.52118823</v>
      </c>
      <c r="Z25" s="840">
        <v>1706.8214208300001</v>
      </c>
      <c r="AA25" s="843">
        <v>1768.72584538</v>
      </c>
      <c r="AB25" s="840">
        <v>1756.4537883100002</v>
      </c>
      <c r="AC25" s="840">
        <v>1724.6551742199999</v>
      </c>
      <c r="AD25" s="840">
        <v>1726.2738899999999</v>
      </c>
      <c r="AE25" s="840">
        <v>1724.4301218300002</v>
      </c>
      <c r="AF25" s="840">
        <v>1724.5275751000001</v>
      </c>
      <c r="AG25" s="840">
        <v>1729.9009730500002</v>
      </c>
      <c r="AH25" s="840">
        <v>1563.6061576699999</v>
      </c>
      <c r="AI25" s="840">
        <v>1127.21927912</v>
      </c>
      <c r="AJ25" s="840">
        <v>1118.4562392299999</v>
      </c>
      <c r="AK25" s="840">
        <v>1225.1997741799998</v>
      </c>
      <c r="AL25" s="840">
        <v>1208.13774775</v>
      </c>
      <c r="AM25" s="840">
        <v>1113.5960013700001</v>
      </c>
      <c r="AN25" s="840">
        <v>1045.8969203499998</v>
      </c>
      <c r="AO25" s="840">
        <v>892.16725496999993</v>
      </c>
      <c r="AP25" s="840">
        <v>898.28357760000006</v>
      </c>
      <c r="AQ25" s="840">
        <v>894.52531871000008</v>
      </c>
      <c r="AR25" s="840">
        <v>888.62090024999998</v>
      </c>
      <c r="AS25" s="840">
        <v>888.38873778000004</v>
      </c>
      <c r="AT25" s="840">
        <f>AT9-AT13</f>
        <v>899.24211330999992</v>
      </c>
      <c r="AU25" s="840">
        <v>881.24634016999994</v>
      </c>
      <c r="AV25" s="840">
        <v>893.40033246999985</v>
      </c>
      <c r="AW25" s="840">
        <v>880.15182722000009</v>
      </c>
      <c r="AX25" s="840">
        <v>893.27176450000002</v>
      </c>
      <c r="AY25" s="840">
        <v>876.08827769000004</v>
      </c>
      <c r="AZ25" s="840">
        <v>827.23850003999996</v>
      </c>
      <c r="BA25" s="840">
        <v>820.55988593000006</v>
      </c>
      <c r="BB25" s="840">
        <v>817.64190286000007</v>
      </c>
      <c r="BC25" s="840">
        <v>790.14229418000002</v>
      </c>
      <c r="BD25" s="840">
        <v>392.54276049000003</v>
      </c>
      <c r="BE25" s="840">
        <v>393.13655397000002</v>
      </c>
      <c r="BF25" s="840">
        <v>383.63643728999995</v>
      </c>
      <c r="BG25" s="840">
        <v>370.32570361000001</v>
      </c>
      <c r="BH25" s="885">
        <v>370.54483074999996</v>
      </c>
      <c r="BI25" s="874">
        <v>355.55853685</v>
      </c>
      <c r="BJ25" s="874">
        <v>362.89026754999998</v>
      </c>
      <c r="BK25" s="874">
        <v>383.46540838999999</v>
      </c>
      <c r="BL25" s="874">
        <v>385.6618998400001</v>
      </c>
      <c r="BM25" s="874">
        <v>404.45427589000002</v>
      </c>
      <c r="BN25" s="874">
        <v>418.53542463999997</v>
      </c>
      <c r="BO25" s="874">
        <v>426.43122317999996</v>
      </c>
      <c r="BP25" s="874">
        <v>419.48699084999993</v>
      </c>
      <c r="BQ25" s="874">
        <v>418.94288805999997</v>
      </c>
      <c r="BR25" s="874">
        <v>413.1345991500001</v>
      </c>
      <c r="BS25" s="874">
        <v>409.75355071000001</v>
      </c>
      <c r="BT25" s="874">
        <v>408.40289493</v>
      </c>
      <c r="BU25" s="874">
        <v>436.05879611</v>
      </c>
      <c r="BV25" s="874">
        <v>430.84769518000002</v>
      </c>
      <c r="BW25" s="874">
        <v>470.85798901999999</v>
      </c>
      <c r="BX25" s="874">
        <v>481.69603651</v>
      </c>
      <c r="BY25" s="874">
        <v>487.40844836999997</v>
      </c>
      <c r="BZ25" s="874">
        <v>493.10855780999998</v>
      </c>
      <c r="CA25" s="874">
        <v>499.35227388999999</v>
      </c>
      <c r="CB25" s="874">
        <v>611.74014121999994</v>
      </c>
      <c r="CC25" s="874">
        <v>604.89866076999999</v>
      </c>
      <c r="CD25" s="874">
        <v>636.83193363999999</v>
      </c>
      <c r="CE25" s="874">
        <v>671.65315972999997</v>
      </c>
      <c r="CF25" s="874">
        <v>699.54979325999989</v>
      </c>
      <c r="CG25" s="874">
        <v>673.25358242000004</v>
      </c>
      <c r="CH25" s="874">
        <v>963.56426785000008</v>
      </c>
      <c r="CI25" s="874">
        <v>965.48404779999987</v>
      </c>
      <c r="CJ25" s="874">
        <v>965.55437454000003</v>
      </c>
      <c r="CK25" s="874">
        <v>960.39221881000003</v>
      </c>
      <c r="CL25" s="874">
        <v>977.75831198000014</v>
      </c>
      <c r="CM25" s="874">
        <v>974.27042843999993</v>
      </c>
      <c r="CN25" s="874">
        <v>980.02937337999992</v>
      </c>
      <c r="CO25" s="874">
        <v>999.44929746999992</v>
      </c>
      <c r="CP25" s="874">
        <v>1014.75777633</v>
      </c>
      <c r="CQ25" s="874">
        <v>1041.2147707300001</v>
      </c>
      <c r="CR25" s="874">
        <v>1178.5573059399999</v>
      </c>
      <c r="CS25" s="874">
        <v>1043.1681394500001</v>
      </c>
      <c r="CT25" s="874">
        <v>784.83928702000003</v>
      </c>
      <c r="CU25" s="874">
        <v>719.48378666999997</v>
      </c>
      <c r="CV25" s="874">
        <v>721.57833358000005</v>
      </c>
      <c r="CW25" s="874">
        <v>720.58380397999997</v>
      </c>
      <c r="CX25" s="874">
        <v>727.36611706999997</v>
      </c>
      <c r="CY25" s="874">
        <v>725.70843015000003</v>
      </c>
      <c r="CZ25" s="874">
        <v>724.78477863000001</v>
      </c>
      <c r="DA25" s="874">
        <v>694.97228577999999</v>
      </c>
      <c r="DB25" s="874">
        <v>706.10895755000001</v>
      </c>
      <c r="DC25" s="874">
        <v>749.69014537999999</v>
      </c>
      <c r="DD25" s="945">
        <v>762.59036295999999</v>
      </c>
      <c r="DE25" s="945">
        <v>767.01296147000005</v>
      </c>
      <c r="DF25" s="945">
        <v>765.91127021</v>
      </c>
      <c r="DG25" s="897">
        <v>765.90343918999997</v>
      </c>
      <c r="DH25" s="897">
        <v>776.27258682000001</v>
      </c>
      <c r="DI25" s="897">
        <v>775.41270167000005</v>
      </c>
      <c r="DJ25" s="897">
        <v>775.71513157000004</v>
      </c>
      <c r="DK25" s="897">
        <v>763.62223086999995</v>
      </c>
      <c r="DL25" s="897">
        <v>760.56831208999995</v>
      </c>
      <c r="DM25" s="897">
        <v>758.57970737999995</v>
      </c>
      <c r="DN25" s="897">
        <v>747.94233139999994</v>
      </c>
      <c r="DO25" s="897">
        <v>742.78673029000004</v>
      </c>
      <c r="DP25" s="897">
        <v>756.89720920000002</v>
      </c>
      <c r="DQ25" s="897">
        <v>756.09270307999998</v>
      </c>
      <c r="DR25" s="897">
        <v>747.18698179</v>
      </c>
      <c r="DS25" s="897">
        <v>740.91692320000004</v>
      </c>
      <c r="DT25" s="897">
        <v>751.02206852999996</v>
      </c>
      <c r="DU25" s="897">
        <v>742.20948363000002</v>
      </c>
      <c r="DV25" s="897">
        <v>711.03851340999995</v>
      </c>
      <c r="DW25" s="897">
        <v>766.50679815000001</v>
      </c>
      <c r="DX25" s="897">
        <v>829.33502210999995</v>
      </c>
      <c r="DY25" s="897">
        <v>827.02031277000003</v>
      </c>
      <c r="DZ25" s="897">
        <v>821.12300297000002</v>
      </c>
      <c r="EA25" s="897">
        <v>866.84320628</v>
      </c>
      <c r="EB25" s="897">
        <v>867.61392949000003</v>
      </c>
      <c r="EC25" s="897">
        <v>904.12860157</v>
      </c>
      <c r="ED25" s="897">
        <v>1146.0111360400001</v>
      </c>
      <c r="EE25" s="897">
        <v>1122.7351905400001</v>
      </c>
      <c r="EF25" s="897">
        <v>1116.04912001</v>
      </c>
      <c r="EG25" s="897">
        <v>1099.1160276799999</v>
      </c>
      <c r="EH25" s="897">
        <v>1135.42880823</v>
      </c>
      <c r="EI25" s="897">
        <v>1136.4747037</v>
      </c>
      <c r="EJ25" s="897">
        <v>1120.2354998999999</v>
      </c>
      <c r="EK25" s="897">
        <v>1138.39775192</v>
      </c>
      <c r="EL25" s="897">
        <v>1146.49913692</v>
      </c>
      <c r="EM25" s="897">
        <v>1198.0240335599999</v>
      </c>
      <c r="EN25" s="897">
        <v>1188.03392897</v>
      </c>
      <c r="EO25" s="897">
        <v>1192.2748732099999</v>
      </c>
      <c r="EP25" s="897">
        <v>1230.17594633</v>
      </c>
      <c r="EQ25" s="897">
        <v>1220.6408458400001</v>
      </c>
      <c r="ER25" s="897">
        <v>1227.5856547799999</v>
      </c>
      <c r="ES25" s="897">
        <v>1238.7691789999999</v>
      </c>
      <c r="ET25" s="897">
        <v>1227.4134000900001</v>
      </c>
      <c r="EU25" s="1918" t="s">
        <v>4084</v>
      </c>
      <c r="EZ25" s="342"/>
    </row>
    <row r="26" spans="1:156" ht="21">
      <c r="A26" s="1931" t="s">
        <v>1974</v>
      </c>
      <c r="B26" s="842">
        <v>1.5749808299999999</v>
      </c>
      <c r="C26" s="842">
        <v>1.5754645599999999</v>
      </c>
      <c r="D26" s="842">
        <v>1.57449138</v>
      </c>
      <c r="E26" s="842">
        <v>21.503012970000004</v>
      </c>
      <c r="F26" s="842">
        <v>41.532092939999998</v>
      </c>
      <c r="G26" s="842">
        <v>61.33045036</v>
      </c>
      <c r="H26" s="842">
        <v>61.320035240000003</v>
      </c>
      <c r="I26" s="842">
        <v>61.238633780000001</v>
      </c>
      <c r="J26" s="842">
        <v>61.210743210000004</v>
      </c>
      <c r="K26" s="842">
        <v>60.180737389999997</v>
      </c>
      <c r="L26" s="842">
        <v>58.152616080000001</v>
      </c>
      <c r="M26" s="843">
        <v>53.952489279999995</v>
      </c>
      <c r="N26" s="843">
        <v>51.1464444</v>
      </c>
      <c r="O26" s="843">
        <v>46.396274830000003</v>
      </c>
      <c r="P26" s="843">
        <v>41.36810165</v>
      </c>
      <c r="Q26" s="843">
        <v>39.339984999999999</v>
      </c>
      <c r="R26" s="843">
        <v>38.494793690000002</v>
      </c>
      <c r="S26" s="843">
        <v>40.000368129999998</v>
      </c>
      <c r="T26" s="843">
        <v>39.616571550000003</v>
      </c>
      <c r="U26" s="843">
        <v>40.770835679999998</v>
      </c>
      <c r="V26" s="843">
        <v>39.894111520000003</v>
      </c>
      <c r="W26" s="843">
        <v>38.856641359999998</v>
      </c>
      <c r="X26" s="843">
        <v>34.688454399999998</v>
      </c>
      <c r="Y26" s="843">
        <v>28.281277090000003</v>
      </c>
      <c r="Z26" s="843">
        <v>25.76472665</v>
      </c>
      <c r="AA26" s="843">
        <v>20.166678999999998</v>
      </c>
      <c r="AB26" s="843">
        <v>16.131688440000001</v>
      </c>
      <c r="AC26" s="843">
        <v>13.93759805</v>
      </c>
      <c r="AD26" s="843">
        <v>12.602331779999998</v>
      </c>
      <c r="AE26" s="843">
        <v>12.171671659999999</v>
      </c>
      <c r="AF26" s="843">
        <v>12.052782260000001</v>
      </c>
      <c r="AG26" s="843">
        <v>11.85320387</v>
      </c>
      <c r="AH26" s="843">
        <v>11.60234509</v>
      </c>
      <c r="AI26" s="843">
        <v>10.575084090000001</v>
      </c>
      <c r="AJ26" s="843">
        <v>6.8668823499999991</v>
      </c>
      <c r="AK26" s="843">
        <v>1.9180080500000001</v>
      </c>
      <c r="AL26" s="843">
        <v>2.11739436</v>
      </c>
      <c r="AM26" s="843">
        <v>2.1230274099999997</v>
      </c>
      <c r="AN26" s="843">
        <v>4.1424332599999998</v>
      </c>
      <c r="AO26" s="843">
        <v>2.2180520399999999</v>
      </c>
      <c r="AP26" s="843">
        <v>3.4845686900000001</v>
      </c>
      <c r="AQ26" s="843">
        <v>4.2051029399999997</v>
      </c>
      <c r="AR26" s="843">
        <v>3.4811028300000002</v>
      </c>
      <c r="AS26" s="843">
        <v>2.9670524</v>
      </c>
      <c r="AT26" s="843">
        <f>AT10-AT14</f>
        <v>3.8124795099999993</v>
      </c>
      <c r="AU26" s="843">
        <v>3.5798451399999998</v>
      </c>
      <c r="AV26" s="843">
        <v>4.0034571000000021</v>
      </c>
      <c r="AW26" s="843">
        <v>0.19676912999999985</v>
      </c>
      <c r="AX26" s="843">
        <v>1.8071656400000009</v>
      </c>
      <c r="AY26" s="843">
        <v>3.1457761800000004</v>
      </c>
      <c r="AZ26" s="843">
        <v>3.37799563</v>
      </c>
      <c r="BA26" s="843">
        <v>3.4908865599999999</v>
      </c>
      <c r="BB26" s="843">
        <v>1.8362173899999998</v>
      </c>
      <c r="BC26" s="843">
        <v>2.41358016</v>
      </c>
      <c r="BD26" s="843">
        <v>1.4568437400000001</v>
      </c>
      <c r="BE26" s="843">
        <v>3.5670136800000005</v>
      </c>
      <c r="BF26" s="843">
        <v>2.7498627999999989</v>
      </c>
      <c r="BG26" s="843">
        <v>3.5172303400000011</v>
      </c>
      <c r="BH26" s="886">
        <v>1.9791618699999987</v>
      </c>
      <c r="BI26" s="875">
        <v>2.08005</v>
      </c>
      <c r="BJ26" s="875">
        <v>1.3080500000000015</v>
      </c>
      <c r="BK26" s="875">
        <v>2.8988370000000003</v>
      </c>
      <c r="BL26" s="875">
        <v>2.0587790699999999</v>
      </c>
      <c r="BM26" s="875">
        <v>2.9774999999999991</v>
      </c>
      <c r="BN26" s="875">
        <v>3.5303121699999984</v>
      </c>
      <c r="BO26" s="875">
        <v>6.8265344599999978</v>
      </c>
      <c r="BP26" s="875">
        <v>6.4799086100000025</v>
      </c>
      <c r="BQ26" s="875">
        <v>4.4520319400000012</v>
      </c>
      <c r="BR26" s="875">
        <v>4.1875128299999993</v>
      </c>
      <c r="BS26" s="875">
        <v>5.0256413199999983</v>
      </c>
      <c r="BT26" s="875">
        <v>6.6360387299999992</v>
      </c>
      <c r="BU26" s="875">
        <v>5.9122295700000009</v>
      </c>
      <c r="BV26" s="875">
        <v>5.6442428699999994</v>
      </c>
      <c r="BW26" s="875">
        <v>6.6628023600000006</v>
      </c>
      <c r="BX26" s="875">
        <v>5.3764445199999997</v>
      </c>
      <c r="BY26" s="875">
        <v>7.6663725799999991</v>
      </c>
      <c r="BZ26" s="875">
        <v>5.8776862899999998</v>
      </c>
      <c r="CA26" s="875">
        <v>9.0643250500000008</v>
      </c>
      <c r="CB26" s="875">
        <v>6.4012650999999998</v>
      </c>
      <c r="CC26" s="875">
        <v>5.1749023200000002</v>
      </c>
      <c r="CD26" s="875">
        <v>5.1612584500000001</v>
      </c>
      <c r="CE26" s="875">
        <v>5.4967259200000003</v>
      </c>
      <c r="CF26" s="875">
        <v>5.6265361600000006</v>
      </c>
      <c r="CG26" s="875">
        <v>2.2831237599999996</v>
      </c>
      <c r="CH26" s="875">
        <v>256.92021447000002</v>
      </c>
      <c r="CI26" s="875">
        <v>257.01556647000001</v>
      </c>
      <c r="CJ26" s="875">
        <v>257.75141316000003</v>
      </c>
      <c r="CK26" s="875">
        <v>257.76452463999999</v>
      </c>
      <c r="CL26" s="875">
        <v>259.15650058</v>
      </c>
      <c r="CM26" s="875">
        <v>258.75736086000001</v>
      </c>
      <c r="CN26" s="875">
        <v>258.44023493999998</v>
      </c>
      <c r="CO26" s="875">
        <v>258.20765742999998</v>
      </c>
      <c r="CP26" s="875">
        <v>256.67354095999997</v>
      </c>
      <c r="CQ26" s="875">
        <v>256.79835465000002</v>
      </c>
      <c r="CR26" s="875">
        <v>383.99041051999995</v>
      </c>
      <c r="CS26" s="875">
        <v>265.27665506</v>
      </c>
      <c r="CT26" s="875">
        <v>2.8044755600000002</v>
      </c>
      <c r="CU26" s="875">
        <v>6.34708322</v>
      </c>
      <c r="CV26" s="875">
        <v>6.5057903100000001</v>
      </c>
      <c r="CW26" s="875">
        <v>6.6588372199999997</v>
      </c>
      <c r="CX26" s="875">
        <v>7.3465571299999999</v>
      </c>
      <c r="CY26" s="875">
        <v>7.2676636999999999</v>
      </c>
      <c r="CZ26" s="875">
        <v>6.0685682999999999</v>
      </c>
      <c r="DA26" s="875">
        <v>6.2057422899999999</v>
      </c>
      <c r="DB26" s="875">
        <v>6.01201659</v>
      </c>
      <c r="DC26" s="875">
        <v>6.6246238200000001</v>
      </c>
      <c r="DD26" s="946">
        <v>6.4023755800000002</v>
      </c>
      <c r="DE26" s="946">
        <v>5.7651655999999996</v>
      </c>
      <c r="DF26" s="946">
        <v>5.57984993</v>
      </c>
      <c r="DG26" s="898">
        <v>5.3952402499999996</v>
      </c>
      <c r="DH26" s="898">
        <v>5.2088591900000001</v>
      </c>
      <c r="DI26" s="898">
        <v>6.0468154099999998</v>
      </c>
      <c r="DJ26" s="898">
        <v>5.7829495599999996</v>
      </c>
      <c r="DK26" s="898">
        <v>5.6061050100000003</v>
      </c>
      <c r="DL26" s="898">
        <v>5.99567256</v>
      </c>
      <c r="DM26" s="898">
        <v>5.7380050999999996</v>
      </c>
      <c r="DN26" s="898">
        <v>3.1067338599999998</v>
      </c>
      <c r="DO26" s="898">
        <v>2.3432996099999999</v>
      </c>
      <c r="DP26" s="898">
        <v>2.2714831200000001</v>
      </c>
      <c r="DQ26" s="898">
        <v>2.73125017</v>
      </c>
      <c r="DR26" s="898">
        <v>2.4426926600000001</v>
      </c>
      <c r="DS26" s="898">
        <v>2.2920403899999999</v>
      </c>
      <c r="DT26" s="898">
        <v>2.3475570399999999</v>
      </c>
      <c r="DU26" s="898">
        <v>2.2570419500000001</v>
      </c>
      <c r="DV26" s="898">
        <v>2.20622396</v>
      </c>
      <c r="DW26" s="898">
        <v>2.1700502799999999</v>
      </c>
      <c r="DX26" s="898">
        <v>2.00154823</v>
      </c>
      <c r="DY26" s="898">
        <v>2.53793712</v>
      </c>
      <c r="DZ26" s="898">
        <v>2.6871069900000002</v>
      </c>
      <c r="EA26" s="898">
        <v>2.5947811399999998</v>
      </c>
      <c r="EB26" s="898">
        <v>2.19109731</v>
      </c>
      <c r="EC26" s="898">
        <v>1.7439299800000001</v>
      </c>
      <c r="ED26" s="898">
        <v>214.35110628999999</v>
      </c>
      <c r="EE26" s="898">
        <v>214.25149331</v>
      </c>
      <c r="EF26" s="898">
        <v>214.12794054</v>
      </c>
      <c r="EG26" s="898">
        <v>215.82513649000001</v>
      </c>
      <c r="EH26" s="898">
        <v>215.89396303000001</v>
      </c>
      <c r="EI26" s="898">
        <v>215.84992993</v>
      </c>
      <c r="EJ26" s="898">
        <v>215.97304871</v>
      </c>
      <c r="EK26" s="898">
        <v>215.00290988</v>
      </c>
      <c r="EL26" s="898">
        <v>215.73057732999999</v>
      </c>
      <c r="EM26" s="898">
        <v>215.96780194999999</v>
      </c>
      <c r="EN26" s="898">
        <v>222.79718226</v>
      </c>
      <c r="EO26" s="898">
        <v>222.16479522</v>
      </c>
      <c r="EP26" s="898">
        <v>221.85634938000001</v>
      </c>
      <c r="EQ26" s="898">
        <v>220.90347068</v>
      </c>
      <c r="ER26" s="898">
        <v>220.35993668</v>
      </c>
      <c r="ES26" s="898">
        <v>207.08995758</v>
      </c>
      <c r="ET26" s="898">
        <v>207.11125995</v>
      </c>
      <c r="EU26" s="1920" t="s">
        <v>4086</v>
      </c>
      <c r="EZ26" s="342"/>
    </row>
    <row r="27" spans="1:156" ht="21">
      <c r="A27" s="1931" t="s">
        <v>1975</v>
      </c>
      <c r="B27" s="839">
        <f>+B25-B26</f>
        <v>662.27613687000007</v>
      </c>
      <c r="C27" s="842">
        <f t="shared" ref="C27:R27" si="8">+C25-C26</f>
        <v>874.47463048999998</v>
      </c>
      <c r="D27" s="842">
        <f t="shared" si="8"/>
        <v>895.24974887999986</v>
      </c>
      <c r="E27" s="842">
        <f t="shared" si="8"/>
        <v>973.62682634000009</v>
      </c>
      <c r="F27" s="842">
        <f t="shared" si="8"/>
        <v>1002.38089519</v>
      </c>
      <c r="G27" s="842">
        <f t="shared" si="8"/>
        <v>1030.94233822</v>
      </c>
      <c r="H27" s="842">
        <f t="shared" si="8"/>
        <v>1060.18717345</v>
      </c>
      <c r="I27" s="842">
        <f t="shared" si="8"/>
        <v>1082.4595303799999</v>
      </c>
      <c r="J27" s="842">
        <f t="shared" si="8"/>
        <v>1133.1449020500002</v>
      </c>
      <c r="K27" s="842">
        <f t="shared" si="8"/>
        <v>1124.4084414699998</v>
      </c>
      <c r="L27" s="842">
        <f t="shared" si="8"/>
        <v>1141.0344104800001</v>
      </c>
      <c r="M27" s="843">
        <f t="shared" si="8"/>
        <v>1201.2297764599998</v>
      </c>
      <c r="N27" s="843">
        <f t="shared" si="8"/>
        <v>1551.9611877899999</v>
      </c>
      <c r="O27" s="843">
        <f t="shared" si="8"/>
        <v>1502.5975962199998</v>
      </c>
      <c r="P27" s="840">
        <f t="shared" si="8"/>
        <v>1528.4595042100002</v>
      </c>
      <c r="Q27" s="840">
        <f t="shared" si="8"/>
        <v>1574.29690076</v>
      </c>
      <c r="R27" s="840">
        <f t="shared" si="8"/>
        <v>1591.5557267500001</v>
      </c>
      <c r="S27" s="840">
        <f>+S25-S26</f>
        <v>1630.9141724500003</v>
      </c>
      <c r="T27" s="840">
        <f>+T25-T26</f>
        <v>1651.2268444900001</v>
      </c>
      <c r="U27" s="840">
        <f>+U25-U26</f>
        <v>1667.4826619800001</v>
      </c>
      <c r="V27" s="840">
        <f>+V25-V26</f>
        <v>1671.5896319799999</v>
      </c>
      <c r="W27" s="840">
        <v>1729.5254237300003</v>
      </c>
      <c r="X27" s="840">
        <v>1716.43106081</v>
      </c>
      <c r="Y27" s="843">
        <v>1692.23991114</v>
      </c>
      <c r="Z27" s="840">
        <v>1681.05669418</v>
      </c>
      <c r="AA27" s="843">
        <v>1748.5591663800001</v>
      </c>
      <c r="AB27" s="843">
        <f>+AB25-AB26</f>
        <v>1740.3220998700001</v>
      </c>
      <c r="AC27" s="843">
        <v>1710.71757617</v>
      </c>
      <c r="AD27" s="843">
        <v>1713.67155822</v>
      </c>
      <c r="AE27" s="843">
        <v>1712.2584501700003</v>
      </c>
      <c r="AF27" s="843">
        <v>1712.4747928400002</v>
      </c>
      <c r="AG27" s="843">
        <v>1718.0477691800002</v>
      </c>
      <c r="AH27" s="843">
        <f>+AH25-AH26</f>
        <v>1552.0038125799999</v>
      </c>
      <c r="AI27" s="843">
        <v>1116.64419503</v>
      </c>
      <c r="AJ27" s="843">
        <f>+AJ25-AJ26</f>
        <v>1111.58935688</v>
      </c>
      <c r="AK27" s="843">
        <f>+AK25-AK26</f>
        <v>1223.2817661299998</v>
      </c>
      <c r="AL27" s="843">
        <v>1206.0203533900001</v>
      </c>
      <c r="AM27" s="843">
        <f>+AM25-AM26</f>
        <v>1111.47297396</v>
      </c>
      <c r="AN27" s="843">
        <f>+AN25-AN26</f>
        <v>1041.7544870899999</v>
      </c>
      <c r="AO27" s="843">
        <f>+AO25-AO26</f>
        <v>889.94920292999996</v>
      </c>
      <c r="AP27" s="843">
        <f>+AP25-AP26</f>
        <v>894.79900891000011</v>
      </c>
      <c r="AQ27" s="843">
        <v>890.32021577000012</v>
      </c>
      <c r="AR27" s="843">
        <f>+AR25-AR26</f>
        <v>885.13979741999992</v>
      </c>
      <c r="AS27" s="843">
        <f>+AS25-AS26</f>
        <v>885.4216853800001</v>
      </c>
      <c r="AT27" s="843">
        <f>AT11-AT15</f>
        <v>895.42963379999992</v>
      </c>
      <c r="AU27" s="843">
        <v>877.66649502999985</v>
      </c>
      <c r="AV27" s="843">
        <v>889.39687536999986</v>
      </c>
      <c r="AW27" s="843">
        <v>879.95505808999997</v>
      </c>
      <c r="AX27" s="843">
        <v>891.46459886000002</v>
      </c>
      <c r="AY27" s="843">
        <v>872.94250151000006</v>
      </c>
      <c r="AZ27" s="843">
        <v>823.86050440999998</v>
      </c>
      <c r="BA27" s="843">
        <v>817.06899937000003</v>
      </c>
      <c r="BB27" s="843">
        <v>815.80568547000007</v>
      </c>
      <c r="BC27" s="843">
        <v>787.72871401999998</v>
      </c>
      <c r="BD27" s="843">
        <f>+BD25-BD26</f>
        <v>391.08591675000002</v>
      </c>
      <c r="BE27" s="843">
        <v>389.56954029000002</v>
      </c>
      <c r="BF27" s="843">
        <v>380.88657448999993</v>
      </c>
      <c r="BG27" s="843">
        <v>366.80847326999998</v>
      </c>
      <c r="BH27" s="886">
        <v>368.56566887999998</v>
      </c>
      <c r="BI27" s="875">
        <v>353.47848684999997</v>
      </c>
      <c r="BJ27" s="875">
        <v>361.58221755</v>
      </c>
      <c r="BK27" s="875">
        <v>380.56657138999998</v>
      </c>
      <c r="BL27" s="875">
        <v>383.60312077000009</v>
      </c>
      <c r="BM27" s="875">
        <v>401.47677589</v>
      </c>
      <c r="BN27" s="875">
        <v>415.00511246999997</v>
      </c>
      <c r="BO27" s="875">
        <v>419.60468871999996</v>
      </c>
      <c r="BP27" s="875">
        <v>413.00708223999993</v>
      </c>
      <c r="BQ27" s="875">
        <v>414.49085611999999</v>
      </c>
      <c r="BR27" s="875">
        <v>408.9470863200001</v>
      </c>
      <c r="BS27" s="875">
        <v>404.72790939000004</v>
      </c>
      <c r="BT27" s="875">
        <v>401.76685620000001</v>
      </c>
      <c r="BU27" s="875">
        <v>430.14656653999998</v>
      </c>
      <c r="BV27" s="875">
        <v>425.20345230999999</v>
      </c>
      <c r="BW27" s="875">
        <v>464.19518665999999</v>
      </c>
      <c r="BX27" s="875">
        <v>476.31959198999999</v>
      </c>
      <c r="BY27" s="875">
        <v>479.74207579</v>
      </c>
      <c r="BZ27" s="875">
        <v>487.23087151999999</v>
      </c>
      <c r="CA27" s="875">
        <v>490.28794884000001</v>
      </c>
      <c r="CB27" s="875">
        <v>605.3388761199999</v>
      </c>
      <c r="CC27" s="875">
        <v>599.72375844999999</v>
      </c>
      <c r="CD27" s="875">
        <v>631.67067519</v>
      </c>
      <c r="CE27" s="875">
        <f t="shared" ref="CE27:CP27" si="9">+CE25-CE26</f>
        <v>666.15643380999995</v>
      </c>
      <c r="CF27" s="875">
        <f t="shared" si="9"/>
        <v>693.92325709999989</v>
      </c>
      <c r="CG27" s="875">
        <f t="shared" si="9"/>
        <v>670.97045866000008</v>
      </c>
      <c r="CH27" s="875">
        <f t="shared" si="9"/>
        <v>706.64405338000006</v>
      </c>
      <c r="CI27" s="875">
        <f t="shared" si="9"/>
        <v>708.4684813299998</v>
      </c>
      <c r="CJ27" s="875">
        <f t="shared" si="9"/>
        <v>707.80296137999994</v>
      </c>
      <c r="CK27" s="875">
        <f t="shared" si="9"/>
        <v>702.62769417000004</v>
      </c>
      <c r="CL27" s="875">
        <f t="shared" si="9"/>
        <v>718.60181140000009</v>
      </c>
      <c r="CM27" s="875">
        <f t="shared" si="9"/>
        <v>715.51306757999987</v>
      </c>
      <c r="CN27" s="875">
        <f t="shared" si="9"/>
        <v>721.58913843999994</v>
      </c>
      <c r="CO27" s="875">
        <f t="shared" si="9"/>
        <v>741.24164003999999</v>
      </c>
      <c r="CP27" s="875">
        <f t="shared" si="9"/>
        <v>758.08423536999999</v>
      </c>
      <c r="CQ27" s="875">
        <f>+CQ25-CQ26</f>
        <v>784.41641608000009</v>
      </c>
      <c r="CR27" s="875">
        <f>+CR25-CR26</f>
        <v>794.56689541999992</v>
      </c>
      <c r="CS27" s="875">
        <v>777.89148439000019</v>
      </c>
      <c r="CT27" s="875">
        <v>782.03481146000001</v>
      </c>
      <c r="CU27" s="875">
        <v>713.13670345000003</v>
      </c>
      <c r="CV27" s="875">
        <v>715.07254326999998</v>
      </c>
      <c r="CW27" s="875">
        <v>713.92496675999996</v>
      </c>
      <c r="CX27" s="875">
        <v>720.01955994000002</v>
      </c>
      <c r="CY27" s="875">
        <v>718.44076644999996</v>
      </c>
      <c r="CZ27" s="875">
        <v>718.71621032999997</v>
      </c>
      <c r="DA27" s="875">
        <v>688.76654349</v>
      </c>
      <c r="DB27" s="875">
        <v>700.09694095999998</v>
      </c>
      <c r="DC27" s="875">
        <v>743.06552155999998</v>
      </c>
      <c r="DD27" s="946">
        <v>756.18798737999998</v>
      </c>
      <c r="DE27" s="946">
        <v>761.24779587</v>
      </c>
      <c r="DF27" s="946">
        <v>760.33142027999997</v>
      </c>
      <c r="DG27" s="898">
        <v>760.50819894000006</v>
      </c>
      <c r="DH27" s="898">
        <v>771.06372763000002</v>
      </c>
      <c r="DI27" s="898">
        <v>769.36588626000002</v>
      </c>
      <c r="DJ27" s="898">
        <v>769.93218201000002</v>
      </c>
      <c r="DK27" s="898">
        <v>758.01612585999999</v>
      </c>
      <c r="DL27" s="898">
        <v>754.57263952999995</v>
      </c>
      <c r="DM27" s="898">
        <v>752.84170228000005</v>
      </c>
      <c r="DN27" s="898">
        <v>744.83559753999998</v>
      </c>
      <c r="DO27" s="898">
        <v>740.44343068000001</v>
      </c>
      <c r="DP27" s="898">
        <v>754.62572608000005</v>
      </c>
      <c r="DQ27" s="898">
        <v>753.36145291000003</v>
      </c>
      <c r="DR27" s="898">
        <v>744.74428912999997</v>
      </c>
      <c r="DS27" s="898">
        <v>738.62488281000003</v>
      </c>
      <c r="DT27" s="898">
        <v>748.67451148999999</v>
      </c>
      <c r="DU27" s="898">
        <v>739.95244167999999</v>
      </c>
      <c r="DV27" s="898">
        <v>708.83228944999996</v>
      </c>
      <c r="DW27" s="898">
        <v>764.33674786999995</v>
      </c>
      <c r="DX27" s="898">
        <v>827.33347388000004</v>
      </c>
      <c r="DY27" s="898">
        <v>824.48237564999999</v>
      </c>
      <c r="DZ27" s="898">
        <v>818.43589598000005</v>
      </c>
      <c r="EA27" s="898">
        <v>864.24842513999999</v>
      </c>
      <c r="EB27" s="898">
        <v>865.42283218</v>
      </c>
      <c r="EC27" s="898">
        <v>902.38467159000004</v>
      </c>
      <c r="ED27" s="898">
        <v>931.66002975000004</v>
      </c>
      <c r="EE27" s="898">
        <v>908.48369722999996</v>
      </c>
      <c r="EF27" s="898">
        <v>901.92117946999997</v>
      </c>
      <c r="EG27" s="898">
        <v>883.29089119000002</v>
      </c>
      <c r="EH27" s="898">
        <v>919.53484519999995</v>
      </c>
      <c r="EI27" s="898">
        <v>920.62477377000005</v>
      </c>
      <c r="EJ27" s="898">
        <v>904.26245118999998</v>
      </c>
      <c r="EK27" s="898">
        <v>923.39484203999996</v>
      </c>
      <c r="EL27" s="898">
        <v>930.76855959</v>
      </c>
      <c r="EM27" s="898">
        <v>982.05623161000005</v>
      </c>
      <c r="EN27" s="898">
        <v>965.23674671000003</v>
      </c>
      <c r="EO27" s="898">
        <v>970.11007799000004</v>
      </c>
      <c r="EP27" s="898">
        <v>1008.31959695</v>
      </c>
      <c r="EQ27" s="898">
        <v>999.73737516000006</v>
      </c>
      <c r="ER27" s="898">
        <v>1007.2257181</v>
      </c>
      <c r="ES27" s="898">
        <v>1031.67922142</v>
      </c>
      <c r="ET27" s="898">
        <v>1020.30214014</v>
      </c>
      <c r="EU27" s="1920" t="s">
        <v>4085</v>
      </c>
      <c r="EZ27" s="342"/>
    </row>
    <row r="28" spans="1:156" ht="21">
      <c r="A28" s="1929"/>
      <c r="B28" s="842"/>
      <c r="C28" s="842"/>
      <c r="D28" s="842"/>
      <c r="E28" s="842"/>
      <c r="F28" s="842"/>
      <c r="G28" s="842"/>
      <c r="H28" s="842"/>
      <c r="I28" s="842"/>
      <c r="J28" s="842"/>
      <c r="K28" s="842"/>
      <c r="L28" s="842"/>
      <c r="M28" s="843"/>
      <c r="N28" s="843"/>
      <c r="O28" s="843"/>
      <c r="P28" s="843"/>
      <c r="Q28" s="843"/>
      <c r="R28" s="843"/>
      <c r="S28" s="843"/>
      <c r="T28" s="843"/>
      <c r="U28" s="843"/>
      <c r="V28" s="843"/>
      <c r="W28" s="843"/>
      <c r="X28" s="843"/>
      <c r="Y28" s="843"/>
      <c r="Z28" s="843"/>
      <c r="AA28" s="843"/>
      <c r="AB28" s="843"/>
      <c r="AC28" s="843"/>
      <c r="AD28" s="843"/>
      <c r="AE28" s="843"/>
      <c r="AF28" s="843"/>
      <c r="AG28" s="843"/>
      <c r="AH28" s="843"/>
      <c r="AI28" s="843"/>
      <c r="AJ28" s="843"/>
      <c r="AK28" s="843"/>
      <c r="AL28" s="843"/>
      <c r="AM28" s="843"/>
      <c r="AN28" s="843"/>
      <c r="AO28" s="843"/>
      <c r="AP28" s="843"/>
      <c r="AQ28" s="843"/>
      <c r="AR28" s="843"/>
      <c r="AS28" s="843"/>
      <c r="AT28" s="843"/>
      <c r="AU28" s="843"/>
      <c r="AV28" s="843"/>
      <c r="AW28" s="843"/>
      <c r="AX28" s="843"/>
      <c r="AY28" s="843"/>
      <c r="AZ28" s="843"/>
      <c r="BA28" s="843"/>
      <c r="BB28" s="843"/>
      <c r="BC28" s="843"/>
      <c r="BD28" s="843"/>
      <c r="BE28" s="843"/>
      <c r="BF28" s="843"/>
      <c r="BG28" s="843"/>
      <c r="BH28" s="886"/>
      <c r="BI28" s="875"/>
      <c r="BJ28" s="875"/>
      <c r="BK28" s="875"/>
      <c r="BL28" s="875"/>
      <c r="BM28" s="875"/>
      <c r="BN28" s="875"/>
      <c r="BO28" s="875"/>
      <c r="BP28" s="875"/>
      <c r="BQ28" s="875"/>
      <c r="BR28" s="875"/>
      <c r="BS28" s="875"/>
      <c r="BT28" s="875"/>
      <c r="BU28" s="875"/>
      <c r="BV28" s="875"/>
      <c r="BW28" s="875"/>
      <c r="BX28" s="875"/>
      <c r="BY28" s="875"/>
      <c r="BZ28" s="875"/>
      <c r="CA28" s="875"/>
      <c r="CB28" s="875"/>
      <c r="CC28" s="875"/>
      <c r="CD28" s="875"/>
      <c r="CE28" s="875"/>
      <c r="CF28" s="875"/>
      <c r="CG28" s="875"/>
      <c r="CH28" s="875"/>
      <c r="CI28" s="875"/>
      <c r="CJ28" s="875"/>
      <c r="CK28" s="875"/>
      <c r="CL28" s="875"/>
      <c r="CM28" s="875"/>
      <c r="CN28" s="875"/>
      <c r="CO28" s="875"/>
      <c r="CP28" s="875"/>
      <c r="CQ28" s="875"/>
      <c r="CR28" s="875"/>
      <c r="CS28" s="875"/>
      <c r="CT28" s="875"/>
      <c r="CU28" s="875"/>
      <c r="CV28" s="875"/>
      <c r="CW28" s="875"/>
      <c r="CX28" s="875"/>
      <c r="CY28" s="875"/>
      <c r="CZ28" s="875"/>
      <c r="DA28" s="875"/>
      <c r="DB28" s="875"/>
      <c r="DC28" s="875"/>
      <c r="DD28" s="946"/>
      <c r="DE28" s="946"/>
      <c r="DF28" s="946"/>
      <c r="DG28" s="898"/>
      <c r="DH28" s="898"/>
      <c r="DI28" s="898"/>
      <c r="DJ28" s="898"/>
      <c r="DK28" s="898"/>
      <c r="DL28" s="898"/>
      <c r="DM28" s="898"/>
      <c r="DN28" s="898"/>
      <c r="DO28" s="898"/>
      <c r="DP28" s="898"/>
      <c r="DQ28" s="898"/>
      <c r="DR28" s="898"/>
      <c r="DS28" s="898"/>
      <c r="DT28" s="898"/>
      <c r="DU28" s="898"/>
      <c r="DV28" s="898"/>
      <c r="DW28" s="898"/>
      <c r="DX28" s="898"/>
      <c r="DY28" s="898"/>
      <c r="DZ28" s="898"/>
      <c r="EA28" s="898"/>
      <c r="EB28" s="898"/>
      <c r="EC28" s="898"/>
      <c r="ED28" s="898"/>
      <c r="EE28" s="898"/>
      <c r="EF28" s="898"/>
      <c r="EG28" s="898"/>
      <c r="EH28" s="898"/>
      <c r="EI28" s="898"/>
      <c r="EJ28" s="898"/>
      <c r="EK28" s="898"/>
      <c r="EL28" s="898"/>
      <c r="EM28" s="898"/>
      <c r="EN28" s="898"/>
      <c r="EO28" s="898"/>
      <c r="EP28" s="898"/>
      <c r="EQ28" s="898"/>
      <c r="ER28" s="898"/>
      <c r="ES28" s="898"/>
      <c r="ET28" s="898"/>
      <c r="EU28" s="1919"/>
      <c r="EZ28" s="342"/>
    </row>
    <row r="29" spans="1:156" ht="21">
      <c r="A29" s="1952" t="s">
        <v>189</v>
      </c>
      <c r="B29" s="842">
        <v>474.68845883</v>
      </c>
      <c r="C29" s="842">
        <v>611.46492519000003</v>
      </c>
      <c r="D29" s="842">
        <v>626.70764567999993</v>
      </c>
      <c r="E29" s="842">
        <v>664.65496351000002</v>
      </c>
      <c r="F29" s="842">
        <v>711.39151156000003</v>
      </c>
      <c r="G29" s="842">
        <v>752.65386182000009</v>
      </c>
      <c r="H29" s="842">
        <v>772.64654458999996</v>
      </c>
      <c r="I29" s="842">
        <v>788.50070264999999</v>
      </c>
      <c r="J29" s="842">
        <v>809.35866274</v>
      </c>
      <c r="K29" s="842">
        <v>826.06029692999994</v>
      </c>
      <c r="L29" s="842">
        <v>840.95243269000002</v>
      </c>
      <c r="M29" s="840">
        <v>891.41350994999993</v>
      </c>
      <c r="N29" s="843">
        <v>1238.58983304</v>
      </c>
      <c r="O29" s="843">
        <v>1212.0741544099999</v>
      </c>
      <c r="P29" s="843">
        <v>1231.3432686200001</v>
      </c>
      <c r="Q29" s="843">
        <v>1249.4109852399999</v>
      </c>
      <c r="R29" s="843">
        <v>1268.42319378</v>
      </c>
      <c r="S29" s="843">
        <v>1302.9464996800002</v>
      </c>
      <c r="T29" s="843">
        <v>1322.2987384000003</v>
      </c>
      <c r="U29" s="843">
        <v>1338.1425938699999</v>
      </c>
      <c r="V29" s="843">
        <v>1342.83459741</v>
      </c>
      <c r="W29" s="843">
        <v>1404.8691184900001</v>
      </c>
      <c r="X29" s="843">
        <v>1384.9072332799999</v>
      </c>
      <c r="Y29" s="840">
        <v>1381.5846281199999</v>
      </c>
      <c r="Z29" s="843">
        <v>1375.62979612</v>
      </c>
      <c r="AA29" s="843">
        <v>948.33576385000003</v>
      </c>
      <c r="AB29" s="840">
        <v>934.45402221999996</v>
      </c>
      <c r="AC29" s="840">
        <v>906.88430116999996</v>
      </c>
      <c r="AD29" s="840">
        <v>887.26889962999996</v>
      </c>
      <c r="AE29" s="840">
        <v>879.16980595000007</v>
      </c>
      <c r="AF29" s="840">
        <v>875.75709975000007</v>
      </c>
      <c r="AG29" s="840">
        <v>883.05004988000007</v>
      </c>
      <c r="AH29" s="840">
        <v>783.33371264999994</v>
      </c>
      <c r="AI29" s="840">
        <v>786.47550797999997</v>
      </c>
      <c r="AJ29" s="840">
        <v>776.00162976000001</v>
      </c>
      <c r="AK29" s="840">
        <v>756.76556631999995</v>
      </c>
      <c r="AL29" s="840">
        <v>737.69932990000007</v>
      </c>
      <c r="AM29" s="840">
        <v>726.16111610000007</v>
      </c>
      <c r="AN29" s="840">
        <v>725.25790355999993</v>
      </c>
      <c r="AO29" s="840">
        <v>727.07730872999991</v>
      </c>
      <c r="AP29" s="840">
        <v>731.60823546000006</v>
      </c>
      <c r="AQ29" s="840">
        <v>722.3579024500001</v>
      </c>
      <c r="AR29" s="840">
        <v>716.69626521999999</v>
      </c>
      <c r="AS29" s="840">
        <v>712.38654869000004</v>
      </c>
      <c r="AT29" s="840">
        <v>726.08608998</v>
      </c>
      <c r="AU29" s="840">
        <v>710.62299726000003</v>
      </c>
      <c r="AV29" s="840">
        <v>709.38333647000002</v>
      </c>
      <c r="AW29" s="840">
        <v>693.88603808000005</v>
      </c>
      <c r="AX29" s="840">
        <v>693.33924743999989</v>
      </c>
      <c r="AY29" s="840">
        <v>694.31419715000004</v>
      </c>
      <c r="AZ29" s="840">
        <v>648.92004098999996</v>
      </c>
      <c r="BA29" s="840">
        <v>646.06421168000008</v>
      </c>
      <c r="BB29" s="840">
        <v>645.72058558000003</v>
      </c>
      <c r="BC29" s="840">
        <v>648.36736957000005</v>
      </c>
      <c r="BD29" s="840">
        <v>254.76191244</v>
      </c>
      <c r="BE29" s="840">
        <v>255.45488173999999</v>
      </c>
      <c r="BF29" s="840">
        <v>256.18259761000002</v>
      </c>
      <c r="BG29" s="840">
        <v>241.00010439000002</v>
      </c>
      <c r="BH29" s="885">
        <v>241.68829052999999</v>
      </c>
      <c r="BI29" s="874">
        <v>202.97773952</v>
      </c>
      <c r="BJ29" s="874">
        <v>218.58858434999999</v>
      </c>
      <c r="BK29" s="874">
        <v>236.78829243000001</v>
      </c>
      <c r="BL29" s="874">
        <v>237.68166059000001</v>
      </c>
      <c r="BM29" s="874">
        <v>237.24107013999998</v>
      </c>
      <c r="BN29" s="874">
        <v>240.43486102</v>
      </c>
      <c r="BO29" s="874">
        <v>251.72277008</v>
      </c>
      <c r="BP29" s="874">
        <v>248.29137097</v>
      </c>
      <c r="BQ29" s="874">
        <v>238.72267816000002</v>
      </c>
      <c r="BR29" s="874">
        <v>239.21937254000002</v>
      </c>
      <c r="BS29" s="874">
        <v>236.02649700000001</v>
      </c>
      <c r="BT29" s="874">
        <v>232.87185169</v>
      </c>
      <c r="BU29" s="874">
        <v>252.70315393000001</v>
      </c>
      <c r="BV29" s="874">
        <v>253.18948444</v>
      </c>
      <c r="BW29" s="874">
        <v>288.76078735999999</v>
      </c>
      <c r="BX29" s="874">
        <v>293.00708994000001</v>
      </c>
      <c r="BY29" s="874">
        <v>287.89675228999994</v>
      </c>
      <c r="BZ29" s="874">
        <v>289.36685556999998</v>
      </c>
      <c r="CA29" s="874">
        <v>297.86059657999994</v>
      </c>
      <c r="CB29" s="874">
        <v>410.35721357</v>
      </c>
      <c r="CC29" s="874">
        <v>400.32397682999999</v>
      </c>
      <c r="CD29" s="874">
        <v>403.87273599000002</v>
      </c>
      <c r="CE29" s="874">
        <v>401.76014967000003</v>
      </c>
      <c r="CF29" s="874">
        <v>412.32391673999996</v>
      </c>
      <c r="CG29" s="874">
        <v>415.26517176000004</v>
      </c>
      <c r="CH29" s="874">
        <v>436.45404734000005</v>
      </c>
      <c r="CI29" s="874">
        <v>428.21777049999997</v>
      </c>
      <c r="CJ29" s="874">
        <v>442.10341133000003</v>
      </c>
      <c r="CK29" s="874">
        <v>444.43814493000002</v>
      </c>
      <c r="CL29" s="874">
        <v>447.18179942</v>
      </c>
      <c r="CM29" s="874">
        <v>449.61185095000002</v>
      </c>
      <c r="CN29" s="874">
        <v>450.26061403</v>
      </c>
      <c r="CO29" s="874">
        <v>456.28828979999997</v>
      </c>
      <c r="CP29" s="874">
        <v>485.72001609999995</v>
      </c>
      <c r="CQ29" s="874">
        <v>508.50552796000005</v>
      </c>
      <c r="CR29" s="874">
        <v>638.12730896999994</v>
      </c>
      <c r="CS29" s="874">
        <v>515.36702852000008</v>
      </c>
      <c r="CT29" s="874">
        <v>531.96766222999997</v>
      </c>
      <c r="CU29" s="874">
        <v>480.65060196000002</v>
      </c>
      <c r="CV29" s="874">
        <v>487.16329051999998</v>
      </c>
      <c r="CW29" s="874">
        <v>488.71805323000001</v>
      </c>
      <c r="CX29" s="874">
        <v>495.09318661999998</v>
      </c>
      <c r="CY29" s="874">
        <v>498.10874708</v>
      </c>
      <c r="CZ29" s="874">
        <v>499.46747268000001</v>
      </c>
      <c r="DA29" s="874">
        <v>507.76260033</v>
      </c>
      <c r="DB29" s="874">
        <v>516.67723479000006</v>
      </c>
      <c r="DC29" s="874">
        <v>536.72924520000004</v>
      </c>
      <c r="DD29" s="945">
        <v>550.95203300000003</v>
      </c>
      <c r="DE29" s="945">
        <v>555.13193616000001</v>
      </c>
      <c r="DF29" s="945">
        <v>555.88656311</v>
      </c>
      <c r="DG29" s="897">
        <v>557.91790326</v>
      </c>
      <c r="DH29" s="897">
        <v>561.96033402</v>
      </c>
      <c r="DI29" s="897">
        <v>562.80412735000004</v>
      </c>
      <c r="DJ29" s="897">
        <v>560.31954817999997</v>
      </c>
      <c r="DK29" s="897">
        <v>552.69970995999995</v>
      </c>
      <c r="DL29" s="897">
        <v>553.87479445999998</v>
      </c>
      <c r="DM29" s="897">
        <v>553.41518113999996</v>
      </c>
      <c r="DN29" s="897">
        <v>544.33927215000006</v>
      </c>
      <c r="DO29" s="897">
        <v>538.14527094000005</v>
      </c>
      <c r="DP29" s="897">
        <v>554.13832834000004</v>
      </c>
      <c r="DQ29" s="897">
        <v>553.78529338999999</v>
      </c>
      <c r="DR29" s="897">
        <v>544.52479427000003</v>
      </c>
      <c r="DS29" s="897">
        <v>544.86614851000002</v>
      </c>
      <c r="DT29" s="897">
        <v>555.85496264999995</v>
      </c>
      <c r="DU29" s="897">
        <v>557.92545203999998</v>
      </c>
      <c r="DV29" s="897">
        <v>531.40294759000005</v>
      </c>
      <c r="DW29" s="897">
        <v>558.32028118999995</v>
      </c>
      <c r="DX29" s="897">
        <v>616.92675036000003</v>
      </c>
      <c r="DY29" s="897">
        <v>618.95100677999994</v>
      </c>
      <c r="DZ29" s="897">
        <v>620.11702971</v>
      </c>
      <c r="EA29" s="897">
        <v>657.25711834000003</v>
      </c>
      <c r="EB29" s="897">
        <v>666.28424563999999</v>
      </c>
      <c r="EC29" s="897">
        <v>696.60013135999998</v>
      </c>
      <c r="ED29" s="897">
        <v>731.37505315999999</v>
      </c>
      <c r="EE29" s="897">
        <v>708.98148876000005</v>
      </c>
      <c r="EF29" s="897">
        <v>711.11531265999997</v>
      </c>
      <c r="EG29" s="897">
        <v>689.64623889999996</v>
      </c>
      <c r="EH29" s="897">
        <v>731.88586836000002</v>
      </c>
      <c r="EI29" s="897">
        <v>737.43851729000005</v>
      </c>
      <c r="EJ29" s="897">
        <v>734.16261649</v>
      </c>
      <c r="EK29" s="897">
        <v>734.95082689000003</v>
      </c>
      <c r="EL29" s="897">
        <v>743.75579863999997</v>
      </c>
      <c r="EM29" s="897">
        <v>788.82847654</v>
      </c>
      <c r="EN29" s="897">
        <v>786.90313534999996</v>
      </c>
      <c r="EO29" s="897">
        <v>794.27601836999997</v>
      </c>
      <c r="EP29" s="897">
        <v>835.29801422000003</v>
      </c>
      <c r="EQ29" s="897">
        <v>834.71811410999999</v>
      </c>
      <c r="ER29" s="897">
        <v>841.40619575000005</v>
      </c>
      <c r="ES29" s="897">
        <v>850.22003016999997</v>
      </c>
      <c r="ET29" s="897">
        <v>849.33611217999999</v>
      </c>
      <c r="EU29" s="1922" t="s">
        <v>212</v>
      </c>
      <c r="EZ29" s="342"/>
    </row>
    <row r="30" spans="1:156" ht="21">
      <c r="A30" s="1953" t="s">
        <v>1974</v>
      </c>
      <c r="B30" s="842">
        <v>0.62639933999999997</v>
      </c>
      <c r="C30" s="842">
        <v>0.62639933999999997</v>
      </c>
      <c r="D30" s="842">
        <v>0.62542616000000006</v>
      </c>
      <c r="E30" s="842">
        <v>20.554189620000002</v>
      </c>
      <c r="F30" s="842">
        <v>40.58326959</v>
      </c>
      <c r="G30" s="842">
        <v>60.555332849999999</v>
      </c>
      <c r="H30" s="842">
        <v>60.55404618</v>
      </c>
      <c r="I30" s="842">
        <v>60.472742359999998</v>
      </c>
      <c r="J30" s="842">
        <v>60.444754150000001</v>
      </c>
      <c r="K30" s="842">
        <v>59.414748329999995</v>
      </c>
      <c r="L30" s="842">
        <v>57.386724659999999</v>
      </c>
      <c r="M30" s="843">
        <v>53.358682899999998</v>
      </c>
      <c r="N30" s="843">
        <v>50.330622810000001</v>
      </c>
      <c r="O30" s="843">
        <v>45.802544140000002</v>
      </c>
      <c r="P30" s="843">
        <v>40.774446650000002</v>
      </c>
      <c r="Q30" s="843">
        <v>38.74633</v>
      </c>
      <c r="R30" s="843">
        <v>37.901063000000001</v>
      </c>
      <c r="S30" s="843">
        <v>39.596046000000001</v>
      </c>
      <c r="T30" s="843">
        <v>39.212300970000001</v>
      </c>
      <c r="U30" s="843">
        <v>40.366461999999999</v>
      </c>
      <c r="V30" s="843">
        <v>39.489737840000004</v>
      </c>
      <c r="W30" s="843">
        <v>38.38370484</v>
      </c>
      <c r="X30" s="843">
        <v>34.284080719999999</v>
      </c>
      <c r="Y30" s="843">
        <v>28.074688600000002</v>
      </c>
      <c r="Z30" s="843">
        <v>25.176263219999999</v>
      </c>
      <c r="AA30" s="843">
        <v>20.166678999999998</v>
      </c>
      <c r="AB30" s="843">
        <v>15.82814769</v>
      </c>
      <c r="AC30" s="843">
        <v>13.8170395</v>
      </c>
      <c r="AD30" s="843">
        <v>12.335800599999999</v>
      </c>
      <c r="AE30" s="843">
        <v>11.819963869999999</v>
      </c>
      <c r="AF30" s="843">
        <v>11.79912676</v>
      </c>
      <c r="AG30" s="843">
        <v>11.78852206</v>
      </c>
      <c r="AH30" s="843">
        <v>11.2754891</v>
      </c>
      <c r="AI30" s="843">
        <v>9.74122427</v>
      </c>
      <c r="AJ30" s="843">
        <v>5.7032649199999996</v>
      </c>
      <c r="AK30" s="843">
        <v>0.36331476000000001</v>
      </c>
      <c r="AL30" s="843">
        <v>0.52142602000000005</v>
      </c>
      <c r="AM30" s="843">
        <v>0.56225252999999997</v>
      </c>
      <c r="AN30" s="843">
        <v>2.6049877499999998</v>
      </c>
      <c r="AO30" s="843">
        <v>0.71408993000000009</v>
      </c>
      <c r="AP30" s="843">
        <v>1.9955536200000001</v>
      </c>
      <c r="AQ30" s="843">
        <v>2.66733975</v>
      </c>
      <c r="AR30" s="843">
        <v>1.8976882399999999</v>
      </c>
      <c r="AS30" s="843">
        <v>1.3366877800000001</v>
      </c>
      <c r="AT30" s="843">
        <v>2.19310319</v>
      </c>
      <c r="AU30" s="843">
        <v>3.5798451400000002</v>
      </c>
      <c r="AV30" s="843">
        <v>4.0034571000000003</v>
      </c>
      <c r="AW30" s="843">
        <v>0.19676913000000001</v>
      </c>
      <c r="AX30" s="843">
        <v>1.8071656399999998</v>
      </c>
      <c r="AY30" s="843">
        <v>3.1457761800000004</v>
      </c>
      <c r="AZ30" s="843">
        <v>3.37799563</v>
      </c>
      <c r="BA30" s="843">
        <v>3.4908865599999999</v>
      </c>
      <c r="BB30" s="843">
        <v>1.8362173899999998</v>
      </c>
      <c r="BC30" s="843">
        <v>2.41358016</v>
      </c>
      <c r="BD30" s="843">
        <v>1.4568437400000001</v>
      </c>
      <c r="BE30" s="843">
        <v>2.7165136800000003</v>
      </c>
      <c r="BF30" s="843">
        <v>1.8997628</v>
      </c>
      <c r="BG30" s="843">
        <v>2.6671303399999999</v>
      </c>
      <c r="BH30" s="886">
        <v>1.12911187</v>
      </c>
      <c r="BI30" s="875">
        <v>1.23</v>
      </c>
      <c r="BJ30" s="875">
        <v>0.45800000000000002</v>
      </c>
      <c r="BK30" s="875">
        <v>2.0487869999999999</v>
      </c>
      <c r="BL30" s="875">
        <v>1.2087790700000001</v>
      </c>
      <c r="BM30" s="875">
        <v>2.1274999999999999</v>
      </c>
      <c r="BN30" s="875">
        <v>2.8150003300000002</v>
      </c>
      <c r="BO30" s="875">
        <v>6.8265344599999995</v>
      </c>
      <c r="BP30" s="875">
        <v>6.4799086100000007</v>
      </c>
      <c r="BQ30" s="875">
        <v>4.4520319400000004</v>
      </c>
      <c r="BR30" s="875">
        <v>4.1875128300000002</v>
      </c>
      <c r="BS30" s="875">
        <v>5.0256413200000001</v>
      </c>
      <c r="BT30" s="875">
        <v>6.6360387300000001</v>
      </c>
      <c r="BU30" s="875">
        <v>5.91222957</v>
      </c>
      <c r="BV30" s="875">
        <v>5.6442428700000002</v>
      </c>
      <c r="BW30" s="875">
        <v>6.6628023600000006</v>
      </c>
      <c r="BX30" s="875">
        <v>5.3764445199999997</v>
      </c>
      <c r="BY30" s="875">
        <v>7.66637258</v>
      </c>
      <c r="BZ30" s="875">
        <v>5.8776862899999998</v>
      </c>
      <c r="CA30" s="875">
        <v>9.0643250500000008</v>
      </c>
      <c r="CB30" s="875">
        <v>6.4012650999999998</v>
      </c>
      <c r="CC30" s="875">
        <v>5.1749023200000002</v>
      </c>
      <c r="CD30" s="875">
        <v>5.1612584500000001</v>
      </c>
      <c r="CE30" s="875">
        <v>5.4967259200000003</v>
      </c>
      <c r="CF30" s="875">
        <v>5.6265361600000006</v>
      </c>
      <c r="CG30" s="875">
        <v>2.2831237599999996</v>
      </c>
      <c r="CH30" s="875">
        <v>1.9202144699999999</v>
      </c>
      <c r="CI30" s="875">
        <v>2.01556647</v>
      </c>
      <c r="CJ30" s="875">
        <v>2.3748631600000003</v>
      </c>
      <c r="CK30" s="875">
        <v>2.2859746400000001</v>
      </c>
      <c r="CL30" s="875">
        <v>2.7454316200000002</v>
      </c>
      <c r="CM30" s="875">
        <v>2.3631322900000002</v>
      </c>
      <c r="CN30" s="875">
        <v>2.1292574800000001</v>
      </c>
      <c r="CO30" s="875">
        <v>1.91381527</v>
      </c>
      <c r="CP30" s="875">
        <v>0.73654407999999993</v>
      </c>
      <c r="CQ30" s="875">
        <v>0.91531054000000001</v>
      </c>
      <c r="CR30" s="875">
        <v>128.06712059999998</v>
      </c>
      <c r="CS30" s="875">
        <v>0.89275553000000007</v>
      </c>
      <c r="CT30" s="875">
        <v>1.96100553</v>
      </c>
      <c r="CU30" s="875">
        <v>0.90255545999999998</v>
      </c>
      <c r="CV30" s="875">
        <v>1.20280192</v>
      </c>
      <c r="CW30" s="875">
        <v>1.57891483</v>
      </c>
      <c r="CX30" s="875">
        <v>2.42425092</v>
      </c>
      <c r="CY30" s="875">
        <v>2.5025888100000002</v>
      </c>
      <c r="CZ30" s="875">
        <v>1.46274452</v>
      </c>
      <c r="DA30" s="875">
        <v>1.7588790599999999</v>
      </c>
      <c r="DB30" s="875">
        <v>1.7241877299999999</v>
      </c>
      <c r="DC30" s="875">
        <v>2.5713719400000001</v>
      </c>
      <c r="DD30" s="946">
        <v>2.5347394099999998</v>
      </c>
      <c r="DE30" s="946">
        <v>2.03585824</v>
      </c>
      <c r="DF30" s="946">
        <v>1.9898499599999999</v>
      </c>
      <c r="DG30" s="898">
        <v>1.94398717</v>
      </c>
      <c r="DH30" s="898">
        <v>1.8972975400000001</v>
      </c>
      <c r="DI30" s="898">
        <v>2.8758463500000002</v>
      </c>
      <c r="DJ30" s="898">
        <v>2.7523732299999999</v>
      </c>
      <c r="DK30" s="898">
        <v>2.7160197899999998</v>
      </c>
      <c r="DL30" s="898">
        <v>3.2466822199999998</v>
      </c>
      <c r="DM30" s="898">
        <v>2.9890147599999999</v>
      </c>
      <c r="DN30" s="898">
        <v>3.1067338599999998</v>
      </c>
      <c r="DO30" s="898">
        <v>2.3432996099999999</v>
      </c>
      <c r="DP30" s="898">
        <v>2.2714831200000001</v>
      </c>
      <c r="DQ30" s="898">
        <v>2.73125017</v>
      </c>
      <c r="DR30" s="898">
        <v>2.4426926600000001</v>
      </c>
      <c r="DS30" s="898">
        <v>2.2920403899999999</v>
      </c>
      <c r="DT30" s="898">
        <v>2.3475570399999999</v>
      </c>
      <c r="DU30" s="898">
        <v>2.2570419500000001</v>
      </c>
      <c r="DV30" s="898">
        <v>2.20622396</v>
      </c>
      <c r="DW30" s="898">
        <v>2.1700502799999999</v>
      </c>
      <c r="DX30" s="898">
        <v>2.00154823</v>
      </c>
      <c r="DY30" s="898">
        <v>2.53793712</v>
      </c>
      <c r="DZ30" s="898">
        <v>2.6871069900000002</v>
      </c>
      <c r="EA30" s="898">
        <v>2.5947811399999998</v>
      </c>
      <c r="EB30" s="898">
        <v>2.19109731</v>
      </c>
      <c r="EC30" s="898">
        <v>1.7439299800000001</v>
      </c>
      <c r="ED30" s="898">
        <v>1.8511062899999999</v>
      </c>
      <c r="EE30" s="898">
        <v>1.7514933100000001</v>
      </c>
      <c r="EF30" s="898">
        <v>1.62794054</v>
      </c>
      <c r="EG30" s="898">
        <v>3.3251364899999998</v>
      </c>
      <c r="EH30" s="898">
        <v>3.3939630300000001</v>
      </c>
      <c r="EI30" s="898">
        <v>3.3499299300000001</v>
      </c>
      <c r="EJ30" s="898">
        <v>3.47304871</v>
      </c>
      <c r="EK30" s="898">
        <v>2.5029098799999998</v>
      </c>
      <c r="EL30" s="898">
        <v>3.23057733</v>
      </c>
      <c r="EM30" s="898">
        <v>3.4678019500000001</v>
      </c>
      <c r="EN30" s="898">
        <v>3.4971822600000002</v>
      </c>
      <c r="EO30" s="898">
        <v>3.52875856</v>
      </c>
      <c r="EP30" s="898">
        <v>3.2203127199999999</v>
      </c>
      <c r="EQ30" s="898">
        <v>2.2674340200000001</v>
      </c>
      <c r="ER30" s="898">
        <v>1.7239000200000001</v>
      </c>
      <c r="ES30" s="898">
        <v>1.7351709200000001</v>
      </c>
      <c r="ET30" s="898">
        <v>1.75647329</v>
      </c>
      <c r="EU30" s="1924" t="s">
        <v>4086</v>
      </c>
      <c r="EZ30" s="342"/>
    </row>
    <row r="31" spans="1:156" ht="21">
      <c r="A31" s="1953" t="s">
        <v>1975</v>
      </c>
      <c r="B31" s="839">
        <f>+B29-B30</f>
        <v>474.06205949000002</v>
      </c>
      <c r="C31" s="839">
        <f t="shared" ref="C31:V31" si="10">+C29-C30</f>
        <v>610.83852585</v>
      </c>
      <c r="D31" s="839">
        <f t="shared" si="10"/>
        <v>626.08221951999997</v>
      </c>
      <c r="E31" s="839">
        <f t="shared" si="10"/>
        <v>644.10077389000003</v>
      </c>
      <c r="F31" s="839">
        <f t="shared" si="10"/>
        <v>670.80824197000004</v>
      </c>
      <c r="G31" s="839">
        <f t="shared" si="10"/>
        <v>692.09852897000007</v>
      </c>
      <c r="H31" s="839">
        <f t="shared" si="10"/>
        <v>712.09249840999996</v>
      </c>
      <c r="I31" s="839">
        <f t="shared" si="10"/>
        <v>728.02796029000001</v>
      </c>
      <c r="J31" s="839">
        <f t="shared" si="10"/>
        <v>748.91390859000001</v>
      </c>
      <c r="K31" s="839">
        <f t="shared" si="10"/>
        <v>766.64554859999998</v>
      </c>
      <c r="L31" s="839">
        <f t="shared" si="10"/>
        <v>783.56570803</v>
      </c>
      <c r="M31" s="843">
        <f t="shared" si="10"/>
        <v>838.05482704999997</v>
      </c>
      <c r="N31" s="840">
        <f t="shared" si="10"/>
        <v>1188.25921023</v>
      </c>
      <c r="O31" s="840">
        <f t="shared" si="10"/>
        <v>1166.2716102699999</v>
      </c>
      <c r="P31" s="840">
        <f t="shared" si="10"/>
        <v>1190.56882197</v>
      </c>
      <c r="Q31" s="840">
        <f t="shared" si="10"/>
        <v>1210.66465524</v>
      </c>
      <c r="R31" s="840">
        <f t="shared" si="10"/>
        <v>1230.52213078</v>
      </c>
      <c r="S31" s="840">
        <f t="shared" si="10"/>
        <v>1263.3504536800001</v>
      </c>
      <c r="T31" s="840">
        <f t="shared" si="10"/>
        <v>1283.0864374300004</v>
      </c>
      <c r="U31" s="840">
        <f t="shared" si="10"/>
        <v>1297.77613187</v>
      </c>
      <c r="V31" s="840">
        <f t="shared" si="10"/>
        <v>1303.3448595699999</v>
      </c>
      <c r="W31" s="840">
        <v>1366.4854136500001</v>
      </c>
      <c r="X31" s="840">
        <v>1350.6231525599999</v>
      </c>
      <c r="Y31" s="843">
        <v>1353.50993952</v>
      </c>
      <c r="Z31" s="840">
        <v>1350.4535329</v>
      </c>
      <c r="AA31" s="840">
        <v>928.16908484999999</v>
      </c>
      <c r="AB31" s="843">
        <f>+AB29-AB30</f>
        <v>918.62587452999992</v>
      </c>
      <c r="AC31" s="843">
        <v>893.06726166999999</v>
      </c>
      <c r="AD31" s="843">
        <v>874.93309902999999</v>
      </c>
      <c r="AE31" s="843">
        <v>867.34984208000003</v>
      </c>
      <c r="AF31" s="843">
        <v>863.95797299000003</v>
      </c>
      <c r="AG31" s="843">
        <v>871.26152782000008</v>
      </c>
      <c r="AH31" s="843">
        <f>+AH29-AH30</f>
        <v>772.05822354999998</v>
      </c>
      <c r="AI31" s="843">
        <v>776.73428371</v>
      </c>
      <c r="AJ31" s="843">
        <f>+AJ29-AJ30</f>
        <v>770.29836483999998</v>
      </c>
      <c r="AK31" s="843">
        <f>+AK29-AK30</f>
        <v>756.40225155999997</v>
      </c>
      <c r="AL31" s="843">
        <v>737.17790388000003</v>
      </c>
      <c r="AM31" s="843">
        <f>+AM29-AM30</f>
        <v>725.59886357000005</v>
      </c>
      <c r="AN31" s="843">
        <f>+AN29-AN30</f>
        <v>722.65291580999997</v>
      </c>
      <c r="AO31" s="843">
        <f>+AO29-AO30</f>
        <v>726.36321879999991</v>
      </c>
      <c r="AP31" s="843">
        <f>+AP29-AP30</f>
        <v>729.61268184000005</v>
      </c>
      <c r="AQ31" s="843">
        <v>719.6905627000001</v>
      </c>
      <c r="AR31" s="843">
        <f>+AR29-AR30</f>
        <v>714.79857698000001</v>
      </c>
      <c r="AS31" s="843">
        <f>+AS29-AS30</f>
        <v>711.04986091000001</v>
      </c>
      <c r="AT31" s="843">
        <f>+AT29-AT30</f>
        <v>723.89298679000001</v>
      </c>
      <c r="AU31" s="843">
        <v>707.04315212000006</v>
      </c>
      <c r="AV31" s="843">
        <v>705.37987937000003</v>
      </c>
      <c r="AW31" s="843">
        <v>693.68926895000004</v>
      </c>
      <c r="AX31" s="843">
        <v>691.5320817999999</v>
      </c>
      <c r="AY31" s="843">
        <v>691.16842097000006</v>
      </c>
      <c r="AZ31" s="843">
        <v>645.54204535999997</v>
      </c>
      <c r="BA31" s="843">
        <v>642.57332512000005</v>
      </c>
      <c r="BB31" s="843">
        <v>643.88436819000003</v>
      </c>
      <c r="BC31" s="843">
        <v>645.95378941000001</v>
      </c>
      <c r="BD31" s="843">
        <f>+BD29-BD30</f>
        <v>253.30506869999999</v>
      </c>
      <c r="BE31" s="843">
        <v>252.73836806</v>
      </c>
      <c r="BF31" s="843">
        <v>254.28283481000003</v>
      </c>
      <c r="BG31" s="843">
        <v>238.33297405000002</v>
      </c>
      <c r="BH31" s="886">
        <v>240.55917865999999</v>
      </c>
      <c r="BI31" s="875">
        <v>201.74773952000001</v>
      </c>
      <c r="BJ31" s="875">
        <v>218.13058434999999</v>
      </c>
      <c r="BK31" s="875">
        <v>234.73950543000001</v>
      </c>
      <c r="BL31" s="875">
        <v>236.47288152000002</v>
      </c>
      <c r="BM31" s="875">
        <v>235.11357013999998</v>
      </c>
      <c r="BN31" s="875">
        <v>237.61986069</v>
      </c>
      <c r="BO31" s="875">
        <v>244.89623562</v>
      </c>
      <c r="BP31" s="875">
        <v>241.81146236000001</v>
      </c>
      <c r="BQ31" s="875">
        <v>234.27064622</v>
      </c>
      <c r="BR31" s="875">
        <v>235.03185971000002</v>
      </c>
      <c r="BS31" s="875">
        <v>231.00085568</v>
      </c>
      <c r="BT31" s="875">
        <v>226.23581296</v>
      </c>
      <c r="BU31" s="875">
        <v>246.79092436000002</v>
      </c>
      <c r="BV31" s="875">
        <v>247.54524157</v>
      </c>
      <c r="BW31" s="875">
        <v>282.09798499999999</v>
      </c>
      <c r="BX31" s="875">
        <v>287.63064542000001</v>
      </c>
      <c r="BY31" s="875">
        <v>280.23037970999997</v>
      </c>
      <c r="BZ31" s="875">
        <v>283.48916928</v>
      </c>
      <c r="CA31" s="875">
        <v>288.79627152999996</v>
      </c>
      <c r="CB31" s="875">
        <v>403.95594847000001</v>
      </c>
      <c r="CC31" s="875">
        <v>395.14907450999999</v>
      </c>
      <c r="CD31" s="875">
        <v>398.71147754000003</v>
      </c>
      <c r="CE31" s="875">
        <f t="shared" ref="CE31:CP31" si="11">+CE29-CE30</f>
        <v>396.26342375000002</v>
      </c>
      <c r="CF31" s="875">
        <f t="shared" si="11"/>
        <v>406.69738057999996</v>
      </c>
      <c r="CG31" s="875">
        <f t="shared" si="11"/>
        <v>412.98204800000002</v>
      </c>
      <c r="CH31" s="875">
        <f t="shared" si="11"/>
        <v>434.53383287000003</v>
      </c>
      <c r="CI31" s="875">
        <f t="shared" si="11"/>
        <v>426.20220402999996</v>
      </c>
      <c r="CJ31" s="875">
        <f t="shared" si="11"/>
        <v>439.72854817000001</v>
      </c>
      <c r="CK31" s="875">
        <f t="shared" si="11"/>
        <v>442.15217029000002</v>
      </c>
      <c r="CL31" s="875">
        <f t="shared" si="11"/>
        <v>444.43636780000003</v>
      </c>
      <c r="CM31" s="875">
        <f t="shared" si="11"/>
        <v>447.24871866000001</v>
      </c>
      <c r="CN31" s="875">
        <f t="shared" si="11"/>
        <v>448.13135655000002</v>
      </c>
      <c r="CO31" s="875">
        <f t="shared" si="11"/>
        <v>454.37447452999999</v>
      </c>
      <c r="CP31" s="875">
        <f t="shared" si="11"/>
        <v>484.98347201999997</v>
      </c>
      <c r="CQ31" s="875">
        <f>+CQ29-CQ30</f>
        <v>507.59021742000004</v>
      </c>
      <c r="CR31" s="875">
        <f>+CR29-CR30</f>
        <v>510.06018836999999</v>
      </c>
      <c r="CS31" s="875">
        <v>514.47427299000003</v>
      </c>
      <c r="CT31" s="875">
        <v>530.00665670000001</v>
      </c>
      <c r="CU31" s="875">
        <v>479.74804649999999</v>
      </c>
      <c r="CV31" s="875">
        <v>485.96048860000002</v>
      </c>
      <c r="CW31" s="875">
        <v>487.13913839999998</v>
      </c>
      <c r="CX31" s="875">
        <v>492.66893570000002</v>
      </c>
      <c r="CY31" s="875">
        <v>495.60615826999998</v>
      </c>
      <c r="CZ31" s="875">
        <v>498.00472816000001</v>
      </c>
      <c r="DA31" s="875">
        <v>506.00372127000003</v>
      </c>
      <c r="DB31" s="875">
        <v>514.95304706000002</v>
      </c>
      <c r="DC31" s="875">
        <v>534.15787325999997</v>
      </c>
      <c r="DD31" s="946">
        <v>548.41729358999999</v>
      </c>
      <c r="DE31" s="946">
        <v>553.09607791999997</v>
      </c>
      <c r="DF31" s="946">
        <v>553.89671314999998</v>
      </c>
      <c r="DG31" s="898">
        <v>555.97391608999999</v>
      </c>
      <c r="DH31" s="898">
        <v>560.06303648000005</v>
      </c>
      <c r="DI31" s="898">
        <v>559.92828099999997</v>
      </c>
      <c r="DJ31" s="898">
        <v>557.56717494999998</v>
      </c>
      <c r="DK31" s="898">
        <v>549.98369017000005</v>
      </c>
      <c r="DL31" s="898">
        <v>550.62811223999995</v>
      </c>
      <c r="DM31" s="898">
        <v>550.42616638000004</v>
      </c>
      <c r="DN31" s="898">
        <v>541.23253828999998</v>
      </c>
      <c r="DO31" s="898">
        <v>535.80197133000001</v>
      </c>
      <c r="DP31" s="898">
        <v>551.86684521999996</v>
      </c>
      <c r="DQ31" s="898">
        <v>551.05404322000004</v>
      </c>
      <c r="DR31" s="898">
        <v>542.08210161</v>
      </c>
      <c r="DS31" s="898">
        <v>542.57410812000001</v>
      </c>
      <c r="DT31" s="898">
        <v>553.50740560999998</v>
      </c>
      <c r="DU31" s="898">
        <v>555.66841008999995</v>
      </c>
      <c r="DV31" s="898">
        <v>529.19672362999995</v>
      </c>
      <c r="DW31" s="898">
        <v>556.15023091</v>
      </c>
      <c r="DX31" s="898">
        <v>614.92520213</v>
      </c>
      <c r="DY31" s="898">
        <v>616.41306966000002</v>
      </c>
      <c r="DZ31" s="898">
        <v>617.42992272000004</v>
      </c>
      <c r="EA31" s="898">
        <v>654.66233720000002</v>
      </c>
      <c r="EB31" s="898">
        <v>664.09314832999996</v>
      </c>
      <c r="EC31" s="898">
        <v>694.85620138000002</v>
      </c>
      <c r="ED31" s="898">
        <v>729.52394687000003</v>
      </c>
      <c r="EE31" s="898">
        <v>707.22999545000005</v>
      </c>
      <c r="EF31" s="898">
        <v>709.48737212000003</v>
      </c>
      <c r="EG31" s="898">
        <v>686.32110240999998</v>
      </c>
      <c r="EH31" s="898">
        <v>728.49190533000001</v>
      </c>
      <c r="EI31" s="898">
        <v>734.08858736000002</v>
      </c>
      <c r="EJ31" s="898">
        <v>730.68956777999995</v>
      </c>
      <c r="EK31" s="898">
        <v>732.44791700999997</v>
      </c>
      <c r="EL31" s="898">
        <v>740.52522131000001</v>
      </c>
      <c r="EM31" s="898">
        <v>785.36067459000003</v>
      </c>
      <c r="EN31" s="898">
        <v>783.40595309000003</v>
      </c>
      <c r="EO31" s="898">
        <v>790.74725980999995</v>
      </c>
      <c r="EP31" s="898">
        <v>832.07770149999999</v>
      </c>
      <c r="EQ31" s="898">
        <v>832.45068008999999</v>
      </c>
      <c r="ER31" s="898">
        <v>839.68229572999996</v>
      </c>
      <c r="ES31" s="898">
        <v>848.48485925</v>
      </c>
      <c r="ET31" s="898">
        <v>847.57963888999996</v>
      </c>
      <c r="EU31" s="1924" t="s">
        <v>4085</v>
      </c>
      <c r="EZ31" s="342"/>
    </row>
    <row r="32" spans="1:156" ht="21">
      <c r="A32" s="1954"/>
      <c r="B32" s="842"/>
      <c r="C32" s="842"/>
      <c r="D32" s="842"/>
      <c r="E32" s="842"/>
      <c r="F32" s="842"/>
      <c r="G32" s="842"/>
      <c r="H32" s="842"/>
      <c r="I32" s="842"/>
      <c r="J32" s="842"/>
      <c r="K32" s="842"/>
      <c r="L32" s="842"/>
      <c r="M32" s="843"/>
      <c r="N32" s="843"/>
      <c r="O32" s="843"/>
      <c r="P32" s="843"/>
      <c r="Q32" s="843"/>
      <c r="R32" s="843"/>
      <c r="S32" s="843"/>
      <c r="T32" s="843"/>
      <c r="U32" s="843"/>
      <c r="V32" s="843"/>
      <c r="W32" s="843"/>
      <c r="X32" s="843"/>
      <c r="Y32" s="843"/>
      <c r="Z32" s="843"/>
      <c r="AA32" s="843"/>
      <c r="AB32" s="843"/>
      <c r="AC32" s="843"/>
      <c r="AD32" s="843"/>
      <c r="AE32" s="843"/>
      <c r="AF32" s="843"/>
      <c r="AG32" s="843"/>
      <c r="AH32" s="843"/>
      <c r="AI32" s="843"/>
      <c r="AJ32" s="843"/>
      <c r="AK32" s="843"/>
      <c r="AL32" s="843"/>
      <c r="AM32" s="843"/>
      <c r="AN32" s="843"/>
      <c r="AO32" s="843"/>
      <c r="AP32" s="843"/>
      <c r="AQ32" s="843"/>
      <c r="AR32" s="843"/>
      <c r="AS32" s="843"/>
      <c r="AT32" s="843"/>
      <c r="AU32" s="843"/>
      <c r="AV32" s="843"/>
      <c r="AW32" s="843"/>
      <c r="AX32" s="843"/>
      <c r="AY32" s="843"/>
      <c r="AZ32" s="843"/>
      <c r="BA32" s="843"/>
      <c r="BB32" s="843"/>
      <c r="BC32" s="843"/>
      <c r="BD32" s="843"/>
      <c r="BE32" s="843"/>
      <c r="BF32" s="843"/>
      <c r="BG32" s="843"/>
      <c r="BH32" s="886"/>
      <c r="BI32" s="875"/>
      <c r="BJ32" s="875"/>
      <c r="BK32" s="875"/>
      <c r="BL32" s="875"/>
      <c r="BM32" s="875"/>
      <c r="BN32" s="875"/>
      <c r="BO32" s="875"/>
      <c r="BP32" s="875"/>
      <c r="BQ32" s="875"/>
      <c r="BR32" s="875"/>
      <c r="BS32" s="875"/>
      <c r="BT32" s="875"/>
      <c r="BU32" s="875"/>
      <c r="BV32" s="875"/>
      <c r="BW32" s="875"/>
      <c r="BX32" s="875"/>
      <c r="BY32" s="875"/>
      <c r="BZ32" s="875"/>
      <c r="CA32" s="875"/>
      <c r="CB32" s="875"/>
      <c r="CC32" s="875"/>
      <c r="CD32" s="875"/>
      <c r="CE32" s="875"/>
      <c r="CF32" s="875"/>
      <c r="CG32" s="875"/>
      <c r="CH32" s="875"/>
      <c r="CI32" s="875"/>
      <c r="CJ32" s="875"/>
      <c r="CK32" s="875"/>
      <c r="CL32" s="875"/>
      <c r="CM32" s="875"/>
      <c r="CN32" s="875"/>
      <c r="CO32" s="875"/>
      <c r="CP32" s="875"/>
      <c r="CQ32" s="875"/>
      <c r="CR32" s="875"/>
      <c r="CS32" s="875"/>
      <c r="CT32" s="875"/>
      <c r="CU32" s="875"/>
      <c r="CV32" s="875"/>
      <c r="CW32" s="875"/>
      <c r="CX32" s="875"/>
      <c r="CY32" s="875"/>
      <c r="CZ32" s="875"/>
      <c r="DA32" s="875"/>
      <c r="DB32" s="875"/>
      <c r="DC32" s="875"/>
      <c r="DD32" s="946"/>
      <c r="DE32" s="946"/>
      <c r="DF32" s="946"/>
      <c r="DG32" s="898"/>
      <c r="DH32" s="898"/>
      <c r="DI32" s="898"/>
      <c r="DJ32" s="898"/>
      <c r="DK32" s="898"/>
      <c r="DL32" s="898"/>
      <c r="DM32" s="898"/>
      <c r="DN32" s="898"/>
      <c r="DO32" s="898"/>
      <c r="DP32" s="898"/>
      <c r="DQ32" s="898"/>
      <c r="DR32" s="898"/>
      <c r="DS32" s="898"/>
      <c r="DT32" s="898"/>
      <c r="DU32" s="898"/>
      <c r="DV32" s="898"/>
      <c r="DW32" s="898"/>
      <c r="DX32" s="898"/>
      <c r="DY32" s="898"/>
      <c r="DZ32" s="898"/>
      <c r="EA32" s="898"/>
      <c r="EB32" s="898"/>
      <c r="EC32" s="898"/>
      <c r="ED32" s="898"/>
      <c r="EE32" s="898"/>
      <c r="EF32" s="898"/>
      <c r="EG32" s="898"/>
      <c r="EH32" s="898"/>
      <c r="EI32" s="898"/>
      <c r="EJ32" s="898"/>
      <c r="EK32" s="898"/>
      <c r="EL32" s="898"/>
      <c r="EM32" s="898"/>
      <c r="EN32" s="898"/>
      <c r="EO32" s="898"/>
      <c r="EP32" s="898"/>
      <c r="EQ32" s="898"/>
      <c r="ER32" s="898"/>
      <c r="ES32" s="898"/>
      <c r="ET32" s="898"/>
      <c r="EU32" s="1923"/>
      <c r="EZ32" s="342"/>
    </row>
    <row r="33" spans="1:156" ht="21">
      <c r="A33" s="1952" t="s">
        <v>2757</v>
      </c>
      <c r="B33" s="839">
        <v>189.16265887</v>
      </c>
      <c r="C33" s="839">
        <v>264.58516986000001</v>
      </c>
      <c r="D33" s="839">
        <v>270.11659458000003</v>
      </c>
      <c r="E33" s="839">
        <v>330.47487580000001</v>
      </c>
      <c r="F33" s="839">
        <v>332.52147657</v>
      </c>
      <c r="G33" s="839">
        <v>339.61892675999997</v>
      </c>
      <c r="H33" s="839">
        <v>348.86066410000001</v>
      </c>
      <c r="I33" s="839">
        <v>355.19746150999998</v>
      </c>
      <c r="J33" s="839">
        <v>384.99698251999996</v>
      </c>
      <c r="K33" s="839">
        <v>358.52888193000001</v>
      </c>
      <c r="L33" s="839">
        <v>358.23459386999997</v>
      </c>
      <c r="M33" s="840">
        <v>363.76875579</v>
      </c>
      <c r="N33" s="840">
        <v>364.51779914999997</v>
      </c>
      <c r="O33" s="840">
        <v>336.91971663999993</v>
      </c>
      <c r="P33" s="840">
        <v>338.48433724</v>
      </c>
      <c r="Q33" s="840">
        <v>364.22590051999998</v>
      </c>
      <c r="R33" s="840">
        <v>361.62732665999999</v>
      </c>
      <c r="S33" s="840">
        <v>367.96804090000001</v>
      </c>
      <c r="T33" s="840">
        <v>368.54467764000003</v>
      </c>
      <c r="U33" s="840">
        <v>370.11090379000001</v>
      </c>
      <c r="V33" s="840">
        <v>368.64914609000004</v>
      </c>
      <c r="W33" s="840">
        <v>363.51294660000002</v>
      </c>
      <c r="X33" s="840">
        <v>366.21228193000002</v>
      </c>
      <c r="Y33" s="840">
        <v>338.93656011000002</v>
      </c>
      <c r="Z33" s="840">
        <v>331.19162470999999</v>
      </c>
      <c r="AA33" s="840">
        <v>820.39008152999997</v>
      </c>
      <c r="AB33" s="840">
        <v>821.99976609000009</v>
      </c>
      <c r="AC33" s="840">
        <v>817.77087305000009</v>
      </c>
      <c r="AD33" s="840">
        <v>839.00499037000009</v>
      </c>
      <c r="AE33" s="840">
        <v>845.26031588000001</v>
      </c>
      <c r="AF33" s="840">
        <v>848.77047535000008</v>
      </c>
      <c r="AG33" s="840">
        <v>846.85092316999999</v>
      </c>
      <c r="AH33" s="840">
        <v>783.33371264999994</v>
      </c>
      <c r="AI33" s="840">
        <v>340.74377113999998</v>
      </c>
      <c r="AJ33" s="840">
        <v>342.45460947000004</v>
      </c>
      <c r="AK33" s="840">
        <v>468.43420785999996</v>
      </c>
      <c r="AL33" s="840">
        <v>470.43841785000001</v>
      </c>
      <c r="AM33" s="840">
        <v>387.43488527</v>
      </c>
      <c r="AN33" s="840">
        <v>320.63901678999997</v>
      </c>
      <c r="AO33" s="840">
        <v>165.08994623999999</v>
      </c>
      <c r="AP33" s="840">
        <v>166.67534214</v>
      </c>
      <c r="AQ33" s="840">
        <v>172.16741625999998</v>
      </c>
      <c r="AR33" s="840">
        <v>171.92463502999999</v>
      </c>
      <c r="AS33" s="840">
        <v>176.00218909</v>
      </c>
      <c r="AT33" s="840">
        <f>AT25-AT29</f>
        <v>173.15602332999993</v>
      </c>
      <c r="AU33" s="840">
        <v>170.62334290999991</v>
      </c>
      <c r="AV33" s="840">
        <v>184.01699599999984</v>
      </c>
      <c r="AW33" s="840">
        <v>186.26578914000004</v>
      </c>
      <c r="AX33" s="840">
        <v>199.93251706000012</v>
      </c>
      <c r="AY33" s="840">
        <v>181.77408054</v>
      </c>
      <c r="AZ33" s="840">
        <v>178.31845905000003</v>
      </c>
      <c r="BA33" s="840">
        <v>174.49567425000001</v>
      </c>
      <c r="BB33" s="840">
        <v>171.92131727999998</v>
      </c>
      <c r="BC33" s="840">
        <v>141.77492461</v>
      </c>
      <c r="BD33" s="840">
        <v>137.78084805000003</v>
      </c>
      <c r="BE33" s="840">
        <v>137.68167223</v>
      </c>
      <c r="BF33" s="840">
        <v>127.45383967999993</v>
      </c>
      <c r="BG33" s="840">
        <v>129.32559921999999</v>
      </c>
      <c r="BH33" s="885">
        <v>128.85654021999997</v>
      </c>
      <c r="BI33" s="874">
        <v>152.58079733</v>
      </c>
      <c r="BJ33" s="874">
        <v>144.30168319999999</v>
      </c>
      <c r="BK33" s="874">
        <v>146.67711595999998</v>
      </c>
      <c r="BL33" s="874">
        <v>147.9802392500001</v>
      </c>
      <c r="BM33" s="874">
        <v>167.21320575000004</v>
      </c>
      <c r="BN33" s="874">
        <v>178.10056361999997</v>
      </c>
      <c r="BO33" s="874">
        <v>174.70845309999996</v>
      </c>
      <c r="BP33" s="874">
        <v>171.19561987999992</v>
      </c>
      <c r="BQ33" s="874">
        <v>180.22020989999996</v>
      </c>
      <c r="BR33" s="874">
        <v>173.91522661000008</v>
      </c>
      <c r="BS33" s="874">
        <v>173.72705371000001</v>
      </c>
      <c r="BT33" s="874">
        <v>175.53104324</v>
      </c>
      <c r="BU33" s="874">
        <v>183.35564217999999</v>
      </c>
      <c r="BV33" s="874">
        <v>177.65821074000002</v>
      </c>
      <c r="BW33" s="874">
        <v>182.09720166</v>
      </c>
      <c r="BX33" s="874">
        <v>188.68894656999998</v>
      </c>
      <c r="BY33" s="874">
        <v>199.51169608000004</v>
      </c>
      <c r="BZ33" s="874">
        <v>203.74170224</v>
      </c>
      <c r="CA33" s="874">
        <v>201.49167731000006</v>
      </c>
      <c r="CB33" s="874">
        <v>201.38292764999994</v>
      </c>
      <c r="CC33" s="874">
        <v>204.57468394</v>
      </c>
      <c r="CD33" s="874">
        <v>232.95919764999999</v>
      </c>
      <c r="CE33" s="874">
        <v>269.89301005999999</v>
      </c>
      <c r="CF33" s="874">
        <v>287.22587651999999</v>
      </c>
      <c r="CG33" s="874">
        <v>257.98841066</v>
      </c>
      <c r="CH33" s="874">
        <v>527.11022050999998</v>
      </c>
      <c r="CI33" s="874">
        <v>537.26627729999996</v>
      </c>
      <c r="CJ33" s="874">
        <v>523.45096321000005</v>
      </c>
      <c r="CK33" s="874">
        <v>515.95407388000001</v>
      </c>
      <c r="CL33" s="874">
        <v>530.57651256000008</v>
      </c>
      <c r="CM33" s="874">
        <v>524.65857748999997</v>
      </c>
      <c r="CN33" s="874">
        <v>529.76875934999998</v>
      </c>
      <c r="CO33" s="874">
        <v>543.16100767</v>
      </c>
      <c r="CP33" s="874">
        <v>529.03776023</v>
      </c>
      <c r="CQ33" s="874">
        <v>532.70924277000006</v>
      </c>
      <c r="CR33" s="874">
        <v>540.42999696999993</v>
      </c>
      <c r="CS33" s="874">
        <v>527.80111093000005</v>
      </c>
      <c r="CT33" s="874">
        <v>252.87162479</v>
      </c>
      <c r="CU33" s="874">
        <v>238.83318471000001</v>
      </c>
      <c r="CV33" s="874">
        <v>234.41504305999999</v>
      </c>
      <c r="CW33" s="874">
        <v>231.86575074999999</v>
      </c>
      <c r="CX33" s="874">
        <v>232.27293044999999</v>
      </c>
      <c r="CY33" s="874">
        <v>227.59968307</v>
      </c>
      <c r="CZ33" s="874">
        <v>225.31730594999999</v>
      </c>
      <c r="DA33" s="874">
        <v>187.20968544999999</v>
      </c>
      <c r="DB33" s="874">
        <v>189.43172276000001</v>
      </c>
      <c r="DC33" s="874">
        <v>212.96090018000001</v>
      </c>
      <c r="DD33" s="945">
        <v>211.63832995999999</v>
      </c>
      <c r="DE33" s="945">
        <v>211.88102531000001</v>
      </c>
      <c r="DF33" s="945">
        <v>210.0247071</v>
      </c>
      <c r="DG33" s="897">
        <v>207.98553593</v>
      </c>
      <c r="DH33" s="897">
        <v>214.31225280000001</v>
      </c>
      <c r="DI33" s="897">
        <v>212.60857432</v>
      </c>
      <c r="DJ33" s="897">
        <v>215.39558339000001</v>
      </c>
      <c r="DK33" s="897">
        <v>210.92252091</v>
      </c>
      <c r="DL33" s="897">
        <v>206.69351763</v>
      </c>
      <c r="DM33" s="897">
        <v>205.16452623999999</v>
      </c>
      <c r="DN33" s="897">
        <v>203.60305925</v>
      </c>
      <c r="DO33" s="897">
        <v>204.64145934999999</v>
      </c>
      <c r="DP33" s="897">
        <v>202.75888086</v>
      </c>
      <c r="DQ33" s="897">
        <v>202.30740968999999</v>
      </c>
      <c r="DR33" s="897">
        <v>202.66218752</v>
      </c>
      <c r="DS33" s="897">
        <v>196.05077469</v>
      </c>
      <c r="DT33" s="897">
        <v>195.16710588000001</v>
      </c>
      <c r="DU33" s="897">
        <v>184.28403159000001</v>
      </c>
      <c r="DV33" s="897">
        <v>179.63556582000001</v>
      </c>
      <c r="DW33" s="897">
        <v>208.18651696000001</v>
      </c>
      <c r="DX33" s="897">
        <v>212.40827175000001</v>
      </c>
      <c r="DY33" s="897">
        <v>208.06930599</v>
      </c>
      <c r="DZ33" s="897">
        <v>201.00597325999999</v>
      </c>
      <c r="EA33" s="897">
        <v>209.58608794</v>
      </c>
      <c r="EB33" s="897">
        <v>201.32968385000001</v>
      </c>
      <c r="EC33" s="897">
        <v>207.52847020999999</v>
      </c>
      <c r="ED33" s="897">
        <v>414.63608288</v>
      </c>
      <c r="EE33" s="897">
        <v>413.75370177999997</v>
      </c>
      <c r="EF33" s="897">
        <v>404.93380735</v>
      </c>
      <c r="EG33" s="897">
        <v>409.46978877999999</v>
      </c>
      <c r="EH33" s="897">
        <v>403.54293987</v>
      </c>
      <c r="EI33" s="897">
        <v>399.03618641000003</v>
      </c>
      <c r="EJ33" s="897">
        <v>386.07288340999997</v>
      </c>
      <c r="EK33" s="897">
        <v>403.44692502999999</v>
      </c>
      <c r="EL33" s="897">
        <v>402.74333827999999</v>
      </c>
      <c r="EM33" s="897">
        <v>409.19555702000002</v>
      </c>
      <c r="EN33" s="897">
        <v>401.13079362000002</v>
      </c>
      <c r="EO33" s="897">
        <v>397.99885483999998</v>
      </c>
      <c r="EP33" s="897">
        <v>394.87793211000002</v>
      </c>
      <c r="EQ33" s="897">
        <v>385.92273173000001</v>
      </c>
      <c r="ER33" s="897">
        <v>386.17945902999998</v>
      </c>
      <c r="ES33" s="897">
        <v>388.54914882999998</v>
      </c>
      <c r="ET33" s="897">
        <v>378.07728791</v>
      </c>
      <c r="EU33" s="1922" t="s">
        <v>4087</v>
      </c>
      <c r="EZ33" s="342"/>
    </row>
    <row r="34" spans="1:156" ht="21">
      <c r="A34" s="1953" t="s">
        <v>1974</v>
      </c>
      <c r="B34" s="842">
        <v>0.94858149000000003</v>
      </c>
      <c r="C34" s="842">
        <v>0.94906521999999993</v>
      </c>
      <c r="D34" s="842">
        <v>0.94906521999999993</v>
      </c>
      <c r="E34" s="842">
        <v>0.94882334999999995</v>
      </c>
      <c r="F34" s="842">
        <v>0.94882334999999995</v>
      </c>
      <c r="G34" s="842">
        <v>0.77511750999999995</v>
      </c>
      <c r="H34" s="842">
        <v>0.76598906000000011</v>
      </c>
      <c r="I34" s="842">
        <v>0.76589141999999999</v>
      </c>
      <c r="J34" s="842">
        <v>0.76598906000000011</v>
      </c>
      <c r="K34" s="842">
        <v>0.76598906000000011</v>
      </c>
      <c r="L34" s="842">
        <v>0.76589141999999999</v>
      </c>
      <c r="M34" s="843">
        <v>0.59380637999999997</v>
      </c>
      <c r="N34" s="843">
        <v>0.81582158999999999</v>
      </c>
      <c r="O34" s="843">
        <v>0.59373068999999989</v>
      </c>
      <c r="P34" s="843">
        <v>0.59365500000000004</v>
      </c>
      <c r="Q34" s="843">
        <v>0.59365500000000004</v>
      </c>
      <c r="R34" s="843">
        <v>0.59373068999999989</v>
      </c>
      <c r="S34" s="843">
        <v>0.40432213</v>
      </c>
      <c r="T34" s="843">
        <v>0.40427057999999999</v>
      </c>
      <c r="U34" s="843">
        <v>0.40437368000000001</v>
      </c>
      <c r="V34" s="843">
        <v>0.40437368000000001</v>
      </c>
      <c r="W34" s="843">
        <v>0.47293652000000003</v>
      </c>
      <c r="X34" s="843">
        <v>0.40437368000000001</v>
      </c>
      <c r="Y34" s="843">
        <v>0.20658848999999999</v>
      </c>
      <c r="Z34" s="843">
        <v>0.58846343000000001</v>
      </c>
      <c r="AA34" s="843">
        <v>0</v>
      </c>
      <c r="AB34" s="843">
        <v>0.30354075000000003</v>
      </c>
      <c r="AC34" s="843">
        <v>0.12055855</v>
      </c>
      <c r="AD34" s="843">
        <v>0.26653117999999998</v>
      </c>
      <c r="AE34" s="843">
        <v>0.35170778999999996</v>
      </c>
      <c r="AF34" s="843">
        <v>0.25365549999999998</v>
      </c>
      <c r="AG34" s="843">
        <v>6.4681809999999992E-2</v>
      </c>
      <c r="AH34" s="843">
        <v>11.2754891</v>
      </c>
      <c r="AI34" s="843">
        <v>0.83385981999999992</v>
      </c>
      <c r="AJ34" s="843">
        <v>1.16361743</v>
      </c>
      <c r="AK34" s="843">
        <v>1.5546932900000001</v>
      </c>
      <c r="AL34" s="843">
        <v>1.59596834</v>
      </c>
      <c r="AM34" s="843">
        <v>1.5607748799999999</v>
      </c>
      <c r="AN34" s="843">
        <v>1.53744551</v>
      </c>
      <c r="AO34" s="843">
        <v>1.50396211</v>
      </c>
      <c r="AP34" s="843">
        <v>1.48901507</v>
      </c>
      <c r="AQ34" s="843">
        <v>1.5377631899999999</v>
      </c>
      <c r="AR34" s="843">
        <v>1.5834145900000001</v>
      </c>
      <c r="AS34" s="843">
        <v>1.6303646200000002</v>
      </c>
      <c r="AT34" s="843">
        <f>AT26-AT30</f>
        <v>1.6193763199999993</v>
      </c>
      <c r="AU34" s="843">
        <v>0</v>
      </c>
      <c r="AV34" s="843">
        <v>0</v>
      </c>
      <c r="AW34" s="843">
        <v>0</v>
      </c>
      <c r="AX34" s="843">
        <v>0</v>
      </c>
      <c r="AY34" s="843">
        <v>0</v>
      </c>
      <c r="AZ34" s="843">
        <v>0</v>
      </c>
      <c r="BA34" s="843">
        <v>0</v>
      </c>
      <c r="BB34" s="843">
        <v>0</v>
      </c>
      <c r="BC34" s="843">
        <v>0</v>
      </c>
      <c r="BD34" s="843">
        <v>0</v>
      </c>
      <c r="BE34" s="843">
        <v>0.85050000000000003</v>
      </c>
      <c r="BF34" s="843">
        <v>0.85009999999999897</v>
      </c>
      <c r="BG34" s="843">
        <v>0.85010000000000119</v>
      </c>
      <c r="BH34" s="886">
        <v>0.85004999999999864</v>
      </c>
      <c r="BI34" s="875">
        <v>0.85004999999999997</v>
      </c>
      <c r="BJ34" s="875">
        <v>0.85005000000000153</v>
      </c>
      <c r="BK34" s="875">
        <v>0.85005000000000042</v>
      </c>
      <c r="BL34" s="875">
        <v>0.84999999999999987</v>
      </c>
      <c r="BM34" s="875">
        <v>0.8499999999999992</v>
      </c>
      <c r="BN34" s="875">
        <v>0.71531183999999826</v>
      </c>
      <c r="BO34" s="875">
        <v>0</v>
      </c>
      <c r="BP34" s="875">
        <v>0</v>
      </c>
      <c r="BQ34" s="875">
        <v>0</v>
      </c>
      <c r="BR34" s="875">
        <v>0</v>
      </c>
      <c r="BS34" s="875">
        <v>0</v>
      </c>
      <c r="BT34" s="875">
        <v>0</v>
      </c>
      <c r="BU34" s="875">
        <v>0</v>
      </c>
      <c r="BV34" s="875">
        <v>0</v>
      </c>
      <c r="BW34" s="875">
        <v>0</v>
      </c>
      <c r="BX34" s="875">
        <v>0</v>
      </c>
      <c r="BY34" s="875">
        <v>0</v>
      </c>
      <c r="BZ34" s="875">
        <v>0</v>
      </c>
      <c r="CA34" s="875">
        <v>0</v>
      </c>
      <c r="CB34" s="875">
        <v>0</v>
      </c>
      <c r="CC34" s="875">
        <v>0</v>
      </c>
      <c r="CD34" s="875">
        <v>0</v>
      </c>
      <c r="CE34" s="875">
        <v>0</v>
      </c>
      <c r="CF34" s="875">
        <v>0</v>
      </c>
      <c r="CG34" s="875">
        <v>0</v>
      </c>
      <c r="CH34" s="875">
        <v>255</v>
      </c>
      <c r="CI34" s="875">
        <v>255</v>
      </c>
      <c r="CJ34" s="875">
        <v>255.37655000000001</v>
      </c>
      <c r="CK34" s="875">
        <v>255.47855000000001</v>
      </c>
      <c r="CL34" s="875">
        <v>256.41106896000002</v>
      </c>
      <c r="CM34" s="875">
        <v>256.39422857</v>
      </c>
      <c r="CN34" s="875">
        <v>256.31097746</v>
      </c>
      <c r="CO34" s="875">
        <v>256.29384216</v>
      </c>
      <c r="CP34" s="875">
        <v>255.93699687999998</v>
      </c>
      <c r="CQ34" s="875">
        <v>255.88304411000001</v>
      </c>
      <c r="CR34" s="875">
        <v>255.92328991999997</v>
      </c>
      <c r="CS34" s="875">
        <v>264.38389953000001</v>
      </c>
      <c r="CT34" s="875">
        <v>0.84347002999999998</v>
      </c>
      <c r="CU34" s="875">
        <v>5.4445277599999997</v>
      </c>
      <c r="CV34" s="875">
        <v>5.3029883900000003</v>
      </c>
      <c r="CW34" s="875">
        <v>5.0799223900000001</v>
      </c>
      <c r="CX34" s="875">
        <v>4.9223062100000003</v>
      </c>
      <c r="CY34" s="875">
        <v>4.7650748900000002</v>
      </c>
      <c r="CZ34" s="875">
        <v>4.6058237799999997</v>
      </c>
      <c r="DA34" s="875">
        <v>4.4468632299999999</v>
      </c>
      <c r="DB34" s="875">
        <v>4.2878288600000003</v>
      </c>
      <c r="DC34" s="875">
        <v>4.0532518800000004</v>
      </c>
      <c r="DD34" s="946">
        <v>3.8676361699999999</v>
      </c>
      <c r="DE34" s="946">
        <v>3.72930736</v>
      </c>
      <c r="DF34" s="946">
        <v>3.58999997</v>
      </c>
      <c r="DG34" s="898">
        <v>3.4512530799999999</v>
      </c>
      <c r="DH34" s="898">
        <v>3.3115616499999998</v>
      </c>
      <c r="DI34" s="898">
        <v>3.17096906</v>
      </c>
      <c r="DJ34" s="898">
        <v>3.0305763300000002</v>
      </c>
      <c r="DK34" s="898">
        <v>2.89008522</v>
      </c>
      <c r="DL34" s="898">
        <v>2.7489903400000002</v>
      </c>
      <c r="DM34" s="898">
        <v>2.7489903400000002</v>
      </c>
      <c r="DN34" s="898">
        <v>0</v>
      </c>
      <c r="DO34" s="898">
        <v>0</v>
      </c>
      <c r="DP34" s="898">
        <v>0</v>
      </c>
      <c r="DQ34" s="898">
        <v>0</v>
      </c>
      <c r="DR34" s="898">
        <v>0</v>
      </c>
      <c r="DS34" s="898">
        <v>0</v>
      </c>
      <c r="DT34" s="898">
        <v>0</v>
      </c>
      <c r="DU34" s="898">
        <v>0</v>
      </c>
      <c r="DV34" s="898">
        <v>0</v>
      </c>
      <c r="DW34" s="898">
        <v>0</v>
      </c>
      <c r="DX34" s="898">
        <v>0</v>
      </c>
      <c r="DY34" s="898">
        <v>0</v>
      </c>
      <c r="DZ34" s="898">
        <v>0</v>
      </c>
      <c r="EA34" s="898">
        <v>0</v>
      </c>
      <c r="EB34" s="898">
        <v>0</v>
      </c>
      <c r="EC34" s="898">
        <v>0</v>
      </c>
      <c r="ED34" s="898">
        <v>212.5</v>
      </c>
      <c r="EE34" s="898">
        <v>212.5</v>
      </c>
      <c r="EF34" s="898">
        <v>212.5</v>
      </c>
      <c r="EG34" s="898">
        <v>212.5</v>
      </c>
      <c r="EH34" s="898">
        <v>212.5</v>
      </c>
      <c r="EI34" s="898">
        <v>212.5</v>
      </c>
      <c r="EJ34" s="898">
        <v>212.5</v>
      </c>
      <c r="EK34" s="898">
        <v>212.5</v>
      </c>
      <c r="EL34" s="898">
        <v>212.5</v>
      </c>
      <c r="EM34" s="898">
        <v>212.5</v>
      </c>
      <c r="EN34" s="898">
        <v>219.3</v>
      </c>
      <c r="EO34" s="898">
        <v>218.63603666</v>
      </c>
      <c r="EP34" s="898">
        <v>218.63603666</v>
      </c>
      <c r="EQ34" s="898">
        <v>218.63603666</v>
      </c>
      <c r="ER34" s="898">
        <v>218.63603666</v>
      </c>
      <c r="ES34" s="898">
        <v>205.35478666</v>
      </c>
      <c r="ET34" s="898">
        <v>205.35478666</v>
      </c>
      <c r="EU34" s="1924" t="s">
        <v>4086</v>
      </c>
      <c r="EZ34" s="342"/>
    </row>
    <row r="35" spans="1:156" ht="21">
      <c r="A35" s="1955" t="s">
        <v>1975</v>
      </c>
      <c r="B35" s="867">
        <f>+B33-B34</f>
        <v>188.21407737999999</v>
      </c>
      <c r="C35" s="867">
        <f t="shared" ref="C35:V35" si="12">+C33-C34</f>
        <v>263.63610463999999</v>
      </c>
      <c r="D35" s="867">
        <f t="shared" si="12"/>
        <v>269.16752936</v>
      </c>
      <c r="E35" s="867">
        <f t="shared" si="12"/>
        <v>329.52605245000001</v>
      </c>
      <c r="F35" s="867">
        <f t="shared" si="12"/>
        <v>331.57265322000001</v>
      </c>
      <c r="G35" s="867">
        <f t="shared" si="12"/>
        <v>338.84380924999999</v>
      </c>
      <c r="H35" s="867">
        <f t="shared" si="12"/>
        <v>348.09467504000003</v>
      </c>
      <c r="I35" s="867">
        <f t="shared" si="12"/>
        <v>354.43157008999998</v>
      </c>
      <c r="J35" s="867">
        <f t="shared" si="12"/>
        <v>384.23099345999998</v>
      </c>
      <c r="K35" s="867">
        <f t="shared" si="12"/>
        <v>357.76289287000003</v>
      </c>
      <c r="L35" s="867">
        <f t="shared" si="12"/>
        <v>357.46870244999997</v>
      </c>
      <c r="M35" s="846">
        <f t="shared" si="12"/>
        <v>363.17494941000001</v>
      </c>
      <c r="N35" s="853">
        <f t="shared" si="12"/>
        <v>363.70197755999999</v>
      </c>
      <c r="O35" s="853">
        <f t="shared" si="12"/>
        <v>336.32598594999996</v>
      </c>
      <c r="P35" s="853">
        <f t="shared" si="12"/>
        <v>337.89068223999999</v>
      </c>
      <c r="Q35" s="853">
        <f t="shared" si="12"/>
        <v>363.63224551999997</v>
      </c>
      <c r="R35" s="853">
        <f t="shared" si="12"/>
        <v>361.03359597000002</v>
      </c>
      <c r="S35" s="853">
        <f t="shared" si="12"/>
        <v>367.56371876999998</v>
      </c>
      <c r="T35" s="853">
        <f t="shared" si="12"/>
        <v>368.14040706000003</v>
      </c>
      <c r="U35" s="853">
        <f t="shared" si="12"/>
        <v>369.70653011000002</v>
      </c>
      <c r="V35" s="853">
        <f t="shared" si="12"/>
        <v>368.24477241000005</v>
      </c>
      <c r="W35" s="853">
        <v>363.04001008</v>
      </c>
      <c r="X35" s="853">
        <v>365.80790825000003</v>
      </c>
      <c r="Y35" s="846">
        <v>338.72997162000001</v>
      </c>
      <c r="Z35" s="853">
        <v>330.60316127999999</v>
      </c>
      <c r="AA35" s="853">
        <v>820.39008152999997</v>
      </c>
      <c r="AB35" s="846">
        <f>+AB33-AB34</f>
        <v>821.69622534000007</v>
      </c>
      <c r="AC35" s="846">
        <v>817.65031450000004</v>
      </c>
      <c r="AD35" s="846">
        <v>838.73845919000007</v>
      </c>
      <c r="AE35" s="846">
        <v>844.90860809000003</v>
      </c>
      <c r="AF35" s="846">
        <v>848.51681985000005</v>
      </c>
      <c r="AG35" s="846">
        <v>846.78624135999996</v>
      </c>
      <c r="AH35" s="846">
        <f>+AH33-AH34</f>
        <v>772.05822354999998</v>
      </c>
      <c r="AI35" s="846">
        <v>339.90991131999999</v>
      </c>
      <c r="AJ35" s="846">
        <f>+AJ33-AJ34</f>
        <v>341.29099204000005</v>
      </c>
      <c r="AK35" s="846">
        <f>+AK33-AK34</f>
        <v>466.87951456999997</v>
      </c>
      <c r="AL35" s="846">
        <v>468.84244950999999</v>
      </c>
      <c r="AM35" s="846">
        <f>+AM33-AM34</f>
        <v>385.87411039</v>
      </c>
      <c r="AN35" s="846">
        <f>+AN33-AN34</f>
        <v>319.10157127999997</v>
      </c>
      <c r="AO35" s="846">
        <f>+AO33-AO34</f>
        <v>163.58598412999999</v>
      </c>
      <c r="AP35" s="846">
        <f>+AP33-AP34</f>
        <v>165.18632707</v>
      </c>
      <c r="AQ35" s="846">
        <v>170.62965306999999</v>
      </c>
      <c r="AR35" s="846">
        <f>+AR33-AR34</f>
        <v>170.34122044</v>
      </c>
      <c r="AS35" s="846">
        <f>+AS33-AS34</f>
        <v>174.37182447000001</v>
      </c>
      <c r="AT35" s="846">
        <f>AT27-AT31</f>
        <v>171.53664700999991</v>
      </c>
      <c r="AU35" s="846">
        <v>170.62334290999979</v>
      </c>
      <c r="AV35" s="846">
        <v>184.01699599999984</v>
      </c>
      <c r="AW35" s="846">
        <v>186.26578913999992</v>
      </c>
      <c r="AX35" s="846">
        <v>199.93251706000012</v>
      </c>
      <c r="AY35" s="846">
        <v>181.77408054</v>
      </c>
      <c r="AZ35" s="846">
        <v>178.31845905000003</v>
      </c>
      <c r="BA35" s="846">
        <v>174.49567425000001</v>
      </c>
      <c r="BB35" s="846">
        <v>171.92131727999998</v>
      </c>
      <c r="BC35" s="846">
        <v>141.77492461</v>
      </c>
      <c r="BD35" s="846">
        <f>+BD33-BD34</f>
        <v>137.78084805000003</v>
      </c>
      <c r="BE35" s="846">
        <v>136.83117222999999</v>
      </c>
      <c r="BF35" s="846">
        <v>126.60373967999993</v>
      </c>
      <c r="BG35" s="846">
        <v>128.47549921999999</v>
      </c>
      <c r="BH35" s="887">
        <v>128.00649021999996</v>
      </c>
      <c r="BI35" s="877">
        <v>151.73074732999999</v>
      </c>
      <c r="BJ35" s="877">
        <v>143.45163319999997</v>
      </c>
      <c r="BK35" s="877">
        <v>145.82706595999997</v>
      </c>
      <c r="BL35" s="877">
        <v>147.1302392500001</v>
      </c>
      <c r="BM35" s="877">
        <v>166.36320575000005</v>
      </c>
      <c r="BN35" s="877">
        <v>177.38525177999998</v>
      </c>
      <c r="BO35" s="877">
        <v>174.70845309999996</v>
      </c>
      <c r="BP35" s="877">
        <v>171.19561987999992</v>
      </c>
      <c r="BQ35" s="877">
        <v>180.22020989999996</v>
      </c>
      <c r="BR35" s="877">
        <v>173.91522661000008</v>
      </c>
      <c r="BS35" s="877">
        <v>173.72705371000001</v>
      </c>
      <c r="BT35" s="877">
        <v>175.53104324</v>
      </c>
      <c r="BU35" s="877">
        <v>183.35564217999999</v>
      </c>
      <c r="BV35" s="877">
        <v>177.65821074000002</v>
      </c>
      <c r="BW35" s="877">
        <v>182.09720166</v>
      </c>
      <c r="BX35" s="877">
        <v>188.68894656999998</v>
      </c>
      <c r="BY35" s="877">
        <v>199.51169608000004</v>
      </c>
      <c r="BZ35" s="877">
        <v>203.74170224</v>
      </c>
      <c r="CA35" s="877">
        <v>201.49167731000006</v>
      </c>
      <c r="CB35" s="877">
        <v>201.38292764999994</v>
      </c>
      <c r="CC35" s="877">
        <v>204.57468394</v>
      </c>
      <c r="CD35" s="877">
        <v>232.95919764999999</v>
      </c>
      <c r="CE35" s="877">
        <f t="shared" ref="CE35:CP35" si="13">+CE33-CE34</f>
        <v>269.89301005999999</v>
      </c>
      <c r="CF35" s="877">
        <f t="shared" si="13"/>
        <v>287.22587651999999</v>
      </c>
      <c r="CG35" s="877">
        <f t="shared" si="13"/>
        <v>257.98841066</v>
      </c>
      <c r="CH35" s="877">
        <f t="shared" si="13"/>
        <v>272.11022050999998</v>
      </c>
      <c r="CI35" s="877">
        <f t="shared" si="13"/>
        <v>282.26627729999996</v>
      </c>
      <c r="CJ35" s="877">
        <f t="shared" si="13"/>
        <v>268.07441321000005</v>
      </c>
      <c r="CK35" s="877">
        <f t="shared" si="13"/>
        <v>260.47552387999997</v>
      </c>
      <c r="CL35" s="877">
        <f t="shared" si="13"/>
        <v>274.16544360000006</v>
      </c>
      <c r="CM35" s="877">
        <f t="shared" si="13"/>
        <v>268.26434891999997</v>
      </c>
      <c r="CN35" s="877">
        <f t="shared" si="13"/>
        <v>273.45778188999998</v>
      </c>
      <c r="CO35" s="877">
        <f t="shared" si="13"/>
        <v>286.86716551000001</v>
      </c>
      <c r="CP35" s="877">
        <f t="shared" si="13"/>
        <v>273.10076335000002</v>
      </c>
      <c r="CQ35" s="877">
        <f>+CQ33-CQ34</f>
        <v>276.82619866000005</v>
      </c>
      <c r="CR35" s="877">
        <f>+CR33-CR34</f>
        <v>284.50670704999993</v>
      </c>
      <c r="CS35" s="877">
        <v>263.41721140000004</v>
      </c>
      <c r="CT35" s="877">
        <v>252.02815476000001</v>
      </c>
      <c r="CU35" s="877">
        <v>233.38865695000001</v>
      </c>
      <c r="CV35" s="877">
        <v>229.11205466999999</v>
      </c>
      <c r="CW35" s="877">
        <v>226.78582836000001</v>
      </c>
      <c r="CX35" s="877">
        <v>227.35062424</v>
      </c>
      <c r="CY35" s="877">
        <v>222.83460818</v>
      </c>
      <c r="CZ35" s="877">
        <v>220.71148217000001</v>
      </c>
      <c r="DA35" s="877">
        <v>182.76282222</v>
      </c>
      <c r="DB35" s="877">
        <v>185.14389389999999</v>
      </c>
      <c r="DC35" s="877">
        <v>208.90764830000001</v>
      </c>
      <c r="DD35" s="947">
        <v>207.77069379</v>
      </c>
      <c r="DE35" s="947">
        <v>208.15171795000001</v>
      </c>
      <c r="DF35" s="947">
        <v>206.43470712999999</v>
      </c>
      <c r="DG35" s="899">
        <v>204.53428285000001</v>
      </c>
      <c r="DH35" s="899">
        <v>211.00069114999999</v>
      </c>
      <c r="DI35" s="899">
        <v>209.43760526</v>
      </c>
      <c r="DJ35" s="899">
        <v>212.36500706000001</v>
      </c>
      <c r="DK35" s="899">
        <v>208.03243569</v>
      </c>
      <c r="DL35" s="899">
        <v>203.94452729</v>
      </c>
      <c r="DM35" s="899">
        <v>202.41553590000001</v>
      </c>
      <c r="DN35" s="899">
        <v>203.60305925</v>
      </c>
      <c r="DO35" s="899">
        <v>204.64145934999999</v>
      </c>
      <c r="DP35" s="899">
        <v>202.75888086</v>
      </c>
      <c r="DQ35" s="899">
        <v>202.30740968999999</v>
      </c>
      <c r="DR35" s="899">
        <v>202.66218752</v>
      </c>
      <c r="DS35" s="899">
        <v>196.05077469</v>
      </c>
      <c r="DT35" s="899">
        <v>195.16710588000001</v>
      </c>
      <c r="DU35" s="899">
        <v>184.28403159000001</v>
      </c>
      <c r="DV35" s="899">
        <v>179.63556582000001</v>
      </c>
      <c r="DW35" s="899">
        <v>208.18651696000001</v>
      </c>
      <c r="DX35" s="899">
        <v>212.40827175000001</v>
      </c>
      <c r="DY35" s="899">
        <v>208.06930599</v>
      </c>
      <c r="DZ35" s="899">
        <v>201.00597325999999</v>
      </c>
      <c r="EA35" s="899">
        <v>209.58608794</v>
      </c>
      <c r="EB35" s="899">
        <v>201.32968385000001</v>
      </c>
      <c r="EC35" s="899">
        <v>207.52847020999999</v>
      </c>
      <c r="ED35" s="899">
        <v>202.13608288</v>
      </c>
      <c r="EE35" s="899">
        <v>201.25370178</v>
      </c>
      <c r="EF35" s="899">
        <v>192.43380735</v>
      </c>
      <c r="EG35" s="899">
        <v>196.96978877999999</v>
      </c>
      <c r="EH35" s="899">
        <v>191.04293987</v>
      </c>
      <c r="EI35" s="899">
        <v>186.53618641</v>
      </c>
      <c r="EJ35" s="899">
        <v>173.57288341</v>
      </c>
      <c r="EK35" s="899">
        <v>190.94692502999999</v>
      </c>
      <c r="EL35" s="899">
        <v>190.24333827999999</v>
      </c>
      <c r="EM35" s="899">
        <v>196.69555702</v>
      </c>
      <c r="EN35" s="899">
        <v>181.83079362000001</v>
      </c>
      <c r="EO35" s="899">
        <v>179.36281818</v>
      </c>
      <c r="EP35" s="899">
        <v>176.24189544999999</v>
      </c>
      <c r="EQ35" s="899">
        <v>167.28669507000001</v>
      </c>
      <c r="ER35" s="899">
        <v>167.54342237</v>
      </c>
      <c r="ES35" s="899">
        <v>183.19436217000001</v>
      </c>
      <c r="ET35" s="899">
        <v>172.72250124999999</v>
      </c>
      <c r="EU35" s="1925" t="s">
        <v>4085</v>
      </c>
      <c r="EZ35" s="342"/>
    </row>
    <row r="36" spans="1:156" s="792" customFormat="1" ht="39" customHeight="1">
      <c r="A36" s="2479" t="s">
        <v>3295</v>
      </c>
      <c r="B36" s="2479"/>
      <c r="C36" s="2479"/>
      <c r="D36" s="2479"/>
      <c r="E36" s="2479"/>
      <c r="F36" s="2479"/>
      <c r="G36" s="2479"/>
      <c r="H36" s="2479"/>
      <c r="I36" s="2479"/>
      <c r="J36" s="2479"/>
      <c r="K36" s="2479"/>
      <c r="L36" s="2479"/>
      <c r="M36" s="2479"/>
      <c r="N36" s="2479"/>
      <c r="O36" s="2479"/>
      <c r="P36" s="2479"/>
      <c r="Q36" s="2479"/>
      <c r="R36" s="2479"/>
      <c r="S36" s="2479"/>
      <c r="T36" s="2479"/>
      <c r="U36" s="2479"/>
      <c r="V36" s="2479"/>
      <c r="W36" s="2479"/>
      <c r="X36" s="2479"/>
      <c r="Y36" s="2479"/>
      <c r="Z36" s="2479"/>
      <c r="AA36" s="2479"/>
      <c r="AB36" s="2479"/>
      <c r="AC36" s="2479"/>
      <c r="AD36" s="2479"/>
      <c r="AE36" s="2479"/>
      <c r="AF36" s="2479"/>
      <c r="AG36" s="2479"/>
      <c r="AH36" s="2479"/>
      <c r="AI36" s="2479"/>
      <c r="AJ36" s="2479"/>
      <c r="AK36" s="2479"/>
      <c r="AL36" s="2479"/>
      <c r="AM36" s="2479"/>
      <c r="AN36" s="2479"/>
      <c r="AO36" s="2479"/>
      <c r="AP36" s="2479"/>
      <c r="AQ36" s="2479"/>
      <c r="AR36" s="2479"/>
      <c r="AS36" s="2479"/>
      <c r="AT36" s="2479"/>
      <c r="AU36" s="2479"/>
      <c r="AV36" s="2479"/>
      <c r="AW36" s="2479"/>
      <c r="AX36" s="2479"/>
      <c r="AY36" s="2479"/>
      <c r="AZ36" s="2479"/>
      <c r="BA36" s="2479"/>
      <c r="BB36" s="2479"/>
      <c r="BC36" s="2479"/>
      <c r="BD36" s="2479"/>
      <c r="BE36" s="2479"/>
      <c r="BF36" s="2479"/>
      <c r="BG36" s="2479"/>
      <c r="BH36" s="2479"/>
      <c r="BI36" s="2479"/>
      <c r="BJ36" s="2479"/>
      <c r="BK36" s="2479"/>
      <c r="BL36" s="2479"/>
      <c r="BM36" s="2479"/>
      <c r="BN36" s="2479"/>
      <c r="BO36" s="2479"/>
      <c r="BP36" s="2479"/>
      <c r="BQ36" s="2479"/>
      <c r="BR36" s="2479"/>
      <c r="BS36" s="2479"/>
      <c r="BT36" s="2479"/>
      <c r="BU36" s="2479"/>
      <c r="BV36" s="2479"/>
      <c r="BW36" s="2479"/>
      <c r="BX36" s="2479"/>
      <c r="BY36" s="2479"/>
      <c r="BZ36" s="2479"/>
      <c r="CA36" s="2479"/>
      <c r="CB36" s="2479"/>
      <c r="CC36" s="2479"/>
      <c r="CD36" s="2479"/>
      <c r="CE36" s="2479"/>
      <c r="CF36" s="2479"/>
      <c r="CG36" s="2479"/>
      <c r="CH36" s="2479"/>
      <c r="CI36" s="2479"/>
      <c r="CJ36" s="2479"/>
      <c r="CK36" s="2479"/>
      <c r="CL36" s="2479"/>
      <c r="CM36" s="2479"/>
      <c r="CN36" s="2479"/>
      <c r="CO36" s="2479"/>
      <c r="CP36" s="2479"/>
      <c r="CQ36" s="2479"/>
      <c r="CR36" s="2479"/>
      <c r="CS36" s="2479"/>
      <c r="CT36" s="2479"/>
      <c r="CU36" s="2479"/>
      <c r="CV36" s="2479"/>
      <c r="CW36" s="2479"/>
      <c r="CX36" s="2479"/>
      <c r="CY36" s="2479"/>
      <c r="CZ36" s="2479"/>
      <c r="DA36" s="2479"/>
      <c r="DB36" s="2479"/>
      <c r="DC36" s="2479"/>
      <c r="DD36" s="2479"/>
      <c r="DE36" s="2479"/>
      <c r="DF36" s="2479"/>
      <c r="DG36" s="2479"/>
      <c r="DH36" s="2479"/>
      <c r="DI36" s="2479"/>
      <c r="DJ36" s="2479"/>
      <c r="DK36" s="2479"/>
      <c r="DL36" s="2479"/>
      <c r="DM36" s="2479"/>
      <c r="DN36" s="2479"/>
      <c r="DO36" s="2479"/>
      <c r="DP36" s="2479"/>
      <c r="DQ36" s="2479"/>
      <c r="DR36" s="2479"/>
      <c r="DS36" s="2479"/>
      <c r="DT36" s="2479"/>
      <c r="DU36" s="2479"/>
      <c r="DV36" s="2479"/>
      <c r="DW36" s="2479"/>
      <c r="DX36" s="2479"/>
      <c r="DY36" s="2479"/>
      <c r="DZ36" s="2479"/>
      <c r="EA36" s="2480"/>
      <c r="EB36" s="2480"/>
      <c r="EC36" s="2480"/>
      <c r="ED36" s="2480"/>
      <c r="EE36" s="2480"/>
      <c r="EF36" s="2480"/>
      <c r="EG36" s="2480"/>
      <c r="EH36" s="2480"/>
      <c r="EI36" s="2480"/>
      <c r="EJ36" s="2480"/>
      <c r="EK36" s="2480"/>
      <c r="EL36" s="2480"/>
      <c r="EM36" s="2480"/>
      <c r="EN36" s="2480"/>
      <c r="EO36" s="2480"/>
      <c r="EP36" s="2480"/>
      <c r="EQ36" s="2480"/>
      <c r="ER36" s="2480"/>
      <c r="ES36" s="2480"/>
      <c r="ET36" s="2479"/>
    </row>
    <row r="37" spans="1:156" ht="18">
      <c r="A37" s="817"/>
      <c r="B37" s="285"/>
      <c r="C37" s="285"/>
      <c r="D37" s="285"/>
      <c r="E37" s="285"/>
      <c r="F37" s="285"/>
      <c r="G37" s="285"/>
      <c r="H37" s="285"/>
      <c r="I37" s="285"/>
      <c r="J37" s="285"/>
      <c r="K37" s="285"/>
      <c r="L37" s="285"/>
      <c r="M37" s="285"/>
      <c r="N37" s="285"/>
      <c r="O37" s="285"/>
      <c r="P37" s="285"/>
      <c r="Q37" s="285"/>
      <c r="R37" s="285"/>
      <c r="S37" s="285"/>
      <c r="T37" s="285"/>
      <c r="U37" s="285"/>
      <c r="V37" s="285"/>
      <c r="W37" s="285"/>
      <c r="X37" s="285"/>
      <c r="Y37" s="285"/>
      <c r="Z37" s="285"/>
      <c r="AA37" s="285"/>
      <c r="AB37" s="285"/>
      <c r="AC37" s="285"/>
      <c r="AD37" s="285"/>
      <c r="AE37" s="285"/>
      <c r="AF37" s="285"/>
      <c r="AG37" s="285"/>
      <c r="AH37" s="285"/>
      <c r="AI37" s="285"/>
      <c r="AJ37" s="285"/>
      <c r="AK37" s="285"/>
      <c r="AL37" s="285"/>
      <c r="AM37" s="285"/>
      <c r="AN37" s="285"/>
      <c r="AO37" s="285"/>
      <c r="AP37" s="285"/>
      <c r="AQ37" s="285"/>
      <c r="AR37" s="285"/>
      <c r="AS37" s="285"/>
      <c r="AT37" s="285"/>
      <c r="AU37" s="285"/>
      <c r="AV37" s="285"/>
      <c r="AW37" s="285"/>
      <c r="AX37" s="285"/>
      <c r="AY37" s="285"/>
      <c r="AZ37" s="285"/>
      <c r="BA37" s="285"/>
      <c r="BB37" s="285"/>
      <c r="BC37" s="285"/>
      <c r="BD37" s="285"/>
      <c r="BE37" s="285"/>
      <c r="BF37" s="285"/>
      <c r="BG37" s="285"/>
      <c r="BH37" s="285"/>
      <c r="BI37" s="285"/>
      <c r="BJ37" s="285"/>
      <c r="BK37" s="285"/>
      <c r="BL37" s="285"/>
      <c r="BM37" s="285"/>
      <c r="BN37" s="285"/>
      <c r="BO37" s="285"/>
      <c r="BP37" s="285"/>
      <c r="BQ37" s="285"/>
      <c r="BR37" s="285"/>
      <c r="BS37" s="285"/>
      <c r="BT37" s="285"/>
      <c r="BU37" s="285"/>
      <c r="BV37" s="285"/>
      <c r="BW37" s="285"/>
      <c r="BX37" s="285"/>
      <c r="BY37" s="285"/>
      <c r="BZ37" s="285"/>
      <c r="CA37" s="285"/>
      <c r="CB37" s="285"/>
      <c r="CC37" s="285"/>
      <c r="CD37" s="285"/>
      <c r="CE37" s="285"/>
      <c r="CF37" s="285"/>
      <c r="CG37" s="285"/>
      <c r="CH37" s="285"/>
      <c r="CI37" s="285"/>
      <c r="CJ37" s="285"/>
      <c r="CK37" s="285"/>
      <c r="CL37" s="285"/>
    </row>
    <row r="38" spans="1:156" ht="18">
      <c r="A38" s="818"/>
      <c r="B38" s="286"/>
      <c r="C38" s="286"/>
      <c r="D38" s="286"/>
      <c r="E38" s="286"/>
      <c r="F38" s="286"/>
      <c r="G38" s="286"/>
      <c r="H38" s="286"/>
      <c r="I38" s="286"/>
      <c r="J38" s="286"/>
      <c r="K38" s="286"/>
      <c r="L38" s="286"/>
      <c r="M38" s="286"/>
      <c r="N38" s="286"/>
      <c r="O38" s="286"/>
      <c r="P38" s="286"/>
      <c r="Q38" s="286"/>
      <c r="R38" s="286"/>
      <c r="S38" s="286"/>
      <c r="T38" s="286"/>
      <c r="U38" s="286"/>
      <c r="V38" s="286"/>
      <c r="W38" s="286"/>
      <c r="X38" s="286"/>
      <c r="Y38" s="286"/>
      <c r="Z38" s="286"/>
      <c r="AA38" s="286"/>
      <c r="AB38" s="286"/>
      <c r="AC38" s="286"/>
      <c r="AD38" s="286"/>
      <c r="AE38" s="286"/>
      <c r="AF38" s="286"/>
      <c r="AG38" s="286"/>
      <c r="AH38" s="286"/>
      <c r="AI38" s="286"/>
      <c r="AJ38" s="286"/>
      <c r="AK38" s="286"/>
      <c r="AL38" s="286"/>
      <c r="AM38" s="286"/>
      <c r="AN38" s="286"/>
      <c r="AO38" s="286"/>
      <c r="AP38" s="286"/>
      <c r="AQ38" s="286"/>
      <c r="AR38" s="286"/>
      <c r="AS38" s="286"/>
      <c r="AT38" s="286"/>
      <c r="AU38" s="286"/>
      <c r="AV38" s="286"/>
      <c r="AW38" s="286"/>
      <c r="AX38" s="286"/>
      <c r="AY38" s="286"/>
      <c r="AZ38" s="286"/>
      <c r="BA38" s="286"/>
      <c r="BB38" s="286"/>
      <c r="BC38" s="286"/>
      <c r="BD38" s="286"/>
      <c r="BE38" s="286"/>
      <c r="BF38" s="286"/>
      <c r="BG38" s="286"/>
      <c r="BH38" s="286"/>
      <c r="BI38" s="286"/>
      <c r="BJ38" s="286"/>
      <c r="BK38" s="286"/>
      <c r="BL38" s="286"/>
      <c r="BM38" s="286"/>
      <c r="BN38" s="286"/>
      <c r="BO38" s="286"/>
      <c r="BP38" s="286"/>
      <c r="BQ38" s="286"/>
      <c r="BR38" s="286"/>
      <c r="BS38" s="286"/>
      <c r="BT38" s="286"/>
      <c r="BU38" s="286"/>
      <c r="BV38" s="286"/>
      <c r="BW38" s="286"/>
      <c r="BX38" s="286"/>
      <c r="BY38" s="286"/>
      <c r="BZ38" s="286"/>
      <c r="CA38" s="286"/>
      <c r="CB38" s="286"/>
      <c r="CC38" s="286"/>
      <c r="CD38" s="286"/>
      <c r="CE38" s="286"/>
      <c r="CF38" s="286"/>
      <c r="CG38" s="286"/>
      <c r="CH38" s="286"/>
      <c r="CI38" s="286"/>
      <c r="CJ38" s="286"/>
      <c r="CK38" s="286"/>
      <c r="CL38" s="286"/>
    </row>
    <row r="39" spans="1:156" ht="18">
      <c r="A39" s="817"/>
      <c r="B39" s="285"/>
      <c r="C39" s="285"/>
      <c r="D39" s="285"/>
      <c r="E39" s="285"/>
      <c r="F39" s="285"/>
      <c r="G39" s="285"/>
      <c r="H39" s="285"/>
      <c r="I39" s="285"/>
      <c r="J39" s="285"/>
      <c r="K39" s="285"/>
      <c r="L39" s="285"/>
      <c r="M39" s="285"/>
      <c r="N39" s="285"/>
      <c r="O39" s="285"/>
      <c r="P39" s="285"/>
      <c r="Q39" s="285"/>
      <c r="R39" s="285"/>
      <c r="S39" s="285"/>
      <c r="T39" s="285"/>
      <c r="U39" s="285"/>
      <c r="V39" s="285"/>
      <c r="W39" s="285"/>
      <c r="X39" s="285"/>
      <c r="Y39" s="285"/>
      <c r="Z39" s="285"/>
      <c r="AA39" s="285"/>
      <c r="AB39" s="285"/>
      <c r="AC39" s="285"/>
      <c r="AD39" s="285"/>
      <c r="AE39" s="285"/>
      <c r="AF39" s="285"/>
      <c r="AG39" s="285"/>
      <c r="AH39" s="285"/>
      <c r="AI39" s="285"/>
      <c r="AJ39" s="285"/>
      <c r="AK39" s="285"/>
      <c r="AL39" s="285"/>
      <c r="AM39" s="285"/>
      <c r="AN39" s="285"/>
      <c r="AO39" s="285"/>
      <c r="AP39" s="285"/>
      <c r="AQ39" s="285"/>
      <c r="AR39" s="285"/>
      <c r="AS39" s="285"/>
      <c r="AT39" s="285"/>
      <c r="AU39" s="285"/>
      <c r="AV39" s="285"/>
      <c r="AW39" s="285"/>
      <c r="AX39" s="285"/>
      <c r="AY39" s="285"/>
      <c r="AZ39" s="285"/>
      <c r="BA39" s="285"/>
      <c r="BB39" s="285"/>
      <c r="BC39" s="285"/>
      <c r="BD39" s="285"/>
      <c r="BE39" s="285"/>
      <c r="BF39" s="285"/>
      <c r="BG39" s="285"/>
      <c r="BH39" s="285"/>
      <c r="BI39" s="285"/>
      <c r="BJ39" s="285"/>
      <c r="BK39" s="285"/>
      <c r="BL39" s="285"/>
      <c r="BM39" s="285"/>
      <c r="BN39" s="285"/>
      <c r="BO39" s="285"/>
      <c r="BP39" s="285"/>
      <c r="BQ39" s="285"/>
      <c r="BR39" s="285"/>
      <c r="BS39" s="285"/>
      <c r="BT39" s="285"/>
      <c r="BU39" s="285"/>
      <c r="BV39" s="285"/>
      <c r="BW39" s="285"/>
      <c r="BX39" s="285"/>
      <c r="BY39" s="285"/>
      <c r="BZ39" s="285"/>
      <c r="CA39" s="285"/>
      <c r="CB39" s="285"/>
      <c r="CC39" s="285"/>
      <c r="CD39" s="285"/>
      <c r="CE39" s="285"/>
      <c r="CF39" s="285"/>
      <c r="CG39" s="285"/>
      <c r="CH39" s="285"/>
      <c r="CI39" s="285"/>
      <c r="CJ39" s="285"/>
      <c r="CK39" s="285"/>
      <c r="CL39" s="285"/>
    </row>
    <row r="40" spans="1:156" ht="18">
      <c r="A40" s="818"/>
      <c r="B40" s="286"/>
      <c r="C40" s="286"/>
      <c r="D40" s="286"/>
      <c r="E40" s="286"/>
      <c r="F40" s="286"/>
      <c r="G40" s="286"/>
      <c r="H40" s="286"/>
      <c r="I40" s="286"/>
      <c r="J40" s="286"/>
      <c r="K40" s="286"/>
      <c r="L40" s="286"/>
      <c r="M40" s="286"/>
      <c r="N40" s="286"/>
      <c r="O40" s="286"/>
      <c r="P40" s="286"/>
      <c r="Q40" s="286"/>
      <c r="R40" s="286"/>
      <c r="S40" s="286"/>
      <c r="T40" s="286"/>
      <c r="U40" s="286"/>
      <c r="V40" s="286"/>
      <c r="W40" s="286"/>
      <c r="X40" s="286"/>
      <c r="Y40" s="286"/>
      <c r="Z40" s="286"/>
      <c r="AA40" s="286"/>
      <c r="AB40" s="286"/>
      <c r="AC40" s="286"/>
      <c r="AD40" s="286"/>
      <c r="AE40" s="286"/>
      <c r="AF40" s="286"/>
      <c r="AG40" s="286"/>
      <c r="AH40" s="286"/>
      <c r="AI40" s="286"/>
      <c r="AJ40" s="286"/>
      <c r="AK40" s="286"/>
      <c r="AL40" s="286"/>
      <c r="AM40" s="286"/>
      <c r="AN40" s="286"/>
      <c r="AO40" s="286"/>
      <c r="AP40" s="286"/>
      <c r="AQ40" s="286"/>
      <c r="AR40" s="286"/>
      <c r="AS40" s="286"/>
      <c r="AT40" s="286"/>
      <c r="AU40" s="286"/>
      <c r="AV40" s="286"/>
      <c r="AW40" s="286"/>
      <c r="AX40" s="286"/>
      <c r="AY40" s="286"/>
      <c r="AZ40" s="286"/>
      <c r="BA40" s="286"/>
      <c r="BB40" s="286"/>
      <c r="BC40" s="286"/>
      <c r="BD40" s="286"/>
      <c r="BE40" s="286"/>
      <c r="BF40" s="286"/>
      <c r="BG40" s="286"/>
      <c r="BH40" s="286"/>
      <c r="BI40" s="286"/>
      <c r="BJ40" s="286"/>
      <c r="BK40" s="286"/>
      <c r="BL40" s="286"/>
      <c r="BM40" s="286"/>
      <c r="BN40" s="286"/>
      <c r="BO40" s="286"/>
      <c r="BP40" s="286"/>
      <c r="BQ40" s="286"/>
      <c r="BR40" s="286"/>
      <c r="BS40" s="286"/>
      <c r="BT40" s="286"/>
      <c r="BU40" s="286"/>
      <c r="BV40" s="286"/>
      <c r="BW40" s="286"/>
      <c r="BX40" s="286"/>
      <c r="BY40" s="286"/>
      <c r="BZ40" s="286"/>
      <c r="CA40" s="286"/>
      <c r="CB40" s="286"/>
      <c r="CC40" s="286"/>
      <c r="CD40" s="286"/>
      <c r="CE40" s="286"/>
      <c r="CF40" s="286"/>
      <c r="CG40" s="286"/>
      <c r="CH40" s="286"/>
      <c r="CI40" s="286"/>
      <c r="CJ40" s="286"/>
      <c r="CK40" s="286"/>
      <c r="CL40" s="286"/>
    </row>
    <row r="41" spans="1:156" ht="18">
      <c r="A41" s="817"/>
      <c r="B41" s="285"/>
      <c r="C41" s="285"/>
      <c r="D41" s="285"/>
      <c r="E41" s="285"/>
      <c r="F41" s="285"/>
      <c r="G41" s="285"/>
      <c r="H41" s="285"/>
      <c r="I41" s="285"/>
      <c r="J41" s="285"/>
      <c r="K41" s="285"/>
      <c r="L41" s="285"/>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5"/>
      <c r="AR41" s="285"/>
      <c r="AS41" s="285"/>
      <c r="AT41" s="285"/>
      <c r="AU41" s="285"/>
      <c r="AV41" s="285"/>
      <c r="AW41" s="285"/>
      <c r="AX41" s="285"/>
      <c r="AY41" s="285"/>
      <c r="AZ41" s="285"/>
      <c r="BA41" s="285"/>
      <c r="BB41" s="285"/>
      <c r="BC41" s="285"/>
      <c r="BD41" s="285"/>
      <c r="BE41" s="285"/>
      <c r="BF41" s="285"/>
      <c r="BG41" s="285"/>
      <c r="BH41" s="285"/>
      <c r="BI41" s="285"/>
      <c r="BJ41" s="285"/>
      <c r="BK41" s="285"/>
      <c r="BL41" s="285"/>
      <c r="BM41" s="285"/>
      <c r="BN41" s="285"/>
      <c r="BO41" s="285"/>
      <c r="BP41" s="285"/>
      <c r="BQ41" s="285"/>
      <c r="BR41" s="285"/>
      <c r="BS41" s="285"/>
      <c r="BT41" s="285"/>
      <c r="BU41" s="285"/>
      <c r="BV41" s="285"/>
      <c r="BW41" s="285"/>
      <c r="BX41" s="285"/>
      <c r="BY41" s="285"/>
      <c r="BZ41" s="285"/>
      <c r="CA41" s="285"/>
      <c r="CB41" s="285"/>
      <c r="CC41" s="285"/>
      <c r="CD41" s="285"/>
      <c r="CE41" s="285"/>
      <c r="CF41" s="285"/>
      <c r="CG41" s="285"/>
      <c r="CH41" s="285"/>
      <c r="CI41" s="285"/>
      <c r="CJ41" s="285"/>
      <c r="CK41" s="285"/>
      <c r="CL41" s="285"/>
    </row>
    <row r="42" spans="1:156" ht="18">
      <c r="A42" s="819"/>
      <c r="B42" s="285"/>
      <c r="C42" s="285"/>
      <c r="D42" s="285"/>
      <c r="E42" s="285"/>
      <c r="F42" s="285"/>
      <c r="G42" s="285"/>
      <c r="H42" s="285"/>
      <c r="I42" s="285"/>
      <c r="J42" s="285"/>
      <c r="K42" s="285"/>
      <c r="L42" s="285"/>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5"/>
      <c r="AR42" s="285"/>
      <c r="AS42" s="285"/>
      <c r="AT42" s="285"/>
      <c r="AU42" s="285"/>
      <c r="AV42" s="285"/>
      <c r="AW42" s="285"/>
      <c r="AX42" s="285"/>
      <c r="AY42" s="285"/>
      <c r="AZ42" s="285"/>
      <c r="BA42" s="285"/>
      <c r="BB42" s="285"/>
      <c r="BC42" s="285"/>
      <c r="BD42" s="285"/>
      <c r="BE42" s="285"/>
      <c r="BF42" s="285"/>
      <c r="BG42" s="285"/>
      <c r="BH42" s="285"/>
      <c r="BI42" s="285"/>
      <c r="BJ42" s="285"/>
      <c r="BK42" s="285"/>
      <c r="BL42" s="285"/>
      <c r="BM42" s="285"/>
      <c r="BN42" s="285"/>
      <c r="BO42" s="285"/>
      <c r="BP42" s="285"/>
      <c r="BQ42" s="285"/>
      <c r="BR42" s="285"/>
      <c r="BS42" s="285"/>
      <c r="BT42" s="285"/>
      <c r="BU42" s="285"/>
      <c r="BV42" s="285"/>
      <c r="BW42" s="285"/>
      <c r="BX42" s="285"/>
      <c r="BY42" s="285"/>
      <c r="BZ42" s="285"/>
      <c r="CA42" s="285"/>
      <c r="CB42" s="285"/>
      <c r="CC42" s="285"/>
      <c r="CD42" s="285"/>
      <c r="CE42" s="285"/>
      <c r="CF42" s="285"/>
      <c r="CG42" s="285"/>
      <c r="CH42" s="285"/>
      <c r="CI42" s="285"/>
      <c r="CJ42" s="285"/>
      <c r="CK42" s="285"/>
      <c r="CL42" s="285"/>
    </row>
    <row r="43" spans="1:156" ht="18">
      <c r="A43" s="820"/>
      <c r="B43" s="286"/>
      <c r="C43" s="286"/>
      <c r="D43" s="286"/>
      <c r="E43" s="286"/>
      <c r="F43" s="286"/>
      <c r="G43" s="286"/>
      <c r="H43" s="286"/>
      <c r="I43" s="286"/>
      <c r="J43" s="286"/>
      <c r="K43" s="286"/>
      <c r="L43" s="286"/>
      <c r="M43" s="286"/>
      <c r="N43" s="286"/>
      <c r="O43" s="286"/>
      <c r="P43" s="286"/>
      <c r="Q43" s="286"/>
      <c r="R43" s="286"/>
      <c r="S43" s="286"/>
      <c r="T43" s="286"/>
      <c r="U43" s="286"/>
      <c r="V43" s="286"/>
      <c r="W43" s="286"/>
      <c r="X43" s="286"/>
      <c r="Y43" s="286"/>
      <c r="Z43" s="286"/>
      <c r="AA43" s="286"/>
      <c r="AB43" s="286"/>
      <c r="AC43" s="286"/>
      <c r="AD43" s="286"/>
      <c r="AE43" s="286"/>
      <c r="AF43" s="286"/>
      <c r="AG43" s="286"/>
      <c r="AH43" s="286"/>
      <c r="AI43" s="286"/>
      <c r="AJ43" s="286"/>
      <c r="AK43" s="286"/>
      <c r="AL43" s="286"/>
      <c r="AM43" s="286"/>
      <c r="AN43" s="286"/>
      <c r="AO43" s="286"/>
      <c r="AP43" s="286"/>
      <c r="AQ43" s="286"/>
      <c r="AR43" s="286"/>
      <c r="AS43" s="286"/>
      <c r="AT43" s="286"/>
      <c r="AU43" s="286"/>
      <c r="AV43" s="286"/>
      <c r="AW43" s="286"/>
      <c r="AX43" s="286"/>
      <c r="AY43" s="286"/>
      <c r="AZ43" s="286"/>
      <c r="BA43" s="286"/>
      <c r="BB43" s="286"/>
      <c r="BC43" s="286"/>
      <c r="BD43" s="286"/>
      <c r="BE43" s="286"/>
      <c r="BF43" s="286"/>
      <c r="BG43" s="286"/>
      <c r="BH43" s="286"/>
      <c r="BI43" s="286"/>
      <c r="BJ43" s="286"/>
      <c r="BK43" s="286"/>
      <c r="BL43" s="286"/>
      <c r="BM43" s="286"/>
      <c r="BN43" s="286"/>
      <c r="BO43" s="286"/>
      <c r="BP43" s="286"/>
      <c r="BQ43" s="286"/>
      <c r="BR43" s="286"/>
      <c r="BS43" s="286"/>
      <c r="BT43" s="286"/>
      <c r="BU43" s="286"/>
      <c r="BV43" s="286"/>
      <c r="BW43" s="286"/>
      <c r="BX43" s="286"/>
      <c r="BY43" s="286"/>
      <c r="BZ43" s="286"/>
      <c r="CA43" s="286"/>
      <c r="CB43" s="286"/>
      <c r="CC43" s="286"/>
      <c r="CD43" s="286"/>
      <c r="CE43" s="286"/>
      <c r="CF43" s="286"/>
      <c r="CG43" s="286"/>
      <c r="CH43" s="286"/>
      <c r="CI43" s="286"/>
      <c r="CJ43" s="286"/>
      <c r="CK43" s="286"/>
      <c r="CL43" s="286"/>
    </row>
    <row r="44" spans="1:156" ht="18">
      <c r="A44" s="817"/>
      <c r="B44" s="285"/>
      <c r="C44" s="285"/>
      <c r="D44" s="285"/>
      <c r="E44" s="285"/>
      <c r="F44" s="285"/>
      <c r="G44" s="285"/>
      <c r="H44" s="285"/>
      <c r="I44" s="285"/>
      <c r="J44" s="285"/>
      <c r="K44" s="285"/>
      <c r="L44" s="285"/>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5"/>
      <c r="AR44" s="285"/>
      <c r="AS44" s="285"/>
      <c r="AT44" s="285"/>
      <c r="AU44" s="285"/>
      <c r="AV44" s="285"/>
      <c r="AW44" s="285"/>
      <c r="AX44" s="285"/>
      <c r="AY44" s="285"/>
      <c r="AZ44" s="285"/>
      <c r="BA44" s="285"/>
      <c r="BB44" s="285"/>
      <c r="BC44" s="285"/>
      <c r="BD44" s="285"/>
      <c r="BE44" s="285"/>
      <c r="BF44" s="285"/>
      <c r="BG44" s="285"/>
      <c r="BH44" s="285"/>
      <c r="BI44" s="285"/>
      <c r="BJ44" s="285"/>
      <c r="BK44" s="285"/>
      <c r="BL44" s="285"/>
      <c r="BM44" s="285"/>
      <c r="BN44" s="285"/>
      <c r="BO44" s="285"/>
      <c r="BP44" s="285"/>
      <c r="BQ44" s="285"/>
      <c r="BR44" s="285"/>
      <c r="BS44" s="285"/>
      <c r="BT44" s="285"/>
      <c r="BU44" s="285"/>
      <c r="BV44" s="285"/>
      <c r="BW44" s="285"/>
      <c r="BX44" s="285"/>
      <c r="BY44" s="285"/>
      <c r="BZ44" s="285"/>
      <c r="CA44" s="285"/>
      <c r="CB44" s="285"/>
      <c r="CC44" s="285"/>
      <c r="CD44" s="285"/>
      <c r="CE44" s="285"/>
      <c r="CF44" s="285"/>
      <c r="CG44" s="285"/>
      <c r="CH44" s="285"/>
      <c r="CI44" s="285"/>
      <c r="CJ44" s="285"/>
      <c r="CK44" s="285"/>
      <c r="CL44" s="285"/>
    </row>
    <row r="45" spans="1:156" ht="18">
      <c r="A45" s="818"/>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6"/>
      <c r="AE45" s="286"/>
      <c r="AF45" s="286"/>
      <c r="AG45" s="286"/>
      <c r="AH45" s="286"/>
      <c r="AI45" s="286"/>
      <c r="AJ45" s="286"/>
      <c r="AK45" s="286"/>
      <c r="AL45" s="286"/>
      <c r="AM45" s="286"/>
      <c r="AN45" s="286"/>
      <c r="AO45" s="286"/>
      <c r="AP45" s="286"/>
      <c r="AQ45" s="286"/>
      <c r="AR45" s="286"/>
      <c r="AS45" s="286"/>
      <c r="AT45" s="286"/>
      <c r="AU45" s="286"/>
      <c r="AV45" s="286"/>
      <c r="AW45" s="286"/>
      <c r="AX45" s="286"/>
      <c r="AY45" s="286"/>
      <c r="AZ45" s="286"/>
      <c r="BA45" s="286"/>
      <c r="BB45" s="286"/>
      <c r="BC45" s="286"/>
      <c r="BD45" s="286"/>
      <c r="BE45" s="286"/>
      <c r="BF45" s="286"/>
      <c r="BG45" s="286"/>
      <c r="BH45" s="286"/>
      <c r="BI45" s="286"/>
      <c r="BJ45" s="286"/>
      <c r="BK45" s="286"/>
      <c r="BL45" s="286"/>
      <c r="BM45" s="286"/>
      <c r="BN45" s="286"/>
      <c r="BO45" s="286"/>
      <c r="BP45" s="286"/>
      <c r="BQ45" s="286"/>
      <c r="BR45" s="286"/>
      <c r="BS45" s="286"/>
      <c r="BT45" s="286"/>
      <c r="BU45" s="286"/>
      <c r="BV45" s="286"/>
      <c r="BW45" s="286"/>
      <c r="BX45" s="286"/>
      <c r="BY45" s="286"/>
      <c r="BZ45" s="286"/>
      <c r="CA45" s="286"/>
      <c r="CB45" s="286"/>
      <c r="CC45" s="286"/>
      <c r="CD45" s="286"/>
      <c r="CE45" s="286"/>
      <c r="CF45" s="286"/>
      <c r="CG45" s="286"/>
      <c r="CH45" s="286"/>
      <c r="CI45" s="286"/>
      <c r="CJ45" s="286"/>
      <c r="CK45" s="286"/>
      <c r="CL45" s="286"/>
    </row>
    <row r="46" spans="1:156" ht="18">
      <c r="A46" s="817"/>
      <c r="B46" s="285"/>
      <c r="C46" s="285"/>
      <c r="D46" s="285"/>
      <c r="E46" s="285"/>
      <c r="F46" s="285"/>
      <c r="G46" s="285"/>
      <c r="H46" s="285"/>
      <c r="I46" s="285"/>
      <c r="J46" s="285"/>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5"/>
      <c r="AR46" s="285"/>
      <c r="AS46" s="285"/>
      <c r="AT46" s="285"/>
      <c r="AU46" s="285"/>
      <c r="AV46" s="285"/>
      <c r="AW46" s="285"/>
      <c r="AX46" s="285"/>
      <c r="AY46" s="285"/>
      <c r="AZ46" s="285"/>
      <c r="BA46" s="285"/>
      <c r="BB46" s="285"/>
      <c r="BC46" s="285"/>
      <c r="BD46" s="285"/>
      <c r="BE46" s="285"/>
      <c r="BF46" s="285"/>
      <c r="BG46" s="285"/>
      <c r="BH46" s="285"/>
      <c r="BI46" s="285"/>
      <c r="BJ46" s="285"/>
      <c r="BK46" s="285"/>
      <c r="BL46" s="285"/>
      <c r="BM46" s="285"/>
      <c r="BN46" s="285"/>
      <c r="BO46" s="285"/>
      <c r="BP46" s="285"/>
      <c r="BQ46" s="285"/>
      <c r="BR46" s="285"/>
      <c r="BS46" s="285"/>
      <c r="BT46" s="285"/>
      <c r="BU46" s="285"/>
      <c r="BV46" s="285"/>
      <c r="BW46" s="285"/>
      <c r="BX46" s="285"/>
      <c r="BY46" s="285"/>
      <c r="BZ46" s="285"/>
      <c r="CA46" s="285"/>
      <c r="CB46" s="285"/>
      <c r="CC46" s="285"/>
      <c r="CD46" s="285"/>
      <c r="CE46" s="285"/>
      <c r="CF46" s="285"/>
      <c r="CG46" s="285"/>
      <c r="CH46" s="285"/>
      <c r="CI46" s="285"/>
      <c r="CJ46" s="285"/>
      <c r="CK46" s="285"/>
      <c r="CL46" s="285"/>
    </row>
    <row r="47" spans="1:156" ht="18">
      <c r="A47" s="818"/>
      <c r="B47" s="286"/>
      <c r="C47" s="286"/>
      <c r="D47" s="286"/>
      <c r="E47" s="286"/>
      <c r="F47" s="286"/>
      <c r="G47" s="286"/>
      <c r="H47" s="286"/>
      <c r="I47" s="286"/>
      <c r="J47" s="286"/>
      <c r="K47" s="286"/>
      <c r="L47" s="286"/>
      <c r="M47" s="286"/>
      <c r="N47" s="286"/>
      <c r="O47" s="286"/>
      <c r="P47" s="286"/>
      <c r="Q47" s="286"/>
      <c r="R47" s="286"/>
      <c r="S47" s="286"/>
      <c r="T47" s="286"/>
      <c r="U47" s="286"/>
      <c r="V47" s="286"/>
      <c r="W47" s="286"/>
      <c r="X47" s="286"/>
      <c r="Y47" s="286"/>
      <c r="Z47" s="286"/>
      <c r="AA47" s="286"/>
      <c r="AB47" s="286"/>
      <c r="AC47" s="286"/>
      <c r="AD47" s="286"/>
      <c r="AE47" s="286"/>
      <c r="AF47" s="286"/>
      <c r="AG47" s="286"/>
      <c r="AH47" s="286"/>
      <c r="AI47" s="286"/>
      <c r="AJ47" s="286"/>
      <c r="AK47" s="286"/>
      <c r="AL47" s="286"/>
      <c r="AM47" s="286"/>
      <c r="AN47" s="286"/>
      <c r="AO47" s="286"/>
      <c r="AP47" s="286"/>
      <c r="AQ47" s="286"/>
      <c r="AR47" s="286"/>
      <c r="AS47" s="286"/>
      <c r="AT47" s="286"/>
      <c r="AU47" s="286"/>
      <c r="AV47" s="286"/>
      <c r="AW47" s="286"/>
      <c r="AX47" s="286"/>
      <c r="AY47" s="286"/>
      <c r="AZ47" s="286"/>
      <c r="BA47" s="286"/>
      <c r="BB47" s="286"/>
      <c r="BC47" s="286"/>
      <c r="BD47" s="286"/>
      <c r="BE47" s="286"/>
      <c r="BF47" s="286"/>
      <c r="BG47" s="286"/>
      <c r="BH47" s="286"/>
      <c r="BI47" s="286"/>
      <c r="BJ47" s="286"/>
      <c r="BK47" s="286"/>
      <c r="BL47" s="286"/>
      <c r="BM47" s="286"/>
      <c r="BN47" s="286"/>
      <c r="BO47" s="286"/>
      <c r="BP47" s="286"/>
      <c r="BQ47" s="286"/>
      <c r="BR47" s="286"/>
      <c r="BS47" s="286"/>
      <c r="BT47" s="286"/>
      <c r="BU47" s="286"/>
      <c r="BV47" s="286"/>
      <c r="BW47" s="286"/>
      <c r="BX47" s="286"/>
      <c r="BY47" s="286"/>
      <c r="BZ47" s="286"/>
      <c r="CA47" s="286"/>
      <c r="CB47" s="286"/>
      <c r="CC47" s="286"/>
      <c r="CD47" s="286"/>
      <c r="CE47" s="286"/>
      <c r="CF47" s="286"/>
      <c r="CG47" s="286"/>
      <c r="CH47" s="286"/>
      <c r="CI47" s="286"/>
      <c r="CJ47" s="286"/>
      <c r="CK47" s="286"/>
      <c r="CL47" s="286"/>
    </row>
    <row r="48" spans="1:156" ht="18">
      <c r="A48" s="817"/>
      <c r="B48" s="285"/>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5"/>
      <c r="AR48" s="285"/>
      <c r="AS48" s="285"/>
      <c r="AT48" s="285"/>
      <c r="AU48" s="285"/>
      <c r="AV48" s="285"/>
      <c r="AW48" s="285"/>
      <c r="AX48" s="285"/>
      <c r="AY48" s="285"/>
      <c r="AZ48" s="285"/>
      <c r="BA48" s="285"/>
      <c r="BB48" s="285"/>
      <c r="BC48" s="285"/>
      <c r="BD48" s="285"/>
      <c r="BE48" s="285"/>
      <c r="BF48" s="285"/>
      <c r="BG48" s="285"/>
      <c r="BH48" s="285"/>
      <c r="BI48" s="285"/>
      <c r="BJ48" s="285"/>
      <c r="BK48" s="285"/>
      <c r="BL48" s="285"/>
      <c r="BM48" s="285"/>
      <c r="BN48" s="285"/>
      <c r="BO48" s="285"/>
      <c r="BP48" s="285"/>
      <c r="BQ48" s="285"/>
      <c r="BR48" s="285"/>
      <c r="BS48" s="285"/>
      <c r="BT48" s="285"/>
      <c r="BU48" s="285"/>
      <c r="BV48" s="285"/>
      <c r="BW48" s="285"/>
      <c r="BX48" s="285"/>
      <c r="BY48" s="285"/>
      <c r="BZ48" s="285"/>
      <c r="CA48" s="285"/>
      <c r="CB48" s="285"/>
      <c r="CC48" s="285"/>
      <c r="CD48" s="285"/>
      <c r="CE48" s="285"/>
      <c r="CF48" s="285"/>
      <c r="CG48" s="285"/>
      <c r="CH48" s="285"/>
      <c r="CI48" s="285"/>
      <c r="CJ48" s="285"/>
      <c r="CK48" s="285"/>
      <c r="CL48" s="285"/>
      <c r="CM48" s="417"/>
      <c r="CN48" s="417"/>
      <c r="CO48" s="417"/>
      <c r="CP48" s="417"/>
      <c r="CQ48" s="417"/>
      <c r="CR48" s="417"/>
      <c r="CS48" s="417"/>
      <c r="CT48" s="417"/>
      <c r="CU48" s="417"/>
      <c r="CV48" s="417"/>
      <c r="CW48" s="417"/>
      <c r="CX48" s="417"/>
      <c r="CY48" s="417"/>
      <c r="CZ48" s="417"/>
      <c r="DA48" s="417"/>
      <c r="DB48" s="417"/>
      <c r="DC48" s="417"/>
      <c r="DD48" s="417"/>
      <c r="DE48" s="417"/>
      <c r="DF48" s="417"/>
      <c r="DG48" s="417"/>
      <c r="DH48" s="417"/>
      <c r="DI48" s="417"/>
      <c r="DJ48" s="417"/>
      <c r="DK48" s="417"/>
      <c r="DL48" s="417"/>
      <c r="DM48" s="417"/>
      <c r="DN48" s="417"/>
      <c r="DO48" s="417"/>
      <c r="DP48" s="417"/>
      <c r="DQ48" s="417"/>
      <c r="DR48" s="417"/>
      <c r="DS48" s="417"/>
      <c r="DT48" s="417"/>
      <c r="DU48" s="417"/>
      <c r="DV48" s="417"/>
      <c r="DW48" s="417"/>
      <c r="DX48" s="417"/>
      <c r="DY48" s="417"/>
      <c r="DZ48" s="417"/>
      <c r="EA48" s="417"/>
      <c r="EB48" s="417"/>
      <c r="EC48" s="417"/>
      <c r="ED48" s="417"/>
      <c r="EE48" s="417"/>
      <c r="EF48" s="417"/>
      <c r="EG48" s="417"/>
      <c r="EH48" s="417"/>
      <c r="EI48" s="417"/>
      <c r="EJ48" s="417"/>
      <c r="EK48" s="417"/>
      <c r="EL48" s="417"/>
      <c r="EM48" s="417"/>
      <c r="EN48" s="417"/>
      <c r="EO48" s="417"/>
      <c r="EP48" s="417"/>
      <c r="EQ48" s="417"/>
      <c r="ER48" s="417"/>
      <c r="ES48" s="417"/>
      <c r="ET48" s="417"/>
    </row>
    <row r="49" spans="1:150" ht="18">
      <c r="A49" s="821"/>
      <c r="B49" s="343"/>
      <c r="C49" s="343"/>
      <c r="D49" s="343"/>
      <c r="E49" s="343"/>
      <c r="F49" s="343"/>
      <c r="G49" s="343"/>
      <c r="H49" s="343"/>
      <c r="I49" s="343"/>
      <c r="J49" s="343"/>
      <c r="K49" s="343"/>
      <c r="L49" s="343"/>
      <c r="M49" s="343"/>
      <c r="N49" s="343"/>
      <c r="O49" s="343"/>
      <c r="P49" s="343"/>
      <c r="Q49" s="343"/>
      <c r="R49" s="343"/>
      <c r="S49" s="343"/>
      <c r="T49" s="343"/>
      <c r="U49" s="343"/>
      <c r="V49" s="343"/>
      <c r="W49" s="343"/>
      <c r="X49" s="343"/>
      <c r="Y49" s="343"/>
      <c r="Z49" s="343"/>
      <c r="AA49" s="343"/>
      <c r="AB49" s="343"/>
      <c r="AC49" s="343"/>
      <c r="AD49" s="343"/>
      <c r="AE49" s="343"/>
      <c r="AF49" s="343"/>
      <c r="AG49" s="343"/>
      <c r="AH49" s="343"/>
      <c r="AI49" s="343"/>
      <c r="AJ49" s="343"/>
      <c r="AK49" s="343"/>
      <c r="AL49" s="343"/>
      <c r="AM49" s="343"/>
      <c r="AN49" s="343"/>
      <c r="AO49" s="343"/>
      <c r="AP49" s="343"/>
      <c r="AQ49" s="343"/>
      <c r="AR49" s="343"/>
      <c r="AS49" s="343"/>
      <c r="AT49" s="343"/>
      <c r="AU49" s="343"/>
      <c r="AV49" s="343"/>
      <c r="AW49" s="343"/>
      <c r="AX49" s="343"/>
      <c r="AY49" s="343"/>
      <c r="AZ49" s="343"/>
      <c r="BA49" s="343"/>
      <c r="BB49" s="343"/>
      <c r="BC49" s="343"/>
      <c r="BD49" s="343"/>
      <c r="BE49" s="343"/>
      <c r="BF49" s="343"/>
      <c r="BG49" s="343"/>
      <c r="BH49" s="343"/>
      <c r="BI49" s="343"/>
      <c r="BJ49" s="343"/>
      <c r="BK49" s="343"/>
      <c r="BL49" s="343"/>
      <c r="BM49" s="343"/>
      <c r="BN49" s="343"/>
      <c r="BO49" s="343"/>
      <c r="BP49" s="343"/>
      <c r="BQ49" s="343"/>
      <c r="BR49" s="343"/>
      <c r="BS49" s="343"/>
      <c r="BT49" s="343"/>
      <c r="BU49" s="343"/>
      <c r="BV49" s="343"/>
      <c r="BW49" s="343"/>
      <c r="BX49" s="343"/>
      <c r="BY49" s="343"/>
      <c r="BZ49" s="343"/>
      <c r="CA49" s="343"/>
      <c r="CB49" s="343"/>
      <c r="CC49" s="343"/>
      <c r="CD49" s="343"/>
      <c r="CE49" s="343"/>
      <c r="CF49" s="343"/>
      <c r="CG49" s="343"/>
      <c r="CH49" s="343"/>
      <c r="CI49" s="343"/>
      <c r="CJ49" s="343"/>
      <c r="CK49" s="343"/>
      <c r="CL49" s="343"/>
      <c r="CM49" s="417"/>
      <c r="CN49" s="417"/>
      <c r="CO49" s="417"/>
      <c r="CP49" s="417"/>
      <c r="CQ49" s="417"/>
      <c r="CR49" s="417"/>
      <c r="CS49" s="417"/>
      <c r="CT49" s="417"/>
      <c r="CU49" s="417"/>
      <c r="CV49" s="417"/>
      <c r="CW49" s="417"/>
      <c r="CX49" s="417"/>
      <c r="CY49" s="417"/>
      <c r="CZ49" s="417"/>
      <c r="DA49" s="417"/>
      <c r="DB49" s="417"/>
      <c r="DC49" s="417"/>
      <c r="DD49" s="417"/>
      <c r="DE49" s="417"/>
      <c r="DF49" s="417"/>
      <c r="DG49" s="417"/>
      <c r="DH49" s="417"/>
      <c r="DI49" s="417"/>
      <c r="DJ49" s="417"/>
      <c r="DK49" s="417"/>
      <c r="DL49" s="417"/>
      <c r="DM49" s="417"/>
      <c r="DN49" s="417"/>
      <c r="DO49" s="417"/>
      <c r="DP49" s="417"/>
      <c r="DQ49" s="417"/>
      <c r="DR49" s="417"/>
      <c r="DS49" s="417"/>
      <c r="DT49" s="417"/>
      <c r="DU49" s="417"/>
      <c r="DV49" s="417"/>
      <c r="DW49" s="417"/>
      <c r="DX49" s="417"/>
      <c r="DY49" s="417"/>
      <c r="DZ49" s="417"/>
      <c r="EA49" s="417"/>
      <c r="EB49" s="417"/>
      <c r="EC49" s="417"/>
      <c r="ED49" s="417"/>
      <c r="EE49" s="417"/>
      <c r="EF49" s="417"/>
      <c r="EG49" s="417"/>
      <c r="EH49" s="417"/>
      <c r="EI49" s="417"/>
      <c r="EJ49" s="417"/>
      <c r="EK49" s="417"/>
      <c r="EL49" s="417"/>
      <c r="EM49" s="417"/>
      <c r="EN49" s="417"/>
      <c r="EO49" s="417"/>
      <c r="EP49" s="417"/>
      <c r="EQ49" s="417"/>
      <c r="ER49" s="417"/>
      <c r="ES49" s="417"/>
      <c r="ET49" s="417"/>
    </row>
    <row r="50" spans="1:150" ht="18.75">
      <c r="A50" s="822"/>
      <c r="B50" s="343"/>
      <c r="C50" s="343"/>
      <c r="D50" s="343"/>
      <c r="E50" s="343"/>
      <c r="F50" s="343"/>
      <c r="G50" s="343"/>
      <c r="H50" s="343"/>
      <c r="I50" s="343"/>
      <c r="J50" s="343"/>
      <c r="K50" s="343"/>
      <c r="L50" s="343"/>
      <c r="M50" s="343"/>
      <c r="N50" s="343"/>
      <c r="O50" s="343"/>
      <c r="P50" s="343"/>
      <c r="Q50" s="343"/>
      <c r="R50" s="343"/>
      <c r="S50" s="343"/>
      <c r="T50" s="343"/>
      <c r="U50" s="343"/>
      <c r="V50" s="343"/>
      <c r="W50" s="343"/>
      <c r="X50" s="343"/>
      <c r="Y50" s="343"/>
      <c r="Z50" s="343"/>
      <c r="AA50" s="343"/>
      <c r="AB50" s="343"/>
      <c r="AC50" s="343"/>
      <c r="AD50" s="343"/>
      <c r="AE50" s="343"/>
      <c r="AF50" s="343"/>
      <c r="AG50" s="343"/>
      <c r="AH50" s="343"/>
      <c r="AI50" s="343"/>
      <c r="AJ50" s="343"/>
      <c r="AK50" s="343"/>
      <c r="AL50" s="343"/>
      <c r="AM50" s="343"/>
      <c r="AN50" s="343"/>
      <c r="AO50" s="343"/>
      <c r="AP50" s="343"/>
      <c r="AQ50" s="343"/>
      <c r="AR50" s="343"/>
      <c r="AS50" s="343"/>
      <c r="AT50" s="343"/>
      <c r="AU50" s="343"/>
      <c r="AV50" s="343"/>
      <c r="AW50" s="343"/>
      <c r="AX50" s="343"/>
      <c r="AY50" s="343"/>
      <c r="AZ50" s="343"/>
      <c r="BA50" s="343"/>
      <c r="BB50" s="343"/>
      <c r="BC50" s="343"/>
      <c r="BD50" s="343"/>
      <c r="BE50" s="343"/>
      <c r="BF50" s="343"/>
      <c r="BG50" s="343"/>
      <c r="BH50" s="343"/>
      <c r="BI50" s="343"/>
      <c r="BJ50" s="343"/>
      <c r="BK50" s="343"/>
      <c r="BL50" s="343"/>
      <c r="BM50" s="343"/>
      <c r="BN50" s="343"/>
      <c r="BO50" s="343"/>
      <c r="BP50" s="343"/>
      <c r="BQ50" s="343"/>
      <c r="BR50" s="343"/>
      <c r="BS50" s="343"/>
      <c r="BT50" s="343"/>
      <c r="BU50" s="343"/>
      <c r="BV50" s="343"/>
      <c r="BW50" s="343"/>
      <c r="BX50" s="343"/>
      <c r="BY50" s="343"/>
      <c r="BZ50" s="343"/>
      <c r="CA50" s="343"/>
      <c r="CB50" s="343"/>
      <c r="CC50" s="343"/>
      <c r="CD50" s="343"/>
      <c r="CE50" s="343"/>
      <c r="CF50" s="343"/>
      <c r="CG50" s="343"/>
      <c r="CH50" s="343"/>
      <c r="CI50" s="343"/>
      <c r="CJ50" s="343"/>
      <c r="CK50" s="343"/>
      <c r="CL50" s="343"/>
      <c r="CM50" s="417"/>
      <c r="CN50" s="417"/>
      <c r="CO50" s="417"/>
      <c r="CP50" s="417"/>
      <c r="CQ50" s="417"/>
      <c r="CR50" s="417"/>
      <c r="CS50" s="417"/>
      <c r="CT50" s="417"/>
      <c r="CU50" s="417"/>
      <c r="CV50" s="417"/>
      <c r="CW50" s="417"/>
      <c r="CX50" s="417"/>
      <c r="CY50" s="417"/>
      <c r="CZ50" s="417"/>
      <c r="DA50" s="417"/>
      <c r="DB50" s="417"/>
      <c r="DC50" s="417"/>
      <c r="DD50" s="417"/>
      <c r="DE50" s="417"/>
      <c r="DF50" s="417"/>
      <c r="DG50" s="417"/>
      <c r="DH50" s="417"/>
      <c r="DI50" s="417"/>
      <c r="DJ50" s="417"/>
      <c r="DK50" s="417"/>
      <c r="DL50" s="417"/>
      <c r="DM50" s="417"/>
      <c r="DN50" s="417"/>
      <c r="DO50" s="417"/>
      <c r="DP50" s="417"/>
      <c r="DQ50" s="417"/>
      <c r="DR50" s="417"/>
      <c r="DS50" s="417"/>
      <c r="DT50" s="417"/>
      <c r="DU50" s="417"/>
      <c r="DV50" s="417"/>
      <c r="DW50" s="417"/>
      <c r="DX50" s="417"/>
      <c r="DY50" s="417"/>
      <c r="DZ50" s="417"/>
      <c r="EA50" s="417"/>
      <c r="EB50" s="417"/>
      <c r="EC50" s="417"/>
      <c r="ED50" s="417"/>
      <c r="EE50" s="417"/>
      <c r="EF50" s="417"/>
      <c r="EG50" s="417"/>
      <c r="EH50" s="417"/>
      <c r="EI50" s="417"/>
      <c r="EJ50" s="417"/>
      <c r="EK50" s="417"/>
      <c r="EL50" s="417"/>
      <c r="EM50" s="417"/>
      <c r="EN50" s="417"/>
      <c r="EO50" s="417"/>
      <c r="EP50" s="417"/>
      <c r="EQ50" s="417"/>
      <c r="ER50" s="417"/>
      <c r="ES50" s="417"/>
      <c r="ET50" s="417"/>
    </row>
    <row r="51" spans="1:150">
      <c r="A51" s="823"/>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c r="BS51" s="417"/>
      <c r="BT51" s="417"/>
      <c r="BU51" s="417"/>
      <c r="BV51" s="417"/>
      <c r="BW51" s="417"/>
      <c r="BX51" s="417"/>
      <c r="BY51" s="417"/>
      <c r="BZ51" s="417"/>
      <c r="CA51" s="417"/>
      <c r="CB51" s="417"/>
      <c r="CC51" s="417"/>
      <c r="CD51" s="417"/>
      <c r="CE51" s="417"/>
      <c r="CF51" s="417"/>
      <c r="CG51" s="417"/>
      <c r="CH51" s="417"/>
      <c r="CI51" s="417"/>
      <c r="CJ51" s="417"/>
      <c r="CK51" s="417"/>
      <c r="CL51" s="417"/>
      <c r="CM51" s="417"/>
      <c r="CN51" s="417"/>
      <c r="CO51" s="417"/>
      <c r="CP51" s="417"/>
      <c r="CQ51" s="417"/>
      <c r="CR51" s="417"/>
      <c r="CS51" s="417"/>
      <c r="CT51" s="417"/>
      <c r="CU51" s="417"/>
      <c r="CV51" s="417"/>
      <c r="CW51" s="417"/>
      <c r="CX51" s="417"/>
      <c r="CY51" s="417"/>
      <c r="CZ51" s="417"/>
      <c r="DA51" s="417"/>
      <c r="DB51" s="417"/>
      <c r="DC51" s="417"/>
      <c r="DD51" s="417"/>
      <c r="DE51" s="417"/>
      <c r="DF51" s="417"/>
      <c r="DG51" s="417"/>
      <c r="DH51" s="417"/>
      <c r="DI51" s="417"/>
      <c r="DJ51" s="417"/>
      <c r="DK51" s="417"/>
      <c r="DL51" s="417"/>
      <c r="DM51" s="417"/>
      <c r="DN51" s="417"/>
      <c r="DO51" s="417"/>
      <c r="DP51" s="417"/>
      <c r="DQ51" s="417"/>
      <c r="DR51" s="417"/>
      <c r="DS51" s="417"/>
      <c r="DT51" s="417"/>
      <c r="DU51" s="417"/>
      <c r="DV51" s="417"/>
      <c r="DW51" s="417"/>
      <c r="DX51" s="417"/>
      <c r="DY51" s="417"/>
      <c r="DZ51" s="417"/>
      <c r="EA51" s="417"/>
      <c r="EB51" s="417"/>
      <c r="EC51" s="417"/>
      <c r="ED51" s="417"/>
      <c r="EE51" s="417"/>
      <c r="EF51" s="417"/>
      <c r="EG51" s="417"/>
      <c r="EH51" s="417"/>
      <c r="EI51" s="417"/>
      <c r="EJ51" s="417"/>
      <c r="EK51" s="417"/>
      <c r="EL51" s="417"/>
      <c r="EM51" s="417"/>
      <c r="EN51" s="417"/>
      <c r="EO51" s="417"/>
      <c r="EP51" s="417"/>
      <c r="EQ51" s="417"/>
      <c r="ER51" s="417"/>
      <c r="ES51" s="417"/>
      <c r="ET51" s="417"/>
    </row>
    <row r="52" spans="1:150">
      <c r="A52" s="823"/>
      <c r="B52" s="417"/>
      <c r="C52" s="417"/>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c r="AC52" s="417"/>
      <c r="AD52" s="417"/>
      <c r="AE52" s="417"/>
      <c r="AF52" s="417"/>
      <c r="AG52" s="417"/>
      <c r="AH52" s="417"/>
      <c r="AI52" s="417"/>
      <c r="AJ52" s="417"/>
      <c r="AK52" s="417"/>
      <c r="AL52" s="417"/>
      <c r="AM52" s="417"/>
      <c r="AN52" s="417"/>
      <c r="AO52" s="417"/>
      <c r="AP52" s="417"/>
      <c r="AQ52" s="417"/>
      <c r="AR52" s="417"/>
      <c r="AS52" s="417"/>
      <c r="AT52" s="417"/>
      <c r="AU52" s="417"/>
      <c r="AV52" s="417"/>
      <c r="AW52" s="417"/>
      <c r="AX52" s="417"/>
      <c r="AY52" s="417"/>
      <c r="AZ52" s="417"/>
      <c r="BA52" s="417"/>
      <c r="BB52" s="417"/>
      <c r="BC52" s="417"/>
      <c r="BD52" s="417"/>
      <c r="BE52" s="417"/>
      <c r="BF52" s="417"/>
      <c r="BG52" s="417"/>
      <c r="BH52" s="417"/>
      <c r="BI52" s="417"/>
      <c r="BJ52" s="417"/>
      <c r="BK52" s="417"/>
      <c r="BL52" s="417"/>
      <c r="BM52" s="417"/>
      <c r="BN52" s="417"/>
      <c r="BO52" s="417"/>
      <c r="BP52" s="417"/>
      <c r="BQ52" s="417"/>
      <c r="BR52" s="417"/>
      <c r="BS52" s="417"/>
      <c r="BT52" s="417"/>
      <c r="BU52" s="417"/>
      <c r="BV52" s="417"/>
      <c r="BW52" s="417"/>
      <c r="BX52" s="417"/>
      <c r="BY52" s="417"/>
      <c r="BZ52" s="417"/>
      <c r="CA52" s="417"/>
      <c r="CB52" s="417"/>
      <c r="CC52" s="417"/>
      <c r="CD52" s="417"/>
      <c r="CE52" s="417"/>
      <c r="CF52" s="417"/>
      <c r="CG52" s="417"/>
      <c r="CH52" s="417"/>
      <c r="CI52" s="417"/>
      <c r="CJ52" s="417"/>
      <c r="CK52" s="417"/>
      <c r="CL52" s="417"/>
      <c r="CM52" s="417"/>
      <c r="CN52" s="417"/>
      <c r="CO52" s="417"/>
      <c r="CP52" s="417"/>
      <c r="CQ52" s="417"/>
      <c r="CR52" s="417"/>
      <c r="CS52" s="417"/>
      <c r="CT52" s="417"/>
      <c r="CU52" s="417"/>
      <c r="CV52" s="417"/>
      <c r="CW52" s="417"/>
      <c r="CX52" s="417"/>
      <c r="CY52" s="417"/>
      <c r="CZ52" s="417"/>
      <c r="DA52" s="417"/>
      <c r="DB52" s="417"/>
      <c r="DC52" s="417"/>
      <c r="DD52" s="417"/>
      <c r="DE52" s="417"/>
      <c r="DF52" s="417"/>
      <c r="DG52" s="417"/>
      <c r="DH52" s="417"/>
      <c r="DI52" s="417"/>
      <c r="DJ52" s="417"/>
      <c r="DK52" s="417"/>
      <c r="DL52" s="417"/>
      <c r="DM52" s="417"/>
      <c r="DN52" s="417"/>
      <c r="DO52" s="417"/>
      <c r="DP52" s="417"/>
      <c r="DQ52" s="417"/>
      <c r="DR52" s="417"/>
      <c r="DS52" s="417"/>
      <c r="DT52" s="417"/>
      <c r="DU52" s="417"/>
      <c r="DV52" s="417"/>
      <c r="DW52" s="417"/>
      <c r="DX52" s="417"/>
      <c r="DY52" s="417"/>
      <c r="DZ52" s="417"/>
      <c r="EA52" s="417"/>
      <c r="EB52" s="417"/>
      <c r="EC52" s="417"/>
      <c r="ED52" s="417"/>
      <c r="EE52" s="417"/>
      <c r="EF52" s="417"/>
      <c r="EG52" s="417"/>
      <c r="EH52" s="417"/>
      <c r="EI52" s="417"/>
      <c r="EJ52" s="417"/>
      <c r="EK52" s="417"/>
      <c r="EL52" s="417"/>
      <c r="EM52" s="417"/>
      <c r="EN52" s="417"/>
      <c r="EO52" s="417"/>
      <c r="EP52" s="417"/>
      <c r="EQ52" s="417"/>
      <c r="ER52" s="417"/>
      <c r="ES52" s="417"/>
      <c r="ET52" s="417"/>
    </row>
  </sheetData>
  <mergeCells count="16">
    <mergeCell ref="A2:EU2"/>
    <mergeCell ref="A6:A8"/>
    <mergeCell ref="EU6:EU8"/>
    <mergeCell ref="A36:ET36"/>
    <mergeCell ref="A5:ET5"/>
    <mergeCell ref="B6:M6"/>
    <mergeCell ref="N6:Y6"/>
    <mergeCell ref="Z6:AK6"/>
    <mergeCell ref="AV6:AW6"/>
    <mergeCell ref="BV6:CG6"/>
    <mergeCell ref="CT6:DE6"/>
    <mergeCell ref="DF6:DQ6"/>
    <mergeCell ref="DR6:EC6"/>
    <mergeCell ref="A3:EU3"/>
    <mergeCell ref="ED6:EO6"/>
    <mergeCell ref="EP6:ET6"/>
  </mergeCells>
  <pageMargins left="0.7" right="0.7" top="0.75" bottom="0.75" header="0.3" footer="0.3"/>
  <pageSetup scale="24"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0">
    <tabColor rgb="FF92D050"/>
  </sheetPr>
  <dimension ref="A1:KC63"/>
  <sheetViews>
    <sheetView showGridLines="0" view="pageBreakPreview" zoomScale="66" zoomScaleNormal="100" zoomScaleSheetLayoutView="66" workbookViewId="0">
      <selection activeCell="EW55" sqref="EW55"/>
    </sheetView>
  </sheetViews>
  <sheetFormatPr defaultColWidth="9.140625" defaultRowHeight="15"/>
  <cols>
    <col min="1" max="1" width="61.42578125" style="824" customWidth="1"/>
    <col min="2" max="12" width="13.5703125" style="339" hidden="1" customWidth="1"/>
    <col min="13" max="13" width="19" style="339" hidden="1" customWidth="1"/>
    <col min="14" max="23" width="13.5703125" style="339" hidden="1" customWidth="1"/>
    <col min="24" max="24" width="13.28515625" style="339" hidden="1" customWidth="1"/>
    <col min="25" max="25" width="18.140625" style="339" hidden="1" customWidth="1"/>
    <col min="26" max="33" width="14.7109375" style="339" hidden="1" customWidth="1"/>
    <col min="34" max="34" width="17.85546875" style="339" hidden="1" customWidth="1"/>
    <col min="35" max="35" width="16.140625" style="339" hidden="1" customWidth="1"/>
    <col min="36" max="36" width="14.7109375" style="339" hidden="1" customWidth="1"/>
    <col min="37" max="37" width="16.85546875" style="339" hidden="1" customWidth="1"/>
    <col min="38" max="44" width="14.7109375" style="339" hidden="1" customWidth="1"/>
    <col min="45" max="60" width="16" style="339" hidden="1" customWidth="1"/>
    <col min="61" max="61" width="13.28515625" style="339" customWidth="1"/>
    <col min="62" max="72" width="16" style="339" hidden="1" customWidth="1"/>
    <col min="73" max="73" width="13.28515625" style="339" customWidth="1"/>
    <col min="74" max="82" width="16" style="339" hidden="1" customWidth="1"/>
    <col min="83" max="84" width="17.5703125" style="339" hidden="1" customWidth="1"/>
    <col min="85" max="85" width="13.28515625" style="339" customWidth="1"/>
    <col min="86" max="96" width="15.85546875" style="339" hidden="1" customWidth="1"/>
    <col min="97" max="97" width="13.28515625" style="339" customWidth="1"/>
    <col min="98" max="108" width="13.28515625" style="339" hidden="1" customWidth="1"/>
    <col min="109" max="109" width="13.28515625" style="339" customWidth="1"/>
    <col min="110" max="120" width="13.28515625" style="339" hidden="1" customWidth="1"/>
    <col min="121" max="121" width="13.28515625" style="339" customWidth="1"/>
    <col min="122" max="132" width="13.28515625" style="339" hidden="1" customWidth="1"/>
    <col min="133" max="133" width="13.28515625" style="339" customWidth="1"/>
    <col min="134" max="144" width="13.28515625" style="339" hidden="1" customWidth="1"/>
    <col min="145" max="150" width="13.28515625" style="339" customWidth="1"/>
    <col min="151" max="151" width="50.28515625" style="339" customWidth="1"/>
    <col min="152" max="153" width="9.140625" style="339"/>
    <col min="154" max="154" width="0" style="339" hidden="1" customWidth="1"/>
    <col min="155" max="16384" width="9.140625" style="339"/>
  </cols>
  <sheetData>
    <row r="1" spans="1:289" ht="18.75" customHeight="1"/>
    <row r="2" spans="1:289" ht="39" customHeight="1">
      <c r="A2" s="2488" t="s">
        <v>3296</v>
      </c>
      <c r="B2" s="2488"/>
      <c r="C2" s="2488"/>
      <c r="D2" s="2488"/>
      <c r="E2" s="2488"/>
      <c r="F2" s="2488"/>
      <c r="G2" s="2488"/>
      <c r="H2" s="2488"/>
      <c r="I2" s="2488"/>
      <c r="J2" s="2488"/>
      <c r="K2" s="2488"/>
      <c r="L2" s="2488"/>
      <c r="M2" s="2488"/>
      <c r="N2" s="2488"/>
      <c r="O2" s="2488"/>
      <c r="P2" s="2488"/>
      <c r="Q2" s="2488"/>
      <c r="R2" s="2488"/>
      <c r="S2" s="2488"/>
      <c r="T2" s="2488"/>
      <c r="U2" s="2488"/>
      <c r="V2" s="2488"/>
      <c r="W2" s="2488"/>
      <c r="X2" s="2488"/>
      <c r="Y2" s="2488"/>
      <c r="Z2" s="2488"/>
      <c r="AA2" s="2488"/>
      <c r="AB2" s="2488"/>
      <c r="AC2" s="2488"/>
      <c r="AD2" s="2488"/>
      <c r="AE2" s="2488"/>
      <c r="AF2" s="2488"/>
      <c r="AG2" s="2488"/>
      <c r="AH2" s="2488"/>
      <c r="AI2" s="2488"/>
      <c r="AJ2" s="2488"/>
      <c r="AK2" s="2488"/>
      <c r="AL2" s="2488"/>
      <c r="AM2" s="2488"/>
      <c r="AN2" s="2488"/>
      <c r="AO2" s="2488"/>
      <c r="AP2" s="2488"/>
      <c r="AQ2" s="2488"/>
      <c r="AR2" s="2488"/>
      <c r="AS2" s="2488"/>
      <c r="AT2" s="2488"/>
      <c r="AU2" s="2488"/>
      <c r="AV2" s="2488"/>
      <c r="AW2" s="2488"/>
      <c r="AX2" s="2488"/>
      <c r="AY2" s="2488"/>
      <c r="AZ2" s="2488"/>
      <c r="BA2" s="2488"/>
      <c r="BB2" s="2488"/>
      <c r="BC2" s="2488"/>
      <c r="BD2" s="2488"/>
      <c r="BE2" s="2488"/>
      <c r="BF2" s="2488"/>
      <c r="BG2" s="2488"/>
      <c r="BH2" s="2488"/>
      <c r="BI2" s="2488"/>
      <c r="BJ2" s="2488"/>
      <c r="BK2" s="2488"/>
      <c r="BL2" s="2488"/>
      <c r="BM2" s="2488"/>
      <c r="BN2" s="2488"/>
      <c r="BO2" s="2488"/>
      <c r="BP2" s="2488"/>
      <c r="BQ2" s="2488"/>
      <c r="BR2" s="2488"/>
      <c r="BS2" s="2488"/>
      <c r="BT2" s="2488"/>
      <c r="BU2" s="2488"/>
      <c r="BV2" s="2488"/>
      <c r="BW2" s="2488"/>
      <c r="BX2" s="2488"/>
      <c r="BY2" s="2488"/>
      <c r="BZ2" s="2488"/>
      <c r="CA2" s="2488"/>
      <c r="CB2" s="2488"/>
      <c r="CC2" s="2488"/>
      <c r="CD2" s="2488"/>
      <c r="CE2" s="2488"/>
      <c r="CF2" s="2488"/>
      <c r="CG2" s="2488"/>
      <c r="CH2" s="2488"/>
      <c r="CI2" s="2488"/>
      <c r="CJ2" s="2488"/>
      <c r="CK2" s="2488"/>
      <c r="CL2" s="2488"/>
      <c r="CM2" s="2488"/>
      <c r="CN2" s="2488"/>
      <c r="CO2" s="2488"/>
      <c r="CP2" s="2488"/>
      <c r="CQ2" s="2488"/>
      <c r="CR2" s="2488"/>
      <c r="CS2" s="2488"/>
      <c r="CT2" s="2488"/>
      <c r="CU2" s="2488"/>
      <c r="CV2" s="2488"/>
      <c r="CW2" s="2488"/>
      <c r="CX2" s="2488"/>
      <c r="CY2" s="2488"/>
      <c r="CZ2" s="2488"/>
      <c r="DA2" s="2488"/>
      <c r="DB2" s="2488"/>
      <c r="DC2" s="2488"/>
      <c r="DD2" s="2488"/>
      <c r="DE2" s="2488"/>
      <c r="DF2" s="2488"/>
      <c r="DG2" s="2488"/>
      <c r="DH2" s="2488"/>
      <c r="DI2" s="2488"/>
      <c r="DJ2" s="2488"/>
      <c r="DK2" s="2488"/>
      <c r="DL2" s="2488"/>
      <c r="DM2" s="2488"/>
      <c r="DN2" s="2488"/>
      <c r="DO2" s="2488"/>
      <c r="DP2" s="2488"/>
      <c r="DQ2" s="2488"/>
      <c r="DR2" s="2488"/>
      <c r="DS2" s="2488"/>
      <c r="DT2" s="2488"/>
      <c r="DU2" s="2488"/>
      <c r="DV2" s="2488"/>
      <c r="DW2" s="2488"/>
      <c r="DX2" s="2488"/>
      <c r="DY2" s="2488"/>
      <c r="DZ2" s="2488"/>
      <c r="EA2" s="2488"/>
      <c r="EB2" s="2488"/>
      <c r="EC2" s="2488"/>
      <c r="ED2" s="2488"/>
      <c r="EE2" s="2488"/>
      <c r="EF2" s="2488"/>
      <c r="EG2" s="2488"/>
      <c r="EH2" s="2488"/>
      <c r="EI2" s="2488"/>
      <c r="EJ2" s="2488"/>
      <c r="EK2" s="2488"/>
      <c r="EL2" s="2488"/>
      <c r="EM2" s="2488"/>
      <c r="EN2" s="2488"/>
      <c r="EO2" s="2488"/>
      <c r="EP2" s="2488"/>
      <c r="EQ2" s="2488"/>
      <c r="ER2" s="2488"/>
      <c r="ES2" s="2488"/>
      <c r="ET2" s="2488"/>
      <c r="EU2" s="2488"/>
    </row>
    <row r="3" spans="1:289" ht="39.75" customHeight="1">
      <c r="A3" s="2474" t="s">
        <v>3294</v>
      </c>
      <c r="B3" s="2474"/>
      <c r="C3" s="2474"/>
      <c r="D3" s="2474"/>
      <c r="E3" s="2474"/>
      <c r="F3" s="2474"/>
      <c r="G3" s="2474"/>
      <c r="H3" s="2474"/>
      <c r="I3" s="2474"/>
      <c r="J3" s="2474"/>
      <c r="K3" s="2474"/>
      <c r="L3" s="2474"/>
      <c r="M3" s="2474"/>
      <c r="N3" s="2474"/>
      <c r="O3" s="2474"/>
      <c r="P3" s="2474"/>
      <c r="Q3" s="2474"/>
      <c r="R3" s="2474"/>
      <c r="S3" s="2474"/>
      <c r="T3" s="2474"/>
      <c r="U3" s="2474"/>
      <c r="V3" s="2474"/>
      <c r="W3" s="2474"/>
      <c r="X3" s="2474"/>
      <c r="Y3" s="2474"/>
      <c r="Z3" s="2474"/>
      <c r="AA3" s="2474"/>
      <c r="AB3" s="2474"/>
      <c r="AC3" s="2474"/>
      <c r="AD3" s="2474"/>
      <c r="AE3" s="2474"/>
      <c r="AF3" s="2474"/>
      <c r="AG3" s="2474"/>
      <c r="AH3" s="2474"/>
      <c r="AI3" s="2474"/>
      <c r="AJ3" s="2474"/>
      <c r="AK3" s="2474"/>
      <c r="AL3" s="2474"/>
      <c r="AM3" s="2474"/>
      <c r="AN3" s="2474"/>
      <c r="AO3" s="2474"/>
      <c r="AP3" s="2474"/>
      <c r="AQ3" s="2474"/>
      <c r="AR3" s="2474"/>
      <c r="AS3" s="2474"/>
      <c r="AT3" s="2474"/>
      <c r="AU3" s="2474"/>
      <c r="AV3" s="2474"/>
      <c r="AW3" s="2474"/>
      <c r="AX3" s="2474"/>
      <c r="AY3" s="2474"/>
      <c r="AZ3" s="2474"/>
      <c r="BA3" s="2474"/>
      <c r="BB3" s="2474"/>
      <c r="BC3" s="2474"/>
      <c r="BD3" s="2474"/>
      <c r="BE3" s="2474"/>
      <c r="BF3" s="2474"/>
      <c r="BG3" s="2474"/>
      <c r="BH3" s="2474"/>
      <c r="BI3" s="2474"/>
      <c r="BJ3" s="2474"/>
      <c r="BK3" s="2474"/>
      <c r="BL3" s="2474"/>
      <c r="BM3" s="2474"/>
      <c r="BN3" s="2474"/>
      <c r="BO3" s="2474"/>
      <c r="BP3" s="2474"/>
      <c r="BQ3" s="2474"/>
      <c r="BR3" s="2474"/>
      <c r="BS3" s="2474"/>
      <c r="BT3" s="2474"/>
      <c r="BU3" s="2474"/>
      <c r="BV3" s="2474"/>
      <c r="BW3" s="2474"/>
      <c r="BX3" s="2474"/>
      <c r="BY3" s="2474"/>
      <c r="BZ3" s="2474"/>
      <c r="CA3" s="2474"/>
      <c r="CB3" s="2474"/>
      <c r="CC3" s="2474"/>
      <c r="CD3" s="2474"/>
      <c r="CE3" s="2474"/>
      <c r="CF3" s="2474"/>
      <c r="CG3" s="2474"/>
      <c r="CH3" s="2474"/>
      <c r="CI3" s="2474"/>
      <c r="CJ3" s="2474"/>
      <c r="CK3" s="2474"/>
      <c r="CL3" s="2474"/>
      <c r="CM3" s="2474"/>
      <c r="CN3" s="2474"/>
      <c r="CO3" s="2474"/>
      <c r="CP3" s="2474"/>
      <c r="CQ3" s="2474"/>
      <c r="CR3" s="2474"/>
      <c r="CS3" s="2474"/>
      <c r="CT3" s="2474"/>
      <c r="CU3" s="2474"/>
      <c r="CV3" s="2474"/>
      <c r="CW3" s="2474"/>
      <c r="CX3" s="2474"/>
      <c r="CY3" s="2474"/>
      <c r="CZ3" s="2474"/>
      <c r="DA3" s="2474"/>
      <c r="DB3" s="2474"/>
      <c r="DC3" s="2474"/>
      <c r="DD3" s="2474"/>
      <c r="DE3" s="2474"/>
      <c r="DF3" s="2474"/>
      <c r="DG3" s="2474"/>
      <c r="DH3" s="2474"/>
      <c r="DI3" s="2474"/>
      <c r="DJ3" s="2474"/>
      <c r="DK3" s="2474"/>
      <c r="DL3" s="2474"/>
      <c r="DM3" s="2474"/>
      <c r="DN3" s="2474"/>
      <c r="DO3" s="2474"/>
      <c r="DP3" s="2474"/>
      <c r="DQ3" s="2474"/>
      <c r="DR3" s="2474"/>
      <c r="DS3" s="2474"/>
      <c r="DT3" s="2474"/>
      <c r="DU3" s="2474"/>
      <c r="DV3" s="2474"/>
      <c r="DW3" s="2474"/>
      <c r="DX3" s="2474"/>
      <c r="DY3" s="2474"/>
      <c r="DZ3" s="2474"/>
      <c r="EA3" s="2474"/>
      <c r="EB3" s="2474"/>
      <c r="EC3" s="2474"/>
      <c r="ED3" s="2474"/>
      <c r="EE3" s="2474"/>
      <c r="EF3" s="2474"/>
      <c r="EG3" s="2474"/>
      <c r="EH3" s="2474"/>
      <c r="EI3" s="2474"/>
      <c r="EJ3" s="2474"/>
      <c r="EK3" s="2474"/>
      <c r="EL3" s="2474"/>
      <c r="EM3" s="2474"/>
      <c r="EN3" s="2474"/>
      <c r="EO3" s="2474"/>
      <c r="EP3" s="2474"/>
      <c r="EQ3" s="2474"/>
      <c r="ER3" s="2474"/>
      <c r="ES3" s="2474"/>
      <c r="ET3" s="2474"/>
      <c r="EU3" s="2474"/>
    </row>
    <row r="4" spans="1:289" s="702" customFormat="1" ht="20.25" customHeight="1">
      <c r="A4" s="827"/>
      <c r="B4" s="703"/>
      <c r="C4" s="703"/>
      <c r="D4" s="703"/>
      <c r="E4" s="703"/>
      <c r="F4" s="703"/>
      <c r="G4" s="703"/>
      <c r="H4" s="703"/>
      <c r="I4" s="703"/>
      <c r="J4" s="703"/>
      <c r="K4" s="703"/>
      <c r="L4" s="703"/>
      <c r="M4" s="703"/>
      <c r="N4" s="703"/>
      <c r="O4" s="703"/>
      <c r="P4" s="703"/>
      <c r="Q4" s="703"/>
      <c r="R4" s="703"/>
      <c r="S4" s="703"/>
      <c r="T4" s="703"/>
      <c r="U4" s="703"/>
      <c r="V4" s="703"/>
      <c r="W4" s="703"/>
      <c r="X4" s="703"/>
      <c r="Y4" s="703"/>
      <c r="Z4" s="703"/>
      <c r="AA4" s="703"/>
      <c r="AB4" s="703"/>
      <c r="AC4" s="703"/>
      <c r="AD4" s="703"/>
      <c r="AE4" s="703"/>
      <c r="AF4" s="703"/>
      <c r="AG4" s="703"/>
      <c r="AH4" s="703"/>
      <c r="AI4" s="703"/>
      <c r="AJ4" s="703"/>
      <c r="AK4" s="703"/>
      <c r="AL4" s="703"/>
      <c r="AM4" s="703"/>
      <c r="AN4" s="703"/>
      <c r="AO4" s="703"/>
      <c r="AP4" s="703"/>
      <c r="AQ4" s="703"/>
      <c r="AR4" s="703"/>
      <c r="AS4" s="703"/>
      <c r="AT4" s="703"/>
      <c r="AU4" s="703"/>
      <c r="AV4" s="703"/>
      <c r="AW4" s="703"/>
      <c r="AX4" s="703"/>
      <c r="AY4" s="703"/>
      <c r="AZ4" s="703"/>
      <c r="BA4" s="703"/>
      <c r="BB4" s="703"/>
      <c r="BC4" s="703"/>
      <c r="BD4" s="703"/>
      <c r="BE4" s="703"/>
      <c r="BF4" s="703"/>
      <c r="BG4" s="703"/>
      <c r="BH4" s="703"/>
      <c r="BI4" s="703"/>
      <c r="BJ4" s="703"/>
      <c r="BK4" s="703"/>
      <c r="BL4" s="703"/>
      <c r="BM4" s="703"/>
      <c r="BN4" s="703"/>
      <c r="BO4" s="703"/>
      <c r="BP4" s="703"/>
      <c r="BQ4" s="703"/>
      <c r="BR4" s="703"/>
      <c r="BS4" s="703"/>
      <c r="BT4" s="703"/>
      <c r="BU4" s="703"/>
      <c r="BV4" s="703"/>
      <c r="BW4" s="703"/>
      <c r="BX4" s="703"/>
      <c r="BY4" s="703"/>
      <c r="BZ4" s="703"/>
      <c r="CA4" s="703"/>
      <c r="CB4" s="703"/>
      <c r="CC4" s="703"/>
      <c r="CD4" s="703"/>
      <c r="CE4" s="703"/>
      <c r="CF4" s="703"/>
      <c r="CG4" s="703"/>
      <c r="CH4" s="703"/>
      <c r="CI4" s="703"/>
      <c r="CJ4" s="703"/>
      <c r="CK4" s="703"/>
      <c r="CL4" s="703"/>
      <c r="CM4" s="703"/>
      <c r="CN4" s="703"/>
      <c r="CO4" s="703"/>
      <c r="CP4" s="703"/>
      <c r="CQ4" s="703"/>
      <c r="CR4" s="703"/>
      <c r="CS4" s="703"/>
      <c r="CT4" s="703"/>
      <c r="CU4" s="703"/>
      <c r="CV4" s="703"/>
      <c r="CW4" s="703"/>
      <c r="CX4" s="703"/>
      <c r="CY4" s="703"/>
      <c r="CZ4" s="703"/>
      <c r="DA4" s="703"/>
      <c r="DB4" s="703"/>
      <c r="DC4" s="703"/>
      <c r="DD4" s="703"/>
      <c r="DE4" s="703"/>
      <c r="DF4" s="703"/>
      <c r="DG4" s="703"/>
      <c r="DH4" s="703"/>
      <c r="DI4" s="703"/>
      <c r="DJ4" s="703"/>
      <c r="DK4" s="703"/>
      <c r="DL4" s="703"/>
      <c r="DM4" s="703"/>
      <c r="DN4" s="703"/>
      <c r="DO4" s="703"/>
      <c r="DP4" s="703"/>
      <c r="DQ4" s="703"/>
      <c r="DR4" s="703"/>
      <c r="DS4" s="703"/>
      <c r="DT4" s="703"/>
      <c r="DU4" s="703"/>
      <c r="DV4" s="703"/>
      <c r="DW4" s="703"/>
      <c r="DX4" s="703"/>
      <c r="DY4" s="703"/>
      <c r="DZ4" s="703"/>
      <c r="EA4" s="703"/>
      <c r="EB4" s="703"/>
      <c r="EC4" s="703"/>
      <c r="ED4" s="703"/>
      <c r="EE4" s="703"/>
      <c r="EF4" s="703"/>
      <c r="EG4" s="703"/>
      <c r="EH4" s="703"/>
      <c r="EI4" s="703"/>
      <c r="EJ4" s="703"/>
      <c r="EK4" s="703"/>
      <c r="EL4" s="703"/>
      <c r="EM4" s="703"/>
      <c r="EN4" s="703"/>
      <c r="EO4" s="703"/>
      <c r="EP4" s="703"/>
      <c r="EQ4" s="703"/>
      <c r="ER4" s="703"/>
      <c r="ES4" s="703"/>
      <c r="ET4" s="703"/>
      <c r="EU4" s="809"/>
      <c r="EV4" s="339"/>
      <c r="EW4" s="339"/>
      <c r="EX4" s="339"/>
      <c r="EY4" s="339"/>
      <c r="EZ4" s="339"/>
      <c r="FA4" s="339"/>
      <c r="FB4" s="339"/>
      <c r="FC4" s="339"/>
      <c r="FD4" s="339"/>
      <c r="FE4" s="339"/>
      <c r="FF4" s="339"/>
      <c r="FG4" s="339"/>
      <c r="FH4" s="339"/>
      <c r="FI4" s="339"/>
      <c r="FJ4" s="339"/>
      <c r="FK4" s="339"/>
      <c r="FL4" s="339"/>
      <c r="FM4" s="339"/>
      <c r="FN4" s="339"/>
      <c r="FO4" s="339"/>
      <c r="FP4" s="339"/>
      <c r="FQ4" s="339"/>
      <c r="FR4" s="339"/>
      <c r="FS4" s="339"/>
      <c r="FT4" s="339"/>
      <c r="FU4" s="339"/>
      <c r="FV4" s="339"/>
      <c r="FW4" s="339"/>
      <c r="FX4" s="339"/>
      <c r="FY4" s="339"/>
      <c r="FZ4" s="339"/>
      <c r="GA4" s="339"/>
      <c r="GB4" s="339"/>
      <c r="GC4" s="339"/>
      <c r="GD4" s="339"/>
      <c r="GE4" s="339"/>
      <c r="GF4" s="339"/>
      <c r="GG4" s="339"/>
      <c r="GH4" s="339"/>
      <c r="GI4" s="339"/>
      <c r="GJ4" s="339"/>
      <c r="GK4" s="339"/>
      <c r="GL4" s="339"/>
      <c r="GM4" s="339"/>
      <c r="GN4" s="339"/>
      <c r="GO4" s="339"/>
      <c r="GP4" s="339"/>
      <c r="GQ4" s="339"/>
      <c r="GR4" s="339"/>
      <c r="GS4" s="339"/>
      <c r="GT4" s="339"/>
      <c r="GU4" s="339"/>
      <c r="GV4" s="339"/>
      <c r="GW4" s="339"/>
      <c r="GX4" s="339"/>
      <c r="GY4" s="339"/>
      <c r="GZ4" s="339"/>
      <c r="HA4" s="339"/>
      <c r="HB4" s="339"/>
      <c r="HC4" s="339"/>
      <c r="HD4" s="339"/>
      <c r="HE4" s="339"/>
      <c r="HF4" s="339"/>
      <c r="HG4" s="339"/>
      <c r="HH4" s="339"/>
      <c r="HI4" s="339"/>
      <c r="HJ4" s="339"/>
      <c r="HK4" s="339"/>
      <c r="HL4" s="339"/>
      <c r="HM4" s="339"/>
      <c r="HN4" s="339"/>
      <c r="HO4" s="339"/>
      <c r="HP4" s="339"/>
      <c r="HQ4" s="339"/>
      <c r="HR4" s="339"/>
      <c r="HS4" s="339"/>
      <c r="HT4" s="339"/>
      <c r="HU4" s="339"/>
      <c r="HV4" s="339"/>
      <c r="HW4" s="339"/>
      <c r="HX4" s="339"/>
      <c r="HY4" s="339"/>
      <c r="HZ4" s="339"/>
      <c r="IA4" s="339"/>
      <c r="IB4" s="339"/>
      <c r="IC4" s="339"/>
      <c r="ID4" s="339"/>
      <c r="IE4" s="339"/>
      <c r="IF4" s="339"/>
      <c r="IG4" s="339"/>
      <c r="IH4" s="339"/>
      <c r="II4" s="339"/>
      <c r="IJ4" s="339"/>
      <c r="IK4" s="339"/>
      <c r="IL4" s="339"/>
      <c r="IM4" s="339"/>
      <c r="IN4" s="339"/>
      <c r="IO4" s="339"/>
      <c r="IP4" s="339"/>
      <c r="IQ4" s="339"/>
      <c r="IR4" s="339"/>
      <c r="IS4" s="339"/>
      <c r="IT4" s="339"/>
      <c r="IU4" s="339"/>
      <c r="IV4" s="339"/>
      <c r="IW4" s="339"/>
      <c r="IX4" s="339"/>
      <c r="IY4" s="339"/>
      <c r="IZ4" s="339"/>
      <c r="JA4" s="339"/>
      <c r="JB4" s="339"/>
      <c r="JC4" s="339"/>
      <c r="JD4" s="339"/>
      <c r="JE4" s="339"/>
      <c r="JF4" s="339"/>
      <c r="JG4" s="339"/>
      <c r="JH4" s="339"/>
      <c r="JI4" s="339"/>
      <c r="JJ4" s="339"/>
      <c r="JK4" s="339"/>
      <c r="JL4" s="339"/>
      <c r="JM4" s="339"/>
      <c r="JN4" s="339"/>
      <c r="JO4" s="339"/>
      <c r="JP4" s="339"/>
      <c r="JQ4" s="339"/>
      <c r="JR4" s="339"/>
      <c r="JS4" s="339"/>
      <c r="JT4" s="339"/>
      <c r="JU4" s="339"/>
      <c r="JV4" s="339"/>
      <c r="JW4" s="339"/>
      <c r="JX4" s="339"/>
      <c r="JY4" s="339"/>
      <c r="JZ4" s="339"/>
      <c r="KA4" s="339"/>
      <c r="KB4" s="339"/>
      <c r="KC4" s="339"/>
    </row>
    <row r="5" spans="1:289" s="702" customFormat="1" ht="20.25" customHeight="1">
      <c r="A5" s="2445"/>
      <c r="B5" s="2445"/>
      <c r="C5" s="2445"/>
      <c r="D5" s="2445"/>
      <c r="E5" s="2445"/>
      <c r="F5" s="2445"/>
      <c r="G5" s="2445"/>
      <c r="H5" s="2445"/>
      <c r="I5" s="2445"/>
      <c r="J5" s="2445"/>
      <c r="K5" s="2445"/>
      <c r="L5" s="2445"/>
      <c r="M5" s="2445"/>
      <c r="N5" s="2445"/>
      <c r="O5" s="2445"/>
      <c r="P5" s="2445"/>
      <c r="Q5" s="2445"/>
      <c r="R5" s="2445"/>
      <c r="S5" s="2445"/>
      <c r="T5" s="2445"/>
      <c r="U5" s="2445"/>
      <c r="V5" s="2445"/>
      <c r="W5" s="2445"/>
      <c r="X5" s="2445"/>
      <c r="Y5" s="2445"/>
      <c r="Z5" s="2445"/>
      <c r="AA5" s="2445"/>
      <c r="AB5" s="2445"/>
      <c r="AC5" s="2445"/>
      <c r="AD5" s="2445"/>
      <c r="AE5" s="2445"/>
      <c r="AF5" s="2445"/>
      <c r="AG5" s="2445"/>
      <c r="AH5" s="2445"/>
      <c r="AI5" s="2445"/>
      <c r="AJ5" s="2445"/>
      <c r="AK5" s="2445"/>
      <c r="AL5" s="2445"/>
      <c r="AM5" s="2445"/>
      <c r="AN5" s="2445"/>
      <c r="AO5" s="2445"/>
      <c r="AP5" s="2445"/>
      <c r="AQ5" s="2445"/>
      <c r="AR5" s="2445"/>
      <c r="AS5" s="2445"/>
      <c r="AT5" s="2445"/>
      <c r="AU5" s="2445"/>
      <c r="AV5" s="2445"/>
      <c r="AW5" s="2445"/>
      <c r="AX5" s="2445"/>
      <c r="AY5" s="2445"/>
      <c r="AZ5" s="2445"/>
      <c r="BA5" s="2445"/>
      <c r="BB5" s="2445"/>
      <c r="BC5" s="2445"/>
      <c r="BD5" s="2445"/>
      <c r="BE5" s="2445"/>
      <c r="BF5" s="2445"/>
      <c r="BG5" s="2445"/>
      <c r="BH5" s="2445"/>
      <c r="BI5" s="2445"/>
      <c r="BJ5" s="2445"/>
      <c r="BK5" s="2445"/>
      <c r="BL5" s="2445"/>
      <c r="BM5" s="2445"/>
      <c r="BN5" s="2445"/>
      <c r="BO5" s="2445"/>
      <c r="BP5" s="2445"/>
      <c r="BQ5" s="2445"/>
      <c r="BR5" s="2445"/>
      <c r="BS5" s="2445"/>
      <c r="BT5" s="2445"/>
      <c r="BU5" s="2445"/>
      <c r="BV5" s="2445"/>
      <c r="BW5" s="2445"/>
      <c r="BX5" s="2445"/>
      <c r="BY5" s="2445"/>
      <c r="BZ5" s="2445"/>
      <c r="CA5" s="2445"/>
      <c r="CB5" s="2445"/>
      <c r="CC5" s="2445"/>
      <c r="CD5" s="2445"/>
      <c r="CE5" s="2445"/>
      <c r="CF5" s="2445"/>
      <c r="CG5" s="2445"/>
      <c r="CH5" s="2445"/>
      <c r="CI5" s="2445"/>
      <c r="CJ5" s="2445"/>
      <c r="CK5" s="2445"/>
      <c r="CL5" s="2445"/>
      <c r="CM5" s="2445"/>
      <c r="CN5" s="2445"/>
      <c r="CO5" s="2445"/>
      <c r="CP5" s="2445"/>
      <c r="CQ5" s="2445"/>
      <c r="CR5" s="2445"/>
      <c r="CS5" s="2445"/>
      <c r="CT5" s="2445"/>
      <c r="CU5" s="2445"/>
      <c r="CV5" s="2445"/>
      <c r="CW5" s="2445"/>
      <c r="CX5" s="2445"/>
      <c r="CY5" s="2445"/>
      <c r="CZ5" s="2445"/>
      <c r="DA5" s="2445"/>
      <c r="DB5" s="2445"/>
      <c r="DC5" s="2445"/>
      <c r="DD5" s="2445"/>
      <c r="DE5" s="2445"/>
      <c r="DF5" s="2445"/>
      <c r="DG5" s="2445"/>
      <c r="DH5" s="2445"/>
      <c r="DI5" s="2445"/>
      <c r="DJ5" s="2445"/>
      <c r="DK5" s="2445"/>
      <c r="DL5" s="2445"/>
      <c r="DM5" s="2445"/>
      <c r="DN5" s="2445"/>
      <c r="DO5" s="2445"/>
      <c r="DP5" s="2445"/>
      <c r="DQ5" s="2445"/>
      <c r="DR5" s="2445"/>
      <c r="DS5" s="2445"/>
      <c r="DT5" s="2445"/>
      <c r="DU5" s="2445"/>
      <c r="DV5" s="2445"/>
      <c r="DW5" s="2445"/>
      <c r="DX5" s="2445"/>
      <c r="DY5" s="2445"/>
      <c r="DZ5" s="2445"/>
      <c r="EA5" s="2445"/>
      <c r="EB5" s="2445"/>
      <c r="EC5" s="2445"/>
      <c r="ED5" s="2445"/>
      <c r="EE5" s="2445"/>
      <c r="EF5" s="2445"/>
      <c r="EG5" s="2445"/>
      <c r="EH5" s="2445"/>
      <c r="EI5" s="2445"/>
      <c r="EJ5" s="2445"/>
      <c r="EK5" s="2445"/>
      <c r="EL5" s="2445"/>
      <c r="EM5" s="2445"/>
      <c r="EN5" s="2445"/>
      <c r="EO5" s="2445"/>
      <c r="EP5" s="2445"/>
      <c r="EQ5" s="2445"/>
      <c r="ER5" s="2445"/>
      <c r="ES5" s="2445"/>
      <c r="ET5" s="2445"/>
      <c r="EU5" s="1917" t="s">
        <v>158</v>
      </c>
      <c r="EV5" s="1927"/>
      <c r="EW5" s="1927"/>
      <c r="EX5" s="1927"/>
      <c r="EY5" s="1927"/>
      <c r="EZ5" s="1927"/>
      <c r="FA5" s="1927"/>
      <c r="FB5" s="1927"/>
      <c r="FC5" s="1927"/>
      <c r="FD5" s="1927"/>
      <c r="FE5" s="1927"/>
      <c r="FF5" s="1927"/>
      <c r="FG5" s="1927"/>
      <c r="FH5" s="1927"/>
      <c r="FI5" s="1927"/>
      <c r="FJ5" s="1927"/>
      <c r="FK5" s="1927"/>
      <c r="FL5" s="1927"/>
      <c r="FM5" s="1927"/>
      <c r="FN5" s="1927"/>
      <c r="FO5" s="1927"/>
      <c r="FP5" s="1927"/>
      <c r="FQ5" s="1927"/>
      <c r="FR5" s="1927"/>
      <c r="FS5" s="1927"/>
      <c r="FT5" s="1927"/>
      <c r="FU5" s="1927"/>
      <c r="FV5" s="1927"/>
      <c r="FW5" s="1927"/>
      <c r="FX5" s="1927"/>
      <c r="FY5" s="1927"/>
      <c r="FZ5" s="1927"/>
      <c r="GA5" s="1927"/>
      <c r="GB5" s="1927"/>
      <c r="GC5" s="1927"/>
      <c r="GD5" s="1927"/>
      <c r="GE5" s="1927"/>
      <c r="GF5" s="1927"/>
      <c r="GG5" s="1927"/>
      <c r="GH5" s="1927"/>
      <c r="GI5" s="1927"/>
      <c r="GJ5" s="1927"/>
      <c r="GK5" s="1927"/>
      <c r="GL5" s="1927"/>
      <c r="GM5" s="1927"/>
      <c r="GN5" s="1927"/>
      <c r="GO5" s="1927"/>
      <c r="GP5" s="1927"/>
      <c r="GQ5" s="1927"/>
      <c r="GR5" s="1927"/>
      <c r="GS5" s="1927"/>
      <c r="GT5" s="1927"/>
      <c r="GU5" s="1927"/>
      <c r="GV5" s="1927"/>
      <c r="GW5" s="1927"/>
      <c r="GX5" s="1927"/>
      <c r="GY5" s="1927"/>
      <c r="GZ5" s="1927"/>
      <c r="HA5" s="1927"/>
      <c r="HB5" s="1927"/>
      <c r="HC5" s="1927"/>
      <c r="HD5" s="1927"/>
      <c r="HE5" s="1927"/>
      <c r="HF5" s="1927"/>
      <c r="HG5" s="1927"/>
      <c r="HH5" s="1927"/>
      <c r="HI5" s="1927"/>
      <c r="HJ5" s="1927"/>
      <c r="HK5" s="1927"/>
      <c r="HL5" s="1927"/>
      <c r="HM5" s="1927"/>
      <c r="HN5" s="1927"/>
      <c r="HO5" s="1927"/>
      <c r="HP5" s="1927"/>
      <c r="HQ5" s="1927"/>
      <c r="HR5" s="1927"/>
      <c r="HS5" s="1927"/>
      <c r="HT5" s="1927"/>
      <c r="HU5" s="1927"/>
      <c r="HV5" s="1927"/>
      <c r="HW5" s="1927"/>
      <c r="HX5" s="1927"/>
      <c r="HY5" s="1927"/>
      <c r="HZ5" s="1927"/>
      <c r="IA5" s="1927"/>
      <c r="IB5" s="1927"/>
      <c r="IC5" s="1927"/>
      <c r="ID5" s="1927"/>
      <c r="IE5" s="1927"/>
      <c r="IF5" s="1927"/>
      <c r="IG5" s="1927"/>
      <c r="IH5" s="1927"/>
      <c r="II5" s="1927"/>
      <c r="IJ5" s="1927"/>
      <c r="IK5" s="1927"/>
      <c r="IL5" s="1927"/>
      <c r="IM5" s="1927"/>
      <c r="IN5" s="1927"/>
      <c r="IO5" s="1927"/>
      <c r="IP5" s="1927"/>
      <c r="IQ5" s="1927"/>
      <c r="IR5" s="1927"/>
      <c r="IS5" s="1927"/>
      <c r="IT5" s="1927"/>
      <c r="IU5" s="1927"/>
      <c r="IV5" s="1927"/>
      <c r="IW5" s="1927"/>
      <c r="IX5" s="1927"/>
      <c r="IY5" s="1927"/>
      <c r="IZ5" s="1927"/>
      <c r="JA5" s="1927"/>
      <c r="JB5" s="1927"/>
      <c r="JC5" s="1927"/>
      <c r="JD5" s="1927"/>
      <c r="JE5" s="1927"/>
      <c r="JF5" s="1927"/>
      <c r="JG5" s="1927"/>
      <c r="JH5" s="1927"/>
      <c r="JI5" s="1927"/>
      <c r="JJ5" s="1927"/>
      <c r="JK5" s="1927"/>
      <c r="JL5" s="1927"/>
      <c r="JM5" s="1927"/>
      <c r="JN5" s="1927"/>
      <c r="JO5" s="1927"/>
      <c r="JP5" s="1927"/>
      <c r="JQ5" s="1927"/>
      <c r="JR5" s="1927"/>
      <c r="JS5" s="1927"/>
      <c r="JT5" s="1927"/>
      <c r="JU5" s="1927"/>
      <c r="JV5" s="1927"/>
      <c r="JW5" s="1927"/>
      <c r="JX5" s="1927"/>
      <c r="JY5" s="1927"/>
      <c r="JZ5" s="1927"/>
      <c r="KA5" s="1927"/>
      <c r="KB5" s="1927"/>
      <c r="KC5" s="1927"/>
    </row>
    <row r="6" spans="1:289" ht="34.5" customHeight="1">
      <c r="A6" s="1947"/>
      <c r="B6" s="2528">
        <v>2013</v>
      </c>
      <c r="C6" s="2529"/>
      <c r="D6" s="2529"/>
      <c r="E6" s="2529"/>
      <c r="F6" s="2529"/>
      <c r="G6" s="2529"/>
      <c r="H6" s="2529"/>
      <c r="I6" s="2529"/>
      <c r="J6" s="2529"/>
      <c r="K6" s="2529"/>
      <c r="L6" s="2529"/>
      <c r="M6" s="2530"/>
      <c r="N6" s="2528">
        <v>2014</v>
      </c>
      <c r="O6" s="2529"/>
      <c r="P6" s="2529"/>
      <c r="Q6" s="2529"/>
      <c r="R6" s="2529"/>
      <c r="S6" s="2529"/>
      <c r="T6" s="2529"/>
      <c r="U6" s="2529"/>
      <c r="V6" s="2529"/>
      <c r="W6" s="2529"/>
      <c r="X6" s="2529"/>
      <c r="Y6" s="2530"/>
      <c r="Z6" s="2528">
        <v>2015</v>
      </c>
      <c r="AA6" s="2529"/>
      <c r="AB6" s="2529"/>
      <c r="AC6" s="2529"/>
      <c r="AD6" s="2529"/>
      <c r="AE6" s="2529"/>
      <c r="AF6" s="2529"/>
      <c r="AG6" s="2529"/>
      <c r="AH6" s="2529"/>
      <c r="AI6" s="2529"/>
      <c r="AJ6" s="2529"/>
      <c r="AK6" s="2530"/>
      <c r="AL6" s="870">
        <v>2016</v>
      </c>
      <c r="AM6" s="870"/>
      <c r="AN6" s="870"/>
      <c r="AO6" s="870"/>
      <c r="AP6" s="870"/>
      <c r="AQ6" s="870"/>
      <c r="AR6" s="870"/>
      <c r="AS6" s="870"/>
      <c r="AT6" s="870"/>
      <c r="AU6" s="870"/>
      <c r="AV6" s="2528">
        <v>2016</v>
      </c>
      <c r="AW6" s="2530"/>
      <c r="AX6" s="870">
        <v>2017</v>
      </c>
      <c r="AY6" s="870"/>
      <c r="AZ6" s="870"/>
      <c r="BA6" s="870"/>
      <c r="BB6" s="870"/>
      <c r="BC6" s="870"/>
      <c r="BD6" s="870"/>
      <c r="BE6" s="870"/>
      <c r="BF6" s="870"/>
      <c r="BG6" s="870"/>
      <c r="BH6" s="902"/>
      <c r="BI6" s="1855">
        <v>2017</v>
      </c>
      <c r="BJ6" s="892">
        <v>2018</v>
      </c>
      <c r="BK6" s="892"/>
      <c r="BL6" s="892"/>
      <c r="BM6" s="892"/>
      <c r="BN6" s="892"/>
      <c r="BO6" s="892"/>
      <c r="BP6" s="892"/>
      <c r="BQ6" s="892"/>
      <c r="BR6" s="892"/>
      <c r="BS6" s="892"/>
      <c r="BT6" s="892"/>
      <c r="BU6" s="1855">
        <v>2018</v>
      </c>
      <c r="BV6" s="2481">
        <v>2019</v>
      </c>
      <c r="BW6" s="2482"/>
      <c r="BX6" s="2482"/>
      <c r="BY6" s="2482"/>
      <c r="BZ6" s="2482"/>
      <c r="CA6" s="2482"/>
      <c r="CB6" s="2482"/>
      <c r="CC6" s="2482"/>
      <c r="CD6" s="2482"/>
      <c r="CE6" s="2482"/>
      <c r="CF6" s="2482"/>
      <c r="CG6" s="2483"/>
      <c r="CH6" s="893">
        <v>2020</v>
      </c>
      <c r="CI6" s="893">
        <v>2020</v>
      </c>
      <c r="CJ6" s="893">
        <v>2020</v>
      </c>
      <c r="CK6" s="893">
        <v>2020</v>
      </c>
      <c r="CL6" s="893">
        <v>2020</v>
      </c>
      <c r="CM6" s="893">
        <v>2020</v>
      </c>
      <c r="CN6" s="893">
        <v>2020</v>
      </c>
      <c r="CO6" s="893">
        <v>2020</v>
      </c>
      <c r="CP6" s="893">
        <v>2020</v>
      </c>
      <c r="CQ6" s="893">
        <v>2020</v>
      </c>
      <c r="CR6" s="893">
        <v>2020</v>
      </c>
      <c r="CS6" s="893">
        <v>2020</v>
      </c>
      <c r="CT6" s="2496">
        <v>2021</v>
      </c>
      <c r="CU6" s="2497"/>
      <c r="CV6" s="2497"/>
      <c r="CW6" s="2497"/>
      <c r="CX6" s="2497"/>
      <c r="CY6" s="2497"/>
      <c r="CZ6" s="2497"/>
      <c r="DA6" s="2497"/>
      <c r="DB6" s="2497"/>
      <c r="DC6" s="2497"/>
      <c r="DD6" s="2497"/>
      <c r="DE6" s="2498"/>
      <c r="DF6" s="2499">
        <v>2022</v>
      </c>
      <c r="DG6" s="2497"/>
      <c r="DH6" s="2497"/>
      <c r="DI6" s="2497"/>
      <c r="DJ6" s="2497"/>
      <c r="DK6" s="2497"/>
      <c r="DL6" s="2497"/>
      <c r="DM6" s="2497"/>
      <c r="DN6" s="2497"/>
      <c r="DO6" s="2497"/>
      <c r="DP6" s="2497"/>
      <c r="DQ6" s="2498"/>
      <c r="DR6" s="2499">
        <v>2023</v>
      </c>
      <c r="DS6" s="2497"/>
      <c r="DT6" s="2497"/>
      <c r="DU6" s="2497"/>
      <c r="DV6" s="2497"/>
      <c r="DW6" s="2497"/>
      <c r="DX6" s="2497"/>
      <c r="DY6" s="2497"/>
      <c r="DZ6" s="2497"/>
      <c r="EA6" s="2497"/>
      <c r="EB6" s="2497"/>
      <c r="EC6" s="2498"/>
      <c r="ED6" s="2499">
        <v>2024</v>
      </c>
      <c r="EE6" s="2497"/>
      <c r="EF6" s="2497"/>
      <c r="EG6" s="2497"/>
      <c r="EH6" s="2497"/>
      <c r="EI6" s="2497"/>
      <c r="EJ6" s="2497"/>
      <c r="EK6" s="2497"/>
      <c r="EL6" s="2497"/>
      <c r="EM6" s="2497"/>
      <c r="EN6" s="2497"/>
      <c r="EO6" s="2498"/>
      <c r="EP6" s="2499">
        <v>2025</v>
      </c>
      <c r="EQ6" s="2497"/>
      <c r="ER6" s="2497"/>
      <c r="ES6" s="2497"/>
      <c r="ET6" s="2498"/>
      <c r="EU6" s="2523"/>
    </row>
    <row r="7" spans="1:289" ht="34.5" customHeight="1">
      <c r="A7" s="1950"/>
      <c r="B7" s="871" t="s">
        <v>1961</v>
      </c>
      <c r="C7" s="871" t="s">
        <v>1972</v>
      </c>
      <c r="D7" s="871" t="s">
        <v>1971</v>
      </c>
      <c r="E7" s="871" t="s">
        <v>1970</v>
      </c>
      <c r="F7" s="871" t="s">
        <v>1969</v>
      </c>
      <c r="G7" s="871" t="s">
        <v>1968</v>
      </c>
      <c r="H7" s="871" t="s">
        <v>1967</v>
      </c>
      <c r="I7" s="871" t="s">
        <v>1966</v>
      </c>
      <c r="J7" s="871" t="s">
        <v>1965</v>
      </c>
      <c r="K7" s="871" t="s">
        <v>1964</v>
      </c>
      <c r="L7" s="871" t="s">
        <v>1963</v>
      </c>
      <c r="M7" s="872" t="s">
        <v>1962</v>
      </c>
      <c r="N7" s="872" t="s">
        <v>1961</v>
      </c>
      <c r="O7" s="872" t="s">
        <v>1972</v>
      </c>
      <c r="P7" s="872" t="s">
        <v>1971</v>
      </c>
      <c r="Q7" s="872" t="s">
        <v>1970</v>
      </c>
      <c r="R7" s="872" t="s">
        <v>1969</v>
      </c>
      <c r="S7" s="872" t="s">
        <v>1968</v>
      </c>
      <c r="T7" s="872" t="s">
        <v>1967</v>
      </c>
      <c r="U7" s="872" t="s">
        <v>1966</v>
      </c>
      <c r="V7" s="872" t="s">
        <v>1965</v>
      </c>
      <c r="W7" s="872" t="s">
        <v>1964</v>
      </c>
      <c r="X7" s="872" t="s">
        <v>1963</v>
      </c>
      <c r="Y7" s="872" t="s">
        <v>1962</v>
      </c>
      <c r="Z7" s="872" t="s">
        <v>1961</v>
      </c>
      <c r="AA7" s="872" t="s">
        <v>1972</v>
      </c>
      <c r="AB7" s="872" t="s">
        <v>1971</v>
      </c>
      <c r="AC7" s="872" t="s">
        <v>1970</v>
      </c>
      <c r="AD7" s="872" t="s">
        <v>1969</v>
      </c>
      <c r="AE7" s="872" t="s">
        <v>1973</v>
      </c>
      <c r="AF7" s="872" t="s">
        <v>1977</v>
      </c>
      <c r="AG7" s="872" t="s">
        <v>1966</v>
      </c>
      <c r="AH7" s="872" t="s">
        <v>1965</v>
      </c>
      <c r="AI7" s="872" t="s">
        <v>1964</v>
      </c>
      <c r="AJ7" s="872" t="s">
        <v>1963</v>
      </c>
      <c r="AK7" s="872" t="s">
        <v>1962</v>
      </c>
      <c r="AL7" s="872" t="s">
        <v>1961</v>
      </c>
      <c r="AM7" s="872" t="s">
        <v>1972</v>
      </c>
      <c r="AN7" s="872" t="s">
        <v>1971</v>
      </c>
      <c r="AO7" s="872" t="s">
        <v>1970</v>
      </c>
      <c r="AP7" s="872" t="s">
        <v>1969</v>
      </c>
      <c r="AQ7" s="872" t="s">
        <v>1968</v>
      </c>
      <c r="AR7" s="872" t="s">
        <v>1967</v>
      </c>
      <c r="AS7" s="872" t="s">
        <v>1966</v>
      </c>
      <c r="AT7" s="872" t="s">
        <v>1965</v>
      </c>
      <c r="AU7" s="872" t="s">
        <v>1964</v>
      </c>
      <c r="AV7" s="872" t="s">
        <v>1963</v>
      </c>
      <c r="AW7" s="872" t="s">
        <v>1962</v>
      </c>
      <c r="AX7" s="872" t="s">
        <v>1961</v>
      </c>
      <c r="AY7" s="872" t="s">
        <v>1960</v>
      </c>
      <c r="AZ7" s="872" t="s">
        <v>1959</v>
      </c>
      <c r="BA7" s="872" t="s">
        <v>1958</v>
      </c>
      <c r="BB7" s="872" t="s">
        <v>1978</v>
      </c>
      <c r="BC7" s="872" t="s">
        <v>1979</v>
      </c>
      <c r="BD7" s="872" t="s">
        <v>1988</v>
      </c>
      <c r="BE7" s="872" t="s">
        <v>1998</v>
      </c>
      <c r="BF7" s="872" t="s">
        <v>2008</v>
      </c>
      <c r="BG7" s="872" t="s">
        <v>2021</v>
      </c>
      <c r="BH7" s="901" t="s">
        <v>2032</v>
      </c>
      <c r="BI7" s="908" t="s">
        <v>1962</v>
      </c>
      <c r="BJ7" s="908" t="s">
        <v>1961</v>
      </c>
      <c r="BK7" s="908" t="s">
        <v>1960</v>
      </c>
      <c r="BL7" s="908" t="s">
        <v>1959</v>
      </c>
      <c r="BM7" s="908" t="s">
        <v>1958</v>
      </c>
      <c r="BN7" s="908" t="s">
        <v>1978</v>
      </c>
      <c r="BO7" s="908" t="s">
        <v>1979</v>
      </c>
      <c r="BP7" s="908" t="s">
        <v>1988</v>
      </c>
      <c r="BQ7" s="908" t="s">
        <v>1998</v>
      </c>
      <c r="BR7" s="908" t="s">
        <v>2008</v>
      </c>
      <c r="BS7" s="908" t="s">
        <v>2021</v>
      </c>
      <c r="BT7" s="908" t="s">
        <v>2032</v>
      </c>
      <c r="BU7" s="908" t="s">
        <v>1962</v>
      </c>
      <c r="BV7" s="908" t="s">
        <v>1961</v>
      </c>
      <c r="BW7" s="908" t="s">
        <v>1960</v>
      </c>
      <c r="BX7" s="908" t="s">
        <v>1959</v>
      </c>
      <c r="BY7" s="908" t="s">
        <v>1958</v>
      </c>
      <c r="BZ7" s="908" t="s">
        <v>1978</v>
      </c>
      <c r="CA7" s="908" t="s">
        <v>1979</v>
      </c>
      <c r="CB7" s="908" t="s">
        <v>1988</v>
      </c>
      <c r="CC7" s="908" t="s">
        <v>1998</v>
      </c>
      <c r="CD7" s="908" t="s">
        <v>2008</v>
      </c>
      <c r="CE7" s="908" t="s">
        <v>2021</v>
      </c>
      <c r="CF7" s="908" t="s">
        <v>2032</v>
      </c>
      <c r="CG7" s="908" t="s">
        <v>1962</v>
      </c>
      <c r="CH7" s="908" t="s">
        <v>1961</v>
      </c>
      <c r="CI7" s="908" t="s">
        <v>1960</v>
      </c>
      <c r="CJ7" s="908" t="s">
        <v>1959</v>
      </c>
      <c r="CK7" s="908" t="s">
        <v>1958</v>
      </c>
      <c r="CL7" s="908" t="s">
        <v>1978</v>
      </c>
      <c r="CM7" s="908" t="s">
        <v>2426</v>
      </c>
      <c r="CN7" s="908" t="s">
        <v>2432</v>
      </c>
      <c r="CO7" s="908" t="s">
        <v>1998</v>
      </c>
      <c r="CP7" s="908" t="s">
        <v>2008</v>
      </c>
      <c r="CQ7" s="908" t="s">
        <v>2021</v>
      </c>
      <c r="CR7" s="908" t="s">
        <v>2032</v>
      </c>
      <c r="CS7" s="908" t="s">
        <v>1962</v>
      </c>
      <c r="CT7" s="908" t="s">
        <v>1961</v>
      </c>
      <c r="CU7" s="908" t="s">
        <v>1960</v>
      </c>
      <c r="CV7" s="908" t="s">
        <v>1959</v>
      </c>
      <c r="CW7" s="908" t="s">
        <v>1958</v>
      </c>
      <c r="CX7" s="908" t="s">
        <v>1978</v>
      </c>
      <c r="CY7" s="908" t="s">
        <v>1979</v>
      </c>
      <c r="CZ7" s="908" t="s">
        <v>1988</v>
      </c>
      <c r="DA7" s="908" t="s">
        <v>1998</v>
      </c>
      <c r="DB7" s="908" t="s">
        <v>2008</v>
      </c>
      <c r="DC7" s="908" t="s">
        <v>2021</v>
      </c>
      <c r="DD7" s="948" t="s">
        <v>2032</v>
      </c>
      <c r="DE7" s="948" t="s">
        <v>1962</v>
      </c>
      <c r="DF7" s="948" t="s">
        <v>1961</v>
      </c>
      <c r="DG7" s="909" t="s">
        <v>1960</v>
      </c>
      <c r="DH7" s="909" t="s">
        <v>1959</v>
      </c>
      <c r="DI7" s="909" t="s">
        <v>1958</v>
      </c>
      <c r="DJ7" s="909" t="s">
        <v>1978</v>
      </c>
      <c r="DK7" s="909" t="s">
        <v>1979</v>
      </c>
      <c r="DL7" s="909" t="s">
        <v>1988</v>
      </c>
      <c r="DM7" s="909" t="s">
        <v>1998</v>
      </c>
      <c r="DN7" s="909" t="s">
        <v>2008</v>
      </c>
      <c r="DO7" s="909" t="s">
        <v>2021</v>
      </c>
      <c r="DP7" s="909" t="s">
        <v>2032</v>
      </c>
      <c r="DQ7" s="909" t="s">
        <v>1962</v>
      </c>
      <c r="DR7" s="909" t="s">
        <v>1961</v>
      </c>
      <c r="DS7" s="909" t="s">
        <v>1960</v>
      </c>
      <c r="DT7" s="909" t="s">
        <v>1959</v>
      </c>
      <c r="DU7" s="909" t="s">
        <v>1958</v>
      </c>
      <c r="DV7" s="909" t="s">
        <v>1978</v>
      </c>
      <c r="DW7" s="909" t="s">
        <v>1979</v>
      </c>
      <c r="DX7" s="909" t="s">
        <v>1988</v>
      </c>
      <c r="DY7" s="909" t="s">
        <v>1998</v>
      </c>
      <c r="DZ7" s="909" t="s">
        <v>2008</v>
      </c>
      <c r="EA7" s="909" t="s">
        <v>2021</v>
      </c>
      <c r="EB7" s="909" t="s">
        <v>2032</v>
      </c>
      <c r="EC7" s="909" t="s">
        <v>1962</v>
      </c>
      <c r="ED7" s="909" t="s">
        <v>1961</v>
      </c>
      <c r="EE7" s="909" t="s">
        <v>1960</v>
      </c>
      <c r="EF7" s="909" t="s">
        <v>1959</v>
      </c>
      <c r="EG7" s="909" t="s">
        <v>1958</v>
      </c>
      <c r="EH7" s="909" t="s">
        <v>1978</v>
      </c>
      <c r="EI7" s="909" t="s">
        <v>1979</v>
      </c>
      <c r="EJ7" s="909" t="s">
        <v>1988</v>
      </c>
      <c r="EK7" s="909" t="s">
        <v>1998</v>
      </c>
      <c r="EL7" s="909" t="s">
        <v>2008</v>
      </c>
      <c r="EM7" s="909" t="s">
        <v>2021</v>
      </c>
      <c r="EN7" s="909" t="s">
        <v>2032</v>
      </c>
      <c r="EO7" s="909" t="s">
        <v>1962</v>
      </c>
      <c r="EP7" s="909" t="s">
        <v>1961</v>
      </c>
      <c r="EQ7" s="909" t="s">
        <v>1960</v>
      </c>
      <c r="ER7" s="909" t="s">
        <v>1959</v>
      </c>
      <c r="ES7" s="948" t="s">
        <v>1958</v>
      </c>
      <c r="ET7" s="906" t="s">
        <v>1978</v>
      </c>
      <c r="EU7" s="2524"/>
    </row>
    <row r="8" spans="1:289" ht="34.5" customHeight="1">
      <c r="A8" s="1951"/>
      <c r="B8" s="871"/>
      <c r="C8" s="871"/>
      <c r="D8" s="871"/>
      <c r="E8" s="871"/>
      <c r="F8" s="871"/>
      <c r="G8" s="871"/>
      <c r="H8" s="871"/>
      <c r="I8" s="871"/>
      <c r="J8" s="871"/>
      <c r="K8" s="871"/>
      <c r="L8" s="871"/>
      <c r="M8" s="872"/>
      <c r="N8" s="872"/>
      <c r="O8" s="872"/>
      <c r="P8" s="872"/>
      <c r="Q8" s="872"/>
      <c r="R8" s="872"/>
      <c r="S8" s="872"/>
      <c r="T8" s="872"/>
      <c r="U8" s="872"/>
      <c r="V8" s="872"/>
      <c r="W8" s="872"/>
      <c r="X8" s="872"/>
      <c r="Y8" s="872"/>
      <c r="Z8" s="872"/>
      <c r="AA8" s="872"/>
      <c r="AB8" s="872"/>
      <c r="AC8" s="872"/>
      <c r="AD8" s="872"/>
      <c r="AE8" s="872"/>
      <c r="AF8" s="872"/>
      <c r="AG8" s="872"/>
      <c r="AH8" s="872"/>
      <c r="AI8" s="872"/>
      <c r="AJ8" s="872"/>
      <c r="AK8" s="872"/>
      <c r="AL8" s="872"/>
      <c r="AM8" s="872"/>
      <c r="AN8" s="872"/>
      <c r="AO8" s="872"/>
      <c r="AP8" s="872"/>
      <c r="AQ8" s="872"/>
      <c r="AR8" s="872"/>
      <c r="AS8" s="872"/>
      <c r="AT8" s="872"/>
      <c r="AU8" s="872"/>
      <c r="AV8" s="872"/>
      <c r="AW8" s="872"/>
      <c r="AX8" s="872"/>
      <c r="AY8" s="872"/>
      <c r="AZ8" s="872"/>
      <c r="BA8" s="872"/>
      <c r="BB8" s="872"/>
      <c r="BC8" s="872"/>
      <c r="BD8" s="872"/>
      <c r="BE8" s="872"/>
      <c r="BF8" s="872"/>
      <c r="BG8" s="872"/>
      <c r="BH8" s="901"/>
      <c r="BI8" s="1938" t="s">
        <v>3191</v>
      </c>
      <c r="BJ8" s="1938" t="s">
        <v>3191</v>
      </c>
      <c r="BK8" s="1938"/>
      <c r="BL8" s="1938"/>
      <c r="BM8" s="1938"/>
      <c r="BN8" s="1938"/>
      <c r="BO8" s="1938"/>
      <c r="BP8" s="1938"/>
      <c r="BQ8" s="1938"/>
      <c r="BR8" s="1938"/>
      <c r="BS8" s="1938"/>
      <c r="BT8" s="1938"/>
      <c r="BU8" s="1938" t="s">
        <v>3191</v>
      </c>
      <c r="BV8" s="1938" t="s">
        <v>3191</v>
      </c>
      <c r="BW8" s="1938"/>
      <c r="BX8" s="1938"/>
      <c r="BY8" s="1938"/>
      <c r="BZ8" s="1938"/>
      <c r="CA8" s="1938"/>
      <c r="CB8" s="1938"/>
      <c r="CC8" s="1938"/>
      <c r="CD8" s="1938"/>
      <c r="CE8" s="1938"/>
      <c r="CF8" s="1938"/>
      <c r="CG8" s="1938" t="s">
        <v>3191</v>
      </c>
      <c r="CH8" s="1938" t="s">
        <v>3191</v>
      </c>
      <c r="CI8" s="1938"/>
      <c r="CJ8" s="1938"/>
      <c r="CK8" s="1938"/>
      <c r="CL8" s="1938"/>
      <c r="CM8" s="1938"/>
      <c r="CN8" s="1938"/>
      <c r="CO8" s="1938"/>
      <c r="CP8" s="1938"/>
      <c r="CQ8" s="1938"/>
      <c r="CR8" s="1938"/>
      <c r="CS8" s="1938" t="s">
        <v>3191</v>
      </c>
      <c r="CT8" s="1938" t="s">
        <v>3191</v>
      </c>
      <c r="CU8" s="1938"/>
      <c r="CV8" s="1938"/>
      <c r="CW8" s="1938"/>
      <c r="CX8" s="1938"/>
      <c r="CY8" s="1938"/>
      <c r="CZ8" s="1938"/>
      <c r="DA8" s="1938"/>
      <c r="DB8" s="1938"/>
      <c r="DC8" s="1938"/>
      <c r="DD8" s="1938"/>
      <c r="DE8" s="1938" t="s">
        <v>3191</v>
      </c>
      <c r="DF8" s="1938" t="s">
        <v>3191</v>
      </c>
      <c r="DG8" s="1938"/>
      <c r="DH8" s="1938"/>
      <c r="DI8" s="1938"/>
      <c r="DJ8" s="1938"/>
      <c r="DK8" s="1938"/>
      <c r="DL8" s="1938"/>
      <c r="DM8" s="1938"/>
      <c r="DN8" s="1938"/>
      <c r="DO8" s="1938"/>
      <c r="DP8" s="1938"/>
      <c r="DQ8" s="1938" t="s">
        <v>3191</v>
      </c>
      <c r="DR8" s="1938" t="s">
        <v>3191</v>
      </c>
      <c r="DS8" s="1938"/>
      <c r="DT8" s="1938"/>
      <c r="DU8" s="1938"/>
      <c r="DV8" s="1938"/>
      <c r="DW8" s="1938"/>
      <c r="DX8" s="1938"/>
      <c r="DY8" s="1938"/>
      <c r="DZ8" s="1938"/>
      <c r="EA8" s="1938"/>
      <c r="EB8" s="1938"/>
      <c r="EC8" s="1938" t="s">
        <v>3191</v>
      </c>
      <c r="ED8" s="1938" t="s">
        <v>3120</v>
      </c>
      <c r="EE8" s="1938" t="s">
        <v>3121</v>
      </c>
      <c r="EF8" s="1938" t="s">
        <v>3122</v>
      </c>
      <c r="EG8" s="1938" t="s">
        <v>3123</v>
      </c>
      <c r="EH8" s="1938" t="s">
        <v>1978</v>
      </c>
      <c r="EI8" s="1938" t="s">
        <v>3124</v>
      </c>
      <c r="EJ8" s="1938" t="s">
        <v>3125</v>
      </c>
      <c r="EK8" s="1938" t="s">
        <v>3126</v>
      </c>
      <c r="EL8" s="1938" t="s">
        <v>3127</v>
      </c>
      <c r="EM8" s="1938" t="s">
        <v>3190</v>
      </c>
      <c r="EN8" s="1938" t="s">
        <v>3424</v>
      </c>
      <c r="EO8" s="1938" t="s">
        <v>3191</v>
      </c>
      <c r="EP8" s="1938" t="s">
        <v>3120</v>
      </c>
      <c r="EQ8" s="1938" t="s">
        <v>3121</v>
      </c>
      <c r="ER8" s="1938" t="s">
        <v>3122</v>
      </c>
      <c r="ES8" s="1938" t="s">
        <v>3123</v>
      </c>
      <c r="ET8" s="1938" t="s">
        <v>1978</v>
      </c>
      <c r="EU8" s="2525"/>
    </row>
    <row r="9" spans="1:289" ht="21">
      <c r="A9" s="1930" t="s">
        <v>2755</v>
      </c>
      <c r="B9" s="839">
        <v>774.89987827000004</v>
      </c>
      <c r="C9" s="839">
        <v>806.98599349999995</v>
      </c>
      <c r="D9" s="839">
        <v>817.19575879000001</v>
      </c>
      <c r="E9" s="839">
        <v>829.72123290000013</v>
      </c>
      <c r="F9" s="839">
        <v>448.45985101999997</v>
      </c>
      <c r="G9" s="839">
        <v>442.89592489</v>
      </c>
      <c r="H9" s="839">
        <v>488.90894050999998</v>
      </c>
      <c r="I9" s="839">
        <v>482.49486396999993</v>
      </c>
      <c r="J9" s="839">
        <v>515.53094249000003</v>
      </c>
      <c r="K9" s="839">
        <v>497.00290584999993</v>
      </c>
      <c r="L9" s="839">
        <v>500.85395933000001</v>
      </c>
      <c r="M9" s="840">
        <v>506.04149092999995</v>
      </c>
      <c r="N9" s="840">
        <v>514.73581374999992</v>
      </c>
      <c r="O9" s="840">
        <v>529.5908810200001</v>
      </c>
      <c r="P9" s="840">
        <v>579.24930182000003</v>
      </c>
      <c r="Q9" s="840">
        <v>586.28539974</v>
      </c>
      <c r="R9" s="840">
        <v>581.96836254000004</v>
      </c>
      <c r="S9" s="840">
        <v>586.77895809999995</v>
      </c>
      <c r="T9" s="840">
        <v>578.71437349999997</v>
      </c>
      <c r="U9" s="840">
        <v>586.53495371999998</v>
      </c>
      <c r="V9" s="840">
        <v>582.64030193000008</v>
      </c>
      <c r="W9" s="840">
        <v>569.07431792000011</v>
      </c>
      <c r="X9" s="840">
        <v>562.82478220999997</v>
      </c>
      <c r="Y9" s="840">
        <v>736.03862677000006</v>
      </c>
      <c r="Z9" s="840">
        <v>726.45876132000001</v>
      </c>
      <c r="AA9" s="840">
        <v>831.82752202000006</v>
      </c>
      <c r="AB9" s="840">
        <v>866.0972816200001</v>
      </c>
      <c r="AC9" s="840">
        <v>871.72757006000006</v>
      </c>
      <c r="AD9" s="840">
        <v>890.88034559999994</v>
      </c>
      <c r="AE9" s="840">
        <v>894.92473717000007</v>
      </c>
      <c r="AF9" s="840">
        <v>921.03092142999992</v>
      </c>
      <c r="AG9" s="840">
        <v>1005.7535230899999</v>
      </c>
      <c r="AH9" s="840">
        <v>1014.1371359100001</v>
      </c>
      <c r="AI9" s="840">
        <v>1074.4110466299999</v>
      </c>
      <c r="AJ9" s="840">
        <v>1059.7072641499999</v>
      </c>
      <c r="AK9" s="840">
        <v>1464.96452346</v>
      </c>
      <c r="AL9" s="840">
        <v>1501.3373809099999</v>
      </c>
      <c r="AM9" s="840">
        <v>1536.8921674200001</v>
      </c>
      <c r="AN9" s="840">
        <v>1512.8207082200001</v>
      </c>
      <c r="AO9" s="840">
        <v>1511.7901545600002</v>
      </c>
      <c r="AP9" s="840">
        <v>1243.4556798399999</v>
      </c>
      <c r="AQ9" s="840">
        <v>1273.18458379</v>
      </c>
      <c r="AR9" s="840">
        <v>1156.2404554</v>
      </c>
      <c r="AS9" s="840">
        <v>1175.4458427300001</v>
      </c>
      <c r="AT9" s="840">
        <v>1162.7504401900001</v>
      </c>
      <c r="AU9" s="840">
        <v>1164.5475072699999</v>
      </c>
      <c r="AV9" s="840">
        <v>1233.4677069900001</v>
      </c>
      <c r="AW9" s="840">
        <v>1270.7975573800002</v>
      </c>
      <c r="AX9" s="840">
        <v>1395.6981700000001</v>
      </c>
      <c r="AY9" s="840">
        <v>1268.8936271600001</v>
      </c>
      <c r="AZ9" s="840">
        <v>1227.1089426399999</v>
      </c>
      <c r="BA9" s="840">
        <v>1208.7685870400001</v>
      </c>
      <c r="BB9" s="840">
        <v>1001.92446995</v>
      </c>
      <c r="BC9" s="840">
        <v>1022.6385556299999</v>
      </c>
      <c r="BD9" s="840">
        <v>1059.3154159000001</v>
      </c>
      <c r="BE9" s="840">
        <v>1062.6306521900001</v>
      </c>
      <c r="BF9" s="840">
        <v>1060.9058423000001</v>
      </c>
      <c r="BG9" s="840">
        <v>1069.4876785700001</v>
      </c>
      <c r="BH9" s="885">
        <v>1069.57037728</v>
      </c>
      <c r="BI9" s="874">
        <v>1126.7102225399999</v>
      </c>
      <c r="BJ9" s="874">
        <v>1120.4296421500001</v>
      </c>
      <c r="BK9" s="874">
        <v>983.26888073000009</v>
      </c>
      <c r="BL9" s="874">
        <v>992.91432655000006</v>
      </c>
      <c r="BM9" s="874">
        <v>1104.84376737</v>
      </c>
      <c r="BN9" s="874">
        <v>1101.37557242</v>
      </c>
      <c r="BO9" s="874">
        <v>1157.44073469</v>
      </c>
      <c r="BP9" s="874">
        <v>1176.20237238</v>
      </c>
      <c r="BQ9" s="874">
        <v>1175.08520795</v>
      </c>
      <c r="BR9" s="874">
        <v>1289.2964963599998</v>
      </c>
      <c r="BS9" s="874">
        <v>1288.9801127799999</v>
      </c>
      <c r="BT9" s="874">
        <v>1367.1655438299999</v>
      </c>
      <c r="BU9" s="874">
        <v>1370.6535793099999</v>
      </c>
      <c r="BV9" s="874">
        <v>1368.1564542599999</v>
      </c>
      <c r="BW9" s="874">
        <v>1359.0258615700002</v>
      </c>
      <c r="BX9" s="874">
        <v>1357.88037076</v>
      </c>
      <c r="BY9" s="874">
        <v>1271.92489125</v>
      </c>
      <c r="BZ9" s="874">
        <v>1301.1727264900001</v>
      </c>
      <c r="CA9" s="874">
        <v>1335.5882296099999</v>
      </c>
      <c r="CB9" s="874">
        <v>1274.1666465100002</v>
      </c>
      <c r="CC9" s="874">
        <v>1268.7893180599999</v>
      </c>
      <c r="CD9" s="874">
        <v>1167.7401792000001</v>
      </c>
      <c r="CE9" s="874">
        <v>1163.7995481300002</v>
      </c>
      <c r="CF9" s="874">
        <v>1207.65957334</v>
      </c>
      <c r="CG9" s="874">
        <v>1203.8487096499998</v>
      </c>
      <c r="CH9" s="874">
        <v>1177.10613827</v>
      </c>
      <c r="CI9" s="874">
        <v>1172.1177573999998</v>
      </c>
      <c r="CJ9" s="874">
        <v>1168.1839398400002</v>
      </c>
      <c r="CK9" s="874">
        <v>1101.1423324299999</v>
      </c>
      <c r="CL9" s="874">
        <v>961.53081285999986</v>
      </c>
      <c r="CM9" s="874">
        <v>915.38829026000008</v>
      </c>
      <c r="CN9" s="874">
        <v>917.40482293999992</v>
      </c>
      <c r="CO9" s="874">
        <v>901.43872137000005</v>
      </c>
      <c r="CP9" s="874">
        <v>891.58932236999988</v>
      </c>
      <c r="CQ9" s="874">
        <v>875.18294334000007</v>
      </c>
      <c r="CR9" s="874">
        <v>857.47137640999995</v>
      </c>
      <c r="CS9" s="874">
        <v>847.85810412000001</v>
      </c>
      <c r="CT9" s="874">
        <v>831.50276643999996</v>
      </c>
      <c r="CU9" s="874">
        <v>859.87628553000002</v>
      </c>
      <c r="CV9" s="874">
        <v>853.29803943000002</v>
      </c>
      <c r="CW9" s="874">
        <v>870.09419117000004</v>
      </c>
      <c r="CX9" s="874">
        <v>824.98340723000001</v>
      </c>
      <c r="CY9" s="874">
        <v>820.05745450999996</v>
      </c>
      <c r="CZ9" s="874">
        <v>756.40349148999996</v>
      </c>
      <c r="DA9" s="874">
        <v>747.68904634</v>
      </c>
      <c r="DB9" s="874">
        <v>751.53076547000001</v>
      </c>
      <c r="DC9" s="874">
        <v>746.35539194</v>
      </c>
      <c r="DD9" s="945">
        <v>740.65590216999999</v>
      </c>
      <c r="DE9" s="945">
        <v>733.94094085999996</v>
      </c>
      <c r="DF9" s="945">
        <v>741.22516050000002</v>
      </c>
      <c r="DG9" s="897">
        <v>728.15753729000005</v>
      </c>
      <c r="DH9" s="897">
        <v>734.21636339999998</v>
      </c>
      <c r="DI9" s="897">
        <v>739.31876212999998</v>
      </c>
      <c r="DJ9" s="897">
        <v>758.37285073999999</v>
      </c>
      <c r="DK9" s="897">
        <v>770.25907812000003</v>
      </c>
      <c r="DL9" s="897">
        <v>778.42155815000001</v>
      </c>
      <c r="DM9" s="897">
        <v>755.42052295999997</v>
      </c>
      <c r="DN9" s="897">
        <v>789.14396804</v>
      </c>
      <c r="DO9" s="897">
        <v>794.39277890000005</v>
      </c>
      <c r="DP9" s="897">
        <v>797.74826809000001</v>
      </c>
      <c r="DQ9" s="897">
        <v>788.56792967000001</v>
      </c>
      <c r="DR9" s="897">
        <v>781.41484681999998</v>
      </c>
      <c r="DS9" s="897">
        <v>766.25506600999995</v>
      </c>
      <c r="DT9" s="897">
        <v>796.96831259999999</v>
      </c>
      <c r="DU9" s="897">
        <v>820.09704146000001</v>
      </c>
      <c r="DV9" s="897">
        <v>856.07240155</v>
      </c>
      <c r="DW9" s="897">
        <v>1089.99946987</v>
      </c>
      <c r="DX9" s="897">
        <v>1076.02517726</v>
      </c>
      <c r="DY9" s="897">
        <v>1098.5173462400001</v>
      </c>
      <c r="DZ9" s="897">
        <v>1105.06507093</v>
      </c>
      <c r="EA9" s="897">
        <v>1321.41701459</v>
      </c>
      <c r="EB9" s="897">
        <v>1314.2108879</v>
      </c>
      <c r="EC9" s="897">
        <v>1421.0077585399999</v>
      </c>
      <c r="ED9" s="897">
        <v>1390.6909822099999</v>
      </c>
      <c r="EE9" s="897">
        <v>1462.80029496</v>
      </c>
      <c r="EF9" s="897">
        <v>1466.9427995999999</v>
      </c>
      <c r="EG9" s="897">
        <v>1542.2544693</v>
      </c>
      <c r="EH9" s="897">
        <v>1681.7985262300001</v>
      </c>
      <c r="EI9" s="897">
        <v>1709.8807681400001</v>
      </c>
      <c r="EJ9" s="897">
        <v>1696.3784745</v>
      </c>
      <c r="EK9" s="897">
        <v>1705.2883640800001</v>
      </c>
      <c r="EL9" s="897">
        <v>1768.2495564999999</v>
      </c>
      <c r="EM9" s="897">
        <v>1807.3631336399999</v>
      </c>
      <c r="EN9" s="897">
        <v>1816.8445370899999</v>
      </c>
      <c r="EO9" s="897">
        <v>1854.0983942099999</v>
      </c>
      <c r="EP9" s="897">
        <v>1837.96866</v>
      </c>
      <c r="EQ9" s="897">
        <v>1852.2721150699999</v>
      </c>
      <c r="ER9" s="897">
        <v>1887.5358671500001</v>
      </c>
      <c r="ES9" s="897">
        <v>1887.5281951500001</v>
      </c>
      <c r="ET9" s="897">
        <v>1898.9688741099999</v>
      </c>
      <c r="EU9" s="1918" t="s">
        <v>1159</v>
      </c>
      <c r="EY9" s="340"/>
      <c r="EZ9" s="341"/>
    </row>
    <row r="10" spans="1:289" ht="21">
      <c r="A10" s="1931" t="s">
        <v>1974</v>
      </c>
      <c r="B10" s="842">
        <v>470.33041431999999</v>
      </c>
      <c r="C10" s="842">
        <v>482.01647725999999</v>
      </c>
      <c r="D10" s="842">
        <v>490.5559197</v>
      </c>
      <c r="E10" s="842">
        <v>498.72304463</v>
      </c>
      <c r="F10" s="842">
        <v>118.74163664</v>
      </c>
      <c r="G10" s="842">
        <v>108.19685994000001</v>
      </c>
      <c r="H10" s="842">
        <v>136.06096600999999</v>
      </c>
      <c r="I10" s="842">
        <v>134.05635708</v>
      </c>
      <c r="J10" s="842">
        <v>141.09821805000001</v>
      </c>
      <c r="K10" s="842">
        <v>131.09943238</v>
      </c>
      <c r="L10" s="842">
        <v>135.14853092000001</v>
      </c>
      <c r="M10" s="843">
        <v>131.08763291999998</v>
      </c>
      <c r="N10" s="843">
        <v>137.21736048999998</v>
      </c>
      <c r="O10" s="843">
        <v>144.02456171</v>
      </c>
      <c r="P10" s="843">
        <v>205.66816359000001</v>
      </c>
      <c r="Q10" s="843">
        <v>215.91092725999999</v>
      </c>
      <c r="R10" s="843">
        <v>221.94209365999998</v>
      </c>
      <c r="S10" s="843">
        <v>224.63880134999999</v>
      </c>
      <c r="T10" s="843">
        <v>221.55502951</v>
      </c>
      <c r="U10" s="843">
        <v>221.02653531999999</v>
      </c>
      <c r="V10" s="843">
        <v>223.51583880000001</v>
      </c>
      <c r="W10" s="843">
        <v>227.59999175999997</v>
      </c>
      <c r="X10" s="843">
        <v>229.86968580999996</v>
      </c>
      <c r="Y10" s="843">
        <v>393.36210693999999</v>
      </c>
      <c r="Z10" s="843">
        <v>388.02356772999997</v>
      </c>
      <c r="AA10" s="843">
        <v>436.99734518000002</v>
      </c>
      <c r="AB10" s="843">
        <v>454.13826929000004</v>
      </c>
      <c r="AC10" s="843">
        <v>449.91782843999999</v>
      </c>
      <c r="AD10" s="843">
        <v>459.96901541999995</v>
      </c>
      <c r="AE10" s="843">
        <v>459.89180684000002</v>
      </c>
      <c r="AF10" s="843">
        <v>452.38938588999997</v>
      </c>
      <c r="AG10" s="843">
        <v>539.40436950999992</v>
      </c>
      <c r="AH10" s="843">
        <v>543.35058392999997</v>
      </c>
      <c r="AI10" s="843">
        <v>590.25791898</v>
      </c>
      <c r="AJ10" s="843">
        <v>587.18085044999998</v>
      </c>
      <c r="AK10" s="843">
        <v>835.96484687999998</v>
      </c>
      <c r="AL10" s="843">
        <v>859.81413688999987</v>
      </c>
      <c r="AM10" s="843">
        <v>915.97287056000005</v>
      </c>
      <c r="AN10" s="843">
        <v>889.22349469999995</v>
      </c>
      <c r="AO10" s="843">
        <v>904.59454247999997</v>
      </c>
      <c r="AP10" s="843">
        <v>635.17052659000001</v>
      </c>
      <c r="AQ10" s="843">
        <v>649.76178717999994</v>
      </c>
      <c r="AR10" s="843">
        <v>658.46331538000004</v>
      </c>
      <c r="AS10" s="843">
        <v>666.23566278999999</v>
      </c>
      <c r="AT10" s="843">
        <v>662.05018065000002</v>
      </c>
      <c r="AU10" s="843">
        <v>655.82043627999997</v>
      </c>
      <c r="AV10" s="843">
        <v>692.64777032000006</v>
      </c>
      <c r="AW10" s="843">
        <v>716.52135666000004</v>
      </c>
      <c r="AX10" s="843">
        <v>815.97289054999999</v>
      </c>
      <c r="AY10" s="843">
        <v>739.92917187</v>
      </c>
      <c r="AZ10" s="843">
        <v>717.05636463999997</v>
      </c>
      <c r="BA10" s="843">
        <v>713.26840070000003</v>
      </c>
      <c r="BB10" s="843">
        <v>514.74406880000004</v>
      </c>
      <c r="BC10" s="843">
        <v>449.93814546999999</v>
      </c>
      <c r="BD10" s="843">
        <v>556.28803870000002</v>
      </c>
      <c r="BE10" s="843">
        <v>562.03467877000003</v>
      </c>
      <c r="BF10" s="843">
        <v>564.23899266000001</v>
      </c>
      <c r="BG10" s="843">
        <v>560.90701624000008</v>
      </c>
      <c r="BH10" s="886">
        <v>558.24920702999998</v>
      </c>
      <c r="BI10" s="875">
        <v>587.45271791999994</v>
      </c>
      <c r="BJ10" s="875">
        <v>576.41761564000001</v>
      </c>
      <c r="BK10" s="875">
        <v>448.34323267999997</v>
      </c>
      <c r="BL10" s="875">
        <v>438.21877163999994</v>
      </c>
      <c r="BM10" s="875">
        <v>440.79072854999998</v>
      </c>
      <c r="BN10" s="875">
        <v>439.97160451999997</v>
      </c>
      <c r="BO10" s="875">
        <v>460.61150981999998</v>
      </c>
      <c r="BP10" s="875">
        <v>466.35573925000006</v>
      </c>
      <c r="BQ10" s="875">
        <v>464.39037102999998</v>
      </c>
      <c r="BR10" s="875">
        <v>468.22312769000001</v>
      </c>
      <c r="BS10" s="875">
        <v>461.28682637999998</v>
      </c>
      <c r="BT10" s="875">
        <v>462.71017678999999</v>
      </c>
      <c r="BU10" s="875">
        <v>473.28663753000001</v>
      </c>
      <c r="BV10" s="875">
        <v>466.40882180000006</v>
      </c>
      <c r="BW10" s="875">
        <v>472.49069474000004</v>
      </c>
      <c r="BX10" s="875">
        <v>469.18256199000001</v>
      </c>
      <c r="BY10" s="875">
        <v>400.03511544999998</v>
      </c>
      <c r="BZ10" s="875">
        <v>407.39206663000004</v>
      </c>
      <c r="CA10" s="875">
        <v>406.87375298999996</v>
      </c>
      <c r="CB10" s="875">
        <v>402.11777109999997</v>
      </c>
      <c r="CC10" s="875">
        <v>399.35571682000005</v>
      </c>
      <c r="CD10" s="875">
        <v>276.84450260999995</v>
      </c>
      <c r="CE10" s="875">
        <v>282.57323888000002</v>
      </c>
      <c r="CF10" s="875">
        <v>270.02359273000002</v>
      </c>
      <c r="CG10" s="875">
        <v>289.62521072999999</v>
      </c>
      <c r="CH10" s="875">
        <v>261.82338851999998</v>
      </c>
      <c r="CI10" s="875">
        <v>269.92292183999996</v>
      </c>
      <c r="CJ10" s="875">
        <v>276.25197876999999</v>
      </c>
      <c r="CK10" s="875">
        <v>272.28082657000004</v>
      </c>
      <c r="CL10" s="875">
        <v>211.66581278999999</v>
      </c>
      <c r="CM10" s="875">
        <v>193.70737768999999</v>
      </c>
      <c r="CN10" s="875">
        <v>193.03314757000001</v>
      </c>
      <c r="CO10" s="875">
        <v>187.74701800000003</v>
      </c>
      <c r="CP10" s="875">
        <v>187.18031102999998</v>
      </c>
      <c r="CQ10" s="875">
        <v>189.93353534000002</v>
      </c>
      <c r="CR10" s="875">
        <v>190.64017178</v>
      </c>
      <c r="CS10" s="875">
        <v>173.28483374999999</v>
      </c>
      <c r="CT10" s="875">
        <v>171.06707675999999</v>
      </c>
      <c r="CU10" s="875">
        <v>169.51842887000001</v>
      </c>
      <c r="CV10" s="875">
        <v>170.57506821999999</v>
      </c>
      <c r="CW10" s="875">
        <v>169.32613724999999</v>
      </c>
      <c r="CX10" s="875">
        <v>163.59614475999999</v>
      </c>
      <c r="CY10" s="875">
        <v>180.80696243</v>
      </c>
      <c r="CZ10" s="875">
        <v>179.16939737999999</v>
      </c>
      <c r="DA10" s="875">
        <v>177.69214934999999</v>
      </c>
      <c r="DB10" s="875">
        <v>176.30831752</v>
      </c>
      <c r="DC10" s="875">
        <v>174.87861373000001</v>
      </c>
      <c r="DD10" s="946">
        <v>163.74010878000001</v>
      </c>
      <c r="DE10" s="946">
        <v>163.89743983</v>
      </c>
      <c r="DF10" s="946">
        <v>163.86037561000001</v>
      </c>
      <c r="DG10" s="898">
        <v>163.85986507999999</v>
      </c>
      <c r="DH10" s="898">
        <v>163.84735309999999</v>
      </c>
      <c r="DI10" s="898">
        <v>163.83257510000001</v>
      </c>
      <c r="DJ10" s="898">
        <v>163.78346113000001</v>
      </c>
      <c r="DK10" s="898">
        <v>163.77177048999999</v>
      </c>
      <c r="DL10" s="898">
        <v>163.74109053999999</v>
      </c>
      <c r="DM10" s="898">
        <v>152.39220904999999</v>
      </c>
      <c r="DN10" s="898">
        <v>152.66013919</v>
      </c>
      <c r="DO10" s="898">
        <v>146.94425215000001</v>
      </c>
      <c r="DP10" s="898">
        <v>141.31359064</v>
      </c>
      <c r="DQ10" s="898">
        <v>98.171173249999995</v>
      </c>
      <c r="DR10" s="898">
        <v>96.143053170000002</v>
      </c>
      <c r="DS10" s="898">
        <v>96.142682820000005</v>
      </c>
      <c r="DT10" s="898">
        <v>96.119826759999995</v>
      </c>
      <c r="DU10" s="898">
        <v>96.096153959999995</v>
      </c>
      <c r="DV10" s="898">
        <v>96.072547170000007</v>
      </c>
      <c r="DW10" s="898">
        <v>96.091957750000006</v>
      </c>
      <c r="DX10" s="898">
        <v>96.053906449999999</v>
      </c>
      <c r="DY10" s="898">
        <v>94.838897309999993</v>
      </c>
      <c r="DZ10" s="898">
        <v>56.138270470000002</v>
      </c>
      <c r="EA10" s="898">
        <v>258.88372269000001</v>
      </c>
      <c r="EB10" s="898">
        <v>258.85848026999997</v>
      </c>
      <c r="EC10" s="898">
        <v>233.33244382000001</v>
      </c>
      <c r="ED10" s="898">
        <v>227.48407116000001</v>
      </c>
      <c r="EE10" s="898">
        <v>227.47848124000001</v>
      </c>
      <c r="EF10" s="898">
        <v>227.45289439000001</v>
      </c>
      <c r="EG10" s="898">
        <v>222.43931957000001</v>
      </c>
      <c r="EH10" s="898">
        <v>254.11999428999999</v>
      </c>
      <c r="EI10" s="898">
        <v>281.39951595999997</v>
      </c>
      <c r="EJ10" s="898">
        <v>275.42939969000003</v>
      </c>
      <c r="EK10" s="898">
        <v>275.36026827000001</v>
      </c>
      <c r="EL10" s="898">
        <v>322.39130168000003</v>
      </c>
      <c r="EM10" s="898">
        <v>394.73333996000002</v>
      </c>
      <c r="EN10" s="898">
        <v>403.51873361999998</v>
      </c>
      <c r="EO10" s="898">
        <v>404.65343916</v>
      </c>
      <c r="EP10" s="898">
        <v>409.65857133999998</v>
      </c>
      <c r="EQ10" s="898">
        <v>409.60058930000002</v>
      </c>
      <c r="ER10" s="898">
        <v>409.58978452000002</v>
      </c>
      <c r="ES10" s="898">
        <v>408.17919225000003</v>
      </c>
      <c r="ET10" s="898">
        <v>413.57465551000001</v>
      </c>
      <c r="EU10" s="1920" t="s">
        <v>4086</v>
      </c>
      <c r="EZ10" s="342"/>
    </row>
    <row r="11" spans="1:289" ht="21">
      <c r="A11" s="1931" t="s">
        <v>1975</v>
      </c>
      <c r="B11" s="839">
        <f>+B9-B10</f>
        <v>304.56946395000006</v>
      </c>
      <c r="C11" s="839">
        <f t="shared" ref="C11:V11" si="0">+C9-C10</f>
        <v>324.96951623999996</v>
      </c>
      <c r="D11" s="839">
        <f t="shared" si="0"/>
        <v>326.63983909000001</v>
      </c>
      <c r="E11" s="839">
        <f t="shared" si="0"/>
        <v>330.99818827000013</v>
      </c>
      <c r="F11" s="839">
        <f t="shared" si="0"/>
        <v>329.71821437999995</v>
      </c>
      <c r="G11" s="839">
        <f t="shared" si="0"/>
        <v>334.69906494999998</v>
      </c>
      <c r="H11" s="839">
        <f t="shared" si="0"/>
        <v>352.84797449999996</v>
      </c>
      <c r="I11" s="839">
        <f t="shared" si="0"/>
        <v>348.43850688999993</v>
      </c>
      <c r="J11" s="839">
        <f t="shared" si="0"/>
        <v>374.43272444000002</v>
      </c>
      <c r="K11" s="839">
        <f t="shared" si="0"/>
        <v>365.90347346999994</v>
      </c>
      <c r="L11" s="839">
        <f t="shared" si="0"/>
        <v>365.70542840999997</v>
      </c>
      <c r="M11" s="843">
        <f t="shared" si="0"/>
        <v>374.95385800999998</v>
      </c>
      <c r="N11" s="840">
        <f t="shared" si="0"/>
        <v>377.51845325999994</v>
      </c>
      <c r="O11" s="840">
        <f t="shared" si="0"/>
        <v>385.5663193100001</v>
      </c>
      <c r="P11" s="840">
        <f t="shared" si="0"/>
        <v>373.58113823000002</v>
      </c>
      <c r="Q11" s="840">
        <f t="shared" si="0"/>
        <v>370.37447248000001</v>
      </c>
      <c r="R11" s="840">
        <f t="shared" si="0"/>
        <v>360.02626888000009</v>
      </c>
      <c r="S11" s="840">
        <f t="shared" si="0"/>
        <v>362.14015674999996</v>
      </c>
      <c r="T11" s="840">
        <f t="shared" si="0"/>
        <v>357.15934398999997</v>
      </c>
      <c r="U11" s="840">
        <f t="shared" si="0"/>
        <v>365.50841839999998</v>
      </c>
      <c r="V11" s="840">
        <f t="shared" si="0"/>
        <v>359.12446313000009</v>
      </c>
      <c r="W11" s="840">
        <v>341.47432616000015</v>
      </c>
      <c r="X11" s="840">
        <v>332.9550964</v>
      </c>
      <c r="Y11" s="843">
        <v>342.67651983000007</v>
      </c>
      <c r="Z11" s="840">
        <v>338.43519359000004</v>
      </c>
      <c r="AA11" s="840">
        <v>394.83017684000004</v>
      </c>
      <c r="AB11" s="843">
        <f>AB9-AB10</f>
        <v>411.95901233000006</v>
      </c>
      <c r="AC11" s="843">
        <v>421.80974162000007</v>
      </c>
      <c r="AD11" s="843">
        <v>430.91133017999999</v>
      </c>
      <c r="AE11" s="843">
        <v>435.03293033000006</v>
      </c>
      <c r="AF11" s="843">
        <v>468.64153553999995</v>
      </c>
      <c r="AG11" s="843">
        <v>466.34915358000001</v>
      </c>
      <c r="AH11" s="843">
        <f>AH9-AH10</f>
        <v>470.78655198000013</v>
      </c>
      <c r="AI11" s="843">
        <v>484.15312764999987</v>
      </c>
      <c r="AJ11" s="843">
        <f>AJ9-AJ10</f>
        <v>472.52641369999992</v>
      </c>
      <c r="AK11" s="843">
        <f>AK9-AK10</f>
        <v>628.99967658000003</v>
      </c>
      <c r="AL11" s="843">
        <v>641.52324401999999</v>
      </c>
      <c r="AM11" s="843">
        <f>AM9-AM10</f>
        <v>620.91929686000003</v>
      </c>
      <c r="AN11" s="843">
        <f>AN9-AN10</f>
        <v>623.5972135200002</v>
      </c>
      <c r="AO11" s="843">
        <f>AO9-AO10</f>
        <v>607.19561208000027</v>
      </c>
      <c r="AP11" s="843">
        <f>AP9-AP10</f>
        <v>608.28515324999989</v>
      </c>
      <c r="AQ11" s="843">
        <v>623.42279661000009</v>
      </c>
      <c r="AR11" s="843">
        <f>AR9-AR10</f>
        <v>497.77714001999993</v>
      </c>
      <c r="AS11" s="843">
        <v>509.2101799400001</v>
      </c>
      <c r="AT11" s="843">
        <f>AT9-AT10</f>
        <v>500.70025954000005</v>
      </c>
      <c r="AU11" s="843">
        <v>508.7270709899999</v>
      </c>
      <c r="AV11" s="843">
        <v>540.81993667000006</v>
      </c>
      <c r="AW11" s="843">
        <v>554.27620072000013</v>
      </c>
      <c r="AX11" s="843">
        <v>579.72527945000013</v>
      </c>
      <c r="AY11" s="843">
        <v>528.96445529000005</v>
      </c>
      <c r="AZ11" s="843">
        <v>510.05257799999993</v>
      </c>
      <c r="BA11" s="843">
        <v>495.50018634000003</v>
      </c>
      <c r="BB11" s="843">
        <v>487.18040114999997</v>
      </c>
      <c r="BC11" s="843">
        <v>572.70041015999993</v>
      </c>
      <c r="BD11" s="843">
        <f>+BD9-BD10</f>
        <v>503.02737720000005</v>
      </c>
      <c r="BE11" s="843">
        <v>500.59597342000006</v>
      </c>
      <c r="BF11" s="843">
        <v>496.66684964000012</v>
      </c>
      <c r="BG11" s="843">
        <v>508.58066233</v>
      </c>
      <c r="BH11" s="886">
        <v>511.32117025000002</v>
      </c>
      <c r="BI11" s="875">
        <v>539.25750461999996</v>
      </c>
      <c r="BJ11" s="875">
        <v>544.01202651000006</v>
      </c>
      <c r="BK11" s="875">
        <v>534.92564805000006</v>
      </c>
      <c r="BL11" s="875">
        <v>554.69555491000006</v>
      </c>
      <c r="BM11" s="875">
        <v>664.05303881999998</v>
      </c>
      <c r="BN11" s="875">
        <v>661.4039679</v>
      </c>
      <c r="BO11" s="875">
        <v>696.82922486999996</v>
      </c>
      <c r="BP11" s="875">
        <v>709.84663312999999</v>
      </c>
      <c r="BQ11" s="875">
        <v>710.69483692000006</v>
      </c>
      <c r="BR11" s="875">
        <v>821.07336866999981</v>
      </c>
      <c r="BS11" s="875">
        <v>827.69328639999992</v>
      </c>
      <c r="BT11" s="875">
        <v>904.45536703999994</v>
      </c>
      <c r="BU11" s="875">
        <v>897.36694177999993</v>
      </c>
      <c r="BV11" s="875">
        <v>901.74763245999986</v>
      </c>
      <c r="BW11" s="875">
        <v>886.53516683000021</v>
      </c>
      <c r="BX11" s="875">
        <v>888.69780876999994</v>
      </c>
      <c r="BY11" s="875">
        <v>871.88977580000005</v>
      </c>
      <c r="BZ11" s="875">
        <v>893.78065986000001</v>
      </c>
      <c r="CA11" s="875">
        <v>928.71447661999991</v>
      </c>
      <c r="CB11" s="875">
        <v>872.04887541000016</v>
      </c>
      <c r="CC11" s="875">
        <v>869.43360123999992</v>
      </c>
      <c r="CD11" s="875">
        <v>890.89567659000011</v>
      </c>
      <c r="CE11" s="875">
        <f t="shared" ref="CE11:CP11" si="1">+CE9-CE10</f>
        <v>881.22630925000021</v>
      </c>
      <c r="CF11" s="875">
        <f t="shared" si="1"/>
        <v>937.63598060999993</v>
      </c>
      <c r="CG11" s="875">
        <f t="shared" si="1"/>
        <v>914.22349891999988</v>
      </c>
      <c r="CH11" s="875">
        <f t="shared" si="1"/>
        <v>915.28274974999999</v>
      </c>
      <c r="CI11" s="875">
        <f t="shared" si="1"/>
        <v>902.19483555999989</v>
      </c>
      <c r="CJ11" s="875">
        <f t="shared" si="1"/>
        <v>891.93196107000017</v>
      </c>
      <c r="CK11" s="875">
        <f t="shared" si="1"/>
        <v>828.86150585999985</v>
      </c>
      <c r="CL11" s="875">
        <f t="shared" si="1"/>
        <v>749.86500006999984</v>
      </c>
      <c r="CM11" s="875">
        <f t="shared" si="1"/>
        <v>721.68091257000015</v>
      </c>
      <c r="CN11" s="875">
        <f t="shared" si="1"/>
        <v>724.37167536999993</v>
      </c>
      <c r="CO11" s="875">
        <f t="shared" si="1"/>
        <v>713.69170337000003</v>
      </c>
      <c r="CP11" s="875">
        <f t="shared" si="1"/>
        <v>704.40901133999989</v>
      </c>
      <c r="CQ11" s="875">
        <f>+CQ9-CQ10</f>
        <v>685.24940800000002</v>
      </c>
      <c r="CR11" s="875">
        <f>+CR9-CR10</f>
        <v>666.83120463</v>
      </c>
      <c r="CS11" s="875">
        <v>674.57327037000005</v>
      </c>
      <c r="CT11" s="875">
        <v>660.43568968</v>
      </c>
      <c r="CU11" s="875">
        <v>690.35785666000004</v>
      </c>
      <c r="CV11" s="875">
        <v>682.72297120999997</v>
      </c>
      <c r="CW11" s="875">
        <v>700.76805392000006</v>
      </c>
      <c r="CX11" s="875">
        <v>661.38726247</v>
      </c>
      <c r="CY11" s="875">
        <v>639.25049207999996</v>
      </c>
      <c r="CZ11" s="875">
        <v>577.23409411</v>
      </c>
      <c r="DA11" s="875">
        <v>569.99689698999998</v>
      </c>
      <c r="DB11" s="875">
        <v>575.22244794999995</v>
      </c>
      <c r="DC11" s="875">
        <v>571.47677821000002</v>
      </c>
      <c r="DD11" s="946">
        <v>576.91579338999998</v>
      </c>
      <c r="DE11" s="946">
        <v>570.04350103000002</v>
      </c>
      <c r="DF11" s="946">
        <v>577.36478489000001</v>
      </c>
      <c r="DG11" s="898">
        <v>564.29767220999997</v>
      </c>
      <c r="DH11" s="898">
        <v>570.36901030000001</v>
      </c>
      <c r="DI11" s="898">
        <v>575.48618703</v>
      </c>
      <c r="DJ11" s="898">
        <v>594.58938961000001</v>
      </c>
      <c r="DK11" s="898">
        <v>606.48730763000003</v>
      </c>
      <c r="DL11" s="898">
        <v>614.68046761000005</v>
      </c>
      <c r="DM11" s="898">
        <v>603.02831390999995</v>
      </c>
      <c r="DN11" s="898">
        <v>636.48382885000001</v>
      </c>
      <c r="DO11" s="898">
        <v>647.44852675000004</v>
      </c>
      <c r="DP11" s="898">
        <v>656.43467744999998</v>
      </c>
      <c r="DQ11" s="898">
        <v>690.39675641999997</v>
      </c>
      <c r="DR11" s="898">
        <v>685.27179364999995</v>
      </c>
      <c r="DS11" s="898">
        <v>670.11238318999995</v>
      </c>
      <c r="DT11" s="898">
        <v>700.84848583999997</v>
      </c>
      <c r="DU11" s="898">
        <v>724.00088749999998</v>
      </c>
      <c r="DV11" s="898">
        <v>759.99985437999999</v>
      </c>
      <c r="DW11" s="898">
        <v>993.90751211999998</v>
      </c>
      <c r="DX11" s="898">
        <v>979.97127080999996</v>
      </c>
      <c r="DY11" s="898">
        <v>1003.6784489299999</v>
      </c>
      <c r="DZ11" s="898">
        <v>1048.9268004600001</v>
      </c>
      <c r="EA11" s="898">
        <v>1062.5332919</v>
      </c>
      <c r="EB11" s="898">
        <v>1055.35240763</v>
      </c>
      <c r="EC11" s="898">
        <v>1187.67531472</v>
      </c>
      <c r="ED11" s="898">
        <v>1163.2069110499999</v>
      </c>
      <c r="EE11" s="898">
        <v>1235.3218137199999</v>
      </c>
      <c r="EF11" s="898">
        <v>1239.48990521</v>
      </c>
      <c r="EG11" s="898">
        <v>1319.81514973</v>
      </c>
      <c r="EH11" s="898">
        <v>1427.6785319400001</v>
      </c>
      <c r="EI11" s="898">
        <v>1428.48125218</v>
      </c>
      <c r="EJ11" s="898">
        <v>1420.94907481</v>
      </c>
      <c r="EK11" s="898">
        <v>1429.9280958100001</v>
      </c>
      <c r="EL11" s="898">
        <v>1445.85825482</v>
      </c>
      <c r="EM11" s="898">
        <v>1412.6297936799999</v>
      </c>
      <c r="EN11" s="898">
        <v>1413.32580347</v>
      </c>
      <c r="EO11" s="898">
        <v>1449.4449550500001</v>
      </c>
      <c r="EP11" s="898">
        <v>1428.31008866</v>
      </c>
      <c r="EQ11" s="898">
        <v>1442.67152577</v>
      </c>
      <c r="ER11" s="898">
        <v>1477.9460826300001</v>
      </c>
      <c r="ES11" s="898">
        <v>1479.3490029</v>
      </c>
      <c r="ET11" s="898">
        <v>1485.3942185999999</v>
      </c>
      <c r="EU11" s="1920" t="s">
        <v>4085</v>
      </c>
      <c r="EZ11" s="342"/>
    </row>
    <row r="12" spans="1:289" ht="21">
      <c r="A12" s="1929"/>
      <c r="B12" s="842"/>
      <c r="C12" s="842"/>
      <c r="D12" s="842"/>
      <c r="E12" s="842"/>
      <c r="F12" s="842"/>
      <c r="G12" s="842"/>
      <c r="H12" s="842"/>
      <c r="I12" s="842"/>
      <c r="J12" s="842"/>
      <c r="K12" s="842"/>
      <c r="L12" s="842"/>
      <c r="M12" s="843"/>
      <c r="N12" s="843"/>
      <c r="O12" s="843"/>
      <c r="P12" s="843"/>
      <c r="Q12" s="843"/>
      <c r="R12" s="843"/>
      <c r="S12" s="843"/>
      <c r="T12" s="843"/>
      <c r="U12" s="843"/>
      <c r="V12" s="843"/>
      <c r="W12" s="843"/>
      <c r="X12" s="843"/>
      <c r="Y12" s="843"/>
      <c r="Z12" s="843"/>
      <c r="AA12" s="843"/>
      <c r="AB12" s="843"/>
      <c r="AC12" s="843"/>
      <c r="AD12" s="843"/>
      <c r="AE12" s="843"/>
      <c r="AF12" s="843"/>
      <c r="AG12" s="843"/>
      <c r="AH12" s="843"/>
      <c r="AI12" s="843"/>
      <c r="AJ12" s="843"/>
      <c r="AK12" s="843"/>
      <c r="AL12" s="843"/>
      <c r="AM12" s="843"/>
      <c r="AN12" s="843"/>
      <c r="AO12" s="843"/>
      <c r="AP12" s="843"/>
      <c r="AQ12" s="843"/>
      <c r="AR12" s="843"/>
      <c r="AS12" s="843"/>
      <c r="AT12" s="843"/>
      <c r="AU12" s="843"/>
      <c r="AV12" s="843"/>
      <c r="AW12" s="843"/>
      <c r="AX12" s="843"/>
      <c r="AY12" s="843"/>
      <c r="AZ12" s="843"/>
      <c r="BA12" s="843"/>
      <c r="BB12" s="843"/>
      <c r="BC12" s="843"/>
      <c r="BD12" s="843"/>
      <c r="BE12" s="843"/>
      <c r="BF12" s="843"/>
      <c r="BG12" s="843"/>
      <c r="BH12" s="886"/>
      <c r="BI12" s="875"/>
      <c r="BJ12" s="875"/>
      <c r="BK12" s="875"/>
      <c r="BL12" s="875"/>
      <c r="BM12" s="875"/>
      <c r="BN12" s="875"/>
      <c r="BO12" s="875"/>
      <c r="BP12" s="875"/>
      <c r="BQ12" s="875"/>
      <c r="BR12" s="875"/>
      <c r="BS12" s="875"/>
      <c r="BT12" s="875"/>
      <c r="BU12" s="875"/>
      <c r="BV12" s="875"/>
      <c r="BW12" s="875"/>
      <c r="BX12" s="875"/>
      <c r="BY12" s="875"/>
      <c r="BZ12" s="875"/>
      <c r="CA12" s="875"/>
      <c r="CB12" s="875"/>
      <c r="CC12" s="875"/>
      <c r="CD12" s="875"/>
      <c r="CE12" s="875"/>
      <c r="CF12" s="875"/>
      <c r="CG12" s="875"/>
      <c r="CH12" s="875"/>
      <c r="CI12" s="875"/>
      <c r="CJ12" s="875"/>
      <c r="CK12" s="875"/>
      <c r="CL12" s="875"/>
      <c r="CM12" s="875"/>
      <c r="CN12" s="875"/>
      <c r="CO12" s="875"/>
      <c r="CP12" s="875"/>
      <c r="CQ12" s="875"/>
      <c r="CR12" s="875"/>
      <c r="CS12" s="875"/>
      <c r="CT12" s="875"/>
      <c r="CU12" s="875"/>
      <c r="CV12" s="875"/>
      <c r="CW12" s="875"/>
      <c r="CX12" s="875"/>
      <c r="CY12" s="875"/>
      <c r="CZ12" s="875"/>
      <c r="DA12" s="875"/>
      <c r="DB12" s="875"/>
      <c r="DC12" s="875"/>
      <c r="DD12" s="946"/>
      <c r="DE12" s="946"/>
      <c r="DF12" s="946"/>
      <c r="DG12" s="898"/>
      <c r="DH12" s="898"/>
      <c r="DI12" s="898"/>
      <c r="DJ12" s="898"/>
      <c r="DK12" s="898"/>
      <c r="DL12" s="898"/>
      <c r="DM12" s="898"/>
      <c r="DN12" s="898"/>
      <c r="DO12" s="898"/>
      <c r="DP12" s="898"/>
      <c r="DQ12" s="898"/>
      <c r="DR12" s="898"/>
      <c r="DS12" s="898"/>
      <c r="DT12" s="898"/>
      <c r="DU12" s="898"/>
      <c r="DV12" s="898"/>
      <c r="DW12" s="898"/>
      <c r="DX12" s="898"/>
      <c r="DY12" s="898"/>
      <c r="DZ12" s="898"/>
      <c r="EA12" s="898"/>
      <c r="EB12" s="898"/>
      <c r="EC12" s="898"/>
      <c r="ED12" s="898"/>
      <c r="EE12" s="898"/>
      <c r="EF12" s="898"/>
      <c r="EG12" s="898"/>
      <c r="EH12" s="898"/>
      <c r="EI12" s="898"/>
      <c r="EJ12" s="898"/>
      <c r="EK12" s="898"/>
      <c r="EL12" s="898"/>
      <c r="EM12" s="898"/>
      <c r="EN12" s="898"/>
      <c r="EO12" s="898"/>
      <c r="EP12" s="898"/>
      <c r="EQ12" s="898"/>
      <c r="ER12" s="898"/>
      <c r="ES12" s="898"/>
      <c r="ET12" s="898"/>
      <c r="EU12" s="1919"/>
      <c r="EZ12" s="342"/>
    </row>
    <row r="13" spans="1:289" ht="21">
      <c r="A13" s="1930" t="s">
        <v>2756</v>
      </c>
      <c r="B13" s="839">
        <v>507.42843032000002</v>
      </c>
      <c r="C13" s="839">
        <v>524.99967651999998</v>
      </c>
      <c r="D13" s="839">
        <v>534.04919411000003</v>
      </c>
      <c r="E13" s="839">
        <v>540.16775615000006</v>
      </c>
      <c r="F13" s="839">
        <v>163.89234923000001</v>
      </c>
      <c r="G13" s="839">
        <v>153.89323934999999</v>
      </c>
      <c r="H13" s="839">
        <v>183.08798338</v>
      </c>
      <c r="I13" s="839">
        <v>180.10297616999998</v>
      </c>
      <c r="J13" s="839">
        <v>182.85229500000003</v>
      </c>
      <c r="K13" s="839">
        <v>168.39408284999999</v>
      </c>
      <c r="L13" s="839">
        <v>174.02265593999999</v>
      </c>
      <c r="M13" s="840">
        <v>166.41937283999999</v>
      </c>
      <c r="N13" s="840">
        <v>178.53736264999998</v>
      </c>
      <c r="O13" s="840">
        <v>187.98067644000002</v>
      </c>
      <c r="P13" s="840">
        <v>240.49386544999999</v>
      </c>
      <c r="Q13" s="840">
        <v>248.98681202999998</v>
      </c>
      <c r="R13" s="840">
        <v>243.00768470000003</v>
      </c>
      <c r="S13" s="840">
        <v>247.12669526999997</v>
      </c>
      <c r="T13" s="840">
        <v>244.17903846999997</v>
      </c>
      <c r="U13" s="840">
        <v>253.08849155000001</v>
      </c>
      <c r="V13" s="840">
        <v>185.46936525000001</v>
      </c>
      <c r="W13" s="840">
        <v>173.20822641000001</v>
      </c>
      <c r="X13" s="840">
        <v>165.37175228999999</v>
      </c>
      <c r="Y13" s="840">
        <v>329.00700834999998</v>
      </c>
      <c r="Z13" s="840">
        <v>322.35860346999999</v>
      </c>
      <c r="AA13" s="840">
        <v>371.96641175000002</v>
      </c>
      <c r="AB13" s="840">
        <v>370.33742301000007</v>
      </c>
      <c r="AC13" s="840">
        <v>366.51985273000003</v>
      </c>
      <c r="AD13" s="840">
        <v>368.48354021</v>
      </c>
      <c r="AE13" s="840">
        <v>369.93536634000003</v>
      </c>
      <c r="AF13" s="840">
        <v>394.30213676999995</v>
      </c>
      <c r="AG13" s="840">
        <v>405.70291370999996</v>
      </c>
      <c r="AH13" s="840">
        <v>381.26119168999998</v>
      </c>
      <c r="AI13" s="840">
        <v>379.39115588000004</v>
      </c>
      <c r="AJ13" s="840">
        <v>382.19071415999997</v>
      </c>
      <c r="AK13" s="840">
        <v>544.50113308000005</v>
      </c>
      <c r="AL13" s="840">
        <v>561.68299117999993</v>
      </c>
      <c r="AM13" s="840">
        <v>550.83424279999997</v>
      </c>
      <c r="AN13" s="840">
        <v>526.31375068</v>
      </c>
      <c r="AO13" s="840">
        <v>525.61498124000002</v>
      </c>
      <c r="AP13" s="840">
        <v>269.06161515999997</v>
      </c>
      <c r="AQ13" s="840">
        <v>266.83380957999998</v>
      </c>
      <c r="AR13" s="840">
        <v>231.72581046000005</v>
      </c>
      <c r="AS13" s="840">
        <v>227.1274688</v>
      </c>
      <c r="AT13" s="840">
        <v>211.23994210000001</v>
      </c>
      <c r="AU13" s="840">
        <v>202.23761458999996</v>
      </c>
      <c r="AV13" s="840">
        <v>228.21558055</v>
      </c>
      <c r="AW13" s="840">
        <v>255.37415869</v>
      </c>
      <c r="AX13" s="840">
        <v>314.04464339000003</v>
      </c>
      <c r="AY13" s="840">
        <v>280.92747125</v>
      </c>
      <c r="AZ13" s="840">
        <v>280.09984621000001</v>
      </c>
      <c r="BA13" s="840">
        <v>279.50294514000001</v>
      </c>
      <c r="BB13" s="840">
        <v>237.45733312999999</v>
      </c>
      <c r="BC13" s="840">
        <v>227.52258305999999</v>
      </c>
      <c r="BD13" s="840">
        <v>225.43872663999997</v>
      </c>
      <c r="BE13" s="840">
        <v>223.88630667000001</v>
      </c>
      <c r="BF13" s="840">
        <v>227.73351843</v>
      </c>
      <c r="BG13" s="840">
        <v>237.67564231</v>
      </c>
      <c r="BH13" s="885">
        <v>237.88854345000001</v>
      </c>
      <c r="BI13" s="874">
        <v>239.78881192999995</v>
      </c>
      <c r="BJ13" s="874">
        <v>228.50738426999999</v>
      </c>
      <c r="BK13" s="874">
        <v>223.85886670999997</v>
      </c>
      <c r="BL13" s="874">
        <v>280.41741375000004</v>
      </c>
      <c r="BM13" s="874">
        <v>305.19798595000003</v>
      </c>
      <c r="BN13" s="874">
        <v>305.58191987999999</v>
      </c>
      <c r="BO13" s="874">
        <v>287.55329999999998</v>
      </c>
      <c r="BP13" s="874">
        <v>303.02505136000002</v>
      </c>
      <c r="BQ13" s="874">
        <v>302.73775936999999</v>
      </c>
      <c r="BR13" s="874">
        <v>316.63087144999997</v>
      </c>
      <c r="BS13" s="874">
        <v>330.08963831</v>
      </c>
      <c r="BT13" s="874">
        <v>350.82080633999999</v>
      </c>
      <c r="BU13" s="874">
        <v>325.14299610999996</v>
      </c>
      <c r="BV13" s="874">
        <v>334.01972843999999</v>
      </c>
      <c r="BW13" s="874">
        <v>335.80891435999996</v>
      </c>
      <c r="BX13" s="874">
        <v>345.99121041000001</v>
      </c>
      <c r="BY13" s="874">
        <v>330.66645369999998</v>
      </c>
      <c r="BZ13" s="874">
        <v>343.76317367000001</v>
      </c>
      <c r="CA13" s="874">
        <v>331.27804697000005</v>
      </c>
      <c r="CB13" s="874">
        <v>285.13509785999997</v>
      </c>
      <c r="CC13" s="874">
        <v>283.99604725</v>
      </c>
      <c r="CD13" s="874">
        <v>284.57489620000001</v>
      </c>
      <c r="CE13" s="874">
        <v>286.91781349000001</v>
      </c>
      <c r="CF13" s="874">
        <v>285.66822238999998</v>
      </c>
      <c r="CG13" s="874">
        <v>215.57699778999995</v>
      </c>
      <c r="CH13" s="874">
        <v>204.24516796999998</v>
      </c>
      <c r="CI13" s="874">
        <v>203.38606125000001</v>
      </c>
      <c r="CJ13" s="874">
        <v>201.84166063000001</v>
      </c>
      <c r="CK13" s="874">
        <v>199.75225159999999</v>
      </c>
      <c r="CL13" s="874">
        <v>160.23167658</v>
      </c>
      <c r="CM13" s="874">
        <v>155.63601152000001</v>
      </c>
      <c r="CN13" s="874">
        <v>159.64286839999997</v>
      </c>
      <c r="CO13" s="874">
        <v>158.49652209999999</v>
      </c>
      <c r="CP13" s="874">
        <v>155.42169095999998</v>
      </c>
      <c r="CQ13" s="874">
        <v>158.77220137</v>
      </c>
      <c r="CR13" s="874">
        <v>159.34004904</v>
      </c>
      <c r="CS13" s="874">
        <v>150.13681513</v>
      </c>
      <c r="CT13" s="874">
        <v>140.99529387000001</v>
      </c>
      <c r="CU13" s="874">
        <v>135.03820755999999</v>
      </c>
      <c r="CV13" s="874">
        <v>135.05164977000001</v>
      </c>
      <c r="CW13" s="874">
        <v>136.31650493999999</v>
      </c>
      <c r="CX13" s="874">
        <v>111.04016678000001</v>
      </c>
      <c r="CY13" s="874">
        <v>115.21341258</v>
      </c>
      <c r="CZ13" s="874">
        <v>114.46442819000001</v>
      </c>
      <c r="DA13" s="874">
        <v>113.35979033</v>
      </c>
      <c r="DB13" s="874">
        <v>114.55895836000001</v>
      </c>
      <c r="DC13" s="874">
        <v>114.44869543</v>
      </c>
      <c r="DD13" s="945">
        <v>119.90102752999999</v>
      </c>
      <c r="DE13" s="945">
        <v>114.54357974</v>
      </c>
      <c r="DF13" s="945">
        <v>105.94506761</v>
      </c>
      <c r="DG13" s="897">
        <v>99.917687290000003</v>
      </c>
      <c r="DH13" s="897">
        <v>102.27527628</v>
      </c>
      <c r="DI13" s="897">
        <v>106.52911872999999</v>
      </c>
      <c r="DJ13" s="897">
        <v>125.0299682</v>
      </c>
      <c r="DK13" s="897">
        <v>143.56555510000001</v>
      </c>
      <c r="DL13" s="897">
        <v>154.52858075</v>
      </c>
      <c r="DM13" s="897">
        <v>135.54000291</v>
      </c>
      <c r="DN13" s="897">
        <v>142.32856484000001</v>
      </c>
      <c r="DO13" s="897">
        <v>143.24978615000001</v>
      </c>
      <c r="DP13" s="897">
        <v>152.44454098</v>
      </c>
      <c r="DQ13" s="897">
        <v>133.24660169000001</v>
      </c>
      <c r="DR13" s="897">
        <v>130.89760705</v>
      </c>
      <c r="DS13" s="897">
        <v>118.28909629</v>
      </c>
      <c r="DT13" s="897">
        <v>120.07092326999999</v>
      </c>
      <c r="DU13" s="897">
        <v>131.47410522999999</v>
      </c>
      <c r="DV13" s="897">
        <v>125.98212436999999</v>
      </c>
      <c r="DW13" s="897">
        <v>165.21896161999999</v>
      </c>
      <c r="DX13" s="897">
        <v>163.76919305999999</v>
      </c>
      <c r="DY13" s="897">
        <v>172.80605455</v>
      </c>
      <c r="DZ13" s="897">
        <v>165.5356524</v>
      </c>
      <c r="EA13" s="897">
        <v>152.11525878</v>
      </c>
      <c r="EB13" s="897">
        <v>153.54993941999999</v>
      </c>
      <c r="EC13" s="897">
        <v>185.40605622999999</v>
      </c>
      <c r="ED13" s="897">
        <v>178.93155598999999</v>
      </c>
      <c r="EE13" s="897">
        <v>184.4530187</v>
      </c>
      <c r="EF13" s="897">
        <v>204.19260703</v>
      </c>
      <c r="EG13" s="897">
        <v>255.35322644999999</v>
      </c>
      <c r="EH13" s="897">
        <v>285.28480810999997</v>
      </c>
      <c r="EI13" s="897">
        <v>236.35599844999999</v>
      </c>
      <c r="EJ13" s="897">
        <v>232.26886087</v>
      </c>
      <c r="EK13" s="897">
        <v>244.24593062</v>
      </c>
      <c r="EL13" s="897">
        <v>268.42536494000001</v>
      </c>
      <c r="EM13" s="897">
        <v>226.46458403</v>
      </c>
      <c r="EN13" s="897">
        <v>228.64767950000001</v>
      </c>
      <c r="EO13" s="897">
        <v>240.30265610999999</v>
      </c>
      <c r="EP13" s="897">
        <v>234.19012230999999</v>
      </c>
      <c r="EQ13" s="897">
        <v>205.92284866</v>
      </c>
      <c r="ER13" s="897">
        <v>221.72768400999999</v>
      </c>
      <c r="ES13" s="897">
        <v>189.80044892000001</v>
      </c>
      <c r="ET13" s="897">
        <v>180.90102776000001</v>
      </c>
      <c r="EU13" s="1918" t="s">
        <v>4083</v>
      </c>
      <c r="EZ13" s="342"/>
    </row>
    <row r="14" spans="1:289" ht="21">
      <c r="A14" s="1931" t="s">
        <v>1974</v>
      </c>
      <c r="B14" s="842">
        <v>421.77123088999997</v>
      </c>
      <c r="C14" s="842">
        <v>433.70391663999999</v>
      </c>
      <c r="D14" s="842">
        <v>440.61041441000003</v>
      </c>
      <c r="E14" s="842">
        <v>442.83119631</v>
      </c>
      <c r="F14" s="842">
        <v>65.143066930000003</v>
      </c>
      <c r="G14" s="842">
        <v>47.453785300000007</v>
      </c>
      <c r="H14" s="842">
        <v>73.282596829999989</v>
      </c>
      <c r="I14" s="842">
        <v>68.302858470000004</v>
      </c>
      <c r="J14" s="842">
        <v>70.391703250000006</v>
      </c>
      <c r="K14" s="842">
        <v>61.005585449999998</v>
      </c>
      <c r="L14" s="842">
        <v>65.232429150000002</v>
      </c>
      <c r="M14" s="843">
        <v>57.139128810000003</v>
      </c>
      <c r="N14" s="843">
        <v>64.137846449999998</v>
      </c>
      <c r="O14" s="843">
        <v>68.692105150000003</v>
      </c>
      <c r="P14" s="843">
        <v>123.62457008000001</v>
      </c>
      <c r="Q14" s="843">
        <v>131.87406752999999</v>
      </c>
      <c r="R14" s="843">
        <v>133.52639028999999</v>
      </c>
      <c r="S14" s="843">
        <v>131.98248361999998</v>
      </c>
      <c r="T14" s="843">
        <v>130.03342852</v>
      </c>
      <c r="U14" s="843">
        <v>129.68638933</v>
      </c>
      <c r="V14" s="843">
        <v>126.55434447</v>
      </c>
      <c r="W14" s="843">
        <v>129.27390130999999</v>
      </c>
      <c r="X14" s="843">
        <v>127.71818900999999</v>
      </c>
      <c r="Y14" s="843">
        <v>290.03036824999998</v>
      </c>
      <c r="Z14" s="843">
        <v>283.99101204999999</v>
      </c>
      <c r="AA14" s="843">
        <v>311.32461193</v>
      </c>
      <c r="AB14" s="843">
        <v>314.38521264000002</v>
      </c>
      <c r="AC14" s="843">
        <v>303.41292950999997</v>
      </c>
      <c r="AD14" s="843">
        <v>289.54116685999998</v>
      </c>
      <c r="AE14" s="843">
        <v>290.13801495000001</v>
      </c>
      <c r="AF14" s="843">
        <v>289.00668979</v>
      </c>
      <c r="AG14" s="843">
        <v>300.32606691999996</v>
      </c>
      <c r="AH14" s="843">
        <v>303.96089654999997</v>
      </c>
      <c r="AI14" s="843">
        <v>307.58140834</v>
      </c>
      <c r="AJ14" s="843">
        <v>308.16335513000001</v>
      </c>
      <c r="AK14" s="843">
        <v>439.56167402</v>
      </c>
      <c r="AL14" s="843">
        <v>454.03155796999994</v>
      </c>
      <c r="AM14" s="843">
        <v>444.82720469999998</v>
      </c>
      <c r="AN14" s="843">
        <v>440.57643894</v>
      </c>
      <c r="AO14" s="843">
        <v>441.26456444000002</v>
      </c>
      <c r="AP14" s="843">
        <v>184.57451903999998</v>
      </c>
      <c r="AQ14" s="843">
        <v>184.71156592999998</v>
      </c>
      <c r="AR14" s="843">
        <v>183.83922755000003</v>
      </c>
      <c r="AS14" s="843">
        <v>179.04532610000001</v>
      </c>
      <c r="AT14" s="843">
        <v>165.81514197999999</v>
      </c>
      <c r="AU14" s="843">
        <v>157.44744721999999</v>
      </c>
      <c r="AV14" s="843">
        <v>170.13295744999999</v>
      </c>
      <c r="AW14" s="843">
        <v>197.09213811000001</v>
      </c>
      <c r="AX14" s="843">
        <v>257.35990168000001</v>
      </c>
      <c r="AY14" s="843">
        <v>235.7791105</v>
      </c>
      <c r="AZ14" s="843">
        <v>228.27365291999999</v>
      </c>
      <c r="BA14" s="843">
        <v>230.80530952000001</v>
      </c>
      <c r="BB14" s="843">
        <v>193.81864182000001</v>
      </c>
      <c r="BC14" s="843">
        <v>183.35464489</v>
      </c>
      <c r="BD14" s="843">
        <v>183.26709857999998</v>
      </c>
      <c r="BE14" s="843">
        <v>183.04152098</v>
      </c>
      <c r="BF14" s="843">
        <v>188.74528176999999</v>
      </c>
      <c r="BG14" s="843">
        <v>187.16640705999998</v>
      </c>
      <c r="BH14" s="886">
        <v>187.15658876999998</v>
      </c>
      <c r="BI14" s="875">
        <v>188.73520959999996</v>
      </c>
      <c r="BJ14" s="875">
        <v>178.72520959999997</v>
      </c>
      <c r="BK14" s="875">
        <v>178.72520959999997</v>
      </c>
      <c r="BL14" s="875">
        <v>178.71588724999998</v>
      </c>
      <c r="BM14" s="875">
        <v>178.71588724999998</v>
      </c>
      <c r="BN14" s="875">
        <v>178.71588724999998</v>
      </c>
      <c r="BO14" s="875">
        <v>178.71588724999998</v>
      </c>
      <c r="BP14" s="875">
        <v>183.81588725</v>
      </c>
      <c r="BQ14" s="875">
        <v>183.81588725</v>
      </c>
      <c r="BR14" s="875">
        <v>188.81588725</v>
      </c>
      <c r="BS14" s="875">
        <v>180.31588725</v>
      </c>
      <c r="BT14" s="875">
        <v>106.36588725</v>
      </c>
      <c r="BU14" s="875">
        <v>100.13027600999999</v>
      </c>
      <c r="BV14" s="875">
        <v>92.52027600000001</v>
      </c>
      <c r="BW14" s="875">
        <v>97.920276000000001</v>
      </c>
      <c r="BX14" s="875">
        <v>95.220275999999998</v>
      </c>
      <c r="BY14" s="875">
        <v>81.620276000000004</v>
      </c>
      <c r="BZ14" s="875">
        <v>86.720275999999998</v>
      </c>
      <c r="CA14" s="875">
        <v>86.720275999999998</v>
      </c>
      <c r="CB14" s="875">
        <v>86.720275999999998</v>
      </c>
      <c r="CC14" s="875">
        <v>86.720275999999998</v>
      </c>
      <c r="CD14" s="875">
        <v>86.347895080000001</v>
      </c>
      <c r="CE14" s="875">
        <v>86.076304780000001</v>
      </c>
      <c r="CF14" s="875">
        <v>85.895518879999997</v>
      </c>
      <c r="CG14" s="875">
        <v>90.71862123999999</v>
      </c>
      <c r="CH14" s="875">
        <v>80.426628570000005</v>
      </c>
      <c r="CI14" s="875">
        <v>80.444288180000001</v>
      </c>
      <c r="CJ14" s="875">
        <v>80.160836200000006</v>
      </c>
      <c r="CK14" s="875">
        <v>79.874079160000008</v>
      </c>
      <c r="CL14" s="875">
        <v>78.270528180000014</v>
      </c>
      <c r="CM14" s="875">
        <v>75.323675589999993</v>
      </c>
      <c r="CN14" s="875">
        <v>76.797602370000007</v>
      </c>
      <c r="CO14" s="875">
        <v>75.271472130000006</v>
      </c>
      <c r="CP14" s="875">
        <v>76.528116389999994</v>
      </c>
      <c r="CQ14" s="875">
        <v>82.779120180000007</v>
      </c>
      <c r="CR14" s="875">
        <v>80.047220180000011</v>
      </c>
      <c r="CS14" s="875">
        <v>72.760275989999997</v>
      </c>
      <c r="CT14" s="875">
        <v>63.899107839999999</v>
      </c>
      <c r="CU14" s="875">
        <v>63.934107840000003</v>
      </c>
      <c r="CV14" s="875">
        <v>64.019087839999997</v>
      </c>
      <c r="CW14" s="875">
        <v>64.035072970000002</v>
      </c>
      <c r="CX14" s="875">
        <v>64.472031340000001</v>
      </c>
      <c r="CY14" s="875">
        <v>67.564279769999999</v>
      </c>
      <c r="CZ14" s="875">
        <v>67.552745869999995</v>
      </c>
      <c r="DA14" s="875">
        <v>67.541102449999997</v>
      </c>
      <c r="DB14" s="875">
        <v>67.459664129999993</v>
      </c>
      <c r="DC14" s="875">
        <v>67.441742399999995</v>
      </c>
      <c r="DD14" s="946">
        <v>67.427479259999998</v>
      </c>
      <c r="DE14" s="946">
        <v>67.409172749999996</v>
      </c>
      <c r="DF14" s="946">
        <v>67.376765219999996</v>
      </c>
      <c r="DG14" s="898">
        <v>67.361237959999997</v>
      </c>
      <c r="DH14" s="898">
        <v>67.349689659999996</v>
      </c>
      <c r="DI14" s="898">
        <v>67.342205480000004</v>
      </c>
      <c r="DJ14" s="898">
        <v>67.320500499999994</v>
      </c>
      <c r="DK14" s="898">
        <v>67.316276939999995</v>
      </c>
      <c r="DL14" s="898">
        <v>67.299107840000005</v>
      </c>
      <c r="DM14" s="898">
        <v>55.963607889999999</v>
      </c>
      <c r="DN14" s="898">
        <v>55.963607889999999</v>
      </c>
      <c r="DO14" s="898">
        <v>50.24921913</v>
      </c>
      <c r="DP14" s="898">
        <v>50.24921913</v>
      </c>
      <c r="DQ14" s="898">
        <v>46.214380149999997</v>
      </c>
      <c r="DR14" s="898">
        <v>44.188920150000001</v>
      </c>
      <c r="DS14" s="898">
        <v>44.208920149999997</v>
      </c>
      <c r="DT14" s="898">
        <v>44.206929070000001</v>
      </c>
      <c r="DU14" s="898">
        <v>44.204747939999997</v>
      </c>
      <c r="DV14" s="898">
        <v>44.202617429999997</v>
      </c>
      <c r="DW14" s="898">
        <v>44.200418399999997</v>
      </c>
      <c r="DX14" s="898">
        <v>44.198196869999997</v>
      </c>
      <c r="DY14" s="898">
        <v>43.005941870000001</v>
      </c>
      <c r="DZ14" s="898">
        <v>30.1536379</v>
      </c>
      <c r="EA14" s="898">
        <v>2.2499999999999999E-2</v>
      </c>
      <c r="EB14" s="898">
        <v>2.0786220000000001E-2</v>
      </c>
      <c r="EC14" s="898">
        <v>1.9014699999999999E-2</v>
      </c>
      <c r="ED14" s="898">
        <v>1.7237389999999998E-2</v>
      </c>
      <c r="EE14" s="898">
        <v>1.5442040000000001E-2</v>
      </c>
      <c r="EF14" s="898">
        <v>1.360342E-2</v>
      </c>
      <c r="EG14" s="898">
        <v>1.1744940000000001E-2</v>
      </c>
      <c r="EH14" s="898">
        <v>9.8703300000000001E-3</v>
      </c>
      <c r="EI14" s="898">
        <v>7.9459800000000001E-3</v>
      </c>
      <c r="EJ14" s="898">
        <v>6.0525800000000001E-3</v>
      </c>
      <c r="EK14" s="898">
        <v>4.0830900000000002E-3</v>
      </c>
      <c r="EL14" s="898">
        <v>2.0790399999999999E-3</v>
      </c>
      <c r="EM14" s="898">
        <v>4.994E-5</v>
      </c>
      <c r="EN14" s="898">
        <v>4.994E-5</v>
      </c>
      <c r="EO14" s="898">
        <v>1.19432834</v>
      </c>
      <c r="EP14" s="898">
        <v>4.994E-5</v>
      </c>
      <c r="EQ14" s="898">
        <v>4.994E-5</v>
      </c>
      <c r="ER14" s="898">
        <v>4.994E-5</v>
      </c>
      <c r="ES14" s="898">
        <v>0</v>
      </c>
      <c r="ET14" s="898">
        <v>0</v>
      </c>
      <c r="EU14" s="1920" t="s">
        <v>4086</v>
      </c>
      <c r="EZ14" s="342"/>
    </row>
    <row r="15" spans="1:289" ht="21">
      <c r="A15" s="1931" t="s">
        <v>1975</v>
      </c>
      <c r="B15" s="842">
        <f>+B13-B14</f>
        <v>85.657199430000048</v>
      </c>
      <c r="C15" s="842">
        <f t="shared" ref="C15:V15" si="2">+C13-C14</f>
        <v>91.295759879999991</v>
      </c>
      <c r="D15" s="842">
        <f t="shared" si="2"/>
        <v>93.438779699999998</v>
      </c>
      <c r="E15" s="842">
        <f t="shared" si="2"/>
        <v>97.336559840000064</v>
      </c>
      <c r="F15" s="842">
        <f t="shared" si="2"/>
        <v>98.749282300000004</v>
      </c>
      <c r="G15" s="842">
        <f t="shared" si="2"/>
        <v>106.43945404999998</v>
      </c>
      <c r="H15" s="842">
        <f t="shared" si="2"/>
        <v>109.80538655000001</v>
      </c>
      <c r="I15" s="842">
        <f t="shared" si="2"/>
        <v>111.80011769999997</v>
      </c>
      <c r="J15" s="842">
        <f t="shared" si="2"/>
        <v>112.46059175000002</v>
      </c>
      <c r="K15" s="842">
        <f t="shared" si="2"/>
        <v>107.38849739999999</v>
      </c>
      <c r="L15" s="842">
        <f t="shared" si="2"/>
        <v>108.79022678999999</v>
      </c>
      <c r="M15" s="843">
        <f t="shared" si="2"/>
        <v>109.28024402999999</v>
      </c>
      <c r="N15" s="843">
        <f t="shared" si="2"/>
        <v>114.39951619999998</v>
      </c>
      <c r="O15" s="843">
        <f t="shared" si="2"/>
        <v>119.28857129000002</v>
      </c>
      <c r="P15" s="843">
        <f t="shared" si="2"/>
        <v>116.86929536999997</v>
      </c>
      <c r="Q15" s="843">
        <f t="shared" si="2"/>
        <v>117.11274449999999</v>
      </c>
      <c r="R15" s="843">
        <f t="shared" si="2"/>
        <v>109.48129441000003</v>
      </c>
      <c r="S15" s="843">
        <f t="shared" si="2"/>
        <v>115.14421164999999</v>
      </c>
      <c r="T15" s="843">
        <f t="shared" si="2"/>
        <v>114.14560994999997</v>
      </c>
      <c r="U15" s="843">
        <f t="shared" si="2"/>
        <v>123.40210222000002</v>
      </c>
      <c r="V15" s="843">
        <f t="shared" si="2"/>
        <v>58.915020780000006</v>
      </c>
      <c r="W15" s="843">
        <v>43.934325100000024</v>
      </c>
      <c r="X15" s="843">
        <v>37.65356328</v>
      </c>
      <c r="Y15" s="843">
        <v>38.976640099999997</v>
      </c>
      <c r="Z15" s="843">
        <v>38.367591419999997</v>
      </c>
      <c r="AA15" s="843">
        <v>60.641799820000017</v>
      </c>
      <c r="AB15" s="843">
        <f>+AB13-AB14</f>
        <v>55.952210370000046</v>
      </c>
      <c r="AC15" s="843">
        <v>63.106923220000056</v>
      </c>
      <c r="AD15" s="843">
        <v>78.942373350000025</v>
      </c>
      <c r="AE15" s="843">
        <v>79.797351390000017</v>
      </c>
      <c r="AF15" s="843">
        <v>105.29544697999995</v>
      </c>
      <c r="AG15" s="843">
        <v>105.37684679</v>
      </c>
      <c r="AH15" s="843">
        <f>+AH13-AH14</f>
        <v>77.300295140000003</v>
      </c>
      <c r="AI15" s="843">
        <v>71.809747540000046</v>
      </c>
      <c r="AJ15" s="843">
        <f>+AJ13-AJ14</f>
        <v>74.027359029999957</v>
      </c>
      <c r="AK15" s="843">
        <f>+AK13-AK14</f>
        <v>104.93945906000005</v>
      </c>
      <c r="AL15" s="843">
        <v>107.65143320999999</v>
      </c>
      <c r="AM15" s="843">
        <f>+AM13-AM14</f>
        <v>106.00703809999999</v>
      </c>
      <c r="AN15" s="843">
        <f>+AN13-AN14</f>
        <v>85.737311739999996</v>
      </c>
      <c r="AO15" s="843">
        <f>+AO13-AO14</f>
        <v>84.350416800000005</v>
      </c>
      <c r="AP15" s="843">
        <f>+AP13-AP14</f>
        <v>84.48709611999999</v>
      </c>
      <c r="AQ15" s="843">
        <v>82.122243650000001</v>
      </c>
      <c r="AR15" s="843">
        <f>+AR13-AR14</f>
        <v>47.886582910000016</v>
      </c>
      <c r="AS15" s="843">
        <v>48.082142699999991</v>
      </c>
      <c r="AT15" s="843">
        <f>+AT13-AT14</f>
        <v>45.424800120000015</v>
      </c>
      <c r="AU15" s="843">
        <v>44.790167369999978</v>
      </c>
      <c r="AV15" s="843">
        <v>58.082623100000006</v>
      </c>
      <c r="AW15" s="843">
        <v>58.282020579999994</v>
      </c>
      <c r="AX15" s="843">
        <v>56.684741710000026</v>
      </c>
      <c r="AY15" s="843">
        <v>45.148360749999995</v>
      </c>
      <c r="AZ15" s="843">
        <v>51.82619329000002</v>
      </c>
      <c r="BA15" s="843">
        <v>48.69763562</v>
      </c>
      <c r="BB15" s="843">
        <v>43.638691309999984</v>
      </c>
      <c r="BC15" s="843">
        <v>44.167938169999985</v>
      </c>
      <c r="BD15" s="843">
        <f>+BD13-BD14</f>
        <v>42.171628059999989</v>
      </c>
      <c r="BE15" s="843">
        <v>40.844785690000009</v>
      </c>
      <c r="BF15" s="843">
        <v>38.988236660000013</v>
      </c>
      <c r="BG15" s="843">
        <v>50.509235250000017</v>
      </c>
      <c r="BH15" s="886">
        <v>50.73195468000003</v>
      </c>
      <c r="BI15" s="875">
        <v>51.05360232999999</v>
      </c>
      <c r="BJ15" s="875">
        <v>49.782174670000018</v>
      </c>
      <c r="BK15" s="875">
        <v>45.133657110000001</v>
      </c>
      <c r="BL15" s="875">
        <v>101.70152650000006</v>
      </c>
      <c r="BM15" s="875">
        <v>126.48209870000005</v>
      </c>
      <c r="BN15" s="875">
        <v>126.86603263000001</v>
      </c>
      <c r="BO15" s="875">
        <v>108.83741275</v>
      </c>
      <c r="BP15" s="875">
        <v>119.20916411000002</v>
      </c>
      <c r="BQ15" s="875">
        <v>118.92187211999999</v>
      </c>
      <c r="BR15" s="875">
        <v>127.81498419999997</v>
      </c>
      <c r="BS15" s="875">
        <v>149.77375106</v>
      </c>
      <c r="BT15" s="875">
        <v>244.45491908999998</v>
      </c>
      <c r="BU15" s="875">
        <v>225.01272009999997</v>
      </c>
      <c r="BV15" s="875">
        <v>241.49945243999997</v>
      </c>
      <c r="BW15" s="875">
        <v>237.88863835999996</v>
      </c>
      <c r="BX15" s="875">
        <v>250.77093441</v>
      </c>
      <c r="BY15" s="875">
        <v>249.04617769999999</v>
      </c>
      <c r="BZ15" s="875">
        <v>257.04289767</v>
      </c>
      <c r="CA15" s="875">
        <v>244.55777097000004</v>
      </c>
      <c r="CB15" s="875">
        <v>198.41482185999996</v>
      </c>
      <c r="CC15" s="875">
        <v>197.27577124999999</v>
      </c>
      <c r="CD15" s="875">
        <v>198.22700112000001</v>
      </c>
      <c r="CE15" s="875">
        <f t="shared" ref="CE15:CP15" si="3">+CE13-CE14</f>
        <v>200.84150871000003</v>
      </c>
      <c r="CF15" s="875">
        <f t="shared" si="3"/>
        <v>199.77270350999999</v>
      </c>
      <c r="CG15" s="875">
        <f t="shared" si="3"/>
        <v>124.85837654999996</v>
      </c>
      <c r="CH15" s="875">
        <f t="shared" si="3"/>
        <v>123.81853939999998</v>
      </c>
      <c r="CI15" s="875">
        <f t="shared" si="3"/>
        <v>122.94177307000001</v>
      </c>
      <c r="CJ15" s="875">
        <f t="shared" si="3"/>
        <v>121.68082443</v>
      </c>
      <c r="CK15" s="875">
        <f t="shared" si="3"/>
        <v>119.87817243999999</v>
      </c>
      <c r="CL15" s="875">
        <f t="shared" si="3"/>
        <v>81.961148399999985</v>
      </c>
      <c r="CM15" s="875">
        <f t="shared" si="3"/>
        <v>80.312335930000017</v>
      </c>
      <c r="CN15" s="875">
        <f t="shared" si="3"/>
        <v>82.845266029999962</v>
      </c>
      <c r="CO15" s="875">
        <f t="shared" si="3"/>
        <v>83.225049969999986</v>
      </c>
      <c r="CP15" s="875">
        <f t="shared" si="3"/>
        <v>78.893574569999984</v>
      </c>
      <c r="CQ15" s="875">
        <f>+CQ13-CQ14</f>
        <v>75.993081189999998</v>
      </c>
      <c r="CR15" s="875">
        <f>+CR13-CR14</f>
        <v>79.292828859999986</v>
      </c>
      <c r="CS15" s="875">
        <v>77.376539140000006</v>
      </c>
      <c r="CT15" s="875">
        <v>77.096186029999998</v>
      </c>
      <c r="CU15" s="875">
        <v>71.104099719999994</v>
      </c>
      <c r="CV15" s="875">
        <v>71.03256193</v>
      </c>
      <c r="CW15" s="875">
        <v>72.28143197</v>
      </c>
      <c r="CX15" s="875">
        <v>46.568135439999999</v>
      </c>
      <c r="CY15" s="875">
        <v>47.649132809999998</v>
      </c>
      <c r="CZ15" s="875">
        <v>46.911682319999997</v>
      </c>
      <c r="DA15" s="875">
        <v>45.818687879999999</v>
      </c>
      <c r="DB15" s="875">
        <v>47.099294229999998</v>
      </c>
      <c r="DC15" s="875">
        <v>47.006953029999998</v>
      </c>
      <c r="DD15" s="946">
        <v>52.473548270000002</v>
      </c>
      <c r="DE15" s="946">
        <v>47.134406990000002</v>
      </c>
      <c r="DF15" s="946">
        <v>38.568302389999999</v>
      </c>
      <c r="DG15" s="898">
        <v>32.55644933</v>
      </c>
      <c r="DH15" s="898">
        <v>34.925586619999997</v>
      </c>
      <c r="DI15" s="898">
        <v>39.186913250000003</v>
      </c>
      <c r="DJ15" s="898">
        <v>57.709467699999998</v>
      </c>
      <c r="DK15" s="898">
        <v>76.249278160000003</v>
      </c>
      <c r="DL15" s="898">
        <v>87.229472909999998</v>
      </c>
      <c r="DM15" s="898">
        <v>79.576395020000007</v>
      </c>
      <c r="DN15" s="898">
        <v>86.364956950000007</v>
      </c>
      <c r="DO15" s="898">
        <v>93.000567020000005</v>
      </c>
      <c r="DP15" s="898">
        <v>102.19532185</v>
      </c>
      <c r="DQ15" s="898">
        <v>87.032221539999995</v>
      </c>
      <c r="DR15" s="898">
        <v>86.708686900000004</v>
      </c>
      <c r="DS15" s="898">
        <v>74.080176140000006</v>
      </c>
      <c r="DT15" s="898">
        <v>75.863994199999993</v>
      </c>
      <c r="DU15" s="898">
        <v>87.269357290000002</v>
      </c>
      <c r="DV15" s="898">
        <v>81.779506940000005</v>
      </c>
      <c r="DW15" s="898">
        <v>121.01854322</v>
      </c>
      <c r="DX15" s="898">
        <v>119.57099619</v>
      </c>
      <c r="DY15" s="898">
        <v>129.80011268000001</v>
      </c>
      <c r="DZ15" s="898">
        <v>135.3820145</v>
      </c>
      <c r="EA15" s="898">
        <v>152.09275878</v>
      </c>
      <c r="EB15" s="898">
        <v>153.5291532</v>
      </c>
      <c r="EC15" s="898">
        <v>185.38704153</v>
      </c>
      <c r="ED15" s="898">
        <v>178.9143186</v>
      </c>
      <c r="EE15" s="898">
        <v>184.43757665999999</v>
      </c>
      <c r="EF15" s="898">
        <v>204.17900361</v>
      </c>
      <c r="EG15" s="898">
        <v>255.34148150999999</v>
      </c>
      <c r="EH15" s="898">
        <v>285.27493778000002</v>
      </c>
      <c r="EI15" s="898">
        <v>236.34805247</v>
      </c>
      <c r="EJ15" s="898">
        <v>232.26280829000001</v>
      </c>
      <c r="EK15" s="898">
        <v>244.24184753</v>
      </c>
      <c r="EL15" s="898">
        <v>268.4232859</v>
      </c>
      <c r="EM15" s="898">
        <v>226.46453409</v>
      </c>
      <c r="EN15" s="898">
        <v>228.64762956000001</v>
      </c>
      <c r="EO15" s="898">
        <v>239.10832776999999</v>
      </c>
      <c r="EP15" s="898">
        <v>234.19007237</v>
      </c>
      <c r="EQ15" s="898">
        <v>205.92279872</v>
      </c>
      <c r="ER15" s="898">
        <v>221.72763406999999</v>
      </c>
      <c r="ES15" s="898">
        <v>189.80044892000001</v>
      </c>
      <c r="ET15" s="898">
        <v>180.90102776000001</v>
      </c>
      <c r="EU15" s="1920" t="s">
        <v>4085</v>
      </c>
      <c r="EZ15" s="342"/>
    </row>
    <row r="16" spans="1:289" ht="21">
      <c r="A16" s="1928"/>
      <c r="B16" s="839"/>
      <c r="C16" s="839"/>
      <c r="D16" s="839"/>
      <c r="E16" s="839"/>
      <c r="F16" s="839"/>
      <c r="G16" s="839"/>
      <c r="H16" s="839"/>
      <c r="I16" s="839"/>
      <c r="J16" s="839"/>
      <c r="K16" s="839"/>
      <c r="L16" s="839"/>
      <c r="M16" s="840"/>
      <c r="N16" s="840"/>
      <c r="O16" s="840"/>
      <c r="P16" s="840"/>
      <c r="Q16" s="840"/>
      <c r="R16" s="840"/>
      <c r="S16" s="840"/>
      <c r="T16" s="840"/>
      <c r="U16" s="840"/>
      <c r="V16" s="840"/>
      <c r="W16" s="840"/>
      <c r="X16" s="840"/>
      <c r="Y16" s="840"/>
      <c r="Z16" s="840"/>
      <c r="AA16" s="840"/>
      <c r="AB16" s="840"/>
      <c r="AC16" s="840"/>
      <c r="AD16" s="840"/>
      <c r="AE16" s="840"/>
      <c r="AF16" s="840"/>
      <c r="AG16" s="840"/>
      <c r="AH16" s="840"/>
      <c r="AI16" s="840"/>
      <c r="AJ16" s="840"/>
      <c r="AK16" s="840"/>
      <c r="AL16" s="840"/>
      <c r="AM16" s="840"/>
      <c r="AN16" s="840"/>
      <c r="AO16" s="840"/>
      <c r="AP16" s="840"/>
      <c r="AQ16" s="840"/>
      <c r="AR16" s="840"/>
      <c r="AS16" s="840"/>
      <c r="AT16" s="840"/>
      <c r="AU16" s="840"/>
      <c r="AV16" s="840"/>
      <c r="AW16" s="840"/>
      <c r="AX16" s="840"/>
      <c r="AY16" s="840"/>
      <c r="AZ16" s="840"/>
      <c r="BA16" s="840"/>
      <c r="BB16" s="840"/>
      <c r="BC16" s="840"/>
      <c r="BD16" s="840"/>
      <c r="BE16" s="840"/>
      <c r="BF16" s="840"/>
      <c r="BG16" s="840"/>
      <c r="BH16" s="885"/>
      <c r="BI16" s="874"/>
      <c r="BJ16" s="874"/>
      <c r="BK16" s="874"/>
      <c r="BL16" s="874"/>
      <c r="BM16" s="874"/>
      <c r="BN16" s="874"/>
      <c r="BO16" s="874"/>
      <c r="BP16" s="874"/>
      <c r="BQ16" s="874"/>
      <c r="BR16" s="874"/>
      <c r="BS16" s="874"/>
      <c r="BT16" s="874"/>
      <c r="BU16" s="874"/>
      <c r="BV16" s="874"/>
      <c r="BW16" s="874"/>
      <c r="BX16" s="874"/>
      <c r="BY16" s="874"/>
      <c r="BZ16" s="874"/>
      <c r="CA16" s="874"/>
      <c r="CB16" s="874"/>
      <c r="CC16" s="874"/>
      <c r="CD16" s="874"/>
      <c r="CE16" s="874"/>
      <c r="CF16" s="874"/>
      <c r="CG16" s="874"/>
      <c r="CH16" s="874"/>
      <c r="CI16" s="874"/>
      <c r="CJ16" s="874"/>
      <c r="CK16" s="874"/>
      <c r="CL16" s="874"/>
      <c r="CM16" s="874"/>
      <c r="CN16" s="874"/>
      <c r="CO16" s="874"/>
      <c r="CP16" s="874"/>
      <c r="CQ16" s="874"/>
      <c r="CR16" s="874"/>
      <c r="CS16" s="874"/>
      <c r="CT16" s="874"/>
      <c r="CU16" s="874"/>
      <c r="CV16" s="874"/>
      <c r="CW16" s="874"/>
      <c r="CX16" s="874"/>
      <c r="CY16" s="874"/>
      <c r="CZ16" s="874"/>
      <c r="DA16" s="874"/>
      <c r="DB16" s="874"/>
      <c r="DC16" s="874"/>
      <c r="DD16" s="945"/>
      <c r="DE16" s="945"/>
      <c r="DF16" s="945"/>
      <c r="DG16" s="897"/>
      <c r="DH16" s="897"/>
      <c r="DI16" s="897"/>
      <c r="DJ16" s="897"/>
      <c r="DK16" s="897"/>
      <c r="DL16" s="897"/>
      <c r="DM16" s="897"/>
      <c r="DN16" s="897"/>
      <c r="DO16" s="897"/>
      <c r="DP16" s="897"/>
      <c r="DQ16" s="897"/>
      <c r="DR16" s="897"/>
      <c r="DS16" s="897"/>
      <c r="DT16" s="897"/>
      <c r="DU16" s="897"/>
      <c r="DV16" s="897"/>
      <c r="DW16" s="897"/>
      <c r="DX16" s="897"/>
      <c r="DY16" s="897"/>
      <c r="DZ16" s="897"/>
      <c r="EA16" s="897"/>
      <c r="EB16" s="897"/>
      <c r="EC16" s="897"/>
      <c r="ED16" s="897"/>
      <c r="EE16" s="897"/>
      <c r="EF16" s="897"/>
      <c r="EG16" s="897"/>
      <c r="EH16" s="897"/>
      <c r="EI16" s="897"/>
      <c r="EJ16" s="897"/>
      <c r="EK16" s="897"/>
      <c r="EL16" s="897"/>
      <c r="EM16" s="897"/>
      <c r="EN16" s="897"/>
      <c r="EO16" s="897"/>
      <c r="EP16" s="897"/>
      <c r="EQ16" s="897"/>
      <c r="ER16" s="897"/>
      <c r="ES16" s="897"/>
      <c r="ET16" s="897"/>
      <c r="EU16" s="1921"/>
      <c r="EZ16" s="342"/>
    </row>
    <row r="17" spans="1:156" ht="21">
      <c r="A17" s="1952" t="s">
        <v>189</v>
      </c>
      <c r="B17" s="842">
        <v>63.543391400000004</v>
      </c>
      <c r="C17" s="842">
        <v>65.497840239999988</v>
      </c>
      <c r="D17" s="842">
        <v>63.8877162</v>
      </c>
      <c r="E17" s="842">
        <v>64.492311760000007</v>
      </c>
      <c r="F17" s="842">
        <v>91.649270990000005</v>
      </c>
      <c r="G17" s="842">
        <v>79.740994099999995</v>
      </c>
      <c r="H17" s="842">
        <v>94.403503540000003</v>
      </c>
      <c r="I17" s="842">
        <v>89.560851299999996</v>
      </c>
      <c r="J17" s="842">
        <v>89.907766510000002</v>
      </c>
      <c r="K17" s="842">
        <v>85.567900839999993</v>
      </c>
      <c r="L17" s="842">
        <v>92.193794270000012</v>
      </c>
      <c r="M17" s="840">
        <v>87.407880659999989</v>
      </c>
      <c r="N17" s="843">
        <v>98.807692129999992</v>
      </c>
      <c r="O17" s="843">
        <v>101.46063670000001</v>
      </c>
      <c r="P17" s="843">
        <v>99.279568470000001</v>
      </c>
      <c r="Q17" s="843">
        <v>103.21040708999999</v>
      </c>
      <c r="R17" s="843">
        <v>101.46150639000001</v>
      </c>
      <c r="S17" s="843">
        <v>101.11443770999999</v>
      </c>
      <c r="T17" s="843">
        <v>98.050094880000003</v>
      </c>
      <c r="U17" s="843">
        <v>91.232598440000004</v>
      </c>
      <c r="V17" s="843">
        <v>71.465355000000002</v>
      </c>
      <c r="W17" s="843">
        <v>66.996252690000006</v>
      </c>
      <c r="X17" s="843">
        <v>65.906070639999996</v>
      </c>
      <c r="Y17" s="840">
        <v>77.975106089999997</v>
      </c>
      <c r="Z17" s="843">
        <v>71.273859260000009</v>
      </c>
      <c r="AA17" s="843">
        <v>67.327085370000006</v>
      </c>
      <c r="AB17" s="840">
        <v>67.342085310000002</v>
      </c>
      <c r="AC17" s="840">
        <v>53.88084164</v>
      </c>
      <c r="AD17" s="840">
        <v>41.315329930000004</v>
      </c>
      <c r="AE17" s="840">
        <v>40.321463799999997</v>
      </c>
      <c r="AF17" s="840">
        <v>61.36611293</v>
      </c>
      <c r="AG17" s="840">
        <v>58.600953070000003</v>
      </c>
      <c r="AH17" s="840">
        <v>47.304734850000003</v>
      </c>
      <c r="AI17" s="840">
        <v>53.197158680000001</v>
      </c>
      <c r="AJ17" s="840">
        <v>53.698320980000005</v>
      </c>
      <c r="AK17" s="840">
        <v>53.867807830000004</v>
      </c>
      <c r="AL17" s="840">
        <v>53.290021580000001</v>
      </c>
      <c r="AM17" s="840">
        <v>68.361724339999995</v>
      </c>
      <c r="AN17" s="840">
        <v>68.827131699999995</v>
      </c>
      <c r="AO17" s="840">
        <v>70.727390360000001</v>
      </c>
      <c r="AP17" s="840">
        <v>65.500680529999997</v>
      </c>
      <c r="AQ17" s="840">
        <v>63.018631110000001</v>
      </c>
      <c r="AR17" s="840">
        <v>61.838905830000002</v>
      </c>
      <c r="AS17" s="840">
        <v>62.040386159999997</v>
      </c>
      <c r="AT17" s="840">
        <v>60.256518679999999</v>
      </c>
      <c r="AU17" s="840">
        <v>59.650852669999992</v>
      </c>
      <c r="AV17" s="840">
        <v>62.915649989999999</v>
      </c>
      <c r="AW17" s="840">
        <v>57.353747429999999</v>
      </c>
      <c r="AX17" s="840">
        <v>55.480426800000004</v>
      </c>
      <c r="AY17" s="840">
        <v>53.728997379999996</v>
      </c>
      <c r="AZ17" s="840">
        <v>53.063912290000005</v>
      </c>
      <c r="BA17" s="840">
        <v>50.030097380000001</v>
      </c>
      <c r="BB17" s="840">
        <v>46.4256879</v>
      </c>
      <c r="BC17" s="840">
        <v>46.359113690000001</v>
      </c>
      <c r="BD17" s="840">
        <v>44.742390299999997</v>
      </c>
      <c r="BE17" s="840">
        <v>43.145765909999994</v>
      </c>
      <c r="BF17" s="840">
        <v>42.988271839999996</v>
      </c>
      <c r="BG17" s="840">
        <v>42.535881140000001</v>
      </c>
      <c r="BH17" s="885">
        <v>41.665515509999999</v>
      </c>
      <c r="BI17" s="874">
        <v>41.620709950000006</v>
      </c>
      <c r="BJ17" s="874">
        <v>41.195556539999998</v>
      </c>
      <c r="BK17" s="874">
        <v>43.713749020000002</v>
      </c>
      <c r="BL17" s="874">
        <v>52.091083120000008</v>
      </c>
      <c r="BM17" s="874">
        <v>67.240190429999998</v>
      </c>
      <c r="BN17" s="874">
        <v>66.844149219999991</v>
      </c>
      <c r="BO17" s="874">
        <v>50.029586850000001</v>
      </c>
      <c r="BP17" s="874">
        <v>49.578828940000008</v>
      </c>
      <c r="BQ17" s="874">
        <v>49.289878139999999</v>
      </c>
      <c r="BR17" s="874">
        <v>53.975874149999996</v>
      </c>
      <c r="BS17" s="874">
        <v>53.784508119999998</v>
      </c>
      <c r="BT17" s="874">
        <v>68.885795110000004</v>
      </c>
      <c r="BU17" s="874">
        <v>61.219958030000008</v>
      </c>
      <c r="BV17" s="874">
        <v>62.973301640000003</v>
      </c>
      <c r="BW17" s="874">
        <v>62.907938210000005</v>
      </c>
      <c r="BX17" s="874">
        <v>65.46037681</v>
      </c>
      <c r="BY17" s="874">
        <v>63.812843180000002</v>
      </c>
      <c r="BZ17" s="874">
        <v>63.708767300000005</v>
      </c>
      <c r="CA17" s="874">
        <v>64.165253939999999</v>
      </c>
      <c r="CB17" s="874">
        <v>63.848569960000006</v>
      </c>
      <c r="CC17" s="874">
        <v>60.988305100000005</v>
      </c>
      <c r="CD17" s="874">
        <v>63.493601720000001</v>
      </c>
      <c r="CE17" s="874">
        <v>64.626751620000007</v>
      </c>
      <c r="CF17" s="874">
        <v>64.133804159999997</v>
      </c>
      <c r="CG17" s="874">
        <v>59.441486130000001</v>
      </c>
      <c r="CH17" s="874">
        <v>59.288069790000009</v>
      </c>
      <c r="CI17" s="874">
        <v>59.28220658</v>
      </c>
      <c r="CJ17" s="874">
        <v>58.842645180000005</v>
      </c>
      <c r="CK17" s="874">
        <v>57.926599599999996</v>
      </c>
      <c r="CL17" s="874">
        <v>26.651984530000004</v>
      </c>
      <c r="CM17" s="874">
        <v>27.640808550000003</v>
      </c>
      <c r="CN17" s="874">
        <v>29.821847400000003</v>
      </c>
      <c r="CO17" s="874">
        <v>28.416935070000001</v>
      </c>
      <c r="CP17" s="874">
        <v>26.827105759999998</v>
      </c>
      <c r="CQ17" s="874">
        <v>24.778588940000002</v>
      </c>
      <c r="CR17" s="874">
        <v>26.295627320000001</v>
      </c>
      <c r="CS17" s="874">
        <v>24.058719340000003</v>
      </c>
      <c r="CT17" s="874">
        <v>24.095563429999999</v>
      </c>
      <c r="CU17" s="874">
        <v>26.135681869999999</v>
      </c>
      <c r="CV17" s="874">
        <v>26.338683379999999</v>
      </c>
      <c r="CW17" s="874">
        <v>27.41761236</v>
      </c>
      <c r="CX17" s="874">
        <v>26.509607800000001</v>
      </c>
      <c r="CY17" s="874">
        <v>27.444412010000001</v>
      </c>
      <c r="CZ17" s="874">
        <v>26.702016530000002</v>
      </c>
      <c r="DA17" s="874">
        <v>25.869946460000001</v>
      </c>
      <c r="DB17" s="874">
        <v>26.4010359</v>
      </c>
      <c r="DC17" s="874">
        <v>26.20778705</v>
      </c>
      <c r="DD17" s="945">
        <v>32.5343789</v>
      </c>
      <c r="DE17" s="945">
        <v>26.921160789999998</v>
      </c>
      <c r="DF17" s="945">
        <v>37.253493220000003</v>
      </c>
      <c r="DG17" s="897">
        <v>29.90041497</v>
      </c>
      <c r="DH17" s="897">
        <v>30.204882130000001</v>
      </c>
      <c r="DI17" s="897">
        <v>32.801261580000002</v>
      </c>
      <c r="DJ17" s="897">
        <v>33.538321590000002</v>
      </c>
      <c r="DK17" s="897">
        <v>38.200409360000002</v>
      </c>
      <c r="DL17" s="897">
        <v>40.706396849999997</v>
      </c>
      <c r="DM17" s="897">
        <v>46.042587670000003</v>
      </c>
      <c r="DN17" s="897">
        <v>50.402703809999998</v>
      </c>
      <c r="DO17" s="897">
        <v>44.791325729999997</v>
      </c>
      <c r="DP17" s="897">
        <v>50.152879169999999</v>
      </c>
      <c r="DQ17" s="897">
        <v>42.897924809999999</v>
      </c>
      <c r="DR17" s="897">
        <v>42.720975150000001</v>
      </c>
      <c r="DS17" s="897">
        <v>29.249177</v>
      </c>
      <c r="DT17" s="897">
        <v>29.093294830000001</v>
      </c>
      <c r="DU17" s="897">
        <v>30.426668670000002</v>
      </c>
      <c r="DV17" s="897">
        <v>26.228072189999999</v>
      </c>
      <c r="DW17" s="897">
        <v>51.1996751</v>
      </c>
      <c r="DX17" s="897">
        <v>51.158143709999997</v>
      </c>
      <c r="DY17" s="897">
        <v>60.387924750000003</v>
      </c>
      <c r="DZ17" s="897">
        <v>56.252762269999998</v>
      </c>
      <c r="EA17" s="897">
        <v>61.754041299999997</v>
      </c>
      <c r="EB17" s="897">
        <v>60.572684440000003</v>
      </c>
      <c r="EC17" s="897">
        <v>90.94095523</v>
      </c>
      <c r="ED17" s="897">
        <v>86.357866770000001</v>
      </c>
      <c r="EE17" s="897">
        <v>91.781873610000005</v>
      </c>
      <c r="EF17" s="897">
        <v>110.56783253</v>
      </c>
      <c r="EG17" s="897">
        <v>145.69682115000001</v>
      </c>
      <c r="EH17" s="897">
        <v>173.91951508</v>
      </c>
      <c r="EI17" s="897">
        <v>146.65556659999999</v>
      </c>
      <c r="EJ17" s="897">
        <v>149.00021993999999</v>
      </c>
      <c r="EK17" s="897">
        <v>162.26007849000001</v>
      </c>
      <c r="EL17" s="897">
        <v>184.98476715999999</v>
      </c>
      <c r="EM17" s="897">
        <v>143.52124734</v>
      </c>
      <c r="EN17" s="897">
        <v>140.49417584</v>
      </c>
      <c r="EO17" s="897">
        <v>155.13013212999999</v>
      </c>
      <c r="EP17" s="897">
        <v>151.89433842</v>
      </c>
      <c r="EQ17" s="897">
        <v>142.04105061999999</v>
      </c>
      <c r="ER17" s="897">
        <v>138.13805482000001</v>
      </c>
      <c r="ES17" s="897">
        <v>115.86367418</v>
      </c>
      <c r="ET17" s="897">
        <v>124.31452585</v>
      </c>
      <c r="EU17" s="1922" t="s">
        <v>212</v>
      </c>
      <c r="EZ17" s="342"/>
    </row>
    <row r="18" spans="1:156" ht="21">
      <c r="A18" s="1953" t="s">
        <v>1974</v>
      </c>
      <c r="B18" s="839">
        <v>36.700619530000004</v>
      </c>
      <c r="C18" s="839">
        <v>36.664940869999995</v>
      </c>
      <c r="D18" s="839">
        <v>36.576302800000001</v>
      </c>
      <c r="E18" s="839">
        <v>38.979519880000005</v>
      </c>
      <c r="F18" s="839">
        <v>63.26440753</v>
      </c>
      <c r="G18" s="839">
        <v>45.575365340000005</v>
      </c>
      <c r="H18" s="839">
        <v>61.597926869999995</v>
      </c>
      <c r="I18" s="839">
        <v>56.657630869999998</v>
      </c>
      <c r="J18" s="839">
        <v>58.744991040000002</v>
      </c>
      <c r="K18" s="839">
        <v>49.440618139999998</v>
      </c>
      <c r="L18" s="839">
        <v>53.668936030000005</v>
      </c>
      <c r="M18" s="843">
        <v>45.732315939999999</v>
      </c>
      <c r="N18" s="840">
        <v>52.735395650000001</v>
      </c>
      <c r="O18" s="840">
        <v>53.756946310000004</v>
      </c>
      <c r="P18" s="840">
        <v>54.776118400000001</v>
      </c>
      <c r="Q18" s="840">
        <v>57.836687829999995</v>
      </c>
      <c r="R18" s="840">
        <v>58.143885920000002</v>
      </c>
      <c r="S18" s="840">
        <v>56.808644799999996</v>
      </c>
      <c r="T18" s="840">
        <v>55.454344570000004</v>
      </c>
      <c r="U18" s="840">
        <v>51.043722459999998</v>
      </c>
      <c r="V18" s="840">
        <v>47.852847600000004</v>
      </c>
      <c r="W18" s="840">
        <v>49.264253600000004</v>
      </c>
      <c r="X18" s="840">
        <v>53.24264599</v>
      </c>
      <c r="Y18" s="843">
        <v>64.53884497</v>
      </c>
      <c r="Z18" s="840">
        <v>58.514654600000007</v>
      </c>
      <c r="AA18" s="840">
        <v>49.523415520000007</v>
      </c>
      <c r="AB18" s="843">
        <v>52.908212800000001</v>
      </c>
      <c r="AC18" s="843">
        <v>36.15992936</v>
      </c>
      <c r="AD18" s="843">
        <v>23.525657670000001</v>
      </c>
      <c r="AE18" s="843">
        <v>23.376456989999998</v>
      </c>
      <c r="AF18" s="843">
        <v>23.041742079999999</v>
      </c>
      <c r="AG18" s="843">
        <v>22.898850149999998</v>
      </c>
      <c r="AH18" s="843">
        <v>22.76087978</v>
      </c>
      <c r="AI18" s="843">
        <v>32.95795476</v>
      </c>
      <c r="AJ18" s="843">
        <v>28.747954760000002</v>
      </c>
      <c r="AK18" s="843">
        <v>28.767954760000002</v>
      </c>
      <c r="AL18" s="843">
        <v>28.61795476</v>
      </c>
      <c r="AM18" s="843">
        <v>32.661383620000002</v>
      </c>
      <c r="AN18" s="843">
        <v>34.355490520000004</v>
      </c>
      <c r="AO18" s="843">
        <v>36.954972610000006</v>
      </c>
      <c r="AP18" s="843">
        <v>33.205486279999995</v>
      </c>
      <c r="AQ18" s="843">
        <v>32.151202949999998</v>
      </c>
      <c r="AR18" s="843">
        <v>31.479302059999998</v>
      </c>
      <c r="AS18" s="843">
        <v>31.254349949999998</v>
      </c>
      <c r="AT18" s="843">
        <v>31.016773949999997</v>
      </c>
      <c r="AU18" s="843">
        <v>31.016186949999998</v>
      </c>
      <c r="AV18" s="843">
        <v>30.465582949999998</v>
      </c>
      <c r="AW18" s="843">
        <v>23.765582949999999</v>
      </c>
      <c r="AX18" s="843">
        <v>23.765582949999999</v>
      </c>
      <c r="AY18" s="843">
        <v>23.61558295</v>
      </c>
      <c r="AZ18" s="843">
        <v>23.61558295</v>
      </c>
      <c r="BA18" s="843">
        <v>23.61558295</v>
      </c>
      <c r="BB18" s="843">
        <v>20.244959949999998</v>
      </c>
      <c r="BC18" s="843">
        <v>20.244959949999998</v>
      </c>
      <c r="BD18" s="843">
        <v>20.235959949999998</v>
      </c>
      <c r="BE18" s="843">
        <v>20.235959949999998</v>
      </c>
      <c r="BF18" s="843">
        <v>20.235959949999998</v>
      </c>
      <c r="BG18" s="843">
        <v>20.235798930000001</v>
      </c>
      <c r="BH18" s="886">
        <v>20.235798930000001</v>
      </c>
      <c r="BI18" s="875">
        <v>20.235798930000001</v>
      </c>
      <c r="BJ18" s="875">
        <v>20.235798930000001</v>
      </c>
      <c r="BK18" s="875">
        <v>20.235798930000001</v>
      </c>
      <c r="BL18" s="875">
        <v>20.235798930000001</v>
      </c>
      <c r="BM18" s="875">
        <v>20.235798930000001</v>
      </c>
      <c r="BN18" s="875">
        <v>20.235798930000001</v>
      </c>
      <c r="BO18" s="875">
        <v>20.235798930000001</v>
      </c>
      <c r="BP18" s="875">
        <v>20.235798930000001</v>
      </c>
      <c r="BQ18" s="875">
        <v>20.235798930000001</v>
      </c>
      <c r="BR18" s="875">
        <v>25.235798930000001</v>
      </c>
      <c r="BS18" s="875">
        <v>25.235798930000001</v>
      </c>
      <c r="BT18" s="875">
        <v>25.235798930000001</v>
      </c>
      <c r="BU18" s="875">
        <v>21.550187690000001</v>
      </c>
      <c r="BV18" s="875">
        <v>20.550187690000001</v>
      </c>
      <c r="BW18" s="875">
        <v>22.550187690000001</v>
      </c>
      <c r="BX18" s="875">
        <v>19.850187690000002</v>
      </c>
      <c r="BY18" s="875">
        <v>19.850187690000002</v>
      </c>
      <c r="BZ18" s="875">
        <v>19.850187690000002</v>
      </c>
      <c r="CA18" s="875">
        <v>19.850187690000002</v>
      </c>
      <c r="CB18" s="875">
        <v>19.850187690000002</v>
      </c>
      <c r="CC18" s="875">
        <v>19.850187690000002</v>
      </c>
      <c r="CD18" s="875">
        <v>19.850187690000002</v>
      </c>
      <c r="CE18" s="875">
        <v>19.850187690000002</v>
      </c>
      <c r="CF18" s="875">
        <v>19.850187690000002</v>
      </c>
      <c r="CG18" s="875">
        <v>19.850187690000002</v>
      </c>
      <c r="CH18" s="875">
        <v>19.850187690000002</v>
      </c>
      <c r="CI18" s="875">
        <v>20.150187690000003</v>
      </c>
      <c r="CJ18" s="875">
        <v>20.150187690000003</v>
      </c>
      <c r="CK18" s="875">
        <v>20.150187690000003</v>
      </c>
      <c r="CL18" s="875">
        <v>20.150187690000003</v>
      </c>
      <c r="CM18" s="875">
        <v>20.150187690000003</v>
      </c>
      <c r="CN18" s="875">
        <v>21.920187690000002</v>
      </c>
      <c r="CO18" s="875">
        <v>20.6921055</v>
      </c>
      <c r="CP18" s="875">
        <v>20.21236566</v>
      </c>
      <c r="CQ18" s="875">
        <v>20.150187690000003</v>
      </c>
      <c r="CR18" s="875">
        <v>20.150187690000003</v>
      </c>
      <c r="CS18" s="875">
        <v>20.150187690000003</v>
      </c>
      <c r="CT18" s="875">
        <v>20.150187689999999</v>
      </c>
      <c r="CU18" s="875">
        <v>20.185187689999999</v>
      </c>
      <c r="CV18" s="875">
        <v>20.220187689999999</v>
      </c>
      <c r="CW18" s="875">
        <v>20.240187689999999</v>
      </c>
      <c r="CX18" s="875">
        <v>20.681187690000002</v>
      </c>
      <c r="CY18" s="875">
        <v>20.37748607</v>
      </c>
      <c r="CZ18" s="875">
        <v>20.370064589999998</v>
      </c>
      <c r="DA18" s="875">
        <v>20.362544159999999</v>
      </c>
      <c r="DB18" s="875">
        <v>20.26076398</v>
      </c>
      <c r="DC18" s="875">
        <v>20.24684611</v>
      </c>
      <c r="DD18" s="946">
        <v>20.232582969999999</v>
      </c>
      <c r="DE18" s="946">
        <v>20.21818846</v>
      </c>
      <c r="DF18" s="946">
        <v>20.189852699999999</v>
      </c>
      <c r="DG18" s="898">
        <v>20.178443049999998</v>
      </c>
      <c r="DH18" s="898">
        <v>20.17103036</v>
      </c>
      <c r="DI18" s="898">
        <v>20.167696129999999</v>
      </c>
      <c r="DJ18" s="898">
        <v>20.150187689999999</v>
      </c>
      <c r="DK18" s="898">
        <v>20.150187689999999</v>
      </c>
      <c r="DL18" s="898">
        <v>20.150187689999999</v>
      </c>
      <c r="DM18" s="898">
        <v>16.464687739999999</v>
      </c>
      <c r="DN18" s="898">
        <v>16.464687739999999</v>
      </c>
      <c r="DO18" s="898">
        <v>10.75029898</v>
      </c>
      <c r="DP18" s="898">
        <v>10.75029898</v>
      </c>
      <c r="DQ18" s="898">
        <v>6.7154600000000002</v>
      </c>
      <c r="DR18" s="898">
        <v>4.6900000000000004</v>
      </c>
      <c r="DS18" s="898">
        <v>4.71</v>
      </c>
      <c r="DT18" s="898">
        <v>4.7080089200000002</v>
      </c>
      <c r="DU18" s="898">
        <v>4.7058277899999998</v>
      </c>
      <c r="DV18" s="898">
        <v>4.7036972800000001</v>
      </c>
      <c r="DW18" s="898">
        <v>4.7014982500000002</v>
      </c>
      <c r="DX18" s="898">
        <v>4.6992767200000003</v>
      </c>
      <c r="DY18" s="898">
        <v>3.50702172</v>
      </c>
      <c r="DZ18" s="898">
        <v>4.7177499999999997E-3</v>
      </c>
      <c r="EA18" s="898">
        <v>2.2499999999999999E-2</v>
      </c>
      <c r="EB18" s="898">
        <v>2.0786220000000001E-2</v>
      </c>
      <c r="EC18" s="898">
        <v>1.9014699999999999E-2</v>
      </c>
      <c r="ED18" s="898">
        <v>1.7237389999999998E-2</v>
      </c>
      <c r="EE18" s="898">
        <v>1.5442040000000001E-2</v>
      </c>
      <c r="EF18" s="898">
        <v>1.360342E-2</v>
      </c>
      <c r="EG18" s="898">
        <v>1.1744940000000001E-2</v>
      </c>
      <c r="EH18" s="898">
        <v>9.8703300000000001E-3</v>
      </c>
      <c r="EI18" s="898">
        <v>7.9459800000000001E-3</v>
      </c>
      <c r="EJ18" s="898">
        <v>6.0525800000000001E-3</v>
      </c>
      <c r="EK18" s="898">
        <v>4.0830900000000002E-3</v>
      </c>
      <c r="EL18" s="898">
        <v>2.0790399999999999E-3</v>
      </c>
      <c r="EM18" s="898">
        <v>4.994E-5</v>
      </c>
      <c r="EN18" s="898">
        <v>4.994E-5</v>
      </c>
      <c r="EO18" s="898">
        <v>1.19432834</v>
      </c>
      <c r="EP18" s="898">
        <v>4.994E-5</v>
      </c>
      <c r="EQ18" s="898">
        <v>4.994E-5</v>
      </c>
      <c r="ER18" s="898">
        <v>4.994E-5</v>
      </c>
      <c r="ES18" s="898">
        <v>0</v>
      </c>
      <c r="ET18" s="898">
        <v>0</v>
      </c>
      <c r="EU18" s="1924" t="s">
        <v>4086</v>
      </c>
      <c r="EZ18" s="342"/>
    </row>
    <row r="19" spans="1:156" ht="21">
      <c r="A19" s="1953" t="s">
        <v>1975</v>
      </c>
      <c r="B19" s="842">
        <f>+B17-B18</f>
        <v>26.84277187</v>
      </c>
      <c r="C19" s="842">
        <f t="shared" ref="C19:V19" si="4">+C17-C18</f>
        <v>28.832899369999993</v>
      </c>
      <c r="D19" s="842">
        <f t="shared" si="4"/>
        <v>27.311413399999999</v>
      </c>
      <c r="E19" s="842">
        <f t="shared" si="4"/>
        <v>25.512791880000002</v>
      </c>
      <c r="F19" s="842">
        <f t="shared" si="4"/>
        <v>28.384863460000005</v>
      </c>
      <c r="G19" s="842">
        <f t="shared" si="4"/>
        <v>34.16562875999999</v>
      </c>
      <c r="H19" s="842">
        <f t="shared" si="4"/>
        <v>32.805576670000008</v>
      </c>
      <c r="I19" s="842">
        <f t="shared" si="4"/>
        <v>32.903220429999998</v>
      </c>
      <c r="J19" s="842">
        <f t="shared" si="4"/>
        <v>31.16277547</v>
      </c>
      <c r="K19" s="842">
        <f t="shared" si="4"/>
        <v>36.127282699999995</v>
      </c>
      <c r="L19" s="842">
        <f t="shared" si="4"/>
        <v>38.524858240000007</v>
      </c>
      <c r="M19" s="843">
        <f t="shared" si="4"/>
        <v>41.67556471999999</v>
      </c>
      <c r="N19" s="843">
        <f t="shared" si="4"/>
        <v>46.072296479999991</v>
      </c>
      <c r="O19" s="843">
        <f t="shared" si="4"/>
        <v>47.703690390000006</v>
      </c>
      <c r="P19" s="843">
        <f t="shared" si="4"/>
        <v>44.50345007</v>
      </c>
      <c r="Q19" s="843">
        <f t="shared" si="4"/>
        <v>45.373719259999994</v>
      </c>
      <c r="R19" s="843">
        <f t="shared" si="4"/>
        <v>43.317620470000008</v>
      </c>
      <c r="S19" s="843">
        <f t="shared" si="4"/>
        <v>44.305792909999994</v>
      </c>
      <c r="T19" s="843">
        <f t="shared" si="4"/>
        <v>42.59575031</v>
      </c>
      <c r="U19" s="843">
        <f t="shared" si="4"/>
        <v>40.188875980000006</v>
      </c>
      <c r="V19" s="843">
        <f t="shared" si="4"/>
        <v>23.612507399999998</v>
      </c>
      <c r="W19" s="843">
        <v>17.731999090000002</v>
      </c>
      <c r="X19" s="843">
        <v>12.663424649999996</v>
      </c>
      <c r="Y19" s="843">
        <v>13.436261119999998</v>
      </c>
      <c r="Z19" s="843">
        <v>12.759204660000002</v>
      </c>
      <c r="AA19" s="843">
        <v>17.803669849999999</v>
      </c>
      <c r="AB19" s="843">
        <f>+AB17-AB18</f>
        <v>14.43387251</v>
      </c>
      <c r="AC19" s="843">
        <v>17.72091228</v>
      </c>
      <c r="AD19" s="843">
        <v>17.789672260000003</v>
      </c>
      <c r="AE19" s="843">
        <v>16.945006809999999</v>
      </c>
      <c r="AF19" s="843">
        <v>38.324370850000001</v>
      </c>
      <c r="AG19" s="843">
        <v>35.702102920000002</v>
      </c>
      <c r="AH19" s="843">
        <f>+AH17-AH18</f>
        <v>24.543855070000003</v>
      </c>
      <c r="AI19" s="843">
        <v>20.239203920000001</v>
      </c>
      <c r="AJ19" s="843">
        <f>+AJ17-AJ18</f>
        <v>24.950366220000003</v>
      </c>
      <c r="AK19" s="843">
        <f>+AK17-AK18</f>
        <v>25.099853070000002</v>
      </c>
      <c r="AL19" s="843">
        <v>24.672066820000001</v>
      </c>
      <c r="AM19" s="843">
        <f>+AM17-AM18</f>
        <v>35.700340719999993</v>
      </c>
      <c r="AN19" s="843">
        <f>+AN17-AN18</f>
        <v>34.471641179999992</v>
      </c>
      <c r="AO19" s="843">
        <f>+AO17-AO18</f>
        <v>33.772417749999995</v>
      </c>
      <c r="AP19" s="843">
        <f>+AP17-AP18</f>
        <v>32.295194250000002</v>
      </c>
      <c r="AQ19" s="843">
        <v>30.867428160000003</v>
      </c>
      <c r="AR19" s="843">
        <f>+AR17-AR18</f>
        <v>30.359603770000003</v>
      </c>
      <c r="AS19" s="843">
        <v>30.786036209999999</v>
      </c>
      <c r="AT19" s="843">
        <f>+AT17-AT18</f>
        <v>29.239744730000002</v>
      </c>
      <c r="AU19" s="843">
        <v>28.634665719999994</v>
      </c>
      <c r="AV19" s="843">
        <v>32.45006704</v>
      </c>
      <c r="AW19" s="843">
        <v>33.588164480000003</v>
      </c>
      <c r="AX19" s="843">
        <v>31.714843850000005</v>
      </c>
      <c r="AY19" s="843">
        <v>30.113414429999995</v>
      </c>
      <c r="AZ19" s="843">
        <v>29.448329340000004</v>
      </c>
      <c r="BA19" s="843">
        <v>26.414514430000001</v>
      </c>
      <c r="BB19" s="843">
        <v>26.180727950000001</v>
      </c>
      <c r="BC19" s="843">
        <v>26.114153740000003</v>
      </c>
      <c r="BD19" s="843">
        <f>+BD17-BD18</f>
        <v>24.506430349999999</v>
      </c>
      <c r="BE19" s="843">
        <v>22.909805959999996</v>
      </c>
      <c r="BF19" s="843">
        <v>22.752311889999998</v>
      </c>
      <c r="BG19" s="843">
        <v>22.300082209999999</v>
      </c>
      <c r="BH19" s="886">
        <v>21.429716579999997</v>
      </c>
      <c r="BI19" s="875">
        <v>21.384911020000004</v>
      </c>
      <c r="BJ19" s="875">
        <v>20.959757609999997</v>
      </c>
      <c r="BK19" s="875">
        <v>23.47795009</v>
      </c>
      <c r="BL19" s="875">
        <v>31.855284190000006</v>
      </c>
      <c r="BM19" s="875">
        <v>47.004391499999997</v>
      </c>
      <c r="BN19" s="875">
        <v>46.60835028999999</v>
      </c>
      <c r="BO19" s="875">
        <v>29.79378792</v>
      </c>
      <c r="BP19" s="875">
        <v>29.343030010000007</v>
      </c>
      <c r="BQ19" s="875">
        <v>29.054079209999998</v>
      </c>
      <c r="BR19" s="875">
        <v>28.740075219999994</v>
      </c>
      <c r="BS19" s="875">
        <v>28.548709189999997</v>
      </c>
      <c r="BT19" s="875">
        <v>43.649996180000002</v>
      </c>
      <c r="BU19" s="875">
        <v>39.669770340000007</v>
      </c>
      <c r="BV19" s="875">
        <v>42.423113950000001</v>
      </c>
      <c r="BW19" s="875">
        <v>40.357750520000003</v>
      </c>
      <c r="BX19" s="875">
        <v>45.610189120000001</v>
      </c>
      <c r="BY19" s="875">
        <v>43.962655490000003</v>
      </c>
      <c r="BZ19" s="875">
        <v>43.858579610000007</v>
      </c>
      <c r="CA19" s="875">
        <v>44.315066250000001</v>
      </c>
      <c r="CB19" s="875">
        <v>43.998382270000008</v>
      </c>
      <c r="CC19" s="875">
        <v>41.138117410000007</v>
      </c>
      <c r="CD19" s="875">
        <v>43.643414030000002</v>
      </c>
      <c r="CE19" s="875">
        <f t="shared" ref="CE19:CP19" si="5">+CE17-CE18</f>
        <v>44.776563930000009</v>
      </c>
      <c r="CF19" s="875">
        <f t="shared" si="5"/>
        <v>44.283616469999998</v>
      </c>
      <c r="CG19" s="875">
        <f t="shared" si="5"/>
        <v>39.591298440000003</v>
      </c>
      <c r="CH19" s="875">
        <f t="shared" si="5"/>
        <v>39.43788210000001</v>
      </c>
      <c r="CI19" s="875">
        <f t="shared" si="5"/>
        <v>39.132018889999998</v>
      </c>
      <c r="CJ19" s="875">
        <f t="shared" si="5"/>
        <v>38.692457490000002</v>
      </c>
      <c r="CK19" s="875">
        <f t="shared" si="5"/>
        <v>37.776411909999993</v>
      </c>
      <c r="CL19" s="875">
        <f t="shared" si="5"/>
        <v>6.5017968400000008</v>
      </c>
      <c r="CM19" s="875">
        <f t="shared" si="5"/>
        <v>7.4906208599999999</v>
      </c>
      <c r="CN19" s="875">
        <f t="shared" si="5"/>
        <v>7.9016597100000006</v>
      </c>
      <c r="CO19" s="875">
        <f t="shared" si="5"/>
        <v>7.7248295700000007</v>
      </c>
      <c r="CP19" s="875">
        <f t="shared" si="5"/>
        <v>6.6147400999999988</v>
      </c>
      <c r="CQ19" s="875">
        <f>+CQ17-CQ18</f>
        <v>4.6284012499999996</v>
      </c>
      <c r="CR19" s="875">
        <f>+CR17-CR18</f>
        <v>6.1454396299999985</v>
      </c>
      <c r="CS19" s="875">
        <v>3.9085316500000005</v>
      </c>
      <c r="CT19" s="875">
        <v>3.9453757399999998</v>
      </c>
      <c r="CU19" s="875">
        <v>5.9504941799999997</v>
      </c>
      <c r="CV19" s="875">
        <v>6.1184956899999996</v>
      </c>
      <c r="CW19" s="875">
        <v>7.1774246699999997</v>
      </c>
      <c r="CX19" s="875">
        <v>5.8284201099999997</v>
      </c>
      <c r="CY19" s="875">
        <v>7.06692594</v>
      </c>
      <c r="CZ19" s="875">
        <v>6.3319519399999997</v>
      </c>
      <c r="DA19" s="875">
        <v>5.5074022999999999</v>
      </c>
      <c r="DB19" s="875">
        <v>6.14027192</v>
      </c>
      <c r="DC19" s="875">
        <v>5.9609409400000004</v>
      </c>
      <c r="DD19" s="946">
        <v>12.301795930000001</v>
      </c>
      <c r="DE19" s="946">
        <v>6.7029723299999997</v>
      </c>
      <c r="DF19" s="946">
        <v>17.06364052</v>
      </c>
      <c r="DG19" s="898">
        <v>9.7219719199999997</v>
      </c>
      <c r="DH19" s="898">
        <v>10.03385177</v>
      </c>
      <c r="DI19" s="898">
        <v>12.633565450000001</v>
      </c>
      <c r="DJ19" s="898">
        <v>13.3881339</v>
      </c>
      <c r="DK19" s="898">
        <v>18.050221669999999</v>
      </c>
      <c r="DL19" s="898">
        <v>20.556209160000002</v>
      </c>
      <c r="DM19" s="898">
        <v>29.577899930000001</v>
      </c>
      <c r="DN19" s="898">
        <v>33.938016070000003</v>
      </c>
      <c r="DO19" s="898">
        <v>34.04102675</v>
      </c>
      <c r="DP19" s="898">
        <v>39.402580190000002</v>
      </c>
      <c r="DQ19" s="898">
        <v>36.182464809999999</v>
      </c>
      <c r="DR19" s="898">
        <v>38.030975150000003</v>
      </c>
      <c r="DS19" s="898">
        <v>24.539176999999999</v>
      </c>
      <c r="DT19" s="898">
        <v>24.38528591</v>
      </c>
      <c r="DU19" s="898">
        <v>25.720840880000001</v>
      </c>
      <c r="DV19" s="898">
        <v>21.524374909999999</v>
      </c>
      <c r="DW19" s="898">
        <v>46.49817685</v>
      </c>
      <c r="DX19" s="898">
        <v>46.458866989999997</v>
      </c>
      <c r="DY19" s="898">
        <v>56.880903029999999</v>
      </c>
      <c r="DZ19" s="898">
        <v>56.248044520000001</v>
      </c>
      <c r="EA19" s="898">
        <v>61.731541300000004</v>
      </c>
      <c r="EB19" s="898">
        <v>60.551898219999998</v>
      </c>
      <c r="EC19" s="898">
        <v>90.921940530000001</v>
      </c>
      <c r="ED19" s="898">
        <v>86.340629379999996</v>
      </c>
      <c r="EE19" s="898">
        <v>91.766431569999995</v>
      </c>
      <c r="EF19" s="898">
        <v>110.55422910999999</v>
      </c>
      <c r="EG19" s="898">
        <v>145.68507621000001</v>
      </c>
      <c r="EH19" s="898">
        <v>173.90964475000001</v>
      </c>
      <c r="EI19" s="898">
        <v>146.64762062</v>
      </c>
      <c r="EJ19" s="898">
        <v>148.99416736000001</v>
      </c>
      <c r="EK19" s="898">
        <v>162.25599539999999</v>
      </c>
      <c r="EL19" s="898">
        <v>184.98268812000001</v>
      </c>
      <c r="EM19" s="898">
        <v>143.52119740000001</v>
      </c>
      <c r="EN19" s="898">
        <v>140.4941259</v>
      </c>
      <c r="EO19" s="898">
        <v>153.93580378999999</v>
      </c>
      <c r="EP19" s="898">
        <v>151.89428848</v>
      </c>
      <c r="EQ19" s="898">
        <v>142.04100068</v>
      </c>
      <c r="ER19" s="898">
        <v>138.13800488000001</v>
      </c>
      <c r="ES19" s="898">
        <v>115.86367418</v>
      </c>
      <c r="ET19" s="898">
        <v>124.31452585</v>
      </c>
      <c r="EU19" s="1924" t="s">
        <v>4085</v>
      </c>
      <c r="EZ19" s="342"/>
    </row>
    <row r="20" spans="1:156" ht="21">
      <c r="A20" s="1952"/>
      <c r="B20" s="839"/>
      <c r="C20" s="839"/>
      <c r="D20" s="839"/>
      <c r="E20" s="839"/>
      <c r="F20" s="839"/>
      <c r="G20" s="839"/>
      <c r="H20" s="839"/>
      <c r="I20" s="839"/>
      <c r="J20" s="839"/>
      <c r="K20" s="839"/>
      <c r="L20" s="839"/>
      <c r="M20" s="840"/>
      <c r="N20" s="840"/>
      <c r="O20" s="840"/>
      <c r="P20" s="840"/>
      <c r="Q20" s="840"/>
      <c r="R20" s="840"/>
      <c r="S20" s="840"/>
      <c r="T20" s="840"/>
      <c r="U20" s="840"/>
      <c r="V20" s="840"/>
      <c r="W20" s="840"/>
      <c r="X20" s="840"/>
      <c r="Y20" s="840"/>
      <c r="Z20" s="840"/>
      <c r="AA20" s="840"/>
      <c r="AB20" s="840"/>
      <c r="AC20" s="840"/>
      <c r="AD20" s="840"/>
      <c r="AE20" s="840"/>
      <c r="AF20" s="840"/>
      <c r="AG20" s="840"/>
      <c r="AH20" s="840"/>
      <c r="AI20" s="840"/>
      <c r="AJ20" s="840"/>
      <c r="AK20" s="840"/>
      <c r="AL20" s="840"/>
      <c r="AM20" s="840"/>
      <c r="AN20" s="840"/>
      <c r="AO20" s="840"/>
      <c r="AP20" s="840"/>
      <c r="AQ20" s="840"/>
      <c r="AR20" s="840"/>
      <c r="AS20" s="840"/>
      <c r="AT20" s="840"/>
      <c r="AU20" s="840"/>
      <c r="AV20" s="840"/>
      <c r="AW20" s="840"/>
      <c r="AX20" s="840"/>
      <c r="AY20" s="840"/>
      <c r="AZ20" s="840"/>
      <c r="BA20" s="840"/>
      <c r="BB20" s="840"/>
      <c r="BC20" s="840"/>
      <c r="BD20" s="840"/>
      <c r="BE20" s="840"/>
      <c r="BF20" s="840"/>
      <c r="BG20" s="840"/>
      <c r="BH20" s="885"/>
      <c r="BI20" s="874"/>
      <c r="BJ20" s="874"/>
      <c r="BK20" s="874"/>
      <c r="BL20" s="874"/>
      <c r="BM20" s="874"/>
      <c r="BN20" s="874"/>
      <c r="BO20" s="874"/>
      <c r="BP20" s="874"/>
      <c r="BQ20" s="874"/>
      <c r="BR20" s="874"/>
      <c r="BS20" s="874"/>
      <c r="BT20" s="874"/>
      <c r="BU20" s="874"/>
      <c r="BV20" s="874"/>
      <c r="BW20" s="874"/>
      <c r="BX20" s="874"/>
      <c r="BY20" s="874"/>
      <c r="BZ20" s="874"/>
      <c r="CA20" s="874"/>
      <c r="CB20" s="874"/>
      <c r="CC20" s="874"/>
      <c r="CD20" s="874"/>
      <c r="CE20" s="874"/>
      <c r="CF20" s="874"/>
      <c r="CG20" s="874"/>
      <c r="CH20" s="874"/>
      <c r="CI20" s="874"/>
      <c r="CJ20" s="874"/>
      <c r="CK20" s="874"/>
      <c r="CL20" s="874"/>
      <c r="CM20" s="874"/>
      <c r="CN20" s="874"/>
      <c r="CO20" s="874"/>
      <c r="CP20" s="874"/>
      <c r="CQ20" s="874"/>
      <c r="CR20" s="874"/>
      <c r="CS20" s="874"/>
      <c r="CT20" s="874"/>
      <c r="CU20" s="874"/>
      <c r="CV20" s="874"/>
      <c r="CW20" s="874"/>
      <c r="CX20" s="874"/>
      <c r="CY20" s="874"/>
      <c r="CZ20" s="874"/>
      <c r="DA20" s="874"/>
      <c r="DB20" s="874"/>
      <c r="DC20" s="874"/>
      <c r="DD20" s="945"/>
      <c r="DE20" s="945"/>
      <c r="DF20" s="945"/>
      <c r="DG20" s="897"/>
      <c r="DH20" s="897"/>
      <c r="DI20" s="897"/>
      <c r="DJ20" s="897"/>
      <c r="DK20" s="897"/>
      <c r="DL20" s="897"/>
      <c r="DM20" s="897"/>
      <c r="DN20" s="897"/>
      <c r="DO20" s="897"/>
      <c r="DP20" s="897"/>
      <c r="DQ20" s="897"/>
      <c r="DR20" s="897"/>
      <c r="DS20" s="897"/>
      <c r="DT20" s="897"/>
      <c r="DU20" s="897"/>
      <c r="DV20" s="897"/>
      <c r="DW20" s="897"/>
      <c r="DX20" s="897"/>
      <c r="DY20" s="897"/>
      <c r="DZ20" s="897"/>
      <c r="EA20" s="897"/>
      <c r="EB20" s="897"/>
      <c r="EC20" s="897"/>
      <c r="ED20" s="897"/>
      <c r="EE20" s="897"/>
      <c r="EF20" s="897"/>
      <c r="EG20" s="897"/>
      <c r="EH20" s="897"/>
      <c r="EI20" s="897"/>
      <c r="EJ20" s="897"/>
      <c r="EK20" s="897"/>
      <c r="EL20" s="897"/>
      <c r="EM20" s="897"/>
      <c r="EN20" s="897"/>
      <c r="EO20" s="897"/>
      <c r="EP20" s="897"/>
      <c r="EQ20" s="897"/>
      <c r="ER20" s="897"/>
      <c r="ES20" s="897"/>
      <c r="ET20" s="897"/>
      <c r="EU20" s="1922"/>
      <c r="EZ20" s="342"/>
    </row>
    <row r="21" spans="1:156" ht="21">
      <c r="A21" s="1952" t="s">
        <v>2757</v>
      </c>
      <c r="B21" s="842">
        <v>443.88503892</v>
      </c>
      <c r="C21" s="842">
        <v>459.50183627999996</v>
      </c>
      <c r="D21" s="842">
        <v>470.16147791000003</v>
      </c>
      <c r="E21" s="842">
        <v>475.67544439</v>
      </c>
      <c r="F21" s="842">
        <v>72.243078240000003</v>
      </c>
      <c r="G21" s="842">
        <v>74.152245250000007</v>
      </c>
      <c r="H21" s="842">
        <v>88.684479839999995</v>
      </c>
      <c r="I21" s="842">
        <v>90.542124869999995</v>
      </c>
      <c r="J21" s="842">
        <v>92.94452849000001</v>
      </c>
      <c r="K21" s="842">
        <v>82.826182009999997</v>
      </c>
      <c r="L21" s="842">
        <v>81.828861669999995</v>
      </c>
      <c r="M21" s="840">
        <v>79.011492180000005</v>
      </c>
      <c r="N21" s="843">
        <v>79.729670519999985</v>
      </c>
      <c r="O21" s="843">
        <v>86.520039740000001</v>
      </c>
      <c r="P21" s="843">
        <v>141.21429698</v>
      </c>
      <c r="Q21" s="843">
        <v>145.77640493999999</v>
      </c>
      <c r="R21" s="843">
        <v>141.54617831000002</v>
      </c>
      <c r="S21" s="843">
        <v>146.01225755999997</v>
      </c>
      <c r="T21" s="843">
        <v>146.12894358999998</v>
      </c>
      <c r="U21" s="843">
        <v>161.85589311000001</v>
      </c>
      <c r="V21" s="843">
        <v>114.00401024999999</v>
      </c>
      <c r="W21" s="843">
        <v>106.21197372</v>
      </c>
      <c r="X21" s="843">
        <v>99.465681649999993</v>
      </c>
      <c r="Y21" s="840">
        <v>251.03190225999998</v>
      </c>
      <c r="Z21" s="843">
        <v>251.08474421</v>
      </c>
      <c r="AA21" s="843">
        <v>304.63932638</v>
      </c>
      <c r="AB21" s="840">
        <v>302.99533770000005</v>
      </c>
      <c r="AC21" s="840">
        <v>312.63901109</v>
      </c>
      <c r="AD21" s="840">
        <v>327.16821027999998</v>
      </c>
      <c r="AE21" s="840">
        <v>329.61390254000003</v>
      </c>
      <c r="AF21" s="840">
        <v>332.93602383999996</v>
      </c>
      <c r="AG21" s="840">
        <v>347.10196063999996</v>
      </c>
      <c r="AH21" s="840">
        <v>333.95645683999999</v>
      </c>
      <c r="AI21" s="840">
        <v>326.19399720000001</v>
      </c>
      <c r="AJ21" s="840">
        <v>328.49239317999997</v>
      </c>
      <c r="AK21" s="840">
        <v>490.63332524999998</v>
      </c>
      <c r="AL21" s="840">
        <v>508.39296959999996</v>
      </c>
      <c r="AM21" s="840">
        <v>482.47251846</v>
      </c>
      <c r="AN21" s="840">
        <v>457.48661898</v>
      </c>
      <c r="AO21" s="840">
        <v>454.88759088</v>
      </c>
      <c r="AP21" s="840">
        <v>203.56093462999996</v>
      </c>
      <c r="AQ21" s="840">
        <v>203.81517846999998</v>
      </c>
      <c r="AR21" s="840">
        <v>169.88690463000003</v>
      </c>
      <c r="AS21" s="840">
        <v>165.08708264000001</v>
      </c>
      <c r="AT21" s="840">
        <f>AT13-AT17</f>
        <v>150.98342342000001</v>
      </c>
      <c r="AU21" s="840">
        <v>142.58676191999996</v>
      </c>
      <c r="AV21" s="840">
        <v>165.29993056000001</v>
      </c>
      <c r="AW21" s="840">
        <v>198.02041126</v>
      </c>
      <c r="AX21" s="840">
        <v>258.56421659</v>
      </c>
      <c r="AY21" s="840">
        <v>227.19847386999999</v>
      </c>
      <c r="AZ21" s="840">
        <v>227.03593391999999</v>
      </c>
      <c r="BA21" s="840">
        <v>229.47284776000001</v>
      </c>
      <c r="BB21" s="840">
        <v>191.03164523000001</v>
      </c>
      <c r="BC21" s="840">
        <v>181.16346937</v>
      </c>
      <c r="BD21" s="840">
        <v>180.69633633999999</v>
      </c>
      <c r="BE21" s="840">
        <v>180.74054076000002</v>
      </c>
      <c r="BF21" s="840">
        <v>184.74524659000002</v>
      </c>
      <c r="BG21" s="840">
        <v>195.13976116999999</v>
      </c>
      <c r="BH21" s="885">
        <v>196.22302794000001</v>
      </c>
      <c r="BI21" s="874">
        <v>198.16810197999996</v>
      </c>
      <c r="BJ21" s="874">
        <v>187.31182773</v>
      </c>
      <c r="BK21" s="874">
        <v>180.14511768999998</v>
      </c>
      <c r="BL21" s="874">
        <v>228.32633063000003</v>
      </c>
      <c r="BM21" s="874">
        <v>237.95779552000005</v>
      </c>
      <c r="BN21" s="874">
        <v>238.73777066</v>
      </c>
      <c r="BO21" s="874">
        <v>237.52371314999999</v>
      </c>
      <c r="BP21" s="874">
        <v>253.44622242000003</v>
      </c>
      <c r="BQ21" s="874">
        <v>253.44788123000001</v>
      </c>
      <c r="BR21" s="874">
        <v>262.65499729999999</v>
      </c>
      <c r="BS21" s="874">
        <v>276.30513019</v>
      </c>
      <c r="BT21" s="874">
        <v>281.93501122999999</v>
      </c>
      <c r="BU21" s="874">
        <v>263.92303807999997</v>
      </c>
      <c r="BV21" s="874">
        <v>271.04642680000001</v>
      </c>
      <c r="BW21" s="874">
        <v>272.90097614999996</v>
      </c>
      <c r="BX21" s="874">
        <v>280.53083359999999</v>
      </c>
      <c r="BY21" s="874">
        <v>266.85361051999996</v>
      </c>
      <c r="BZ21" s="874">
        <v>280.05440637000004</v>
      </c>
      <c r="CA21" s="874">
        <v>267.11279303000003</v>
      </c>
      <c r="CB21" s="874">
        <v>221.28652789999995</v>
      </c>
      <c r="CC21" s="874">
        <v>223.00774215000001</v>
      </c>
      <c r="CD21" s="874">
        <v>221.08129448</v>
      </c>
      <c r="CE21" s="874">
        <v>222.29106186999999</v>
      </c>
      <c r="CF21" s="874">
        <v>221.53441822999997</v>
      </c>
      <c r="CG21" s="874">
        <v>156.13551165999996</v>
      </c>
      <c r="CH21" s="874">
        <v>144.95709817999997</v>
      </c>
      <c r="CI21" s="874">
        <v>144.10385467</v>
      </c>
      <c r="CJ21" s="874">
        <v>142.99901545</v>
      </c>
      <c r="CK21" s="874">
        <v>141.82565199999999</v>
      </c>
      <c r="CL21" s="874">
        <v>133.57969205000001</v>
      </c>
      <c r="CM21" s="874">
        <v>127.99520296999999</v>
      </c>
      <c r="CN21" s="874">
        <v>129.82102099999997</v>
      </c>
      <c r="CO21" s="874">
        <v>130.07958703</v>
      </c>
      <c r="CP21" s="874">
        <v>128.59458519999998</v>
      </c>
      <c r="CQ21" s="874">
        <v>133.99361243000001</v>
      </c>
      <c r="CR21" s="874">
        <v>133.04442172</v>
      </c>
      <c r="CS21" s="874">
        <v>126.07809578999999</v>
      </c>
      <c r="CT21" s="874">
        <v>116.89973044</v>
      </c>
      <c r="CU21" s="874">
        <v>108.90252569</v>
      </c>
      <c r="CV21" s="874">
        <v>108.71296639000001</v>
      </c>
      <c r="CW21" s="874">
        <v>108.89889257999999</v>
      </c>
      <c r="CX21" s="874">
        <v>84.530558979999995</v>
      </c>
      <c r="CY21" s="874">
        <v>87.769000570000003</v>
      </c>
      <c r="CZ21" s="874">
        <v>87.762411659999998</v>
      </c>
      <c r="DA21" s="874">
        <v>87.489843870000001</v>
      </c>
      <c r="DB21" s="874">
        <v>88.157922459999995</v>
      </c>
      <c r="DC21" s="874">
        <v>88.240908379999993</v>
      </c>
      <c r="DD21" s="945">
        <v>87.36664863</v>
      </c>
      <c r="DE21" s="945">
        <v>87.622418949999997</v>
      </c>
      <c r="DF21" s="945">
        <v>68.69157439</v>
      </c>
      <c r="DG21" s="897">
        <v>70.017272320000004</v>
      </c>
      <c r="DH21" s="897">
        <v>72.070394149999998</v>
      </c>
      <c r="DI21" s="897">
        <v>73.727857150000006</v>
      </c>
      <c r="DJ21" s="897">
        <v>91.491646610000004</v>
      </c>
      <c r="DK21" s="897">
        <v>105.36514574</v>
      </c>
      <c r="DL21" s="897">
        <v>113.8221839</v>
      </c>
      <c r="DM21" s="897">
        <v>89.497415239999995</v>
      </c>
      <c r="DN21" s="897">
        <v>91.925861029999993</v>
      </c>
      <c r="DO21" s="897">
        <v>98.458460419999994</v>
      </c>
      <c r="DP21" s="897">
        <v>102.29166180999999</v>
      </c>
      <c r="DQ21" s="897">
        <v>90.348676879999999</v>
      </c>
      <c r="DR21" s="897">
        <v>88.176631900000004</v>
      </c>
      <c r="DS21" s="897">
        <v>89.03991929</v>
      </c>
      <c r="DT21" s="897">
        <v>90.977628440000004</v>
      </c>
      <c r="DU21" s="897">
        <v>101.04743655999999</v>
      </c>
      <c r="DV21" s="897">
        <v>99.754052180000002</v>
      </c>
      <c r="DW21" s="897">
        <v>114.01928651999999</v>
      </c>
      <c r="DX21" s="897">
        <v>112.61104935</v>
      </c>
      <c r="DY21" s="897">
        <v>112.4181298</v>
      </c>
      <c r="DZ21" s="897">
        <v>109.28289013</v>
      </c>
      <c r="EA21" s="897">
        <v>90.361217479999993</v>
      </c>
      <c r="EB21" s="897">
        <v>92.977254979999998</v>
      </c>
      <c r="EC21" s="897">
        <v>94.465101000000004</v>
      </c>
      <c r="ED21" s="897">
        <v>92.573689220000006</v>
      </c>
      <c r="EE21" s="897">
        <v>92.671145089999996</v>
      </c>
      <c r="EF21" s="897">
        <v>93.624774500000001</v>
      </c>
      <c r="EG21" s="897">
        <v>109.6564053</v>
      </c>
      <c r="EH21" s="897">
        <v>111.36529303</v>
      </c>
      <c r="EI21" s="897">
        <v>89.700431850000001</v>
      </c>
      <c r="EJ21" s="897">
        <v>83.268640930000004</v>
      </c>
      <c r="EK21" s="897">
        <v>81.985852129999998</v>
      </c>
      <c r="EL21" s="897">
        <v>83.440597780000004</v>
      </c>
      <c r="EM21" s="897">
        <v>82.943336689999995</v>
      </c>
      <c r="EN21" s="897">
        <v>88.153503659999998</v>
      </c>
      <c r="EO21" s="897">
        <v>85.172523979999994</v>
      </c>
      <c r="EP21" s="897">
        <v>82.295783889999996</v>
      </c>
      <c r="EQ21" s="897">
        <v>63.88179804</v>
      </c>
      <c r="ER21" s="897">
        <v>83.589629189999997</v>
      </c>
      <c r="ES21" s="897">
        <v>73.936774740000004</v>
      </c>
      <c r="ET21" s="897">
        <v>56.586501910000003</v>
      </c>
      <c r="EU21" s="1922" t="s">
        <v>4087</v>
      </c>
      <c r="EZ21" s="342"/>
    </row>
    <row r="22" spans="1:156" ht="21">
      <c r="A22" s="1953" t="s">
        <v>1974</v>
      </c>
      <c r="B22" s="842">
        <v>385.07061135999999</v>
      </c>
      <c r="C22" s="842">
        <v>397.03897576999998</v>
      </c>
      <c r="D22" s="842">
        <v>404.03411161000002</v>
      </c>
      <c r="E22" s="842">
        <v>403.85167643</v>
      </c>
      <c r="F22" s="842">
        <v>1.8786593999999999</v>
      </c>
      <c r="G22" s="842">
        <v>1.87841996</v>
      </c>
      <c r="H22" s="842">
        <v>11.684669960000001</v>
      </c>
      <c r="I22" s="842">
        <v>11.6452276</v>
      </c>
      <c r="J22" s="842">
        <v>11.64671221</v>
      </c>
      <c r="K22" s="842">
        <v>11.56496731</v>
      </c>
      <c r="L22" s="842">
        <v>11.563493119999999</v>
      </c>
      <c r="M22" s="843">
        <v>11.40681287</v>
      </c>
      <c r="N22" s="843">
        <v>11.4024508</v>
      </c>
      <c r="O22" s="843">
        <v>14.93515884</v>
      </c>
      <c r="P22" s="843">
        <v>68.848451680000011</v>
      </c>
      <c r="Q22" s="843">
        <v>74.037379700000002</v>
      </c>
      <c r="R22" s="843">
        <v>75.382504370000007</v>
      </c>
      <c r="S22" s="843">
        <v>75.173838819999986</v>
      </c>
      <c r="T22" s="843">
        <v>74.579083949999998</v>
      </c>
      <c r="U22" s="843">
        <v>78.642666869999999</v>
      </c>
      <c r="V22" s="843">
        <v>78.70149687</v>
      </c>
      <c r="W22" s="843">
        <v>80.009647709999996</v>
      </c>
      <c r="X22" s="843">
        <v>74.475543019999989</v>
      </c>
      <c r="Y22" s="843">
        <v>225.49152328</v>
      </c>
      <c r="Z22" s="843">
        <v>225.47635744999999</v>
      </c>
      <c r="AA22" s="843">
        <v>261.80119640999999</v>
      </c>
      <c r="AB22" s="843">
        <v>261.47699984000002</v>
      </c>
      <c r="AC22" s="843">
        <v>267.25300014999999</v>
      </c>
      <c r="AD22" s="843">
        <v>266.01550918999999</v>
      </c>
      <c r="AE22" s="843">
        <v>266.76155796</v>
      </c>
      <c r="AF22" s="843">
        <v>265.96494770999999</v>
      </c>
      <c r="AG22" s="843">
        <v>277.42721676999997</v>
      </c>
      <c r="AH22" s="843">
        <v>281.20001676999999</v>
      </c>
      <c r="AI22" s="843">
        <v>274.62345357999999</v>
      </c>
      <c r="AJ22" s="843">
        <v>279.41540036999999</v>
      </c>
      <c r="AK22" s="843">
        <v>410.79371925999999</v>
      </c>
      <c r="AL22" s="843">
        <v>425.41360320999996</v>
      </c>
      <c r="AM22" s="843">
        <v>412.16582108</v>
      </c>
      <c r="AN22" s="843">
        <v>406.22094842000001</v>
      </c>
      <c r="AO22" s="843">
        <v>404.30959182999999</v>
      </c>
      <c r="AP22" s="843">
        <v>151.36903275999998</v>
      </c>
      <c r="AQ22" s="843">
        <v>152.56036297999998</v>
      </c>
      <c r="AR22" s="843">
        <v>152.35992549000002</v>
      </c>
      <c r="AS22" s="843">
        <v>147.79097615000001</v>
      </c>
      <c r="AT22" s="843">
        <f>AT14-AT18</f>
        <v>134.79836803000001</v>
      </c>
      <c r="AU22" s="843">
        <v>126.43126027</v>
      </c>
      <c r="AV22" s="843">
        <v>139.66737449999999</v>
      </c>
      <c r="AW22" s="843">
        <v>173.32655516</v>
      </c>
      <c r="AX22" s="843">
        <v>233.59431873</v>
      </c>
      <c r="AY22" s="843">
        <v>212.16352755</v>
      </c>
      <c r="AZ22" s="843">
        <v>204.65806996999999</v>
      </c>
      <c r="BA22" s="843">
        <v>207.18972657</v>
      </c>
      <c r="BB22" s="843">
        <v>173.57368187</v>
      </c>
      <c r="BC22" s="843">
        <v>163.10968493999999</v>
      </c>
      <c r="BD22" s="843">
        <v>163.03113862999999</v>
      </c>
      <c r="BE22" s="843">
        <v>162.80556103000001</v>
      </c>
      <c r="BF22" s="843">
        <v>168.50932182</v>
      </c>
      <c r="BG22" s="843">
        <v>166.93060813</v>
      </c>
      <c r="BH22" s="886">
        <v>166.92078984</v>
      </c>
      <c r="BI22" s="875">
        <v>168.49941066999997</v>
      </c>
      <c r="BJ22" s="875">
        <v>158.48941066999998</v>
      </c>
      <c r="BK22" s="875">
        <v>158.48941066999998</v>
      </c>
      <c r="BL22" s="875">
        <v>158.48008831999999</v>
      </c>
      <c r="BM22" s="875">
        <v>158.48008831999999</v>
      </c>
      <c r="BN22" s="875">
        <v>158.48008831999999</v>
      </c>
      <c r="BO22" s="875">
        <v>158.48008831999999</v>
      </c>
      <c r="BP22" s="875">
        <v>163.58008832000002</v>
      </c>
      <c r="BQ22" s="875">
        <v>163.58008832000002</v>
      </c>
      <c r="BR22" s="875">
        <v>163.58008832000002</v>
      </c>
      <c r="BS22" s="875">
        <v>155.08008832000002</v>
      </c>
      <c r="BT22" s="875">
        <v>81.130088319999999</v>
      </c>
      <c r="BU22" s="875">
        <v>78.580088319999987</v>
      </c>
      <c r="BV22" s="875">
        <v>71.970088310000008</v>
      </c>
      <c r="BW22" s="875">
        <v>75.37008831</v>
      </c>
      <c r="BX22" s="875">
        <v>75.37008831</v>
      </c>
      <c r="BY22" s="875">
        <v>61.770088310000006</v>
      </c>
      <c r="BZ22" s="875">
        <v>66.87008831</v>
      </c>
      <c r="CA22" s="875">
        <v>66.87008831</v>
      </c>
      <c r="CB22" s="875">
        <v>66.87008831</v>
      </c>
      <c r="CC22" s="875">
        <v>66.87008831</v>
      </c>
      <c r="CD22" s="875">
        <v>66.497707390000002</v>
      </c>
      <c r="CE22" s="875">
        <v>66.226117090000002</v>
      </c>
      <c r="CF22" s="875">
        <v>66.045331189999999</v>
      </c>
      <c r="CG22" s="875">
        <v>70.868433549999992</v>
      </c>
      <c r="CH22" s="875">
        <v>60.57644088</v>
      </c>
      <c r="CI22" s="875">
        <v>60.294100490000005</v>
      </c>
      <c r="CJ22" s="875">
        <v>60.010648509999996</v>
      </c>
      <c r="CK22" s="875">
        <v>59.723891469999998</v>
      </c>
      <c r="CL22" s="875">
        <v>58.120340490000004</v>
      </c>
      <c r="CM22" s="875">
        <v>55.173487899999998</v>
      </c>
      <c r="CN22" s="875">
        <v>54.877414680000001</v>
      </c>
      <c r="CO22" s="875">
        <v>54.579366630000003</v>
      </c>
      <c r="CP22" s="875">
        <v>56.315750729999998</v>
      </c>
      <c r="CQ22" s="875">
        <v>62.628932490000004</v>
      </c>
      <c r="CR22" s="875">
        <v>59.897032490000001</v>
      </c>
      <c r="CS22" s="875">
        <v>52.610088299999994</v>
      </c>
      <c r="CT22" s="875">
        <v>43.748920149999996</v>
      </c>
      <c r="CU22" s="875">
        <v>43.748920149999996</v>
      </c>
      <c r="CV22" s="875">
        <v>43.798900150000001</v>
      </c>
      <c r="CW22" s="875">
        <v>43.794885280000003</v>
      </c>
      <c r="CX22" s="875">
        <v>43.790843649999999</v>
      </c>
      <c r="CY22" s="875">
        <v>47.186793700000003</v>
      </c>
      <c r="CZ22" s="875">
        <v>47.182681279999997</v>
      </c>
      <c r="DA22" s="875">
        <v>47.178558289999998</v>
      </c>
      <c r="DB22" s="875">
        <v>47.19890015</v>
      </c>
      <c r="DC22" s="875">
        <v>47.194896290000003</v>
      </c>
      <c r="DD22" s="946">
        <v>47.194896290000003</v>
      </c>
      <c r="DE22" s="946">
        <v>47.190984290000003</v>
      </c>
      <c r="DF22" s="946">
        <v>47.18691252</v>
      </c>
      <c r="DG22" s="898">
        <v>47.182794909999998</v>
      </c>
      <c r="DH22" s="898">
        <v>47.1786593</v>
      </c>
      <c r="DI22" s="898">
        <v>47.174509350000001</v>
      </c>
      <c r="DJ22" s="898">
        <v>47.170312809999999</v>
      </c>
      <c r="DK22" s="898">
        <v>47.166089249999999</v>
      </c>
      <c r="DL22" s="898">
        <v>47.148920150000002</v>
      </c>
      <c r="DM22" s="898">
        <v>39.498920149999996</v>
      </c>
      <c r="DN22" s="898">
        <v>39.498920149999996</v>
      </c>
      <c r="DO22" s="898">
        <v>39.498920149999996</v>
      </c>
      <c r="DP22" s="898">
        <v>39.498920149999996</v>
      </c>
      <c r="DQ22" s="898">
        <v>39.498920149999996</v>
      </c>
      <c r="DR22" s="898">
        <v>39.498920149999996</v>
      </c>
      <c r="DS22" s="898">
        <v>39.498920149999996</v>
      </c>
      <c r="DT22" s="898">
        <v>39.498920149999996</v>
      </c>
      <c r="DU22" s="898">
        <v>39.498920149999996</v>
      </c>
      <c r="DV22" s="898">
        <v>39.498920149999996</v>
      </c>
      <c r="DW22" s="898">
        <v>39.498920149999996</v>
      </c>
      <c r="DX22" s="898">
        <v>39.498920149999996</v>
      </c>
      <c r="DY22" s="898">
        <v>39.498920149999996</v>
      </c>
      <c r="DZ22" s="898">
        <v>30.148920149999999</v>
      </c>
      <c r="EA22" s="898">
        <v>0</v>
      </c>
      <c r="EB22" s="898">
        <v>0</v>
      </c>
      <c r="EC22" s="898">
        <v>0</v>
      </c>
      <c r="ED22" s="898">
        <v>0</v>
      </c>
      <c r="EE22" s="898">
        <v>0</v>
      </c>
      <c r="EF22" s="898">
        <v>0</v>
      </c>
      <c r="EG22" s="898">
        <v>0</v>
      </c>
      <c r="EH22" s="898">
        <v>0</v>
      </c>
      <c r="EI22" s="898">
        <v>0</v>
      </c>
      <c r="EJ22" s="898">
        <v>0</v>
      </c>
      <c r="EK22" s="898">
        <v>0</v>
      </c>
      <c r="EL22" s="898">
        <v>0</v>
      </c>
      <c r="EM22" s="898">
        <v>0</v>
      </c>
      <c r="EN22" s="898">
        <v>0</v>
      </c>
      <c r="EO22" s="898">
        <v>0</v>
      </c>
      <c r="EP22" s="898">
        <v>0</v>
      </c>
      <c r="EQ22" s="898">
        <v>0</v>
      </c>
      <c r="ER22" s="898">
        <v>0</v>
      </c>
      <c r="ES22" s="898">
        <v>0</v>
      </c>
      <c r="ET22" s="898">
        <v>0</v>
      </c>
      <c r="EU22" s="1924" t="s">
        <v>4086</v>
      </c>
      <c r="EZ22" s="342"/>
    </row>
    <row r="23" spans="1:156" ht="21">
      <c r="A23" s="1953" t="s">
        <v>1975</v>
      </c>
      <c r="B23" s="839">
        <f>+B21-B22</f>
        <v>58.814427560000013</v>
      </c>
      <c r="C23" s="842">
        <f t="shared" ref="C23:V23" si="6">+C21-C22</f>
        <v>62.462860509999985</v>
      </c>
      <c r="D23" s="842">
        <f t="shared" si="6"/>
        <v>66.127366300000006</v>
      </c>
      <c r="E23" s="842">
        <f t="shared" si="6"/>
        <v>71.823767959999998</v>
      </c>
      <c r="F23" s="842">
        <f t="shared" si="6"/>
        <v>70.364418839999999</v>
      </c>
      <c r="G23" s="842">
        <f t="shared" si="6"/>
        <v>72.273825290000005</v>
      </c>
      <c r="H23" s="842">
        <f t="shared" si="6"/>
        <v>76.999809879999987</v>
      </c>
      <c r="I23" s="842">
        <f t="shared" si="6"/>
        <v>78.896897269999997</v>
      </c>
      <c r="J23" s="842">
        <f t="shared" si="6"/>
        <v>81.297816280000006</v>
      </c>
      <c r="K23" s="842">
        <f t="shared" si="6"/>
        <v>71.261214699999996</v>
      </c>
      <c r="L23" s="842">
        <f t="shared" si="6"/>
        <v>70.265368549999991</v>
      </c>
      <c r="M23" s="843">
        <f t="shared" si="6"/>
        <v>67.604679310000009</v>
      </c>
      <c r="N23" s="843">
        <f t="shared" si="6"/>
        <v>68.327219719999988</v>
      </c>
      <c r="O23" s="843">
        <f t="shared" si="6"/>
        <v>71.584880900000002</v>
      </c>
      <c r="P23" s="840">
        <f t="shared" si="6"/>
        <v>72.365845299999989</v>
      </c>
      <c r="Q23" s="840">
        <f t="shared" si="6"/>
        <v>71.739025239999989</v>
      </c>
      <c r="R23" s="840">
        <f t="shared" si="6"/>
        <v>66.16367394000001</v>
      </c>
      <c r="S23" s="840">
        <f t="shared" si="6"/>
        <v>70.83841873999998</v>
      </c>
      <c r="T23" s="840">
        <f t="shared" si="6"/>
        <v>71.54985963999998</v>
      </c>
      <c r="U23" s="840">
        <f t="shared" si="6"/>
        <v>83.213226240000012</v>
      </c>
      <c r="V23" s="840">
        <f t="shared" si="6"/>
        <v>35.302513379999994</v>
      </c>
      <c r="W23" s="840">
        <v>26.202326010000007</v>
      </c>
      <c r="X23" s="840">
        <v>24.990138630000004</v>
      </c>
      <c r="Y23" s="843">
        <v>25.540378979999986</v>
      </c>
      <c r="Z23" s="840">
        <v>25.608386760000002</v>
      </c>
      <c r="AA23" s="843">
        <v>42.838129970000011</v>
      </c>
      <c r="AB23" s="843">
        <f>+AB21-AB22</f>
        <v>41.518337860000031</v>
      </c>
      <c r="AC23" s="843">
        <v>45.386010940000006</v>
      </c>
      <c r="AD23" s="843">
        <v>61.152701089999994</v>
      </c>
      <c r="AE23" s="843">
        <v>62.852344580000022</v>
      </c>
      <c r="AF23" s="843">
        <v>66.971076129999972</v>
      </c>
      <c r="AG23" s="843">
        <v>69.674743869999986</v>
      </c>
      <c r="AH23" s="843">
        <f>+AH21-AH22</f>
        <v>52.756440069999996</v>
      </c>
      <c r="AI23" s="843">
        <v>51.570543620000024</v>
      </c>
      <c r="AJ23" s="843">
        <f>+AJ21-AJ22</f>
        <v>49.076992809999979</v>
      </c>
      <c r="AK23" s="843">
        <f>+AK21-AK22</f>
        <v>79.839605989999995</v>
      </c>
      <c r="AL23" s="843">
        <v>82.979366389999996</v>
      </c>
      <c r="AM23" s="843">
        <f>+AM21-AM22</f>
        <v>70.306697380000003</v>
      </c>
      <c r="AN23" s="843">
        <f>+AN21-AN22</f>
        <v>51.26567055999999</v>
      </c>
      <c r="AO23" s="843">
        <f>+AO21-AO22</f>
        <v>50.577999050000017</v>
      </c>
      <c r="AP23" s="843">
        <f>+AP21-AP22</f>
        <v>52.191901869999981</v>
      </c>
      <c r="AQ23" s="843">
        <v>51.254815489999999</v>
      </c>
      <c r="AR23" s="843">
        <f>+AR21-AR22</f>
        <v>17.526979140000009</v>
      </c>
      <c r="AS23" s="843">
        <v>17.29610649</v>
      </c>
      <c r="AT23" s="843">
        <f>AT15-AT19</f>
        <v>16.185055390000013</v>
      </c>
      <c r="AU23" s="843">
        <v>16.155501649999984</v>
      </c>
      <c r="AV23" s="843">
        <v>25.632556060000006</v>
      </c>
      <c r="AW23" s="843">
        <v>24.693856099999991</v>
      </c>
      <c r="AX23" s="843">
        <v>24.969897860000021</v>
      </c>
      <c r="AY23" s="843">
        <v>15.034946319999989</v>
      </c>
      <c r="AZ23" s="843">
        <v>22.377863950000005</v>
      </c>
      <c r="BA23" s="843">
        <v>22.283121190000003</v>
      </c>
      <c r="BB23" s="843">
        <v>17.457963360000008</v>
      </c>
      <c r="BC23" s="843">
        <v>18.053784430000007</v>
      </c>
      <c r="BD23" s="843">
        <f>+BD21-BD22</f>
        <v>17.665197710000001</v>
      </c>
      <c r="BE23" s="843">
        <v>17.934979730000009</v>
      </c>
      <c r="BF23" s="843">
        <v>16.235924770000025</v>
      </c>
      <c r="BG23" s="843">
        <v>28.20915303999999</v>
      </c>
      <c r="BH23" s="886">
        <v>29.302238100000011</v>
      </c>
      <c r="BI23" s="875">
        <v>29.668691309999986</v>
      </c>
      <c r="BJ23" s="875">
        <v>28.822417060000021</v>
      </c>
      <c r="BK23" s="875">
        <v>21.655707019999994</v>
      </c>
      <c r="BL23" s="875">
        <v>69.846242310000036</v>
      </c>
      <c r="BM23" s="875">
        <v>79.477707200000054</v>
      </c>
      <c r="BN23" s="875">
        <v>80.257682340000002</v>
      </c>
      <c r="BO23" s="875">
        <v>79.043624829999999</v>
      </c>
      <c r="BP23" s="875">
        <v>89.866134100000011</v>
      </c>
      <c r="BQ23" s="875">
        <v>89.867792909999991</v>
      </c>
      <c r="BR23" s="875">
        <v>99.074908979999975</v>
      </c>
      <c r="BS23" s="875">
        <v>121.22504186999998</v>
      </c>
      <c r="BT23" s="875">
        <v>200.80492290999999</v>
      </c>
      <c r="BU23" s="875">
        <v>185.34294975999998</v>
      </c>
      <c r="BV23" s="875">
        <v>199.07633849000001</v>
      </c>
      <c r="BW23" s="875">
        <v>197.53088783999996</v>
      </c>
      <c r="BX23" s="875">
        <v>205.16074528999999</v>
      </c>
      <c r="BY23" s="875">
        <v>205.08352220999996</v>
      </c>
      <c r="BZ23" s="875">
        <v>213.18431806000004</v>
      </c>
      <c r="CA23" s="875">
        <v>200.24270472000003</v>
      </c>
      <c r="CB23" s="875">
        <v>154.41643958999995</v>
      </c>
      <c r="CC23" s="875">
        <v>156.13765384000001</v>
      </c>
      <c r="CD23" s="875">
        <v>154.58358708999998</v>
      </c>
      <c r="CE23" s="875">
        <f t="shared" ref="CE23:CP23" si="7">+CE21-CE22</f>
        <v>156.06494477999999</v>
      </c>
      <c r="CF23" s="875">
        <f t="shared" si="7"/>
        <v>155.48908703999996</v>
      </c>
      <c r="CG23" s="875">
        <f t="shared" si="7"/>
        <v>85.267078109999972</v>
      </c>
      <c r="CH23" s="875">
        <f t="shared" si="7"/>
        <v>84.380657299999967</v>
      </c>
      <c r="CI23" s="875">
        <f t="shared" si="7"/>
        <v>83.809754179999999</v>
      </c>
      <c r="CJ23" s="875">
        <f t="shared" si="7"/>
        <v>82.988366940000006</v>
      </c>
      <c r="CK23" s="875">
        <f t="shared" si="7"/>
        <v>82.101760529999993</v>
      </c>
      <c r="CL23" s="875">
        <f t="shared" si="7"/>
        <v>75.459351560000002</v>
      </c>
      <c r="CM23" s="875">
        <f t="shared" si="7"/>
        <v>72.821715069999996</v>
      </c>
      <c r="CN23" s="875">
        <f t="shared" si="7"/>
        <v>74.943606319999972</v>
      </c>
      <c r="CO23" s="875">
        <f t="shared" si="7"/>
        <v>75.500220399999989</v>
      </c>
      <c r="CP23" s="875">
        <f t="shared" si="7"/>
        <v>72.278834469999993</v>
      </c>
      <c r="CQ23" s="875">
        <f>+CQ21-CQ22</f>
        <v>71.364679940000002</v>
      </c>
      <c r="CR23" s="875">
        <f>+CR21-CR22</f>
        <v>73.147389230000002</v>
      </c>
      <c r="CS23" s="875">
        <v>73.468007489999991</v>
      </c>
      <c r="CT23" s="875">
        <v>73.150810289999995</v>
      </c>
      <c r="CU23" s="875">
        <v>65.153605540000001</v>
      </c>
      <c r="CV23" s="875">
        <v>64.914066239999997</v>
      </c>
      <c r="CW23" s="875">
        <v>65.104007300000006</v>
      </c>
      <c r="CX23" s="875">
        <v>40.739715330000003</v>
      </c>
      <c r="CY23" s="875">
        <v>40.58220687</v>
      </c>
      <c r="CZ23" s="875">
        <v>40.579730380000001</v>
      </c>
      <c r="DA23" s="875">
        <v>40.311285580000003</v>
      </c>
      <c r="DB23" s="875">
        <v>40.959022310000002</v>
      </c>
      <c r="DC23" s="875">
        <v>41.046012089999998</v>
      </c>
      <c r="DD23" s="946">
        <v>40.171752339999998</v>
      </c>
      <c r="DE23" s="946">
        <v>40.431434660000001</v>
      </c>
      <c r="DF23" s="946">
        <v>21.50466187</v>
      </c>
      <c r="DG23" s="898">
        <v>22.834477410000002</v>
      </c>
      <c r="DH23" s="898">
        <v>24.891734849999999</v>
      </c>
      <c r="DI23" s="898">
        <v>26.553347800000001</v>
      </c>
      <c r="DJ23" s="898">
        <v>44.321333799999998</v>
      </c>
      <c r="DK23" s="898">
        <v>58.199056489999997</v>
      </c>
      <c r="DL23" s="898">
        <v>66.673263750000004</v>
      </c>
      <c r="DM23" s="898">
        <v>49.998495089999999</v>
      </c>
      <c r="DN23" s="898">
        <v>52.426940879999997</v>
      </c>
      <c r="DO23" s="898">
        <v>58.959540269999998</v>
      </c>
      <c r="DP23" s="898">
        <v>62.792741659999997</v>
      </c>
      <c r="DQ23" s="898">
        <v>50.849756730000003</v>
      </c>
      <c r="DR23" s="898">
        <v>48.67771175</v>
      </c>
      <c r="DS23" s="898">
        <v>49.540999139999997</v>
      </c>
      <c r="DT23" s="898">
        <v>51.47870829</v>
      </c>
      <c r="DU23" s="898">
        <v>61.548516409999998</v>
      </c>
      <c r="DV23" s="898">
        <v>60.255132029999999</v>
      </c>
      <c r="DW23" s="898">
        <v>74.520366370000005</v>
      </c>
      <c r="DX23" s="898">
        <v>73.112129199999998</v>
      </c>
      <c r="DY23" s="898">
        <v>72.919209649999999</v>
      </c>
      <c r="DZ23" s="898">
        <v>79.133969980000003</v>
      </c>
      <c r="EA23" s="898">
        <v>90.361217479999993</v>
      </c>
      <c r="EB23" s="898">
        <v>92.977254979999998</v>
      </c>
      <c r="EC23" s="898">
        <v>94.465101000000004</v>
      </c>
      <c r="ED23" s="898">
        <v>92.573689220000006</v>
      </c>
      <c r="EE23" s="898">
        <v>92.671145089999996</v>
      </c>
      <c r="EF23" s="898">
        <v>93.624774500000001</v>
      </c>
      <c r="EG23" s="898">
        <v>109.6564053</v>
      </c>
      <c r="EH23" s="898">
        <v>111.36529303</v>
      </c>
      <c r="EI23" s="898">
        <v>89.700431850000001</v>
      </c>
      <c r="EJ23" s="898">
        <v>83.268640930000004</v>
      </c>
      <c r="EK23" s="898">
        <v>81.985852129999998</v>
      </c>
      <c r="EL23" s="898">
        <v>83.440597780000004</v>
      </c>
      <c r="EM23" s="898">
        <v>82.943336689999995</v>
      </c>
      <c r="EN23" s="898">
        <v>88.153503659999998</v>
      </c>
      <c r="EO23" s="898">
        <v>85.172523979999994</v>
      </c>
      <c r="EP23" s="898">
        <v>82.295783889999996</v>
      </c>
      <c r="EQ23" s="898">
        <v>63.88179804</v>
      </c>
      <c r="ER23" s="898">
        <v>83.589629189999997</v>
      </c>
      <c r="ES23" s="898">
        <v>73.936774740000004</v>
      </c>
      <c r="ET23" s="898">
        <v>56.586501910000003</v>
      </c>
      <c r="EU23" s="1924" t="s">
        <v>4085</v>
      </c>
      <c r="EZ23" s="342"/>
    </row>
    <row r="24" spans="1:156" ht="21">
      <c r="A24" s="1929"/>
      <c r="B24" s="842"/>
      <c r="C24" s="842"/>
      <c r="D24" s="842"/>
      <c r="E24" s="842"/>
      <c r="F24" s="842"/>
      <c r="G24" s="842"/>
      <c r="H24" s="842"/>
      <c r="I24" s="842"/>
      <c r="J24" s="842"/>
      <c r="K24" s="842"/>
      <c r="L24" s="842"/>
      <c r="M24" s="843"/>
      <c r="N24" s="843"/>
      <c r="O24" s="843"/>
      <c r="P24" s="843"/>
      <c r="Q24" s="843"/>
      <c r="R24" s="843"/>
      <c r="S24" s="843"/>
      <c r="T24" s="843"/>
      <c r="U24" s="843"/>
      <c r="V24" s="843"/>
      <c r="W24" s="843"/>
      <c r="X24" s="843"/>
      <c r="Y24" s="843"/>
      <c r="Z24" s="843"/>
      <c r="AA24" s="843"/>
      <c r="AB24" s="843"/>
      <c r="AC24" s="843"/>
      <c r="AD24" s="843"/>
      <c r="AE24" s="843"/>
      <c r="AF24" s="843"/>
      <c r="AG24" s="843"/>
      <c r="AH24" s="843"/>
      <c r="AI24" s="843"/>
      <c r="AJ24" s="843"/>
      <c r="AK24" s="843"/>
      <c r="AL24" s="843"/>
      <c r="AM24" s="843"/>
      <c r="AN24" s="843"/>
      <c r="AO24" s="843"/>
      <c r="AP24" s="843"/>
      <c r="AQ24" s="843"/>
      <c r="AR24" s="843"/>
      <c r="AS24" s="843"/>
      <c r="AT24" s="843"/>
      <c r="AU24" s="843"/>
      <c r="AV24" s="843"/>
      <c r="AW24" s="843"/>
      <c r="AX24" s="843"/>
      <c r="AY24" s="843"/>
      <c r="AZ24" s="843"/>
      <c r="BA24" s="843"/>
      <c r="BB24" s="843"/>
      <c r="BC24" s="843"/>
      <c r="BD24" s="843"/>
      <c r="BE24" s="843"/>
      <c r="BF24" s="843"/>
      <c r="BG24" s="843"/>
      <c r="BH24" s="886"/>
      <c r="BI24" s="875"/>
      <c r="BJ24" s="875"/>
      <c r="BK24" s="875"/>
      <c r="BL24" s="875"/>
      <c r="BM24" s="875"/>
      <c r="BN24" s="875"/>
      <c r="BO24" s="875"/>
      <c r="BP24" s="875"/>
      <c r="BQ24" s="875"/>
      <c r="BR24" s="875"/>
      <c r="BS24" s="875"/>
      <c r="BT24" s="875"/>
      <c r="BU24" s="875"/>
      <c r="BV24" s="875"/>
      <c r="BW24" s="875"/>
      <c r="BX24" s="875"/>
      <c r="BY24" s="875"/>
      <c r="BZ24" s="875"/>
      <c r="CA24" s="875"/>
      <c r="CB24" s="875"/>
      <c r="CC24" s="875"/>
      <c r="CD24" s="875"/>
      <c r="CE24" s="875"/>
      <c r="CF24" s="875"/>
      <c r="CG24" s="875"/>
      <c r="CH24" s="875"/>
      <c r="CI24" s="875"/>
      <c r="CJ24" s="875"/>
      <c r="CK24" s="875"/>
      <c r="CL24" s="875"/>
      <c r="CM24" s="875"/>
      <c r="CN24" s="875"/>
      <c r="CO24" s="875"/>
      <c r="CP24" s="875"/>
      <c r="CQ24" s="875"/>
      <c r="CR24" s="875"/>
      <c r="CS24" s="875"/>
      <c r="CT24" s="875"/>
      <c r="CU24" s="875"/>
      <c r="CV24" s="875"/>
      <c r="CW24" s="875"/>
      <c r="CX24" s="875"/>
      <c r="CY24" s="875"/>
      <c r="CZ24" s="875"/>
      <c r="DA24" s="875"/>
      <c r="DB24" s="875"/>
      <c r="DC24" s="875"/>
      <c r="DD24" s="946"/>
      <c r="DE24" s="946"/>
      <c r="DF24" s="946"/>
      <c r="DG24" s="898"/>
      <c r="DH24" s="898"/>
      <c r="DI24" s="898"/>
      <c r="DJ24" s="898"/>
      <c r="DK24" s="898"/>
      <c r="DL24" s="898"/>
      <c r="DM24" s="898"/>
      <c r="DN24" s="898"/>
      <c r="DO24" s="898"/>
      <c r="DP24" s="898"/>
      <c r="DQ24" s="898"/>
      <c r="DR24" s="898"/>
      <c r="DS24" s="898"/>
      <c r="DT24" s="898"/>
      <c r="DU24" s="898"/>
      <c r="DV24" s="898"/>
      <c r="DW24" s="898"/>
      <c r="DX24" s="898"/>
      <c r="DY24" s="898"/>
      <c r="DZ24" s="898"/>
      <c r="EA24" s="898"/>
      <c r="EB24" s="898"/>
      <c r="EC24" s="898"/>
      <c r="ED24" s="898"/>
      <c r="EE24" s="898"/>
      <c r="EF24" s="898"/>
      <c r="EG24" s="898"/>
      <c r="EH24" s="898"/>
      <c r="EI24" s="898"/>
      <c r="EJ24" s="898"/>
      <c r="EK24" s="898"/>
      <c r="EL24" s="898"/>
      <c r="EM24" s="898"/>
      <c r="EN24" s="898"/>
      <c r="EO24" s="898"/>
      <c r="EP24" s="898"/>
      <c r="EQ24" s="898"/>
      <c r="ER24" s="898"/>
      <c r="ES24" s="898"/>
      <c r="ET24" s="898"/>
      <c r="EU24" s="1919"/>
      <c r="EZ24" s="342"/>
    </row>
    <row r="25" spans="1:156" ht="21">
      <c r="A25" s="1930" t="s">
        <v>2758</v>
      </c>
      <c r="B25" s="839">
        <v>267.47144794999997</v>
      </c>
      <c r="C25" s="842">
        <v>281.98631698000003</v>
      </c>
      <c r="D25" s="842">
        <v>283.14656467999998</v>
      </c>
      <c r="E25" s="842">
        <v>289.55347675000002</v>
      </c>
      <c r="F25" s="842">
        <v>284.56750178999999</v>
      </c>
      <c r="G25" s="842">
        <v>289.00268554000002</v>
      </c>
      <c r="H25" s="842">
        <v>305.82095713000001</v>
      </c>
      <c r="I25" s="842">
        <v>302.39188779999995</v>
      </c>
      <c r="J25" s="842">
        <v>332.67864749</v>
      </c>
      <c r="K25" s="842">
        <v>328.60882299999997</v>
      </c>
      <c r="L25" s="842">
        <v>326.83130339000002</v>
      </c>
      <c r="M25" s="840">
        <v>339.62211808999996</v>
      </c>
      <c r="N25" s="843">
        <v>336.19845109999994</v>
      </c>
      <c r="O25" s="843">
        <v>341.61020458000002</v>
      </c>
      <c r="P25" s="840">
        <v>338.75543636999998</v>
      </c>
      <c r="Q25" s="840">
        <v>337.29858770999999</v>
      </c>
      <c r="R25" s="840">
        <v>338.96067784000002</v>
      </c>
      <c r="S25" s="840">
        <v>339.65226282999998</v>
      </c>
      <c r="T25" s="840">
        <v>334.53533503</v>
      </c>
      <c r="U25" s="840">
        <v>333.44646217000002</v>
      </c>
      <c r="V25" s="840">
        <v>397.17093668000007</v>
      </c>
      <c r="W25" s="840">
        <v>395.86609151000005</v>
      </c>
      <c r="X25" s="840">
        <v>397.45302992000001</v>
      </c>
      <c r="Y25" s="840">
        <v>407.03161842000003</v>
      </c>
      <c r="Z25" s="840">
        <v>404.10015785000002</v>
      </c>
      <c r="AA25" s="843">
        <v>459.86111026999998</v>
      </c>
      <c r="AB25" s="840">
        <v>495.75985860999998</v>
      </c>
      <c r="AC25" s="840">
        <v>505.20771732999998</v>
      </c>
      <c r="AD25" s="840">
        <v>522.39680538999994</v>
      </c>
      <c r="AE25" s="840">
        <v>524.98937082999998</v>
      </c>
      <c r="AF25" s="840">
        <v>526.72878465999997</v>
      </c>
      <c r="AG25" s="840">
        <v>600.05060937999997</v>
      </c>
      <c r="AH25" s="840">
        <v>632.87594422000006</v>
      </c>
      <c r="AI25" s="840">
        <v>695.01989074999995</v>
      </c>
      <c r="AJ25" s="840">
        <v>677.51654999000004</v>
      </c>
      <c r="AK25" s="840">
        <v>920.46339037999996</v>
      </c>
      <c r="AL25" s="840">
        <v>939.65438973000005</v>
      </c>
      <c r="AM25" s="840">
        <v>986.05792461999999</v>
      </c>
      <c r="AN25" s="840">
        <v>986.50695754000003</v>
      </c>
      <c r="AO25" s="840">
        <v>986.17517332000011</v>
      </c>
      <c r="AP25" s="840">
        <v>974.39406467999993</v>
      </c>
      <c r="AQ25" s="840">
        <v>1006.3507742099999</v>
      </c>
      <c r="AR25" s="840">
        <v>924.51464494000004</v>
      </c>
      <c r="AS25" s="840">
        <v>948.31837393000001</v>
      </c>
      <c r="AT25" s="840">
        <f>AT9-AT13</f>
        <v>951.51049809000006</v>
      </c>
      <c r="AU25" s="840">
        <v>962.30989267999985</v>
      </c>
      <c r="AV25" s="840">
        <v>1005.2521264400001</v>
      </c>
      <c r="AW25" s="840">
        <v>1015.4233986900001</v>
      </c>
      <c r="AX25" s="840">
        <v>1081.65352661</v>
      </c>
      <c r="AY25" s="840">
        <v>987.96615591</v>
      </c>
      <c r="AZ25" s="840">
        <v>947.00909643</v>
      </c>
      <c r="BA25" s="840">
        <v>929.26564189999999</v>
      </c>
      <c r="BB25" s="840">
        <v>764.46713681999995</v>
      </c>
      <c r="BC25" s="840">
        <v>795.11597256999994</v>
      </c>
      <c r="BD25" s="840">
        <v>833.87668926000003</v>
      </c>
      <c r="BE25" s="840">
        <v>838.74434552000002</v>
      </c>
      <c r="BF25" s="840">
        <v>833.17232387000013</v>
      </c>
      <c r="BG25" s="840">
        <v>831.81203626000001</v>
      </c>
      <c r="BH25" s="885">
        <v>831.68183382999996</v>
      </c>
      <c r="BI25" s="874">
        <v>886.92141060999995</v>
      </c>
      <c r="BJ25" s="874">
        <v>891.92225788000007</v>
      </c>
      <c r="BK25" s="874">
        <v>759.41001402000006</v>
      </c>
      <c r="BL25" s="874">
        <v>712.49691280000002</v>
      </c>
      <c r="BM25" s="874">
        <v>799.64578142000005</v>
      </c>
      <c r="BN25" s="874">
        <v>795.79365254000004</v>
      </c>
      <c r="BO25" s="874">
        <v>869.88743468999996</v>
      </c>
      <c r="BP25" s="874">
        <v>873.17732102000002</v>
      </c>
      <c r="BQ25" s="874">
        <v>872.34744857999999</v>
      </c>
      <c r="BR25" s="874">
        <v>972.66562490999979</v>
      </c>
      <c r="BS25" s="874">
        <v>958.89047446999984</v>
      </c>
      <c r="BT25" s="874">
        <v>1016.3447374899999</v>
      </c>
      <c r="BU25" s="874">
        <v>1045.5105831999999</v>
      </c>
      <c r="BV25" s="874">
        <v>1034.1367258199998</v>
      </c>
      <c r="BW25" s="874">
        <v>1023.2169472100002</v>
      </c>
      <c r="BX25" s="874">
        <v>1011.88916035</v>
      </c>
      <c r="BY25" s="874">
        <v>941.25843755000005</v>
      </c>
      <c r="BZ25" s="874">
        <v>957.40955282000004</v>
      </c>
      <c r="CA25" s="874">
        <v>1004.3101826399998</v>
      </c>
      <c r="CB25" s="874">
        <v>989.03154865000022</v>
      </c>
      <c r="CC25" s="874">
        <v>984.79327080999997</v>
      </c>
      <c r="CD25" s="874">
        <v>883.16528300000004</v>
      </c>
      <c r="CE25" s="874">
        <v>876.8817346400001</v>
      </c>
      <c r="CF25" s="874">
        <v>921.99135094999997</v>
      </c>
      <c r="CG25" s="874">
        <v>988.27171185999998</v>
      </c>
      <c r="CH25" s="874">
        <v>972.86097029999996</v>
      </c>
      <c r="CI25" s="874">
        <v>968.73169614999995</v>
      </c>
      <c r="CJ25" s="874">
        <v>966.34227921000013</v>
      </c>
      <c r="CK25" s="874">
        <v>901.39008082999999</v>
      </c>
      <c r="CL25" s="874">
        <v>801.29913627999986</v>
      </c>
      <c r="CM25" s="874">
        <v>759.75227874000007</v>
      </c>
      <c r="CN25" s="874">
        <v>757.76195453999992</v>
      </c>
      <c r="CO25" s="874">
        <v>742.94219927000006</v>
      </c>
      <c r="CP25" s="874">
        <v>736.1676314099999</v>
      </c>
      <c r="CQ25" s="874">
        <v>716.41074197</v>
      </c>
      <c r="CR25" s="874">
        <v>698.13132737000001</v>
      </c>
      <c r="CS25" s="874">
        <v>697.72128898999995</v>
      </c>
      <c r="CT25" s="874">
        <v>690.50747257</v>
      </c>
      <c r="CU25" s="874">
        <v>724.83807796999997</v>
      </c>
      <c r="CV25" s="874">
        <v>718.24638965999998</v>
      </c>
      <c r="CW25" s="874">
        <v>733.77768622999997</v>
      </c>
      <c r="CX25" s="874">
        <v>713.94324044999996</v>
      </c>
      <c r="CY25" s="874">
        <v>704.84404193</v>
      </c>
      <c r="CZ25" s="874">
        <v>641.93906330000004</v>
      </c>
      <c r="DA25" s="874">
        <v>634.32925600999999</v>
      </c>
      <c r="DB25" s="874">
        <v>636.97180710999999</v>
      </c>
      <c r="DC25" s="874">
        <v>631.90669650999996</v>
      </c>
      <c r="DD25" s="945">
        <v>620.75487464000003</v>
      </c>
      <c r="DE25" s="945">
        <v>619.39736112000003</v>
      </c>
      <c r="DF25" s="945">
        <v>635.28009288999999</v>
      </c>
      <c r="DG25" s="897">
        <v>628.23985000000005</v>
      </c>
      <c r="DH25" s="897">
        <v>631.94108712000002</v>
      </c>
      <c r="DI25" s="897">
        <v>632.78964340000005</v>
      </c>
      <c r="DJ25" s="897">
        <v>633.34288254000001</v>
      </c>
      <c r="DK25" s="897">
        <v>626.69352302000004</v>
      </c>
      <c r="DL25" s="897">
        <v>623.89297739999995</v>
      </c>
      <c r="DM25" s="897">
        <v>619.88052004999997</v>
      </c>
      <c r="DN25" s="897">
        <v>646.81540319999999</v>
      </c>
      <c r="DO25" s="897">
        <v>651.14299274999996</v>
      </c>
      <c r="DP25" s="897">
        <v>645.30372710999995</v>
      </c>
      <c r="DQ25" s="897">
        <v>655.32132797999998</v>
      </c>
      <c r="DR25" s="897">
        <v>650.51723976999995</v>
      </c>
      <c r="DS25" s="897">
        <v>647.96596971999998</v>
      </c>
      <c r="DT25" s="897">
        <v>676.89738933000001</v>
      </c>
      <c r="DU25" s="897">
        <v>688.62293623000005</v>
      </c>
      <c r="DV25" s="897">
        <v>730.09027718000004</v>
      </c>
      <c r="DW25" s="897">
        <v>924.78050825000003</v>
      </c>
      <c r="DX25" s="897">
        <v>912.25598419999994</v>
      </c>
      <c r="DY25" s="897">
        <v>925.71129169000005</v>
      </c>
      <c r="DZ25" s="897">
        <v>939.52941853000004</v>
      </c>
      <c r="EA25" s="897">
        <v>1169.30175581</v>
      </c>
      <c r="EB25" s="897">
        <v>1160.6609484799999</v>
      </c>
      <c r="EC25" s="897">
        <v>1235.6017023100001</v>
      </c>
      <c r="ED25" s="897">
        <v>1211.75942622</v>
      </c>
      <c r="EE25" s="897">
        <v>1278.3472762599999</v>
      </c>
      <c r="EF25" s="897">
        <v>1262.7501925700001</v>
      </c>
      <c r="EG25" s="897">
        <v>1286.90124285</v>
      </c>
      <c r="EH25" s="897">
        <v>1396.51371812</v>
      </c>
      <c r="EI25" s="897">
        <v>1473.5247696900001</v>
      </c>
      <c r="EJ25" s="897">
        <v>1464.10961363</v>
      </c>
      <c r="EK25" s="897">
        <v>1461.04243346</v>
      </c>
      <c r="EL25" s="897">
        <v>1499.8241915599999</v>
      </c>
      <c r="EM25" s="897">
        <v>1580.8985496099999</v>
      </c>
      <c r="EN25" s="897">
        <v>1588.19685759</v>
      </c>
      <c r="EO25" s="897">
        <v>1613.7957381000001</v>
      </c>
      <c r="EP25" s="897">
        <v>1603.7785376899999</v>
      </c>
      <c r="EQ25" s="897">
        <v>1646.3492664099999</v>
      </c>
      <c r="ER25" s="897">
        <v>1665.80818314</v>
      </c>
      <c r="ES25" s="897">
        <v>1697.7277462300001</v>
      </c>
      <c r="ET25" s="897">
        <v>1718.0678463500001</v>
      </c>
      <c r="EU25" s="1918" t="s">
        <v>4084</v>
      </c>
      <c r="EZ25" s="342"/>
    </row>
    <row r="26" spans="1:156" ht="21">
      <c r="A26" s="1931" t="s">
        <v>1974</v>
      </c>
      <c r="B26" s="842">
        <v>48.559183430000004</v>
      </c>
      <c r="C26" s="842">
        <v>48.312560619999999</v>
      </c>
      <c r="D26" s="842">
        <v>49.94550529</v>
      </c>
      <c r="E26" s="842">
        <v>55.891848320000001</v>
      </c>
      <c r="F26" s="842">
        <v>53.598569709999992</v>
      </c>
      <c r="G26" s="842">
        <v>60.743074640000003</v>
      </c>
      <c r="H26" s="842">
        <v>62.778369180000006</v>
      </c>
      <c r="I26" s="842">
        <v>65.753498609999994</v>
      </c>
      <c r="J26" s="842">
        <v>70.706514799999994</v>
      </c>
      <c r="K26" s="842">
        <v>70.093846929999998</v>
      </c>
      <c r="L26" s="842">
        <v>69.916101770000012</v>
      </c>
      <c r="M26" s="843">
        <v>73.948504109999988</v>
      </c>
      <c r="N26" s="843">
        <v>73.079514039999992</v>
      </c>
      <c r="O26" s="843">
        <v>75.332456559999997</v>
      </c>
      <c r="P26" s="843">
        <v>82.043593509999994</v>
      </c>
      <c r="Q26" s="843">
        <v>84.036859729999989</v>
      </c>
      <c r="R26" s="843">
        <v>88.415703369999989</v>
      </c>
      <c r="S26" s="843">
        <v>92.656317729999998</v>
      </c>
      <c r="T26" s="843">
        <v>91.52160099000001</v>
      </c>
      <c r="U26" s="843">
        <v>91.340145989999996</v>
      </c>
      <c r="V26" s="843">
        <v>96.961494330000008</v>
      </c>
      <c r="W26" s="843">
        <v>98.326090449999995</v>
      </c>
      <c r="X26" s="843">
        <v>102.15149679999999</v>
      </c>
      <c r="Y26" s="843">
        <v>103.33173869000001</v>
      </c>
      <c r="Z26" s="843">
        <v>104.03255568</v>
      </c>
      <c r="AA26" s="843">
        <v>125.67273324999999</v>
      </c>
      <c r="AB26" s="843">
        <v>139.75305665000002</v>
      </c>
      <c r="AC26" s="843">
        <v>146.50489893</v>
      </c>
      <c r="AD26" s="843">
        <v>170.42784855999997</v>
      </c>
      <c r="AE26" s="843">
        <v>169.75379189</v>
      </c>
      <c r="AF26" s="843">
        <v>163.3826961</v>
      </c>
      <c r="AG26" s="843">
        <v>239.07830258999999</v>
      </c>
      <c r="AH26" s="843">
        <v>239.38968738</v>
      </c>
      <c r="AI26" s="843">
        <v>282.67651064</v>
      </c>
      <c r="AJ26" s="843">
        <v>279.01749531999997</v>
      </c>
      <c r="AK26" s="843">
        <v>396.40317285999998</v>
      </c>
      <c r="AL26" s="843">
        <v>405.78257891999999</v>
      </c>
      <c r="AM26" s="843">
        <v>471.14566586000001</v>
      </c>
      <c r="AN26" s="843">
        <v>448.64705576</v>
      </c>
      <c r="AO26" s="843">
        <v>463.32997804000001</v>
      </c>
      <c r="AP26" s="843">
        <v>450.59600754999997</v>
      </c>
      <c r="AQ26" s="843">
        <v>465.05022124999999</v>
      </c>
      <c r="AR26" s="843">
        <v>474.62408783000001</v>
      </c>
      <c r="AS26" s="843">
        <v>487.19033668999998</v>
      </c>
      <c r="AT26" s="843">
        <f>AT10-AT14</f>
        <v>496.23503866999999</v>
      </c>
      <c r="AU26" s="843">
        <v>498.37298906000001</v>
      </c>
      <c r="AV26" s="843">
        <v>522.51481287000001</v>
      </c>
      <c r="AW26" s="843">
        <v>519.42921855000009</v>
      </c>
      <c r="AX26" s="843">
        <v>558.61298886999998</v>
      </c>
      <c r="AY26" s="843">
        <v>504.15006137</v>
      </c>
      <c r="AZ26" s="843">
        <v>488.78271172000001</v>
      </c>
      <c r="BA26" s="843">
        <v>482.46309117999999</v>
      </c>
      <c r="BB26" s="843">
        <v>320.92542698000005</v>
      </c>
      <c r="BC26" s="843">
        <v>266.58350058000002</v>
      </c>
      <c r="BD26" s="843">
        <v>373.02094011999998</v>
      </c>
      <c r="BE26" s="843">
        <v>378.99315779</v>
      </c>
      <c r="BF26" s="843">
        <v>375.49371088999999</v>
      </c>
      <c r="BG26" s="843">
        <v>373.74060918000009</v>
      </c>
      <c r="BH26" s="886">
        <v>371.09261825999999</v>
      </c>
      <c r="BI26" s="875">
        <v>398.71750831999998</v>
      </c>
      <c r="BJ26" s="875">
        <v>397.69240604000004</v>
      </c>
      <c r="BK26" s="875">
        <v>269.61802308</v>
      </c>
      <c r="BL26" s="875">
        <v>259.50288438999996</v>
      </c>
      <c r="BM26" s="875">
        <v>262.0748413</v>
      </c>
      <c r="BN26" s="875">
        <v>261.25571726999999</v>
      </c>
      <c r="BO26" s="875">
        <v>281.89562257</v>
      </c>
      <c r="BP26" s="875">
        <v>282.53985200000005</v>
      </c>
      <c r="BQ26" s="875">
        <v>280.57448377999998</v>
      </c>
      <c r="BR26" s="875">
        <v>279.40724044000001</v>
      </c>
      <c r="BS26" s="875">
        <v>280.97093912999998</v>
      </c>
      <c r="BT26" s="875">
        <v>356.34428953999998</v>
      </c>
      <c r="BU26" s="875">
        <v>373.15636152000002</v>
      </c>
      <c r="BV26" s="875">
        <v>373.88854580000003</v>
      </c>
      <c r="BW26" s="875">
        <v>374.57041874000004</v>
      </c>
      <c r="BX26" s="875">
        <v>373.96228599</v>
      </c>
      <c r="BY26" s="875">
        <v>318.41483944999999</v>
      </c>
      <c r="BZ26" s="875">
        <v>320.67179063000003</v>
      </c>
      <c r="CA26" s="875">
        <v>320.15347698999994</v>
      </c>
      <c r="CB26" s="875">
        <v>315.39749509999996</v>
      </c>
      <c r="CC26" s="875">
        <v>312.63544082000004</v>
      </c>
      <c r="CD26" s="875">
        <v>190.49660752999998</v>
      </c>
      <c r="CE26" s="875">
        <v>196.4969341</v>
      </c>
      <c r="CF26" s="875">
        <v>184.12807385000002</v>
      </c>
      <c r="CG26" s="875">
        <v>198.90658949000002</v>
      </c>
      <c r="CH26" s="875">
        <v>181.39675994999999</v>
      </c>
      <c r="CI26" s="875">
        <v>189.47863365999999</v>
      </c>
      <c r="CJ26" s="875">
        <v>196.09114256999999</v>
      </c>
      <c r="CK26" s="875">
        <v>192.40674741000001</v>
      </c>
      <c r="CL26" s="875">
        <v>133.39528460999998</v>
      </c>
      <c r="CM26" s="875">
        <v>118.38370209999999</v>
      </c>
      <c r="CN26" s="875">
        <v>116.2355452</v>
      </c>
      <c r="CO26" s="875">
        <v>112.47554587</v>
      </c>
      <c r="CP26" s="875">
        <v>110.65219464</v>
      </c>
      <c r="CQ26" s="875">
        <v>107.15441516000001</v>
      </c>
      <c r="CR26" s="875">
        <v>110.59295159999999</v>
      </c>
      <c r="CS26" s="875">
        <v>100.52455775999999</v>
      </c>
      <c r="CT26" s="875">
        <v>107.16796892000001</v>
      </c>
      <c r="CU26" s="875">
        <v>105.58432103</v>
      </c>
      <c r="CV26" s="875">
        <v>106.55598037999999</v>
      </c>
      <c r="CW26" s="875">
        <v>105.29106428</v>
      </c>
      <c r="CX26" s="875">
        <v>99.12411342</v>
      </c>
      <c r="CY26" s="875">
        <v>113.24268266</v>
      </c>
      <c r="CZ26" s="875">
        <v>111.61665151</v>
      </c>
      <c r="DA26" s="875">
        <v>110.1510469</v>
      </c>
      <c r="DB26" s="875">
        <v>108.84865339</v>
      </c>
      <c r="DC26" s="875">
        <v>107.43687133</v>
      </c>
      <c r="DD26" s="946">
        <v>96.312629520000002</v>
      </c>
      <c r="DE26" s="946">
        <v>96.48826708</v>
      </c>
      <c r="DF26" s="946">
        <v>96.483610389999996</v>
      </c>
      <c r="DG26" s="898">
        <v>96.498627119999995</v>
      </c>
      <c r="DH26" s="898">
        <v>96.497663439999997</v>
      </c>
      <c r="DI26" s="898">
        <v>96.490369619999996</v>
      </c>
      <c r="DJ26" s="898">
        <v>96.462960629999998</v>
      </c>
      <c r="DK26" s="898">
        <v>96.45549355</v>
      </c>
      <c r="DL26" s="898">
        <v>96.441982699999997</v>
      </c>
      <c r="DM26" s="898">
        <v>96.428601159999999</v>
      </c>
      <c r="DN26" s="898">
        <v>96.696531300000004</v>
      </c>
      <c r="DO26" s="898">
        <v>96.695033019999997</v>
      </c>
      <c r="DP26" s="898">
        <v>91.064371510000001</v>
      </c>
      <c r="DQ26" s="898">
        <v>51.956793099999999</v>
      </c>
      <c r="DR26" s="898">
        <v>51.95413302</v>
      </c>
      <c r="DS26" s="898">
        <v>51.93376267</v>
      </c>
      <c r="DT26" s="898">
        <v>51.912897690000001</v>
      </c>
      <c r="DU26" s="898">
        <v>51.891406019999998</v>
      </c>
      <c r="DV26" s="898">
        <v>51.869929740000003</v>
      </c>
      <c r="DW26" s="898">
        <v>51.891539350000002</v>
      </c>
      <c r="DX26" s="898">
        <v>51.855709580000003</v>
      </c>
      <c r="DY26" s="898">
        <v>51.832955439999999</v>
      </c>
      <c r="DZ26" s="898">
        <v>25.984632569999999</v>
      </c>
      <c r="EA26" s="898">
        <v>258.86122268999998</v>
      </c>
      <c r="EB26" s="898">
        <v>258.83769404999998</v>
      </c>
      <c r="EC26" s="898">
        <v>233.31342912</v>
      </c>
      <c r="ED26" s="898">
        <v>227.46683376999999</v>
      </c>
      <c r="EE26" s="898">
        <v>227.4630392</v>
      </c>
      <c r="EF26" s="898">
        <v>227.43929097</v>
      </c>
      <c r="EG26" s="898">
        <v>222.42757463000001</v>
      </c>
      <c r="EH26" s="898">
        <v>254.11012396000001</v>
      </c>
      <c r="EI26" s="898">
        <v>281.39156997999999</v>
      </c>
      <c r="EJ26" s="898">
        <v>275.42334711000001</v>
      </c>
      <c r="EK26" s="898">
        <v>275.35618518000001</v>
      </c>
      <c r="EL26" s="898">
        <v>322.38922264000001</v>
      </c>
      <c r="EM26" s="898">
        <v>394.73329002000003</v>
      </c>
      <c r="EN26" s="898">
        <v>403.51868367999998</v>
      </c>
      <c r="EO26" s="898">
        <v>403.45911081999998</v>
      </c>
      <c r="EP26" s="898">
        <v>409.65852139999998</v>
      </c>
      <c r="EQ26" s="898">
        <v>409.60053936000003</v>
      </c>
      <c r="ER26" s="898">
        <v>409.58973458000003</v>
      </c>
      <c r="ES26" s="898">
        <v>408.17919225000003</v>
      </c>
      <c r="ET26" s="898">
        <v>413.57465551000001</v>
      </c>
      <c r="EU26" s="1920" t="s">
        <v>4086</v>
      </c>
      <c r="EZ26" s="342"/>
    </row>
    <row r="27" spans="1:156" ht="21">
      <c r="A27" s="1931" t="s">
        <v>1975</v>
      </c>
      <c r="B27" s="839">
        <f>+B25-B26</f>
        <v>218.91226451999995</v>
      </c>
      <c r="C27" s="842">
        <f t="shared" ref="C27:V27" si="8">+C25-C26</f>
        <v>233.67375636000003</v>
      </c>
      <c r="D27" s="842">
        <f t="shared" si="8"/>
        <v>233.20105938999998</v>
      </c>
      <c r="E27" s="842">
        <f t="shared" si="8"/>
        <v>233.66162843000001</v>
      </c>
      <c r="F27" s="842">
        <f t="shared" si="8"/>
        <v>230.96893208</v>
      </c>
      <c r="G27" s="842">
        <f t="shared" si="8"/>
        <v>228.25961090000001</v>
      </c>
      <c r="H27" s="842">
        <f t="shared" si="8"/>
        <v>243.04258795000001</v>
      </c>
      <c r="I27" s="842">
        <f t="shared" si="8"/>
        <v>236.63838918999994</v>
      </c>
      <c r="J27" s="842">
        <f t="shared" si="8"/>
        <v>261.97213269000002</v>
      </c>
      <c r="K27" s="842">
        <f t="shared" si="8"/>
        <v>258.51497606999999</v>
      </c>
      <c r="L27" s="842">
        <f t="shared" si="8"/>
        <v>256.91520162</v>
      </c>
      <c r="M27" s="843">
        <f t="shared" si="8"/>
        <v>265.67361397999997</v>
      </c>
      <c r="N27" s="843">
        <f t="shared" si="8"/>
        <v>263.11893705999995</v>
      </c>
      <c r="O27" s="843">
        <f t="shared" si="8"/>
        <v>266.27774801999999</v>
      </c>
      <c r="P27" s="840">
        <f t="shared" si="8"/>
        <v>256.71184285999999</v>
      </c>
      <c r="Q27" s="840">
        <f t="shared" si="8"/>
        <v>253.26172797999999</v>
      </c>
      <c r="R27" s="840">
        <f t="shared" si="8"/>
        <v>250.54497447000003</v>
      </c>
      <c r="S27" s="840">
        <f t="shared" si="8"/>
        <v>246.99594509999997</v>
      </c>
      <c r="T27" s="840">
        <f t="shared" si="8"/>
        <v>243.01373403999997</v>
      </c>
      <c r="U27" s="840">
        <f t="shared" si="8"/>
        <v>242.10631618000002</v>
      </c>
      <c r="V27" s="840">
        <f t="shared" si="8"/>
        <v>300.20944235000007</v>
      </c>
      <c r="W27" s="840">
        <v>297.54000106000007</v>
      </c>
      <c r="X27" s="840">
        <v>295.30153312000004</v>
      </c>
      <c r="Y27" s="843">
        <v>303.69987973000002</v>
      </c>
      <c r="Z27" s="840">
        <v>300.06760216999999</v>
      </c>
      <c r="AA27" s="843">
        <v>334.18837701999996</v>
      </c>
      <c r="AB27" s="843">
        <f>+AB25-AB26</f>
        <v>356.00680195999996</v>
      </c>
      <c r="AC27" s="843">
        <v>358.70281839999996</v>
      </c>
      <c r="AD27" s="843">
        <v>351.96895682999997</v>
      </c>
      <c r="AE27" s="843">
        <v>355.23557893999998</v>
      </c>
      <c r="AF27" s="843">
        <v>363.34608856</v>
      </c>
      <c r="AG27" s="843">
        <v>360.97230678999995</v>
      </c>
      <c r="AH27" s="843">
        <f>+AH25-AH26</f>
        <v>393.48625684000007</v>
      </c>
      <c r="AI27" s="843">
        <v>412.34338010999994</v>
      </c>
      <c r="AJ27" s="843">
        <f>+AJ25-AJ26</f>
        <v>398.49905467000008</v>
      </c>
      <c r="AK27" s="843">
        <f>+AK25-AK26</f>
        <v>524.06021751999992</v>
      </c>
      <c r="AL27" s="843">
        <v>533.87181081000006</v>
      </c>
      <c r="AM27" s="843">
        <f>+AM25-AM26</f>
        <v>514.91225875999999</v>
      </c>
      <c r="AN27" s="843">
        <f>+AN25-AN26</f>
        <v>537.85990177999997</v>
      </c>
      <c r="AO27" s="843">
        <f>+AO25-AO26</f>
        <v>522.8451952800001</v>
      </c>
      <c r="AP27" s="843">
        <f>+AP25-AP26</f>
        <v>523.79805712999996</v>
      </c>
      <c r="AQ27" s="843">
        <v>541.30055296</v>
      </c>
      <c r="AR27" s="843">
        <f>+AR25-AR26</f>
        <v>449.89055711000003</v>
      </c>
      <c r="AS27" s="843">
        <v>461.12803724000003</v>
      </c>
      <c r="AT27" s="843">
        <f>AT11-AT15</f>
        <v>455.27545942000006</v>
      </c>
      <c r="AU27" s="843">
        <v>463.93690361999995</v>
      </c>
      <c r="AV27" s="843">
        <v>482.73731357000008</v>
      </c>
      <c r="AW27" s="843">
        <v>495.99418014000014</v>
      </c>
      <c r="AX27" s="843">
        <v>523.0405377400001</v>
      </c>
      <c r="AY27" s="843">
        <v>483.81609453999999</v>
      </c>
      <c r="AZ27" s="843">
        <v>458.22638470999999</v>
      </c>
      <c r="BA27" s="843">
        <v>446.80255072</v>
      </c>
      <c r="BB27" s="843">
        <v>443.5417098399999</v>
      </c>
      <c r="BC27" s="843">
        <v>528.53247198999998</v>
      </c>
      <c r="BD27" s="843">
        <f>+BD25-BD26</f>
        <v>460.85574914000006</v>
      </c>
      <c r="BE27" s="843">
        <v>459.75118773000003</v>
      </c>
      <c r="BF27" s="843">
        <v>457.67861298000014</v>
      </c>
      <c r="BG27" s="843">
        <v>458.07142707999992</v>
      </c>
      <c r="BH27" s="886">
        <v>460.58921556999996</v>
      </c>
      <c r="BI27" s="875">
        <v>488.20390228999997</v>
      </c>
      <c r="BJ27" s="875">
        <v>494.22985184000004</v>
      </c>
      <c r="BK27" s="875">
        <v>489.79199094000006</v>
      </c>
      <c r="BL27" s="875">
        <v>452.99402841000006</v>
      </c>
      <c r="BM27" s="875">
        <v>537.57094012000005</v>
      </c>
      <c r="BN27" s="875">
        <v>534.53793527000005</v>
      </c>
      <c r="BO27" s="875">
        <v>587.99181211999996</v>
      </c>
      <c r="BP27" s="875">
        <v>590.63746902000003</v>
      </c>
      <c r="BQ27" s="875">
        <v>591.77296479999995</v>
      </c>
      <c r="BR27" s="875">
        <v>693.25838446999978</v>
      </c>
      <c r="BS27" s="875">
        <v>677.91953533999981</v>
      </c>
      <c r="BT27" s="875">
        <v>660.00044794999997</v>
      </c>
      <c r="BU27" s="875">
        <v>672.35422167999991</v>
      </c>
      <c r="BV27" s="875">
        <v>660.24818001999984</v>
      </c>
      <c r="BW27" s="875">
        <v>648.64652847000013</v>
      </c>
      <c r="BX27" s="875">
        <v>637.92687436000006</v>
      </c>
      <c r="BY27" s="875">
        <v>622.84359810000001</v>
      </c>
      <c r="BZ27" s="875">
        <v>636.73776219000001</v>
      </c>
      <c r="CA27" s="875">
        <v>684.15670564999982</v>
      </c>
      <c r="CB27" s="875">
        <v>673.63405355000032</v>
      </c>
      <c r="CC27" s="875">
        <v>672.15782998999998</v>
      </c>
      <c r="CD27" s="875">
        <v>692.66867547000004</v>
      </c>
      <c r="CE27" s="875">
        <f t="shared" ref="CE27:CP27" si="9">+CE25-CE26</f>
        <v>680.38480054000013</v>
      </c>
      <c r="CF27" s="875">
        <f t="shared" si="9"/>
        <v>737.8632771</v>
      </c>
      <c r="CG27" s="875">
        <f t="shared" si="9"/>
        <v>789.36512236999999</v>
      </c>
      <c r="CH27" s="875">
        <f t="shared" si="9"/>
        <v>791.46421035000003</v>
      </c>
      <c r="CI27" s="875">
        <f t="shared" si="9"/>
        <v>779.25306248999993</v>
      </c>
      <c r="CJ27" s="875">
        <f t="shared" si="9"/>
        <v>770.25113664000014</v>
      </c>
      <c r="CK27" s="875">
        <f t="shared" si="9"/>
        <v>708.98333342000001</v>
      </c>
      <c r="CL27" s="875">
        <f t="shared" si="9"/>
        <v>667.90385166999988</v>
      </c>
      <c r="CM27" s="875">
        <f t="shared" si="9"/>
        <v>641.36857664000013</v>
      </c>
      <c r="CN27" s="875">
        <f t="shared" si="9"/>
        <v>641.52640933999987</v>
      </c>
      <c r="CO27" s="875">
        <f t="shared" si="9"/>
        <v>630.46665340000004</v>
      </c>
      <c r="CP27" s="875">
        <f t="shared" si="9"/>
        <v>625.51543676999995</v>
      </c>
      <c r="CQ27" s="875">
        <f>+CQ25-CQ26</f>
        <v>609.25632681000002</v>
      </c>
      <c r="CR27" s="875">
        <f>+CR25-CR26</f>
        <v>587.53837577000002</v>
      </c>
      <c r="CS27" s="875">
        <v>597.19673122999995</v>
      </c>
      <c r="CT27" s="875">
        <v>583.33950364999998</v>
      </c>
      <c r="CU27" s="875">
        <v>619.25375694000002</v>
      </c>
      <c r="CV27" s="875">
        <v>611.69040928000004</v>
      </c>
      <c r="CW27" s="875">
        <v>628.48662194999997</v>
      </c>
      <c r="CX27" s="875">
        <v>614.81912703</v>
      </c>
      <c r="CY27" s="875">
        <v>591.60135926999999</v>
      </c>
      <c r="CZ27" s="875">
        <v>530.32241179000005</v>
      </c>
      <c r="DA27" s="875">
        <v>524.17820911000001</v>
      </c>
      <c r="DB27" s="875">
        <v>528.12315372</v>
      </c>
      <c r="DC27" s="875">
        <v>524.46982518000004</v>
      </c>
      <c r="DD27" s="946">
        <v>524.44224512000005</v>
      </c>
      <c r="DE27" s="946">
        <v>522.90909404000001</v>
      </c>
      <c r="DF27" s="946">
        <v>538.79648250000002</v>
      </c>
      <c r="DG27" s="898">
        <v>531.74122288000001</v>
      </c>
      <c r="DH27" s="898">
        <v>535.44342368000002</v>
      </c>
      <c r="DI27" s="898">
        <v>536.29927378000002</v>
      </c>
      <c r="DJ27" s="898">
        <v>536.87992191000001</v>
      </c>
      <c r="DK27" s="898">
        <v>530.23802947000001</v>
      </c>
      <c r="DL27" s="898">
        <v>527.45099470000002</v>
      </c>
      <c r="DM27" s="898">
        <v>523.45191889</v>
      </c>
      <c r="DN27" s="898">
        <v>550.11887190000004</v>
      </c>
      <c r="DO27" s="898">
        <v>554.44795972999998</v>
      </c>
      <c r="DP27" s="898">
        <v>554.23935559999995</v>
      </c>
      <c r="DQ27" s="898">
        <v>603.36453487999995</v>
      </c>
      <c r="DR27" s="898">
        <v>598.56310674999997</v>
      </c>
      <c r="DS27" s="898">
        <v>596.03220705000001</v>
      </c>
      <c r="DT27" s="898">
        <v>624.98449163999999</v>
      </c>
      <c r="DU27" s="898">
        <v>636.73153020999996</v>
      </c>
      <c r="DV27" s="898">
        <v>678.22034743999995</v>
      </c>
      <c r="DW27" s="898">
        <v>872.88896890000001</v>
      </c>
      <c r="DX27" s="898">
        <v>860.40027462</v>
      </c>
      <c r="DY27" s="898">
        <v>873.87833624999996</v>
      </c>
      <c r="DZ27" s="898">
        <v>913.54478596000001</v>
      </c>
      <c r="EA27" s="898">
        <v>910.44053312000005</v>
      </c>
      <c r="EB27" s="898">
        <v>901.82325443000002</v>
      </c>
      <c r="EC27" s="898">
        <v>1002.28827319</v>
      </c>
      <c r="ED27" s="898">
        <v>984.29259245000003</v>
      </c>
      <c r="EE27" s="898">
        <v>1050.88423706</v>
      </c>
      <c r="EF27" s="898">
        <v>1035.3109016000001</v>
      </c>
      <c r="EG27" s="898">
        <v>1064.47366822</v>
      </c>
      <c r="EH27" s="898">
        <v>1142.40359416</v>
      </c>
      <c r="EI27" s="898">
        <v>1192.1331997100001</v>
      </c>
      <c r="EJ27" s="898">
        <v>1188.6862665199999</v>
      </c>
      <c r="EK27" s="898">
        <v>1185.68624828</v>
      </c>
      <c r="EL27" s="898">
        <v>1177.4349689200001</v>
      </c>
      <c r="EM27" s="898">
        <v>1186.16525959</v>
      </c>
      <c r="EN27" s="898">
        <v>1184.6781739099999</v>
      </c>
      <c r="EO27" s="898">
        <v>1210.3366272799999</v>
      </c>
      <c r="EP27" s="898">
        <v>1194.12001629</v>
      </c>
      <c r="EQ27" s="898">
        <v>1236.7487270500001</v>
      </c>
      <c r="ER27" s="898">
        <v>1256.2184485600001</v>
      </c>
      <c r="ES27" s="898">
        <v>1289.54855398</v>
      </c>
      <c r="ET27" s="898">
        <v>1304.4931908399999</v>
      </c>
      <c r="EU27" s="1920" t="s">
        <v>4085</v>
      </c>
      <c r="EZ27" s="342"/>
    </row>
    <row r="28" spans="1:156" ht="21">
      <c r="A28" s="1929"/>
      <c r="B28" s="842"/>
      <c r="C28" s="842"/>
      <c r="D28" s="842"/>
      <c r="E28" s="842"/>
      <c r="F28" s="842"/>
      <c r="G28" s="842"/>
      <c r="H28" s="842"/>
      <c r="I28" s="842"/>
      <c r="J28" s="842"/>
      <c r="K28" s="842"/>
      <c r="L28" s="842"/>
      <c r="M28" s="843"/>
      <c r="N28" s="843"/>
      <c r="O28" s="843"/>
      <c r="P28" s="843"/>
      <c r="Q28" s="843"/>
      <c r="R28" s="843"/>
      <c r="S28" s="843"/>
      <c r="T28" s="843"/>
      <c r="U28" s="843"/>
      <c r="V28" s="843"/>
      <c r="W28" s="843"/>
      <c r="X28" s="843"/>
      <c r="Y28" s="843"/>
      <c r="Z28" s="843"/>
      <c r="AA28" s="843"/>
      <c r="AB28" s="843"/>
      <c r="AC28" s="843"/>
      <c r="AD28" s="843"/>
      <c r="AE28" s="843"/>
      <c r="AF28" s="843"/>
      <c r="AG28" s="843"/>
      <c r="AH28" s="843"/>
      <c r="AI28" s="843"/>
      <c r="AJ28" s="843"/>
      <c r="AK28" s="843"/>
      <c r="AL28" s="843"/>
      <c r="AM28" s="843"/>
      <c r="AN28" s="843"/>
      <c r="AO28" s="843"/>
      <c r="AP28" s="843"/>
      <c r="AQ28" s="843"/>
      <c r="AR28" s="843"/>
      <c r="AS28" s="843"/>
      <c r="AT28" s="843"/>
      <c r="AU28" s="843"/>
      <c r="AV28" s="843"/>
      <c r="AW28" s="843"/>
      <c r="AX28" s="843"/>
      <c r="AY28" s="843"/>
      <c r="AZ28" s="843"/>
      <c r="BA28" s="843"/>
      <c r="BB28" s="843"/>
      <c r="BC28" s="843"/>
      <c r="BD28" s="843"/>
      <c r="BE28" s="843"/>
      <c r="BF28" s="843"/>
      <c r="BG28" s="843"/>
      <c r="BH28" s="886"/>
      <c r="BI28" s="875"/>
      <c r="BJ28" s="875"/>
      <c r="BK28" s="875"/>
      <c r="BL28" s="875"/>
      <c r="BM28" s="875"/>
      <c r="BN28" s="875"/>
      <c r="BO28" s="875"/>
      <c r="BP28" s="875"/>
      <c r="BQ28" s="875"/>
      <c r="BR28" s="875"/>
      <c r="BS28" s="875"/>
      <c r="BT28" s="875"/>
      <c r="BU28" s="875"/>
      <c r="BV28" s="875"/>
      <c r="BW28" s="875"/>
      <c r="BX28" s="875"/>
      <c r="BY28" s="875"/>
      <c r="BZ28" s="875"/>
      <c r="CA28" s="875"/>
      <c r="CB28" s="875"/>
      <c r="CC28" s="875"/>
      <c r="CD28" s="875"/>
      <c r="CE28" s="875"/>
      <c r="CF28" s="875"/>
      <c r="CG28" s="875"/>
      <c r="CH28" s="875"/>
      <c r="CI28" s="875"/>
      <c r="CJ28" s="875"/>
      <c r="CK28" s="875"/>
      <c r="CL28" s="875"/>
      <c r="CM28" s="875"/>
      <c r="CN28" s="875"/>
      <c r="CO28" s="875"/>
      <c r="CP28" s="875"/>
      <c r="CQ28" s="875"/>
      <c r="CR28" s="875"/>
      <c r="CS28" s="875"/>
      <c r="CT28" s="875"/>
      <c r="CU28" s="875"/>
      <c r="CV28" s="875"/>
      <c r="CW28" s="875"/>
      <c r="CX28" s="875"/>
      <c r="CY28" s="875"/>
      <c r="CZ28" s="875"/>
      <c r="DA28" s="875"/>
      <c r="DB28" s="875"/>
      <c r="DC28" s="875"/>
      <c r="DD28" s="946"/>
      <c r="DE28" s="946"/>
      <c r="DF28" s="946"/>
      <c r="DG28" s="898"/>
      <c r="DH28" s="898"/>
      <c r="DI28" s="898"/>
      <c r="DJ28" s="898"/>
      <c r="DK28" s="898"/>
      <c r="DL28" s="898"/>
      <c r="DM28" s="898"/>
      <c r="DN28" s="898"/>
      <c r="DO28" s="898"/>
      <c r="DP28" s="898"/>
      <c r="DQ28" s="898"/>
      <c r="DR28" s="898"/>
      <c r="DS28" s="898"/>
      <c r="DT28" s="898"/>
      <c r="DU28" s="898"/>
      <c r="DV28" s="898"/>
      <c r="DW28" s="898"/>
      <c r="DX28" s="898"/>
      <c r="DY28" s="898"/>
      <c r="DZ28" s="898"/>
      <c r="EA28" s="898"/>
      <c r="EB28" s="898"/>
      <c r="EC28" s="898"/>
      <c r="ED28" s="898"/>
      <c r="EE28" s="898"/>
      <c r="EF28" s="898"/>
      <c r="EG28" s="898"/>
      <c r="EH28" s="898"/>
      <c r="EI28" s="898"/>
      <c r="EJ28" s="898"/>
      <c r="EK28" s="898"/>
      <c r="EL28" s="898"/>
      <c r="EM28" s="898"/>
      <c r="EN28" s="898"/>
      <c r="EO28" s="898"/>
      <c r="EP28" s="898"/>
      <c r="EQ28" s="898"/>
      <c r="ER28" s="898"/>
      <c r="ES28" s="898"/>
      <c r="ET28" s="898"/>
      <c r="EU28" s="1919"/>
      <c r="EZ28" s="342"/>
    </row>
    <row r="29" spans="1:156" ht="21">
      <c r="A29" s="1952" t="s">
        <v>189</v>
      </c>
      <c r="B29" s="842">
        <v>54.579735669999998</v>
      </c>
      <c r="C29" s="842">
        <v>69.33917627000001</v>
      </c>
      <c r="D29" s="842">
        <v>69.029160559999994</v>
      </c>
      <c r="E29" s="842">
        <v>74.506363210000004</v>
      </c>
      <c r="F29" s="842">
        <v>71.083963139999994</v>
      </c>
      <c r="G29" s="842">
        <v>75.744314860000003</v>
      </c>
      <c r="H29" s="842">
        <v>76.257813840000011</v>
      </c>
      <c r="I29" s="842">
        <v>69.148299819999991</v>
      </c>
      <c r="J29" s="842">
        <v>96.122311859999996</v>
      </c>
      <c r="K29" s="842">
        <v>91.791905679999999</v>
      </c>
      <c r="L29" s="842">
        <v>90.699055580000007</v>
      </c>
      <c r="M29" s="840">
        <v>91.020919899999996</v>
      </c>
      <c r="N29" s="843">
        <v>89.033079549999997</v>
      </c>
      <c r="O29" s="843">
        <v>92.014217079999995</v>
      </c>
      <c r="P29" s="843">
        <v>91.748293289999992</v>
      </c>
      <c r="Q29" s="843">
        <v>90.787522409999994</v>
      </c>
      <c r="R29" s="843">
        <v>116.5738198</v>
      </c>
      <c r="S29" s="843">
        <v>116.48098275</v>
      </c>
      <c r="T29" s="843">
        <v>112.60505630999999</v>
      </c>
      <c r="U29" s="843">
        <v>111.23805409000001</v>
      </c>
      <c r="V29" s="843">
        <v>129.19321355000002</v>
      </c>
      <c r="W29" s="843">
        <v>128.63914389000001</v>
      </c>
      <c r="X29" s="843">
        <v>129.95573985999999</v>
      </c>
      <c r="Y29" s="840">
        <v>125.38866665</v>
      </c>
      <c r="Z29" s="843">
        <v>120.03161571999999</v>
      </c>
      <c r="AA29" s="843">
        <v>110.47394776</v>
      </c>
      <c r="AB29" s="840">
        <v>126.58986424999999</v>
      </c>
      <c r="AC29" s="840">
        <v>135.18260753999999</v>
      </c>
      <c r="AD29" s="840">
        <v>141.32127122999998</v>
      </c>
      <c r="AE29" s="840">
        <v>139.26238463999999</v>
      </c>
      <c r="AF29" s="840">
        <v>139.63278694000002</v>
      </c>
      <c r="AG29" s="840">
        <v>139.51124135999999</v>
      </c>
      <c r="AH29" s="840">
        <v>155.12902419</v>
      </c>
      <c r="AI29" s="840">
        <v>164.71345902999997</v>
      </c>
      <c r="AJ29" s="840">
        <v>162.23065593000001</v>
      </c>
      <c r="AK29" s="840">
        <v>156.0731145</v>
      </c>
      <c r="AL29" s="840">
        <v>157.28777199999999</v>
      </c>
      <c r="AM29" s="840">
        <v>154.21317875000003</v>
      </c>
      <c r="AN29" s="840">
        <v>155.11263038999999</v>
      </c>
      <c r="AO29" s="840">
        <v>149.88064306000001</v>
      </c>
      <c r="AP29" s="840">
        <v>149.82252937999999</v>
      </c>
      <c r="AQ29" s="840">
        <v>150.1319824</v>
      </c>
      <c r="AR29" s="840">
        <v>123.36238168999999</v>
      </c>
      <c r="AS29" s="840">
        <v>136.37647343</v>
      </c>
      <c r="AT29" s="840">
        <v>138.65784348</v>
      </c>
      <c r="AU29" s="840">
        <v>142.55825396</v>
      </c>
      <c r="AV29" s="840">
        <v>141.26464788999999</v>
      </c>
      <c r="AW29" s="840">
        <v>130.00025671</v>
      </c>
      <c r="AX29" s="840">
        <v>129.83041173999999</v>
      </c>
      <c r="AY29" s="840">
        <v>128.82778895999999</v>
      </c>
      <c r="AZ29" s="840">
        <v>127.65305033999999</v>
      </c>
      <c r="BA29" s="840">
        <v>123.46714177000001</v>
      </c>
      <c r="BB29" s="840">
        <v>114.34349172</v>
      </c>
      <c r="BC29" s="840">
        <v>116.38297179</v>
      </c>
      <c r="BD29" s="840">
        <v>118.04581011000001</v>
      </c>
      <c r="BE29" s="840">
        <v>125.70209693999999</v>
      </c>
      <c r="BF29" s="840">
        <v>122.73073832</v>
      </c>
      <c r="BG29" s="840">
        <v>122.98893609999999</v>
      </c>
      <c r="BH29" s="885">
        <v>120.74347581000001</v>
      </c>
      <c r="BI29" s="874">
        <v>118.32390330999999</v>
      </c>
      <c r="BJ29" s="874">
        <v>120.11415145999999</v>
      </c>
      <c r="BK29" s="874">
        <v>118.79139753999999</v>
      </c>
      <c r="BL29" s="874">
        <v>109.07768242</v>
      </c>
      <c r="BM29" s="874">
        <v>113.2495911</v>
      </c>
      <c r="BN29" s="874">
        <v>112.72998847999999</v>
      </c>
      <c r="BO29" s="874">
        <v>111.67199954</v>
      </c>
      <c r="BP29" s="874">
        <v>113.10348077</v>
      </c>
      <c r="BQ29" s="874">
        <v>111.68904791</v>
      </c>
      <c r="BR29" s="874">
        <v>122.41167555</v>
      </c>
      <c r="BS29" s="874">
        <v>120.73675756</v>
      </c>
      <c r="BT29" s="874">
        <v>114.34577662999999</v>
      </c>
      <c r="BU29" s="874">
        <v>141.35949453000001</v>
      </c>
      <c r="BV29" s="874">
        <v>144.05318571000001</v>
      </c>
      <c r="BW29" s="874">
        <v>147.49309384999998</v>
      </c>
      <c r="BX29" s="874">
        <v>156.23492493000001</v>
      </c>
      <c r="BY29" s="874">
        <v>159.70283215000003</v>
      </c>
      <c r="BZ29" s="874">
        <v>162.13565007000003</v>
      </c>
      <c r="CA29" s="874">
        <v>163.68834538000002</v>
      </c>
      <c r="CB29" s="874">
        <v>164.17042437000003</v>
      </c>
      <c r="CC29" s="874">
        <v>176.53872941999998</v>
      </c>
      <c r="CD29" s="874">
        <v>184.64923761999998</v>
      </c>
      <c r="CE29" s="874">
        <v>192.57085422</v>
      </c>
      <c r="CF29" s="874">
        <v>210.88280302000001</v>
      </c>
      <c r="CG29" s="874">
        <v>209.92705027</v>
      </c>
      <c r="CH29" s="874">
        <v>203.41224586999999</v>
      </c>
      <c r="CI29" s="874">
        <v>208.80949536</v>
      </c>
      <c r="CJ29" s="874">
        <v>211.42529159</v>
      </c>
      <c r="CK29" s="874">
        <v>210.85660525</v>
      </c>
      <c r="CL29" s="874">
        <v>194.03733638</v>
      </c>
      <c r="CM29" s="874">
        <v>194.86150638999999</v>
      </c>
      <c r="CN29" s="874">
        <v>192.01747746999999</v>
      </c>
      <c r="CO29" s="874">
        <v>196.63909949000001</v>
      </c>
      <c r="CP29" s="874">
        <v>206.7177025</v>
      </c>
      <c r="CQ29" s="874">
        <v>223.84971345</v>
      </c>
      <c r="CR29" s="874">
        <v>227.69814098000001</v>
      </c>
      <c r="CS29" s="874">
        <v>239.82627107000002</v>
      </c>
      <c r="CT29" s="874">
        <v>237.92966143999999</v>
      </c>
      <c r="CU29" s="874">
        <v>236.89999594</v>
      </c>
      <c r="CV29" s="874">
        <v>231.938118</v>
      </c>
      <c r="CW29" s="874">
        <v>222.83034469</v>
      </c>
      <c r="CX29" s="874">
        <v>205.62780871000001</v>
      </c>
      <c r="CY29" s="874">
        <v>184.18055935999999</v>
      </c>
      <c r="CZ29" s="874">
        <v>131.13965572999999</v>
      </c>
      <c r="DA29" s="874">
        <v>130.78976012000001</v>
      </c>
      <c r="DB29" s="874">
        <v>133.99027093000001</v>
      </c>
      <c r="DC29" s="874">
        <v>130.14741025000001</v>
      </c>
      <c r="DD29" s="945">
        <v>136.43962805999999</v>
      </c>
      <c r="DE29" s="945">
        <v>138.68979074999999</v>
      </c>
      <c r="DF29" s="945">
        <v>137.24838402</v>
      </c>
      <c r="DG29" s="897">
        <v>134.68413079999999</v>
      </c>
      <c r="DH29" s="897">
        <v>131.02408466</v>
      </c>
      <c r="DI29" s="897">
        <v>140.74170946000001</v>
      </c>
      <c r="DJ29" s="897">
        <v>149.61299489000001</v>
      </c>
      <c r="DK29" s="897">
        <v>144.72475363000001</v>
      </c>
      <c r="DL29" s="897">
        <v>146.38947114000001</v>
      </c>
      <c r="DM29" s="897">
        <v>145.12217507</v>
      </c>
      <c r="DN29" s="897">
        <v>171.43057830000001</v>
      </c>
      <c r="DO29" s="897">
        <v>178.66565431999999</v>
      </c>
      <c r="DP29" s="897">
        <v>241.67752013</v>
      </c>
      <c r="DQ29" s="897">
        <v>273.21182666999999</v>
      </c>
      <c r="DR29" s="897">
        <v>271.42953984000002</v>
      </c>
      <c r="DS29" s="897">
        <v>265.52348125999998</v>
      </c>
      <c r="DT29" s="897">
        <v>258.28489223000003</v>
      </c>
      <c r="DU29" s="897">
        <v>270.53019850999999</v>
      </c>
      <c r="DV29" s="897">
        <v>313.81745827999998</v>
      </c>
      <c r="DW29" s="897">
        <v>340.51378468000001</v>
      </c>
      <c r="DX29" s="897">
        <v>334.0196262</v>
      </c>
      <c r="DY29" s="897">
        <v>352.18050068999997</v>
      </c>
      <c r="DZ29" s="897">
        <v>335.53768357000001</v>
      </c>
      <c r="EA29" s="897">
        <v>343.25213382999999</v>
      </c>
      <c r="EB29" s="897">
        <v>335.36562896999999</v>
      </c>
      <c r="EC29" s="897">
        <v>405.63607449</v>
      </c>
      <c r="ED29" s="897">
        <v>380.94517313</v>
      </c>
      <c r="EE29" s="897">
        <v>441.42464043000001</v>
      </c>
      <c r="EF29" s="897">
        <v>433.22642279000002</v>
      </c>
      <c r="EG29" s="897">
        <v>467.06663629000002</v>
      </c>
      <c r="EH29" s="897">
        <v>569.78436438999995</v>
      </c>
      <c r="EI29" s="897">
        <v>633.71979166000006</v>
      </c>
      <c r="EJ29" s="897">
        <v>630.92464113999995</v>
      </c>
      <c r="EK29" s="897">
        <v>638.42380665999997</v>
      </c>
      <c r="EL29" s="897">
        <v>642.75572517000001</v>
      </c>
      <c r="EM29" s="897">
        <v>639.96750334000001</v>
      </c>
      <c r="EN29" s="897">
        <v>655.47794266999995</v>
      </c>
      <c r="EO29" s="897">
        <v>697.65811449</v>
      </c>
      <c r="EP29" s="897">
        <v>705.94482635999998</v>
      </c>
      <c r="EQ29" s="897">
        <v>770.63645037000003</v>
      </c>
      <c r="ER29" s="897">
        <v>789.65038075999996</v>
      </c>
      <c r="ES29" s="897">
        <v>822.05291483999997</v>
      </c>
      <c r="ET29" s="897">
        <v>830.53659956000001</v>
      </c>
      <c r="EU29" s="1922" t="s">
        <v>212</v>
      </c>
      <c r="EZ29" s="342"/>
    </row>
    <row r="30" spans="1:156" ht="21">
      <c r="A30" s="1953" t="s">
        <v>1974</v>
      </c>
      <c r="B30" s="842">
        <v>4.2081070499999997</v>
      </c>
      <c r="C30" s="842">
        <v>3.3317856400000001</v>
      </c>
      <c r="D30" s="842">
        <v>3.0468360699999999</v>
      </c>
      <c r="E30" s="842">
        <v>8.4850783500000002</v>
      </c>
      <c r="F30" s="842">
        <v>5.6692686999999999</v>
      </c>
      <c r="G30" s="842">
        <v>2.91191019</v>
      </c>
      <c r="H30" s="842">
        <v>3.9797357999999998</v>
      </c>
      <c r="I30" s="842">
        <v>3.8250740299999997</v>
      </c>
      <c r="J30" s="842">
        <v>4.8384773399999998</v>
      </c>
      <c r="K30" s="842">
        <v>4.2258094699999997</v>
      </c>
      <c r="L30" s="842">
        <v>4.0564604900000001</v>
      </c>
      <c r="M30" s="843">
        <v>4.3645521699999996</v>
      </c>
      <c r="N30" s="843">
        <v>3.4751196499999999</v>
      </c>
      <c r="O30" s="843">
        <v>5.5377424699999995</v>
      </c>
      <c r="P30" s="843">
        <v>7.65817149</v>
      </c>
      <c r="Q30" s="843">
        <v>9.6514377100000015</v>
      </c>
      <c r="R30" s="843">
        <v>12.451997039999998</v>
      </c>
      <c r="S30" s="843">
        <v>13.90583097</v>
      </c>
      <c r="T30" s="843">
        <v>12.78115509</v>
      </c>
      <c r="U30" s="843">
        <v>12.57961836</v>
      </c>
      <c r="V30" s="843">
        <v>12.971486430000001</v>
      </c>
      <c r="W30" s="843">
        <v>14.355452439999999</v>
      </c>
      <c r="X30" s="843">
        <v>17.71668773</v>
      </c>
      <c r="Y30" s="843">
        <v>16.54369432</v>
      </c>
      <c r="Z30" s="843">
        <v>17.24451131</v>
      </c>
      <c r="AA30" s="843">
        <v>11.537160929999999</v>
      </c>
      <c r="AB30" s="843">
        <v>25.758821949999998</v>
      </c>
      <c r="AC30" s="843">
        <v>32.488919979999999</v>
      </c>
      <c r="AD30" s="843">
        <v>40.594764740000002</v>
      </c>
      <c r="AE30" s="843">
        <v>39.600233450000005</v>
      </c>
      <c r="AF30" s="843">
        <v>34.142628600000002</v>
      </c>
      <c r="AG30" s="843">
        <v>33.905948619999997</v>
      </c>
      <c r="AH30" s="843">
        <v>36.958805950000006</v>
      </c>
      <c r="AI30" s="843">
        <v>27.339194859999999</v>
      </c>
      <c r="AJ30" s="843">
        <v>27.248353309999999</v>
      </c>
      <c r="AK30" s="843">
        <v>25.360703530000002</v>
      </c>
      <c r="AL30" s="843">
        <v>24.981416109999998</v>
      </c>
      <c r="AM30" s="843">
        <v>23.385746960000002</v>
      </c>
      <c r="AN30" s="843">
        <v>33.070161820000003</v>
      </c>
      <c r="AO30" s="843">
        <v>29.233504249999999</v>
      </c>
      <c r="AP30" s="843">
        <v>27.491419029999999</v>
      </c>
      <c r="AQ30" s="843">
        <v>28.093825450000001</v>
      </c>
      <c r="AR30" s="843">
        <v>27.179712089999999</v>
      </c>
      <c r="AS30" s="843">
        <v>37.389720619999999</v>
      </c>
      <c r="AT30" s="843">
        <v>41.26929715</v>
      </c>
      <c r="AU30" s="843">
        <v>38.667152170000001</v>
      </c>
      <c r="AV30" s="843">
        <v>38.577371110000001</v>
      </c>
      <c r="AW30" s="843">
        <v>27.73662848</v>
      </c>
      <c r="AX30" s="843">
        <v>28.057330820000001</v>
      </c>
      <c r="AY30" s="843">
        <v>27.97651106</v>
      </c>
      <c r="AZ30" s="843">
        <v>27.895338489999997</v>
      </c>
      <c r="BA30" s="843">
        <v>27.81373537</v>
      </c>
      <c r="BB30" s="843">
        <v>19.95235263</v>
      </c>
      <c r="BC30" s="843">
        <v>22.868232589999998</v>
      </c>
      <c r="BD30" s="843">
        <v>24.784832480000002</v>
      </c>
      <c r="BE30" s="843">
        <v>31.699084370000001</v>
      </c>
      <c r="BF30" s="843">
        <v>29.29493166</v>
      </c>
      <c r="BG30" s="843">
        <v>29.637500579999998</v>
      </c>
      <c r="BH30" s="886">
        <v>28.44717769</v>
      </c>
      <c r="BI30" s="875">
        <v>26.360021920000001</v>
      </c>
      <c r="BJ30" s="875">
        <v>26.27198125</v>
      </c>
      <c r="BK30" s="875">
        <v>28.183458719999997</v>
      </c>
      <c r="BL30" s="875">
        <v>19.102615950000001</v>
      </c>
      <c r="BM30" s="875">
        <v>24.019858460000002</v>
      </c>
      <c r="BN30" s="875">
        <v>112.72998847999999</v>
      </c>
      <c r="BO30" s="875">
        <v>23.254532820000001</v>
      </c>
      <c r="BP30" s="875">
        <v>25.12911823</v>
      </c>
      <c r="BQ30" s="875">
        <v>23.855006399999997</v>
      </c>
      <c r="BR30" s="875">
        <v>23.395638440000003</v>
      </c>
      <c r="BS30" s="875">
        <v>23.194389409999999</v>
      </c>
      <c r="BT30" s="875">
        <v>22.990495469999999</v>
      </c>
      <c r="BU30" s="875">
        <v>24.175783930000001</v>
      </c>
      <c r="BV30" s="875">
        <v>25.942002800000001</v>
      </c>
      <c r="BW30" s="875">
        <v>25.730733749999999</v>
      </c>
      <c r="BX30" s="875">
        <v>25.51694655</v>
      </c>
      <c r="BY30" s="875">
        <v>20.300611190000001</v>
      </c>
      <c r="BZ30" s="875">
        <v>20.081696699999998</v>
      </c>
      <c r="CA30" s="875">
        <v>19.928878609999998</v>
      </c>
      <c r="CB30" s="875">
        <v>17.746982760000002</v>
      </c>
      <c r="CC30" s="875">
        <v>17.590229570000002</v>
      </c>
      <c r="CD30" s="875">
        <v>17.43142164</v>
      </c>
      <c r="CE30" s="875">
        <v>25.270582109999999</v>
      </c>
      <c r="CF30" s="875">
        <v>25.697835300000001</v>
      </c>
      <c r="CG30" s="875">
        <v>27.532905299999999</v>
      </c>
      <c r="CH30" s="875">
        <v>17.36594298</v>
      </c>
      <c r="CI30" s="875">
        <v>23.776717250000001</v>
      </c>
      <c r="CJ30" s="875">
        <v>32.635751219999996</v>
      </c>
      <c r="CK30" s="875">
        <v>32.493023289999996</v>
      </c>
      <c r="CL30" s="875">
        <v>31.22451126</v>
      </c>
      <c r="CM30" s="875">
        <v>32.202192629999999</v>
      </c>
      <c r="CN30" s="875">
        <v>30.054045200000001</v>
      </c>
      <c r="CO30" s="875">
        <v>26.294045870000001</v>
      </c>
      <c r="CP30" s="875">
        <v>26.12271647</v>
      </c>
      <c r="CQ30" s="875">
        <v>25.949245480000002</v>
      </c>
      <c r="CR30" s="875">
        <v>26.070623770000001</v>
      </c>
      <c r="CS30" s="875">
        <v>25.850357760000001</v>
      </c>
      <c r="CT30" s="875">
        <v>25.627868920000001</v>
      </c>
      <c r="CU30" s="875">
        <v>25.403129209999999</v>
      </c>
      <c r="CV30" s="875">
        <v>25.206110819999999</v>
      </c>
      <c r="CW30" s="875">
        <v>24.97577416</v>
      </c>
      <c r="CX30" s="875">
        <v>24.743051699999999</v>
      </c>
      <c r="CY30" s="875">
        <v>24.507962330000002</v>
      </c>
      <c r="CZ30" s="875">
        <v>24.312906269999999</v>
      </c>
      <c r="DA30" s="875">
        <v>24.289490659999998</v>
      </c>
      <c r="DB30" s="875">
        <v>24.457218210000001</v>
      </c>
      <c r="DC30" s="875">
        <v>24.43348722</v>
      </c>
      <c r="DD30" s="946">
        <v>24.40942952</v>
      </c>
      <c r="DE30" s="946">
        <v>24.585067080000002</v>
      </c>
      <c r="DF30" s="946">
        <v>24.580410390000001</v>
      </c>
      <c r="DG30" s="898">
        <v>24.59542712</v>
      </c>
      <c r="DH30" s="898">
        <v>24.594463439999998</v>
      </c>
      <c r="DI30" s="898">
        <v>24.587169620000001</v>
      </c>
      <c r="DJ30" s="898">
        <v>24.55976063</v>
      </c>
      <c r="DK30" s="898">
        <v>24.552293550000002</v>
      </c>
      <c r="DL30" s="898">
        <v>24.538782699999999</v>
      </c>
      <c r="DM30" s="898">
        <v>24.525401160000001</v>
      </c>
      <c r="DN30" s="898">
        <v>24.793331299999998</v>
      </c>
      <c r="DO30" s="898">
        <v>24.791833019999999</v>
      </c>
      <c r="DP30" s="898">
        <v>24.771171509999999</v>
      </c>
      <c r="DQ30" s="898">
        <v>24.756793099999999</v>
      </c>
      <c r="DR30" s="898">
        <v>24.754133020000001</v>
      </c>
      <c r="DS30" s="898">
        <v>24.733762670000001</v>
      </c>
      <c r="DT30" s="898">
        <v>24.712897689999998</v>
      </c>
      <c r="DU30" s="898">
        <v>24.691406019999999</v>
      </c>
      <c r="DV30" s="898">
        <v>24.669929740000001</v>
      </c>
      <c r="DW30" s="898">
        <v>24.691539349999999</v>
      </c>
      <c r="DX30" s="898">
        <v>24.65570958</v>
      </c>
      <c r="DY30" s="898">
        <v>24.63295544</v>
      </c>
      <c r="DZ30" s="898">
        <v>0.48463256999999998</v>
      </c>
      <c r="EA30" s="898">
        <v>0.46122268999999999</v>
      </c>
      <c r="EB30" s="898">
        <v>0.43769405</v>
      </c>
      <c r="EC30" s="898">
        <v>0.41342911999999998</v>
      </c>
      <c r="ED30" s="898">
        <v>0.38933377000000002</v>
      </c>
      <c r="EE30" s="898">
        <v>0.38553920000000003</v>
      </c>
      <c r="EF30" s="898">
        <v>0.36179096999999999</v>
      </c>
      <c r="EG30" s="898">
        <v>1.17257463</v>
      </c>
      <c r="EH30" s="898">
        <v>32.85512396</v>
      </c>
      <c r="EI30" s="898">
        <v>60.136569979999997</v>
      </c>
      <c r="EJ30" s="898">
        <v>59.990847109999997</v>
      </c>
      <c r="EK30" s="898">
        <v>59.92368518</v>
      </c>
      <c r="EL30" s="898">
        <v>59.866722639999999</v>
      </c>
      <c r="EM30" s="898">
        <v>59.83329002</v>
      </c>
      <c r="EN30" s="898">
        <v>68.618683680000004</v>
      </c>
      <c r="EO30" s="898">
        <v>68.559110820000001</v>
      </c>
      <c r="EP30" s="898">
        <v>80.581021399999997</v>
      </c>
      <c r="EQ30" s="898">
        <v>80.523039359999999</v>
      </c>
      <c r="ER30" s="898">
        <v>80.512234579999998</v>
      </c>
      <c r="ES30" s="898">
        <v>84.924192250000004</v>
      </c>
      <c r="ET30" s="898">
        <v>90.319655510000004</v>
      </c>
      <c r="EU30" s="1924" t="s">
        <v>4086</v>
      </c>
      <c r="EZ30" s="342"/>
    </row>
    <row r="31" spans="1:156" ht="21">
      <c r="A31" s="1953" t="s">
        <v>1975</v>
      </c>
      <c r="B31" s="839">
        <f>+B29-B30</f>
        <v>50.371628619999996</v>
      </c>
      <c r="C31" s="839">
        <f t="shared" ref="C31:V31" si="10">+C29-C30</f>
        <v>66.007390630000003</v>
      </c>
      <c r="D31" s="839">
        <f t="shared" si="10"/>
        <v>65.982324489999996</v>
      </c>
      <c r="E31" s="839">
        <f t="shared" si="10"/>
        <v>66.021284860000009</v>
      </c>
      <c r="F31" s="839">
        <f t="shared" si="10"/>
        <v>65.414694439999991</v>
      </c>
      <c r="G31" s="839">
        <f t="shared" si="10"/>
        <v>72.832404670000003</v>
      </c>
      <c r="H31" s="839">
        <f t="shared" si="10"/>
        <v>72.278078040000011</v>
      </c>
      <c r="I31" s="839">
        <f t="shared" si="10"/>
        <v>65.323225789999995</v>
      </c>
      <c r="J31" s="839">
        <f t="shared" si="10"/>
        <v>91.283834519999999</v>
      </c>
      <c r="K31" s="839">
        <f t="shared" si="10"/>
        <v>87.566096209999998</v>
      </c>
      <c r="L31" s="839">
        <f t="shared" si="10"/>
        <v>86.64259509</v>
      </c>
      <c r="M31" s="843">
        <f t="shared" si="10"/>
        <v>86.656367729999999</v>
      </c>
      <c r="N31" s="840">
        <f t="shared" si="10"/>
        <v>85.5579599</v>
      </c>
      <c r="O31" s="840">
        <f t="shared" si="10"/>
        <v>86.476474609999997</v>
      </c>
      <c r="P31" s="840">
        <f t="shared" si="10"/>
        <v>84.090121799999991</v>
      </c>
      <c r="Q31" s="840">
        <f t="shared" si="10"/>
        <v>81.136084699999998</v>
      </c>
      <c r="R31" s="840">
        <f t="shared" si="10"/>
        <v>104.12182276</v>
      </c>
      <c r="S31" s="840">
        <f t="shared" si="10"/>
        <v>102.57515178</v>
      </c>
      <c r="T31" s="840">
        <f t="shared" si="10"/>
        <v>99.823901219999996</v>
      </c>
      <c r="U31" s="840">
        <f t="shared" si="10"/>
        <v>98.658435730000008</v>
      </c>
      <c r="V31" s="840">
        <f t="shared" si="10"/>
        <v>116.22172712000003</v>
      </c>
      <c r="W31" s="840">
        <v>114.28369145000002</v>
      </c>
      <c r="X31" s="840">
        <v>112.23905212999999</v>
      </c>
      <c r="Y31" s="843">
        <v>108.84497233</v>
      </c>
      <c r="Z31" s="840">
        <v>102.78710440999998</v>
      </c>
      <c r="AA31" s="840">
        <v>98.936786830000003</v>
      </c>
      <c r="AB31" s="843">
        <f>+AB29-AB30</f>
        <v>100.83104229999999</v>
      </c>
      <c r="AC31" s="843">
        <v>102.69368756</v>
      </c>
      <c r="AD31" s="843">
        <v>100.72650648999998</v>
      </c>
      <c r="AE31" s="843">
        <v>99.662151189999989</v>
      </c>
      <c r="AF31" s="843">
        <v>105.49015834000002</v>
      </c>
      <c r="AG31" s="843">
        <v>105.60529273999998</v>
      </c>
      <c r="AH31" s="843">
        <f>+AH29-AH30</f>
        <v>118.17021824</v>
      </c>
      <c r="AI31" s="843">
        <v>137.37426416999998</v>
      </c>
      <c r="AJ31" s="843">
        <f>+AJ29-AJ30</f>
        <v>134.98230262000001</v>
      </c>
      <c r="AK31" s="843">
        <f>+AK29-AK30</f>
        <v>130.71241097000001</v>
      </c>
      <c r="AL31" s="843">
        <v>132.30635588999999</v>
      </c>
      <c r="AM31" s="843">
        <f>+AM29-AM30</f>
        <v>130.82743179000002</v>
      </c>
      <c r="AN31" s="843">
        <f>+AN29-AN30</f>
        <v>122.04246856999998</v>
      </c>
      <c r="AO31" s="843">
        <f>+AO29-AO30</f>
        <v>120.64713881000002</v>
      </c>
      <c r="AP31" s="843">
        <f>+AP29-AP30</f>
        <v>122.33111034999999</v>
      </c>
      <c r="AQ31" s="843">
        <v>122.03815695</v>
      </c>
      <c r="AR31" s="843">
        <f>+AR29-AR30</f>
        <v>96.182669599999997</v>
      </c>
      <c r="AS31" s="843">
        <v>98.986752810000013</v>
      </c>
      <c r="AT31" s="843">
        <f>+AT29-AT30</f>
        <v>97.388546329999997</v>
      </c>
      <c r="AU31" s="843">
        <v>103.89110178999999</v>
      </c>
      <c r="AV31" s="843">
        <v>102.68727677999999</v>
      </c>
      <c r="AW31" s="843">
        <v>102.26362822999999</v>
      </c>
      <c r="AX31" s="843">
        <v>101.77308091999998</v>
      </c>
      <c r="AY31" s="843">
        <v>100.85127789999999</v>
      </c>
      <c r="AZ31" s="843">
        <v>99.757711849999993</v>
      </c>
      <c r="BA31" s="843">
        <v>95.653406400000009</v>
      </c>
      <c r="BB31" s="843">
        <v>94.391139089999996</v>
      </c>
      <c r="BC31" s="843">
        <v>93.514739200000008</v>
      </c>
      <c r="BD31" s="843">
        <f>+BD29-BD30</f>
        <v>93.260977629999999</v>
      </c>
      <c r="BE31" s="843">
        <v>94.003012569999981</v>
      </c>
      <c r="BF31" s="843">
        <v>93.435806659999997</v>
      </c>
      <c r="BG31" s="843">
        <v>93.351435519999995</v>
      </c>
      <c r="BH31" s="886">
        <v>92.296298120000003</v>
      </c>
      <c r="BI31" s="875">
        <v>91.963881389999983</v>
      </c>
      <c r="BJ31" s="875">
        <v>93.842170209999992</v>
      </c>
      <c r="BK31" s="875">
        <v>90.607938819999987</v>
      </c>
      <c r="BL31" s="875">
        <v>89.975066470000002</v>
      </c>
      <c r="BM31" s="875">
        <v>89.229732640000009</v>
      </c>
      <c r="BN31" s="875">
        <v>0</v>
      </c>
      <c r="BO31" s="875">
        <v>88.417466719999993</v>
      </c>
      <c r="BP31" s="875">
        <v>87.974362540000001</v>
      </c>
      <c r="BQ31" s="875">
        <v>87.834041510000006</v>
      </c>
      <c r="BR31" s="875">
        <v>99.016037109999999</v>
      </c>
      <c r="BS31" s="875">
        <v>97.542368150000001</v>
      </c>
      <c r="BT31" s="875">
        <v>91.35528115999999</v>
      </c>
      <c r="BU31" s="875">
        <v>117.18371060000001</v>
      </c>
      <c r="BV31" s="875">
        <v>118.11118291000001</v>
      </c>
      <c r="BW31" s="875">
        <v>121.76236009999998</v>
      </c>
      <c r="BX31" s="875">
        <v>130.71797838000001</v>
      </c>
      <c r="BY31" s="875">
        <v>139.40222096000002</v>
      </c>
      <c r="BZ31" s="875">
        <v>142.05395337000002</v>
      </c>
      <c r="CA31" s="875">
        <v>143.75946677000002</v>
      </c>
      <c r="CB31" s="875">
        <v>146.42344161000003</v>
      </c>
      <c r="CC31" s="875">
        <v>158.94849984999999</v>
      </c>
      <c r="CD31" s="875">
        <v>167.21781597999998</v>
      </c>
      <c r="CE31" s="875">
        <f t="shared" ref="CE31:CP31" si="11">+CE29-CE30</f>
        <v>167.30027211000001</v>
      </c>
      <c r="CF31" s="875">
        <f t="shared" si="11"/>
        <v>185.18496772</v>
      </c>
      <c r="CG31" s="875">
        <f t="shared" si="11"/>
        <v>182.39414496999999</v>
      </c>
      <c r="CH31" s="875">
        <f t="shared" si="11"/>
        <v>186.04630288999999</v>
      </c>
      <c r="CI31" s="875">
        <f t="shared" si="11"/>
        <v>185.03277811000001</v>
      </c>
      <c r="CJ31" s="875">
        <f t="shared" si="11"/>
        <v>178.78954037</v>
      </c>
      <c r="CK31" s="875">
        <f t="shared" si="11"/>
        <v>178.36358196</v>
      </c>
      <c r="CL31" s="875">
        <f t="shared" si="11"/>
        <v>162.81282512000001</v>
      </c>
      <c r="CM31" s="875">
        <f t="shared" si="11"/>
        <v>162.65931375999997</v>
      </c>
      <c r="CN31" s="875">
        <f t="shared" si="11"/>
        <v>161.96343227</v>
      </c>
      <c r="CO31" s="875">
        <f t="shared" si="11"/>
        <v>170.34505362000002</v>
      </c>
      <c r="CP31" s="875">
        <f t="shared" si="11"/>
        <v>180.59498603</v>
      </c>
      <c r="CQ31" s="875">
        <f>+CQ29-CQ30</f>
        <v>197.90046796999999</v>
      </c>
      <c r="CR31" s="875">
        <f>+CR29-CR30</f>
        <v>201.62751721000001</v>
      </c>
      <c r="CS31" s="875">
        <v>213.97591331000001</v>
      </c>
      <c r="CT31" s="875">
        <v>212.30179251999999</v>
      </c>
      <c r="CU31" s="875">
        <v>211.49686672999999</v>
      </c>
      <c r="CV31" s="875">
        <v>206.73200718000001</v>
      </c>
      <c r="CW31" s="875">
        <v>197.85457052999999</v>
      </c>
      <c r="CX31" s="875">
        <v>180.88475700999999</v>
      </c>
      <c r="CY31" s="875">
        <v>159.67259702999999</v>
      </c>
      <c r="CZ31" s="875">
        <v>106.82674946</v>
      </c>
      <c r="DA31" s="875">
        <v>106.50026946</v>
      </c>
      <c r="DB31" s="875">
        <v>109.53305272</v>
      </c>
      <c r="DC31" s="875">
        <v>105.71392303</v>
      </c>
      <c r="DD31" s="946">
        <v>112.03019854</v>
      </c>
      <c r="DE31" s="946">
        <v>114.10472367</v>
      </c>
      <c r="DF31" s="946">
        <v>112.66797363000001</v>
      </c>
      <c r="DG31" s="898">
        <v>110.08870367999999</v>
      </c>
      <c r="DH31" s="898">
        <v>106.42962122</v>
      </c>
      <c r="DI31" s="898">
        <v>116.15453984</v>
      </c>
      <c r="DJ31" s="898">
        <v>125.05323426</v>
      </c>
      <c r="DK31" s="898">
        <v>120.17246007999999</v>
      </c>
      <c r="DL31" s="898">
        <v>121.85068844</v>
      </c>
      <c r="DM31" s="898">
        <v>120.59677391</v>
      </c>
      <c r="DN31" s="898">
        <v>146.637247</v>
      </c>
      <c r="DO31" s="898">
        <v>153.8738213</v>
      </c>
      <c r="DP31" s="898">
        <v>216.90634861999999</v>
      </c>
      <c r="DQ31" s="898">
        <v>248.45503357000001</v>
      </c>
      <c r="DR31" s="898">
        <v>246.67540682000001</v>
      </c>
      <c r="DS31" s="898">
        <v>240.78971859000001</v>
      </c>
      <c r="DT31" s="898">
        <v>233.57199453999999</v>
      </c>
      <c r="DU31" s="898">
        <v>245.83879249</v>
      </c>
      <c r="DV31" s="898">
        <v>289.14752854</v>
      </c>
      <c r="DW31" s="898">
        <v>315.82224532999999</v>
      </c>
      <c r="DX31" s="898">
        <v>309.36391662</v>
      </c>
      <c r="DY31" s="898">
        <v>327.54754524999998</v>
      </c>
      <c r="DZ31" s="898">
        <v>335.05305099999998</v>
      </c>
      <c r="EA31" s="898">
        <v>342.79091113999999</v>
      </c>
      <c r="EB31" s="898">
        <v>334.92793491999998</v>
      </c>
      <c r="EC31" s="898">
        <v>405.22264537000001</v>
      </c>
      <c r="ED31" s="898">
        <v>380.55583935999999</v>
      </c>
      <c r="EE31" s="898">
        <v>441.03910123000003</v>
      </c>
      <c r="EF31" s="898">
        <v>432.86463182</v>
      </c>
      <c r="EG31" s="898">
        <v>465.89406165999998</v>
      </c>
      <c r="EH31" s="898">
        <v>536.92924043000005</v>
      </c>
      <c r="EI31" s="898">
        <v>573.58322167999995</v>
      </c>
      <c r="EJ31" s="898">
        <v>570.93379402999994</v>
      </c>
      <c r="EK31" s="898">
        <v>578.50012147999996</v>
      </c>
      <c r="EL31" s="898">
        <v>582.88900252999997</v>
      </c>
      <c r="EM31" s="898">
        <v>580.13421331999996</v>
      </c>
      <c r="EN31" s="898">
        <v>586.85925898999994</v>
      </c>
      <c r="EO31" s="898">
        <v>629.09900367</v>
      </c>
      <c r="EP31" s="898">
        <v>625.36380496000004</v>
      </c>
      <c r="EQ31" s="898">
        <v>690.11341101000005</v>
      </c>
      <c r="ER31" s="898">
        <v>709.13814618000004</v>
      </c>
      <c r="ES31" s="898">
        <v>737.12872259000005</v>
      </c>
      <c r="ET31" s="898">
        <v>740.21694405000005</v>
      </c>
      <c r="EU31" s="1924" t="s">
        <v>4085</v>
      </c>
      <c r="EZ31" s="342"/>
    </row>
    <row r="32" spans="1:156" ht="21">
      <c r="A32" s="1954"/>
      <c r="B32" s="842"/>
      <c r="C32" s="842"/>
      <c r="D32" s="842"/>
      <c r="E32" s="842"/>
      <c r="F32" s="842"/>
      <c r="G32" s="842"/>
      <c r="H32" s="842"/>
      <c r="I32" s="842"/>
      <c r="J32" s="842"/>
      <c r="K32" s="842"/>
      <c r="L32" s="842"/>
      <c r="M32" s="843"/>
      <c r="N32" s="843"/>
      <c r="O32" s="843"/>
      <c r="P32" s="843"/>
      <c r="Q32" s="843"/>
      <c r="R32" s="843"/>
      <c r="S32" s="843"/>
      <c r="T32" s="843"/>
      <c r="U32" s="843"/>
      <c r="V32" s="843"/>
      <c r="W32" s="843"/>
      <c r="X32" s="843"/>
      <c r="Y32" s="843"/>
      <c r="Z32" s="843"/>
      <c r="AA32" s="843"/>
      <c r="AB32" s="843"/>
      <c r="AC32" s="843"/>
      <c r="AD32" s="843"/>
      <c r="AE32" s="843"/>
      <c r="AF32" s="843"/>
      <c r="AG32" s="843"/>
      <c r="AH32" s="843"/>
      <c r="AI32" s="843"/>
      <c r="AJ32" s="843"/>
      <c r="AK32" s="843"/>
      <c r="AL32" s="843"/>
      <c r="AM32" s="843"/>
      <c r="AN32" s="843"/>
      <c r="AO32" s="843"/>
      <c r="AP32" s="843"/>
      <c r="AQ32" s="843"/>
      <c r="AR32" s="843"/>
      <c r="AS32" s="843"/>
      <c r="AT32" s="843"/>
      <c r="AU32" s="843"/>
      <c r="AV32" s="843"/>
      <c r="AW32" s="843"/>
      <c r="AX32" s="843"/>
      <c r="AY32" s="843"/>
      <c r="AZ32" s="843"/>
      <c r="BA32" s="843"/>
      <c r="BB32" s="843"/>
      <c r="BC32" s="843"/>
      <c r="BD32" s="843"/>
      <c r="BE32" s="843"/>
      <c r="BF32" s="843"/>
      <c r="BG32" s="843"/>
      <c r="BH32" s="886"/>
      <c r="BI32" s="875"/>
      <c r="BJ32" s="875"/>
      <c r="BK32" s="875"/>
      <c r="BL32" s="875"/>
      <c r="BM32" s="875"/>
      <c r="BN32" s="875"/>
      <c r="BO32" s="875"/>
      <c r="BP32" s="875"/>
      <c r="BQ32" s="875"/>
      <c r="BR32" s="875"/>
      <c r="BS32" s="875"/>
      <c r="BT32" s="875"/>
      <c r="BU32" s="875"/>
      <c r="BV32" s="875"/>
      <c r="BW32" s="875"/>
      <c r="BX32" s="875"/>
      <c r="BY32" s="875"/>
      <c r="BZ32" s="875"/>
      <c r="CA32" s="875"/>
      <c r="CB32" s="875"/>
      <c r="CC32" s="875"/>
      <c r="CD32" s="875"/>
      <c r="CE32" s="875"/>
      <c r="CF32" s="875"/>
      <c r="CG32" s="875"/>
      <c r="CH32" s="875"/>
      <c r="CI32" s="875"/>
      <c r="CJ32" s="875"/>
      <c r="CK32" s="875"/>
      <c r="CL32" s="875"/>
      <c r="CM32" s="875"/>
      <c r="CN32" s="875"/>
      <c r="CO32" s="875"/>
      <c r="CP32" s="875"/>
      <c r="CQ32" s="875"/>
      <c r="CR32" s="875"/>
      <c r="CS32" s="875"/>
      <c r="CT32" s="875"/>
      <c r="CU32" s="875"/>
      <c r="CV32" s="875"/>
      <c r="CW32" s="875"/>
      <c r="CX32" s="875"/>
      <c r="CY32" s="875"/>
      <c r="CZ32" s="875"/>
      <c r="DA32" s="875"/>
      <c r="DB32" s="875"/>
      <c r="DC32" s="875"/>
      <c r="DD32" s="946"/>
      <c r="DE32" s="946"/>
      <c r="DF32" s="946"/>
      <c r="DG32" s="898"/>
      <c r="DH32" s="898"/>
      <c r="DI32" s="898"/>
      <c r="DJ32" s="898"/>
      <c r="DK32" s="898"/>
      <c r="DL32" s="898"/>
      <c r="DM32" s="898"/>
      <c r="DN32" s="898"/>
      <c r="DO32" s="898"/>
      <c r="DP32" s="898"/>
      <c r="DQ32" s="898"/>
      <c r="DR32" s="898"/>
      <c r="DS32" s="898"/>
      <c r="DT32" s="898"/>
      <c r="DU32" s="898"/>
      <c r="DV32" s="898"/>
      <c r="DW32" s="898"/>
      <c r="DX32" s="898"/>
      <c r="DY32" s="898"/>
      <c r="DZ32" s="898"/>
      <c r="EA32" s="898"/>
      <c r="EB32" s="898"/>
      <c r="EC32" s="898"/>
      <c r="ED32" s="898"/>
      <c r="EE32" s="898"/>
      <c r="EF32" s="898"/>
      <c r="EG32" s="898"/>
      <c r="EH32" s="898"/>
      <c r="EI32" s="898"/>
      <c r="EJ32" s="898"/>
      <c r="EK32" s="898"/>
      <c r="EL32" s="898"/>
      <c r="EM32" s="898"/>
      <c r="EN32" s="898"/>
      <c r="EO32" s="898"/>
      <c r="EP32" s="898"/>
      <c r="EQ32" s="898"/>
      <c r="ER32" s="898"/>
      <c r="ES32" s="898"/>
      <c r="ET32" s="898"/>
      <c r="EU32" s="1923"/>
      <c r="EZ32" s="342"/>
    </row>
    <row r="33" spans="1:156" ht="21">
      <c r="A33" s="1952" t="s">
        <v>2757</v>
      </c>
      <c r="B33" s="839">
        <v>212.89171227999998</v>
      </c>
      <c r="C33" s="839">
        <v>212.64714071000003</v>
      </c>
      <c r="D33" s="839">
        <v>214.11740411999997</v>
      </c>
      <c r="E33" s="839">
        <v>215.04711354</v>
      </c>
      <c r="F33" s="839">
        <v>213.48353865000001</v>
      </c>
      <c r="G33" s="839">
        <v>213.25837068000001</v>
      </c>
      <c r="H33" s="839">
        <v>229.56314329000003</v>
      </c>
      <c r="I33" s="839">
        <v>233.24358797999997</v>
      </c>
      <c r="J33" s="839">
        <v>236.55633563000001</v>
      </c>
      <c r="K33" s="839">
        <v>236.81691731999999</v>
      </c>
      <c r="L33" s="839">
        <v>236.13224781</v>
      </c>
      <c r="M33" s="840">
        <v>248.60119818999999</v>
      </c>
      <c r="N33" s="840">
        <v>247.16537154999997</v>
      </c>
      <c r="O33" s="840">
        <v>249.59598750000001</v>
      </c>
      <c r="P33" s="840">
        <v>247.00714307999999</v>
      </c>
      <c r="Q33" s="840">
        <v>246.51106529999998</v>
      </c>
      <c r="R33" s="840">
        <v>222.38685803999999</v>
      </c>
      <c r="S33" s="840">
        <v>223.17128008</v>
      </c>
      <c r="T33" s="840">
        <v>221.93027872000002</v>
      </c>
      <c r="U33" s="840">
        <v>222.20840808</v>
      </c>
      <c r="V33" s="840">
        <v>267.97772313000002</v>
      </c>
      <c r="W33" s="840">
        <v>267.22694762000003</v>
      </c>
      <c r="X33" s="840">
        <v>267.49729006000001</v>
      </c>
      <c r="Y33" s="840">
        <v>281.64295177000002</v>
      </c>
      <c r="Z33" s="840">
        <v>284.06854213000003</v>
      </c>
      <c r="AA33" s="840">
        <v>349.38716251</v>
      </c>
      <c r="AB33" s="840">
        <v>369.16999435999998</v>
      </c>
      <c r="AC33" s="840">
        <v>370.02510978999999</v>
      </c>
      <c r="AD33" s="840">
        <v>381.07553415999996</v>
      </c>
      <c r="AE33" s="840">
        <v>385.72698618999999</v>
      </c>
      <c r="AF33" s="840">
        <v>387.09599772000001</v>
      </c>
      <c r="AG33" s="840">
        <v>460.53936801999998</v>
      </c>
      <c r="AH33" s="840">
        <v>477.74692003000001</v>
      </c>
      <c r="AI33" s="840">
        <v>530.30643171999998</v>
      </c>
      <c r="AJ33" s="840">
        <v>515.28589406000003</v>
      </c>
      <c r="AK33" s="840">
        <v>764.39027587999999</v>
      </c>
      <c r="AL33" s="840">
        <v>782.36661773000003</v>
      </c>
      <c r="AM33" s="840">
        <v>831.84474587</v>
      </c>
      <c r="AN33" s="840">
        <v>831.39432714999998</v>
      </c>
      <c r="AO33" s="840">
        <v>836.2945302600001</v>
      </c>
      <c r="AP33" s="840">
        <v>824.57153529999994</v>
      </c>
      <c r="AQ33" s="840">
        <v>856.21879180999997</v>
      </c>
      <c r="AR33" s="840">
        <v>801.15226325000003</v>
      </c>
      <c r="AS33" s="840">
        <v>811.94190049999997</v>
      </c>
      <c r="AT33" s="840">
        <f>AT25-AT29</f>
        <v>812.85265461000006</v>
      </c>
      <c r="AU33" s="840">
        <v>819.75163871999985</v>
      </c>
      <c r="AV33" s="840">
        <v>863.98747855000011</v>
      </c>
      <c r="AW33" s="840">
        <v>885.42314198000008</v>
      </c>
      <c r="AX33" s="840">
        <v>951.82311486999993</v>
      </c>
      <c r="AY33" s="840">
        <v>859.13836694999998</v>
      </c>
      <c r="AZ33" s="840">
        <v>819.35604609000006</v>
      </c>
      <c r="BA33" s="840">
        <v>805.79850012999998</v>
      </c>
      <c r="BB33" s="840">
        <v>650.12364509999998</v>
      </c>
      <c r="BC33" s="840">
        <v>678.73300078</v>
      </c>
      <c r="BD33" s="840">
        <v>715.83087914999999</v>
      </c>
      <c r="BE33" s="840">
        <v>713.04224857999998</v>
      </c>
      <c r="BF33" s="840">
        <v>710.44158555000013</v>
      </c>
      <c r="BG33" s="840">
        <v>708.82310015999997</v>
      </c>
      <c r="BH33" s="885">
        <v>710.9383580199999</v>
      </c>
      <c r="BI33" s="874">
        <v>768.59750729999996</v>
      </c>
      <c r="BJ33" s="874">
        <v>771.80810642000006</v>
      </c>
      <c r="BK33" s="874">
        <v>640.61861648000013</v>
      </c>
      <c r="BL33" s="874">
        <v>603.41923038000004</v>
      </c>
      <c r="BM33" s="874">
        <v>686.39619032000007</v>
      </c>
      <c r="BN33" s="874">
        <v>683.06366406000006</v>
      </c>
      <c r="BO33" s="874">
        <v>758.21543514999996</v>
      </c>
      <c r="BP33" s="874">
        <v>760.07384024999999</v>
      </c>
      <c r="BQ33" s="874">
        <v>760.65840066999999</v>
      </c>
      <c r="BR33" s="874">
        <v>850.25394935999975</v>
      </c>
      <c r="BS33" s="874">
        <v>838.15371690999984</v>
      </c>
      <c r="BT33" s="874">
        <v>901.9989608599999</v>
      </c>
      <c r="BU33" s="874">
        <v>904.15108866999992</v>
      </c>
      <c r="BV33" s="874">
        <v>890.08354010999983</v>
      </c>
      <c r="BW33" s="874">
        <v>875.72385336000025</v>
      </c>
      <c r="BX33" s="874">
        <v>855.65423541999996</v>
      </c>
      <c r="BY33" s="874">
        <v>781.55560539999999</v>
      </c>
      <c r="BZ33" s="874">
        <v>795.27390275000005</v>
      </c>
      <c r="CA33" s="874">
        <v>840.62183725999978</v>
      </c>
      <c r="CB33" s="874">
        <v>824.86112428000024</v>
      </c>
      <c r="CC33" s="874">
        <v>808.25454138999999</v>
      </c>
      <c r="CD33" s="874">
        <v>698.51604538000004</v>
      </c>
      <c r="CE33" s="874">
        <v>684.3108804200001</v>
      </c>
      <c r="CF33" s="874">
        <v>711.10854792999999</v>
      </c>
      <c r="CG33" s="874">
        <v>778.34466158999999</v>
      </c>
      <c r="CH33" s="874">
        <v>769.44872442999997</v>
      </c>
      <c r="CI33" s="874">
        <v>759.92220078999992</v>
      </c>
      <c r="CJ33" s="874">
        <v>754.9169876200001</v>
      </c>
      <c r="CK33" s="874">
        <v>690.53347557999996</v>
      </c>
      <c r="CL33" s="874">
        <v>607.26179989999991</v>
      </c>
      <c r="CM33" s="874">
        <v>564.89077235000002</v>
      </c>
      <c r="CN33" s="874">
        <v>565.7444770699999</v>
      </c>
      <c r="CO33" s="874">
        <v>546.30309978000003</v>
      </c>
      <c r="CP33" s="874">
        <v>529.44992890999993</v>
      </c>
      <c r="CQ33" s="874">
        <v>492.56102851999998</v>
      </c>
      <c r="CR33" s="874">
        <v>470.43318638999995</v>
      </c>
      <c r="CS33" s="874">
        <v>457.89501791999999</v>
      </c>
      <c r="CT33" s="874">
        <v>452.57781112999999</v>
      </c>
      <c r="CU33" s="874">
        <v>487.93808202999998</v>
      </c>
      <c r="CV33" s="874">
        <v>486.30827166</v>
      </c>
      <c r="CW33" s="874">
        <v>510.94734154000002</v>
      </c>
      <c r="CX33" s="874">
        <v>508.31543174000001</v>
      </c>
      <c r="CY33" s="874">
        <v>520.66348257000004</v>
      </c>
      <c r="CZ33" s="874">
        <v>510.79940757000003</v>
      </c>
      <c r="DA33" s="874">
        <v>503.53949589000001</v>
      </c>
      <c r="DB33" s="874">
        <v>502.98153617999998</v>
      </c>
      <c r="DC33" s="874">
        <v>501.75928626000001</v>
      </c>
      <c r="DD33" s="945">
        <v>484.31524658000001</v>
      </c>
      <c r="DE33" s="945">
        <v>480.70757036999998</v>
      </c>
      <c r="DF33" s="945">
        <v>498.03170886999999</v>
      </c>
      <c r="DG33" s="897">
        <v>493.5557192</v>
      </c>
      <c r="DH33" s="897">
        <v>500.91700245999999</v>
      </c>
      <c r="DI33" s="897">
        <v>492.04793394000001</v>
      </c>
      <c r="DJ33" s="897">
        <v>483.72988765000002</v>
      </c>
      <c r="DK33" s="897">
        <v>481.96876938999998</v>
      </c>
      <c r="DL33" s="897">
        <v>477.50350625999999</v>
      </c>
      <c r="DM33" s="897">
        <v>474.75834498</v>
      </c>
      <c r="DN33" s="897">
        <v>475.38482490000001</v>
      </c>
      <c r="DO33" s="897">
        <v>472.47733842999997</v>
      </c>
      <c r="DP33" s="897">
        <v>403.62620698000001</v>
      </c>
      <c r="DQ33" s="897">
        <v>382.10950130999998</v>
      </c>
      <c r="DR33" s="897">
        <v>379.08769992999999</v>
      </c>
      <c r="DS33" s="897">
        <v>382.44248845999999</v>
      </c>
      <c r="DT33" s="897">
        <v>418.61249709999998</v>
      </c>
      <c r="DU33" s="897">
        <v>418.09273772</v>
      </c>
      <c r="DV33" s="897">
        <v>416.2728189</v>
      </c>
      <c r="DW33" s="897">
        <v>584.26672356999995</v>
      </c>
      <c r="DX33" s="897">
        <v>578.236358</v>
      </c>
      <c r="DY33" s="897">
        <v>573.53079100000002</v>
      </c>
      <c r="DZ33" s="897">
        <v>603.99173496000003</v>
      </c>
      <c r="EA33" s="897">
        <v>826.04962197999998</v>
      </c>
      <c r="EB33" s="897">
        <v>825.29531951000001</v>
      </c>
      <c r="EC33" s="897">
        <v>829.96562782000001</v>
      </c>
      <c r="ED33" s="897">
        <v>830.81425308999997</v>
      </c>
      <c r="EE33" s="897">
        <v>836.92263582999999</v>
      </c>
      <c r="EF33" s="897">
        <v>829.52376977999995</v>
      </c>
      <c r="EG33" s="897">
        <v>819.83460656</v>
      </c>
      <c r="EH33" s="897">
        <v>826.72935372999996</v>
      </c>
      <c r="EI33" s="897">
        <v>839.80497803000003</v>
      </c>
      <c r="EJ33" s="897">
        <v>833.18497248999995</v>
      </c>
      <c r="EK33" s="897">
        <v>822.61862680000002</v>
      </c>
      <c r="EL33" s="897">
        <v>857.06846639000003</v>
      </c>
      <c r="EM33" s="897">
        <v>940.93104627000002</v>
      </c>
      <c r="EN33" s="897">
        <v>932.71891491999997</v>
      </c>
      <c r="EO33" s="897">
        <v>916.13762360999999</v>
      </c>
      <c r="EP33" s="897">
        <v>897.83371133000003</v>
      </c>
      <c r="EQ33" s="897">
        <v>875.71281604000001</v>
      </c>
      <c r="ER33" s="897">
        <v>876.15780238000002</v>
      </c>
      <c r="ES33" s="897">
        <v>875.67483139000001</v>
      </c>
      <c r="ET33" s="897">
        <v>887.53124678999995</v>
      </c>
      <c r="EU33" s="1922" t="s">
        <v>4087</v>
      </c>
      <c r="EZ33" s="342"/>
    </row>
    <row r="34" spans="1:156" ht="21">
      <c r="A34" s="1953" t="s">
        <v>1974</v>
      </c>
      <c r="B34" s="842">
        <v>44.351076380000002</v>
      </c>
      <c r="C34" s="842">
        <v>44.98077498</v>
      </c>
      <c r="D34" s="842">
        <v>46.898669220000002</v>
      </c>
      <c r="E34" s="842">
        <v>47.406769969999999</v>
      </c>
      <c r="F34" s="842">
        <v>47.929301009999996</v>
      </c>
      <c r="G34" s="842">
        <v>57.831164450000003</v>
      </c>
      <c r="H34" s="842">
        <v>58.798633380000005</v>
      </c>
      <c r="I34" s="842">
        <v>61.928424579999998</v>
      </c>
      <c r="J34" s="842">
        <v>65.868037459999996</v>
      </c>
      <c r="K34" s="842">
        <v>65.868037459999996</v>
      </c>
      <c r="L34" s="842">
        <v>65.859641280000005</v>
      </c>
      <c r="M34" s="843">
        <v>69.583951939999992</v>
      </c>
      <c r="N34" s="843">
        <v>69.604394389999996</v>
      </c>
      <c r="O34" s="843">
        <v>69.794714089999999</v>
      </c>
      <c r="P34" s="843">
        <v>74.385422019999993</v>
      </c>
      <c r="Q34" s="843">
        <v>74.385422019999993</v>
      </c>
      <c r="R34" s="843">
        <v>75.963706329999994</v>
      </c>
      <c r="S34" s="843">
        <v>78.750486760000001</v>
      </c>
      <c r="T34" s="843">
        <v>78.740445900000012</v>
      </c>
      <c r="U34" s="843">
        <v>78.760527629999999</v>
      </c>
      <c r="V34" s="843">
        <v>83.990007900000009</v>
      </c>
      <c r="W34" s="843">
        <v>83.970638010000002</v>
      </c>
      <c r="X34" s="843">
        <v>84.434809069999986</v>
      </c>
      <c r="Y34" s="843">
        <v>86.788044370000009</v>
      </c>
      <c r="Z34" s="843">
        <v>86.788044370000009</v>
      </c>
      <c r="AA34" s="843">
        <v>114.13557231999999</v>
      </c>
      <c r="AB34" s="843">
        <v>113.99423470000001</v>
      </c>
      <c r="AC34" s="843">
        <v>114.01597895</v>
      </c>
      <c r="AD34" s="843">
        <v>129.83308381999998</v>
      </c>
      <c r="AE34" s="843">
        <v>385.72698618999999</v>
      </c>
      <c r="AF34" s="843">
        <v>129.24006750000001</v>
      </c>
      <c r="AG34" s="843">
        <v>205.17235396999999</v>
      </c>
      <c r="AH34" s="843">
        <v>202.43088143</v>
      </c>
      <c r="AI34" s="843">
        <v>255.33731578000001</v>
      </c>
      <c r="AJ34" s="843">
        <v>251.76914201</v>
      </c>
      <c r="AK34" s="843">
        <v>371.04246932999996</v>
      </c>
      <c r="AL34" s="843">
        <v>380.80116280999999</v>
      </c>
      <c r="AM34" s="843">
        <v>447.7599189</v>
      </c>
      <c r="AN34" s="843">
        <v>415.57689393999999</v>
      </c>
      <c r="AO34" s="843">
        <v>434.09647379</v>
      </c>
      <c r="AP34" s="843">
        <v>423.10458851999999</v>
      </c>
      <c r="AQ34" s="843">
        <v>436.9563958</v>
      </c>
      <c r="AR34" s="843">
        <v>447.44437574</v>
      </c>
      <c r="AS34" s="843">
        <v>449.80061606999999</v>
      </c>
      <c r="AT34" s="843">
        <f>AT26-AT30</f>
        <v>454.96574151999999</v>
      </c>
      <c r="AU34" s="843">
        <v>459.70583689</v>
      </c>
      <c r="AV34" s="843">
        <v>483.93744176000001</v>
      </c>
      <c r="AW34" s="843">
        <v>491.69259007000011</v>
      </c>
      <c r="AX34" s="843">
        <v>530.55565805000003</v>
      </c>
      <c r="AY34" s="843">
        <v>476.17355031</v>
      </c>
      <c r="AZ34" s="843">
        <v>460.88737323000004</v>
      </c>
      <c r="BA34" s="843">
        <v>454.64935580999997</v>
      </c>
      <c r="BB34" s="843">
        <v>300.97307435000005</v>
      </c>
      <c r="BC34" s="843">
        <v>243.71526799</v>
      </c>
      <c r="BD34" s="843">
        <v>348.23610764</v>
      </c>
      <c r="BE34" s="843">
        <v>347.29407342000002</v>
      </c>
      <c r="BF34" s="843">
        <v>346.19877923000001</v>
      </c>
      <c r="BG34" s="843">
        <v>344.1031086000001</v>
      </c>
      <c r="BH34" s="886">
        <v>342.64544057000001</v>
      </c>
      <c r="BI34" s="875">
        <v>372.35748639999997</v>
      </c>
      <c r="BJ34" s="875">
        <v>371.42042479000003</v>
      </c>
      <c r="BK34" s="875">
        <v>241.43456436</v>
      </c>
      <c r="BL34" s="875">
        <v>240.40026843999996</v>
      </c>
      <c r="BM34" s="875">
        <v>238.05498284000001</v>
      </c>
      <c r="BN34" s="875">
        <v>148.52572879000002</v>
      </c>
      <c r="BO34" s="875">
        <v>258.64108974999999</v>
      </c>
      <c r="BP34" s="875">
        <v>257.41073377000004</v>
      </c>
      <c r="BQ34" s="875">
        <v>256.71947738</v>
      </c>
      <c r="BR34" s="875">
        <v>256.01160199999998</v>
      </c>
      <c r="BS34" s="875">
        <v>257.77654971999999</v>
      </c>
      <c r="BT34" s="875">
        <v>333.35379406999999</v>
      </c>
      <c r="BU34" s="875">
        <v>348.98057759</v>
      </c>
      <c r="BV34" s="875">
        <v>347.94654300000002</v>
      </c>
      <c r="BW34" s="875">
        <v>348.83968499000002</v>
      </c>
      <c r="BX34" s="875">
        <v>348.44533944</v>
      </c>
      <c r="BY34" s="875">
        <v>298.11422826</v>
      </c>
      <c r="BZ34" s="875">
        <v>300.59009393000002</v>
      </c>
      <c r="CA34" s="875">
        <v>300.22459837999997</v>
      </c>
      <c r="CB34" s="875">
        <v>297.65051233999998</v>
      </c>
      <c r="CC34" s="875">
        <v>295.04521125000002</v>
      </c>
      <c r="CD34" s="875">
        <v>173.06518588999998</v>
      </c>
      <c r="CE34" s="875">
        <v>171.22635199000001</v>
      </c>
      <c r="CF34" s="875">
        <v>158.43023855000001</v>
      </c>
      <c r="CG34" s="875">
        <v>171.37368419000001</v>
      </c>
      <c r="CH34" s="875">
        <v>164.03081696999999</v>
      </c>
      <c r="CI34" s="875">
        <v>165.70191641</v>
      </c>
      <c r="CJ34" s="875">
        <v>163.45539134999999</v>
      </c>
      <c r="CK34" s="875">
        <v>159.91372412000001</v>
      </c>
      <c r="CL34" s="875">
        <v>102.17077334999999</v>
      </c>
      <c r="CM34" s="875">
        <v>86.181509469999995</v>
      </c>
      <c r="CN34" s="875">
        <v>86.1815</v>
      </c>
      <c r="CO34" s="875">
        <v>86.1815</v>
      </c>
      <c r="CP34" s="875">
        <v>84.529478170000004</v>
      </c>
      <c r="CQ34" s="875">
        <v>81.205169680000012</v>
      </c>
      <c r="CR34" s="875">
        <v>84.522327829999995</v>
      </c>
      <c r="CS34" s="875">
        <v>74.674199999999999</v>
      </c>
      <c r="CT34" s="875">
        <v>81.540099999999995</v>
      </c>
      <c r="CU34" s="875">
        <v>80.181191819999995</v>
      </c>
      <c r="CV34" s="875">
        <v>81.349869560000002</v>
      </c>
      <c r="CW34" s="875">
        <v>80.31529012</v>
      </c>
      <c r="CX34" s="875">
        <v>74.381061720000005</v>
      </c>
      <c r="CY34" s="875">
        <v>88.734720330000002</v>
      </c>
      <c r="CZ34" s="875">
        <v>87.303745239999998</v>
      </c>
      <c r="DA34" s="875">
        <v>85.861556239999999</v>
      </c>
      <c r="DB34" s="875">
        <v>84.391435180000002</v>
      </c>
      <c r="DC34" s="875">
        <v>83.003384109999999</v>
      </c>
      <c r="DD34" s="946">
        <v>71.903199999999998</v>
      </c>
      <c r="DE34" s="946">
        <v>71.903199999999998</v>
      </c>
      <c r="DF34" s="946">
        <v>71.903199999999998</v>
      </c>
      <c r="DG34" s="898">
        <v>71.903199999999998</v>
      </c>
      <c r="DH34" s="898">
        <v>71.903199999999998</v>
      </c>
      <c r="DI34" s="898">
        <v>71.903199999999998</v>
      </c>
      <c r="DJ34" s="898">
        <v>71.903199999999998</v>
      </c>
      <c r="DK34" s="898">
        <v>71.903199999999998</v>
      </c>
      <c r="DL34" s="898">
        <v>71.903199999999998</v>
      </c>
      <c r="DM34" s="898">
        <v>71.903199999999998</v>
      </c>
      <c r="DN34" s="898">
        <v>71.903199999999998</v>
      </c>
      <c r="DO34" s="898">
        <v>71.903199999999998</v>
      </c>
      <c r="DP34" s="898">
        <v>66.293199999999999</v>
      </c>
      <c r="DQ34" s="898">
        <v>27.2</v>
      </c>
      <c r="DR34" s="898">
        <v>27.2</v>
      </c>
      <c r="DS34" s="898">
        <v>27.2</v>
      </c>
      <c r="DT34" s="898">
        <v>27.2</v>
      </c>
      <c r="DU34" s="898">
        <v>27.2</v>
      </c>
      <c r="DV34" s="898">
        <v>27.2</v>
      </c>
      <c r="DW34" s="898">
        <v>27.2</v>
      </c>
      <c r="DX34" s="898">
        <v>27.2</v>
      </c>
      <c r="DY34" s="898">
        <v>27.2</v>
      </c>
      <c r="DZ34" s="898">
        <v>25.5</v>
      </c>
      <c r="EA34" s="898">
        <v>258.39999999999998</v>
      </c>
      <c r="EB34" s="898">
        <v>258.39999999999998</v>
      </c>
      <c r="EC34" s="898">
        <v>232.9</v>
      </c>
      <c r="ED34" s="898">
        <v>227.07749999999999</v>
      </c>
      <c r="EE34" s="898">
        <v>227.07749999999999</v>
      </c>
      <c r="EF34" s="898">
        <v>227.07749999999999</v>
      </c>
      <c r="EG34" s="898">
        <v>221.255</v>
      </c>
      <c r="EH34" s="898">
        <v>221.255</v>
      </c>
      <c r="EI34" s="898">
        <v>221.255</v>
      </c>
      <c r="EJ34" s="898">
        <v>215.4325</v>
      </c>
      <c r="EK34" s="898">
        <v>215.4325</v>
      </c>
      <c r="EL34" s="898">
        <v>262.52249999999998</v>
      </c>
      <c r="EM34" s="898">
        <v>334.9</v>
      </c>
      <c r="EN34" s="898">
        <v>334.9</v>
      </c>
      <c r="EO34" s="898">
        <v>334.9</v>
      </c>
      <c r="EP34" s="898">
        <v>329.07749999999999</v>
      </c>
      <c r="EQ34" s="898">
        <v>329.07749999999999</v>
      </c>
      <c r="ER34" s="898">
        <v>329.07749999999999</v>
      </c>
      <c r="ES34" s="898">
        <v>323.255</v>
      </c>
      <c r="ET34" s="898">
        <v>323.255</v>
      </c>
      <c r="EU34" s="1924" t="s">
        <v>4086</v>
      </c>
      <c r="EZ34" s="342"/>
    </row>
    <row r="35" spans="1:156" ht="21">
      <c r="A35" s="1955" t="s">
        <v>1975</v>
      </c>
      <c r="B35" s="867">
        <f>+B33-B34</f>
        <v>168.54063589999998</v>
      </c>
      <c r="C35" s="867">
        <f t="shared" ref="C35:V35" si="12">+C33-C34</f>
        <v>167.66636573000002</v>
      </c>
      <c r="D35" s="867">
        <f t="shared" si="12"/>
        <v>167.21873489999996</v>
      </c>
      <c r="E35" s="867">
        <f t="shared" si="12"/>
        <v>167.64034357</v>
      </c>
      <c r="F35" s="867">
        <f t="shared" si="12"/>
        <v>165.55423764000003</v>
      </c>
      <c r="G35" s="867">
        <f t="shared" si="12"/>
        <v>155.42720623000002</v>
      </c>
      <c r="H35" s="867">
        <f t="shared" si="12"/>
        <v>170.76450991000002</v>
      </c>
      <c r="I35" s="867">
        <f t="shared" si="12"/>
        <v>171.31516339999996</v>
      </c>
      <c r="J35" s="867">
        <f t="shared" si="12"/>
        <v>170.68829817</v>
      </c>
      <c r="K35" s="867">
        <f t="shared" si="12"/>
        <v>170.94887985999998</v>
      </c>
      <c r="L35" s="867">
        <f t="shared" si="12"/>
        <v>170.27260652999999</v>
      </c>
      <c r="M35" s="846">
        <f t="shared" si="12"/>
        <v>179.01724625</v>
      </c>
      <c r="N35" s="853">
        <f t="shared" si="12"/>
        <v>177.56097715999999</v>
      </c>
      <c r="O35" s="853">
        <f t="shared" si="12"/>
        <v>179.80127341000002</v>
      </c>
      <c r="P35" s="853">
        <f t="shared" si="12"/>
        <v>172.62172106</v>
      </c>
      <c r="Q35" s="853">
        <f t="shared" si="12"/>
        <v>172.12564327999999</v>
      </c>
      <c r="R35" s="853">
        <f t="shared" si="12"/>
        <v>146.42315171000001</v>
      </c>
      <c r="S35" s="853">
        <f t="shared" si="12"/>
        <v>144.42079332</v>
      </c>
      <c r="T35" s="853">
        <f t="shared" si="12"/>
        <v>143.18983281999999</v>
      </c>
      <c r="U35" s="853">
        <f t="shared" si="12"/>
        <v>143.44788045000001</v>
      </c>
      <c r="V35" s="853">
        <f t="shared" si="12"/>
        <v>183.98771522999999</v>
      </c>
      <c r="W35" s="853">
        <v>183.25630961000002</v>
      </c>
      <c r="X35" s="853">
        <v>183.06248099000004</v>
      </c>
      <c r="Y35" s="846">
        <v>194.8549074</v>
      </c>
      <c r="Z35" s="853">
        <v>197.28049776</v>
      </c>
      <c r="AA35" s="853">
        <v>235.25159019</v>
      </c>
      <c r="AB35" s="846">
        <f>+AB33-AB34</f>
        <v>255.17575965999998</v>
      </c>
      <c r="AC35" s="846">
        <v>256.00913084000001</v>
      </c>
      <c r="AD35" s="846">
        <v>251.24245033999998</v>
      </c>
      <c r="AE35" s="846">
        <v>0</v>
      </c>
      <c r="AF35" s="846">
        <v>257.85593022</v>
      </c>
      <c r="AG35" s="846">
        <v>255.36701404999999</v>
      </c>
      <c r="AH35" s="846">
        <f>+AH33-AH34</f>
        <v>275.31603860000001</v>
      </c>
      <c r="AI35" s="846">
        <v>274.96911593999994</v>
      </c>
      <c r="AJ35" s="846">
        <f>+AJ33-AJ34</f>
        <v>263.51675205000004</v>
      </c>
      <c r="AK35" s="846">
        <f>+AK33-AK34</f>
        <v>393.34780655000003</v>
      </c>
      <c r="AL35" s="846">
        <v>401.56545492000004</v>
      </c>
      <c r="AM35" s="846">
        <f>+AM33-AM34</f>
        <v>384.08482696999999</v>
      </c>
      <c r="AN35" s="846">
        <f>+AN33-AN34</f>
        <v>415.81743320999999</v>
      </c>
      <c r="AO35" s="846">
        <f>+AO33-AO34</f>
        <v>402.1980564700001</v>
      </c>
      <c r="AP35" s="846">
        <f>+AP33-AP34</f>
        <v>401.46694677999994</v>
      </c>
      <c r="AQ35" s="846">
        <v>419.26239600999997</v>
      </c>
      <c r="AR35" s="846">
        <f>+AR33-AR34</f>
        <v>353.70788751000003</v>
      </c>
      <c r="AS35" s="846">
        <v>362.14128442999998</v>
      </c>
      <c r="AT35" s="846">
        <f>AT27-AT31</f>
        <v>357.88691309000006</v>
      </c>
      <c r="AU35" s="846">
        <v>360.04580182999996</v>
      </c>
      <c r="AV35" s="846">
        <v>380.05003679000009</v>
      </c>
      <c r="AW35" s="846">
        <v>393.73055191000014</v>
      </c>
      <c r="AX35" s="846">
        <v>421.26745682000012</v>
      </c>
      <c r="AY35" s="846">
        <v>382.96481663999998</v>
      </c>
      <c r="AZ35" s="846">
        <v>358.46867286000003</v>
      </c>
      <c r="BA35" s="846">
        <v>351.14914432</v>
      </c>
      <c r="BB35" s="846">
        <v>349.15057074999993</v>
      </c>
      <c r="BC35" s="846">
        <v>435.01773278999997</v>
      </c>
      <c r="BD35" s="846">
        <f>+BD33-BD34</f>
        <v>367.59477150999999</v>
      </c>
      <c r="BE35" s="846">
        <v>365.74817515999996</v>
      </c>
      <c r="BF35" s="846">
        <v>364.24280632000011</v>
      </c>
      <c r="BG35" s="846">
        <v>364.71999155999987</v>
      </c>
      <c r="BH35" s="887">
        <v>368.29291744999989</v>
      </c>
      <c r="BI35" s="877">
        <v>396.24002089999999</v>
      </c>
      <c r="BJ35" s="877">
        <v>400.38768163000003</v>
      </c>
      <c r="BK35" s="877">
        <v>399.18405212000016</v>
      </c>
      <c r="BL35" s="877">
        <v>363.01896194000005</v>
      </c>
      <c r="BM35" s="877">
        <v>448.34120748000009</v>
      </c>
      <c r="BN35" s="877">
        <v>534.53793527000005</v>
      </c>
      <c r="BO35" s="877">
        <v>499.57434539999997</v>
      </c>
      <c r="BP35" s="877">
        <v>502.66310647999995</v>
      </c>
      <c r="BQ35" s="877">
        <v>503.93892328999999</v>
      </c>
      <c r="BR35" s="877">
        <v>594.24234735999971</v>
      </c>
      <c r="BS35" s="877">
        <v>580.37716718999991</v>
      </c>
      <c r="BT35" s="877">
        <v>568.64516678999985</v>
      </c>
      <c r="BU35" s="877">
        <v>555.17051107999987</v>
      </c>
      <c r="BV35" s="877">
        <v>542.13699710999981</v>
      </c>
      <c r="BW35" s="877">
        <v>526.88416837000022</v>
      </c>
      <c r="BX35" s="877">
        <v>507.20889597999997</v>
      </c>
      <c r="BY35" s="877">
        <v>483.44137713999999</v>
      </c>
      <c r="BZ35" s="877">
        <v>494.68380882000002</v>
      </c>
      <c r="CA35" s="877">
        <v>540.3972388799998</v>
      </c>
      <c r="CB35" s="877">
        <v>527.21061194000026</v>
      </c>
      <c r="CC35" s="877">
        <v>513.20933014000002</v>
      </c>
      <c r="CD35" s="877">
        <v>525.45085949000008</v>
      </c>
      <c r="CE35" s="877">
        <f t="shared" ref="CE35:CP35" si="13">+CE33-CE34</f>
        <v>513.08452843000009</v>
      </c>
      <c r="CF35" s="877">
        <f t="shared" si="13"/>
        <v>552.67830937999997</v>
      </c>
      <c r="CG35" s="877">
        <f t="shared" si="13"/>
        <v>606.97097740000004</v>
      </c>
      <c r="CH35" s="877">
        <f t="shared" si="13"/>
        <v>605.41790745999992</v>
      </c>
      <c r="CI35" s="877">
        <f t="shared" si="13"/>
        <v>594.22028437999995</v>
      </c>
      <c r="CJ35" s="877">
        <f t="shared" si="13"/>
        <v>591.46159627000009</v>
      </c>
      <c r="CK35" s="877">
        <f t="shared" si="13"/>
        <v>530.61975145999997</v>
      </c>
      <c r="CL35" s="877">
        <f t="shared" si="13"/>
        <v>505.09102654999992</v>
      </c>
      <c r="CM35" s="877">
        <f t="shared" si="13"/>
        <v>478.70926288000004</v>
      </c>
      <c r="CN35" s="877">
        <f t="shared" si="13"/>
        <v>479.56297706999987</v>
      </c>
      <c r="CO35" s="877">
        <f t="shared" si="13"/>
        <v>460.12159978</v>
      </c>
      <c r="CP35" s="877">
        <f t="shared" si="13"/>
        <v>444.92045073999992</v>
      </c>
      <c r="CQ35" s="877">
        <f>+CQ33-CQ34</f>
        <v>411.35585884</v>
      </c>
      <c r="CR35" s="877">
        <f>+CR33-CR34</f>
        <v>385.91085855999995</v>
      </c>
      <c r="CS35" s="877">
        <v>383.22081792</v>
      </c>
      <c r="CT35" s="877">
        <v>371.03771112999999</v>
      </c>
      <c r="CU35" s="877">
        <v>407.75689020999999</v>
      </c>
      <c r="CV35" s="877">
        <v>404.9584021</v>
      </c>
      <c r="CW35" s="877">
        <v>430.63205141999998</v>
      </c>
      <c r="CX35" s="877">
        <v>433.93437002000002</v>
      </c>
      <c r="CY35" s="877">
        <v>431.92876224000003</v>
      </c>
      <c r="CZ35" s="877">
        <v>423.49566233000002</v>
      </c>
      <c r="DA35" s="877">
        <v>417.67793964999998</v>
      </c>
      <c r="DB35" s="877">
        <v>418.590101</v>
      </c>
      <c r="DC35" s="877">
        <v>418.75590215</v>
      </c>
      <c r="DD35" s="947">
        <v>412.41204657999998</v>
      </c>
      <c r="DE35" s="947">
        <v>408.80437037000002</v>
      </c>
      <c r="DF35" s="947">
        <v>426.12850887000002</v>
      </c>
      <c r="DG35" s="899">
        <v>421.65251919999997</v>
      </c>
      <c r="DH35" s="899">
        <v>429.01380246000002</v>
      </c>
      <c r="DI35" s="899">
        <v>420.14473393999998</v>
      </c>
      <c r="DJ35" s="899">
        <v>411.82668765</v>
      </c>
      <c r="DK35" s="899">
        <v>410.06556939000001</v>
      </c>
      <c r="DL35" s="899">
        <v>405.60030626000002</v>
      </c>
      <c r="DM35" s="899">
        <v>402.85514497999998</v>
      </c>
      <c r="DN35" s="899">
        <v>403.48162489999999</v>
      </c>
      <c r="DO35" s="899">
        <v>400.57413843</v>
      </c>
      <c r="DP35" s="899">
        <v>337.33300697999999</v>
      </c>
      <c r="DQ35" s="899">
        <v>354.90950131</v>
      </c>
      <c r="DR35" s="899">
        <v>351.88769993</v>
      </c>
      <c r="DS35" s="899">
        <v>355.24248846</v>
      </c>
      <c r="DT35" s="899">
        <v>391.4124971</v>
      </c>
      <c r="DU35" s="899">
        <v>390.89273772000001</v>
      </c>
      <c r="DV35" s="899">
        <v>389.07281890000002</v>
      </c>
      <c r="DW35" s="899">
        <v>557.06672357000002</v>
      </c>
      <c r="DX35" s="899">
        <v>551.03635799999995</v>
      </c>
      <c r="DY35" s="899">
        <v>546.33079099999998</v>
      </c>
      <c r="DZ35" s="899">
        <v>578.49173496000003</v>
      </c>
      <c r="EA35" s="899">
        <v>567.64962198000001</v>
      </c>
      <c r="EB35" s="899">
        <v>566.89531951000004</v>
      </c>
      <c r="EC35" s="899">
        <v>597.06562782000003</v>
      </c>
      <c r="ED35" s="899">
        <v>603.73675308999998</v>
      </c>
      <c r="EE35" s="899">
        <v>609.84513583</v>
      </c>
      <c r="EF35" s="899">
        <v>602.44626977999997</v>
      </c>
      <c r="EG35" s="899">
        <v>598.57960656</v>
      </c>
      <c r="EH35" s="899">
        <v>605.47435372999996</v>
      </c>
      <c r="EI35" s="899">
        <v>618.54997803000003</v>
      </c>
      <c r="EJ35" s="899">
        <v>617.75247248999995</v>
      </c>
      <c r="EK35" s="899">
        <v>607.18612680000001</v>
      </c>
      <c r="EL35" s="899">
        <v>594.54596638999999</v>
      </c>
      <c r="EM35" s="899">
        <v>606.03104627000005</v>
      </c>
      <c r="EN35" s="899">
        <v>597.81891492</v>
      </c>
      <c r="EO35" s="899">
        <v>581.23762361000001</v>
      </c>
      <c r="EP35" s="899">
        <v>568.75621133000004</v>
      </c>
      <c r="EQ35" s="899">
        <v>546.63531604000002</v>
      </c>
      <c r="ER35" s="899">
        <v>547.08030238000003</v>
      </c>
      <c r="ES35" s="899">
        <v>552.41983139000001</v>
      </c>
      <c r="ET35" s="899">
        <v>564.27624678999996</v>
      </c>
      <c r="EU35" s="1925" t="s">
        <v>4085</v>
      </c>
      <c r="EZ35" s="342"/>
    </row>
    <row r="36" spans="1:156" s="792" customFormat="1" ht="39" customHeight="1">
      <c r="A36" s="2479" t="s">
        <v>3295</v>
      </c>
      <c r="B36" s="2479"/>
      <c r="C36" s="2479"/>
      <c r="D36" s="2479"/>
      <c r="E36" s="2479"/>
      <c r="F36" s="2479"/>
      <c r="G36" s="2479"/>
      <c r="H36" s="2479"/>
      <c r="I36" s="2479"/>
      <c r="J36" s="2479"/>
      <c r="K36" s="2479"/>
      <c r="L36" s="2479"/>
      <c r="M36" s="2479"/>
      <c r="N36" s="2479"/>
      <c r="O36" s="2479"/>
      <c r="P36" s="2479"/>
      <c r="Q36" s="2479"/>
      <c r="R36" s="2479"/>
      <c r="S36" s="2479"/>
      <c r="T36" s="2479"/>
      <c r="U36" s="2479"/>
      <c r="V36" s="2479"/>
      <c r="W36" s="2479"/>
      <c r="X36" s="2479"/>
      <c r="Y36" s="2479"/>
      <c r="Z36" s="2479"/>
      <c r="AA36" s="2479"/>
      <c r="AB36" s="2479"/>
      <c r="AC36" s="2479"/>
      <c r="AD36" s="2479"/>
      <c r="AE36" s="2479"/>
      <c r="AF36" s="2479"/>
      <c r="AG36" s="2479"/>
      <c r="AH36" s="2479"/>
      <c r="AI36" s="2479"/>
      <c r="AJ36" s="2479"/>
      <c r="AK36" s="2479"/>
      <c r="AL36" s="2479"/>
      <c r="AM36" s="2479"/>
      <c r="AN36" s="2479"/>
      <c r="AO36" s="2479"/>
      <c r="AP36" s="2479"/>
      <c r="AQ36" s="2479"/>
      <c r="AR36" s="2479"/>
      <c r="AS36" s="2479"/>
      <c r="AT36" s="2479"/>
      <c r="AU36" s="2479"/>
      <c r="AV36" s="2479"/>
      <c r="AW36" s="2479"/>
      <c r="AX36" s="2479"/>
      <c r="AY36" s="2479"/>
      <c r="AZ36" s="2479"/>
      <c r="BA36" s="2479"/>
      <c r="BB36" s="2479"/>
      <c r="BC36" s="2479"/>
      <c r="BD36" s="2479"/>
      <c r="BE36" s="2479"/>
      <c r="BF36" s="2479"/>
      <c r="BG36" s="2479"/>
      <c r="BH36" s="2479"/>
      <c r="BI36" s="2479"/>
      <c r="BJ36" s="2479"/>
      <c r="BK36" s="2479"/>
      <c r="BL36" s="2479"/>
      <c r="BM36" s="2479"/>
      <c r="BN36" s="2479"/>
      <c r="BO36" s="2479"/>
      <c r="BP36" s="2479"/>
      <c r="BQ36" s="2479"/>
      <c r="BR36" s="2479"/>
      <c r="BS36" s="2479"/>
      <c r="BT36" s="2479"/>
      <c r="BU36" s="2479"/>
      <c r="BV36" s="2479"/>
      <c r="BW36" s="2479"/>
      <c r="BX36" s="2479"/>
      <c r="BY36" s="2479"/>
      <c r="BZ36" s="2479"/>
      <c r="CA36" s="2479"/>
      <c r="CB36" s="2479"/>
      <c r="CC36" s="2479"/>
      <c r="CD36" s="2479"/>
      <c r="CE36" s="2479"/>
      <c r="CF36" s="2479"/>
      <c r="CG36" s="2479"/>
      <c r="CH36" s="2479"/>
      <c r="CI36" s="2479"/>
      <c r="CJ36" s="2479"/>
      <c r="CK36" s="2479"/>
      <c r="CL36" s="2479"/>
      <c r="CM36" s="2479"/>
      <c r="CN36" s="2479"/>
      <c r="CO36" s="2479"/>
      <c r="CP36" s="2479"/>
      <c r="CQ36" s="2479"/>
      <c r="CR36" s="2479"/>
      <c r="CS36" s="2479"/>
      <c r="CT36" s="2479"/>
      <c r="CU36" s="2479"/>
      <c r="CV36" s="2479"/>
      <c r="CW36" s="2479"/>
      <c r="CX36" s="2479"/>
      <c r="CY36" s="2479"/>
      <c r="CZ36" s="2479"/>
      <c r="DA36" s="2479"/>
      <c r="DB36" s="2479"/>
      <c r="DC36" s="2479"/>
      <c r="DD36" s="2479"/>
      <c r="DE36" s="2479"/>
      <c r="DF36" s="2479"/>
      <c r="DG36" s="2479"/>
      <c r="DH36" s="2479"/>
      <c r="DI36" s="2479"/>
      <c r="DJ36" s="2479"/>
      <c r="DK36" s="2479"/>
      <c r="DL36" s="2479"/>
      <c r="DM36" s="2479"/>
      <c r="DN36" s="2479"/>
      <c r="DO36" s="2479"/>
      <c r="DP36" s="2479"/>
      <c r="DQ36" s="2479"/>
      <c r="DR36" s="2479"/>
      <c r="DS36" s="2479"/>
      <c r="DT36" s="2479"/>
      <c r="DU36" s="2479"/>
      <c r="DV36" s="2479"/>
      <c r="DW36" s="2479"/>
      <c r="DX36" s="2479"/>
      <c r="DY36" s="2479"/>
      <c r="DZ36" s="2479"/>
      <c r="EA36" s="2480"/>
      <c r="EB36" s="2480"/>
      <c r="EC36" s="2480"/>
      <c r="ED36" s="2480"/>
      <c r="EE36" s="2480"/>
      <c r="EF36" s="2480"/>
      <c r="EG36" s="2480"/>
      <c r="EH36" s="2480"/>
      <c r="EI36" s="2480"/>
      <c r="EJ36" s="2480"/>
      <c r="EK36" s="2480"/>
      <c r="EL36" s="2480"/>
      <c r="EM36" s="2480"/>
      <c r="EN36" s="2480"/>
      <c r="EO36" s="2480"/>
      <c r="EP36" s="2480"/>
      <c r="EQ36" s="2480"/>
      <c r="ER36" s="2480"/>
      <c r="ES36" s="2480"/>
      <c r="ET36" s="2479"/>
    </row>
    <row r="37" spans="1:156" ht="18">
      <c r="A37" s="817"/>
      <c r="B37" s="285"/>
      <c r="C37" s="285"/>
      <c r="D37" s="285"/>
      <c r="E37" s="285"/>
      <c r="F37" s="285"/>
      <c r="G37" s="285"/>
      <c r="H37" s="285"/>
      <c r="I37" s="285"/>
      <c r="J37" s="285"/>
      <c r="K37" s="285"/>
      <c r="L37" s="285"/>
      <c r="M37" s="285"/>
      <c r="N37" s="285"/>
      <c r="O37" s="285"/>
      <c r="P37" s="285"/>
      <c r="Q37" s="285"/>
      <c r="R37" s="285"/>
      <c r="S37" s="285"/>
      <c r="T37" s="285"/>
      <c r="U37" s="285"/>
      <c r="V37" s="285"/>
      <c r="W37" s="285"/>
      <c r="X37" s="285"/>
      <c r="Y37" s="285"/>
      <c r="Z37" s="285"/>
      <c r="AA37" s="285"/>
      <c r="AB37" s="285"/>
      <c r="AC37" s="285"/>
      <c r="AD37" s="285"/>
      <c r="AE37" s="285"/>
      <c r="AF37" s="285"/>
      <c r="AG37" s="285"/>
      <c r="AH37" s="285"/>
      <c r="AI37" s="285"/>
      <c r="AJ37" s="285"/>
      <c r="AK37" s="285"/>
      <c r="AL37" s="285"/>
      <c r="AM37" s="285"/>
      <c r="AN37" s="285"/>
      <c r="AO37" s="285"/>
      <c r="AP37" s="285"/>
      <c r="AQ37" s="285"/>
      <c r="AR37" s="285"/>
      <c r="AS37" s="285"/>
      <c r="AT37" s="285"/>
      <c r="AU37" s="285"/>
      <c r="AV37" s="285"/>
      <c r="AW37" s="285"/>
      <c r="AX37" s="285"/>
      <c r="AY37" s="285"/>
      <c r="AZ37" s="285"/>
      <c r="BA37" s="285"/>
      <c r="BB37" s="285"/>
      <c r="BC37" s="285"/>
      <c r="BD37" s="285"/>
      <c r="BE37" s="285"/>
      <c r="BF37" s="285"/>
      <c r="BG37" s="285"/>
      <c r="BH37" s="285"/>
      <c r="BI37" s="285"/>
      <c r="BJ37" s="285"/>
      <c r="BK37" s="285"/>
      <c r="BL37" s="285"/>
      <c r="BM37" s="285"/>
      <c r="BN37" s="285"/>
      <c r="BO37" s="285"/>
      <c r="BP37" s="285"/>
      <c r="BQ37" s="285"/>
      <c r="BR37" s="285"/>
      <c r="BS37" s="285"/>
      <c r="BT37" s="285"/>
      <c r="BU37" s="285"/>
      <c r="BV37" s="285"/>
      <c r="BW37" s="285"/>
      <c r="BX37" s="285"/>
      <c r="BY37" s="285"/>
      <c r="BZ37" s="285"/>
      <c r="CA37" s="285"/>
      <c r="CB37" s="285"/>
      <c r="CC37" s="285"/>
      <c r="CD37" s="285"/>
      <c r="CE37" s="285"/>
      <c r="CF37" s="285"/>
      <c r="CG37" s="285"/>
      <c r="EZ37" s="342"/>
    </row>
    <row r="38" spans="1:156" ht="18">
      <c r="A38" s="818"/>
      <c r="B38" s="286"/>
      <c r="C38" s="286"/>
      <c r="D38" s="286"/>
      <c r="E38" s="286"/>
      <c r="F38" s="286"/>
      <c r="G38" s="286"/>
      <c r="H38" s="286"/>
      <c r="I38" s="286"/>
      <c r="J38" s="286"/>
      <c r="K38" s="286"/>
      <c r="L38" s="286"/>
      <c r="M38" s="286"/>
      <c r="N38" s="286"/>
      <c r="O38" s="286"/>
      <c r="P38" s="286"/>
      <c r="Q38" s="286"/>
      <c r="R38" s="286"/>
      <c r="S38" s="286"/>
      <c r="T38" s="286"/>
      <c r="U38" s="286"/>
      <c r="V38" s="286"/>
      <c r="W38" s="286"/>
      <c r="X38" s="286"/>
      <c r="Y38" s="286"/>
      <c r="Z38" s="286"/>
      <c r="AA38" s="286"/>
      <c r="AB38" s="286"/>
      <c r="AC38" s="286"/>
      <c r="AD38" s="286"/>
      <c r="AE38" s="286"/>
      <c r="AF38" s="286"/>
      <c r="AG38" s="286"/>
      <c r="AH38" s="286"/>
      <c r="AI38" s="286"/>
      <c r="AJ38" s="286"/>
      <c r="AK38" s="286"/>
      <c r="AL38" s="286"/>
      <c r="AM38" s="286"/>
      <c r="AN38" s="286"/>
      <c r="AO38" s="286"/>
      <c r="AP38" s="286"/>
      <c r="AQ38" s="286"/>
      <c r="AR38" s="286"/>
      <c r="AS38" s="286"/>
      <c r="AT38" s="286"/>
      <c r="AU38" s="286"/>
      <c r="AV38" s="286"/>
      <c r="AW38" s="286"/>
      <c r="AX38" s="286"/>
      <c r="AY38" s="286"/>
      <c r="AZ38" s="286"/>
      <c r="BA38" s="286"/>
      <c r="BB38" s="286"/>
      <c r="BC38" s="286"/>
      <c r="BD38" s="286"/>
      <c r="BE38" s="286"/>
      <c r="BF38" s="286"/>
      <c r="BG38" s="286"/>
      <c r="BH38" s="286"/>
      <c r="BI38" s="286"/>
      <c r="BJ38" s="286"/>
      <c r="BK38" s="286"/>
      <c r="BL38" s="286"/>
      <c r="BM38" s="286"/>
      <c r="BN38" s="286"/>
      <c r="BO38" s="286"/>
      <c r="BP38" s="286"/>
      <c r="BQ38" s="286"/>
      <c r="BR38" s="286"/>
      <c r="BS38" s="286"/>
      <c r="BT38" s="286"/>
      <c r="BU38" s="286"/>
      <c r="BV38" s="286"/>
      <c r="BW38" s="286"/>
      <c r="BX38" s="286"/>
      <c r="BY38" s="286"/>
      <c r="BZ38" s="286"/>
      <c r="CA38" s="286"/>
      <c r="CB38" s="286"/>
      <c r="CC38" s="286"/>
      <c r="CD38" s="286"/>
      <c r="CE38" s="286"/>
      <c r="CF38" s="286"/>
      <c r="CG38" s="286"/>
      <c r="EZ38" s="342"/>
    </row>
    <row r="39" spans="1:156" ht="18">
      <c r="A39" s="817"/>
      <c r="B39" s="285"/>
      <c r="C39" s="285"/>
      <c r="D39" s="285"/>
      <c r="E39" s="285"/>
      <c r="F39" s="285"/>
      <c r="G39" s="285"/>
      <c r="H39" s="285"/>
      <c r="I39" s="285"/>
      <c r="J39" s="285"/>
      <c r="K39" s="285"/>
      <c r="L39" s="285"/>
      <c r="M39" s="285"/>
      <c r="N39" s="285"/>
      <c r="O39" s="285"/>
      <c r="P39" s="285"/>
      <c r="Q39" s="285"/>
      <c r="R39" s="285"/>
      <c r="S39" s="285"/>
      <c r="T39" s="285"/>
      <c r="U39" s="285"/>
      <c r="V39" s="285"/>
      <c r="W39" s="285"/>
      <c r="X39" s="285"/>
      <c r="Y39" s="285"/>
      <c r="Z39" s="285"/>
      <c r="AA39" s="285"/>
      <c r="AB39" s="285"/>
      <c r="AC39" s="285"/>
      <c r="AD39" s="285"/>
      <c r="AE39" s="285"/>
      <c r="AF39" s="285"/>
      <c r="AG39" s="285"/>
      <c r="AH39" s="285"/>
      <c r="AI39" s="285"/>
      <c r="AJ39" s="285"/>
      <c r="AK39" s="285"/>
      <c r="AL39" s="285"/>
      <c r="AM39" s="285"/>
      <c r="AN39" s="285"/>
      <c r="AO39" s="285"/>
      <c r="AP39" s="285"/>
      <c r="AQ39" s="285"/>
      <c r="AR39" s="285"/>
      <c r="AS39" s="285"/>
      <c r="AT39" s="285"/>
      <c r="AU39" s="285"/>
      <c r="AV39" s="285"/>
      <c r="AW39" s="285"/>
      <c r="AX39" s="285"/>
      <c r="AY39" s="285"/>
      <c r="AZ39" s="285"/>
      <c r="BA39" s="285"/>
      <c r="BB39" s="285"/>
      <c r="BC39" s="285"/>
      <c r="BD39" s="285"/>
      <c r="BE39" s="285"/>
      <c r="BF39" s="285"/>
      <c r="BG39" s="285"/>
      <c r="BH39" s="285"/>
      <c r="BI39" s="285"/>
      <c r="BJ39" s="285"/>
      <c r="BK39" s="285"/>
      <c r="BL39" s="285"/>
      <c r="BM39" s="285"/>
      <c r="BN39" s="285"/>
      <c r="BO39" s="285"/>
      <c r="BP39" s="285"/>
      <c r="BQ39" s="285"/>
      <c r="BR39" s="285"/>
      <c r="BS39" s="285"/>
      <c r="BT39" s="285"/>
      <c r="BU39" s="285"/>
      <c r="BV39" s="285"/>
      <c r="BW39" s="285"/>
      <c r="BX39" s="285"/>
      <c r="BY39" s="285"/>
      <c r="BZ39" s="285"/>
      <c r="CA39" s="285"/>
      <c r="CB39" s="285"/>
      <c r="CC39" s="285"/>
      <c r="CD39" s="285"/>
      <c r="CE39" s="285"/>
      <c r="CF39" s="285"/>
      <c r="CG39" s="285"/>
      <c r="EZ39" s="342"/>
    </row>
    <row r="40" spans="1:156" ht="18">
      <c r="A40" s="819"/>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285"/>
      <c r="AW40" s="285"/>
      <c r="AX40" s="285"/>
      <c r="AY40" s="285"/>
      <c r="AZ40" s="285"/>
      <c r="BA40" s="285"/>
      <c r="BB40" s="285"/>
      <c r="BC40" s="285"/>
      <c r="BD40" s="285"/>
      <c r="BE40" s="285"/>
      <c r="BF40" s="285"/>
      <c r="BG40" s="285"/>
      <c r="BH40" s="285"/>
      <c r="BI40" s="285"/>
      <c r="BJ40" s="285"/>
      <c r="BK40" s="285"/>
      <c r="BL40" s="285"/>
      <c r="BM40" s="285"/>
      <c r="BN40" s="285"/>
      <c r="BO40" s="285"/>
      <c r="BP40" s="285"/>
      <c r="BQ40" s="285"/>
      <c r="BR40" s="285"/>
      <c r="BS40" s="285"/>
      <c r="BT40" s="285"/>
      <c r="BU40" s="285"/>
      <c r="BV40" s="285"/>
      <c r="BW40" s="285"/>
      <c r="BX40" s="285"/>
      <c r="BY40" s="285"/>
      <c r="BZ40" s="285"/>
      <c r="CA40" s="285"/>
      <c r="CB40" s="285"/>
      <c r="CC40" s="285"/>
      <c r="CD40" s="285"/>
      <c r="CE40" s="285"/>
      <c r="CF40" s="285"/>
      <c r="CG40" s="285"/>
      <c r="EZ40" s="342"/>
    </row>
    <row r="41" spans="1:156" ht="18">
      <c r="A41" s="820"/>
      <c r="B41" s="286"/>
      <c r="C41" s="286"/>
      <c r="D41" s="286"/>
      <c r="E41" s="286"/>
      <c r="F41" s="286"/>
      <c r="G41" s="286"/>
      <c r="H41" s="286"/>
      <c r="I41" s="286"/>
      <c r="J41" s="286"/>
      <c r="K41" s="286"/>
      <c r="L41" s="286"/>
      <c r="M41" s="286"/>
      <c r="N41" s="286"/>
      <c r="O41" s="286"/>
      <c r="P41" s="286"/>
      <c r="Q41" s="286"/>
      <c r="R41" s="286"/>
      <c r="S41" s="286"/>
      <c r="T41" s="286"/>
      <c r="U41" s="286"/>
      <c r="V41" s="286"/>
      <c r="W41" s="286"/>
      <c r="X41" s="286"/>
      <c r="Y41" s="286"/>
      <c r="Z41" s="286"/>
      <c r="AA41" s="286"/>
      <c r="AB41" s="286"/>
      <c r="AC41" s="286"/>
      <c r="AD41" s="286"/>
      <c r="AE41" s="286"/>
      <c r="AF41" s="286"/>
      <c r="AG41" s="286"/>
      <c r="AH41" s="286"/>
      <c r="AI41" s="286"/>
      <c r="AJ41" s="286"/>
      <c r="AK41" s="286"/>
      <c r="AL41" s="286"/>
      <c r="AM41" s="286"/>
      <c r="AN41" s="286"/>
      <c r="AO41" s="286"/>
      <c r="AP41" s="286"/>
      <c r="AQ41" s="286"/>
      <c r="AR41" s="286"/>
      <c r="AS41" s="286"/>
      <c r="AT41" s="286"/>
      <c r="AU41" s="286"/>
      <c r="AV41" s="286"/>
      <c r="AW41" s="286"/>
      <c r="AX41" s="286"/>
      <c r="AY41" s="286"/>
      <c r="AZ41" s="286"/>
      <c r="BA41" s="286"/>
      <c r="BB41" s="286"/>
      <c r="BC41" s="286"/>
      <c r="BD41" s="286"/>
      <c r="BE41" s="286"/>
      <c r="BF41" s="286"/>
      <c r="BG41" s="286"/>
      <c r="BH41" s="286"/>
      <c r="BI41" s="286"/>
      <c r="BJ41" s="286"/>
      <c r="BK41" s="286"/>
      <c r="BL41" s="286"/>
      <c r="BM41" s="286"/>
      <c r="BN41" s="286"/>
      <c r="BO41" s="286"/>
      <c r="BP41" s="286"/>
      <c r="BQ41" s="286"/>
      <c r="BR41" s="286"/>
      <c r="BS41" s="286"/>
      <c r="BT41" s="286"/>
      <c r="BU41" s="286"/>
      <c r="BV41" s="286"/>
      <c r="BW41" s="286"/>
      <c r="BX41" s="286"/>
      <c r="BY41" s="286"/>
      <c r="BZ41" s="286"/>
      <c r="CA41" s="286"/>
      <c r="CB41" s="286"/>
      <c r="CC41" s="286"/>
      <c r="CD41" s="286"/>
      <c r="CE41" s="286"/>
      <c r="CF41" s="286"/>
      <c r="CG41" s="286"/>
      <c r="EZ41" s="342"/>
    </row>
    <row r="42" spans="1:156" ht="18">
      <c r="A42" s="817"/>
      <c r="B42" s="285"/>
      <c r="C42" s="285"/>
      <c r="D42" s="285"/>
      <c r="E42" s="285"/>
      <c r="F42" s="285"/>
      <c r="G42" s="285"/>
      <c r="H42" s="285"/>
      <c r="I42" s="285"/>
      <c r="J42" s="285"/>
      <c r="K42" s="285"/>
      <c r="L42" s="285"/>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5"/>
      <c r="AR42" s="285"/>
      <c r="AS42" s="285"/>
      <c r="AT42" s="285"/>
      <c r="AU42" s="285"/>
      <c r="AV42" s="285"/>
      <c r="AW42" s="285"/>
      <c r="AX42" s="285"/>
      <c r="AY42" s="285"/>
      <c r="AZ42" s="285"/>
      <c r="BA42" s="285"/>
      <c r="BB42" s="285"/>
      <c r="BC42" s="285"/>
      <c r="BD42" s="285"/>
      <c r="BE42" s="285"/>
      <c r="BF42" s="285"/>
      <c r="BG42" s="285"/>
      <c r="BH42" s="285"/>
      <c r="BI42" s="285"/>
      <c r="BJ42" s="285"/>
      <c r="BK42" s="285"/>
      <c r="BL42" s="285"/>
      <c r="BM42" s="285"/>
      <c r="BN42" s="285"/>
      <c r="BO42" s="285"/>
      <c r="BP42" s="285"/>
      <c r="BQ42" s="285"/>
      <c r="BR42" s="285"/>
      <c r="BS42" s="285"/>
      <c r="BT42" s="285"/>
      <c r="BU42" s="285"/>
      <c r="BV42" s="285"/>
      <c r="BW42" s="285"/>
      <c r="BX42" s="285"/>
      <c r="BY42" s="285"/>
      <c r="BZ42" s="285"/>
      <c r="CA42" s="285"/>
      <c r="CB42" s="285"/>
      <c r="CC42" s="285"/>
      <c r="CD42" s="285"/>
      <c r="CE42" s="285"/>
      <c r="CF42" s="285"/>
      <c r="CG42" s="285"/>
      <c r="EZ42" s="342"/>
    </row>
    <row r="43" spans="1:156" ht="18">
      <c r="A43" s="818"/>
      <c r="B43" s="286"/>
      <c r="C43" s="286"/>
      <c r="D43" s="286"/>
      <c r="E43" s="286"/>
      <c r="F43" s="286"/>
      <c r="G43" s="286"/>
      <c r="H43" s="286"/>
      <c r="I43" s="286"/>
      <c r="J43" s="286"/>
      <c r="K43" s="286"/>
      <c r="L43" s="286"/>
      <c r="M43" s="286"/>
      <c r="N43" s="286"/>
      <c r="O43" s="286"/>
      <c r="P43" s="286"/>
      <c r="Q43" s="286"/>
      <c r="R43" s="286"/>
      <c r="S43" s="286"/>
      <c r="T43" s="286"/>
      <c r="U43" s="286"/>
      <c r="V43" s="286"/>
      <c r="W43" s="286"/>
      <c r="X43" s="286"/>
      <c r="Y43" s="286"/>
      <c r="Z43" s="286"/>
      <c r="AA43" s="286"/>
      <c r="AB43" s="286"/>
      <c r="AC43" s="286"/>
      <c r="AD43" s="286"/>
      <c r="AE43" s="286"/>
      <c r="AF43" s="286"/>
      <c r="AG43" s="286"/>
      <c r="AH43" s="286"/>
      <c r="AI43" s="286"/>
      <c r="AJ43" s="286"/>
      <c r="AK43" s="286"/>
      <c r="AL43" s="286"/>
      <c r="AM43" s="286"/>
      <c r="AN43" s="286"/>
      <c r="AO43" s="286"/>
      <c r="AP43" s="286"/>
      <c r="AQ43" s="286"/>
      <c r="AR43" s="286"/>
      <c r="AS43" s="286"/>
      <c r="AT43" s="286"/>
      <c r="AU43" s="286"/>
      <c r="AV43" s="286"/>
      <c r="AW43" s="286"/>
      <c r="AX43" s="286"/>
      <c r="AY43" s="286"/>
      <c r="AZ43" s="286"/>
      <c r="BA43" s="286"/>
      <c r="BB43" s="286"/>
      <c r="BC43" s="286"/>
      <c r="BD43" s="286"/>
      <c r="BE43" s="286"/>
      <c r="BF43" s="286"/>
      <c r="BG43" s="286"/>
      <c r="BH43" s="286"/>
      <c r="BI43" s="286"/>
      <c r="BJ43" s="286"/>
      <c r="BK43" s="286"/>
      <c r="BL43" s="286"/>
      <c r="BM43" s="286"/>
      <c r="BN43" s="286"/>
      <c r="BO43" s="286"/>
      <c r="BP43" s="286"/>
      <c r="BQ43" s="286"/>
      <c r="BR43" s="286"/>
      <c r="BS43" s="286"/>
      <c r="BT43" s="286"/>
      <c r="BU43" s="286"/>
      <c r="BV43" s="286"/>
      <c r="BW43" s="286"/>
      <c r="BX43" s="286"/>
      <c r="BY43" s="286"/>
      <c r="BZ43" s="286"/>
      <c r="CA43" s="286"/>
      <c r="CB43" s="286"/>
      <c r="CC43" s="286"/>
      <c r="CD43" s="286"/>
      <c r="CE43" s="286"/>
      <c r="CF43" s="286"/>
      <c r="CG43" s="286"/>
      <c r="EZ43" s="342"/>
    </row>
    <row r="44" spans="1:156" ht="18">
      <c r="A44" s="817"/>
      <c r="B44" s="285"/>
      <c r="C44" s="285"/>
      <c r="D44" s="285"/>
      <c r="E44" s="285"/>
      <c r="F44" s="285"/>
      <c r="G44" s="285"/>
      <c r="H44" s="285"/>
      <c r="I44" s="285"/>
      <c r="J44" s="285"/>
      <c r="K44" s="285"/>
      <c r="L44" s="285"/>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5"/>
      <c r="AR44" s="285"/>
      <c r="AS44" s="285"/>
      <c r="AT44" s="285"/>
      <c r="AU44" s="285"/>
      <c r="AV44" s="285"/>
      <c r="AW44" s="285"/>
      <c r="AX44" s="285"/>
      <c r="AY44" s="285"/>
      <c r="AZ44" s="285"/>
      <c r="BA44" s="285"/>
      <c r="BB44" s="285"/>
      <c r="BC44" s="285"/>
      <c r="BD44" s="285"/>
      <c r="BE44" s="285"/>
      <c r="BF44" s="285"/>
      <c r="BG44" s="285"/>
      <c r="BH44" s="285"/>
      <c r="BI44" s="285"/>
      <c r="BJ44" s="285"/>
      <c r="BK44" s="285"/>
      <c r="BL44" s="285"/>
      <c r="BM44" s="285"/>
      <c r="BN44" s="285"/>
      <c r="BO44" s="285"/>
      <c r="BP44" s="285"/>
      <c r="BQ44" s="285"/>
      <c r="BR44" s="285"/>
      <c r="BS44" s="285"/>
      <c r="BT44" s="285"/>
      <c r="BU44" s="285"/>
      <c r="BV44" s="285"/>
      <c r="BW44" s="285"/>
      <c r="BX44" s="285"/>
      <c r="BY44" s="285"/>
      <c r="BZ44" s="285"/>
      <c r="CA44" s="285"/>
      <c r="CB44" s="285"/>
      <c r="CC44" s="285"/>
      <c r="CD44" s="285"/>
      <c r="CE44" s="285"/>
      <c r="CF44" s="285"/>
      <c r="CG44" s="285"/>
      <c r="EZ44" s="342"/>
    </row>
    <row r="45" spans="1:156" ht="18">
      <c r="A45" s="818"/>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6"/>
      <c r="AE45" s="286"/>
      <c r="AF45" s="286"/>
      <c r="AG45" s="286"/>
      <c r="AH45" s="286"/>
      <c r="AI45" s="286"/>
      <c r="AJ45" s="286"/>
      <c r="AK45" s="286"/>
      <c r="AL45" s="286"/>
      <c r="AM45" s="286"/>
      <c r="AN45" s="286"/>
      <c r="AO45" s="286"/>
      <c r="AP45" s="286"/>
      <c r="AQ45" s="286"/>
      <c r="AR45" s="286"/>
      <c r="AS45" s="286"/>
      <c r="AT45" s="286"/>
      <c r="AU45" s="286"/>
      <c r="AV45" s="286"/>
      <c r="AW45" s="286"/>
      <c r="AX45" s="286"/>
      <c r="AY45" s="286"/>
      <c r="AZ45" s="286"/>
      <c r="BA45" s="286"/>
      <c r="BB45" s="286"/>
      <c r="BC45" s="286"/>
      <c r="BD45" s="286"/>
      <c r="BE45" s="286"/>
      <c r="BF45" s="286"/>
      <c r="BG45" s="286"/>
      <c r="BH45" s="286"/>
      <c r="BI45" s="286"/>
      <c r="BJ45" s="286"/>
      <c r="BK45" s="286"/>
      <c r="BL45" s="286"/>
      <c r="BM45" s="286"/>
      <c r="BN45" s="286"/>
      <c r="BO45" s="286"/>
      <c r="BP45" s="286"/>
      <c r="BQ45" s="286"/>
      <c r="BR45" s="286"/>
      <c r="BS45" s="286"/>
      <c r="BT45" s="286"/>
      <c r="BU45" s="286"/>
      <c r="BV45" s="286"/>
      <c r="BW45" s="286"/>
      <c r="BX45" s="286"/>
      <c r="BY45" s="286"/>
      <c r="BZ45" s="286"/>
      <c r="CA45" s="286"/>
      <c r="CB45" s="286"/>
      <c r="CC45" s="286"/>
      <c r="CD45" s="286"/>
      <c r="CE45" s="286"/>
      <c r="CF45" s="286"/>
      <c r="CG45" s="286"/>
      <c r="CH45" s="417"/>
      <c r="EZ45" s="342"/>
    </row>
    <row r="46" spans="1:156" ht="18">
      <c r="A46" s="817"/>
      <c r="B46" s="285"/>
      <c r="C46" s="285"/>
      <c r="D46" s="285"/>
      <c r="E46" s="285"/>
      <c r="F46" s="285"/>
      <c r="G46" s="285"/>
      <c r="H46" s="285"/>
      <c r="I46" s="285"/>
      <c r="J46" s="285"/>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5"/>
      <c r="AR46" s="285"/>
      <c r="AS46" s="285"/>
      <c r="AT46" s="285"/>
      <c r="AU46" s="285"/>
      <c r="AV46" s="285"/>
      <c r="AW46" s="285"/>
      <c r="AX46" s="285"/>
      <c r="AY46" s="285"/>
      <c r="AZ46" s="285"/>
      <c r="BA46" s="285"/>
      <c r="BB46" s="285"/>
      <c r="BC46" s="285"/>
      <c r="BD46" s="285"/>
      <c r="BE46" s="285"/>
      <c r="BF46" s="285"/>
      <c r="BG46" s="285"/>
      <c r="BH46" s="285"/>
      <c r="BI46" s="285"/>
      <c r="BJ46" s="285"/>
      <c r="BK46" s="285"/>
      <c r="BL46" s="285"/>
      <c r="BM46" s="285"/>
      <c r="BN46" s="285"/>
      <c r="BO46" s="285"/>
      <c r="BP46" s="285"/>
      <c r="BQ46" s="285"/>
      <c r="BR46" s="285"/>
      <c r="BS46" s="285"/>
      <c r="BT46" s="285"/>
      <c r="BU46" s="285"/>
      <c r="BV46" s="285"/>
      <c r="BW46" s="285"/>
      <c r="BX46" s="285"/>
      <c r="BY46" s="285"/>
      <c r="BZ46" s="285"/>
      <c r="CA46" s="285"/>
      <c r="CB46" s="285"/>
      <c r="CC46" s="285"/>
      <c r="CD46" s="285"/>
      <c r="CE46" s="285"/>
      <c r="CF46" s="285"/>
      <c r="CG46" s="285"/>
      <c r="CH46" s="417"/>
      <c r="EZ46" s="342"/>
    </row>
    <row r="47" spans="1:156" ht="18">
      <c r="A47" s="821"/>
      <c r="B47" s="343"/>
      <c r="C47" s="343"/>
      <c r="D47" s="343"/>
      <c r="E47" s="343"/>
      <c r="F47" s="343"/>
      <c r="G47" s="343"/>
      <c r="H47" s="343"/>
      <c r="I47" s="343"/>
      <c r="J47" s="343"/>
      <c r="K47" s="343"/>
      <c r="L47" s="343"/>
      <c r="M47" s="343"/>
      <c r="N47" s="343"/>
      <c r="O47" s="343"/>
      <c r="P47" s="343"/>
      <c r="Q47" s="343"/>
      <c r="R47" s="343"/>
      <c r="S47" s="343"/>
      <c r="T47" s="343"/>
      <c r="U47" s="343"/>
      <c r="V47" s="343"/>
      <c r="W47" s="343"/>
      <c r="X47" s="343"/>
      <c r="Y47" s="343"/>
      <c r="Z47" s="343"/>
      <c r="AA47" s="343"/>
      <c r="AB47" s="343"/>
      <c r="AC47" s="343"/>
      <c r="AD47" s="343"/>
      <c r="AE47" s="343"/>
      <c r="AF47" s="343"/>
      <c r="AG47" s="343"/>
      <c r="AH47" s="343"/>
      <c r="AI47" s="343"/>
      <c r="AJ47" s="343"/>
      <c r="AK47" s="343"/>
      <c r="AL47" s="343"/>
      <c r="AM47" s="343"/>
      <c r="AN47" s="343"/>
      <c r="AO47" s="343"/>
      <c r="AP47" s="343"/>
      <c r="AQ47" s="343"/>
      <c r="AR47" s="343"/>
      <c r="AS47" s="343"/>
      <c r="AT47" s="343"/>
      <c r="AU47" s="343"/>
      <c r="AV47" s="343"/>
      <c r="AW47" s="343"/>
      <c r="AX47" s="343"/>
      <c r="AY47" s="343"/>
      <c r="AZ47" s="343"/>
      <c r="BA47" s="343"/>
      <c r="BB47" s="343"/>
      <c r="BC47" s="343"/>
      <c r="BD47" s="343"/>
      <c r="BE47" s="343"/>
      <c r="BF47" s="343"/>
      <c r="BG47" s="343"/>
      <c r="BH47" s="343"/>
      <c r="BI47" s="343"/>
      <c r="BJ47" s="343"/>
      <c r="BK47" s="343"/>
      <c r="BL47" s="343"/>
      <c r="BM47" s="343"/>
      <c r="BN47" s="343"/>
      <c r="BO47" s="343"/>
      <c r="BP47" s="343"/>
      <c r="BQ47" s="343"/>
      <c r="BR47" s="343"/>
      <c r="BS47" s="343"/>
      <c r="BT47" s="343"/>
      <c r="BU47" s="343"/>
      <c r="BV47" s="343"/>
      <c r="BW47" s="343"/>
      <c r="BX47" s="343"/>
      <c r="BY47" s="343"/>
      <c r="BZ47" s="343"/>
      <c r="CA47" s="343"/>
      <c r="CB47" s="343"/>
      <c r="CC47" s="343"/>
      <c r="CD47" s="343"/>
      <c r="CE47" s="343"/>
      <c r="CF47" s="343"/>
      <c r="CG47" s="343"/>
      <c r="CH47" s="417"/>
      <c r="EZ47" s="342"/>
    </row>
    <row r="48" spans="1:156" ht="18.75">
      <c r="A48" s="822"/>
      <c r="B48" s="343"/>
      <c r="C48" s="343"/>
      <c r="D48" s="343"/>
      <c r="E48" s="343"/>
      <c r="F48" s="343"/>
      <c r="G48" s="343"/>
      <c r="H48" s="343"/>
      <c r="I48" s="343"/>
      <c r="J48" s="343"/>
      <c r="K48" s="343"/>
      <c r="L48" s="343"/>
      <c r="M48" s="343"/>
      <c r="N48" s="343"/>
      <c r="O48" s="343"/>
      <c r="P48" s="343"/>
      <c r="Q48" s="343"/>
      <c r="R48" s="343"/>
      <c r="S48" s="343"/>
      <c r="T48" s="343"/>
      <c r="U48" s="343"/>
      <c r="V48" s="343"/>
      <c r="W48" s="343"/>
      <c r="X48" s="343"/>
      <c r="Y48" s="343"/>
      <c r="Z48" s="343"/>
      <c r="AA48" s="343"/>
      <c r="AB48" s="343"/>
      <c r="AC48" s="343"/>
      <c r="AD48" s="343"/>
      <c r="AE48" s="343"/>
      <c r="AF48" s="343"/>
      <c r="AG48" s="343"/>
      <c r="AH48" s="343"/>
      <c r="AI48" s="343"/>
      <c r="AJ48" s="343"/>
      <c r="AK48" s="343"/>
      <c r="AL48" s="343"/>
      <c r="AM48" s="343"/>
      <c r="AN48" s="343"/>
      <c r="AO48" s="343"/>
      <c r="AP48" s="343"/>
      <c r="AQ48" s="343"/>
      <c r="AR48" s="343"/>
      <c r="AS48" s="343"/>
      <c r="AT48" s="343"/>
      <c r="AU48" s="343"/>
      <c r="AV48" s="343"/>
      <c r="AW48" s="343"/>
      <c r="AX48" s="343"/>
      <c r="AY48" s="343"/>
      <c r="AZ48" s="343"/>
      <c r="BA48" s="343"/>
      <c r="BB48" s="343"/>
      <c r="BC48" s="343"/>
      <c r="BD48" s="343"/>
      <c r="BE48" s="343"/>
      <c r="BF48" s="343"/>
      <c r="BG48" s="343"/>
      <c r="BH48" s="343"/>
      <c r="BI48" s="343"/>
      <c r="BJ48" s="343"/>
      <c r="BK48" s="343"/>
      <c r="BL48" s="343"/>
      <c r="BM48" s="343"/>
      <c r="BN48" s="343"/>
      <c r="BO48" s="343"/>
      <c r="BP48" s="343"/>
      <c r="BQ48" s="343"/>
      <c r="BR48" s="343"/>
      <c r="BS48" s="343"/>
      <c r="BT48" s="343"/>
      <c r="BU48" s="343"/>
      <c r="BV48" s="343"/>
      <c r="BW48" s="343"/>
      <c r="BX48" s="343"/>
      <c r="BY48" s="343"/>
      <c r="BZ48" s="343"/>
      <c r="CA48" s="343"/>
      <c r="CB48" s="343"/>
      <c r="CC48" s="343"/>
      <c r="CD48" s="343"/>
      <c r="CE48" s="343"/>
      <c r="CF48" s="343"/>
      <c r="CG48" s="343"/>
      <c r="CH48" s="417"/>
      <c r="EZ48" s="342"/>
    </row>
    <row r="49" spans="1:156">
      <c r="A49" s="823"/>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17"/>
      <c r="AQ49" s="417"/>
      <c r="AR49" s="417"/>
      <c r="AS49" s="417"/>
      <c r="AT49" s="417"/>
      <c r="AU49" s="417"/>
      <c r="AV49" s="417"/>
      <c r="AW49" s="417"/>
      <c r="AX49" s="417"/>
      <c r="AY49" s="417"/>
      <c r="AZ49" s="417"/>
      <c r="BA49" s="417"/>
      <c r="BB49" s="417"/>
      <c r="BC49" s="417"/>
      <c r="BD49" s="417"/>
      <c r="BE49" s="417"/>
      <c r="BF49" s="417"/>
      <c r="BG49" s="417"/>
      <c r="BH49" s="417"/>
      <c r="BI49" s="417"/>
      <c r="BJ49" s="417"/>
      <c r="BK49" s="417"/>
      <c r="BL49" s="417"/>
      <c r="BM49" s="417"/>
      <c r="BN49" s="417"/>
      <c r="BO49" s="417"/>
      <c r="BP49" s="417"/>
      <c r="BQ49" s="417"/>
      <c r="BR49" s="417"/>
      <c r="BS49" s="417"/>
      <c r="BT49" s="417"/>
      <c r="BU49" s="417"/>
      <c r="BV49" s="417"/>
      <c r="BW49" s="417"/>
      <c r="BX49" s="417"/>
      <c r="BY49" s="417"/>
      <c r="BZ49" s="417"/>
      <c r="CA49" s="417"/>
      <c r="CB49" s="417"/>
      <c r="CC49" s="417"/>
      <c r="CD49" s="417"/>
      <c r="CE49" s="417"/>
      <c r="CF49" s="417"/>
      <c r="CG49" s="417"/>
      <c r="CH49" s="417"/>
      <c r="EZ49" s="342"/>
    </row>
    <row r="50" spans="1:156">
      <c r="A50" s="823"/>
      <c r="B50" s="417"/>
      <c r="C50" s="417"/>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17"/>
      <c r="AB50" s="417"/>
      <c r="AC50" s="417"/>
      <c r="AD50" s="417"/>
      <c r="AE50" s="417"/>
      <c r="AF50" s="417"/>
      <c r="AG50" s="417"/>
      <c r="AH50" s="417"/>
      <c r="AI50" s="417"/>
      <c r="AJ50" s="417"/>
      <c r="AK50" s="417"/>
      <c r="AL50" s="417"/>
      <c r="AM50" s="417"/>
      <c r="AN50" s="417"/>
      <c r="AO50" s="417"/>
      <c r="AP50" s="417"/>
      <c r="AQ50" s="417"/>
      <c r="AR50" s="417"/>
      <c r="AS50" s="417"/>
      <c r="AT50" s="417"/>
      <c r="AU50" s="417"/>
      <c r="AV50" s="417"/>
      <c r="AW50" s="417"/>
      <c r="AX50" s="417"/>
      <c r="AY50" s="417"/>
      <c r="AZ50" s="417"/>
      <c r="BA50" s="417"/>
      <c r="BB50" s="417"/>
      <c r="BC50" s="417"/>
      <c r="BD50" s="417"/>
      <c r="BE50" s="417"/>
      <c r="BF50" s="417"/>
      <c r="BG50" s="417"/>
      <c r="BH50" s="417"/>
      <c r="BI50" s="417"/>
      <c r="BJ50" s="417"/>
      <c r="BK50" s="417"/>
      <c r="BL50" s="417"/>
      <c r="BM50" s="417"/>
      <c r="BN50" s="417"/>
      <c r="BO50" s="417"/>
      <c r="BP50" s="417"/>
      <c r="BQ50" s="417"/>
      <c r="BR50" s="417"/>
      <c r="BS50" s="417"/>
      <c r="BT50" s="417"/>
      <c r="BU50" s="417"/>
      <c r="BV50" s="417"/>
      <c r="BW50" s="417"/>
      <c r="BX50" s="417"/>
      <c r="BY50" s="417"/>
      <c r="BZ50" s="417"/>
      <c r="CA50" s="417"/>
      <c r="CB50" s="417"/>
      <c r="CC50" s="417"/>
      <c r="CD50" s="417"/>
      <c r="CE50" s="417"/>
      <c r="CF50" s="417"/>
      <c r="CG50" s="417"/>
      <c r="CH50" s="417"/>
      <c r="EZ50" s="342"/>
    </row>
    <row r="51" spans="1:156">
      <c r="A51" s="823"/>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c r="BS51" s="417"/>
      <c r="BT51" s="417"/>
      <c r="BU51" s="417"/>
      <c r="BV51" s="417"/>
      <c r="BW51" s="417"/>
      <c r="BX51" s="417"/>
      <c r="BY51" s="417"/>
      <c r="BZ51" s="417"/>
      <c r="CA51" s="417"/>
      <c r="CB51" s="417"/>
      <c r="CC51" s="417"/>
      <c r="CD51" s="417"/>
      <c r="CE51" s="417"/>
      <c r="CF51" s="417"/>
      <c r="CG51" s="417"/>
      <c r="CH51" s="417"/>
      <c r="EZ51" s="342"/>
    </row>
    <row r="52" spans="1:156">
      <c r="A52" s="823"/>
      <c r="B52" s="417"/>
      <c r="C52" s="417"/>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c r="AC52" s="417"/>
      <c r="AD52" s="417"/>
      <c r="AE52" s="417"/>
      <c r="AF52" s="417"/>
      <c r="AG52" s="417"/>
      <c r="AH52" s="417"/>
      <c r="AI52" s="417"/>
      <c r="AJ52" s="417"/>
      <c r="AK52" s="417"/>
      <c r="AL52" s="417"/>
      <c r="AM52" s="417"/>
      <c r="AN52" s="417"/>
      <c r="AO52" s="417"/>
      <c r="AP52" s="417"/>
      <c r="AQ52" s="417"/>
      <c r="AR52" s="417"/>
      <c r="AS52" s="417"/>
      <c r="AT52" s="417"/>
      <c r="AU52" s="417"/>
      <c r="AV52" s="417"/>
      <c r="AW52" s="417"/>
      <c r="AX52" s="417"/>
      <c r="AY52" s="417"/>
      <c r="AZ52" s="417"/>
      <c r="BA52" s="417"/>
      <c r="BB52" s="417"/>
      <c r="BC52" s="417"/>
      <c r="BD52" s="417"/>
      <c r="BE52" s="417"/>
      <c r="BF52" s="417"/>
      <c r="BG52" s="417"/>
      <c r="BH52" s="417"/>
      <c r="BI52" s="417"/>
      <c r="BJ52" s="417"/>
      <c r="BK52" s="417"/>
      <c r="BL52" s="417"/>
      <c r="BM52" s="417"/>
      <c r="BN52" s="417"/>
      <c r="BO52" s="417"/>
      <c r="BP52" s="417"/>
      <c r="BQ52" s="417"/>
      <c r="BR52" s="417"/>
      <c r="BS52" s="417"/>
      <c r="BT52" s="417"/>
      <c r="BU52" s="417"/>
      <c r="BV52" s="417"/>
      <c r="BW52" s="417"/>
      <c r="BX52" s="417"/>
      <c r="BY52" s="417"/>
      <c r="BZ52" s="417"/>
      <c r="CA52" s="417"/>
      <c r="CB52" s="417"/>
      <c r="CC52" s="417"/>
      <c r="CD52" s="417"/>
      <c r="CE52" s="417"/>
      <c r="CF52" s="417"/>
      <c r="CG52" s="417"/>
      <c r="CH52" s="417"/>
      <c r="EZ52" s="342"/>
    </row>
    <row r="53" spans="1:156">
      <c r="A53" s="823"/>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7"/>
      <c r="AQ53" s="417"/>
      <c r="AR53" s="417"/>
      <c r="AS53" s="417"/>
      <c r="AT53" s="417"/>
      <c r="AU53" s="417"/>
      <c r="AV53" s="417"/>
      <c r="AW53" s="417"/>
      <c r="AX53" s="417"/>
      <c r="AY53" s="417"/>
      <c r="AZ53" s="417"/>
      <c r="BA53" s="417"/>
      <c r="BB53" s="417"/>
      <c r="BC53" s="417"/>
      <c r="BD53" s="417"/>
      <c r="BE53" s="417"/>
      <c r="BF53" s="417"/>
      <c r="BG53" s="417"/>
      <c r="BH53" s="417"/>
      <c r="BI53" s="417"/>
      <c r="BJ53" s="417"/>
      <c r="BK53" s="417"/>
      <c r="BL53" s="417"/>
      <c r="BM53" s="417"/>
      <c r="BN53" s="417"/>
      <c r="BO53" s="417"/>
      <c r="BP53" s="417"/>
      <c r="BQ53" s="417"/>
      <c r="BR53" s="417"/>
      <c r="BS53" s="417"/>
      <c r="BT53" s="417"/>
      <c r="BU53" s="417"/>
      <c r="BV53" s="417"/>
      <c r="BW53" s="417"/>
      <c r="BX53" s="417"/>
      <c r="BY53" s="417"/>
      <c r="BZ53" s="417"/>
      <c r="CA53" s="417"/>
      <c r="CB53" s="417"/>
      <c r="CC53" s="417"/>
      <c r="CD53" s="417"/>
      <c r="CE53" s="417"/>
      <c r="CF53" s="417"/>
      <c r="CG53" s="417"/>
      <c r="CH53" s="417"/>
      <c r="EZ53" s="342"/>
    </row>
    <row r="54" spans="1:156">
      <c r="A54" s="823"/>
      <c r="B54" s="417"/>
      <c r="C54" s="417"/>
      <c r="D54" s="417"/>
      <c r="E54" s="417"/>
      <c r="F54" s="417"/>
      <c r="G54" s="417"/>
      <c r="H54" s="417"/>
      <c r="I54" s="417"/>
      <c r="J54" s="417"/>
      <c r="K54" s="417"/>
      <c r="L54" s="417"/>
      <c r="M54" s="417"/>
      <c r="N54" s="417"/>
      <c r="O54" s="417"/>
      <c r="P54" s="417"/>
      <c r="Q54" s="417"/>
      <c r="R54" s="417"/>
      <c r="S54" s="417"/>
      <c r="T54" s="417"/>
      <c r="U54" s="417"/>
      <c r="V54" s="417"/>
      <c r="W54" s="417"/>
      <c r="X54" s="417"/>
      <c r="Y54" s="417"/>
      <c r="Z54" s="417"/>
      <c r="AA54" s="417"/>
      <c r="AB54" s="417"/>
      <c r="AC54" s="417"/>
      <c r="AD54" s="417"/>
      <c r="AE54" s="417"/>
      <c r="AF54" s="417"/>
      <c r="AG54" s="417"/>
      <c r="AH54" s="417"/>
      <c r="AI54" s="417"/>
      <c r="AJ54" s="417"/>
      <c r="AK54" s="417"/>
      <c r="AL54" s="417"/>
      <c r="AM54" s="417"/>
      <c r="AN54" s="417"/>
      <c r="AO54" s="417"/>
      <c r="AP54" s="417"/>
      <c r="AQ54" s="417"/>
      <c r="AR54" s="417"/>
      <c r="AS54" s="417"/>
      <c r="AT54" s="417"/>
      <c r="AU54" s="417"/>
      <c r="AV54" s="417"/>
      <c r="AW54" s="417"/>
      <c r="AX54" s="417"/>
      <c r="AY54" s="417"/>
      <c r="AZ54" s="417"/>
      <c r="BA54" s="417"/>
      <c r="BB54" s="417"/>
      <c r="BC54" s="417"/>
      <c r="BD54" s="417"/>
      <c r="BE54" s="417"/>
      <c r="BF54" s="417"/>
      <c r="BG54" s="417"/>
      <c r="BH54" s="417"/>
      <c r="BI54" s="417"/>
      <c r="BJ54" s="417"/>
      <c r="BK54" s="417"/>
      <c r="BL54" s="417"/>
      <c r="BM54" s="417"/>
      <c r="BN54" s="417"/>
      <c r="BO54" s="417"/>
      <c r="BP54" s="417"/>
      <c r="BQ54" s="417"/>
      <c r="BR54" s="417"/>
      <c r="BS54" s="417"/>
      <c r="BT54" s="417"/>
      <c r="BU54" s="417"/>
      <c r="BV54" s="417"/>
      <c r="BW54" s="417"/>
      <c r="BX54" s="417"/>
      <c r="BY54" s="417"/>
      <c r="BZ54" s="417"/>
      <c r="CA54" s="417"/>
      <c r="CB54" s="417"/>
      <c r="CC54" s="417"/>
      <c r="CD54" s="417"/>
      <c r="CE54" s="417"/>
      <c r="CF54" s="417"/>
      <c r="CG54" s="417"/>
      <c r="CH54" s="417"/>
      <c r="EZ54" s="342"/>
    </row>
    <row r="55" spans="1:156">
      <c r="EZ55" s="342"/>
    </row>
    <row r="56" spans="1:156">
      <c r="EZ56" s="342"/>
    </row>
    <row r="57" spans="1:156">
      <c r="EZ57" s="342"/>
    </row>
    <row r="58" spans="1:156">
      <c r="EZ58" s="342"/>
    </row>
    <row r="59" spans="1:156">
      <c r="EZ59" s="342"/>
    </row>
    <row r="60" spans="1:156">
      <c r="EZ60" s="342"/>
    </row>
    <row r="61" spans="1:156">
      <c r="EZ61" s="342"/>
    </row>
    <row r="62" spans="1:156">
      <c r="EZ62" s="342"/>
    </row>
    <row r="63" spans="1:156">
      <c r="EZ63" s="342"/>
    </row>
  </sheetData>
  <mergeCells count="15">
    <mergeCell ref="A3:EU3"/>
    <mergeCell ref="A2:EU2"/>
    <mergeCell ref="EU6:EU8"/>
    <mergeCell ref="A36:ET36"/>
    <mergeCell ref="A5:ET5"/>
    <mergeCell ref="B6:M6"/>
    <mergeCell ref="N6:Y6"/>
    <mergeCell ref="Z6:AK6"/>
    <mergeCell ref="AV6:AW6"/>
    <mergeCell ref="BV6:CG6"/>
    <mergeCell ref="CT6:DE6"/>
    <mergeCell ref="DF6:DQ6"/>
    <mergeCell ref="DR6:EC6"/>
    <mergeCell ref="ED6:EO6"/>
    <mergeCell ref="EP6:ET6"/>
  </mergeCells>
  <pageMargins left="0.7" right="0.7" top="0.75" bottom="0.75" header="0.3" footer="0.3"/>
  <pageSetup scale="25"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7">
    <tabColor rgb="FF92D050"/>
  </sheetPr>
  <dimension ref="A1:CD289"/>
  <sheetViews>
    <sheetView showGridLines="0" view="pageBreakPreview" zoomScaleSheetLayoutView="100" workbookViewId="0">
      <pane ySplit="9" topLeftCell="A205" activePane="bottomLeft" state="frozen"/>
      <selection activeCell="B39" sqref="B39"/>
      <selection pane="bottomLeft" activeCell="R227" sqref="R227"/>
    </sheetView>
  </sheetViews>
  <sheetFormatPr defaultColWidth="8.85546875" defaultRowHeight="15"/>
  <cols>
    <col min="1" max="1" width="8.42578125" style="82" customWidth="1"/>
    <col min="2" max="4" width="18.42578125" style="82" customWidth="1"/>
    <col min="5" max="6" width="15.140625" style="82" customWidth="1"/>
    <col min="7" max="8" width="13" style="82" customWidth="1"/>
    <col min="9" max="9" width="19.140625" style="82" customWidth="1"/>
    <col min="10" max="79" width="8.85546875" style="82"/>
    <col min="80" max="80" width="0" style="82" hidden="1" customWidth="1"/>
    <col min="81" max="16384" width="8.85546875" style="82"/>
  </cols>
  <sheetData>
    <row r="1" spans="1:82" ht="7.5" customHeight="1"/>
    <row r="2" spans="1:82" s="704" customFormat="1" ht="21" customHeight="1">
      <c r="A2" s="2535" t="s">
        <v>2737</v>
      </c>
      <c r="B2" s="2535"/>
      <c r="C2" s="2535"/>
      <c r="D2" s="2535"/>
      <c r="E2" s="2535"/>
      <c r="F2" s="2535"/>
      <c r="G2" s="2535"/>
      <c r="H2" s="2535"/>
      <c r="I2" s="2535"/>
    </row>
    <row r="3" spans="1:82" s="704" customFormat="1" ht="29.25" customHeight="1">
      <c r="A3" s="2536" t="s">
        <v>2738</v>
      </c>
      <c r="B3" s="2536"/>
      <c r="C3" s="2536"/>
      <c r="D3" s="2536"/>
      <c r="E3" s="2536"/>
      <c r="F3" s="2536"/>
      <c r="G3" s="2536"/>
      <c r="H3" s="2536"/>
      <c r="I3" s="2536"/>
    </row>
    <row r="4" spans="1:82" ht="14.25" customHeight="1">
      <c r="A4" s="542"/>
      <c r="B4" s="542"/>
      <c r="C4" s="542"/>
      <c r="D4" s="542"/>
      <c r="E4" s="542"/>
      <c r="F4" s="542"/>
      <c r="G4" s="542"/>
      <c r="H4" s="542"/>
      <c r="I4" s="542"/>
    </row>
    <row r="5" spans="1:82" ht="14.25" customHeight="1">
      <c r="A5" s="518"/>
      <c r="B5" s="518"/>
      <c r="C5" s="518"/>
      <c r="D5" s="518"/>
      <c r="E5" s="518"/>
      <c r="F5" s="518"/>
      <c r="G5" s="518"/>
      <c r="H5" s="518"/>
      <c r="I5" s="518"/>
    </row>
    <row r="6" spans="1:82" ht="20.25" customHeight="1">
      <c r="A6" s="2533" t="s">
        <v>2771</v>
      </c>
      <c r="B6" s="2534"/>
      <c r="C6" s="2534"/>
      <c r="D6" s="2534"/>
      <c r="E6" s="2534"/>
      <c r="F6" s="2534" t="s">
        <v>2061</v>
      </c>
      <c r="G6" s="2534"/>
      <c r="H6" s="2534"/>
      <c r="I6" s="2534"/>
    </row>
    <row r="7" spans="1:82" s="81" customFormat="1" ht="72.75" customHeight="1">
      <c r="A7" s="1245" t="s">
        <v>182</v>
      </c>
      <c r="B7" s="1245" t="s">
        <v>2656</v>
      </c>
      <c r="C7" s="1245" t="s">
        <v>1003</v>
      </c>
      <c r="D7" s="1245" t="s">
        <v>2657</v>
      </c>
      <c r="E7" s="1245" t="s">
        <v>2658</v>
      </c>
      <c r="F7" s="1245" t="s">
        <v>2659</v>
      </c>
      <c r="G7" s="1245" t="s">
        <v>1004</v>
      </c>
      <c r="H7" s="1245" t="s">
        <v>1005</v>
      </c>
      <c r="I7" s="1245" t="s">
        <v>1006</v>
      </c>
      <c r="CC7" s="302" t="s">
        <v>2062</v>
      </c>
      <c r="CD7" s="317" t="s">
        <v>2063</v>
      </c>
    </row>
    <row r="8" spans="1:82" s="118" customFormat="1" ht="20.25" customHeight="1">
      <c r="A8" s="2537" t="s">
        <v>2772</v>
      </c>
      <c r="B8" s="2538"/>
      <c r="C8" s="2538"/>
      <c r="D8" s="2538"/>
      <c r="E8" s="2538"/>
      <c r="F8" s="2538" t="s">
        <v>1164</v>
      </c>
      <c r="G8" s="2538"/>
      <c r="H8" s="2538"/>
      <c r="I8" s="2538"/>
      <c r="BY8" s="118">
        <f>BY10+BY22+BY32+BY40</f>
        <v>0</v>
      </c>
      <c r="CC8" s="118">
        <f>CC10+CC22+CC32+CC40</f>
        <v>622</v>
      </c>
      <c r="CD8" s="318">
        <f>BY8+BZ8+CA8+CC8</f>
        <v>622</v>
      </c>
    </row>
    <row r="9" spans="1:82" s="118" customFormat="1" ht="56.25" customHeight="1">
      <c r="A9" s="567" t="s">
        <v>289</v>
      </c>
      <c r="B9" s="567" t="s">
        <v>2662</v>
      </c>
      <c r="C9" s="567" t="s">
        <v>2663</v>
      </c>
      <c r="D9" s="567" t="s">
        <v>2661</v>
      </c>
      <c r="E9" s="567" t="s">
        <v>2664</v>
      </c>
      <c r="F9" s="567" t="s">
        <v>2660</v>
      </c>
      <c r="G9" s="567" t="s">
        <v>1165</v>
      </c>
      <c r="H9" s="567" t="s">
        <v>1166</v>
      </c>
      <c r="I9" s="567" t="s">
        <v>1167</v>
      </c>
      <c r="CD9" s="318"/>
    </row>
    <row r="10" spans="1:82">
      <c r="A10" s="83">
        <v>2005</v>
      </c>
      <c r="B10" s="273">
        <v>6</v>
      </c>
      <c r="C10" s="273">
        <v>0</v>
      </c>
      <c r="D10" s="273">
        <v>0</v>
      </c>
      <c r="E10" s="273">
        <v>0</v>
      </c>
      <c r="F10" s="273">
        <v>0</v>
      </c>
      <c r="G10" s="273">
        <v>0</v>
      </c>
      <c r="H10" s="273">
        <v>0</v>
      </c>
      <c r="I10" s="273">
        <v>0</v>
      </c>
      <c r="CC10" s="82">
        <f>CC12+CC17</f>
        <v>1713</v>
      </c>
      <c r="CD10" s="242">
        <f>BY10+BZ10+CA10+CC10</f>
        <v>1713</v>
      </c>
    </row>
    <row r="11" spans="1:82">
      <c r="A11" s="84">
        <v>2006</v>
      </c>
      <c r="B11" s="274">
        <v>20</v>
      </c>
      <c r="C11" s="274">
        <v>5.6</v>
      </c>
      <c r="D11" s="274">
        <v>1.28</v>
      </c>
      <c r="E11" s="274">
        <v>0</v>
      </c>
      <c r="F11" s="274">
        <v>0</v>
      </c>
      <c r="G11" s="274">
        <v>0</v>
      </c>
      <c r="H11" s="274">
        <v>0</v>
      </c>
      <c r="I11" s="274">
        <v>0</v>
      </c>
      <c r="CD11" s="242"/>
    </row>
    <row r="12" spans="1:82">
      <c r="A12" s="84">
        <v>2007</v>
      </c>
      <c r="B12" s="274">
        <v>20</v>
      </c>
      <c r="C12" s="274">
        <v>70.2</v>
      </c>
      <c r="D12" s="274">
        <v>45.36</v>
      </c>
      <c r="E12" s="274">
        <v>0</v>
      </c>
      <c r="F12" s="274">
        <v>0</v>
      </c>
      <c r="G12" s="274">
        <v>0</v>
      </c>
      <c r="H12" s="274">
        <v>0</v>
      </c>
      <c r="I12" s="274">
        <v>0</v>
      </c>
      <c r="CC12" s="82">
        <f>CC14+CC15</f>
        <v>4361</v>
      </c>
      <c r="CD12" s="242">
        <f>BY12+BZ12+CA12+CC12</f>
        <v>4361</v>
      </c>
    </row>
    <row r="13" spans="1:82">
      <c r="A13" s="84">
        <v>2008</v>
      </c>
      <c r="B13" s="274">
        <v>22</v>
      </c>
      <c r="C13" s="274">
        <v>0</v>
      </c>
      <c r="D13" s="274">
        <v>16.920000000000002</v>
      </c>
      <c r="E13" s="274">
        <v>0</v>
      </c>
      <c r="F13" s="274">
        <v>0</v>
      </c>
      <c r="G13" s="274">
        <v>0</v>
      </c>
      <c r="H13" s="274">
        <v>0</v>
      </c>
      <c r="I13" s="274">
        <v>0</v>
      </c>
      <c r="CD13" s="242"/>
    </row>
    <row r="14" spans="1:82">
      <c r="A14" s="84">
        <v>2009</v>
      </c>
      <c r="B14" s="274">
        <v>14</v>
      </c>
      <c r="C14" s="274">
        <v>77.150000000000006</v>
      </c>
      <c r="D14" s="274">
        <v>21.85</v>
      </c>
      <c r="E14" s="274">
        <v>55</v>
      </c>
      <c r="F14" s="274">
        <v>40303.4</v>
      </c>
      <c r="G14" s="274">
        <v>260.11</v>
      </c>
      <c r="H14" s="274">
        <v>6.79</v>
      </c>
      <c r="I14" s="274">
        <v>303.77</v>
      </c>
      <c r="CC14" s="82">
        <v>3917</v>
      </c>
      <c r="CD14" s="242">
        <f>BY14+BZ14+CA14+CC14</f>
        <v>3917</v>
      </c>
    </row>
    <row r="15" spans="1:82">
      <c r="A15" s="84">
        <v>2010</v>
      </c>
      <c r="B15" s="274">
        <f>SUM(B16:B27)</f>
        <v>65.02000000000001</v>
      </c>
      <c r="C15" s="274">
        <f>SUM(C16:C27)</f>
        <v>634.19000000000005</v>
      </c>
      <c r="D15" s="274">
        <f>SUM(D16:D27)</f>
        <v>580.75199999999995</v>
      </c>
      <c r="E15" s="274">
        <f>SUM(E16:E27)</f>
        <v>451</v>
      </c>
      <c r="F15" s="274">
        <f>AVERAGE(F16:F27)</f>
        <v>40199.243333333339</v>
      </c>
      <c r="G15" s="274">
        <f>AVERAGE(G16:G27)</f>
        <v>265.65999999999997</v>
      </c>
      <c r="H15" s="274">
        <f>AVERAGE(H16:H27)</f>
        <v>6.8441666666666663</v>
      </c>
      <c r="I15" s="274">
        <f>AVERAGE(I16:I27)</f>
        <v>305.29000000000002</v>
      </c>
      <c r="CC15" s="82">
        <v>444</v>
      </c>
      <c r="CD15" s="242">
        <f t="shared" ref="CD15:CD56" si="0">BY15+BZ15+CA15+CC15</f>
        <v>444</v>
      </c>
    </row>
    <row r="16" spans="1:82" hidden="1">
      <c r="A16" s="84" t="s">
        <v>18</v>
      </c>
      <c r="B16" s="274">
        <v>0</v>
      </c>
      <c r="C16" s="274">
        <v>4.05</v>
      </c>
      <c r="D16" s="274">
        <v>5.2619999999999996</v>
      </c>
      <c r="E16" s="274">
        <v>0</v>
      </c>
      <c r="F16" s="274">
        <v>40302.67</v>
      </c>
      <c r="G16" s="274">
        <v>260.68</v>
      </c>
      <c r="H16" s="275">
        <v>6.79</v>
      </c>
      <c r="I16" s="274">
        <v>303.89999999999998</v>
      </c>
      <c r="CD16" s="242"/>
    </row>
    <row r="17" spans="1:82" hidden="1">
      <c r="A17" s="84" t="s">
        <v>19</v>
      </c>
      <c r="B17" s="274">
        <v>0</v>
      </c>
      <c r="C17" s="274">
        <v>10.5</v>
      </c>
      <c r="D17" s="274">
        <v>15.47</v>
      </c>
      <c r="E17" s="274">
        <v>9</v>
      </c>
      <c r="F17" s="274">
        <v>40332.93</v>
      </c>
      <c r="G17" s="274">
        <v>261.33999999999997</v>
      </c>
      <c r="H17" s="275">
        <v>6.8000000000000007</v>
      </c>
      <c r="I17" s="274">
        <v>304.58</v>
      </c>
      <c r="CC17" s="82">
        <f>CC19+CC20</f>
        <v>-2648</v>
      </c>
      <c r="CD17" s="242">
        <f t="shared" si="0"/>
        <v>-2648</v>
      </c>
    </row>
    <row r="18" spans="1:82" hidden="1">
      <c r="A18" s="84" t="s">
        <v>20</v>
      </c>
      <c r="B18" s="274">
        <v>3</v>
      </c>
      <c r="C18" s="274">
        <v>19.89</v>
      </c>
      <c r="D18" s="274">
        <v>22.13</v>
      </c>
      <c r="E18" s="274">
        <v>12</v>
      </c>
      <c r="F18" s="274">
        <v>40349.449999999997</v>
      </c>
      <c r="G18" s="274">
        <v>262.64999999999998</v>
      </c>
      <c r="H18" s="275">
        <v>6.81</v>
      </c>
      <c r="I18" s="274">
        <v>304.51</v>
      </c>
      <c r="CD18" s="242"/>
    </row>
    <row r="19" spans="1:82" hidden="1">
      <c r="A19" s="84" t="s">
        <v>21</v>
      </c>
      <c r="B19" s="274">
        <v>4</v>
      </c>
      <c r="C19" s="274">
        <v>32.24</v>
      </c>
      <c r="D19" s="274">
        <v>30.83</v>
      </c>
      <c r="E19" s="274">
        <v>23</v>
      </c>
      <c r="F19" s="274">
        <v>40326.58</v>
      </c>
      <c r="G19" s="274">
        <v>264.25</v>
      </c>
      <c r="H19" s="275">
        <v>6.81</v>
      </c>
      <c r="I19" s="274">
        <v>303.99</v>
      </c>
      <c r="CC19" s="82">
        <v>-367</v>
      </c>
      <c r="CD19" s="242">
        <f t="shared" si="0"/>
        <v>-367</v>
      </c>
    </row>
    <row r="20" spans="1:82" hidden="1">
      <c r="A20" s="84" t="s">
        <v>22</v>
      </c>
      <c r="B20" s="274">
        <v>5</v>
      </c>
      <c r="C20" s="274">
        <v>42.88</v>
      </c>
      <c r="D20" s="274">
        <v>38.99</v>
      </c>
      <c r="E20" s="274">
        <v>38</v>
      </c>
      <c r="F20" s="274">
        <v>40296.879999999997</v>
      </c>
      <c r="G20" s="274">
        <v>265.60000000000002</v>
      </c>
      <c r="H20" s="275">
        <v>6.81</v>
      </c>
      <c r="I20" s="274">
        <v>303.39999999999998</v>
      </c>
      <c r="CC20" s="82">
        <v>-2281</v>
      </c>
      <c r="CD20" s="242">
        <f t="shared" si="0"/>
        <v>-2281</v>
      </c>
    </row>
    <row r="21" spans="1:82" hidden="1">
      <c r="A21" s="84" t="s">
        <v>23</v>
      </c>
      <c r="B21" s="274">
        <v>0</v>
      </c>
      <c r="C21" s="274">
        <v>52.99</v>
      </c>
      <c r="D21" s="274">
        <v>45.78</v>
      </c>
      <c r="E21" s="274">
        <v>0</v>
      </c>
      <c r="F21" s="274">
        <v>40227.17</v>
      </c>
      <c r="G21" s="274">
        <v>266.55</v>
      </c>
      <c r="H21" s="275">
        <v>6.8199999999999994</v>
      </c>
      <c r="I21" s="274">
        <v>302.83999999999997</v>
      </c>
      <c r="CD21" s="242"/>
    </row>
    <row r="22" spans="1:82" hidden="1">
      <c r="A22" s="84" t="s">
        <v>24</v>
      </c>
      <c r="B22" s="274">
        <v>0</v>
      </c>
      <c r="C22" s="274">
        <v>61.86</v>
      </c>
      <c r="D22" s="274">
        <v>51.25</v>
      </c>
      <c r="E22" s="274">
        <v>49</v>
      </c>
      <c r="F22" s="274">
        <v>40209.01</v>
      </c>
      <c r="G22" s="274">
        <v>267.05</v>
      </c>
      <c r="H22" s="275">
        <v>6.84</v>
      </c>
      <c r="I22" s="274">
        <v>307.35000000000002</v>
      </c>
      <c r="CC22" s="82">
        <f>CC24+CC25</f>
        <v>-797</v>
      </c>
      <c r="CD22" s="242">
        <f t="shared" si="0"/>
        <v>-797</v>
      </c>
    </row>
    <row r="23" spans="1:82" hidden="1">
      <c r="A23" s="84" t="s">
        <v>25</v>
      </c>
      <c r="B23" s="274">
        <v>7</v>
      </c>
      <c r="C23" s="274">
        <v>68.459999999999994</v>
      </c>
      <c r="D23" s="274">
        <v>59.42</v>
      </c>
      <c r="E23" s="274">
        <v>54</v>
      </c>
      <c r="F23" s="274">
        <v>40133.5</v>
      </c>
      <c r="G23" s="274">
        <v>267.43</v>
      </c>
      <c r="H23" s="275">
        <v>6.8499999999999988</v>
      </c>
      <c r="I23" s="274">
        <v>306.64999999999998</v>
      </c>
      <c r="CD23" s="242"/>
    </row>
    <row r="24" spans="1:82" hidden="1">
      <c r="A24" s="84" t="s">
        <v>26</v>
      </c>
      <c r="B24" s="274">
        <v>9.3000000000000007</v>
      </c>
      <c r="C24" s="274">
        <v>74.55</v>
      </c>
      <c r="D24" s="274">
        <v>66.05</v>
      </c>
      <c r="E24" s="274">
        <v>59</v>
      </c>
      <c r="F24" s="274">
        <v>40096.25</v>
      </c>
      <c r="G24" s="274">
        <v>267.77</v>
      </c>
      <c r="H24" s="275">
        <v>6.87</v>
      </c>
      <c r="I24" s="274">
        <v>306.54000000000002</v>
      </c>
      <c r="CC24" s="82">
        <v>-644</v>
      </c>
      <c r="CD24" s="242">
        <f t="shared" si="0"/>
        <v>-644</v>
      </c>
    </row>
    <row r="25" spans="1:82" hidden="1">
      <c r="A25" s="84" t="s">
        <v>27</v>
      </c>
      <c r="B25" s="274">
        <v>10.76</v>
      </c>
      <c r="C25" s="274">
        <v>81.88</v>
      </c>
      <c r="D25" s="274">
        <v>73.760000000000005</v>
      </c>
      <c r="E25" s="274">
        <v>62</v>
      </c>
      <c r="F25" s="274">
        <v>40057.24</v>
      </c>
      <c r="G25" s="274">
        <v>268.23</v>
      </c>
      <c r="H25" s="275">
        <v>6.8900000000000006</v>
      </c>
      <c r="I25" s="274">
        <v>306.32</v>
      </c>
      <c r="CC25" s="82">
        <v>-153</v>
      </c>
      <c r="CD25" s="242">
        <f t="shared" si="0"/>
        <v>-153</v>
      </c>
    </row>
    <row r="26" spans="1:82" hidden="1">
      <c r="A26" s="84" t="s">
        <v>28</v>
      </c>
      <c r="B26" s="274">
        <v>11.96</v>
      </c>
      <c r="C26" s="274">
        <v>88.04</v>
      </c>
      <c r="D26" s="274">
        <v>81.31</v>
      </c>
      <c r="E26" s="274">
        <v>70</v>
      </c>
      <c r="F26" s="274">
        <v>40033.72</v>
      </c>
      <c r="G26" s="274">
        <v>268.37</v>
      </c>
      <c r="H26" s="275">
        <v>6.9099999999999993</v>
      </c>
      <c r="I26" s="274">
        <v>306.68</v>
      </c>
      <c r="CD26" s="242"/>
    </row>
    <row r="27" spans="1:82" hidden="1">
      <c r="A27" s="84" t="s">
        <v>29</v>
      </c>
      <c r="B27" s="274">
        <v>14</v>
      </c>
      <c r="C27" s="274">
        <v>96.85</v>
      </c>
      <c r="D27" s="274">
        <v>90.5</v>
      </c>
      <c r="E27" s="274">
        <v>75</v>
      </c>
      <c r="F27" s="274">
        <v>40025.519999999997</v>
      </c>
      <c r="G27" s="274">
        <v>268</v>
      </c>
      <c r="H27" s="275">
        <v>6.93</v>
      </c>
      <c r="I27" s="274">
        <v>306.72000000000003</v>
      </c>
      <c r="CD27" s="242"/>
    </row>
    <row r="28" spans="1:82" hidden="1">
      <c r="A28" s="84"/>
      <c r="B28" s="274"/>
      <c r="C28" s="274"/>
      <c r="D28" s="274"/>
      <c r="E28" s="274"/>
      <c r="F28" s="274"/>
      <c r="G28" s="274"/>
      <c r="H28" s="275"/>
      <c r="I28" s="274"/>
      <c r="CD28" s="242"/>
    </row>
    <row r="29" spans="1:82">
      <c r="A29" s="84">
        <v>2011</v>
      </c>
      <c r="B29" s="274">
        <f>SUM(B30:B41)</f>
        <v>108.32</v>
      </c>
      <c r="C29" s="274">
        <f>SUM(C30:C41)</f>
        <v>575.57999999999993</v>
      </c>
      <c r="D29" s="274">
        <f>SUM(D30:D41)</f>
        <v>454.76</v>
      </c>
      <c r="E29" s="274">
        <f>SUM(E30:E41)</f>
        <v>517</v>
      </c>
      <c r="F29" s="274">
        <f>AVERAGE(F30:F41)</f>
        <v>39537.908055555563</v>
      </c>
      <c r="G29" s="274">
        <f>AVERAGE(G30:G41)</f>
        <v>269.64833333333337</v>
      </c>
      <c r="H29" s="274">
        <f>AVERAGE(H30:H41)</f>
        <v>6.9175000000000004</v>
      </c>
      <c r="I29" s="274">
        <f>AVERAGE(I30:I41)</f>
        <v>302.93749999999994</v>
      </c>
      <c r="CC29" s="82">
        <v>-31</v>
      </c>
      <c r="CD29" s="242">
        <f t="shared" si="0"/>
        <v>-31</v>
      </c>
    </row>
    <row r="30" spans="1:82" hidden="1">
      <c r="A30" s="84" t="s">
        <v>18</v>
      </c>
      <c r="B30" s="85">
        <v>0</v>
      </c>
      <c r="C30" s="85">
        <v>3.4</v>
      </c>
      <c r="D30" s="85">
        <v>5.22</v>
      </c>
      <c r="E30" s="85">
        <v>13</v>
      </c>
      <c r="F30" s="85">
        <v>39991.14</v>
      </c>
      <c r="G30" s="85">
        <v>269</v>
      </c>
      <c r="H30" s="222">
        <v>6.94</v>
      </c>
      <c r="I30" s="85">
        <v>305.95999999999998</v>
      </c>
      <c r="CC30" s="82">
        <v>-440</v>
      </c>
      <c r="CD30" s="242">
        <f t="shared" si="0"/>
        <v>-440</v>
      </c>
    </row>
    <row r="31" spans="1:82" hidden="1">
      <c r="A31" s="84" t="s">
        <v>19</v>
      </c>
      <c r="B31" s="85">
        <v>0.8</v>
      </c>
      <c r="C31" s="85">
        <v>8.8000000000000007</v>
      </c>
      <c r="D31" s="85">
        <v>11.1</v>
      </c>
      <c r="E31" s="85">
        <v>16</v>
      </c>
      <c r="F31" s="85">
        <v>39810.54</v>
      </c>
      <c r="G31" s="85">
        <v>268.70999999999998</v>
      </c>
      <c r="H31" s="222">
        <v>6.93</v>
      </c>
      <c r="I31" s="85">
        <v>305.89</v>
      </c>
      <c r="CD31" s="242"/>
    </row>
    <row r="32" spans="1:82" hidden="1">
      <c r="A32" s="84" t="s">
        <v>20</v>
      </c>
      <c r="B32" s="85">
        <v>2.6</v>
      </c>
      <c r="C32" s="85">
        <v>17.2</v>
      </c>
      <c r="D32" s="85">
        <v>15.2</v>
      </c>
      <c r="E32" s="85">
        <v>19</v>
      </c>
      <c r="F32" s="85">
        <v>39728.75</v>
      </c>
      <c r="G32" s="85">
        <v>268.85000000000002</v>
      </c>
      <c r="H32" s="222">
        <v>6.94</v>
      </c>
      <c r="I32" s="85">
        <v>305.29000000000002</v>
      </c>
      <c r="CC32" s="82">
        <f>CC34+CC35</f>
        <v>-498</v>
      </c>
      <c r="CD32" s="242">
        <f>BY32+BZ32+CA32+CC32</f>
        <v>-498</v>
      </c>
    </row>
    <row r="33" spans="1:82" hidden="1">
      <c r="A33" s="84" t="s">
        <v>21</v>
      </c>
      <c r="B33" s="247">
        <v>3.6</v>
      </c>
      <c r="C33" s="247">
        <v>26.4</v>
      </c>
      <c r="D33" s="247">
        <v>21.1</v>
      </c>
      <c r="E33" s="247">
        <v>22</v>
      </c>
      <c r="F33" s="247">
        <v>39635.33</v>
      </c>
      <c r="G33" s="247">
        <v>269.44</v>
      </c>
      <c r="H33" s="248">
        <v>6.93</v>
      </c>
      <c r="I33" s="247">
        <v>303.81</v>
      </c>
      <c r="CD33" s="242"/>
    </row>
    <row r="34" spans="1:82" hidden="1">
      <c r="A34" s="84" t="s">
        <v>22</v>
      </c>
      <c r="B34" s="247">
        <v>4.5999999999999996</v>
      </c>
      <c r="C34" s="247">
        <v>35.799999999999997</v>
      </c>
      <c r="D34" s="247">
        <v>28.8</v>
      </c>
      <c r="E34" s="247">
        <v>38</v>
      </c>
      <c r="F34" s="247">
        <v>39545.99</v>
      </c>
      <c r="G34" s="247">
        <v>269.8</v>
      </c>
      <c r="H34" s="248">
        <v>6.92</v>
      </c>
      <c r="I34" s="247">
        <v>302.79000000000002</v>
      </c>
      <c r="CC34" s="82">
        <v>-521</v>
      </c>
      <c r="CD34" s="242">
        <f>BY34+BZ34+CA34+CC34</f>
        <v>-521</v>
      </c>
    </row>
    <row r="35" spans="1:82" hidden="1">
      <c r="A35" s="84" t="s">
        <v>23</v>
      </c>
      <c r="B35" s="247">
        <v>5.6</v>
      </c>
      <c r="C35" s="247">
        <v>43.8</v>
      </c>
      <c r="D35" s="247">
        <v>33.4</v>
      </c>
      <c r="E35" s="247">
        <v>41</v>
      </c>
      <c r="F35" s="247">
        <v>39438.51</v>
      </c>
      <c r="G35" s="247">
        <v>269.91000000000003</v>
      </c>
      <c r="H35" s="248">
        <v>6.91</v>
      </c>
      <c r="I35" s="247">
        <v>302.06</v>
      </c>
      <c r="CC35" s="82">
        <v>23</v>
      </c>
      <c r="CD35" s="242">
        <f>BY35+BZ35+CA35+CC35</f>
        <v>23</v>
      </c>
    </row>
    <row r="36" spans="1:82" hidden="1">
      <c r="A36" s="84" t="s">
        <v>24</v>
      </c>
      <c r="B36" s="247">
        <v>6.9</v>
      </c>
      <c r="C36" s="247">
        <v>50.2</v>
      </c>
      <c r="D36" s="247">
        <v>38.299999999999997</v>
      </c>
      <c r="E36" s="247">
        <v>44</v>
      </c>
      <c r="F36" s="247">
        <v>39405.65</v>
      </c>
      <c r="G36" s="247">
        <v>269.95</v>
      </c>
      <c r="H36" s="248">
        <v>6.91</v>
      </c>
      <c r="I36" s="247">
        <v>301.76</v>
      </c>
      <c r="CD36" s="242"/>
    </row>
    <row r="37" spans="1:82" hidden="1">
      <c r="A37" s="84" t="s">
        <v>25</v>
      </c>
      <c r="B37" s="247">
        <v>14.2</v>
      </c>
      <c r="C37" s="247">
        <v>61.3</v>
      </c>
      <c r="D37" s="247">
        <v>44.3</v>
      </c>
      <c r="E37" s="247">
        <v>47</v>
      </c>
      <c r="F37" s="247">
        <v>39382.79</v>
      </c>
      <c r="G37" s="247">
        <v>269.98</v>
      </c>
      <c r="H37" s="248">
        <v>6.91</v>
      </c>
      <c r="I37" s="247">
        <v>301.66000000000003</v>
      </c>
      <c r="CC37" s="82">
        <v>433</v>
      </c>
      <c r="CD37" s="242">
        <f t="shared" si="0"/>
        <v>433</v>
      </c>
    </row>
    <row r="38" spans="1:82" hidden="1">
      <c r="A38" s="84" t="s">
        <v>26</v>
      </c>
      <c r="B38" s="247">
        <v>15.43</v>
      </c>
      <c r="C38" s="247">
        <v>72.86</v>
      </c>
      <c r="D38" s="247">
        <v>52.57</v>
      </c>
      <c r="E38" s="247">
        <v>60</v>
      </c>
      <c r="F38" s="247">
        <v>39379.93</v>
      </c>
      <c r="G38" s="247">
        <v>270.06</v>
      </c>
      <c r="H38" s="248">
        <v>6.91</v>
      </c>
      <c r="I38" s="247">
        <v>301.58999999999997</v>
      </c>
      <c r="CC38" s="82">
        <v>-931</v>
      </c>
      <c r="CD38" s="242">
        <f t="shared" si="0"/>
        <v>-931</v>
      </c>
    </row>
    <row r="39" spans="1:82" hidden="1">
      <c r="A39" s="84" t="s">
        <v>27</v>
      </c>
      <c r="B39" s="247">
        <v>16.7</v>
      </c>
      <c r="C39" s="247">
        <v>74.400000000000006</v>
      </c>
      <c r="D39" s="247">
        <v>59.9</v>
      </c>
      <c r="E39" s="247">
        <v>66</v>
      </c>
      <c r="F39" s="247">
        <v>39379.160000000003</v>
      </c>
      <c r="G39" s="247">
        <v>270.04000000000002</v>
      </c>
      <c r="H39" s="248">
        <v>6.9</v>
      </c>
      <c r="I39" s="247">
        <v>301.52999999999997</v>
      </c>
      <c r="CD39" s="242"/>
    </row>
    <row r="40" spans="1:82" hidden="1">
      <c r="A40" s="84" t="s">
        <v>28</v>
      </c>
      <c r="B40" s="247">
        <v>17.89</v>
      </c>
      <c r="C40" s="247">
        <v>85.88</v>
      </c>
      <c r="D40" s="247">
        <v>67.87</v>
      </c>
      <c r="E40" s="247">
        <v>74</v>
      </c>
      <c r="F40" s="247">
        <v>39378.86</v>
      </c>
      <c r="G40" s="247">
        <v>270.02999999999997</v>
      </c>
      <c r="H40" s="248">
        <v>6.9</v>
      </c>
      <c r="I40" s="247">
        <v>301.48</v>
      </c>
      <c r="CC40" s="82">
        <v>204</v>
      </c>
      <c r="CD40" s="242">
        <f t="shared" si="0"/>
        <v>204</v>
      </c>
    </row>
    <row r="41" spans="1:82" hidden="1">
      <c r="A41" s="84" t="s">
        <v>29</v>
      </c>
      <c r="B41" s="247">
        <v>20</v>
      </c>
      <c r="C41" s="247">
        <v>95.54</v>
      </c>
      <c r="D41" s="247">
        <v>77</v>
      </c>
      <c r="E41" s="247">
        <v>77</v>
      </c>
      <c r="F41" s="247">
        <v>39378.246666666702</v>
      </c>
      <c r="G41" s="247">
        <v>270.01</v>
      </c>
      <c r="H41" s="248">
        <v>6.91</v>
      </c>
      <c r="I41" s="247">
        <v>301.43</v>
      </c>
      <c r="CC41" s="82">
        <v>200</v>
      </c>
      <c r="CD41" s="242">
        <f t="shared" si="0"/>
        <v>200</v>
      </c>
    </row>
    <row r="42" spans="1:82">
      <c r="A42" s="84" t="s">
        <v>1301</v>
      </c>
      <c r="B42" s="274">
        <f>SUM(B43:B54)</f>
        <v>20</v>
      </c>
      <c r="C42" s="274">
        <f>SUM(C43:C54)</f>
        <v>435.37000000000006</v>
      </c>
      <c r="D42" s="274">
        <f>SUM(D43:D54)</f>
        <v>583.97</v>
      </c>
      <c r="E42" s="274">
        <f>SUM(E43:E54)</f>
        <v>210</v>
      </c>
      <c r="F42" s="274">
        <f>AVERAGE(F43:F54)</f>
        <v>38980.184999999998</v>
      </c>
      <c r="G42" s="274">
        <f>AVERAGE(G43:G54)</f>
        <v>276.08333333333331</v>
      </c>
      <c r="H42" s="274">
        <f>AVERAGE(H43:H54)</f>
        <v>7.0508333333333333</v>
      </c>
      <c r="I42" s="274">
        <f>AVERAGE(I43:I54)</f>
        <v>312.27166666666665</v>
      </c>
      <c r="CD42" s="242"/>
    </row>
    <row r="43" spans="1:82" hidden="1">
      <c r="A43" s="84" t="s">
        <v>18</v>
      </c>
      <c r="B43" s="247">
        <v>0</v>
      </c>
      <c r="C43" s="247">
        <v>2.57</v>
      </c>
      <c r="D43" s="247">
        <v>4.6900000000000004</v>
      </c>
      <c r="E43" s="247">
        <v>0</v>
      </c>
      <c r="F43" s="247">
        <v>39377.89</v>
      </c>
      <c r="G43" s="247">
        <v>270</v>
      </c>
      <c r="H43" s="248">
        <v>6.9</v>
      </c>
      <c r="I43" s="247">
        <v>301.39999999999998</v>
      </c>
      <c r="CC43" s="82">
        <v>295</v>
      </c>
      <c r="CD43" s="242">
        <f t="shared" si="0"/>
        <v>295</v>
      </c>
    </row>
    <row r="44" spans="1:82" hidden="1">
      <c r="A44" s="84" t="s">
        <v>19</v>
      </c>
      <c r="B44" s="247">
        <v>0</v>
      </c>
      <c r="C44" s="247">
        <v>9.02</v>
      </c>
      <c r="D44" s="247">
        <v>12.74</v>
      </c>
      <c r="E44" s="247">
        <v>3</v>
      </c>
      <c r="F44" s="247">
        <v>39377.33</v>
      </c>
      <c r="G44" s="247">
        <v>270</v>
      </c>
      <c r="H44" s="248">
        <v>6.9</v>
      </c>
      <c r="I44" s="247">
        <v>301.39</v>
      </c>
      <c r="CC44" s="82">
        <v>-95</v>
      </c>
      <c r="CD44" s="242">
        <f t="shared" si="0"/>
        <v>-95</v>
      </c>
    </row>
    <row r="45" spans="1:82" hidden="1">
      <c r="A45" s="84" t="s">
        <v>20</v>
      </c>
      <c r="B45" s="247">
        <v>0</v>
      </c>
      <c r="C45" s="247">
        <v>15.39</v>
      </c>
      <c r="D45" s="247">
        <v>19.16</v>
      </c>
      <c r="E45" s="247">
        <v>5</v>
      </c>
      <c r="F45" s="247">
        <v>39201</v>
      </c>
      <c r="G45" s="247">
        <v>277</v>
      </c>
      <c r="H45" s="248">
        <v>7.21</v>
      </c>
      <c r="I45" s="247">
        <v>308.45999999999998</v>
      </c>
      <c r="CD45" s="242"/>
    </row>
    <row r="46" spans="1:82" hidden="1">
      <c r="A46" s="84" t="s">
        <v>21</v>
      </c>
      <c r="B46" s="247">
        <v>0</v>
      </c>
      <c r="C46" s="247">
        <v>23.97</v>
      </c>
      <c r="D46" s="247">
        <v>26.72</v>
      </c>
      <c r="E46" s="247">
        <v>11</v>
      </c>
      <c r="F46" s="247">
        <v>39101</v>
      </c>
      <c r="G46" s="247">
        <v>277</v>
      </c>
      <c r="H46" s="248">
        <v>7.17</v>
      </c>
      <c r="I46" s="247">
        <v>312.66000000000003</v>
      </c>
      <c r="CC46" s="82">
        <v>0</v>
      </c>
      <c r="CD46" s="242">
        <f t="shared" si="0"/>
        <v>0</v>
      </c>
    </row>
    <row r="47" spans="1:82" hidden="1">
      <c r="A47" s="84" t="s">
        <v>22</v>
      </c>
      <c r="B47" s="247">
        <v>0</v>
      </c>
      <c r="C47" s="247">
        <v>31.74</v>
      </c>
      <c r="D47" s="247">
        <v>33.15</v>
      </c>
      <c r="E47" s="247">
        <v>17</v>
      </c>
      <c r="F47" s="247">
        <v>39003</v>
      </c>
      <c r="G47" s="247">
        <v>277</v>
      </c>
      <c r="H47" s="248">
        <v>7.14</v>
      </c>
      <c r="I47" s="247">
        <v>312.20999999999998</v>
      </c>
      <c r="CD47" s="242"/>
    </row>
    <row r="48" spans="1:82" hidden="1">
      <c r="A48" s="84" t="s">
        <v>23</v>
      </c>
      <c r="B48" s="247">
        <v>20</v>
      </c>
      <c r="C48" s="247">
        <v>36.630000000000003</v>
      </c>
      <c r="D48" s="247">
        <v>44.46</v>
      </c>
      <c r="E48" s="247">
        <v>23</v>
      </c>
      <c r="F48" s="247">
        <v>38940</v>
      </c>
      <c r="G48" s="247">
        <v>277</v>
      </c>
      <c r="H48" s="248">
        <v>7.1</v>
      </c>
      <c r="I48" s="247">
        <v>310.75</v>
      </c>
      <c r="CC48" s="82">
        <f>CC49-CC53</f>
        <v>481</v>
      </c>
      <c r="CD48" s="242">
        <f t="shared" si="0"/>
        <v>481</v>
      </c>
    </row>
    <row r="49" spans="1:82" hidden="1">
      <c r="A49" s="84" t="s">
        <v>24</v>
      </c>
      <c r="B49" s="247">
        <v>0</v>
      </c>
      <c r="C49" s="247">
        <v>39.840000000000003</v>
      </c>
      <c r="D49" s="247">
        <v>56.78</v>
      </c>
      <c r="E49" s="247">
        <v>23</v>
      </c>
      <c r="F49" s="247">
        <v>38903</v>
      </c>
      <c r="G49" s="247">
        <v>277</v>
      </c>
      <c r="H49" s="248">
        <v>7.08</v>
      </c>
      <c r="I49" s="247">
        <v>314.05</v>
      </c>
      <c r="CC49" s="82">
        <f>CC51+CC52</f>
        <v>965</v>
      </c>
      <c r="CD49" s="242">
        <f t="shared" si="0"/>
        <v>965</v>
      </c>
    </row>
    <row r="50" spans="1:82" hidden="1">
      <c r="A50" s="84" t="s">
        <v>25</v>
      </c>
      <c r="B50" s="247">
        <v>0</v>
      </c>
      <c r="C50" s="247">
        <v>42.64</v>
      </c>
      <c r="D50" s="247">
        <v>65.53</v>
      </c>
      <c r="E50" s="247">
        <v>23</v>
      </c>
      <c r="F50" s="247">
        <v>38860</v>
      </c>
      <c r="G50" s="247">
        <v>277</v>
      </c>
      <c r="H50" s="248">
        <v>7.07</v>
      </c>
      <c r="I50" s="247">
        <v>313.19</v>
      </c>
      <c r="CD50" s="242"/>
    </row>
    <row r="51" spans="1:82" hidden="1">
      <c r="A51" s="84" t="s">
        <v>26</v>
      </c>
      <c r="B51" s="247">
        <v>0</v>
      </c>
      <c r="C51" s="247">
        <v>46.24</v>
      </c>
      <c r="D51" s="247">
        <v>69.5</v>
      </c>
      <c r="E51" s="247">
        <v>23</v>
      </c>
      <c r="F51" s="247">
        <v>38796</v>
      </c>
      <c r="G51" s="247">
        <v>278</v>
      </c>
      <c r="H51" s="248">
        <v>7.03</v>
      </c>
      <c r="I51" s="247">
        <v>319.62</v>
      </c>
      <c r="CC51" s="82">
        <v>954</v>
      </c>
      <c r="CD51" s="242">
        <f t="shared" si="0"/>
        <v>954</v>
      </c>
    </row>
    <row r="52" spans="1:82" hidden="1">
      <c r="A52" s="84" t="s">
        <v>27</v>
      </c>
      <c r="B52" s="247">
        <v>0</v>
      </c>
      <c r="C52" s="247">
        <v>50.62</v>
      </c>
      <c r="D52" s="247">
        <v>74.680000000000007</v>
      </c>
      <c r="E52" s="247">
        <v>23</v>
      </c>
      <c r="F52" s="247">
        <v>38755</v>
      </c>
      <c r="G52" s="247">
        <v>278</v>
      </c>
      <c r="H52" s="248">
        <v>7.01</v>
      </c>
      <c r="I52" s="247">
        <v>318.47000000000003</v>
      </c>
      <c r="CC52" s="82">
        <v>11</v>
      </c>
      <c r="CD52" s="242">
        <f t="shared" si="0"/>
        <v>11</v>
      </c>
    </row>
    <row r="53" spans="1:82" hidden="1">
      <c r="A53" s="84" t="s">
        <v>28</v>
      </c>
      <c r="B53" s="247">
        <v>0</v>
      </c>
      <c r="C53" s="247">
        <v>61.54</v>
      </c>
      <c r="D53" s="247">
        <v>85.41</v>
      </c>
      <c r="E53" s="247">
        <v>23</v>
      </c>
      <c r="F53" s="247">
        <v>38733</v>
      </c>
      <c r="G53" s="247">
        <v>277</v>
      </c>
      <c r="H53" s="248">
        <v>7</v>
      </c>
      <c r="I53" s="247">
        <v>318.06</v>
      </c>
      <c r="CC53" s="82">
        <f>CC55+CC56+CC57+CC58</f>
        <v>484</v>
      </c>
      <c r="CD53" s="242">
        <f t="shared" si="0"/>
        <v>484</v>
      </c>
    </row>
    <row r="54" spans="1:82" hidden="1">
      <c r="A54" s="84" t="s">
        <v>29</v>
      </c>
      <c r="B54" s="247">
        <v>0</v>
      </c>
      <c r="C54" s="247">
        <v>75.17</v>
      </c>
      <c r="D54" s="247">
        <v>91.15</v>
      </c>
      <c r="E54" s="247">
        <v>36</v>
      </c>
      <c r="F54" s="247">
        <v>38715</v>
      </c>
      <c r="G54" s="247">
        <v>278</v>
      </c>
      <c r="H54" s="248">
        <v>7</v>
      </c>
      <c r="I54" s="247">
        <v>317</v>
      </c>
      <c r="CD54" s="242"/>
    </row>
    <row r="55" spans="1:82">
      <c r="A55" s="84" t="s">
        <v>1423</v>
      </c>
      <c r="B55" s="274">
        <f>SUM(B56:B67)</f>
        <v>40</v>
      </c>
      <c r="C55" s="274">
        <f>SUM(C56:C67)</f>
        <v>701.11469999999997</v>
      </c>
      <c r="D55" s="274">
        <f>SUM(D56:D67)</f>
        <v>471.407736</v>
      </c>
      <c r="E55" s="274">
        <f>SUM(E56:E67)</f>
        <v>357</v>
      </c>
      <c r="F55" s="274">
        <f>AVERAGE(F56:F67)</f>
        <v>40790.5</v>
      </c>
      <c r="G55" s="274">
        <f>AVERAGE(G56:G67)</f>
        <v>280.66666666666669</v>
      </c>
      <c r="H55" s="274">
        <f>AVERAGE(H56:H67)</f>
        <v>6.600741666666667</v>
      </c>
      <c r="I55" s="274">
        <f>AVERAGE(I56:I67)</f>
        <v>311.7091666666667</v>
      </c>
      <c r="CC55" s="82">
        <v>1214</v>
      </c>
      <c r="CD55" s="242">
        <f t="shared" si="0"/>
        <v>1214</v>
      </c>
    </row>
    <row r="56" spans="1:82" hidden="1">
      <c r="A56" s="84" t="s">
        <v>18</v>
      </c>
      <c r="B56" s="247">
        <v>0</v>
      </c>
      <c r="C56" s="247">
        <v>2.06</v>
      </c>
      <c r="D56" s="247">
        <v>2.68</v>
      </c>
      <c r="E56" s="247">
        <v>8</v>
      </c>
      <c r="F56" s="247">
        <v>38701</v>
      </c>
      <c r="G56" s="247">
        <v>278</v>
      </c>
      <c r="H56" s="248">
        <v>6.99</v>
      </c>
      <c r="I56" s="247">
        <v>316.25</v>
      </c>
      <c r="CC56" s="82">
        <v>-745</v>
      </c>
      <c r="CD56" s="242">
        <f t="shared" si="0"/>
        <v>-745</v>
      </c>
    </row>
    <row r="57" spans="1:82" hidden="1">
      <c r="A57" s="84" t="s">
        <v>19</v>
      </c>
      <c r="B57" s="247">
        <v>0</v>
      </c>
      <c r="C57" s="247">
        <v>7.89</v>
      </c>
      <c r="D57" s="247">
        <v>7.93</v>
      </c>
      <c r="E57" s="247">
        <v>11</v>
      </c>
      <c r="F57" s="247">
        <v>38705</v>
      </c>
      <c r="G57" s="247">
        <v>278</v>
      </c>
      <c r="H57" s="248">
        <v>6.99</v>
      </c>
      <c r="I57" s="247">
        <v>319.08999999999997</v>
      </c>
      <c r="CC57" s="82">
        <v>0</v>
      </c>
      <c r="CD57" s="242">
        <f>BY57+BZ57+CA57+CC57</f>
        <v>0</v>
      </c>
    </row>
    <row r="58" spans="1:82" hidden="1">
      <c r="A58" s="84" t="s">
        <v>20</v>
      </c>
      <c r="B58" s="247">
        <v>20</v>
      </c>
      <c r="C58" s="247">
        <v>15.19</v>
      </c>
      <c r="D58" s="247">
        <v>12.05</v>
      </c>
      <c r="E58" s="247">
        <v>11</v>
      </c>
      <c r="F58" s="247">
        <v>38749</v>
      </c>
      <c r="G58" s="247">
        <v>278</v>
      </c>
      <c r="H58" s="248">
        <v>6.99</v>
      </c>
      <c r="I58" s="247">
        <v>319.02</v>
      </c>
      <c r="CC58" s="82">
        <v>15</v>
      </c>
      <c r="CD58" s="242">
        <f>BY58+BZ58+CA58+CC58</f>
        <v>15</v>
      </c>
    </row>
    <row r="59" spans="1:82" hidden="1">
      <c r="A59" s="84" t="s">
        <v>21</v>
      </c>
      <c r="B59" s="247">
        <v>0</v>
      </c>
      <c r="C59" s="247">
        <v>32.14</v>
      </c>
      <c r="D59" s="247">
        <v>20.41</v>
      </c>
      <c r="E59" s="247">
        <v>11</v>
      </c>
      <c r="F59" s="247">
        <v>38846</v>
      </c>
      <c r="G59" s="247">
        <v>277</v>
      </c>
      <c r="H59" s="248">
        <v>6.97</v>
      </c>
      <c r="I59" s="247">
        <v>318.52</v>
      </c>
      <c r="CC59" s="82">
        <v>-372</v>
      </c>
      <c r="CD59" s="242">
        <f>BY59+BZ59+CA59+CC59</f>
        <v>-372</v>
      </c>
    </row>
    <row r="60" spans="1:82" hidden="1">
      <c r="A60" s="84" t="s">
        <v>22</v>
      </c>
      <c r="B60" s="247">
        <v>0</v>
      </c>
      <c r="C60" s="247">
        <v>49.54</v>
      </c>
      <c r="D60" s="247">
        <v>28.31</v>
      </c>
      <c r="E60" s="247">
        <v>26</v>
      </c>
      <c r="F60" s="247">
        <v>38923</v>
      </c>
      <c r="G60" s="247">
        <v>277</v>
      </c>
      <c r="H60" s="248">
        <v>6.95</v>
      </c>
      <c r="I60" s="247">
        <v>321.02999999999997</v>
      </c>
      <c r="CC60" s="82">
        <v>-231</v>
      </c>
      <c r="CD60" s="242">
        <f>BY60+BZ60+CA60+CC60</f>
        <v>-231</v>
      </c>
    </row>
    <row r="61" spans="1:82" hidden="1">
      <c r="A61" s="84" t="s">
        <v>23</v>
      </c>
      <c r="B61" s="247">
        <v>0</v>
      </c>
      <c r="C61" s="247">
        <v>64.174999999999997</v>
      </c>
      <c r="D61" s="247">
        <v>35.643000000000001</v>
      </c>
      <c r="E61" s="247">
        <v>31</v>
      </c>
      <c r="F61" s="247">
        <v>42434</v>
      </c>
      <c r="G61" s="247">
        <v>278</v>
      </c>
      <c r="H61" s="248">
        <v>6.3010000000000002</v>
      </c>
      <c r="I61" s="247">
        <v>301.73</v>
      </c>
      <c r="CD61" s="242"/>
    </row>
    <row r="62" spans="1:82" hidden="1">
      <c r="A62" s="84" t="s">
        <v>24</v>
      </c>
      <c r="B62" s="247">
        <v>20</v>
      </c>
      <c r="C62" s="247">
        <v>73.281000000000006</v>
      </c>
      <c r="D62" s="247">
        <v>41.712000000000003</v>
      </c>
      <c r="E62" s="247">
        <v>34</v>
      </c>
      <c r="F62" s="247">
        <v>42567</v>
      </c>
      <c r="G62" s="247">
        <v>287</v>
      </c>
      <c r="H62" s="248">
        <v>6.3559999999999999</v>
      </c>
      <c r="I62" s="247">
        <v>301.5</v>
      </c>
      <c r="CC62" s="82">
        <f>CC8+CC46-CC48+CC59-CC60</f>
        <v>0</v>
      </c>
      <c r="CD62" s="242">
        <f>BY62+BZ62+CA62+CC62</f>
        <v>0</v>
      </c>
    </row>
    <row r="63" spans="1:82" hidden="1">
      <c r="A63" s="84" t="s">
        <v>25</v>
      </c>
      <c r="B63" s="247">
        <v>0</v>
      </c>
      <c r="C63" s="247">
        <v>79.057000000000002</v>
      </c>
      <c r="D63" s="247">
        <v>47.353436000000002</v>
      </c>
      <c r="E63" s="247">
        <v>37</v>
      </c>
      <c r="F63" s="247">
        <v>44411</v>
      </c>
      <c r="G63" s="247">
        <v>288</v>
      </c>
      <c r="H63" s="248">
        <v>5.7419000000000002</v>
      </c>
      <c r="I63" s="247">
        <v>297.89999999999998</v>
      </c>
    </row>
    <row r="64" spans="1:82" hidden="1">
      <c r="A64" s="84" t="s">
        <v>26</v>
      </c>
      <c r="B64" s="247">
        <v>0</v>
      </c>
      <c r="C64" s="247">
        <v>82.005700000000004</v>
      </c>
      <c r="D64" s="247">
        <v>56.214300000000001</v>
      </c>
      <c r="E64" s="247">
        <v>37</v>
      </c>
      <c r="F64" s="247">
        <v>44208</v>
      </c>
      <c r="G64" s="247">
        <v>288</v>
      </c>
      <c r="H64" s="248">
        <v>5.64</v>
      </c>
      <c r="I64" s="247">
        <v>294.39</v>
      </c>
    </row>
    <row r="65" spans="1:9" hidden="1">
      <c r="A65" s="84" t="s">
        <v>27</v>
      </c>
      <c r="B65" s="247">
        <v>0</v>
      </c>
      <c r="C65" s="247">
        <v>86.445999999999998</v>
      </c>
      <c r="D65" s="247">
        <v>62.244999999999997</v>
      </c>
      <c r="E65" s="247">
        <v>47</v>
      </c>
      <c r="F65" s="247">
        <v>43140</v>
      </c>
      <c r="G65" s="247">
        <v>284</v>
      </c>
      <c r="H65" s="248">
        <v>6.51</v>
      </c>
      <c r="I65" s="247">
        <v>311.61</v>
      </c>
    </row>
    <row r="66" spans="1:9" hidden="1">
      <c r="A66" s="84" t="s">
        <v>28</v>
      </c>
      <c r="B66" s="247">
        <v>0</v>
      </c>
      <c r="C66" s="247">
        <v>96.42</v>
      </c>
      <c r="D66" s="247">
        <v>70</v>
      </c>
      <c r="E66" s="247">
        <v>47</v>
      </c>
      <c r="F66" s="247">
        <v>39328</v>
      </c>
      <c r="G66" s="247">
        <v>277</v>
      </c>
      <c r="H66" s="248">
        <v>6.89</v>
      </c>
      <c r="I66" s="247">
        <v>319.58999999999997</v>
      </c>
    </row>
    <row r="67" spans="1:9" hidden="1">
      <c r="A67" s="84" t="s">
        <v>29</v>
      </c>
      <c r="B67" s="247">
        <v>0</v>
      </c>
      <c r="C67" s="247">
        <v>112.91</v>
      </c>
      <c r="D67" s="247">
        <v>86.86</v>
      </c>
      <c r="E67" s="247">
        <v>57</v>
      </c>
      <c r="F67" s="247">
        <v>39474</v>
      </c>
      <c r="G67" s="247">
        <v>278</v>
      </c>
      <c r="H67" s="248">
        <v>6.88</v>
      </c>
      <c r="I67" s="247">
        <v>319.88</v>
      </c>
    </row>
    <row r="68" spans="1:9">
      <c r="A68" s="84" t="s">
        <v>1634</v>
      </c>
      <c r="B68" s="274">
        <f>SUM(B69:B80)</f>
        <v>40</v>
      </c>
      <c r="C68" s="274">
        <f>SUM(C69:C80)</f>
        <v>686.1</v>
      </c>
      <c r="D68" s="274">
        <f>SUM(D69:D80)</f>
        <v>791.99999999999989</v>
      </c>
      <c r="E68" s="274">
        <f>SUM(E69:E80)</f>
        <v>40</v>
      </c>
      <c r="F68" s="274">
        <f>AVERAGE(F69:F80)</f>
        <v>39880.712500000001</v>
      </c>
      <c r="G68" s="274">
        <f>AVERAGE(G69:G80)</f>
        <v>278.25</v>
      </c>
      <c r="H68" s="274">
        <f>AVERAGE(H69:H80)</f>
        <v>6.8333333333333348</v>
      </c>
      <c r="I68" s="274">
        <f>AVERAGE(I69:I80)</f>
        <v>321.11083333333335</v>
      </c>
    </row>
    <row r="69" spans="1:9" hidden="1">
      <c r="A69" s="84" t="s">
        <v>18</v>
      </c>
      <c r="B69" s="247">
        <v>0</v>
      </c>
      <c r="C69" s="247">
        <v>3.42</v>
      </c>
      <c r="D69" s="247">
        <v>9.93</v>
      </c>
      <c r="E69" s="247">
        <v>0</v>
      </c>
      <c r="F69" s="247">
        <v>39513</v>
      </c>
      <c r="G69" s="247">
        <v>278</v>
      </c>
      <c r="H69" s="248">
        <v>6.88</v>
      </c>
      <c r="I69" s="247">
        <v>319.75</v>
      </c>
    </row>
    <row r="70" spans="1:9" hidden="1">
      <c r="A70" s="84" t="s">
        <v>19</v>
      </c>
      <c r="B70" s="247">
        <v>0</v>
      </c>
      <c r="C70" s="247">
        <v>13.66</v>
      </c>
      <c r="D70" s="247">
        <v>18.14</v>
      </c>
      <c r="E70" s="247">
        <v>5</v>
      </c>
      <c r="F70" s="247">
        <v>39578</v>
      </c>
      <c r="G70" s="247">
        <v>278</v>
      </c>
      <c r="H70" s="248">
        <v>6.87</v>
      </c>
      <c r="I70" s="247">
        <v>319.27</v>
      </c>
    </row>
    <row r="71" spans="1:9" hidden="1">
      <c r="A71" s="84" t="s">
        <v>20</v>
      </c>
      <c r="B71" s="247">
        <v>10</v>
      </c>
      <c r="C71" s="247">
        <v>27.4</v>
      </c>
      <c r="D71" s="247">
        <v>27.13</v>
      </c>
      <c r="E71" s="247">
        <v>10</v>
      </c>
      <c r="F71" s="247">
        <v>39676</v>
      </c>
      <c r="G71" s="247">
        <v>278</v>
      </c>
      <c r="H71" s="248">
        <v>6.86</v>
      </c>
      <c r="I71" s="247">
        <v>319.37</v>
      </c>
    </row>
    <row r="72" spans="1:9" hidden="1">
      <c r="A72" s="84" t="s">
        <v>21</v>
      </c>
      <c r="B72" s="247">
        <v>0</v>
      </c>
      <c r="C72" s="247">
        <v>41.97</v>
      </c>
      <c r="D72" s="247">
        <v>37.99</v>
      </c>
      <c r="E72" s="247">
        <v>5</v>
      </c>
      <c r="F72" s="247">
        <v>39749</v>
      </c>
      <c r="G72" s="247">
        <v>278</v>
      </c>
      <c r="H72" s="248">
        <v>6.85</v>
      </c>
      <c r="I72" s="247">
        <v>318.97000000000003</v>
      </c>
    </row>
    <row r="73" spans="1:9" hidden="1">
      <c r="A73" s="84" t="s">
        <v>22</v>
      </c>
      <c r="B73" s="247">
        <v>0</v>
      </c>
      <c r="C73" s="247">
        <v>52.71</v>
      </c>
      <c r="D73" s="247">
        <v>44.66</v>
      </c>
      <c r="E73" s="247">
        <v>10</v>
      </c>
      <c r="F73" s="247">
        <v>39839</v>
      </c>
      <c r="G73" s="247">
        <v>278</v>
      </c>
      <c r="H73" s="248">
        <v>6.83</v>
      </c>
      <c r="I73" s="247">
        <v>318.52999999999997</v>
      </c>
    </row>
    <row r="74" spans="1:9" hidden="1">
      <c r="A74" s="84" t="s">
        <v>23</v>
      </c>
      <c r="B74" s="247">
        <v>0</v>
      </c>
      <c r="C74" s="247">
        <v>60.71</v>
      </c>
      <c r="D74" s="247">
        <v>56.56</v>
      </c>
      <c r="E74" s="247">
        <v>10</v>
      </c>
      <c r="F74" s="247">
        <v>39891</v>
      </c>
      <c r="G74" s="247">
        <v>278</v>
      </c>
      <c r="H74" s="248">
        <v>6.83</v>
      </c>
      <c r="I74" s="247">
        <v>318.61</v>
      </c>
    </row>
    <row r="75" spans="1:9" hidden="1">
      <c r="A75" s="84" t="s">
        <v>24</v>
      </c>
      <c r="B75" s="247">
        <v>10</v>
      </c>
      <c r="C75" s="247">
        <v>66.69</v>
      </c>
      <c r="D75" s="247">
        <v>68.63</v>
      </c>
      <c r="E75" s="247">
        <v>0</v>
      </c>
      <c r="F75" s="247">
        <v>39944</v>
      </c>
      <c r="G75" s="247">
        <v>278</v>
      </c>
      <c r="H75" s="248">
        <v>6.82</v>
      </c>
      <c r="I75" s="247">
        <v>318.64999999999998</v>
      </c>
    </row>
    <row r="76" spans="1:9" hidden="1">
      <c r="A76" s="84" t="s">
        <v>25</v>
      </c>
      <c r="B76" s="247">
        <v>0</v>
      </c>
      <c r="C76" s="247">
        <v>73.23</v>
      </c>
      <c r="D76" s="247">
        <v>78.540000000000006</v>
      </c>
      <c r="E76" s="247">
        <v>0</v>
      </c>
      <c r="F76" s="247">
        <v>39978</v>
      </c>
      <c r="G76" s="247">
        <v>278</v>
      </c>
      <c r="H76" s="248">
        <v>6.82</v>
      </c>
      <c r="I76" s="247">
        <v>318.73</v>
      </c>
    </row>
    <row r="77" spans="1:9" hidden="1">
      <c r="A77" s="84" t="s">
        <v>26</v>
      </c>
      <c r="B77" s="247">
        <v>20</v>
      </c>
      <c r="C77" s="247">
        <v>78.63</v>
      </c>
      <c r="D77" s="247">
        <v>94.35</v>
      </c>
      <c r="E77" s="247">
        <v>0</v>
      </c>
      <c r="F77" s="247">
        <v>40031.35</v>
      </c>
      <c r="G77" s="247">
        <v>278</v>
      </c>
      <c r="H77" s="248">
        <v>6.82</v>
      </c>
      <c r="I77" s="247">
        <v>318.76</v>
      </c>
    </row>
    <row r="78" spans="1:9" hidden="1">
      <c r="A78" s="84" t="s">
        <v>27</v>
      </c>
      <c r="B78" s="247">
        <v>0</v>
      </c>
      <c r="C78" s="247">
        <v>81.98</v>
      </c>
      <c r="D78" s="247">
        <v>109.67</v>
      </c>
      <c r="E78" s="247">
        <v>0</v>
      </c>
      <c r="F78" s="247">
        <v>40049.199999999997</v>
      </c>
      <c r="G78" s="247">
        <v>279</v>
      </c>
      <c r="H78" s="248">
        <v>6.82</v>
      </c>
      <c r="I78" s="247">
        <v>318.67</v>
      </c>
    </row>
    <row r="79" spans="1:9" hidden="1">
      <c r="A79" s="84" t="s">
        <v>28</v>
      </c>
      <c r="B79" s="247">
        <v>0</v>
      </c>
      <c r="C79" s="247">
        <v>88.6</v>
      </c>
      <c r="D79" s="247">
        <v>120</v>
      </c>
      <c r="E79" s="247">
        <v>0</v>
      </c>
      <c r="F79" s="247">
        <v>40114</v>
      </c>
      <c r="G79" s="247">
        <v>279</v>
      </c>
      <c r="H79" s="248">
        <v>6.81</v>
      </c>
      <c r="I79" s="247">
        <v>331.56</v>
      </c>
    </row>
    <row r="80" spans="1:9" hidden="1">
      <c r="A80" s="84" t="s">
        <v>29</v>
      </c>
      <c r="B80" s="247">
        <v>0</v>
      </c>
      <c r="C80" s="247">
        <v>97.1</v>
      </c>
      <c r="D80" s="247">
        <v>126.4</v>
      </c>
      <c r="E80" s="247">
        <v>0</v>
      </c>
      <c r="F80" s="247">
        <v>40206</v>
      </c>
      <c r="G80" s="247">
        <v>279</v>
      </c>
      <c r="H80" s="248">
        <v>6.79</v>
      </c>
      <c r="I80" s="247">
        <v>332.46</v>
      </c>
    </row>
    <row r="81" spans="1:9">
      <c r="A81" s="84" t="s">
        <v>1829</v>
      </c>
      <c r="B81" s="274">
        <f>SUM(B82:B93)</f>
        <v>50.1</v>
      </c>
      <c r="C81" s="274">
        <f>SUM(C82:C93)</f>
        <v>663.35439999999994</v>
      </c>
      <c r="D81" s="274">
        <f>SUM(D82:D93)</f>
        <v>606.7476999999999</v>
      </c>
      <c r="E81" s="274">
        <f>SUM(E82:E93)</f>
        <v>50</v>
      </c>
      <c r="F81" s="274">
        <f>AVERAGE(F82:F93)</f>
        <v>40578.768333333333</v>
      </c>
      <c r="G81" s="274">
        <f>AVERAGE(G82:G93)</f>
        <v>279.39000000000004</v>
      </c>
      <c r="H81" s="275">
        <f>AVERAGE(H82:H93)</f>
        <v>6.732499999999999</v>
      </c>
      <c r="I81" s="274">
        <f>AVERAGE(I82:I93)</f>
        <v>297.30916666666667</v>
      </c>
    </row>
    <row r="82" spans="1:9">
      <c r="A82" s="84" t="s">
        <v>18</v>
      </c>
      <c r="B82" s="247">
        <v>0</v>
      </c>
      <c r="C82" s="247">
        <v>4.2</v>
      </c>
      <c r="D82" s="247">
        <v>5</v>
      </c>
      <c r="E82" s="247">
        <v>3</v>
      </c>
      <c r="F82" s="247">
        <v>40174</v>
      </c>
      <c r="G82" s="247">
        <v>278</v>
      </c>
      <c r="H82" s="248">
        <v>6.77</v>
      </c>
      <c r="I82" s="247">
        <v>297.41000000000003</v>
      </c>
    </row>
    <row r="83" spans="1:9">
      <c r="A83" s="84" t="s">
        <v>19</v>
      </c>
      <c r="B83" s="247">
        <v>3.77</v>
      </c>
      <c r="C83" s="247">
        <v>14.087999999999999</v>
      </c>
      <c r="D83" s="247">
        <v>8.08</v>
      </c>
      <c r="E83" s="247">
        <v>0</v>
      </c>
      <c r="F83" s="247">
        <v>40251</v>
      </c>
      <c r="G83" s="247">
        <v>279</v>
      </c>
      <c r="H83" s="248">
        <v>6.77</v>
      </c>
      <c r="I83" s="247">
        <v>297.08999999999997</v>
      </c>
    </row>
    <row r="84" spans="1:9">
      <c r="A84" s="84" t="s">
        <v>20</v>
      </c>
      <c r="B84" s="247">
        <v>2.5870000000000002</v>
      </c>
      <c r="C84" s="247">
        <v>21.698</v>
      </c>
      <c r="D84" s="247">
        <v>15.38</v>
      </c>
      <c r="E84" s="247">
        <v>0</v>
      </c>
      <c r="F84" s="247">
        <v>40306</v>
      </c>
      <c r="G84" s="247">
        <v>279</v>
      </c>
      <c r="H84" s="248">
        <v>6.76</v>
      </c>
      <c r="I84" s="247">
        <v>297.16000000000003</v>
      </c>
    </row>
    <row r="85" spans="1:9">
      <c r="A85" s="84" t="s">
        <v>21</v>
      </c>
      <c r="B85" s="247">
        <v>2.8250000000000002</v>
      </c>
      <c r="C85" s="247">
        <v>34.902000000000001</v>
      </c>
      <c r="D85" s="247">
        <v>21.917999999999999</v>
      </c>
      <c r="E85" s="247">
        <v>8</v>
      </c>
      <c r="F85" s="247">
        <v>40482</v>
      </c>
      <c r="G85" s="247">
        <v>279</v>
      </c>
      <c r="H85" s="248">
        <v>6.74</v>
      </c>
      <c r="I85" s="247">
        <v>297.64</v>
      </c>
    </row>
    <row r="86" spans="1:9">
      <c r="A86" s="84" t="s">
        <v>22</v>
      </c>
      <c r="B86" s="247">
        <v>10.038</v>
      </c>
      <c r="C86" s="247">
        <v>47.018999999999998</v>
      </c>
      <c r="D86" s="247">
        <v>29.488</v>
      </c>
      <c r="E86" s="247">
        <v>0</v>
      </c>
      <c r="F86" s="247">
        <v>40524</v>
      </c>
      <c r="G86" s="247">
        <v>279</v>
      </c>
      <c r="H86" s="248">
        <v>6.74</v>
      </c>
      <c r="I86" s="247">
        <v>297.29000000000002</v>
      </c>
    </row>
    <row r="87" spans="1:9">
      <c r="A87" s="84" t="s">
        <v>23</v>
      </c>
      <c r="B87" s="247">
        <v>4.6900000000000004</v>
      </c>
      <c r="C87" s="247">
        <v>56.517000000000003</v>
      </c>
      <c r="D87" s="247">
        <v>37.777000000000001</v>
      </c>
      <c r="E87" s="247">
        <v>10</v>
      </c>
      <c r="F87" s="247">
        <v>40584</v>
      </c>
      <c r="G87" s="247">
        <v>279</v>
      </c>
      <c r="H87" s="248">
        <v>6.73</v>
      </c>
      <c r="I87" s="247">
        <v>297.42</v>
      </c>
    </row>
    <row r="88" spans="1:9">
      <c r="A88" s="84" t="s">
        <v>24</v>
      </c>
      <c r="B88" s="247">
        <v>5.26</v>
      </c>
      <c r="C88" s="247">
        <v>65.22</v>
      </c>
      <c r="D88" s="247">
        <v>48.87</v>
      </c>
      <c r="E88" s="247">
        <v>10</v>
      </c>
      <c r="F88" s="247">
        <v>40697.83</v>
      </c>
      <c r="G88" s="247">
        <v>279.68</v>
      </c>
      <c r="H88" s="248">
        <v>6.72</v>
      </c>
      <c r="I88" s="247">
        <v>297.52999999999997</v>
      </c>
    </row>
    <row r="89" spans="1:9">
      <c r="A89" s="84" t="s">
        <v>25</v>
      </c>
      <c r="B89" s="247">
        <v>4.125</v>
      </c>
      <c r="C89" s="247">
        <v>71.778000000000006</v>
      </c>
      <c r="D89" s="247">
        <v>58.665999999999997</v>
      </c>
      <c r="E89" s="247">
        <v>0</v>
      </c>
      <c r="F89" s="247">
        <v>40699.69</v>
      </c>
      <c r="G89" s="247">
        <v>280</v>
      </c>
      <c r="H89" s="248">
        <v>6.7160000000000002</v>
      </c>
      <c r="I89" s="247">
        <v>297.47000000000003</v>
      </c>
    </row>
    <row r="90" spans="1:9">
      <c r="A90" s="84" t="s">
        <v>26</v>
      </c>
      <c r="B90" s="247">
        <v>3.9849999999999999</v>
      </c>
      <c r="C90" s="247">
        <v>77.210999999999999</v>
      </c>
      <c r="D90" s="247">
        <v>75.052999999999997</v>
      </c>
      <c r="E90" s="247">
        <v>5</v>
      </c>
      <c r="F90" s="247">
        <v>40736.730000000003</v>
      </c>
      <c r="G90" s="247">
        <v>280</v>
      </c>
      <c r="H90" s="248">
        <v>6.7140000000000004</v>
      </c>
      <c r="I90" s="247">
        <v>297.02</v>
      </c>
    </row>
    <row r="91" spans="1:9">
      <c r="A91" s="84" t="s">
        <v>27</v>
      </c>
      <c r="B91" s="247">
        <v>4.3250000000000002</v>
      </c>
      <c r="C91" s="247">
        <v>83.152000000000001</v>
      </c>
      <c r="D91" s="247">
        <v>89.881</v>
      </c>
      <c r="E91" s="247">
        <v>5</v>
      </c>
      <c r="F91" s="247">
        <v>40783.21</v>
      </c>
      <c r="G91" s="247">
        <v>280</v>
      </c>
      <c r="H91" s="248">
        <v>6.71</v>
      </c>
      <c r="I91" s="247">
        <v>297.06</v>
      </c>
    </row>
    <row r="92" spans="1:9">
      <c r="A92" s="84" t="s">
        <v>28</v>
      </c>
      <c r="B92" s="247">
        <v>3.93</v>
      </c>
      <c r="C92" s="247">
        <v>90.388099999999994</v>
      </c>
      <c r="D92" s="247">
        <v>103.06189999999999</v>
      </c>
      <c r="E92" s="247">
        <v>5</v>
      </c>
      <c r="F92" s="247">
        <v>40833.620000000003</v>
      </c>
      <c r="G92" s="247">
        <v>280</v>
      </c>
      <c r="H92" s="248">
        <v>6.71</v>
      </c>
      <c r="I92" s="247">
        <v>297.06</v>
      </c>
    </row>
    <row r="93" spans="1:9">
      <c r="A93" s="84" t="s">
        <v>29</v>
      </c>
      <c r="B93" s="247">
        <v>4.5650000000000004</v>
      </c>
      <c r="C93" s="247">
        <v>97.181299999999993</v>
      </c>
      <c r="D93" s="247">
        <v>113.5728</v>
      </c>
      <c r="E93" s="247">
        <v>4</v>
      </c>
      <c r="F93" s="247">
        <v>40873.14</v>
      </c>
      <c r="G93" s="247">
        <v>280</v>
      </c>
      <c r="H93" s="248">
        <v>6.71</v>
      </c>
      <c r="I93" s="247">
        <v>297.56</v>
      </c>
    </row>
    <row r="94" spans="1:9">
      <c r="A94" s="84" t="s">
        <v>1852</v>
      </c>
      <c r="B94" s="274">
        <f>SUM(B95:B106)</f>
        <v>51.024999999999991</v>
      </c>
      <c r="C94" s="274">
        <f>SUM(C95:C106)</f>
        <v>1.0664</v>
      </c>
      <c r="D94" s="274">
        <f>SUM(D95:D106)</f>
        <v>33.237034999999992</v>
      </c>
      <c r="E94" s="274">
        <f>SUM(E95:E106)</f>
        <v>0</v>
      </c>
      <c r="F94" s="274">
        <f>AVERAGE(F95:F106)</f>
        <v>40907.147499999999</v>
      </c>
      <c r="G94" s="274">
        <f>AVERAGE(G95:G106)</f>
        <v>280</v>
      </c>
      <c r="H94" s="275">
        <f>AVERAGE(H95:H106)</f>
        <v>6.7008333333333345</v>
      </c>
      <c r="I94" s="274">
        <f>AVERAGE(I95:I106)</f>
        <v>296.40000000000003</v>
      </c>
    </row>
    <row r="95" spans="1:9">
      <c r="A95" s="84" t="s">
        <v>18</v>
      </c>
      <c r="B95" s="247">
        <v>0</v>
      </c>
      <c r="C95" s="247">
        <v>0.63639999999999997</v>
      </c>
      <c r="D95" s="247">
        <v>4.1711499999999999</v>
      </c>
      <c r="E95" s="247">
        <v>0</v>
      </c>
      <c r="F95" s="247">
        <v>40878.699999999997</v>
      </c>
      <c r="G95" s="247">
        <v>280</v>
      </c>
      <c r="H95" s="248">
        <v>6.71</v>
      </c>
      <c r="I95" s="247">
        <v>297.27999999999997</v>
      </c>
    </row>
    <row r="96" spans="1:9">
      <c r="A96" s="84" t="s">
        <v>19</v>
      </c>
      <c r="B96" s="247">
        <v>0</v>
      </c>
      <c r="C96" s="247">
        <v>0.186</v>
      </c>
      <c r="D96" s="247">
        <v>8.5376999999999992</v>
      </c>
      <c r="E96" s="247">
        <v>0</v>
      </c>
      <c r="F96" s="247">
        <v>40880.120000000003</v>
      </c>
      <c r="G96" s="247">
        <v>280</v>
      </c>
      <c r="H96" s="248">
        <v>6.71</v>
      </c>
      <c r="I96" s="247">
        <v>297.16000000000003</v>
      </c>
    </row>
    <row r="97" spans="1:9">
      <c r="A97" s="84" t="s">
        <v>20</v>
      </c>
      <c r="B97" s="247">
        <v>10.98</v>
      </c>
      <c r="C97" s="247">
        <v>0.05</v>
      </c>
      <c r="D97" s="247">
        <v>5.3662200000000002</v>
      </c>
      <c r="E97" s="247">
        <v>0</v>
      </c>
      <c r="F97" s="247">
        <v>40881.26</v>
      </c>
      <c r="G97" s="247">
        <v>280</v>
      </c>
      <c r="H97" s="248">
        <v>6.71</v>
      </c>
      <c r="I97" s="247">
        <v>296.91000000000003</v>
      </c>
    </row>
    <row r="98" spans="1:9">
      <c r="A98" s="84" t="s">
        <v>21</v>
      </c>
      <c r="B98" s="247">
        <v>3.5049999999999999</v>
      </c>
      <c r="C98" s="247">
        <v>0.19400000000000001</v>
      </c>
      <c r="D98" s="247">
        <v>3.5173000000000001</v>
      </c>
      <c r="E98" s="247">
        <v>0</v>
      </c>
      <c r="F98" s="247">
        <v>40883.129999999997</v>
      </c>
      <c r="G98" s="247">
        <v>280</v>
      </c>
      <c r="H98" s="248">
        <v>6.7</v>
      </c>
      <c r="I98" s="247">
        <v>296.7</v>
      </c>
    </row>
    <row r="99" spans="1:9">
      <c r="A99" s="84" t="s">
        <v>22</v>
      </c>
      <c r="B99" s="247">
        <v>4.18</v>
      </c>
      <c r="C99" s="247">
        <v>0</v>
      </c>
      <c r="D99" s="247">
        <v>4.18</v>
      </c>
      <c r="E99" s="247">
        <v>0</v>
      </c>
      <c r="F99" s="247">
        <v>40885.480000000003</v>
      </c>
      <c r="G99" s="247">
        <v>280</v>
      </c>
      <c r="H99" s="248">
        <v>6.7</v>
      </c>
      <c r="I99" s="247">
        <v>296.57</v>
      </c>
    </row>
    <row r="100" spans="1:9">
      <c r="A100" s="84" t="s">
        <v>23</v>
      </c>
      <c r="B100" s="247">
        <v>4.415</v>
      </c>
      <c r="C100" s="247">
        <v>0</v>
      </c>
      <c r="D100" s="247">
        <v>2.6692999999999998</v>
      </c>
      <c r="E100" s="247">
        <v>0</v>
      </c>
      <c r="F100" s="247">
        <v>40882.61</v>
      </c>
      <c r="G100" s="247">
        <v>280</v>
      </c>
      <c r="H100" s="248">
        <v>6.7</v>
      </c>
      <c r="I100" s="247">
        <v>296.33999999999997</v>
      </c>
    </row>
    <row r="101" spans="1:9">
      <c r="A101" s="84" t="s">
        <v>24</v>
      </c>
      <c r="B101" s="247">
        <v>5.05</v>
      </c>
      <c r="C101" s="247">
        <v>0</v>
      </c>
      <c r="D101" s="247">
        <v>0.85406499999999996</v>
      </c>
      <c r="E101" s="247">
        <v>0</v>
      </c>
      <c r="F101" s="247">
        <v>40882.61</v>
      </c>
      <c r="G101" s="247">
        <v>280</v>
      </c>
      <c r="H101" s="248">
        <v>6.7</v>
      </c>
      <c r="I101" s="247">
        <v>296.12</v>
      </c>
    </row>
    <row r="102" spans="1:9">
      <c r="A102" s="84" t="s">
        <v>25</v>
      </c>
      <c r="B102" s="247">
        <v>4.18</v>
      </c>
      <c r="C102" s="247">
        <v>0</v>
      </c>
      <c r="D102" s="247">
        <v>1.1189</v>
      </c>
      <c r="E102" s="247">
        <v>0</v>
      </c>
      <c r="F102" s="247">
        <v>40882.61</v>
      </c>
      <c r="G102" s="247">
        <v>280</v>
      </c>
      <c r="H102" s="248">
        <v>6.7</v>
      </c>
      <c r="I102" s="247">
        <v>295.92</v>
      </c>
    </row>
    <row r="103" spans="1:9">
      <c r="A103" s="84" t="s">
        <v>26</v>
      </c>
      <c r="B103" s="247">
        <v>4.2699999999999996</v>
      </c>
      <c r="C103" s="247">
        <v>0</v>
      </c>
      <c r="D103" s="247">
        <v>0.77370000000000005</v>
      </c>
      <c r="E103" s="247">
        <v>0</v>
      </c>
      <c r="F103" s="247">
        <v>40882.61</v>
      </c>
      <c r="G103" s="247">
        <v>280</v>
      </c>
      <c r="H103" s="248">
        <v>6.7</v>
      </c>
      <c r="I103" s="247">
        <v>295.81</v>
      </c>
    </row>
    <row r="104" spans="1:9">
      <c r="A104" s="84" t="s">
        <v>27</v>
      </c>
      <c r="B104" s="247">
        <v>4.5650000000000004</v>
      </c>
      <c r="C104" s="247">
        <v>0</v>
      </c>
      <c r="D104" s="247">
        <v>0.75390000000000001</v>
      </c>
      <c r="E104" s="247">
        <v>0</v>
      </c>
      <c r="F104" s="247">
        <v>40882.61</v>
      </c>
      <c r="G104" s="247">
        <v>280</v>
      </c>
      <c r="H104" s="248">
        <v>6.7</v>
      </c>
      <c r="I104" s="247">
        <v>295.69</v>
      </c>
    </row>
    <row r="105" spans="1:9">
      <c r="A105" s="84" t="s">
        <v>28</v>
      </c>
      <c r="B105" s="247">
        <v>4.9400000000000004</v>
      </c>
      <c r="C105" s="247">
        <v>0</v>
      </c>
      <c r="D105" s="247">
        <v>0.64739999999999998</v>
      </c>
      <c r="E105" s="247">
        <v>0</v>
      </c>
      <c r="F105" s="247">
        <v>40945.620000000003</v>
      </c>
      <c r="G105" s="247">
        <v>280</v>
      </c>
      <c r="H105" s="248">
        <v>6.69</v>
      </c>
      <c r="I105" s="247">
        <v>295.79000000000002</v>
      </c>
    </row>
    <row r="106" spans="1:9">
      <c r="A106" s="84" t="s">
        <v>29</v>
      </c>
      <c r="B106" s="247">
        <v>4.9400000000000004</v>
      </c>
      <c r="C106" s="247">
        <v>0</v>
      </c>
      <c r="D106" s="247">
        <v>0.64739999999999998</v>
      </c>
      <c r="E106" s="247">
        <v>0</v>
      </c>
      <c r="F106" s="247">
        <v>41118.410000000003</v>
      </c>
      <c r="G106" s="247">
        <v>280</v>
      </c>
      <c r="H106" s="248">
        <v>6.69</v>
      </c>
      <c r="I106" s="247">
        <v>296.51</v>
      </c>
    </row>
    <row r="107" spans="1:9">
      <c r="A107" s="84" t="s">
        <v>1915</v>
      </c>
      <c r="B107" s="274">
        <f>SUM(B108:B119)</f>
        <v>50</v>
      </c>
      <c r="C107" s="274">
        <f>SUM(C108:C119)</f>
        <v>202.99649999999997</v>
      </c>
      <c r="D107" s="274">
        <f>SUM(D108:D119)</f>
        <v>113.81610000000001</v>
      </c>
      <c r="E107" s="274">
        <f>SUM(E108:E119)</f>
        <v>265</v>
      </c>
      <c r="F107" s="274">
        <f>AVERAGE(F108:F119)</f>
        <v>42937.178333333337</v>
      </c>
      <c r="G107" s="274">
        <f>AVERAGE(G108:G119)</f>
        <v>280.5</v>
      </c>
      <c r="H107" s="275">
        <f>AVERAGE(H108:H119)</f>
        <v>6.6560833333333322</v>
      </c>
      <c r="I107" s="274">
        <f>AVERAGE(I108:I119)</f>
        <v>307.53583333333336</v>
      </c>
    </row>
    <row r="108" spans="1:9">
      <c r="A108" s="84" t="s">
        <v>18</v>
      </c>
      <c r="B108" s="247">
        <v>0</v>
      </c>
      <c r="C108" s="247">
        <v>10.113</v>
      </c>
      <c r="D108" s="247">
        <v>0.16850000000000001</v>
      </c>
      <c r="E108" s="247">
        <v>10</v>
      </c>
      <c r="F108" s="247">
        <v>41331.51</v>
      </c>
      <c r="G108" s="247">
        <v>280</v>
      </c>
      <c r="H108" s="248">
        <v>6.6829999999999998</v>
      </c>
      <c r="I108" s="247">
        <v>297.64</v>
      </c>
    </row>
    <row r="109" spans="1:9">
      <c r="A109" s="84" t="s">
        <v>19</v>
      </c>
      <c r="B109" s="247">
        <v>0</v>
      </c>
      <c r="C109" s="247">
        <v>14.8</v>
      </c>
      <c r="D109" s="247">
        <v>0.18129999999999999</v>
      </c>
      <c r="E109" s="247">
        <v>20</v>
      </c>
      <c r="F109" s="247">
        <v>41651.800000000003</v>
      </c>
      <c r="G109" s="247">
        <v>280</v>
      </c>
      <c r="H109" s="248">
        <v>6.67</v>
      </c>
      <c r="I109" s="247">
        <v>299.36</v>
      </c>
    </row>
    <row r="110" spans="1:9">
      <c r="A110" s="84" t="s">
        <v>20</v>
      </c>
      <c r="B110" s="247">
        <v>12.125</v>
      </c>
      <c r="C110" s="247">
        <v>12.618</v>
      </c>
      <c r="D110" s="247">
        <v>1.8015000000000001</v>
      </c>
      <c r="E110" s="247">
        <v>20</v>
      </c>
      <c r="F110" s="247">
        <v>41904.230000000003</v>
      </c>
      <c r="G110" s="247">
        <v>280</v>
      </c>
      <c r="H110" s="248">
        <v>6.66</v>
      </c>
      <c r="I110" s="247">
        <v>300.55</v>
      </c>
    </row>
    <row r="111" spans="1:9">
      <c r="A111" s="84" t="s">
        <v>21</v>
      </c>
      <c r="B111" s="247">
        <v>4.4000000000000004</v>
      </c>
      <c r="C111" s="247">
        <v>16.1096</v>
      </c>
      <c r="D111" s="247">
        <v>5.6322000000000001</v>
      </c>
      <c r="E111" s="247">
        <v>25</v>
      </c>
      <c r="F111" s="247">
        <v>42187.55</v>
      </c>
      <c r="G111" s="247">
        <v>280</v>
      </c>
      <c r="H111" s="248">
        <v>6.66</v>
      </c>
      <c r="I111" s="247">
        <v>302.68</v>
      </c>
    </row>
    <row r="112" spans="1:9">
      <c r="A112" s="84" t="s">
        <v>22</v>
      </c>
      <c r="B112" s="247">
        <v>3.87</v>
      </c>
      <c r="C112" s="247">
        <v>11.520099999999999</v>
      </c>
      <c r="D112" s="247">
        <v>8.9938000000000002</v>
      </c>
      <c r="E112" s="247">
        <v>25</v>
      </c>
      <c r="F112" s="247">
        <v>42390.27</v>
      </c>
      <c r="G112" s="247">
        <v>280</v>
      </c>
      <c r="H112" s="248">
        <v>6.67</v>
      </c>
      <c r="I112" s="247">
        <v>304.3</v>
      </c>
    </row>
    <row r="113" spans="1:9">
      <c r="A113" s="84" t="s">
        <v>23</v>
      </c>
      <c r="B113" s="247">
        <v>3.8</v>
      </c>
      <c r="C113" s="247">
        <v>11.8772</v>
      </c>
      <c r="D113" s="247">
        <v>9.1902000000000008</v>
      </c>
      <c r="E113" s="247">
        <v>25</v>
      </c>
      <c r="F113" s="247">
        <v>42612.13</v>
      </c>
      <c r="G113" s="247">
        <v>280</v>
      </c>
      <c r="H113" s="248">
        <v>6.67</v>
      </c>
      <c r="I113" s="247">
        <v>305.56</v>
      </c>
    </row>
    <row r="114" spans="1:9">
      <c r="A114" s="84" t="s">
        <v>24</v>
      </c>
      <c r="B114" s="247">
        <v>4.5650000000000004</v>
      </c>
      <c r="C114" s="247">
        <v>16.498100000000001</v>
      </c>
      <c r="D114" s="247">
        <v>12.755800000000001</v>
      </c>
      <c r="E114" s="247">
        <v>25</v>
      </c>
      <c r="F114" s="247">
        <v>42900.69</v>
      </c>
      <c r="G114" s="247">
        <v>281</v>
      </c>
      <c r="H114" s="248">
        <v>6.66</v>
      </c>
      <c r="I114" s="247">
        <v>307</v>
      </c>
    </row>
    <row r="115" spans="1:9">
      <c r="A115" s="84" t="s">
        <v>25</v>
      </c>
      <c r="B115" s="247">
        <v>2.2850000000000001</v>
      </c>
      <c r="C115" s="247">
        <v>19.773</v>
      </c>
      <c r="D115" s="247">
        <v>8.1585000000000001</v>
      </c>
      <c r="E115" s="247">
        <v>0</v>
      </c>
      <c r="F115" s="247">
        <v>43279.64</v>
      </c>
      <c r="G115" s="247">
        <v>281</v>
      </c>
      <c r="H115" s="248">
        <v>6.65</v>
      </c>
      <c r="I115" s="247">
        <v>309.5</v>
      </c>
    </row>
    <row r="116" spans="1:9">
      <c r="A116" s="84" t="s">
        <v>26</v>
      </c>
      <c r="B116" s="247">
        <v>4.3449999999999998</v>
      </c>
      <c r="C116" s="247">
        <v>17.212399999999999</v>
      </c>
      <c r="D116" s="247">
        <v>11.836399999999999</v>
      </c>
      <c r="E116" s="247">
        <v>50</v>
      </c>
      <c r="F116" s="247">
        <v>43594.35</v>
      </c>
      <c r="G116" s="247">
        <v>281</v>
      </c>
      <c r="H116" s="248">
        <v>6.64</v>
      </c>
      <c r="I116" s="247">
        <v>311.35000000000002</v>
      </c>
    </row>
    <row r="117" spans="1:9">
      <c r="A117" s="84" t="s">
        <v>27</v>
      </c>
      <c r="B117" s="247">
        <v>4.6100000000000003</v>
      </c>
      <c r="C117" s="247">
        <v>18.595500000000001</v>
      </c>
      <c r="D117" s="247">
        <v>14.4072</v>
      </c>
      <c r="E117" s="247">
        <v>25</v>
      </c>
      <c r="F117" s="247">
        <v>43915.06</v>
      </c>
      <c r="G117" s="247">
        <v>281</v>
      </c>
      <c r="H117" s="248">
        <v>6.64</v>
      </c>
      <c r="I117" s="247">
        <v>313.5</v>
      </c>
    </row>
    <row r="118" spans="1:9">
      <c r="A118" s="84" t="s">
        <v>28</v>
      </c>
      <c r="B118" s="247">
        <v>4.6749999999999998</v>
      </c>
      <c r="C118" s="247">
        <v>23.4818</v>
      </c>
      <c r="D118" s="247">
        <v>21.082999999999998</v>
      </c>
      <c r="E118" s="247">
        <v>25</v>
      </c>
      <c r="F118" s="247">
        <v>44435.57</v>
      </c>
      <c r="G118" s="247">
        <v>281</v>
      </c>
      <c r="H118" s="248">
        <v>6.64</v>
      </c>
      <c r="I118" s="247">
        <v>317.27999999999997</v>
      </c>
    </row>
    <row r="119" spans="1:9">
      <c r="A119" s="84" t="s">
        <v>29</v>
      </c>
      <c r="B119" s="247">
        <v>5.3250000000000002</v>
      </c>
      <c r="C119" s="247">
        <v>30.3978</v>
      </c>
      <c r="D119" s="247">
        <v>19.607700000000001</v>
      </c>
      <c r="E119" s="247">
        <v>15</v>
      </c>
      <c r="F119" s="247">
        <v>45043.34</v>
      </c>
      <c r="G119" s="247">
        <v>281</v>
      </c>
      <c r="H119" s="248">
        <v>6.63</v>
      </c>
      <c r="I119" s="247">
        <v>321.70999999999998</v>
      </c>
    </row>
    <row r="120" spans="1:9">
      <c r="A120" s="84" t="s">
        <v>2051</v>
      </c>
      <c r="B120" s="274">
        <f>SUM(B121:B132)</f>
        <v>100</v>
      </c>
      <c r="C120" s="274">
        <f>SUM(C121:C132)</f>
        <v>272.5093</v>
      </c>
      <c r="D120" s="274">
        <f>SUM(D121:D132)</f>
        <v>244.50640000000004</v>
      </c>
      <c r="E120" s="274">
        <f>SUM(E121:E132)</f>
        <v>200</v>
      </c>
      <c r="F120" s="274">
        <f>AVERAGE(F121:F132)</f>
        <v>47201.718333333331</v>
      </c>
      <c r="G120" s="274">
        <f>AVERAGE(G121:G132)</f>
        <v>281</v>
      </c>
      <c r="H120" s="275">
        <f>AVERAGE(H121:H132)</f>
        <v>6.5966666666666676</v>
      </c>
      <c r="I120" s="274">
        <f>AVERAGE(I121:I132)</f>
        <v>335.51833333333332</v>
      </c>
    </row>
    <row r="121" spans="1:9">
      <c r="A121" s="84" t="s">
        <v>18</v>
      </c>
      <c r="B121" s="247">
        <v>0</v>
      </c>
      <c r="C121" s="247">
        <v>14.5593</v>
      </c>
      <c r="D121" s="247">
        <v>16.561800000000002</v>
      </c>
      <c r="E121" s="247">
        <v>0</v>
      </c>
      <c r="F121" s="247">
        <v>45323</v>
      </c>
      <c r="G121" s="247">
        <v>281</v>
      </c>
      <c r="H121" s="248">
        <v>6.63</v>
      </c>
      <c r="I121" s="247">
        <v>323.43</v>
      </c>
    </row>
    <row r="122" spans="1:9">
      <c r="A122" s="84" t="s">
        <v>19</v>
      </c>
      <c r="B122" s="247">
        <v>50</v>
      </c>
      <c r="C122" s="247">
        <v>19.2485</v>
      </c>
      <c r="D122" s="247">
        <v>22.546900000000001</v>
      </c>
      <c r="E122" s="247">
        <v>35</v>
      </c>
      <c r="F122" s="247">
        <v>45700</v>
      </c>
      <c r="G122" s="247">
        <v>281</v>
      </c>
      <c r="H122" s="248">
        <v>6.63</v>
      </c>
      <c r="I122" s="247">
        <v>325.88</v>
      </c>
    </row>
    <row r="123" spans="1:9">
      <c r="A123" s="84" t="s">
        <v>20</v>
      </c>
      <c r="B123" s="247">
        <v>0</v>
      </c>
      <c r="C123" s="247">
        <v>15.486800000000001</v>
      </c>
      <c r="D123" s="247">
        <v>13.219200000000001</v>
      </c>
      <c r="E123" s="247">
        <v>0</v>
      </c>
      <c r="F123" s="247">
        <v>45950</v>
      </c>
      <c r="G123" s="247">
        <v>281</v>
      </c>
      <c r="H123" s="248">
        <v>6.63</v>
      </c>
      <c r="I123" s="247">
        <v>327.60000000000002</v>
      </c>
    </row>
    <row r="124" spans="1:9">
      <c r="A124" s="84" t="s">
        <v>21</v>
      </c>
      <c r="B124" s="247">
        <v>0</v>
      </c>
      <c r="C124" s="247">
        <v>26.129300000000001</v>
      </c>
      <c r="D124" s="247">
        <v>16.338899999999999</v>
      </c>
      <c r="E124" s="247">
        <v>20</v>
      </c>
      <c r="F124" s="247">
        <v>46409</v>
      </c>
      <c r="G124" s="247">
        <v>281</v>
      </c>
      <c r="H124" s="248">
        <v>6.62</v>
      </c>
      <c r="I124" s="247">
        <v>330.5</v>
      </c>
    </row>
    <row r="125" spans="1:9">
      <c r="A125" s="84" t="s">
        <v>22</v>
      </c>
      <c r="B125" s="247">
        <v>0</v>
      </c>
      <c r="C125" s="247">
        <v>23.001300000000001</v>
      </c>
      <c r="D125" s="247">
        <v>18.290600000000001</v>
      </c>
      <c r="E125" s="247">
        <v>20</v>
      </c>
      <c r="F125" s="247">
        <v>46765</v>
      </c>
      <c r="G125" s="247">
        <v>281</v>
      </c>
      <c r="H125" s="248">
        <v>6.6</v>
      </c>
      <c r="I125" s="247">
        <v>332.63</v>
      </c>
    </row>
    <row r="126" spans="1:9">
      <c r="A126" s="84" t="s">
        <v>23</v>
      </c>
      <c r="B126" s="247">
        <v>0</v>
      </c>
      <c r="C126" s="247">
        <v>18.989100000000001</v>
      </c>
      <c r="D126" s="247">
        <v>21.4114</v>
      </c>
      <c r="E126" s="247">
        <v>20</v>
      </c>
      <c r="F126" s="247">
        <v>47077.73</v>
      </c>
      <c r="G126" s="247">
        <v>281</v>
      </c>
      <c r="H126" s="248">
        <v>6.6</v>
      </c>
      <c r="I126" s="247">
        <v>334.95</v>
      </c>
    </row>
    <row r="127" spans="1:9">
      <c r="A127" s="84" t="s">
        <v>24</v>
      </c>
      <c r="B127" s="247">
        <v>0</v>
      </c>
      <c r="C127" s="247">
        <v>18.581700000000001</v>
      </c>
      <c r="D127" s="247">
        <v>27.331499999999998</v>
      </c>
      <c r="E127" s="247">
        <v>20</v>
      </c>
      <c r="F127" s="247">
        <v>47340.28</v>
      </c>
      <c r="G127" s="247">
        <v>281</v>
      </c>
      <c r="H127" s="248">
        <v>6.6</v>
      </c>
      <c r="I127" s="247">
        <v>336.86</v>
      </c>
    </row>
    <row r="128" spans="1:9">
      <c r="A128" s="84" t="s">
        <v>25</v>
      </c>
      <c r="B128" s="247">
        <v>0</v>
      </c>
      <c r="C128" s="247">
        <v>19.313199999999998</v>
      </c>
      <c r="D128" s="247">
        <v>22.8035</v>
      </c>
      <c r="E128" s="247">
        <v>20</v>
      </c>
      <c r="F128" s="247">
        <v>47632.47</v>
      </c>
      <c r="G128" s="247">
        <v>281</v>
      </c>
      <c r="H128" s="248">
        <v>6.6</v>
      </c>
      <c r="I128" s="247">
        <v>338.73</v>
      </c>
    </row>
    <row r="129" spans="1:9">
      <c r="A129" s="84" t="s">
        <v>26</v>
      </c>
      <c r="B129" s="247">
        <v>50</v>
      </c>
      <c r="C129" s="247">
        <v>27.897500000000001</v>
      </c>
      <c r="D129" s="247">
        <v>20.247599999999998</v>
      </c>
      <c r="E129" s="247">
        <v>20</v>
      </c>
      <c r="F129" s="247">
        <v>48084.23</v>
      </c>
      <c r="G129" s="247">
        <v>281</v>
      </c>
      <c r="H129" s="248">
        <v>6.57</v>
      </c>
      <c r="I129" s="247">
        <v>341.31</v>
      </c>
    </row>
    <row r="130" spans="1:9">
      <c r="A130" s="84" t="s">
        <v>27</v>
      </c>
      <c r="B130" s="247">
        <v>0</v>
      </c>
      <c r="C130" s="247">
        <v>31.194199999999999</v>
      </c>
      <c r="D130" s="247">
        <v>22.561900000000001</v>
      </c>
      <c r="E130" s="247">
        <v>20</v>
      </c>
      <c r="F130" s="247">
        <v>48306.58</v>
      </c>
      <c r="G130" s="247">
        <v>281</v>
      </c>
      <c r="H130" s="248">
        <v>6.57</v>
      </c>
      <c r="I130" s="247">
        <v>342.32</v>
      </c>
    </row>
    <row r="131" spans="1:9">
      <c r="A131" s="84" t="s">
        <v>28</v>
      </c>
      <c r="B131" s="247">
        <v>0</v>
      </c>
      <c r="C131" s="247">
        <v>27.587</v>
      </c>
      <c r="D131" s="247">
        <v>20.220199999999998</v>
      </c>
      <c r="E131" s="247">
        <v>25</v>
      </c>
      <c r="F131" s="247">
        <v>48703.839999999997</v>
      </c>
      <c r="G131" s="247">
        <v>281</v>
      </c>
      <c r="H131" s="248">
        <v>6.56</v>
      </c>
      <c r="I131" s="247">
        <v>344.68</v>
      </c>
    </row>
    <row r="132" spans="1:9">
      <c r="A132" s="84" t="s">
        <v>29</v>
      </c>
      <c r="B132" s="247">
        <v>0</v>
      </c>
      <c r="C132" s="247">
        <v>30.5214</v>
      </c>
      <c r="D132" s="247">
        <v>22.972899999999999</v>
      </c>
      <c r="E132" s="247">
        <v>0</v>
      </c>
      <c r="F132" s="247">
        <v>49128.49</v>
      </c>
      <c r="G132" s="247">
        <v>281</v>
      </c>
      <c r="H132" s="248">
        <v>6.55</v>
      </c>
      <c r="I132" s="247">
        <v>347.33</v>
      </c>
    </row>
    <row r="133" spans="1:9">
      <c r="A133" s="84" t="s">
        <v>2144</v>
      </c>
      <c r="B133" s="274">
        <f>SUM(B134:B145)</f>
        <v>80</v>
      </c>
      <c r="C133" s="274">
        <f>SUM(C134:C145)</f>
        <v>173.57835300000002</v>
      </c>
      <c r="D133" s="274">
        <f>SUM(D134:D145)</f>
        <v>220.35491999999996</v>
      </c>
      <c r="E133" s="274">
        <f>SUM(E134:E145)</f>
        <v>150</v>
      </c>
      <c r="F133" s="274">
        <f>AVERAGE(F134:F145)</f>
        <v>50141.708333333336</v>
      </c>
      <c r="G133" s="274">
        <f>AVERAGE(G134:G145)</f>
        <v>281.25</v>
      </c>
      <c r="H133" s="275">
        <f>AVERAGE(H134:H145)</f>
        <v>6.4925000000000006</v>
      </c>
      <c r="I133" s="274">
        <f>AVERAGE(I134:I145)</f>
        <v>351.84250000000003</v>
      </c>
    </row>
    <row r="134" spans="1:9">
      <c r="A134" s="84" t="s">
        <v>18</v>
      </c>
      <c r="B134" s="247">
        <v>0</v>
      </c>
      <c r="C134" s="247">
        <v>13.0352</v>
      </c>
      <c r="D134" s="247">
        <v>22.866599999999998</v>
      </c>
      <c r="E134" s="247">
        <v>0</v>
      </c>
      <c r="F134" s="247">
        <v>49291.91</v>
      </c>
      <c r="G134" s="247">
        <v>281</v>
      </c>
      <c r="H134" s="248">
        <v>6.55</v>
      </c>
      <c r="I134" s="247">
        <v>348.14</v>
      </c>
    </row>
    <row r="135" spans="1:9">
      <c r="A135" s="84" t="s">
        <v>19</v>
      </c>
      <c r="B135" s="247">
        <v>0</v>
      </c>
      <c r="C135" s="247">
        <v>23.507999999999999</v>
      </c>
      <c r="D135" s="247">
        <v>20.7834</v>
      </c>
      <c r="E135" s="247">
        <v>0</v>
      </c>
      <c r="F135" s="247">
        <v>49500</v>
      </c>
      <c r="G135" s="247">
        <v>281</v>
      </c>
      <c r="H135" s="248">
        <v>6.53</v>
      </c>
      <c r="I135" s="247">
        <v>348.72</v>
      </c>
    </row>
    <row r="136" spans="1:9">
      <c r="A136" s="84" t="s">
        <v>20</v>
      </c>
      <c r="B136" s="247">
        <v>0</v>
      </c>
      <c r="C136" s="247">
        <v>16.206299999999999</v>
      </c>
      <c r="D136" s="247">
        <v>27.242000000000001</v>
      </c>
      <c r="E136" s="247">
        <v>20</v>
      </c>
      <c r="F136" s="247">
        <v>49690</v>
      </c>
      <c r="G136" s="247">
        <v>282</v>
      </c>
      <c r="H136" s="248">
        <v>6.52</v>
      </c>
      <c r="I136" s="247">
        <v>349.32</v>
      </c>
    </row>
    <row r="137" spans="1:9">
      <c r="A137" s="84" t="s">
        <v>21</v>
      </c>
      <c r="B137" s="247">
        <v>20</v>
      </c>
      <c r="C137" s="247">
        <v>20.945699999999999</v>
      </c>
      <c r="D137" s="247">
        <v>29.6416</v>
      </c>
      <c r="E137" s="247">
        <v>0</v>
      </c>
      <c r="F137" s="247">
        <v>49942</v>
      </c>
      <c r="G137" s="247">
        <v>282</v>
      </c>
      <c r="H137" s="248">
        <v>6.51</v>
      </c>
      <c r="I137" s="247">
        <v>350.39</v>
      </c>
    </row>
    <row r="138" spans="1:9">
      <c r="A138" s="84" t="s">
        <v>22</v>
      </c>
      <c r="B138" s="247">
        <v>20</v>
      </c>
      <c r="C138" s="247">
        <v>20.208600000000001</v>
      </c>
      <c r="D138" s="247">
        <v>21.057200000000002</v>
      </c>
      <c r="E138" s="247">
        <v>20</v>
      </c>
      <c r="F138" s="247">
        <v>50106.07</v>
      </c>
      <c r="G138" s="247">
        <v>282</v>
      </c>
      <c r="H138" s="248">
        <v>6.49</v>
      </c>
      <c r="I138" s="247">
        <v>351.25</v>
      </c>
    </row>
    <row r="139" spans="1:9">
      <c r="A139" s="84" t="s">
        <v>23</v>
      </c>
      <c r="B139" s="247">
        <v>0</v>
      </c>
      <c r="C139" s="247">
        <v>6.09131</v>
      </c>
      <c r="D139" s="247">
        <v>14.0261</v>
      </c>
      <c r="E139" s="247">
        <v>0</v>
      </c>
      <c r="F139" s="247">
        <v>50182.27</v>
      </c>
      <c r="G139" s="247">
        <v>281</v>
      </c>
      <c r="H139" s="248">
        <v>6.49</v>
      </c>
      <c r="I139" s="247">
        <v>351.78</v>
      </c>
    </row>
    <row r="140" spans="1:9">
      <c r="A140" s="84" t="s">
        <v>24</v>
      </c>
      <c r="B140" s="247">
        <v>0</v>
      </c>
      <c r="C140" s="247">
        <v>7.6467200000000002</v>
      </c>
      <c r="D140" s="247">
        <v>20.507850000000001</v>
      </c>
      <c r="E140" s="247">
        <v>20</v>
      </c>
      <c r="F140" s="247">
        <v>50266</v>
      </c>
      <c r="G140" s="247">
        <v>281</v>
      </c>
      <c r="H140" s="248">
        <v>6.49</v>
      </c>
      <c r="I140" s="247">
        <v>352.35</v>
      </c>
    </row>
    <row r="141" spans="1:9" ht="14.45" customHeight="1">
      <c r="A141" s="84" t="s">
        <v>25</v>
      </c>
      <c r="B141" s="247">
        <v>0</v>
      </c>
      <c r="C141" s="247">
        <v>5.01572</v>
      </c>
      <c r="D141" s="247">
        <v>14.920629999999999</v>
      </c>
      <c r="E141" s="247">
        <v>20</v>
      </c>
      <c r="F141" s="247">
        <v>50336</v>
      </c>
      <c r="G141" s="247">
        <v>281</v>
      </c>
      <c r="H141" s="248">
        <v>6.49</v>
      </c>
      <c r="I141" s="247">
        <v>352.68</v>
      </c>
    </row>
    <row r="142" spans="1:9" ht="14.45" customHeight="1">
      <c r="A142" s="84" t="s">
        <v>26</v>
      </c>
      <c r="B142" s="247">
        <v>40</v>
      </c>
      <c r="C142" s="247">
        <v>6.0289000000000001</v>
      </c>
      <c r="D142" s="247">
        <v>17.67107</v>
      </c>
      <c r="E142" s="247">
        <v>30</v>
      </c>
      <c r="F142" s="247">
        <v>50403</v>
      </c>
      <c r="G142" s="247">
        <v>281</v>
      </c>
      <c r="H142" s="248">
        <v>6.48</v>
      </c>
      <c r="I142" s="247">
        <v>353.13</v>
      </c>
    </row>
    <row r="143" spans="1:9" ht="14.45" customHeight="1">
      <c r="A143" s="84" t="s">
        <v>27</v>
      </c>
      <c r="B143" s="247">
        <v>0</v>
      </c>
      <c r="C143" s="247">
        <v>9.1243800000000004</v>
      </c>
      <c r="D143" s="247">
        <v>18.955549999999999</v>
      </c>
      <c r="E143" s="247">
        <v>20</v>
      </c>
      <c r="F143" s="247">
        <v>50530</v>
      </c>
      <c r="G143" s="247">
        <v>281</v>
      </c>
      <c r="H143" s="248">
        <v>6.48</v>
      </c>
      <c r="I143" s="247">
        <v>354.08</v>
      </c>
    </row>
    <row r="144" spans="1:9" ht="14.45" customHeight="1">
      <c r="A144" s="84" t="s">
        <v>28</v>
      </c>
      <c r="B144" s="247">
        <v>0</v>
      </c>
      <c r="C144" s="247">
        <v>31.024450000000002</v>
      </c>
      <c r="D144" s="247">
        <v>7.5196500000000004</v>
      </c>
      <c r="E144" s="247">
        <v>20</v>
      </c>
      <c r="F144" s="247">
        <v>50632.25</v>
      </c>
      <c r="G144" s="247">
        <v>281</v>
      </c>
      <c r="H144" s="248">
        <v>6.44</v>
      </c>
      <c r="I144" s="247">
        <v>354.38</v>
      </c>
    </row>
    <row r="145" spans="1:9" ht="14.45" customHeight="1">
      <c r="A145" s="84" t="s">
        <v>29</v>
      </c>
      <c r="B145" s="247">
        <v>0</v>
      </c>
      <c r="C145" s="247">
        <v>14.743073000000001</v>
      </c>
      <c r="D145" s="247">
        <v>5.1632699999999998</v>
      </c>
      <c r="E145" s="247">
        <v>0</v>
      </c>
      <c r="F145" s="247">
        <v>50821</v>
      </c>
      <c r="G145" s="247">
        <v>281</v>
      </c>
      <c r="H145" s="248">
        <v>6.44</v>
      </c>
      <c r="I145" s="247">
        <v>355.89</v>
      </c>
    </row>
    <row r="146" spans="1:9" ht="14.45" customHeight="1">
      <c r="A146" s="84" t="s">
        <v>2375</v>
      </c>
      <c r="B146" s="274">
        <f>SUM(B147:B158)</f>
        <v>161.001</v>
      </c>
      <c r="C146" s="274">
        <f>SUM(C147:C158)</f>
        <v>257.48837900000001</v>
      </c>
      <c r="D146" s="274">
        <f>SUM(D147:D158)</f>
        <v>163.67166500000002</v>
      </c>
      <c r="E146" s="274">
        <f>SUM(E147:E158)</f>
        <v>250</v>
      </c>
      <c r="F146" s="274">
        <f>AVERAGE(F147:F158)</f>
        <v>51936.027499999997</v>
      </c>
      <c r="G146" s="274">
        <f>AVERAGE(G147:G158)</f>
        <v>281.5</v>
      </c>
      <c r="H146" s="275">
        <f>AVERAGE(H147:H158)</f>
        <v>6.3991666666666669</v>
      </c>
      <c r="I146" s="274">
        <f>AVERAGE(I147:I158)</f>
        <v>362.99250000000001</v>
      </c>
    </row>
    <row r="147" spans="1:9" ht="14.45" customHeight="1">
      <c r="A147" s="84" t="s">
        <v>18</v>
      </c>
      <c r="B147" s="247">
        <v>17.75</v>
      </c>
      <c r="C147" s="247">
        <v>6.1365259999999999</v>
      </c>
      <c r="D147" s="247">
        <v>6.241689</v>
      </c>
      <c r="E147" s="247">
        <v>0</v>
      </c>
      <c r="F147" s="247">
        <v>50825</v>
      </c>
      <c r="G147" s="247">
        <v>281</v>
      </c>
      <c r="H147" s="248">
        <v>6.43</v>
      </c>
      <c r="I147" s="247">
        <v>355.77</v>
      </c>
    </row>
    <row r="148" spans="1:9" ht="14.45" customHeight="1">
      <c r="A148" s="84" t="s">
        <v>19</v>
      </c>
      <c r="B148" s="247">
        <v>0</v>
      </c>
      <c r="C148" s="247">
        <v>20.358519999999999</v>
      </c>
      <c r="D148" s="247">
        <v>5.138388</v>
      </c>
      <c r="E148" s="247">
        <v>0</v>
      </c>
      <c r="F148" s="247">
        <v>51004</v>
      </c>
      <c r="G148" s="247">
        <v>281</v>
      </c>
      <c r="H148" s="248">
        <v>6.42</v>
      </c>
      <c r="I148" s="247">
        <v>356.82</v>
      </c>
    </row>
    <row r="149" spans="1:9" ht="14.45" customHeight="1">
      <c r="A149" s="84" t="s">
        <v>20</v>
      </c>
      <c r="B149" s="247">
        <v>0</v>
      </c>
      <c r="C149" s="247">
        <v>27.974720000000001</v>
      </c>
      <c r="D149" s="247">
        <v>2.695068</v>
      </c>
      <c r="E149" s="247">
        <v>20</v>
      </c>
      <c r="F149" s="247">
        <v>51357</v>
      </c>
      <c r="G149" s="247">
        <v>281</v>
      </c>
      <c r="H149" s="248">
        <v>6.42</v>
      </c>
      <c r="I149" s="247">
        <v>359.15</v>
      </c>
    </row>
    <row r="150" spans="1:9" ht="14.45" customHeight="1">
      <c r="A150" s="84" t="s">
        <v>21</v>
      </c>
      <c r="B150" s="247">
        <v>57.750999999999998</v>
      </c>
      <c r="C150" s="247">
        <v>11.364940000000001</v>
      </c>
      <c r="D150" s="247">
        <v>0</v>
      </c>
      <c r="E150" s="247">
        <v>30</v>
      </c>
      <c r="F150" s="247">
        <v>51493.65</v>
      </c>
      <c r="G150" s="247">
        <v>281</v>
      </c>
      <c r="H150" s="248">
        <v>6.42</v>
      </c>
      <c r="I150" s="247">
        <v>360.18</v>
      </c>
    </row>
    <row r="151" spans="1:9" ht="14.45" customHeight="1">
      <c r="A151" s="84" t="s">
        <v>22</v>
      </c>
      <c r="B151" s="247">
        <v>0</v>
      </c>
      <c r="C151" s="247">
        <v>8.6287800000000008</v>
      </c>
      <c r="D151" s="247">
        <v>5.0273300000000001</v>
      </c>
      <c r="E151" s="247">
        <v>25</v>
      </c>
      <c r="F151" s="247">
        <v>51575.43</v>
      </c>
      <c r="G151" s="247">
        <v>281</v>
      </c>
      <c r="H151" s="248">
        <v>6.42</v>
      </c>
      <c r="I151" s="247">
        <v>360.77</v>
      </c>
    </row>
    <row r="152" spans="1:9" ht="14.45" customHeight="1">
      <c r="A152" s="84" t="s">
        <v>23</v>
      </c>
      <c r="B152" s="247">
        <v>0</v>
      </c>
      <c r="C152" s="247">
        <v>18.744430000000001</v>
      </c>
      <c r="D152" s="247">
        <v>5.2018599999999999</v>
      </c>
      <c r="E152" s="247">
        <v>25</v>
      </c>
      <c r="F152" s="247">
        <v>51781.25</v>
      </c>
      <c r="G152" s="247">
        <v>281</v>
      </c>
      <c r="H152" s="248">
        <v>6.42</v>
      </c>
      <c r="I152" s="247">
        <v>362.31</v>
      </c>
    </row>
    <row r="153" spans="1:9" ht="14.45" customHeight="1">
      <c r="A153" s="84" t="s">
        <v>24</v>
      </c>
      <c r="B153" s="247">
        <v>67.75</v>
      </c>
      <c r="C153" s="247">
        <v>38.568530000000003</v>
      </c>
      <c r="D153" s="247">
        <v>17.03</v>
      </c>
      <c r="E153" s="247">
        <v>25</v>
      </c>
      <c r="F153" s="247">
        <v>52100</v>
      </c>
      <c r="G153" s="247">
        <v>282</v>
      </c>
      <c r="H153" s="248">
        <v>6.41</v>
      </c>
      <c r="I153" s="247">
        <v>364.12</v>
      </c>
    </row>
    <row r="154" spans="1:9" ht="14.45" customHeight="1">
      <c r="A154" s="84" t="s">
        <v>25</v>
      </c>
      <c r="B154" s="247">
        <v>0</v>
      </c>
      <c r="C154" s="247">
        <v>25.95701</v>
      </c>
      <c r="D154" s="247">
        <v>23.72016</v>
      </c>
      <c r="E154" s="247">
        <v>25</v>
      </c>
      <c r="F154" s="247">
        <v>52306</v>
      </c>
      <c r="G154" s="247">
        <v>282</v>
      </c>
      <c r="H154" s="248">
        <v>6.39</v>
      </c>
      <c r="I154" s="247">
        <v>365.24</v>
      </c>
    </row>
    <row r="155" spans="1:9" ht="14.45" customHeight="1">
      <c r="A155" s="84" t="s">
        <v>26</v>
      </c>
      <c r="B155" s="247">
        <v>0</v>
      </c>
      <c r="C155" s="247">
        <v>22.726603000000001</v>
      </c>
      <c r="D155" s="247">
        <v>15.418559999999999</v>
      </c>
      <c r="E155" s="247">
        <v>25</v>
      </c>
      <c r="F155" s="247">
        <v>52462</v>
      </c>
      <c r="G155" s="247">
        <v>282</v>
      </c>
      <c r="H155" s="248">
        <v>6.38</v>
      </c>
      <c r="I155" s="247">
        <v>366.35</v>
      </c>
    </row>
    <row r="156" spans="1:9" ht="14.45" customHeight="1">
      <c r="A156" s="84" t="s">
        <v>27</v>
      </c>
      <c r="B156" s="247">
        <v>17.75</v>
      </c>
      <c r="C156" s="247">
        <v>27.098469999999999</v>
      </c>
      <c r="D156" s="247">
        <v>29.089590000000001</v>
      </c>
      <c r="E156" s="247">
        <v>25</v>
      </c>
      <c r="F156" s="247">
        <v>52556</v>
      </c>
      <c r="G156" s="247">
        <v>282</v>
      </c>
      <c r="H156" s="248">
        <v>6.36</v>
      </c>
      <c r="I156" s="247">
        <v>366.76</v>
      </c>
    </row>
    <row r="157" spans="1:9" ht="14.45" customHeight="1">
      <c r="A157" s="84" t="s">
        <v>28</v>
      </c>
      <c r="B157" s="247">
        <v>0</v>
      </c>
      <c r="C157" s="247">
        <v>21.086279999999999</v>
      </c>
      <c r="D157" s="247">
        <v>28.74878</v>
      </c>
      <c r="E157" s="247">
        <v>0</v>
      </c>
      <c r="F157" s="247">
        <v>52746</v>
      </c>
      <c r="G157" s="247">
        <v>282</v>
      </c>
      <c r="H157" s="248">
        <v>6.36</v>
      </c>
      <c r="I157" s="247">
        <v>368.22</v>
      </c>
    </row>
    <row r="158" spans="1:9" ht="14.45" customHeight="1">
      <c r="A158" s="84" t="s">
        <v>29</v>
      </c>
      <c r="B158" s="247">
        <v>0</v>
      </c>
      <c r="C158" s="247">
        <v>28.84357</v>
      </c>
      <c r="D158" s="247">
        <v>25.360240000000001</v>
      </c>
      <c r="E158" s="247">
        <v>50</v>
      </c>
      <c r="F158" s="247">
        <v>53026</v>
      </c>
      <c r="G158" s="247">
        <v>282</v>
      </c>
      <c r="H158" s="248">
        <v>6.36</v>
      </c>
      <c r="I158" s="247">
        <v>370.22</v>
      </c>
    </row>
    <row r="159" spans="1:9" ht="14.45" customHeight="1">
      <c r="A159" s="84" t="s">
        <v>2537</v>
      </c>
      <c r="B159" s="274">
        <f>SUM(B160:B171)</f>
        <v>71</v>
      </c>
      <c r="C159" s="274">
        <f>SUM(C160:C171)</f>
        <v>356.20413000000008</v>
      </c>
      <c r="D159" s="274">
        <f>SUM(D160:D171)</f>
        <v>410.01489000000004</v>
      </c>
      <c r="E159" s="274">
        <f>SUM(E160:E171)</f>
        <v>280</v>
      </c>
      <c r="F159" s="274">
        <f>AVERAGE(F160:F171)</f>
        <v>54290.519166666665</v>
      </c>
      <c r="G159" s="274">
        <f>AVERAGE(G160:G171)</f>
        <v>282</v>
      </c>
      <c r="H159" s="274">
        <f>AVERAGE(H160:H171)</f>
        <v>6.3275000000000006</v>
      </c>
      <c r="I159" s="274">
        <f>AVERAGE(I160:I171)</f>
        <v>380.20833333333331</v>
      </c>
    </row>
    <row r="160" spans="1:9" ht="14.45" customHeight="1">
      <c r="A160" s="84" t="s">
        <v>18</v>
      </c>
      <c r="B160" s="247">
        <v>0</v>
      </c>
      <c r="C160" s="247">
        <v>16.916119999999999</v>
      </c>
      <c r="D160" s="247">
        <v>19.937760000000001</v>
      </c>
      <c r="E160" s="247">
        <v>0</v>
      </c>
      <c r="F160" s="247">
        <v>53059</v>
      </c>
      <c r="G160" s="247">
        <v>282</v>
      </c>
      <c r="H160" s="248">
        <v>6.34</v>
      </c>
      <c r="I160" s="247">
        <v>370.23</v>
      </c>
    </row>
    <row r="161" spans="1:9" ht="14.45" customHeight="1">
      <c r="A161" s="84" t="s">
        <v>19</v>
      </c>
      <c r="B161" s="247">
        <v>17.75</v>
      </c>
      <c r="C161" s="247">
        <v>40.777650000000001</v>
      </c>
      <c r="D161" s="247">
        <v>20.295629999999999</v>
      </c>
      <c r="E161" s="247">
        <v>0</v>
      </c>
      <c r="F161" s="247">
        <v>53399</v>
      </c>
      <c r="G161" s="247">
        <v>282</v>
      </c>
      <c r="H161" s="248">
        <v>6.34</v>
      </c>
      <c r="I161" s="247">
        <v>372.75</v>
      </c>
    </row>
    <row r="162" spans="1:9" ht="15.75" customHeight="1">
      <c r="A162" s="84" t="s">
        <v>20</v>
      </c>
      <c r="B162" s="247">
        <v>0</v>
      </c>
      <c r="C162" s="247">
        <v>39.769019999999998</v>
      </c>
      <c r="D162" s="247">
        <v>18.10558</v>
      </c>
      <c r="E162" s="247">
        <v>55</v>
      </c>
      <c r="F162" s="247">
        <v>53760</v>
      </c>
      <c r="G162" s="247">
        <v>282</v>
      </c>
      <c r="H162" s="248">
        <v>6.34</v>
      </c>
      <c r="I162" s="247">
        <v>375.78</v>
      </c>
    </row>
    <row r="163" spans="1:9" ht="15.75" customHeight="1">
      <c r="A163" s="84" t="s">
        <v>21</v>
      </c>
      <c r="B163" s="247">
        <v>17.75</v>
      </c>
      <c r="C163" s="247">
        <v>37.309480000000001</v>
      </c>
      <c r="D163" s="247">
        <v>27.002089999999999</v>
      </c>
      <c r="E163" s="247">
        <v>0</v>
      </c>
      <c r="F163" s="247">
        <v>54052</v>
      </c>
      <c r="G163" s="247">
        <v>282</v>
      </c>
      <c r="H163" s="248">
        <v>6.34</v>
      </c>
      <c r="I163" s="247">
        <v>378.16</v>
      </c>
    </row>
    <row r="164" spans="1:9" ht="15.75" customHeight="1">
      <c r="A164" s="84" t="s">
        <v>22</v>
      </c>
      <c r="B164" s="247">
        <v>0</v>
      </c>
      <c r="C164" s="247">
        <v>35.791710000000002</v>
      </c>
      <c r="D164" s="247">
        <v>27.43017</v>
      </c>
      <c r="E164" s="247">
        <v>0</v>
      </c>
      <c r="F164" s="247">
        <v>54140</v>
      </c>
      <c r="G164" s="247">
        <v>282</v>
      </c>
      <c r="H164" s="248">
        <v>6.33</v>
      </c>
      <c r="I164" s="247">
        <v>378.58</v>
      </c>
    </row>
    <row r="165" spans="1:9" ht="15.75" customHeight="1">
      <c r="A165" s="84" t="s">
        <v>23</v>
      </c>
      <c r="B165" s="247">
        <v>0</v>
      </c>
      <c r="C165" s="247">
        <v>32.750149999999998</v>
      </c>
      <c r="D165" s="247">
        <v>39.113660000000003</v>
      </c>
      <c r="E165" s="247">
        <v>50</v>
      </c>
      <c r="F165" s="247">
        <v>54338</v>
      </c>
      <c r="G165" s="247">
        <v>282</v>
      </c>
      <c r="H165" s="248">
        <v>6.32</v>
      </c>
      <c r="I165" s="247">
        <v>380.14</v>
      </c>
    </row>
    <row r="166" spans="1:9" ht="15.75" customHeight="1">
      <c r="A166" s="464" t="s">
        <v>24</v>
      </c>
      <c r="B166" s="247">
        <v>0</v>
      </c>
      <c r="C166" s="247">
        <v>27.12</v>
      </c>
      <c r="D166" s="247">
        <v>30.47</v>
      </c>
      <c r="E166" s="247">
        <v>0</v>
      </c>
      <c r="F166" s="247">
        <v>54476</v>
      </c>
      <c r="G166" s="247">
        <v>282</v>
      </c>
      <c r="H166" s="248">
        <v>6.32</v>
      </c>
      <c r="I166" s="247">
        <v>381.49</v>
      </c>
    </row>
    <row r="167" spans="1:9" ht="15.75" customHeight="1">
      <c r="A167" s="464" t="s">
        <v>25</v>
      </c>
      <c r="B167" s="247">
        <v>0</v>
      </c>
      <c r="C167" s="247">
        <v>25.72</v>
      </c>
      <c r="D167" s="247">
        <v>54.22</v>
      </c>
      <c r="E167" s="247">
        <v>55</v>
      </c>
      <c r="F167" s="247">
        <v>54541</v>
      </c>
      <c r="G167" s="247">
        <v>282</v>
      </c>
      <c r="H167" s="248">
        <v>6.32</v>
      </c>
      <c r="I167" s="247">
        <v>382.18</v>
      </c>
    </row>
    <row r="168" spans="1:9" ht="15.75" customHeight="1">
      <c r="A168" s="464" t="s">
        <v>26</v>
      </c>
      <c r="B168" s="247">
        <v>0</v>
      </c>
      <c r="C168" s="247">
        <v>26.18</v>
      </c>
      <c r="D168" s="247">
        <v>44.98</v>
      </c>
      <c r="E168" s="247">
        <v>0</v>
      </c>
      <c r="F168" s="247">
        <v>54661</v>
      </c>
      <c r="G168" s="247">
        <v>282</v>
      </c>
      <c r="H168" s="248">
        <v>6.32</v>
      </c>
      <c r="I168" s="247">
        <v>383.23</v>
      </c>
    </row>
    <row r="169" spans="1:9" ht="15.75" customHeight="1">
      <c r="A169" s="464" t="s">
        <v>27</v>
      </c>
      <c r="B169" s="247">
        <v>35.5</v>
      </c>
      <c r="C169" s="247">
        <v>21.67</v>
      </c>
      <c r="D169" s="247">
        <v>41.93</v>
      </c>
      <c r="E169" s="247">
        <v>40</v>
      </c>
      <c r="F169" s="247">
        <v>54885</v>
      </c>
      <c r="G169" s="247">
        <v>282</v>
      </c>
      <c r="H169" s="248">
        <v>6.32</v>
      </c>
      <c r="I169" s="247">
        <v>385.56</v>
      </c>
    </row>
    <row r="170" spans="1:9" ht="15.75" customHeight="1">
      <c r="A170" s="464" t="s">
        <v>28</v>
      </c>
      <c r="B170" s="247">
        <v>0</v>
      </c>
      <c r="C170" s="247">
        <v>21.42</v>
      </c>
      <c r="D170" s="247">
        <v>55.42</v>
      </c>
      <c r="E170" s="247">
        <v>0</v>
      </c>
      <c r="F170" s="247">
        <v>54951</v>
      </c>
      <c r="G170" s="247">
        <v>282</v>
      </c>
      <c r="H170" s="248">
        <v>6.32</v>
      </c>
      <c r="I170" s="247">
        <v>386.19</v>
      </c>
    </row>
    <row r="171" spans="1:9" ht="15.75" customHeight="1">
      <c r="A171" s="464" t="s">
        <v>29</v>
      </c>
      <c r="B171" s="247">
        <v>0</v>
      </c>
      <c r="C171" s="247">
        <v>30.78</v>
      </c>
      <c r="D171" s="247">
        <v>31.11</v>
      </c>
      <c r="E171" s="247">
        <v>80</v>
      </c>
      <c r="F171" s="247">
        <v>55224.23</v>
      </c>
      <c r="G171" s="247">
        <v>282</v>
      </c>
      <c r="H171" s="248">
        <v>6.32</v>
      </c>
      <c r="I171" s="247">
        <v>388.21</v>
      </c>
    </row>
    <row r="172" spans="1:9" ht="15.75" customHeight="1">
      <c r="A172" s="464" t="s">
        <v>2827</v>
      </c>
      <c r="B172" s="274">
        <f>SUM(B173:B184)</f>
        <v>95</v>
      </c>
      <c r="C172" s="274">
        <f>SUM(C173:C184)</f>
        <v>422.51</v>
      </c>
      <c r="D172" s="274">
        <f>SUM(D173:D184)</f>
        <v>406.79000000000008</v>
      </c>
      <c r="E172" s="274">
        <f>SUM(E173:E184)</f>
        <v>450</v>
      </c>
      <c r="F172" s="274">
        <f>AVERAGE(F173:F184)</f>
        <v>56814.16166666666</v>
      </c>
      <c r="G172" s="274">
        <f>AVERAGE(G173:G184)</f>
        <v>282</v>
      </c>
      <c r="H172" s="275">
        <f>AVERAGE(H173:H184)</f>
        <v>6.3208333333333337</v>
      </c>
      <c r="I172" s="274">
        <f>AVERAGE(I173:I184)</f>
        <v>399.48583333333335</v>
      </c>
    </row>
    <row r="173" spans="1:9" ht="15.75" customHeight="1">
      <c r="A173" s="464" t="s">
        <v>18</v>
      </c>
      <c r="B173" s="247">
        <v>23.75</v>
      </c>
      <c r="C173" s="247">
        <v>13.93</v>
      </c>
      <c r="D173" s="247">
        <v>21.57</v>
      </c>
      <c r="E173" s="247">
        <v>0</v>
      </c>
      <c r="F173" s="247">
        <v>55260</v>
      </c>
      <c r="G173" s="247">
        <v>282</v>
      </c>
      <c r="H173" s="248">
        <v>6.32</v>
      </c>
      <c r="I173" s="247">
        <v>388.32</v>
      </c>
    </row>
    <row r="174" spans="1:9" ht="15.75" customHeight="1">
      <c r="A174" s="464" t="s">
        <v>19</v>
      </c>
      <c r="B174" s="247">
        <v>0</v>
      </c>
      <c r="C174" s="247">
        <v>41.96</v>
      </c>
      <c r="D174" s="247">
        <v>18.420000000000002</v>
      </c>
      <c r="E174" s="247">
        <v>20</v>
      </c>
      <c r="F174" s="247">
        <v>55596</v>
      </c>
      <c r="G174" s="247">
        <v>282</v>
      </c>
      <c r="H174" s="248">
        <v>6.32</v>
      </c>
      <c r="I174" s="247">
        <v>390.15</v>
      </c>
    </row>
    <row r="175" spans="1:9" ht="15.75" customHeight="1">
      <c r="A175" s="464" t="s">
        <v>20</v>
      </c>
      <c r="B175" s="247">
        <v>0</v>
      </c>
      <c r="C175" s="247">
        <v>52</v>
      </c>
      <c r="D175" s="247">
        <v>34.229999999999997</v>
      </c>
      <c r="E175" s="247">
        <v>20</v>
      </c>
      <c r="F175" s="247">
        <v>56019</v>
      </c>
      <c r="G175" s="247">
        <v>282</v>
      </c>
      <c r="H175" s="248">
        <v>6.31</v>
      </c>
      <c r="I175" s="247">
        <v>392.66</v>
      </c>
    </row>
    <row r="176" spans="1:9" ht="15.75" customHeight="1">
      <c r="A176" s="464" t="s">
        <v>21</v>
      </c>
      <c r="B176" s="247">
        <v>23.75</v>
      </c>
      <c r="C176" s="247">
        <v>49.16</v>
      </c>
      <c r="D176" s="247">
        <v>26.08</v>
      </c>
      <c r="E176" s="247">
        <v>50</v>
      </c>
      <c r="F176" s="247">
        <v>56405.9</v>
      </c>
      <c r="G176" s="247">
        <v>282</v>
      </c>
      <c r="H176" s="248">
        <v>6.31</v>
      </c>
      <c r="I176" s="247">
        <v>395.72</v>
      </c>
    </row>
    <row r="177" spans="1:9" ht="15.75" customHeight="1">
      <c r="A177" s="464" t="s">
        <v>22</v>
      </c>
      <c r="B177" s="247">
        <v>0</v>
      </c>
      <c r="C177" s="247">
        <v>32.86</v>
      </c>
      <c r="D177" s="247">
        <v>35.07</v>
      </c>
      <c r="E177" s="247">
        <v>0</v>
      </c>
      <c r="F177" s="247">
        <v>56645.36</v>
      </c>
      <c r="G177" s="247">
        <v>282</v>
      </c>
      <c r="H177" s="248">
        <v>6.31</v>
      </c>
      <c r="I177" s="247">
        <v>397.56</v>
      </c>
    </row>
    <row r="178" spans="1:9" ht="15.75" customHeight="1">
      <c r="A178" s="464" t="s">
        <v>23</v>
      </c>
      <c r="B178" s="247">
        <v>0</v>
      </c>
      <c r="C178" s="247">
        <v>26.98</v>
      </c>
      <c r="D178" s="247">
        <v>52.93</v>
      </c>
      <c r="E178" s="247">
        <v>40</v>
      </c>
      <c r="F178" s="247">
        <v>56826.85</v>
      </c>
      <c r="G178" s="247">
        <v>282</v>
      </c>
      <c r="H178" s="248">
        <v>6.31</v>
      </c>
      <c r="I178" s="247">
        <v>399.15</v>
      </c>
    </row>
    <row r="179" spans="1:9" ht="15.75" customHeight="1">
      <c r="A179" s="464" t="s">
        <v>24</v>
      </c>
      <c r="B179" s="247">
        <v>23.75</v>
      </c>
      <c r="C179" s="247">
        <v>18.260000000000002</v>
      </c>
      <c r="D179" s="247">
        <v>5.3</v>
      </c>
      <c r="E179" s="247">
        <v>0</v>
      </c>
      <c r="F179" s="247">
        <v>56992.92</v>
      </c>
      <c r="G179" s="247">
        <v>282</v>
      </c>
      <c r="H179" s="248">
        <v>6.31</v>
      </c>
      <c r="I179" s="247">
        <v>400.73</v>
      </c>
    </row>
    <row r="180" spans="1:9" ht="15.75" customHeight="1">
      <c r="A180" s="464" t="s">
        <v>25</v>
      </c>
      <c r="B180" s="247">
        <v>0</v>
      </c>
      <c r="C180" s="247">
        <v>24.09</v>
      </c>
      <c r="D180" s="247">
        <v>27.53</v>
      </c>
      <c r="E180" s="247">
        <v>25</v>
      </c>
      <c r="F180" s="247">
        <v>57134.16</v>
      </c>
      <c r="G180" s="247">
        <v>282</v>
      </c>
      <c r="H180" s="248">
        <v>6.33</v>
      </c>
      <c r="I180" s="247">
        <v>401.98</v>
      </c>
    </row>
    <row r="181" spans="1:9" ht="15.75" customHeight="1">
      <c r="A181" s="464" t="s">
        <v>26</v>
      </c>
      <c r="B181" s="247">
        <v>23.75</v>
      </c>
      <c r="C181" s="247">
        <v>31.12</v>
      </c>
      <c r="D181" s="247">
        <v>64.14</v>
      </c>
      <c r="E181" s="247">
        <v>50</v>
      </c>
      <c r="F181" s="247">
        <v>57367.86</v>
      </c>
      <c r="G181" s="247">
        <v>282</v>
      </c>
      <c r="H181" s="248">
        <v>6.34</v>
      </c>
      <c r="I181" s="247">
        <v>404.13</v>
      </c>
    </row>
    <row r="182" spans="1:9" ht="15.75" customHeight="1">
      <c r="A182" s="464" t="s">
        <v>27</v>
      </c>
      <c r="B182" s="247">
        <v>0</v>
      </c>
      <c r="C182" s="247">
        <v>64.430000000000007</v>
      </c>
      <c r="D182" s="247">
        <v>35.1</v>
      </c>
      <c r="E182" s="247">
        <v>70</v>
      </c>
      <c r="F182" s="247">
        <v>57596.97</v>
      </c>
      <c r="G182" s="247">
        <v>282</v>
      </c>
      <c r="H182" s="248">
        <v>6.32</v>
      </c>
      <c r="I182" s="247">
        <v>405.6</v>
      </c>
    </row>
    <row r="183" spans="1:9" ht="15.75" customHeight="1">
      <c r="A183" s="464" t="s">
        <v>28</v>
      </c>
      <c r="B183" s="247">
        <v>0</v>
      </c>
      <c r="C183" s="247">
        <v>35.770000000000003</v>
      </c>
      <c r="D183" s="247">
        <v>30.06</v>
      </c>
      <c r="E183" s="247">
        <v>100</v>
      </c>
      <c r="F183" s="247">
        <v>57844.55</v>
      </c>
      <c r="G183" s="247">
        <v>282</v>
      </c>
      <c r="H183" s="248">
        <v>6.33</v>
      </c>
      <c r="I183" s="247">
        <v>407.85</v>
      </c>
    </row>
    <row r="184" spans="1:9" ht="15.75" customHeight="1">
      <c r="A184" s="464" t="s">
        <v>29</v>
      </c>
      <c r="B184" s="247">
        <v>0</v>
      </c>
      <c r="C184" s="247">
        <v>31.95</v>
      </c>
      <c r="D184" s="247">
        <v>56.36</v>
      </c>
      <c r="E184" s="247">
        <v>75</v>
      </c>
      <c r="F184" s="247">
        <v>58080.37</v>
      </c>
      <c r="G184" s="247">
        <v>282</v>
      </c>
      <c r="H184" s="248">
        <v>6.34</v>
      </c>
      <c r="I184" s="247">
        <v>409.98</v>
      </c>
    </row>
    <row r="185" spans="1:9" ht="15.75" customHeight="1">
      <c r="A185" s="464" t="s">
        <v>3518</v>
      </c>
      <c r="B185" s="274">
        <f>SUM(B186:B197)</f>
        <v>87.715000000000003</v>
      </c>
      <c r="C185" s="274">
        <f>SUM(C186:C197)</f>
        <v>461.38</v>
      </c>
      <c r="D185" s="274">
        <f>SUM(D186:D197)</f>
        <v>491.96</v>
      </c>
      <c r="E185" s="274">
        <f>SUM(E186:E197)</f>
        <v>450</v>
      </c>
      <c r="F185" s="274">
        <f>AVERAGE(F186:F197)</f>
        <v>59872.517500000009</v>
      </c>
      <c r="G185" s="274">
        <f>AVERAGE(G186:G197)</f>
        <v>281.97333333333336</v>
      </c>
      <c r="H185" s="275">
        <f>AVERAGE(H186:H197)</f>
        <v>6.3408333333333333</v>
      </c>
      <c r="I185" s="274">
        <f>AVERAGE(I186:I197)</f>
        <v>423.41333333333336</v>
      </c>
    </row>
    <row r="186" spans="1:9" ht="15.75" customHeight="1">
      <c r="A186" s="464" t="s">
        <v>18</v>
      </c>
      <c r="B186" s="247">
        <v>0</v>
      </c>
      <c r="C186" s="247">
        <v>8.8000000000000007</v>
      </c>
      <c r="D186" s="247">
        <v>29.86</v>
      </c>
      <c r="E186" s="247">
        <v>0</v>
      </c>
      <c r="F186" s="247">
        <v>58143.22</v>
      </c>
      <c r="G186" s="247">
        <v>282</v>
      </c>
      <c r="H186" s="248">
        <v>6.34</v>
      </c>
      <c r="I186" s="247">
        <v>410.57</v>
      </c>
    </row>
    <row r="187" spans="1:9" ht="15.75" customHeight="1">
      <c r="A187" s="464" t="s">
        <v>19</v>
      </c>
      <c r="B187" s="247">
        <v>21.925000000000001</v>
      </c>
      <c r="C187" s="247">
        <v>33.6</v>
      </c>
      <c r="D187" s="247">
        <v>40.22</v>
      </c>
      <c r="E187" s="247">
        <v>0</v>
      </c>
      <c r="F187" s="247">
        <v>58426.87</v>
      </c>
      <c r="G187" s="247">
        <v>282</v>
      </c>
      <c r="H187" s="248">
        <v>6.34</v>
      </c>
      <c r="I187" s="247">
        <v>412.6</v>
      </c>
    </row>
    <row r="188" spans="1:9" ht="15.75" customHeight="1">
      <c r="A188" s="464" t="s">
        <v>20</v>
      </c>
      <c r="B188" s="247">
        <v>0</v>
      </c>
      <c r="C188" s="247">
        <v>68.64</v>
      </c>
      <c r="D188" s="247">
        <v>26.37</v>
      </c>
      <c r="E188" s="247">
        <v>0</v>
      </c>
      <c r="F188" s="247">
        <v>58977.35</v>
      </c>
      <c r="G188" s="247">
        <v>282</v>
      </c>
      <c r="H188" s="248">
        <v>6.34</v>
      </c>
      <c r="I188" s="247">
        <v>416.13</v>
      </c>
    </row>
    <row r="189" spans="1:9" ht="15.75" customHeight="1">
      <c r="A189" s="464" t="s">
        <v>21</v>
      </c>
      <c r="B189" s="247">
        <v>21.93</v>
      </c>
      <c r="C189" s="247">
        <v>53.91</v>
      </c>
      <c r="D189" s="247">
        <v>11.82</v>
      </c>
      <c r="E189" s="247">
        <v>100</v>
      </c>
      <c r="F189" s="247">
        <v>59366.45</v>
      </c>
      <c r="G189" s="247">
        <v>282</v>
      </c>
      <c r="H189" s="248">
        <v>6.34</v>
      </c>
      <c r="I189" s="247">
        <v>419</v>
      </c>
    </row>
    <row r="190" spans="1:9" ht="15.75" customHeight="1">
      <c r="A190" s="464" t="s">
        <v>22</v>
      </c>
      <c r="B190" s="247">
        <v>0</v>
      </c>
      <c r="C190" s="247">
        <v>40.94</v>
      </c>
      <c r="D190" s="247">
        <v>52.02</v>
      </c>
      <c r="E190" s="247">
        <v>0</v>
      </c>
      <c r="F190" s="247">
        <v>59668.67</v>
      </c>
      <c r="G190" s="247">
        <v>282</v>
      </c>
      <c r="H190" s="248">
        <v>6.34</v>
      </c>
      <c r="I190" s="247">
        <v>421.38</v>
      </c>
    </row>
    <row r="191" spans="1:9" ht="15.75" customHeight="1">
      <c r="A191" s="464" t="s">
        <v>23</v>
      </c>
      <c r="B191" s="247">
        <v>0</v>
      </c>
      <c r="C191" s="247">
        <v>37.81</v>
      </c>
      <c r="D191" s="247">
        <v>51.53</v>
      </c>
      <c r="E191" s="247">
        <v>40</v>
      </c>
      <c r="F191" s="247">
        <v>59950</v>
      </c>
      <c r="G191" s="247">
        <v>282</v>
      </c>
      <c r="H191" s="248">
        <v>6.35</v>
      </c>
      <c r="I191" s="247">
        <v>423.8</v>
      </c>
    </row>
    <row r="192" spans="1:9" ht="15.75" customHeight="1">
      <c r="A192" s="464" t="s">
        <v>24</v>
      </c>
      <c r="B192" s="247">
        <v>21.93</v>
      </c>
      <c r="C192" s="247">
        <v>35.89</v>
      </c>
      <c r="D192" s="247">
        <v>52.91</v>
      </c>
      <c r="E192" s="247">
        <v>30</v>
      </c>
      <c r="F192" s="247">
        <v>60216.5</v>
      </c>
      <c r="G192" s="247">
        <v>281.68</v>
      </c>
      <c r="H192" s="248">
        <v>6.36</v>
      </c>
      <c r="I192" s="247">
        <v>426.15</v>
      </c>
    </row>
    <row r="193" spans="1:9" ht="15.75" customHeight="1">
      <c r="A193" s="464" t="s">
        <v>25</v>
      </c>
      <c r="B193" s="247">
        <v>0</v>
      </c>
      <c r="C193" s="247">
        <v>70.06</v>
      </c>
      <c r="D193" s="247">
        <v>47.51</v>
      </c>
      <c r="E193" s="247">
        <v>50</v>
      </c>
      <c r="F193" s="247">
        <v>60391</v>
      </c>
      <c r="G193" s="247">
        <v>282</v>
      </c>
      <c r="H193" s="248">
        <v>6.33</v>
      </c>
      <c r="I193" s="247">
        <v>427.18</v>
      </c>
    </row>
    <row r="194" spans="1:9" ht="15.75" customHeight="1">
      <c r="A194" s="464" t="s">
        <v>26</v>
      </c>
      <c r="B194" s="247">
        <v>0</v>
      </c>
      <c r="C194" s="247">
        <v>42.27</v>
      </c>
      <c r="D194" s="247">
        <v>41.37</v>
      </c>
      <c r="E194" s="247">
        <v>50</v>
      </c>
      <c r="F194" s="247">
        <v>60569</v>
      </c>
      <c r="G194" s="247">
        <v>282</v>
      </c>
      <c r="H194" s="248">
        <v>6.33</v>
      </c>
      <c r="I194" s="247">
        <v>428.71</v>
      </c>
    </row>
    <row r="195" spans="1:9" ht="15.75" customHeight="1">
      <c r="A195" s="464" t="s">
        <v>27</v>
      </c>
      <c r="B195" s="247">
        <v>21.93</v>
      </c>
      <c r="C195" s="247">
        <v>23.86</v>
      </c>
      <c r="D195" s="247">
        <v>42.8</v>
      </c>
      <c r="E195" s="247">
        <v>50</v>
      </c>
      <c r="F195" s="247">
        <v>60807</v>
      </c>
      <c r="G195" s="247">
        <v>282</v>
      </c>
      <c r="H195" s="248">
        <v>6.34</v>
      </c>
      <c r="I195" s="247">
        <v>430.9</v>
      </c>
    </row>
    <row r="196" spans="1:9" ht="15.75" customHeight="1">
      <c r="A196" s="464" t="s">
        <v>28</v>
      </c>
      <c r="B196" s="247">
        <v>0</v>
      </c>
      <c r="C196" s="247">
        <v>20.87</v>
      </c>
      <c r="D196" s="247">
        <v>56.15</v>
      </c>
      <c r="E196" s="247">
        <v>50</v>
      </c>
      <c r="F196" s="247">
        <v>60904.11</v>
      </c>
      <c r="G196" s="247">
        <v>282</v>
      </c>
      <c r="H196" s="248">
        <v>6.34</v>
      </c>
      <c r="I196" s="247">
        <v>431.68</v>
      </c>
    </row>
    <row r="197" spans="1:9" ht="15.75" customHeight="1">
      <c r="A197" s="464" t="s">
        <v>29</v>
      </c>
      <c r="B197" s="247">
        <v>0</v>
      </c>
      <c r="C197" s="247">
        <v>24.73</v>
      </c>
      <c r="D197" s="247">
        <v>39.4</v>
      </c>
      <c r="E197" s="247">
        <v>80</v>
      </c>
      <c r="F197" s="247">
        <v>61050.04</v>
      </c>
      <c r="G197" s="247">
        <v>282</v>
      </c>
      <c r="H197" s="248">
        <v>6.34</v>
      </c>
      <c r="I197" s="247">
        <v>432.86</v>
      </c>
    </row>
    <row r="198" spans="1:9" ht="15.75" customHeight="1">
      <c r="A198" s="464" t="s">
        <v>3989</v>
      </c>
      <c r="B198" s="274">
        <f>SUM(B199:B210)</f>
        <v>87.74</v>
      </c>
      <c r="C198" s="274">
        <f>SUM(C199:C210)</f>
        <v>439.8531999999999</v>
      </c>
      <c r="D198" s="274">
        <f>SUM(D199:D210)</f>
        <v>447.34043100000002</v>
      </c>
      <c r="E198" s="274">
        <f>SUM(E199:E210)</f>
        <v>600</v>
      </c>
      <c r="F198" s="274">
        <f>AVERAGE(F199:F210)</f>
        <v>62828.227830833326</v>
      </c>
      <c r="G198" s="274">
        <f>AVERAGE(G199:G210)</f>
        <v>281.55833333333334</v>
      </c>
      <c r="H198" s="275">
        <f>AVERAGE(H199:H210)</f>
        <v>6.3525</v>
      </c>
      <c r="I198" s="274">
        <f>AVERAGE(I199:I210)</f>
        <v>446.46</v>
      </c>
    </row>
    <row r="199" spans="1:9" ht="15.75" customHeight="1">
      <c r="A199" s="464" t="s">
        <v>18</v>
      </c>
      <c r="B199" s="247">
        <v>0</v>
      </c>
      <c r="C199" s="247">
        <v>16.100000000000001</v>
      </c>
      <c r="D199" s="247">
        <v>20.87</v>
      </c>
      <c r="E199" s="247">
        <v>50</v>
      </c>
      <c r="F199" s="247">
        <v>61056.33</v>
      </c>
      <c r="G199" s="247">
        <v>282</v>
      </c>
      <c r="H199" s="248">
        <v>6.33</v>
      </c>
      <c r="I199" s="247">
        <v>432.63</v>
      </c>
    </row>
    <row r="200" spans="1:9" ht="15.75" customHeight="1">
      <c r="A200" s="464" t="s">
        <v>19</v>
      </c>
      <c r="B200" s="247">
        <v>21.93</v>
      </c>
      <c r="C200" s="247">
        <v>36.090000000000003</v>
      </c>
      <c r="D200" s="247">
        <v>27</v>
      </c>
      <c r="E200" s="247">
        <v>0</v>
      </c>
      <c r="F200" s="247">
        <v>61684.71</v>
      </c>
      <c r="G200" s="247">
        <v>281.5</v>
      </c>
      <c r="H200" s="248">
        <v>6.34</v>
      </c>
      <c r="I200" s="247">
        <v>437.85</v>
      </c>
    </row>
    <row r="201" spans="1:9" ht="15.75" customHeight="1">
      <c r="A201" s="464" t="s">
        <v>20</v>
      </c>
      <c r="B201" s="247">
        <v>0</v>
      </c>
      <c r="C201" s="247">
        <v>62.84</v>
      </c>
      <c r="D201" s="247">
        <v>22.65</v>
      </c>
      <c r="E201" s="247">
        <v>90</v>
      </c>
      <c r="F201" s="247">
        <v>61820.62</v>
      </c>
      <c r="G201" s="247">
        <v>281.47000000000003</v>
      </c>
      <c r="H201" s="248">
        <v>6.34</v>
      </c>
      <c r="I201" s="247">
        <v>438.76</v>
      </c>
    </row>
    <row r="202" spans="1:9" ht="15.75" customHeight="1">
      <c r="A202" s="464" t="s">
        <v>21</v>
      </c>
      <c r="B202" s="247">
        <v>21.93</v>
      </c>
      <c r="C202" s="247">
        <v>62.75</v>
      </c>
      <c r="D202" s="247">
        <v>24.24</v>
      </c>
      <c r="E202" s="247">
        <v>60</v>
      </c>
      <c r="F202" s="247">
        <v>62259.93</v>
      </c>
      <c r="G202" s="247">
        <v>281.56</v>
      </c>
      <c r="H202" s="248">
        <v>6.34</v>
      </c>
      <c r="I202" s="247">
        <v>441.56</v>
      </c>
    </row>
    <row r="203" spans="1:9" ht="15.75" customHeight="1">
      <c r="A203" s="464" t="s">
        <v>22</v>
      </c>
      <c r="B203" s="247">
        <v>0</v>
      </c>
      <c r="C203" s="247">
        <v>37.97</v>
      </c>
      <c r="D203" s="247">
        <v>40.07</v>
      </c>
      <c r="E203" s="247">
        <v>50</v>
      </c>
      <c r="F203" s="247">
        <v>62514.81</v>
      </c>
      <c r="G203" s="247">
        <v>281.58999999999997</v>
      </c>
      <c r="H203" s="248">
        <v>6.34</v>
      </c>
      <c r="I203" s="247">
        <v>443.43</v>
      </c>
    </row>
    <row r="204" spans="1:9" ht="15.75" customHeight="1">
      <c r="A204" s="464" t="s">
        <v>23</v>
      </c>
      <c r="B204" s="247">
        <v>0</v>
      </c>
      <c r="C204" s="247">
        <v>14.45</v>
      </c>
      <c r="D204" s="247">
        <v>60.34</v>
      </c>
      <c r="E204" s="247">
        <v>50</v>
      </c>
      <c r="F204" s="247">
        <v>62609.843970000002</v>
      </c>
      <c r="G204" s="247">
        <v>281.58999999999997</v>
      </c>
      <c r="H204" s="248">
        <v>6.34</v>
      </c>
      <c r="I204" s="247">
        <v>444.17</v>
      </c>
    </row>
    <row r="205" spans="1:9" ht="15.75" customHeight="1">
      <c r="A205" s="464" t="s">
        <v>24</v>
      </c>
      <c r="B205" s="247">
        <v>21.93</v>
      </c>
      <c r="C205" s="247">
        <v>50.08</v>
      </c>
      <c r="D205" s="247">
        <v>51.04</v>
      </c>
      <c r="E205" s="247">
        <v>0</v>
      </c>
      <c r="F205" s="247">
        <v>63050.16</v>
      </c>
      <c r="G205" s="247">
        <v>281.56</v>
      </c>
      <c r="H205" s="248">
        <v>6.35</v>
      </c>
      <c r="I205" s="247">
        <v>447.94</v>
      </c>
    </row>
    <row r="206" spans="1:9" ht="15.75" customHeight="1">
      <c r="A206" s="464" t="s">
        <v>25</v>
      </c>
      <c r="B206" s="247">
        <v>0</v>
      </c>
      <c r="C206" s="247">
        <v>57.33</v>
      </c>
      <c r="D206" s="247">
        <v>34.479999999999997</v>
      </c>
      <c r="E206" s="247">
        <v>50</v>
      </c>
      <c r="F206" s="247">
        <v>63579.21</v>
      </c>
      <c r="G206" s="247">
        <v>281.52</v>
      </c>
      <c r="H206" s="248">
        <v>6.37</v>
      </c>
      <c r="I206" s="247">
        <v>452.46</v>
      </c>
    </row>
    <row r="207" spans="1:9" ht="15.75" customHeight="1">
      <c r="A207" s="464" t="s">
        <v>26</v>
      </c>
      <c r="B207" s="247">
        <v>0</v>
      </c>
      <c r="C207" s="247">
        <v>28.26</v>
      </c>
      <c r="D207" s="247">
        <v>27.28</v>
      </c>
      <c r="E207" s="247">
        <v>100</v>
      </c>
      <c r="F207" s="247">
        <v>63657.77</v>
      </c>
      <c r="G207" s="247">
        <v>281.48</v>
      </c>
      <c r="H207" s="248">
        <v>6.37</v>
      </c>
      <c r="I207" s="247">
        <v>453.18</v>
      </c>
    </row>
    <row r="208" spans="1:9" ht="15.75" customHeight="1">
      <c r="A208" s="464" t="s">
        <v>27</v>
      </c>
      <c r="B208" s="247">
        <v>0</v>
      </c>
      <c r="C208" s="247">
        <v>17.063199999999998</v>
      </c>
      <c r="D208" s="247">
        <v>70.810430999999994</v>
      </c>
      <c r="E208" s="247">
        <v>50</v>
      </c>
      <c r="F208" s="247">
        <v>63765.95</v>
      </c>
      <c r="G208" s="247">
        <v>281.45</v>
      </c>
      <c r="H208" s="248">
        <v>6.37</v>
      </c>
      <c r="I208" s="247">
        <v>454.16</v>
      </c>
    </row>
    <row r="209" spans="1:20" ht="15.75" customHeight="1">
      <c r="A209" s="464" t="s">
        <v>28</v>
      </c>
      <c r="B209" s="247">
        <v>21.95</v>
      </c>
      <c r="C209" s="247">
        <v>12.96</v>
      </c>
      <c r="D209" s="247">
        <v>40.119999999999997</v>
      </c>
      <c r="E209" s="247">
        <v>50</v>
      </c>
      <c r="F209" s="247">
        <v>63852.92</v>
      </c>
      <c r="G209" s="247">
        <v>281.45</v>
      </c>
      <c r="H209" s="248">
        <v>6.37</v>
      </c>
      <c r="I209" s="247">
        <v>454.94</v>
      </c>
    </row>
    <row r="210" spans="1:20" ht="15.75" customHeight="1">
      <c r="A210" s="464" t="s">
        <v>29</v>
      </c>
      <c r="B210" s="247">
        <v>0</v>
      </c>
      <c r="C210" s="247">
        <v>43.96</v>
      </c>
      <c r="D210" s="247">
        <v>28.44</v>
      </c>
      <c r="E210" s="247">
        <v>50</v>
      </c>
      <c r="F210" s="247">
        <v>64086.48</v>
      </c>
      <c r="G210" s="247">
        <v>281.52999999999997</v>
      </c>
      <c r="H210" s="248">
        <v>6.37</v>
      </c>
      <c r="I210" s="247">
        <v>456.44</v>
      </c>
    </row>
    <row r="211" spans="1:20" ht="15.75" customHeight="1">
      <c r="A211" s="464" t="s">
        <v>4222</v>
      </c>
      <c r="B211" s="247"/>
      <c r="C211" s="247"/>
      <c r="D211" s="247"/>
      <c r="E211" s="247"/>
      <c r="F211" s="247"/>
      <c r="G211" s="247"/>
      <c r="H211" s="248"/>
      <c r="I211" s="247"/>
    </row>
    <row r="212" spans="1:20" ht="15.75" customHeight="1">
      <c r="A212" s="464" t="s">
        <v>18</v>
      </c>
      <c r="B212" s="247">
        <v>21.25</v>
      </c>
      <c r="C212" s="247">
        <v>21.15</v>
      </c>
      <c r="D212" s="247">
        <v>18.23</v>
      </c>
      <c r="E212" s="247">
        <v>150</v>
      </c>
      <c r="F212" s="247">
        <v>64174.36</v>
      </c>
      <c r="G212" s="247">
        <v>281.60000000000002</v>
      </c>
      <c r="H212" s="248">
        <v>6.37</v>
      </c>
      <c r="I212" s="247">
        <v>456.9</v>
      </c>
    </row>
    <row r="213" spans="1:20" ht="15.75" customHeight="1">
      <c r="A213" s="464" t="s">
        <v>4237</v>
      </c>
      <c r="B213" s="247">
        <v>0</v>
      </c>
      <c r="C213" s="247">
        <v>24.32</v>
      </c>
      <c r="D213" s="247">
        <v>29.58</v>
      </c>
      <c r="E213" s="247">
        <v>50</v>
      </c>
      <c r="F213" s="247">
        <v>64369.7</v>
      </c>
      <c r="G213" s="247">
        <v>281.63</v>
      </c>
      <c r="H213" s="248">
        <v>6.37</v>
      </c>
      <c r="I213" s="247">
        <v>458.33</v>
      </c>
    </row>
    <row r="214" spans="1:20" ht="15.75" customHeight="1">
      <c r="A214" s="464" t="s">
        <v>4238</v>
      </c>
      <c r="B214" s="247">
        <v>21.25</v>
      </c>
      <c r="C214" s="247">
        <v>79.540000000000006</v>
      </c>
      <c r="D214" s="247">
        <v>23.573</v>
      </c>
      <c r="E214" s="247">
        <v>0</v>
      </c>
      <c r="F214" s="247">
        <v>64949.66</v>
      </c>
      <c r="G214" s="247">
        <v>281.79000000000002</v>
      </c>
      <c r="H214" s="248">
        <v>6.37</v>
      </c>
      <c r="I214" s="247">
        <v>462.3</v>
      </c>
    </row>
    <row r="215" spans="1:20" ht="15.75" customHeight="1">
      <c r="A215" s="464" t="s">
        <v>21</v>
      </c>
      <c r="B215" s="247">
        <v>0</v>
      </c>
      <c r="C215" s="247">
        <v>57.08</v>
      </c>
      <c r="D215" s="247">
        <v>19.399999999999999</v>
      </c>
      <c r="E215" s="247">
        <v>100</v>
      </c>
      <c r="F215" s="247">
        <v>65357.9</v>
      </c>
      <c r="G215" s="247">
        <v>281.89356509999999</v>
      </c>
      <c r="H215" s="248">
        <v>6.3638701180000004</v>
      </c>
      <c r="I215" s="247">
        <v>465.09593100000001</v>
      </c>
    </row>
    <row r="216" spans="1:20" ht="15.75" customHeight="1">
      <c r="A216" s="464" t="s">
        <v>22</v>
      </c>
      <c r="B216" s="247">
        <v>0</v>
      </c>
      <c r="C216" s="247">
        <v>22.41</v>
      </c>
      <c r="D216" s="247">
        <v>59.66</v>
      </c>
      <c r="E216" s="247">
        <v>30</v>
      </c>
      <c r="F216" s="247">
        <v>65524.43</v>
      </c>
      <c r="G216" s="247">
        <v>281.89</v>
      </c>
      <c r="H216" s="248">
        <v>6.3659999999999997</v>
      </c>
      <c r="I216" s="247">
        <v>466.41</v>
      </c>
    </row>
    <row r="217" spans="1:20" s="790" customFormat="1" ht="31.5" customHeight="1">
      <c r="A217" s="2531" t="s">
        <v>2698</v>
      </c>
      <c r="B217" s="2531"/>
      <c r="C217" s="2531"/>
      <c r="D217" s="2531"/>
      <c r="E217" s="2531"/>
      <c r="F217" s="2531"/>
      <c r="G217" s="2531"/>
      <c r="H217" s="2531"/>
      <c r="I217" s="2532"/>
      <c r="L217" s="82"/>
      <c r="M217" s="82"/>
      <c r="N217" s="82"/>
      <c r="O217" s="82"/>
      <c r="P217" s="82"/>
      <c r="Q217" s="82"/>
      <c r="R217" s="82"/>
      <c r="S217" s="82"/>
      <c r="T217" s="82"/>
    </row>
    <row r="289" spans="7:8">
      <c r="G289" s="242"/>
      <c r="H289" s="242"/>
    </row>
  </sheetData>
  <mergeCells count="7">
    <mergeCell ref="A217:I217"/>
    <mergeCell ref="A6:E6"/>
    <mergeCell ref="F6:I6"/>
    <mergeCell ref="A2:I2"/>
    <mergeCell ref="A3:I3"/>
    <mergeCell ref="A8:E8"/>
    <mergeCell ref="F8:I8"/>
  </mergeCells>
  <pageMargins left="0.61" right="0.17" top="0.17" bottom="0.17" header="0.17" footer="0.16"/>
  <pageSetup scale="23" orientation="landscape" r:id="rId1"/>
  <ignoredErrors>
    <ignoredError sqref="A155:A168 A142:A154" numberStoredAsText="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8">
    <tabColor rgb="FF92D050"/>
    <pageSetUpPr fitToPage="1"/>
  </sheetPr>
  <dimension ref="A2:AF46"/>
  <sheetViews>
    <sheetView showGridLines="0" view="pageBreakPreview" topLeftCell="B1" zoomScale="70" zoomScaleSheetLayoutView="70" workbookViewId="0">
      <pane ySplit="11" topLeftCell="A12" activePane="bottomLeft" state="frozen"/>
      <selection activeCell="B39" sqref="B39"/>
      <selection pane="bottomLeft" activeCell="V42" sqref="V42"/>
    </sheetView>
  </sheetViews>
  <sheetFormatPr defaultColWidth="8.85546875" defaultRowHeight="15"/>
  <cols>
    <col min="1" max="1" width="9.85546875" style="102" hidden="1" customWidth="1"/>
    <col min="2" max="2" width="37.85546875" style="110" customWidth="1"/>
    <col min="3" max="3" width="17.28515625" style="111" customWidth="1"/>
    <col min="4" max="4" width="9.85546875" style="109" customWidth="1"/>
    <col min="5" max="5" width="14.28515625" style="101" customWidth="1"/>
    <col min="6" max="6" width="13.5703125" style="109" customWidth="1"/>
    <col min="7" max="7" width="14.28515625" style="101" customWidth="1"/>
    <col min="8" max="8" width="13.5703125" style="109" customWidth="1"/>
    <col min="9" max="9" width="14.28515625" style="101" customWidth="1"/>
    <col min="10" max="10" width="13.5703125" style="109" customWidth="1"/>
    <col min="11" max="11" width="14.28515625" style="101" customWidth="1"/>
    <col min="12" max="12" width="13.5703125" style="109" customWidth="1"/>
    <col min="13" max="13" width="14.28515625" style="101" customWidth="1"/>
    <col min="14" max="14" width="13.5703125" style="109" customWidth="1"/>
    <col min="15" max="15" width="14.28515625" style="101" customWidth="1"/>
    <col min="16" max="16" width="13.5703125" style="109" customWidth="1"/>
    <col min="17" max="19" width="0" style="101" hidden="1" customWidth="1"/>
    <col min="20" max="20" width="9.5703125" style="101" bestFit="1" customWidth="1"/>
    <col min="21" max="22" width="8.85546875" style="101"/>
    <col min="23" max="23" width="12.85546875" style="101" bestFit="1" customWidth="1"/>
    <col min="24" max="16384" width="8.85546875" style="101"/>
  </cols>
  <sheetData>
    <row r="2" spans="1:23" ht="30.75" customHeight="1">
      <c r="A2" s="2539" t="s">
        <v>2739</v>
      </c>
      <c r="B2" s="2539"/>
      <c r="C2" s="2539"/>
      <c r="D2" s="2539"/>
      <c r="E2" s="2539"/>
      <c r="F2" s="2539"/>
      <c r="G2" s="2539"/>
      <c r="H2" s="2539"/>
      <c r="I2" s="2539"/>
      <c r="J2" s="2539"/>
      <c r="K2" s="2539"/>
      <c r="L2" s="2539"/>
      <c r="M2" s="2539"/>
      <c r="N2" s="2539"/>
      <c r="O2" s="2539"/>
      <c r="P2" s="2539"/>
    </row>
    <row r="3" spans="1:23" ht="30.75" customHeight="1">
      <c r="A3" s="709"/>
      <c r="B3" s="2545" t="s">
        <v>2740</v>
      </c>
      <c r="C3" s="2545"/>
      <c r="D3" s="2545"/>
      <c r="E3" s="2545"/>
      <c r="F3" s="2545"/>
      <c r="G3" s="2545"/>
      <c r="H3" s="2545"/>
      <c r="I3" s="2545"/>
      <c r="J3" s="2545"/>
      <c r="K3" s="2545"/>
      <c r="L3" s="2545"/>
      <c r="M3" s="2545"/>
      <c r="N3" s="2545"/>
      <c r="O3" s="2545"/>
      <c r="P3" s="2545"/>
    </row>
    <row r="4" spans="1:23" s="707" customFormat="1" ht="21.75" customHeight="1">
      <c r="A4" s="705"/>
      <c r="B4" s="706"/>
      <c r="C4" s="706"/>
      <c r="D4" s="706"/>
      <c r="E4" s="706"/>
      <c r="F4" s="706"/>
      <c r="G4" s="706"/>
      <c r="H4" s="706"/>
      <c r="I4" s="706"/>
      <c r="J4" s="706"/>
      <c r="K4" s="706"/>
      <c r="L4" s="706"/>
      <c r="M4" s="706"/>
      <c r="N4" s="706"/>
      <c r="O4" s="706"/>
      <c r="P4" s="706"/>
    </row>
    <row r="5" spans="1:23" s="707" customFormat="1" ht="21.75" customHeight="1" thickBot="1">
      <c r="A5" s="708"/>
      <c r="B5" s="2546" t="s">
        <v>4317</v>
      </c>
      <c r="C5" s="2546"/>
      <c r="D5" s="2546"/>
      <c r="E5" s="2546"/>
      <c r="F5" s="2546"/>
      <c r="G5" s="2546"/>
      <c r="H5" s="2546"/>
      <c r="I5" s="2546"/>
      <c r="J5" s="2546"/>
      <c r="K5" s="2546"/>
      <c r="L5" s="2546"/>
      <c r="M5" s="2547" t="s">
        <v>1168</v>
      </c>
      <c r="N5" s="2547"/>
      <c r="O5" s="2547"/>
      <c r="P5" s="2547"/>
    </row>
    <row r="6" spans="1:23" s="45" customFormat="1" ht="20.25" customHeight="1">
      <c r="A6" s="103"/>
      <c r="B6" s="2540" t="s">
        <v>1169</v>
      </c>
      <c r="C6" s="2541" t="s">
        <v>155</v>
      </c>
      <c r="D6" s="2541" t="s">
        <v>1147</v>
      </c>
      <c r="E6" s="2543" t="s">
        <v>183</v>
      </c>
      <c r="F6" s="2544"/>
      <c r="G6" s="2544"/>
      <c r="H6" s="2544"/>
      <c r="I6" s="2543" t="s">
        <v>193</v>
      </c>
      <c r="J6" s="2544"/>
      <c r="K6" s="2544"/>
      <c r="L6" s="2544"/>
      <c r="M6" s="2543" t="s">
        <v>194</v>
      </c>
      <c r="N6" s="2544"/>
      <c r="O6" s="2544"/>
      <c r="P6" s="2544"/>
    </row>
    <row r="7" spans="1:23" s="45" customFormat="1" ht="33" customHeight="1">
      <c r="A7" s="104"/>
      <c r="B7" s="2540"/>
      <c r="C7" s="2542"/>
      <c r="D7" s="2542"/>
      <c r="E7" s="2543" t="s">
        <v>195</v>
      </c>
      <c r="F7" s="2544"/>
      <c r="G7" s="2541" t="s">
        <v>1170</v>
      </c>
      <c r="H7" s="2544"/>
      <c r="I7" s="2543" t="s">
        <v>195</v>
      </c>
      <c r="J7" s="2544"/>
      <c r="K7" s="2541" t="s">
        <v>1170</v>
      </c>
      <c r="L7" s="2544"/>
      <c r="M7" s="2543" t="s">
        <v>195</v>
      </c>
      <c r="N7" s="2544"/>
      <c r="O7" s="2541" t="s">
        <v>1170</v>
      </c>
      <c r="P7" s="2544"/>
    </row>
    <row r="8" spans="1:23" s="45" customFormat="1" ht="39" customHeight="1" thickBot="1">
      <c r="A8" s="104"/>
      <c r="B8" s="2540"/>
      <c r="C8" s="2542"/>
      <c r="D8" s="2542"/>
      <c r="E8" s="574" t="s">
        <v>196</v>
      </c>
      <c r="F8" s="573" t="s">
        <v>2164</v>
      </c>
      <c r="G8" s="574" t="s">
        <v>196</v>
      </c>
      <c r="H8" s="575" t="s">
        <v>1147</v>
      </c>
      <c r="I8" s="574" t="s">
        <v>196</v>
      </c>
      <c r="J8" s="575" t="s">
        <v>1147</v>
      </c>
      <c r="K8" s="574" t="s">
        <v>196</v>
      </c>
      <c r="L8" s="575" t="s">
        <v>1147</v>
      </c>
      <c r="M8" s="574" t="s">
        <v>196</v>
      </c>
      <c r="N8" s="575" t="s">
        <v>1147</v>
      </c>
      <c r="O8" s="574" t="s">
        <v>196</v>
      </c>
      <c r="P8" s="575" t="s">
        <v>1147</v>
      </c>
    </row>
    <row r="9" spans="1:23" s="45" customFormat="1" ht="17.45" customHeight="1">
      <c r="A9" s="122"/>
      <c r="B9" s="2544" t="s">
        <v>1203</v>
      </c>
      <c r="C9" s="2551" t="s">
        <v>105</v>
      </c>
      <c r="D9" s="2551" t="s">
        <v>1171</v>
      </c>
      <c r="E9" s="2544" t="s">
        <v>106</v>
      </c>
      <c r="F9" s="2550"/>
      <c r="G9" s="2550"/>
      <c r="H9" s="2550"/>
      <c r="I9" s="2544" t="s">
        <v>1158</v>
      </c>
      <c r="J9" s="2550"/>
      <c r="K9" s="2550"/>
      <c r="L9" s="2550"/>
      <c r="M9" s="2544" t="s">
        <v>1157</v>
      </c>
      <c r="N9" s="2550"/>
      <c r="O9" s="2550"/>
      <c r="P9" s="2550"/>
    </row>
    <row r="10" spans="1:23" s="45" customFormat="1" ht="33" customHeight="1">
      <c r="A10" s="123"/>
      <c r="B10" s="2544"/>
      <c r="C10" s="2552"/>
      <c r="D10" s="2552"/>
      <c r="E10" s="2544" t="s">
        <v>1172</v>
      </c>
      <c r="F10" s="2550"/>
      <c r="G10" s="2544" t="s">
        <v>213</v>
      </c>
      <c r="H10" s="2550"/>
      <c r="I10" s="2544" t="s">
        <v>1172</v>
      </c>
      <c r="J10" s="2550"/>
      <c r="K10" s="2544" t="s">
        <v>213</v>
      </c>
      <c r="L10" s="2550"/>
      <c r="M10" s="2544" t="s">
        <v>1172</v>
      </c>
      <c r="N10" s="2550"/>
      <c r="O10" s="2544" t="s">
        <v>213</v>
      </c>
      <c r="P10" s="2550"/>
    </row>
    <row r="11" spans="1:23" s="45" customFormat="1" ht="39" customHeight="1" thickBot="1">
      <c r="A11" s="124"/>
      <c r="B11" s="2544"/>
      <c r="C11" s="2552"/>
      <c r="D11" s="2552"/>
      <c r="E11" s="576" t="s">
        <v>1173</v>
      </c>
      <c r="F11" s="577" t="s">
        <v>1171</v>
      </c>
      <c r="G11" s="576" t="s">
        <v>1173</v>
      </c>
      <c r="H11" s="577" t="s">
        <v>1171</v>
      </c>
      <c r="I11" s="576" t="s">
        <v>1173</v>
      </c>
      <c r="J11" s="577" t="s">
        <v>1171</v>
      </c>
      <c r="K11" s="576" t="s">
        <v>1173</v>
      </c>
      <c r="L11" s="577" t="s">
        <v>1171</v>
      </c>
      <c r="M11" s="576" t="s">
        <v>1173</v>
      </c>
      <c r="N11" s="577" t="s">
        <v>1171</v>
      </c>
      <c r="O11" s="576" t="s">
        <v>1173</v>
      </c>
      <c r="P11" s="577" t="s">
        <v>1171</v>
      </c>
    </row>
    <row r="12" spans="1:23" s="106" customFormat="1" ht="15.75">
      <c r="A12" s="105"/>
      <c r="B12" s="831"/>
      <c r="C12" s="832"/>
      <c r="D12" s="832"/>
      <c r="E12" s="833"/>
      <c r="F12" s="832"/>
      <c r="G12" s="833"/>
      <c r="H12" s="832"/>
      <c r="I12" s="833"/>
      <c r="J12" s="832"/>
      <c r="K12" s="833"/>
      <c r="L12" s="832"/>
      <c r="M12" s="833"/>
      <c r="N12" s="832"/>
      <c r="O12" s="833"/>
      <c r="P12" s="832"/>
    </row>
    <row r="13" spans="1:23" s="45" customFormat="1" ht="15.75">
      <c r="A13" s="104"/>
      <c r="B13" s="731" t="s">
        <v>197</v>
      </c>
      <c r="C13" s="2153">
        <v>28386503.39435</v>
      </c>
      <c r="D13" s="2154">
        <v>0.13650610855238399</v>
      </c>
      <c r="E13" s="2155">
        <v>24183465.80401</v>
      </c>
      <c r="F13" s="2156">
        <v>0.15038694534390099</v>
      </c>
      <c r="G13" s="2155">
        <v>4203037.5903399996</v>
      </c>
      <c r="H13" s="2156">
        <v>5.6638652630861701E-2</v>
      </c>
      <c r="I13" s="2155">
        <v>3896349.1951199998</v>
      </c>
      <c r="J13" s="2156">
        <v>0.142678956769556</v>
      </c>
      <c r="K13" s="2155">
        <v>672616.79616000003</v>
      </c>
      <c r="L13" s="2156">
        <v>5.8611430814071899E-2</v>
      </c>
      <c r="M13" s="2157">
        <v>20287116.608890001</v>
      </c>
      <c r="N13" s="737">
        <v>0.151213011228434</v>
      </c>
      <c r="O13" s="2157">
        <v>3530420.7941800002</v>
      </c>
      <c r="P13" s="737">
        <v>5.6270753365267802E-2</v>
      </c>
      <c r="Q13" s="45">
        <v>760416.17984</v>
      </c>
      <c r="W13" s="1238"/>
    </row>
    <row r="14" spans="1:23" s="108" customFormat="1" ht="15.75">
      <c r="A14" s="107"/>
      <c r="B14" s="678" t="s">
        <v>144</v>
      </c>
      <c r="C14" s="2158"/>
      <c r="D14" s="2159"/>
      <c r="E14" s="2160"/>
      <c r="F14" s="2159"/>
      <c r="G14" s="2160"/>
      <c r="H14" s="2161"/>
      <c r="I14" s="2160"/>
      <c r="J14" s="2161"/>
      <c r="K14" s="2160"/>
      <c r="L14" s="2161"/>
      <c r="M14" s="2162"/>
      <c r="N14" s="732"/>
      <c r="O14" s="2162"/>
      <c r="P14" s="732"/>
    </row>
    <row r="15" spans="1:23" s="45" customFormat="1" ht="15.75">
      <c r="A15" s="104">
        <v>8</v>
      </c>
      <c r="B15" s="731" t="s">
        <v>2669</v>
      </c>
      <c r="C15" s="2163">
        <v>21714747.882947199</v>
      </c>
      <c r="D15" s="2164">
        <v>0.12285756870782601</v>
      </c>
      <c r="E15" s="2160">
        <v>17629960.843811199</v>
      </c>
      <c r="F15" s="732">
        <v>0.138239430071814</v>
      </c>
      <c r="G15" s="2160">
        <v>4084787.039136</v>
      </c>
      <c r="H15" s="732">
        <v>5.6469566631831801E-2</v>
      </c>
      <c r="I15" s="2160">
        <v>3589639.8882200001</v>
      </c>
      <c r="J15" s="732">
        <v>0.13786650635713399</v>
      </c>
      <c r="K15" s="2160">
        <v>641661.08718000003</v>
      </c>
      <c r="L15" s="732">
        <v>5.85643840378186E-2</v>
      </c>
      <c r="M15" s="2160">
        <v>14040320.9555912</v>
      </c>
      <c r="N15" s="732">
        <v>0.13828807060395801</v>
      </c>
      <c r="O15" s="2160">
        <v>3443125.9519560002</v>
      </c>
      <c r="P15" s="732">
        <v>5.6087806629675802E-2</v>
      </c>
      <c r="Q15" s="45">
        <v>652330.81756999996</v>
      </c>
    </row>
    <row r="16" spans="1:23" ht="15.75">
      <c r="A16" s="104"/>
      <c r="B16" s="805"/>
      <c r="C16" s="2163"/>
      <c r="D16" s="732"/>
      <c r="E16" s="2160"/>
      <c r="F16" s="732"/>
      <c r="G16" s="2160"/>
      <c r="H16" s="732"/>
      <c r="I16" s="2160"/>
      <c r="J16" s="732"/>
      <c r="K16" s="2160"/>
      <c r="L16" s="732"/>
      <c r="M16" s="2160"/>
      <c r="N16" s="732"/>
      <c r="O16" s="2160"/>
      <c r="P16" s="732"/>
    </row>
    <row r="17" spans="1:32" ht="15.75">
      <c r="A17" s="104"/>
      <c r="B17" s="731" t="s">
        <v>201</v>
      </c>
      <c r="C17" s="2163">
        <v>444647.11849000002</v>
      </c>
      <c r="D17" s="2164">
        <v>0.14835875340510898</v>
      </c>
      <c r="E17" s="2160">
        <v>444307.84474999999</v>
      </c>
      <c r="F17" s="732">
        <v>0.148408612782883</v>
      </c>
      <c r="G17" s="2160">
        <v>339.27373999999998</v>
      </c>
      <c r="H17" s="732">
        <v>8.3063653703348811E-2</v>
      </c>
      <c r="I17" s="2160">
        <v>12117.16</v>
      </c>
      <c r="J17" s="732">
        <v>0.137867781501606</v>
      </c>
      <c r="K17" s="2165">
        <v>9.1999999999999993</v>
      </c>
      <c r="L17" s="732">
        <v>5.7652173913043496E-2</v>
      </c>
      <c r="M17" s="2160">
        <v>432190.68475000001</v>
      </c>
      <c r="N17" s="732">
        <v>0.14870414191776501</v>
      </c>
      <c r="O17" s="2160">
        <v>330.07373999999999</v>
      </c>
      <c r="P17" s="732">
        <v>8.3771936689056206E-2</v>
      </c>
      <c r="Q17" s="101">
        <v>5682.61</v>
      </c>
    </row>
    <row r="18" spans="1:32" ht="15" customHeight="1">
      <c r="A18" s="104"/>
      <c r="B18" s="805"/>
      <c r="C18" s="2163"/>
      <c r="D18" s="732"/>
      <c r="E18" s="2160"/>
      <c r="F18" s="732"/>
      <c r="G18" s="2160"/>
      <c r="H18" s="732"/>
      <c r="I18" s="2160"/>
      <c r="J18" s="732"/>
      <c r="K18" s="2160"/>
      <c r="L18" s="732"/>
      <c r="M18" s="2160"/>
      <c r="N18" s="732"/>
      <c r="O18" s="2160"/>
      <c r="P18" s="732"/>
      <c r="W18" s="458"/>
    </row>
    <row r="19" spans="1:32" ht="15.75">
      <c r="A19" s="104"/>
      <c r="B19" s="731" t="s">
        <v>2670</v>
      </c>
      <c r="C19" s="2163">
        <v>1145130.5697699999</v>
      </c>
      <c r="D19" s="2164">
        <v>0.16178032782715701</v>
      </c>
      <c r="E19" s="2160">
        <v>1101811.2132600001</v>
      </c>
      <c r="F19" s="732">
        <v>0.16572429437882399</v>
      </c>
      <c r="G19" s="2160">
        <v>43319.356509999998</v>
      </c>
      <c r="H19" s="732">
        <v>6.1467051697439906E-2</v>
      </c>
      <c r="I19" s="2160">
        <v>67212.783190000002</v>
      </c>
      <c r="J19" s="732">
        <v>0.15348690933877099</v>
      </c>
      <c r="K19" s="2160">
        <v>8815.3992899999994</v>
      </c>
      <c r="L19" s="732">
        <v>3.9245844756284398E-2</v>
      </c>
      <c r="M19" s="2160">
        <v>1034598.43007</v>
      </c>
      <c r="N19" s="732">
        <v>0.166519297235589</v>
      </c>
      <c r="O19" s="2160">
        <v>34503.957219999997</v>
      </c>
      <c r="P19" s="732">
        <v>6.7144337077867502E-2</v>
      </c>
      <c r="Q19" s="101">
        <v>30512.639999999999</v>
      </c>
    </row>
    <row r="20" spans="1:32" ht="15.75">
      <c r="A20" s="104"/>
      <c r="B20" s="805"/>
      <c r="C20" s="2163"/>
      <c r="D20" s="732"/>
      <c r="E20" s="2160"/>
      <c r="F20" s="732"/>
      <c r="G20" s="2160"/>
      <c r="H20" s="732"/>
      <c r="I20" s="2160"/>
      <c r="J20" s="732"/>
      <c r="K20" s="2160"/>
      <c r="L20" s="732"/>
      <c r="M20" s="2160"/>
      <c r="N20" s="732"/>
      <c r="O20" s="2160"/>
      <c r="P20" s="732"/>
    </row>
    <row r="21" spans="1:32" ht="15.75">
      <c r="A21" s="104"/>
      <c r="B21" s="731" t="s">
        <v>198</v>
      </c>
      <c r="C21" s="2163">
        <v>194908.73</v>
      </c>
      <c r="D21" s="2164">
        <v>0.197366721225365</v>
      </c>
      <c r="E21" s="2160">
        <v>194230.76</v>
      </c>
      <c r="F21" s="732">
        <v>0.19779503223588299</v>
      </c>
      <c r="G21" s="2160">
        <v>677.97</v>
      </c>
      <c r="H21" s="732">
        <v>7.4660446479932696E-2</v>
      </c>
      <c r="I21" s="2160">
        <v>7036.67</v>
      </c>
      <c r="J21" s="732">
        <v>0.20226756155965797</v>
      </c>
      <c r="K21" s="2165">
        <v>1.26</v>
      </c>
      <c r="L21" s="732">
        <v>4.9034047619047595E-2</v>
      </c>
      <c r="M21" s="2160">
        <v>187194.09</v>
      </c>
      <c r="N21" s="732">
        <v>0.19762690880358399</v>
      </c>
      <c r="O21" s="2160">
        <v>676.71</v>
      </c>
      <c r="P21" s="732">
        <v>7.4708161546304899E-2</v>
      </c>
      <c r="Q21" s="101">
        <v>1981.75</v>
      </c>
    </row>
    <row r="22" spans="1:32" ht="15.75">
      <c r="A22" s="104"/>
      <c r="B22" s="805"/>
      <c r="C22" s="2163"/>
      <c r="D22" s="732"/>
      <c r="E22" s="2160"/>
      <c r="F22" s="732"/>
      <c r="G22" s="2160"/>
      <c r="H22" s="732"/>
      <c r="I22" s="2160"/>
      <c r="J22" s="732"/>
      <c r="K22" s="2160"/>
      <c r="L22" s="732"/>
      <c r="M22" s="2160"/>
      <c r="N22" s="732"/>
      <c r="O22" s="2160"/>
      <c r="P22" s="732"/>
    </row>
    <row r="23" spans="1:32" ht="15.75">
      <c r="A23" s="104"/>
      <c r="B23" s="731" t="s">
        <v>2671</v>
      </c>
      <c r="C23" s="2163">
        <v>843333.35415000003</v>
      </c>
      <c r="D23" s="2164">
        <v>0.174224456737823</v>
      </c>
      <c r="E23" s="2160">
        <v>824679.51344000001</v>
      </c>
      <c r="F23" s="732">
        <v>0.17694421883518299</v>
      </c>
      <c r="G23" s="2160">
        <v>18653.84071</v>
      </c>
      <c r="H23" s="732">
        <v>5.3984763583306103E-2</v>
      </c>
      <c r="I23" s="2160">
        <v>42232.203710000002</v>
      </c>
      <c r="J23" s="732">
        <v>0.17073669018111498</v>
      </c>
      <c r="K23" s="2160">
        <v>3349.5692899999999</v>
      </c>
      <c r="L23" s="732">
        <v>6.2739632324489106E-2</v>
      </c>
      <c r="M23" s="2160">
        <v>782447.30972999998</v>
      </c>
      <c r="N23" s="732">
        <v>0.177279267101558</v>
      </c>
      <c r="O23" s="2160">
        <v>15304.271419999999</v>
      </c>
      <c r="P23" s="732">
        <v>5.2068629278792501E-2</v>
      </c>
      <c r="Q23" s="101">
        <v>19954.55227</v>
      </c>
    </row>
    <row r="24" spans="1:32" ht="15.75">
      <c r="A24" s="104"/>
      <c r="B24" s="805"/>
      <c r="C24" s="2163"/>
      <c r="D24" s="732"/>
      <c r="E24" s="2160"/>
      <c r="F24" s="732"/>
      <c r="G24" s="2160"/>
      <c r="H24" s="732"/>
      <c r="I24" s="2160"/>
      <c r="J24" s="732"/>
      <c r="K24" s="2160"/>
      <c r="L24" s="732"/>
      <c r="M24" s="2160"/>
      <c r="N24" s="732"/>
      <c r="O24" s="2160"/>
      <c r="P24" s="732"/>
    </row>
    <row r="25" spans="1:32" ht="15.75">
      <c r="A25" s="104"/>
      <c r="B25" s="731" t="s">
        <v>2672</v>
      </c>
      <c r="C25" s="2163">
        <v>495954.36984399997</v>
      </c>
      <c r="D25" s="2164">
        <v>0.19600002925643298</v>
      </c>
      <c r="E25" s="2160">
        <v>494612.58</v>
      </c>
      <c r="F25" s="732">
        <v>0.196380081778146</v>
      </c>
      <c r="G25" s="2160">
        <v>1341.7898439999999</v>
      </c>
      <c r="H25" s="732">
        <v>5.5904500034358602E-2</v>
      </c>
      <c r="I25" s="2160">
        <v>29408.560000000001</v>
      </c>
      <c r="J25" s="732">
        <v>0.18336845900989399</v>
      </c>
      <c r="K25" s="2160">
        <v>3.66</v>
      </c>
      <c r="L25" s="732">
        <v>7.2417322404371598E-2</v>
      </c>
      <c r="M25" s="2160">
        <v>465204.02</v>
      </c>
      <c r="N25" s="732">
        <v>0.19720263075112701</v>
      </c>
      <c r="O25" s="2160">
        <v>1338.129844</v>
      </c>
      <c r="P25" s="732">
        <v>5.5859334813550404E-2</v>
      </c>
      <c r="Q25" s="101">
        <v>8697.43</v>
      </c>
    </row>
    <row r="26" spans="1:32" ht="15.75">
      <c r="A26" s="104"/>
      <c r="B26" s="805"/>
      <c r="C26" s="2163"/>
      <c r="D26" s="732"/>
      <c r="E26" s="2160"/>
      <c r="F26" s="732"/>
      <c r="G26" s="2160"/>
      <c r="H26" s="732"/>
      <c r="I26" s="2160"/>
      <c r="J26" s="732"/>
      <c r="K26" s="2160"/>
      <c r="L26" s="732"/>
      <c r="M26" s="2160"/>
      <c r="N26" s="732"/>
      <c r="O26" s="2160"/>
      <c r="P26" s="732"/>
    </row>
    <row r="27" spans="1:32" ht="15.75">
      <c r="A27" s="104"/>
      <c r="B27" s="731" t="s">
        <v>2673</v>
      </c>
      <c r="C27" s="2163">
        <v>537401.46</v>
      </c>
      <c r="D27" s="2164">
        <v>0.19009487167414801</v>
      </c>
      <c r="E27" s="2160">
        <v>529899.1</v>
      </c>
      <c r="F27" s="732">
        <v>0.19199579477734499</v>
      </c>
      <c r="G27" s="2160">
        <v>7502.36</v>
      </c>
      <c r="H27" s="732">
        <v>5.5830794563310707E-2</v>
      </c>
      <c r="I27" s="2160">
        <v>23390.44</v>
      </c>
      <c r="J27" s="732">
        <v>0.19383651865035401</v>
      </c>
      <c r="K27" s="2160">
        <v>1663.87</v>
      </c>
      <c r="L27" s="732">
        <v>7.4976758941503796E-2</v>
      </c>
      <c r="M27" s="2160">
        <v>506508.66</v>
      </c>
      <c r="N27" s="732">
        <v>0.191910790621033</v>
      </c>
      <c r="O27" s="2160">
        <v>5838.49</v>
      </c>
      <c r="P27" s="732">
        <v>5.0374521494427497E-2</v>
      </c>
      <c r="Q27" s="101">
        <v>5769.49</v>
      </c>
    </row>
    <row r="28" spans="1:32" ht="15.75">
      <c r="A28" s="104"/>
      <c r="B28" s="805"/>
      <c r="C28" s="2163"/>
      <c r="D28" s="732"/>
      <c r="E28" s="2160"/>
      <c r="F28" s="732"/>
      <c r="G28" s="2160"/>
      <c r="H28" s="732"/>
      <c r="I28" s="2160"/>
      <c r="J28" s="732"/>
      <c r="K28" s="2160"/>
      <c r="L28" s="732"/>
      <c r="M28" s="2160"/>
      <c r="N28" s="732"/>
      <c r="O28" s="2160"/>
      <c r="P28" s="732"/>
      <c r="S28" s="401"/>
      <c r="T28" s="402"/>
      <c r="U28" s="401"/>
      <c r="V28" s="403"/>
      <c r="W28" s="401"/>
      <c r="X28" s="402"/>
      <c r="Y28" s="401"/>
      <c r="Z28" s="402"/>
      <c r="AA28" s="401"/>
      <c r="AB28" s="402"/>
      <c r="AC28" s="401"/>
      <c r="AD28" s="402"/>
      <c r="AE28" s="401"/>
      <c r="AF28" s="402"/>
    </row>
    <row r="29" spans="1:32" ht="15.75">
      <c r="A29" s="104"/>
      <c r="B29" s="731" t="s">
        <v>199</v>
      </c>
      <c r="C29" s="2163">
        <v>486169.44</v>
      </c>
      <c r="D29" s="2164">
        <v>0.180408000113705</v>
      </c>
      <c r="E29" s="2160">
        <v>483212.46</v>
      </c>
      <c r="F29" s="732">
        <v>0.18107242238641799</v>
      </c>
      <c r="G29" s="2160">
        <v>2956.98</v>
      </c>
      <c r="H29" s="732">
        <v>7.1831979688736503E-2</v>
      </c>
      <c r="I29" s="2160">
        <v>24825.75</v>
      </c>
      <c r="J29" s="732">
        <v>0.16812399961733299</v>
      </c>
      <c r="K29" s="2160">
        <v>2081.23</v>
      </c>
      <c r="L29" s="732">
        <v>6.808143323899811E-2</v>
      </c>
      <c r="M29" s="2160">
        <v>458386.71</v>
      </c>
      <c r="N29" s="732">
        <v>0.181773695568093</v>
      </c>
      <c r="O29" s="2160">
        <v>875.75</v>
      </c>
      <c r="P29" s="732">
        <v>8.0745196688552706E-2</v>
      </c>
      <c r="Q29" s="101">
        <v>4539.21</v>
      </c>
      <c r="S29" s="404"/>
      <c r="T29" s="404"/>
      <c r="U29" s="405"/>
      <c r="V29" s="406"/>
      <c r="W29" s="405"/>
      <c r="X29" s="407"/>
      <c r="Y29" s="405"/>
      <c r="Z29" s="407"/>
      <c r="AA29" s="405"/>
      <c r="AB29" s="407"/>
      <c r="AC29" s="405"/>
      <c r="AD29" s="407"/>
      <c r="AE29" s="405"/>
      <c r="AF29" s="407"/>
    </row>
    <row r="30" spans="1:32" ht="15.75">
      <c r="A30" s="104"/>
      <c r="B30" s="805"/>
      <c r="C30" s="2163"/>
      <c r="D30" s="732"/>
      <c r="E30" s="2160"/>
      <c r="F30" s="732"/>
      <c r="G30" s="2160"/>
      <c r="H30" s="732"/>
      <c r="I30" s="2160"/>
      <c r="J30" s="732"/>
      <c r="K30" s="2160"/>
      <c r="L30" s="732"/>
      <c r="M30" s="2160"/>
      <c r="N30" s="732"/>
      <c r="O30" s="2160"/>
      <c r="P30" s="732"/>
      <c r="S30" s="408"/>
      <c r="T30" s="408"/>
      <c r="U30" s="408"/>
      <c r="V30" s="408"/>
      <c r="W30" s="408"/>
      <c r="X30" s="408"/>
      <c r="Y30" s="408"/>
      <c r="Z30" s="408"/>
      <c r="AA30" s="408"/>
      <c r="AB30" s="409"/>
      <c r="AC30" s="408"/>
      <c r="AD30" s="408"/>
      <c r="AE30" s="408"/>
      <c r="AF30" s="408"/>
    </row>
    <row r="31" spans="1:32" ht="15.75">
      <c r="A31" s="104"/>
      <c r="B31" s="731" t="s">
        <v>2674</v>
      </c>
      <c r="C31" s="2163">
        <v>669176.97</v>
      </c>
      <c r="D31" s="2164">
        <v>0.19438219617973398</v>
      </c>
      <c r="E31" s="2160">
        <v>667920.51</v>
      </c>
      <c r="F31" s="732">
        <v>0.194601334673044</v>
      </c>
      <c r="G31" s="2160">
        <v>1256.46</v>
      </c>
      <c r="H31" s="732">
        <v>7.7890549639463305E-2</v>
      </c>
      <c r="I31" s="2160">
        <v>28753.58</v>
      </c>
      <c r="J31" s="732">
        <v>0.186859415227599</v>
      </c>
      <c r="K31" s="2160">
        <v>348.17</v>
      </c>
      <c r="L31" s="732">
        <v>6.8371427750811398E-2</v>
      </c>
      <c r="M31" s="2160">
        <v>639166.93000000005</v>
      </c>
      <c r="N31" s="732">
        <v>0.19494961286091597</v>
      </c>
      <c r="O31" s="2160">
        <v>908.29</v>
      </c>
      <c r="P31" s="732">
        <v>8.1539464268020098E-2</v>
      </c>
      <c r="Q31" s="101">
        <v>8165.27</v>
      </c>
      <c r="S31" s="410"/>
      <c r="T31" s="411"/>
      <c r="U31" s="411"/>
      <c r="V31" s="411"/>
      <c r="W31" s="412"/>
      <c r="X31" s="411"/>
      <c r="Y31" s="412"/>
      <c r="Z31" s="411"/>
      <c r="AA31" s="412"/>
      <c r="AB31" s="411"/>
      <c r="AC31" s="412"/>
      <c r="AD31" s="411"/>
      <c r="AE31" s="412"/>
      <c r="AF31" s="411"/>
    </row>
    <row r="32" spans="1:32" ht="15.75">
      <c r="A32" s="104"/>
      <c r="B32" s="805"/>
      <c r="C32" s="2163"/>
      <c r="D32" s="732"/>
      <c r="E32" s="2160"/>
      <c r="F32" s="732"/>
      <c r="G32" s="2160"/>
      <c r="H32" s="732"/>
      <c r="I32" s="2160"/>
      <c r="J32" s="732"/>
      <c r="K32" s="2160"/>
      <c r="L32" s="732"/>
      <c r="M32" s="2160"/>
      <c r="N32" s="732"/>
      <c r="O32" s="2160"/>
      <c r="P32" s="732"/>
      <c r="S32" s="276"/>
      <c r="T32" s="276"/>
      <c r="U32" s="276"/>
      <c r="V32" s="411"/>
      <c r="W32" s="276"/>
      <c r="X32" s="276"/>
      <c r="Y32" s="276"/>
      <c r="Z32" s="276"/>
      <c r="AA32" s="276"/>
      <c r="AB32" s="276"/>
      <c r="AC32" s="276"/>
      <c r="AD32" s="276"/>
      <c r="AE32" s="276"/>
      <c r="AF32" s="276"/>
    </row>
    <row r="33" spans="1:32" ht="15.75">
      <c r="A33" s="104"/>
      <c r="B33" s="731" t="s">
        <v>2675</v>
      </c>
      <c r="C33" s="2163">
        <v>571269.35</v>
      </c>
      <c r="D33" s="732">
        <v>0.192250530513146</v>
      </c>
      <c r="E33" s="2160">
        <v>566439.24</v>
      </c>
      <c r="F33" s="732">
        <v>0.19335256363436201</v>
      </c>
      <c r="G33" s="2160">
        <v>4830.1099999999997</v>
      </c>
      <c r="H33" s="732">
        <v>6.3012313653312196E-2</v>
      </c>
      <c r="I33" s="2160">
        <v>20816.490000000002</v>
      </c>
      <c r="J33" s="732">
        <v>0.192183297044795</v>
      </c>
      <c r="K33" s="2160">
        <v>2435.4699999999998</v>
      </c>
      <c r="L33" s="732">
        <v>6.3226195067071209E-2</v>
      </c>
      <c r="M33" s="2160">
        <v>545622.75</v>
      </c>
      <c r="N33" s="732">
        <v>0.19339717325936298</v>
      </c>
      <c r="O33" s="2160">
        <v>2394.64</v>
      </c>
      <c r="P33" s="732">
        <v>6.2794785437477005E-2</v>
      </c>
      <c r="Q33" s="101">
        <v>7766.79</v>
      </c>
      <c r="S33" s="276"/>
      <c r="T33" s="276"/>
      <c r="U33" s="276"/>
      <c r="V33" s="411"/>
      <c r="W33" s="276"/>
      <c r="X33" s="276"/>
      <c r="Y33" s="276"/>
      <c r="Z33" s="276"/>
      <c r="AA33" s="276"/>
      <c r="AB33" s="276"/>
      <c r="AC33" s="276"/>
      <c r="AD33" s="276"/>
      <c r="AE33" s="276"/>
      <c r="AF33" s="276"/>
    </row>
    <row r="34" spans="1:32" ht="15.75">
      <c r="A34" s="104"/>
      <c r="B34" s="805"/>
      <c r="C34" s="2163"/>
      <c r="D34" s="732"/>
      <c r="E34" s="2160"/>
      <c r="F34" s="732"/>
      <c r="G34" s="2160"/>
      <c r="H34" s="732"/>
      <c r="I34" s="2160"/>
      <c r="J34" s="732"/>
      <c r="K34" s="2160"/>
      <c r="L34" s="732"/>
      <c r="M34" s="2160"/>
      <c r="N34" s="732"/>
      <c r="O34" s="2160"/>
      <c r="P34" s="732"/>
      <c r="S34" s="276"/>
      <c r="T34" s="276"/>
      <c r="U34" s="276"/>
      <c r="V34" s="411"/>
      <c r="W34" s="276"/>
      <c r="X34" s="276"/>
      <c r="Y34" s="276"/>
      <c r="Z34" s="276"/>
      <c r="AA34" s="276"/>
      <c r="AB34" s="276"/>
      <c r="AC34" s="276"/>
      <c r="AD34" s="276"/>
      <c r="AE34" s="276"/>
      <c r="AF34" s="276"/>
    </row>
    <row r="35" spans="1:32" ht="15.75">
      <c r="A35" s="104"/>
      <c r="B35" s="731" t="s">
        <v>2676</v>
      </c>
      <c r="C35" s="2163">
        <v>310393.65999999997</v>
      </c>
      <c r="D35" s="732">
        <v>0.19636668456050302</v>
      </c>
      <c r="E35" s="2160">
        <v>310389.86</v>
      </c>
      <c r="F35" s="732">
        <v>0.19636908861262398</v>
      </c>
      <c r="G35" s="2160">
        <v>3.8</v>
      </c>
      <c r="H35" s="732">
        <v>0</v>
      </c>
      <c r="I35" s="2160">
        <v>17838.84</v>
      </c>
      <c r="J35" s="732">
        <v>0.188107028080301</v>
      </c>
      <c r="K35" s="2165">
        <v>3.6</v>
      </c>
      <c r="L35" s="732">
        <v>0</v>
      </c>
      <c r="M35" s="2160">
        <v>292551.02</v>
      </c>
      <c r="N35" s="732">
        <v>0.19687288304788703</v>
      </c>
      <c r="O35" s="2165">
        <v>0.2</v>
      </c>
      <c r="P35" s="732">
        <v>0</v>
      </c>
      <c r="Q35" s="101">
        <v>4117.43</v>
      </c>
      <c r="S35" s="276"/>
      <c r="T35" s="276"/>
      <c r="U35" s="276"/>
      <c r="V35" s="411"/>
      <c r="W35" s="276"/>
      <c r="X35" s="276"/>
      <c r="Y35" s="276"/>
      <c r="Z35" s="276"/>
      <c r="AA35" s="276"/>
      <c r="AB35" s="276"/>
      <c r="AC35" s="276"/>
      <c r="AD35" s="276"/>
      <c r="AE35" s="276"/>
      <c r="AF35" s="276"/>
    </row>
    <row r="36" spans="1:32" ht="15.75">
      <c r="A36" s="104"/>
      <c r="B36" s="805"/>
      <c r="C36" s="2163"/>
      <c r="D36" s="732"/>
      <c r="E36" s="2160"/>
      <c r="F36" s="732"/>
      <c r="G36" s="2160"/>
      <c r="H36" s="732"/>
      <c r="I36" s="2160"/>
      <c r="J36" s="732"/>
      <c r="K36" s="2160"/>
      <c r="L36" s="732"/>
      <c r="M36" s="2160"/>
      <c r="N36" s="732"/>
      <c r="O36" s="2160"/>
      <c r="P36" s="732"/>
      <c r="S36" s="276"/>
      <c r="T36" s="276"/>
      <c r="U36" s="276"/>
      <c r="V36" s="411"/>
      <c r="W36" s="276"/>
      <c r="X36" s="276"/>
      <c r="Y36" s="276"/>
      <c r="Z36" s="276"/>
      <c r="AA36" s="276"/>
      <c r="AB36" s="276"/>
      <c r="AC36" s="276"/>
      <c r="AD36" s="276"/>
      <c r="AE36" s="276"/>
      <c r="AF36" s="276"/>
    </row>
    <row r="37" spans="1:32" ht="15.75">
      <c r="A37" s="104"/>
      <c r="B37" s="731" t="s">
        <v>200</v>
      </c>
      <c r="C37" s="2163">
        <v>519825.72</v>
      </c>
      <c r="D37" s="732">
        <v>0.18251370653976098</v>
      </c>
      <c r="E37" s="2160">
        <v>495050.2</v>
      </c>
      <c r="F37" s="732">
        <v>0.18825355530590598</v>
      </c>
      <c r="G37" s="2160">
        <v>24775.52</v>
      </c>
      <c r="H37" s="732">
        <v>6.78233476835199E-2</v>
      </c>
      <c r="I37" s="2160">
        <v>17701.98</v>
      </c>
      <c r="J37" s="732">
        <v>0.189398805043278</v>
      </c>
      <c r="K37" s="2160">
        <v>11529.48</v>
      </c>
      <c r="L37" s="732">
        <v>6.9340074920985206E-2</v>
      </c>
      <c r="M37" s="2160">
        <v>477348.22</v>
      </c>
      <c r="N37" s="732">
        <v>0.18821108486798199</v>
      </c>
      <c r="O37" s="2160">
        <v>13246.04</v>
      </c>
      <c r="P37" s="732">
        <v>6.6503173778729302E-2</v>
      </c>
      <c r="Q37" s="101">
        <v>4316.92</v>
      </c>
      <c r="S37" s="410">
        <f>SUM(C31,C21)</f>
        <v>864085.7</v>
      </c>
      <c r="T37" s="413"/>
      <c r="U37" s="413"/>
      <c r="V37" s="411"/>
      <c r="W37" s="414"/>
      <c r="X37" s="413"/>
      <c r="Y37" s="414"/>
      <c r="Z37" s="413"/>
      <c r="AA37" s="414"/>
      <c r="AB37" s="413"/>
      <c r="AC37" s="414"/>
      <c r="AD37" s="413"/>
      <c r="AE37" s="414"/>
      <c r="AF37" s="413"/>
    </row>
    <row r="38" spans="1:32" ht="15.75">
      <c r="A38" s="104"/>
      <c r="B38" s="731"/>
      <c r="C38" s="2163"/>
      <c r="D38" s="2166"/>
      <c r="E38" s="2160"/>
      <c r="F38" s="2166"/>
      <c r="G38" s="2160"/>
      <c r="H38" s="2166"/>
      <c r="I38" s="2160"/>
      <c r="J38" s="2166"/>
      <c r="K38" s="2160"/>
      <c r="L38" s="2166"/>
      <c r="M38" s="2160"/>
      <c r="N38" s="2166"/>
      <c r="O38" s="2160"/>
      <c r="P38" s="2166"/>
      <c r="S38" s="410"/>
      <c r="T38" s="413"/>
      <c r="U38" s="413"/>
      <c r="V38" s="411"/>
      <c r="W38" s="414"/>
      <c r="X38" s="413"/>
      <c r="Y38" s="414"/>
      <c r="Z38" s="413"/>
      <c r="AA38" s="414"/>
      <c r="AB38" s="413"/>
      <c r="AC38" s="414"/>
      <c r="AD38" s="413"/>
      <c r="AE38" s="414"/>
      <c r="AF38" s="413"/>
    </row>
    <row r="39" spans="1:32" ht="15.75">
      <c r="A39" s="104"/>
      <c r="B39" s="731" t="s">
        <v>2677</v>
      </c>
      <c r="C39" s="2163">
        <v>11087.5291488</v>
      </c>
      <c r="D39" s="732">
        <v>0.17277262503714202</v>
      </c>
      <c r="E39" s="2160">
        <v>10392.5487488</v>
      </c>
      <c r="F39" s="732">
        <v>0.180314063230194</v>
      </c>
      <c r="G39" s="2160">
        <v>694.98040000000003</v>
      </c>
      <c r="H39" s="732">
        <v>0.06</v>
      </c>
      <c r="I39" s="2160">
        <v>4630.46</v>
      </c>
      <c r="J39" s="732">
        <v>0.13238835018551101</v>
      </c>
      <c r="K39" s="2160">
        <v>694.98040000000003</v>
      </c>
      <c r="L39" s="732">
        <v>0.06</v>
      </c>
      <c r="M39" s="2160">
        <v>5762.0887487999998</v>
      </c>
      <c r="N39" s="732">
        <v>0.21882754452135</v>
      </c>
      <c r="O39" s="2160">
        <v>0</v>
      </c>
      <c r="P39" s="732" t="s">
        <v>93</v>
      </c>
      <c r="Q39" s="101">
        <v>0</v>
      </c>
      <c r="S39" s="276"/>
      <c r="T39" s="276"/>
      <c r="U39" s="276"/>
      <c r="V39" s="411"/>
      <c r="W39" s="276"/>
      <c r="X39" s="276"/>
      <c r="Y39" s="276"/>
      <c r="Z39" s="276"/>
      <c r="AA39" s="276"/>
      <c r="AB39" s="276"/>
      <c r="AC39" s="276"/>
      <c r="AD39" s="276"/>
      <c r="AE39" s="276"/>
      <c r="AF39" s="276"/>
    </row>
    <row r="40" spans="1:32" ht="15.75">
      <c r="A40" s="104"/>
      <c r="B40" s="805"/>
      <c r="C40" s="2163"/>
      <c r="D40" s="732"/>
      <c r="E40" s="2160"/>
      <c r="F40" s="732"/>
      <c r="G40" s="2160"/>
      <c r="H40" s="732"/>
      <c r="I40" s="2160"/>
      <c r="J40" s="732"/>
      <c r="K40" s="2160"/>
      <c r="L40" s="732"/>
      <c r="M40" s="2160"/>
      <c r="N40" s="732"/>
      <c r="O40" s="2160"/>
      <c r="P40" s="732"/>
      <c r="S40" s="276"/>
      <c r="T40" s="276"/>
      <c r="U40" s="276"/>
      <c r="V40" s="411"/>
      <c r="W40" s="276"/>
      <c r="X40" s="276"/>
      <c r="Y40" s="276"/>
      <c r="Z40" s="276"/>
      <c r="AA40" s="276"/>
      <c r="AB40" s="276"/>
      <c r="AC40" s="276"/>
      <c r="AD40" s="276"/>
      <c r="AE40" s="276"/>
      <c r="AF40" s="276"/>
    </row>
    <row r="41" spans="1:32" ht="15.75">
      <c r="A41" s="104"/>
      <c r="B41" s="734" t="s">
        <v>2678</v>
      </c>
      <c r="C41" s="2167">
        <v>442457.24</v>
      </c>
      <c r="D41" s="739">
        <v>0.19384296561154699</v>
      </c>
      <c r="E41" s="2168">
        <v>430559.13</v>
      </c>
      <c r="F41" s="739">
        <v>0.19732036753674201</v>
      </c>
      <c r="G41" s="2168">
        <v>11898.11</v>
      </c>
      <c r="H41" s="739">
        <v>6.8005572313585894E-2</v>
      </c>
      <c r="I41" s="2168">
        <v>10744.39</v>
      </c>
      <c r="J41" s="739">
        <v>0.19865200955103099</v>
      </c>
      <c r="K41" s="2168">
        <v>19.82</v>
      </c>
      <c r="L41" s="739">
        <v>8.1603430877901104E-2</v>
      </c>
      <c r="M41" s="2168">
        <v>419814.74</v>
      </c>
      <c r="N41" s="739">
        <v>0.197286286596321</v>
      </c>
      <c r="O41" s="2168">
        <v>11878.29</v>
      </c>
      <c r="P41" s="739">
        <v>6.7982883058083296E-2</v>
      </c>
      <c r="Q41" s="101">
        <v>6581.27</v>
      </c>
      <c r="S41" s="410"/>
      <c r="T41" s="413"/>
      <c r="U41" s="413"/>
      <c r="V41" s="411"/>
      <c r="W41" s="410"/>
      <c r="X41" s="413"/>
      <c r="Y41" s="410"/>
      <c r="Z41" s="413"/>
      <c r="AA41" s="410"/>
      <c r="AB41" s="413"/>
      <c r="AC41" s="410"/>
      <c r="AD41" s="413"/>
      <c r="AE41" s="410"/>
      <c r="AF41" s="413"/>
    </row>
    <row r="42" spans="1:32" s="794" customFormat="1" ht="45.75" customHeight="1">
      <c r="A42" s="793"/>
      <c r="B42" s="2548" t="s">
        <v>2699</v>
      </c>
      <c r="C42" s="2549"/>
      <c r="D42" s="2549"/>
      <c r="E42" s="2549"/>
      <c r="F42" s="2549"/>
      <c r="G42" s="2549"/>
      <c r="H42" s="2549"/>
      <c r="I42" s="2549"/>
      <c r="J42" s="2549"/>
      <c r="K42" s="2549"/>
      <c r="L42" s="2549"/>
      <c r="M42" s="2549"/>
      <c r="N42" s="2549"/>
      <c r="O42" s="2549"/>
      <c r="P42" s="2549"/>
      <c r="S42" s="795"/>
      <c r="T42" s="795"/>
      <c r="U42" s="795"/>
      <c r="V42" s="795"/>
      <c r="W42" s="795"/>
      <c r="X42" s="795"/>
      <c r="Y42" s="795"/>
      <c r="Z42" s="795"/>
      <c r="AA42" s="795"/>
      <c r="AB42" s="795"/>
      <c r="AC42" s="795"/>
      <c r="AD42" s="795"/>
      <c r="AE42" s="795"/>
      <c r="AF42" s="795"/>
    </row>
    <row r="43" spans="1:32">
      <c r="S43" s="410"/>
      <c r="T43" s="413"/>
      <c r="U43" s="413"/>
      <c r="V43" s="413"/>
      <c r="W43" s="410"/>
      <c r="X43" s="413"/>
      <c r="Y43" s="410"/>
      <c r="Z43" s="413"/>
      <c r="AA43" s="410"/>
      <c r="AB43" s="413"/>
      <c r="AC43" s="410"/>
      <c r="AD43" s="413"/>
      <c r="AE43" s="410"/>
      <c r="AF43" s="413"/>
    </row>
    <row r="44" spans="1:32">
      <c r="S44" s="276"/>
      <c r="T44" s="276"/>
      <c r="U44" s="276"/>
      <c r="V44" s="276"/>
      <c r="W44" s="276"/>
      <c r="X44" s="276"/>
      <c r="Y44" s="276"/>
      <c r="Z44" s="276"/>
      <c r="AA44" s="276"/>
      <c r="AB44" s="276"/>
      <c r="AC44" s="276"/>
      <c r="AD44" s="276"/>
      <c r="AE44" s="276"/>
      <c r="AF44" s="276"/>
    </row>
    <row r="45" spans="1:32">
      <c r="S45" s="410"/>
      <c r="T45" s="413"/>
      <c r="U45" s="413"/>
      <c r="V45" s="413"/>
      <c r="W45" s="410"/>
      <c r="X45" s="413"/>
      <c r="Y45" s="410"/>
      <c r="Z45" s="413"/>
      <c r="AA45" s="410"/>
      <c r="AB45" s="413"/>
      <c r="AC45" s="410"/>
      <c r="AD45" s="413"/>
      <c r="AE45" s="410"/>
      <c r="AF45" s="413"/>
    </row>
    <row r="46" spans="1:32">
      <c r="S46" s="276"/>
      <c r="T46" s="276"/>
      <c r="U46" s="276"/>
      <c r="V46" s="276"/>
      <c r="W46" s="276"/>
      <c r="X46" s="276"/>
      <c r="Y46" s="276"/>
      <c r="Z46" s="276"/>
      <c r="AA46" s="276"/>
      <c r="AB46" s="276"/>
      <c r="AC46" s="276"/>
      <c r="AD46" s="276"/>
      <c r="AE46" s="276"/>
      <c r="AF46" s="276"/>
    </row>
  </sheetData>
  <mergeCells count="29">
    <mergeCell ref="B42:P42"/>
    <mergeCell ref="I9:L9"/>
    <mergeCell ref="O10:P10"/>
    <mergeCell ref="O7:P7"/>
    <mergeCell ref="B9:B11"/>
    <mergeCell ref="C9:C11"/>
    <mergeCell ref="E9:H9"/>
    <mergeCell ref="D9:D11"/>
    <mergeCell ref="E10:F10"/>
    <mergeCell ref="G10:H10"/>
    <mergeCell ref="M10:N10"/>
    <mergeCell ref="K10:L10"/>
    <mergeCell ref="M9:P9"/>
    <mergeCell ref="I10:J10"/>
    <mergeCell ref="A2:P2"/>
    <mergeCell ref="B6:B8"/>
    <mergeCell ref="C6:C8"/>
    <mergeCell ref="D6:D8"/>
    <mergeCell ref="E6:H6"/>
    <mergeCell ref="I7:J7"/>
    <mergeCell ref="B3:P3"/>
    <mergeCell ref="B5:L5"/>
    <mergeCell ref="M5:P5"/>
    <mergeCell ref="G7:H7"/>
    <mergeCell ref="I6:L6"/>
    <mergeCell ref="M6:P6"/>
    <mergeCell ref="K7:L7"/>
    <mergeCell ref="M7:N7"/>
    <mergeCell ref="E7:F7"/>
  </mergeCells>
  <pageMargins left="0.17" right="0.17" top="0.4" bottom="0.75" header="0.3" footer="0.3"/>
  <pageSetup paperSize="9" scale="63"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57055-1152-4C20-9069-B9FB85249BCD}">
  <sheetPr codeName="Sheet19">
    <tabColor rgb="FF92D050"/>
  </sheetPr>
  <dimension ref="A2:CD287"/>
  <sheetViews>
    <sheetView showGridLines="0" view="pageBreakPreview" zoomScale="70" zoomScaleSheetLayoutView="70" workbookViewId="0">
      <pane ySplit="17" topLeftCell="A261" activePane="bottomLeft" state="frozen"/>
      <selection activeCell="B39" sqref="B39"/>
      <selection pane="bottomLeft" activeCell="X261" sqref="X261"/>
    </sheetView>
  </sheetViews>
  <sheetFormatPr defaultColWidth="8.85546875" defaultRowHeight="12.95" customHeight="1"/>
  <cols>
    <col min="1" max="1" width="10.42578125" style="1718" customWidth="1"/>
    <col min="2" max="2" width="13.28515625" style="1715" customWidth="1"/>
    <col min="3" max="3" width="11.140625" style="1715" customWidth="1"/>
    <col min="4" max="4" width="14.85546875" style="1715" customWidth="1"/>
    <col min="5" max="5" width="14" style="1715" customWidth="1"/>
    <col min="6" max="6" width="14.85546875" style="1715" customWidth="1"/>
    <col min="7" max="7" width="14" style="1715" customWidth="1"/>
    <col min="8" max="8" width="11.140625" style="1715" customWidth="1"/>
    <col min="9" max="9" width="14.85546875" style="1715" customWidth="1"/>
    <col min="10" max="10" width="14" style="1715" customWidth="1"/>
    <col min="11" max="11" width="14.85546875" style="1715" customWidth="1"/>
    <col min="12" max="12" width="14" style="1715" customWidth="1"/>
    <col min="13" max="13" width="11.140625" style="1715" customWidth="1"/>
    <col min="14" max="14" width="14.85546875" style="1715" customWidth="1"/>
    <col min="15" max="15" width="14" style="1715" customWidth="1"/>
    <col min="16" max="16" width="14.85546875" style="1715" customWidth="1"/>
    <col min="17" max="17" width="14" style="1715" customWidth="1"/>
    <col min="18" max="21" width="20" style="1715" hidden="1" customWidth="1"/>
    <col min="22" max="24" width="20" style="1715" customWidth="1"/>
    <col min="25" max="79" width="8.85546875" style="1715"/>
    <col min="80" max="80" width="0" style="1715" hidden="1" customWidth="1"/>
    <col min="81" max="16384" width="8.85546875" style="1715"/>
  </cols>
  <sheetData>
    <row r="2" spans="1:81" ht="22.5" customHeight="1">
      <c r="A2" s="2557" t="s">
        <v>2741</v>
      </c>
      <c r="B2" s="2557"/>
      <c r="C2" s="2557"/>
      <c r="D2" s="2557"/>
      <c r="E2" s="2557"/>
      <c r="F2" s="2557"/>
      <c r="G2" s="2557"/>
      <c r="H2" s="2557"/>
      <c r="I2" s="2557"/>
      <c r="J2" s="2557"/>
      <c r="K2" s="2557"/>
      <c r="L2" s="2557"/>
      <c r="M2" s="2557"/>
      <c r="N2" s="2557"/>
      <c r="O2" s="2557"/>
      <c r="P2" s="2557"/>
      <c r="Q2" s="2557"/>
    </row>
    <row r="3" spans="1:81" ht="27" customHeight="1">
      <c r="A3" s="2558" t="s">
        <v>2742</v>
      </c>
      <c r="B3" s="2558"/>
      <c r="C3" s="2558"/>
      <c r="D3" s="2558"/>
      <c r="E3" s="2558"/>
      <c r="F3" s="2558"/>
      <c r="G3" s="2558"/>
      <c r="H3" s="2558"/>
      <c r="I3" s="2558"/>
      <c r="J3" s="2558"/>
      <c r="K3" s="2558"/>
      <c r="L3" s="2558"/>
      <c r="M3" s="2558"/>
      <c r="N3" s="2558"/>
      <c r="O3" s="2558"/>
      <c r="P3" s="2558"/>
      <c r="Q3" s="2558"/>
    </row>
    <row r="4" spans="1:81" s="1717" customFormat="1" ht="15" customHeight="1">
      <c r="A4" s="1716"/>
      <c r="B4" s="1716"/>
      <c r="C4" s="1716"/>
      <c r="D4" s="1716"/>
      <c r="E4" s="1716"/>
      <c r="F4" s="1716"/>
      <c r="G4" s="1716"/>
      <c r="H4" s="1716"/>
      <c r="I4" s="1716"/>
      <c r="J4" s="1716"/>
      <c r="K4" s="1716"/>
      <c r="L4" s="1716"/>
      <c r="M4" s="1716"/>
      <c r="N4" s="1716"/>
      <c r="O4" s="1716"/>
      <c r="P4" s="1716"/>
      <c r="Q4" s="1716"/>
    </row>
    <row r="5" spans="1:81" s="1717" customFormat="1" ht="15" customHeight="1">
      <c r="A5" s="2559" t="s">
        <v>8</v>
      </c>
      <c r="B5" s="2559"/>
      <c r="C5" s="2559"/>
      <c r="D5" s="2559"/>
      <c r="E5" s="2559"/>
      <c r="F5" s="2559"/>
      <c r="G5" s="2559"/>
      <c r="H5" s="2559"/>
      <c r="I5" s="2559"/>
      <c r="J5" s="2559"/>
      <c r="K5" s="2559"/>
      <c r="L5" s="2559"/>
      <c r="M5" s="2559"/>
      <c r="N5" s="2559"/>
      <c r="O5" s="2559"/>
      <c r="P5" s="2559"/>
      <c r="Q5" s="2559"/>
    </row>
    <row r="6" spans="1:81" s="1718" customFormat="1" ht="15.75">
      <c r="A6" s="2556" t="s">
        <v>182</v>
      </c>
      <c r="B6" s="2556" t="s">
        <v>204</v>
      </c>
      <c r="C6" s="2556" t="s">
        <v>205</v>
      </c>
      <c r="D6" s="2556"/>
      <c r="E6" s="2556"/>
      <c r="F6" s="2556"/>
      <c r="G6" s="2556"/>
      <c r="H6" s="2556" t="s">
        <v>1249</v>
      </c>
      <c r="I6" s="2556"/>
      <c r="J6" s="2556"/>
      <c r="K6" s="2556"/>
      <c r="L6" s="2556"/>
      <c r="M6" s="2556" t="s">
        <v>206</v>
      </c>
      <c r="N6" s="2556"/>
      <c r="O6" s="2556"/>
      <c r="P6" s="2556"/>
      <c r="Q6" s="2556"/>
    </row>
    <row r="7" spans="1:81" s="1718" customFormat="1" ht="15.75">
      <c r="A7" s="2556"/>
      <c r="B7" s="2556"/>
      <c r="C7" s="2556" t="s">
        <v>145</v>
      </c>
      <c r="D7" s="2556" t="s">
        <v>189</v>
      </c>
      <c r="E7" s="2556"/>
      <c r="F7" s="2556" t="s">
        <v>207</v>
      </c>
      <c r="G7" s="2556"/>
      <c r="H7" s="2556" t="s">
        <v>145</v>
      </c>
      <c r="I7" s="2556" t="s">
        <v>189</v>
      </c>
      <c r="J7" s="2556"/>
      <c r="K7" s="2556" t="s">
        <v>207</v>
      </c>
      <c r="L7" s="2556"/>
      <c r="M7" s="2556" t="s">
        <v>145</v>
      </c>
      <c r="N7" s="2556" t="s">
        <v>189</v>
      </c>
      <c r="O7" s="2556"/>
      <c r="P7" s="2556" t="s">
        <v>207</v>
      </c>
      <c r="Q7" s="2556"/>
      <c r="CC7" s="1719"/>
    </row>
    <row r="8" spans="1:81" s="1718" customFormat="1" ht="15.75">
      <c r="A8" s="2556"/>
      <c r="B8" s="2556"/>
      <c r="C8" s="2556"/>
      <c r="D8" s="2556" t="s">
        <v>208</v>
      </c>
      <c r="E8" s="2556" t="s">
        <v>209</v>
      </c>
      <c r="F8" s="2556" t="s">
        <v>208</v>
      </c>
      <c r="G8" s="2556" t="s">
        <v>209</v>
      </c>
      <c r="H8" s="2556"/>
      <c r="I8" s="2556" t="s">
        <v>208</v>
      </c>
      <c r="J8" s="2556" t="s">
        <v>209</v>
      </c>
      <c r="K8" s="2556" t="s">
        <v>208</v>
      </c>
      <c r="L8" s="2556" t="s">
        <v>209</v>
      </c>
      <c r="M8" s="2556"/>
      <c r="N8" s="2556" t="s">
        <v>208</v>
      </c>
      <c r="O8" s="2556" t="s">
        <v>209</v>
      </c>
      <c r="P8" s="2556" t="s">
        <v>208</v>
      </c>
      <c r="Q8" s="2556" t="s">
        <v>209</v>
      </c>
    </row>
    <row r="9" spans="1:81" s="1718" customFormat="1" ht="15.75">
      <c r="A9" s="2556"/>
      <c r="B9" s="2556"/>
      <c r="C9" s="2556"/>
      <c r="D9" s="2556"/>
      <c r="E9" s="2556"/>
      <c r="F9" s="2556"/>
      <c r="G9" s="2556"/>
      <c r="H9" s="2556"/>
      <c r="I9" s="2556"/>
      <c r="J9" s="2556"/>
      <c r="K9" s="2556"/>
      <c r="L9" s="2556"/>
      <c r="M9" s="2556"/>
      <c r="N9" s="2556"/>
      <c r="O9" s="2556"/>
      <c r="P9" s="2556"/>
      <c r="Q9" s="2556"/>
    </row>
    <row r="10" spans="1:81" ht="15.75">
      <c r="A10" s="2555"/>
      <c r="B10" s="2555"/>
      <c r="C10" s="2555"/>
      <c r="D10" s="2555"/>
      <c r="E10" s="2555"/>
      <c r="F10" s="2555"/>
      <c r="G10" s="2555"/>
      <c r="H10" s="2555"/>
      <c r="I10" s="2555"/>
      <c r="J10" s="2555"/>
      <c r="K10" s="2555"/>
      <c r="L10" s="2555"/>
      <c r="M10" s="2555"/>
      <c r="N10" s="2555"/>
      <c r="O10" s="2555"/>
      <c r="P10" s="2555"/>
      <c r="Q10" s="2555"/>
    </row>
    <row r="11" spans="1:81" ht="15.75">
      <c r="A11" s="2555" t="s">
        <v>289</v>
      </c>
      <c r="B11" s="2555" t="s">
        <v>210</v>
      </c>
      <c r="C11" s="2555" t="s">
        <v>177</v>
      </c>
      <c r="D11" s="2555"/>
      <c r="E11" s="2555"/>
      <c r="F11" s="2555"/>
      <c r="G11" s="2555"/>
      <c r="H11" s="2555" t="s">
        <v>1187</v>
      </c>
      <c r="I11" s="2555"/>
      <c r="J11" s="2555"/>
      <c r="K11" s="2555"/>
      <c r="L11" s="2555"/>
      <c r="M11" s="2555" t="s">
        <v>1174</v>
      </c>
      <c r="N11" s="2555"/>
      <c r="O11" s="2555"/>
      <c r="P11" s="2555"/>
      <c r="Q11" s="2555"/>
    </row>
    <row r="12" spans="1:81" ht="15.75">
      <c r="A12" s="2555"/>
      <c r="B12" s="2555"/>
      <c r="C12" s="2555" t="s">
        <v>211</v>
      </c>
      <c r="D12" s="2555" t="s">
        <v>212</v>
      </c>
      <c r="E12" s="2555"/>
      <c r="F12" s="2555" t="s">
        <v>213</v>
      </c>
      <c r="G12" s="2555"/>
      <c r="H12" s="2555" t="s">
        <v>211</v>
      </c>
      <c r="I12" s="2555" t="s">
        <v>212</v>
      </c>
      <c r="J12" s="2555"/>
      <c r="K12" s="2555" t="s">
        <v>213</v>
      </c>
      <c r="L12" s="2555"/>
      <c r="M12" s="2555" t="s">
        <v>211</v>
      </c>
      <c r="N12" s="2555" t="s">
        <v>212</v>
      </c>
      <c r="O12" s="2555"/>
      <c r="P12" s="2555" t="s">
        <v>213</v>
      </c>
      <c r="Q12" s="2555"/>
    </row>
    <row r="13" spans="1:81" ht="31.5">
      <c r="A13" s="2555"/>
      <c r="B13" s="2555"/>
      <c r="C13" s="2555"/>
      <c r="D13" s="1712" t="s">
        <v>214</v>
      </c>
      <c r="E13" s="1712" t="s">
        <v>215</v>
      </c>
      <c r="F13" s="1712" t="s">
        <v>214</v>
      </c>
      <c r="G13" s="1713" t="s">
        <v>215</v>
      </c>
      <c r="H13" s="2555"/>
      <c r="I13" s="1712" t="s">
        <v>214</v>
      </c>
      <c r="J13" s="1713" t="s">
        <v>215</v>
      </c>
      <c r="K13" s="1712" t="s">
        <v>214</v>
      </c>
      <c r="L13" s="1713" t="s">
        <v>215</v>
      </c>
      <c r="M13" s="2555"/>
      <c r="N13" s="1712" t="s">
        <v>214</v>
      </c>
      <c r="O13" s="1713" t="s">
        <v>215</v>
      </c>
      <c r="P13" s="1712" t="s">
        <v>214</v>
      </c>
      <c r="Q13" s="1713" t="s">
        <v>215</v>
      </c>
      <c r="R13" s="1720" t="s">
        <v>1839</v>
      </c>
      <c r="S13" s="1720" t="s">
        <v>1840</v>
      </c>
      <c r="T13" s="1720" t="s">
        <v>2530</v>
      </c>
      <c r="U13" s="1720" t="s">
        <v>2531</v>
      </c>
    </row>
    <row r="14" spans="1:81" ht="15.75" hidden="1">
      <c r="A14" s="1721">
        <v>2001</v>
      </c>
      <c r="B14" s="1722">
        <f>+C14+M14</f>
        <v>412.97515686106203</v>
      </c>
      <c r="C14" s="1723">
        <f>+D14+E14+F14+G14</f>
        <v>117.02368425330999</v>
      </c>
      <c r="D14" s="1723">
        <v>1.8598273348560002</v>
      </c>
      <c r="E14" s="1723">
        <v>10.181434441135998</v>
      </c>
      <c r="F14" s="1723">
        <v>33.687188488229999</v>
      </c>
      <c r="G14" s="1723">
        <v>71.295233989088004</v>
      </c>
      <c r="H14" s="1723">
        <f>+I14+J14+K14+L14</f>
        <v>295.95147260775201</v>
      </c>
      <c r="I14" s="1723">
        <v>47.58869427729401</v>
      </c>
      <c r="J14" s="1723">
        <v>3.4380445627579999</v>
      </c>
      <c r="K14" s="1723">
        <v>162.03836786259998</v>
      </c>
      <c r="L14" s="1723">
        <v>82.886365905099993</v>
      </c>
      <c r="M14" s="1723">
        <f>+N14+O14+P14+Q14</f>
        <v>295.95147260775201</v>
      </c>
      <c r="N14" s="1723">
        <v>47.58869427729401</v>
      </c>
      <c r="O14" s="1723">
        <v>3.4380445627579999</v>
      </c>
      <c r="P14" s="1723">
        <v>162.03836786259998</v>
      </c>
      <c r="Q14" s="1724">
        <v>82.886365905099993</v>
      </c>
      <c r="R14" s="1723">
        <v>49.44852161215001</v>
      </c>
      <c r="S14" s="1723">
        <v>13.619479003893998</v>
      </c>
      <c r="T14" s="1723">
        <v>195.72555635082998</v>
      </c>
      <c r="U14" s="1723">
        <v>154.181599894188</v>
      </c>
      <c r="V14" s="1723"/>
    </row>
    <row r="15" spans="1:81" ht="15.75" hidden="1">
      <c r="A15" s="1721">
        <v>2002</v>
      </c>
      <c r="B15" s="1722">
        <f t="shared" ref="B15:B77" si="0">+C15+M15</f>
        <v>483.15978184729602</v>
      </c>
      <c r="C15" s="1723">
        <f>+D15+E15+F15+G15</f>
        <v>153.45411193965603</v>
      </c>
      <c r="D15" s="1723">
        <v>3.5223037435799998</v>
      </c>
      <c r="E15" s="1723">
        <v>9.9774402997900005</v>
      </c>
      <c r="F15" s="1723">
        <v>27.348646649591995</v>
      </c>
      <c r="G15" s="1723">
        <v>112.60572124669403</v>
      </c>
      <c r="H15" s="1723">
        <f>+I15+J15+K15+L15</f>
        <v>329.70566990764002</v>
      </c>
      <c r="I15" s="1723">
        <v>59.712269845920005</v>
      </c>
      <c r="J15" s="1723">
        <v>2.9712383731839971</v>
      </c>
      <c r="K15" s="1723">
        <v>103.62160357761799</v>
      </c>
      <c r="L15" s="1723">
        <v>163.40055811091804</v>
      </c>
      <c r="M15" s="1723">
        <f t="shared" ref="M15:M77" si="1">+N15+O15+P15+Q15</f>
        <v>329.70566990764002</v>
      </c>
      <c r="N15" s="1723">
        <v>59.712269845920005</v>
      </c>
      <c r="O15" s="1723">
        <v>2.9712383731839971</v>
      </c>
      <c r="P15" s="1723">
        <v>103.62160357761799</v>
      </c>
      <c r="Q15" s="1724">
        <v>163.40055811091804</v>
      </c>
      <c r="R15" s="1723">
        <v>63.234573589500002</v>
      </c>
      <c r="S15" s="1723">
        <v>12.948678672973998</v>
      </c>
      <c r="T15" s="1723">
        <v>130.97025022720999</v>
      </c>
      <c r="U15" s="1723">
        <v>276.00627935761207</v>
      </c>
      <c r="V15" s="1723"/>
    </row>
    <row r="16" spans="1:81" ht="15.75" hidden="1">
      <c r="A16" s="1721">
        <v>2003</v>
      </c>
      <c r="B16" s="1722">
        <f t="shared" si="0"/>
        <v>644.37994144988397</v>
      </c>
      <c r="C16" s="1723">
        <f>+D16+E16+F16+G16</f>
        <v>251.93511738187601</v>
      </c>
      <c r="D16" s="1723">
        <v>7.7400585161379984</v>
      </c>
      <c r="E16" s="1723">
        <v>11.246076919432003</v>
      </c>
      <c r="F16" s="1723">
        <v>40.262415726721997</v>
      </c>
      <c r="G16" s="1723">
        <v>192.68656621958402</v>
      </c>
      <c r="H16" s="1723">
        <f>+I16+J16+K16+L16</f>
        <v>392.44482406800802</v>
      </c>
      <c r="I16" s="1723">
        <v>89.564187967094</v>
      </c>
      <c r="J16" s="1723">
        <v>11.627330259122001</v>
      </c>
      <c r="K16" s="1723">
        <v>152.75450807743402</v>
      </c>
      <c r="L16" s="1723">
        <v>138.49879776435799</v>
      </c>
      <c r="M16" s="1723">
        <f t="shared" si="1"/>
        <v>392.44482406800802</v>
      </c>
      <c r="N16" s="1723">
        <v>89.564187967094</v>
      </c>
      <c r="O16" s="1723">
        <v>11.627330259122001</v>
      </c>
      <c r="P16" s="1723">
        <v>152.75450807743402</v>
      </c>
      <c r="Q16" s="1724">
        <v>138.49879776435799</v>
      </c>
      <c r="R16" s="1723">
        <v>97.304246483231992</v>
      </c>
      <c r="S16" s="1723">
        <v>22.873407178554004</v>
      </c>
      <c r="T16" s="1723">
        <v>193.01692380415602</v>
      </c>
      <c r="U16" s="1723">
        <v>331.18536398394201</v>
      </c>
      <c r="V16" s="1723"/>
    </row>
    <row r="17" spans="1:22" ht="15.75" hidden="1">
      <c r="A17" s="1721">
        <v>2004</v>
      </c>
      <c r="B17" s="1722">
        <f>+C17+M17</f>
        <v>1118.0426953927879</v>
      </c>
      <c r="C17" s="1723">
        <f>+D17+E17+F17+G17</f>
        <v>403.12769143106192</v>
      </c>
      <c r="D17" s="1723">
        <v>15.955597224904</v>
      </c>
      <c r="E17" s="1723">
        <v>14.174613427751998</v>
      </c>
      <c r="F17" s="1723">
        <v>61.031647387751995</v>
      </c>
      <c r="G17" s="1723">
        <v>311.96583339065393</v>
      </c>
      <c r="H17" s="1723">
        <f>+I17+J17+K17+L17</f>
        <v>714.91500396172592</v>
      </c>
      <c r="I17" s="1723">
        <v>177.52197048484396</v>
      </c>
      <c r="J17" s="1723">
        <v>14.259139113799998</v>
      </c>
      <c r="K17" s="1723">
        <v>248.37984228524402</v>
      </c>
      <c r="L17" s="1723">
        <v>274.75405207783803</v>
      </c>
      <c r="M17" s="1723">
        <f t="shared" si="1"/>
        <v>714.91500396172592</v>
      </c>
      <c r="N17" s="1723">
        <v>177.52197048484396</v>
      </c>
      <c r="O17" s="1723">
        <v>14.259139113799998</v>
      </c>
      <c r="P17" s="1723">
        <v>248.37984228524402</v>
      </c>
      <c r="Q17" s="1724">
        <v>274.75405207783803</v>
      </c>
      <c r="R17" s="1723">
        <v>193.47756770974797</v>
      </c>
      <c r="S17" s="1723">
        <v>28.433752541551996</v>
      </c>
      <c r="T17" s="1723">
        <v>309.41148967299603</v>
      </c>
      <c r="U17" s="1723">
        <v>586.71988546849195</v>
      </c>
      <c r="V17" s="1723"/>
    </row>
    <row r="18" spans="1:22" ht="15.75">
      <c r="A18" s="1725">
        <v>2005</v>
      </c>
      <c r="B18" s="1726">
        <f>+C18+M18</f>
        <v>1368.7164538735801</v>
      </c>
      <c r="C18" s="1726">
        <f>+D18+E18+F18+G18</f>
        <v>494.53391455511206</v>
      </c>
      <c r="D18" s="1726">
        <v>27.779654134526002</v>
      </c>
      <c r="E18" s="1726">
        <v>28.058224396446001</v>
      </c>
      <c r="F18" s="1726">
        <v>82.03544031062799</v>
      </c>
      <c r="G18" s="1726">
        <v>356.66059571351207</v>
      </c>
      <c r="H18" s="1726" t="s">
        <v>93</v>
      </c>
      <c r="I18" s="1726" t="s">
        <v>93</v>
      </c>
      <c r="J18" s="1726" t="s">
        <v>93</v>
      </c>
      <c r="K18" s="1726" t="s">
        <v>93</v>
      </c>
      <c r="L18" s="1726" t="s">
        <v>93</v>
      </c>
      <c r="M18" s="1726">
        <f t="shared" si="1"/>
        <v>874.182539318468</v>
      </c>
      <c r="N18" s="1726">
        <v>204.18628984915802</v>
      </c>
      <c r="O18" s="1726">
        <v>20.166362801447995</v>
      </c>
      <c r="P18" s="1726">
        <v>282.36037415142005</v>
      </c>
      <c r="Q18" s="1726">
        <v>367.46951251644191</v>
      </c>
      <c r="R18" s="1723"/>
      <c r="S18" s="1723"/>
      <c r="T18" s="1723"/>
      <c r="U18" s="1723"/>
      <c r="V18" s="1723"/>
    </row>
    <row r="19" spans="1:22" ht="15.75" hidden="1">
      <c r="A19" s="1727" t="s">
        <v>18</v>
      </c>
      <c r="B19" s="1728">
        <f t="shared" si="0"/>
        <v>1063.4966561646759</v>
      </c>
      <c r="C19" s="1726">
        <f t="shared" ref="C19:C30" si="2">+D19+E19+F19+G19</f>
        <v>406.70491415222199</v>
      </c>
      <c r="D19" s="1728">
        <v>15.134369305978002</v>
      </c>
      <c r="E19" s="1728">
        <v>14.231994775455995</v>
      </c>
      <c r="F19" s="1728">
        <v>60.961454474529994</v>
      </c>
      <c r="G19" s="1728">
        <v>316.37709559625802</v>
      </c>
      <c r="H19" s="1728" t="s">
        <v>93</v>
      </c>
      <c r="I19" s="1728" t="s">
        <v>93</v>
      </c>
      <c r="J19" s="1728" t="s">
        <v>93</v>
      </c>
      <c r="K19" s="1728" t="s">
        <v>93</v>
      </c>
      <c r="L19" s="1728" t="s">
        <v>93</v>
      </c>
      <c r="M19" s="1728">
        <f t="shared" si="1"/>
        <v>656.79174201245382</v>
      </c>
      <c r="N19" s="1728">
        <v>162.47776356627199</v>
      </c>
      <c r="O19" s="1728">
        <v>12.143996220200002</v>
      </c>
      <c r="P19" s="1728">
        <v>236.82087154101976</v>
      </c>
      <c r="Q19" s="1728">
        <v>245.34911068496211</v>
      </c>
      <c r="R19" s="1723">
        <v>177.61213287224999</v>
      </c>
      <c r="S19" s="1723">
        <v>26.375990995655997</v>
      </c>
      <c r="T19" s="1723">
        <v>297.78232601554976</v>
      </c>
      <c r="U19" s="1723">
        <v>561.72620628122013</v>
      </c>
      <c r="V19" s="1723"/>
    </row>
    <row r="20" spans="1:22" ht="15.75" hidden="1">
      <c r="A20" s="1727" t="s">
        <v>19</v>
      </c>
      <c r="B20" s="1728">
        <f t="shared" si="0"/>
        <v>1048.9799363667141</v>
      </c>
      <c r="C20" s="1726">
        <f t="shared" si="2"/>
        <v>413.8254021203</v>
      </c>
      <c r="D20" s="1728">
        <v>17.428663236807999</v>
      </c>
      <c r="E20" s="1728">
        <v>14.947397832992001</v>
      </c>
      <c r="F20" s="1728">
        <v>63.271366458445996</v>
      </c>
      <c r="G20" s="1728">
        <v>318.177974592054</v>
      </c>
      <c r="H20" s="1728" t="s">
        <v>93</v>
      </c>
      <c r="I20" s="1728" t="s">
        <v>93</v>
      </c>
      <c r="J20" s="1728" t="s">
        <v>93</v>
      </c>
      <c r="K20" s="1728" t="s">
        <v>93</v>
      </c>
      <c r="L20" s="1728" t="s">
        <v>93</v>
      </c>
      <c r="M20" s="1728">
        <f t="shared" si="1"/>
        <v>635.15453424641407</v>
      </c>
      <c r="N20" s="1728">
        <v>166.35517436954601</v>
      </c>
      <c r="O20" s="1728">
        <v>13.769888064199998</v>
      </c>
      <c r="P20" s="1728">
        <v>213.39937358376812</v>
      </c>
      <c r="Q20" s="1728">
        <v>241.63009822889995</v>
      </c>
      <c r="R20" s="1723">
        <v>183.78383760635401</v>
      </c>
      <c r="S20" s="1723">
        <v>28.717285897191999</v>
      </c>
      <c r="T20" s="1723">
        <v>276.67074004221411</v>
      </c>
      <c r="U20" s="1723">
        <v>559.80807282095395</v>
      </c>
      <c r="V20" s="1723"/>
    </row>
    <row r="21" spans="1:22" ht="15.75" hidden="1">
      <c r="A21" s="1727" t="s">
        <v>20</v>
      </c>
      <c r="B21" s="1728">
        <f t="shared" si="0"/>
        <v>1053.8228669286777</v>
      </c>
      <c r="C21" s="1726">
        <f t="shared" si="2"/>
        <v>419.606675986852</v>
      </c>
      <c r="D21" s="1728">
        <v>17.625101484098</v>
      </c>
      <c r="E21" s="1728">
        <v>15.050721005593999</v>
      </c>
      <c r="F21" s="1728">
        <v>66.320857953230004</v>
      </c>
      <c r="G21" s="1728">
        <v>320.60999554392998</v>
      </c>
      <c r="H21" s="1728" t="s">
        <v>93</v>
      </c>
      <c r="I21" s="1728" t="s">
        <v>93</v>
      </c>
      <c r="J21" s="1728" t="s">
        <v>93</v>
      </c>
      <c r="K21" s="1728" t="s">
        <v>93</v>
      </c>
      <c r="L21" s="1728" t="s">
        <v>93</v>
      </c>
      <c r="M21" s="1728">
        <f t="shared" si="1"/>
        <v>634.21619094182574</v>
      </c>
      <c r="N21" s="1728">
        <v>162.32582845139001</v>
      </c>
      <c r="O21" s="1728">
        <v>15.985743624199998</v>
      </c>
      <c r="P21" s="1728">
        <v>220.54135063364782</v>
      </c>
      <c r="Q21" s="1728">
        <v>235.36326823258793</v>
      </c>
      <c r="R21" s="1723">
        <v>179.95092993548801</v>
      </c>
      <c r="S21" s="1723">
        <v>31.036464629793997</v>
      </c>
      <c r="T21" s="1723">
        <v>286.86220858687784</v>
      </c>
      <c r="U21" s="1723">
        <v>555.97326377651791</v>
      </c>
      <c r="V21" s="1723"/>
    </row>
    <row r="22" spans="1:22" ht="15.75" hidden="1">
      <c r="A22" s="1727" t="s">
        <v>21</v>
      </c>
      <c r="B22" s="1728">
        <f t="shared" si="0"/>
        <v>1166.0089263965961</v>
      </c>
      <c r="C22" s="1726">
        <f t="shared" si="2"/>
        <v>421.04511378452605</v>
      </c>
      <c r="D22" s="1728">
        <v>20.04431320962</v>
      </c>
      <c r="E22" s="1728">
        <v>16.538387940482007</v>
      </c>
      <c r="F22" s="1728">
        <v>63.881193396003994</v>
      </c>
      <c r="G22" s="1728">
        <v>320.58121923842003</v>
      </c>
      <c r="H22" s="1728" t="s">
        <v>93</v>
      </c>
      <c r="I22" s="1728" t="s">
        <v>93</v>
      </c>
      <c r="J22" s="1728" t="s">
        <v>93</v>
      </c>
      <c r="K22" s="1728" t="s">
        <v>93</v>
      </c>
      <c r="L22" s="1728" t="s">
        <v>93</v>
      </c>
      <c r="M22" s="1728">
        <f t="shared" si="1"/>
        <v>744.96381261207011</v>
      </c>
      <c r="N22" s="1728">
        <v>175.219455213694</v>
      </c>
      <c r="O22" s="1728">
        <v>15.276027790005998</v>
      </c>
      <c r="P22" s="1728">
        <v>249.40081676096003</v>
      </c>
      <c r="Q22" s="1728">
        <v>305.06751284741</v>
      </c>
      <c r="R22" s="1723">
        <v>195.26376842331399</v>
      </c>
      <c r="S22" s="1723">
        <v>31.814415730488005</v>
      </c>
      <c r="T22" s="1723">
        <v>313.28201015696402</v>
      </c>
      <c r="U22" s="1723">
        <v>625.64873208583003</v>
      </c>
      <c r="V22" s="1723"/>
    </row>
    <row r="23" spans="1:22" ht="15.75" hidden="1">
      <c r="A23" s="1727" t="s">
        <v>22</v>
      </c>
      <c r="B23" s="1728">
        <f t="shared" si="0"/>
        <v>1213.5454937892737</v>
      </c>
      <c r="C23" s="1726">
        <f t="shared" si="2"/>
        <v>424.95067404526998</v>
      </c>
      <c r="D23" s="1728">
        <v>20.565216925968002</v>
      </c>
      <c r="E23" s="1728">
        <v>18.779278470721998</v>
      </c>
      <c r="F23" s="1728">
        <v>64.697821114283997</v>
      </c>
      <c r="G23" s="1728">
        <v>320.90835753429599</v>
      </c>
      <c r="H23" s="1728" t="s">
        <v>93</v>
      </c>
      <c r="I23" s="1728" t="s">
        <v>93</v>
      </c>
      <c r="J23" s="1728" t="s">
        <v>93</v>
      </c>
      <c r="K23" s="1728" t="s">
        <v>93</v>
      </c>
      <c r="L23" s="1728" t="s">
        <v>93</v>
      </c>
      <c r="M23" s="1728">
        <f t="shared" si="1"/>
        <v>788.59481974400364</v>
      </c>
      <c r="N23" s="1728">
        <v>190.50330881501003</v>
      </c>
      <c r="O23" s="1728">
        <v>19.786619168888002</v>
      </c>
      <c r="P23" s="1728">
        <v>233.93035006144964</v>
      </c>
      <c r="Q23" s="1728">
        <v>344.374541698656</v>
      </c>
      <c r="R23" s="1723">
        <v>211.06852574097803</v>
      </c>
      <c r="S23" s="1723">
        <v>38.56589763961</v>
      </c>
      <c r="T23" s="1723">
        <v>298.62817117573366</v>
      </c>
      <c r="U23" s="1723">
        <v>665.28289923295199</v>
      </c>
      <c r="V23" s="1723"/>
    </row>
    <row r="24" spans="1:22" ht="15.75" hidden="1">
      <c r="A24" s="1727" t="s">
        <v>23</v>
      </c>
      <c r="B24" s="1728">
        <f t="shared" si="0"/>
        <v>1216.5151143711018</v>
      </c>
      <c r="C24" s="1726">
        <f t="shared" si="2"/>
        <v>430.50692186807993</v>
      </c>
      <c r="D24" s="1728">
        <v>22.207957369458001</v>
      </c>
      <c r="E24" s="1728">
        <v>21.746284227846004</v>
      </c>
      <c r="F24" s="1728">
        <v>64.352211029433988</v>
      </c>
      <c r="G24" s="1728">
        <v>322.20046924134192</v>
      </c>
      <c r="H24" s="1728" t="s">
        <v>93</v>
      </c>
      <c r="I24" s="1728" t="s">
        <v>93</v>
      </c>
      <c r="J24" s="1728" t="s">
        <v>93</v>
      </c>
      <c r="K24" s="1728" t="s">
        <v>93</v>
      </c>
      <c r="L24" s="1728" t="s">
        <v>93</v>
      </c>
      <c r="M24" s="1728">
        <f t="shared" si="1"/>
        <v>786.00819250302186</v>
      </c>
      <c r="N24" s="1728">
        <v>191.26340058774801</v>
      </c>
      <c r="O24" s="1728">
        <v>22.274413052866009</v>
      </c>
      <c r="P24" s="1728">
        <v>235.64143676671404</v>
      </c>
      <c r="Q24" s="1728">
        <v>336.82894209569383</v>
      </c>
      <c r="R24" s="1723">
        <v>213.47135795720601</v>
      </c>
      <c r="S24" s="1723">
        <v>44.020697280712014</v>
      </c>
      <c r="T24" s="1723">
        <v>299.99364779614803</v>
      </c>
      <c r="U24" s="1723">
        <v>659.02941133703575</v>
      </c>
      <c r="V24" s="1723"/>
    </row>
    <row r="25" spans="1:22" ht="15.75" hidden="1">
      <c r="A25" s="1727" t="s">
        <v>24</v>
      </c>
      <c r="B25" s="1728">
        <f t="shared" si="0"/>
        <v>1277.149025846104</v>
      </c>
      <c r="C25" s="1726">
        <f t="shared" si="2"/>
        <v>443.14842064208597</v>
      </c>
      <c r="D25" s="1728">
        <v>24.336152530184002</v>
      </c>
      <c r="E25" s="1728">
        <v>24.554515622192</v>
      </c>
      <c r="F25" s="1728">
        <v>66.727173969110012</v>
      </c>
      <c r="G25" s="1728">
        <v>327.53057852059993</v>
      </c>
      <c r="H25" s="1728" t="s">
        <v>93</v>
      </c>
      <c r="I25" s="1728" t="s">
        <v>93</v>
      </c>
      <c r="J25" s="1728" t="s">
        <v>93</v>
      </c>
      <c r="K25" s="1728" t="s">
        <v>93</v>
      </c>
      <c r="L25" s="1728" t="s">
        <v>93</v>
      </c>
      <c r="M25" s="1728">
        <f t="shared" si="1"/>
        <v>834.00060520401803</v>
      </c>
      <c r="N25" s="1728">
        <v>202.46010063713601</v>
      </c>
      <c r="O25" s="1728">
        <v>20.777331911536002</v>
      </c>
      <c r="P25" s="1728">
        <v>269.97682625038021</v>
      </c>
      <c r="Q25" s="1728">
        <v>340.78634640496585</v>
      </c>
      <c r="R25" s="1723">
        <v>226.79625316732</v>
      </c>
      <c r="S25" s="1723">
        <v>45.331847533728002</v>
      </c>
      <c r="T25" s="1723">
        <v>336.70400021949024</v>
      </c>
      <c r="U25" s="1723">
        <v>668.31692492556579</v>
      </c>
      <c r="V25" s="1723"/>
    </row>
    <row r="26" spans="1:22" ht="15.75" hidden="1">
      <c r="A26" s="1727" t="s">
        <v>25</v>
      </c>
      <c r="B26" s="1728">
        <f t="shared" si="0"/>
        <v>1331.2752555563379</v>
      </c>
      <c r="C26" s="1726">
        <f t="shared" si="2"/>
        <v>451.77814405733199</v>
      </c>
      <c r="D26" s="1728">
        <v>24.548203651014003</v>
      </c>
      <c r="E26" s="1728">
        <v>29.247900165707989</v>
      </c>
      <c r="F26" s="1728">
        <v>69.866932499485998</v>
      </c>
      <c r="G26" s="1728">
        <v>328.11510774112401</v>
      </c>
      <c r="H26" s="1728" t="s">
        <v>93</v>
      </c>
      <c r="I26" s="1728" t="s">
        <v>93</v>
      </c>
      <c r="J26" s="1728" t="s">
        <v>93</v>
      </c>
      <c r="K26" s="1728" t="s">
        <v>93</v>
      </c>
      <c r="L26" s="1728" t="s">
        <v>93</v>
      </c>
      <c r="M26" s="1728">
        <f t="shared" si="1"/>
        <v>879.497111499006</v>
      </c>
      <c r="N26" s="1728">
        <v>212.25672293658801</v>
      </c>
      <c r="O26" s="1728">
        <v>20.732208032832006</v>
      </c>
      <c r="P26" s="1728">
        <v>292.47224681886382</v>
      </c>
      <c r="Q26" s="1728">
        <v>354.03593371072213</v>
      </c>
      <c r="R26" s="1723">
        <v>236.80492658760201</v>
      </c>
      <c r="S26" s="1723">
        <v>49.980108198539995</v>
      </c>
      <c r="T26" s="1723">
        <v>362.33917931834981</v>
      </c>
      <c r="U26" s="1723">
        <v>682.15104145184614</v>
      </c>
      <c r="V26" s="1723"/>
    </row>
    <row r="27" spans="1:22" ht="15.75" hidden="1">
      <c r="A27" s="1727" t="s">
        <v>26</v>
      </c>
      <c r="B27" s="1728">
        <f t="shared" si="0"/>
        <v>1353.6088446153863</v>
      </c>
      <c r="C27" s="1726">
        <f t="shared" si="2"/>
        <v>455.47478384693807</v>
      </c>
      <c r="D27" s="1728">
        <v>27.071172311326002</v>
      </c>
      <c r="E27" s="1728">
        <v>25.847880078012007</v>
      </c>
      <c r="F27" s="1728">
        <v>67.990966898934019</v>
      </c>
      <c r="G27" s="1728">
        <v>334.56476455866601</v>
      </c>
      <c r="H27" s="1728" t="s">
        <v>93</v>
      </c>
      <c r="I27" s="1728" t="s">
        <v>93</v>
      </c>
      <c r="J27" s="1728" t="s">
        <v>93</v>
      </c>
      <c r="K27" s="1728" t="s">
        <v>93</v>
      </c>
      <c r="L27" s="1728" t="s">
        <v>93</v>
      </c>
      <c r="M27" s="1728">
        <f t="shared" si="1"/>
        <v>898.13406076844808</v>
      </c>
      <c r="N27" s="1728">
        <v>200.96541767549201</v>
      </c>
      <c r="O27" s="1728">
        <v>23.022939716143998</v>
      </c>
      <c r="P27" s="1728">
        <v>286.30329898965016</v>
      </c>
      <c r="Q27" s="1728">
        <v>387.84240438716193</v>
      </c>
      <c r="R27" s="1723">
        <v>228.036589986818</v>
      </c>
      <c r="S27" s="1723">
        <v>48.870819794156006</v>
      </c>
      <c r="T27" s="1723">
        <v>354.29426588858416</v>
      </c>
      <c r="U27" s="1723">
        <v>722.40716894582795</v>
      </c>
      <c r="V27" s="1723"/>
    </row>
    <row r="28" spans="1:22" ht="15.75" hidden="1">
      <c r="A28" s="1727" t="s">
        <v>27</v>
      </c>
      <c r="B28" s="1728">
        <f t="shared" si="0"/>
        <v>1401.4029878443698</v>
      </c>
      <c r="C28" s="1726">
        <f t="shared" si="2"/>
        <v>457.2681134259019</v>
      </c>
      <c r="D28" s="1728">
        <v>24.061470321591994</v>
      </c>
      <c r="E28" s="1728">
        <v>25.771477555174002</v>
      </c>
      <c r="F28" s="1728">
        <v>65.541515063952005</v>
      </c>
      <c r="G28" s="1728">
        <v>341.89365048518391</v>
      </c>
      <c r="H28" s="1728" t="s">
        <v>93</v>
      </c>
      <c r="I28" s="1728" t="s">
        <v>93</v>
      </c>
      <c r="J28" s="1728" t="s">
        <v>93</v>
      </c>
      <c r="K28" s="1728" t="s">
        <v>93</v>
      </c>
      <c r="L28" s="1728" t="s">
        <v>93</v>
      </c>
      <c r="M28" s="1728">
        <f t="shared" si="1"/>
        <v>944.1348744184678</v>
      </c>
      <c r="N28" s="1728">
        <v>214.75196549321603</v>
      </c>
      <c r="O28" s="1728">
        <v>22.226903330406003</v>
      </c>
      <c r="P28" s="1728">
        <v>320.39781858118977</v>
      </c>
      <c r="Q28" s="1728">
        <v>386.75818701365597</v>
      </c>
      <c r="R28" s="1723">
        <v>238.81343581480803</v>
      </c>
      <c r="S28" s="1723">
        <v>47.998380885580005</v>
      </c>
      <c r="T28" s="1723">
        <v>385.9393336451418</v>
      </c>
      <c r="U28" s="1723">
        <v>728.65183749883988</v>
      </c>
      <c r="V28" s="1723"/>
    </row>
    <row r="29" spans="1:22" ht="15.75" hidden="1">
      <c r="A29" s="1727" t="s">
        <v>28</v>
      </c>
      <c r="B29" s="1728">
        <f t="shared" si="0"/>
        <v>1355.2231973839059</v>
      </c>
      <c r="C29" s="1726">
        <f t="shared" si="2"/>
        <v>467.03543963430604</v>
      </c>
      <c r="D29" s="1728">
        <v>23.99610273851</v>
      </c>
      <c r="E29" s="1728">
        <v>27.445762746842007</v>
      </c>
      <c r="F29" s="1728">
        <v>68.788068303291993</v>
      </c>
      <c r="G29" s="1728">
        <v>346.80550584566203</v>
      </c>
      <c r="H29" s="1728" t="s">
        <v>93</v>
      </c>
      <c r="I29" s="1728" t="s">
        <v>93</v>
      </c>
      <c r="J29" s="1728" t="s">
        <v>93</v>
      </c>
      <c r="K29" s="1728" t="s">
        <v>93</v>
      </c>
      <c r="L29" s="1728" t="s">
        <v>93</v>
      </c>
      <c r="M29" s="1728">
        <f t="shared" si="1"/>
        <v>888.18775774959988</v>
      </c>
      <c r="N29" s="1728">
        <v>203.55117892803801</v>
      </c>
      <c r="O29" s="1728">
        <v>22.794835537339999</v>
      </c>
      <c r="P29" s="1728">
        <v>272.14376593328575</v>
      </c>
      <c r="Q29" s="1728">
        <v>389.69797735093613</v>
      </c>
      <c r="R29" s="1723">
        <v>227.547281666548</v>
      </c>
      <c r="S29" s="1723">
        <v>50.240598284182006</v>
      </c>
      <c r="T29" s="1723">
        <v>340.93183423657774</v>
      </c>
      <c r="U29" s="1723">
        <v>736.50348319659815</v>
      </c>
      <c r="V29" s="1723"/>
    </row>
    <row r="30" spans="1:22" ht="15.75" hidden="1">
      <c r="A30" s="1727" t="s">
        <v>29</v>
      </c>
      <c r="B30" s="1728">
        <f t="shared" si="0"/>
        <v>1368.7164538735801</v>
      </c>
      <c r="C30" s="1726">
        <f t="shared" si="2"/>
        <v>494.53391455511206</v>
      </c>
      <c r="D30" s="1728">
        <v>27.779654134525998</v>
      </c>
      <c r="E30" s="1728">
        <v>28.058224396446001</v>
      </c>
      <c r="F30" s="1728">
        <v>82.03544031062799</v>
      </c>
      <c r="G30" s="1728">
        <v>356.66059571351207</v>
      </c>
      <c r="H30" s="1728" t="s">
        <v>93</v>
      </c>
      <c r="I30" s="1728" t="s">
        <v>93</v>
      </c>
      <c r="J30" s="1728" t="s">
        <v>93</v>
      </c>
      <c r="K30" s="1728" t="s">
        <v>93</v>
      </c>
      <c r="L30" s="1728" t="s">
        <v>93</v>
      </c>
      <c r="M30" s="1728">
        <f t="shared" si="1"/>
        <v>874.182539318468</v>
      </c>
      <c r="N30" s="1728">
        <v>204.18628984915802</v>
      </c>
      <c r="O30" s="1728">
        <v>20.166362801447995</v>
      </c>
      <c r="P30" s="1728">
        <v>282.36037415142005</v>
      </c>
      <c r="Q30" s="1728">
        <v>367.46951251644191</v>
      </c>
      <c r="R30" s="1723">
        <v>231.96594398368401</v>
      </c>
      <c r="S30" s="1723">
        <v>48.224587197893996</v>
      </c>
      <c r="T30" s="1723">
        <v>364.39581446204807</v>
      </c>
      <c r="U30" s="1723">
        <v>724.13010822995398</v>
      </c>
      <c r="V30" s="1723"/>
    </row>
    <row r="31" spans="1:22" ht="15.75">
      <c r="A31" s="1729">
        <v>2006</v>
      </c>
      <c r="B31" s="1728">
        <f t="shared" si="0"/>
        <v>2162.2232499800002</v>
      </c>
      <c r="C31" s="1728">
        <f>+D31+E31+F31+G31</f>
        <v>819.50448542000004</v>
      </c>
      <c r="D31" s="1728">
        <v>79.914839269999987</v>
      </c>
      <c r="E31" s="1728">
        <v>170.41436218999999</v>
      </c>
      <c r="F31" s="1728">
        <v>98.034702920000001</v>
      </c>
      <c r="G31" s="1728">
        <v>471.14058104000003</v>
      </c>
      <c r="H31" s="1728" t="s">
        <v>93</v>
      </c>
      <c r="I31" s="1728" t="s">
        <v>93</v>
      </c>
      <c r="J31" s="1728" t="s">
        <v>93</v>
      </c>
      <c r="K31" s="1728" t="s">
        <v>93</v>
      </c>
      <c r="L31" s="1728" t="s">
        <v>93</v>
      </c>
      <c r="M31" s="1728">
        <f t="shared" si="1"/>
        <v>1342.7187645600002</v>
      </c>
      <c r="N31" s="1728">
        <v>469.75696870000002</v>
      </c>
      <c r="O31" s="1728">
        <v>100.94178429000002</v>
      </c>
      <c r="P31" s="1728">
        <v>481.44463723999991</v>
      </c>
      <c r="Q31" s="1728">
        <v>290.57537433000005</v>
      </c>
      <c r="R31" s="1730"/>
      <c r="S31" s="1730"/>
      <c r="T31" s="1730"/>
      <c r="U31" s="1730"/>
      <c r="V31" s="1723"/>
    </row>
    <row r="32" spans="1:22" ht="15.75" hidden="1">
      <c r="A32" s="1727" t="s">
        <v>18</v>
      </c>
      <c r="B32" s="1728">
        <f t="shared" si="0"/>
        <v>1383.2134349799999</v>
      </c>
      <c r="C32" s="1728">
        <f t="shared" ref="C32:C43" si="3">+D32+E32+F32+G32</f>
        <v>494.08814395000002</v>
      </c>
      <c r="D32" s="1728">
        <v>30.034782400000001</v>
      </c>
      <c r="E32" s="1728">
        <v>28.005372920000006</v>
      </c>
      <c r="F32" s="1728">
        <v>73.219514610000004</v>
      </c>
      <c r="G32" s="1728">
        <v>362.82847401999999</v>
      </c>
      <c r="H32" s="1728" t="s">
        <v>93</v>
      </c>
      <c r="I32" s="1728" t="s">
        <v>93</v>
      </c>
      <c r="J32" s="1728" t="s">
        <v>93</v>
      </c>
      <c r="K32" s="1728" t="s">
        <v>93</v>
      </c>
      <c r="L32" s="1728" t="s">
        <v>93</v>
      </c>
      <c r="M32" s="1728">
        <f t="shared" si="1"/>
        <v>889.12529102999997</v>
      </c>
      <c r="N32" s="1728">
        <v>189.83757908000001</v>
      </c>
      <c r="O32" s="1728">
        <v>20.746695360000004</v>
      </c>
      <c r="P32" s="1728">
        <v>296.41532041000005</v>
      </c>
      <c r="Q32" s="1728">
        <v>382.12569617999992</v>
      </c>
      <c r="R32" s="1730">
        <v>219.87236148000002</v>
      </c>
      <c r="S32" s="1730">
        <v>48.75206828000001</v>
      </c>
      <c r="T32" s="1730">
        <v>369.63483502000008</v>
      </c>
      <c r="U32" s="1730">
        <v>744.95417019999991</v>
      </c>
      <c r="V32" s="1723"/>
    </row>
    <row r="33" spans="1:22" ht="15.75" hidden="1">
      <c r="A33" s="1727" t="s">
        <v>19</v>
      </c>
      <c r="B33" s="1728">
        <f t="shared" si="0"/>
        <v>1451.4978858499999</v>
      </c>
      <c r="C33" s="1728">
        <f t="shared" si="3"/>
        <v>522.05475250999996</v>
      </c>
      <c r="D33" s="1728">
        <v>27.423490940000001</v>
      </c>
      <c r="E33" s="1728">
        <v>31.861988579999995</v>
      </c>
      <c r="F33" s="1728">
        <v>82.184133250000002</v>
      </c>
      <c r="G33" s="1728">
        <v>380.58513973999993</v>
      </c>
      <c r="H33" s="1728" t="s">
        <v>93</v>
      </c>
      <c r="I33" s="1728" t="s">
        <v>93</v>
      </c>
      <c r="J33" s="1728" t="s">
        <v>93</v>
      </c>
      <c r="K33" s="1728" t="s">
        <v>93</v>
      </c>
      <c r="L33" s="1728" t="s">
        <v>93</v>
      </c>
      <c r="M33" s="1728">
        <f t="shared" si="1"/>
        <v>929.44313334000003</v>
      </c>
      <c r="N33" s="1728">
        <v>232.91152826999993</v>
      </c>
      <c r="O33" s="1728">
        <v>24.236552970000005</v>
      </c>
      <c r="P33" s="1728">
        <v>307.06405704000014</v>
      </c>
      <c r="Q33" s="1728">
        <v>365.23099505999994</v>
      </c>
      <c r="R33" s="1730">
        <v>260.33501920999993</v>
      </c>
      <c r="S33" s="1730">
        <v>56.09854155</v>
      </c>
      <c r="T33" s="1730">
        <v>389.24819029000014</v>
      </c>
      <c r="U33" s="1730">
        <v>745.81613479999987</v>
      </c>
      <c r="V33" s="1723"/>
    </row>
    <row r="34" spans="1:22" ht="15.75" hidden="1">
      <c r="A34" s="1727" t="s">
        <v>20</v>
      </c>
      <c r="B34" s="1728">
        <f t="shared" si="0"/>
        <v>1481.0066670299998</v>
      </c>
      <c r="C34" s="1728">
        <f t="shared" si="3"/>
        <v>545.01132469999993</v>
      </c>
      <c r="D34" s="1728">
        <v>34.537959389999997</v>
      </c>
      <c r="E34" s="1728">
        <v>34.717815000000009</v>
      </c>
      <c r="F34" s="1728">
        <v>76.481817759999998</v>
      </c>
      <c r="G34" s="1728">
        <v>399.27373254999998</v>
      </c>
      <c r="H34" s="1728" t="s">
        <v>93</v>
      </c>
      <c r="I34" s="1728" t="s">
        <v>93</v>
      </c>
      <c r="J34" s="1728" t="s">
        <v>93</v>
      </c>
      <c r="K34" s="1728" t="s">
        <v>93</v>
      </c>
      <c r="L34" s="1728" t="s">
        <v>93</v>
      </c>
      <c r="M34" s="1728">
        <f t="shared" si="1"/>
        <v>935.99534232999986</v>
      </c>
      <c r="N34" s="1728">
        <v>247.92220506999993</v>
      </c>
      <c r="O34" s="1728">
        <v>24.863403380000001</v>
      </c>
      <c r="P34" s="1728">
        <v>331.18936583999994</v>
      </c>
      <c r="Q34" s="1728">
        <v>332.02036803999999</v>
      </c>
      <c r="R34" s="1730">
        <v>282.46016445999993</v>
      </c>
      <c r="S34" s="1730">
        <v>59.58121838000001</v>
      </c>
      <c r="T34" s="1730">
        <v>407.67118359999995</v>
      </c>
      <c r="U34" s="1730">
        <v>731.29410058999997</v>
      </c>
      <c r="V34" s="1723"/>
    </row>
    <row r="35" spans="1:22" ht="15.75" hidden="1">
      <c r="A35" s="1727" t="s">
        <v>21</v>
      </c>
      <c r="B35" s="1728">
        <f t="shared" si="0"/>
        <v>1557.6401889599999</v>
      </c>
      <c r="C35" s="1728">
        <f t="shared" si="3"/>
        <v>568.30047396999998</v>
      </c>
      <c r="D35" s="1728">
        <v>39.192394550000003</v>
      </c>
      <c r="E35" s="1728">
        <v>39.285058579999991</v>
      </c>
      <c r="F35" s="1728">
        <v>79.15878404</v>
      </c>
      <c r="G35" s="1728">
        <v>410.66423679999997</v>
      </c>
      <c r="H35" s="1728" t="s">
        <v>93</v>
      </c>
      <c r="I35" s="1728" t="s">
        <v>93</v>
      </c>
      <c r="J35" s="1728" t="s">
        <v>93</v>
      </c>
      <c r="K35" s="1728" t="s">
        <v>93</v>
      </c>
      <c r="L35" s="1728" t="s">
        <v>93</v>
      </c>
      <c r="M35" s="1728">
        <f t="shared" si="1"/>
        <v>989.33971498999995</v>
      </c>
      <c r="N35" s="1728">
        <v>263.89040720000003</v>
      </c>
      <c r="O35" s="1728">
        <v>22.71832903</v>
      </c>
      <c r="P35" s="1728">
        <v>358.63728684000012</v>
      </c>
      <c r="Q35" s="1728">
        <v>344.09369191999991</v>
      </c>
      <c r="R35" s="1730">
        <v>303.08280175000004</v>
      </c>
      <c r="S35" s="1730">
        <v>62.00338760999999</v>
      </c>
      <c r="T35" s="1730">
        <v>437.79607088000012</v>
      </c>
      <c r="U35" s="1730">
        <v>754.75792871999988</v>
      </c>
      <c r="V35" s="1723"/>
    </row>
    <row r="36" spans="1:22" ht="15.75" hidden="1">
      <c r="A36" s="1727" t="s">
        <v>22</v>
      </c>
      <c r="B36" s="1728">
        <f t="shared" si="0"/>
        <v>1591.5808183700001</v>
      </c>
      <c r="C36" s="1728">
        <f t="shared" si="3"/>
        <v>581.40550108000002</v>
      </c>
      <c r="D36" s="1728">
        <v>42.23809593</v>
      </c>
      <c r="E36" s="1728">
        <v>43.569025530000005</v>
      </c>
      <c r="F36" s="1728">
        <v>81.913007550000003</v>
      </c>
      <c r="G36" s="1728">
        <v>413.68537207000003</v>
      </c>
      <c r="H36" s="1728" t="s">
        <v>93</v>
      </c>
      <c r="I36" s="1728" t="s">
        <v>93</v>
      </c>
      <c r="J36" s="1728" t="s">
        <v>93</v>
      </c>
      <c r="K36" s="1728" t="s">
        <v>93</v>
      </c>
      <c r="L36" s="1728" t="s">
        <v>93</v>
      </c>
      <c r="M36" s="1728">
        <f t="shared" si="1"/>
        <v>1010.1753172900001</v>
      </c>
      <c r="N36" s="1728">
        <v>261.16384357999999</v>
      </c>
      <c r="O36" s="1728">
        <v>24.112841309999993</v>
      </c>
      <c r="P36" s="1728">
        <v>383.09862685000007</v>
      </c>
      <c r="Q36" s="1728">
        <v>341.80000554999998</v>
      </c>
      <c r="R36" s="1730">
        <v>303.40193950999998</v>
      </c>
      <c r="S36" s="1730">
        <v>67.681866839999998</v>
      </c>
      <c r="T36" s="1730">
        <v>465.01163440000005</v>
      </c>
      <c r="U36" s="1730">
        <v>755.48537762000001</v>
      </c>
      <c r="V36" s="1723"/>
    </row>
    <row r="37" spans="1:22" ht="15.75" hidden="1">
      <c r="A37" s="1727" t="s">
        <v>23</v>
      </c>
      <c r="B37" s="1728">
        <f t="shared" si="0"/>
        <v>1695.9090985100001</v>
      </c>
      <c r="C37" s="1728">
        <f t="shared" si="3"/>
        <v>614.61681299000008</v>
      </c>
      <c r="D37" s="1728">
        <v>49.621956119999993</v>
      </c>
      <c r="E37" s="1728">
        <v>62.687790590000013</v>
      </c>
      <c r="F37" s="1728">
        <v>79.578920199999999</v>
      </c>
      <c r="G37" s="1728">
        <v>422.72814608000004</v>
      </c>
      <c r="H37" s="1728" t="s">
        <v>93</v>
      </c>
      <c r="I37" s="1728" t="s">
        <v>93</v>
      </c>
      <c r="J37" s="1728" t="s">
        <v>93</v>
      </c>
      <c r="K37" s="1728" t="s">
        <v>93</v>
      </c>
      <c r="L37" s="1728" t="s">
        <v>93</v>
      </c>
      <c r="M37" s="1728">
        <f t="shared" si="1"/>
        <v>1081.2922855200002</v>
      </c>
      <c r="N37" s="1728">
        <v>275.74995167999992</v>
      </c>
      <c r="O37" s="1728">
        <v>32.195848599999998</v>
      </c>
      <c r="P37" s="1728">
        <v>440.89080339000031</v>
      </c>
      <c r="Q37" s="1728">
        <v>332.45568184999996</v>
      </c>
      <c r="R37" s="1730">
        <v>325.37190779999992</v>
      </c>
      <c r="S37" s="1730">
        <v>94.883639190000011</v>
      </c>
      <c r="T37" s="1730">
        <v>520.46972359000029</v>
      </c>
      <c r="U37" s="1730">
        <v>755.18382793000001</v>
      </c>
      <c r="V37" s="1723"/>
    </row>
    <row r="38" spans="1:22" ht="15.75" hidden="1">
      <c r="A38" s="1727" t="s">
        <v>24</v>
      </c>
      <c r="B38" s="1728">
        <f t="shared" si="0"/>
        <v>1763.8645690999997</v>
      </c>
      <c r="C38" s="1728">
        <f t="shared" si="3"/>
        <v>643.42004407000002</v>
      </c>
      <c r="D38" s="1728">
        <v>52.189621299999992</v>
      </c>
      <c r="E38" s="1728">
        <v>78.579402869999996</v>
      </c>
      <c r="F38" s="1728">
        <v>80.232330779999984</v>
      </c>
      <c r="G38" s="1728">
        <v>432.41868912000001</v>
      </c>
      <c r="H38" s="1728" t="s">
        <v>93</v>
      </c>
      <c r="I38" s="1728" t="s">
        <v>93</v>
      </c>
      <c r="J38" s="1728" t="s">
        <v>93</v>
      </c>
      <c r="K38" s="1728" t="s">
        <v>93</v>
      </c>
      <c r="L38" s="1728" t="s">
        <v>93</v>
      </c>
      <c r="M38" s="1728">
        <f t="shared" si="1"/>
        <v>1120.4445250299996</v>
      </c>
      <c r="N38" s="1728">
        <v>290.18034140000009</v>
      </c>
      <c r="O38" s="1728">
        <v>36.360110970000008</v>
      </c>
      <c r="P38" s="1728">
        <v>464.80418268999972</v>
      </c>
      <c r="Q38" s="1728">
        <v>329.09988996999988</v>
      </c>
      <c r="R38" s="1730">
        <v>342.36996270000009</v>
      </c>
      <c r="S38" s="1730">
        <v>114.93951384</v>
      </c>
      <c r="T38" s="1730">
        <v>545.0365134699997</v>
      </c>
      <c r="U38" s="1730">
        <v>761.51857908999989</v>
      </c>
      <c r="V38" s="1723"/>
    </row>
    <row r="39" spans="1:22" ht="15.75" hidden="1">
      <c r="A39" s="1727" t="s">
        <v>25</v>
      </c>
      <c r="B39" s="1728">
        <f t="shared" si="0"/>
        <v>1831.5589231699998</v>
      </c>
      <c r="C39" s="1728">
        <f t="shared" si="3"/>
        <v>668.38229610000008</v>
      </c>
      <c r="D39" s="1728">
        <v>55.96733794</v>
      </c>
      <c r="E39" s="1728">
        <v>92.886073139999993</v>
      </c>
      <c r="F39" s="1728">
        <v>82.317566110000001</v>
      </c>
      <c r="G39" s="1728">
        <v>437.21131891000005</v>
      </c>
      <c r="H39" s="1728" t="s">
        <v>93</v>
      </c>
      <c r="I39" s="1728" t="s">
        <v>93</v>
      </c>
      <c r="J39" s="1728" t="s">
        <v>93</v>
      </c>
      <c r="K39" s="1728" t="s">
        <v>93</v>
      </c>
      <c r="L39" s="1728" t="s">
        <v>93</v>
      </c>
      <c r="M39" s="1728">
        <f t="shared" si="1"/>
        <v>1163.1766270699998</v>
      </c>
      <c r="N39" s="1728">
        <v>341.24181605999996</v>
      </c>
      <c r="O39" s="1728">
        <v>41.966108949999992</v>
      </c>
      <c r="P39" s="1728">
        <v>431.8204850599999</v>
      </c>
      <c r="Q39" s="1728">
        <v>348.14821699999993</v>
      </c>
      <c r="R39" s="1730">
        <v>397.20915399999996</v>
      </c>
      <c r="S39" s="1730">
        <v>134.85218208999999</v>
      </c>
      <c r="T39" s="1730">
        <v>514.13805116999993</v>
      </c>
      <c r="U39" s="1730">
        <v>785.35953590999998</v>
      </c>
      <c r="V39" s="1723"/>
    </row>
    <row r="40" spans="1:22" ht="15.75" hidden="1">
      <c r="A40" s="1727" t="s">
        <v>26</v>
      </c>
      <c r="B40" s="1728">
        <f t="shared" si="0"/>
        <v>1861.9868716400001</v>
      </c>
      <c r="C40" s="1728">
        <f t="shared" si="3"/>
        <v>693.30904727000006</v>
      </c>
      <c r="D40" s="1728">
        <v>60.653480889999997</v>
      </c>
      <c r="E40" s="1728">
        <v>109.42575111999997</v>
      </c>
      <c r="F40" s="1728">
        <v>82.923726000000002</v>
      </c>
      <c r="G40" s="1728">
        <v>440.30608926000002</v>
      </c>
      <c r="H40" s="1728" t="s">
        <v>93</v>
      </c>
      <c r="I40" s="1728" t="s">
        <v>93</v>
      </c>
      <c r="J40" s="1728" t="s">
        <v>93</v>
      </c>
      <c r="K40" s="1728" t="s">
        <v>93</v>
      </c>
      <c r="L40" s="1728" t="s">
        <v>93</v>
      </c>
      <c r="M40" s="1728">
        <f t="shared" si="1"/>
        <v>1168.6778243700001</v>
      </c>
      <c r="N40" s="1728">
        <v>317.02227455000002</v>
      </c>
      <c r="O40" s="1728">
        <v>54.545017500000029</v>
      </c>
      <c r="P40" s="1728">
        <v>488.0273342800001</v>
      </c>
      <c r="Q40" s="1728">
        <v>309.08319803999996</v>
      </c>
      <c r="R40" s="1730">
        <v>377.67575544000005</v>
      </c>
      <c r="S40" s="1730">
        <v>163.97076862</v>
      </c>
      <c r="T40" s="1730">
        <v>570.95106028000009</v>
      </c>
      <c r="U40" s="1730">
        <v>749.38928729999998</v>
      </c>
      <c r="V40" s="1723"/>
    </row>
    <row r="41" spans="1:22" ht="15.75" hidden="1">
      <c r="A41" s="1727" t="s">
        <v>27</v>
      </c>
      <c r="B41" s="1728">
        <f t="shared" si="0"/>
        <v>1923.72598348</v>
      </c>
      <c r="C41" s="1728">
        <f t="shared" si="3"/>
        <v>704.88062265000008</v>
      </c>
      <c r="D41" s="1728">
        <v>55.988498190000001</v>
      </c>
      <c r="E41" s="1728">
        <v>120.69270441</v>
      </c>
      <c r="F41" s="1728">
        <v>85.052518870000014</v>
      </c>
      <c r="G41" s="1728">
        <v>443.14690118000004</v>
      </c>
      <c r="H41" s="1728" t="s">
        <v>93</v>
      </c>
      <c r="I41" s="1728" t="s">
        <v>93</v>
      </c>
      <c r="J41" s="1728" t="s">
        <v>93</v>
      </c>
      <c r="K41" s="1728" t="s">
        <v>93</v>
      </c>
      <c r="L41" s="1728" t="s">
        <v>93</v>
      </c>
      <c r="M41" s="1728">
        <f t="shared" si="1"/>
        <v>1218.8453608299999</v>
      </c>
      <c r="N41" s="1728">
        <v>382.97617588999992</v>
      </c>
      <c r="O41" s="1728">
        <v>78.186924290000007</v>
      </c>
      <c r="P41" s="1728">
        <v>458.4888861</v>
      </c>
      <c r="Q41" s="1728">
        <v>299.19337454999999</v>
      </c>
      <c r="R41" s="1730">
        <v>438.96467407999995</v>
      </c>
      <c r="S41" s="1730">
        <v>198.87962870000001</v>
      </c>
      <c r="T41" s="1730">
        <v>543.54140497000003</v>
      </c>
      <c r="U41" s="1730">
        <v>742.34027573000003</v>
      </c>
      <c r="V41" s="1723"/>
    </row>
    <row r="42" spans="1:22" ht="15.75" hidden="1">
      <c r="A42" s="1727" t="s">
        <v>28</v>
      </c>
      <c r="B42" s="1728">
        <f t="shared" si="0"/>
        <v>1976.72432028</v>
      </c>
      <c r="C42" s="1728">
        <f t="shared" si="3"/>
        <v>726.2294748700001</v>
      </c>
      <c r="D42" s="1728">
        <v>61.438948159999995</v>
      </c>
      <c r="E42" s="1728">
        <v>126.73382838000001</v>
      </c>
      <c r="F42" s="1728">
        <v>85.941731959999998</v>
      </c>
      <c r="G42" s="1728">
        <v>452.11496637000005</v>
      </c>
      <c r="H42" s="1728" t="s">
        <v>93</v>
      </c>
      <c r="I42" s="1728" t="s">
        <v>93</v>
      </c>
      <c r="J42" s="1728" t="s">
        <v>93</v>
      </c>
      <c r="K42" s="1728" t="s">
        <v>93</v>
      </c>
      <c r="L42" s="1728" t="s">
        <v>93</v>
      </c>
      <c r="M42" s="1728">
        <f t="shared" si="1"/>
        <v>1250.4948454099999</v>
      </c>
      <c r="N42" s="1728">
        <v>443.82139665999995</v>
      </c>
      <c r="O42" s="1728">
        <v>78.460469070000045</v>
      </c>
      <c r="P42" s="1728">
        <v>420.20089158000008</v>
      </c>
      <c r="Q42" s="1728">
        <v>308.01208809999991</v>
      </c>
      <c r="R42" s="1730">
        <v>505.26034481999994</v>
      </c>
      <c r="S42" s="1730">
        <v>205.19429745000005</v>
      </c>
      <c r="T42" s="1730">
        <v>506.14262354000005</v>
      </c>
      <c r="U42" s="1730">
        <v>760.12705446999996</v>
      </c>
      <c r="V42" s="1723"/>
    </row>
    <row r="43" spans="1:22" ht="15.75" hidden="1">
      <c r="A43" s="1727" t="s">
        <v>29</v>
      </c>
      <c r="B43" s="1728">
        <f t="shared" si="0"/>
        <v>2162.2232499800002</v>
      </c>
      <c r="C43" s="1728">
        <f t="shared" si="3"/>
        <v>819.50448542000004</v>
      </c>
      <c r="D43" s="1728">
        <v>79.914839269999987</v>
      </c>
      <c r="E43" s="1728">
        <v>170.41436218999999</v>
      </c>
      <c r="F43" s="1728">
        <v>98.034702920000001</v>
      </c>
      <c r="G43" s="1728">
        <v>471.14058104000003</v>
      </c>
      <c r="H43" s="1728" t="s">
        <v>93</v>
      </c>
      <c r="I43" s="1728" t="s">
        <v>93</v>
      </c>
      <c r="J43" s="1728" t="s">
        <v>93</v>
      </c>
      <c r="K43" s="1728" t="s">
        <v>93</v>
      </c>
      <c r="L43" s="1728" t="s">
        <v>93</v>
      </c>
      <c r="M43" s="1728">
        <f t="shared" si="1"/>
        <v>1342.7187645600002</v>
      </c>
      <c r="N43" s="1728">
        <v>469.75696870000002</v>
      </c>
      <c r="O43" s="1728">
        <v>100.94178429000002</v>
      </c>
      <c r="P43" s="1728">
        <v>481.44463723999991</v>
      </c>
      <c r="Q43" s="1728">
        <v>290.57537433000005</v>
      </c>
      <c r="R43" s="1730">
        <v>549.67180797000003</v>
      </c>
      <c r="S43" s="1730">
        <v>271.35614648000001</v>
      </c>
      <c r="T43" s="1730">
        <v>579.47934015999988</v>
      </c>
      <c r="U43" s="1730">
        <v>761.61595537000005</v>
      </c>
      <c r="V43" s="1723"/>
    </row>
    <row r="44" spans="1:22" ht="15.75">
      <c r="A44" s="1729">
        <v>2007</v>
      </c>
      <c r="B44" s="1731">
        <f>+C44+M44+H44</f>
        <v>4127.1830896900001</v>
      </c>
      <c r="C44" s="1728">
        <f>+C56</f>
        <v>1468.4471432400001</v>
      </c>
      <c r="D44" s="1728">
        <f>+D56</f>
        <v>209.13821691999999</v>
      </c>
      <c r="E44" s="1728">
        <f>+E56</f>
        <v>467.2896341899999</v>
      </c>
      <c r="F44" s="1728">
        <f>+F56</f>
        <v>127.28427373</v>
      </c>
      <c r="G44" s="1728">
        <f>+G56</f>
        <v>664.73501840000006</v>
      </c>
      <c r="H44" s="1731">
        <f>SUM(I44:L44)</f>
        <v>493.20578638999996</v>
      </c>
      <c r="I44" s="1732">
        <v>5.1250114299999989</v>
      </c>
      <c r="J44" s="1732">
        <v>201.79778044</v>
      </c>
      <c r="K44" s="1732">
        <v>91.65565986</v>
      </c>
      <c r="L44" s="1732">
        <v>194.62733466</v>
      </c>
      <c r="M44" s="1731">
        <f>SUM(N44:Q44)</f>
        <v>2165.5301600600001</v>
      </c>
      <c r="N44" s="1731">
        <f>R44-D44-I44</f>
        <v>748.53817508000009</v>
      </c>
      <c r="O44" s="1731">
        <f>S44-E44-J44</f>
        <v>270.28733296000007</v>
      </c>
      <c r="P44" s="1731">
        <f>T44-F44-K44</f>
        <v>535.28325309000002</v>
      </c>
      <c r="Q44" s="1731">
        <f>U44-G44-L44</f>
        <v>611.4213989299999</v>
      </c>
      <c r="R44" s="1722">
        <v>962.80140343000005</v>
      </c>
      <c r="S44" s="1722">
        <v>939.37474758999997</v>
      </c>
      <c r="T44" s="1722">
        <v>754.22318668000003</v>
      </c>
      <c r="U44" s="1722">
        <v>1470.7837519899999</v>
      </c>
      <c r="V44" s="1723"/>
    </row>
    <row r="45" spans="1:22" ht="15.75" hidden="1">
      <c r="A45" s="1727" t="s">
        <v>18</v>
      </c>
      <c r="B45" s="1728">
        <f t="shared" si="0"/>
        <v>2096.6167330799999</v>
      </c>
      <c r="C45" s="1728">
        <f>+D45+E45+F45+G45</f>
        <v>805.36801174000004</v>
      </c>
      <c r="D45" s="1728">
        <v>79.265255980000006</v>
      </c>
      <c r="E45" s="1728">
        <v>142.08609589</v>
      </c>
      <c r="F45" s="1728">
        <v>89.637089879999991</v>
      </c>
      <c r="G45" s="1728">
        <v>494.37956999000005</v>
      </c>
      <c r="H45" s="1732" t="s">
        <v>93</v>
      </c>
      <c r="I45" s="1732"/>
      <c r="J45" s="1732"/>
      <c r="K45" s="1732"/>
      <c r="L45" s="1732"/>
      <c r="M45" s="1732">
        <f t="shared" si="1"/>
        <v>1291.24872134</v>
      </c>
      <c r="N45" s="1732">
        <v>421.63286606999998</v>
      </c>
      <c r="O45" s="1732">
        <v>97.540257410000009</v>
      </c>
      <c r="P45" s="1732">
        <v>479.13758514</v>
      </c>
      <c r="Q45" s="1732">
        <v>292.93801272000007</v>
      </c>
      <c r="R45" s="1722">
        <v>500.89812204999998</v>
      </c>
      <c r="S45" s="1722">
        <v>239.62635330000001</v>
      </c>
      <c r="T45" s="1722">
        <v>568.77467502000013</v>
      </c>
      <c r="U45" s="1722">
        <v>787.31758271000012</v>
      </c>
      <c r="V45" s="1723"/>
    </row>
    <row r="46" spans="1:22" ht="15.75" hidden="1">
      <c r="A46" s="1727" t="s">
        <v>19</v>
      </c>
      <c r="B46" s="1728">
        <f t="shared" si="0"/>
        <v>2147.5673924400003</v>
      </c>
      <c r="C46" s="1728">
        <f t="shared" ref="C46:C82" si="4">+D46+E46+F46+G46</f>
        <v>844.66060427000002</v>
      </c>
      <c r="D46" s="1728">
        <v>81.232247769999987</v>
      </c>
      <c r="E46" s="1728">
        <v>174.07611989</v>
      </c>
      <c r="F46" s="1728">
        <v>88.731144920000006</v>
      </c>
      <c r="G46" s="1728">
        <v>500.62109169000007</v>
      </c>
      <c r="H46" s="1732" t="s">
        <v>93</v>
      </c>
      <c r="I46" s="1732"/>
      <c r="J46" s="1732"/>
      <c r="K46" s="1732"/>
      <c r="L46" s="1732"/>
      <c r="M46" s="1732">
        <f t="shared" si="1"/>
        <v>1302.9067881700003</v>
      </c>
      <c r="N46" s="1732">
        <v>474.49219463000009</v>
      </c>
      <c r="O46" s="1732">
        <v>97.437064580000055</v>
      </c>
      <c r="P46" s="1732">
        <v>466.12374894000016</v>
      </c>
      <c r="Q46" s="1732">
        <v>264.85378002000004</v>
      </c>
      <c r="R46" s="1722">
        <v>555.72444240000004</v>
      </c>
      <c r="S46" s="1722">
        <v>271.51318447000006</v>
      </c>
      <c r="T46" s="1722">
        <v>554.85489386000017</v>
      </c>
      <c r="U46" s="1722">
        <v>765.47487171000012</v>
      </c>
      <c r="V46" s="1723"/>
    </row>
    <row r="47" spans="1:22" ht="15.75" hidden="1">
      <c r="A47" s="1727" t="s">
        <v>20</v>
      </c>
      <c r="B47" s="1728">
        <f t="shared" si="0"/>
        <v>2238.0863028400004</v>
      </c>
      <c r="C47" s="1728">
        <f t="shared" si="4"/>
        <v>908.4442479999999</v>
      </c>
      <c r="D47" s="1728">
        <v>92.074598960000003</v>
      </c>
      <c r="E47" s="1728">
        <v>197.51977068999997</v>
      </c>
      <c r="F47" s="1728">
        <v>107.11599709000001</v>
      </c>
      <c r="G47" s="1728">
        <v>511.73388125999992</v>
      </c>
      <c r="H47" s="1732" t="s">
        <v>93</v>
      </c>
      <c r="I47" s="1732"/>
      <c r="J47" s="1732"/>
      <c r="K47" s="1732"/>
      <c r="L47" s="1732"/>
      <c r="M47" s="1732">
        <f t="shared" si="1"/>
        <v>1329.6420548400004</v>
      </c>
      <c r="N47" s="1732">
        <v>531.39664353000012</v>
      </c>
      <c r="O47" s="1732">
        <v>118.51179624999997</v>
      </c>
      <c r="P47" s="1732">
        <v>431.48362467000032</v>
      </c>
      <c r="Q47" s="1732">
        <v>248.24999039000005</v>
      </c>
      <c r="R47" s="1722">
        <v>623.47124249000012</v>
      </c>
      <c r="S47" s="1722">
        <v>316.03156693999995</v>
      </c>
      <c r="T47" s="1722">
        <v>538.59962176000033</v>
      </c>
      <c r="U47" s="1722">
        <v>759.98387164999997</v>
      </c>
      <c r="V47" s="1723"/>
    </row>
    <row r="48" spans="1:22" ht="15.75" hidden="1">
      <c r="A48" s="1727" t="s">
        <v>21</v>
      </c>
      <c r="B48" s="1728">
        <f t="shared" si="0"/>
        <v>2248.8268927600006</v>
      </c>
      <c r="C48" s="1728">
        <f t="shared" si="4"/>
        <v>961.29358310000009</v>
      </c>
      <c r="D48" s="1728">
        <v>98.326788490000013</v>
      </c>
      <c r="E48" s="1728">
        <v>224.49819621</v>
      </c>
      <c r="F48" s="1728">
        <v>118.15709432</v>
      </c>
      <c r="G48" s="1728">
        <v>520.31150408000008</v>
      </c>
      <c r="H48" s="1732" t="s">
        <v>93</v>
      </c>
      <c r="I48" s="1732"/>
      <c r="J48" s="1732"/>
      <c r="K48" s="1732"/>
      <c r="L48" s="1732"/>
      <c r="M48" s="1732">
        <f t="shared" si="1"/>
        <v>1287.5333096600007</v>
      </c>
      <c r="N48" s="1732">
        <v>533.2081371999999</v>
      </c>
      <c r="O48" s="1732">
        <v>140.40430051999999</v>
      </c>
      <c r="P48" s="1732">
        <v>384.50746509000072</v>
      </c>
      <c r="Q48" s="1732">
        <v>229.41340685</v>
      </c>
      <c r="R48" s="1722">
        <v>631.53492568999991</v>
      </c>
      <c r="S48" s="1722">
        <v>364.90249673</v>
      </c>
      <c r="T48" s="1722">
        <v>502.66455941000072</v>
      </c>
      <c r="U48" s="1722">
        <v>749.72491093000008</v>
      </c>
      <c r="V48" s="1723"/>
    </row>
    <row r="49" spans="1:82" ht="15.75" hidden="1">
      <c r="A49" s="1727" t="s">
        <v>22</v>
      </c>
      <c r="B49" s="1728">
        <f t="shared" si="0"/>
        <v>2371.46952508</v>
      </c>
      <c r="C49" s="1728">
        <f t="shared" si="4"/>
        <v>985.03364480999983</v>
      </c>
      <c r="D49" s="1728">
        <v>99.711228800000001</v>
      </c>
      <c r="E49" s="1728">
        <v>238.89629153999999</v>
      </c>
      <c r="F49" s="1728">
        <v>115.70579663999999</v>
      </c>
      <c r="G49" s="1728">
        <v>530.72032782999986</v>
      </c>
      <c r="H49" s="1732" t="s">
        <v>93</v>
      </c>
      <c r="I49" s="1732"/>
      <c r="J49" s="1732"/>
      <c r="K49" s="1732"/>
      <c r="L49" s="1732"/>
      <c r="M49" s="1732">
        <f t="shared" si="1"/>
        <v>1386.4358802700001</v>
      </c>
      <c r="N49" s="1732">
        <v>537.52403600000014</v>
      </c>
      <c r="O49" s="1732">
        <v>173.39501977999998</v>
      </c>
      <c r="P49" s="1732">
        <v>334.51007777000018</v>
      </c>
      <c r="Q49" s="1732">
        <v>341.00674671999991</v>
      </c>
      <c r="R49" s="1722">
        <v>637.2352648000001</v>
      </c>
      <c r="S49" s="1722">
        <v>412.29131131999998</v>
      </c>
      <c r="T49" s="1722">
        <v>450.2158744100002</v>
      </c>
      <c r="U49" s="1722">
        <v>871.72707454999977</v>
      </c>
      <c r="V49" s="1723"/>
    </row>
    <row r="50" spans="1:82" ht="15.75" hidden="1">
      <c r="A50" s="1727" t="s">
        <v>23</v>
      </c>
      <c r="B50" s="1728">
        <f t="shared" si="0"/>
        <v>2436.3426978500001</v>
      </c>
      <c r="C50" s="1728">
        <f t="shared" si="4"/>
        <v>1020.8584574499999</v>
      </c>
      <c r="D50" s="1728">
        <v>110.44227332</v>
      </c>
      <c r="E50" s="1728">
        <v>267.40287179999996</v>
      </c>
      <c r="F50" s="1728">
        <v>98.197515299999992</v>
      </c>
      <c r="G50" s="1728">
        <v>544.81579703</v>
      </c>
      <c r="H50" s="1732" t="s">
        <v>93</v>
      </c>
      <c r="I50" s="1732"/>
      <c r="J50" s="1732"/>
      <c r="K50" s="1732"/>
      <c r="L50" s="1732"/>
      <c r="M50" s="1732">
        <f t="shared" si="1"/>
        <v>1415.4842404000001</v>
      </c>
      <c r="N50" s="1732">
        <v>536.06686271000012</v>
      </c>
      <c r="O50" s="1732">
        <v>166.69929221000001</v>
      </c>
      <c r="P50" s="1732">
        <v>361.94301267999981</v>
      </c>
      <c r="Q50" s="1732">
        <v>350.77507280000009</v>
      </c>
      <c r="R50" s="1722">
        <v>646.50913603000015</v>
      </c>
      <c r="S50" s="1722">
        <v>434.10216400999997</v>
      </c>
      <c r="T50" s="1722">
        <v>460.14052797999977</v>
      </c>
      <c r="U50" s="1722">
        <v>895.59086983000009</v>
      </c>
      <c r="V50" s="1723"/>
    </row>
    <row r="51" spans="1:82" ht="15.75" hidden="1">
      <c r="A51" s="1727" t="s">
        <v>24</v>
      </c>
      <c r="B51" s="1728">
        <f>+C51+M51</f>
        <v>2510.4601260499994</v>
      </c>
      <c r="C51" s="1728">
        <f t="shared" si="4"/>
        <v>1088.11108863</v>
      </c>
      <c r="D51" s="1728">
        <v>117.71330317</v>
      </c>
      <c r="E51" s="1728">
        <v>307.10855963</v>
      </c>
      <c r="F51" s="1728">
        <v>101.63486448</v>
      </c>
      <c r="G51" s="1728">
        <v>561.65436135000004</v>
      </c>
      <c r="H51" s="1732" t="s">
        <v>93</v>
      </c>
      <c r="I51" s="1732"/>
      <c r="J51" s="1732"/>
      <c r="K51" s="1732"/>
      <c r="L51" s="1732"/>
      <c r="M51" s="1732">
        <f t="shared" si="1"/>
        <v>1422.3490374199996</v>
      </c>
      <c r="N51" s="1732">
        <v>481.49265175000005</v>
      </c>
      <c r="O51" s="1732">
        <v>222.54737585999993</v>
      </c>
      <c r="P51" s="1732">
        <v>334.44187647000001</v>
      </c>
      <c r="Q51" s="1732">
        <v>383.8671333399999</v>
      </c>
      <c r="R51" s="1722">
        <v>599.20595492000007</v>
      </c>
      <c r="S51" s="1722">
        <v>529.65593548999993</v>
      </c>
      <c r="T51" s="1722">
        <v>436.07674095000004</v>
      </c>
      <c r="U51" s="1722">
        <v>945.52149468999994</v>
      </c>
      <c r="V51" s="1723"/>
    </row>
    <row r="52" spans="1:82" ht="15.75" hidden="1">
      <c r="A52" s="1727" t="s">
        <v>25</v>
      </c>
      <c r="B52" s="1728">
        <f t="shared" si="0"/>
        <v>2743.0334336599999</v>
      </c>
      <c r="C52" s="1728">
        <f t="shared" si="4"/>
        <v>1199.99973559</v>
      </c>
      <c r="D52" s="1728">
        <v>134.63084693000002</v>
      </c>
      <c r="E52" s="1728">
        <v>341.12469172999994</v>
      </c>
      <c r="F52" s="1728">
        <v>135.79012827</v>
      </c>
      <c r="G52" s="1728">
        <v>588.45406866000008</v>
      </c>
      <c r="H52" s="1732" t="s">
        <v>93</v>
      </c>
      <c r="I52" s="1732"/>
      <c r="J52" s="1732"/>
      <c r="K52" s="1732"/>
      <c r="L52" s="1732"/>
      <c r="M52" s="1732">
        <f t="shared" si="1"/>
        <v>1543.0336980699999</v>
      </c>
      <c r="N52" s="1732">
        <v>581.32473275999996</v>
      </c>
      <c r="O52" s="1732">
        <v>236.68227714000005</v>
      </c>
      <c r="P52" s="1732">
        <v>272.64181347999988</v>
      </c>
      <c r="Q52" s="1732">
        <v>452.38487469000006</v>
      </c>
      <c r="R52" s="1722">
        <v>715.95557969000004</v>
      </c>
      <c r="S52" s="1722">
        <v>577.80696886999999</v>
      </c>
      <c r="T52" s="1722">
        <v>408.43194174999985</v>
      </c>
      <c r="U52" s="1722">
        <v>1040.8389433500001</v>
      </c>
    </row>
    <row r="53" spans="1:82" ht="15.75" hidden="1">
      <c r="A53" s="1727" t="s">
        <v>26</v>
      </c>
      <c r="B53" s="1728">
        <f t="shared" si="0"/>
        <v>2973.8333739999994</v>
      </c>
      <c r="C53" s="1728">
        <f t="shared" si="4"/>
        <v>1259.26416006</v>
      </c>
      <c r="D53" s="1728">
        <v>154.40904753000001</v>
      </c>
      <c r="E53" s="1728">
        <v>349.31623956000004</v>
      </c>
      <c r="F53" s="1728">
        <v>128.30077258</v>
      </c>
      <c r="G53" s="1728">
        <v>627.23810039</v>
      </c>
      <c r="H53" s="1732" t="s">
        <v>93</v>
      </c>
      <c r="I53" s="1732"/>
      <c r="J53" s="1732"/>
      <c r="K53" s="1732"/>
      <c r="L53" s="1732"/>
      <c r="M53" s="1732">
        <f t="shared" si="1"/>
        <v>1714.5692139399994</v>
      </c>
      <c r="N53" s="1732">
        <v>582.81709633999981</v>
      </c>
      <c r="O53" s="1732">
        <v>253.46022450000004</v>
      </c>
      <c r="P53" s="1732">
        <v>394.06173224999958</v>
      </c>
      <c r="Q53" s="1732">
        <v>484.23016084999995</v>
      </c>
      <c r="R53" s="1722">
        <v>737.22614386999987</v>
      </c>
      <c r="S53" s="1722">
        <v>602.77646406000008</v>
      </c>
      <c r="T53" s="1722">
        <v>522.36250482999958</v>
      </c>
      <c r="U53" s="1722">
        <v>1111.4682612399999</v>
      </c>
    </row>
    <row r="54" spans="1:82" ht="15.75" hidden="1">
      <c r="A54" s="1727" t="s">
        <v>27</v>
      </c>
      <c r="B54" s="1728">
        <f t="shared" si="0"/>
        <v>3100.1979160199999</v>
      </c>
      <c r="C54" s="1728">
        <f t="shared" si="4"/>
        <v>1336.3149997099999</v>
      </c>
      <c r="D54" s="1728">
        <v>139.70010163000001</v>
      </c>
      <c r="E54" s="1728">
        <v>380.48368108999995</v>
      </c>
      <c r="F54" s="1728">
        <v>132.27277806999999</v>
      </c>
      <c r="G54" s="1728">
        <v>683.85843892000003</v>
      </c>
      <c r="H54" s="1732" t="s">
        <v>93</v>
      </c>
      <c r="I54" s="1732"/>
      <c r="J54" s="1732"/>
      <c r="K54" s="1732"/>
      <c r="L54" s="1732"/>
      <c r="M54" s="1732">
        <f t="shared" si="1"/>
        <v>1763.8829163099997</v>
      </c>
      <c r="N54" s="1732">
        <v>570.75191573999996</v>
      </c>
      <c r="O54" s="1732">
        <v>270.42506171999997</v>
      </c>
      <c r="P54" s="1732">
        <v>432.23770675999981</v>
      </c>
      <c r="Q54" s="1732">
        <v>490.4682320899999</v>
      </c>
      <c r="R54" s="1722">
        <v>710.45201737000002</v>
      </c>
      <c r="S54" s="1722">
        <v>650.90874280999992</v>
      </c>
      <c r="T54" s="1722">
        <v>564.51048482999977</v>
      </c>
      <c r="U54" s="1722">
        <v>1174.3266710099999</v>
      </c>
    </row>
    <row r="55" spans="1:82" ht="15.75" hidden="1">
      <c r="A55" s="1727" t="s">
        <v>28</v>
      </c>
      <c r="B55" s="1728">
        <f t="shared" si="0"/>
        <v>3149.9321332299996</v>
      </c>
      <c r="C55" s="1728">
        <f t="shared" si="4"/>
        <v>1368.0907700600001</v>
      </c>
      <c r="D55" s="1728">
        <v>171.72864746000002</v>
      </c>
      <c r="E55" s="1728">
        <v>407.21740892999992</v>
      </c>
      <c r="F55" s="1728">
        <v>123.01321744000001</v>
      </c>
      <c r="G55" s="1728">
        <v>666.13149623000004</v>
      </c>
      <c r="H55" s="1732" t="s">
        <v>93</v>
      </c>
      <c r="I55" s="1732"/>
      <c r="J55" s="1732"/>
      <c r="K55" s="1732"/>
      <c r="L55" s="1732"/>
      <c r="M55" s="1732">
        <f t="shared" si="1"/>
        <v>1781.8413631699998</v>
      </c>
      <c r="N55" s="1732">
        <v>695.83804521000013</v>
      </c>
      <c r="O55" s="1732">
        <v>213.12393137999993</v>
      </c>
      <c r="P55" s="1732">
        <v>371.66565658999986</v>
      </c>
      <c r="Q55" s="1732">
        <v>501.21372998999982</v>
      </c>
      <c r="R55" s="1722">
        <v>867.56669267000018</v>
      </c>
      <c r="S55" s="1722">
        <v>620.34134030999985</v>
      </c>
      <c r="T55" s="1722">
        <v>494.67887402999986</v>
      </c>
      <c r="U55" s="1722">
        <v>1167.3452262199999</v>
      </c>
    </row>
    <row r="56" spans="1:82" ht="15.75" hidden="1">
      <c r="A56" s="1727" t="s">
        <v>29</v>
      </c>
      <c r="B56" s="1728">
        <f t="shared" si="0"/>
        <v>3411.0184679300005</v>
      </c>
      <c r="C56" s="1728">
        <f t="shared" si="4"/>
        <v>1468.4471432400001</v>
      </c>
      <c r="D56" s="1728">
        <v>209.13821691999999</v>
      </c>
      <c r="E56" s="1728">
        <v>467.2896341899999</v>
      </c>
      <c r="F56" s="1728">
        <v>127.28427373</v>
      </c>
      <c r="G56" s="1728">
        <v>664.73501840000006</v>
      </c>
      <c r="H56" s="1732" t="s">
        <v>93</v>
      </c>
      <c r="I56" s="1732"/>
      <c r="J56" s="1732"/>
      <c r="K56" s="1732"/>
      <c r="L56" s="1732"/>
      <c r="M56" s="1732">
        <f t="shared" si="1"/>
        <v>1942.5713246900004</v>
      </c>
      <c r="N56" s="1732">
        <v>715.86218732000009</v>
      </c>
      <c r="O56" s="1732">
        <v>270.28733296000007</v>
      </c>
      <c r="P56" s="1732">
        <v>345.00040548000038</v>
      </c>
      <c r="Q56" s="1732">
        <v>611.42139893000001</v>
      </c>
      <c r="R56" s="1722">
        <v>925.00040424000008</v>
      </c>
      <c r="S56" s="1722">
        <v>737.57696714999997</v>
      </c>
      <c r="T56" s="1722">
        <v>472.28467921000038</v>
      </c>
      <c r="U56" s="1722">
        <v>1276.1564173300001</v>
      </c>
    </row>
    <row r="57" spans="1:82" ht="15.75">
      <c r="A57" s="1729">
        <v>2008</v>
      </c>
      <c r="B57" s="1731">
        <f>+C57+M57+H57</f>
        <v>6460.18830738</v>
      </c>
      <c r="C57" s="1728">
        <f>+C69</f>
        <v>1905.2516731700002</v>
      </c>
      <c r="D57" s="1728">
        <f>+D69</f>
        <v>326.99539657000003</v>
      </c>
      <c r="E57" s="1728">
        <f>+E69</f>
        <v>709.70871122000005</v>
      </c>
      <c r="F57" s="1728">
        <f>+F69</f>
        <v>140.93540200000001</v>
      </c>
      <c r="G57" s="1728">
        <f>+G69</f>
        <v>727.61216337999997</v>
      </c>
      <c r="H57" s="1731">
        <f>SUM(I57:L57)</f>
        <v>1699.4718697600001</v>
      </c>
      <c r="I57" s="1732">
        <v>4.1426726499999997</v>
      </c>
      <c r="J57" s="1732">
        <v>350.56741977000001</v>
      </c>
      <c r="K57" s="1732">
        <v>201.12700483999998</v>
      </c>
      <c r="L57" s="1732">
        <v>1143.6347725000001</v>
      </c>
      <c r="M57" s="1731">
        <f>SUM(N57:Q57)</f>
        <v>2855.4647644499992</v>
      </c>
      <c r="N57" s="1731">
        <f>R57-D57-I57</f>
        <v>722.96277071999998</v>
      </c>
      <c r="O57" s="1731">
        <f>S57-E57-J57</f>
        <v>179.78293486999985</v>
      </c>
      <c r="P57" s="1731">
        <f>T57-F57-K57</f>
        <v>683.22154687999978</v>
      </c>
      <c r="Q57" s="1731">
        <f>U57-G57-L57</f>
        <v>1269.4975119799997</v>
      </c>
      <c r="R57" s="1722">
        <v>1054.10083994</v>
      </c>
      <c r="S57" s="1722">
        <v>1240.0590658599999</v>
      </c>
      <c r="T57" s="1722">
        <v>1025.2839537199998</v>
      </c>
      <c r="U57" s="1722">
        <v>3140.7444478599996</v>
      </c>
    </row>
    <row r="58" spans="1:82" ht="15.75" hidden="1">
      <c r="A58" s="1727" t="s">
        <v>18</v>
      </c>
      <c r="B58" s="1728">
        <f t="shared" si="0"/>
        <v>3376.2820621499995</v>
      </c>
      <c r="C58" s="1728">
        <f t="shared" si="4"/>
        <v>1499.6908089400001</v>
      </c>
      <c r="D58" s="1728">
        <v>174.34848554000001</v>
      </c>
      <c r="E58" s="1728">
        <v>519.16389662000006</v>
      </c>
      <c r="F58" s="1728">
        <v>126.64823800000001</v>
      </c>
      <c r="G58" s="1728">
        <v>679.53018878000012</v>
      </c>
      <c r="H58" s="1732" t="s">
        <v>93</v>
      </c>
      <c r="I58" s="1732"/>
      <c r="J58" s="1732"/>
      <c r="K58" s="1732"/>
      <c r="L58" s="1732"/>
      <c r="M58" s="1732">
        <f t="shared" si="1"/>
        <v>1876.5912532099996</v>
      </c>
      <c r="N58" s="1732">
        <v>594.17581685999994</v>
      </c>
      <c r="O58" s="1732">
        <v>278.10477797999999</v>
      </c>
      <c r="P58" s="1732">
        <v>380.32318082999996</v>
      </c>
      <c r="Q58" s="1732">
        <v>623.98747753999987</v>
      </c>
      <c r="R58" s="1722">
        <v>768.52430240000001</v>
      </c>
      <c r="S58" s="1722">
        <v>797.26867460000005</v>
      </c>
      <c r="T58" s="1722">
        <v>506.97141882999995</v>
      </c>
      <c r="U58" s="1722">
        <v>1303.51766632</v>
      </c>
      <c r="CD58" s="1718"/>
    </row>
    <row r="59" spans="1:82" ht="15.75" hidden="1">
      <c r="A59" s="1727" t="s">
        <v>19</v>
      </c>
      <c r="B59" s="1728">
        <f t="shared" si="0"/>
        <v>3865.327689669999</v>
      </c>
      <c r="C59" s="1728">
        <f t="shared" si="4"/>
        <v>1563.3277661</v>
      </c>
      <c r="D59" s="1728">
        <v>179.15420477999999</v>
      </c>
      <c r="E59" s="1728">
        <v>549.76535858</v>
      </c>
      <c r="F59" s="1728">
        <v>129.42095922000001</v>
      </c>
      <c r="G59" s="1728">
        <v>704.98724351999999</v>
      </c>
      <c r="H59" s="1732" t="s">
        <v>93</v>
      </c>
      <c r="I59" s="1732"/>
      <c r="J59" s="1732"/>
      <c r="K59" s="1732"/>
      <c r="L59" s="1732"/>
      <c r="M59" s="1732">
        <f t="shared" si="1"/>
        <v>2301.9999235699993</v>
      </c>
      <c r="N59" s="1732">
        <v>646.30118378999998</v>
      </c>
      <c r="O59" s="1732">
        <v>293.86241941000003</v>
      </c>
      <c r="P59" s="1732">
        <v>310.70557300999917</v>
      </c>
      <c r="Q59" s="1732">
        <v>1051.13074736</v>
      </c>
      <c r="R59" s="1722">
        <v>825.45538856999997</v>
      </c>
      <c r="S59" s="1722">
        <v>843.62777799000003</v>
      </c>
      <c r="T59" s="1722">
        <v>440.12653222999916</v>
      </c>
      <c r="U59" s="1722">
        <v>1756.11799088</v>
      </c>
      <c r="CD59" s="1718"/>
    </row>
    <row r="60" spans="1:82" ht="15.75" hidden="1">
      <c r="A60" s="1727" t="s">
        <v>20</v>
      </c>
      <c r="B60" s="1728">
        <f t="shared" si="0"/>
        <v>3801.2519231299993</v>
      </c>
      <c r="C60" s="1728">
        <f t="shared" si="4"/>
        <v>1587.1405410799998</v>
      </c>
      <c r="D60" s="1728">
        <v>197.15584645999996</v>
      </c>
      <c r="E60" s="1728">
        <v>531.97070213999996</v>
      </c>
      <c r="F60" s="1728">
        <v>119.80429941</v>
      </c>
      <c r="G60" s="1728">
        <v>738.20969306999996</v>
      </c>
      <c r="H60" s="1732" t="s">
        <v>93</v>
      </c>
      <c r="I60" s="1732"/>
      <c r="J60" s="1732"/>
      <c r="K60" s="1732"/>
      <c r="L60" s="1732"/>
      <c r="M60" s="1732">
        <f t="shared" si="1"/>
        <v>2214.1113820499995</v>
      </c>
      <c r="N60" s="1732">
        <v>632.17129743999999</v>
      </c>
      <c r="O60" s="1732">
        <v>296.99325682999995</v>
      </c>
      <c r="P60" s="1732">
        <v>260.7148621599996</v>
      </c>
      <c r="Q60" s="1732">
        <v>1024.2319656199998</v>
      </c>
      <c r="R60" s="1722">
        <v>829.32714390000001</v>
      </c>
      <c r="S60" s="1722">
        <v>828.96395896999991</v>
      </c>
      <c r="T60" s="1722">
        <v>380.5191615699996</v>
      </c>
      <c r="U60" s="1722">
        <v>1762.4416586899997</v>
      </c>
      <c r="CD60" s="1718"/>
    </row>
    <row r="61" spans="1:82" ht="15.75" hidden="1">
      <c r="A61" s="1727" t="s">
        <v>21</v>
      </c>
      <c r="B61" s="1728">
        <f t="shared" si="0"/>
        <v>3859.7257464200002</v>
      </c>
      <c r="C61" s="1728">
        <f t="shared" si="4"/>
        <v>1593.7078401700001</v>
      </c>
      <c r="D61" s="1728">
        <v>204.10669522000001</v>
      </c>
      <c r="E61" s="1728">
        <v>549.61617012000011</v>
      </c>
      <c r="F61" s="1728">
        <v>122.16298177</v>
      </c>
      <c r="G61" s="1728">
        <v>717.82199306000007</v>
      </c>
      <c r="H61" s="1732" t="s">
        <v>93</v>
      </c>
      <c r="I61" s="1732"/>
      <c r="J61" s="1732"/>
      <c r="K61" s="1732"/>
      <c r="L61" s="1732"/>
      <c r="M61" s="1732">
        <f t="shared" si="1"/>
        <v>2266.0179062500001</v>
      </c>
      <c r="N61" s="1732">
        <v>619.67800352999996</v>
      </c>
      <c r="O61" s="1732">
        <v>273.7401659599999</v>
      </c>
      <c r="P61" s="1732">
        <v>370.40694040000017</v>
      </c>
      <c r="Q61" s="1732">
        <v>1002.1927963599999</v>
      </c>
      <c r="R61" s="1722">
        <v>823.78469875000008</v>
      </c>
      <c r="S61" s="1722">
        <v>823.35633608000001</v>
      </c>
      <c r="T61" s="1722">
        <v>492.56992217000015</v>
      </c>
      <c r="U61" s="1722">
        <v>1720.0147894199999</v>
      </c>
      <c r="CD61" s="1718"/>
    </row>
    <row r="62" spans="1:82" ht="15.75" hidden="1">
      <c r="A62" s="1727" t="s">
        <v>22</v>
      </c>
      <c r="B62" s="1728">
        <f t="shared" si="0"/>
        <v>4120.4938849399996</v>
      </c>
      <c r="C62" s="1728">
        <f t="shared" si="4"/>
        <v>1603.2907805499997</v>
      </c>
      <c r="D62" s="1728">
        <v>211.04319397</v>
      </c>
      <c r="E62" s="1728">
        <v>571.38064296999983</v>
      </c>
      <c r="F62" s="1728">
        <v>127.81953204999999</v>
      </c>
      <c r="G62" s="1728">
        <v>693.04741155999989</v>
      </c>
      <c r="H62" s="1732" t="s">
        <v>93</v>
      </c>
      <c r="I62" s="1732"/>
      <c r="J62" s="1732"/>
      <c r="K62" s="1732"/>
      <c r="L62" s="1732"/>
      <c r="M62" s="1732">
        <f t="shared" si="1"/>
        <v>2517.2031043899997</v>
      </c>
      <c r="N62" s="1732">
        <v>522.31349606000003</v>
      </c>
      <c r="O62" s="1732">
        <v>276.78370558999984</v>
      </c>
      <c r="P62" s="1732">
        <v>486.65749242999993</v>
      </c>
      <c r="Q62" s="1732">
        <v>1231.4484103099999</v>
      </c>
      <c r="R62" s="1722">
        <v>733.3566900300001</v>
      </c>
      <c r="S62" s="1722">
        <v>848.16434855999967</v>
      </c>
      <c r="T62" s="1722">
        <v>614.47702447999995</v>
      </c>
      <c r="U62" s="1722">
        <v>1924.4958218699996</v>
      </c>
    </row>
    <row r="63" spans="1:82" ht="15.75" hidden="1">
      <c r="A63" s="1727" t="s">
        <v>23</v>
      </c>
      <c r="B63" s="1728">
        <f t="shared" si="0"/>
        <v>4372.531935779999</v>
      </c>
      <c r="C63" s="1728">
        <f t="shared" si="4"/>
        <v>1661.62931546</v>
      </c>
      <c r="D63" s="1728">
        <v>229.74472256000001</v>
      </c>
      <c r="E63" s="1728">
        <v>612.58455818999994</v>
      </c>
      <c r="F63" s="1728">
        <v>120.87471343999999</v>
      </c>
      <c r="G63" s="1728">
        <v>698.42532127000004</v>
      </c>
      <c r="H63" s="1732" t="s">
        <v>93</v>
      </c>
      <c r="I63" s="1732"/>
      <c r="J63" s="1732"/>
      <c r="K63" s="1732"/>
      <c r="L63" s="1732"/>
      <c r="M63" s="1732">
        <f t="shared" si="1"/>
        <v>2710.9026203199992</v>
      </c>
      <c r="N63" s="1732">
        <v>685.63237231999994</v>
      </c>
      <c r="O63" s="1732">
        <v>176.4479014499999</v>
      </c>
      <c r="P63" s="1732">
        <v>656.26001358999929</v>
      </c>
      <c r="Q63" s="1732">
        <v>1192.5623329599998</v>
      </c>
      <c r="R63" s="1722">
        <v>915.37709487999996</v>
      </c>
      <c r="S63" s="1722">
        <v>789.03245963999984</v>
      </c>
      <c r="T63" s="1722">
        <v>777.13472702999934</v>
      </c>
      <c r="U63" s="1722">
        <v>1890.9876542299999</v>
      </c>
    </row>
    <row r="64" spans="1:82" ht="15.75" hidden="1">
      <c r="A64" s="1727" t="s">
        <v>24</v>
      </c>
      <c r="B64" s="1728">
        <f t="shared" si="0"/>
        <v>4259.7083277299998</v>
      </c>
      <c r="C64" s="1728">
        <f t="shared" si="4"/>
        <v>1766.4824962</v>
      </c>
      <c r="D64" s="1728">
        <v>243.07164164</v>
      </c>
      <c r="E64" s="1728">
        <v>683.84070356999996</v>
      </c>
      <c r="F64" s="1728">
        <v>124.84401631999999</v>
      </c>
      <c r="G64" s="1728">
        <v>714.72613466999996</v>
      </c>
      <c r="H64" s="1732" t="s">
        <v>93</v>
      </c>
      <c r="I64" s="1732"/>
      <c r="J64" s="1732"/>
      <c r="K64" s="1732"/>
      <c r="L64" s="1732"/>
      <c r="M64" s="1732">
        <f t="shared" si="1"/>
        <v>2493.2258315300001</v>
      </c>
      <c r="N64" s="1732">
        <v>574.50776094000003</v>
      </c>
      <c r="O64" s="1732">
        <v>161.8454869599999</v>
      </c>
      <c r="P64" s="1732">
        <v>514.87413835000007</v>
      </c>
      <c r="Q64" s="1732">
        <v>1241.9984452799999</v>
      </c>
      <c r="R64" s="1722">
        <v>817.57940257999996</v>
      </c>
      <c r="S64" s="1722">
        <v>845.68619052999986</v>
      </c>
      <c r="T64" s="1722">
        <v>639.7181546700001</v>
      </c>
      <c r="U64" s="1722">
        <v>1956.7245799499999</v>
      </c>
    </row>
    <row r="65" spans="1:21" ht="15.75" hidden="1">
      <c r="A65" s="1727" t="s">
        <v>25</v>
      </c>
      <c r="B65" s="1728">
        <f t="shared" si="0"/>
        <v>4523.3699284900003</v>
      </c>
      <c r="C65" s="1728">
        <f t="shared" si="4"/>
        <v>1826.99057111</v>
      </c>
      <c r="D65" s="1728">
        <v>273.64096348999999</v>
      </c>
      <c r="E65" s="1728">
        <v>712.05074019999995</v>
      </c>
      <c r="F65" s="1728">
        <v>128.16155234999999</v>
      </c>
      <c r="G65" s="1728">
        <v>713.13731507</v>
      </c>
      <c r="H65" s="1732" t="s">
        <v>93</v>
      </c>
      <c r="I65" s="1732"/>
      <c r="J65" s="1732"/>
      <c r="K65" s="1732"/>
      <c r="L65" s="1732"/>
      <c r="M65" s="1732">
        <f t="shared" si="1"/>
        <v>2696.3793573800003</v>
      </c>
      <c r="N65" s="1732">
        <v>654.12619423000001</v>
      </c>
      <c r="O65" s="1732">
        <v>173.31750541000008</v>
      </c>
      <c r="P65" s="1732">
        <v>679.87474543000053</v>
      </c>
      <c r="Q65" s="1732">
        <v>1189.0609123099998</v>
      </c>
      <c r="R65" s="1722">
        <v>927.76715772</v>
      </c>
      <c r="S65" s="1722">
        <v>885.36824561000003</v>
      </c>
      <c r="T65" s="1722">
        <v>808.0362977800005</v>
      </c>
      <c r="U65" s="1722">
        <v>1902.1982273799999</v>
      </c>
    </row>
    <row r="66" spans="1:21" ht="15.75" hidden="1">
      <c r="A66" s="1727" t="s">
        <v>26</v>
      </c>
      <c r="B66" s="1728">
        <f t="shared" si="0"/>
        <v>4479.4917286</v>
      </c>
      <c r="C66" s="1728">
        <f t="shared" si="4"/>
        <v>1889.5822796699999</v>
      </c>
      <c r="D66" s="1728">
        <v>322.3066369</v>
      </c>
      <c r="E66" s="1728">
        <v>701.69263409999996</v>
      </c>
      <c r="F66" s="1728">
        <v>128.40118737</v>
      </c>
      <c r="G66" s="1728">
        <v>737.18182130000002</v>
      </c>
      <c r="H66" s="1732" t="s">
        <v>93</v>
      </c>
      <c r="I66" s="1732"/>
      <c r="J66" s="1732"/>
      <c r="K66" s="1732"/>
      <c r="L66" s="1732"/>
      <c r="M66" s="1732">
        <f t="shared" si="1"/>
        <v>2589.9094489299996</v>
      </c>
      <c r="N66" s="1732">
        <v>697.89023750999991</v>
      </c>
      <c r="O66" s="1732">
        <v>152.04260739000006</v>
      </c>
      <c r="P66" s="1732">
        <v>599.52141429999995</v>
      </c>
      <c r="Q66" s="1732">
        <v>1140.4551897299998</v>
      </c>
      <c r="R66" s="1722">
        <v>1020.19687441</v>
      </c>
      <c r="S66" s="1722">
        <v>853.73524149000002</v>
      </c>
      <c r="T66" s="1722">
        <v>727.92260166999995</v>
      </c>
      <c r="U66" s="1722">
        <v>1877.6370110299999</v>
      </c>
    </row>
    <row r="67" spans="1:21" ht="15.75" hidden="1">
      <c r="A67" s="1727" t="s">
        <v>27</v>
      </c>
      <c r="B67" s="1728">
        <f t="shared" si="0"/>
        <v>4508.2237846200005</v>
      </c>
      <c r="C67" s="1728">
        <f t="shared" si="4"/>
        <v>1794.8542117900001</v>
      </c>
      <c r="D67" s="1728">
        <v>263.01361274999999</v>
      </c>
      <c r="E67" s="1728">
        <v>688.28573529000005</v>
      </c>
      <c r="F67" s="1728">
        <v>132.49977978999999</v>
      </c>
      <c r="G67" s="1728">
        <v>711.05508396000005</v>
      </c>
      <c r="H67" s="1732" t="s">
        <v>93</v>
      </c>
      <c r="I67" s="1732"/>
      <c r="J67" s="1732"/>
      <c r="K67" s="1732"/>
      <c r="L67" s="1732"/>
      <c r="M67" s="1732">
        <f t="shared" si="1"/>
        <v>2713.3695728299999</v>
      </c>
      <c r="N67" s="1732">
        <v>666.55060508999998</v>
      </c>
      <c r="O67" s="1732">
        <v>187.97638668999991</v>
      </c>
      <c r="P67" s="1732">
        <v>738.61918956999989</v>
      </c>
      <c r="Q67" s="1732">
        <v>1120.2233914799999</v>
      </c>
      <c r="R67" s="1722">
        <v>929.56421783999997</v>
      </c>
      <c r="S67" s="1722">
        <v>876.26212197999996</v>
      </c>
      <c r="T67" s="1722">
        <v>871.11896935999994</v>
      </c>
      <c r="U67" s="1722">
        <v>1831.27847544</v>
      </c>
    </row>
    <row r="68" spans="1:21" ht="15.75" hidden="1">
      <c r="A68" s="1727" t="s">
        <v>28</v>
      </c>
      <c r="B68" s="1728">
        <f t="shared" si="0"/>
        <v>4544.0344337400002</v>
      </c>
      <c r="C68" s="1728">
        <f t="shared" si="4"/>
        <v>1808.9275479399998</v>
      </c>
      <c r="D68" s="1728">
        <v>286.15559645000002</v>
      </c>
      <c r="E68" s="1728">
        <v>681.97937262999994</v>
      </c>
      <c r="F68" s="1728">
        <v>123.81197198</v>
      </c>
      <c r="G68" s="1728">
        <v>716.98060687999998</v>
      </c>
      <c r="H68" s="1732" t="s">
        <v>93</v>
      </c>
      <c r="I68" s="1732"/>
      <c r="J68" s="1732"/>
      <c r="K68" s="1732"/>
      <c r="L68" s="1732"/>
      <c r="M68" s="1732">
        <f t="shared" si="1"/>
        <v>2735.1068858000003</v>
      </c>
      <c r="N68" s="1732">
        <v>682.61107474000005</v>
      </c>
      <c r="O68" s="1732">
        <v>198.41219663000004</v>
      </c>
      <c r="P68" s="1732">
        <v>611.82042020000017</v>
      </c>
      <c r="Q68" s="1732">
        <v>1242.26319423</v>
      </c>
      <c r="R68" s="1722">
        <v>968.76667119000001</v>
      </c>
      <c r="S68" s="1722">
        <v>880.39156925999998</v>
      </c>
      <c r="T68" s="1722">
        <v>735.63239218000012</v>
      </c>
      <c r="U68" s="1722">
        <v>1959.24380111</v>
      </c>
    </row>
    <row r="69" spans="1:21" ht="15.75" hidden="1">
      <c r="A69" s="1727" t="s">
        <v>29</v>
      </c>
      <c r="B69" s="1728">
        <f t="shared" si="0"/>
        <v>4760.7164376199999</v>
      </c>
      <c r="C69" s="1728">
        <f t="shared" si="4"/>
        <v>1905.2516731700002</v>
      </c>
      <c r="D69" s="1728">
        <v>326.99539657000003</v>
      </c>
      <c r="E69" s="1728">
        <v>709.70871122000005</v>
      </c>
      <c r="F69" s="1728">
        <v>140.93540200000001</v>
      </c>
      <c r="G69" s="1728">
        <v>727.61216337999997</v>
      </c>
      <c r="H69" s="1732" t="s">
        <v>93</v>
      </c>
      <c r="I69" s="1732"/>
      <c r="J69" s="1732"/>
      <c r="K69" s="1732"/>
      <c r="L69" s="1732"/>
      <c r="M69" s="1732">
        <f t="shared" si="1"/>
        <v>2855.4647644500001</v>
      </c>
      <c r="N69" s="1732">
        <v>722.96277071999987</v>
      </c>
      <c r="O69" s="1732">
        <v>179.78293486999996</v>
      </c>
      <c r="P69" s="1732">
        <v>683.22154688000001</v>
      </c>
      <c r="Q69" s="1732">
        <v>1269.4975119800001</v>
      </c>
      <c r="R69" s="1722">
        <v>1049.9581672899999</v>
      </c>
      <c r="S69" s="1722">
        <v>889.49164609000002</v>
      </c>
      <c r="T69" s="1722">
        <v>824.15694888000007</v>
      </c>
      <c r="U69" s="1722">
        <v>1997.10967536</v>
      </c>
    </row>
    <row r="70" spans="1:21" ht="15.75">
      <c r="A70" s="1729">
        <v>2009</v>
      </c>
      <c r="B70" s="1731">
        <f>+C70+M70+H70</f>
        <v>6379.1216378400004</v>
      </c>
      <c r="C70" s="1728">
        <f>+C82</f>
        <v>2334.8716709</v>
      </c>
      <c r="D70" s="1728">
        <f>+D82</f>
        <v>353.49315752000001</v>
      </c>
      <c r="E70" s="1728">
        <f>+E82</f>
        <v>612.09870946000001</v>
      </c>
      <c r="F70" s="1728">
        <f>+F82</f>
        <v>166.53805993</v>
      </c>
      <c r="G70" s="1728">
        <f>+G82</f>
        <v>1202.74174399</v>
      </c>
      <c r="H70" s="1731">
        <f>SUM(I70:L70)</f>
        <v>1724.95393489</v>
      </c>
      <c r="I70" s="1732">
        <v>5.5579741299999998</v>
      </c>
      <c r="J70" s="1732">
        <v>431.96965411999997</v>
      </c>
      <c r="K70" s="1732">
        <v>237.88132708000001</v>
      </c>
      <c r="L70" s="1732">
        <v>1049.54497956</v>
      </c>
      <c r="M70" s="1731">
        <f>SUM(N70:Q70)</f>
        <v>2319.2960320500006</v>
      </c>
      <c r="N70" s="1731">
        <f>R70-D70-I70</f>
        <v>773.93681600000014</v>
      </c>
      <c r="O70" s="1731">
        <f>S70-E70-J70</f>
        <v>176.26878554999973</v>
      </c>
      <c r="P70" s="1731">
        <f>T70-F70-K70</f>
        <v>653.36384426999984</v>
      </c>
      <c r="Q70" s="1731">
        <f>U70-G70-L70</f>
        <v>715.72658623000075</v>
      </c>
      <c r="R70" s="1722">
        <v>1132.9879476500003</v>
      </c>
      <c r="S70" s="1722">
        <v>1220.3371491299997</v>
      </c>
      <c r="T70" s="1722">
        <v>1057.7832312799999</v>
      </c>
      <c r="U70" s="1722">
        <v>2968.0133097800008</v>
      </c>
    </row>
    <row r="71" spans="1:21" ht="15.75" hidden="1">
      <c r="A71" s="1727" t="s">
        <v>18</v>
      </c>
      <c r="B71" s="1733">
        <f t="shared" si="0"/>
        <v>5287.85904114</v>
      </c>
      <c r="C71" s="1733">
        <f t="shared" si="4"/>
        <v>1835.2138852099999</v>
      </c>
      <c r="D71" s="1733">
        <v>260.66271921000003</v>
      </c>
      <c r="E71" s="1733">
        <v>673.76722636</v>
      </c>
      <c r="F71" s="1733">
        <v>153.08630427999998</v>
      </c>
      <c r="G71" s="1733">
        <v>747.69763536000005</v>
      </c>
      <c r="H71" s="1728" t="s">
        <v>93</v>
      </c>
      <c r="I71" s="1734" t="s">
        <v>93</v>
      </c>
      <c r="J71" s="1734" t="s">
        <v>93</v>
      </c>
      <c r="K71" s="1734" t="s">
        <v>93</v>
      </c>
      <c r="L71" s="1734" t="s">
        <v>93</v>
      </c>
      <c r="M71" s="1733">
        <f t="shared" si="1"/>
        <v>3452.6451559299999</v>
      </c>
      <c r="N71" s="1733">
        <v>607.48310562999995</v>
      </c>
      <c r="O71" s="1733">
        <v>151.91014238000002</v>
      </c>
      <c r="P71" s="1733">
        <v>1532.2455222899998</v>
      </c>
      <c r="Q71" s="1733">
        <v>1161.0063856299998</v>
      </c>
      <c r="R71" s="1730">
        <v>868.14582484000005</v>
      </c>
      <c r="S71" s="1730">
        <v>825.67736874000002</v>
      </c>
      <c r="T71" s="1730">
        <v>1685.3318265699997</v>
      </c>
      <c r="U71" s="1730">
        <v>1908.7040209899999</v>
      </c>
    </row>
    <row r="72" spans="1:21" ht="15.75" hidden="1">
      <c r="A72" s="1727" t="s">
        <v>19</v>
      </c>
      <c r="B72" s="1733">
        <f t="shared" si="0"/>
        <v>4160.1361393999996</v>
      </c>
      <c r="C72" s="1733">
        <f t="shared" si="4"/>
        <v>1814.75808772</v>
      </c>
      <c r="D72" s="1733">
        <v>263.50218205000004</v>
      </c>
      <c r="E72" s="1733">
        <v>553.96578531</v>
      </c>
      <c r="F72" s="1733">
        <v>125.34397736</v>
      </c>
      <c r="G72" s="1733">
        <v>871.94614299999989</v>
      </c>
      <c r="H72" s="1728" t="s">
        <v>93</v>
      </c>
      <c r="I72" s="1734" t="s">
        <v>93</v>
      </c>
      <c r="J72" s="1734" t="s">
        <v>93</v>
      </c>
      <c r="K72" s="1734" t="s">
        <v>93</v>
      </c>
      <c r="L72" s="1734" t="s">
        <v>93</v>
      </c>
      <c r="M72" s="1733">
        <f t="shared" si="1"/>
        <v>2345.3780516799998</v>
      </c>
      <c r="N72" s="1733">
        <v>607.42076658999986</v>
      </c>
      <c r="O72" s="1733">
        <v>136.79686875000004</v>
      </c>
      <c r="P72" s="1733">
        <v>764.92901255999959</v>
      </c>
      <c r="Q72" s="1733">
        <v>836.23140378000016</v>
      </c>
      <c r="R72" s="1730">
        <v>870.92294863999996</v>
      </c>
      <c r="S72" s="1730">
        <v>690.76265406000005</v>
      </c>
      <c r="T72" s="1730">
        <v>890.27298991999965</v>
      </c>
      <c r="U72" s="1730">
        <v>1708.1775467800001</v>
      </c>
    </row>
    <row r="73" spans="1:21" ht="15.75" hidden="1">
      <c r="A73" s="1727" t="s">
        <v>20</v>
      </c>
      <c r="B73" s="1733">
        <f t="shared" si="0"/>
        <v>3554.1640134599998</v>
      </c>
      <c r="C73" s="1733">
        <f t="shared" si="4"/>
        <v>1773.7050923500001</v>
      </c>
      <c r="D73" s="1733">
        <v>198.15483333999998</v>
      </c>
      <c r="E73" s="1733">
        <v>464.45951454999999</v>
      </c>
      <c r="F73" s="1733">
        <v>135.43934553</v>
      </c>
      <c r="G73" s="1733">
        <v>975.65139893000003</v>
      </c>
      <c r="H73" s="1728" t="s">
        <v>93</v>
      </c>
      <c r="I73" s="1734" t="s">
        <v>93</v>
      </c>
      <c r="J73" s="1734" t="s">
        <v>93</v>
      </c>
      <c r="K73" s="1734" t="s">
        <v>93</v>
      </c>
      <c r="L73" s="1734" t="s">
        <v>93</v>
      </c>
      <c r="M73" s="1733">
        <f t="shared" si="1"/>
        <v>1780.4589211099997</v>
      </c>
      <c r="N73" s="1733">
        <v>588.93523889000005</v>
      </c>
      <c r="O73" s="1733">
        <v>115.71341075999999</v>
      </c>
      <c r="P73" s="1733">
        <v>814.44983361999982</v>
      </c>
      <c r="Q73" s="1733">
        <v>261.36043783999992</v>
      </c>
      <c r="R73" s="1730">
        <v>787.09007223000003</v>
      </c>
      <c r="S73" s="1730">
        <v>580.17292530999998</v>
      </c>
      <c r="T73" s="1730">
        <v>949.88917914999979</v>
      </c>
      <c r="U73" s="1730">
        <v>1237.0118367699999</v>
      </c>
    </row>
    <row r="74" spans="1:21" ht="15.75" hidden="1">
      <c r="A74" s="1727" t="s">
        <v>21</v>
      </c>
      <c r="B74" s="1733">
        <f t="shared" si="0"/>
        <v>3624.8817440100001</v>
      </c>
      <c r="C74" s="1733">
        <f t="shared" si="4"/>
        <v>1867.0944280299998</v>
      </c>
      <c r="D74" s="1733">
        <v>251.76277174999998</v>
      </c>
      <c r="E74" s="1733">
        <v>440.42325626999991</v>
      </c>
      <c r="F74" s="1733">
        <v>160.01396431000001</v>
      </c>
      <c r="G74" s="1733">
        <v>1014.8944356999999</v>
      </c>
      <c r="H74" s="1728" t="s">
        <v>93</v>
      </c>
      <c r="I74" s="1734" t="s">
        <v>93</v>
      </c>
      <c r="J74" s="1734" t="s">
        <v>93</v>
      </c>
      <c r="K74" s="1734" t="s">
        <v>93</v>
      </c>
      <c r="L74" s="1734" t="s">
        <v>93</v>
      </c>
      <c r="M74" s="1733">
        <f t="shared" si="1"/>
        <v>1757.7873159800001</v>
      </c>
      <c r="N74" s="1733">
        <v>567.39114182000003</v>
      </c>
      <c r="O74" s="1733">
        <v>115.6016890300001</v>
      </c>
      <c r="P74" s="1733">
        <v>722.41098853000005</v>
      </c>
      <c r="Q74" s="1733">
        <v>352.38349660000006</v>
      </c>
      <c r="R74" s="1730">
        <v>819.15391356999999</v>
      </c>
      <c r="S74" s="1730">
        <v>556.02494530000001</v>
      </c>
      <c r="T74" s="1730">
        <v>882.42495284000006</v>
      </c>
      <c r="U74" s="1730">
        <v>1367.2779323</v>
      </c>
    </row>
    <row r="75" spans="1:21" ht="15.75" hidden="1">
      <c r="A75" s="1727" t="s">
        <v>22</v>
      </c>
      <c r="B75" s="1733">
        <f t="shared" si="0"/>
        <v>3704.75413028</v>
      </c>
      <c r="C75" s="1733">
        <f t="shared" si="4"/>
        <v>1914.31575131</v>
      </c>
      <c r="D75" s="1733">
        <v>256.76562258999996</v>
      </c>
      <c r="E75" s="1733">
        <v>446.16791910000001</v>
      </c>
      <c r="F75" s="1733">
        <v>155.88409179999999</v>
      </c>
      <c r="G75" s="1733">
        <v>1055.4981178200001</v>
      </c>
      <c r="H75" s="1728" t="s">
        <v>93</v>
      </c>
      <c r="I75" s="1734" t="s">
        <v>93</v>
      </c>
      <c r="J75" s="1734" t="s">
        <v>93</v>
      </c>
      <c r="K75" s="1734" t="s">
        <v>93</v>
      </c>
      <c r="L75" s="1734" t="s">
        <v>93</v>
      </c>
      <c r="M75" s="1733">
        <f t="shared" si="1"/>
        <v>1790.43837897</v>
      </c>
      <c r="N75" s="1733">
        <v>517.47749139999996</v>
      </c>
      <c r="O75" s="1733">
        <v>136.13416029000001</v>
      </c>
      <c r="P75" s="1733">
        <v>748.27226166000003</v>
      </c>
      <c r="Q75" s="1733">
        <v>388.55446561999997</v>
      </c>
      <c r="R75" s="1730">
        <v>774.24311398999998</v>
      </c>
      <c r="S75" s="1730">
        <v>582.30207939000002</v>
      </c>
      <c r="T75" s="1730">
        <v>904.15635345999999</v>
      </c>
      <c r="U75" s="1730">
        <v>1444.05258344</v>
      </c>
    </row>
    <row r="76" spans="1:21" ht="15.75" hidden="1">
      <c r="A76" s="1727" t="s">
        <v>23</v>
      </c>
      <c r="B76" s="1733">
        <f t="shared" si="0"/>
        <v>3696.3320366399998</v>
      </c>
      <c r="C76" s="1733">
        <f t="shared" si="4"/>
        <v>1935.6239967999998</v>
      </c>
      <c r="D76" s="1733">
        <v>253.2754444</v>
      </c>
      <c r="E76" s="1733">
        <v>444.39394855</v>
      </c>
      <c r="F76" s="1733">
        <v>159.14527211000001</v>
      </c>
      <c r="G76" s="1733">
        <v>1078.8093317399998</v>
      </c>
      <c r="H76" s="1728" t="s">
        <v>93</v>
      </c>
      <c r="I76" s="1734" t="s">
        <v>93</v>
      </c>
      <c r="J76" s="1734" t="s">
        <v>93</v>
      </c>
      <c r="K76" s="1734" t="s">
        <v>93</v>
      </c>
      <c r="L76" s="1734" t="s">
        <v>93</v>
      </c>
      <c r="M76" s="1733">
        <f t="shared" si="1"/>
        <v>1760.7080398400001</v>
      </c>
      <c r="N76" s="1733">
        <v>482.05306417999998</v>
      </c>
      <c r="O76" s="1733">
        <v>141.33906474000003</v>
      </c>
      <c r="P76" s="1733">
        <v>750.89950860999988</v>
      </c>
      <c r="Q76" s="1733">
        <v>386.41640231000019</v>
      </c>
      <c r="R76" s="1730">
        <v>735.32850857999995</v>
      </c>
      <c r="S76" s="1730">
        <v>585.73301329000003</v>
      </c>
      <c r="T76" s="1730">
        <v>910.04478071999984</v>
      </c>
      <c r="U76" s="1730">
        <v>1465.22573405</v>
      </c>
    </row>
    <row r="77" spans="1:21" s="1738" customFormat="1" ht="15.75" hidden="1">
      <c r="A77" s="1735" t="s">
        <v>24</v>
      </c>
      <c r="B77" s="1733">
        <f t="shared" si="0"/>
        <v>4390.41418858</v>
      </c>
      <c r="C77" s="1733">
        <f t="shared" si="4"/>
        <v>2000.7720869</v>
      </c>
      <c r="D77" s="1736">
        <v>246.54656169</v>
      </c>
      <c r="E77" s="1736">
        <v>461.58651695000003</v>
      </c>
      <c r="F77" s="1736">
        <v>166.18944107999999</v>
      </c>
      <c r="G77" s="1736">
        <v>1126.44956718</v>
      </c>
      <c r="H77" s="1728" t="s">
        <v>93</v>
      </c>
      <c r="I77" s="1734" t="s">
        <v>93</v>
      </c>
      <c r="J77" s="1734" t="s">
        <v>93</v>
      </c>
      <c r="K77" s="1734" t="s">
        <v>93</v>
      </c>
      <c r="L77" s="1734" t="s">
        <v>93</v>
      </c>
      <c r="M77" s="1733">
        <f t="shared" si="1"/>
        <v>2389.6421016799995</v>
      </c>
      <c r="N77" s="1736">
        <v>489.19037741</v>
      </c>
      <c r="O77" s="1736">
        <v>153.49149064999995</v>
      </c>
      <c r="P77" s="1736">
        <v>1037.6444106899996</v>
      </c>
      <c r="Q77" s="1736">
        <v>709.31582292999997</v>
      </c>
      <c r="R77" s="1737">
        <v>735.73693909999997</v>
      </c>
      <c r="S77" s="1737">
        <v>615.07800759999998</v>
      </c>
      <c r="T77" s="1737">
        <v>1203.8338517699997</v>
      </c>
      <c r="U77" s="1737">
        <v>1835.76539011</v>
      </c>
    </row>
    <row r="78" spans="1:21" s="1738" customFormat="1" ht="15.75" hidden="1">
      <c r="A78" s="1735" t="s">
        <v>25</v>
      </c>
      <c r="B78" s="1733">
        <f>+C78+M78</f>
        <v>4314.5950495200013</v>
      </c>
      <c r="C78" s="1733">
        <f t="shared" si="4"/>
        <v>2025.5944869099999</v>
      </c>
      <c r="D78" s="1736">
        <v>251.73873101999999</v>
      </c>
      <c r="E78" s="1736">
        <v>481.83203199000019</v>
      </c>
      <c r="F78" s="1736">
        <v>153.71708376999999</v>
      </c>
      <c r="G78" s="1736">
        <v>1138.3066401299998</v>
      </c>
      <c r="H78" s="1728" t="s">
        <v>93</v>
      </c>
      <c r="I78" s="1734" t="s">
        <v>93</v>
      </c>
      <c r="J78" s="1734" t="s">
        <v>93</v>
      </c>
      <c r="K78" s="1734" t="s">
        <v>93</v>
      </c>
      <c r="L78" s="1734" t="s">
        <v>93</v>
      </c>
      <c r="M78" s="1733">
        <f>+N78+O78+P78+Q78</f>
        <v>2289.000562610001</v>
      </c>
      <c r="N78" s="1736">
        <v>676.35093387000006</v>
      </c>
      <c r="O78" s="1736">
        <v>159.61170599999986</v>
      </c>
      <c r="P78" s="1736">
        <v>749.71300204000067</v>
      </c>
      <c r="Q78" s="1736">
        <v>703.32492070000012</v>
      </c>
      <c r="R78" s="1737">
        <v>928.08966488999999</v>
      </c>
      <c r="S78" s="1737">
        <v>641.44373799000005</v>
      </c>
      <c r="T78" s="1737">
        <v>903.43008581000072</v>
      </c>
      <c r="U78" s="1737">
        <v>1841.6315608299999</v>
      </c>
    </row>
    <row r="79" spans="1:21" ht="15.75" hidden="1">
      <c r="A79" s="1735" t="s">
        <v>26</v>
      </c>
      <c r="B79" s="1733">
        <f>+C79+M79</f>
        <v>4219.9536135199996</v>
      </c>
      <c r="C79" s="1733">
        <f t="shared" si="4"/>
        <v>2120.73701781</v>
      </c>
      <c r="D79" s="1736">
        <v>290.29131890999997</v>
      </c>
      <c r="E79" s="1736">
        <v>515.76885160000006</v>
      </c>
      <c r="F79" s="1736">
        <v>145.21879362999999</v>
      </c>
      <c r="G79" s="1736">
        <v>1169.45805367</v>
      </c>
      <c r="H79" s="1728" t="s">
        <v>93</v>
      </c>
      <c r="I79" s="1734" t="s">
        <v>93</v>
      </c>
      <c r="J79" s="1734" t="s">
        <v>93</v>
      </c>
      <c r="K79" s="1734" t="s">
        <v>93</v>
      </c>
      <c r="L79" s="1734" t="s">
        <v>93</v>
      </c>
      <c r="M79" s="1733">
        <f>+N79+O79+P79+Q79</f>
        <v>2099.2165957100001</v>
      </c>
      <c r="N79" s="1736">
        <v>578.01305247000005</v>
      </c>
      <c r="O79" s="1736">
        <v>124.21292704999996</v>
      </c>
      <c r="P79" s="1736">
        <v>703.90076180000005</v>
      </c>
      <c r="Q79" s="1736">
        <v>693.08985439000003</v>
      </c>
      <c r="R79" s="1730">
        <v>868.30437138000002</v>
      </c>
      <c r="S79" s="1730">
        <v>639.98177865000002</v>
      </c>
      <c r="T79" s="1730">
        <v>849.11955542999999</v>
      </c>
      <c r="U79" s="1730">
        <v>1862.5479080600001</v>
      </c>
    </row>
    <row r="80" spans="1:21" ht="15.75" hidden="1">
      <c r="A80" s="1735" t="s">
        <v>27</v>
      </c>
      <c r="B80" s="1733">
        <f>+C80+M80</f>
        <v>4261.5050359699999</v>
      </c>
      <c r="C80" s="1733">
        <f t="shared" si="4"/>
        <v>2125.6351555700003</v>
      </c>
      <c r="D80" s="1736">
        <v>283.97197999000002</v>
      </c>
      <c r="E80" s="1736">
        <v>540.97640233000004</v>
      </c>
      <c r="F80" s="1736">
        <v>146.95304945999999</v>
      </c>
      <c r="G80" s="1736">
        <v>1153.7337237900001</v>
      </c>
      <c r="H80" s="1728" t="s">
        <v>93</v>
      </c>
      <c r="I80" s="1734" t="s">
        <v>93</v>
      </c>
      <c r="J80" s="1734" t="s">
        <v>93</v>
      </c>
      <c r="K80" s="1734" t="s">
        <v>93</v>
      </c>
      <c r="L80" s="1734" t="s">
        <v>93</v>
      </c>
      <c r="M80" s="1733">
        <f>+N80+O80+P80+Q80</f>
        <v>2135.8698803999996</v>
      </c>
      <c r="N80" s="1736">
        <v>636.78602885999999</v>
      </c>
      <c r="O80" s="1736">
        <v>128.79382161000001</v>
      </c>
      <c r="P80" s="1736">
        <v>654.26540917</v>
      </c>
      <c r="Q80" s="1736">
        <v>716.02462075999983</v>
      </c>
      <c r="R80" s="1737">
        <v>920.75800885000001</v>
      </c>
      <c r="S80" s="1730">
        <v>669.77022394000005</v>
      </c>
      <c r="T80" s="1730">
        <v>801.21845862999999</v>
      </c>
      <c r="U80" s="1730">
        <v>1869.7583445499999</v>
      </c>
    </row>
    <row r="81" spans="1:22" ht="15.75" hidden="1">
      <c r="A81" s="1727" t="s">
        <v>28</v>
      </c>
      <c r="B81" s="1733">
        <f>+C81+M81</f>
        <v>4308.2396613099991</v>
      </c>
      <c r="C81" s="1733">
        <f t="shared" si="4"/>
        <v>2251.7332600999998</v>
      </c>
      <c r="D81" s="1733">
        <v>354.78191455000001</v>
      </c>
      <c r="E81" s="1733">
        <v>558.94045063999999</v>
      </c>
      <c r="F81" s="1733">
        <v>159.32449315</v>
      </c>
      <c r="G81" s="1733">
        <v>1178.6864017600001</v>
      </c>
      <c r="H81" s="1728" t="s">
        <v>93</v>
      </c>
      <c r="I81" s="1734" t="s">
        <v>93</v>
      </c>
      <c r="J81" s="1734" t="s">
        <v>93</v>
      </c>
      <c r="K81" s="1734" t="s">
        <v>93</v>
      </c>
      <c r="L81" s="1734" t="s">
        <v>93</v>
      </c>
      <c r="M81" s="1733">
        <f>+N81+O81+P81+Q81</f>
        <v>2056.5064012099997</v>
      </c>
      <c r="N81" s="1733">
        <v>584.69737602999999</v>
      </c>
      <c r="O81" s="1733">
        <v>129.71124468000005</v>
      </c>
      <c r="P81" s="1733">
        <v>628.0453345799998</v>
      </c>
      <c r="Q81" s="1733">
        <v>714.05244591999985</v>
      </c>
      <c r="R81" s="1730">
        <v>939.47929058</v>
      </c>
      <c r="S81" s="1730">
        <v>688.65169532000004</v>
      </c>
      <c r="T81" s="1730">
        <v>787.36982772999977</v>
      </c>
      <c r="U81" s="1730">
        <v>1892.7388476799999</v>
      </c>
    </row>
    <row r="82" spans="1:22" ht="15.75" hidden="1">
      <c r="A82" s="1727" t="s">
        <v>29</v>
      </c>
      <c r="B82" s="1733">
        <f>+C82+M82</f>
        <v>4654.1677029499997</v>
      </c>
      <c r="C82" s="1733">
        <f t="shared" si="4"/>
        <v>2334.8716709</v>
      </c>
      <c r="D82" s="1733">
        <v>353.49315752000001</v>
      </c>
      <c r="E82" s="1733">
        <v>612.09870946000001</v>
      </c>
      <c r="F82" s="1733">
        <v>166.53805993</v>
      </c>
      <c r="G82" s="1733">
        <v>1202.74174399</v>
      </c>
      <c r="H82" s="1728" t="s">
        <v>93</v>
      </c>
      <c r="I82" s="1734" t="s">
        <v>93</v>
      </c>
      <c r="J82" s="1734" t="s">
        <v>93</v>
      </c>
      <c r="K82" s="1734" t="s">
        <v>93</v>
      </c>
      <c r="L82" s="1734" t="s">
        <v>93</v>
      </c>
      <c r="M82" s="1733">
        <f>+N82+O82+P82+Q82</f>
        <v>2319.2960320499997</v>
      </c>
      <c r="N82" s="1733">
        <v>773.93681599999991</v>
      </c>
      <c r="O82" s="1733">
        <v>176.26878554999996</v>
      </c>
      <c r="P82" s="1733">
        <v>653.36384426999996</v>
      </c>
      <c r="Q82" s="1733">
        <v>715.72658623000007</v>
      </c>
      <c r="R82" s="1730">
        <v>1127.42997352</v>
      </c>
      <c r="S82" s="1730">
        <v>788.36749500999997</v>
      </c>
      <c r="T82" s="1730">
        <v>819.90190419999999</v>
      </c>
      <c r="U82" s="1730">
        <v>1918.4683302200001</v>
      </c>
    </row>
    <row r="83" spans="1:22" ht="15.75">
      <c r="A83" s="1739">
        <v>2010</v>
      </c>
      <c r="B83" s="1731">
        <v>7625.7781233199994</v>
      </c>
      <c r="C83" s="1731">
        <v>3029.7520766299999</v>
      </c>
      <c r="D83" s="1731">
        <v>385.00787456</v>
      </c>
      <c r="E83" s="1731">
        <v>1024.9326918100001</v>
      </c>
      <c r="F83" s="1731">
        <v>189.06966498000006</v>
      </c>
      <c r="G83" s="1731">
        <v>1430.74184528</v>
      </c>
      <c r="H83" s="1732">
        <v>2177.01318765</v>
      </c>
      <c r="I83" s="1732">
        <v>7.5060353900000001</v>
      </c>
      <c r="J83" s="1732">
        <v>544.40552508999997</v>
      </c>
      <c r="K83" s="1732">
        <v>553.62977704000002</v>
      </c>
      <c r="L83" s="1732">
        <v>1071.4718501300001</v>
      </c>
      <c r="M83" s="1731">
        <v>2419.0128590399995</v>
      </c>
      <c r="N83" s="1731">
        <v>1093.8131540799998</v>
      </c>
      <c r="O83" s="1731">
        <v>149.66582327999993</v>
      </c>
      <c r="P83" s="1731">
        <v>695.86862213000029</v>
      </c>
      <c r="Q83" s="1731">
        <v>479.66525954999952</v>
      </c>
      <c r="R83" s="1740">
        <v>1486.32706403</v>
      </c>
      <c r="S83" s="1740">
        <v>1719.0040401799999</v>
      </c>
      <c r="T83" s="1740">
        <v>1438.5680641500003</v>
      </c>
      <c r="U83" s="1740">
        <v>2981.8789549599996</v>
      </c>
      <c r="V83" s="1741"/>
    </row>
    <row r="84" spans="1:22" ht="15.75" hidden="1">
      <c r="A84" s="1735" t="s">
        <v>18</v>
      </c>
      <c r="B84" s="1731">
        <f t="shared" ref="B84:B108" si="5">+C84+M84+H84</f>
        <v>6178.0459799599994</v>
      </c>
      <c r="C84" s="1731">
        <f t="shared" ref="C84:C90" si="6">SUM(D84:G84)</f>
        <v>2385.7566735800001</v>
      </c>
      <c r="D84" s="1731">
        <v>328.11430781999991</v>
      </c>
      <c r="E84" s="1731">
        <v>656.78027725000004</v>
      </c>
      <c r="F84" s="1731">
        <v>167.43425257000001</v>
      </c>
      <c r="G84" s="1731">
        <v>1233.42783594</v>
      </c>
      <c r="H84" s="1731">
        <f t="shared" ref="H84:H95" si="7">SUM(I84:L84)</f>
        <v>1715.61529258</v>
      </c>
      <c r="I84" s="1732">
        <v>6.6874883200000008</v>
      </c>
      <c r="J84" s="1732">
        <v>427.76088243999999</v>
      </c>
      <c r="K84" s="1732">
        <v>227.73859233000002</v>
      </c>
      <c r="L84" s="1732">
        <v>1053.4283294899999</v>
      </c>
      <c r="M84" s="1731">
        <f t="shared" ref="M84:M94" si="8">SUM(N84:Q84)</f>
        <v>2076.6740137999996</v>
      </c>
      <c r="N84" s="1731">
        <f t="shared" ref="N84:Q95" si="9">R84-D84-I84</f>
        <v>617.47380782000005</v>
      </c>
      <c r="O84" s="1731">
        <f t="shared" si="9"/>
        <v>180.31932118999981</v>
      </c>
      <c r="P84" s="1731">
        <f t="shared" si="9"/>
        <v>587.64798637999979</v>
      </c>
      <c r="Q84" s="1731">
        <f t="shared" si="9"/>
        <v>691.23289841000019</v>
      </c>
      <c r="R84" s="1740">
        <v>952.27560396000001</v>
      </c>
      <c r="S84" s="1740">
        <v>1264.8604808799998</v>
      </c>
      <c r="T84" s="1740">
        <v>982.82083127999988</v>
      </c>
      <c r="U84" s="1740">
        <v>2978.0890638400001</v>
      </c>
      <c r="V84" s="1741"/>
    </row>
    <row r="85" spans="1:22" ht="15.75" hidden="1">
      <c r="A85" s="1735" t="s">
        <v>19</v>
      </c>
      <c r="B85" s="1731">
        <f t="shared" si="5"/>
        <v>6135.8669652500002</v>
      </c>
      <c r="C85" s="1731">
        <f t="shared" si="6"/>
        <v>2422.8286894000003</v>
      </c>
      <c r="D85" s="1731">
        <v>346.59478274999998</v>
      </c>
      <c r="E85" s="1731">
        <v>683.13482431</v>
      </c>
      <c r="F85" s="1731">
        <v>163.82575912999999</v>
      </c>
      <c r="G85" s="1731">
        <v>1229.2733232099999</v>
      </c>
      <c r="H85" s="1731">
        <f t="shared" si="7"/>
        <v>1705.4412332200002</v>
      </c>
      <c r="I85" s="1732">
        <v>5.9270480899999995</v>
      </c>
      <c r="J85" s="1732">
        <v>302.19447164000002</v>
      </c>
      <c r="K85" s="1732">
        <v>219.32650411999998</v>
      </c>
      <c r="L85" s="1732">
        <v>1177.9932093700002</v>
      </c>
      <c r="M85" s="1731">
        <f t="shared" si="8"/>
        <v>2007.5970426300005</v>
      </c>
      <c r="N85" s="1731">
        <f t="shared" si="9"/>
        <v>610.33387682000034</v>
      </c>
      <c r="O85" s="1731">
        <f t="shared" si="9"/>
        <v>179.48568485000004</v>
      </c>
      <c r="P85" s="1731">
        <f t="shared" si="9"/>
        <v>528.39193077000004</v>
      </c>
      <c r="Q85" s="1731">
        <f t="shared" si="9"/>
        <v>689.38555019</v>
      </c>
      <c r="R85" s="1740">
        <v>962.85570766000035</v>
      </c>
      <c r="S85" s="1740">
        <v>1164.8149808000001</v>
      </c>
      <c r="T85" s="1740">
        <v>911.54419401999996</v>
      </c>
      <c r="U85" s="1740">
        <v>3096.6520827700001</v>
      </c>
      <c r="V85" s="1741"/>
    </row>
    <row r="86" spans="1:22" ht="15.75" hidden="1">
      <c r="A86" s="1735" t="s">
        <v>20</v>
      </c>
      <c r="B86" s="1731">
        <f t="shared" si="5"/>
        <v>6737.6419238500011</v>
      </c>
      <c r="C86" s="1731">
        <f t="shared" si="6"/>
        <v>2394.9631017000002</v>
      </c>
      <c r="D86" s="1731">
        <v>276.60139115999999</v>
      </c>
      <c r="E86" s="1731">
        <v>704.02125402000001</v>
      </c>
      <c r="F86" s="1731">
        <v>176.71919093</v>
      </c>
      <c r="G86" s="1731">
        <v>1237.6212655899999</v>
      </c>
      <c r="H86" s="1731">
        <f t="shared" si="7"/>
        <v>2054.2764347900002</v>
      </c>
      <c r="I86" s="1732">
        <v>6.0805428799999994</v>
      </c>
      <c r="J86" s="1732">
        <v>413.35249870000001</v>
      </c>
      <c r="K86" s="1732">
        <v>405.27180437000004</v>
      </c>
      <c r="L86" s="1732">
        <v>1229.57158884</v>
      </c>
      <c r="M86" s="1731">
        <f t="shared" si="8"/>
        <v>2288.4023873600004</v>
      </c>
      <c r="N86" s="1731">
        <f t="shared" si="9"/>
        <v>689.12506273999986</v>
      </c>
      <c r="O86" s="1731">
        <f t="shared" si="9"/>
        <v>175.59693623999993</v>
      </c>
      <c r="P86" s="1731">
        <f t="shared" si="9"/>
        <v>740.15220757000009</v>
      </c>
      <c r="Q86" s="1731">
        <f t="shared" si="9"/>
        <v>683.52818081000032</v>
      </c>
      <c r="R86" s="1740">
        <v>971.80699677999985</v>
      </c>
      <c r="S86" s="1740">
        <v>1292.97068896</v>
      </c>
      <c r="T86" s="1740">
        <v>1322.1432028700001</v>
      </c>
      <c r="U86" s="1740">
        <v>3150.7210352400002</v>
      </c>
      <c r="V86" s="1741"/>
    </row>
    <row r="87" spans="1:22" ht="15.75" hidden="1">
      <c r="A87" s="1735" t="s">
        <v>21</v>
      </c>
      <c r="B87" s="1731">
        <f t="shared" si="5"/>
        <v>6780.8207531300013</v>
      </c>
      <c r="C87" s="1731">
        <f t="shared" si="6"/>
        <v>2474.7451724800003</v>
      </c>
      <c r="D87" s="1731">
        <v>342.60319303</v>
      </c>
      <c r="E87" s="1731">
        <v>727.74332701000003</v>
      </c>
      <c r="F87" s="1731">
        <v>151.60814135999999</v>
      </c>
      <c r="G87" s="1731">
        <v>1252.79051108</v>
      </c>
      <c r="H87" s="1731">
        <f t="shared" si="7"/>
        <v>2168.0553526100002</v>
      </c>
      <c r="I87" s="1732">
        <v>6.3191584499999998</v>
      </c>
      <c r="J87" s="1732">
        <v>412.40442260999998</v>
      </c>
      <c r="K87" s="1732">
        <v>482.78363762999999</v>
      </c>
      <c r="L87" s="1732">
        <v>1266.5481339200001</v>
      </c>
      <c r="M87" s="1731">
        <f t="shared" si="8"/>
        <v>2138.0202280400008</v>
      </c>
      <c r="N87" s="1731">
        <f t="shared" si="9"/>
        <v>621.86185074000014</v>
      </c>
      <c r="O87" s="1731">
        <f t="shared" si="9"/>
        <v>188.59286051999993</v>
      </c>
      <c r="P87" s="1731">
        <f t="shared" si="9"/>
        <v>663.4187934900001</v>
      </c>
      <c r="Q87" s="1731">
        <f t="shared" si="9"/>
        <v>664.14672329000064</v>
      </c>
      <c r="R87" s="1740">
        <v>970.78420222000011</v>
      </c>
      <c r="S87" s="1740">
        <v>1328.7406101399999</v>
      </c>
      <c r="T87" s="1740">
        <v>1297.81057248</v>
      </c>
      <c r="U87" s="1740">
        <v>3183.4853682900007</v>
      </c>
      <c r="V87" s="1741"/>
    </row>
    <row r="88" spans="1:22" ht="15.75" hidden="1">
      <c r="A88" s="1735" t="s">
        <v>22</v>
      </c>
      <c r="B88" s="1731">
        <f t="shared" si="5"/>
        <v>6536.6532337099998</v>
      </c>
      <c r="C88" s="1731">
        <f t="shared" si="6"/>
        <v>2481.70096117</v>
      </c>
      <c r="D88" s="1731">
        <v>325.97959022999999</v>
      </c>
      <c r="E88" s="1731">
        <v>735.72430811000004</v>
      </c>
      <c r="F88" s="1731">
        <v>162.15748017000001</v>
      </c>
      <c r="G88" s="1731">
        <v>1257.8395826599999</v>
      </c>
      <c r="H88" s="1731">
        <f t="shared" si="7"/>
        <v>1856.71107024</v>
      </c>
      <c r="I88" s="1732">
        <v>5.0330859099999996</v>
      </c>
      <c r="J88" s="1732">
        <v>402.31615160000007</v>
      </c>
      <c r="K88" s="1732">
        <v>330.66352489999997</v>
      </c>
      <c r="L88" s="1732">
        <v>1118.69830783</v>
      </c>
      <c r="M88" s="1731">
        <f t="shared" si="8"/>
        <v>2198.2412022999997</v>
      </c>
      <c r="N88" s="1731">
        <f t="shared" si="9"/>
        <v>626.88026320000017</v>
      </c>
      <c r="O88" s="1731">
        <f t="shared" si="9"/>
        <v>203.74194092999977</v>
      </c>
      <c r="P88" s="1731">
        <f t="shared" si="9"/>
        <v>593.91676241999994</v>
      </c>
      <c r="Q88" s="1731">
        <f t="shared" si="9"/>
        <v>773.70223575</v>
      </c>
      <c r="R88" s="1740">
        <v>957.89293934000011</v>
      </c>
      <c r="S88" s="1740">
        <v>1341.7824006399999</v>
      </c>
      <c r="T88" s="1740">
        <v>1086.7377674899999</v>
      </c>
      <c r="U88" s="1740">
        <v>3150.2401262399999</v>
      </c>
      <c r="V88" s="1741"/>
    </row>
    <row r="89" spans="1:22" ht="15.75" hidden="1">
      <c r="A89" s="1735" t="s">
        <v>23</v>
      </c>
      <c r="B89" s="1731">
        <f t="shared" si="5"/>
        <v>6596.8905588799989</v>
      </c>
      <c r="C89" s="1731">
        <f>SUM(D89:G89)</f>
        <v>2562.83582191</v>
      </c>
      <c r="D89" s="1731">
        <v>356.81037192999997</v>
      </c>
      <c r="E89" s="1731">
        <v>755.66986754999994</v>
      </c>
      <c r="F89" s="1731">
        <v>166.22718707000001</v>
      </c>
      <c r="G89" s="1731">
        <v>1284.12839536</v>
      </c>
      <c r="H89" s="1731">
        <f t="shared" si="7"/>
        <v>1885.4680929000001</v>
      </c>
      <c r="I89" s="1732">
        <v>4.2087380599999999</v>
      </c>
      <c r="J89" s="1732">
        <v>439.09227399999997</v>
      </c>
      <c r="K89" s="1732">
        <v>190.05822742000001</v>
      </c>
      <c r="L89" s="1732">
        <v>1252.1088534200001</v>
      </c>
      <c r="M89" s="1731">
        <f t="shared" si="8"/>
        <v>2148.5866440699992</v>
      </c>
      <c r="N89" s="1731">
        <f t="shared" si="9"/>
        <v>705.86456326999962</v>
      </c>
      <c r="O89" s="1731">
        <f t="shared" si="9"/>
        <v>141.65988634999997</v>
      </c>
      <c r="P89" s="1731">
        <f t="shared" si="9"/>
        <v>570.30249254</v>
      </c>
      <c r="Q89" s="1731">
        <f t="shared" si="9"/>
        <v>730.75970190999965</v>
      </c>
      <c r="R89" s="1740">
        <v>1066.8836732599996</v>
      </c>
      <c r="S89" s="1740">
        <v>1336.4220278999999</v>
      </c>
      <c r="T89" s="1740">
        <v>926.58790703</v>
      </c>
      <c r="U89" s="1740">
        <v>3266.9969506899997</v>
      </c>
      <c r="V89" s="1741"/>
    </row>
    <row r="90" spans="1:22" ht="15.75" hidden="1">
      <c r="A90" s="1735" t="s">
        <v>24</v>
      </c>
      <c r="B90" s="1731">
        <f t="shared" si="5"/>
        <v>6286.8784351699996</v>
      </c>
      <c r="C90" s="1731">
        <f t="shared" si="6"/>
        <v>2716.2629999999999</v>
      </c>
      <c r="D90" s="1731">
        <v>390.98599999999999</v>
      </c>
      <c r="E90" s="1731">
        <v>821.10500000000002</v>
      </c>
      <c r="F90" s="1731">
        <v>180.19300000000001</v>
      </c>
      <c r="G90" s="1731">
        <v>1323.979</v>
      </c>
      <c r="H90" s="1731">
        <f t="shared" si="7"/>
        <v>1885.4680929000001</v>
      </c>
      <c r="I90" s="1731">
        <v>4.2087380599999999</v>
      </c>
      <c r="J90" s="1731">
        <v>439.09227399999997</v>
      </c>
      <c r="K90" s="1731">
        <v>190.05822742000001</v>
      </c>
      <c r="L90" s="1731">
        <v>1252.1088534200001</v>
      </c>
      <c r="M90" s="1731">
        <f t="shared" si="8"/>
        <v>1685.1473422699999</v>
      </c>
      <c r="N90" s="1731">
        <f t="shared" si="9"/>
        <v>599.88985171000002</v>
      </c>
      <c r="O90" s="1731">
        <f t="shared" si="9"/>
        <v>146.47462951</v>
      </c>
      <c r="P90" s="1731">
        <f t="shared" si="9"/>
        <v>520.81950570999993</v>
      </c>
      <c r="Q90" s="1731">
        <f t="shared" si="9"/>
        <v>417.96335533999991</v>
      </c>
      <c r="R90" s="1740">
        <v>995.08458976999998</v>
      </c>
      <c r="S90" s="1740">
        <v>1406.67190351</v>
      </c>
      <c r="T90" s="1740">
        <v>891.07073312999989</v>
      </c>
      <c r="U90" s="1740">
        <v>2994.05120876</v>
      </c>
      <c r="V90" s="1741"/>
    </row>
    <row r="91" spans="1:22" ht="15.75" hidden="1">
      <c r="A91" s="1735" t="s">
        <v>25</v>
      </c>
      <c r="B91" s="1731">
        <f t="shared" si="5"/>
        <v>6591.2542577699996</v>
      </c>
      <c r="C91" s="1731">
        <f>SUM(D91:G91)</f>
        <v>2720.8074087499999</v>
      </c>
      <c r="D91" s="1731">
        <v>327.24065817000002</v>
      </c>
      <c r="E91" s="1731">
        <v>859.72430570000006</v>
      </c>
      <c r="F91" s="1731">
        <v>173.09549503</v>
      </c>
      <c r="G91" s="1731">
        <v>1360.74694985</v>
      </c>
      <c r="H91" s="1731">
        <f t="shared" si="7"/>
        <v>2001.8202688499998</v>
      </c>
      <c r="I91" s="1731">
        <v>12.740292389999999</v>
      </c>
      <c r="J91" s="1731">
        <v>459.95209440999997</v>
      </c>
      <c r="K91" s="1731">
        <v>217.74254565000001</v>
      </c>
      <c r="L91" s="1731">
        <v>1311.3853363999999</v>
      </c>
      <c r="M91" s="1731">
        <f t="shared" si="8"/>
        <v>1868.6265801699999</v>
      </c>
      <c r="N91" s="1731">
        <f t="shared" si="9"/>
        <v>675.99448442000005</v>
      </c>
      <c r="O91" s="1731">
        <f t="shared" si="9"/>
        <v>166.45681371000001</v>
      </c>
      <c r="P91" s="1731">
        <f t="shared" si="9"/>
        <v>581.62447372999986</v>
      </c>
      <c r="Q91" s="1731">
        <f t="shared" si="9"/>
        <v>444.55080831000009</v>
      </c>
      <c r="R91" s="1740">
        <v>1015.97543498</v>
      </c>
      <c r="S91" s="1740">
        <v>1486.13321382</v>
      </c>
      <c r="T91" s="1740">
        <v>972.46251440999981</v>
      </c>
      <c r="U91" s="1740">
        <v>3116.68309456</v>
      </c>
      <c r="V91" s="1741"/>
    </row>
    <row r="92" spans="1:22" ht="15.75" hidden="1">
      <c r="A92" s="1735" t="s">
        <v>26</v>
      </c>
      <c r="B92" s="1731">
        <f t="shared" si="5"/>
        <v>6741.7278075100003</v>
      </c>
      <c r="C92" s="1731">
        <f>SUM(D92:G92)</f>
        <v>2798.3141282899996</v>
      </c>
      <c r="D92" s="1731">
        <v>349.64738546999996</v>
      </c>
      <c r="E92" s="1731">
        <v>895.94109732999982</v>
      </c>
      <c r="F92" s="1731">
        <v>174.98318333999998</v>
      </c>
      <c r="G92" s="1731">
        <v>1377.7424621499999</v>
      </c>
      <c r="H92" s="1731">
        <f t="shared" si="7"/>
        <v>2026.5714229900002</v>
      </c>
      <c r="I92" s="1731">
        <v>9.0558467199999999</v>
      </c>
      <c r="J92" s="1731">
        <v>447.73951749999998</v>
      </c>
      <c r="K92" s="1731">
        <v>368.77888604999998</v>
      </c>
      <c r="L92" s="1731">
        <v>1200.9971727200002</v>
      </c>
      <c r="M92" s="1731">
        <f t="shared" si="8"/>
        <v>1916.84225623</v>
      </c>
      <c r="N92" s="1731">
        <f t="shared" si="9"/>
        <v>719.92781540999988</v>
      </c>
      <c r="O92" s="1731">
        <f t="shared" si="9"/>
        <v>162.80852928000007</v>
      </c>
      <c r="P92" s="1731">
        <f t="shared" si="9"/>
        <v>535.79070217999981</v>
      </c>
      <c r="Q92" s="1731">
        <f t="shared" si="9"/>
        <v>498.31520936000038</v>
      </c>
      <c r="R92" s="1740">
        <v>1078.6310475999999</v>
      </c>
      <c r="S92" s="1740">
        <v>1506.4891441099999</v>
      </c>
      <c r="T92" s="1740">
        <v>1079.5527715699998</v>
      </c>
      <c r="U92" s="1740">
        <v>3077.0548442300005</v>
      </c>
      <c r="V92" s="1741"/>
    </row>
    <row r="93" spans="1:22" ht="15.75" hidden="1">
      <c r="A93" s="1735" t="s">
        <v>27</v>
      </c>
      <c r="B93" s="1731">
        <f t="shared" si="5"/>
        <v>6968.6439867000008</v>
      </c>
      <c r="C93" s="1731">
        <f>SUM(D93:G93)</f>
        <v>2887.52964651</v>
      </c>
      <c r="D93" s="1731">
        <v>385.43445643000001</v>
      </c>
      <c r="E93" s="1731">
        <v>923.09826384999997</v>
      </c>
      <c r="F93" s="1731">
        <v>190.90857446000001</v>
      </c>
      <c r="G93" s="1731">
        <v>1388.0883517700001</v>
      </c>
      <c r="H93" s="1731">
        <f t="shared" si="7"/>
        <v>2094.2414163100002</v>
      </c>
      <c r="I93" s="1731">
        <v>7.690623379999999</v>
      </c>
      <c r="J93" s="1731">
        <v>442.55670349000002</v>
      </c>
      <c r="K93" s="1731">
        <v>555.39764098000001</v>
      </c>
      <c r="L93" s="1731">
        <v>1088.5964484599999</v>
      </c>
      <c r="M93" s="1731">
        <f t="shared" si="8"/>
        <v>1986.8729238800001</v>
      </c>
      <c r="N93" s="1731">
        <f t="shared" si="9"/>
        <v>740.65242556000021</v>
      </c>
      <c r="O93" s="1731">
        <f t="shared" si="9"/>
        <v>180.64700788999994</v>
      </c>
      <c r="P93" s="1731">
        <f t="shared" si="9"/>
        <v>591.64998951999996</v>
      </c>
      <c r="Q93" s="1731">
        <f t="shared" si="9"/>
        <v>473.92350091000003</v>
      </c>
      <c r="R93" s="1740">
        <v>1133.7775053700002</v>
      </c>
      <c r="S93" s="1740">
        <v>1546.3019752299999</v>
      </c>
      <c r="T93" s="1740">
        <v>1337.9562049599999</v>
      </c>
      <c r="U93" s="1740">
        <v>2950.6083011400001</v>
      </c>
      <c r="V93" s="1741"/>
    </row>
    <row r="94" spans="1:22" ht="15.75" hidden="1">
      <c r="A94" s="1735" t="s">
        <v>28</v>
      </c>
      <c r="B94" s="1731">
        <f t="shared" si="5"/>
        <v>6915.8610377499999</v>
      </c>
      <c r="C94" s="1731">
        <f>SUM(D94:G94)</f>
        <v>2868.4287497800001</v>
      </c>
      <c r="D94" s="1731">
        <v>327.80126077999995</v>
      </c>
      <c r="E94" s="1731">
        <v>969.63645252000015</v>
      </c>
      <c r="F94" s="1731">
        <v>176.94310339</v>
      </c>
      <c r="G94" s="1731">
        <v>1394.04793309</v>
      </c>
      <c r="H94" s="1731">
        <f t="shared" si="7"/>
        <v>2164.85723667</v>
      </c>
      <c r="I94" s="1731">
        <v>4.9293718899999996</v>
      </c>
      <c r="J94" s="1731">
        <v>550.69320362999997</v>
      </c>
      <c r="K94" s="1731">
        <v>513.84641866000004</v>
      </c>
      <c r="L94" s="1731">
        <v>1095.3882424900003</v>
      </c>
      <c r="M94" s="1731">
        <f t="shared" si="8"/>
        <v>1882.5750512999996</v>
      </c>
      <c r="N94" s="1731">
        <f t="shared" si="9"/>
        <v>710.81052267000007</v>
      </c>
      <c r="O94" s="1731">
        <f t="shared" si="9"/>
        <v>209.73452986000007</v>
      </c>
      <c r="P94" s="1731">
        <f t="shared" si="9"/>
        <v>489.67444464999983</v>
      </c>
      <c r="Q94" s="1731">
        <f t="shared" si="9"/>
        <v>472.35555411999962</v>
      </c>
      <c r="R94" s="1740">
        <v>1043.5411553399999</v>
      </c>
      <c r="S94" s="1740">
        <v>1730.0641860100002</v>
      </c>
      <c r="T94" s="1740">
        <v>1180.4639666999999</v>
      </c>
      <c r="U94" s="1740">
        <v>2961.7917296999999</v>
      </c>
      <c r="V94" s="1741"/>
    </row>
    <row r="95" spans="1:22" ht="15.75" hidden="1">
      <c r="A95" s="1735" t="s">
        <v>29</v>
      </c>
      <c r="B95" s="1731">
        <f t="shared" si="5"/>
        <v>7625.7781233199994</v>
      </c>
      <c r="C95" s="1731">
        <f>SUM(D95:G95)</f>
        <v>3029.7520766299999</v>
      </c>
      <c r="D95" s="1731">
        <v>385.00787456</v>
      </c>
      <c r="E95" s="1731">
        <v>1024.9326918100001</v>
      </c>
      <c r="F95" s="1731">
        <v>189.06966498000006</v>
      </c>
      <c r="G95" s="1731">
        <v>1430.74184528</v>
      </c>
      <c r="H95" s="1731">
        <f t="shared" si="7"/>
        <v>2177.01318765</v>
      </c>
      <c r="I95" s="1731">
        <v>7.5060353900000001</v>
      </c>
      <c r="J95" s="1731">
        <v>544.40552508999997</v>
      </c>
      <c r="K95" s="1731">
        <v>553.62977704000002</v>
      </c>
      <c r="L95" s="1731">
        <v>1071.4718501300001</v>
      </c>
      <c r="M95" s="1731">
        <f>SUM(N95:Q95)</f>
        <v>2419.0128590399995</v>
      </c>
      <c r="N95" s="1731">
        <f t="shared" si="9"/>
        <v>1093.8131540799998</v>
      </c>
      <c r="O95" s="1731">
        <f t="shared" si="9"/>
        <v>149.66582327999993</v>
      </c>
      <c r="P95" s="1731">
        <f t="shared" si="9"/>
        <v>695.86862213000029</v>
      </c>
      <c r="Q95" s="1731">
        <f t="shared" si="9"/>
        <v>479.66525954999952</v>
      </c>
      <c r="R95" s="1740">
        <v>1486.32706403</v>
      </c>
      <c r="S95" s="1740">
        <v>1719.0040401799999</v>
      </c>
      <c r="T95" s="1740">
        <v>1438.5680641500003</v>
      </c>
      <c r="U95" s="1740">
        <v>2981.8789549599996</v>
      </c>
      <c r="V95" s="1741"/>
    </row>
    <row r="96" spans="1:22" ht="15.75">
      <c r="A96" s="1739">
        <v>2011</v>
      </c>
      <c r="B96" s="1731">
        <v>9447.0007198299991</v>
      </c>
      <c r="C96" s="1731">
        <v>4119.8374570199994</v>
      </c>
      <c r="D96" s="1731">
        <v>613.14276837999989</v>
      </c>
      <c r="E96" s="1731">
        <v>1668.53152163</v>
      </c>
      <c r="F96" s="1731">
        <v>230.64662609999999</v>
      </c>
      <c r="G96" s="1731">
        <v>1607.51654091</v>
      </c>
      <c r="H96" s="1731">
        <v>2519.5341130699999</v>
      </c>
      <c r="I96" s="1731">
        <v>7.2603093799999998</v>
      </c>
      <c r="J96" s="1731">
        <v>670.64870108000002</v>
      </c>
      <c r="K96" s="1731">
        <v>405.32414816000005</v>
      </c>
      <c r="L96" s="1731">
        <v>1436.3009544499998</v>
      </c>
      <c r="M96" s="1731">
        <v>2807.6291497399998</v>
      </c>
      <c r="N96" s="1731">
        <v>1136.1893022399993</v>
      </c>
      <c r="O96" s="1731">
        <v>184.90770575999989</v>
      </c>
      <c r="P96" s="1731">
        <v>1035.94685912</v>
      </c>
      <c r="Q96" s="1731">
        <v>450.5852826200005</v>
      </c>
      <c r="R96" s="1740">
        <v>1756.5923799999994</v>
      </c>
      <c r="S96" s="1740">
        <v>2524.08792847</v>
      </c>
      <c r="T96" s="1740">
        <v>1671.9176333800001</v>
      </c>
      <c r="U96" s="1740">
        <v>3494.4027779800003</v>
      </c>
      <c r="V96" s="1741"/>
    </row>
    <row r="97" spans="1:22" ht="15.75" hidden="1">
      <c r="A97" s="1735" t="s">
        <v>18</v>
      </c>
      <c r="B97" s="1731">
        <f t="shared" si="5"/>
        <v>7321.2590175500009</v>
      </c>
      <c r="C97" s="1731">
        <f t="shared" ref="C97:C108" si="10">SUM(D97:G97)</f>
        <v>3072.1312173899996</v>
      </c>
      <c r="D97" s="1731">
        <v>352.36563034999995</v>
      </c>
      <c r="E97" s="1731">
        <v>1036.3154988199999</v>
      </c>
      <c r="F97" s="1731">
        <v>222.68455740999997</v>
      </c>
      <c r="G97" s="1731">
        <v>1460.76553081</v>
      </c>
      <c r="H97" s="1731">
        <f t="shared" ref="H97:H103" si="11">SUM(I97:L97)</f>
        <v>2139.44761204</v>
      </c>
      <c r="I97" s="1731">
        <v>4.8922694099999999</v>
      </c>
      <c r="J97" s="1731">
        <v>547.77911398000003</v>
      </c>
      <c r="K97" s="1731">
        <v>535.19079316</v>
      </c>
      <c r="L97" s="1731">
        <v>1051.5854354899998</v>
      </c>
      <c r="M97" s="1731">
        <f t="shared" ref="M97:M108" si="12">SUM(N97:Q97)</f>
        <v>2109.6801881200008</v>
      </c>
      <c r="N97" s="1731">
        <f t="shared" ref="N97:Q107" si="13">R97-D97-I97</f>
        <v>773.85809781000023</v>
      </c>
      <c r="O97" s="1731">
        <f t="shared" si="13"/>
        <v>151.77672839000013</v>
      </c>
      <c r="P97" s="1731">
        <f t="shared" si="13"/>
        <v>691.7838775700003</v>
      </c>
      <c r="Q97" s="1731">
        <f t="shared" si="13"/>
        <v>492.26148435000027</v>
      </c>
      <c r="R97" s="1740">
        <v>1131.1159975700002</v>
      </c>
      <c r="S97" s="1740">
        <v>1735.8713411900001</v>
      </c>
      <c r="T97" s="1740">
        <v>1449.6592281400003</v>
      </c>
      <c r="U97" s="1740">
        <v>3004.61245065</v>
      </c>
      <c r="V97" s="1741"/>
    </row>
    <row r="98" spans="1:22" ht="15.75" hidden="1">
      <c r="A98" s="1735" t="s">
        <v>19</v>
      </c>
      <c r="B98" s="1731">
        <f t="shared" si="5"/>
        <v>7315.0040979000014</v>
      </c>
      <c r="C98" s="1731">
        <f t="shared" si="10"/>
        <v>3142.9067649100002</v>
      </c>
      <c r="D98" s="1731">
        <v>426.50273661</v>
      </c>
      <c r="E98" s="1731">
        <v>1061.34858994</v>
      </c>
      <c r="F98" s="1731">
        <v>187.53697761999999</v>
      </c>
      <c r="G98" s="1731">
        <v>1467.5184607400001</v>
      </c>
      <c r="H98" s="1731">
        <f t="shared" si="11"/>
        <v>2105.2409353800003</v>
      </c>
      <c r="I98" s="1731">
        <v>5.2992413599999999</v>
      </c>
      <c r="J98" s="1731">
        <v>494.08893868000001</v>
      </c>
      <c r="K98" s="1731">
        <v>534.1775725</v>
      </c>
      <c r="L98" s="1731">
        <v>1071.6751828400002</v>
      </c>
      <c r="M98" s="1731">
        <f t="shared" si="12"/>
        <v>2066.8563976100004</v>
      </c>
      <c r="N98" s="1731">
        <f t="shared" si="13"/>
        <v>785.66140093000013</v>
      </c>
      <c r="O98" s="1731">
        <f t="shared" si="13"/>
        <v>155.73470723999998</v>
      </c>
      <c r="P98" s="1731">
        <f t="shared" si="13"/>
        <v>640.09946060000016</v>
      </c>
      <c r="Q98" s="1731">
        <f t="shared" si="13"/>
        <v>485.36082884000007</v>
      </c>
      <c r="R98" s="1740">
        <v>1217.4633789000002</v>
      </c>
      <c r="S98" s="1740">
        <v>1711.17223586</v>
      </c>
      <c r="T98" s="1740">
        <v>1361.8140107200002</v>
      </c>
      <c r="U98" s="1740">
        <v>3024.5544724200004</v>
      </c>
      <c r="V98" s="1741"/>
    </row>
    <row r="99" spans="1:22" ht="15.75" hidden="1">
      <c r="A99" s="1735" t="s">
        <v>20</v>
      </c>
      <c r="B99" s="1731">
        <f t="shared" si="5"/>
        <v>7751.0752097799996</v>
      </c>
      <c r="C99" s="1731">
        <f t="shared" si="10"/>
        <v>3289.1362097499996</v>
      </c>
      <c r="D99" s="1731">
        <v>411.43732685999998</v>
      </c>
      <c r="E99" s="1731">
        <v>1103.23738585</v>
      </c>
      <c r="F99" s="1731">
        <v>197.20771066000003</v>
      </c>
      <c r="G99" s="1731">
        <v>1577.2537863799998</v>
      </c>
      <c r="H99" s="1731">
        <f t="shared" si="11"/>
        <v>2218.7625696299997</v>
      </c>
      <c r="I99" s="1731">
        <v>6.6762722099999996</v>
      </c>
      <c r="J99" s="1731">
        <v>529.22265585000002</v>
      </c>
      <c r="K99" s="1731">
        <v>243.23473928000001</v>
      </c>
      <c r="L99" s="1731">
        <v>1439.6289022899998</v>
      </c>
      <c r="M99" s="1731">
        <f t="shared" si="12"/>
        <v>2243.1764304000008</v>
      </c>
      <c r="N99" s="1731">
        <f t="shared" si="13"/>
        <v>870.04760907000036</v>
      </c>
      <c r="O99" s="1731">
        <f t="shared" si="13"/>
        <v>156.92085584999984</v>
      </c>
      <c r="P99" s="1731">
        <f t="shared" si="13"/>
        <v>776.28783971999997</v>
      </c>
      <c r="Q99" s="1731">
        <f t="shared" si="13"/>
        <v>439.92012576000047</v>
      </c>
      <c r="R99" s="1740">
        <v>1288.1612081400003</v>
      </c>
      <c r="S99" s="1740">
        <v>1789.3808975499999</v>
      </c>
      <c r="T99" s="1740">
        <v>1216.7302896599999</v>
      </c>
      <c r="U99" s="1740">
        <v>3456.8028144300001</v>
      </c>
      <c r="V99" s="1741"/>
    </row>
    <row r="100" spans="1:22" ht="15.75" hidden="1">
      <c r="A100" s="1735" t="s">
        <v>21</v>
      </c>
      <c r="B100" s="1731">
        <f t="shared" si="5"/>
        <v>7788.8309037399995</v>
      </c>
      <c r="C100" s="1731">
        <f t="shared" si="10"/>
        <v>3358.6820325299996</v>
      </c>
      <c r="D100" s="1731">
        <v>430.59949551</v>
      </c>
      <c r="E100" s="1731">
        <v>1125.37272267</v>
      </c>
      <c r="F100" s="1731">
        <v>200.53341541999995</v>
      </c>
      <c r="G100" s="1731">
        <v>1602.1763989299998</v>
      </c>
      <c r="H100" s="1731">
        <f t="shared" si="11"/>
        <v>2203.4533359800002</v>
      </c>
      <c r="I100" s="1731">
        <v>5.1024627900000006</v>
      </c>
      <c r="J100" s="1731">
        <v>544.13569310000003</v>
      </c>
      <c r="K100" s="1731">
        <v>228.90099741</v>
      </c>
      <c r="L100" s="1731">
        <v>1425.3141826800002</v>
      </c>
      <c r="M100" s="1731">
        <f t="shared" si="12"/>
        <v>2226.6955352300001</v>
      </c>
      <c r="N100" s="1731">
        <f t="shared" si="13"/>
        <v>858.18235188000006</v>
      </c>
      <c r="O100" s="1731">
        <f t="shared" si="13"/>
        <v>161.71404733000008</v>
      </c>
      <c r="P100" s="1731">
        <f t="shared" si="13"/>
        <v>707.4658075100001</v>
      </c>
      <c r="Q100" s="1731">
        <f t="shared" si="13"/>
        <v>499.33332850999977</v>
      </c>
      <c r="R100" s="1740">
        <v>1293.8843101800001</v>
      </c>
      <c r="S100" s="1740">
        <v>1831.2224631000001</v>
      </c>
      <c r="T100" s="1740">
        <v>1136.90022034</v>
      </c>
      <c r="U100" s="1740">
        <v>3526.8239101199997</v>
      </c>
      <c r="V100" s="1741"/>
    </row>
    <row r="101" spans="1:22" ht="15.75" hidden="1">
      <c r="A101" s="1735" t="s">
        <v>22</v>
      </c>
      <c r="B101" s="1731">
        <f t="shared" si="5"/>
        <v>7959.1259541700001</v>
      </c>
      <c r="C101" s="1731">
        <f t="shared" si="10"/>
        <v>3321.4622767800001</v>
      </c>
      <c r="D101" s="1731">
        <v>428.80747981000002</v>
      </c>
      <c r="E101" s="1731">
        <v>1148.91003284</v>
      </c>
      <c r="F101" s="1731">
        <v>211.73589314000003</v>
      </c>
      <c r="G101" s="1731">
        <v>1532.0088709900001</v>
      </c>
      <c r="H101" s="1731">
        <f t="shared" si="11"/>
        <v>2229.8080406999998</v>
      </c>
      <c r="I101" s="1731">
        <v>4.6767314100000004</v>
      </c>
      <c r="J101" s="1731">
        <v>561.42345045000002</v>
      </c>
      <c r="K101" s="1731">
        <v>223.78235784999998</v>
      </c>
      <c r="L101" s="1731">
        <v>1439.92550099</v>
      </c>
      <c r="M101" s="1731">
        <f t="shared" si="12"/>
        <v>2407.8556366900007</v>
      </c>
      <c r="N101" s="1731">
        <f t="shared" si="13"/>
        <v>871.70514153000011</v>
      </c>
      <c r="O101" s="1731">
        <f t="shared" si="13"/>
        <v>174.54583997999998</v>
      </c>
      <c r="P101" s="1731">
        <f t="shared" si="13"/>
        <v>844.18031890000043</v>
      </c>
      <c r="Q101" s="1731">
        <f t="shared" si="13"/>
        <v>517.42433628000003</v>
      </c>
      <c r="R101" s="1740">
        <v>1305.1893527500001</v>
      </c>
      <c r="S101" s="1740">
        <v>1884.87932327</v>
      </c>
      <c r="T101" s="1740">
        <v>1279.6985698900003</v>
      </c>
      <c r="U101" s="1740">
        <v>3489.3587082600002</v>
      </c>
      <c r="V101" s="1741"/>
    </row>
    <row r="102" spans="1:22" ht="15.75" hidden="1">
      <c r="A102" s="1735" t="s">
        <v>23</v>
      </c>
      <c r="B102" s="1731">
        <f t="shared" si="5"/>
        <v>8126.7557803200007</v>
      </c>
      <c r="C102" s="1731">
        <f t="shared" si="10"/>
        <v>3451.4294540000001</v>
      </c>
      <c r="D102" s="1731">
        <v>485.03161867000006</v>
      </c>
      <c r="E102" s="1731">
        <v>1189.1685057099999</v>
      </c>
      <c r="F102" s="1731">
        <v>213.18281067999999</v>
      </c>
      <c r="G102" s="1731">
        <v>1564.0465189400002</v>
      </c>
      <c r="H102" s="1731">
        <f t="shared" si="11"/>
        <v>2196.77824839</v>
      </c>
      <c r="I102" s="1731">
        <v>5.5791976199999995</v>
      </c>
      <c r="J102" s="1731">
        <v>583.28886374000001</v>
      </c>
      <c r="K102" s="1731">
        <v>221.46575591999999</v>
      </c>
      <c r="L102" s="1731">
        <v>1386.4444311100001</v>
      </c>
      <c r="M102" s="1731">
        <f t="shared" si="12"/>
        <v>2478.5480779300001</v>
      </c>
      <c r="N102" s="1731">
        <f t="shared" si="13"/>
        <v>851.65265112999987</v>
      </c>
      <c r="O102" s="1731">
        <f t="shared" si="13"/>
        <v>177.01564920000021</v>
      </c>
      <c r="P102" s="1731">
        <f t="shared" si="13"/>
        <v>939.29551820999995</v>
      </c>
      <c r="Q102" s="1731">
        <f t="shared" si="13"/>
        <v>510.58425939000017</v>
      </c>
      <c r="R102" s="1740">
        <v>1342.2634674199999</v>
      </c>
      <c r="S102" s="1740">
        <v>1949.4730186500001</v>
      </c>
      <c r="T102" s="1740">
        <v>1373.94408481</v>
      </c>
      <c r="U102" s="1740">
        <v>3461.0752094400004</v>
      </c>
      <c r="V102" s="1741"/>
    </row>
    <row r="103" spans="1:22" ht="15.75" hidden="1">
      <c r="A103" s="1735" t="s">
        <v>24</v>
      </c>
      <c r="B103" s="1731">
        <f t="shared" si="5"/>
        <v>8345.8196153299996</v>
      </c>
      <c r="C103" s="1731">
        <f t="shared" si="10"/>
        <v>3543.6408617500001</v>
      </c>
      <c r="D103" s="1731">
        <v>517.85449964000009</v>
      </c>
      <c r="E103" s="1731">
        <v>1227.5491714500001</v>
      </c>
      <c r="F103" s="1731">
        <v>221.05351150000001</v>
      </c>
      <c r="G103" s="1731">
        <v>1577.1836791599999</v>
      </c>
      <c r="H103" s="1731">
        <f t="shared" si="11"/>
        <v>2207.08086237</v>
      </c>
      <c r="I103" s="1731">
        <v>4.8727140599999998</v>
      </c>
      <c r="J103" s="1731">
        <v>575.32561619000001</v>
      </c>
      <c r="K103" s="1731">
        <v>426.12787192999997</v>
      </c>
      <c r="L103" s="1731">
        <v>1200.7546601899999</v>
      </c>
      <c r="M103" s="1731">
        <f t="shared" si="12"/>
        <v>2595.0978912100004</v>
      </c>
      <c r="N103" s="1731">
        <f t="shared" si="13"/>
        <v>1053.3541074699999</v>
      </c>
      <c r="O103" s="1731">
        <f t="shared" si="13"/>
        <v>188.17775201000006</v>
      </c>
      <c r="P103" s="1731">
        <f t="shared" si="13"/>
        <v>859.44397401000003</v>
      </c>
      <c r="Q103" s="1731">
        <f t="shared" si="13"/>
        <v>494.12205772000016</v>
      </c>
      <c r="R103" s="1740">
        <v>1576.0813211699999</v>
      </c>
      <c r="S103" s="1740">
        <v>1991.0525396500002</v>
      </c>
      <c r="T103" s="1740">
        <v>1506.62535744</v>
      </c>
      <c r="U103" s="1740">
        <v>3272.0603970699999</v>
      </c>
      <c r="V103" s="1741"/>
    </row>
    <row r="104" spans="1:22" ht="15.75" hidden="1">
      <c r="A104" s="1735" t="s">
        <v>25</v>
      </c>
      <c r="B104" s="1731">
        <f t="shared" si="5"/>
        <v>8449.7129442299993</v>
      </c>
      <c r="C104" s="1731">
        <f t="shared" si="10"/>
        <v>3660.7234386299997</v>
      </c>
      <c r="D104" s="1731">
        <v>561.26581953999994</v>
      </c>
      <c r="E104" s="1731">
        <v>1276.43985894</v>
      </c>
      <c r="F104" s="1731">
        <v>213.63250916999999</v>
      </c>
      <c r="G104" s="1731">
        <v>1609.3852509799999</v>
      </c>
      <c r="H104" s="1731">
        <f>SUM(I104:L104)</f>
        <v>2473.23821047</v>
      </c>
      <c r="I104" s="1731">
        <v>8.4671099499999993</v>
      </c>
      <c r="J104" s="1731">
        <v>550.00012833000005</v>
      </c>
      <c r="K104" s="1731">
        <v>452.00877516999998</v>
      </c>
      <c r="L104" s="1731">
        <v>1462.7621970199998</v>
      </c>
      <c r="M104" s="1731">
        <f t="shared" si="12"/>
        <v>2315.7512951300005</v>
      </c>
      <c r="N104" s="1731">
        <f t="shared" si="13"/>
        <v>900.47017844000004</v>
      </c>
      <c r="O104" s="1731">
        <f t="shared" si="13"/>
        <v>191.62881151000033</v>
      </c>
      <c r="P104" s="1731">
        <f t="shared" si="13"/>
        <v>735.7017602200001</v>
      </c>
      <c r="Q104" s="1731">
        <f t="shared" si="13"/>
        <v>487.95054496000012</v>
      </c>
      <c r="R104" s="1740">
        <v>1470.20310793</v>
      </c>
      <c r="S104" s="1740">
        <v>2018.0687987800004</v>
      </c>
      <c r="T104" s="1740">
        <v>1401.3430445600002</v>
      </c>
      <c r="U104" s="1740">
        <v>3560.0979929599998</v>
      </c>
      <c r="V104" s="1741"/>
    </row>
    <row r="105" spans="1:22" ht="15.75" hidden="1">
      <c r="A105" s="1735" t="s">
        <v>26</v>
      </c>
      <c r="B105" s="1731">
        <f t="shared" si="5"/>
        <v>8740.581751329999</v>
      </c>
      <c r="C105" s="1731">
        <f t="shared" si="10"/>
        <v>3622.4216608500001</v>
      </c>
      <c r="D105" s="1731">
        <v>454.73067648</v>
      </c>
      <c r="E105" s="1731">
        <v>1343.9700985799998</v>
      </c>
      <c r="F105" s="1731">
        <v>208.59919260000001</v>
      </c>
      <c r="G105" s="1731">
        <v>1615.1216931900003</v>
      </c>
      <c r="H105" s="1731">
        <f>SUM(I105:L105)</f>
        <v>2530.3590625699999</v>
      </c>
      <c r="I105" s="1731">
        <v>11.534986929999999</v>
      </c>
      <c r="J105" s="1731">
        <v>649.86226107000016</v>
      </c>
      <c r="K105" s="1731">
        <v>404.93355285000001</v>
      </c>
      <c r="L105" s="1731">
        <v>1464.0282617199998</v>
      </c>
      <c r="M105" s="1731">
        <f t="shared" si="12"/>
        <v>2587.8010279099999</v>
      </c>
      <c r="N105" s="1731">
        <f t="shared" si="13"/>
        <v>974.19055739999988</v>
      </c>
      <c r="O105" s="1731">
        <f t="shared" si="13"/>
        <v>182.60762141000032</v>
      </c>
      <c r="P105" s="1731">
        <f t="shared" si="13"/>
        <v>969.38662055000032</v>
      </c>
      <c r="Q105" s="1731">
        <f t="shared" si="13"/>
        <v>461.61622854999973</v>
      </c>
      <c r="R105" s="1740">
        <v>1440.4562208099999</v>
      </c>
      <c r="S105" s="1740">
        <v>2176.4399810600003</v>
      </c>
      <c r="T105" s="1740">
        <v>1582.9193660000003</v>
      </c>
      <c r="U105" s="1740">
        <v>3540.7661834599999</v>
      </c>
      <c r="V105" s="1741"/>
    </row>
    <row r="106" spans="1:22" ht="15.75" hidden="1">
      <c r="A106" s="1735" t="s">
        <v>27</v>
      </c>
      <c r="B106" s="1731">
        <f t="shared" si="5"/>
        <v>8707.8253123100003</v>
      </c>
      <c r="C106" s="1731">
        <f t="shared" si="10"/>
        <v>3674.9500908000005</v>
      </c>
      <c r="D106" s="1731">
        <v>432.68067533999999</v>
      </c>
      <c r="E106" s="1731">
        <v>1390.5666977300002</v>
      </c>
      <c r="F106" s="1731">
        <v>210.3746745</v>
      </c>
      <c r="G106" s="1731">
        <v>1641.32804323</v>
      </c>
      <c r="H106" s="1731">
        <f>SUM(I106:L106)</f>
        <v>2563.4283718600004</v>
      </c>
      <c r="I106" s="1731">
        <v>13.441559009999999</v>
      </c>
      <c r="J106" s="1731">
        <v>687.74345773000005</v>
      </c>
      <c r="K106" s="1731">
        <v>408.57466672999999</v>
      </c>
      <c r="L106" s="1731">
        <v>1453.6686883900004</v>
      </c>
      <c r="M106" s="1731">
        <f t="shared" si="12"/>
        <v>2469.4468496499994</v>
      </c>
      <c r="N106" s="1731">
        <f t="shared" si="13"/>
        <v>967.70012228999997</v>
      </c>
      <c r="O106" s="1731">
        <f t="shared" si="13"/>
        <v>184.08009030999983</v>
      </c>
      <c r="P106" s="1731">
        <f t="shared" si="13"/>
        <v>886.29815371999985</v>
      </c>
      <c r="Q106" s="1731">
        <f t="shared" si="13"/>
        <v>431.36848332999989</v>
      </c>
      <c r="R106" s="1722">
        <v>1413.82235664</v>
      </c>
      <c r="S106" s="1722">
        <v>2262.3902457700001</v>
      </c>
      <c r="T106" s="1722">
        <v>1505.2474949499999</v>
      </c>
      <c r="U106" s="1722">
        <v>3526.3652149500003</v>
      </c>
      <c r="V106" s="1741"/>
    </row>
    <row r="107" spans="1:22" ht="15.75" hidden="1">
      <c r="A107" s="1735" t="s">
        <v>28</v>
      </c>
      <c r="B107" s="1731">
        <f t="shared" si="5"/>
        <v>8892.7983016500002</v>
      </c>
      <c r="C107" s="1731">
        <f t="shared" si="10"/>
        <v>3830.0952434999999</v>
      </c>
      <c r="D107" s="1731">
        <v>493.74183979000003</v>
      </c>
      <c r="E107" s="1731">
        <v>1476.4286049699999</v>
      </c>
      <c r="F107" s="1731">
        <v>255.54023355000001</v>
      </c>
      <c r="G107" s="1731">
        <v>1604.3845651900001</v>
      </c>
      <c r="H107" s="1731">
        <f>SUM(I107:L107)</f>
        <v>2459.7094855899995</v>
      </c>
      <c r="I107" s="1731">
        <v>13.850641889999999</v>
      </c>
      <c r="J107" s="1731">
        <v>671.24590702000012</v>
      </c>
      <c r="K107" s="1731">
        <v>375.92633617000001</v>
      </c>
      <c r="L107" s="1731">
        <v>1398.6866005099996</v>
      </c>
      <c r="M107" s="1731">
        <f t="shared" si="12"/>
        <v>2602.9935725599998</v>
      </c>
      <c r="N107" s="1731">
        <f t="shared" si="13"/>
        <v>1078.0299140000002</v>
      </c>
      <c r="O107" s="1731">
        <f t="shared" si="13"/>
        <v>155.27642353000022</v>
      </c>
      <c r="P107" s="1731">
        <f t="shared" si="13"/>
        <v>934.84206550999966</v>
      </c>
      <c r="Q107" s="1731">
        <f t="shared" si="13"/>
        <v>434.84516952000013</v>
      </c>
      <c r="R107" s="1722">
        <v>1585.6223956800002</v>
      </c>
      <c r="S107" s="1722">
        <v>2302.9509355200003</v>
      </c>
      <c r="T107" s="1722">
        <v>1566.3086352299997</v>
      </c>
      <c r="U107" s="1722">
        <v>3437.9163352199998</v>
      </c>
      <c r="V107" s="1741"/>
    </row>
    <row r="108" spans="1:22" ht="15.75" hidden="1">
      <c r="A108" s="1735" t="s">
        <v>29</v>
      </c>
      <c r="B108" s="1731">
        <f t="shared" si="5"/>
        <v>9447.0007198299991</v>
      </c>
      <c r="C108" s="1731">
        <f t="shared" si="10"/>
        <v>4119.8374570199994</v>
      </c>
      <c r="D108" s="1731">
        <v>613.14276837999989</v>
      </c>
      <c r="E108" s="1731">
        <v>1668.53152163</v>
      </c>
      <c r="F108" s="1731">
        <v>230.64662609999999</v>
      </c>
      <c r="G108" s="1731">
        <v>1607.51654091</v>
      </c>
      <c r="H108" s="1731">
        <f>SUM(I108:L108)</f>
        <v>2519.5341130699999</v>
      </c>
      <c r="I108" s="1731">
        <v>7.2603093799999998</v>
      </c>
      <c r="J108" s="1731">
        <v>670.64870108000002</v>
      </c>
      <c r="K108" s="1731">
        <v>405.32414816000005</v>
      </c>
      <c r="L108" s="1731">
        <v>1436.3009544499998</v>
      </c>
      <c r="M108" s="1731">
        <f t="shared" si="12"/>
        <v>2807.6291497399998</v>
      </c>
      <c r="N108" s="1731">
        <f>R108-D108-I108</f>
        <v>1136.1893022399993</v>
      </c>
      <c r="O108" s="1731">
        <f>S108-E108-J108</f>
        <v>184.90770575999989</v>
      </c>
      <c r="P108" s="1731">
        <f>T108-F108-K108</f>
        <v>1035.94685912</v>
      </c>
      <c r="Q108" s="1731">
        <f>U108-G108-L108</f>
        <v>450.5852826200005</v>
      </c>
      <c r="R108" s="1722">
        <v>1756.5923799999994</v>
      </c>
      <c r="S108" s="1722">
        <v>2524.08792847</v>
      </c>
      <c r="T108" s="1722">
        <v>1671.9176333800001</v>
      </c>
      <c r="U108" s="1722">
        <v>3494.4027779800003</v>
      </c>
      <c r="V108" s="1741"/>
    </row>
    <row r="109" spans="1:22" ht="15.75">
      <c r="A109" s="1739">
        <v>2012</v>
      </c>
      <c r="B109" s="1731">
        <v>10699.241985770001</v>
      </c>
      <c r="C109" s="1731">
        <v>5113.4078103299998</v>
      </c>
      <c r="D109" s="1731">
        <v>777.14939947000005</v>
      </c>
      <c r="E109" s="1731">
        <v>2186.70776303</v>
      </c>
      <c r="F109" s="1731">
        <v>265.68550679999998</v>
      </c>
      <c r="G109" s="1731">
        <v>1883.8651410300004</v>
      </c>
      <c r="H109" s="1731">
        <v>2782.9527644100003</v>
      </c>
      <c r="I109" s="1731">
        <v>5.4634511200000002</v>
      </c>
      <c r="J109" s="1731">
        <v>706.33409993999999</v>
      </c>
      <c r="K109" s="1731">
        <v>449.44292741000004</v>
      </c>
      <c r="L109" s="1731">
        <v>1621.7122859400004</v>
      </c>
      <c r="M109" s="1731">
        <v>2802.88141103</v>
      </c>
      <c r="N109" s="1731">
        <v>1198.4983402600003</v>
      </c>
      <c r="O109" s="1731">
        <v>188.39494251000019</v>
      </c>
      <c r="P109" s="1731">
        <v>929.97896890999982</v>
      </c>
      <c r="Q109" s="1731">
        <v>486.00915934999989</v>
      </c>
      <c r="R109" s="1740">
        <v>1981.1111908500002</v>
      </c>
      <c r="S109" s="1740">
        <v>3081.4368054800002</v>
      </c>
      <c r="T109" s="1740">
        <v>1645.1074031199998</v>
      </c>
      <c r="U109" s="1740">
        <v>3991.5865863200006</v>
      </c>
      <c r="V109" s="1741"/>
    </row>
    <row r="110" spans="1:22" ht="15.75" hidden="1">
      <c r="A110" s="1735" t="s">
        <v>18</v>
      </c>
      <c r="B110" s="1736">
        <f t="shared" ref="B110:B121" si="14">+C110+M110+H110</f>
        <v>9281.2090842100006</v>
      </c>
      <c r="C110" s="1736">
        <f t="shared" ref="C110:C121" si="15">SUM(D110:G110)</f>
        <v>4179.4653587800003</v>
      </c>
      <c r="D110" s="1736">
        <v>613.40160514000013</v>
      </c>
      <c r="E110" s="1736">
        <v>1701.5840972999997</v>
      </c>
      <c r="F110" s="1736">
        <v>227.32729905000002</v>
      </c>
      <c r="G110" s="1736">
        <v>1637.1523572900001</v>
      </c>
      <c r="H110" s="1736">
        <f t="shared" ref="H110:H121" si="16">SUM(I110:L110)</f>
        <v>2529.6728764100003</v>
      </c>
      <c r="I110" s="1736">
        <v>7.6527032100000003</v>
      </c>
      <c r="J110" s="1736">
        <v>682.04283025000007</v>
      </c>
      <c r="K110" s="1736">
        <v>401.17750655999998</v>
      </c>
      <c r="L110" s="1736">
        <v>1438.7998363900001</v>
      </c>
      <c r="M110" s="1736">
        <f t="shared" ref="M110:M121" si="17">SUM(N110:Q110)</f>
        <v>2572.0708490200004</v>
      </c>
      <c r="N110" s="1736">
        <f t="shared" ref="N110:Q120" si="18">R110-D110-I110</f>
        <v>1008.8140412600003</v>
      </c>
      <c r="O110" s="1736">
        <f t="shared" si="18"/>
        <v>168.30407765999973</v>
      </c>
      <c r="P110" s="1736">
        <f t="shared" si="18"/>
        <v>939.61514207999994</v>
      </c>
      <c r="Q110" s="1736">
        <f t="shared" si="18"/>
        <v>455.33758802000011</v>
      </c>
      <c r="R110" s="1737">
        <v>1629.8683496100005</v>
      </c>
      <c r="S110" s="1737">
        <v>2551.9310052099995</v>
      </c>
      <c r="T110" s="1737">
        <v>1568.1199476899999</v>
      </c>
      <c r="U110" s="1737">
        <v>3531.2897817000003</v>
      </c>
    </row>
    <row r="111" spans="1:22" ht="15.75" hidden="1">
      <c r="A111" s="1735" t="s">
        <v>19</v>
      </c>
      <c r="B111" s="1736">
        <f t="shared" si="14"/>
        <v>9507.0192621999995</v>
      </c>
      <c r="C111" s="1736">
        <f t="shared" si="15"/>
        <v>4330.6031756900002</v>
      </c>
      <c r="D111" s="1736">
        <v>640.70385937000003</v>
      </c>
      <c r="E111" s="1736">
        <v>1780.6559725000002</v>
      </c>
      <c r="F111" s="1736">
        <v>241.04396923000002</v>
      </c>
      <c r="G111" s="1736">
        <v>1668.1993745899999</v>
      </c>
      <c r="H111" s="1736">
        <f t="shared" si="16"/>
        <v>2529.1533993100002</v>
      </c>
      <c r="I111" s="1736">
        <v>10.377717780000001</v>
      </c>
      <c r="J111" s="1736">
        <v>656.89795426000001</v>
      </c>
      <c r="K111" s="1736">
        <v>425.15386432999998</v>
      </c>
      <c r="L111" s="1736">
        <v>1436.7238629400001</v>
      </c>
      <c r="M111" s="1736">
        <f t="shared" si="17"/>
        <v>2647.2626871999992</v>
      </c>
      <c r="N111" s="1736">
        <f t="shared" si="18"/>
        <v>919.01146454000002</v>
      </c>
      <c r="O111" s="1736">
        <f t="shared" si="18"/>
        <v>202.93871855999987</v>
      </c>
      <c r="P111" s="1736">
        <f t="shared" si="18"/>
        <v>1030.0657886899999</v>
      </c>
      <c r="Q111" s="1736">
        <f t="shared" si="18"/>
        <v>495.2467154099993</v>
      </c>
      <c r="R111" s="1737">
        <v>1570.0930416900001</v>
      </c>
      <c r="S111" s="1737">
        <v>2640.4926453200001</v>
      </c>
      <c r="T111" s="1737">
        <v>1696.2636222499998</v>
      </c>
      <c r="U111" s="1737">
        <v>3600.1699529399993</v>
      </c>
    </row>
    <row r="112" spans="1:22" ht="15.75" hidden="1">
      <c r="A112" s="1735" t="s">
        <v>20</v>
      </c>
      <c r="B112" s="1736">
        <f t="shared" si="14"/>
        <v>9796.4743111399985</v>
      </c>
      <c r="C112" s="1736">
        <f t="shared" si="15"/>
        <v>4298.9149969499995</v>
      </c>
      <c r="D112" s="1736">
        <v>649.11181754999984</v>
      </c>
      <c r="E112" s="1736">
        <v>1746.6282395999999</v>
      </c>
      <c r="F112" s="1736">
        <v>241.53345581999997</v>
      </c>
      <c r="G112" s="1736">
        <v>1661.6414839800002</v>
      </c>
      <c r="H112" s="1736">
        <f t="shared" si="16"/>
        <v>2539.63416263</v>
      </c>
      <c r="I112" s="1736">
        <v>10.30967897</v>
      </c>
      <c r="J112" s="1736">
        <v>631.46475049000003</v>
      </c>
      <c r="K112" s="1736">
        <v>418.16210343</v>
      </c>
      <c r="L112" s="1736">
        <v>1479.6976297400001</v>
      </c>
      <c r="M112" s="1736">
        <f t="shared" si="17"/>
        <v>2957.9251515599999</v>
      </c>
      <c r="N112" s="1736">
        <f t="shared" si="18"/>
        <v>1227.6899946699998</v>
      </c>
      <c r="O112" s="1736">
        <f t="shared" si="18"/>
        <v>196.9698734599998</v>
      </c>
      <c r="P112" s="1736">
        <f t="shared" si="18"/>
        <v>1074.7975338300002</v>
      </c>
      <c r="Q112" s="1736">
        <f t="shared" si="18"/>
        <v>458.46774960000016</v>
      </c>
      <c r="R112" s="1737">
        <v>1887.1114911899997</v>
      </c>
      <c r="S112" s="1737">
        <v>2575.0628635499997</v>
      </c>
      <c r="T112" s="1737">
        <v>1734.4930930800001</v>
      </c>
      <c r="U112" s="1737">
        <v>3599.8068633200005</v>
      </c>
    </row>
    <row r="113" spans="1:21" ht="15.75" hidden="1">
      <c r="A113" s="1735" t="s">
        <v>21</v>
      </c>
      <c r="B113" s="1736">
        <f t="shared" si="14"/>
        <v>9870.0217999999986</v>
      </c>
      <c r="C113" s="1736">
        <f t="shared" si="15"/>
        <v>4338.8307999999997</v>
      </c>
      <c r="D113" s="1736">
        <v>672.02250000000004</v>
      </c>
      <c r="E113" s="1736">
        <v>1728.4594</v>
      </c>
      <c r="F113" s="1736">
        <v>254.8818</v>
      </c>
      <c r="G113" s="1736">
        <v>1683.4671000000001</v>
      </c>
      <c r="H113" s="1736">
        <f t="shared" si="16"/>
        <v>2479.8858</v>
      </c>
      <c r="I113" s="1736">
        <v>5.0224000000000002</v>
      </c>
      <c r="J113" s="1736">
        <v>608.96709999999996</v>
      </c>
      <c r="K113" s="1736">
        <v>407.29539999999997</v>
      </c>
      <c r="L113" s="1736">
        <v>1458.6008999999999</v>
      </c>
      <c r="M113" s="1736">
        <f t="shared" si="17"/>
        <v>3051.3051999999998</v>
      </c>
      <c r="N113" s="1736">
        <f t="shared" si="18"/>
        <v>1111.5926999999999</v>
      </c>
      <c r="O113" s="1736">
        <f t="shared" si="18"/>
        <v>207.89170000000024</v>
      </c>
      <c r="P113" s="1736">
        <f t="shared" si="18"/>
        <v>1256.3870999999999</v>
      </c>
      <c r="Q113" s="1736">
        <f t="shared" si="18"/>
        <v>475.43369999999982</v>
      </c>
      <c r="R113" s="1737">
        <v>1788.6376</v>
      </c>
      <c r="S113" s="1737">
        <v>2545.3182000000002</v>
      </c>
      <c r="T113" s="1737">
        <v>1918.5643</v>
      </c>
      <c r="U113" s="1737">
        <v>3617.5016999999998</v>
      </c>
    </row>
    <row r="114" spans="1:21" ht="15.75" hidden="1">
      <c r="A114" s="1735" t="s">
        <v>22</v>
      </c>
      <c r="B114" s="1736">
        <f t="shared" si="14"/>
        <v>9884.5236785399993</v>
      </c>
      <c r="C114" s="1736">
        <f t="shared" si="15"/>
        <v>4341.7222206499991</v>
      </c>
      <c r="D114" s="1736">
        <v>679.25029234999988</v>
      </c>
      <c r="E114" s="1736">
        <v>1771.4029413199999</v>
      </c>
      <c r="F114" s="1736">
        <v>230.23662935999999</v>
      </c>
      <c r="G114" s="1736">
        <v>1660.8323576199998</v>
      </c>
      <c r="H114" s="1736">
        <f t="shared" si="16"/>
        <v>2450.7414263999999</v>
      </c>
      <c r="I114" s="1736">
        <v>5.2371409699999996</v>
      </c>
      <c r="J114" s="1736">
        <v>629.57038065999996</v>
      </c>
      <c r="K114" s="1736">
        <v>390.89236090000003</v>
      </c>
      <c r="L114" s="1736">
        <v>1425.0415438699999</v>
      </c>
      <c r="M114" s="1736">
        <f t="shared" si="17"/>
        <v>3092.0600314899998</v>
      </c>
      <c r="N114" s="1736">
        <f t="shared" si="18"/>
        <v>1138.7164626800002</v>
      </c>
      <c r="O114" s="1736">
        <f t="shared" si="18"/>
        <v>187.37508336999986</v>
      </c>
      <c r="P114" s="1736">
        <f t="shared" si="18"/>
        <v>1280.2792602499999</v>
      </c>
      <c r="Q114" s="1736">
        <f t="shared" si="18"/>
        <v>485.68922518999989</v>
      </c>
      <c r="R114" s="1737">
        <v>1823.203896</v>
      </c>
      <c r="S114" s="1737">
        <v>2588.3484053499997</v>
      </c>
      <c r="T114" s="1737">
        <v>1901.40825051</v>
      </c>
      <c r="U114" s="1737">
        <v>3571.5631266799996</v>
      </c>
    </row>
    <row r="115" spans="1:21" ht="15.75" hidden="1">
      <c r="A115" s="1735" t="s">
        <v>23</v>
      </c>
      <c r="B115" s="1736">
        <f t="shared" si="14"/>
        <v>9704.262016839999</v>
      </c>
      <c r="C115" s="1736">
        <f t="shared" si="15"/>
        <v>4372.6359070899998</v>
      </c>
      <c r="D115" s="1736">
        <v>669.46719513999994</v>
      </c>
      <c r="E115" s="1736">
        <v>1811.3279832200001</v>
      </c>
      <c r="F115" s="1736">
        <v>231.98105070999998</v>
      </c>
      <c r="G115" s="1736">
        <v>1659.85967802</v>
      </c>
      <c r="H115" s="1736">
        <f t="shared" si="16"/>
        <v>2507.0515562099999</v>
      </c>
      <c r="I115" s="1736">
        <v>6.5660524100000002</v>
      </c>
      <c r="J115" s="1736">
        <v>652.09833856</v>
      </c>
      <c r="K115" s="1736">
        <v>397.33267481999997</v>
      </c>
      <c r="L115" s="1736">
        <v>1451.0544904199999</v>
      </c>
      <c r="M115" s="1736">
        <f t="shared" si="17"/>
        <v>2824.5745535400001</v>
      </c>
      <c r="N115" s="1736">
        <f t="shared" si="18"/>
        <v>1164.1472404999997</v>
      </c>
      <c r="O115" s="1736">
        <f t="shared" si="18"/>
        <v>198.10971278000011</v>
      </c>
      <c r="P115" s="1736">
        <f t="shared" si="18"/>
        <v>973.39075193999975</v>
      </c>
      <c r="Q115" s="1736">
        <f t="shared" si="18"/>
        <v>488.92684832000009</v>
      </c>
      <c r="R115" s="1737">
        <v>1840.1804880499999</v>
      </c>
      <c r="S115" s="1737">
        <v>2661.5360345600002</v>
      </c>
      <c r="T115" s="1737">
        <v>1602.7044774699998</v>
      </c>
      <c r="U115" s="1737">
        <v>3599.84101676</v>
      </c>
    </row>
    <row r="116" spans="1:21" ht="15.75" hidden="1">
      <c r="A116" s="1735" t="s">
        <v>24</v>
      </c>
      <c r="B116" s="1736">
        <f t="shared" si="14"/>
        <v>9668.729364259998</v>
      </c>
      <c r="C116" s="1736">
        <f t="shared" si="15"/>
        <v>4415.2287439399997</v>
      </c>
      <c r="D116" s="1736">
        <v>658.88300986000002</v>
      </c>
      <c r="E116" s="1736">
        <v>1825.7104709699997</v>
      </c>
      <c r="F116" s="1736">
        <v>257.16935923</v>
      </c>
      <c r="G116" s="1736">
        <v>1673.4659038799998</v>
      </c>
      <c r="H116" s="1736">
        <f t="shared" si="16"/>
        <v>2499.52509568</v>
      </c>
      <c r="I116" s="1736">
        <v>6.2388615000000005</v>
      </c>
      <c r="J116" s="1736">
        <v>641.30587288999993</v>
      </c>
      <c r="K116" s="1736">
        <v>379.42455395000002</v>
      </c>
      <c r="L116" s="1736">
        <v>1472.55580734</v>
      </c>
      <c r="M116" s="1736">
        <f t="shared" si="17"/>
        <v>2753.9755246399995</v>
      </c>
      <c r="N116" s="1736">
        <f t="shared" si="18"/>
        <v>1121.8602814299998</v>
      </c>
      <c r="O116" s="1736">
        <f t="shared" si="18"/>
        <v>173.76240737000001</v>
      </c>
      <c r="P116" s="1736">
        <f t="shared" si="18"/>
        <v>1065.59418018</v>
      </c>
      <c r="Q116" s="1736">
        <f t="shared" si="18"/>
        <v>392.75865565999993</v>
      </c>
      <c r="R116" s="1737">
        <v>1786.9821527899999</v>
      </c>
      <c r="S116" s="1737">
        <v>2640.7787512299997</v>
      </c>
      <c r="T116" s="1737">
        <v>1702.18809336</v>
      </c>
      <c r="U116" s="1737">
        <v>3538.7803668799997</v>
      </c>
    </row>
    <row r="117" spans="1:21" ht="15.75" hidden="1">
      <c r="A117" s="1735" t="s">
        <v>25</v>
      </c>
      <c r="B117" s="1736">
        <f t="shared" si="14"/>
        <v>9878.328764670001</v>
      </c>
      <c r="C117" s="1736">
        <f t="shared" si="15"/>
        <v>4462.5601259300001</v>
      </c>
      <c r="D117" s="1736">
        <v>721.67235341000014</v>
      </c>
      <c r="E117" s="1736">
        <v>1809.5610204300001</v>
      </c>
      <c r="F117" s="1736">
        <v>232.69745124999997</v>
      </c>
      <c r="G117" s="1736">
        <v>1698.6293008399998</v>
      </c>
      <c r="H117" s="1736">
        <f t="shared" si="16"/>
        <v>2610.3072060900004</v>
      </c>
      <c r="I117" s="1736">
        <v>4.6164299800000004</v>
      </c>
      <c r="J117" s="1736">
        <v>647.79572144999997</v>
      </c>
      <c r="K117" s="1736">
        <v>381.31788356999999</v>
      </c>
      <c r="L117" s="1736">
        <v>1576.5771710900001</v>
      </c>
      <c r="M117" s="1736">
        <f t="shared" si="17"/>
        <v>2805.4614326500005</v>
      </c>
      <c r="N117" s="1736">
        <f t="shared" si="18"/>
        <v>1176.5655515900003</v>
      </c>
      <c r="O117" s="1736">
        <f t="shared" si="18"/>
        <v>180.80083114000013</v>
      </c>
      <c r="P117" s="1736">
        <f t="shared" si="18"/>
        <v>1049.7707715299998</v>
      </c>
      <c r="Q117" s="1736">
        <f t="shared" si="18"/>
        <v>398.32427839000025</v>
      </c>
      <c r="R117" s="1737">
        <v>1902.8543349800004</v>
      </c>
      <c r="S117" s="1737">
        <v>2638.1575730200002</v>
      </c>
      <c r="T117" s="1737">
        <v>1663.78610635</v>
      </c>
      <c r="U117" s="1737">
        <v>3673.5307503200002</v>
      </c>
    </row>
    <row r="118" spans="1:21" ht="15.75" hidden="1">
      <c r="A118" s="1735" t="s">
        <v>26</v>
      </c>
      <c r="B118" s="1736">
        <f t="shared" si="14"/>
        <v>10080.6149085</v>
      </c>
      <c r="C118" s="1736">
        <f t="shared" si="15"/>
        <v>4556.3257138199997</v>
      </c>
      <c r="D118" s="1736">
        <v>756.27759278000008</v>
      </c>
      <c r="E118" s="1736">
        <v>1859.6378374399999</v>
      </c>
      <c r="F118" s="1736">
        <v>237.46295470999999</v>
      </c>
      <c r="G118" s="1736">
        <v>1702.9473288899999</v>
      </c>
      <c r="H118" s="1736">
        <f t="shared" si="16"/>
        <v>2710.0146456299999</v>
      </c>
      <c r="I118" s="1736">
        <v>4.34345713</v>
      </c>
      <c r="J118" s="1736">
        <v>653.09437937999996</v>
      </c>
      <c r="K118" s="1736">
        <v>138.46559632</v>
      </c>
      <c r="L118" s="1736">
        <v>1914.1112128</v>
      </c>
      <c r="M118" s="1736">
        <f t="shared" si="17"/>
        <v>2814.2745490500001</v>
      </c>
      <c r="N118" s="1736">
        <f t="shared" si="18"/>
        <v>1102.88959903</v>
      </c>
      <c r="O118" s="1736">
        <f t="shared" si="18"/>
        <v>183.6878387200004</v>
      </c>
      <c r="P118" s="1736">
        <f t="shared" si="18"/>
        <v>1116.4094980399998</v>
      </c>
      <c r="Q118" s="1736">
        <f t="shared" si="18"/>
        <v>411.28761325999994</v>
      </c>
      <c r="R118" s="1737">
        <v>1863.51064894</v>
      </c>
      <c r="S118" s="1737">
        <v>2696.4200555400002</v>
      </c>
      <c r="T118" s="1737">
        <v>1492.3380490699999</v>
      </c>
      <c r="U118" s="1737">
        <v>4028.3461549499998</v>
      </c>
    </row>
    <row r="119" spans="1:21" ht="15.75" hidden="1">
      <c r="A119" s="1735" t="s">
        <v>27</v>
      </c>
      <c r="B119" s="1736">
        <f t="shared" si="14"/>
        <v>10202.409563829999</v>
      </c>
      <c r="C119" s="1736">
        <f t="shared" si="15"/>
        <v>4689.6690311399998</v>
      </c>
      <c r="D119" s="1736">
        <v>740.00818454000012</v>
      </c>
      <c r="E119" s="1736">
        <v>1964.2639437899998</v>
      </c>
      <c r="F119" s="1736">
        <v>265.28756340000001</v>
      </c>
      <c r="G119" s="1736">
        <v>1720.1093394100001</v>
      </c>
      <c r="H119" s="1736">
        <f t="shared" si="16"/>
        <v>2732.4536095599997</v>
      </c>
      <c r="I119" s="1736">
        <v>6.4126940900000005</v>
      </c>
      <c r="J119" s="1736">
        <v>674.24850509999987</v>
      </c>
      <c r="K119" s="1736">
        <v>398.36748927999997</v>
      </c>
      <c r="L119" s="1736">
        <v>1653.42492109</v>
      </c>
      <c r="M119" s="1736">
        <f t="shared" si="17"/>
        <v>2780.2869231300001</v>
      </c>
      <c r="N119" s="1736">
        <f t="shared" si="18"/>
        <v>1057.8898554000002</v>
      </c>
      <c r="O119" s="1736">
        <f t="shared" si="18"/>
        <v>182.71714234000001</v>
      </c>
      <c r="P119" s="1736">
        <f t="shared" si="18"/>
        <v>1016.99807867</v>
      </c>
      <c r="Q119" s="1736">
        <f t="shared" si="18"/>
        <v>522.68184671999984</v>
      </c>
      <c r="R119" s="1737">
        <v>1804.3107340300003</v>
      </c>
      <c r="S119" s="1737">
        <v>2821.2295912299996</v>
      </c>
      <c r="T119" s="1737">
        <v>1680.65313135</v>
      </c>
      <c r="U119" s="1737">
        <v>3896.2161072199997</v>
      </c>
    </row>
    <row r="120" spans="1:21" ht="15.75" hidden="1">
      <c r="A120" s="1735" t="s">
        <v>28</v>
      </c>
      <c r="B120" s="1736">
        <f t="shared" si="14"/>
        <v>10409.88123689</v>
      </c>
      <c r="C120" s="1736">
        <f t="shared" si="15"/>
        <v>4762.9615697899999</v>
      </c>
      <c r="D120" s="1736">
        <v>786.45607401999985</v>
      </c>
      <c r="E120" s="1736">
        <v>2018.1416876500002</v>
      </c>
      <c r="F120" s="1736">
        <v>233.77282270000001</v>
      </c>
      <c r="G120" s="1736">
        <v>1724.5909854200002</v>
      </c>
      <c r="H120" s="1736">
        <f t="shared" si="16"/>
        <v>2752.2809043000002</v>
      </c>
      <c r="I120" s="1736">
        <v>4.8639516799999996</v>
      </c>
      <c r="J120" s="1736">
        <v>678.3258898900001</v>
      </c>
      <c r="K120" s="1736">
        <v>406.54243339000004</v>
      </c>
      <c r="L120" s="1736">
        <v>1662.5486293399999</v>
      </c>
      <c r="M120" s="1736">
        <f t="shared" si="17"/>
        <v>2894.6387628000002</v>
      </c>
      <c r="N120" s="1736">
        <f t="shared" si="18"/>
        <v>1044.3525877100001</v>
      </c>
      <c r="O120" s="1736">
        <f t="shared" si="18"/>
        <v>198.85315732999993</v>
      </c>
      <c r="P120" s="1736">
        <f t="shared" si="18"/>
        <v>1151.8090281</v>
      </c>
      <c r="Q120" s="1736">
        <f t="shared" si="18"/>
        <v>499.62398966000001</v>
      </c>
      <c r="R120" s="1737">
        <v>1835.6726134099999</v>
      </c>
      <c r="S120" s="1737">
        <v>2895.3207348700003</v>
      </c>
      <c r="T120" s="1737">
        <v>1792.12428419</v>
      </c>
      <c r="U120" s="1737">
        <v>3886.7636044200003</v>
      </c>
    </row>
    <row r="121" spans="1:21" ht="15.75" hidden="1">
      <c r="A121" s="1735" t="s">
        <v>29</v>
      </c>
      <c r="B121" s="1736">
        <f t="shared" si="14"/>
        <v>10699.241985770001</v>
      </c>
      <c r="C121" s="1736">
        <f t="shared" si="15"/>
        <v>5113.4078103299998</v>
      </c>
      <c r="D121" s="1736">
        <v>777.14939947000005</v>
      </c>
      <c r="E121" s="1736">
        <v>2186.70776303</v>
      </c>
      <c r="F121" s="1736">
        <v>265.68550679999998</v>
      </c>
      <c r="G121" s="1736">
        <v>1883.8651410300004</v>
      </c>
      <c r="H121" s="1736">
        <f t="shared" si="16"/>
        <v>2782.9527644100003</v>
      </c>
      <c r="I121" s="1736">
        <v>5.4634511200000002</v>
      </c>
      <c r="J121" s="1736">
        <v>706.33409993999999</v>
      </c>
      <c r="K121" s="1736">
        <v>449.44292741000004</v>
      </c>
      <c r="L121" s="1736">
        <v>1621.7122859400004</v>
      </c>
      <c r="M121" s="1736">
        <f t="shared" si="17"/>
        <v>2802.88141103</v>
      </c>
      <c r="N121" s="1736">
        <f>R121-D121-I121</f>
        <v>1198.4983402600003</v>
      </c>
      <c r="O121" s="1736">
        <f>S121-E121-J121</f>
        <v>188.39494251000019</v>
      </c>
      <c r="P121" s="1736">
        <f>T121-F121-K121</f>
        <v>929.97896890999982</v>
      </c>
      <c r="Q121" s="1736">
        <f>U121-G121-L121</f>
        <v>486.00915934999989</v>
      </c>
      <c r="R121" s="1737">
        <v>1981.1111908500002</v>
      </c>
      <c r="S121" s="1737">
        <v>3081.4368054800002</v>
      </c>
      <c r="T121" s="1737">
        <v>1645.1074031199998</v>
      </c>
      <c r="U121" s="1737">
        <v>3991.5865863200006</v>
      </c>
    </row>
    <row r="122" spans="1:21" ht="15.75">
      <c r="A122" s="1739">
        <v>2013</v>
      </c>
      <c r="B122" s="1731">
        <v>12475.783595810002</v>
      </c>
      <c r="C122" s="1731">
        <v>6395.8448741600005</v>
      </c>
      <c r="D122" s="1731">
        <v>778.70325536999997</v>
      </c>
      <c r="E122" s="1731">
        <v>3109.6437595800003</v>
      </c>
      <c r="F122" s="1731">
        <v>309.56646377000004</v>
      </c>
      <c r="G122" s="1731">
        <v>2197.9313954400004</v>
      </c>
      <c r="H122" s="1731">
        <v>3261.5046962000001</v>
      </c>
      <c r="I122" s="1731">
        <v>103.48941263000002</v>
      </c>
      <c r="J122" s="1731">
        <v>731.25387891999992</v>
      </c>
      <c r="K122" s="1731">
        <v>428.65719717000002</v>
      </c>
      <c r="L122" s="1731">
        <v>1998.1042074800002</v>
      </c>
      <c r="M122" s="1731">
        <v>2818.4340254500016</v>
      </c>
      <c r="N122" s="1731">
        <v>1444.3999876199996</v>
      </c>
      <c r="O122" s="1731">
        <v>243.37742881000065</v>
      </c>
      <c r="P122" s="1731">
        <v>703.51957488000016</v>
      </c>
      <c r="Q122" s="1731">
        <v>427.13703414000111</v>
      </c>
      <c r="R122" s="1737"/>
      <c r="S122" s="1737"/>
      <c r="T122" s="1737"/>
      <c r="U122" s="1737"/>
    </row>
    <row r="123" spans="1:21" ht="15.75" hidden="1">
      <c r="A123" s="1735" t="s">
        <v>18</v>
      </c>
      <c r="B123" s="1736">
        <f t="shared" ref="B123:B134" si="19">+C123+M123+H123</f>
        <v>10357.58610067</v>
      </c>
      <c r="C123" s="1736">
        <f t="shared" ref="C123:C134" si="20">SUM(D123:G123)</f>
        <v>5315.3829536699986</v>
      </c>
      <c r="D123" s="1736">
        <v>792.94621103999987</v>
      </c>
      <c r="E123" s="1736">
        <v>2379.6441138899991</v>
      </c>
      <c r="F123" s="1736">
        <v>275.02096951999994</v>
      </c>
      <c r="G123" s="1736">
        <v>1867.7716592199995</v>
      </c>
      <c r="H123" s="1736">
        <f t="shared" ref="H123:H134" si="21">SUM(I123:L123)</f>
        <v>2636.0091594700002</v>
      </c>
      <c r="I123" s="1736">
        <v>100.20256955000001</v>
      </c>
      <c r="J123" s="1736">
        <v>633.38256508000006</v>
      </c>
      <c r="K123" s="1736">
        <v>448.99199352000005</v>
      </c>
      <c r="L123" s="1736">
        <v>1453.4320313200001</v>
      </c>
      <c r="M123" s="1736">
        <f t="shared" ref="M123:M134" si="22">SUM(N123:Q123)</f>
        <v>2406.19398753</v>
      </c>
      <c r="N123" s="1736">
        <f t="shared" ref="N123:Q133" si="23">R123-D123-I123</f>
        <v>958.59188996999922</v>
      </c>
      <c r="O123" s="1736">
        <f t="shared" si="23"/>
        <v>196.86302764000027</v>
      </c>
      <c r="P123" s="1736">
        <f t="shared" si="23"/>
        <v>790.45784391999996</v>
      </c>
      <c r="Q123" s="1736">
        <f t="shared" si="23"/>
        <v>460.28122600000052</v>
      </c>
      <c r="R123" s="1737">
        <v>1851.7406705599992</v>
      </c>
      <c r="S123" s="1737">
        <v>3209.8897066099994</v>
      </c>
      <c r="T123" s="1737">
        <v>1514.4708069599999</v>
      </c>
      <c r="U123" s="1737">
        <v>3781.4849165400001</v>
      </c>
    </row>
    <row r="124" spans="1:21" ht="15.75" hidden="1">
      <c r="A124" s="1735" t="s">
        <v>19</v>
      </c>
      <c r="B124" s="1736">
        <f t="shared" si="19"/>
        <v>10446.900583219998</v>
      </c>
      <c r="C124" s="1736">
        <f t="shared" si="20"/>
        <v>5416.8434167400001</v>
      </c>
      <c r="D124" s="1736">
        <v>864.91507689999992</v>
      </c>
      <c r="E124" s="1736">
        <v>2361.7131653200004</v>
      </c>
      <c r="F124" s="1736">
        <v>263.99812459000003</v>
      </c>
      <c r="G124" s="1736">
        <v>1926.21704993</v>
      </c>
      <c r="H124" s="1736">
        <f t="shared" si="21"/>
        <v>2613.5789296399998</v>
      </c>
      <c r="I124" s="1736">
        <v>94.201924020000007</v>
      </c>
      <c r="J124" s="1736">
        <v>660.33079098999997</v>
      </c>
      <c r="K124" s="1736">
        <v>426.78661963999991</v>
      </c>
      <c r="L124" s="1736">
        <v>1432.2595949899999</v>
      </c>
      <c r="M124" s="1736">
        <f t="shared" si="22"/>
        <v>2416.4782368399992</v>
      </c>
      <c r="N124" s="1736">
        <f t="shared" si="23"/>
        <v>1056.6722713299998</v>
      </c>
      <c r="O124" s="1736">
        <f t="shared" si="23"/>
        <v>210.85119891999966</v>
      </c>
      <c r="P124" s="1736">
        <f t="shared" si="23"/>
        <v>685.09787883999968</v>
      </c>
      <c r="Q124" s="1736">
        <f t="shared" si="23"/>
        <v>463.85688774999994</v>
      </c>
      <c r="R124" s="1737">
        <v>2015.7892722499996</v>
      </c>
      <c r="S124" s="1737">
        <v>3232.89515523</v>
      </c>
      <c r="T124" s="1737">
        <v>1375.8826230699997</v>
      </c>
      <c r="U124" s="1737">
        <v>3822.3335326699998</v>
      </c>
    </row>
    <row r="125" spans="1:21" ht="15.75" hidden="1">
      <c r="A125" s="1735" t="s">
        <v>20</v>
      </c>
      <c r="B125" s="1736">
        <f t="shared" si="19"/>
        <v>11012.710718599999</v>
      </c>
      <c r="C125" s="1736">
        <f t="shared" si="20"/>
        <v>5535.9675161499999</v>
      </c>
      <c r="D125" s="1736">
        <v>858.79915614000015</v>
      </c>
      <c r="E125" s="1736">
        <v>2400.9639115699997</v>
      </c>
      <c r="F125" s="1736">
        <v>286.20754225000002</v>
      </c>
      <c r="G125" s="1736">
        <v>1989.9969061899997</v>
      </c>
      <c r="H125" s="1736">
        <f t="shared" si="21"/>
        <v>2605.3736680799993</v>
      </c>
      <c r="I125" s="1736">
        <v>115.13421848999999</v>
      </c>
      <c r="J125" s="1736">
        <v>640.68966505999992</v>
      </c>
      <c r="K125" s="1736">
        <v>422.09620212999999</v>
      </c>
      <c r="L125" s="1736">
        <v>1427.4535823999997</v>
      </c>
      <c r="M125" s="1736">
        <f t="shared" si="22"/>
        <v>2871.3695343700001</v>
      </c>
      <c r="N125" s="1736">
        <f t="shared" si="23"/>
        <v>1130.0643066</v>
      </c>
      <c r="O125" s="1736">
        <f t="shared" si="23"/>
        <v>217.34985059999985</v>
      </c>
      <c r="P125" s="1736">
        <f t="shared" si="23"/>
        <v>1111.2092281400001</v>
      </c>
      <c r="Q125" s="1736">
        <f t="shared" si="23"/>
        <v>412.74614903000042</v>
      </c>
      <c r="R125" s="1737">
        <v>2103.9976812300001</v>
      </c>
      <c r="S125" s="1737">
        <v>3259.0034272299995</v>
      </c>
      <c r="T125" s="1737">
        <v>1819.5129725199999</v>
      </c>
      <c r="U125" s="1737">
        <v>3830.1966376199998</v>
      </c>
    </row>
    <row r="126" spans="1:21" ht="15.75" hidden="1">
      <c r="A126" s="1735" t="s">
        <v>21</v>
      </c>
      <c r="B126" s="1736">
        <f t="shared" si="19"/>
        <v>11405.290646939999</v>
      </c>
      <c r="C126" s="1736">
        <f t="shared" si="20"/>
        <v>5768.28016561</v>
      </c>
      <c r="D126" s="1736">
        <v>854.49023348000003</v>
      </c>
      <c r="E126" s="1736">
        <v>2623.5965471</v>
      </c>
      <c r="F126" s="1736">
        <v>259.28737891000014</v>
      </c>
      <c r="G126" s="1736">
        <v>2030.9060061200003</v>
      </c>
      <c r="H126" s="1736">
        <f t="shared" si="21"/>
        <v>2688.5701215499998</v>
      </c>
      <c r="I126" s="1736">
        <v>94.600993639999999</v>
      </c>
      <c r="J126" s="1736">
        <v>669.14858622999998</v>
      </c>
      <c r="K126" s="1736">
        <v>424.61082911</v>
      </c>
      <c r="L126" s="1736">
        <v>1500.20971257</v>
      </c>
      <c r="M126" s="1736">
        <f t="shared" si="22"/>
        <v>2948.4403597800001</v>
      </c>
      <c r="N126" s="1736">
        <f t="shared" si="23"/>
        <v>1278.81957091</v>
      </c>
      <c r="O126" s="1736">
        <f t="shared" si="23"/>
        <v>178.76003415000025</v>
      </c>
      <c r="P126" s="1736">
        <f t="shared" si="23"/>
        <v>1053.0026769699998</v>
      </c>
      <c r="Q126" s="1736">
        <f t="shared" si="23"/>
        <v>437.85807774999989</v>
      </c>
      <c r="R126" s="1737">
        <v>2227.91079803</v>
      </c>
      <c r="S126" s="1737">
        <v>3471.5051674800002</v>
      </c>
      <c r="T126" s="1737">
        <v>1736.9008849899999</v>
      </c>
      <c r="U126" s="1737">
        <v>3968.9737964400001</v>
      </c>
    </row>
    <row r="127" spans="1:21" ht="15.75" hidden="1">
      <c r="A127" s="1735" t="s">
        <v>22</v>
      </c>
      <c r="B127" s="1736">
        <f t="shared" si="19"/>
        <v>11434.838022740001</v>
      </c>
      <c r="C127" s="1736">
        <f t="shared" si="20"/>
        <v>5891.45147163</v>
      </c>
      <c r="D127" s="1736">
        <v>876.25826108000001</v>
      </c>
      <c r="E127" s="1736">
        <v>2689.0953467899999</v>
      </c>
      <c r="F127" s="1736">
        <v>280.78414050000003</v>
      </c>
      <c r="G127" s="1736">
        <v>2045.31372326</v>
      </c>
      <c r="H127" s="1736">
        <f t="shared" si="21"/>
        <v>2653.2853939299998</v>
      </c>
      <c r="I127" s="1736">
        <v>78.181303840000012</v>
      </c>
      <c r="J127" s="1736">
        <v>657.37994577999996</v>
      </c>
      <c r="K127" s="1736">
        <v>448.60835157999986</v>
      </c>
      <c r="L127" s="1736">
        <v>1469.1157927300001</v>
      </c>
      <c r="M127" s="1736">
        <f t="shared" si="22"/>
        <v>2890.10115718</v>
      </c>
      <c r="N127" s="1736">
        <f t="shared" si="23"/>
        <v>1227.7584335600004</v>
      </c>
      <c r="O127" s="1736">
        <f t="shared" si="23"/>
        <v>206.03727914999956</v>
      </c>
      <c r="P127" s="1736">
        <f t="shared" si="23"/>
        <v>1074.8055990099999</v>
      </c>
      <c r="Q127" s="1736">
        <f t="shared" si="23"/>
        <v>381.49984545999973</v>
      </c>
      <c r="R127" s="1737">
        <v>2182.1979984800005</v>
      </c>
      <c r="S127" s="1737">
        <v>3552.5125717199994</v>
      </c>
      <c r="T127" s="1737">
        <v>1804.1980910899997</v>
      </c>
      <c r="U127" s="1737">
        <v>3895.9293614499998</v>
      </c>
    </row>
    <row r="128" spans="1:21" ht="15.75" hidden="1">
      <c r="A128" s="1735" t="s">
        <v>23</v>
      </c>
      <c r="B128" s="1736">
        <f t="shared" si="19"/>
        <v>11399.91035052</v>
      </c>
      <c r="C128" s="1736">
        <f t="shared" si="20"/>
        <v>5922.2164039400004</v>
      </c>
      <c r="D128" s="1736">
        <v>914.47111170000017</v>
      </c>
      <c r="E128" s="1736">
        <v>2669.3835586100004</v>
      </c>
      <c r="F128" s="1736">
        <v>288.40273113999996</v>
      </c>
      <c r="G128" s="1736">
        <v>2049.9590024899999</v>
      </c>
      <c r="H128" s="1736">
        <f t="shared" si="21"/>
        <v>2827.1700825699995</v>
      </c>
      <c r="I128" s="1736">
        <v>114.87015584000001</v>
      </c>
      <c r="J128" s="1736">
        <v>679.62690398999973</v>
      </c>
      <c r="K128" s="1736">
        <v>454.16518194999998</v>
      </c>
      <c r="L128" s="1736">
        <v>1578.5078407899998</v>
      </c>
      <c r="M128" s="1736">
        <f t="shared" si="22"/>
        <v>2650.5238640100006</v>
      </c>
      <c r="N128" s="1736">
        <f t="shared" si="23"/>
        <v>1213.7837550800007</v>
      </c>
      <c r="O128" s="1736">
        <f t="shared" si="23"/>
        <v>194.15445337999984</v>
      </c>
      <c r="P128" s="1736">
        <f t="shared" si="23"/>
        <v>780.55432711999993</v>
      </c>
      <c r="Q128" s="1736">
        <f t="shared" si="23"/>
        <v>462.03132843000026</v>
      </c>
      <c r="R128" s="1737">
        <v>2243.1250226200009</v>
      </c>
      <c r="S128" s="1737">
        <v>3543.1649159799999</v>
      </c>
      <c r="T128" s="1737">
        <v>1523.12224021</v>
      </c>
      <c r="U128" s="1737">
        <v>4090.49817171</v>
      </c>
    </row>
    <row r="129" spans="1:21" ht="15.75" hidden="1">
      <c r="A129" s="1735" t="s">
        <v>24</v>
      </c>
      <c r="B129" s="1736">
        <f t="shared" si="19"/>
        <v>11655.10998614</v>
      </c>
      <c r="C129" s="1736">
        <f t="shared" si="20"/>
        <v>6019.3164782799995</v>
      </c>
      <c r="D129" s="1736">
        <v>850.97289785000021</v>
      </c>
      <c r="E129" s="1736">
        <v>2758.8862862400001</v>
      </c>
      <c r="F129" s="1736">
        <v>309.16418523999999</v>
      </c>
      <c r="G129" s="1736">
        <v>2100.2931089499998</v>
      </c>
      <c r="H129" s="1736">
        <f t="shared" si="21"/>
        <v>2882.1212117900004</v>
      </c>
      <c r="I129" s="1736">
        <v>109.30756085000002</v>
      </c>
      <c r="J129" s="1736">
        <v>700.00717716999998</v>
      </c>
      <c r="K129" s="1736">
        <v>467.43143580999998</v>
      </c>
      <c r="L129" s="1736">
        <v>1605.3750379600001</v>
      </c>
      <c r="M129" s="1736">
        <f t="shared" si="22"/>
        <v>2753.6722960699999</v>
      </c>
      <c r="N129" s="1736">
        <f t="shared" si="23"/>
        <v>1208.1143705900001</v>
      </c>
      <c r="O129" s="1736">
        <f t="shared" si="23"/>
        <v>189.44798328000024</v>
      </c>
      <c r="P129" s="1736">
        <f t="shared" si="23"/>
        <v>928.79279054999938</v>
      </c>
      <c r="Q129" s="1736">
        <f t="shared" si="23"/>
        <v>427.31715165000014</v>
      </c>
      <c r="R129" s="1737">
        <v>2168.3948292900004</v>
      </c>
      <c r="S129" s="1737">
        <v>3648.3414466900003</v>
      </c>
      <c r="T129" s="1737">
        <v>1705.3884115999995</v>
      </c>
      <c r="U129" s="1737">
        <v>4132.98529856</v>
      </c>
    </row>
    <row r="130" spans="1:21" ht="15.75" hidden="1">
      <c r="A130" s="1735" t="s">
        <v>25</v>
      </c>
      <c r="B130" s="1736">
        <f t="shared" si="19"/>
        <v>11661.530436970001</v>
      </c>
      <c r="C130" s="1736">
        <f t="shared" si="20"/>
        <v>6090.431832010001</v>
      </c>
      <c r="D130" s="1736">
        <v>909.82929411999999</v>
      </c>
      <c r="E130" s="1736">
        <v>2776.4284540499998</v>
      </c>
      <c r="F130" s="1736">
        <v>308.04844322000002</v>
      </c>
      <c r="G130" s="1736">
        <v>2096.1256406200005</v>
      </c>
      <c r="H130" s="1736">
        <f t="shared" si="21"/>
        <v>2931.2723908099997</v>
      </c>
      <c r="I130" s="1736">
        <v>97.954440939999998</v>
      </c>
      <c r="J130" s="1736">
        <v>752.5562511899999</v>
      </c>
      <c r="K130" s="1736">
        <v>791.49659497999994</v>
      </c>
      <c r="L130" s="1736">
        <v>1289.2651037000001</v>
      </c>
      <c r="M130" s="1736">
        <f t="shared" si="22"/>
        <v>2639.8262141499999</v>
      </c>
      <c r="N130" s="1736">
        <f t="shared" si="23"/>
        <v>1278.89994017</v>
      </c>
      <c r="O130" s="1736">
        <f t="shared" si="23"/>
        <v>201.1021392399997</v>
      </c>
      <c r="P130" s="1736">
        <f t="shared" si="23"/>
        <v>762.79325236000011</v>
      </c>
      <c r="Q130" s="1736">
        <f t="shared" si="23"/>
        <v>397.03088238000009</v>
      </c>
      <c r="R130" s="1737">
        <v>2286.6836752300001</v>
      </c>
      <c r="S130" s="1737">
        <v>3730.0868444799994</v>
      </c>
      <c r="T130" s="1737">
        <v>1862.3382905600001</v>
      </c>
      <c r="U130" s="1737">
        <v>3782.4216267000006</v>
      </c>
    </row>
    <row r="131" spans="1:21" ht="15.75" hidden="1">
      <c r="A131" s="1735" t="s">
        <v>26</v>
      </c>
      <c r="B131" s="1736">
        <f t="shared" si="19"/>
        <v>11929.36142668</v>
      </c>
      <c r="C131" s="1736">
        <f t="shared" si="20"/>
        <v>6237.3948655100003</v>
      </c>
      <c r="D131" s="1736">
        <v>992.37874834000002</v>
      </c>
      <c r="E131" s="1736">
        <v>2817.8499626499997</v>
      </c>
      <c r="F131" s="1736">
        <v>319.43896704000014</v>
      </c>
      <c r="G131" s="1736">
        <v>2107.7271874799999</v>
      </c>
      <c r="H131" s="1736">
        <f t="shared" si="21"/>
        <v>3067.3028821299995</v>
      </c>
      <c r="I131" s="1736">
        <v>98.178958879999996</v>
      </c>
      <c r="J131" s="1736">
        <v>783.31214825999996</v>
      </c>
      <c r="K131" s="1736">
        <v>440.90300232999999</v>
      </c>
      <c r="L131" s="1736">
        <v>1744.9087726599998</v>
      </c>
      <c r="M131" s="1736">
        <f t="shared" si="22"/>
        <v>2624.6636790399989</v>
      </c>
      <c r="N131" s="1736">
        <f t="shared" si="23"/>
        <v>1178.5375590499996</v>
      </c>
      <c r="O131" s="1736">
        <f t="shared" si="23"/>
        <v>212.25592955000002</v>
      </c>
      <c r="P131" s="1736">
        <f t="shared" si="23"/>
        <v>843.3608407700001</v>
      </c>
      <c r="Q131" s="1736">
        <f t="shared" si="23"/>
        <v>390.50934966999944</v>
      </c>
      <c r="R131" s="1737">
        <v>2269.0952662699997</v>
      </c>
      <c r="S131" s="1737">
        <v>3813.4180404599997</v>
      </c>
      <c r="T131" s="1737">
        <v>1603.7028101400001</v>
      </c>
      <c r="U131" s="1737">
        <v>4243.1453098099992</v>
      </c>
    </row>
    <row r="132" spans="1:21" ht="15.75" hidden="1">
      <c r="A132" s="1735" t="s">
        <v>27</v>
      </c>
      <c r="B132" s="1736">
        <f t="shared" si="19"/>
        <v>12042.25122926</v>
      </c>
      <c r="C132" s="1736">
        <f t="shared" si="20"/>
        <v>6303.3730588999997</v>
      </c>
      <c r="D132" s="1736">
        <v>945.16911811</v>
      </c>
      <c r="E132" s="1736">
        <v>2920.6318050799991</v>
      </c>
      <c r="F132" s="1736">
        <v>311.54953896000012</v>
      </c>
      <c r="G132" s="1736">
        <v>2126.02259675</v>
      </c>
      <c r="H132" s="1736">
        <f t="shared" si="21"/>
        <v>3067.8471613700003</v>
      </c>
      <c r="I132" s="1736">
        <v>86.933718430000013</v>
      </c>
      <c r="J132" s="1736">
        <v>782.41797007999992</v>
      </c>
      <c r="K132" s="1736">
        <v>448.31190614999997</v>
      </c>
      <c r="L132" s="1736">
        <v>1750.1835667100002</v>
      </c>
      <c r="M132" s="1736">
        <f t="shared" si="22"/>
        <v>2671.0310089900004</v>
      </c>
      <c r="N132" s="1736">
        <f t="shared" si="23"/>
        <v>1166.8942494399996</v>
      </c>
      <c r="O132" s="1736">
        <f t="shared" si="23"/>
        <v>228.05287413000008</v>
      </c>
      <c r="P132" s="1736">
        <f t="shared" si="23"/>
        <v>868.34383840999999</v>
      </c>
      <c r="Q132" s="1736">
        <f t="shared" si="23"/>
        <v>407.74004701000035</v>
      </c>
      <c r="R132" s="1737">
        <v>2198.9970859799996</v>
      </c>
      <c r="S132" s="1737">
        <v>3931.1026492899991</v>
      </c>
      <c r="T132" s="1737">
        <v>1628.20528352</v>
      </c>
      <c r="U132" s="1737">
        <v>4283.9462104700006</v>
      </c>
    </row>
    <row r="133" spans="1:21" ht="15.75" hidden="1">
      <c r="A133" s="1735" t="s">
        <v>28</v>
      </c>
      <c r="B133" s="1736">
        <f t="shared" si="19"/>
        <v>12432.654090510001</v>
      </c>
      <c r="C133" s="1736">
        <f t="shared" si="20"/>
        <v>6419.6112475600003</v>
      </c>
      <c r="D133" s="1736">
        <v>977.85977923999985</v>
      </c>
      <c r="E133" s="1736">
        <v>2977.5962449000003</v>
      </c>
      <c r="F133" s="1736">
        <v>309.62957451999995</v>
      </c>
      <c r="G133" s="1736">
        <v>2154.5256488999999</v>
      </c>
      <c r="H133" s="1736">
        <f t="shared" si="21"/>
        <v>3250.1392026500002</v>
      </c>
      <c r="I133" s="1736">
        <v>98.001636359999992</v>
      </c>
      <c r="J133" s="1736">
        <v>764.71277609999993</v>
      </c>
      <c r="K133" s="1736">
        <v>460.93221067000002</v>
      </c>
      <c r="L133" s="1736">
        <v>1926.4925795200002</v>
      </c>
      <c r="M133" s="1736">
        <f t="shared" si="22"/>
        <v>2762.9036403</v>
      </c>
      <c r="N133" s="1736">
        <f t="shared" si="23"/>
        <v>1154.0201636000002</v>
      </c>
      <c r="O133" s="1736">
        <f t="shared" si="23"/>
        <v>225.60669772999995</v>
      </c>
      <c r="P133" s="1736">
        <f t="shared" si="23"/>
        <v>945.79912570000022</v>
      </c>
      <c r="Q133" s="1736">
        <f t="shared" si="23"/>
        <v>437.47765326999979</v>
      </c>
      <c r="R133" s="1737">
        <v>2229.8815792</v>
      </c>
      <c r="S133" s="1737">
        <v>3967.9157187300002</v>
      </c>
      <c r="T133" s="1737">
        <v>1716.3609108900002</v>
      </c>
      <c r="U133" s="1737">
        <v>4518.4958816899998</v>
      </c>
    </row>
    <row r="134" spans="1:21" ht="15.75" hidden="1">
      <c r="A134" s="1735" t="s">
        <v>29</v>
      </c>
      <c r="B134" s="1736">
        <f t="shared" si="19"/>
        <v>12475.783595810002</v>
      </c>
      <c r="C134" s="1736">
        <f t="shared" si="20"/>
        <v>6395.8448741600005</v>
      </c>
      <c r="D134" s="1736">
        <v>778.70325536999997</v>
      </c>
      <c r="E134" s="1736">
        <v>3109.6437595800003</v>
      </c>
      <c r="F134" s="1736">
        <v>309.56646377000004</v>
      </c>
      <c r="G134" s="1736">
        <v>2197.9313954400004</v>
      </c>
      <c r="H134" s="1736">
        <f t="shared" si="21"/>
        <v>3261.5046962000001</v>
      </c>
      <c r="I134" s="1736">
        <v>103.48941263000002</v>
      </c>
      <c r="J134" s="1736">
        <v>731.25387891999992</v>
      </c>
      <c r="K134" s="1736">
        <v>428.65719717000002</v>
      </c>
      <c r="L134" s="1736">
        <v>1998.1042074800002</v>
      </c>
      <c r="M134" s="1736">
        <f t="shared" si="22"/>
        <v>2818.4340254500016</v>
      </c>
      <c r="N134" s="1736">
        <f>R134-D134-I134</f>
        <v>1444.3999876199996</v>
      </c>
      <c r="O134" s="1736">
        <f>S134-E134-J134</f>
        <v>243.37742881000065</v>
      </c>
      <c r="P134" s="1736">
        <f>T134-F134-K134</f>
        <v>703.51957488000016</v>
      </c>
      <c r="Q134" s="1736">
        <f>U134-G134-L134</f>
        <v>427.13703414000111</v>
      </c>
      <c r="R134" s="1737">
        <v>2326.5926556199997</v>
      </c>
      <c r="S134" s="1737">
        <v>4084.2750673100008</v>
      </c>
      <c r="T134" s="1737">
        <v>1441.7432358200001</v>
      </c>
      <c r="U134" s="1737">
        <v>4623.1726370600018</v>
      </c>
    </row>
    <row r="135" spans="1:21" ht="15.75">
      <c r="A135" s="1739">
        <v>2014</v>
      </c>
      <c r="B135" s="1731">
        <v>15453.381102480002</v>
      </c>
      <c r="C135" s="1731">
        <v>7188.3697248200006</v>
      </c>
      <c r="D135" s="1731">
        <v>884.03469315000007</v>
      </c>
      <c r="E135" s="1731">
        <v>3538.4</v>
      </c>
      <c r="F135" s="1731">
        <v>338.39098192000006</v>
      </c>
      <c r="G135" s="1731">
        <v>2427.5748312900005</v>
      </c>
      <c r="H135" s="1731">
        <v>4298.0699313599998</v>
      </c>
      <c r="I135" s="1731">
        <v>158.6681676</v>
      </c>
      <c r="J135" s="1731">
        <v>965.83333450000009</v>
      </c>
      <c r="K135" s="1731">
        <v>297.39951412999994</v>
      </c>
      <c r="L135" s="1731">
        <v>2876.1689151299993</v>
      </c>
      <c r="M135" s="1731">
        <v>3966.9106647600006</v>
      </c>
      <c r="N135" s="1731">
        <v>1691.7301719500001</v>
      </c>
      <c r="O135" s="1731">
        <v>504.88785321000023</v>
      </c>
      <c r="P135" s="1731">
        <v>1163.0459617900003</v>
      </c>
      <c r="Q135" s="1731">
        <v>607.24667781000016</v>
      </c>
      <c r="R135" s="1737"/>
      <c r="S135" s="1737"/>
      <c r="T135" s="1737"/>
      <c r="U135" s="1737"/>
    </row>
    <row r="136" spans="1:21" ht="15.75" hidden="1">
      <c r="A136" s="1735" t="s">
        <v>18</v>
      </c>
      <c r="B136" s="1736">
        <f t="shared" ref="B136:B142" si="24">+C136+M136+H136</f>
        <v>12682.982230280002</v>
      </c>
      <c r="C136" s="1736">
        <f t="shared" ref="C136:C142" si="25">SUM(D136:G136)</f>
        <v>6451.4104649500005</v>
      </c>
      <c r="D136" s="1736">
        <v>806.02335108999978</v>
      </c>
      <c r="E136" s="1736">
        <v>3123.7748464199999</v>
      </c>
      <c r="F136" s="1736">
        <v>299.82438132000004</v>
      </c>
      <c r="G136" s="1736">
        <v>2221.7878861200002</v>
      </c>
      <c r="H136" s="1736">
        <f t="shared" ref="H136:H142" si="26">SUM(I136:L136)</f>
        <v>3383.4003583500003</v>
      </c>
      <c r="I136" s="1736">
        <v>189.09022464000003</v>
      </c>
      <c r="J136" s="1736">
        <v>729.96729100000005</v>
      </c>
      <c r="K136" s="1736">
        <v>432.96957368</v>
      </c>
      <c r="L136" s="1736">
        <v>2031.3732690300003</v>
      </c>
      <c r="M136" s="1736">
        <f t="shared" ref="M136:M142" si="27">SUM(N136:Q136)</f>
        <v>2848.1714069800014</v>
      </c>
      <c r="N136" s="1736">
        <f t="shared" ref="N136:Q143" si="28">R136-D136-I136</f>
        <v>1411.1437701800005</v>
      </c>
      <c r="O136" s="1736">
        <f t="shared" si="28"/>
        <v>241.54668814000013</v>
      </c>
      <c r="P136" s="1736">
        <f t="shared" si="28"/>
        <v>747.61653039000021</v>
      </c>
      <c r="Q136" s="1736">
        <f t="shared" si="28"/>
        <v>447.86441827000044</v>
      </c>
      <c r="R136" s="1737">
        <v>2406.2573459100004</v>
      </c>
      <c r="S136" s="1737">
        <v>4095.2888255600001</v>
      </c>
      <c r="T136" s="1737">
        <v>1480.4104853900001</v>
      </c>
      <c r="U136" s="1737">
        <v>4701.0255734200009</v>
      </c>
    </row>
    <row r="137" spans="1:21" ht="15.75" hidden="1">
      <c r="A137" s="1735" t="s">
        <v>19</v>
      </c>
      <c r="B137" s="1736">
        <f t="shared" si="24"/>
        <v>12926.584412960001</v>
      </c>
      <c r="C137" s="1736">
        <f t="shared" si="25"/>
        <v>6591.6606563599998</v>
      </c>
      <c r="D137" s="1736">
        <v>909.39596168000026</v>
      </c>
      <c r="E137" s="1736">
        <v>3119.1144142700005</v>
      </c>
      <c r="F137" s="1736">
        <v>304.95863658000002</v>
      </c>
      <c r="G137" s="1736">
        <v>2258.19164383</v>
      </c>
      <c r="H137" s="1736">
        <f t="shared" si="26"/>
        <v>3520.3530108699997</v>
      </c>
      <c r="I137" s="1736">
        <v>230.47334183000004</v>
      </c>
      <c r="J137" s="1736">
        <v>749.6965672299998</v>
      </c>
      <c r="K137" s="1736">
        <v>432.14633094999999</v>
      </c>
      <c r="L137" s="1736">
        <v>2108.0367708600002</v>
      </c>
      <c r="M137" s="1736">
        <f t="shared" si="27"/>
        <v>2814.5707457300005</v>
      </c>
      <c r="N137" s="1736">
        <f t="shared" si="28"/>
        <v>1336.6923877499996</v>
      </c>
      <c r="O137" s="1736">
        <f t="shared" si="28"/>
        <v>277.87108863000003</v>
      </c>
      <c r="P137" s="1736">
        <f t="shared" si="28"/>
        <v>768.23259169000016</v>
      </c>
      <c r="Q137" s="1736">
        <f t="shared" si="28"/>
        <v>431.77467766000063</v>
      </c>
      <c r="R137" s="1737">
        <v>2476.5616912599999</v>
      </c>
      <c r="S137" s="1737">
        <v>4146.6820701300003</v>
      </c>
      <c r="T137" s="1737">
        <v>1505.3375592200002</v>
      </c>
      <c r="U137" s="1737">
        <v>4798.0030923500008</v>
      </c>
    </row>
    <row r="138" spans="1:21" ht="15.75" hidden="1">
      <c r="A138" s="1735" t="s">
        <v>20</v>
      </c>
      <c r="B138" s="1736">
        <f t="shared" si="24"/>
        <v>13308.087601419997</v>
      </c>
      <c r="C138" s="1736">
        <f t="shared" si="25"/>
        <v>6656.3254772600003</v>
      </c>
      <c r="D138" s="1736">
        <v>926.7595037399999</v>
      </c>
      <c r="E138" s="1736">
        <v>3150.2905874800003</v>
      </c>
      <c r="F138" s="1736">
        <v>329.53296780999995</v>
      </c>
      <c r="G138" s="1736">
        <v>2249.7424182300001</v>
      </c>
      <c r="H138" s="1736">
        <f t="shared" si="26"/>
        <v>3610.4386832799996</v>
      </c>
      <c r="I138" s="1736">
        <v>139.84350463000001</v>
      </c>
      <c r="J138" s="1736">
        <v>771.04639010999995</v>
      </c>
      <c r="K138" s="1736">
        <v>384.57780867000002</v>
      </c>
      <c r="L138" s="1736">
        <v>2314.9709798699996</v>
      </c>
      <c r="M138" s="1736">
        <f t="shared" si="27"/>
        <v>3041.3234408799976</v>
      </c>
      <c r="N138" s="1736">
        <f t="shared" si="28"/>
        <v>1329.0415002499997</v>
      </c>
      <c r="O138" s="1736">
        <f t="shared" si="28"/>
        <v>279.32887561999883</v>
      </c>
      <c r="P138" s="1736">
        <f t="shared" si="28"/>
        <v>1006.2444311499999</v>
      </c>
      <c r="Q138" s="1736">
        <f t="shared" si="28"/>
        <v>426.70863385999928</v>
      </c>
      <c r="R138" s="1737">
        <v>2395.6445086199997</v>
      </c>
      <c r="S138" s="1737">
        <v>4200.6658532099991</v>
      </c>
      <c r="T138" s="1737">
        <v>1720.3552076299998</v>
      </c>
      <c r="U138" s="1737">
        <v>4991.422031959999</v>
      </c>
    </row>
    <row r="139" spans="1:21" ht="15.75" hidden="1">
      <c r="A139" s="1735" t="s">
        <v>21</v>
      </c>
      <c r="B139" s="1736">
        <f t="shared" si="24"/>
        <v>13615.56091823</v>
      </c>
      <c r="C139" s="1736">
        <f t="shared" si="25"/>
        <v>6569.8810599799999</v>
      </c>
      <c r="D139" s="1736">
        <v>800.65418823000016</v>
      </c>
      <c r="E139" s="1736">
        <v>3266.3043853399995</v>
      </c>
      <c r="F139" s="1736">
        <v>333.40620868999997</v>
      </c>
      <c r="G139" s="1736">
        <v>2169.5162777199998</v>
      </c>
      <c r="H139" s="1736">
        <f t="shared" si="26"/>
        <v>3624.7059700700001</v>
      </c>
      <c r="I139" s="1736">
        <v>115.89015348</v>
      </c>
      <c r="J139" s="1736">
        <v>855.40462407999996</v>
      </c>
      <c r="K139" s="1736">
        <v>317.95375588000002</v>
      </c>
      <c r="L139" s="1736">
        <v>2335.4574366300003</v>
      </c>
      <c r="M139" s="1736">
        <f t="shared" si="27"/>
        <v>3420.9738881800008</v>
      </c>
      <c r="N139" s="1736">
        <f t="shared" si="28"/>
        <v>1496.41381062</v>
      </c>
      <c r="O139" s="1736">
        <f t="shared" si="28"/>
        <v>296.77697185000022</v>
      </c>
      <c r="P139" s="1736">
        <f t="shared" si="28"/>
        <v>1268.76184584</v>
      </c>
      <c r="Q139" s="1736">
        <f t="shared" si="28"/>
        <v>359.02125987000045</v>
      </c>
      <c r="R139" s="1737">
        <v>2412.9581523300003</v>
      </c>
      <c r="S139" s="1737">
        <v>4418.4859812699997</v>
      </c>
      <c r="T139" s="1737">
        <v>1920.1218104100001</v>
      </c>
      <c r="U139" s="1737">
        <v>4863.9949742200006</v>
      </c>
    </row>
    <row r="140" spans="1:21" ht="15.75" hidden="1">
      <c r="A140" s="1735" t="s">
        <v>22</v>
      </c>
      <c r="B140" s="1736">
        <f t="shared" si="24"/>
        <v>13637.018378619998</v>
      </c>
      <c r="C140" s="1736">
        <f t="shared" si="25"/>
        <v>6643.045191879999</v>
      </c>
      <c r="D140" s="1736">
        <v>815.45175207</v>
      </c>
      <c r="E140" s="1736">
        <v>3343.3968147099999</v>
      </c>
      <c r="F140" s="1736">
        <v>316.86015936000001</v>
      </c>
      <c r="G140" s="1736">
        <v>2167.3364657399998</v>
      </c>
      <c r="H140" s="1736">
        <f t="shared" si="26"/>
        <v>3684.2011206099992</v>
      </c>
      <c r="I140" s="1736">
        <v>102.12635584</v>
      </c>
      <c r="J140" s="1736">
        <v>857.33401172999993</v>
      </c>
      <c r="K140" s="1736">
        <v>327.89372947999999</v>
      </c>
      <c r="L140" s="1736">
        <v>2396.8470235599993</v>
      </c>
      <c r="M140" s="1736">
        <f t="shared" si="27"/>
        <v>3309.7720661299986</v>
      </c>
      <c r="N140" s="1736">
        <f t="shared" si="28"/>
        <v>1447.13395455</v>
      </c>
      <c r="O140" s="1736">
        <f t="shared" si="28"/>
        <v>319.17640589999974</v>
      </c>
      <c r="P140" s="1736">
        <f t="shared" si="28"/>
        <v>1065.4318082799998</v>
      </c>
      <c r="Q140" s="1736">
        <f t="shared" si="28"/>
        <v>478.0298973999993</v>
      </c>
      <c r="R140" s="1737">
        <v>2364.7120624600002</v>
      </c>
      <c r="S140" s="1737">
        <v>4519.9072323399996</v>
      </c>
      <c r="T140" s="1737">
        <v>1710.1856971199998</v>
      </c>
      <c r="U140" s="1737">
        <v>5042.2133866999984</v>
      </c>
    </row>
    <row r="141" spans="1:21" ht="15.75" hidden="1">
      <c r="A141" s="1735" t="s">
        <v>23</v>
      </c>
      <c r="B141" s="1736">
        <f t="shared" si="24"/>
        <v>13991.379577760001</v>
      </c>
      <c r="C141" s="1736">
        <f t="shared" si="25"/>
        <v>6720.5955842000003</v>
      </c>
      <c r="D141" s="1736">
        <v>798.48918222999998</v>
      </c>
      <c r="E141" s="1736">
        <v>3399.7615410499998</v>
      </c>
      <c r="F141" s="1736">
        <v>331.28414517999994</v>
      </c>
      <c r="G141" s="1736">
        <v>2191.0607157400004</v>
      </c>
      <c r="H141" s="1736">
        <f t="shared" si="26"/>
        <v>4091.3691251499999</v>
      </c>
      <c r="I141" s="1736">
        <v>107.87198387000001</v>
      </c>
      <c r="J141" s="1736">
        <v>921.95101441000008</v>
      </c>
      <c r="K141" s="1736">
        <v>307.12357411999994</v>
      </c>
      <c r="L141" s="1736">
        <v>2754.4225527499998</v>
      </c>
      <c r="M141" s="1736">
        <f t="shared" si="27"/>
        <v>3179.4148684100005</v>
      </c>
      <c r="N141" s="1736">
        <f t="shared" si="28"/>
        <v>1510.1236208900004</v>
      </c>
      <c r="O141" s="1736">
        <f t="shared" si="28"/>
        <v>345.73173261999989</v>
      </c>
      <c r="P141" s="1736">
        <f t="shared" si="28"/>
        <v>853.5708219400002</v>
      </c>
      <c r="Q141" s="1736">
        <f t="shared" si="28"/>
        <v>469.98869295999975</v>
      </c>
      <c r="R141" s="1742">
        <v>2416.4847869900004</v>
      </c>
      <c r="S141" s="1742">
        <v>4667.4442880799998</v>
      </c>
      <c r="T141" s="1742">
        <v>1491.9785412400001</v>
      </c>
      <c r="U141" s="1743">
        <v>5415.47196145</v>
      </c>
    </row>
    <row r="142" spans="1:21" ht="15.75" hidden="1">
      <c r="A142" s="1735" t="s">
        <v>24</v>
      </c>
      <c r="B142" s="1736">
        <f t="shared" si="24"/>
        <v>14558.072714710001</v>
      </c>
      <c r="C142" s="1736">
        <f t="shared" si="25"/>
        <v>6940.0354102000001</v>
      </c>
      <c r="D142" s="1736">
        <f>922794.44829/1000</f>
        <v>922.79444828999999</v>
      </c>
      <c r="E142" s="1736">
        <f>3480768.01241/1000</f>
        <v>3480.7680124099998</v>
      </c>
      <c r="F142" s="1736">
        <f>314189.3798/1000</f>
        <v>314.18937979999998</v>
      </c>
      <c r="G142" s="1736">
        <f>2222283.5697/1000</f>
        <v>2222.2835697</v>
      </c>
      <c r="H142" s="1736">
        <f t="shared" si="26"/>
        <v>4082.9599228900006</v>
      </c>
      <c r="I142" s="1736">
        <f>114975.21332/1000</f>
        <v>114.97521331999999</v>
      </c>
      <c r="J142" s="1736">
        <f>922620.73223/1000</f>
        <v>922.62073222999993</v>
      </c>
      <c r="K142" s="1736">
        <f>307591.83097/1000</f>
        <v>307.59183096999999</v>
      </c>
      <c r="L142" s="1736">
        <f>2737772.14637/1000</f>
        <v>2737.7721463700004</v>
      </c>
      <c r="M142" s="1736">
        <f t="shared" si="27"/>
        <v>3535.0773816199999</v>
      </c>
      <c r="N142" s="1736">
        <f t="shared" si="28"/>
        <v>1541.5991869300003</v>
      </c>
      <c r="O142" s="1736">
        <f t="shared" si="28"/>
        <v>372.36639394000008</v>
      </c>
      <c r="P142" s="1736">
        <f t="shared" si="28"/>
        <v>1172.2791921500002</v>
      </c>
      <c r="Q142" s="1736">
        <f t="shared" si="28"/>
        <v>448.83260859999928</v>
      </c>
      <c r="R142" s="1742">
        <f>2579368.84854/1000</f>
        <v>2579.3688485400003</v>
      </c>
      <c r="S142" s="1742">
        <f>4775755.13858/1000</f>
        <v>4775.7551385799998</v>
      </c>
      <c r="T142" s="1742">
        <f>1794060.40292/1000</f>
        <v>1794.0604029200001</v>
      </c>
      <c r="U142" s="1743">
        <f>5408888.32467/1000</f>
        <v>5408.8883246699997</v>
      </c>
    </row>
    <row r="143" spans="1:21" ht="15.75" hidden="1">
      <c r="A143" s="1735" t="s">
        <v>25</v>
      </c>
      <c r="B143" s="1736">
        <f>+C143+M143+H143</f>
        <v>14639.824534340001</v>
      </c>
      <c r="C143" s="1736">
        <f>SUM(D143:G143)</f>
        <v>6992.7978599899998</v>
      </c>
      <c r="D143" s="1736">
        <v>953.78570688000013</v>
      </c>
      <c r="E143" s="1736">
        <v>3493.2356249999998</v>
      </c>
      <c r="F143" s="1736">
        <v>311.10804916000001</v>
      </c>
      <c r="G143" s="1736">
        <v>2234.66847895</v>
      </c>
      <c r="H143" s="1736">
        <f>SUM(I143:L143)</f>
        <v>4022.5627189699994</v>
      </c>
      <c r="I143" s="1736">
        <v>100.94058175000001</v>
      </c>
      <c r="J143" s="1736">
        <v>926.05722303000005</v>
      </c>
      <c r="K143" s="1736">
        <v>301.58175446999996</v>
      </c>
      <c r="L143" s="1736">
        <v>2693.9831597199995</v>
      </c>
      <c r="M143" s="1736">
        <f>SUM(N143:Q143)</f>
        <v>3624.4639553800016</v>
      </c>
      <c r="N143" s="1736">
        <f>R143-D143-I143</f>
        <v>1505.0117839600005</v>
      </c>
      <c r="O143" s="1736">
        <f t="shared" si="28"/>
        <v>413.7243252800007</v>
      </c>
      <c r="P143" s="1736">
        <f t="shared" si="28"/>
        <v>1253.99722316</v>
      </c>
      <c r="Q143" s="1736">
        <f>U143-G143-L143</f>
        <v>451.73062298000059</v>
      </c>
      <c r="R143" s="1742">
        <v>2559.7380725900007</v>
      </c>
      <c r="S143" s="1742">
        <v>4833.0171733100005</v>
      </c>
      <c r="T143" s="1742">
        <v>1866.6870267900001</v>
      </c>
      <c r="U143" s="1743">
        <v>5380.3822616500001</v>
      </c>
    </row>
    <row r="144" spans="1:21" ht="15.75" hidden="1">
      <c r="A144" s="1735" t="s">
        <v>26</v>
      </c>
      <c r="B144" s="1736">
        <f>+C144+M144+H144</f>
        <v>14531.527112579999</v>
      </c>
      <c r="C144" s="1736">
        <f>SUM(D144:G144)</f>
        <v>6959.6658804500012</v>
      </c>
      <c r="D144" s="1736">
        <v>903.57757220000008</v>
      </c>
      <c r="E144" s="1736">
        <v>3517.4985903100005</v>
      </c>
      <c r="F144" s="1736">
        <v>329.38450423000012</v>
      </c>
      <c r="G144" s="1736">
        <v>2209.2052137100009</v>
      </c>
      <c r="H144" s="1736">
        <f>SUM(I144:L144)</f>
        <v>4085.6176387099995</v>
      </c>
      <c r="I144" s="1736">
        <v>129.77192485</v>
      </c>
      <c r="J144" s="1736">
        <v>940.09320977000004</v>
      </c>
      <c r="K144" s="1736">
        <v>293.44312536000001</v>
      </c>
      <c r="L144" s="1736">
        <v>2722.3093787299995</v>
      </c>
      <c r="M144" s="1736">
        <f>SUM(N144:Q144)</f>
        <v>3486.2435934200003</v>
      </c>
      <c r="N144" s="1736">
        <f>R144-D144-I144</f>
        <v>1461.46088224</v>
      </c>
      <c r="O144" s="1736">
        <f>S144-E144-J144</f>
        <v>464.22081931000014</v>
      </c>
      <c r="P144" s="1736">
        <f>T144-F144-K144</f>
        <v>1124.1474003999999</v>
      </c>
      <c r="Q144" s="1736">
        <f>U144-G144-L144</f>
        <v>436.41449147000003</v>
      </c>
      <c r="R144" s="1742">
        <v>2494.8103792900001</v>
      </c>
      <c r="S144" s="1742">
        <v>4921.8126193900007</v>
      </c>
      <c r="T144" s="1742">
        <v>1746.9750299900002</v>
      </c>
      <c r="U144" s="1743">
        <v>5367.9290839100004</v>
      </c>
    </row>
    <row r="145" spans="1:21" ht="15.75" hidden="1">
      <c r="A145" s="1735" t="s">
        <v>27</v>
      </c>
      <c r="B145" s="1736">
        <f>+C145+M145+H145</f>
        <v>14826.703069280002</v>
      </c>
      <c r="C145" s="1736">
        <f>SUM(D145:G145)</f>
        <v>7005.4142666900016</v>
      </c>
      <c r="D145" s="1736">
        <v>872.47568078000006</v>
      </c>
      <c r="E145" s="1736">
        <v>3566.7440125400008</v>
      </c>
      <c r="F145" s="1736">
        <v>342.17221251999996</v>
      </c>
      <c r="G145" s="1736">
        <v>2224.02236085</v>
      </c>
      <c r="H145" s="1736">
        <f>SUM(I145:L145)</f>
        <v>4088.1035528699995</v>
      </c>
      <c r="I145" s="1736">
        <v>104.64634278000001</v>
      </c>
      <c r="J145" s="1736">
        <v>968.15920382000002</v>
      </c>
      <c r="K145" s="1736">
        <v>303.87956991999999</v>
      </c>
      <c r="L145" s="1736">
        <v>2711.4184363499994</v>
      </c>
      <c r="M145" s="1736">
        <f>SUM(N145:Q145)</f>
        <v>3733.1852497200011</v>
      </c>
      <c r="N145" s="1736">
        <f>R145-D145-I145</f>
        <v>1428.3990951999999</v>
      </c>
      <c r="O145" s="1736">
        <f>S145-E145-J145</f>
        <v>544.73330276000036</v>
      </c>
      <c r="P145" s="1736">
        <f>T145-F145-K145</f>
        <v>1118.4555750200004</v>
      </c>
      <c r="Q145" s="1736">
        <f>U145-G145-L145</f>
        <v>641.59727674000032</v>
      </c>
      <c r="R145" s="1742">
        <v>2405.5211187599998</v>
      </c>
      <c r="S145" s="1742">
        <v>5079.6365191200011</v>
      </c>
      <c r="T145" s="1742">
        <v>1764.5073574600003</v>
      </c>
      <c r="U145" s="1743">
        <v>5577.0380739399998</v>
      </c>
    </row>
    <row r="146" spans="1:21" ht="15.75" hidden="1">
      <c r="A146" s="1735" t="s">
        <v>28</v>
      </c>
      <c r="B146" s="1736">
        <v>15312.03213983</v>
      </c>
      <c r="C146" s="1736">
        <v>7086.3795704900003</v>
      </c>
      <c r="D146" s="1736">
        <v>876.08846697000001</v>
      </c>
      <c r="E146" s="1736">
        <v>3606.0267997400001</v>
      </c>
      <c r="F146" s="1736">
        <v>351.80444329000005</v>
      </c>
      <c r="G146" s="1736">
        <v>2252.4598604900002</v>
      </c>
      <c r="H146" s="1736">
        <v>4131.4206027699993</v>
      </c>
      <c r="I146" s="1736">
        <v>107.8</v>
      </c>
      <c r="J146" s="1736">
        <v>978.67205638000007</v>
      </c>
      <c r="K146" s="1736">
        <v>305.29069709999999</v>
      </c>
      <c r="L146" s="1736">
        <v>2739.6150514199994</v>
      </c>
      <c r="M146" s="1736">
        <f>(B146-H146-C146)</f>
        <v>4094.2319665700015</v>
      </c>
      <c r="N146" s="1736">
        <f t="shared" ref="N146:Q147" si="29">(R146-D146-I146)</f>
        <v>1500.5733668700002</v>
      </c>
      <c r="O146" s="1736">
        <f t="shared" si="29"/>
        <v>573.87869047000038</v>
      </c>
      <c r="P146" s="1736">
        <f t="shared" si="29"/>
        <v>1391.8107113200001</v>
      </c>
      <c r="Q146" s="1736">
        <f t="shared" si="29"/>
        <v>628.01199578000023</v>
      </c>
      <c r="R146" s="1742">
        <v>2484.4618338400001</v>
      </c>
      <c r="S146" s="1742">
        <v>5158.5775465900006</v>
      </c>
      <c r="T146" s="1742">
        <v>2048.9058517100002</v>
      </c>
      <c r="U146" s="1743">
        <v>5620.0869076899999</v>
      </c>
    </row>
    <row r="147" spans="1:21" ht="15.75" hidden="1">
      <c r="A147" s="1735" t="s">
        <v>29</v>
      </c>
      <c r="B147" s="1736">
        <v>15453.381102480002</v>
      </c>
      <c r="C147" s="1736">
        <v>7188.3697248200006</v>
      </c>
      <c r="D147" s="1736">
        <v>884.03469315000007</v>
      </c>
      <c r="E147" s="1736">
        <v>3538.4</v>
      </c>
      <c r="F147" s="1736">
        <v>338.39098192000006</v>
      </c>
      <c r="G147" s="1736">
        <v>2427.5748312900005</v>
      </c>
      <c r="H147" s="1736">
        <v>4298.0699313599998</v>
      </c>
      <c r="I147" s="1736">
        <v>158.6681676</v>
      </c>
      <c r="J147" s="1736">
        <v>965.83333450000009</v>
      </c>
      <c r="K147" s="1736">
        <v>297.39951412999994</v>
      </c>
      <c r="L147" s="1736">
        <v>2876.1689151299993</v>
      </c>
      <c r="M147" s="1736">
        <f>SUM(N147:Q147)</f>
        <v>3966.9106647600006</v>
      </c>
      <c r="N147" s="1736">
        <f t="shared" si="29"/>
        <v>1691.7301719500001</v>
      </c>
      <c r="O147" s="1736">
        <f t="shared" si="29"/>
        <v>504.88785321000023</v>
      </c>
      <c r="P147" s="1736">
        <f t="shared" si="29"/>
        <v>1163.0459617900003</v>
      </c>
      <c r="Q147" s="1736">
        <f t="shared" si="29"/>
        <v>607.24667781000016</v>
      </c>
      <c r="R147" s="1742">
        <v>2734.4330327000002</v>
      </c>
      <c r="S147" s="1742">
        <v>5009.1211877100004</v>
      </c>
      <c r="T147" s="1742">
        <v>1798.8364578400003</v>
      </c>
      <c r="U147" s="1742">
        <v>5910.9904242299999</v>
      </c>
    </row>
    <row r="148" spans="1:21" ht="15.75">
      <c r="A148" s="1735" t="s">
        <v>1829</v>
      </c>
      <c r="B148" s="1731">
        <v>23431.389446500005</v>
      </c>
      <c r="C148" s="1731">
        <v>9473.9352678300002</v>
      </c>
      <c r="D148" s="1731">
        <v>440.88992102999987</v>
      </c>
      <c r="E148" s="1731">
        <v>979.32410602999994</v>
      </c>
      <c r="F148" s="1731">
        <v>1200.3200105899998</v>
      </c>
      <c r="G148" s="1731">
        <v>6853.4012301800003</v>
      </c>
      <c r="H148" s="1731">
        <v>6358.7762940699995</v>
      </c>
      <c r="I148" s="1731">
        <v>89.062323120000016</v>
      </c>
      <c r="J148" s="1731">
        <v>603.39636632999998</v>
      </c>
      <c r="K148" s="1731">
        <v>628.29423988999997</v>
      </c>
      <c r="L148" s="1731">
        <v>5038.0233647300001</v>
      </c>
      <c r="M148" s="1731">
        <v>7630.3589705799986</v>
      </c>
      <c r="N148" s="1731">
        <v>1703.2633654700003</v>
      </c>
      <c r="O148" s="1731">
        <v>485.73158481999997</v>
      </c>
      <c r="P148" s="1731">
        <v>3910.8967744999995</v>
      </c>
      <c r="Q148" s="1731">
        <v>1498.7861598100008</v>
      </c>
      <c r="R148" s="1742"/>
      <c r="S148" s="1742"/>
      <c r="T148" s="1742"/>
      <c r="U148" s="1742"/>
    </row>
    <row r="149" spans="1:21" ht="15.75" hidden="1">
      <c r="A149" s="1735" t="s">
        <v>18</v>
      </c>
      <c r="B149" s="1736">
        <v>15134.968000000001</v>
      </c>
      <c r="C149" s="1736">
        <v>7121.3389999999999</v>
      </c>
      <c r="D149" s="1736">
        <v>892.476</v>
      </c>
      <c r="E149" s="1736">
        <v>3383.846</v>
      </c>
      <c r="F149" s="1736">
        <v>337.61799999999999</v>
      </c>
      <c r="G149" s="1736">
        <v>2507.3969999999999</v>
      </c>
      <c r="H149" s="1736">
        <v>4246.9399999999996</v>
      </c>
      <c r="I149" s="1736">
        <v>106.6818</v>
      </c>
      <c r="J149" s="1736">
        <v>974.97500000000002</v>
      </c>
      <c r="K149" s="1736">
        <v>276.45299999999997</v>
      </c>
      <c r="L149" s="1736">
        <v>2888.828</v>
      </c>
      <c r="M149" s="1736">
        <f>SUM(N149:Q149)</f>
        <v>3766.6911999999998</v>
      </c>
      <c r="N149" s="1736">
        <f t="shared" ref="N149:Q150" si="30">(R149-D149-I149)</f>
        <v>1457.7402</v>
      </c>
      <c r="O149" s="1736">
        <f t="shared" si="30"/>
        <v>514.23800000000017</v>
      </c>
      <c r="P149" s="1736">
        <f t="shared" si="30"/>
        <v>1207.5640000000001</v>
      </c>
      <c r="Q149" s="1736">
        <f t="shared" si="30"/>
        <v>587.14899999999989</v>
      </c>
      <c r="R149" s="1742">
        <v>2456.8980000000001</v>
      </c>
      <c r="S149" s="1742">
        <v>4873.0590000000002</v>
      </c>
      <c r="T149" s="1742">
        <v>1821.635</v>
      </c>
      <c r="U149" s="1742">
        <v>5983.3739999999998</v>
      </c>
    </row>
    <row r="150" spans="1:21" ht="15.75" hidden="1">
      <c r="A150" s="1735" t="s">
        <v>19</v>
      </c>
      <c r="B150" s="1736">
        <v>18481.656999999999</v>
      </c>
      <c r="C150" s="1736">
        <v>7932.7</v>
      </c>
      <c r="D150" s="1736">
        <v>739.6</v>
      </c>
      <c r="E150" s="1736">
        <v>2248.1999999999998</v>
      </c>
      <c r="F150" s="1736">
        <v>621.6</v>
      </c>
      <c r="G150" s="1736">
        <v>4323.3</v>
      </c>
      <c r="H150" s="1736">
        <v>6170.8190000000004</v>
      </c>
      <c r="I150" s="1736">
        <v>83.436000000000007</v>
      </c>
      <c r="J150" s="1736">
        <v>1159.2494999999999</v>
      </c>
      <c r="K150" s="1736">
        <v>426.33699999999999</v>
      </c>
      <c r="L150" s="1736">
        <v>4501.7960000000003</v>
      </c>
      <c r="M150" s="1736">
        <f>SUM(N150:Q150)</f>
        <v>4378.1014999999989</v>
      </c>
      <c r="N150" s="1736">
        <f t="shared" si="30"/>
        <v>1435.164</v>
      </c>
      <c r="O150" s="1736">
        <f t="shared" si="30"/>
        <v>454.11050000000023</v>
      </c>
      <c r="P150" s="1736">
        <f t="shared" si="30"/>
        <v>1689.623</v>
      </c>
      <c r="Q150" s="1736">
        <f t="shared" si="30"/>
        <v>799.20399999999881</v>
      </c>
      <c r="R150" s="1742">
        <v>2258.1999999999998</v>
      </c>
      <c r="S150" s="1742">
        <v>3861.56</v>
      </c>
      <c r="T150" s="1742">
        <v>2737.56</v>
      </c>
      <c r="U150" s="1743">
        <v>9624.2999999999993</v>
      </c>
    </row>
    <row r="151" spans="1:21" ht="15.75" hidden="1">
      <c r="A151" s="1735" t="s">
        <v>20</v>
      </c>
      <c r="B151" s="1736">
        <v>18519.064999999999</v>
      </c>
      <c r="C151" s="1736">
        <v>7781.6453000000001</v>
      </c>
      <c r="D151" s="1736">
        <v>660.48900000000003</v>
      </c>
      <c r="E151" s="1736">
        <v>2036.5438999999999</v>
      </c>
      <c r="F151" s="1736">
        <v>620.08199999999999</v>
      </c>
      <c r="G151" s="1736">
        <v>4464.5280000000002</v>
      </c>
      <c r="H151" s="1736">
        <v>6094.5288</v>
      </c>
      <c r="I151" s="1736">
        <v>80.170199999999994</v>
      </c>
      <c r="J151" s="1736">
        <v>1073.924</v>
      </c>
      <c r="K151" s="1736">
        <v>411.54050000000001</v>
      </c>
      <c r="L151" s="1736">
        <v>4528.893</v>
      </c>
      <c r="M151" s="1736">
        <v>4642.8942999999999</v>
      </c>
      <c r="N151" s="1736">
        <v>1266.7214999999999</v>
      </c>
      <c r="O151" s="1736">
        <v>428.97700000000009</v>
      </c>
      <c r="P151" s="1736">
        <v>2087.9335000000001</v>
      </c>
      <c r="Q151" s="1736">
        <v>859.26230000000032</v>
      </c>
      <c r="R151" s="1742">
        <v>2007.3806999999999</v>
      </c>
      <c r="S151" s="1742">
        <v>3539.4449</v>
      </c>
      <c r="T151" s="1742">
        <v>3119.556</v>
      </c>
      <c r="U151" s="1743">
        <v>9852.6833000000006</v>
      </c>
    </row>
    <row r="152" spans="1:21" ht="15.75" hidden="1">
      <c r="A152" s="1735" t="s">
        <v>21</v>
      </c>
      <c r="B152" s="1736">
        <v>18831.062000000002</v>
      </c>
      <c r="C152" s="1736">
        <v>7717.2438000000002</v>
      </c>
      <c r="D152" s="1736">
        <v>574.76030000000003</v>
      </c>
      <c r="E152" s="1736">
        <v>1670.3175000000001</v>
      </c>
      <c r="F152" s="1736">
        <v>643.78160000000003</v>
      </c>
      <c r="G152" s="1736">
        <v>4828.3842999999997</v>
      </c>
      <c r="H152" s="1736">
        <v>6263.66</v>
      </c>
      <c r="I152" s="1736">
        <v>68.051299999999998</v>
      </c>
      <c r="J152" s="1736">
        <v>983.22320000000002</v>
      </c>
      <c r="K152" s="1736">
        <v>633.93520000000001</v>
      </c>
      <c r="L152" s="1736">
        <v>4578.4503000000004</v>
      </c>
      <c r="M152" s="1736">
        <v>4850.1581999999999</v>
      </c>
      <c r="N152" s="1736">
        <v>1315.81</v>
      </c>
      <c r="O152" s="1736">
        <v>394.94189999999969</v>
      </c>
      <c r="P152" s="1736">
        <v>1832.7671</v>
      </c>
      <c r="Q152" s="1736">
        <v>1306.6391999999996</v>
      </c>
      <c r="R152" s="1742">
        <v>1958.6215999999999</v>
      </c>
      <c r="S152" s="1742">
        <v>3048.4825999999998</v>
      </c>
      <c r="T152" s="1742">
        <v>3110.4839000000002</v>
      </c>
      <c r="U152" s="1743">
        <v>10713.4738</v>
      </c>
    </row>
    <row r="153" spans="1:21" ht="15.75" hidden="1">
      <c r="A153" s="1735" t="s">
        <v>22</v>
      </c>
      <c r="B153" s="1736">
        <v>18575.261172389997</v>
      </c>
      <c r="C153" s="1736">
        <v>7601.0539698399998</v>
      </c>
      <c r="D153" s="1736">
        <v>571.79054651000001</v>
      </c>
      <c r="E153" s="1736">
        <v>1600.8070183500001</v>
      </c>
      <c r="F153" s="1736">
        <v>605.9892078900001</v>
      </c>
      <c r="G153" s="1736">
        <v>4822.4671970899999</v>
      </c>
      <c r="H153" s="1736">
        <v>6142.6420843799997</v>
      </c>
      <c r="I153" s="1736">
        <v>75.740098830000008</v>
      </c>
      <c r="J153" s="1736">
        <v>950.52070342000002</v>
      </c>
      <c r="K153" s="1736">
        <v>741.50690688999998</v>
      </c>
      <c r="L153" s="1736">
        <v>4374.8743752399996</v>
      </c>
      <c r="M153" s="1736">
        <f>SUM(N153:Q153)</f>
        <v>4831.5651181699986</v>
      </c>
      <c r="N153" s="1736">
        <f>(R153-D153-I153)</f>
        <v>1314.7585579700001</v>
      </c>
      <c r="O153" s="1736">
        <f>(S153-E153-J153)</f>
        <v>443.38101635000021</v>
      </c>
      <c r="P153" s="1736">
        <f>(T153-F153-K153)</f>
        <v>1838.6990573600003</v>
      </c>
      <c r="Q153" s="1736">
        <f>(U153-G153-L153)</f>
        <v>1234.726486489998</v>
      </c>
      <c r="R153" s="1742">
        <v>1962.2892033100002</v>
      </c>
      <c r="S153" s="1742">
        <v>2994.7087381200004</v>
      </c>
      <c r="T153" s="1742">
        <v>3186.1951721400005</v>
      </c>
      <c r="U153" s="1743">
        <v>10432.068058819998</v>
      </c>
    </row>
    <row r="154" spans="1:21" ht="15.75" hidden="1">
      <c r="A154" s="1735" t="s">
        <v>23</v>
      </c>
      <c r="B154" s="1736">
        <v>18231.558145329996</v>
      </c>
      <c r="C154" s="1736">
        <v>7653.5739775600005</v>
      </c>
      <c r="D154" s="1736">
        <v>623.7291557399999</v>
      </c>
      <c r="E154" s="1736">
        <v>1556.1975219699998</v>
      </c>
      <c r="F154" s="1736">
        <v>650.28054799999984</v>
      </c>
      <c r="G154" s="1736">
        <v>4823.3667518500006</v>
      </c>
      <c r="H154" s="1736">
        <v>5713.9065187999995</v>
      </c>
      <c r="I154" s="1736">
        <v>79.131282709999994</v>
      </c>
      <c r="J154" s="1736">
        <v>916.72427033999986</v>
      </c>
      <c r="K154" s="1736">
        <v>727.87184375999993</v>
      </c>
      <c r="L154" s="1736">
        <v>3990.1791219900001</v>
      </c>
      <c r="M154" s="1736">
        <v>4864.0776489699992</v>
      </c>
      <c r="N154" s="1736">
        <v>1328.7262649899999</v>
      </c>
      <c r="O154" s="1736">
        <v>529.57196250000004</v>
      </c>
      <c r="P154" s="1736">
        <v>1891.8844096000003</v>
      </c>
      <c r="Q154" s="1736">
        <v>1113.8950118799989</v>
      </c>
      <c r="R154" s="1742">
        <v>2031.5867034399998</v>
      </c>
      <c r="S154" s="1742">
        <v>3002.4937548099997</v>
      </c>
      <c r="T154" s="1742">
        <v>3270.03680136</v>
      </c>
      <c r="U154" s="1743">
        <v>9927.4408857199996</v>
      </c>
    </row>
    <row r="155" spans="1:21" ht="15.75" hidden="1">
      <c r="A155" s="1735" t="s">
        <v>24</v>
      </c>
      <c r="B155" s="1736">
        <v>18213.55173241</v>
      </c>
      <c r="C155" s="1736">
        <v>7605.1210989900001</v>
      </c>
      <c r="D155" s="1736">
        <v>615.08488918999979</v>
      </c>
      <c r="E155" s="1736">
        <v>1523.5865833899998</v>
      </c>
      <c r="F155" s="1736">
        <v>656.40470650999998</v>
      </c>
      <c r="G155" s="1736">
        <v>4810.0449199000004</v>
      </c>
      <c r="H155" s="1736">
        <v>5667.5295810100006</v>
      </c>
      <c r="I155" s="1736">
        <v>68.727934330000011</v>
      </c>
      <c r="J155" s="1736">
        <v>895.27442808000012</v>
      </c>
      <c r="K155" s="1736">
        <v>768.38386080999999</v>
      </c>
      <c r="L155" s="1736">
        <v>3935.1433577900007</v>
      </c>
      <c r="M155" s="1736">
        <v>4940.9010524099995</v>
      </c>
      <c r="N155" s="1736">
        <v>1241.6207604000001</v>
      </c>
      <c r="O155" s="1736">
        <v>535.39500273999977</v>
      </c>
      <c r="P155" s="1736">
        <v>2040.9596329099995</v>
      </c>
      <c r="Q155" s="1736">
        <v>1122.9256563600002</v>
      </c>
      <c r="R155" s="1742">
        <v>1925.4335839199998</v>
      </c>
      <c r="S155" s="1742">
        <v>2954.2560142099996</v>
      </c>
      <c r="T155" s="1742">
        <v>3465.7482002299994</v>
      </c>
      <c r="U155" s="1743">
        <v>9868.1139340500013</v>
      </c>
    </row>
    <row r="156" spans="1:21" ht="15.75" hidden="1">
      <c r="A156" s="1735" t="s">
        <v>25</v>
      </c>
      <c r="B156" s="1736">
        <v>17658.05866011</v>
      </c>
      <c r="C156" s="1736">
        <v>7320.3477984499996</v>
      </c>
      <c r="D156" s="1736">
        <v>471.51166130000001</v>
      </c>
      <c r="E156" s="1736">
        <v>1376.43405375</v>
      </c>
      <c r="F156" s="1736">
        <v>675.66764136999996</v>
      </c>
      <c r="G156" s="1736">
        <v>4796.7344420299996</v>
      </c>
      <c r="H156" s="1736">
        <v>5300.2686472300002</v>
      </c>
      <c r="I156" s="1736">
        <v>68.921230010000002</v>
      </c>
      <c r="J156" s="1736">
        <v>846.49067882999998</v>
      </c>
      <c r="K156" s="1736">
        <v>496.15951104000015</v>
      </c>
      <c r="L156" s="1736">
        <v>3888.6972273500005</v>
      </c>
      <c r="M156" s="1736">
        <v>5037.4422144299979</v>
      </c>
      <c r="N156" s="1736">
        <v>1125.1704191399999</v>
      </c>
      <c r="O156" s="1736">
        <v>545.90173054999946</v>
      </c>
      <c r="P156" s="1736">
        <v>2276.1549815999997</v>
      </c>
      <c r="Q156" s="1736">
        <v>1090.2150831399986</v>
      </c>
      <c r="R156" s="1742">
        <v>1665.60331045</v>
      </c>
      <c r="S156" s="1742">
        <v>2768.8264631299994</v>
      </c>
      <c r="T156" s="1742">
        <v>3447.9821340099998</v>
      </c>
      <c r="U156" s="1743">
        <v>9775.6467525199987</v>
      </c>
    </row>
    <row r="157" spans="1:21" ht="15.75" hidden="1">
      <c r="A157" s="1735" t="s">
        <v>26</v>
      </c>
      <c r="B157" s="1736">
        <v>17477.467494050001</v>
      </c>
      <c r="C157" s="1736">
        <v>7311.8063250799996</v>
      </c>
      <c r="D157" s="1736">
        <v>462.99236394999997</v>
      </c>
      <c r="E157" s="1736">
        <v>1314.8491139500002</v>
      </c>
      <c r="F157" s="1736">
        <v>790.14634219999982</v>
      </c>
      <c r="G157" s="1736">
        <v>4743.8185049799995</v>
      </c>
      <c r="H157" s="1736">
        <v>5103.583032380001</v>
      </c>
      <c r="I157" s="1736">
        <v>78.922903550000001</v>
      </c>
      <c r="J157" s="1736">
        <v>813.69581436999999</v>
      </c>
      <c r="K157" s="1736">
        <v>479.56031644000007</v>
      </c>
      <c r="L157" s="1736">
        <v>3731.4039980200005</v>
      </c>
      <c r="M157" s="1736">
        <f>SUM(N157:Q157)</f>
        <v>5062.0781365899993</v>
      </c>
      <c r="N157" s="1736">
        <f>(R157-D157-I157)</f>
        <v>1267.56861564</v>
      </c>
      <c r="O157" s="1736">
        <f>(S157-E157-J157)</f>
        <v>359.88894909999988</v>
      </c>
      <c r="P157" s="1736">
        <f>(T157-F157-K157)</f>
        <v>2442.9236351</v>
      </c>
      <c r="Q157" s="1736">
        <f>(U157-G157-L157)</f>
        <v>991.69693674999962</v>
      </c>
      <c r="R157" s="1742">
        <v>1809.48388314</v>
      </c>
      <c r="S157" s="1742">
        <v>2488.43387742</v>
      </c>
      <c r="T157" s="1742">
        <v>3712.6302937399996</v>
      </c>
      <c r="U157" s="1743">
        <v>9466.9194397499996</v>
      </c>
    </row>
    <row r="158" spans="1:21" ht="15.75" hidden="1">
      <c r="A158" s="1735" t="s">
        <v>27</v>
      </c>
      <c r="B158" s="1736">
        <v>17150.462399190001</v>
      </c>
      <c r="C158" s="1736">
        <v>7172.9407930900006</v>
      </c>
      <c r="D158" s="1736">
        <v>497.94087688000002</v>
      </c>
      <c r="E158" s="1736">
        <v>1225.8779533200002</v>
      </c>
      <c r="F158" s="1736">
        <v>737.03035611000018</v>
      </c>
      <c r="G158" s="1736">
        <v>4712.0916067799999</v>
      </c>
      <c r="H158" s="1736">
        <v>5049.7674403400006</v>
      </c>
      <c r="I158" s="1736">
        <v>83.043859580000003</v>
      </c>
      <c r="J158" s="1736">
        <v>795.67803546000005</v>
      </c>
      <c r="K158" s="1736">
        <v>374.27825360999998</v>
      </c>
      <c r="L158" s="1736">
        <v>3796.7672916900005</v>
      </c>
      <c r="M158" s="1736">
        <v>4927.7541657599995</v>
      </c>
      <c r="N158" s="1736">
        <v>1279.8902856799996</v>
      </c>
      <c r="O158" s="1736">
        <v>432.27515238000001</v>
      </c>
      <c r="P158" s="1736">
        <v>2230.3893570299992</v>
      </c>
      <c r="Q158" s="1736">
        <v>985.19937067000092</v>
      </c>
      <c r="R158" s="1742">
        <v>1860.8750221399998</v>
      </c>
      <c r="S158" s="1742">
        <v>2453.8311411600002</v>
      </c>
      <c r="T158" s="1742">
        <v>3341.6979667499995</v>
      </c>
      <c r="U158" s="1743">
        <v>9494.0582691400014</v>
      </c>
    </row>
    <row r="159" spans="1:21" ht="15.75" hidden="1">
      <c r="A159" s="1735" t="s">
        <v>28</v>
      </c>
      <c r="B159" s="1736">
        <v>17598.888115910002</v>
      </c>
      <c r="C159" s="1736">
        <v>7089.5180692200001</v>
      </c>
      <c r="D159" s="1736">
        <v>504.37593103</v>
      </c>
      <c r="E159" s="1736">
        <v>1164.67827186</v>
      </c>
      <c r="F159" s="1736">
        <v>698.60521599000003</v>
      </c>
      <c r="G159" s="1736">
        <v>4721.8586503400002</v>
      </c>
      <c r="H159" s="1736">
        <v>5036.6649985499989</v>
      </c>
      <c r="I159" s="1736">
        <v>67.895046669999999</v>
      </c>
      <c r="J159" s="1736">
        <v>774.3351229299999</v>
      </c>
      <c r="K159" s="1736">
        <v>393.79330616999994</v>
      </c>
      <c r="L159" s="1736">
        <v>3800.6415227799994</v>
      </c>
      <c r="M159" s="1736">
        <v>5472.7050481400001</v>
      </c>
      <c r="N159" s="1736">
        <v>1300.7732300700002</v>
      </c>
      <c r="O159" s="1736">
        <v>429.86518566999985</v>
      </c>
      <c r="P159" s="1736">
        <v>2680.6728677699989</v>
      </c>
      <c r="Q159" s="1736">
        <v>1061.3937646300014</v>
      </c>
      <c r="R159" s="1742">
        <v>1873.0442077700002</v>
      </c>
      <c r="S159" s="1742">
        <v>2368.8785804599997</v>
      </c>
      <c r="T159" s="1742">
        <v>3773.071389929999</v>
      </c>
      <c r="U159" s="1743">
        <v>9583.893937750001</v>
      </c>
    </row>
    <row r="160" spans="1:21" ht="15.75" hidden="1">
      <c r="A160" s="1735" t="s">
        <v>29</v>
      </c>
      <c r="B160" s="1736">
        <v>23431.389446500005</v>
      </c>
      <c r="C160" s="1736">
        <v>9473.9352678300002</v>
      </c>
      <c r="D160" s="1736">
        <v>440.88992102999987</v>
      </c>
      <c r="E160" s="1736">
        <v>979.32410602999994</v>
      </c>
      <c r="F160" s="1736">
        <v>1200.3200105899998</v>
      </c>
      <c r="G160" s="1736">
        <v>6853.4012301800003</v>
      </c>
      <c r="H160" s="1736">
        <v>6358.7762940699995</v>
      </c>
      <c r="I160" s="1736">
        <v>89.062323120000016</v>
      </c>
      <c r="J160" s="1736">
        <v>603.39636632999998</v>
      </c>
      <c r="K160" s="1736">
        <v>628.29423988999997</v>
      </c>
      <c r="L160" s="1736">
        <v>5038.0233647300001</v>
      </c>
      <c r="M160" s="1736">
        <v>7630.3589705799986</v>
      </c>
      <c r="N160" s="1736">
        <f>(R160-D160-I160)</f>
        <v>1703.2633654700003</v>
      </c>
      <c r="O160" s="1736">
        <f>(S160-E160-J160)</f>
        <v>485.73158481999997</v>
      </c>
      <c r="P160" s="1736">
        <f>(T160-F160-K160)</f>
        <v>3910.8967744999995</v>
      </c>
      <c r="Q160" s="1736">
        <f>(U160-G160-L160)</f>
        <v>1498.7861598100008</v>
      </c>
      <c r="R160" s="1742">
        <v>2233.2156096200001</v>
      </c>
      <c r="S160" s="1742">
        <v>2068.4520571799999</v>
      </c>
      <c r="T160" s="1742">
        <v>5739.5110249799991</v>
      </c>
      <c r="U160" s="1743">
        <v>13390.210754720001</v>
      </c>
    </row>
    <row r="161" spans="1:23" ht="15.75">
      <c r="A161" s="1735" t="s">
        <v>1852</v>
      </c>
      <c r="B161" s="1731">
        <v>22090.979492840001</v>
      </c>
      <c r="C161" s="1731">
        <v>7448.6703850999993</v>
      </c>
      <c r="D161" s="1731">
        <v>593.12725676000014</v>
      </c>
      <c r="E161" s="1731">
        <v>924.10969758999988</v>
      </c>
      <c r="F161" s="1731">
        <v>1144.05167121</v>
      </c>
      <c r="G161" s="1731">
        <v>4787.3817595399987</v>
      </c>
      <c r="H161" s="1731">
        <v>5528.0058593799986</v>
      </c>
      <c r="I161" s="1731">
        <v>71.700868359999987</v>
      </c>
      <c r="J161" s="1731">
        <v>537.24336589999996</v>
      </c>
      <c r="K161" s="1731">
        <v>675.08966911000005</v>
      </c>
      <c r="L161" s="1731">
        <v>4243.9719560099993</v>
      </c>
      <c r="M161" s="1731">
        <v>9114.3032483600036</v>
      </c>
      <c r="N161" s="1731">
        <v>1970.2337789099997</v>
      </c>
      <c r="O161" s="1731">
        <v>1362.5035719100001</v>
      </c>
      <c r="P161" s="1731">
        <v>2984.1957252899997</v>
      </c>
      <c r="Q161" s="1731">
        <v>2797.3701722499991</v>
      </c>
      <c r="R161" s="1742"/>
      <c r="S161" s="1742"/>
      <c r="T161" s="1742"/>
      <c r="U161" s="1743"/>
    </row>
    <row r="162" spans="1:23" ht="15.75" hidden="1">
      <c r="A162" s="1735" t="s">
        <v>18</v>
      </c>
      <c r="B162" s="1736">
        <v>22576.48662118</v>
      </c>
      <c r="C162" s="1736">
        <v>8643.338840800001</v>
      </c>
      <c r="D162" s="1736">
        <v>395.46395204000009</v>
      </c>
      <c r="E162" s="1736">
        <v>1026.6177876700001</v>
      </c>
      <c r="F162" s="1736">
        <v>1092.8380958600001</v>
      </c>
      <c r="G162" s="1736">
        <v>6128.41900523</v>
      </c>
      <c r="H162" s="1736">
        <v>7166.9949462900013</v>
      </c>
      <c r="I162" s="1736">
        <v>102.97251574000001</v>
      </c>
      <c r="J162" s="1736">
        <v>637.64784706</v>
      </c>
      <c r="K162" s="1736">
        <v>526.94142351000005</v>
      </c>
      <c r="L162" s="1736">
        <v>5899.4331599800007</v>
      </c>
      <c r="M162" s="1736">
        <v>6800.5552543499998</v>
      </c>
      <c r="N162" s="1736">
        <f>(R162-D162-I162)</f>
        <v>1354.9089323399996</v>
      </c>
      <c r="O162" s="1736">
        <f>(S162-E162-J162)</f>
        <v>497.7081534700003</v>
      </c>
      <c r="P162" s="1736">
        <f>(T162-F162-K162)</f>
        <v>3373.1934018499996</v>
      </c>
      <c r="Q162" s="1736">
        <f>(U162-G162-L162)</f>
        <v>1540.3423464299995</v>
      </c>
      <c r="R162" s="1742">
        <v>1853.3454001199998</v>
      </c>
      <c r="S162" s="1742">
        <v>2161.9737882000004</v>
      </c>
      <c r="T162" s="1742">
        <v>4992.97292122</v>
      </c>
      <c r="U162" s="1743">
        <v>13568.19451164</v>
      </c>
    </row>
    <row r="163" spans="1:23" ht="15.75" hidden="1">
      <c r="A163" s="1735" t="s">
        <v>19</v>
      </c>
      <c r="B163" s="1736">
        <v>21285.444183420004</v>
      </c>
      <c r="C163" s="1736">
        <v>8077.2805155200022</v>
      </c>
      <c r="D163" s="1736">
        <v>414.88588116999995</v>
      </c>
      <c r="E163" s="1736">
        <v>994.01538985000002</v>
      </c>
      <c r="F163" s="1736">
        <v>1052.9077935900002</v>
      </c>
      <c r="G163" s="1736">
        <v>5615.4714509100022</v>
      </c>
      <c r="H163" s="1736">
        <v>6271.9979255600001</v>
      </c>
      <c r="I163" s="1736">
        <v>63.462362460000001</v>
      </c>
      <c r="J163" s="1736">
        <v>770.90365178000002</v>
      </c>
      <c r="K163" s="1736">
        <v>505.49978245</v>
      </c>
      <c r="L163" s="1736">
        <v>4932.1321288700001</v>
      </c>
      <c r="M163" s="1736">
        <v>6936.1657423399975</v>
      </c>
      <c r="N163" s="1736">
        <v>1430.4875528600003</v>
      </c>
      <c r="O163" s="1736">
        <v>504.89889568000012</v>
      </c>
      <c r="P163" s="1736">
        <v>3127.1378172699983</v>
      </c>
      <c r="Q163" s="1736">
        <v>1873.6414765299987</v>
      </c>
      <c r="R163" s="1742">
        <v>1908.8357964900001</v>
      </c>
      <c r="S163" s="1742">
        <v>2269.8179373100002</v>
      </c>
      <c r="T163" s="1742">
        <v>4685.5453933099989</v>
      </c>
      <c r="U163" s="1743">
        <v>12421.245056310001</v>
      </c>
      <c r="W163" s="1715">
        <v>1000</v>
      </c>
    </row>
    <row r="164" spans="1:23" ht="15.75" hidden="1">
      <c r="A164" s="1735" t="s">
        <v>20</v>
      </c>
      <c r="B164" s="1736">
        <v>23121.637737280002</v>
      </c>
      <c r="C164" s="1736">
        <v>7888.866837309999</v>
      </c>
      <c r="D164" s="1736">
        <v>493.72119703999999</v>
      </c>
      <c r="E164" s="1736">
        <v>1017.8553176299998</v>
      </c>
      <c r="F164" s="1736">
        <v>1010.1086851500002</v>
      </c>
      <c r="G164" s="1736">
        <v>5367.18163749</v>
      </c>
      <c r="H164" s="1736">
        <v>6444.4571196599991</v>
      </c>
      <c r="I164" s="1736">
        <v>84.578995370000001</v>
      </c>
      <c r="J164" s="1736">
        <v>799.79413139000008</v>
      </c>
      <c r="K164" s="1736">
        <v>495.80738154000005</v>
      </c>
      <c r="L164" s="1736">
        <v>5064.2766113599992</v>
      </c>
      <c r="M164" s="1736">
        <v>8788.3137803099999</v>
      </c>
      <c r="N164" s="1736">
        <v>1506.8197085800002</v>
      </c>
      <c r="O164" s="1736">
        <v>498.41800871000032</v>
      </c>
      <c r="P164" s="1736">
        <v>4068.8546808200008</v>
      </c>
      <c r="Q164" s="1736">
        <v>2714.2213821999985</v>
      </c>
      <c r="R164" s="1742">
        <v>2085.1199009900001</v>
      </c>
      <c r="S164" s="1742">
        <v>2316.0674577300001</v>
      </c>
      <c r="T164" s="1742">
        <v>5574.7707475100015</v>
      </c>
      <c r="U164" s="1743">
        <v>13145.679631049998</v>
      </c>
    </row>
    <row r="165" spans="1:23" ht="15.75" hidden="1">
      <c r="A165" s="1735" t="s">
        <v>21</v>
      </c>
      <c r="B165" s="1736">
        <v>22558.052858589999</v>
      </c>
      <c r="C165" s="1736">
        <v>7684.95810256</v>
      </c>
      <c r="D165" s="1736">
        <v>493.11902867000003</v>
      </c>
      <c r="E165" s="1736">
        <v>914.49493087999997</v>
      </c>
      <c r="F165" s="1736">
        <v>1058.9201124799999</v>
      </c>
      <c r="G165" s="1736">
        <v>5218.4240305300009</v>
      </c>
      <c r="H165" s="1736">
        <v>6182.4410817900007</v>
      </c>
      <c r="I165" s="1736">
        <v>77.362904760000006</v>
      </c>
      <c r="J165" s="1736">
        <v>762.09301765999999</v>
      </c>
      <c r="K165" s="1736">
        <v>476.95064371000007</v>
      </c>
      <c r="L165" s="1736">
        <v>4866.0345156600006</v>
      </c>
      <c r="M165" s="1736">
        <v>8690.6536742400003</v>
      </c>
      <c r="N165" s="1736">
        <v>1618.5548478399996</v>
      </c>
      <c r="O165" s="1736">
        <v>468.91508461000012</v>
      </c>
      <c r="P165" s="1736">
        <v>3973.8729139199995</v>
      </c>
      <c r="Q165" s="1736">
        <v>2629.310827870001</v>
      </c>
      <c r="R165" s="1742">
        <v>2189.0367812699997</v>
      </c>
      <c r="S165" s="1742">
        <v>2145.5030331500002</v>
      </c>
      <c r="T165" s="1742">
        <v>5509.7436701099996</v>
      </c>
      <c r="U165" s="1743">
        <v>12713.769374060003</v>
      </c>
    </row>
    <row r="166" spans="1:23" ht="15.75" hidden="1">
      <c r="A166" s="1735" t="s">
        <v>22</v>
      </c>
      <c r="B166" s="1736">
        <v>23148.058778530001</v>
      </c>
      <c r="C166" s="1736">
        <v>7565.9511798599997</v>
      </c>
      <c r="D166" s="1736">
        <v>486.20993685999991</v>
      </c>
      <c r="E166" s="1736">
        <v>961.33847025</v>
      </c>
      <c r="F166" s="1736">
        <v>1052.7850527000001</v>
      </c>
      <c r="G166" s="1736">
        <v>5065.6177200499997</v>
      </c>
      <c r="H166" s="1736">
        <v>6221.6415653900012</v>
      </c>
      <c r="I166" s="1736">
        <v>105.53736786</v>
      </c>
      <c r="J166" s="1736">
        <v>761.88788498999998</v>
      </c>
      <c r="K166" s="1736">
        <v>625.3260220300001</v>
      </c>
      <c r="L166" s="1736">
        <v>4728.8902905100013</v>
      </c>
      <c r="M166" s="1736">
        <v>9360.4660332800013</v>
      </c>
      <c r="N166" s="1736">
        <v>1650.0556431400003</v>
      </c>
      <c r="O166" s="1736">
        <v>485.79556657000012</v>
      </c>
      <c r="P166" s="1736">
        <v>3834.7924638800005</v>
      </c>
      <c r="Q166" s="1736">
        <v>3389.8223596900007</v>
      </c>
      <c r="R166" s="1742">
        <v>2241.8029478600001</v>
      </c>
      <c r="S166" s="1742">
        <v>2209.0219218100001</v>
      </c>
      <c r="T166" s="1742">
        <v>5512.9035386100004</v>
      </c>
      <c r="U166" s="1743">
        <v>13184.330370250002</v>
      </c>
    </row>
    <row r="167" spans="1:23" ht="15.75" hidden="1">
      <c r="A167" s="1735" t="s">
        <v>23</v>
      </c>
      <c r="B167" s="1736">
        <v>23366.762993790002</v>
      </c>
      <c r="C167" s="1736">
        <v>7815.6264911699991</v>
      </c>
      <c r="D167" s="1736">
        <v>546.73839292000002</v>
      </c>
      <c r="E167" s="1736">
        <v>970.36375868999983</v>
      </c>
      <c r="F167" s="1736">
        <v>1091.7599507300001</v>
      </c>
      <c r="G167" s="1736">
        <v>5206.7643888299999</v>
      </c>
      <c r="H167" s="1736">
        <v>6031.6449668599998</v>
      </c>
      <c r="I167" s="1736">
        <v>91.712456960000011</v>
      </c>
      <c r="J167" s="1736">
        <v>669.7833740100001</v>
      </c>
      <c r="K167" s="1736">
        <v>635.55247772000007</v>
      </c>
      <c r="L167" s="1736">
        <v>4634.5966581699995</v>
      </c>
      <c r="M167" s="1736">
        <v>9519.4915357600003</v>
      </c>
      <c r="N167" s="1736">
        <v>1844.8105047900003</v>
      </c>
      <c r="O167" s="1736">
        <v>500.12846699999989</v>
      </c>
      <c r="P167" s="1736">
        <v>3680.4814337299986</v>
      </c>
      <c r="Q167" s="1736">
        <v>3494.0711302400023</v>
      </c>
      <c r="R167" s="1742">
        <v>2483.2613546700004</v>
      </c>
      <c r="S167" s="1742">
        <v>2140.2755996999999</v>
      </c>
      <c r="T167" s="1742">
        <v>5407.7938621799985</v>
      </c>
      <c r="U167" s="1743">
        <v>13335.432177240002</v>
      </c>
    </row>
    <row r="168" spans="1:23" ht="15.75" hidden="1">
      <c r="A168" s="1735" t="s">
        <v>24</v>
      </c>
      <c r="B168" s="1736">
        <v>23248.853358559994</v>
      </c>
      <c r="C168" s="1736">
        <v>7843.8322067699992</v>
      </c>
      <c r="D168" s="1736">
        <v>589.40381853999997</v>
      </c>
      <c r="E168" s="1736">
        <v>916.61210225000002</v>
      </c>
      <c r="F168" s="1736">
        <v>1141.9646619700002</v>
      </c>
      <c r="G168" s="1736">
        <v>5195.8516240099998</v>
      </c>
      <c r="H168" s="1736">
        <v>5858.4821139300002</v>
      </c>
      <c r="I168" s="1736">
        <v>91.168270459999988</v>
      </c>
      <c r="J168" s="1736">
        <v>631.69173768999997</v>
      </c>
      <c r="K168" s="1736">
        <v>565.93032395</v>
      </c>
      <c r="L168" s="1736">
        <v>4569.6917818299999</v>
      </c>
      <c r="M168" s="1736">
        <v>9546.5390378600023</v>
      </c>
      <c r="N168" s="1736">
        <v>1931.3786209799994</v>
      </c>
      <c r="O168" s="1736">
        <v>485.54200054999967</v>
      </c>
      <c r="P168" s="1736">
        <v>3499.5308249300006</v>
      </c>
      <c r="Q168" s="1736">
        <v>3630.0875914000017</v>
      </c>
      <c r="R168" s="1742">
        <v>2611.9507099799994</v>
      </c>
      <c r="S168" s="1742">
        <v>2033.8458404899998</v>
      </c>
      <c r="T168" s="1742">
        <v>5207.4258108500007</v>
      </c>
      <c r="U168" s="1743">
        <v>13395.630997240001</v>
      </c>
    </row>
    <row r="169" spans="1:23" ht="15.75" hidden="1">
      <c r="A169" s="1735" t="s">
        <v>25</v>
      </c>
      <c r="B169" s="1736">
        <v>23673.772316860002</v>
      </c>
      <c r="C169" s="1736">
        <v>7931.8856794199983</v>
      </c>
      <c r="D169" s="1736">
        <v>530.98455763999993</v>
      </c>
      <c r="E169" s="1736">
        <v>925.52463819000013</v>
      </c>
      <c r="F169" s="1736">
        <v>1134.4384808299999</v>
      </c>
      <c r="G169" s="1736">
        <v>5340.9380027599991</v>
      </c>
      <c r="H169" s="1736">
        <v>5920.7974648299987</v>
      </c>
      <c r="I169" s="1736">
        <v>99.228474560000009</v>
      </c>
      <c r="J169" s="1736">
        <v>639.49957030999997</v>
      </c>
      <c r="K169" s="1736">
        <v>571.95494786000006</v>
      </c>
      <c r="L169" s="1736">
        <v>4610.1144720999991</v>
      </c>
      <c r="M169" s="1736">
        <v>9821.0891726100017</v>
      </c>
      <c r="N169" s="1736">
        <v>1814.7824133100007</v>
      </c>
      <c r="O169" s="1736">
        <v>476.61142654000002</v>
      </c>
      <c r="P169" s="1736">
        <v>3635.7740640800002</v>
      </c>
      <c r="Q169" s="1736">
        <v>3893.921268680001</v>
      </c>
      <c r="R169" s="1742">
        <v>2444.9954455100005</v>
      </c>
      <c r="S169" s="1742">
        <v>2041.6356350400001</v>
      </c>
      <c r="T169" s="1742">
        <v>5342.1674927700005</v>
      </c>
      <c r="U169" s="1743">
        <v>13844.973743539998</v>
      </c>
    </row>
    <row r="170" spans="1:23" ht="15.75" hidden="1">
      <c r="A170" s="1735" t="s">
        <v>26</v>
      </c>
      <c r="B170" s="1736">
        <v>22841.823131839999</v>
      </c>
      <c r="C170" s="1736">
        <v>7813.8673014100004</v>
      </c>
      <c r="D170" s="1736">
        <v>518.38537985999994</v>
      </c>
      <c r="E170" s="1736">
        <v>907.65208554000014</v>
      </c>
      <c r="F170" s="1736">
        <v>1165.3700243300002</v>
      </c>
      <c r="G170" s="1736">
        <v>5222.4598116800007</v>
      </c>
      <c r="H170" s="1736">
        <v>5872.2361056900008</v>
      </c>
      <c r="I170" s="1736">
        <v>98.169757440000012</v>
      </c>
      <c r="J170" s="1736">
        <v>605.67192999999997</v>
      </c>
      <c r="K170" s="1736">
        <v>650.97977207999998</v>
      </c>
      <c r="L170" s="1736">
        <v>4517.4146461700002</v>
      </c>
      <c r="M170" s="1736">
        <v>9155.7197247399999</v>
      </c>
      <c r="N170" s="1736">
        <v>2300.8210969999996</v>
      </c>
      <c r="O170" s="1736">
        <v>448.46705969999971</v>
      </c>
      <c r="P170" s="1736">
        <v>2997.4751573400017</v>
      </c>
      <c r="Q170" s="1736">
        <v>3408.9564106999987</v>
      </c>
      <c r="R170" s="1742">
        <v>2917.3762342999994</v>
      </c>
      <c r="S170" s="1742">
        <v>1961.7910752399998</v>
      </c>
      <c r="T170" s="1742">
        <v>4813.8249537500014</v>
      </c>
      <c r="U170" s="1743">
        <v>13148.83086855</v>
      </c>
    </row>
    <row r="171" spans="1:23" ht="15.75" hidden="1">
      <c r="A171" s="1735" t="s">
        <v>27</v>
      </c>
      <c r="B171" s="1736">
        <v>22227.398065330002</v>
      </c>
      <c r="C171" s="1736">
        <v>7413.11107498</v>
      </c>
      <c r="D171" s="1736">
        <v>480.19855046999999</v>
      </c>
      <c r="E171" s="1736">
        <v>917.41285771000014</v>
      </c>
      <c r="F171" s="1736">
        <v>1247.8405884899998</v>
      </c>
      <c r="G171" s="1736">
        <v>4767.65907831</v>
      </c>
      <c r="H171" s="1736">
        <v>5317.0422964700001</v>
      </c>
      <c r="I171" s="1736">
        <v>85.53800360000001</v>
      </c>
      <c r="J171" s="1736">
        <v>582.37352670999996</v>
      </c>
      <c r="K171" s="1736">
        <v>572.88963208999996</v>
      </c>
      <c r="L171" s="1736">
        <v>4076.24113407</v>
      </c>
      <c r="M171" s="1736">
        <v>9497.2446938799985</v>
      </c>
      <c r="N171" s="1736">
        <v>2018.4260913400001</v>
      </c>
      <c r="O171" s="1736">
        <v>1361.2589425800002</v>
      </c>
      <c r="P171" s="1736">
        <v>3277.8780135200013</v>
      </c>
      <c r="Q171" s="1736">
        <v>2839.6816464399981</v>
      </c>
      <c r="R171" s="1742">
        <v>2584.1626454100001</v>
      </c>
      <c r="S171" s="1742">
        <v>2861.0453270000003</v>
      </c>
      <c r="T171" s="1742">
        <v>5098.608234100001</v>
      </c>
      <c r="U171" s="1743">
        <v>11683.581858819998</v>
      </c>
    </row>
    <row r="172" spans="1:23" ht="15.75" hidden="1">
      <c r="A172" s="1735" t="s">
        <v>28</v>
      </c>
      <c r="B172" s="1736">
        <v>22651.162103860002</v>
      </c>
      <c r="C172" s="1736">
        <v>7605.7838093800001</v>
      </c>
      <c r="D172" s="1736">
        <v>513.95585828000014</v>
      </c>
      <c r="E172" s="1736">
        <v>916.54152053000007</v>
      </c>
      <c r="F172" s="1736">
        <v>1328.3355681799999</v>
      </c>
      <c r="G172" s="1736">
        <v>4846.9508623899992</v>
      </c>
      <c r="H172" s="1736">
        <v>5602.2453031600007</v>
      </c>
      <c r="I172" s="1736">
        <v>80.674939129999998</v>
      </c>
      <c r="J172" s="1736">
        <v>575.23592660999998</v>
      </c>
      <c r="K172" s="1736">
        <v>694.32862846</v>
      </c>
      <c r="L172" s="1736">
        <v>4252.0058089600006</v>
      </c>
      <c r="M172" s="1736">
        <v>9443.1329913200025</v>
      </c>
      <c r="N172" s="1736">
        <v>2080.4813102400008</v>
      </c>
      <c r="O172" s="1736">
        <v>1363.8596005799998</v>
      </c>
      <c r="P172" s="1736">
        <v>3032.2216198600013</v>
      </c>
      <c r="Q172" s="1736">
        <v>2966.5704606400004</v>
      </c>
      <c r="R172" s="1742">
        <v>2675.1121076500008</v>
      </c>
      <c r="S172" s="1742">
        <v>2855.6370477199998</v>
      </c>
      <c r="T172" s="1742">
        <v>5054.8858165000011</v>
      </c>
      <c r="U172" s="1743">
        <v>12065.52713199</v>
      </c>
    </row>
    <row r="173" spans="1:23" ht="15.75" hidden="1">
      <c r="A173" s="1735" t="s">
        <v>29</v>
      </c>
      <c r="B173" s="1736">
        <v>22090.979492840001</v>
      </c>
      <c r="C173" s="1736">
        <v>7448.6703850999993</v>
      </c>
      <c r="D173" s="1736">
        <v>593.12725676000014</v>
      </c>
      <c r="E173" s="1736">
        <v>924.10969758999988</v>
      </c>
      <c r="F173" s="1736">
        <v>1144.05167121</v>
      </c>
      <c r="G173" s="1736">
        <v>4787.3817595399987</v>
      </c>
      <c r="H173" s="1736">
        <v>5528.0058593799986</v>
      </c>
      <c r="I173" s="1736">
        <v>71.700868359999987</v>
      </c>
      <c r="J173" s="1736">
        <v>537.24336589999996</v>
      </c>
      <c r="K173" s="1736">
        <v>675.08966911000005</v>
      </c>
      <c r="L173" s="1736">
        <v>4243.9719560099993</v>
      </c>
      <c r="M173" s="1736">
        <f>(B173-H173-C173)</f>
        <v>9114.3032483600036</v>
      </c>
      <c r="N173" s="1736">
        <f>(R173-D173-I173)</f>
        <v>1970.2337789099997</v>
      </c>
      <c r="O173" s="1736">
        <f>(S173-E173-J173)</f>
        <v>1362.5035719100001</v>
      </c>
      <c r="P173" s="1736">
        <f>(T173-F173-K173)</f>
        <v>2984.1957252899997</v>
      </c>
      <c r="Q173" s="1736">
        <f>(U173-G173-L173)</f>
        <v>2797.3701722499991</v>
      </c>
      <c r="R173" s="1742">
        <v>2635.0619040299998</v>
      </c>
      <c r="S173" s="1742">
        <v>2823.8566354</v>
      </c>
      <c r="T173" s="1742">
        <v>4803.3370656099996</v>
      </c>
      <c r="U173" s="1743">
        <v>11828.723887799997</v>
      </c>
    </row>
    <row r="174" spans="1:23" ht="15.75">
      <c r="A174" s="1735" t="s">
        <v>1915</v>
      </c>
      <c r="B174" s="1736"/>
      <c r="C174" s="1736"/>
      <c r="D174" s="1736"/>
      <c r="E174" s="1736"/>
      <c r="F174" s="1736"/>
      <c r="G174" s="1736"/>
      <c r="H174" s="1736"/>
      <c r="I174" s="1736"/>
      <c r="J174" s="1736"/>
      <c r="K174" s="1736"/>
      <c r="L174" s="1736"/>
      <c r="M174" s="1736"/>
      <c r="N174" s="1736"/>
      <c r="O174" s="1736"/>
      <c r="P174" s="1736"/>
      <c r="Q174" s="1736"/>
      <c r="R174" s="1742"/>
      <c r="S174" s="1742"/>
      <c r="T174" s="1742"/>
      <c r="U174" s="1743"/>
    </row>
    <row r="175" spans="1:23" ht="15.75">
      <c r="A175" s="1735" t="s">
        <v>18</v>
      </c>
      <c r="B175" s="1736">
        <v>23215.011935040002</v>
      </c>
      <c r="C175" s="1736">
        <v>7747.21384734</v>
      </c>
      <c r="D175" s="1736">
        <v>511.30370880000004</v>
      </c>
      <c r="E175" s="1736">
        <v>941.39024112000004</v>
      </c>
      <c r="F175" s="1736">
        <v>1163.5807077500001</v>
      </c>
      <c r="G175" s="1736">
        <v>5130.939189669999</v>
      </c>
      <c r="H175" s="1736">
        <v>5753.1620311000006</v>
      </c>
      <c r="I175" s="1736">
        <v>129.29041722000002</v>
      </c>
      <c r="J175" s="1736">
        <v>540.35703023999986</v>
      </c>
      <c r="K175" s="1736">
        <v>932.55738747999999</v>
      </c>
      <c r="L175" s="1736">
        <v>4150.9571961600004</v>
      </c>
      <c r="M175" s="1736">
        <v>9714.6360566000003</v>
      </c>
      <c r="N175" s="1736">
        <v>1687.5110136199996</v>
      </c>
      <c r="O175" s="1736">
        <v>1353.5823116600004</v>
      </c>
      <c r="P175" s="1736">
        <v>3471.9036158099989</v>
      </c>
      <c r="Q175" s="1736">
        <v>3201.6391155100009</v>
      </c>
      <c r="R175" s="1742">
        <v>2328.1051396399998</v>
      </c>
      <c r="S175" s="1742">
        <v>2835.3295830200004</v>
      </c>
      <c r="T175" s="1742">
        <v>5568.0417110399994</v>
      </c>
      <c r="U175" s="1743">
        <v>12483.53550134</v>
      </c>
    </row>
    <row r="176" spans="1:23" ht="15.75">
      <c r="A176" s="1735" t="s">
        <v>19</v>
      </c>
      <c r="B176" s="1736">
        <v>21761.454722259998</v>
      </c>
      <c r="C176" s="1736">
        <v>7101.7795807600005</v>
      </c>
      <c r="D176" s="1736">
        <v>510.01916794999994</v>
      </c>
      <c r="E176" s="1736">
        <v>953.70506984000008</v>
      </c>
      <c r="F176" s="1736">
        <v>1045.7598395100001</v>
      </c>
      <c r="G176" s="1736">
        <v>4592.29550346</v>
      </c>
      <c r="H176" s="1736">
        <v>5332.5730695300008</v>
      </c>
      <c r="I176" s="1736">
        <v>86.003260250000011</v>
      </c>
      <c r="J176" s="1736">
        <v>509.13614666000001</v>
      </c>
      <c r="K176" s="1736">
        <v>1061.7027813699999</v>
      </c>
      <c r="L176" s="1736">
        <v>3675.7308812500005</v>
      </c>
      <c r="M176" s="1736">
        <v>9327.1020719700009</v>
      </c>
      <c r="N176" s="1736">
        <v>1688.5442630400003</v>
      </c>
      <c r="O176" s="1736">
        <v>1337.5645104200003</v>
      </c>
      <c r="P176" s="1736">
        <v>3336.6310166699996</v>
      </c>
      <c r="Q176" s="1736">
        <v>2964.3622818400008</v>
      </c>
      <c r="R176" s="1742">
        <v>2284.5666912400002</v>
      </c>
      <c r="S176" s="1742">
        <v>2800.4057269200002</v>
      </c>
      <c r="T176" s="1742">
        <v>5444.0936375499996</v>
      </c>
      <c r="U176" s="1743">
        <v>11232.388666550001</v>
      </c>
    </row>
    <row r="177" spans="1:21" ht="15.75">
      <c r="A177" s="1735" t="s">
        <v>20</v>
      </c>
      <c r="B177" s="1736">
        <v>21295.930216459998</v>
      </c>
      <c r="C177" s="1736">
        <v>6911.4482994199989</v>
      </c>
      <c r="D177" s="1736">
        <v>507.79294545999994</v>
      </c>
      <c r="E177" s="1736">
        <v>972.67982346000008</v>
      </c>
      <c r="F177" s="1736">
        <v>978.7682998600003</v>
      </c>
      <c r="G177" s="1736">
        <v>4452.2072306399996</v>
      </c>
      <c r="H177" s="1736">
        <v>5142.2947017300003</v>
      </c>
      <c r="I177" s="1736">
        <v>96.016516910000021</v>
      </c>
      <c r="J177" s="1736">
        <v>499.23899940999996</v>
      </c>
      <c r="K177" s="1736">
        <v>415.64322666999999</v>
      </c>
      <c r="L177" s="1736">
        <v>4131.3959587400004</v>
      </c>
      <c r="M177" s="1736">
        <v>9242.1872153100012</v>
      </c>
      <c r="N177" s="1736">
        <v>1706.5498026700002</v>
      </c>
      <c r="O177" s="1736">
        <v>1373.0064841100002</v>
      </c>
      <c r="P177" s="1736">
        <v>3241.1141526799997</v>
      </c>
      <c r="Q177" s="1736">
        <v>2921.5167758500002</v>
      </c>
      <c r="R177" s="1742">
        <v>2310.3592650400001</v>
      </c>
      <c r="S177" s="1742">
        <v>2844.9253069800002</v>
      </c>
      <c r="T177" s="1742">
        <v>4635.5256792099999</v>
      </c>
      <c r="U177" s="1743">
        <v>11505.11996523</v>
      </c>
    </row>
    <row r="178" spans="1:21" ht="15.75">
      <c r="A178" s="1735" t="s">
        <v>21</v>
      </c>
      <c r="B178" s="1736">
        <v>22148.608690479999</v>
      </c>
      <c r="C178" s="1736">
        <v>6873.1633715099997</v>
      </c>
      <c r="D178" s="1736">
        <v>594.38608856999986</v>
      </c>
      <c r="E178" s="1736">
        <v>1013.80627192</v>
      </c>
      <c r="F178" s="1736">
        <v>977.86800097000014</v>
      </c>
      <c r="G178" s="1736">
        <v>4287.1030100499993</v>
      </c>
      <c r="H178" s="1736">
        <v>5125.0752365199996</v>
      </c>
      <c r="I178" s="1736">
        <v>115.24164586000001</v>
      </c>
      <c r="J178" s="1736">
        <v>531.13794129999997</v>
      </c>
      <c r="K178" s="1736">
        <v>426.82019178000002</v>
      </c>
      <c r="L178" s="1736">
        <v>4051.8754575799999</v>
      </c>
      <c r="M178" s="1736">
        <v>10150.370082450001</v>
      </c>
      <c r="N178" s="1736">
        <v>1924.45684426</v>
      </c>
      <c r="O178" s="1736">
        <v>1391.96885662</v>
      </c>
      <c r="P178" s="1736">
        <v>3916.8819643700003</v>
      </c>
      <c r="Q178" s="1736">
        <v>2917.0624172000003</v>
      </c>
      <c r="R178" s="1742">
        <v>2634.0845786899999</v>
      </c>
      <c r="S178" s="1742">
        <v>2936.9130698399999</v>
      </c>
      <c r="T178" s="1742">
        <v>5321.5701571200007</v>
      </c>
      <c r="U178" s="1743">
        <v>11256.040884829999</v>
      </c>
    </row>
    <row r="179" spans="1:21" ht="15.75">
      <c r="A179" s="1735" t="s">
        <v>22</v>
      </c>
      <c r="B179" s="1736">
        <v>21594.662352359999</v>
      </c>
      <c r="C179" s="1736">
        <v>6846.7235042599987</v>
      </c>
      <c r="D179" s="1736">
        <v>691.21623787999988</v>
      </c>
      <c r="E179" s="1736">
        <v>1053.5552705099999</v>
      </c>
      <c r="F179" s="1736">
        <v>952.1354598800001</v>
      </c>
      <c r="G179" s="1736">
        <v>4149.8165359899995</v>
      </c>
      <c r="H179" s="1736">
        <v>4777.6970178000001</v>
      </c>
      <c r="I179" s="1736">
        <v>95.91001399000001</v>
      </c>
      <c r="J179" s="1736">
        <v>461.26379057999998</v>
      </c>
      <c r="K179" s="1736">
        <v>994.41097788000002</v>
      </c>
      <c r="L179" s="1736">
        <v>3226.1122353500004</v>
      </c>
      <c r="M179" s="1736">
        <v>9970.2418303000013</v>
      </c>
      <c r="N179" s="1736">
        <v>1632.5159611300007</v>
      </c>
      <c r="O179" s="1736">
        <v>1419.6315292499996</v>
      </c>
      <c r="P179" s="1736">
        <v>3936.0195881099999</v>
      </c>
      <c r="Q179" s="1736">
        <v>2982.0747518100006</v>
      </c>
      <c r="R179" s="1742">
        <v>2419.6422130000005</v>
      </c>
      <c r="S179" s="1742">
        <v>2934.4505903399995</v>
      </c>
      <c r="T179" s="1742">
        <v>5882.56602587</v>
      </c>
      <c r="U179" s="1743">
        <v>10358.003523150001</v>
      </c>
    </row>
    <row r="180" spans="1:21" ht="15.75">
      <c r="A180" s="1735" t="s">
        <v>23</v>
      </c>
      <c r="B180" s="1736">
        <v>21595.415994440005</v>
      </c>
      <c r="C180" s="1736">
        <v>6907.1098250700006</v>
      </c>
      <c r="D180" s="1736">
        <v>734.24331022999991</v>
      </c>
      <c r="E180" s="1736">
        <v>1104.18331337</v>
      </c>
      <c r="F180" s="1736">
        <v>998.89185959999998</v>
      </c>
      <c r="G180" s="1736">
        <v>4069.79134187</v>
      </c>
      <c r="H180" s="1736">
        <v>4732.2032445300001</v>
      </c>
      <c r="I180" s="1736">
        <v>120.98644231</v>
      </c>
      <c r="J180" s="1736">
        <v>453.78207615999992</v>
      </c>
      <c r="K180" s="1736">
        <v>489.53690608000005</v>
      </c>
      <c r="L180" s="1736">
        <v>3667.8978199799999</v>
      </c>
      <c r="M180" s="1736">
        <v>9956.1029248399991</v>
      </c>
      <c r="N180" s="1736">
        <v>1680.6508633899998</v>
      </c>
      <c r="O180" s="1736">
        <v>922.17756055000018</v>
      </c>
      <c r="P180" s="1736">
        <v>4314.5917706599985</v>
      </c>
      <c r="Q180" s="1736">
        <v>3038.6827302400011</v>
      </c>
      <c r="R180" s="1742">
        <v>2535.8806159299997</v>
      </c>
      <c r="S180" s="1742">
        <v>2480.14295008</v>
      </c>
      <c r="T180" s="1742">
        <v>5803.0205363399991</v>
      </c>
      <c r="U180" s="1743">
        <v>10776.371892090001</v>
      </c>
    </row>
    <row r="181" spans="1:21" ht="15.75">
      <c r="A181" s="1735" t="s">
        <v>24</v>
      </c>
      <c r="B181" s="1736">
        <v>21352.458820650005</v>
      </c>
      <c r="C181" s="1736">
        <v>6860.7177209400006</v>
      </c>
      <c r="D181" s="1736">
        <v>638.93427092000002</v>
      </c>
      <c r="E181" s="1736">
        <v>1183.1059403500001</v>
      </c>
      <c r="F181" s="1736">
        <v>1009.7550517699999</v>
      </c>
      <c r="G181" s="1736">
        <v>4028.9224579000002</v>
      </c>
      <c r="H181" s="1736">
        <v>4770.0330792200002</v>
      </c>
      <c r="I181" s="1736">
        <v>132.59944523000001</v>
      </c>
      <c r="J181" s="1736">
        <v>399.69076865</v>
      </c>
      <c r="K181" s="1736">
        <v>489.61596076999996</v>
      </c>
      <c r="L181" s="1736">
        <v>3748.1269045700001</v>
      </c>
      <c r="M181" s="1736">
        <v>9721.7080204900012</v>
      </c>
      <c r="N181" s="1736">
        <v>1629.2982414899998</v>
      </c>
      <c r="O181" s="1736">
        <v>781.44949229999986</v>
      </c>
      <c r="P181" s="1736">
        <v>4202.2245079299992</v>
      </c>
      <c r="Q181" s="1736">
        <v>3108.7357787700012</v>
      </c>
      <c r="R181" s="1742">
        <v>2400.8319576399999</v>
      </c>
      <c r="S181" s="1742">
        <v>2364.2462012999999</v>
      </c>
      <c r="T181" s="1742">
        <v>5701.5955204699994</v>
      </c>
      <c r="U181" s="1743">
        <v>10885.785141240001</v>
      </c>
    </row>
    <row r="182" spans="1:21" ht="15.75">
      <c r="A182" s="1735" t="s">
        <v>25</v>
      </c>
      <c r="B182" s="1736">
        <v>21008.018939289999</v>
      </c>
      <c r="C182" s="1736">
        <v>6895.4724854100014</v>
      </c>
      <c r="D182" s="1736">
        <v>684.21014093999997</v>
      </c>
      <c r="E182" s="1736">
        <v>1234.1775385000003</v>
      </c>
      <c r="F182" s="1736">
        <v>1031.6891513799999</v>
      </c>
      <c r="G182" s="1736">
        <v>3945.395654590001</v>
      </c>
      <c r="H182" s="1736">
        <v>4170.33850833</v>
      </c>
      <c r="I182" s="1736">
        <v>141.35162417000004</v>
      </c>
      <c r="J182" s="1736">
        <v>200.71455113000002</v>
      </c>
      <c r="K182" s="1736">
        <v>447.60887398</v>
      </c>
      <c r="L182" s="1736">
        <v>3380.6634590499998</v>
      </c>
      <c r="M182" s="1736">
        <v>9942.2079455499988</v>
      </c>
      <c r="N182" s="1736">
        <v>1662.6271696400004</v>
      </c>
      <c r="O182" s="1736">
        <v>783.38047376000009</v>
      </c>
      <c r="P182" s="1736">
        <v>4384.3211732299987</v>
      </c>
      <c r="Q182" s="1736">
        <v>3111.8791289199989</v>
      </c>
      <c r="R182" s="1742">
        <v>2488.1889347500005</v>
      </c>
      <c r="S182" s="1742">
        <v>2218.2725633900004</v>
      </c>
      <c r="T182" s="1742">
        <v>5863.6191985899986</v>
      </c>
      <c r="U182" s="1743">
        <v>10437.93824256</v>
      </c>
    </row>
    <row r="183" spans="1:21" ht="15.75">
      <c r="A183" s="1735" t="s">
        <v>26</v>
      </c>
      <c r="B183" s="1736">
        <v>19484.23664598</v>
      </c>
      <c r="C183" s="1736">
        <v>7022.1769641999999</v>
      </c>
      <c r="D183" s="1736">
        <v>685.53113867000002</v>
      </c>
      <c r="E183" s="1736">
        <v>1296.24622202</v>
      </c>
      <c r="F183" s="1736">
        <v>1172.4737137300001</v>
      </c>
      <c r="G183" s="1736">
        <v>3867.9258897800005</v>
      </c>
      <c r="H183" s="1736" t="s">
        <v>2020</v>
      </c>
      <c r="I183" s="1736">
        <v>134.39916910000002</v>
      </c>
      <c r="J183" s="1736">
        <v>209.69932566000003</v>
      </c>
      <c r="K183" s="1736">
        <v>241.13432000999998</v>
      </c>
      <c r="L183" s="1736">
        <v>1542.22673599</v>
      </c>
      <c r="M183" s="1736">
        <v>10334.600131020001</v>
      </c>
      <c r="N183" s="1736">
        <v>1968.6689919800001</v>
      </c>
      <c r="O183" s="1736">
        <v>647.20562004999999</v>
      </c>
      <c r="P183" s="1736">
        <v>4648.2796214199998</v>
      </c>
      <c r="Q183" s="1736">
        <v>3070.4458975700018</v>
      </c>
      <c r="R183" s="1742">
        <v>2788.5992997500002</v>
      </c>
      <c r="S183" s="1742">
        <v>2153.15116773</v>
      </c>
      <c r="T183" s="1742">
        <v>6061.8876551599997</v>
      </c>
      <c r="U183" s="1743">
        <v>8480.5985233400024</v>
      </c>
    </row>
    <row r="184" spans="1:21" ht="15.75">
      <c r="A184" s="1735" t="s">
        <v>27</v>
      </c>
      <c r="B184" s="1736">
        <v>19696.726037439999</v>
      </c>
      <c r="C184" s="1736">
        <v>7280.1157314900001</v>
      </c>
      <c r="D184" s="1736">
        <v>730.23960569000008</v>
      </c>
      <c r="E184" s="1736">
        <v>1459.3164028399999</v>
      </c>
      <c r="F184" s="1736">
        <v>1289.6514403799999</v>
      </c>
      <c r="G184" s="1736">
        <v>3800.9082825800001</v>
      </c>
      <c r="H184" s="1736">
        <v>2054.7600175299999</v>
      </c>
      <c r="I184" s="1736">
        <v>132.88479290000001</v>
      </c>
      <c r="J184" s="1736">
        <v>213.53205822999999</v>
      </c>
      <c r="K184" s="1736">
        <v>236.58157801999999</v>
      </c>
      <c r="L184" s="1736">
        <v>1471.7615883799999</v>
      </c>
      <c r="M184" s="1736">
        <v>10361.850288419999</v>
      </c>
      <c r="N184" s="1736">
        <v>1866.0599670200006</v>
      </c>
      <c r="O184" s="1736">
        <v>631.49836178999965</v>
      </c>
      <c r="P184" s="1736">
        <v>4802.1738252099985</v>
      </c>
      <c r="Q184" s="1736">
        <v>3062.1181343999988</v>
      </c>
      <c r="R184" s="1742">
        <v>2729.1843656100009</v>
      </c>
      <c r="S184" s="1742">
        <v>2304.3468228599995</v>
      </c>
      <c r="T184" s="1742">
        <v>6328.4068436099988</v>
      </c>
      <c r="U184" s="1743">
        <v>8334.7880053599984</v>
      </c>
    </row>
    <row r="185" spans="1:21" ht="15.75">
      <c r="A185" s="1735" t="s">
        <v>28</v>
      </c>
      <c r="B185" s="1736">
        <v>19635.302359779998</v>
      </c>
      <c r="C185" s="1736">
        <v>7370.6137107699997</v>
      </c>
      <c r="D185" s="1736">
        <v>719.73873243000003</v>
      </c>
      <c r="E185" s="1736">
        <v>1565.7398545599997</v>
      </c>
      <c r="F185" s="1736">
        <v>1489.1860028899996</v>
      </c>
      <c r="G185" s="1736">
        <v>3595.9491208899999</v>
      </c>
      <c r="H185" s="1736">
        <v>1918.5568416200001</v>
      </c>
      <c r="I185" s="1736">
        <v>104.96571934000001</v>
      </c>
      <c r="J185" s="1736">
        <v>228.02136705999996</v>
      </c>
      <c r="K185" s="1736">
        <v>232.56659327999995</v>
      </c>
      <c r="L185" s="1736">
        <v>1353.0031619400002</v>
      </c>
      <c r="M185" s="1736">
        <v>10346.13180739</v>
      </c>
      <c r="N185" s="1736">
        <v>2242.0657031199999</v>
      </c>
      <c r="O185" s="1736">
        <v>621.1482193999999</v>
      </c>
      <c r="P185" s="1736">
        <v>4397.0401643000005</v>
      </c>
      <c r="Q185" s="1736">
        <v>3085.8777205699994</v>
      </c>
      <c r="R185" s="1742">
        <v>3066.7701548899995</v>
      </c>
      <c r="S185" s="1742">
        <v>2414.9094410199996</v>
      </c>
      <c r="T185" s="1742">
        <v>6118.7927604699998</v>
      </c>
      <c r="U185" s="1743">
        <v>8034.8300033999994</v>
      </c>
    </row>
    <row r="186" spans="1:21" ht="15.75">
      <c r="A186" s="1735" t="s">
        <v>29</v>
      </c>
      <c r="B186" s="1736">
        <v>20599.091444879999</v>
      </c>
      <c r="C186" s="1736">
        <v>7561.1649168699996</v>
      </c>
      <c r="D186" s="1736">
        <v>833.84853344999999</v>
      </c>
      <c r="E186" s="1736">
        <v>1699.05114254</v>
      </c>
      <c r="F186" s="1736">
        <v>1526.1741736200001</v>
      </c>
      <c r="G186" s="1736">
        <v>3502.0910672599998</v>
      </c>
      <c r="H186" s="1736">
        <v>1935.0288678900004</v>
      </c>
      <c r="I186" s="1736">
        <v>118.85226854000001</v>
      </c>
      <c r="J186" s="1736">
        <v>221.09402102000001</v>
      </c>
      <c r="K186" s="1736">
        <v>233.61762527999994</v>
      </c>
      <c r="L186" s="1736">
        <v>1361.4649530500003</v>
      </c>
      <c r="M186" s="1736">
        <v>11102.897660120001</v>
      </c>
      <c r="N186" s="1736">
        <v>2335.0621659400003</v>
      </c>
      <c r="O186" s="1736">
        <v>477.63468647000002</v>
      </c>
      <c r="P186" s="1736">
        <v>5255.53492018</v>
      </c>
      <c r="Q186" s="1736">
        <v>3034.6658875300009</v>
      </c>
      <c r="R186" s="1742">
        <v>3287.7629679300003</v>
      </c>
      <c r="S186" s="1742">
        <v>2397.77985003</v>
      </c>
      <c r="T186" s="1742">
        <v>7015.3267190799997</v>
      </c>
      <c r="U186" s="1743">
        <v>7898.2219078400012</v>
      </c>
    </row>
    <row r="187" spans="1:21" ht="15.75">
      <c r="A187" s="1735" t="s">
        <v>2051</v>
      </c>
      <c r="B187" s="1736"/>
      <c r="C187" s="1736"/>
      <c r="D187" s="1736"/>
      <c r="E187" s="1736"/>
      <c r="F187" s="1736"/>
      <c r="G187" s="1736"/>
      <c r="H187" s="1736"/>
      <c r="I187" s="1736"/>
      <c r="J187" s="1736"/>
      <c r="K187" s="1736"/>
      <c r="L187" s="1736"/>
      <c r="M187" s="1736"/>
      <c r="N187" s="1736"/>
      <c r="O187" s="1736"/>
      <c r="P187" s="1736"/>
      <c r="Q187" s="1736"/>
      <c r="R187" s="1742"/>
      <c r="S187" s="1742"/>
      <c r="T187" s="1742"/>
      <c r="U187" s="1743"/>
    </row>
    <row r="188" spans="1:21" ht="15.75">
      <c r="A188" s="1735" t="s">
        <v>18</v>
      </c>
      <c r="B188" s="1736">
        <v>20861.52014651</v>
      </c>
      <c r="C188" s="1736">
        <v>7497.039985299999</v>
      </c>
      <c r="D188" s="1736">
        <v>741.69174687999987</v>
      </c>
      <c r="E188" s="1736">
        <v>1787.9554567299999</v>
      </c>
      <c r="F188" s="1736">
        <v>1513.9568288600001</v>
      </c>
      <c r="G188" s="1736">
        <v>3453.4359528299997</v>
      </c>
      <c r="H188" s="1736">
        <v>1936.65975925</v>
      </c>
      <c r="I188" s="1736">
        <v>144.86710582000003</v>
      </c>
      <c r="J188" s="1736">
        <v>220.93961589999998</v>
      </c>
      <c r="K188" s="1736">
        <v>247.70177226999994</v>
      </c>
      <c r="L188" s="1736">
        <v>1323.1512652599999</v>
      </c>
      <c r="M188" s="1736">
        <v>11427.82040196</v>
      </c>
      <c r="N188" s="1736">
        <v>2047.5037671600001</v>
      </c>
      <c r="O188" s="1736">
        <v>550.31400491000022</v>
      </c>
      <c r="P188" s="1736">
        <v>5771.4759269099995</v>
      </c>
      <c r="Q188" s="1736">
        <v>3058.5267029799993</v>
      </c>
      <c r="R188" s="1742">
        <v>2934.0626198599998</v>
      </c>
      <c r="S188" s="1742">
        <v>2559.2090775400002</v>
      </c>
      <c r="T188" s="1742">
        <v>7533.1345280400001</v>
      </c>
      <c r="U188" s="1743">
        <v>7835.1139210699994</v>
      </c>
    </row>
    <row r="189" spans="1:21" ht="15.75">
      <c r="A189" s="1735" t="s">
        <v>19</v>
      </c>
      <c r="B189" s="1736">
        <v>20686.631633080004</v>
      </c>
      <c r="C189" s="1736">
        <v>7750.3027705800005</v>
      </c>
      <c r="D189" s="1736">
        <v>993.99246617000017</v>
      </c>
      <c r="E189" s="1736">
        <v>1941.1930086999998</v>
      </c>
      <c r="F189" s="1736">
        <v>1478.1934614500001</v>
      </c>
      <c r="G189" s="1736">
        <v>3336.9238342599997</v>
      </c>
      <c r="H189" s="1736">
        <v>1869.7545668400003</v>
      </c>
      <c r="I189" s="1736">
        <v>147.66554392</v>
      </c>
      <c r="J189" s="1736">
        <v>240.07848050000001</v>
      </c>
      <c r="K189" s="1736">
        <v>221.21629823999999</v>
      </c>
      <c r="L189" s="1736">
        <v>1260.7942441800001</v>
      </c>
      <c r="M189" s="1736">
        <v>11066.574295660002</v>
      </c>
      <c r="N189" s="1736">
        <v>2051.2819356099999</v>
      </c>
      <c r="O189" s="1736">
        <v>455.80533409000014</v>
      </c>
      <c r="P189" s="1736">
        <v>5547.9412745000018</v>
      </c>
      <c r="Q189" s="1736">
        <v>3011.5457514600007</v>
      </c>
      <c r="R189" s="1742">
        <v>3192.9399457</v>
      </c>
      <c r="S189" s="1742">
        <v>2637.07682329</v>
      </c>
      <c r="T189" s="1742">
        <v>7247.351034190001</v>
      </c>
      <c r="U189" s="1743">
        <v>7609.2638299</v>
      </c>
    </row>
    <row r="190" spans="1:21" ht="15.75">
      <c r="A190" s="1735" t="s">
        <v>20</v>
      </c>
      <c r="B190" s="1736">
        <v>20328.670449750007</v>
      </c>
      <c r="C190" s="1736">
        <v>7657.1926146200003</v>
      </c>
      <c r="D190" s="1736">
        <v>777.43081286999995</v>
      </c>
      <c r="E190" s="1736">
        <v>1973.62260571</v>
      </c>
      <c r="F190" s="1736">
        <v>1529.3477414099996</v>
      </c>
      <c r="G190" s="1736">
        <v>3376.7914546299999</v>
      </c>
      <c r="H190" s="1736">
        <v>1668.00005222</v>
      </c>
      <c r="I190" s="1736">
        <v>149.86220959000002</v>
      </c>
      <c r="J190" s="1736">
        <v>256.89918239999997</v>
      </c>
      <c r="K190" s="1736">
        <v>216.26090340999997</v>
      </c>
      <c r="L190" s="1736">
        <v>1044.97775682</v>
      </c>
      <c r="M190" s="1736">
        <v>11003.47778291</v>
      </c>
      <c r="N190" s="1736">
        <v>2473.2953953400001</v>
      </c>
      <c r="O190" s="1736">
        <v>429.91169623000019</v>
      </c>
      <c r="P190" s="1736">
        <v>5094.0225515599996</v>
      </c>
      <c r="Q190" s="1736">
        <v>3006.2481397800002</v>
      </c>
      <c r="R190" s="1742">
        <v>3400.5884178000001</v>
      </c>
      <c r="S190" s="1742">
        <v>2660.4334843400002</v>
      </c>
      <c r="T190" s="1742">
        <v>6839.631196379999</v>
      </c>
      <c r="U190" s="1743">
        <v>7428.0173512299998</v>
      </c>
    </row>
    <row r="191" spans="1:21" ht="15.75">
      <c r="A191" s="1735" t="s">
        <v>21</v>
      </c>
      <c r="B191" s="1736">
        <v>20201.674806179999</v>
      </c>
      <c r="C191" s="1736">
        <v>7881.3586957200005</v>
      </c>
      <c r="D191" s="1736">
        <v>885.43564898999989</v>
      </c>
      <c r="E191" s="1736">
        <v>2002.3976561900001</v>
      </c>
      <c r="F191" s="1736">
        <v>1566.7741541099997</v>
      </c>
      <c r="G191" s="1736">
        <v>3426.7512364299996</v>
      </c>
      <c r="H191" s="1736">
        <v>1759.3374474699999</v>
      </c>
      <c r="I191" s="1736">
        <v>275.18865254999997</v>
      </c>
      <c r="J191" s="1736">
        <v>240.40940207</v>
      </c>
      <c r="K191" s="1736">
        <v>482.56678790000001</v>
      </c>
      <c r="L191" s="1736">
        <v>761.17260495000016</v>
      </c>
      <c r="M191" s="1736">
        <v>10560.978662990001</v>
      </c>
      <c r="N191" s="1736">
        <v>2249.7988475000006</v>
      </c>
      <c r="O191" s="1736">
        <v>335.99090425000003</v>
      </c>
      <c r="P191" s="1736">
        <v>4917.1091422399995</v>
      </c>
      <c r="Q191" s="1736">
        <v>3058.0797690000004</v>
      </c>
      <c r="R191" s="1742">
        <v>3410.4231490400007</v>
      </c>
      <c r="S191" s="1742">
        <v>2578.7979625100002</v>
      </c>
      <c r="T191" s="1742">
        <v>6966.4500842499992</v>
      </c>
      <c r="U191" s="1743">
        <v>7246.0036103800003</v>
      </c>
    </row>
    <row r="192" spans="1:21" ht="15.75">
      <c r="A192" s="1735" t="s">
        <v>22</v>
      </c>
      <c r="B192" s="1736">
        <v>20130.535433860001</v>
      </c>
      <c r="C192" s="1736">
        <v>7867.4841927100006</v>
      </c>
      <c r="D192" s="1736">
        <v>822.95172704000026</v>
      </c>
      <c r="E192" s="1736">
        <v>2096.2093240800004</v>
      </c>
      <c r="F192" s="1736">
        <v>1478.5333535600003</v>
      </c>
      <c r="G192" s="1736">
        <v>3469.7897880300002</v>
      </c>
      <c r="H192" s="1736">
        <v>1730.5247752300002</v>
      </c>
      <c r="I192" s="1736">
        <v>214.6185251</v>
      </c>
      <c r="J192" s="1736">
        <v>250.74407776000001</v>
      </c>
      <c r="K192" s="1736">
        <v>272.07418939000002</v>
      </c>
      <c r="L192" s="1736">
        <v>993.08798298000022</v>
      </c>
      <c r="M192" s="1736">
        <v>10532.52646592</v>
      </c>
      <c r="N192" s="1736">
        <v>2313.3721713599998</v>
      </c>
      <c r="O192" s="1736">
        <v>323.22554389000015</v>
      </c>
      <c r="P192" s="1736">
        <v>4804.0745037299994</v>
      </c>
      <c r="Q192" s="1736">
        <v>3091.8542469399999</v>
      </c>
      <c r="R192" s="1742">
        <v>3350.9424235000001</v>
      </c>
      <c r="S192" s="1742">
        <v>2670.1789457300006</v>
      </c>
      <c r="T192" s="1742">
        <v>6554.68204668</v>
      </c>
      <c r="U192" s="1743">
        <v>7554.7320179500002</v>
      </c>
    </row>
    <row r="193" spans="1:21" ht="15.75">
      <c r="A193" s="1735" t="s">
        <v>23</v>
      </c>
      <c r="B193" s="1736">
        <v>20439.065491319994</v>
      </c>
      <c r="C193" s="1736">
        <v>8109.3167944799998</v>
      </c>
      <c r="D193" s="1736">
        <v>917.95489522000003</v>
      </c>
      <c r="E193" s="1736">
        <v>2130.7924515200002</v>
      </c>
      <c r="F193" s="1736">
        <v>1480.20537528</v>
      </c>
      <c r="G193" s="1736">
        <v>3580.36407246</v>
      </c>
      <c r="H193" s="1736">
        <v>1732.32186559</v>
      </c>
      <c r="I193" s="1736">
        <v>246.55818549</v>
      </c>
      <c r="J193" s="1736">
        <v>252.02310839999998</v>
      </c>
      <c r="K193" s="1736">
        <v>234.79285619000001</v>
      </c>
      <c r="L193" s="1736">
        <v>998.94771551000008</v>
      </c>
      <c r="M193" s="1736">
        <v>10597.426831250001</v>
      </c>
      <c r="N193" s="1736">
        <v>2454.0385224700003</v>
      </c>
      <c r="O193" s="1736">
        <v>302.4660808999995</v>
      </c>
      <c r="P193" s="1736">
        <v>4733.0005721200005</v>
      </c>
      <c r="Q193" s="1736">
        <v>3107.9216557600002</v>
      </c>
      <c r="R193" s="1742">
        <v>3618.5516031800003</v>
      </c>
      <c r="S193" s="1742">
        <v>2685.2816408199997</v>
      </c>
      <c r="T193" s="1742">
        <v>6447.9988035900005</v>
      </c>
      <c r="U193" s="1742">
        <v>7687.2334437300005</v>
      </c>
    </row>
    <row r="194" spans="1:21" ht="15.75">
      <c r="A194" s="1735" t="s">
        <v>24</v>
      </c>
      <c r="B194" s="1736">
        <v>20491.224001660001</v>
      </c>
      <c r="C194" s="1736">
        <v>8049.5306197800001</v>
      </c>
      <c r="D194" s="1736">
        <v>876.91558681000004</v>
      </c>
      <c r="E194" s="1736">
        <v>2157.01236238</v>
      </c>
      <c r="F194" s="1736">
        <v>1476.6492723500003</v>
      </c>
      <c r="G194" s="1736">
        <v>3538.9533982399998</v>
      </c>
      <c r="H194" s="1736">
        <v>1556.07739373</v>
      </c>
      <c r="I194" s="1736">
        <v>110.53313078000004</v>
      </c>
      <c r="J194" s="1736">
        <v>244.86243636999998</v>
      </c>
      <c r="K194" s="1736">
        <v>215.73175524000001</v>
      </c>
      <c r="L194" s="1736">
        <v>984.95007134000002</v>
      </c>
      <c r="M194" s="1736">
        <v>10885.615988149999</v>
      </c>
      <c r="N194" s="1736">
        <v>2772.1853539199997</v>
      </c>
      <c r="O194" s="1736">
        <v>268.68012918999978</v>
      </c>
      <c r="P194" s="1736">
        <v>4788.7361097599996</v>
      </c>
      <c r="Q194" s="1736">
        <v>3056.0143952799999</v>
      </c>
      <c r="R194" s="1742">
        <v>3759.63407151</v>
      </c>
      <c r="S194" s="1742">
        <v>2670.5549279399997</v>
      </c>
      <c r="T194" s="1742">
        <v>6481.1171373500001</v>
      </c>
      <c r="U194" s="1742">
        <v>7579.91786486</v>
      </c>
    </row>
    <row r="195" spans="1:21" ht="15.75">
      <c r="A195" s="1735" t="s">
        <v>25</v>
      </c>
      <c r="B195" s="1736">
        <v>20590.612705210002</v>
      </c>
      <c r="C195" s="1736">
        <v>8020.7721544300011</v>
      </c>
      <c r="D195" s="1736">
        <v>827.40744354000014</v>
      </c>
      <c r="E195" s="1736">
        <v>2139.4209975700001</v>
      </c>
      <c r="F195" s="1736">
        <v>1484.7573798099997</v>
      </c>
      <c r="G195" s="1736">
        <v>3569.1863335100006</v>
      </c>
      <c r="H195" s="1736">
        <v>1581.0102847500002</v>
      </c>
      <c r="I195" s="1736">
        <v>115.71787568000001</v>
      </c>
      <c r="J195" s="1736">
        <v>246.15046806000001</v>
      </c>
      <c r="K195" s="1736">
        <v>230.84662654999997</v>
      </c>
      <c r="L195" s="1736">
        <v>988.2953144600001</v>
      </c>
      <c r="M195" s="1736">
        <v>10988.83026603</v>
      </c>
      <c r="N195" s="1736">
        <v>2865.3715612500005</v>
      </c>
      <c r="O195" s="1736">
        <v>249.92063820999974</v>
      </c>
      <c r="P195" s="1736">
        <v>4705.4700131899999</v>
      </c>
      <c r="Q195" s="1736">
        <v>3168.06805338</v>
      </c>
      <c r="R195" s="1742">
        <v>3808.4968804700006</v>
      </c>
      <c r="S195" s="1742">
        <v>2635.4921038399998</v>
      </c>
      <c r="T195" s="1742">
        <v>6421.0740195500002</v>
      </c>
      <c r="U195" s="1742">
        <v>7725.5497013500008</v>
      </c>
    </row>
    <row r="196" spans="1:21" ht="15.75">
      <c r="A196" s="1735" t="s">
        <v>26</v>
      </c>
      <c r="B196" s="1736">
        <v>21583.579528689999</v>
      </c>
      <c r="C196" s="1736">
        <v>8199.1276429999998</v>
      </c>
      <c r="D196" s="1736">
        <v>976.05798141000002</v>
      </c>
      <c r="E196" s="1736">
        <v>2094.1830284900002</v>
      </c>
      <c r="F196" s="1736">
        <v>1655.8324848999998</v>
      </c>
      <c r="G196" s="1736">
        <v>3473.0541481999999</v>
      </c>
      <c r="H196" s="1736">
        <v>1632.0445377999997</v>
      </c>
      <c r="I196" s="1736">
        <v>120.29472337000001</v>
      </c>
      <c r="J196" s="1736">
        <v>254.26338566000001</v>
      </c>
      <c r="K196" s="1736">
        <v>248.28851724</v>
      </c>
      <c r="L196" s="1736">
        <v>1009.1979115299999</v>
      </c>
      <c r="M196" s="1736">
        <v>11752.407347889999</v>
      </c>
      <c r="N196" s="1736">
        <v>3334.1386971699999</v>
      </c>
      <c r="O196" s="1736">
        <v>260.9148331600004</v>
      </c>
      <c r="P196" s="1736">
        <v>4959.5581386899985</v>
      </c>
      <c r="Q196" s="1736">
        <v>3197.7956788700003</v>
      </c>
      <c r="R196" s="1742">
        <v>4430.4914019500002</v>
      </c>
      <c r="S196" s="1742">
        <v>2609.3612473100006</v>
      </c>
      <c r="T196" s="1742">
        <v>6863.6791408299987</v>
      </c>
      <c r="U196" s="1742">
        <v>7680.0477386000002</v>
      </c>
    </row>
    <row r="197" spans="1:21" ht="15.75">
      <c r="A197" s="1735" t="s">
        <v>27</v>
      </c>
      <c r="B197" s="1736">
        <v>22003.129238079997</v>
      </c>
      <c r="C197" s="1736">
        <v>8140.0415015399994</v>
      </c>
      <c r="D197" s="1736">
        <v>893.81149075000019</v>
      </c>
      <c r="E197" s="1736">
        <v>2074.3308062799997</v>
      </c>
      <c r="F197" s="1736">
        <v>1688.1541165600001</v>
      </c>
      <c r="G197" s="1736">
        <v>3483.7450879500002</v>
      </c>
      <c r="H197" s="1736">
        <v>1591.82904242</v>
      </c>
      <c r="I197" s="1736">
        <v>145.37616427000003</v>
      </c>
      <c r="J197" s="1736">
        <v>255.41448873999997</v>
      </c>
      <c r="K197" s="1736">
        <v>241.97430420999999</v>
      </c>
      <c r="L197" s="1736">
        <v>949.06408519999991</v>
      </c>
      <c r="M197" s="1736">
        <v>12271.258694120001</v>
      </c>
      <c r="N197" s="1736">
        <v>3691.4278198499987</v>
      </c>
      <c r="O197" s="1736">
        <v>293.21622350999979</v>
      </c>
      <c r="P197" s="1736">
        <v>5067.2275998400019</v>
      </c>
      <c r="Q197" s="1736">
        <v>3219.3870509200005</v>
      </c>
      <c r="R197" s="1742">
        <v>4730.6154748699992</v>
      </c>
      <c r="S197" s="1742">
        <v>2622.9615185299995</v>
      </c>
      <c r="T197" s="1742">
        <v>6997.3560206100019</v>
      </c>
      <c r="U197" s="1742">
        <v>7652.1962240700004</v>
      </c>
    </row>
    <row r="198" spans="1:21" ht="15.75">
      <c r="A198" s="1735" t="s">
        <v>28</v>
      </c>
      <c r="B198" s="1736">
        <v>21990.067519420001</v>
      </c>
      <c r="C198" s="1736">
        <v>8073.4974073799995</v>
      </c>
      <c r="D198" s="1736">
        <v>923.0870461799999</v>
      </c>
      <c r="E198" s="1736">
        <v>2099.3108494900002</v>
      </c>
      <c r="F198" s="1736">
        <v>1677.2828869399998</v>
      </c>
      <c r="G198" s="1736">
        <v>3373.8166247699996</v>
      </c>
      <c r="H198" s="1736">
        <v>1546.8912431799999</v>
      </c>
      <c r="I198" s="1736">
        <v>145.86218808000004</v>
      </c>
      <c r="J198" s="1736">
        <v>261.26343091000001</v>
      </c>
      <c r="K198" s="1736">
        <v>229.18376868999999</v>
      </c>
      <c r="L198" s="1736">
        <v>910.58185549999996</v>
      </c>
      <c r="M198" s="1736">
        <v>12369.678868860001</v>
      </c>
      <c r="N198" s="1736">
        <v>3603.5296542700003</v>
      </c>
      <c r="O198" s="1736">
        <v>361.18702701000018</v>
      </c>
      <c r="P198" s="1736">
        <v>5297.4777855400007</v>
      </c>
      <c r="Q198" s="1736">
        <v>3107.4844020399996</v>
      </c>
      <c r="R198" s="1742">
        <v>4672.4788885300004</v>
      </c>
      <c r="S198" s="1742">
        <v>2721.7613074100004</v>
      </c>
      <c r="T198" s="1742">
        <v>7203.9444411700006</v>
      </c>
      <c r="U198" s="1742">
        <v>7391.8828823099993</v>
      </c>
    </row>
    <row r="199" spans="1:21" ht="15.75">
      <c r="A199" s="1735" t="s">
        <v>29</v>
      </c>
      <c r="B199" s="1736">
        <v>21870.407654459999</v>
      </c>
      <c r="C199" s="1736">
        <v>8375.3809737499996</v>
      </c>
      <c r="D199" s="1736">
        <v>1042.0562517200003</v>
      </c>
      <c r="E199" s="1736">
        <v>2100.1668999799999</v>
      </c>
      <c r="F199" s="1736">
        <v>1751.4342278399995</v>
      </c>
      <c r="G199" s="1736">
        <v>3481.7235942099996</v>
      </c>
      <c r="H199" s="1736">
        <v>1547.6521935900003</v>
      </c>
      <c r="I199" s="1736">
        <v>120.43640258000001</v>
      </c>
      <c r="J199" s="1736">
        <v>299.73629445000006</v>
      </c>
      <c r="K199" s="1736">
        <v>254.39862756999997</v>
      </c>
      <c r="L199" s="1736">
        <v>873.08086899000023</v>
      </c>
      <c r="M199" s="1736">
        <v>11947.374487119998</v>
      </c>
      <c r="N199" s="1736">
        <v>3773.0375790300009</v>
      </c>
      <c r="O199" s="1736">
        <v>246.30038732999992</v>
      </c>
      <c r="P199" s="1736">
        <v>5072.423194269998</v>
      </c>
      <c r="Q199" s="1736">
        <v>2855.61332649</v>
      </c>
      <c r="R199" s="1742">
        <v>4935.5302333300015</v>
      </c>
      <c r="S199" s="1742">
        <v>2646.2035817599999</v>
      </c>
      <c r="T199" s="1742">
        <v>7078.2560496799979</v>
      </c>
      <c r="U199" s="1742">
        <v>7210.4177896900001</v>
      </c>
    </row>
    <row r="200" spans="1:21" ht="15.75">
      <c r="A200" s="1735" t="s">
        <v>2144</v>
      </c>
      <c r="B200" s="1736"/>
      <c r="C200" s="1736"/>
      <c r="D200" s="1736"/>
      <c r="E200" s="1736"/>
      <c r="F200" s="1736"/>
      <c r="G200" s="1736"/>
      <c r="H200" s="1736"/>
      <c r="I200" s="1736"/>
      <c r="J200" s="1736"/>
      <c r="K200" s="1736"/>
      <c r="L200" s="1736"/>
      <c r="M200" s="1736"/>
      <c r="N200" s="1736"/>
      <c r="O200" s="1736"/>
      <c r="P200" s="1736"/>
      <c r="Q200" s="1736"/>
      <c r="R200" s="1742"/>
      <c r="S200" s="1742"/>
      <c r="T200" s="1742"/>
      <c r="U200" s="1742"/>
    </row>
    <row r="201" spans="1:21" ht="15.75">
      <c r="A201" s="1735" t="s">
        <v>18</v>
      </c>
      <c r="B201" s="1736">
        <v>21978.147033900004</v>
      </c>
      <c r="C201" s="1736">
        <v>8075.9421830599995</v>
      </c>
      <c r="D201" s="1736">
        <v>902.81743503999996</v>
      </c>
      <c r="E201" s="1736">
        <v>2125.2112483599999</v>
      </c>
      <c r="F201" s="1736">
        <v>1650.8776774099995</v>
      </c>
      <c r="G201" s="1736">
        <v>3397.0358222499999</v>
      </c>
      <c r="H201" s="1736">
        <v>1670.5081310600001</v>
      </c>
      <c r="I201" s="1736">
        <v>128.46202484000003</v>
      </c>
      <c r="J201" s="1736">
        <v>352.06054181999997</v>
      </c>
      <c r="K201" s="1736">
        <v>313.29287337</v>
      </c>
      <c r="L201" s="1736">
        <v>876.69269103000011</v>
      </c>
      <c r="M201" s="1736">
        <v>12231.696719780002</v>
      </c>
      <c r="N201" s="1736">
        <v>3621.4121775499998</v>
      </c>
      <c r="O201" s="1736">
        <v>238.65287355999982</v>
      </c>
      <c r="P201" s="1736">
        <v>5185.3854249700007</v>
      </c>
      <c r="Q201" s="1736">
        <v>3186.2462437000013</v>
      </c>
      <c r="R201" s="1742">
        <v>4652.6916374299999</v>
      </c>
      <c r="S201" s="1742">
        <v>2715.9246637399997</v>
      </c>
      <c r="T201" s="1742">
        <v>7149.5559757500005</v>
      </c>
      <c r="U201" s="1742">
        <v>7459.9747569800011</v>
      </c>
    </row>
    <row r="202" spans="1:21" ht="15.75">
      <c r="A202" s="1735" t="s">
        <v>19</v>
      </c>
      <c r="B202" s="1736">
        <v>22401.551348590001</v>
      </c>
      <c r="C202" s="1736">
        <v>8214.0440353800004</v>
      </c>
      <c r="D202" s="1736">
        <v>1164.92700747</v>
      </c>
      <c r="E202" s="1736">
        <v>2166.5879768999998</v>
      </c>
      <c r="F202" s="1736">
        <v>1696.6585533500001</v>
      </c>
      <c r="G202" s="1736">
        <v>3185.8704976599997</v>
      </c>
      <c r="H202" s="1736">
        <v>1534.2443533200001</v>
      </c>
      <c r="I202" s="1736">
        <v>136.92783763000003</v>
      </c>
      <c r="J202" s="1736">
        <v>374.74579917999995</v>
      </c>
      <c r="K202" s="1736">
        <v>221.06890501000001</v>
      </c>
      <c r="L202" s="1736">
        <v>801.50181149999992</v>
      </c>
      <c r="M202" s="1736">
        <v>12653.262959890002</v>
      </c>
      <c r="N202" s="1736">
        <v>3751.9914505499992</v>
      </c>
      <c r="O202" s="1736">
        <v>235.38169299000015</v>
      </c>
      <c r="P202" s="1736">
        <v>5506.9495701900014</v>
      </c>
      <c r="Q202" s="1736">
        <v>3158.9402461600002</v>
      </c>
      <c r="R202" s="1742">
        <v>5053.8462956499989</v>
      </c>
      <c r="S202" s="1742">
        <v>2776.7154690699999</v>
      </c>
      <c r="T202" s="1742">
        <v>7424.6770285500015</v>
      </c>
      <c r="U202" s="1742">
        <v>7146.3125553199998</v>
      </c>
    </row>
    <row r="203" spans="1:21" ht="15.75">
      <c r="A203" s="1735" t="s">
        <v>20</v>
      </c>
      <c r="B203" s="1736">
        <v>22124.25300665</v>
      </c>
      <c r="C203" s="1736">
        <v>8339.0993364300011</v>
      </c>
      <c r="D203" s="1736">
        <v>991.50181295999994</v>
      </c>
      <c r="E203" s="1736">
        <v>2305.8890213599993</v>
      </c>
      <c r="F203" s="1736">
        <v>1859.2526174000002</v>
      </c>
      <c r="G203" s="1736">
        <v>3182.4558847100006</v>
      </c>
      <c r="H203" s="1736">
        <v>1712.9676124799998</v>
      </c>
      <c r="I203" s="1736">
        <v>134.77568668000004</v>
      </c>
      <c r="J203" s="1736">
        <v>359.84731195000001</v>
      </c>
      <c r="K203" s="1736">
        <v>425.28097584999995</v>
      </c>
      <c r="L203" s="1736">
        <v>793.06363799999986</v>
      </c>
      <c r="M203" s="1736">
        <v>12072.186057740004</v>
      </c>
      <c r="N203" s="1736">
        <v>3469.227153020001</v>
      </c>
      <c r="O203" s="1736">
        <v>243.8766310800001</v>
      </c>
      <c r="P203" s="1736">
        <v>5209.6765786200021</v>
      </c>
      <c r="Q203" s="1736">
        <v>3149.4056950200002</v>
      </c>
      <c r="R203" s="1742">
        <v>4595.5046526600008</v>
      </c>
      <c r="S203" s="1742">
        <v>2909.6129643899994</v>
      </c>
      <c r="T203" s="1742">
        <v>7494.2101718700023</v>
      </c>
      <c r="U203" s="1742">
        <v>7124.9252177300004</v>
      </c>
    </row>
    <row r="204" spans="1:21" ht="15.75">
      <c r="A204" s="1735" t="s">
        <v>21</v>
      </c>
      <c r="B204" s="1736">
        <v>22132.041015399995</v>
      </c>
      <c r="C204" s="1736">
        <v>8714.9740302499995</v>
      </c>
      <c r="D204" s="1736">
        <v>1292.2645679399998</v>
      </c>
      <c r="E204" s="1736">
        <v>2328.7708591099995</v>
      </c>
      <c r="F204" s="1736">
        <v>1923.67850082</v>
      </c>
      <c r="G204" s="1736">
        <v>3170.2601023799998</v>
      </c>
      <c r="H204" s="1736">
        <v>1618.4195748999998</v>
      </c>
      <c r="I204" s="1736">
        <v>186.56348684000002</v>
      </c>
      <c r="J204" s="1736">
        <v>377.43569365999997</v>
      </c>
      <c r="K204" s="1736">
        <v>306.23757552999996</v>
      </c>
      <c r="L204" s="1736">
        <v>748.18281887000001</v>
      </c>
      <c r="M204" s="1736">
        <v>11798.64741025</v>
      </c>
      <c r="N204" s="1736">
        <v>3460.9888329799992</v>
      </c>
      <c r="O204" s="1736">
        <v>271.99102768000034</v>
      </c>
      <c r="P204" s="1736">
        <v>4950.1494897800003</v>
      </c>
      <c r="Q204" s="1736">
        <v>3115.5180598099996</v>
      </c>
      <c r="R204" s="1742">
        <v>4939.8168877599992</v>
      </c>
      <c r="S204" s="1742">
        <v>2978.1975804499998</v>
      </c>
      <c r="T204" s="1742">
        <v>7180.0655661300007</v>
      </c>
      <c r="U204" s="1742">
        <v>7033.9609810599995</v>
      </c>
    </row>
    <row r="205" spans="1:21" ht="15.75">
      <c r="A205" s="1735" t="s">
        <v>22</v>
      </c>
      <c r="B205" s="1736">
        <v>21982.192593719999</v>
      </c>
      <c r="C205" s="1736">
        <v>8622.9238094700013</v>
      </c>
      <c r="D205" s="1736">
        <v>1364.93147576</v>
      </c>
      <c r="E205" s="1736">
        <v>2307.5576692700001</v>
      </c>
      <c r="F205" s="1736">
        <v>1848.7420827800001</v>
      </c>
      <c r="G205" s="1736">
        <v>3101.6925816600001</v>
      </c>
      <c r="H205" s="1736">
        <v>1618.6819249300002</v>
      </c>
      <c r="I205" s="1736">
        <v>248.79491315000001</v>
      </c>
      <c r="J205" s="1736">
        <v>364.61199192000004</v>
      </c>
      <c r="K205" s="1736">
        <v>436.78800480999996</v>
      </c>
      <c r="L205" s="1736">
        <v>568.48701505000008</v>
      </c>
      <c r="M205" s="1736">
        <v>11740.586859320001</v>
      </c>
      <c r="N205" s="1736">
        <v>3536.5904506299999</v>
      </c>
      <c r="O205" s="1736">
        <v>254.58621842999992</v>
      </c>
      <c r="P205" s="1736">
        <v>4499.0295486300001</v>
      </c>
      <c r="Q205" s="1736">
        <v>3450.3806416300008</v>
      </c>
      <c r="R205" s="1742">
        <v>5150.3168395399998</v>
      </c>
      <c r="S205" s="1742">
        <v>2926.7558796200001</v>
      </c>
      <c r="T205" s="1742">
        <v>6784.5596362199994</v>
      </c>
      <c r="U205" s="1742">
        <v>7120.560238340001</v>
      </c>
    </row>
    <row r="206" spans="1:21" ht="15.75">
      <c r="A206" s="1735" t="s">
        <v>23</v>
      </c>
      <c r="B206" s="1736">
        <v>22128.01744766</v>
      </c>
      <c r="C206" s="1736">
        <v>8736.2501463300014</v>
      </c>
      <c r="D206" s="1736">
        <v>1490.1192988600001</v>
      </c>
      <c r="E206" s="1736">
        <v>2310.8791879800001</v>
      </c>
      <c r="F206" s="1736">
        <v>1880.58518542</v>
      </c>
      <c r="G206" s="1736">
        <v>3054.6664740700003</v>
      </c>
      <c r="H206" s="1736">
        <v>1606.4333407899999</v>
      </c>
      <c r="I206" s="1736">
        <v>218.63070220000003</v>
      </c>
      <c r="J206" s="1736">
        <v>353.05318718999996</v>
      </c>
      <c r="K206" s="1736">
        <v>289.60498548999999</v>
      </c>
      <c r="L206" s="1736">
        <v>745.14446590999978</v>
      </c>
      <c r="M206" s="1736">
        <v>11785.333960540001</v>
      </c>
      <c r="N206" s="1736">
        <v>3552.225120300001</v>
      </c>
      <c r="O206" s="1736">
        <v>290.71144079999959</v>
      </c>
      <c r="P206" s="1736">
        <v>4282.1283450500005</v>
      </c>
      <c r="Q206" s="1736">
        <v>3660.2690543900007</v>
      </c>
      <c r="R206" s="1742">
        <v>5260.9751213600011</v>
      </c>
      <c r="S206" s="1742">
        <v>2954.6438159699997</v>
      </c>
      <c r="T206" s="1742">
        <v>6452.3185159600007</v>
      </c>
      <c r="U206" s="1742">
        <v>7460.0799943700003</v>
      </c>
    </row>
    <row r="207" spans="1:21" ht="15.75">
      <c r="A207" s="1735" t="s">
        <v>24</v>
      </c>
      <c r="B207" s="1736">
        <v>22383.870138889997</v>
      </c>
      <c r="C207" s="1736">
        <v>8580.0406136500005</v>
      </c>
      <c r="D207" s="1736">
        <v>1373.56801133</v>
      </c>
      <c r="E207" s="1736">
        <v>2371.1013260300001</v>
      </c>
      <c r="F207" s="1736">
        <v>1821.4772125100001</v>
      </c>
      <c r="G207" s="1736">
        <v>3013.8940637800001</v>
      </c>
      <c r="H207" s="1736">
        <v>1601.1523181299999</v>
      </c>
      <c r="I207" s="1736">
        <v>172.32812251999999</v>
      </c>
      <c r="J207" s="1736">
        <v>369.09763309999994</v>
      </c>
      <c r="K207" s="1736">
        <v>257.51666296999997</v>
      </c>
      <c r="L207" s="1736">
        <v>802.20989954000004</v>
      </c>
      <c r="M207" s="1736">
        <v>12202.677207109999</v>
      </c>
      <c r="N207" s="1736">
        <v>3852.5205400499995</v>
      </c>
      <c r="O207" s="1736">
        <v>294.26403768999967</v>
      </c>
      <c r="P207" s="1736">
        <v>4154.0741544599996</v>
      </c>
      <c r="Q207" s="1736">
        <v>3901.818474910001</v>
      </c>
      <c r="R207" s="1742">
        <v>5398.4166738999993</v>
      </c>
      <c r="S207" s="1742">
        <v>3034.4629968199997</v>
      </c>
      <c r="T207" s="1742">
        <v>6233.0680299399992</v>
      </c>
      <c r="U207" s="1742">
        <v>7717.9224382300008</v>
      </c>
    </row>
    <row r="208" spans="1:21" ht="15.75">
      <c r="A208" s="1735" t="s">
        <v>25</v>
      </c>
      <c r="B208" s="1736">
        <v>22447.264083229999</v>
      </c>
      <c r="C208" s="1736">
        <v>8561.8422749700003</v>
      </c>
      <c r="D208" s="1736">
        <v>1340.0595577399997</v>
      </c>
      <c r="E208" s="1736">
        <v>2425.5099294099996</v>
      </c>
      <c r="F208" s="1736">
        <v>1758.04778786</v>
      </c>
      <c r="G208" s="1736">
        <v>3038.2249999600003</v>
      </c>
      <c r="H208" s="1736">
        <v>1657.7456359899998</v>
      </c>
      <c r="I208" s="1736">
        <v>166.40470959000001</v>
      </c>
      <c r="J208" s="1736">
        <v>370.50685606000002</v>
      </c>
      <c r="K208" s="1736">
        <v>287.36756570000006</v>
      </c>
      <c r="L208" s="1736">
        <v>833.46650463999981</v>
      </c>
      <c r="M208" s="1736">
        <f>SUM(N208:Q208)</f>
        <v>12227.676172269999</v>
      </c>
      <c r="N208" s="1736">
        <f t="shared" ref="N208:Q211" si="31">(R208-D208-I208)</f>
        <v>3712.0350740399995</v>
      </c>
      <c r="O208" s="1736">
        <f t="shared" si="31"/>
        <v>301.59347354000033</v>
      </c>
      <c r="P208" s="1736">
        <f t="shared" si="31"/>
        <v>4279.8799560799998</v>
      </c>
      <c r="Q208" s="1736">
        <f t="shared" si="31"/>
        <v>3934.1676686100009</v>
      </c>
      <c r="R208" s="1723">
        <v>5218.4993413699995</v>
      </c>
      <c r="S208" s="1723">
        <v>3097.6102590099999</v>
      </c>
      <c r="T208" s="1723">
        <v>6325.2953096399997</v>
      </c>
      <c r="U208" s="1723">
        <v>7805.8591732100003</v>
      </c>
    </row>
    <row r="209" spans="1:21" ht="15.75">
      <c r="A209" s="1735" t="s">
        <v>26</v>
      </c>
      <c r="B209" s="1736">
        <v>23437.240016809999</v>
      </c>
      <c r="C209" s="1736">
        <v>8605.3062544799996</v>
      </c>
      <c r="D209" s="1736">
        <v>1362.02321368</v>
      </c>
      <c r="E209" s="1736">
        <v>2448.1825514699995</v>
      </c>
      <c r="F209" s="1736">
        <v>1750.5513910699999</v>
      </c>
      <c r="G209" s="1736">
        <v>3044.5490982600004</v>
      </c>
      <c r="H209" s="1736">
        <v>1684.0702638899998</v>
      </c>
      <c r="I209" s="1736">
        <v>187.71154712999999</v>
      </c>
      <c r="J209" s="1736">
        <v>377.29704256000002</v>
      </c>
      <c r="K209" s="1736">
        <v>281.27990369999998</v>
      </c>
      <c r="L209" s="1736">
        <v>837.78177049999999</v>
      </c>
      <c r="M209" s="1736">
        <f>SUM(N209:Q209)</f>
        <v>13147.863498439998</v>
      </c>
      <c r="N209" s="1736">
        <f t="shared" si="31"/>
        <v>3904.9015920200009</v>
      </c>
      <c r="O209" s="1736">
        <f t="shared" si="31"/>
        <v>262.37005555000007</v>
      </c>
      <c r="P209" s="1736">
        <f t="shared" si="31"/>
        <v>4895.0862366699985</v>
      </c>
      <c r="Q209" s="1736">
        <f t="shared" si="31"/>
        <v>4085.5056142000003</v>
      </c>
      <c r="R209" s="1723">
        <v>5454.6363528300008</v>
      </c>
      <c r="S209" s="1723">
        <v>3087.8496495799996</v>
      </c>
      <c r="T209" s="1723">
        <v>6926.9175314399981</v>
      </c>
      <c r="U209" s="1723">
        <v>7967.8364829600005</v>
      </c>
    </row>
    <row r="210" spans="1:21" ht="15.75">
      <c r="A210" s="1735" t="s">
        <v>27</v>
      </c>
      <c r="B210" s="1736">
        <v>23413.52268233</v>
      </c>
      <c r="C210" s="1736">
        <v>8811.10468674</v>
      </c>
      <c r="D210" s="1736">
        <v>1451.0521270500003</v>
      </c>
      <c r="E210" s="1736">
        <v>2475.6824578100004</v>
      </c>
      <c r="F210" s="1736">
        <v>1825.99104902</v>
      </c>
      <c r="G210" s="1736">
        <v>3058.3790528599998</v>
      </c>
      <c r="H210" s="1736">
        <v>1704.05773329</v>
      </c>
      <c r="I210" s="1736">
        <v>162.89158561000002</v>
      </c>
      <c r="J210" s="1736">
        <v>412.47969509000001</v>
      </c>
      <c r="K210" s="1736">
        <v>277.78935122000001</v>
      </c>
      <c r="L210" s="1736">
        <v>850.89710136999986</v>
      </c>
      <c r="M210" s="1736">
        <f>SUM(N210:Q210)</f>
        <v>12898.360262300001</v>
      </c>
      <c r="N210" s="1736">
        <f t="shared" si="31"/>
        <v>3823.5505593999997</v>
      </c>
      <c r="O210" s="1736">
        <f t="shared" si="31"/>
        <v>250.31645936999979</v>
      </c>
      <c r="P210" s="1736">
        <f t="shared" si="31"/>
        <v>4889.2858862600006</v>
      </c>
      <c r="Q210" s="1736">
        <f t="shared" si="31"/>
        <v>3935.2073572700006</v>
      </c>
      <c r="R210" s="1723">
        <v>5437.4942720600002</v>
      </c>
      <c r="S210" s="1723">
        <v>3138.4786122700002</v>
      </c>
      <c r="T210" s="1723">
        <v>6993.0662865000004</v>
      </c>
      <c r="U210" s="1723">
        <v>7844.4835114999996</v>
      </c>
    </row>
    <row r="211" spans="1:21" ht="15.75">
      <c r="A211" s="1735" t="s">
        <v>28</v>
      </c>
      <c r="B211" s="1736">
        <v>23579.109019219999</v>
      </c>
      <c r="C211" s="1736">
        <v>8681.5184964199998</v>
      </c>
      <c r="D211" s="1736">
        <v>1511.5276151200001</v>
      </c>
      <c r="E211" s="1736">
        <v>2476.8654775800001</v>
      </c>
      <c r="F211" s="1736">
        <v>1597.6966929000002</v>
      </c>
      <c r="G211" s="1736">
        <v>3095.4287108199997</v>
      </c>
      <c r="H211" s="1736">
        <v>1708.3840644699999</v>
      </c>
      <c r="I211" s="1736">
        <v>190.63447908999999</v>
      </c>
      <c r="J211" s="1736">
        <v>399.51643851</v>
      </c>
      <c r="K211" s="1736">
        <v>258.15939763999995</v>
      </c>
      <c r="L211" s="1736">
        <v>860.07374922999998</v>
      </c>
      <c r="M211" s="1736">
        <f>SUM(N211:Q211)</f>
        <v>13189.206458330002</v>
      </c>
      <c r="N211" s="1736">
        <f t="shared" si="31"/>
        <v>3933.8915286700017</v>
      </c>
      <c r="O211" s="1736">
        <f t="shared" si="31"/>
        <v>254.52999749000008</v>
      </c>
      <c r="P211" s="1736">
        <f t="shared" si="31"/>
        <v>4974.4899288100005</v>
      </c>
      <c r="Q211" s="1736">
        <f t="shared" si="31"/>
        <v>4026.2950033599996</v>
      </c>
      <c r="R211" s="1723">
        <v>5636.0536228800011</v>
      </c>
      <c r="S211" s="1723">
        <v>3130.9119135800001</v>
      </c>
      <c r="T211" s="1723">
        <v>6830.3460193500005</v>
      </c>
      <c r="U211" s="1723">
        <v>7981.7974634099992</v>
      </c>
    </row>
    <row r="212" spans="1:21" ht="15.75">
      <c r="A212" s="1735" t="s">
        <v>29</v>
      </c>
      <c r="B212" s="1736">
        <v>24746.031022520001</v>
      </c>
      <c r="C212" s="1736">
        <v>8637.9155303499992</v>
      </c>
      <c r="D212" s="1736">
        <v>1565.5802501900002</v>
      </c>
      <c r="E212" s="1736">
        <v>2567.1526578300004</v>
      </c>
      <c r="F212" s="1736">
        <v>1389.4840974699998</v>
      </c>
      <c r="G212" s="1736">
        <v>3115.6985248599995</v>
      </c>
      <c r="H212" s="1736">
        <v>1726.6562713799999</v>
      </c>
      <c r="I212" s="1736">
        <v>178.65218595999997</v>
      </c>
      <c r="J212" s="1736">
        <v>406.05254871</v>
      </c>
      <c r="K212" s="1736">
        <v>256.23387382999994</v>
      </c>
      <c r="L212" s="1736">
        <v>885.71766288000003</v>
      </c>
      <c r="M212" s="1736">
        <f>SUM(N212:Q212)</f>
        <v>14381.459220790002</v>
      </c>
      <c r="N212" s="1736">
        <f>(R212-D212-I212)</f>
        <v>4695.9048427199996</v>
      </c>
      <c r="O212" s="1736">
        <f>(S212-E212-J212)</f>
        <v>244.25606162999964</v>
      </c>
      <c r="P212" s="1736">
        <f>(T212-F212-K212)</f>
        <v>5437.7147398100014</v>
      </c>
      <c r="Q212" s="1736">
        <f>(U212-G212-L212)</f>
        <v>4003.5835766300006</v>
      </c>
      <c r="R212" s="1723">
        <v>6440.13727887</v>
      </c>
      <c r="S212" s="1723">
        <v>3217.46126817</v>
      </c>
      <c r="T212" s="1723">
        <v>7083.432711110001</v>
      </c>
      <c r="U212" s="1723">
        <v>8004.9997643699999</v>
      </c>
    </row>
    <row r="213" spans="1:21" ht="15.75">
      <c r="A213" s="1735" t="s">
        <v>2375</v>
      </c>
      <c r="B213" s="1736"/>
      <c r="C213" s="1736"/>
      <c r="D213" s="1736"/>
      <c r="E213" s="1736"/>
      <c r="F213" s="1736"/>
      <c r="G213" s="1736"/>
      <c r="H213" s="1736"/>
      <c r="I213" s="1736"/>
      <c r="J213" s="1736"/>
      <c r="K213" s="1736"/>
      <c r="L213" s="1736"/>
      <c r="M213" s="1736"/>
      <c r="N213" s="1736"/>
      <c r="O213" s="1736"/>
      <c r="P213" s="1736"/>
      <c r="Q213" s="1736"/>
      <c r="R213" s="1723"/>
      <c r="S213" s="1723"/>
      <c r="T213" s="1723"/>
      <c r="U213" s="1723"/>
    </row>
    <row r="214" spans="1:21" ht="15.75">
      <c r="A214" s="1735" t="s">
        <v>18</v>
      </c>
      <c r="B214" s="1736">
        <v>24837.149398470006</v>
      </c>
      <c r="C214" s="1736">
        <v>8588.4792337400013</v>
      </c>
      <c r="D214" s="1736">
        <v>1566.0216184400003</v>
      </c>
      <c r="E214" s="1736">
        <v>2633.83396038</v>
      </c>
      <c r="F214" s="1736">
        <v>1362.7845814199998</v>
      </c>
      <c r="G214" s="1736">
        <v>3025.8390735000003</v>
      </c>
      <c r="H214" s="1736">
        <v>1742.9652537599998</v>
      </c>
      <c r="I214" s="1736">
        <v>180.23337121</v>
      </c>
      <c r="J214" s="1736">
        <v>413.12178333999992</v>
      </c>
      <c r="K214" s="1736">
        <v>282.43710074999996</v>
      </c>
      <c r="L214" s="1736">
        <v>867.17299845999992</v>
      </c>
      <c r="M214" s="1736">
        <f>SUM(N214:Q214)</f>
        <v>14505.704910970002</v>
      </c>
      <c r="N214" s="1736">
        <f t="shared" ref="N214:Q215" si="32">(R214-D214-I214)</f>
        <v>4642.3925820800014</v>
      </c>
      <c r="O214" s="1736">
        <f t="shared" si="32"/>
        <v>198.22879315000017</v>
      </c>
      <c r="P214" s="1736">
        <f t="shared" si="32"/>
        <v>5967.4117495699993</v>
      </c>
      <c r="Q214" s="1736">
        <f t="shared" si="32"/>
        <v>3697.6717861700008</v>
      </c>
      <c r="R214" s="1723">
        <v>6388.6475717300018</v>
      </c>
      <c r="S214" s="1723">
        <v>3245.1845368700001</v>
      </c>
      <c r="T214" s="1723">
        <v>7612.6334317399997</v>
      </c>
      <c r="U214" s="1723">
        <v>7590.6838581300008</v>
      </c>
    </row>
    <row r="215" spans="1:21" ht="15.75">
      <c r="A215" s="1735" t="s">
        <v>19</v>
      </c>
      <c r="B215" s="1736">
        <v>24934.571062599996</v>
      </c>
      <c r="C215" s="1736">
        <v>8694.4112436699997</v>
      </c>
      <c r="D215" s="1736">
        <v>1491.2587033799998</v>
      </c>
      <c r="E215" s="1736">
        <v>2631.4777248400001</v>
      </c>
      <c r="F215" s="1736">
        <v>1600.5365522499997</v>
      </c>
      <c r="G215" s="1736">
        <v>2971.1382632</v>
      </c>
      <c r="H215" s="1736">
        <v>2043.1267787799998</v>
      </c>
      <c r="I215" s="1736">
        <v>178.39506011</v>
      </c>
      <c r="J215" s="1736">
        <v>447.80838563999998</v>
      </c>
      <c r="K215" s="1736">
        <v>215.40115444999998</v>
      </c>
      <c r="L215" s="1736">
        <v>1201.5221785799999</v>
      </c>
      <c r="M215" s="1736">
        <f>SUM(N215:Q215)</f>
        <v>14197.03304015</v>
      </c>
      <c r="N215" s="1736">
        <f t="shared" si="32"/>
        <v>4845.2766693200001</v>
      </c>
      <c r="O215" s="1736">
        <f t="shared" si="32"/>
        <v>218.05054255999983</v>
      </c>
      <c r="P215" s="1736">
        <f t="shared" si="32"/>
        <v>5456.9155036600005</v>
      </c>
      <c r="Q215" s="1736">
        <f t="shared" si="32"/>
        <v>3676.79032461</v>
      </c>
      <c r="R215" s="1723">
        <v>6514.9304328099997</v>
      </c>
      <c r="S215" s="1723">
        <v>3297.3366530399999</v>
      </c>
      <c r="T215" s="1723">
        <v>7272.85321036</v>
      </c>
      <c r="U215" s="1723">
        <v>7849.4507663900004</v>
      </c>
    </row>
    <row r="216" spans="1:21" ht="15.75">
      <c r="A216" s="1735" t="s">
        <v>20</v>
      </c>
      <c r="B216" s="1736">
        <v>24085.053561459998</v>
      </c>
      <c r="C216" s="1736">
        <v>8251.70134512</v>
      </c>
      <c r="D216" s="1736">
        <v>1334.2123969199999</v>
      </c>
      <c r="E216" s="1736">
        <v>2367.5078618699995</v>
      </c>
      <c r="F216" s="1736">
        <v>1482.0835882999997</v>
      </c>
      <c r="G216" s="1736">
        <v>3067.89749803</v>
      </c>
      <c r="H216" s="1736">
        <v>2385.4006871199999</v>
      </c>
      <c r="I216" s="1736">
        <v>204.08022514000001</v>
      </c>
      <c r="J216" s="1736">
        <v>523.61211123999988</v>
      </c>
      <c r="K216" s="1736">
        <v>354.24260644999998</v>
      </c>
      <c r="L216" s="1736">
        <v>1303.46574429</v>
      </c>
      <c r="M216" s="1736">
        <f>SUM(N216:Q216)</f>
        <v>13447.951529219998</v>
      </c>
      <c r="N216" s="1736">
        <f>(R216-D216-I216)</f>
        <v>4389.1137679499998</v>
      </c>
      <c r="O216" s="1736">
        <f>(S216-E216-J216)</f>
        <v>239.42987890999962</v>
      </c>
      <c r="P216" s="1736">
        <f>(T216-F216-K216)</f>
        <v>5316.1552577499997</v>
      </c>
      <c r="Q216" s="1736">
        <f>(U216-G216-L216)</f>
        <v>3503.2526246099997</v>
      </c>
      <c r="R216" s="1723">
        <v>5927.40639001</v>
      </c>
      <c r="S216" s="1723">
        <v>3130.549852019999</v>
      </c>
      <c r="T216" s="1723">
        <v>7152.4814524999992</v>
      </c>
      <c r="U216" s="1723">
        <v>7874.6158669299994</v>
      </c>
    </row>
    <row r="217" spans="1:21" ht="15.75">
      <c r="A217" s="1735" t="s">
        <v>21</v>
      </c>
      <c r="B217" s="1736">
        <v>23380.799999999999</v>
      </c>
      <c r="C217" s="1736">
        <v>7758</v>
      </c>
      <c r="D217" s="1736">
        <v>1413.1998564199998</v>
      </c>
      <c r="E217" s="1736">
        <v>2067.8348112000003</v>
      </c>
      <c r="F217" s="1736">
        <v>1428.5605750500008</v>
      </c>
      <c r="G217" s="1736">
        <v>2848.4204015999999</v>
      </c>
      <c r="H217" s="1736">
        <v>2378.1968876999999</v>
      </c>
      <c r="I217" s="1736">
        <v>251.68506847000003</v>
      </c>
      <c r="J217" s="1736">
        <v>545.89909015000001</v>
      </c>
      <c r="K217" s="1736">
        <v>241.65108003999998</v>
      </c>
      <c r="L217" s="1736">
        <v>1338.9616490399999</v>
      </c>
      <c r="M217" s="1736">
        <v>13244.609966149997</v>
      </c>
      <c r="N217" s="1736">
        <v>4367.1565507099986</v>
      </c>
      <c r="O217" s="1736">
        <v>307.27753867000013</v>
      </c>
      <c r="P217" s="1736">
        <v>5112.9664724699978</v>
      </c>
      <c r="Q217" s="1736">
        <v>3457.2094043000002</v>
      </c>
      <c r="R217" s="1723">
        <v>6032.0414755999991</v>
      </c>
      <c r="S217" s="1723">
        <v>2921.0114400200005</v>
      </c>
      <c r="T217" s="1723">
        <v>6783.1781275599988</v>
      </c>
      <c r="U217" s="1723">
        <v>7644.5914549400004</v>
      </c>
    </row>
    <row r="218" spans="1:21" ht="15.75">
      <c r="A218" s="1735" t="s">
        <v>22</v>
      </c>
      <c r="B218" s="1736">
        <v>23357.3</v>
      </c>
      <c r="C218" s="1736">
        <v>7661.3</v>
      </c>
      <c r="D218" s="1736">
        <v>1618.6165247600002</v>
      </c>
      <c r="E218" s="1736">
        <v>1909.7580736800003</v>
      </c>
      <c r="F218" s="1736">
        <v>1348.4657959399999</v>
      </c>
      <c r="G218" s="1736">
        <v>2784.4923473200001</v>
      </c>
      <c r="H218" s="1736">
        <v>2371.0861739899997</v>
      </c>
      <c r="I218" s="1736">
        <v>263.08769016999992</v>
      </c>
      <c r="J218" s="1736">
        <v>541.02117511999995</v>
      </c>
      <c r="K218" s="1736">
        <v>249.14574100999999</v>
      </c>
      <c r="L218" s="1736">
        <v>1317.8315676899999</v>
      </c>
      <c r="M218" s="1736">
        <f t="shared" ref="M218:M223" si="33">SUM(N218:Q218)</f>
        <v>13324.85167448</v>
      </c>
      <c r="N218" s="1736">
        <f t="shared" ref="N218:Q225" si="34">(R218-D218-I218)</f>
        <v>4499.3118713200001</v>
      </c>
      <c r="O218" s="1736">
        <f t="shared" si="34"/>
        <v>297.45381062000001</v>
      </c>
      <c r="P218" s="1736">
        <f t="shared" si="34"/>
        <v>5164.6317747500007</v>
      </c>
      <c r="Q218" s="1736">
        <f t="shared" si="34"/>
        <v>3363.4542177900003</v>
      </c>
      <c r="R218" s="1723">
        <v>6381.0160862500006</v>
      </c>
      <c r="S218" s="1723">
        <v>2748.2330594200002</v>
      </c>
      <c r="T218" s="1723">
        <v>6762.243311700001</v>
      </c>
      <c r="U218" s="1723">
        <v>7465.7781328000001</v>
      </c>
    </row>
    <row r="219" spans="1:21" ht="15.75">
      <c r="A219" s="1735" t="s">
        <v>23</v>
      </c>
      <c r="B219" s="1736">
        <v>22565.53825976</v>
      </c>
      <c r="C219" s="1736">
        <v>7706.4012706499998</v>
      </c>
      <c r="D219" s="1736">
        <v>1623.92083897</v>
      </c>
      <c r="E219" s="1736">
        <v>1921.0492660000002</v>
      </c>
      <c r="F219" s="1736">
        <v>1394.2786115999997</v>
      </c>
      <c r="G219" s="1736">
        <v>2767.1525540799998</v>
      </c>
      <c r="H219" s="1736">
        <v>2093.5129920899999</v>
      </c>
      <c r="I219" s="1736">
        <v>173.62370498999999</v>
      </c>
      <c r="J219" s="1736">
        <v>467.86233097999997</v>
      </c>
      <c r="K219" s="1736">
        <v>302.79945858999992</v>
      </c>
      <c r="L219" s="1736">
        <v>1149.2274975300002</v>
      </c>
      <c r="M219" s="1736">
        <f t="shared" si="33"/>
        <v>12765.623997019999</v>
      </c>
      <c r="N219" s="1736">
        <f t="shared" si="34"/>
        <v>4440.6565504799992</v>
      </c>
      <c r="O219" s="1736">
        <f t="shared" si="34"/>
        <v>303.09027243999964</v>
      </c>
      <c r="P219" s="1736">
        <f t="shared" si="34"/>
        <v>4447.1427713200001</v>
      </c>
      <c r="Q219" s="1736">
        <f t="shared" si="34"/>
        <v>3574.7344027800013</v>
      </c>
      <c r="R219" s="1723">
        <v>6238.201094439999</v>
      </c>
      <c r="S219" s="1723">
        <v>2692.0018694199998</v>
      </c>
      <c r="T219" s="1723">
        <v>6144.2208415099994</v>
      </c>
      <c r="U219" s="1723">
        <v>7491.1144543900009</v>
      </c>
    </row>
    <row r="220" spans="1:21" ht="15.75">
      <c r="A220" s="1735" t="s">
        <v>24</v>
      </c>
      <c r="B220" s="1736">
        <v>22532.111036330003</v>
      </c>
      <c r="C220" s="1736">
        <v>7774.2386770499998</v>
      </c>
      <c r="D220" s="1736">
        <v>1650.7743836099996</v>
      </c>
      <c r="E220" s="1736">
        <v>2034.1723085500003</v>
      </c>
      <c r="F220" s="1736">
        <v>1407.6650322200001</v>
      </c>
      <c r="G220" s="1736">
        <v>2681.6269526700007</v>
      </c>
      <c r="H220" s="1736">
        <v>2077.6020416199999</v>
      </c>
      <c r="I220" s="1736">
        <v>167.65652552000003</v>
      </c>
      <c r="J220" s="1736">
        <v>492.08141911000001</v>
      </c>
      <c r="K220" s="1736">
        <v>276.04374776000003</v>
      </c>
      <c r="L220" s="1736">
        <v>1141.8203492299999</v>
      </c>
      <c r="M220" s="1736">
        <f t="shared" si="33"/>
        <v>12680.270317660001</v>
      </c>
      <c r="N220" s="1736">
        <f t="shared" si="34"/>
        <v>4569.1851176199998</v>
      </c>
      <c r="O220" s="1736">
        <f t="shared" si="34"/>
        <v>313.43305408999987</v>
      </c>
      <c r="P220" s="1736">
        <f t="shared" si="34"/>
        <v>4195.7731219599991</v>
      </c>
      <c r="Q220" s="1736">
        <f t="shared" si="34"/>
        <v>3601.87902399</v>
      </c>
      <c r="R220" s="1723">
        <v>6387.6160267499999</v>
      </c>
      <c r="S220" s="1723">
        <v>2839.6867817500001</v>
      </c>
      <c r="T220" s="1723">
        <v>5879.4819019399993</v>
      </c>
      <c r="U220" s="1723">
        <v>7425.3263258900006</v>
      </c>
    </row>
    <row r="221" spans="1:21" ht="15.75">
      <c r="A221" s="1735" t="s">
        <v>25</v>
      </c>
      <c r="B221" s="1736">
        <v>22727.782969659995</v>
      </c>
      <c r="C221" s="1736">
        <v>7874.4012779299992</v>
      </c>
      <c r="D221" s="1736">
        <v>1484.1951500500002</v>
      </c>
      <c r="E221" s="1736">
        <v>2094.8969761400003</v>
      </c>
      <c r="F221" s="1736">
        <v>1418.0844527300001</v>
      </c>
      <c r="G221" s="1736">
        <v>2877.2246990099998</v>
      </c>
      <c r="H221" s="1736">
        <v>2069.7306534099998</v>
      </c>
      <c r="I221" s="1736">
        <v>181.77602065000005</v>
      </c>
      <c r="J221" s="1736">
        <v>489.78407417000005</v>
      </c>
      <c r="K221" s="1736">
        <v>267.44785384999994</v>
      </c>
      <c r="L221" s="1736">
        <v>1130.7227047399999</v>
      </c>
      <c r="M221" s="1736">
        <f t="shared" si="33"/>
        <v>12783.651038319997</v>
      </c>
      <c r="N221" s="1736">
        <f t="shared" si="34"/>
        <v>4694.1993501499992</v>
      </c>
      <c r="O221" s="1736">
        <f t="shared" si="34"/>
        <v>306.87903113000004</v>
      </c>
      <c r="P221" s="1736">
        <f t="shared" si="34"/>
        <v>4562.4668342799987</v>
      </c>
      <c r="Q221" s="1736">
        <f t="shared" si="34"/>
        <v>3220.1058227599997</v>
      </c>
      <c r="R221" s="1723">
        <v>6360.1705208499989</v>
      </c>
      <c r="S221" s="1723">
        <v>2891.5600814400004</v>
      </c>
      <c r="T221" s="1723">
        <v>6247.9991408599981</v>
      </c>
      <c r="U221" s="1723">
        <v>7228.0532265100001</v>
      </c>
    </row>
    <row r="222" spans="1:21" ht="15.75">
      <c r="A222" s="1735" t="s">
        <v>26</v>
      </c>
      <c r="B222" s="1736">
        <v>22495.099938109997</v>
      </c>
      <c r="C222" s="1736">
        <v>7834.2450796999992</v>
      </c>
      <c r="D222" s="1736">
        <v>1513.2117639699998</v>
      </c>
      <c r="E222" s="1736">
        <v>2100.3842460800006</v>
      </c>
      <c r="F222" s="1736">
        <v>1409.1409778399993</v>
      </c>
      <c r="G222" s="1736">
        <v>2811.5080918099993</v>
      </c>
      <c r="H222" s="1736">
        <v>2018.9646001699998</v>
      </c>
      <c r="I222" s="1736">
        <v>171.55641302000001</v>
      </c>
      <c r="J222" s="1736">
        <v>478.55947757000001</v>
      </c>
      <c r="K222" s="1736">
        <v>267.86880594000002</v>
      </c>
      <c r="L222" s="1736">
        <v>1100.9799036399995</v>
      </c>
      <c r="M222" s="1736">
        <f t="shared" si="33"/>
        <v>12641.890258239999</v>
      </c>
      <c r="N222" s="1736">
        <f t="shared" si="34"/>
        <v>4872.3436810299982</v>
      </c>
      <c r="O222" s="1736">
        <f t="shared" si="34"/>
        <v>408.87466673999972</v>
      </c>
      <c r="P222" s="1736">
        <f t="shared" si="34"/>
        <v>4521.7889154200002</v>
      </c>
      <c r="Q222" s="1736">
        <f t="shared" si="34"/>
        <v>2838.8829950500008</v>
      </c>
      <c r="R222" s="1723">
        <v>6557.1118580199982</v>
      </c>
      <c r="S222" s="1723">
        <v>2987.8183903900003</v>
      </c>
      <c r="T222" s="1723">
        <v>6198.7986991999996</v>
      </c>
      <c r="U222" s="1723">
        <v>6751.3709904999996</v>
      </c>
    </row>
    <row r="223" spans="1:21" ht="15.75">
      <c r="A223" s="1735" t="s">
        <v>27</v>
      </c>
      <c r="B223" s="1736">
        <v>22442.057939730003</v>
      </c>
      <c r="C223" s="1736">
        <v>7870.3010247400007</v>
      </c>
      <c r="D223" s="1736">
        <v>1591.7539182199998</v>
      </c>
      <c r="E223" s="1736">
        <v>2105.2315232300002</v>
      </c>
      <c r="F223" s="1736">
        <v>1385.9028486700001</v>
      </c>
      <c r="G223" s="1736">
        <v>2787.4127346200003</v>
      </c>
      <c r="H223" s="1736">
        <v>1961.4281670099999</v>
      </c>
      <c r="I223" s="1736">
        <v>177.26972181000005</v>
      </c>
      <c r="J223" s="1736">
        <v>463.42215447999985</v>
      </c>
      <c r="K223" s="1736">
        <v>284.86174020000004</v>
      </c>
      <c r="L223" s="1736">
        <v>1035.87455052</v>
      </c>
      <c r="M223" s="1736">
        <f t="shared" si="33"/>
        <v>12610.328747980002</v>
      </c>
      <c r="N223" s="1736">
        <f t="shared" si="34"/>
        <v>4899.9974246400016</v>
      </c>
      <c r="O223" s="1736">
        <f t="shared" si="34"/>
        <v>329.92923165999986</v>
      </c>
      <c r="P223" s="1736">
        <f t="shared" si="34"/>
        <v>4451.2827370200012</v>
      </c>
      <c r="Q223" s="1736">
        <f t="shared" si="34"/>
        <v>2929.1193546600011</v>
      </c>
      <c r="R223" s="1723">
        <v>6669.0210646700016</v>
      </c>
      <c r="S223" s="1723">
        <v>2898.5829093699999</v>
      </c>
      <c r="T223" s="1723">
        <v>6122.047325890001</v>
      </c>
      <c r="U223" s="1723">
        <v>6752.4066398000014</v>
      </c>
    </row>
    <row r="224" spans="1:21" ht="15.75">
      <c r="A224" s="1735" t="s">
        <v>28</v>
      </c>
      <c r="B224" s="1736">
        <v>22305.824423959999</v>
      </c>
      <c r="C224" s="1736">
        <v>7908.2428459499988</v>
      </c>
      <c r="D224" s="1736">
        <v>1659.51513707</v>
      </c>
      <c r="E224" s="1736">
        <v>2082.6452251699998</v>
      </c>
      <c r="F224" s="1736">
        <v>1471.61589534</v>
      </c>
      <c r="G224" s="1736">
        <v>2694.46658837</v>
      </c>
      <c r="H224" s="1736">
        <v>1929.5450084999998</v>
      </c>
      <c r="I224" s="1736">
        <v>195.30145947999998</v>
      </c>
      <c r="J224" s="1736">
        <v>444.78141563999998</v>
      </c>
      <c r="K224" s="1736">
        <v>253.04759254999999</v>
      </c>
      <c r="L224" s="1736">
        <v>1036.4145408299999</v>
      </c>
      <c r="M224" s="1736">
        <f t="shared" ref="M224:M225" si="35">SUM(N224:Q224)</f>
        <v>12468.036569510001</v>
      </c>
      <c r="N224" s="1736">
        <f>(R224-D224-I224)</f>
        <v>4449.6192283999999</v>
      </c>
      <c r="O224" s="1736">
        <f t="shared" si="34"/>
        <v>474.22103619000018</v>
      </c>
      <c r="P224" s="1736">
        <f t="shared" si="34"/>
        <v>4609.7091796500008</v>
      </c>
      <c r="Q224" s="1736">
        <f t="shared" si="34"/>
        <v>2934.4871252699995</v>
      </c>
      <c r="R224" s="1723">
        <v>6304.4358249499992</v>
      </c>
      <c r="S224" s="1723">
        <v>3001.6476769999999</v>
      </c>
      <c r="T224" s="1723">
        <v>6334.3726675400012</v>
      </c>
      <c r="U224" s="1723">
        <v>6665.3682544699996</v>
      </c>
    </row>
    <row r="225" spans="1:21" ht="15.75">
      <c r="A225" s="1735" t="s">
        <v>29</v>
      </c>
      <c r="B225" s="1736">
        <v>23666.868830550004</v>
      </c>
      <c r="C225" s="1736">
        <v>8177.886792190001</v>
      </c>
      <c r="D225" s="1736">
        <v>1886.8482784300006</v>
      </c>
      <c r="E225" s="1736">
        <v>2140.2652058600002</v>
      </c>
      <c r="F225" s="1736">
        <v>1487.5553838999999</v>
      </c>
      <c r="G225" s="1736">
        <v>2663.217924</v>
      </c>
      <c r="H225" s="1736">
        <v>1885.0894329500002</v>
      </c>
      <c r="I225" s="1736">
        <v>189.10785044000002</v>
      </c>
      <c r="J225" s="1736">
        <v>414.03409943000003</v>
      </c>
      <c r="K225" s="1736">
        <v>315.26521802999997</v>
      </c>
      <c r="L225" s="1736">
        <v>966.68226504999996</v>
      </c>
      <c r="M225" s="1736">
        <f t="shared" si="35"/>
        <v>13603.892605410003</v>
      </c>
      <c r="N225" s="1736">
        <f t="shared" ref="N225" si="36">(R225-D225-I225)</f>
        <v>5340.7254183600025</v>
      </c>
      <c r="O225" s="1736">
        <f t="shared" si="34"/>
        <v>356.9508699299999</v>
      </c>
      <c r="P225" s="1736">
        <f t="shared" si="34"/>
        <v>4893.274761130001</v>
      </c>
      <c r="Q225" s="1736">
        <f t="shared" si="34"/>
        <v>3012.9415559899994</v>
      </c>
      <c r="R225" s="1723">
        <v>7416.6815472300032</v>
      </c>
      <c r="S225" s="1723">
        <v>2911.2501752200001</v>
      </c>
      <c r="T225" s="1723">
        <v>6696.0953630600015</v>
      </c>
      <c r="U225" s="1723">
        <v>6642.8417450399993</v>
      </c>
    </row>
    <row r="226" spans="1:21" ht="15.75">
      <c r="A226" s="1735" t="s">
        <v>2537</v>
      </c>
      <c r="B226" s="1736"/>
      <c r="C226" s="1736"/>
      <c r="D226" s="1736"/>
      <c r="E226" s="1736"/>
      <c r="F226" s="1736"/>
      <c r="G226" s="1736"/>
      <c r="H226" s="1736"/>
      <c r="I226" s="1736"/>
      <c r="J226" s="1736"/>
      <c r="K226" s="1736"/>
      <c r="L226" s="1736"/>
      <c r="M226" s="1736"/>
      <c r="N226" s="1736"/>
      <c r="O226" s="1736"/>
      <c r="P226" s="1736"/>
      <c r="Q226" s="1736"/>
      <c r="R226" s="1723"/>
      <c r="S226" s="1723"/>
      <c r="T226" s="1723"/>
      <c r="U226" s="1723"/>
    </row>
    <row r="227" spans="1:21" ht="15.75">
      <c r="A227" s="1735" t="s">
        <v>18</v>
      </c>
      <c r="B227" s="1736">
        <v>23189.312012769999</v>
      </c>
      <c r="C227" s="1736">
        <v>8202.9098893299997</v>
      </c>
      <c r="D227" s="1736">
        <v>1868.6757231999998</v>
      </c>
      <c r="E227" s="1736">
        <v>2178.8340790799998</v>
      </c>
      <c r="F227" s="1736">
        <v>1566.3911789200001</v>
      </c>
      <c r="G227" s="1736">
        <v>2589.0089081299998</v>
      </c>
      <c r="H227" s="1736">
        <v>1833.3767631800001</v>
      </c>
      <c r="I227" s="1736">
        <v>187.98328528000005</v>
      </c>
      <c r="J227" s="1736">
        <v>395.59040794000009</v>
      </c>
      <c r="K227" s="1736">
        <v>292.58915854000003</v>
      </c>
      <c r="L227" s="1736">
        <v>957.21391142000004</v>
      </c>
      <c r="M227" s="1736">
        <f t="shared" ref="M227" si="37">SUM(N227:Q227)</f>
        <v>13153.025360260001</v>
      </c>
      <c r="N227" s="1736">
        <f t="shared" ref="N227:Q227" si="38">(R227-D227-I227)</f>
        <v>5030.2269739399999</v>
      </c>
      <c r="O227" s="1736">
        <f t="shared" si="38"/>
        <v>438.47809135999989</v>
      </c>
      <c r="P227" s="1736">
        <f t="shared" si="38"/>
        <v>4675.5044527700002</v>
      </c>
      <c r="Q227" s="1736">
        <f t="shared" si="38"/>
        <v>3008.8158421900002</v>
      </c>
      <c r="R227" s="1723">
        <v>7086.8859824199999</v>
      </c>
      <c r="S227" s="1723">
        <v>3012.9025783799998</v>
      </c>
      <c r="T227" s="1723">
        <v>6534.4847902300007</v>
      </c>
      <c r="U227" s="1723">
        <v>6555.03866174</v>
      </c>
    </row>
    <row r="228" spans="1:21" ht="15.75">
      <c r="A228" s="1735" t="s">
        <v>19</v>
      </c>
      <c r="B228" s="1736">
        <v>23489.120903840001</v>
      </c>
      <c r="C228" s="1736">
        <v>8379.9494325300002</v>
      </c>
      <c r="D228" s="1736">
        <v>1952.0224437499999</v>
      </c>
      <c r="E228" s="1736">
        <v>2227.5910128600008</v>
      </c>
      <c r="F228" s="1736">
        <v>1626.72760094</v>
      </c>
      <c r="G228" s="1736">
        <v>2573.6083749800005</v>
      </c>
      <c r="H228" s="1736">
        <v>1754.1849223000002</v>
      </c>
      <c r="I228" s="1736">
        <v>186.89385806999996</v>
      </c>
      <c r="J228" s="1736">
        <v>368.44442142000003</v>
      </c>
      <c r="K228" s="1736">
        <v>292.27157092000004</v>
      </c>
      <c r="L228" s="1736">
        <v>906.57507189</v>
      </c>
      <c r="M228" s="1736">
        <v>13354.98654901</v>
      </c>
      <c r="N228" s="1736">
        <v>5229.7490794599989</v>
      </c>
      <c r="O228" s="1736">
        <v>456.43745552000041</v>
      </c>
      <c r="P228" s="1736">
        <v>4742.9240241300004</v>
      </c>
      <c r="Q228" s="1736">
        <v>2925.8759898999992</v>
      </c>
      <c r="R228" s="1723"/>
      <c r="S228" s="1723"/>
      <c r="T228" s="1723"/>
      <c r="U228" s="1723"/>
    </row>
    <row r="229" spans="1:21" ht="15.75">
      <c r="A229" s="1735" t="s">
        <v>20</v>
      </c>
      <c r="B229" s="1736">
        <v>23825.92843634</v>
      </c>
      <c r="C229" s="1736">
        <v>8147.481248770001</v>
      </c>
      <c r="D229" s="1736">
        <v>1737.5526218699997</v>
      </c>
      <c r="E229" s="1736">
        <v>2308.2650892500005</v>
      </c>
      <c r="F229" s="1736">
        <v>1589.1291412700004</v>
      </c>
      <c r="G229" s="1736">
        <v>2512.5343963800001</v>
      </c>
      <c r="H229" s="1736">
        <v>1706.1566083799999</v>
      </c>
      <c r="I229" s="1736">
        <v>182.67041608</v>
      </c>
      <c r="J229" s="1736">
        <v>349.23919896999996</v>
      </c>
      <c r="K229" s="1736">
        <v>280.39810767</v>
      </c>
      <c r="L229" s="1736">
        <v>893.84888565999995</v>
      </c>
      <c r="M229" s="1736">
        <v>13972.290579189999</v>
      </c>
      <c r="N229" s="1736">
        <v>5692.2042150200004</v>
      </c>
      <c r="O229" s="1736">
        <v>462.58087440000008</v>
      </c>
      <c r="P229" s="1736">
        <v>4856.6214933399988</v>
      </c>
      <c r="Q229" s="1736">
        <v>2960.8839964299987</v>
      </c>
      <c r="R229" s="1723"/>
      <c r="S229" s="1723"/>
      <c r="T229" s="1723"/>
      <c r="U229" s="1723"/>
    </row>
    <row r="230" spans="1:21" ht="15.75">
      <c r="A230" s="1735" t="s">
        <v>21</v>
      </c>
      <c r="B230" s="1736">
        <v>24213.241269210004</v>
      </c>
      <c r="C230" s="1736">
        <v>8352.9226073399986</v>
      </c>
      <c r="D230" s="1736">
        <v>1862.4086915200003</v>
      </c>
      <c r="E230" s="1736">
        <v>2422.8148154</v>
      </c>
      <c r="F230" s="1736">
        <v>1575.6320347099995</v>
      </c>
      <c r="G230" s="1736">
        <v>2492.06706571</v>
      </c>
      <c r="H230" s="1736">
        <v>1887.15468758</v>
      </c>
      <c r="I230" s="1736">
        <v>337.16375497999996</v>
      </c>
      <c r="J230" s="1736">
        <v>360.77551021999994</v>
      </c>
      <c r="K230" s="1736">
        <v>281.93958794000008</v>
      </c>
      <c r="L230" s="1736">
        <v>907.27583443999993</v>
      </c>
      <c r="M230" s="1736">
        <v>13973.163974290006</v>
      </c>
      <c r="N230" s="1736">
        <v>5798.6166856100008</v>
      </c>
      <c r="O230" s="1736">
        <v>466.28773977999975</v>
      </c>
      <c r="P230" s="1736">
        <v>4733.7979366700019</v>
      </c>
      <c r="Q230" s="1736">
        <v>2974.4616122300004</v>
      </c>
      <c r="R230" s="1723"/>
      <c r="S230" s="1723"/>
      <c r="T230" s="1723"/>
      <c r="U230" s="1723"/>
    </row>
    <row r="231" spans="1:21" ht="15.75">
      <c r="A231" s="1735" t="s">
        <v>22</v>
      </c>
      <c r="B231" s="1736">
        <v>24991.213881430005</v>
      </c>
      <c r="C231" s="1736">
        <v>8635.1500713999994</v>
      </c>
      <c r="D231" s="1736">
        <v>2257.2199849100002</v>
      </c>
      <c r="E231" s="1736">
        <v>2484.4238821199997</v>
      </c>
      <c r="F231" s="1736">
        <v>1382.0369339499998</v>
      </c>
      <c r="G231" s="1736">
        <v>2511.4692704200002</v>
      </c>
      <c r="H231" s="1736">
        <v>1878.0820939299999</v>
      </c>
      <c r="I231" s="1736">
        <v>253.48769137000002</v>
      </c>
      <c r="J231" s="1736">
        <v>389.68368123999994</v>
      </c>
      <c r="K231" s="1736">
        <v>314.37953800000008</v>
      </c>
      <c r="L231" s="1736">
        <v>920.53118331999985</v>
      </c>
      <c r="M231" s="1736">
        <v>14477.981716100006</v>
      </c>
      <c r="N231" s="1736">
        <v>6053.4474093900017</v>
      </c>
      <c r="O231" s="1736">
        <v>458.21381654999982</v>
      </c>
      <c r="P231" s="1736">
        <v>4822.751068120001</v>
      </c>
      <c r="Q231" s="1736">
        <v>3143.5694220400001</v>
      </c>
      <c r="R231" s="1723"/>
      <c r="S231" s="1723"/>
      <c r="T231" s="1723"/>
      <c r="U231" s="1723"/>
    </row>
    <row r="232" spans="1:21" ht="15.75">
      <c r="A232" s="1735" t="s">
        <v>23</v>
      </c>
      <c r="B232" s="1736">
        <v>24156.57158589</v>
      </c>
      <c r="C232" s="1736">
        <v>8435.4425984400004</v>
      </c>
      <c r="D232" s="1736">
        <v>2038.4566502799998</v>
      </c>
      <c r="E232" s="1736">
        <v>2543.3425932599998</v>
      </c>
      <c r="F232" s="1736">
        <v>1374.7897932200003</v>
      </c>
      <c r="G232" s="1736">
        <v>2478.85356168</v>
      </c>
      <c r="H232" s="1736">
        <v>1775.34518589</v>
      </c>
      <c r="I232" s="1736">
        <v>205.80025734</v>
      </c>
      <c r="J232" s="1736">
        <v>396.00358230999996</v>
      </c>
      <c r="K232" s="1736">
        <v>249.59012576000001</v>
      </c>
      <c r="L232" s="1736">
        <v>923.95122048000007</v>
      </c>
      <c r="M232" s="1736">
        <v>13945.783801559999</v>
      </c>
      <c r="N232" s="1736">
        <v>6024.2503466100025</v>
      </c>
      <c r="O232" s="1736">
        <v>472.73400758999946</v>
      </c>
      <c r="P232" s="1736">
        <v>5368.7517843399992</v>
      </c>
      <c r="Q232" s="1736">
        <v>2080.0476630199992</v>
      </c>
      <c r="R232" s="1723"/>
      <c r="S232" s="1723"/>
      <c r="T232" s="1723"/>
      <c r="U232" s="1723"/>
    </row>
    <row r="233" spans="1:21" ht="15.75">
      <c r="A233" s="1735" t="s">
        <v>24</v>
      </c>
      <c r="B233" s="1736">
        <v>24926.871174650005</v>
      </c>
      <c r="C233" s="1736">
        <v>8605.9042542200004</v>
      </c>
      <c r="D233" s="1736">
        <v>2127.4191736799999</v>
      </c>
      <c r="E233" s="1736">
        <v>2633.6575193500007</v>
      </c>
      <c r="F233" s="1736">
        <v>1373.9910223800002</v>
      </c>
      <c r="G233" s="1736">
        <v>2470.8365388100001</v>
      </c>
      <c r="H233" s="1736">
        <v>1793.2627585099999</v>
      </c>
      <c r="I233" s="1736">
        <v>183.74023432000001</v>
      </c>
      <c r="J233" s="1736">
        <v>424.11512380000005</v>
      </c>
      <c r="K233" s="1736">
        <v>239.80648344000002</v>
      </c>
      <c r="L233" s="1736">
        <v>945.60091694999983</v>
      </c>
      <c r="M233" s="1736">
        <v>14527.704161920004</v>
      </c>
      <c r="N233" s="1736">
        <v>5951.4005391199998</v>
      </c>
      <c r="O233" s="1736">
        <v>501.97684190999979</v>
      </c>
      <c r="P233" s="1736">
        <v>5797.0035013499992</v>
      </c>
      <c r="Q233" s="1736">
        <v>2277.3232795400004</v>
      </c>
      <c r="R233" s="1723"/>
      <c r="S233" s="1723"/>
      <c r="T233" s="1723"/>
      <c r="U233" s="1723"/>
    </row>
    <row r="234" spans="1:21" ht="15.75">
      <c r="A234" s="1735" t="s">
        <v>25</v>
      </c>
      <c r="B234" s="1736">
        <v>24791.852471049999</v>
      </c>
      <c r="C234" s="1736">
        <v>8559.0822393499984</v>
      </c>
      <c r="D234" s="1736">
        <v>2027.7020462299993</v>
      </c>
      <c r="E234" s="1736">
        <v>2703.2896369099999</v>
      </c>
      <c r="F234" s="1736">
        <v>1348.9076630499999</v>
      </c>
      <c r="G234" s="1736">
        <v>2479.1828931600003</v>
      </c>
      <c r="H234" s="1736">
        <v>1758.9172641700002</v>
      </c>
      <c r="I234" s="1736">
        <v>185.80970624</v>
      </c>
      <c r="J234" s="1736">
        <v>415.24990163000001</v>
      </c>
      <c r="K234" s="1736">
        <v>218.63548064000003</v>
      </c>
      <c r="L234" s="1736">
        <v>939.22217565999995</v>
      </c>
      <c r="M234" s="1736">
        <v>14473.85296753</v>
      </c>
      <c r="N234" s="1736">
        <v>6340.6895802200006</v>
      </c>
      <c r="O234" s="1736">
        <v>441.24333390999965</v>
      </c>
      <c r="P234" s="1736">
        <v>5407.50173524</v>
      </c>
      <c r="Q234" s="1744">
        <v>2284.4183181600001</v>
      </c>
      <c r="R234" s="1723"/>
      <c r="S234" s="1723"/>
      <c r="T234" s="1723"/>
      <c r="U234" s="1723"/>
    </row>
    <row r="235" spans="1:21" ht="15.75">
      <c r="A235" s="1735" t="s">
        <v>26</v>
      </c>
      <c r="B235" s="1736">
        <v>25705.473344060007</v>
      </c>
      <c r="C235" s="1736">
        <v>8838.1387690800002</v>
      </c>
      <c r="D235" s="1736">
        <v>2190.4178669900002</v>
      </c>
      <c r="E235" s="1736">
        <v>2794.6954747499999</v>
      </c>
      <c r="F235" s="1736">
        <v>1396.24874555</v>
      </c>
      <c r="G235" s="1736">
        <v>2456.7766817899997</v>
      </c>
      <c r="H235" s="1736">
        <v>1792.1316525500001</v>
      </c>
      <c r="I235" s="1736">
        <v>176.28316702000004</v>
      </c>
      <c r="J235" s="1736">
        <v>414.54721771000004</v>
      </c>
      <c r="K235" s="1736">
        <v>250.30013026</v>
      </c>
      <c r="L235" s="1736">
        <v>951.00113755999996</v>
      </c>
      <c r="M235" s="1736">
        <v>15075.202922430006</v>
      </c>
      <c r="N235" s="1736">
        <v>6434.7280831400003</v>
      </c>
      <c r="O235" s="1736">
        <v>500.66111911999997</v>
      </c>
      <c r="P235" s="1736">
        <v>6055.2464449999998</v>
      </c>
      <c r="Q235" s="1744">
        <v>2084.5672751699994</v>
      </c>
      <c r="R235" s="1723"/>
      <c r="S235" s="1723"/>
      <c r="T235" s="1723"/>
      <c r="U235" s="1723"/>
    </row>
    <row r="236" spans="1:21" ht="15.75">
      <c r="A236" s="1735" t="s">
        <v>27</v>
      </c>
      <c r="B236" s="1736">
        <v>26114.802925899996</v>
      </c>
      <c r="C236" s="1736">
        <v>8887.4329394499982</v>
      </c>
      <c r="D236" s="1736">
        <v>2184.0029753100002</v>
      </c>
      <c r="E236" s="1736">
        <v>2859.3991650199991</v>
      </c>
      <c r="F236" s="1736">
        <v>1428.92880685</v>
      </c>
      <c r="G236" s="1736">
        <v>2415.1019922699998</v>
      </c>
      <c r="H236" s="1736">
        <v>2003.4061354099997</v>
      </c>
      <c r="I236" s="1736">
        <v>186.08140752000003</v>
      </c>
      <c r="J236" s="1736">
        <v>392.21713358</v>
      </c>
      <c r="K236" s="1736">
        <v>447.71841138999986</v>
      </c>
      <c r="L236" s="1736">
        <v>977.38918291999983</v>
      </c>
      <c r="M236" s="1736">
        <v>15223.963851039998</v>
      </c>
      <c r="N236" s="1736">
        <v>6561.9275031300003</v>
      </c>
      <c r="O236" s="1736">
        <v>500.15825355999993</v>
      </c>
      <c r="P236" s="1736">
        <v>6096.4774209899997</v>
      </c>
      <c r="Q236" s="1744">
        <v>2065.4006733600004</v>
      </c>
      <c r="R236" s="1723"/>
      <c r="S236" s="1723"/>
      <c r="T236" s="1723"/>
      <c r="U236" s="1723"/>
    </row>
    <row r="237" spans="1:21" ht="15.75">
      <c r="A237" s="1735" t="s">
        <v>28</v>
      </c>
      <c r="B237" s="1736">
        <v>26790.859008169999</v>
      </c>
      <c r="C237" s="1736">
        <v>9051.7110219500009</v>
      </c>
      <c r="D237" s="1736">
        <v>2358.6125810600001</v>
      </c>
      <c r="E237" s="1736">
        <v>2896.16777417</v>
      </c>
      <c r="F237" s="1736">
        <v>1410.2477581200003</v>
      </c>
      <c r="G237" s="1736">
        <v>2386.6829085999998</v>
      </c>
      <c r="H237" s="1736">
        <v>1821.0162823599999</v>
      </c>
      <c r="I237" s="1736">
        <v>202.25000488000001</v>
      </c>
      <c r="J237" s="1736">
        <v>397.76429615000001</v>
      </c>
      <c r="K237" s="1736">
        <v>258.01547363999998</v>
      </c>
      <c r="L237" s="1736">
        <v>962.98650768999983</v>
      </c>
      <c r="M237" s="1736">
        <v>15918.131703859999</v>
      </c>
      <c r="N237" s="1736">
        <v>6750.46134076</v>
      </c>
      <c r="O237" s="1736">
        <v>523.76965887000006</v>
      </c>
      <c r="P237" s="1736">
        <v>6603.058107410001</v>
      </c>
      <c r="Q237" s="1744">
        <v>2040.8425968199997</v>
      </c>
      <c r="R237" s="1723"/>
      <c r="S237" s="1723"/>
      <c r="T237" s="1723"/>
      <c r="U237" s="1723"/>
    </row>
    <row r="238" spans="1:21" ht="15.75">
      <c r="A238" s="1735" t="s">
        <v>29</v>
      </c>
      <c r="B238" s="1736">
        <v>29027.731736139995</v>
      </c>
      <c r="C238" s="1736">
        <v>9241.4627988799984</v>
      </c>
      <c r="D238" s="1736">
        <v>2489.5264264500001</v>
      </c>
      <c r="E238" s="1736">
        <v>2962.6537996900001</v>
      </c>
      <c r="F238" s="1736">
        <v>1390.5800423299995</v>
      </c>
      <c r="G238" s="1736">
        <v>2398.7025304099998</v>
      </c>
      <c r="H238" s="1736">
        <v>1892.7085802300001</v>
      </c>
      <c r="I238" s="1736">
        <v>233.99267588000001</v>
      </c>
      <c r="J238" s="1736">
        <v>444.63889338999996</v>
      </c>
      <c r="K238" s="1736">
        <v>259.36619756000005</v>
      </c>
      <c r="L238" s="1736">
        <v>954.71081340000001</v>
      </c>
      <c r="M238" s="1736">
        <v>17893.560357029997</v>
      </c>
      <c r="N238" s="1736">
        <v>8030.6664632500006</v>
      </c>
      <c r="O238" s="1736">
        <v>520.27523670000005</v>
      </c>
      <c r="P238" s="1736">
        <v>7325.029904099998</v>
      </c>
      <c r="Q238" s="1744">
        <v>2017.5887529799993</v>
      </c>
      <c r="R238" s="1723"/>
      <c r="S238" s="1723"/>
      <c r="T238" s="1723"/>
      <c r="U238" s="1723"/>
    </row>
    <row r="239" spans="1:21" ht="15.75">
      <c r="A239" s="1735" t="s">
        <v>2827</v>
      </c>
      <c r="B239" s="1736"/>
      <c r="C239" s="1736"/>
      <c r="D239" s="1736"/>
      <c r="E239" s="1736"/>
      <c r="F239" s="1736"/>
      <c r="G239" s="1736"/>
      <c r="H239" s="1736"/>
      <c r="I239" s="1736"/>
      <c r="J239" s="1736"/>
      <c r="K239" s="1736"/>
      <c r="L239" s="1736"/>
      <c r="M239" s="1736"/>
      <c r="N239" s="1736"/>
      <c r="O239" s="1736"/>
      <c r="P239" s="1736"/>
      <c r="Q239" s="1744"/>
      <c r="R239" s="1723"/>
      <c r="S239" s="1723"/>
      <c r="T239" s="1723"/>
      <c r="U239" s="1723"/>
    </row>
    <row r="240" spans="1:21" ht="15.75">
      <c r="A240" s="1735" t="s">
        <v>18</v>
      </c>
      <c r="B240" s="1736">
        <v>29016.987753109999</v>
      </c>
      <c r="C240" s="1736">
        <v>9635.77302366</v>
      </c>
      <c r="D240" s="1736">
        <v>2845.2499069100004</v>
      </c>
      <c r="E240" s="1736">
        <v>3003.3933354899991</v>
      </c>
      <c r="F240" s="1736">
        <v>1379.9939565400002</v>
      </c>
      <c r="G240" s="1736">
        <v>2407.1358247200001</v>
      </c>
      <c r="H240" s="1736">
        <v>1894.0407553300001</v>
      </c>
      <c r="I240" s="1736">
        <v>264.61669099</v>
      </c>
      <c r="J240" s="1736">
        <v>433.82435377000007</v>
      </c>
      <c r="K240" s="1736">
        <v>266.57750097000002</v>
      </c>
      <c r="L240" s="1736">
        <v>929.02220959999988</v>
      </c>
      <c r="M240" s="1736">
        <v>17487.17397412</v>
      </c>
      <c r="N240" s="1736">
        <v>7079.1180386900005</v>
      </c>
      <c r="O240" s="1736">
        <v>516.01751200000035</v>
      </c>
      <c r="P240" s="1736">
        <v>7898.1994305599974</v>
      </c>
      <c r="Q240" s="1744">
        <v>1993.8389928700003</v>
      </c>
      <c r="R240" s="1723"/>
      <c r="S240" s="1723"/>
      <c r="T240" s="1723"/>
      <c r="U240" s="1723"/>
    </row>
    <row r="241" spans="1:21" ht="15.75">
      <c r="A241" s="1735" t="s">
        <v>19</v>
      </c>
      <c r="B241" s="1736">
        <v>29170.818363180002</v>
      </c>
      <c r="C241" s="1736">
        <v>10036.66102424</v>
      </c>
      <c r="D241" s="1736">
        <v>2923.8951665700001</v>
      </c>
      <c r="E241" s="1736">
        <v>3058.8985208200006</v>
      </c>
      <c r="F241" s="1736">
        <v>1661.3590477199998</v>
      </c>
      <c r="G241" s="1736">
        <v>2392.5082891299999</v>
      </c>
      <c r="H241" s="1736">
        <v>1962.8523260099998</v>
      </c>
      <c r="I241" s="1736">
        <v>292.93354124999996</v>
      </c>
      <c r="J241" s="1736">
        <v>514.61784480000006</v>
      </c>
      <c r="K241" s="1736">
        <v>255.44970428999997</v>
      </c>
      <c r="L241" s="1736">
        <v>899.85123566999982</v>
      </c>
      <c r="M241" s="1736">
        <f>B241-C241-H241</f>
        <v>17171.305012929999</v>
      </c>
      <c r="N241" s="1736">
        <v>6967.2992261100007</v>
      </c>
      <c r="O241" s="1736">
        <v>503.78276013999994</v>
      </c>
      <c r="P241" s="1736">
        <v>7701.2685236300003</v>
      </c>
      <c r="Q241" s="1744">
        <v>1998.9545030499999</v>
      </c>
      <c r="R241" s="1723"/>
      <c r="S241" s="1723"/>
      <c r="T241" s="1723"/>
      <c r="U241" s="1723"/>
    </row>
    <row r="242" spans="1:21" ht="15.75">
      <c r="A242" s="1735" t="s">
        <v>20</v>
      </c>
      <c r="B242" s="1736">
        <v>30508.507513960001</v>
      </c>
      <c r="C242" s="1736">
        <v>10372.044511299999</v>
      </c>
      <c r="D242" s="1736">
        <v>2903.2585276899995</v>
      </c>
      <c r="E242" s="1736">
        <v>3081.64431831</v>
      </c>
      <c r="F242" s="1736">
        <v>1947.4048629599995</v>
      </c>
      <c r="G242" s="1736">
        <v>2439.7368023399999</v>
      </c>
      <c r="H242" s="1736">
        <v>2231.8624965499998</v>
      </c>
      <c r="I242" s="1736">
        <v>430.32399083999996</v>
      </c>
      <c r="J242" s="1736">
        <v>527.87266001</v>
      </c>
      <c r="K242" s="1736">
        <v>340.13658265000004</v>
      </c>
      <c r="L242" s="1736">
        <v>933.52926304999994</v>
      </c>
      <c r="M242" s="1736">
        <v>17904.600506110004</v>
      </c>
      <c r="N242" s="1736">
        <v>7455.6415403700003</v>
      </c>
      <c r="O242" s="1736">
        <v>482.98148340999967</v>
      </c>
      <c r="P242" s="1736">
        <v>8028.1965935400003</v>
      </c>
      <c r="Q242" s="1744">
        <v>1937.7808887899996</v>
      </c>
      <c r="R242" s="1723"/>
      <c r="S242" s="1723"/>
      <c r="T242" s="1723"/>
      <c r="U242" s="1723"/>
    </row>
    <row r="243" spans="1:21" ht="15.75">
      <c r="A243" s="1735" t="s">
        <v>21</v>
      </c>
      <c r="B243" s="1736">
        <v>30890.39912767</v>
      </c>
      <c r="C243" s="1736">
        <v>10515.39277742</v>
      </c>
      <c r="D243" s="1736">
        <v>3180.4450775299997</v>
      </c>
      <c r="E243" s="1736">
        <v>3167.0767891500004</v>
      </c>
      <c r="F243" s="1736">
        <v>1741.1780598599998</v>
      </c>
      <c r="G243" s="1736">
        <v>2426.6928508800006</v>
      </c>
      <c r="H243" s="1736">
        <v>2309.6228971799997</v>
      </c>
      <c r="I243" s="1736">
        <v>488.42859758999992</v>
      </c>
      <c r="J243" s="1736">
        <v>557.36441835999995</v>
      </c>
      <c r="K243" s="1736">
        <v>385.52510130000007</v>
      </c>
      <c r="L243" s="1736">
        <v>878.30477992999988</v>
      </c>
      <c r="M243" s="1736">
        <v>18065.383453069997</v>
      </c>
      <c r="N243" s="1736">
        <v>7314.3335120600004</v>
      </c>
      <c r="O243" s="1736">
        <v>485.62631963000013</v>
      </c>
      <c r="P243" s="1736">
        <v>8359.3497351499991</v>
      </c>
      <c r="Q243" s="1744">
        <v>1906.0738862299995</v>
      </c>
      <c r="R243" s="1723"/>
      <c r="S243" s="1723"/>
      <c r="T243" s="1723"/>
      <c r="U243" s="1723"/>
    </row>
    <row r="244" spans="1:21" ht="15.75">
      <c r="A244" s="1735" t="s">
        <v>22</v>
      </c>
      <c r="B244" s="1736">
        <v>32025.252167420003</v>
      </c>
      <c r="C244" s="1736">
        <v>10593.24553143</v>
      </c>
      <c r="D244" s="1736">
        <v>2987.3838202400002</v>
      </c>
      <c r="E244" s="1736">
        <v>3241.1937070399999</v>
      </c>
      <c r="F244" s="1736">
        <v>1931.5254392900003</v>
      </c>
      <c r="G244" s="1736">
        <v>2433.1425648600002</v>
      </c>
      <c r="H244" s="1736">
        <v>2319.91486295</v>
      </c>
      <c r="I244" s="1736">
        <v>458.57997947000001</v>
      </c>
      <c r="J244" s="1736">
        <v>553.9152196</v>
      </c>
      <c r="K244" s="1736">
        <v>466.64987967000002</v>
      </c>
      <c r="L244" s="1736">
        <v>840.7697842099999</v>
      </c>
      <c r="M244" s="1736">
        <v>19112.09177304</v>
      </c>
      <c r="N244" s="1736">
        <v>8044.575353770002</v>
      </c>
      <c r="O244" s="1736">
        <v>485.15809794000006</v>
      </c>
      <c r="P244" s="1736">
        <v>8723.322352889998</v>
      </c>
      <c r="Q244" s="1744">
        <v>1859.0359684399994</v>
      </c>
      <c r="R244" s="1723"/>
      <c r="S244" s="1723"/>
      <c r="T244" s="1723"/>
      <c r="U244" s="1723"/>
    </row>
    <row r="245" spans="1:21" ht="15.75">
      <c r="A245" s="1735" t="s">
        <v>23</v>
      </c>
      <c r="B245" s="1736">
        <v>32417.121753569998</v>
      </c>
      <c r="C245" s="1736">
        <v>10596.171226</v>
      </c>
      <c r="D245" s="1736">
        <v>2995.2085680300006</v>
      </c>
      <c r="E245" s="1736">
        <v>3338.6540517399999</v>
      </c>
      <c r="F245" s="1736">
        <v>1848.6328109200001</v>
      </c>
      <c r="G245" s="1736">
        <v>2413.67579531</v>
      </c>
      <c r="H245" s="1736">
        <v>2375.0815632499998</v>
      </c>
      <c r="I245" s="1736">
        <v>383.64062357999995</v>
      </c>
      <c r="J245" s="1736">
        <v>585.89612785999998</v>
      </c>
      <c r="K245" s="1736">
        <v>588.16937778999977</v>
      </c>
      <c r="L245" s="1736">
        <v>817.37543401999983</v>
      </c>
      <c r="M245" s="1736">
        <v>19445.868964319998</v>
      </c>
      <c r="N245" s="1736">
        <v>8338.5902868699995</v>
      </c>
      <c r="O245" s="1736">
        <v>535.87357210999926</v>
      </c>
      <c r="P245" s="1736">
        <v>8390.8076007399995</v>
      </c>
      <c r="Q245" s="1744">
        <v>2180.5975046000003</v>
      </c>
      <c r="R245" s="1723"/>
      <c r="S245" s="1723"/>
      <c r="T245" s="1723"/>
      <c r="U245" s="1723"/>
    </row>
    <row r="246" spans="1:21" ht="15.75">
      <c r="A246" s="1735" t="s">
        <v>24</v>
      </c>
      <c r="B246" s="1736">
        <v>31957.277061000001</v>
      </c>
      <c r="C246" s="1736">
        <v>10817.12822398</v>
      </c>
      <c r="D246" s="1736">
        <v>3090.6108148200001</v>
      </c>
      <c r="E246" s="1736">
        <v>3412.2051158400004</v>
      </c>
      <c r="F246" s="1736">
        <v>1895.3109999499998</v>
      </c>
      <c r="G246" s="1736">
        <v>2419.00129337</v>
      </c>
      <c r="H246" s="1736">
        <v>2191.0758695</v>
      </c>
      <c r="I246" s="1736">
        <v>254.34199249000002</v>
      </c>
      <c r="J246" s="1736">
        <v>596.21666450000009</v>
      </c>
      <c r="K246" s="1736">
        <v>423.39883322000009</v>
      </c>
      <c r="L246" s="1736">
        <v>917.11837928999989</v>
      </c>
      <c r="M246" s="1736">
        <v>18949.072967520002</v>
      </c>
      <c r="N246" s="1736">
        <v>7821.9413241099983</v>
      </c>
      <c r="O246" s="1736">
        <v>684.85540414999934</v>
      </c>
      <c r="P246" s="1736">
        <v>8254.8329537100017</v>
      </c>
      <c r="Q246" s="1744">
        <v>2187.4432855499999</v>
      </c>
      <c r="R246" s="1723"/>
      <c r="S246" s="1723"/>
      <c r="T246" s="1723"/>
      <c r="U246" s="1723"/>
    </row>
    <row r="247" spans="1:21" ht="15.75">
      <c r="A247" s="1735" t="s">
        <v>25</v>
      </c>
      <c r="B247" s="1736">
        <v>32836.106540349996</v>
      </c>
      <c r="C247" s="1736">
        <v>10858.376694009999</v>
      </c>
      <c r="D247" s="1736">
        <v>3047.0856493699998</v>
      </c>
      <c r="E247" s="1736">
        <v>3501.0589775399994</v>
      </c>
      <c r="F247" s="1736">
        <v>1915.2867442900003</v>
      </c>
      <c r="G247" s="1736">
        <v>2394.9453228100001</v>
      </c>
      <c r="H247" s="1736">
        <v>2206.9399918300001</v>
      </c>
      <c r="I247" s="1736">
        <v>274.93362664</v>
      </c>
      <c r="J247" s="1736">
        <v>583.02662144999999</v>
      </c>
      <c r="K247" s="1736">
        <v>443.15126127000002</v>
      </c>
      <c r="L247" s="1736">
        <v>905.82848246999993</v>
      </c>
      <c r="M247" s="1736">
        <v>19770.789854509996</v>
      </c>
      <c r="N247" s="1736">
        <v>8532.6072739399988</v>
      </c>
      <c r="O247" s="1736">
        <v>697.68266065999956</v>
      </c>
      <c r="P247" s="1736">
        <v>8352.5576438000007</v>
      </c>
      <c r="Q247" s="1744">
        <v>2187.9422761099991</v>
      </c>
      <c r="R247" s="1723"/>
      <c r="S247" s="1723"/>
      <c r="T247" s="1723"/>
      <c r="U247" s="1723"/>
    </row>
    <row r="248" spans="1:21" ht="15.75">
      <c r="A248" s="1735" t="s">
        <v>26</v>
      </c>
      <c r="B248" s="1736">
        <v>33956.950859740005</v>
      </c>
      <c r="C248" s="1736">
        <v>11225.705309769999</v>
      </c>
      <c r="D248" s="1736">
        <v>3246.9941658399994</v>
      </c>
      <c r="E248" s="1736">
        <v>3576.7510893499998</v>
      </c>
      <c r="F248" s="1736">
        <v>2000.6142243499996</v>
      </c>
      <c r="G248" s="1736">
        <v>2401.34583023</v>
      </c>
      <c r="H248" s="1736">
        <v>2401.1235633699998</v>
      </c>
      <c r="I248" s="1736">
        <v>291.64545994999992</v>
      </c>
      <c r="J248" s="1736">
        <v>655.6537134099998</v>
      </c>
      <c r="K248" s="1736">
        <v>583.61944757000003</v>
      </c>
      <c r="L248" s="1736">
        <v>870.20494243999985</v>
      </c>
      <c r="M248" s="1736">
        <v>20330.121986600003</v>
      </c>
      <c r="N248" s="1736">
        <v>8822.1761353300026</v>
      </c>
      <c r="O248" s="1736">
        <v>697.46497992000025</v>
      </c>
      <c r="P248" s="1736">
        <v>8633.2486838600016</v>
      </c>
      <c r="Q248" s="1744">
        <v>2177.2321874899999</v>
      </c>
      <c r="R248" s="1723"/>
      <c r="S248" s="1723"/>
      <c r="T248" s="1723"/>
      <c r="U248" s="1723"/>
    </row>
    <row r="249" spans="1:21" ht="15.75">
      <c r="A249" s="1735" t="s">
        <v>27</v>
      </c>
      <c r="B249" s="1736">
        <v>34806.25794784</v>
      </c>
      <c r="C249" s="1736">
        <v>11500.0053315</v>
      </c>
      <c r="D249" s="1736">
        <v>3423.0472678699994</v>
      </c>
      <c r="E249" s="1736">
        <v>3635.68619042</v>
      </c>
      <c r="F249" s="1736">
        <v>2089.1146558600003</v>
      </c>
      <c r="G249" s="1736">
        <v>2352.1572173500003</v>
      </c>
      <c r="H249" s="1736">
        <v>2439.4120308399997</v>
      </c>
      <c r="I249" s="1736">
        <v>265.24752152000002</v>
      </c>
      <c r="J249" s="1736">
        <v>706.51641263999988</v>
      </c>
      <c r="K249" s="1736">
        <v>610.20534321999992</v>
      </c>
      <c r="L249" s="1736">
        <v>857.44275345999995</v>
      </c>
      <c r="M249" s="1736">
        <v>20866.840585500006</v>
      </c>
      <c r="N249" s="1736">
        <v>9286.5922257500024</v>
      </c>
      <c r="O249" s="1736">
        <v>723.75668761000009</v>
      </c>
      <c r="P249" s="1736">
        <v>8650.8879461800007</v>
      </c>
      <c r="Q249" s="1744">
        <v>2205.6037259600002</v>
      </c>
      <c r="R249" s="1723"/>
      <c r="S249" s="1723"/>
      <c r="T249" s="1723"/>
      <c r="U249" s="1723"/>
    </row>
    <row r="250" spans="1:21" ht="15.75">
      <c r="A250" s="1735" t="s">
        <v>28</v>
      </c>
      <c r="B250" s="1736">
        <v>35484.16493413</v>
      </c>
      <c r="C250" s="1736">
        <v>11588.58637651</v>
      </c>
      <c r="D250" s="1736">
        <v>3394.6715733799997</v>
      </c>
      <c r="E250" s="1736">
        <v>3687.9131500600006</v>
      </c>
      <c r="F250" s="1736">
        <v>2121.7242326999999</v>
      </c>
      <c r="G250" s="1736">
        <v>2384.2774203700001</v>
      </c>
      <c r="H250" s="1736">
        <v>2446.0378285899997</v>
      </c>
      <c r="I250" s="1736">
        <v>255.76609307000001</v>
      </c>
      <c r="J250" s="1736">
        <v>722.57569759000012</v>
      </c>
      <c r="K250" s="1736">
        <v>590.5425164699999</v>
      </c>
      <c r="L250" s="1736">
        <v>877.15352145999987</v>
      </c>
      <c r="M250" s="1736">
        <v>21449.540729029999</v>
      </c>
      <c r="N250" s="1736">
        <v>9277.2539944399996</v>
      </c>
      <c r="O250" s="1736">
        <v>781.74189926000076</v>
      </c>
      <c r="P250" s="1736">
        <v>9191.5817194499978</v>
      </c>
      <c r="Q250" s="1744">
        <v>2198.9631158799993</v>
      </c>
      <c r="R250" s="1723"/>
      <c r="S250" s="1723"/>
      <c r="T250" s="1723"/>
      <c r="U250" s="1723"/>
    </row>
    <row r="251" spans="1:21" ht="15.75">
      <c r="A251" s="1735" t="s">
        <v>29</v>
      </c>
      <c r="B251" s="1736">
        <v>36249.769001510009</v>
      </c>
      <c r="C251" s="1736">
        <v>11742.95861156</v>
      </c>
      <c r="D251" s="1736">
        <v>3349.2315357099997</v>
      </c>
      <c r="E251" s="1736">
        <v>3790.1588456099998</v>
      </c>
      <c r="F251" s="1736">
        <v>2173.4625190700003</v>
      </c>
      <c r="G251" s="1736">
        <v>2430.1057111699997</v>
      </c>
      <c r="H251" s="1736">
        <v>2481.77044716</v>
      </c>
      <c r="I251" s="1736">
        <v>426.17921723000001</v>
      </c>
      <c r="J251" s="1736">
        <v>717.75488679999989</v>
      </c>
      <c r="K251" s="1736">
        <v>588.47687945999996</v>
      </c>
      <c r="L251" s="1736">
        <v>749.35946366999985</v>
      </c>
      <c r="M251" s="1736">
        <v>22025.039942790005</v>
      </c>
      <c r="N251" s="1736">
        <v>9611.7453028300024</v>
      </c>
      <c r="O251" s="1736">
        <v>809.45768441999962</v>
      </c>
      <c r="P251" s="1736">
        <v>9377.1892714800015</v>
      </c>
      <c r="Q251" s="1744">
        <v>2226.6476840600003</v>
      </c>
      <c r="R251" s="1723"/>
      <c r="S251" s="1723"/>
      <c r="T251" s="1723"/>
      <c r="U251" s="1723"/>
    </row>
    <row r="252" spans="1:21" ht="15.75">
      <c r="A252" s="1735" t="s">
        <v>3518</v>
      </c>
      <c r="B252" s="1736"/>
      <c r="C252" s="1736"/>
      <c r="D252" s="1736"/>
      <c r="E252" s="1736"/>
      <c r="F252" s="1736"/>
      <c r="G252" s="1736"/>
      <c r="H252" s="1736"/>
      <c r="I252" s="1736"/>
      <c r="J252" s="1736"/>
      <c r="K252" s="1736"/>
      <c r="L252" s="1736"/>
      <c r="M252" s="1736"/>
      <c r="N252" s="1736"/>
      <c r="O252" s="1736"/>
      <c r="P252" s="1736"/>
      <c r="Q252" s="1744"/>
      <c r="R252" s="1723"/>
      <c r="S252" s="1723"/>
      <c r="T252" s="1723"/>
      <c r="U252" s="1723"/>
    </row>
    <row r="253" spans="1:21" ht="15.75">
      <c r="A253" s="1735" t="s">
        <v>18</v>
      </c>
      <c r="B253" s="1736">
        <v>35552.863399799993</v>
      </c>
      <c r="C253" s="1736">
        <v>11928.495167870002</v>
      </c>
      <c r="D253" s="1736">
        <v>3428.4033533899997</v>
      </c>
      <c r="E253" s="1736">
        <v>3871.1348435600003</v>
      </c>
      <c r="F253" s="1736">
        <v>2289.5861456500002</v>
      </c>
      <c r="G253" s="1736">
        <v>2339.3708252700003</v>
      </c>
      <c r="H253" s="1736">
        <v>2521.7209345399997</v>
      </c>
      <c r="I253" s="1736">
        <v>443.60372776999998</v>
      </c>
      <c r="J253" s="1736">
        <v>726.85710709999989</v>
      </c>
      <c r="K253" s="1736">
        <v>519.55635375999998</v>
      </c>
      <c r="L253" s="1736">
        <v>831.70374590999984</v>
      </c>
      <c r="M253" s="1736">
        <f>SUM(N253:Q253)</f>
        <v>21102.647297390002</v>
      </c>
      <c r="N253" s="1736">
        <v>8931.2691753500021</v>
      </c>
      <c r="O253" s="1736">
        <v>824.88307325999972</v>
      </c>
      <c r="P253" s="1736">
        <v>9171.1516070199978</v>
      </c>
      <c r="Q253" s="1744">
        <v>2175.3434417600001</v>
      </c>
      <c r="R253" s="1723"/>
      <c r="S253" s="1723"/>
      <c r="T253" s="1723"/>
      <c r="U253" s="1723"/>
    </row>
    <row r="254" spans="1:21" ht="15.75">
      <c r="A254" s="1735" t="s">
        <v>19</v>
      </c>
      <c r="B254" s="1736">
        <v>35179.241788129999</v>
      </c>
      <c r="C254" s="1736">
        <v>11901.83757354</v>
      </c>
      <c r="D254" s="1736">
        <v>3414.4064955100002</v>
      </c>
      <c r="E254" s="1736">
        <v>3884.1172935800005</v>
      </c>
      <c r="F254" s="1736">
        <v>2121.8370014299999</v>
      </c>
      <c r="G254" s="1736">
        <v>2481.4767830199999</v>
      </c>
      <c r="H254" s="1736">
        <v>2555.5924169800001</v>
      </c>
      <c r="I254" s="1736">
        <v>438.28919721</v>
      </c>
      <c r="J254" s="1736">
        <v>828.35173551000003</v>
      </c>
      <c r="K254" s="1736">
        <v>492.38142025000002</v>
      </c>
      <c r="L254" s="1736">
        <v>796.57006401000001</v>
      </c>
      <c r="M254" s="1736">
        <v>20721.81179761</v>
      </c>
      <c r="N254" s="1736">
        <v>8557.6614139999983</v>
      </c>
      <c r="O254" s="1736">
        <v>917.65527167000005</v>
      </c>
      <c r="P254" s="1736">
        <v>8780.5398415799973</v>
      </c>
      <c r="Q254" s="1744">
        <v>2465.9552703600007</v>
      </c>
      <c r="R254" s="1723"/>
      <c r="S254" s="1723"/>
      <c r="T254" s="1723"/>
      <c r="U254" s="1723"/>
    </row>
    <row r="255" spans="1:21" ht="15.75">
      <c r="A255" s="1735" t="s">
        <v>20</v>
      </c>
      <c r="B255" s="1736">
        <v>34554.831504200003</v>
      </c>
      <c r="C255" s="1736">
        <v>11964.3955489</v>
      </c>
      <c r="D255" s="1736">
        <v>3479.5931833500008</v>
      </c>
      <c r="E255" s="1736">
        <v>3918.1247518900004</v>
      </c>
      <c r="F255" s="1736">
        <v>2142.5609507200002</v>
      </c>
      <c r="G255" s="1736">
        <v>2424.11666294</v>
      </c>
      <c r="H255" s="1736">
        <v>2640.2669581599998</v>
      </c>
      <c r="I255" s="1736">
        <v>445.15624847999999</v>
      </c>
      <c r="J255" s="1736">
        <v>842.03371348999985</v>
      </c>
      <c r="K255" s="1736">
        <v>521.60926846000007</v>
      </c>
      <c r="L255" s="1736">
        <v>831.46772772999998</v>
      </c>
      <c r="M255" s="1736">
        <v>19950.168997139997</v>
      </c>
      <c r="N255" s="1736">
        <v>9035.9212121699984</v>
      </c>
      <c r="O255" s="1736">
        <v>943.16542512000046</v>
      </c>
      <c r="P255" s="1736">
        <v>7497.333111500001</v>
      </c>
      <c r="Q255" s="1744">
        <v>2473.7492483499991</v>
      </c>
      <c r="R255" s="1723"/>
      <c r="S255" s="1723"/>
      <c r="T255" s="1723"/>
      <c r="U255" s="1723"/>
    </row>
    <row r="256" spans="1:21" ht="15.75">
      <c r="A256" s="1735" t="s">
        <v>21</v>
      </c>
      <c r="B256" s="1736">
        <v>35202.44502739</v>
      </c>
      <c r="C256" s="1736">
        <v>12211.631103010001</v>
      </c>
      <c r="D256" s="1736">
        <v>3707.7561475699995</v>
      </c>
      <c r="E256" s="1736">
        <v>3957.6163669000002</v>
      </c>
      <c r="F256" s="1736">
        <v>2112.1675288800002</v>
      </c>
      <c r="G256" s="1736">
        <v>2434.0910596600002</v>
      </c>
      <c r="H256" s="1736">
        <v>2909.8154623299997</v>
      </c>
      <c r="I256" s="1736">
        <v>537.49990011999989</v>
      </c>
      <c r="J256" s="1736">
        <v>810.83043857999996</v>
      </c>
      <c r="K256" s="1736">
        <v>742.31473015999995</v>
      </c>
      <c r="L256" s="1736">
        <v>819.17039347000002</v>
      </c>
      <c r="M256" s="1736">
        <v>20080.99846205</v>
      </c>
      <c r="N256" s="1736">
        <v>8912.2529908900015</v>
      </c>
      <c r="O256" s="1736">
        <v>989.99722295999959</v>
      </c>
      <c r="P256" s="1736">
        <v>7678.8398396400007</v>
      </c>
      <c r="Q256" s="1744">
        <v>2499.9084085600002</v>
      </c>
      <c r="R256" s="1723"/>
      <c r="S256" s="1723"/>
      <c r="T256" s="1723"/>
      <c r="U256" s="1723"/>
    </row>
    <row r="257" spans="1:21" ht="15.75">
      <c r="A257" s="1735" t="s">
        <v>22</v>
      </c>
      <c r="B257" s="1736">
        <v>35393.087325780005</v>
      </c>
      <c r="C257" s="1736">
        <v>12400.72389207</v>
      </c>
      <c r="D257" s="1736">
        <v>3638.1915757399997</v>
      </c>
      <c r="E257" s="1736">
        <v>4048.6433766999999</v>
      </c>
      <c r="F257" s="1736">
        <v>2293.8150252999999</v>
      </c>
      <c r="G257" s="1736">
        <v>2420.0739143300002</v>
      </c>
      <c r="H257" s="1736">
        <v>2730.8099622899999</v>
      </c>
      <c r="I257" s="1736">
        <v>479.36319852999998</v>
      </c>
      <c r="J257" s="1736">
        <v>757.49803850000001</v>
      </c>
      <c r="K257" s="1736">
        <v>702.2232703599999</v>
      </c>
      <c r="L257" s="1736">
        <v>791.72545490000005</v>
      </c>
      <c r="M257" s="1736">
        <v>20261.55347142</v>
      </c>
      <c r="N257" s="1736">
        <v>9099.2063087899987</v>
      </c>
      <c r="O257" s="1736">
        <v>1085.2929812100001</v>
      </c>
      <c r="P257" s="1736">
        <v>7599.6822621700012</v>
      </c>
      <c r="Q257" s="1744">
        <v>2477.3719192499998</v>
      </c>
      <c r="R257" s="1723"/>
      <c r="S257" s="1723"/>
      <c r="T257" s="1723"/>
      <c r="U257" s="1723"/>
    </row>
    <row r="258" spans="1:21" ht="15.75">
      <c r="A258" s="1735" t="s">
        <v>23</v>
      </c>
      <c r="B258" s="1736">
        <v>34512.94671289</v>
      </c>
      <c r="C258" s="1736">
        <v>12748.80840428</v>
      </c>
      <c r="D258" s="1736">
        <v>3919.253059690001</v>
      </c>
      <c r="E258" s="1736">
        <v>4168.1857900300001</v>
      </c>
      <c r="F258" s="1736">
        <v>2218.9736204400001</v>
      </c>
      <c r="G258" s="1736">
        <v>2442.3959341199998</v>
      </c>
      <c r="H258" s="1736">
        <v>2474.6619893899997</v>
      </c>
      <c r="I258" s="1736">
        <v>483.36870170999993</v>
      </c>
      <c r="J258" s="1736">
        <v>538.50201820999996</v>
      </c>
      <c r="K258" s="1736">
        <v>754.85433708000005</v>
      </c>
      <c r="L258" s="1736">
        <v>697.93693239000004</v>
      </c>
      <c r="M258" s="1736">
        <v>19289.476319220001</v>
      </c>
      <c r="N258" s="1736">
        <v>9087.9320951299997</v>
      </c>
      <c r="O258" s="1736">
        <v>1221.2513505599998</v>
      </c>
      <c r="P258" s="1736">
        <v>6208.7405400600001</v>
      </c>
      <c r="Q258" s="1744">
        <v>2771.5523334700001</v>
      </c>
      <c r="R258" s="1723"/>
      <c r="S258" s="1723"/>
      <c r="T258" s="1723"/>
      <c r="U258" s="1723"/>
    </row>
    <row r="259" spans="1:21" ht="15.75">
      <c r="A259" s="1735" t="s">
        <v>24</v>
      </c>
      <c r="B259" s="1736">
        <v>34023.467394450003</v>
      </c>
      <c r="C259" s="1736">
        <v>12705.497011170002</v>
      </c>
      <c r="D259" s="1736">
        <v>3841.6218606300017</v>
      </c>
      <c r="E259" s="1736">
        <v>4233.3811577100005</v>
      </c>
      <c r="F259" s="1736">
        <v>2204.1997610200001</v>
      </c>
      <c r="G259" s="1736">
        <v>2426.2942318099999</v>
      </c>
      <c r="H259" s="1736">
        <v>2232.1454882900002</v>
      </c>
      <c r="I259" s="1736">
        <v>477.44109351999992</v>
      </c>
      <c r="J259" s="1736">
        <v>646.29483213999993</v>
      </c>
      <c r="K259" s="1736">
        <v>405.64727720000002</v>
      </c>
      <c r="L259" s="1736">
        <v>702.76228543000013</v>
      </c>
      <c r="M259" s="1736">
        <v>19085.824894989997</v>
      </c>
      <c r="N259" s="1736">
        <v>9286.6060429799982</v>
      </c>
      <c r="O259" s="1736">
        <v>1284.1239086099999</v>
      </c>
      <c r="P259" s="1736">
        <v>5720.8652743700004</v>
      </c>
      <c r="Q259" s="1744">
        <v>2794.22966903</v>
      </c>
      <c r="R259" s="1723"/>
      <c r="S259" s="1723"/>
      <c r="T259" s="1723"/>
      <c r="U259" s="1723"/>
    </row>
    <row r="260" spans="1:21" ht="15.75">
      <c r="A260" s="1735" t="s">
        <v>25</v>
      </c>
      <c r="B260" s="1736">
        <v>34325.122664660004</v>
      </c>
      <c r="C260" s="1736">
        <v>12580.125602840002</v>
      </c>
      <c r="D260" s="1736">
        <v>3717.7469765400006</v>
      </c>
      <c r="E260" s="1736">
        <v>4300.07373069</v>
      </c>
      <c r="F260" s="1736">
        <v>2156.5808836800002</v>
      </c>
      <c r="G260" s="1736">
        <v>2405.7240119300004</v>
      </c>
      <c r="H260" s="1736">
        <v>2339.74333187</v>
      </c>
      <c r="I260" s="1736">
        <v>450.92321826</v>
      </c>
      <c r="J260" s="1736">
        <v>752.65208719999998</v>
      </c>
      <c r="K260" s="1736">
        <v>429.49120596000012</v>
      </c>
      <c r="L260" s="1736">
        <v>706.67682044999981</v>
      </c>
      <c r="M260" s="1736">
        <v>19405.25372995</v>
      </c>
      <c r="N260" s="1736">
        <v>9665.9177721800006</v>
      </c>
      <c r="O260" s="1736">
        <v>1439.0735833900007</v>
      </c>
      <c r="P260" s="1736">
        <v>5472.2485661600012</v>
      </c>
      <c r="Q260" s="1744">
        <v>2828.0138082199996</v>
      </c>
      <c r="R260" s="1723"/>
      <c r="S260" s="1723"/>
      <c r="T260" s="1723"/>
      <c r="U260" s="1723"/>
    </row>
    <row r="261" spans="1:21" ht="15.75">
      <c r="A261" s="1735" t="s">
        <v>26</v>
      </c>
      <c r="B261" s="1736">
        <v>34230.529272649997</v>
      </c>
      <c r="C261" s="1736">
        <v>12705.47209046</v>
      </c>
      <c r="D261" s="1736">
        <v>3880.6098629600001</v>
      </c>
      <c r="E261" s="1736">
        <v>4370.9302982199997</v>
      </c>
      <c r="F261" s="1736">
        <v>2065.8548022900004</v>
      </c>
      <c r="G261" s="1736">
        <v>2388.0771269900006</v>
      </c>
      <c r="H261" s="1736">
        <v>2061.74313605</v>
      </c>
      <c r="I261" s="1736">
        <v>454.72817416999999</v>
      </c>
      <c r="J261" s="1736">
        <v>498.49453416</v>
      </c>
      <c r="K261" s="1736">
        <v>342.53181935000009</v>
      </c>
      <c r="L261" s="1736">
        <v>765.98860836999984</v>
      </c>
      <c r="M261" s="1736">
        <v>19463.31404614</v>
      </c>
      <c r="N261" s="1736">
        <v>9792.3123714100002</v>
      </c>
      <c r="O261" s="1736">
        <v>1524.6560768599998</v>
      </c>
      <c r="P261" s="1736">
        <v>5310.0783720900008</v>
      </c>
      <c r="Q261" s="1744">
        <v>2836.26722578</v>
      </c>
      <c r="R261" s="1723"/>
      <c r="S261" s="1723"/>
      <c r="T261" s="1723"/>
      <c r="U261" s="1723"/>
    </row>
    <row r="262" spans="1:21" ht="15.75">
      <c r="A262" s="1735" t="s">
        <v>27</v>
      </c>
      <c r="B262" s="1736">
        <v>34991.250378479992</v>
      </c>
      <c r="C262" s="1736">
        <v>12564.1</v>
      </c>
      <c r="D262" s="1736">
        <v>3891.0796489800005</v>
      </c>
      <c r="E262" s="1736">
        <v>4250.6065408099994</v>
      </c>
      <c r="F262" s="1736">
        <v>2076.4297283799997</v>
      </c>
      <c r="G262" s="1736">
        <v>2345.9637463600002</v>
      </c>
      <c r="H262" s="1736">
        <v>1929.3409091000001</v>
      </c>
      <c r="I262" s="1736">
        <v>479.50345427999997</v>
      </c>
      <c r="J262" s="1736">
        <v>500.53369467000005</v>
      </c>
      <c r="K262" s="1736">
        <v>312.69315468000002</v>
      </c>
      <c r="L262" s="1736">
        <v>636.61060547</v>
      </c>
      <c r="M262" s="1736">
        <v>20497.82980485</v>
      </c>
      <c r="N262" s="1736">
        <v>9776.2881645199977</v>
      </c>
      <c r="O262" s="1736">
        <v>1677.7987509499999</v>
      </c>
      <c r="P262" s="1736">
        <v>6258.7118345800009</v>
      </c>
      <c r="Q262" s="1744">
        <v>2785.0310548000011</v>
      </c>
      <c r="R262" s="1723"/>
      <c r="S262" s="1723"/>
      <c r="T262" s="1723"/>
      <c r="U262" s="1723"/>
    </row>
    <row r="263" spans="1:21" ht="15.75">
      <c r="A263" s="1735" t="s">
        <v>28</v>
      </c>
      <c r="B263" s="1736">
        <v>35128.819710420001</v>
      </c>
      <c r="C263" s="1736">
        <v>12524.91391736</v>
      </c>
      <c r="D263" s="1736">
        <v>3855.3848485999997</v>
      </c>
      <c r="E263" s="1736">
        <v>4379.7804269200005</v>
      </c>
      <c r="F263" s="1736">
        <v>1931.6570532300002</v>
      </c>
      <c r="G263" s="1736">
        <v>2358.0915886099997</v>
      </c>
      <c r="H263" s="1736">
        <v>1925.2084528099999</v>
      </c>
      <c r="I263" s="1736">
        <v>476.78213931999994</v>
      </c>
      <c r="J263" s="1736">
        <v>505.10693558000003</v>
      </c>
      <c r="K263" s="1736">
        <v>301.94481826999998</v>
      </c>
      <c r="L263" s="1736">
        <v>641.37455964000003</v>
      </c>
      <c r="M263" s="1736">
        <v>20678.697340250001</v>
      </c>
      <c r="N263" s="1736">
        <v>10287.15809284</v>
      </c>
      <c r="O263" s="1736">
        <v>1736.8300263000001</v>
      </c>
      <c r="P263" s="1736">
        <v>5789.7915937899998</v>
      </c>
      <c r="Q263" s="1744">
        <v>2864.9176273200001</v>
      </c>
      <c r="R263" s="1723"/>
      <c r="S263" s="1723"/>
      <c r="T263" s="1723"/>
      <c r="U263" s="1723"/>
    </row>
    <row r="264" spans="1:21" ht="15.75">
      <c r="A264" s="1735" t="s">
        <v>29</v>
      </c>
      <c r="B264" s="1736">
        <v>36965.110117480006</v>
      </c>
      <c r="C264" s="1736">
        <v>12947.755622960001</v>
      </c>
      <c r="D264" s="1736">
        <v>4124.6015843100004</v>
      </c>
      <c r="E264" s="1736">
        <v>4521.4856089800005</v>
      </c>
      <c r="F264" s="1736">
        <v>1939.8341434000004</v>
      </c>
      <c r="G264" s="1736">
        <v>2361.8342862699997</v>
      </c>
      <c r="H264" s="1736">
        <v>2365.8000574199996</v>
      </c>
      <c r="I264" s="1736">
        <v>491.69795726999985</v>
      </c>
      <c r="J264" s="1736">
        <v>758.92889563000006</v>
      </c>
      <c r="K264" s="1736">
        <v>453.45584865000006</v>
      </c>
      <c r="L264" s="1736">
        <v>661.71735586999989</v>
      </c>
      <c r="M264" s="1736">
        <v>21651.554437100003</v>
      </c>
      <c r="N264" s="1736">
        <v>10384.998328200003</v>
      </c>
      <c r="O264" s="1736">
        <v>1962.1157988499986</v>
      </c>
      <c r="P264" s="1736">
        <v>6224.2248027799997</v>
      </c>
      <c r="Q264" s="1744">
        <v>3080.2155072699998</v>
      </c>
      <c r="R264" s="1723"/>
      <c r="S264" s="1723"/>
      <c r="T264" s="1723"/>
      <c r="U264" s="1723"/>
    </row>
    <row r="265" spans="1:21" ht="15.75">
      <c r="A265" s="1735" t="s">
        <v>3989</v>
      </c>
      <c r="B265" s="1736"/>
      <c r="C265" s="1736"/>
      <c r="D265" s="1736"/>
      <c r="E265" s="1736"/>
      <c r="F265" s="1736"/>
      <c r="G265" s="1736"/>
      <c r="H265" s="1736"/>
      <c r="I265" s="1736"/>
      <c r="J265" s="1736"/>
      <c r="K265" s="1736"/>
      <c r="L265" s="1736"/>
      <c r="M265" s="1736"/>
      <c r="N265" s="1736"/>
      <c r="O265" s="1736"/>
      <c r="P265" s="1736"/>
      <c r="Q265" s="1744"/>
      <c r="R265" s="1723"/>
      <c r="S265" s="1723"/>
      <c r="T265" s="1723"/>
      <c r="U265" s="1723"/>
    </row>
    <row r="266" spans="1:21" ht="15.75">
      <c r="A266" s="1735" t="s">
        <v>18</v>
      </c>
      <c r="B266" s="1736">
        <v>37588.947156480004</v>
      </c>
      <c r="C266" s="1736">
        <v>13116.172725189997</v>
      </c>
      <c r="D266" s="1736">
        <v>3900.15271975</v>
      </c>
      <c r="E266" s="1736">
        <v>4630.7480746399997</v>
      </c>
      <c r="F266" s="1736">
        <v>2101.5505658699994</v>
      </c>
      <c r="G266" s="1736">
        <v>2483.7213649299997</v>
      </c>
      <c r="H266" s="1736">
        <v>2729.7897326100001</v>
      </c>
      <c r="I266" s="1736">
        <v>497.33025177000002</v>
      </c>
      <c r="J266" s="1736">
        <v>828.49891926000009</v>
      </c>
      <c r="K266" s="1736">
        <v>660.0673843699999</v>
      </c>
      <c r="L266" s="1736">
        <v>743.89317720999998</v>
      </c>
      <c r="M266" s="1736">
        <v>21742.984698680004</v>
      </c>
      <c r="N266" s="1736">
        <v>10301.069800620002</v>
      </c>
      <c r="O266" s="1736">
        <v>1783.3458688800006</v>
      </c>
      <c r="P266" s="1736">
        <v>6234.707242970002</v>
      </c>
      <c r="Q266" s="1744">
        <v>3423.8617862100004</v>
      </c>
      <c r="R266" s="1723"/>
      <c r="S266" s="1723"/>
      <c r="T266" s="1723"/>
      <c r="U266" s="1723"/>
    </row>
    <row r="267" spans="1:21" ht="15.75">
      <c r="A267" s="1735" t="s">
        <v>19</v>
      </c>
      <c r="B267" s="1736">
        <v>37154.228410869997</v>
      </c>
      <c r="C267" s="1736">
        <v>13267.209236139999</v>
      </c>
      <c r="D267" s="1736">
        <v>3899.9471199000004</v>
      </c>
      <c r="E267" s="1736">
        <v>4679.5241555499988</v>
      </c>
      <c r="F267" s="1736">
        <v>2191.4857113499997</v>
      </c>
      <c r="G267" s="1736">
        <v>2496.2522493399997</v>
      </c>
      <c r="H267" s="1736">
        <v>2311.1592694000001</v>
      </c>
      <c r="I267" s="1736">
        <v>538.25472792000016</v>
      </c>
      <c r="J267" s="1736">
        <v>577.91921739999998</v>
      </c>
      <c r="K267" s="1736">
        <v>505.20691405000008</v>
      </c>
      <c r="L267" s="1736">
        <v>689.7784100299998</v>
      </c>
      <c r="M267" s="1736">
        <v>21575.859905329999</v>
      </c>
      <c r="N267" s="1736">
        <v>10629.706787090001</v>
      </c>
      <c r="O267" s="1736">
        <v>1851.8328299999994</v>
      </c>
      <c r="P267" s="1736">
        <v>5482.9545071999992</v>
      </c>
      <c r="Q267" s="1744">
        <v>3611.36578104</v>
      </c>
      <c r="R267" s="1723"/>
      <c r="S267" s="1723"/>
      <c r="T267" s="1723"/>
      <c r="U267" s="1723"/>
    </row>
    <row r="268" spans="1:21" ht="15.75">
      <c r="A268" s="1735" t="s">
        <v>20</v>
      </c>
      <c r="B268" s="1736">
        <v>37127.632242880005</v>
      </c>
      <c r="C268" s="1736">
        <v>13150.527694509999</v>
      </c>
      <c r="D268" s="1736">
        <v>3814.3556189800001</v>
      </c>
      <c r="E268" s="1736">
        <v>4715.0540928300006</v>
      </c>
      <c r="F268" s="1736">
        <v>2108.1779471699997</v>
      </c>
      <c r="G268" s="1736">
        <v>2512.9400355299999</v>
      </c>
      <c r="H268" s="1736">
        <v>2600.3992068599996</v>
      </c>
      <c r="I268" s="1736">
        <v>618.65197282999998</v>
      </c>
      <c r="J268" s="1736">
        <v>626.48693619999995</v>
      </c>
      <c r="K268" s="1736">
        <v>714.18994858999974</v>
      </c>
      <c r="L268" s="1736">
        <v>641.07034923999993</v>
      </c>
      <c r="M268" s="1736">
        <v>21376.705341510002</v>
      </c>
      <c r="N268" s="1736">
        <v>10150.546322689999</v>
      </c>
      <c r="O268" s="1736">
        <v>1999.1732466200001</v>
      </c>
      <c r="P268" s="1736">
        <v>5808.7875361900005</v>
      </c>
      <c r="Q268" s="1744">
        <v>3418.1982360099996</v>
      </c>
      <c r="R268" s="1723"/>
      <c r="S268" s="1723"/>
      <c r="T268" s="1723"/>
      <c r="U268" s="1723"/>
    </row>
    <row r="269" spans="1:21" ht="15.75">
      <c r="A269" s="1735" t="s">
        <v>21</v>
      </c>
      <c r="B269" s="1736">
        <v>37547.287201159997</v>
      </c>
      <c r="C269" s="1736">
        <v>13497.036176819998</v>
      </c>
      <c r="D269" s="1736">
        <v>4003.6560761000001</v>
      </c>
      <c r="E269" s="1736">
        <v>4869.5130378500007</v>
      </c>
      <c r="F269" s="1736">
        <v>2076.4993538499994</v>
      </c>
      <c r="G269" s="1736">
        <v>2547.3677090200003</v>
      </c>
      <c r="H269" s="1736">
        <v>2552.0350798299996</v>
      </c>
      <c r="I269" s="1736">
        <v>627.14472577000004</v>
      </c>
      <c r="J269" s="1736">
        <v>581.24954467999999</v>
      </c>
      <c r="K269" s="1736">
        <v>708.97947669999985</v>
      </c>
      <c r="L269" s="1736">
        <v>634.66133267999987</v>
      </c>
      <c r="M269" s="1736">
        <v>21498.215944510001</v>
      </c>
      <c r="N269" s="1736">
        <v>9642.2757517599985</v>
      </c>
      <c r="O269" s="1736">
        <v>2081.8322719000003</v>
      </c>
      <c r="P269" s="1736">
        <v>6409.7723746000011</v>
      </c>
      <c r="Q269" s="1744">
        <v>3364.3355462499999</v>
      </c>
      <c r="R269" s="1723"/>
      <c r="S269" s="1723"/>
      <c r="T269" s="1723"/>
      <c r="U269" s="1723"/>
    </row>
    <row r="270" spans="1:21" ht="15.75">
      <c r="A270" s="1735" t="s">
        <v>22</v>
      </c>
      <c r="B270" s="1736">
        <f>SUM(C270,H270,M270)</f>
        <v>37471.555958539997</v>
      </c>
      <c r="C270" s="1736">
        <v>13678.656195719999</v>
      </c>
      <c r="D270" s="1736">
        <v>3957.1915484099995</v>
      </c>
      <c r="E270" s="1736">
        <v>4975.37649994</v>
      </c>
      <c r="F270" s="1736">
        <v>2093.8644836799999</v>
      </c>
      <c r="G270" s="1736">
        <v>2652.2236636900002</v>
      </c>
      <c r="H270" s="1736">
        <f>SUM(I270:L270)</f>
        <v>2628.4880515599993</v>
      </c>
      <c r="I270" s="1736">
        <v>363.99211845999997</v>
      </c>
      <c r="J270" s="1736">
        <v>915.18371923999985</v>
      </c>
      <c r="K270" s="1736">
        <v>674.40928660999975</v>
      </c>
      <c r="L270" s="1736">
        <v>674.90292724999983</v>
      </c>
      <c r="M270" s="1736">
        <f>SUM(N270:Q270)</f>
        <v>21164.41171126</v>
      </c>
      <c r="N270" s="1736">
        <v>9815.1723087400023</v>
      </c>
      <c r="O270" s="1736">
        <v>2186.6782179699994</v>
      </c>
      <c r="P270" s="1736">
        <v>5659.1505696500008</v>
      </c>
      <c r="Q270" s="1744">
        <v>3503.4106148999995</v>
      </c>
      <c r="R270" s="1723"/>
      <c r="S270" s="1723"/>
      <c r="T270" s="1723"/>
      <c r="U270" s="1723"/>
    </row>
    <row r="271" spans="1:21" ht="15.75">
      <c r="A271" s="1735" t="s">
        <v>23</v>
      </c>
      <c r="B271" s="1736">
        <v>38212.908973450001</v>
      </c>
      <c r="C271" s="1736">
        <v>14180.707361170002</v>
      </c>
      <c r="D271" s="1736">
        <v>4371.6476527200011</v>
      </c>
      <c r="E271" s="1736">
        <v>4998.0365034799997</v>
      </c>
      <c r="F271" s="1736">
        <v>2056.2241275799997</v>
      </c>
      <c r="G271" s="1736">
        <v>2754.7990773900001</v>
      </c>
      <c r="H271" s="1736">
        <v>2981.2145363399995</v>
      </c>
      <c r="I271" s="1736">
        <v>362.75240020999985</v>
      </c>
      <c r="J271" s="1736">
        <v>1175.1340419599999</v>
      </c>
      <c r="K271" s="1736">
        <v>790.76560017999986</v>
      </c>
      <c r="L271" s="1736">
        <v>652.56249398999989</v>
      </c>
      <c r="M271" s="1736">
        <v>21050.987075940004</v>
      </c>
      <c r="N271" s="1736">
        <v>9748.1140410000007</v>
      </c>
      <c r="O271" s="1736">
        <v>2340.5434649999988</v>
      </c>
      <c r="P271" s="1736">
        <v>5692.5396244800013</v>
      </c>
      <c r="Q271" s="1744">
        <v>3269.7899454600001</v>
      </c>
      <c r="R271" s="1723"/>
      <c r="S271" s="1723"/>
      <c r="T271" s="1723"/>
      <c r="U271" s="1723"/>
    </row>
    <row r="272" spans="1:21" ht="15.75">
      <c r="A272" s="1735" t="s">
        <v>24</v>
      </c>
      <c r="B272" s="1736">
        <v>36976.605035339999</v>
      </c>
      <c r="C272" s="1736">
        <v>13963.33135</v>
      </c>
      <c r="D272" s="1736">
        <v>3971.2981900300001</v>
      </c>
      <c r="E272" s="1736">
        <v>5281.5822836999996</v>
      </c>
      <c r="F272" s="1736">
        <v>1922.7314317500002</v>
      </c>
      <c r="G272" s="1736">
        <v>2787.7194445199998</v>
      </c>
      <c r="H272" s="1736">
        <v>2440.57405023</v>
      </c>
      <c r="I272" s="1736">
        <v>378.44726169999996</v>
      </c>
      <c r="J272" s="1736">
        <v>951.72658906000015</v>
      </c>
      <c r="K272" s="1736">
        <v>507.05045203999998</v>
      </c>
      <c r="L272" s="1736">
        <v>603.34974742999998</v>
      </c>
      <c r="M272" s="1736">
        <v>20572.699635110002</v>
      </c>
      <c r="N272" s="1736">
        <v>9514.4889284700021</v>
      </c>
      <c r="O272" s="1736">
        <v>2373.5505145699999</v>
      </c>
      <c r="P272" s="1736">
        <v>5170.8853848899998</v>
      </c>
      <c r="Q272" s="1744">
        <v>3513.7748071799997</v>
      </c>
      <c r="R272" s="1723"/>
      <c r="S272" s="1723"/>
      <c r="T272" s="1723"/>
      <c r="U272" s="1723"/>
    </row>
    <row r="273" spans="1:21" ht="15.75">
      <c r="A273" s="1735" t="s">
        <v>25</v>
      </c>
      <c r="B273" s="1736">
        <v>37397.545183769995</v>
      </c>
      <c r="C273" s="1736">
        <v>14185.538765679998</v>
      </c>
      <c r="D273" s="1736">
        <v>4002.7037036699994</v>
      </c>
      <c r="E273" s="1736">
        <v>5368.9392102399979</v>
      </c>
      <c r="F273" s="1736">
        <v>1965.8067228000002</v>
      </c>
      <c r="G273" s="1736">
        <v>2848.0891289700007</v>
      </c>
      <c r="H273" s="1736">
        <v>2232.8807471699997</v>
      </c>
      <c r="I273" s="1736">
        <v>373.12623215999992</v>
      </c>
      <c r="J273" s="1736">
        <v>764.57041348999996</v>
      </c>
      <c r="K273" s="1736">
        <v>493.00562100000002</v>
      </c>
      <c r="L273" s="1736">
        <v>602.17848051999988</v>
      </c>
      <c r="M273" s="1736">
        <v>20979.125670919999</v>
      </c>
      <c r="N273" s="1736">
        <v>9252.4826932299984</v>
      </c>
      <c r="O273" s="1736">
        <v>2466.1358480900008</v>
      </c>
      <c r="P273" s="1736">
        <v>5881.8697023100012</v>
      </c>
      <c r="Q273" s="1744">
        <v>3378.6374272899993</v>
      </c>
      <c r="R273" s="1723"/>
      <c r="S273" s="1723"/>
      <c r="T273" s="1723"/>
      <c r="U273" s="1723"/>
    </row>
    <row r="274" spans="1:21" ht="15.75">
      <c r="A274" s="1735" t="s">
        <v>26</v>
      </c>
      <c r="B274" s="1736">
        <v>38335.437444530005</v>
      </c>
      <c r="C274" s="1736">
        <v>14163.953597429998</v>
      </c>
      <c r="D274" s="1736">
        <v>3974.8512134299995</v>
      </c>
      <c r="E274" s="1736">
        <v>5371.852383389999</v>
      </c>
      <c r="F274" s="1736">
        <v>1944.7135038200001</v>
      </c>
      <c r="G274" s="1736">
        <v>2872.5364967900005</v>
      </c>
      <c r="H274" s="1736">
        <v>2695.7732310799997</v>
      </c>
      <c r="I274" s="1736">
        <v>428.34705039999989</v>
      </c>
      <c r="J274" s="1736">
        <v>1010.97366204</v>
      </c>
      <c r="K274" s="1736">
        <v>681.87541804</v>
      </c>
      <c r="L274" s="1736">
        <v>574.57710059999999</v>
      </c>
      <c r="M274" s="1736">
        <v>21475.710616020009</v>
      </c>
      <c r="N274" s="1736">
        <v>9927.7338906500008</v>
      </c>
      <c r="O274" s="1736">
        <v>2561.9261730499993</v>
      </c>
      <c r="P274" s="1736">
        <v>6000.4383792099998</v>
      </c>
      <c r="Q274" s="1744">
        <v>2985.6121731100006</v>
      </c>
      <c r="R274" s="1723"/>
      <c r="S274" s="1723"/>
      <c r="T274" s="1723"/>
      <c r="U274" s="1723"/>
    </row>
    <row r="275" spans="1:21" ht="15.75">
      <c r="A275" s="1735" t="s">
        <v>27</v>
      </c>
      <c r="B275" s="1736">
        <v>37022.114084909997</v>
      </c>
      <c r="C275" s="1736">
        <v>14265.991405889999</v>
      </c>
      <c r="D275" s="1736">
        <v>4034.6503673599991</v>
      </c>
      <c r="E275" s="1736">
        <v>5447.0540109099993</v>
      </c>
      <c r="F275" s="1736">
        <v>1914.0936445000002</v>
      </c>
      <c r="G275" s="1736">
        <v>2870.1933831200004</v>
      </c>
      <c r="H275" s="1736">
        <v>3023.61257157</v>
      </c>
      <c r="I275" s="1736">
        <v>370.25194334999998</v>
      </c>
      <c r="J275" s="1736">
        <v>1377.2726901600001</v>
      </c>
      <c r="K275" s="1736">
        <v>678.72488452999994</v>
      </c>
      <c r="L275" s="1736">
        <v>597.36305353</v>
      </c>
      <c r="M275" s="1736">
        <v>19732.510107449998</v>
      </c>
      <c r="N275" s="1736">
        <v>8577.8434291499998</v>
      </c>
      <c r="O275" s="1736">
        <v>2611.1320451399997</v>
      </c>
      <c r="P275" s="1736">
        <v>5584.3629194000005</v>
      </c>
      <c r="Q275" s="1744">
        <v>2959.1717137600008</v>
      </c>
      <c r="R275" s="1723"/>
      <c r="S275" s="1723"/>
      <c r="T275" s="1723"/>
      <c r="U275" s="1723"/>
    </row>
    <row r="276" spans="1:21" ht="15.75">
      <c r="A276" s="1735" t="s">
        <v>28</v>
      </c>
      <c r="B276" s="1736">
        <v>37627.139021819996</v>
      </c>
      <c r="C276" s="1736">
        <v>14235.57581221</v>
      </c>
      <c r="D276" s="1736">
        <v>3912.3338641</v>
      </c>
      <c r="E276" s="1736">
        <v>5468.1642351</v>
      </c>
      <c r="F276" s="1736">
        <v>1948.1365776199998</v>
      </c>
      <c r="G276" s="1736">
        <v>2906.94113539</v>
      </c>
      <c r="H276" s="1736">
        <v>2834.8752918099999</v>
      </c>
      <c r="I276" s="1736">
        <v>390.46342042999993</v>
      </c>
      <c r="J276" s="1736">
        <v>1106.47576895</v>
      </c>
      <c r="K276" s="1736">
        <v>597.62686454999994</v>
      </c>
      <c r="L276" s="1736">
        <v>740.30923788000007</v>
      </c>
      <c r="M276" s="1736">
        <v>20556.687917799994</v>
      </c>
      <c r="N276" s="1736">
        <v>9112.5495577599995</v>
      </c>
      <c r="O276" s="1736">
        <v>2702.6794912099986</v>
      </c>
      <c r="P276" s="1736">
        <v>5800.0872146099991</v>
      </c>
      <c r="Q276" s="1744">
        <v>2941.3716542199995</v>
      </c>
      <c r="R276" s="1723"/>
      <c r="S276" s="1723"/>
      <c r="T276" s="1723"/>
      <c r="U276" s="1723"/>
    </row>
    <row r="277" spans="1:21" ht="15.75">
      <c r="A277" s="1735" t="s">
        <v>29</v>
      </c>
      <c r="B277" s="1736">
        <v>40270.791496530008</v>
      </c>
      <c r="C277" s="1736">
        <v>14661.94938401</v>
      </c>
      <c r="D277" s="1736">
        <v>4149.8665275300018</v>
      </c>
      <c r="E277" s="1736">
        <v>5580.1813151099986</v>
      </c>
      <c r="F277" s="1736">
        <v>1909.1027797300003</v>
      </c>
      <c r="G277" s="1736">
        <v>3022.7987616400005</v>
      </c>
      <c r="H277" s="1736">
        <v>3076.4779523300003</v>
      </c>
      <c r="I277" s="1736">
        <v>509.23117267000009</v>
      </c>
      <c r="J277" s="1736">
        <v>901.61948442999994</v>
      </c>
      <c r="K277" s="1736">
        <v>891.46318119</v>
      </c>
      <c r="L277" s="1736">
        <v>774.16411404000019</v>
      </c>
      <c r="M277" s="1736">
        <v>22532.364160189998</v>
      </c>
      <c r="N277" s="1736">
        <v>10783.922456859995</v>
      </c>
      <c r="O277" s="1736">
        <v>2867.0633918500007</v>
      </c>
      <c r="P277" s="1736">
        <v>5829.8562517600012</v>
      </c>
      <c r="Q277" s="1744">
        <v>3051.5220597200009</v>
      </c>
      <c r="R277" s="1723"/>
      <c r="S277" s="1723"/>
      <c r="T277" s="1723"/>
      <c r="U277" s="1723"/>
    </row>
    <row r="278" spans="1:21" ht="15.75">
      <c r="A278" s="1735" t="s">
        <v>4222</v>
      </c>
      <c r="B278" s="1736"/>
      <c r="C278" s="1736"/>
      <c r="D278" s="1736"/>
      <c r="E278" s="1736"/>
      <c r="F278" s="1736"/>
      <c r="G278" s="1736"/>
      <c r="H278" s="1736"/>
      <c r="I278" s="1736"/>
      <c r="J278" s="1736"/>
      <c r="K278" s="1736"/>
      <c r="L278" s="1736"/>
      <c r="M278" s="1736"/>
      <c r="N278" s="1736"/>
      <c r="O278" s="1736"/>
      <c r="P278" s="1736"/>
      <c r="Q278" s="1744"/>
      <c r="R278" s="1723"/>
      <c r="S278" s="1723"/>
      <c r="T278" s="1723"/>
      <c r="U278" s="1723"/>
    </row>
    <row r="279" spans="1:21" ht="15.75">
      <c r="A279" s="1735" t="s">
        <v>18</v>
      </c>
      <c r="B279" s="1736">
        <v>40175.181765419999</v>
      </c>
      <c r="C279" s="1736">
        <v>14698.654214310001</v>
      </c>
      <c r="D279" s="1736">
        <v>4074.1833236099992</v>
      </c>
      <c r="E279" s="1736">
        <v>5706.9043740200004</v>
      </c>
      <c r="F279" s="1736">
        <v>1875.53090709</v>
      </c>
      <c r="G279" s="1736">
        <v>3042.0356095900006</v>
      </c>
      <c r="H279" s="1736">
        <v>3719.9658267700001</v>
      </c>
      <c r="I279" s="1736">
        <v>508.92482125000004</v>
      </c>
      <c r="J279" s="1736">
        <v>1485.8927740700001</v>
      </c>
      <c r="K279" s="1736">
        <v>1007.3040258599999</v>
      </c>
      <c r="L279" s="1736">
        <v>717.84420559</v>
      </c>
      <c r="M279" s="1736">
        <v>21756.561724340001</v>
      </c>
      <c r="N279" s="1736">
        <v>9049.6907896299999</v>
      </c>
      <c r="O279" s="1736">
        <v>2914.8094670700002</v>
      </c>
      <c r="P279" s="1736">
        <v>6711.5901733600022</v>
      </c>
      <c r="Q279" s="1744">
        <v>3080.4712942800011</v>
      </c>
      <c r="R279" s="1723"/>
      <c r="S279" s="1723"/>
      <c r="T279" s="1723"/>
      <c r="U279" s="1723"/>
    </row>
    <row r="280" spans="1:21" ht="15.75">
      <c r="A280" s="1735" t="s">
        <v>19</v>
      </c>
      <c r="B280" s="1736">
        <v>40420.466221750001</v>
      </c>
      <c r="C280" s="1736">
        <v>14835.865925030001</v>
      </c>
      <c r="D280" s="1736">
        <v>4191.5900717199993</v>
      </c>
      <c r="E280" s="1736">
        <v>5741.2097038000011</v>
      </c>
      <c r="F280" s="1736">
        <v>1837.4951434900001</v>
      </c>
      <c r="G280" s="1736">
        <v>3065.5710060199999</v>
      </c>
      <c r="H280" s="1736">
        <v>3625.6618418899998</v>
      </c>
      <c r="I280" s="1736">
        <v>569.78000038999994</v>
      </c>
      <c r="J280" s="1736">
        <v>1013.0139768799999</v>
      </c>
      <c r="K280" s="1736">
        <v>1327.64592606</v>
      </c>
      <c r="L280" s="1736">
        <v>715.22193856000013</v>
      </c>
      <c r="M280" s="1736">
        <v>21958.938454830004</v>
      </c>
      <c r="N280" s="1736">
        <v>9157.0597998499998</v>
      </c>
      <c r="O280" s="1736">
        <v>3032.8257648899998</v>
      </c>
      <c r="P280" s="1736">
        <v>6751.1543344400015</v>
      </c>
      <c r="Q280" s="1744">
        <v>3017.8985556500002</v>
      </c>
      <c r="R280" s="1723"/>
      <c r="S280" s="1723"/>
      <c r="T280" s="1723"/>
      <c r="U280" s="1723"/>
    </row>
    <row r="281" spans="1:21" ht="15.75">
      <c r="A281" s="1735" t="s">
        <v>20</v>
      </c>
      <c r="B281" s="1736">
        <v>40474.710646539999</v>
      </c>
      <c r="C281" s="1736">
        <v>15074.000669289999</v>
      </c>
      <c r="D281" s="1736">
        <v>4211.0510741400003</v>
      </c>
      <c r="E281" s="1736">
        <v>5879.095996349999</v>
      </c>
      <c r="F281" s="1736">
        <v>1851.3122799099997</v>
      </c>
      <c r="G281" s="1736">
        <v>3132.5413188900006</v>
      </c>
      <c r="H281" s="1736">
        <v>3782.041792439999</v>
      </c>
      <c r="I281" s="1736">
        <v>493.54032456000004</v>
      </c>
      <c r="J281" s="1736">
        <v>1399.9372494199997</v>
      </c>
      <c r="K281" s="1736">
        <v>1085.0670871999994</v>
      </c>
      <c r="L281" s="1736">
        <v>803.49713126000006</v>
      </c>
      <c r="M281" s="1736">
        <v>21618.668184810002</v>
      </c>
      <c r="N281" s="1736">
        <v>8830.861421880003</v>
      </c>
      <c r="O281" s="1736">
        <v>2799.8971564500007</v>
      </c>
      <c r="P281" s="1736">
        <v>6959.626399159999</v>
      </c>
      <c r="Q281" s="1744">
        <v>3028.2832073200002</v>
      </c>
      <c r="R281" s="1723"/>
      <c r="S281" s="1723"/>
      <c r="T281" s="1723"/>
      <c r="U281" s="1723"/>
    </row>
    <row r="282" spans="1:21" ht="15.75">
      <c r="A282" s="1735" t="s">
        <v>21</v>
      </c>
      <c r="B282" s="1736">
        <v>41433.452919610005</v>
      </c>
      <c r="C282" s="1736">
        <v>14852.993585669999</v>
      </c>
      <c r="D282" s="1736">
        <v>3920.9937029499993</v>
      </c>
      <c r="E282" s="1736">
        <v>6002.2616736699993</v>
      </c>
      <c r="F282" s="1736">
        <v>1793.7432886199999</v>
      </c>
      <c r="G282" s="1736">
        <v>3135.9949204300005</v>
      </c>
      <c r="H282" s="1736">
        <v>3350.4059349900003</v>
      </c>
      <c r="I282" s="1736">
        <v>620.37553403000015</v>
      </c>
      <c r="J282" s="1736">
        <v>1139.5794362700001</v>
      </c>
      <c r="K282" s="1736">
        <v>725.11404392999998</v>
      </c>
      <c r="L282" s="1736">
        <v>865.33692076000011</v>
      </c>
      <c r="M282" s="1736">
        <v>23230.05339895</v>
      </c>
      <c r="N282" s="1736">
        <v>8789.1784310200019</v>
      </c>
      <c r="O282" s="1736">
        <v>4345.67050234</v>
      </c>
      <c r="P282" s="1736">
        <v>7278.864471429999</v>
      </c>
      <c r="Q282" s="1744">
        <v>2816.3399941600001</v>
      </c>
      <c r="R282" s="1723"/>
      <c r="S282" s="1723"/>
      <c r="T282" s="1723"/>
      <c r="U282" s="1723"/>
    </row>
    <row r="283" spans="1:21" ht="15.75">
      <c r="A283" s="1745" t="s">
        <v>22</v>
      </c>
      <c r="B283" s="1746">
        <f>C283+H283+M283</f>
        <v>43207.098909219996</v>
      </c>
      <c r="C283" s="1746">
        <f>SUM(D283:G283)</f>
        <v>15063.011597229997</v>
      </c>
      <c r="D283" s="1746">
        <v>4024.19741845</v>
      </c>
      <c r="E283" s="1746">
        <v>6111.7643074999996</v>
      </c>
      <c r="F283" s="1746">
        <v>1837.9727169600001</v>
      </c>
      <c r="G283" s="1746">
        <v>3089.0771543199999</v>
      </c>
      <c r="H283" s="1746">
        <f>SUM(I283:L283)</f>
        <v>3305.2055298200003</v>
      </c>
      <c r="I283" s="1746">
        <v>607.42813909000006</v>
      </c>
      <c r="J283" s="1746">
        <v>1053.2488430300002</v>
      </c>
      <c r="K283" s="1746">
        <v>726.90694229999974</v>
      </c>
      <c r="L283" s="1746">
        <v>917.62160540000002</v>
      </c>
      <c r="M283" s="1746">
        <f>SUM(N283:Q283)</f>
        <v>24838.881782169999</v>
      </c>
      <c r="N283" s="1746">
        <v>8754.4765326100005</v>
      </c>
      <c r="O283" s="1746">
        <v>4741.853454600001</v>
      </c>
      <c r="P283" s="1746">
        <v>8576.3390227599994</v>
      </c>
      <c r="Q283" s="1747">
        <v>2766.2127722</v>
      </c>
      <c r="R283" s="1723"/>
      <c r="S283" s="1723"/>
      <c r="T283" s="1723"/>
      <c r="U283" s="1723"/>
    </row>
    <row r="284" spans="1:21" s="1748" customFormat="1" ht="35.25" customHeight="1">
      <c r="A284" s="2553" t="s">
        <v>2700</v>
      </c>
      <c r="B284" s="2553"/>
      <c r="C284" s="2553"/>
      <c r="D284" s="2553"/>
      <c r="E284" s="2553"/>
      <c r="F284" s="2553"/>
      <c r="G284" s="2553"/>
      <c r="H284" s="2553"/>
      <c r="I284" s="2553"/>
      <c r="J284" s="2553"/>
      <c r="K284" s="2553"/>
      <c r="L284" s="2553"/>
      <c r="M284" s="2553"/>
      <c r="N284" s="2553"/>
      <c r="O284" s="2553"/>
      <c r="P284" s="2553"/>
      <c r="Q284" s="2553"/>
    </row>
    <row r="285" spans="1:21" s="1748" customFormat="1" ht="15.75" customHeight="1">
      <c r="A285" s="2554" t="s">
        <v>2695</v>
      </c>
      <c r="B285" s="2554"/>
      <c r="C285" s="2554"/>
      <c r="D285" s="2554"/>
      <c r="E285" s="2554"/>
      <c r="F285" s="2554"/>
      <c r="G285" s="2554"/>
      <c r="H285" s="2554"/>
      <c r="I285" s="2554"/>
      <c r="J285" s="2554"/>
      <c r="K285" s="2554"/>
      <c r="L285" s="2554"/>
      <c r="M285" s="2554"/>
      <c r="N285" s="2554"/>
      <c r="O285" s="2554"/>
      <c r="P285" s="2554"/>
      <c r="Q285" s="2554"/>
    </row>
    <row r="287" spans="1:21" ht="12.95" customHeight="1">
      <c r="B287" s="1897"/>
    </row>
  </sheetData>
  <mergeCells count="46">
    <mergeCell ref="N7:O7"/>
    <mergeCell ref="A2:Q2"/>
    <mergeCell ref="A3:Q3"/>
    <mergeCell ref="A5:Q5"/>
    <mergeCell ref="A6:A9"/>
    <mergeCell ref="B6:B9"/>
    <mergeCell ref="C6:G6"/>
    <mergeCell ref="H6:L6"/>
    <mergeCell ref="M6:Q6"/>
    <mergeCell ref="C7:C9"/>
    <mergeCell ref="D7:E7"/>
    <mergeCell ref="P7:Q7"/>
    <mergeCell ref="D8:D9"/>
    <mergeCell ref="E8:E9"/>
    <mergeCell ref="F8:F9"/>
    <mergeCell ref="G8:G9"/>
    <mergeCell ref="F7:G7"/>
    <mergeCell ref="H7:H9"/>
    <mergeCell ref="I7:J7"/>
    <mergeCell ref="K7:L7"/>
    <mergeCell ref="M7:M9"/>
    <mergeCell ref="I8:I9"/>
    <mergeCell ref="P8:P9"/>
    <mergeCell ref="Q8:Q9"/>
    <mergeCell ref="A10:Q10"/>
    <mergeCell ref="A11:A13"/>
    <mergeCell ref="B11:B13"/>
    <mergeCell ref="C11:G11"/>
    <mergeCell ref="H11:L11"/>
    <mergeCell ref="M11:Q11"/>
    <mergeCell ref="C12:C13"/>
    <mergeCell ref="D12:E12"/>
    <mergeCell ref="O8:O9"/>
    <mergeCell ref="P12:Q12"/>
    <mergeCell ref="J8:J9"/>
    <mergeCell ref="K8:K9"/>
    <mergeCell ref="L8:L9"/>
    <mergeCell ref="N8:N9"/>
    <mergeCell ref="A284:Q284"/>
    <mergeCell ref="A285:Q285"/>
    <mergeCell ref="F12:G12"/>
    <mergeCell ref="H12:H13"/>
    <mergeCell ref="I12:J12"/>
    <mergeCell ref="K12:L12"/>
    <mergeCell ref="M12:M13"/>
    <mergeCell ref="N12:O12"/>
  </mergeCells>
  <pageMargins left="0.17" right="0.17" top="1.03" bottom="0.34" header="1.1000000000000001" footer="0.3"/>
  <pageSetup scale="23"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0">
    <tabColor rgb="FF92D050"/>
  </sheetPr>
  <dimension ref="A1:CD289"/>
  <sheetViews>
    <sheetView showGridLines="0" view="pageBreakPreview" zoomScale="115" zoomScaleSheetLayoutView="115" workbookViewId="0">
      <pane ySplit="42" topLeftCell="A273" activePane="bottomLeft" state="frozen"/>
      <selection activeCell="B39" sqref="B39"/>
      <selection pane="bottomLeft" activeCell="F291" sqref="F291"/>
    </sheetView>
  </sheetViews>
  <sheetFormatPr defaultColWidth="8.85546875" defaultRowHeight="15.75"/>
  <cols>
    <col min="1" max="1" width="8.42578125" style="53" customWidth="1"/>
    <col min="2" max="6" width="21.5703125" style="65" customWidth="1"/>
    <col min="7" max="79" width="8.85546875" style="62"/>
    <col min="80" max="80" width="0" style="62" hidden="1" customWidth="1"/>
    <col min="81" max="16384" width="8.85546875" style="62"/>
  </cols>
  <sheetData>
    <row r="1" spans="1:82" ht="8.25" customHeight="1"/>
    <row r="2" spans="1:82" ht="20.25" customHeight="1">
      <c r="A2" s="2560" t="s">
        <v>2743</v>
      </c>
      <c r="B2" s="2560"/>
      <c r="C2" s="2560"/>
      <c r="D2" s="2560"/>
      <c r="E2" s="2560"/>
      <c r="F2" s="2560"/>
    </row>
    <row r="3" spans="1:82" ht="24" customHeight="1">
      <c r="A3" s="2561" t="s">
        <v>2744</v>
      </c>
      <c r="B3" s="2561"/>
      <c r="C3" s="2561"/>
      <c r="D3" s="2561"/>
      <c r="E3" s="2561"/>
      <c r="F3" s="2561"/>
    </row>
    <row r="4" spans="1:82" s="712" customFormat="1" ht="12" customHeight="1">
      <c r="A4" s="711"/>
      <c r="B4" s="711"/>
      <c r="C4" s="711"/>
      <c r="D4" s="711"/>
      <c r="E4" s="711"/>
      <c r="F4" s="711"/>
    </row>
    <row r="5" spans="1:82" s="712" customFormat="1" ht="12" customHeight="1">
      <c r="A5" s="2567" t="s">
        <v>158</v>
      </c>
      <c r="B5" s="2567"/>
      <c r="C5" s="2567"/>
      <c r="D5" s="2567"/>
      <c r="E5" s="2567"/>
      <c r="F5" s="2567"/>
    </row>
    <row r="6" spans="1:82" s="64" customFormat="1">
      <c r="A6" s="2564" t="s">
        <v>182</v>
      </c>
      <c r="B6" s="2562" t="s">
        <v>204</v>
      </c>
      <c r="C6" s="2563" t="s">
        <v>144</v>
      </c>
      <c r="D6" s="2563"/>
      <c r="E6" s="2563"/>
      <c r="F6" s="2563"/>
    </row>
    <row r="7" spans="1:82" s="64" customFormat="1">
      <c r="A7" s="2565"/>
      <c r="B7" s="2562"/>
      <c r="C7" s="2563" t="s">
        <v>189</v>
      </c>
      <c r="D7" s="2563"/>
      <c r="E7" s="2563" t="s">
        <v>207</v>
      </c>
      <c r="F7" s="2563"/>
      <c r="CC7" s="300" t="s">
        <v>2062</v>
      </c>
      <c r="CD7" s="314" t="s">
        <v>2063</v>
      </c>
    </row>
    <row r="8" spans="1:82" s="64" customFormat="1" ht="21.75" customHeight="1">
      <c r="A8" s="2566"/>
      <c r="B8" s="2562"/>
      <c r="C8" s="568" t="s">
        <v>208</v>
      </c>
      <c r="D8" s="568" t="s">
        <v>209</v>
      </c>
      <c r="E8" s="568" t="s">
        <v>208</v>
      </c>
      <c r="F8" s="568" t="s">
        <v>209</v>
      </c>
      <c r="BY8" s="64">
        <f>BY10+BY22+BY32+BY40</f>
        <v>0</v>
      </c>
      <c r="CC8" s="64">
        <f>CC10+CC22+CC32+CC40</f>
        <v>622</v>
      </c>
      <c r="CD8" s="315">
        <f>BY8+BZ8+CA8+CC8</f>
        <v>622</v>
      </c>
    </row>
    <row r="9" spans="1:82" ht="10.5" customHeight="1">
      <c r="A9" s="2570"/>
      <c r="B9" s="2570"/>
      <c r="C9" s="2570"/>
      <c r="D9" s="2570"/>
      <c r="E9" s="2570"/>
      <c r="F9" s="2570"/>
      <c r="CD9" s="241"/>
    </row>
    <row r="10" spans="1:82">
      <c r="A10" s="2555" t="s">
        <v>289</v>
      </c>
      <c r="B10" s="2571" t="s">
        <v>210</v>
      </c>
      <c r="C10" s="2572" t="s">
        <v>149</v>
      </c>
      <c r="D10" s="2572"/>
      <c r="E10" s="2572"/>
      <c r="F10" s="2572"/>
      <c r="CC10" s="62">
        <f>CC12+CC17</f>
        <v>1713</v>
      </c>
      <c r="CD10" s="241">
        <f>BY10+BZ10+CA10+CC10</f>
        <v>1713</v>
      </c>
    </row>
    <row r="11" spans="1:82">
      <c r="A11" s="2555"/>
      <c r="B11" s="2571"/>
      <c r="C11" s="2572" t="s">
        <v>212</v>
      </c>
      <c r="D11" s="2572"/>
      <c r="E11" s="2572" t="s">
        <v>213</v>
      </c>
      <c r="F11" s="2572"/>
      <c r="CD11" s="241"/>
    </row>
    <row r="12" spans="1:82">
      <c r="A12" s="2555"/>
      <c r="B12" s="2571"/>
      <c r="C12" s="569" t="s">
        <v>214</v>
      </c>
      <c r="D12" s="569" t="s">
        <v>215</v>
      </c>
      <c r="E12" s="569" t="s">
        <v>214</v>
      </c>
      <c r="F12" s="569" t="s">
        <v>215</v>
      </c>
      <c r="CC12" s="62">
        <f>CC14+CC15</f>
        <v>4361</v>
      </c>
      <c r="CD12" s="241">
        <f>BY12+BZ12+CA12+CC12</f>
        <v>4361</v>
      </c>
    </row>
    <row r="13" spans="1:82" hidden="1">
      <c r="A13" s="54">
        <v>2001</v>
      </c>
      <c r="B13" s="249">
        <v>412.97515686106198</v>
      </c>
      <c r="C13" s="249">
        <v>49.44852161215001</v>
      </c>
      <c r="D13" s="249">
        <v>13.619479003893998</v>
      </c>
      <c r="E13" s="249">
        <v>195.72555635082998</v>
      </c>
      <c r="F13" s="249">
        <v>154.181599894188</v>
      </c>
      <c r="CD13" s="241"/>
    </row>
    <row r="14" spans="1:82" hidden="1">
      <c r="A14" s="54">
        <v>2002</v>
      </c>
      <c r="B14" s="249">
        <v>483.15978184729602</v>
      </c>
      <c r="C14" s="249">
        <v>63.234573589500002</v>
      </c>
      <c r="D14" s="249">
        <v>12.948678672973998</v>
      </c>
      <c r="E14" s="249">
        <v>130.97025022720999</v>
      </c>
      <c r="F14" s="249">
        <v>276.00627935761207</v>
      </c>
      <c r="CC14" s="62">
        <v>3917</v>
      </c>
      <c r="CD14" s="241">
        <f>BY14+BZ14+CA14+CC14</f>
        <v>3917</v>
      </c>
    </row>
    <row r="15" spans="1:82" hidden="1">
      <c r="A15" s="54">
        <v>2003</v>
      </c>
      <c r="B15" s="249">
        <v>644.37994144988397</v>
      </c>
      <c r="C15" s="249">
        <v>97.304246483231992</v>
      </c>
      <c r="D15" s="249">
        <v>22.873407178554004</v>
      </c>
      <c r="E15" s="249">
        <v>193.01692380415602</v>
      </c>
      <c r="F15" s="249">
        <v>331.18536398394201</v>
      </c>
      <c r="CC15" s="62">
        <v>444</v>
      </c>
      <c r="CD15" s="241">
        <f t="shared" ref="CD15:CD56" si="0">BY15+BZ15+CA15+CC15</f>
        <v>444</v>
      </c>
    </row>
    <row r="16" spans="1:82" hidden="1">
      <c r="A16" s="54">
        <v>2004</v>
      </c>
      <c r="B16" s="249">
        <v>1118.0426953927879</v>
      </c>
      <c r="C16" s="249">
        <v>193.47756770974797</v>
      </c>
      <c r="D16" s="249">
        <v>28.433752541551996</v>
      </c>
      <c r="E16" s="249">
        <v>309.41148967299603</v>
      </c>
      <c r="F16" s="249">
        <v>586.71988546849195</v>
      </c>
      <c r="CD16" s="241"/>
    </row>
    <row r="17" spans="1:82" hidden="1">
      <c r="A17" s="88">
        <v>2005</v>
      </c>
      <c r="B17" s="250">
        <f>+B29</f>
        <v>1368.7164538735799</v>
      </c>
      <c r="C17" s="250">
        <f>+C29</f>
        <v>231.96594398368401</v>
      </c>
      <c r="D17" s="250">
        <f>+D29</f>
        <v>48.224587197893996</v>
      </c>
      <c r="E17" s="250">
        <f>+E29</f>
        <v>364.39581446204807</v>
      </c>
      <c r="F17" s="251">
        <f>+F29</f>
        <v>724.13010822995398</v>
      </c>
      <c r="CC17" s="62">
        <f>CC19+CC20</f>
        <v>-2648</v>
      </c>
      <c r="CD17" s="241">
        <f t="shared" si="0"/>
        <v>-2648</v>
      </c>
    </row>
    <row r="18" spans="1:82" hidden="1">
      <c r="A18" s="89" t="s">
        <v>18</v>
      </c>
      <c r="B18" s="249">
        <v>1063.4966561646759</v>
      </c>
      <c r="C18" s="249">
        <v>177.61213287224999</v>
      </c>
      <c r="D18" s="249">
        <v>26.375990995655997</v>
      </c>
      <c r="E18" s="249">
        <v>297.78232601554976</v>
      </c>
      <c r="F18" s="252">
        <v>561.72620628122013</v>
      </c>
      <c r="H18" s="61"/>
      <c r="CD18" s="241"/>
    </row>
    <row r="19" spans="1:82" hidden="1">
      <c r="A19" s="89" t="s">
        <v>19</v>
      </c>
      <c r="B19" s="249">
        <v>1048.9799363667141</v>
      </c>
      <c r="C19" s="249">
        <v>183.78383760635401</v>
      </c>
      <c r="D19" s="249">
        <v>28.717285897191999</v>
      </c>
      <c r="E19" s="249">
        <v>276.67074004221411</v>
      </c>
      <c r="F19" s="252">
        <v>559.80807282095395</v>
      </c>
      <c r="H19" s="61"/>
      <c r="CC19" s="62">
        <v>-367</v>
      </c>
      <c r="CD19" s="241">
        <f t="shared" si="0"/>
        <v>-367</v>
      </c>
    </row>
    <row r="20" spans="1:82" hidden="1">
      <c r="A20" s="89" t="s">
        <v>20</v>
      </c>
      <c r="B20" s="249">
        <v>1053.8228669286777</v>
      </c>
      <c r="C20" s="249">
        <v>179.95092993548801</v>
      </c>
      <c r="D20" s="249">
        <v>31.036464629793997</v>
      </c>
      <c r="E20" s="249">
        <v>286.86220858687784</v>
      </c>
      <c r="F20" s="252">
        <v>555.97326377651791</v>
      </c>
      <c r="H20" s="61"/>
      <c r="CC20" s="62">
        <v>-2281</v>
      </c>
      <c r="CD20" s="241">
        <f t="shared" si="0"/>
        <v>-2281</v>
      </c>
    </row>
    <row r="21" spans="1:82" hidden="1">
      <c r="A21" s="89" t="s">
        <v>21</v>
      </c>
      <c r="B21" s="249">
        <v>1166.0089263965961</v>
      </c>
      <c r="C21" s="249">
        <v>195.26376842331399</v>
      </c>
      <c r="D21" s="249">
        <v>31.814415730488005</v>
      </c>
      <c r="E21" s="249">
        <v>313.28201015696402</v>
      </c>
      <c r="F21" s="252">
        <v>625.64873208583003</v>
      </c>
      <c r="H21" s="61"/>
      <c r="CD21" s="241"/>
    </row>
    <row r="22" spans="1:82" hidden="1">
      <c r="A22" s="89" t="s">
        <v>22</v>
      </c>
      <c r="B22" s="249">
        <v>1213.5454937892737</v>
      </c>
      <c r="C22" s="249">
        <v>211.06852574097803</v>
      </c>
      <c r="D22" s="249">
        <v>38.56589763961</v>
      </c>
      <c r="E22" s="249">
        <v>298.62817117573366</v>
      </c>
      <c r="F22" s="252">
        <v>665.28289923295199</v>
      </c>
      <c r="H22" s="61"/>
      <c r="CC22" s="62">
        <f>CC24+CC25</f>
        <v>-797</v>
      </c>
      <c r="CD22" s="241">
        <f t="shared" si="0"/>
        <v>-797</v>
      </c>
    </row>
    <row r="23" spans="1:82" hidden="1">
      <c r="A23" s="89" t="s">
        <v>23</v>
      </c>
      <c r="B23" s="249">
        <v>1216.5151143711018</v>
      </c>
      <c r="C23" s="249">
        <v>213.47135795720601</v>
      </c>
      <c r="D23" s="249">
        <v>44.020697280712014</v>
      </c>
      <c r="E23" s="249">
        <v>299.99364779614803</v>
      </c>
      <c r="F23" s="252">
        <v>659.02941133703575</v>
      </c>
      <c r="H23" s="61"/>
      <c r="CD23" s="241"/>
    </row>
    <row r="24" spans="1:82" hidden="1">
      <c r="A24" s="89" t="s">
        <v>24</v>
      </c>
      <c r="B24" s="249">
        <v>1277.149025846104</v>
      </c>
      <c r="C24" s="249">
        <v>226.79625316732</v>
      </c>
      <c r="D24" s="249">
        <v>45.331847533728002</v>
      </c>
      <c r="E24" s="249">
        <v>336.70400021949024</v>
      </c>
      <c r="F24" s="252">
        <v>668.31692492556579</v>
      </c>
      <c r="H24" s="61"/>
      <c r="CC24" s="62">
        <v>-644</v>
      </c>
      <c r="CD24" s="241">
        <f t="shared" si="0"/>
        <v>-644</v>
      </c>
    </row>
    <row r="25" spans="1:82" hidden="1">
      <c r="A25" s="89" t="s">
        <v>25</v>
      </c>
      <c r="B25" s="249">
        <v>1331.2752555563379</v>
      </c>
      <c r="C25" s="249">
        <v>236.80492658760201</v>
      </c>
      <c r="D25" s="249">
        <v>49.980108198539995</v>
      </c>
      <c r="E25" s="249">
        <v>362.33917931834981</v>
      </c>
      <c r="F25" s="252">
        <v>682.15104145184614</v>
      </c>
      <c r="H25" s="61"/>
      <c r="CC25" s="62">
        <v>-153</v>
      </c>
      <c r="CD25" s="241">
        <f t="shared" si="0"/>
        <v>-153</v>
      </c>
    </row>
    <row r="26" spans="1:82" hidden="1">
      <c r="A26" s="89" t="s">
        <v>26</v>
      </c>
      <c r="B26" s="249">
        <v>1353.608844615386</v>
      </c>
      <c r="C26" s="249">
        <v>228.036589986818</v>
      </c>
      <c r="D26" s="249">
        <v>48.870819794156006</v>
      </c>
      <c r="E26" s="249">
        <v>354.29426588858416</v>
      </c>
      <c r="F26" s="252">
        <v>722.40716894582795</v>
      </c>
      <c r="H26" s="61"/>
      <c r="CD26" s="241"/>
    </row>
    <row r="27" spans="1:82" hidden="1">
      <c r="A27" s="89" t="s">
        <v>27</v>
      </c>
      <c r="B27" s="249">
        <v>1401.4029878443698</v>
      </c>
      <c r="C27" s="249">
        <v>238.81343581480803</v>
      </c>
      <c r="D27" s="249">
        <v>47.998380885580005</v>
      </c>
      <c r="E27" s="249">
        <v>385.9393336451418</v>
      </c>
      <c r="F27" s="252">
        <v>728.65183749883988</v>
      </c>
      <c r="H27" s="61"/>
      <c r="CD27" s="241"/>
    </row>
    <row r="28" spans="1:82" hidden="1">
      <c r="A28" s="89" t="s">
        <v>28</v>
      </c>
      <c r="B28" s="249">
        <v>1355.2231973839059</v>
      </c>
      <c r="C28" s="249">
        <v>227.547281666548</v>
      </c>
      <c r="D28" s="249">
        <v>50.240598284182006</v>
      </c>
      <c r="E28" s="249">
        <v>340.93183423657774</v>
      </c>
      <c r="F28" s="252">
        <v>736.50348319659815</v>
      </c>
      <c r="H28" s="61"/>
      <c r="CD28" s="241"/>
    </row>
    <row r="29" spans="1:82" hidden="1">
      <c r="A29" s="89" t="s">
        <v>29</v>
      </c>
      <c r="B29" s="249">
        <v>1368.7164538735799</v>
      </c>
      <c r="C29" s="249">
        <v>231.96594398368401</v>
      </c>
      <c r="D29" s="249">
        <v>48.224587197893996</v>
      </c>
      <c r="E29" s="249">
        <v>364.39581446204807</v>
      </c>
      <c r="F29" s="252">
        <v>724.13010822995398</v>
      </c>
      <c r="H29" s="61"/>
      <c r="CC29" s="62">
        <v>-31</v>
      </c>
      <c r="CD29" s="241">
        <f t="shared" si="0"/>
        <v>-31</v>
      </c>
    </row>
    <row r="30" spans="1:82" hidden="1">
      <c r="A30" s="90">
        <v>2006</v>
      </c>
      <c r="B30" s="253">
        <f>+B42</f>
        <v>2162.1232499799999</v>
      </c>
      <c r="C30" s="253">
        <f>+C42</f>
        <v>549.67180797000003</v>
      </c>
      <c r="D30" s="253">
        <f>+D42</f>
        <v>271.35614648000001</v>
      </c>
      <c r="E30" s="253">
        <f>+E42</f>
        <v>579.47934015999988</v>
      </c>
      <c r="F30" s="254">
        <f>+F42</f>
        <v>761.61595537000005</v>
      </c>
      <c r="H30" s="61"/>
      <c r="CC30" s="62">
        <v>-440</v>
      </c>
      <c r="CD30" s="241">
        <f t="shared" si="0"/>
        <v>-440</v>
      </c>
    </row>
    <row r="31" spans="1:82" hidden="1">
      <c r="A31" s="89" t="s">
        <v>18</v>
      </c>
      <c r="B31" s="249">
        <v>1383.2134349800001</v>
      </c>
      <c r="C31" s="249">
        <v>219.87236148000002</v>
      </c>
      <c r="D31" s="249">
        <v>48.75206828000001</v>
      </c>
      <c r="E31" s="249">
        <v>369.63483502000008</v>
      </c>
      <c r="F31" s="252">
        <v>744.95417019999991</v>
      </c>
      <c r="H31" s="61"/>
      <c r="CD31" s="241"/>
    </row>
    <row r="32" spans="1:82" hidden="1">
      <c r="A32" s="89" t="s">
        <v>19</v>
      </c>
      <c r="B32" s="249">
        <v>1451.4978858499999</v>
      </c>
      <c r="C32" s="249">
        <v>260.33501920999993</v>
      </c>
      <c r="D32" s="249">
        <v>56.09854155</v>
      </c>
      <c r="E32" s="249">
        <v>389.24819029000014</v>
      </c>
      <c r="F32" s="252">
        <v>745.81613479999987</v>
      </c>
      <c r="H32" s="61"/>
      <c r="CC32" s="62">
        <f>CC34+CC35</f>
        <v>-498</v>
      </c>
      <c r="CD32" s="241">
        <f>BY32+BZ32+CA32+CC32</f>
        <v>-498</v>
      </c>
    </row>
    <row r="33" spans="1:82" hidden="1">
      <c r="A33" s="89" t="s">
        <v>20</v>
      </c>
      <c r="B33" s="249">
        <v>1481.00666703</v>
      </c>
      <c r="C33" s="249">
        <v>282.46016445999993</v>
      </c>
      <c r="D33" s="249">
        <v>59.58121838000001</v>
      </c>
      <c r="E33" s="249">
        <v>407.67118359999995</v>
      </c>
      <c r="F33" s="252">
        <v>731.29410058999997</v>
      </c>
      <c r="H33" s="61"/>
      <c r="CD33" s="241"/>
    </row>
    <row r="34" spans="1:82" hidden="1">
      <c r="A34" s="89" t="s">
        <v>21</v>
      </c>
      <c r="B34" s="249">
        <v>1557.6401889599999</v>
      </c>
      <c r="C34" s="249">
        <v>303.08280175000004</v>
      </c>
      <c r="D34" s="249">
        <v>62.00338760999999</v>
      </c>
      <c r="E34" s="249">
        <v>437.79607088000012</v>
      </c>
      <c r="F34" s="252">
        <v>754.75792871999988</v>
      </c>
      <c r="H34" s="61"/>
      <c r="CC34" s="62">
        <v>-521</v>
      </c>
      <c r="CD34" s="241">
        <f>BY34+BZ34+CA34+CC34</f>
        <v>-521</v>
      </c>
    </row>
    <row r="35" spans="1:82" hidden="1">
      <c r="A35" s="89" t="s">
        <v>22</v>
      </c>
      <c r="B35" s="249">
        <v>1591.5808183700001</v>
      </c>
      <c r="C35" s="249">
        <v>303.40193950999998</v>
      </c>
      <c r="D35" s="249">
        <v>67.681866839999998</v>
      </c>
      <c r="E35" s="249">
        <v>465.01163440000005</v>
      </c>
      <c r="F35" s="252">
        <v>755.48537762000001</v>
      </c>
      <c r="H35" s="61"/>
      <c r="CC35" s="62">
        <v>23</v>
      </c>
      <c r="CD35" s="241">
        <f>BY35+BZ35+CA35+CC35</f>
        <v>23</v>
      </c>
    </row>
    <row r="36" spans="1:82" hidden="1">
      <c r="A36" s="89" t="s">
        <v>23</v>
      </c>
      <c r="B36" s="249">
        <v>1695.9090985100001</v>
      </c>
      <c r="C36" s="249">
        <v>325.37190779999992</v>
      </c>
      <c r="D36" s="249">
        <v>94.883639190000011</v>
      </c>
      <c r="E36" s="249">
        <v>520.46972359000029</v>
      </c>
      <c r="F36" s="252">
        <v>755.18382793000001</v>
      </c>
      <c r="H36" s="61"/>
      <c r="CD36" s="241"/>
    </row>
    <row r="37" spans="1:82" hidden="1">
      <c r="A37" s="89" t="s">
        <v>24</v>
      </c>
      <c r="B37" s="249">
        <v>1763.8645690999997</v>
      </c>
      <c r="C37" s="249">
        <v>342.36996270000009</v>
      </c>
      <c r="D37" s="249">
        <v>114.93951384</v>
      </c>
      <c r="E37" s="249">
        <v>545.0365134699997</v>
      </c>
      <c r="F37" s="252">
        <v>761.51857908999989</v>
      </c>
      <c r="H37" s="61"/>
      <c r="CC37" s="62">
        <v>433</v>
      </c>
      <c r="CD37" s="241">
        <f t="shared" si="0"/>
        <v>433</v>
      </c>
    </row>
    <row r="38" spans="1:82" hidden="1">
      <c r="A38" s="89" t="s">
        <v>25</v>
      </c>
      <c r="B38" s="249">
        <v>1831.5589231699998</v>
      </c>
      <c r="C38" s="249">
        <v>397.20915399999996</v>
      </c>
      <c r="D38" s="249">
        <v>134.85218208999999</v>
      </c>
      <c r="E38" s="249">
        <v>514.13805116999993</v>
      </c>
      <c r="F38" s="252">
        <v>785.35953590999998</v>
      </c>
      <c r="H38" s="61"/>
      <c r="CC38" s="62">
        <v>-931</v>
      </c>
      <c r="CD38" s="241">
        <f t="shared" si="0"/>
        <v>-931</v>
      </c>
    </row>
    <row r="39" spans="1:82" hidden="1">
      <c r="A39" s="89" t="s">
        <v>26</v>
      </c>
      <c r="B39" s="249">
        <v>1861.9868716400001</v>
      </c>
      <c r="C39" s="249">
        <v>377.67575544000005</v>
      </c>
      <c r="D39" s="249">
        <v>163.97076862</v>
      </c>
      <c r="E39" s="249">
        <v>570.95106028000009</v>
      </c>
      <c r="F39" s="252">
        <v>749.38928729999998</v>
      </c>
      <c r="H39" s="61"/>
      <c r="CD39" s="241"/>
    </row>
    <row r="40" spans="1:82" hidden="1">
      <c r="A40" s="89" t="s">
        <v>27</v>
      </c>
      <c r="B40" s="249">
        <v>1923.72598348</v>
      </c>
      <c r="C40" s="249">
        <v>438.96467407999995</v>
      </c>
      <c r="D40" s="249">
        <v>198.87962870000001</v>
      </c>
      <c r="E40" s="249">
        <v>543.54140497000003</v>
      </c>
      <c r="F40" s="252">
        <v>742.34027573000003</v>
      </c>
      <c r="G40" s="61"/>
      <c r="H40" s="61"/>
      <c r="CC40" s="62">
        <v>204</v>
      </c>
      <c r="CD40" s="241">
        <f t="shared" si="0"/>
        <v>204</v>
      </c>
    </row>
    <row r="41" spans="1:82" hidden="1">
      <c r="A41" s="89" t="s">
        <v>28</v>
      </c>
      <c r="B41" s="249">
        <v>1976.72432028</v>
      </c>
      <c r="C41" s="249">
        <v>505.26034481999994</v>
      </c>
      <c r="D41" s="249">
        <v>205.19429745000005</v>
      </c>
      <c r="E41" s="249">
        <v>506.14262354000005</v>
      </c>
      <c r="F41" s="252">
        <v>760.12705446999996</v>
      </c>
      <c r="G41" s="61"/>
      <c r="H41" s="61"/>
      <c r="I41" s="61"/>
      <c r="CC41" s="62">
        <v>200</v>
      </c>
      <c r="CD41" s="241">
        <f t="shared" si="0"/>
        <v>200</v>
      </c>
    </row>
    <row r="42" spans="1:82" hidden="1">
      <c r="A42" s="89" t="s">
        <v>29</v>
      </c>
      <c r="B42" s="249">
        <v>2162.1232499799999</v>
      </c>
      <c r="C42" s="249">
        <v>549.67180797000003</v>
      </c>
      <c r="D42" s="249">
        <v>271.35614648000001</v>
      </c>
      <c r="E42" s="249">
        <v>579.47934015999988</v>
      </c>
      <c r="F42" s="252">
        <v>761.61595537000005</v>
      </c>
      <c r="G42" s="61"/>
      <c r="H42" s="61"/>
      <c r="I42" s="61"/>
      <c r="CD42" s="241"/>
    </row>
    <row r="43" spans="1:82">
      <c r="A43" s="713">
        <v>2007</v>
      </c>
      <c r="B43" s="714">
        <f>+B55</f>
        <v>4127.1830896899992</v>
      </c>
      <c r="C43" s="715">
        <f>+C55</f>
        <v>962.80140343000005</v>
      </c>
      <c r="D43" s="715">
        <f>+D55</f>
        <v>939.37474758999997</v>
      </c>
      <c r="E43" s="715">
        <f>+E55</f>
        <v>754.22318668000003</v>
      </c>
      <c r="F43" s="715">
        <f>+F55</f>
        <v>1470.7837519899999</v>
      </c>
      <c r="G43" s="61"/>
      <c r="H43" s="61"/>
      <c r="I43" s="61"/>
      <c r="CC43" s="62">
        <v>295</v>
      </c>
      <c r="CD43" s="241">
        <f t="shared" si="0"/>
        <v>295</v>
      </c>
    </row>
    <row r="44" spans="1:82" hidden="1">
      <c r="A44" s="716" t="s">
        <v>18</v>
      </c>
      <c r="B44" s="685">
        <v>2096.6167330800004</v>
      </c>
      <c r="C44" s="685">
        <v>500.89812204999998</v>
      </c>
      <c r="D44" s="685">
        <v>239.62635330000001</v>
      </c>
      <c r="E44" s="685">
        <v>568.77467502000013</v>
      </c>
      <c r="F44" s="685">
        <v>787.31758271000012</v>
      </c>
      <c r="G44" s="61"/>
      <c r="H44" s="61"/>
      <c r="I44" s="61"/>
      <c r="CC44" s="62">
        <v>-95</v>
      </c>
      <c r="CD44" s="241">
        <f t="shared" si="0"/>
        <v>-95</v>
      </c>
    </row>
    <row r="45" spans="1:82" hidden="1">
      <c r="A45" s="716" t="s">
        <v>19</v>
      </c>
      <c r="B45" s="685">
        <v>2147.5673924400003</v>
      </c>
      <c r="C45" s="685">
        <v>555.72444240000004</v>
      </c>
      <c r="D45" s="685">
        <v>271.51318447000006</v>
      </c>
      <c r="E45" s="685">
        <v>554.85489386000017</v>
      </c>
      <c r="F45" s="685">
        <v>765.47487171000012</v>
      </c>
      <c r="G45" s="61"/>
      <c r="H45" s="61"/>
      <c r="I45" s="61"/>
      <c r="CD45" s="241"/>
    </row>
    <row r="46" spans="1:82" hidden="1">
      <c r="A46" s="716" t="s">
        <v>20</v>
      </c>
      <c r="B46" s="685">
        <v>2238.0863028400004</v>
      </c>
      <c r="C46" s="685">
        <v>623.47124249000012</v>
      </c>
      <c r="D46" s="685">
        <v>316.03156693999995</v>
      </c>
      <c r="E46" s="685">
        <v>538.59962176000033</v>
      </c>
      <c r="F46" s="685">
        <v>759.98387164999997</v>
      </c>
      <c r="G46" s="61"/>
      <c r="H46" s="61"/>
      <c r="I46" s="61"/>
      <c r="CC46" s="62">
        <v>0</v>
      </c>
      <c r="CD46" s="241">
        <f t="shared" si="0"/>
        <v>0</v>
      </c>
    </row>
    <row r="47" spans="1:82" hidden="1">
      <c r="A47" s="716" t="s">
        <v>21</v>
      </c>
      <c r="B47" s="685">
        <v>2248.8268927600006</v>
      </c>
      <c r="C47" s="685">
        <v>631.53492568999991</v>
      </c>
      <c r="D47" s="685">
        <v>364.90249673</v>
      </c>
      <c r="E47" s="685">
        <v>502.66455941000072</v>
      </c>
      <c r="F47" s="685">
        <v>749.72491093000008</v>
      </c>
      <c r="G47" s="61"/>
      <c r="H47" s="61"/>
      <c r="I47" s="61"/>
      <c r="CD47" s="241"/>
    </row>
    <row r="48" spans="1:82" hidden="1">
      <c r="A48" s="716" t="s">
        <v>22</v>
      </c>
      <c r="B48" s="685">
        <v>2371.46952508</v>
      </c>
      <c r="C48" s="685">
        <v>637.2352648000001</v>
      </c>
      <c r="D48" s="685">
        <v>412.29131131999998</v>
      </c>
      <c r="E48" s="685">
        <v>450.2158744100002</v>
      </c>
      <c r="F48" s="685">
        <v>871.72707454999977</v>
      </c>
      <c r="G48" s="61"/>
      <c r="H48" s="61"/>
      <c r="I48" s="61"/>
      <c r="CC48" s="62">
        <f>CC49-CC53</f>
        <v>481</v>
      </c>
      <c r="CD48" s="241">
        <f t="shared" si="0"/>
        <v>481</v>
      </c>
    </row>
    <row r="49" spans="1:82" hidden="1">
      <c r="A49" s="716" t="s">
        <v>23</v>
      </c>
      <c r="B49" s="685">
        <v>2436.3426978500001</v>
      </c>
      <c r="C49" s="685">
        <v>646.50913603000015</v>
      </c>
      <c r="D49" s="685">
        <v>434.10216400999997</v>
      </c>
      <c r="E49" s="685">
        <v>460.14052797999977</v>
      </c>
      <c r="F49" s="685">
        <v>895.59086983000009</v>
      </c>
      <c r="G49" s="61"/>
      <c r="H49" s="61"/>
      <c r="I49" s="61"/>
      <c r="CC49" s="62">
        <f>CC51+CC52</f>
        <v>965</v>
      </c>
      <c r="CD49" s="241">
        <f t="shared" si="0"/>
        <v>965</v>
      </c>
    </row>
    <row r="50" spans="1:82" hidden="1">
      <c r="A50" s="716" t="s">
        <v>24</v>
      </c>
      <c r="B50" s="685">
        <v>2510.4601260499999</v>
      </c>
      <c r="C50" s="685">
        <v>599.20595492000007</v>
      </c>
      <c r="D50" s="685">
        <v>529.65593548999993</v>
      </c>
      <c r="E50" s="685">
        <v>436.07674095000004</v>
      </c>
      <c r="F50" s="685">
        <v>945.52149468999994</v>
      </c>
      <c r="G50" s="61"/>
      <c r="H50" s="61"/>
      <c r="I50" s="61"/>
      <c r="CD50" s="241"/>
    </row>
    <row r="51" spans="1:82" hidden="1">
      <c r="A51" s="716" t="s">
        <v>25</v>
      </c>
      <c r="B51" s="685">
        <v>2743.0334336599999</v>
      </c>
      <c r="C51" s="685">
        <v>715.95557969000004</v>
      </c>
      <c r="D51" s="685">
        <v>577.80696886999999</v>
      </c>
      <c r="E51" s="685">
        <v>408.43194174999985</v>
      </c>
      <c r="F51" s="685">
        <v>1040.8389433500001</v>
      </c>
      <c r="CC51" s="62">
        <v>954</v>
      </c>
      <c r="CD51" s="241">
        <f t="shared" si="0"/>
        <v>954</v>
      </c>
    </row>
    <row r="52" spans="1:82" hidden="1">
      <c r="A52" s="716" t="s">
        <v>26</v>
      </c>
      <c r="B52" s="685">
        <v>2973.8333739999994</v>
      </c>
      <c r="C52" s="685">
        <v>737.22614386999987</v>
      </c>
      <c r="D52" s="685">
        <v>602.77646406000008</v>
      </c>
      <c r="E52" s="685">
        <v>522.36250482999958</v>
      </c>
      <c r="F52" s="685">
        <v>1111.4682612399999</v>
      </c>
      <c r="CC52" s="62">
        <v>11</v>
      </c>
      <c r="CD52" s="241">
        <f t="shared" si="0"/>
        <v>11</v>
      </c>
    </row>
    <row r="53" spans="1:82" hidden="1">
      <c r="A53" s="716" t="s">
        <v>27</v>
      </c>
      <c r="B53" s="685">
        <v>3100.1979160199999</v>
      </c>
      <c r="C53" s="685">
        <v>710.45201737000002</v>
      </c>
      <c r="D53" s="685">
        <v>650.90874280999992</v>
      </c>
      <c r="E53" s="685">
        <v>564.51048482999977</v>
      </c>
      <c r="F53" s="685">
        <v>1174.3266710099999</v>
      </c>
      <c r="CC53" s="62">
        <f>CC55+CC56+CC57+CC58</f>
        <v>484</v>
      </c>
      <c r="CD53" s="241">
        <f t="shared" si="0"/>
        <v>484</v>
      </c>
    </row>
    <row r="54" spans="1:82" hidden="1">
      <c r="A54" s="716" t="s">
        <v>28</v>
      </c>
      <c r="B54" s="685">
        <v>3149.9321332299996</v>
      </c>
      <c r="C54" s="685">
        <v>867.56669267000018</v>
      </c>
      <c r="D54" s="685">
        <v>620.34134030999985</v>
      </c>
      <c r="E54" s="685">
        <v>494.67887402999986</v>
      </c>
      <c r="F54" s="685">
        <v>1167.3452262199999</v>
      </c>
      <c r="CD54" s="241"/>
    </row>
    <row r="55" spans="1:82" hidden="1">
      <c r="A55" s="716" t="s">
        <v>29</v>
      </c>
      <c r="B55" s="685">
        <f>+C55+D55+E55+F55</f>
        <v>4127.1830896899992</v>
      </c>
      <c r="C55" s="685">
        <v>962.80140343000005</v>
      </c>
      <c r="D55" s="685">
        <v>939.37474758999997</v>
      </c>
      <c r="E55" s="685">
        <v>754.22318668000003</v>
      </c>
      <c r="F55" s="685">
        <v>1470.7837519899999</v>
      </c>
      <c r="CC55" s="62">
        <v>1214</v>
      </c>
      <c r="CD55" s="241">
        <f t="shared" si="0"/>
        <v>1214</v>
      </c>
    </row>
    <row r="56" spans="1:82">
      <c r="A56" s="717">
        <v>2008</v>
      </c>
      <c r="B56" s="718">
        <f>+B68</f>
        <v>6460.18830738</v>
      </c>
      <c r="C56" s="719">
        <f>+C68</f>
        <v>1054.10083994</v>
      </c>
      <c r="D56" s="719">
        <f>+D68</f>
        <v>1240.0590658599999</v>
      </c>
      <c r="E56" s="719">
        <f>+E68</f>
        <v>1025.2839537199998</v>
      </c>
      <c r="F56" s="719">
        <f>+F68</f>
        <v>3140.7444478599996</v>
      </c>
      <c r="CC56" s="62">
        <v>-745</v>
      </c>
      <c r="CD56" s="241">
        <f t="shared" si="0"/>
        <v>-745</v>
      </c>
    </row>
    <row r="57" spans="1:82" hidden="1">
      <c r="A57" s="716" t="s">
        <v>18</v>
      </c>
      <c r="B57" s="685">
        <v>3376.28206215</v>
      </c>
      <c r="C57" s="685">
        <v>768.52430240000001</v>
      </c>
      <c r="D57" s="685">
        <v>797.26867460000005</v>
      </c>
      <c r="E57" s="685">
        <v>506.97141882999995</v>
      </c>
      <c r="F57" s="685">
        <v>1303.51766632</v>
      </c>
      <c r="CC57" s="62">
        <v>0</v>
      </c>
      <c r="CD57" s="241">
        <f>BY57+BZ57+CA57+CC57</f>
        <v>0</v>
      </c>
    </row>
    <row r="58" spans="1:82" hidden="1">
      <c r="A58" s="716" t="s">
        <v>19</v>
      </c>
      <c r="B58" s="685">
        <v>3865.3276896699995</v>
      </c>
      <c r="C58" s="685">
        <v>825.45538856999997</v>
      </c>
      <c r="D58" s="685">
        <v>843.62777799000003</v>
      </c>
      <c r="E58" s="685">
        <v>440.12653222999916</v>
      </c>
      <c r="F58" s="685">
        <v>1756.11799088</v>
      </c>
      <c r="CC58" s="62">
        <v>15</v>
      </c>
      <c r="CD58" s="241">
        <f>BY58+BZ58+CA58+CC58</f>
        <v>15</v>
      </c>
    </row>
    <row r="59" spans="1:82" hidden="1">
      <c r="A59" s="716" t="s">
        <v>20</v>
      </c>
      <c r="B59" s="685">
        <v>3801.2519231299993</v>
      </c>
      <c r="C59" s="685">
        <v>829.32714390000001</v>
      </c>
      <c r="D59" s="685">
        <v>828.96395896999991</v>
      </c>
      <c r="E59" s="685">
        <v>380.5191615699996</v>
      </c>
      <c r="F59" s="685">
        <v>1762.4416586899997</v>
      </c>
      <c r="CC59" s="62">
        <v>-372</v>
      </c>
      <c r="CD59" s="241">
        <f>BY59+BZ59+CA59+CC59</f>
        <v>-372</v>
      </c>
    </row>
    <row r="60" spans="1:82" hidden="1">
      <c r="A60" s="716" t="s">
        <v>21</v>
      </c>
      <c r="B60" s="685">
        <v>3859.7257464200002</v>
      </c>
      <c r="C60" s="685">
        <v>823.78469875000008</v>
      </c>
      <c r="D60" s="685">
        <v>823.35633608000001</v>
      </c>
      <c r="E60" s="685">
        <v>492.56992217000015</v>
      </c>
      <c r="F60" s="685">
        <v>1720.0147894199999</v>
      </c>
      <c r="CC60" s="62">
        <v>-231</v>
      </c>
      <c r="CD60" s="241">
        <f>BY60+BZ60+CA60+CC60</f>
        <v>-231</v>
      </c>
    </row>
    <row r="61" spans="1:82" hidden="1">
      <c r="A61" s="716" t="s">
        <v>22</v>
      </c>
      <c r="B61" s="685">
        <v>4120.4938849399996</v>
      </c>
      <c r="C61" s="685">
        <v>733.3566900300001</v>
      </c>
      <c r="D61" s="685">
        <v>848.16434855999967</v>
      </c>
      <c r="E61" s="685">
        <v>614.47702447999995</v>
      </c>
      <c r="F61" s="685">
        <v>1924.4958218699996</v>
      </c>
      <c r="CD61" s="241"/>
    </row>
    <row r="62" spans="1:82" hidden="1">
      <c r="A62" s="716" t="s">
        <v>23</v>
      </c>
      <c r="B62" s="685">
        <v>4372.531935779999</v>
      </c>
      <c r="C62" s="685">
        <v>915.37709487999996</v>
      </c>
      <c r="D62" s="685">
        <v>789.03245963999984</v>
      </c>
      <c r="E62" s="685">
        <v>777.13472702999934</v>
      </c>
      <c r="F62" s="685">
        <v>1890.9876542299999</v>
      </c>
      <c r="CC62" s="62">
        <f>CC8+CC46-CC48+CC59-CC60</f>
        <v>0</v>
      </c>
      <c r="CD62" s="241">
        <f>BY62+BZ62+CA62+CC62</f>
        <v>0</v>
      </c>
    </row>
    <row r="63" spans="1:82" hidden="1">
      <c r="A63" s="716" t="s">
        <v>24</v>
      </c>
      <c r="B63" s="685">
        <v>4259.7083277299998</v>
      </c>
      <c r="C63" s="685">
        <v>817.57940257999996</v>
      </c>
      <c r="D63" s="685">
        <v>845.68619052999986</v>
      </c>
      <c r="E63" s="685">
        <v>639.7181546700001</v>
      </c>
      <c r="F63" s="685">
        <v>1956.7245799499999</v>
      </c>
    </row>
    <row r="64" spans="1:82" hidden="1">
      <c r="A64" s="716" t="s">
        <v>25</v>
      </c>
      <c r="B64" s="685">
        <v>4523.3699284900003</v>
      </c>
      <c r="C64" s="685">
        <v>927.76715772</v>
      </c>
      <c r="D64" s="685">
        <v>885.36824561000003</v>
      </c>
      <c r="E64" s="685">
        <v>808.0362977800005</v>
      </c>
      <c r="F64" s="685">
        <v>1902.1982273799999</v>
      </c>
    </row>
    <row r="65" spans="1:6" hidden="1">
      <c r="A65" s="716" t="s">
        <v>26</v>
      </c>
      <c r="B65" s="685">
        <v>4479.4917286</v>
      </c>
      <c r="C65" s="685">
        <v>1020.19687441</v>
      </c>
      <c r="D65" s="685">
        <v>853.73524149000002</v>
      </c>
      <c r="E65" s="685">
        <v>727.92260166999995</v>
      </c>
      <c r="F65" s="685">
        <v>1877.6370110299999</v>
      </c>
    </row>
    <row r="66" spans="1:6" hidden="1">
      <c r="A66" s="716" t="s">
        <v>27</v>
      </c>
      <c r="B66" s="685">
        <v>4508.2237846199996</v>
      </c>
      <c r="C66" s="685">
        <v>929.56421783999997</v>
      </c>
      <c r="D66" s="685">
        <v>876.26212197999996</v>
      </c>
      <c r="E66" s="685">
        <v>871.11896935999994</v>
      </c>
      <c r="F66" s="685">
        <v>1831.27847544</v>
      </c>
    </row>
    <row r="67" spans="1:6" hidden="1">
      <c r="A67" s="716" t="s">
        <v>28</v>
      </c>
      <c r="B67" s="685">
        <v>4544.0344337400002</v>
      </c>
      <c r="C67" s="685">
        <v>968.76667119000001</v>
      </c>
      <c r="D67" s="685">
        <v>880.39156925999998</v>
      </c>
      <c r="E67" s="685">
        <v>735.63239218000012</v>
      </c>
      <c r="F67" s="685">
        <v>1959.24380111</v>
      </c>
    </row>
    <row r="68" spans="1:6" hidden="1">
      <c r="A68" s="716" t="s">
        <v>29</v>
      </c>
      <c r="B68" s="685">
        <f>+C68+D68+E68+F68</f>
        <v>6460.18830738</v>
      </c>
      <c r="C68" s="685">
        <v>1054.10083994</v>
      </c>
      <c r="D68" s="685">
        <v>1240.0590658599999</v>
      </c>
      <c r="E68" s="685">
        <v>1025.2839537199998</v>
      </c>
      <c r="F68" s="685">
        <v>3140.7444478599996</v>
      </c>
    </row>
    <row r="69" spans="1:6">
      <c r="A69" s="717">
        <v>2009</v>
      </c>
      <c r="B69" s="718">
        <f>+B81</f>
        <v>6379.1216378400004</v>
      </c>
      <c r="C69" s="719">
        <f>+C81</f>
        <v>1132.9879476500003</v>
      </c>
      <c r="D69" s="719">
        <f>+D81</f>
        <v>1220.3371491299997</v>
      </c>
      <c r="E69" s="719">
        <f>+E81</f>
        <v>1057.7832312799999</v>
      </c>
      <c r="F69" s="719">
        <f>+F81</f>
        <v>2968.0133097800008</v>
      </c>
    </row>
    <row r="70" spans="1:6" hidden="1">
      <c r="A70" s="716" t="s">
        <v>18</v>
      </c>
      <c r="B70" s="685">
        <f t="shared" ref="B70:B80" si="1">+C70+D70+E70+F70</f>
        <v>5287.8590411399991</v>
      </c>
      <c r="C70" s="685">
        <v>868.14582484000005</v>
      </c>
      <c r="D70" s="685">
        <v>825.67736874000002</v>
      </c>
      <c r="E70" s="685">
        <v>1685.3318265699997</v>
      </c>
      <c r="F70" s="685">
        <v>1908.7040209899999</v>
      </c>
    </row>
    <row r="71" spans="1:6" hidden="1">
      <c r="A71" s="716" t="s">
        <v>19</v>
      </c>
      <c r="B71" s="685">
        <f t="shared" si="1"/>
        <v>4160.1361393999996</v>
      </c>
      <c r="C71" s="685">
        <v>870.92294863999996</v>
      </c>
      <c r="D71" s="685">
        <v>690.76265406000005</v>
      </c>
      <c r="E71" s="685">
        <v>890.27298991999965</v>
      </c>
      <c r="F71" s="685">
        <v>1708.1775467800001</v>
      </c>
    </row>
    <row r="72" spans="1:6" hidden="1">
      <c r="A72" s="716" t="s">
        <v>20</v>
      </c>
      <c r="B72" s="685">
        <f t="shared" si="1"/>
        <v>3554.1640134599993</v>
      </c>
      <c r="C72" s="685">
        <v>787.09007223000003</v>
      </c>
      <c r="D72" s="685">
        <v>580.17292530999998</v>
      </c>
      <c r="E72" s="685">
        <v>949.88917914999979</v>
      </c>
      <c r="F72" s="685">
        <v>1237.0118367699999</v>
      </c>
    </row>
    <row r="73" spans="1:6" hidden="1">
      <c r="A73" s="716" t="s">
        <v>21</v>
      </c>
      <c r="B73" s="685">
        <f t="shared" si="1"/>
        <v>3624.8817440100001</v>
      </c>
      <c r="C73" s="685">
        <v>819.15391356999999</v>
      </c>
      <c r="D73" s="685">
        <v>556.02494530000001</v>
      </c>
      <c r="E73" s="685">
        <v>882.42495284000006</v>
      </c>
      <c r="F73" s="685">
        <v>1367.2779323</v>
      </c>
    </row>
    <row r="74" spans="1:6" hidden="1">
      <c r="A74" s="720" t="s">
        <v>22</v>
      </c>
      <c r="B74" s="685">
        <f t="shared" si="1"/>
        <v>3704.75413028</v>
      </c>
      <c r="C74" s="283">
        <v>774.24311398999998</v>
      </c>
      <c r="D74" s="283">
        <v>582.30207939000002</v>
      </c>
      <c r="E74" s="283">
        <v>904.15635345999999</v>
      </c>
      <c r="F74" s="283">
        <v>1444.05258344</v>
      </c>
    </row>
    <row r="75" spans="1:6" hidden="1">
      <c r="A75" s="716" t="s">
        <v>23</v>
      </c>
      <c r="B75" s="685">
        <f t="shared" si="1"/>
        <v>3696.3320366399998</v>
      </c>
      <c r="C75" s="685">
        <v>735.32850857999995</v>
      </c>
      <c r="D75" s="685">
        <v>585.73301329000003</v>
      </c>
      <c r="E75" s="685">
        <v>910.04478071999984</v>
      </c>
      <c r="F75" s="685">
        <v>1465.22573405</v>
      </c>
    </row>
    <row r="76" spans="1:6" s="63" customFormat="1" hidden="1">
      <c r="A76" s="720" t="s">
        <v>24</v>
      </c>
      <c r="B76" s="685">
        <f t="shared" si="1"/>
        <v>4390.41418858</v>
      </c>
      <c r="C76" s="283">
        <v>735.73693909999997</v>
      </c>
      <c r="D76" s="283">
        <v>615.07800759999998</v>
      </c>
      <c r="E76" s="283">
        <v>1203.8338517699997</v>
      </c>
      <c r="F76" s="283">
        <v>1835.76539011</v>
      </c>
    </row>
    <row r="77" spans="1:6" s="63" customFormat="1" hidden="1">
      <c r="A77" s="720" t="s">
        <v>25</v>
      </c>
      <c r="B77" s="685">
        <f t="shared" si="1"/>
        <v>4314.5950495200004</v>
      </c>
      <c r="C77" s="283">
        <v>928.08966488999999</v>
      </c>
      <c r="D77" s="283">
        <v>641.44373799000005</v>
      </c>
      <c r="E77" s="283">
        <v>903.43008581000072</v>
      </c>
      <c r="F77" s="283">
        <v>1841.6315608299999</v>
      </c>
    </row>
    <row r="78" spans="1:6" hidden="1">
      <c r="A78" s="720" t="s">
        <v>26</v>
      </c>
      <c r="B78" s="685">
        <f t="shared" si="1"/>
        <v>4219.9536135199996</v>
      </c>
      <c r="C78" s="283">
        <v>868.30437138000002</v>
      </c>
      <c r="D78" s="283">
        <v>639.98177865000002</v>
      </c>
      <c r="E78" s="283">
        <v>849.11955542999999</v>
      </c>
      <c r="F78" s="283">
        <v>1862.5479080600001</v>
      </c>
    </row>
    <row r="79" spans="1:6" hidden="1">
      <c r="A79" s="720" t="s">
        <v>27</v>
      </c>
      <c r="B79" s="685">
        <f t="shared" si="1"/>
        <v>4261.5050359699999</v>
      </c>
      <c r="C79" s="283">
        <v>920.75800885000001</v>
      </c>
      <c r="D79" s="283">
        <v>669.77022394000005</v>
      </c>
      <c r="E79" s="283">
        <v>801.21845862999999</v>
      </c>
      <c r="F79" s="283">
        <v>1869.7583445499999</v>
      </c>
    </row>
    <row r="80" spans="1:6" hidden="1">
      <c r="A80" s="716" t="s">
        <v>28</v>
      </c>
      <c r="B80" s="685">
        <f t="shared" si="1"/>
        <v>4308.23966131</v>
      </c>
      <c r="C80" s="685">
        <v>939.47929058</v>
      </c>
      <c r="D80" s="685">
        <v>688.65169532000004</v>
      </c>
      <c r="E80" s="685">
        <v>787.36982772999977</v>
      </c>
      <c r="F80" s="685">
        <v>1892.7388476799999</v>
      </c>
    </row>
    <row r="81" spans="1:6" hidden="1">
      <c r="A81" s="716" t="s">
        <v>29</v>
      </c>
      <c r="B81" s="685">
        <f t="shared" ref="B81:B94" si="2">+C81+D81+E81+F81</f>
        <v>6379.1216378400004</v>
      </c>
      <c r="C81" s="685">
        <v>1132.9879476500003</v>
      </c>
      <c r="D81" s="685">
        <v>1220.3371491299997</v>
      </c>
      <c r="E81" s="685">
        <v>1057.7832312799999</v>
      </c>
      <c r="F81" s="685">
        <v>2968.0133097800008</v>
      </c>
    </row>
    <row r="82" spans="1:6">
      <c r="A82" s="717">
        <v>2010</v>
      </c>
      <c r="B82" s="718">
        <v>7625.7781233199994</v>
      </c>
      <c r="C82" s="685">
        <v>1486.32706403</v>
      </c>
      <c r="D82" s="685">
        <v>1719.0040401799999</v>
      </c>
      <c r="E82" s="685">
        <v>1438.5680641500003</v>
      </c>
      <c r="F82" s="685">
        <v>2981.8789549599996</v>
      </c>
    </row>
    <row r="83" spans="1:6" hidden="1">
      <c r="A83" s="710" t="s">
        <v>18</v>
      </c>
      <c r="B83" s="685">
        <f t="shared" si="2"/>
        <v>6178.0459799599994</v>
      </c>
      <c r="C83" s="685">
        <v>952.27560396000001</v>
      </c>
      <c r="D83" s="685">
        <v>1264.8604808799998</v>
      </c>
      <c r="E83" s="685">
        <v>982.82083127999988</v>
      </c>
      <c r="F83" s="685">
        <v>2978.0890638400001</v>
      </c>
    </row>
    <row r="84" spans="1:6" hidden="1">
      <c r="A84" s="710" t="s">
        <v>19</v>
      </c>
      <c r="B84" s="685">
        <f t="shared" si="2"/>
        <v>6135.8669652500002</v>
      </c>
      <c r="C84" s="685">
        <v>962.85570766000035</v>
      </c>
      <c r="D84" s="685">
        <v>1164.8149808000001</v>
      </c>
      <c r="E84" s="685">
        <v>911.54419401999996</v>
      </c>
      <c r="F84" s="685">
        <v>3096.6520827700001</v>
      </c>
    </row>
    <row r="85" spans="1:6" hidden="1">
      <c r="A85" s="710" t="s">
        <v>20</v>
      </c>
      <c r="B85" s="685">
        <f t="shared" si="2"/>
        <v>6737.6419238500002</v>
      </c>
      <c r="C85" s="685">
        <v>971.80699677999985</v>
      </c>
      <c r="D85" s="685">
        <v>1292.97068896</v>
      </c>
      <c r="E85" s="685">
        <v>1322.1432028700001</v>
      </c>
      <c r="F85" s="685">
        <v>3150.7210352400002</v>
      </c>
    </row>
    <row r="86" spans="1:6" hidden="1">
      <c r="A86" s="710" t="s">
        <v>21</v>
      </c>
      <c r="B86" s="685">
        <f t="shared" si="2"/>
        <v>6780.8207531300013</v>
      </c>
      <c r="C86" s="685">
        <v>970.78420222000011</v>
      </c>
      <c r="D86" s="685">
        <v>1328.7406101399999</v>
      </c>
      <c r="E86" s="685">
        <v>1297.81057248</v>
      </c>
      <c r="F86" s="685">
        <v>3183.4853682900007</v>
      </c>
    </row>
    <row r="87" spans="1:6" hidden="1">
      <c r="A87" s="710" t="s">
        <v>22</v>
      </c>
      <c r="B87" s="685">
        <f t="shared" si="2"/>
        <v>6536.6532337099998</v>
      </c>
      <c r="C87" s="685">
        <v>957.89293934000011</v>
      </c>
      <c r="D87" s="685">
        <v>1341.7824006399999</v>
      </c>
      <c r="E87" s="685">
        <v>1086.7377674899999</v>
      </c>
      <c r="F87" s="685">
        <v>3150.2401262399999</v>
      </c>
    </row>
    <row r="88" spans="1:6" hidden="1">
      <c r="A88" s="710" t="s">
        <v>23</v>
      </c>
      <c r="B88" s="685">
        <f t="shared" si="2"/>
        <v>6596.8905588799989</v>
      </c>
      <c r="C88" s="685">
        <v>1066.8836732599996</v>
      </c>
      <c r="D88" s="685">
        <v>1336.4220278999999</v>
      </c>
      <c r="E88" s="685">
        <v>926.58790703</v>
      </c>
      <c r="F88" s="685">
        <v>3266.9969506899997</v>
      </c>
    </row>
    <row r="89" spans="1:6" hidden="1">
      <c r="A89" s="710" t="s">
        <v>24</v>
      </c>
      <c r="B89" s="685">
        <f t="shared" si="2"/>
        <v>6286.8784351699996</v>
      </c>
      <c r="C89" s="685">
        <v>995.08458976999998</v>
      </c>
      <c r="D89" s="685">
        <v>1406.67190351</v>
      </c>
      <c r="E89" s="685">
        <v>891.07073312999989</v>
      </c>
      <c r="F89" s="685">
        <v>2994.05120876</v>
      </c>
    </row>
    <row r="90" spans="1:6" hidden="1">
      <c r="A90" s="710" t="s">
        <v>25</v>
      </c>
      <c r="B90" s="685">
        <f t="shared" si="2"/>
        <v>6591.2542577700005</v>
      </c>
      <c r="C90" s="685">
        <v>1015.97543498</v>
      </c>
      <c r="D90" s="685">
        <v>1486.13321382</v>
      </c>
      <c r="E90" s="685">
        <v>972.46251440999981</v>
      </c>
      <c r="F90" s="685">
        <v>3116.68309456</v>
      </c>
    </row>
    <row r="91" spans="1:6" hidden="1">
      <c r="A91" s="710" t="s">
        <v>26</v>
      </c>
      <c r="B91" s="685">
        <f t="shared" si="2"/>
        <v>6741.7278075100003</v>
      </c>
      <c r="C91" s="685">
        <v>1078.6310475999999</v>
      </c>
      <c r="D91" s="685">
        <v>1506.4891441099999</v>
      </c>
      <c r="E91" s="685">
        <v>1079.5527715699998</v>
      </c>
      <c r="F91" s="685">
        <v>3077.0548442300005</v>
      </c>
    </row>
    <row r="92" spans="1:6" hidden="1">
      <c r="A92" s="710" t="s">
        <v>27</v>
      </c>
      <c r="B92" s="685">
        <f t="shared" si="2"/>
        <v>6968.6439867000008</v>
      </c>
      <c r="C92" s="685">
        <v>1133.7775053700002</v>
      </c>
      <c r="D92" s="685">
        <v>1546.3019752299999</v>
      </c>
      <c r="E92" s="685">
        <v>1337.9562049599999</v>
      </c>
      <c r="F92" s="685">
        <v>2950.6083011400001</v>
      </c>
    </row>
    <row r="93" spans="1:6" hidden="1">
      <c r="A93" s="710" t="s">
        <v>28</v>
      </c>
      <c r="B93" s="685">
        <f t="shared" si="2"/>
        <v>6915.8610377500008</v>
      </c>
      <c r="C93" s="685">
        <v>1043.5411553399999</v>
      </c>
      <c r="D93" s="685">
        <v>1730.0641860100002</v>
      </c>
      <c r="E93" s="685">
        <v>1180.4639666999999</v>
      </c>
      <c r="F93" s="685">
        <v>2961.7917296999999</v>
      </c>
    </row>
    <row r="94" spans="1:6" hidden="1">
      <c r="A94" s="710" t="s">
        <v>29</v>
      </c>
      <c r="B94" s="685">
        <f t="shared" si="2"/>
        <v>7625.7781233199994</v>
      </c>
      <c r="C94" s="685">
        <v>1486.32706403</v>
      </c>
      <c r="D94" s="685">
        <v>1719.0040401799999</v>
      </c>
      <c r="E94" s="685">
        <v>1438.5680641500003</v>
      </c>
      <c r="F94" s="685">
        <v>2981.8789549599996</v>
      </c>
    </row>
    <row r="95" spans="1:6">
      <c r="A95" s="509">
        <v>2011</v>
      </c>
      <c r="B95" s="718">
        <v>9447.0007198299991</v>
      </c>
      <c r="C95" s="719">
        <v>1756.5923799999994</v>
      </c>
      <c r="D95" s="719">
        <v>2524.08792847</v>
      </c>
      <c r="E95" s="719">
        <v>1671.9176333800001</v>
      </c>
      <c r="F95" s="719">
        <v>3494.4027779800003</v>
      </c>
    </row>
    <row r="96" spans="1:6" hidden="1">
      <c r="A96" s="710" t="s">
        <v>18</v>
      </c>
      <c r="B96" s="685">
        <f>+C96+D96+E96+F96</f>
        <v>7321.2590175500009</v>
      </c>
      <c r="C96" s="685">
        <v>1131.1159975700002</v>
      </c>
      <c r="D96" s="685">
        <v>1735.8713411900001</v>
      </c>
      <c r="E96" s="685">
        <v>1449.6592281400003</v>
      </c>
      <c r="F96" s="685">
        <v>3004.61245065</v>
      </c>
    </row>
    <row r="97" spans="1:6" hidden="1">
      <c r="A97" s="710" t="s">
        <v>19</v>
      </c>
      <c r="B97" s="685">
        <f t="shared" ref="B97:B102" si="3">+C97+D97+E97+F97</f>
        <v>7315.0040979000005</v>
      </c>
      <c r="C97" s="685">
        <v>1217.4633789000002</v>
      </c>
      <c r="D97" s="685">
        <v>1711.17223586</v>
      </c>
      <c r="E97" s="685">
        <v>1361.8140107200002</v>
      </c>
      <c r="F97" s="685">
        <v>3024.5544724200004</v>
      </c>
    </row>
    <row r="98" spans="1:6" hidden="1">
      <c r="A98" s="710" t="s">
        <v>20</v>
      </c>
      <c r="B98" s="685">
        <f t="shared" si="3"/>
        <v>7751.0752097800014</v>
      </c>
      <c r="C98" s="685">
        <v>1288.1612081400003</v>
      </c>
      <c r="D98" s="685">
        <v>1789.3808975499999</v>
      </c>
      <c r="E98" s="685">
        <v>1216.7302896599999</v>
      </c>
      <c r="F98" s="685">
        <v>3456.8028144300001</v>
      </c>
    </row>
    <row r="99" spans="1:6" hidden="1">
      <c r="A99" s="710" t="s">
        <v>21</v>
      </c>
      <c r="B99" s="685">
        <f t="shared" si="3"/>
        <v>7788.8309037399995</v>
      </c>
      <c r="C99" s="685">
        <v>1293.8843101800001</v>
      </c>
      <c r="D99" s="685">
        <v>1831.2224631000001</v>
      </c>
      <c r="E99" s="685">
        <v>1136.90022034</v>
      </c>
      <c r="F99" s="685">
        <v>3526.8239101199997</v>
      </c>
    </row>
    <row r="100" spans="1:6" hidden="1">
      <c r="A100" s="710" t="s">
        <v>22</v>
      </c>
      <c r="B100" s="685">
        <f t="shared" si="3"/>
        <v>7959.1259541700001</v>
      </c>
      <c r="C100" s="685">
        <v>1305.1893527500001</v>
      </c>
      <c r="D100" s="685">
        <v>1884.87932327</v>
      </c>
      <c r="E100" s="685">
        <v>1279.6985698900003</v>
      </c>
      <c r="F100" s="685">
        <v>3489.3587082600002</v>
      </c>
    </row>
    <row r="101" spans="1:6" hidden="1">
      <c r="A101" s="710" t="s">
        <v>23</v>
      </c>
      <c r="B101" s="685">
        <f t="shared" si="3"/>
        <v>8126.7557803200007</v>
      </c>
      <c r="C101" s="685">
        <v>1342.2634674199999</v>
      </c>
      <c r="D101" s="685">
        <v>1949.4730186500001</v>
      </c>
      <c r="E101" s="685">
        <v>1373.94408481</v>
      </c>
      <c r="F101" s="685">
        <v>3461.0752094400004</v>
      </c>
    </row>
    <row r="102" spans="1:6" hidden="1">
      <c r="A102" s="710" t="s">
        <v>24</v>
      </c>
      <c r="B102" s="685">
        <f t="shared" si="3"/>
        <v>8345.8196153299996</v>
      </c>
      <c r="C102" s="685">
        <v>1576.0813211699999</v>
      </c>
      <c r="D102" s="685">
        <v>1991.0525396500002</v>
      </c>
      <c r="E102" s="685">
        <v>1506.62535744</v>
      </c>
      <c r="F102" s="685">
        <v>3272.0603970699999</v>
      </c>
    </row>
    <row r="103" spans="1:6" hidden="1">
      <c r="A103" s="710" t="s">
        <v>25</v>
      </c>
      <c r="B103" s="685">
        <f>+C103+D103+E103+F103</f>
        <v>8449.7129442300011</v>
      </c>
      <c r="C103" s="685">
        <v>1470.20310793</v>
      </c>
      <c r="D103" s="685">
        <v>2018.0687987800004</v>
      </c>
      <c r="E103" s="685">
        <v>1401.3430445600002</v>
      </c>
      <c r="F103" s="685">
        <v>3560.0979929599998</v>
      </c>
    </row>
    <row r="104" spans="1:6" hidden="1">
      <c r="A104" s="710" t="s">
        <v>26</v>
      </c>
      <c r="B104" s="685">
        <f>+C104+D104+E104+F104</f>
        <v>8740.5817513300008</v>
      </c>
      <c r="C104" s="685">
        <v>1440.4562208099999</v>
      </c>
      <c r="D104" s="685">
        <v>2176.4399810600003</v>
      </c>
      <c r="E104" s="685">
        <v>1582.9193660000003</v>
      </c>
      <c r="F104" s="685">
        <v>3540.7661834599999</v>
      </c>
    </row>
    <row r="105" spans="1:6" hidden="1">
      <c r="A105" s="710" t="s">
        <v>27</v>
      </c>
      <c r="B105" s="685">
        <f>+C105+D105+E105+F105</f>
        <v>8707.8253123100003</v>
      </c>
      <c r="C105" s="685">
        <v>1413.82235664</v>
      </c>
      <c r="D105" s="685">
        <v>2262.3902457700001</v>
      </c>
      <c r="E105" s="685">
        <v>1505.2474949499999</v>
      </c>
      <c r="F105" s="685">
        <v>3526.3652149500003</v>
      </c>
    </row>
    <row r="106" spans="1:6" hidden="1">
      <c r="A106" s="710" t="s">
        <v>28</v>
      </c>
      <c r="B106" s="685">
        <f>+C106+D106+E106+F106</f>
        <v>8892.7983016500002</v>
      </c>
      <c r="C106" s="685">
        <v>1585.6223956800002</v>
      </c>
      <c r="D106" s="685">
        <v>2302.9509355200003</v>
      </c>
      <c r="E106" s="685">
        <v>1566.3086352299997</v>
      </c>
      <c r="F106" s="685">
        <v>3437.9163352199998</v>
      </c>
    </row>
    <row r="107" spans="1:6" hidden="1">
      <c r="A107" s="710" t="s">
        <v>29</v>
      </c>
      <c r="B107" s="685">
        <f>+C107+D107+E107+F107</f>
        <v>9447.0007198299991</v>
      </c>
      <c r="C107" s="685">
        <v>1756.5923799999994</v>
      </c>
      <c r="D107" s="685">
        <v>2524.08792847</v>
      </c>
      <c r="E107" s="685">
        <v>1671.9176333800001</v>
      </c>
      <c r="F107" s="685">
        <v>3494.4027779800003</v>
      </c>
    </row>
    <row r="108" spans="1:6">
      <c r="A108" s="509">
        <v>2012</v>
      </c>
      <c r="B108" s="718">
        <v>10699.241985770001</v>
      </c>
      <c r="C108" s="719">
        <v>1981.1111908500002</v>
      </c>
      <c r="D108" s="719">
        <v>3081.4368054800002</v>
      </c>
      <c r="E108" s="719">
        <v>1645.1074031199998</v>
      </c>
      <c r="F108" s="719">
        <v>3991.5865863200006</v>
      </c>
    </row>
    <row r="109" spans="1:6" hidden="1">
      <c r="A109" s="710" t="s">
        <v>18</v>
      </c>
      <c r="B109" s="721">
        <f t="shared" ref="B109:B114" si="4">+C109+D109+E109+F109</f>
        <v>9281.2090842100006</v>
      </c>
      <c r="C109" s="721">
        <v>1629.8683496100005</v>
      </c>
      <c r="D109" s="721">
        <v>2551.9310052099995</v>
      </c>
      <c r="E109" s="721">
        <v>1568.1199476899999</v>
      </c>
      <c r="F109" s="721">
        <v>3531.2897817000003</v>
      </c>
    </row>
    <row r="110" spans="1:6" hidden="1">
      <c r="A110" s="710" t="s">
        <v>19</v>
      </c>
      <c r="B110" s="721">
        <f t="shared" si="4"/>
        <v>9507.0192621999995</v>
      </c>
      <c r="C110" s="721">
        <v>1570.0930416900001</v>
      </c>
      <c r="D110" s="721">
        <v>2640.4926453200001</v>
      </c>
      <c r="E110" s="721">
        <v>1696.2636222499998</v>
      </c>
      <c r="F110" s="721">
        <v>3600.1699529399993</v>
      </c>
    </row>
    <row r="111" spans="1:6" hidden="1">
      <c r="A111" s="710" t="s">
        <v>20</v>
      </c>
      <c r="B111" s="721">
        <f t="shared" si="4"/>
        <v>9796.4743111400003</v>
      </c>
      <c r="C111" s="721">
        <v>1887.1114911899997</v>
      </c>
      <c r="D111" s="721">
        <v>2575.0628635499997</v>
      </c>
      <c r="E111" s="721">
        <v>1734.4930930800001</v>
      </c>
      <c r="F111" s="721">
        <v>3599.8068633200005</v>
      </c>
    </row>
    <row r="112" spans="1:6" hidden="1">
      <c r="A112" s="710" t="s">
        <v>21</v>
      </c>
      <c r="B112" s="721">
        <f t="shared" si="4"/>
        <v>9870.0211999999992</v>
      </c>
      <c r="C112" s="721">
        <v>1788.6369999999999</v>
      </c>
      <c r="D112" s="721">
        <v>2545.3182000000002</v>
      </c>
      <c r="E112" s="721">
        <v>1918.5643</v>
      </c>
      <c r="F112" s="721">
        <v>3617.5016999999998</v>
      </c>
    </row>
    <row r="113" spans="1:6" hidden="1">
      <c r="A113" s="710" t="s">
        <v>22</v>
      </c>
      <c r="B113" s="721">
        <f t="shared" si="4"/>
        <v>9884.5236785399993</v>
      </c>
      <c r="C113" s="721">
        <v>1823.203896</v>
      </c>
      <c r="D113" s="721">
        <v>2588.3484053499997</v>
      </c>
      <c r="E113" s="721">
        <v>1901.40825051</v>
      </c>
      <c r="F113" s="721">
        <v>3571.5631266799996</v>
      </c>
    </row>
    <row r="114" spans="1:6" hidden="1">
      <c r="A114" s="710" t="s">
        <v>23</v>
      </c>
      <c r="B114" s="721">
        <f t="shared" si="4"/>
        <v>9704.2620168400008</v>
      </c>
      <c r="C114" s="721">
        <v>1840.1804880499999</v>
      </c>
      <c r="D114" s="721">
        <v>2661.5360345600002</v>
      </c>
      <c r="E114" s="721">
        <v>1602.7044774699998</v>
      </c>
      <c r="F114" s="721">
        <v>3599.84101676</v>
      </c>
    </row>
    <row r="115" spans="1:6" hidden="1">
      <c r="A115" s="710" t="s">
        <v>24</v>
      </c>
      <c r="B115" s="721">
        <f t="shared" ref="B115:B120" si="5">+C115+D115+E115+F115</f>
        <v>9668.729364259998</v>
      </c>
      <c r="C115" s="721">
        <v>1786.9821527899999</v>
      </c>
      <c r="D115" s="721">
        <v>2640.7787512299997</v>
      </c>
      <c r="E115" s="721">
        <v>1702.18809336</v>
      </c>
      <c r="F115" s="721">
        <v>3538.7803668799997</v>
      </c>
    </row>
    <row r="116" spans="1:6" hidden="1">
      <c r="A116" s="710" t="s">
        <v>25</v>
      </c>
      <c r="B116" s="721">
        <f t="shared" si="5"/>
        <v>9878.328764670001</v>
      </c>
      <c r="C116" s="721">
        <v>1902.8543349800004</v>
      </c>
      <c r="D116" s="721">
        <v>2638.1575730200002</v>
      </c>
      <c r="E116" s="721">
        <v>1663.78610635</v>
      </c>
      <c r="F116" s="721">
        <v>3673.5307503200002</v>
      </c>
    </row>
    <row r="117" spans="1:6" hidden="1">
      <c r="A117" s="710" t="s">
        <v>26</v>
      </c>
      <c r="B117" s="721">
        <f t="shared" si="5"/>
        <v>10080.6149085</v>
      </c>
      <c r="C117" s="721">
        <v>1863.51064894</v>
      </c>
      <c r="D117" s="721">
        <v>2696.4200555400002</v>
      </c>
      <c r="E117" s="721">
        <v>1492.3380490699999</v>
      </c>
      <c r="F117" s="721">
        <v>4028.3461549499998</v>
      </c>
    </row>
    <row r="118" spans="1:6" hidden="1">
      <c r="A118" s="710" t="s">
        <v>27</v>
      </c>
      <c r="B118" s="721">
        <f t="shared" si="5"/>
        <v>10202.409563829999</v>
      </c>
      <c r="C118" s="721">
        <v>1804.3107340300003</v>
      </c>
      <c r="D118" s="721">
        <v>2821.2295912299996</v>
      </c>
      <c r="E118" s="721">
        <v>1680.65313135</v>
      </c>
      <c r="F118" s="721">
        <v>3896.2161072199997</v>
      </c>
    </row>
    <row r="119" spans="1:6" hidden="1">
      <c r="A119" s="710" t="s">
        <v>28</v>
      </c>
      <c r="B119" s="721">
        <f t="shared" si="5"/>
        <v>10409.881236890002</v>
      </c>
      <c r="C119" s="721">
        <v>1835.6726134099999</v>
      </c>
      <c r="D119" s="721">
        <v>2895.3207348700003</v>
      </c>
      <c r="E119" s="721">
        <v>1792.12428419</v>
      </c>
      <c r="F119" s="721">
        <v>3886.7636044200003</v>
      </c>
    </row>
    <row r="120" spans="1:6" hidden="1">
      <c r="A120" s="710" t="s">
        <v>29</v>
      </c>
      <c r="B120" s="721">
        <f t="shared" si="5"/>
        <v>10699.241985770001</v>
      </c>
      <c r="C120" s="721">
        <v>1981.1111908500002</v>
      </c>
      <c r="D120" s="721">
        <v>3081.4368054800002</v>
      </c>
      <c r="E120" s="721">
        <v>1645.1074031199998</v>
      </c>
      <c r="F120" s="721">
        <v>3991.5865863200006</v>
      </c>
    </row>
    <row r="121" spans="1:6">
      <c r="A121" s="509">
        <v>2013</v>
      </c>
      <c r="B121" s="722"/>
      <c r="C121" s="723"/>
      <c r="D121" s="723"/>
      <c r="E121" s="723"/>
      <c r="F121" s="723"/>
    </row>
    <row r="122" spans="1:6">
      <c r="A122" s="710" t="s">
        <v>18</v>
      </c>
      <c r="B122" s="721">
        <f t="shared" ref="B122:B127" si="6">+C122+D122+E122+F122</f>
        <v>10357.58610067</v>
      </c>
      <c r="C122" s="721">
        <v>1851.7406705599992</v>
      </c>
      <c r="D122" s="721">
        <v>3209.8897066099994</v>
      </c>
      <c r="E122" s="721">
        <v>1514.4708069599999</v>
      </c>
      <c r="F122" s="721">
        <v>3781.4849165400001</v>
      </c>
    </row>
    <row r="123" spans="1:6">
      <c r="A123" s="710" t="s">
        <v>19</v>
      </c>
      <c r="B123" s="721">
        <f t="shared" si="6"/>
        <v>10446.900583219998</v>
      </c>
      <c r="C123" s="721">
        <v>2015.7892722499996</v>
      </c>
      <c r="D123" s="721">
        <v>3232.89515523</v>
      </c>
      <c r="E123" s="721">
        <v>1375.8826230699997</v>
      </c>
      <c r="F123" s="721">
        <v>3822.3335326699998</v>
      </c>
    </row>
    <row r="124" spans="1:6">
      <c r="A124" s="710" t="s">
        <v>20</v>
      </c>
      <c r="B124" s="721">
        <f t="shared" si="6"/>
        <v>11012.710718599999</v>
      </c>
      <c r="C124" s="721">
        <v>2103.9976812300001</v>
      </c>
      <c r="D124" s="721">
        <v>3259.0034272299995</v>
      </c>
      <c r="E124" s="721">
        <v>1819.5129725199999</v>
      </c>
      <c r="F124" s="721">
        <v>3830.1966376199998</v>
      </c>
    </row>
    <row r="125" spans="1:6">
      <c r="A125" s="710" t="s">
        <v>21</v>
      </c>
      <c r="B125" s="721">
        <f t="shared" si="6"/>
        <v>11405.29064694</v>
      </c>
      <c r="C125" s="721">
        <v>2227.91079803</v>
      </c>
      <c r="D125" s="721">
        <v>3471.5051674800002</v>
      </c>
      <c r="E125" s="721">
        <v>1736.9008849899999</v>
      </c>
      <c r="F125" s="721">
        <v>3968.9737964400001</v>
      </c>
    </row>
    <row r="126" spans="1:6">
      <c r="A126" s="710" t="s">
        <v>22</v>
      </c>
      <c r="B126" s="721">
        <f t="shared" si="6"/>
        <v>11434.838022739999</v>
      </c>
      <c r="C126" s="721">
        <v>2182.1979984800005</v>
      </c>
      <c r="D126" s="721">
        <v>3552.5125717199994</v>
      </c>
      <c r="E126" s="721">
        <v>1804.1980910899997</v>
      </c>
      <c r="F126" s="721">
        <v>3895.9293614499998</v>
      </c>
    </row>
    <row r="127" spans="1:6">
      <c r="A127" s="710" t="s">
        <v>23</v>
      </c>
      <c r="B127" s="721">
        <f t="shared" si="6"/>
        <v>11399.91035052</v>
      </c>
      <c r="C127" s="721">
        <v>2243.1250226200009</v>
      </c>
      <c r="D127" s="721">
        <v>3543.1649159799999</v>
      </c>
      <c r="E127" s="721">
        <v>1523.12224021</v>
      </c>
      <c r="F127" s="721">
        <v>4090.49817171</v>
      </c>
    </row>
    <row r="128" spans="1:6">
      <c r="A128" s="710" t="s">
        <v>24</v>
      </c>
      <c r="B128" s="721">
        <f t="shared" ref="B128:B133" si="7">+C128+D128+E128+F128</f>
        <v>11655.10998614</v>
      </c>
      <c r="C128" s="721">
        <v>2168.3948292900004</v>
      </c>
      <c r="D128" s="721">
        <v>3648.3414466900003</v>
      </c>
      <c r="E128" s="721">
        <v>1705.3884115999995</v>
      </c>
      <c r="F128" s="721">
        <v>4132.98529856</v>
      </c>
    </row>
    <row r="129" spans="1:6">
      <c r="A129" s="710" t="s">
        <v>25</v>
      </c>
      <c r="B129" s="721">
        <f t="shared" si="7"/>
        <v>11661.530436970001</v>
      </c>
      <c r="C129" s="721">
        <v>2286.6836752300001</v>
      </c>
      <c r="D129" s="721">
        <v>3730.0868444799994</v>
      </c>
      <c r="E129" s="721">
        <v>1862.3382905600001</v>
      </c>
      <c r="F129" s="721">
        <v>3782.4216267000006</v>
      </c>
    </row>
    <row r="130" spans="1:6">
      <c r="A130" s="710" t="s">
        <v>26</v>
      </c>
      <c r="B130" s="721">
        <f t="shared" si="7"/>
        <v>11929.36142668</v>
      </c>
      <c r="C130" s="721">
        <v>2269.0952662699997</v>
      </c>
      <c r="D130" s="721">
        <v>3813.4180404599997</v>
      </c>
      <c r="E130" s="721">
        <v>1603.7028101400001</v>
      </c>
      <c r="F130" s="721">
        <v>4243.1453098099992</v>
      </c>
    </row>
    <row r="131" spans="1:6">
      <c r="A131" s="710" t="s">
        <v>27</v>
      </c>
      <c r="B131" s="721">
        <f t="shared" si="7"/>
        <v>12042.25122926</v>
      </c>
      <c r="C131" s="721">
        <v>2198.9970859799996</v>
      </c>
      <c r="D131" s="721">
        <v>3931.1026492899991</v>
      </c>
      <c r="E131" s="721">
        <v>1628.20528352</v>
      </c>
      <c r="F131" s="721">
        <v>4283.9462104700006</v>
      </c>
    </row>
    <row r="132" spans="1:6">
      <c r="A132" s="710" t="s">
        <v>28</v>
      </c>
      <c r="B132" s="721">
        <f t="shared" si="7"/>
        <v>12432.654090510001</v>
      </c>
      <c r="C132" s="721">
        <v>2229.8815792</v>
      </c>
      <c r="D132" s="721">
        <v>3967.9157187300002</v>
      </c>
      <c r="E132" s="721">
        <v>1716.3609108900002</v>
      </c>
      <c r="F132" s="721">
        <v>4518.4958816899998</v>
      </c>
    </row>
    <row r="133" spans="1:6">
      <c r="A133" s="710" t="s">
        <v>29</v>
      </c>
      <c r="B133" s="721">
        <f t="shared" si="7"/>
        <v>12475.783595810004</v>
      </c>
      <c r="C133" s="721">
        <v>2326.5926556199997</v>
      </c>
      <c r="D133" s="721">
        <v>4084.2750673100008</v>
      </c>
      <c r="E133" s="721">
        <v>1441.7432358200001</v>
      </c>
      <c r="F133" s="721">
        <v>4623.1726370600018</v>
      </c>
    </row>
    <row r="134" spans="1:6">
      <c r="A134" s="509">
        <v>2014</v>
      </c>
      <c r="B134" s="722"/>
      <c r="C134" s="723"/>
      <c r="D134" s="723"/>
      <c r="E134" s="723"/>
      <c r="F134" s="723"/>
    </row>
    <row r="135" spans="1:6">
      <c r="A135" s="710" t="s">
        <v>18</v>
      </c>
      <c r="B135" s="721">
        <f t="shared" ref="B135:B141" si="8">+C135+D135+E135+F135</f>
        <v>12682.982230280002</v>
      </c>
      <c r="C135" s="721">
        <v>2406.2573459100004</v>
      </c>
      <c r="D135" s="721">
        <v>4095.2888255600001</v>
      </c>
      <c r="E135" s="721">
        <v>1480.4104853900001</v>
      </c>
      <c r="F135" s="721">
        <v>4701.0255734200009</v>
      </c>
    </row>
    <row r="136" spans="1:6">
      <c r="A136" s="710" t="s">
        <v>19</v>
      </c>
      <c r="B136" s="721">
        <f t="shared" si="8"/>
        <v>12926.584412960001</v>
      </c>
      <c r="C136" s="721">
        <v>2476.5616912599999</v>
      </c>
      <c r="D136" s="721">
        <v>4146.6820701300003</v>
      </c>
      <c r="E136" s="721">
        <v>1505.3375592200002</v>
      </c>
      <c r="F136" s="721">
        <v>4798.0030923500008</v>
      </c>
    </row>
    <row r="137" spans="1:6">
      <c r="A137" s="710" t="s">
        <v>20</v>
      </c>
      <c r="B137" s="721">
        <f t="shared" si="8"/>
        <v>13308.087601419998</v>
      </c>
      <c r="C137" s="721">
        <v>2395.6445086199997</v>
      </c>
      <c r="D137" s="721">
        <v>4200.6658532099991</v>
      </c>
      <c r="E137" s="721">
        <v>1720.3552076299998</v>
      </c>
      <c r="F137" s="721">
        <v>4991.422031959999</v>
      </c>
    </row>
    <row r="138" spans="1:6">
      <c r="A138" s="710" t="s">
        <v>21</v>
      </c>
      <c r="B138" s="721">
        <f t="shared" si="8"/>
        <v>13615.560918230001</v>
      </c>
      <c r="C138" s="721">
        <v>2412.9581523300003</v>
      </c>
      <c r="D138" s="721">
        <v>4418.4859812699997</v>
      </c>
      <c r="E138" s="721">
        <v>1920.1218104100001</v>
      </c>
      <c r="F138" s="721">
        <v>4863.9949742200006</v>
      </c>
    </row>
    <row r="139" spans="1:6">
      <c r="A139" s="710" t="s">
        <v>22</v>
      </c>
      <c r="B139" s="721">
        <f t="shared" si="8"/>
        <v>13637.01837862</v>
      </c>
      <c r="C139" s="721">
        <v>2364.7120624600002</v>
      </c>
      <c r="D139" s="721">
        <v>4519.9072323399996</v>
      </c>
      <c r="E139" s="721">
        <v>1710.1856971199998</v>
      </c>
      <c r="F139" s="721">
        <v>5042.2133866999984</v>
      </c>
    </row>
    <row r="140" spans="1:6">
      <c r="A140" s="710" t="s">
        <v>23</v>
      </c>
      <c r="B140" s="721">
        <f t="shared" si="8"/>
        <v>13991.379577759999</v>
      </c>
      <c r="C140" s="721">
        <v>2416.4847869900004</v>
      </c>
      <c r="D140" s="721">
        <v>4667.4442880799998</v>
      </c>
      <c r="E140" s="721">
        <v>1491.9785412400001</v>
      </c>
      <c r="F140" s="721">
        <v>5415.47196145</v>
      </c>
    </row>
    <row r="141" spans="1:6">
      <c r="A141" s="710" t="s">
        <v>24</v>
      </c>
      <c r="B141" s="721">
        <f t="shared" si="8"/>
        <v>14558.072714710001</v>
      </c>
      <c r="C141" s="721">
        <f>2579368.84854/1000</f>
        <v>2579.3688485400003</v>
      </c>
      <c r="D141" s="721">
        <f>4775755.13858/1000</f>
        <v>4775.7551385799998</v>
      </c>
      <c r="E141" s="721">
        <f>1794060.40292/1000</f>
        <v>1794.0604029200001</v>
      </c>
      <c r="F141" s="721">
        <f>5408888.32467/1000</f>
        <v>5408.8883246699997</v>
      </c>
    </row>
    <row r="142" spans="1:6">
      <c r="A142" s="710" t="s">
        <v>25</v>
      </c>
      <c r="B142" s="721">
        <f>+C142+D142+E142+F142</f>
        <v>14639.824534340001</v>
      </c>
      <c r="C142" s="721">
        <v>2559.7380725900007</v>
      </c>
      <c r="D142" s="721">
        <v>4833.0171733100005</v>
      </c>
      <c r="E142" s="721">
        <v>1866.6870267900001</v>
      </c>
      <c r="F142" s="721">
        <v>5380.3822616500001</v>
      </c>
    </row>
    <row r="143" spans="1:6">
      <c r="A143" s="710" t="s">
        <v>26</v>
      </c>
      <c r="B143" s="721">
        <f>+C143+D143+E143+F143</f>
        <v>14531.527112580003</v>
      </c>
      <c r="C143" s="721">
        <v>2494.8103792900001</v>
      </c>
      <c r="D143" s="721">
        <v>4921.8126193900007</v>
      </c>
      <c r="E143" s="721">
        <v>1746.9750299900002</v>
      </c>
      <c r="F143" s="721">
        <v>5367.9290839100004</v>
      </c>
    </row>
    <row r="144" spans="1:6">
      <c r="A144" s="710" t="s">
        <v>27</v>
      </c>
      <c r="B144" s="721">
        <f>+C144+D144+E144+F144</f>
        <v>14826.70306928</v>
      </c>
      <c r="C144" s="721">
        <v>2405.5211187599998</v>
      </c>
      <c r="D144" s="721">
        <v>5079.6365191200011</v>
      </c>
      <c r="E144" s="721">
        <v>1764.5073574600003</v>
      </c>
      <c r="F144" s="721">
        <v>5577.0380739399998</v>
      </c>
    </row>
    <row r="145" spans="1:6">
      <c r="A145" s="710" t="s">
        <v>28</v>
      </c>
      <c r="B145" s="721">
        <f>+C145+D145+E145+F145</f>
        <v>15312.03213983</v>
      </c>
      <c r="C145" s="721">
        <v>2484.4618338400001</v>
      </c>
      <c r="D145" s="721">
        <v>5158.5775465900006</v>
      </c>
      <c r="E145" s="721">
        <v>2048.9058517100002</v>
      </c>
      <c r="F145" s="721">
        <v>5620.0869076899999</v>
      </c>
    </row>
    <row r="146" spans="1:6">
      <c r="A146" s="710" t="s">
        <v>29</v>
      </c>
      <c r="B146" s="721">
        <f>((SUM(C146:F146)))</f>
        <v>15453.38110248</v>
      </c>
      <c r="C146" s="721">
        <v>2734.4330327000002</v>
      </c>
      <c r="D146" s="721">
        <v>5009.1211877100004</v>
      </c>
      <c r="E146" s="721">
        <v>1798.8364578400003</v>
      </c>
      <c r="F146" s="721">
        <v>5910.9904242299999</v>
      </c>
    </row>
    <row r="147" spans="1:6">
      <c r="A147" s="710" t="s">
        <v>1829</v>
      </c>
      <c r="B147" s="721"/>
      <c r="C147" s="721"/>
      <c r="D147" s="721"/>
      <c r="E147" s="721"/>
      <c r="F147" s="721"/>
    </row>
    <row r="148" spans="1:6">
      <c r="A148" s="710" t="s">
        <v>18</v>
      </c>
      <c r="B148" s="721">
        <v>15134.7</v>
      </c>
      <c r="C148" s="721">
        <v>2456.8980000000001</v>
      </c>
      <c r="D148" s="721">
        <v>4873.0590000000002</v>
      </c>
      <c r="E148" s="721">
        <v>1821.635</v>
      </c>
      <c r="F148" s="721">
        <v>5983.3739999999998</v>
      </c>
    </row>
    <row r="149" spans="1:6">
      <c r="A149" s="710" t="s">
        <v>19</v>
      </c>
      <c r="B149" s="721">
        <v>18481.7</v>
      </c>
      <c r="C149" s="721">
        <v>2258.1999999999998</v>
      </c>
      <c r="D149" s="721">
        <v>3861.56</v>
      </c>
      <c r="E149" s="721">
        <v>2737.56</v>
      </c>
      <c r="F149" s="721">
        <v>9624.2999999999993</v>
      </c>
    </row>
    <row r="150" spans="1:6">
      <c r="A150" s="710" t="s">
        <v>20</v>
      </c>
      <c r="B150" s="721">
        <v>18519.064999999999</v>
      </c>
      <c r="C150" s="721">
        <v>2007.3806999999999</v>
      </c>
      <c r="D150" s="721">
        <v>3539.4449</v>
      </c>
      <c r="E150" s="721">
        <v>3119.556</v>
      </c>
      <c r="F150" s="721">
        <v>9852.6833000000006</v>
      </c>
    </row>
    <row r="151" spans="1:6">
      <c r="A151" s="710" t="s">
        <v>21</v>
      </c>
      <c r="B151" s="721">
        <v>18831.061000000002</v>
      </c>
      <c r="C151" s="721">
        <v>1958.6215999999999</v>
      </c>
      <c r="D151" s="721">
        <v>3048.4825999999998</v>
      </c>
      <c r="E151" s="721">
        <v>3110.4836</v>
      </c>
      <c r="F151" s="721">
        <v>10713.473</v>
      </c>
    </row>
    <row r="152" spans="1:6">
      <c r="A152" s="710" t="s">
        <v>22</v>
      </c>
      <c r="B152" s="721">
        <v>18575.261172389997</v>
      </c>
      <c r="C152" s="721">
        <v>1962.2892033100002</v>
      </c>
      <c r="D152" s="721">
        <v>2994.7087381200004</v>
      </c>
      <c r="E152" s="721">
        <v>3186.1951721400005</v>
      </c>
      <c r="F152" s="721">
        <v>10432.068058819998</v>
      </c>
    </row>
    <row r="153" spans="1:6">
      <c r="A153" s="710" t="s">
        <v>23</v>
      </c>
      <c r="B153" s="721">
        <v>18231.558145329996</v>
      </c>
      <c r="C153" s="721">
        <v>2031.5867034399998</v>
      </c>
      <c r="D153" s="721">
        <v>3002.4937548099997</v>
      </c>
      <c r="E153" s="721">
        <v>3270.03680136</v>
      </c>
      <c r="F153" s="721">
        <v>9927.4408857199996</v>
      </c>
    </row>
    <row r="154" spans="1:6">
      <c r="A154" s="710" t="s">
        <v>24</v>
      </c>
      <c r="B154" s="721">
        <v>18213.551732410004</v>
      </c>
      <c r="C154" s="721">
        <v>1925.4335839199998</v>
      </c>
      <c r="D154" s="721">
        <v>2954.2560142099996</v>
      </c>
      <c r="E154" s="721">
        <v>3465.7482002299994</v>
      </c>
      <c r="F154" s="721">
        <v>9868.1139340500013</v>
      </c>
    </row>
    <row r="155" spans="1:6">
      <c r="A155" s="710" t="s">
        <v>25</v>
      </c>
      <c r="B155" s="721">
        <v>17658.05866011</v>
      </c>
      <c r="C155" s="721">
        <v>1665.60331045</v>
      </c>
      <c r="D155" s="721">
        <v>2768.8264631299994</v>
      </c>
      <c r="E155" s="721">
        <v>3447.9821340099998</v>
      </c>
      <c r="F155" s="721">
        <v>9775.6467525199987</v>
      </c>
    </row>
    <row r="156" spans="1:6">
      <c r="A156" s="710" t="s">
        <v>26</v>
      </c>
      <c r="B156" s="721">
        <v>17477.467494050001</v>
      </c>
      <c r="C156" s="721">
        <v>1809.48388314</v>
      </c>
      <c r="D156" s="721">
        <v>2488.43387742</v>
      </c>
      <c r="E156" s="721">
        <v>3712.6302937399996</v>
      </c>
      <c r="F156" s="721">
        <v>9466.9194397499996</v>
      </c>
    </row>
    <row r="157" spans="1:6">
      <c r="A157" s="710" t="s">
        <v>27</v>
      </c>
      <c r="B157" s="721">
        <v>17150.462399190001</v>
      </c>
      <c r="C157" s="721">
        <v>1860.8750221399998</v>
      </c>
      <c r="D157" s="721">
        <v>2453.8311411600002</v>
      </c>
      <c r="E157" s="721">
        <v>3341.6979667499995</v>
      </c>
      <c r="F157" s="721">
        <v>9494.0582691400014</v>
      </c>
    </row>
    <row r="158" spans="1:6">
      <c r="A158" s="710" t="s">
        <v>28</v>
      </c>
      <c r="B158" s="721">
        <v>17598.888115910002</v>
      </c>
      <c r="C158" s="721">
        <v>1873.0442077700002</v>
      </c>
      <c r="D158" s="721">
        <v>2368.8785804599997</v>
      </c>
      <c r="E158" s="721">
        <v>3773.071389929999</v>
      </c>
      <c r="F158" s="721">
        <v>9583.893937750001</v>
      </c>
    </row>
    <row r="159" spans="1:6">
      <c r="A159" s="710" t="s">
        <v>29</v>
      </c>
      <c r="B159" s="721">
        <f>SUM(C159:F159)</f>
        <v>23431.389446499998</v>
      </c>
      <c r="C159" s="721">
        <v>2233.2156096200001</v>
      </c>
      <c r="D159" s="721">
        <v>2068.4520571799999</v>
      </c>
      <c r="E159" s="721">
        <v>5739.5110249799991</v>
      </c>
      <c r="F159" s="721">
        <v>13390.210754720001</v>
      </c>
    </row>
    <row r="160" spans="1:6">
      <c r="A160" s="710" t="s">
        <v>1852</v>
      </c>
      <c r="B160" s="721"/>
      <c r="C160" s="721"/>
      <c r="D160" s="721"/>
      <c r="E160" s="721"/>
      <c r="F160" s="721"/>
    </row>
    <row r="161" spans="1:6">
      <c r="A161" s="710" t="s">
        <v>18</v>
      </c>
      <c r="B161" s="721">
        <f>SUM(C161:F161)</f>
        <v>22576.48662118</v>
      </c>
      <c r="C161" s="721">
        <v>1853.3454001199998</v>
      </c>
      <c r="D161" s="721">
        <v>2161.9737882000004</v>
      </c>
      <c r="E161" s="721">
        <v>4992.97292122</v>
      </c>
      <c r="F161" s="721">
        <v>13568.19451164</v>
      </c>
    </row>
    <row r="162" spans="1:6">
      <c r="A162" s="710" t="s">
        <v>19</v>
      </c>
      <c r="B162" s="721">
        <v>21285.444183419997</v>
      </c>
      <c r="C162" s="721">
        <v>1908.8357964900001</v>
      </c>
      <c r="D162" s="721">
        <v>2269.8179373100002</v>
      </c>
      <c r="E162" s="721">
        <v>4685.5453933099989</v>
      </c>
      <c r="F162" s="721">
        <v>12421.245056310001</v>
      </c>
    </row>
    <row r="163" spans="1:6">
      <c r="A163" s="710" t="s">
        <v>20</v>
      </c>
      <c r="B163" s="721">
        <f>SUM(C163:F163)</f>
        <v>23121.637737279998</v>
      </c>
      <c r="C163" s="721">
        <v>2085.1199009900001</v>
      </c>
      <c r="D163" s="721">
        <v>2316.0674577300001</v>
      </c>
      <c r="E163" s="721">
        <v>5574.7707475100015</v>
      </c>
      <c r="F163" s="721">
        <v>13145.679631049998</v>
      </c>
    </row>
    <row r="164" spans="1:6">
      <c r="A164" s="710" t="s">
        <v>21</v>
      </c>
      <c r="B164" s="721">
        <f>SUM(C164:F164)</f>
        <v>22558.052858590003</v>
      </c>
      <c r="C164" s="721">
        <v>2189.0367812699997</v>
      </c>
      <c r="D164" s="721">
        <v>2145.5030331500002</v>
      </c>
      <c r="E164" s="721">
        <v>5509.7436701099996</v>
      </c>
      <c r="F164" s="721">
        <v>12713.769374060003</v>
      </c>
    </row>
    <row r="165" spans="1:6">
      <c r="A165" s="710" t="s">
        <v>22</v>
      </c>
      <c r="B165" s="721">
        <v>23148.058778530001</v>
      </c>
      <c r="C165" s="721">
        <v>2241.8029478600001</v>
      </c>
      <c r="D165" s="721">
        <v>2209.0219218100001</v>
      </c>
      <c r="E165" s="721">
        <v>5512.9035386100004</v>
      </c>
      <c r="F165" s="721">
        <v>13184.330370250002</v>
      </c>
    </row>
    <row r="166" spans="1:6">
      <c r="A166" s="710" t="s">
        <v>23</v>
      </c>
      <c r="B166" s="721">
        <v>23366.762993790002</v>
      </c>
      <c r="C166" s="721">
        <v>2483.2613546700004</v>
      </c>
      <c r="D166" s="721">
        <v>2140.2755996999999</v>
      </c>
      <c r="E166" s="721">
        <v>5407.7938621799985</v>
      </c>
      <c r="F166" s="721">
        <v>13335.432177240002</v>
      </c>
    </row>
    <row r="167" spans="1:6">
      <c r="A167" s="710" t="s">
        <v>24</v>
      </c>
      <c r="B167" s="721">
        <v>23248.853358559994</v>
      </c>
      <c r="C167" s="721">
        <v>2611.9507099799994</v>
      </c>
      <c r="D167" s="721">
        <v>2033.8458404899998</v>
      </c>
      <c r="E167" s="721">
        <v>5207.4258108500007</v>
      </c>
      <c r="F167" s="721">
        <v>13395.630997240001</v>
      </c>
    </row>
    <row r="168" spans="1:6">
      <c r="A168" s="710" t="s">
        <v>25</v>
      </c>
      <c r="B168" s="721">
        <v>23673.772316860002</v>
      </c>
      <c r="C168" s="721">
        <v>2444.9954455100005</v>
      </c>
      <c r="D168" s="721">
        <v>2041.6356350400001</v>
      </c>
      <c r="E168" s="721">
        <v>5342.1674927700005</v>
      </c>
      <c r="F168" s="721">
        <v>13844.973743539998</v>
      </c>
    </row>
    <row r="169" spans="1:6">
      <c r="A169" s="710" t="s">
        <v>26</v>
      </c>
      <c r="B169" s="721">
        <v>22841.823131839999</v>
      </c>
      <c r="C169" s="721">
        <v>2917.3762342999994</v>
      </c>
      <c r="D169" s="721">
        <v>1961.7910752399998</v>
      </c>
      <c r="E169" s="721">
        <v>4813.8249537500014</v>
      </c>
      <c r="F169" s="721">
        <v>13148.83086855</v>
      </c>
    </row>
    <row r="170" spans="1:6">
      <c r="A170" s="710" t="s">
        <v>27</v>
      </c>
      <c r="B170" s="721">
        <v>22227.398065330002</v>
      </c>
      <c r="C170" s="721">
        <v>2584.1626454100001</v>
      </c>
      <c r="D170" s="721">
        <v>2861.0453270000003</v>
      </c>
      <c r="E170" s="721">
        <v>5098.608234100001</v>
      </c>
      <c r="F170" s="721">
        <v>11683.581858819998</v>
      </c>
    </row>
    <row r="171" spans="1:6">
      <c r="A171" s="710" t="s">
        <v>28</v>
      </c>
      <c r="B171" s="721">
        <v>22651.162103860002</v>
      </c>
      <c r="C171" s="721">
        <v>2675.1121076500008</v>
      </c>
      <c r="D171" s="721">
        <v>2855.6370477199998</v>
      </c>
      <c r="E171" s="721">
        <v>5054.8858165000011</v>
      </c>
      <c r="F171" s="721">
        <v>12065.52713199</v>
      </c>
    </row>
    <row r="172" spans="1:6">
      <c r="A172" s="710" t="s">
        <v>29</v>
      </c>
      <c r="B172" s="721">
        <v>22090.979492840001</v>
      </c>
      <c r="C172" s="721">
        <v>2635.0619040299998</v>
      </c>
      <c r="D172" s="721">
        <v>2823.8566354</v>
      </c>
      <c r="E172" s="721">
        <v>4803.3370656099996</v>
      </c>
      <c r="F172" s="721">
        <v>11828.723887799997</v>
      </c>
    </row>
    <row r="173" spans="1:6">
      <c r="A173" s="710" t="s">
        <v>1915</v>
      </c>
      <c r="B173" s="721"/>
      <c r="C173" s="721"/>
      <c r="D173" s="721"/>
      <c r="E173" s="721"/>
      <c r="F173" s="721"/>
    </row>
    <row r="174" spans="1:6">
      <c r="A174" s="710" t="s">
        <v>18</v>
      </c>
      <c r="B174" s="721">
        <v>23215.011935040002</v>
      </c>
      <c r="C174" s="721">
        <v>2328.1051396399998</v>
      </c>
      <c r="D174" s="721">
        <v>2835.3295830200004</v>
      </c>
      <c r="E174" s="721">
        <v>5568.0417110399994</v>
      </c>
      <c r="F174" s="721">
        <v>12483.53550134</v>
      </c>
    </row>
    <row r="175" spans="1:6">
      <c r="A175" s="710" t="s">
        <v>19</v>
      </c>
      <c r="B175" s="721">
        <v>21761.454722259998</v>
      </c>
      <c r="C175" s="721">
        <v>2284.5666912400002</v>
      </c>
      <c r="D175" s="721">
        <v>2800.4057269200002</v>
      </c>
      <c r="E175" s="721">
        <v>5444.0936375499996</v>
      </c>
      <c r="F175" s="721">
        <v>11232.388666550001</v>
      </c>
    </row>
    <row r="176" spans="1:6">
      <c r="A176" s="710" t="s">
        <v>20</v>
      </c>
      <c r="B176" s="721">
        <v>21295.930216459998</v>
      </c>
      <c r="C176" s="721">
        <v>2310.3592650400001</v>
      </c>
      <c r="D176" s="721">
        <v>2844.9253069800002</v>
      </c>
      <c r="E176" s="721">
        <v>4635.5256792099999</v>
      </c>
      <c r="F176" s="721">
        <v>11505.11996523</v>
      </c>
    </row>
    <row r="177" spans="1:6">
      <c r="A177" s="710" t="s">
        <v>21</v>
      </c>
      <c r="B177" s="721">
        <v>22148.608690479999</v>
      </c>
      <c r="C177" s="721">
        <v>2634.0845786899999</v>
      </c>
      <c r="D177" s="721">
        <v>2936.9130698399999</v>
      </c>
      <c r="E177" s="721">
        <v>5321.5701571200007</v>
      </c>
      <c r="F177" s="721">
        <v>11256.040884829999</v>
      </c>
    </row>
    <row r="178" spans="1:6">
      <c r="A178" s="710" t="s">
        <v>22</v>
      </c>
      <c r="B178" s="721">
        <v>21594.662352359999</v>
      </c>
      <c r="C178" s="721">
        <v>2419.6422130000005</v>
      </c>
      <c r="D178" s="721">
        <v>2934.4505903399995</v>
      </c>
      <c r="E178" s="721">
        <v>5882.56602587</v>
      </c>
      <c r="F178" s="721">
        <v>10358.003523150001</v>
      </c>
    </row>
    <row r="179" spans="1:6">
      <c r="A179" s="710" t="s">
        <v>23</v>
      </c>
      <c r="B179" s="721">
        <v>21595.415994440005</v>
      </c>
      <c r="C179" s="721">
        <v>2535.8806159299997</v>
      </c>
      <c r="D179" s="721">
        <v>2480.14295008</v>
      </c>
      <c r="E179" s="721">
        <v>5803.0205363399991</v>
      </c>
      <c r="F179" s="721">
        <v>10776.371892090001</v>
      </c>
    </row>
    <row r="180" spans="1:6">
      <c r="A180" s="710" t="s">
        <v>24</v>
      </c>
      <c r="B180" s="721">
        <v>21352.458820650005</v>
      </c>
      <c r="C180" s="721">
        <v>2400.8319576399999</v>
      </c>
      <c r="D180" s="721">
        <v>2364.2462012999999</v>
      </c>
      <c r="E180" s="721">
        <v>5701.5955204699994</v>
      </c>
      <c r="F180" s="721">
        <v>10885.785141240001</v>
      </c>
    </row>
    <row r="181" spans="1:6">
      <c r="A181" s="710" t="s">
        <v>25</v>
      </c>
      <c r="B181" s="721">
        <v>21008.018939289999</v>
      </c>
      <c r="C181" s="721">
        <v>2488.1889347500005</v>
      </c>
      <c r="D181" s="721">
        <v>2218.2725633900004</v>
      </c>
      <c r="E181" s="721">
        <v>5863.6191985899986</v>
      </c>
      <c r="F181" s="721">
        <v>10437.93824256</v>
      </c>
    </row>
    <row r="182" spans="1:6">
      <c r="A182" s="710" t="s">
        <v>26</v>
      </c>
      <c r="B182" s="721">
        <v>19484.23664598</v>
      </c>
      <c r="C182" s="721">
        <v>2788.5992997500002</v>
      </c>
      <c r="D182" s="721">
        <v>2153.15116773</v>
      </c>
      <c r="E182" s="721">
        <v>6061.8876551599997</v>
      </c>
      <c r="F182" s="721">
        <v>8480.5985233400024</v>
      </c>
    </row>
    <row r="183" spans="1:6">
      <c r="A183" s="710" t="s">
        <v>27</v>
      </c>
      <c r="B183" s="721">
        <v>19696.726037440003</v>
      </c>
      <c r="C183" s="721">
        <v>2729.1843656100009</v>
      </c>
      <c r="D183" s="721">
        <v>2304.3468228599995</v>
      </c>
      <c r="E183" s="721">
        <v>6328.4068436099988</v>
      </c>
      <c r="F183" s="721">
        <v>8334.7880053599984</v>
      </c>
    </row>
    <row r="184" spans="1:6">
      <c r="A184" s="710" t="s">
        <v>28</v>
      </c>
      <c r="B184" s="721">
        <v>19635.302359779998</v>
      </c>
      <c r="C184" s="721">
        <v>3066.7701548899995</v>
      </c>
      <c r="D184" s="721">
        <v>2414.9094410199996</v>
      </c>
      <c r="E184" s="721">
        <v>6118.7927604699998</v>
      </c>
      <c r="F184" s="721">
        <v>8034.8300033999994</v>
      </c>
    </row>
    <row r="185" spans="1:6">
      <c r="A185" s="710" t="s">
        <v>29</v>
      </c>
      <c r="B185" s="721">
        <v>20599.091444879999</v>
      </c>
      <c r="C185" s="721">
        <v>3287.7629679300003</v>
      </c>
      <c r="D185" s="721">
        <v>2397.77985003</v>
      </c>
      <c r="E185" s="721">
        <v>7015.3267190799997</v>
      </c>
      <c r="F185" s="721">
        <v>7898.2219078400012</v>
      </c>
    </row>
    <row r="186" spans="1:6">
      <c r="A186" s="710" t="s">
        <v>2051</v>
      </c>
      <c r="B186" s="721"/>
      <c r="C186" s="721"/>
      <c r="D186" s="721"/>
      <c r="E186" s="721"/>
      <c r="F186" s="721"/>
    </row>
    <row r="187" spans="1:6">
      <c r="A187" s="710" t="s">
        <v>18</v>
      </c>
      <c r="B187" s="721">
        <v>20861.52014651</v>
      </c>
      <c r="C187" s="721">
        <v>2934.0626198599998</v>
      </c>
      <c r="D187" s="721">
        <v>2559.2090775400002</v>
      </c>
      <c r="E187" s="721">
        <v>7533.1345280400001</v>
      </c>
      <c r="F187" s="721">
        <v>7835.1139210699994</v>
      </c>
    </row>
    <row r="188" spans="1:6">
      <c r="A188" s="710" t="s">
        <v>19</v>
      </c>
      <c r="B188" s="721">
        <v>20686.631633080004</v>
      </c>
      <c r="C188" s="721">
        <v>3192.9399457</v>
      </c>
      <c r="D188" s="721">
        <v>2637.07682329</v>
      </c>
      <c r="E188" s="721">
        <v>7247.351034190001</v>
      </c>
      <c r="F188" s="721">
        <v>7609.2638299</v>
      </c>
    </row>
    <row r="189" spans="1:6">
      <c r="A189" s="710" t="s">
        <v>20</v>
      </c>
      <c r="B189" s="721">
        <v>20328.670449750007</v>
      </c>
      <c r="C189" s="721">
        <v>3400.5884178000001</v>
      </c>
      <c r="D189" s="721">
        <v>2660.4334843400002</v>
      </c>
      <c r="E189" s="721">
        <v>6839.631196379999</v>
      </c>
      <c r="F189" s="721">
        <v>7428.0173512299998</v>
      </c>
    </row>
    <row r="190" spans="1:6">
      <c r="A190" s="710" t="s">
        <v>21</v>
      </c>
      <c r="B190" s="721">
        <v>20201.674806179999</v>
      </c>
      <c r="C190" s="721">
        <v>3410.4231490400007</v>
      </c>
      <c r="D190" s="721">
        <v>2578.7979625100002</v>
      </c>
      <c r="E190" s="721">
        <v>6966.4500842499992</v>
      </c>
      <c r="F190" s="721">
        <v>7246.0036103800003</v>
      </c>
    </row>
    <row r="191" spans="1:6">
      <c r="A191" s="710" t="s">
        <v>22</v>
      </c>
      <c r="B191" s="721">
        <v>20130.535433860001</v>
      </c>
      <c r="C191" s="721">
        <v>3350.9424235000001</v>
      </c>
      <c r="D191" s="721">
        <v>2670.1789457300006</v>
      </c>
      <c r="E191" s="721">
        <v>6554.68204668</v>
      </c>
      <c r="F191" s="721">
        <v>7554.7320179500002</v>
      </c>
    </row>
    <row r="192" spans="1:6">
      <c r="A192" s="710" t="s">
        <v>23</v>
      </c>
      <c r="B192" s="721">
        <v>20439.065491319994</v>
      </c>
      <c r="C192" s="721">
        <v>3618.5516031800003</v>
      </c>
      <c r="D192" s="721">
        <v>2685.2816408199997</v>
      </c>
      <c r="E192" s="721">
        <v>6447.9988035900005</v>
      </c>
      <c r="F192" s="721">
        <v>7687.2334437300005</v>
      </c>
    </row>
    <row r="193" spans="1:6">
      <c r="A193" s="710" t="s">
        <v>24</v>
      </c>
      <c r="B193" s="721">
        <v>20491.224001660004</v>
      </c>
      <c r="C193" s="721">
        <v>3759.6340715100018</v>
      </c>
      <c r="D193" s="721">
        <v>2670.5549279399997</v>
      </c>
      <c r="E193" s="721">
        <v>6481.1171373500001</v>
      </c>
      <c r="F193" s="721">
        <v>7579.91786486</v>
      </c>
    </row>
    <row r="194" spans="1:6">
      <c r="A194" s="710" t="s">
        <v>25</v>
      </c>
      <c r="B194" s="721">
        <v>20590.612705210002</v>
      </c>
      <c r="C194" s="721">
        <v>3808.4968804700006</v>
      </c>
      <c r="D194" s="721">
        <v>2635.4921038399998</v>
      </c>
      <c r="E194" s="721">
        <v>6421.0740195500002</v>
      </c>
      <c r="F194" s="721">
        <v>7725.5497013500008</v>
      </c>
    </row>
    <row r="195" spans="1:6">
      <c r="A195" s="710" t="s">
        <v>26</v>
      </c>
      <c r="B195" s="721">
        <v>21583.579528689999</v>
      </c>
      <c r="C195" s="721">
        <v>4430.4914019500002</v>
      </c>
      <c r="D195" s="721">
        <v>2609.3612473100006</v>
      </c>
      <c r="E195" s="721">
        <v>6863.6791408299987</v>
      </c>
      <c r="F195" s="721">
        <v>7680.0477386000002</v>
      </c>
    </row>
    <row r="196" spans="1:6">
      <c r="A196" s="710" t="s">
        <v>27</v>
      </c>
      <c r="B196" s="721">
        <v>22003.129238079997</v>
      </c>
      <c r="C196" s="721">
        <v>4730.6154748699992</v>
      </c>
      <c r="D196" s="721">
        <v>2622.9615185299995</v>
      </c>
      <c r="E196" s="721">
        <v>6997.3560206100019</v>
      </c>
      <c r="F196" s="721">
        <v>7652.1962240700004</v>
      </c>
    </row>
    <row r="197" spans="1:6">
      <c r="A197" s="710" t="s">
        <v>28</v>
      </c>
      <c r="B197" s="721">
        <v>21990.067519420001</v>
      </c>
      <c r="C197" s="721">
        <v>4672.4788885300004</v>
      </c>
      <c r="D197" s="721">
        <v>2721.7613074100004</v>
      </c>
      <c r="E197" s="721">
        <v>7203.9444411700006</v>
      </c>
      <c r="F197" s="721">
        <v>7391.8828823099993</v>
      </c>
    </row>
    <row r="198" spans="1:6">
      <c r="A198" s="710" t="s">
        <v>29</v>
      </c>
      <c r="B198" s="721">
        <v>21870.407654459999</v>
      </c>
      <c r="C198" s="721">
        <v>4935.5302333300015</v>
      </c>
      <c r="D198" s="721">
        <v>2646.2035817599999</v>
      </c>
      <c r="E198" s="721">
        <v>7078.2560496799979</v>
      </c>
      <c r="F198" s="721">
        <v>7210.4177896900001</v>
      </c>
    </row>
    <row r="199" spans="1:6">
      <c r="A199" s="710" t="s">
        <v>2144</v>
      </c>
      <c r="B199" s="721"/>
      <c r="C199" s="721"/>
      <c r="D199" s="721"/>
      <c r="E199" s="721"/>
      <c r="F199" s="721"/>
    </row>
    <row r="200" spans="1:6">
      <c r="A200" s="710" t="s">
        <v>18</v>
      </c>
      <c r="B200" s="721">
        <v>21978.147033900004</v>
      </c>
      <c r="C200" s="721">
        <v>4652.6916374299999</v>
      </c>
      <c r="D200" s="721">
        <v>2715.9246637399997</v>
      </c>
      <c r="E200" s="721">
        <v>7149.5559757500005</v>
      </c>
      <c r="F200" s="721">
        <v>7459.9747569800011</v>
      </c>
    </row>
    <row r="201" spans="1:6">
      <c r="A201" s="710" t="s">
        <v>19</v>
      </c>
      <c r="B201" s="721">
        <v>22401.551348590001</v>
      </c>
      <c r="C201" s="721">
        <v>5053.8462956499989</v>
      </c>
      <c r="D201" s="721">
        <v>2776.7154690699999</v>
      </c>
      <c r="E201" s="721">
        <v>7424.6770285500015</v>
      </c>
      <c r="F201" s="721">
        <v>7146.3125553199998</v>
      </c>
    </row>
    <row r="202" spans="1:6">
      <c r="A202" s="710" t="s">
        <v>20</v>
      </c>
      <c r="B202" s="721">
        <v>22124.25300665</v>
      </c>
      <c r="C202" s="721">
        <v>4595.5046526600008</v>
      </c>
      <c r="D202" s="721">
        <v>2909.6129643899994</v>
      </c>
      <c r="E202" s="721">
        <v>7494.2101718700023</v>
      </c>
      <c r="F202" s="721">
        <v>7124.9252177300004</v>
      </c>
    </row>
    <row r="203" spans="1:6">
      <c r="A203" s="710" t="s">
        <v>21</v>
      </c>
      <c r="B203" s="721">
        <v>22132.041015399995</v>
      </c>
      <c r="C203" s="721">
        <v>4939.8168877599992</v>
      </c>
      <c r="D203" s="721">
        <v>2978.1975804499998</v>
      </c>
      <c r="E203" s="721">
        <v>7180.0655661300007</v>
      </c>
      <c r="F203" s="721">
        <v>7033.9609810599995</v>
      </c>
    </row>
    <row r="204" spans="1:6">
      <c r="A204" s="710" t="s">
        <v>22</v>
      </c>
      <c r="B204" s="721">
        <v>21982.192593719999</v>
      </c>
      <c r="C204" s="721">
        <v>5150.3168395399998</v>
      </c>
      <c r="D204" s="721">
        <v>2926.7558796200001</v>
      </c>
      <c r="E204" s="721">
        <v>6784.5596362199994</v>
      </c>
      <c r="F204" s="721">
        <v>7120.560238340001</v>
      </c>
    </row>
    <row r="205" spans="1:6">
      <c r="A205" s="710" t="s">
        <v>23</v>
      </c>
      <c r="B205" s="721">
        <v>22128.01744766</v>
      </c>
      <c r="C205" s="721">
        <v>5260.9751213600011</v>
      </c>
      <c r="D205" s="721">
        <v>2954.6438159699997</v>
      </c>
      <c r="E205" s="721">
        <v>6452.3185159600007</v>
      </c>
      <c r="F205" s="721">
        <v>7460.0799943700003</v>
      </c>
    </row>
    <row r="206" spans="1:6">
      <c r="A206" s="710" t="s">
        <v>24</v>
      </c>
      <c r="B206" s="721">
        <v>22383.870138889997</v>
      </c>
      <c r="C206" s="721">
        <v>5398.4166738999993</v>
      </c>
      <c r="D206" s="721">
        <v>3034.4629968199997</v>
      </c>
      <c r="E206" s="721">
        <v>6233.0680299399992</v>
      </c>
      <c r="F206" s="721">
        <v>7717.9224382300008</v>
      </c>
    </row>
    <row r="207" spans="1:6">
      <c r="A207" s="710" t="s">
        <v>25</v>
      </c>
      <c r="B207" s="721">
        <v>22447.264083229999</v>
      </c>
      <c r="C207" s="721">
        <v>5218.4993413699995</v>
      </c>
      <c r="D207" s="721">
        <v>3097.6102590099999</v>
      </c>
      <c r="E207" s="721">
        <v>6325.2953096399997</v>
      </c>
      <c r="F207" s="721">
        <v>7805.8591732100003</v>
      </c>
    </row>
    <row r="208" spans="1:6">
      <c r="A208" s="710" t="s">
        <v>26</v>
      </c>
      <c r="B208" s="721">
        <v>23437.240016809999</v>
      </c>
      <c r="C208" s="721">
        <v>5454.6363528300008</v>
      </c>
      <c r="D208" s="721">
        <v>3087.8496495799996</v>
      </c>
      <c r="E208" s="721">
        <v>6926.9175314399981</v>
      </c>
      <c r="F208" s="721">
        <v>7967.8364829600005</v>
      </c>
    </row>
    <row r="209" spans="1:7">
      <c r="A209" s="710" t="s">
        <v>27</v>
      </c>
      <c r="B209" s="721">
        <v>23413.52268233</v>
      </c>
      <c r="C209" s="721">
        <v>5437.4942720600002</v>
      </c>
      <c r="D209" s="721">
        <v>3138.4786122700002</v>
      </c>
      <c r="E209" s="721">
        <v>6993.0662865000004</v>
      </c>
      <c r="F209" s="721">
        <v>7844.4835114999996</v>
      </c>
    </row>
    <row r="210" spans="1:7">
      <c r="A210" s="710" t="s">
        <v>28</v>
      </c>
      <c r="B210" s="721">
        <v>23579.109019219999</v>
      </c>
      <c r="C210" s="721">
        <v>5636.0536228800011</v>
      </c>
      <c r="D210" s="721">
        <v>3130.9119135800001</v>
      </c>
      <c r="E210" s="721">
        <v>6830.3460193500005</v>
      </c>
      <c r="F210" s="721">
        <v>7981.7974634099992</v>
      </c>
    </row>
    <row r="211" spans="1:7">
      <c r="A211" s="710" t="s">
        <v>29</v>
      </c>
      <c r="B211" s="721">
        <v>24746.031022520001</v>
      </c>
      <c r="C211" s="721">
        <v>6440.13727887</v>
      </c>
      <c r="D211" s="721">
        <v>3217.46126817</v>
      </c>
      <c r="E211" s="721">
        <v>7083.432711110001</v>
      </c>
      <c r="F211" s="721">
        <v>8004.9997643699999</v>
      </c>
    </row>
    <row r="212" spans="1:7">
      <c r="A212" s="710" t="s">
        <v>2375</v>
      </c>
      <c r="B212" s="721"/>
      <c r="C212" s="721"/>
      <c r="D212" s="721"/>
      <c r="E212" s="721"/>
      <c r="F212" s="721"/>
    </row>
    <row r="213" spans="1:7">
      <c r="A213" s="710" t="s">
        <v>18</v>
      </c>
      <c r="B213" s="721">
        <v>24837.149398470006</v>
      </c>
      <c r="C213" s="721">
        <v>6388.6475717300018</v>
      </c>
      <c r="D213" s="721">
        <v>3245.1845368700001</v>
      </c>
      <c r="E213" s="721">
        <v>7612.6334317399997</v>
      </c>
      <c r="F213" s="721">
        <v>7590.6838581300008</v>
      </c>
      <c r="G213" s="399"/>
    </row>
    <row r="214" spans="1:7">
      <c r="A214" s="710" t="s">
        <v>19</v>
      </c>
      <c r="B214" s="721">
        <v>24934.571062599996</v>
      </c>
      <c r="C214" s="721">
        <v>6514.9304328099997</v>
      </c>
      <c r="D214" s="721">
        <v>3297.3366530399999</v>
      </c>
      <c r="E214" s="721">
        <v>7272.85321036</v>
      </c>
      <c r="F214" s="721">
        <v>7849.4507663900004</v>
      </c>
      <c r="G214" s="399"/>
    </row>
    <row r="215" spans="1:7">
      <c r="A215" s="710" t="s">
        <v>20</v>
      </c>
      <c r="B215" s="721">
        <v>24085.053561460001</v>
      </c>
      <c r="C215" s="721">
        <v>5927.40639001</v>
      </c>
      <c r="D215" s="721">
        <v>3130.549852019999</v>
      </c>
      <c r="E215" s="721">
        <v>7152.4814524999992</v>
      </c>
      <c r="F215" s="721">
        <v>7874.6158669299994</v>
      </c>
      <c r="G215" s="399"/>
    </row>
    <row r="216" spans="1:7">
      <c r="A216" s="710" t="s">
        <v>21</v>
      </c>
      <c r="B216" s="721">
        <v>23380.799999999999</v>
      </c>
      <c r="C216" s="721">
        <v>6032.0414755999991</v>
      </c>
      <c r="D216" s="721">
        <v>2921.0114400200005</v>
      </c>
      <c r="E216" s="721">
        <v>6783.1781275599988</v>
      </c>
      <c r="F216" s="721">
        <v>7644.5914549400004</v>
      </c>
      <c r="G216" s="399"/>
    </row>
    <row r="217" spans="1:7">
      <c r="A217" s="710" t="s">
        <v>22</v>
      </c>
      <c r="B217" s="721">
        <v>23357.3</v>
      </c>
      <c r="C217" s="721">
        <v>6381.0160862500006</v>
      </c>
      <c r="D217" s="721">
        <v>2748.2330594200002</v>
      </c>
      <c r="E217" s="721">
        <v>6762.243311700001</v>
      </c>
      <c r="F217" s="721">
        <v>7465.7781328000001</v>
      </c>
      <c r="G217" s="399"/>
    </row>
    <row r="218" spans="1:7">
      <c r="A218" s="710" t="s">
        <v>23</v>
      </c>
      <c r="B218" s="721">
        <v>22565.53825976</v>
      </c>
      <c r="C218" s="721">
        <v>6238.201094439999</v>
      </c>
      <c r="D218" s="721">
        <v>2692.0018694199998</v>
      </c>
      <c r="E218" s="721">
        <v>6144.2208415099994</v>
      </c>
      <c r="F218" s="721">
        <v>7491.1144543900009</v>
      </c>
      <c r="G218" s="399"/>
    </row>
    <row r="219" spans="1:7">
      <c r="A219" s="710" t="s">
        <v>24</v>
      </c>
      <c r="B219" s="721">
        <v>22532.111036330003</v>
      </c>
      <c r="C219" s="721">
        <v>6387.6160267499999</v>
      </c>
      <c r="D219" s="721">
        <v>2839.6867817500001</v>
      </c>
      <c r="E219" s="721">
        <v>5879.4819019399993</v>
      </c>
      <c r="F219" s="721">
        <v>7425.3263258900006</v>
      </c>
      <c r="G219" s="399"/>
    </row>
    <row r="220" spans="1:7">
      <c r="A220" s="710" t="s">
        <v>25</v>
      </c>
      <c r="B220" s="721">
        <v>22727.782969659995</v>
      </c>
      <c r="C220" s="721">
        <v>6360.1705208499989</v>
      </c>
      <c r="D220" s="721">
        <v>2891.5600814400004</v>
      </c>
      <c r="E220" s="721">
        <v>6247.9991408599981</v>
      </c>
      <c r="F220" s="721">
        <v>7228.0532265100001</v>
      </c>
      <c r="G220" s="399"/>
    </row>
    <row r="221" spans="1:7">
      <c r="A221" s="710" t="s">
        <v>26</v>
      </c>
      <c r="B221" s="721">
        <v>22495.099938109997</v>
      </c>
      <c r="C221" s="721">
        <v>6557.1118580199982</v>
      </c>
      <c r="D221" s="721">
        <v>2987.8183903900003</v>
      </c>
      <c r="E221" s="721">
        <v>6198.7986991999996</v>
      </c>
      <c r="F221" s="721">
        <v>6751.3709904999996</v>
      </c>
      <c r="G221" s="137"/>
    </row>
    <row r="222" spans="1:7" ht="18" customHeight="1">
      <c r="A222" s="710" t="s">
        <v>27</v>
      </c>
      <c r="B222" s="721">
        <v>22442.057939730003</v>
      </c>
      <c r="C222" s="721">
        <v>6669.0210646700016</v>
      </c>
      <c r="D222" s="721">
        <v>2898.5829093699999</v>
      </c>
      <c r="E222" s="721">
        <v>6122.047325890001</v>
      </c>
      <c r="F222" s="721">
        <v>6752.4066398000014</v>
      </c>
      <c r="G222" s="137"/>
    </row>
    <row r="223" spans="1:7" ht="18" customHeight="1">
      <c r="A223" s="710" t="s">
        <v>28</v>
      </c>
      <c r="B223" s="721">
        <v>22305.824423959999</v>
      </c>
      <c r="C223" s="721">
        <v>6304.4358249499992</v>
      </c>
      <c r="D223" s="721">
        <v>3001.6476769999999</v>
      </c>
      <c r="E223" s="721">
        <v>6334.3726675400012</v>
      </c>
      <c r="F223" s="721">
        <v>6665.3682544699996</v>
      </c>
      <c r="G223" s="137"/>
    </row>
    <row r="224" spans="1:7" ht="18" customHeight="1">
      <c r="A224" s="710" t="s">
        <v>29</v>
      </c>
      <c r="B224" s="721">
        <v>23666.868830550004</v>
      </c>
      <c r="C224" s="721">
        <v>7416.6815472300032</v>
      </c>
      <c r="D224" s="721">
        <v>2911.2501752200001</v>
      </c>
      <c r="E224" s="721">
        <v>6696.0953630600015</v>
      </c>
      <c r="F224" s="721">
        <v>6642.8417450399993</v>
      </c>
      <c r="G224" s="137"/>
    </row>
    <row r="225" spans="1:7">
      <c r="A225" s="717">
        <v>2021</v>
      </c>
      <c r="B225" s="724"/>
      <c r="C225" s="724"/>
      <c r="D225" s="724"/>
      <c r="E225" s="724"/>
      <c r="F225" s="724"/>
      <c r="G225" s="137"/>
    </row>
    <row r="226" spans="1:7">
      <c r="A226" s="710" t="s">
        <v>18</v>
      </c>
      <c r="B226" s="721">
        <v>23189.312012770002</v>
      </c>
      <c r="C226" s="721">
        <v>7086.8859824199999</v>
      </c>
      <c r="D226" s="721">
        <v>3012.9025783799998</v>
      </c>
      <c r="E226" s="721">
        <v>6534.4847902300007</v>
      </c>
      <c r="F226" s="721">
        <v>6555.03866174</v>
      </c>
      <c r="G226" s="137"/>
    </row>
    <row r="227" spans="1:7">
      <c r="A227" s="710" t="s">
        <v>19</v>
      </c>
      <c r="B227" s="721">
        <v>23489.120903840001</v>
      </c>
      <c r="C227" s="721">
        <v>7368.6653812799987</v>
      </c>
      <c r="D227" s="721">
        <v>3052.4728898000012</v>
      </c>
      <c r="E227" s="721">
        <v>6661.9231959900007</v>
      </c>
      <c r="F227" s="721">
        <v>6406.0594367699996</v>
      </c>
      <c r="G227" s="137"/>
    </row>
    <row r="228" spans="1:7">
      <c r="A228" s="710" t="s">
        <v>20</v>
      </c>
      <c r="B228" s="721">
        <v>23825.92843634</v>
      </c>
      <c r="C228" s="721">
        <v>7612.4272529700002</v>
      </c>
      <c r="D228" s="721">
        <v>3120.0851626200006</v>
      </c>
      <c r="E228" s="721">
        <v>6726.1487422799992</v>
      </c>
      <c r="F228" s="721">
        <v>6367.2672784699989</v>
      </c>
      <c r="G228" s="137"/>
    </row>
    <row r="229" spans="1:7">
      <c r="A229" s="710" t="s">
        <v>21</v>
      </c>
      <c r="B229" s="721">
        <v>24213.241269210004</v>
      </c>
      <c r="C229" s="721">
        <v>7998.1891321100011</v>
      </c>
      <c r="D229" s="721">
        <v>3249.8780653999997</v>
      </c>
      <c r="E229" s="721">
        <v>6591.3695593200009</v>
      </c>
      <c r="F229" s="721">
        <v>6373.8045123800002</v>
      </c>
      <c r="G229" s="137"/>
    </row>
    <row r="230" spans="1:7">
      <c r="A230" s="710" t="s">
        <v>22</v>
      </c>
      <c r="B230" s="721">
        <v>24991.213881430005</v>
      </c>
      <c r="C230" s="721">
        <v>8564.1550856700014</v>
      </c>
      <c r="D230" s="721">
        <v>3332.3213799099995</v>
      </c>
      <c r="E230" s="721">
        <v>6519.1675400700015</v>
      </c>
      <c r="F230" s="721">
        <v>6575.5698757800001</v>
      </c>
      <c r="G230" s="137"/>
    </row>
    <row r="231" spans="1:7">
      <c r="A231" s="710" t="s">
        <v>23</v>
      </c>
      <c r="B231" s="721">
        <v>24156.57158589</v>
      </c>
      <c r="C231" s="721">
        <v>8268.5072542300022</v>
      </c>
      <c r="D231" s="721">
        <v>3412.0801831599993</v>
      </c>
      <c r="E231" s="721">
        <v>6993.1317033199994</v>
      </c>
      <c r="F231" s="721">
        <v>5482.8524451799994</v>
      </c>
      <c r="G231" s="137"/>
    </row>
    <row r="232" spans="1:7">
      <c r="A232" s="710" t="s">
        <v>24</v>
      </c>
      <c r="B232" s="721">
        <v>24926.871174650005</v>
      </c>
      <c r="C232" s="721">
        <v>8262.5599471200003</v>
      </c>
      <c r="D232" s="721">
        <v>3559.7494850600006</v>
      </c>
      <c r="E232" s="721">
        <v>7410.80100717</v>
      </c>
      <c r="F232" s="721">
        <v>5693.7607353000003</v>
      </c>
      <c r="G232" s="137"/>
    </row>
    <row r="233" spans="1:7">
      <c r="A233" s="710" t="s">
        <v>25</v>
      </c>
      <c r="B233" s="721">
        <v>24791.852471049999</v>
      </c>
      <c r="C233" s="721">
        <v>8554.2013326899996</v>
      </c>
      <c r="D233" s="721">
        <v>3559.7828724499996</v>
      </c>
      <c r="E233" s="721">
        <v>6975.0448789299999</v>
      </c>
      <c r="F233" s="721">
        <v>5702.8233869800006</v>
      </c>
      <c r="G233" s="137"/>
    </row>
    <row r="234" spans="1:7">
      <c r="A234" s="710" t="s">
        <v>26</v>
      </c>
      <c r="B234" s="721">
        <v>25705.473344060007</v>
      </c>
      <c r="C234" s="721">
        <v>8801.4291171500008</v>
      </c>
      <c r="D234" s="721">
        <v>3709.9038115799999</v>
      </c>
      <c r="E234" s="721">
        <v>7701.7953208099998</v>
      </c>
      <c r="F234" s="721">
        <v>5492.3450945199993</v>
      </c>
      <c r="G234" s="137"/>
    </row>
    <row r="235" spans="1:7">
      <c r="A235" s="710" t="s">
        <v>27</v>
      </c>
      <c r="B235" s="721">
        <v>26114.802925899996</v>
      </c>
      <c r="C235" s="721">
        <v>8932.0118859600007</v>
      </c>
      <c r="D235" s="721">
        <v>3751.7745521599991</v>
      </c>
      <c r="E235" s="721">
        <v>7973.12463923</v>
      </c>
      <c r="F235" s="721">
        <v>5492.3450945199993</v>
      </c>
      <c r="G235" s="137"/>
    </row>
    <row r="236" spans="1:7">
      <c r="A236" s="710" t="s">
        <v>28</v>
      </c>
      <c r="B236" s="721">
        <v>26790.859008169999</v>
      </c>
      <c r="C236" s="721">
        <v>9311.3239267000008</v>
      </c>
      <c r="D236" s="721">
        <v>3817.7017291900002</v>
      </c>
      <c r="E236" s="721">
        <v>8271.321339170001</v>
      </c>
      <c r="F236" s="721">
        <v>5390.5120131099993</v>
      </c>
      <c r="G236" s="137"/>
    </row>
    <row r="237" spans="1:7">
      <c r="A237" s="710" t="s">
        <v>29</v>
      </c>
      <c r="B237" s="721">
        <v>29027.731736139995</v>
      </c>
      <c r="C237" s="721">
        <v>10754.185565580001</v>
      </c>
      <c r="D237" s="721">
        <v>3927.5679297800002</v>
      </c>
      <c r="E237" s="721">
        <v>8974.9761439899976</v>
      </c>
      <c r="F237" s="721">
        <v>5371.0020967899991</v>
      </c>
      <c r="G237" s="137"/>
    </row>
    <row r="238" spans="1:7">
      <c r="A238" s="710" t="s">
        <v>2827</v>
      </c>
      <c r="B238" s="721"/>
      <c r="C238" s="721"/>
      <c r="D238" s="721"/>
      <c r="E238" s="721"/>
      <c r="F238" s="721"/>
      <c r="G238" s="137"/>
    </row>
    <row r="239" spans="1:7">
      <c r="A239" s="710" t="s">
        <v>18</v>
      </c>
      <c r="B239" s="721">
        <v>29016.987753109999</v>
      </c>
      <c r="C239" s="721">
        <v>10188.984636590001</v>
      </c>
      <c r="D239" s="721">
        <v>3953.2352012599995</v>
      </c>
      <c r="E239" s="721">
        <v>9544.7708880699975</v>
      </c>
      <c r="F239" s="721">
        <v>5329.9970271900002</v>
      </c>
      <c r="G239" s="137"/>
    </row>
    <row r="240" spans="1:7">
      <c r="A240" s="710" t="s">
        <v>19</v>
      </c>
      <c r="B240" s="721">
        <v>29170.818363180002</v>
      </c>
      <c r="C240" s="721">
        <v>10184.127933930002</v>
      </c>
      <c r="D240" s="721">
        <v>4077.2991257600006</v>
      </c>
      <c r="E240" s="721">
        <v>9618.0772756400002</v>
      </c>
      <c r="F240" s="721">
        <v>5291.3140278499995</v>
      </c>
      <c r="G240" s="137"/>
    </row>
    <row r="241" spans="1:7">
      <c r="A241" s="710" t="s">
        <v>20</v>
      </c>
      <c r="B241" s="721">
        <v>30508.507513960001</v>
      </c>
      <c r="C241" s="721">
        <v>10789.224058899999</v>
      </c>
      <c r="D241" s="721">
        <v>4092.4984617299997</v>
      </c>
      <c r="E241" s="721">
        <v>10315.738039150001</v>
      </c>
      <c r="F241" s="721">
        <v>5311.0469541799994</v>
      </c>
      <c r="G241" s="137"/>
    </row>
    <row r="242" spans="1:7">
      <c r="A242" s="710" t="s">
        <v>21</v>
      </c>
      <c r="B242" s="721">
        <v>30890.39912767</v>
      </c>
      <c r="C242" s="721">
        <v>10983.20718718</v>
      </c>
      <c r="D242" s="721">
        <v>4210.0675271400005</v>
      </c>
      <c r="E242" s="721">
        <v>10486.052896309999</v>
      </c>
      <c r="F242" s="721">
        <v>5211.0715170399999</v>
      </c>
      <c r="G242" s="137"/>
    </row>
    <row r="243" spans="1:7">
      <c r="A243" s="710" t="s">
        <v>22</v>
      </c>
      <c r="B243" s="721">
        <v>32025.252167420003</v>
      </c>
      <c r="C243" s="721">
        <v>11490.539153480002</v>
      </c>
      <c r="D243" s="721">
        <v>4280.26702458</v>
      </c>
      <c r="E243" s="721">
        <v>11121.497671849998</v>
      </c>
      <c r="F243" s="721">
        <v>5132.9483175099995</v>
      </c>
      <c r="G243" s="137"/>
    </row>
    <row r="244" spans="1:7">
      <c r="A244" s="710" t="s">
        <v>23</v>
      </c>
      <c r="B244" s="721">
        <v>32417.121753569998</v>
      </c>
      <c r="C244" s="721">
        <v>11717.439478480001</v>
      </c>
      <c r="D244" s="721">
        <v>4460.4237517099991</v>
      </c>
      <c r="E244" s="721">
        <v>10827.60978945</v>
      </c>
      <c r="F244" s="721">
        <v>5411.6487339300002</v>
      </c>
      <c r="G244" s="137"/>
    </row>
    <row r="245" spans="1:7">
      <c r="A245" s="710" t="s">
        <v>24</v>
      </c>
      <c r="B245" s="721">
        <v>31957.277061000001</v>
      </c>
      <c r="C245" s="721">
        <v>11166.894131419998</v>
      </c>
      <c r="D245" s="721">
        <v>4693.2771844899999</v>
      </c>
      <c r="E245" s="721">
        <v>10573.542786880002</v>
      </c>
      <c r="F245" s="721">
        <v>5523.56295821</v>
      </c>
      <c r="G245" s="137"/>
    </row>
    <row r="246" spans="1:7">
      <c r="A246" s="710" t="s">
        <v>25</v>
      </c>
      <c r="B246" s="721">
        <v>32836.106540349996</v>
      </c>
      <c r="C246" s="721">
        <v>11854.626549949999</v>
      </c>
      <c r="D246" s="721">
        <v>4781.768259649999</v>
      </c>
      <c r="E246" s="721">
        <v>10710.995649360002</v>
      </c>
      <c r="F246" s="721">
        <v>5488.7160813899991</v>
      </c>
      <c r="G246" s="137"/>
    </row>
    <row r="247" spans="1:7">
      <c r="A247" s="710" t="s">
        <v>26</v>
      </c>
      <c r="B247" s="721">
        <v>33956.950859740005</v>
      </c>
      <c r="C247" s="721">
        <v>12360.815761120002</v>
      </c>
      <c r="D247" s="721">
        <v>4929.8697826799998</v>
      </c>
      <c r="E247" s="721">
        <v>11217.482355780001</v>
      </c>
      <c r="F247" s="721">
        <v>5448.7829601599997</v>
      </c>
      <c r="G247" s="137"/>
    </row>
    <row r="248" spans="1:7">
      <c r="A248" s="710" t="s">
        <v>27</v>
      </c>
      <c r="B248" s="721">
        <v>34806.25794784</v>
      </c>
      <c r="C248" s="721">
        <v>12974.887015140001</v>
      </c>
      <c r="D248" s="721">
        <v>5065.95929067</v>
      </c>
      <c r="E248" s="721">
        <v>11350.207945260001</v>
      </c>
      <c r="F248" s="721">
        <v>5415.2036967700005</v>
      </c>
      <c r="G248" s="137"/>
    </row>
    <row r="249" spans="1:7">
      <c r="A249" s="710" t="s">
        <v>28</v>
      </c>
      <c r="B249" s="721">
        <v>35484.16493413</v>
      </c>
      <c r="C249" s="721">
        <v>12927.691660889999</v>
      </c>
      <c r="D249" s="721">
        <v>5192.2307469100015</v>
      </c>
      <c r="E249" s="721">
        <v>11903.848468619997</v>
      </c>
      <c r="F249" s="721">
        <v>5460.3940577099993</v>
      </c>
      <c r="G249" s="137"/>
    </row>
    <row r="250" spans="1:7">
      <c r="A250" s="710" t="s">
        <v>29</v>
      </c>
      <c r="B250" s="721">
        <v>36249.769001510009</v>
      </c>
      <c r="C250" s="721">
        <v>13387.156055770001</v>
      </c>
      <c r="D250" s="721">
        <v>5317.3714168299994</v>
      </c>
      <c r="E250" s="721">
        <v>12139.128670010003</v>
      </c>
      <c r="F250" s="721">
        <v>5406.1128589</v>
      </c>
      <c r="G250" s="137"/>
    </row>
    <row r="251" spans="1:7">
      <c r="A251" s="710" t="s">
        <v>3518</v>
      </c>
      <c r="B251" s="721"/>
      <c r="C251" s="721"/>
      <c r="D251" s="721"/>
      <c r="E251" s="721"/>
      <c r="F251" s="721"/>
      <c r="G251" s="137"/>
    </row>
    <row r="252" spans="1:7">
      <c r="A252" s="710" t="s">
        <v>18</v>
      </c>
      <c r="B252" s="721">
        <v>35552.863399799993</v>
      </c>
      <c r="C252" s="721">
        <v>12803.276256510002</v>
      </c>
      <c r="D252" s="721">
        <v>5422.8750239199999</v>
      </c>
      <c r="E252" s="721">
        <v>11980.294106429998</v>
      </c>
      <c r="F252" s="721">
        <v>5346.4180129400002</v>
      </c>
      <c r="G252" s="137"/>
    </row>
    <row r="253" spans="1:7">
      <c r="A253" s="710" t="s">
        <v>19</v>
      </c>
      <c r="B253" s="721">
        <v>35179.241788129999</v>
      </c>
      <c r="C253" s="721">
        <v>12410.357106719999</v>
      </c>
      <c r="D253" s="721">
        <v>5630.1243007600006</v>
      </c>
      <c r="E253" s="721">
        <v>11394.758263259997</v>
      </c>
      <c r="F253" s="721">
        <v>5744.0021173900004</v>
      </c>
      <c r="G253" s="137"/>
    </row>
    <row r="254" spans="1:7">
      <c r="A254" s="710" t="s">
        <v>20</v>
      </c>
      <c r="B254" s="721">
        <v>34554.831504200003</v>
      </c>
      <c r="C254" s="721">
        <v>12960.670644</v>
      </c>
      <c r="D254" s="721">
        <v>5703.3238905000007</v>
      </c>
      <c r="E254" s="721">
        <v>10161.503330680001</v>
      </c>
      <c r="F254" s="721">
        <v>5729.3336390199993</v>
      </c>
      <c r="G254" s="137"/>
    </row>
    <row r="255" spans="1:7">
      <c r="A255" s="710" t="s">
        <v>21</v>
      </c>
      <c r="B255" s="721">
        <v>35202.44502739</v>
      </c>
      <c r="C255" s="721">
        <v>13157.509038579999</v>
      </c>
      <c r="D255" s="721">
        <v>5758.4440284399998</v>
      </c>
      <c r="E255" s="721">
        <v>10533.322098680001</v>
      </c>
      <c r="F255" s="721">
        <v>5753.1698616900003</v>
      </c>
      <c r="G255" s="137"/>
    </row>
    <row r="256" spans="1:7">
      <c r="A256" s="710" t="s">
        <v>22</v>
      </c>
      <c r="B256" s="721">
        <v>35393.087325780005</v>
      </c>
      <c r="C256" s="721">
        <v>13216.761083059999</v>
      </c>
      <c r="D256" s="721">
        <v>5891.4343964099999</v>
      </c>
      <c r="E256" s="721">
        <v>10595.720557830002</v>
      </c>
      <c r="F256" s="721">
        <v>5689.1712884799999</v>
      </c>
      <c r="G256" s="137"/>
    </row>
    <row r="257" spans="1:7">
      <c r="A257" s="710" t="s">
        <v>23</v>
      </c>
      <c r="B257" s="721">
        <v>34512.94671289</v>
      </c>
      <c r="C257" s="721">
        <v>13490.553856530001</v>
      </c>
      <c r="D257" s="721">
        <v>5927.9391587999999</v>
      </c>
      <c r="E257" s="721">
        <v>9182.5684975799995</v>
      </c>
      <c r="F257" s="721">
        <v>5911.8851999799999</v>
      </c>
      <c r="G257" s="137"/>
    </row>
    <row r="258" spans="1:7">
      <c r="A258" s="710" t="s">
        <v>24</v>
      </c>
      <c r="B258" s="721">
        <v>34023.467394450003</v>
      </c>
      <c r="C258" s="721">
        <v>13605.66899713</v>
      </c>
      <c r="D258" s="721">
        <v>6163.7998984600008</v>
      </c>
      <c r="E258" s="721">
        <v>8330.7123125899998</v>
      </c>
      <c r="F258" s="721">
        <v>5923.2861862700001</v>
      </c>
      <c r="G258" s="137"/>
    </row>
    <row r="259" spans="1:7">
      <c r="A259" s="710" t="s">
        <v>25</v>
      </c>
      <c r="B259" s="721">
        <v>34325.122664660004</v>
      </c>
      <c r="C259" s="721">
        <v>13834.587966980002</v>
      </c>
      <c r="D259" s="721">
        <v>6491.7994012800009</v>
      </c>
      <c r="E259" s="721">
        <v>8058.320655800002</v>
      </c>
      <c r="F259" s="721">
        <v>5940.4146406</v>
      </c>
      <c r="G259" s="137"/>
    </row>
    <row r="260" spans="1:7">
      <c r="A260" s="710" t="s">
        <v>26</v>
      </c>
      <c r="B260" s="721">
        <v>34230.529272649997</v>
      </c>
      <c r="C260" s="721">
        <v>14127.650408540001</v>
      </c>
      <c r="D260" s="721">
        <v>6394.0809092399995</v>
      </c>
      <c r="E260" s="721">
        <v>7718.464993730001</v>
      </c>
      <c r="F260" s="721">
        <v>5990.3329611400004</v>
      </c>
      <c r="G260" s="137"/>
    </row>
    <row r="261" spans="1:7">
      <c r="A261" s="710" t="s">
        <v>27</v>
      </c>
      <c r="B261" s="721">
        <v>34991.250378479992</v>
      </c>
      <c r="C261" s="721">
        <v>14146.871267779999</v>
      </c>
      <c r="D261" s="721">
        <v>6428.9389864299992</v>
      </c>
      <c r="E261" s="721">
        <v>8647.8347176400002</v>
      </c>
      <c r="F261" s="721">
        <v>5767.6054066300012</v>
      </c>
      <c r="G261" s="137"/>
    </row>
    <row r="262" spans="1:7">
      <c r="A262" s="710" t="s">
        <v>28</v>
      </c>
      <c r="B262" s="721">
        <v>35128.819710420001</v>
      </c>
      <c r="C262" s="721">
        <v>14619.325080759998</v>
      </c>
      <c r="D262" s="721">
        <v>6621.7173888000007</v>
      </c>
      <c r="E262" s="721">
        <v>8023.3934652899998</v>
      </c>
      <c r="F262" s="721">
        <v>5864.3837755699997</v>
      </c>
      <c r="G262" s="137"/>
    </row>
    <row r="263" spans="1:7">
      <c r="A263" s="710" t="s">
        <v>29</v>
      </c>
      <c r="B263" s="721">
        <v>36965.110117480006</v>
      </c>
      <c r="C263" s="721">
        <v>15001.297869780003</v>
      </c>
      <c r="D263" s="721">
        <v>7242.5303034599992</v>
      </c>
      <c r="E263" s="721">
        <v>8617.51479483</v>
      </c>
      <c r="F263" s="721">
        <v>6103.7671494099995</v>
      </c>
      <c r="G263" s="137"/>
    </row>
    <row r="264" spans="1:7">
      <c r="A264" s="710" t="s">
        <v>3989</v>
      </c>
      <c r="B264" s="721"/>
      <c r="C264" s="721"/>
      <c r="D264" s="721"/>
      <c r="E264" s="721"/>
      <c r="F264" s="721"/>
      <c r="G264" s="137"/>
    </row>
    <row r="265" spans="1:7">
      <c r="A265" s="710" t="s">
        <v>18</v>
      </c>
      <c r="B265" s="721">
        <v>37588.947156480004</v>
      </c>
      <c r="C265" s="721">
        <v>14698.552772140001</v>
      </c>
      <c r="D265" s="721">
        <v>7242.5928627800004</v>
      </c>
      <c r="E265" s="721">
        <v>8996.3251932100011</v>
      </c>
      <c r="F265" s="721">
        <v>6651.4763283499997</v>
      </c>
      <c r="G265" s="137"/>
    </row>
    <row r="266" spans="1:7">
      <c r="A266" s="710" t="s">
        <v>19</v>
      </c>
      <c r="B266" s="721">
        <v>37154.228410869997</v>
      </c>
      <c r="C266" s="721">
        <v>15067.908634910002</v>
      </c>
      <c r="D266" s="721">
        <v>7109.2762029499982</v>
      </c>
      <c r="E266" s="721">
        <v>8179.6471325999992</v>
      </c>
      <c r="F266" s="721">
        <v>6797.3964404099988</v>
      </c>
      <c r="G266" s="137"/>
    </row>
    <row r="267" spans="1:7">
      <c r="A267" s="710" t="s">
        <v>20</v>
      </c>
      <c r="B267" s="721">
        <v>37127.632242879998</v>
      </c>
      <c r="C267" s="721">
        <v>14583.5539145</v>
      </c>
      <c r="D267" s="721">
        <v>7340.7142756500007</v>
      </c>
      <c r="E267" s="721">
        <v>8631.1554319499992</v>
      </c>
      <c r="F267" s="721">
        <v>6572.2086207799994</v>
      </c>
      <c r="G267" s="137"/>
    </row>
    <row r="268" spans="1:7">
      <c r="A268" s="710" t="s">
        <v>21</v>
      </c>
      <c r="B268" s="721">
        <v>37547.287201159997</v>
      </c>
      <c r="C268" s="721">
        <v>14273.076553629999</v>
      </c>
      <c r="D268" s="721">
        <v>7532.5948544300009</v>
      </c>
      <c r="E268" s="721">
        <v>9195.2512051499998</v>
      </c>
      <c r="F268" s="721">
        <v>6546.36458795</v>
      </c>
      <c r="G268" s="137"/>
    </row>
    <row r="269" spans="1:7">
      <c r="A269" s="710" t="s">
        <v>22</v>
      </c>
      <c r="B269" s="721">
        <v>37471.555958540004</v>
      </c>
      <c r="C269" s="721">
        <v>14136.355975610002</v>
      </c>
      <c r="D269" s="721">
        <v>8077.2384371499993</v>
      </c>
      <c r="E269" s="721">
        <v>8427.4243399400002</v>
      </c>
      <c r="F269" s="721">
        <v>6830.5372058399998</v>
      </c>
      <c r="G269" s="137"/>
    </row>
    <row r="270" spans="1:7">
      <c r="A270" s="710" t="s">
        <v>23</v>
      </c>
      <c r="B270" s="721">
        <v>38212.908973450001</v>
      </c>
      <c r="C270" s="721">
        <v>14482.514093930002</v>
      </c>
      <c r="D270" s="721">
        <v>8513.7140104399987</v>
      </c>
      <c r="E270" s="721">
        <v>8539.5293522400007</v>
      </c>
      <c r="F270" s="721">
        <v>6677.1515168400001</v>
      </c>
      <c r="G270" s="137"/>
    </row>
    <row r="271" spans="1:7">
      <c r="A271" s="710" t="s">
        <v>24</v>
      </c>
      <c r="B271" s="721">
        <v>36976.605035339999</v>
      </c>
      <c r="C271" s="721">
        <v>13864.234380200001</v>
      </c>
      <c r="D271" s="721">
        <v>8606.8593873299997</v>
      </c>
      <c r="E271" s="721">
        <v>7600.6672686800002</v>
      </c>
      <c r="F271" s="721">
        <v>6904.8439991299992</v>
      </c>
      <c r="G271" s="137"/>
    </row>
    <row r="272" spans="1:7">
      <c r="A272" s="710" t="s">
        <v>25</v>
      </c>
      <c r="B272" s="721">
        <v>37397.545183769995</v>
      </c>
      <c r="C272" s="721">
        <v>13628.312629059998</v>
      </c>
      <c r="D272" s="721">
        <v>8599.6454718199984</v>
      </c>
      <c r="E272" s="721">
        <v>8340.6820461100015</v>
      </c>
      <c r="F272" s="721">
        <v>6828.90503678</v>
      </c>
      <c r="G272" s="137"/>
    </row>
    <row r="273" spans="1:8">
      <c r="A273" s="710" t="s">
        <v>26</v>
      </c>
      <c r="B273" s="721">
        <v>38335.437444530005</v>
      </c>
      <c r="C273" s="721">
        <v>14330.93215448</v>
      </c>
      <c r="D273" s="721">
        <v>8944.7522184799982</v>
      </c>
      <c r="E273" s="721">
        <v>8627.0273010700002</v>
      </c>
      <c r="F273" s="721">
        <v>6432.7257705000011</v>
      </c>
      <c r="G273" s="137"/>
    </row>
    <row r="274" spans="1:8">
      <c r="A274" s="710" t="s">
        <v>27</v>
      </c>
      <c r="B274" s="721">
        <v>37022.114084909997</v>
      </c>
      <c r="C274" s="721">
        <v>12982.745739859998</v>
      </c>
      <c r="D274" s="721">
        <v>9435.4587462099989</v>
      </c>
      <c r="E274" s="721">
        <v>8177.1814484300012</v>
      </c>
      <c r="F274" s="721">
        <v>6426.728150410001</v>
      </c>
      <c r="G274" s="137"/>
    </row>
    <row r="275" spans="1:8">
      <c r="A275" s="710" t="s">
        <v>28</v>
      </c>
      <c r="B275" s="721">
        <v>37627.139021819996</v>
      </c>
      <c r="C275" s="721">
        <v>13415.346842289999</v>
      </c>
      <c r="D275" s="721">
        <v>9277.3194952599988</v>
      </c>
      <c r="E275" s="721">
        <v>8345.8506567799996</v>
      </c>
      <c r="F275" s="721">
        <v>6588.6220274899997</v>
      </c>
      <c r="G275" s="137"/>
    </row>
    <row r="276" spans="1:8">
      <c r="A276" s="710" t="s">
        <v>29</v>
      </c>
      <c r="B276" s="721">
        <v>40270.791496530008</v>
      </c>
      <c r="C276" s="721">
        <v>15443.020157059998</v>
      </c>
      <c r="D276" s="721">
        <v>9348.8641913899992</v>
      </c>
      <c r="E276" s="721">
        <v>8630.4222126800014</v>
      </c>
      <c r="F276" s="721">
        <v>6848.4849354000016</v>
      </c>
      <c r="G276" s="137"/>
    </row>
    <row r="277" spans="1:8">
      <c r="A277" s="710" t="s">
        <v>4222</v>
      </c>
      <c r="B277" s="721"/>
      <c r="C277" s="721"/>
      <c r="D277" s="721"/>
      <c r="E277" s="721"/>
      <c r="F277" s="721"/>
      <c r="G277" s="137"/>
    </row>
    <row r="278" spans="1:8">
      <c r="A278" s="710" t="s">
        <v>18</v>
      </c>
      <c r="B278" s="721">
        <v>40175.181765420006</v>
      </c>
      <c r="C278" s="721">
        <v>13632.79893449</v>
      </c>
      <c r="D278" s="721">
        <v>10107.606615160001</v>
      </c>
      <c r="E278" s="721">
        <v>9594.4251063100019</v>
      </c>
      <c r="F278" s="721">
        <v>6840.3511094600017</v>
      </c>
      <c r="G278" s="137"/>
    </row>
    <row r="279" spans="1:8">
      <c r="A279" s="710" t="s">
        <v>19</v>
      </c>
      <c r="B279" s="721">
        <v>40420.466221750001</v>
      </c>
      <c r="C279" s="721">
        <v>13918.429871959999</v>
      </c>
      <c r="D279" s="721">
        <v>9787.0494455700009</v>
      </c>
      <c r="E279" s="721">
        <v>9916.2954039900014</v>
      </c>
      <c r="F279" s="721">
        <v>6798.6915002300002</v>
      </c>
      <c r="G279" s="137"/>
    </row>
    <row r="280" spans="1:8">
      <c r="A280" s="710" t="s">
        <v>20</v>
      </c>
      <c r="B280" s="721">
        <v>40474.710646539999</v>
      </c>
      <c r="C280" s="721">
        <v>13535.452820580002</v>
      </c>
      <c r="D280" s="721">
        <v>10078.930402219999</v>
      </c>
      <c r="E280" s="721">
        <v>9896.0057662699983</v>
      </c>
      <c r="F280" s="721">
        <v>6964.3216574700009</v>
      </c>
      <c r="G280" s="137"/>
    </row>
    <row r="281" spans="1:8">
      <c r="A281" s="710" t="s">
        <v>21</v>
      </c>
      <c r="B281" s="721">
        <v>41433.452919609997</v>
      </c>
      <c r="C281" s="721">
        <v>13330.547668000001</v>
      </c>
      <c r="D281" s="721">
        <v>11487.511612279999</v>
      </c>
      <c r="E281" s="721">
        <v>9797.7218039799991</v>
      </c>
      <c r="F281" s="721">
        <v>6817.6718353500009</v>
      </c>
      <c r="G281" s="137"/>
    </row>
    <row r="282" spans="1:8">
      <c r="A282" s="2189" t="s">
        <v>22</v>
      </c>
      <c r="B282" s="2190">
        <v>43207.098909220003</v>
      </c>
      <c r="C282" s="2190">
        <v>13386.10209015</v>
      </c>
      <c r="D282" s="2190">
        <v>11906.866605130001</v>
      </c>
      <c r="E282" s="2190">
        <v>11141.218682019999</v>
      </c>
      <c r="F282" s="2190">
        <v>6772.91153192</v>
      </c>
      <c r="G282" s="137"/>
    </row>
    <row r="283" spans="1:8" s="798" customFormat="1" ht="46.5" customHeight="1">
      <c r="A283" s="2569" t="s">
        <v>2701</v>
      </c>
      <c r="B283" s="2569"/>
      <c r="C283" s="2569"/>
      <c r="D283" s="2569"/>
      <c r="E283" s="2569"/>
      <c r="F283" s="2569"/>
      <c r="G283" s="796"/>
      <c r="H283" s="797"/>
    </row>
    <row r="284" spans="1:8" s="798" customFormat="1" ht="13.5" customHeight="1">
      <c r="A284" s="2568" t="s">
        <v>2703</v>
      </c>
      <c r="B284" s="2568"/>
      <c r="C284" s="2568"/>
      <c r="D284" s="2568"/>
      <c r="E284" s="2568"/>
      <c r="F284" s="2568"/>
      <c r="G284" s="796"/>
      <c r="H284" s="797"/>
    </row>
    <row r="289" spans="7:8">
      <c r="G289" s="241"/>
      <c r="H289" s="241"/>
    </row>
  </sheetData>
  <mergeCells count="16">
    <mergeCell ref="A284:F284"/>
    <mergeCell ref="A283:F283"/>
    <mergeCell ref="A9:F9"/>
    <mergeCell ref="A10:A12"/>
    <mergeCell ref="B10:B12"/>
    <mergeCell ref="C10:F10"/>
    <mergeCell ref="C11:D11"/>
    <mergeCell ref="E11:F11"/>
    <mergeCell ref="A2:F2"/>
    <mergeCell ref="A3:F3"/>
    <mergeCell ref="B6:B8"/>
    <mergeCell ref="C6:F6"/>
    <mergeCell ref="C7:D7"/>
    <mergeCell ref="E7:F7"/>
    <mergeCell ref="A6:A8"/>
    <mergeCell ref="A5:F5"/>
  </mergeCells>
  <pageMargins left="0.7" right="0.7" top="0.75" bottom="0.75" header="0.3" footer="0.3"/>
  <pageSetup scale="23" orientation="portrait" r:id="rId1"/>
  <ignoredErrors>
    <ignoredError sqref="A197:A235" numberStoredAsText="1"/>
  </ignoredError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3CCAC-5936-422C-AA4B-8E59D1EC6C08}">
  <sheetPr codeName="Sheet21">
    <tabColor rgb="FF92D050"/>
  </sheetPr>
  <dimension ref="A1:AE292"/>
  <sheetViews>
    <sheetView showGridLines="0" view="pageBreakPreview" zoomScale="89" zoomScaleSheetLayoutView="89" workbookViewId="0">
      <pane ySplit="11" topLeftCell="A199" activePane="bottomLeft" state="frozen"/>
      <selection activeCell="B39" sqref="B39"/>
      <selection pane="bottomLeft" activeCell="AF230" sqref="AF230"/>
    </sheetView>
  </sheetViews>
  <sheetFormatPr defaultColWidth="8.85546875" defaultRowHeight="15"/>
  <cols>
    <col min="1" max="1" width="8" style="1749" customWidth="1"/>
    <col min="2" max="2" width="11" style="1749" customWidth="1"/>
    <col min="3" max="4" width="8.140625" style="1749" customWidth="1"/>
    <col min="5" max="5" width="9.42578125" style="1749" customWidth="1"/>
    <col min="6" max="7" width="8.140625" style="1749" customWidth="1"/>
    <col min="8" max="8" width="9.42578125" style="1749" customWidth="1"/>
    <col min="9" max="10" width="8.140625" style="1749" customWidth="1"/>
    <col min="11" max="12" width="9.42578125" style="1749" customWidth="1"/>
    <col min="13" max="14" width="8.140625" style="1749" customWidth="1"/>
    <col min="15" max="15" width="9.42578125" style="1749" customWidth="1"/>
    <col min="16" max="17" width="8.140625" style="1749" customWidth="1"/>
    <col min="18" max="18" width="9.42578125" style="1749" customWidth="1"/>
    <col min="19" max="19" width="7.28515625" style="1749" customWidth="1"/>
    <col min="20" max="21" width="8.140625" style="1749" customWidth="1"/>
    <col min="22" max="22" width="9.42578125" style="1749" customWidth="1"/>
    <col min="23" max="24" width="8.140625" style="1749" customWidth="1"/>
    <col min="25" max="26" width="9.42578125" style="1749" customWidth="1"/>
    <col min="27" max="28" width="8.140625" style="1749" customWidth="1"/>
    <col min="29" max="29" width="9.42578125" style="1749" customWidth="1"/>
    <col min="30" max="31" width="8.140625" style="1749" customWidth="1"/>
    <col min="32" max="16384" width="8.85546875" style="1749"/>
  </cols>
  <sheetData>
    <row r="1" spans="1:31" ht="12" customHeight="1"/>
    <row r="2" spans="1:31" ht="18" customHeight="1">
      <c r="A2" s="2593" t="s">
        <v>2745</v>
      </c>
      <c r="B2" s="2593"/>
      <c r="C2" s="2593"/>
      <c r="D2" s="2593"/>
      <c r="E2" s="2593"/>
      <c r="F2" s="2593"/>
      <c r="G2" s="2593"/>
      <c r="H2" s="2593"/>
      <c r="I2" s="2593"/>
      <c r="J2" s="2593"/>
      <c r="K2" s="2593"/>
      <c r="L2" s="2593"/>
      <c r="M2" s="2593"/>
      <c r="N2" s="2593"/>
      <c r="O2" s="2593"/>
      <c r="P2" s="2593"/>
      <c r="Q2" s="2593"/>
      <c r="R2" s="2593"/>
      <c r="S2" s="2593"/>
      <c r="T2" s="2593"/>
      <c r="U2" s="2593"/>
      <c r="V2" s="2593"/>
      <c r="W2" s="2593"/>
      <c r="X2" s="2593"/>
      <c r="Y2" s="2593"/>
      <c r="Z2" s="2593"/>
      <c r="AA2" s="2593"/>
      <c r="AB2" s="2593"/>
      <c r="AC2" s="2593"/>
      <c r="AD2" s="2593"/>
      <c r="AE2" s="2593"/>
    </row>
    <row r="3" spans="1:31" ht="27" customHeight="1">
      <c r="A3" s="2594" t="s">
        <v>3395</v>
      </c>
      <c r="B3" s="2594"/>
      <c r="C3" s="2594"/>
      <c r="D3" s="2594"/>
      <c r="E3" s="2594"/>
      <c r="F3" s="2594"/>
      <c r="G3" s="2594"/>
      <c r="H3" s="2594"/>
      <c r="I3" s="2594"/>
      <c r="J3" s="2594"/>
      <c r="K3" s="2594"/>
      <c r="L3" s="2594"/>
      <c r="M3" s="2594"/>
      <c r="N3" s="2594"/>
      <c r="O3" s="2594"/>
      <c r="P3" s="2594"/>
      <c r="Q3" s="2594"/>
      <c r="R3" s="2594"/>
      <c r="S3" s="2594"/>
      <c r="T3" s="2594"/>
      <c r="U3" s="2594"/>
      <c r="V3" s="2594"/>
      <c r="W3" s="2594"/>
      <c r="X3" s="2594"/>
      <c r="Y3" s="2594"/>
      <c r="Z3" s="2594"/>
      <c r="AA3" s="2594"/>
      <c r="AB3" s="2594"/>
      <c r="AC3" s="2594"/>
      <c r="AD3" s="2594"/>
      <c r="AE3" s="2594"/>
    </row>
    <row r="4" spans="1:31" s="1751" customFormat="1" ht="12.75" customHeight="1">
      <c r="A4" s="1750"/>
      <c r="B4" s="1750"/>
      <c r="C4" s="1750"/>
      <c r="D4" s="1750"/>
      <c r="E4" s="1750"/>
      <c r="F4" s="1750"/>
      <c r="G4" s="1750"/>
      <c r="H4" s="1750"/>
      <c r="I4" s="1750"/>
      <c r="J4" s="1750"/>
      <c r="K4" s="1750"/>
      <c r="L4" s="1750"/>
      <c r="M4" s="1750"/>
      <c r="N4" s="1750"/>
      <c r="O4" s="1750"/>
      <c r="P4" s="1750"/>
      <c r="Q4" s="1750"/>
      <c r="R4" s="1750"/>
      <c r="S4" s="1750"/>
      <c r="T4" s="1750"/>
      <c r="U4" s="1750"/>
      <c r="V4" s="1750"/>
      <c r="W4" s="1750"/>
      <c r="X4" s="1750"/>
      <c r="Y4" s="1750"/>
      <c r="Z4" s="1750"/>
      <c r="AA4" s="1750"/>
      <c r="AB4" s="1750"/>
      <c r="AC4" s="1750"/>
      <c r="AD4" s="1750"/>
      <c r="AE4" s="1750"/>
    </row>
    <row r="5" spans="1:31" s="1751" customFormat="1" ht="12.75" customHeight="1">
      <c r="A5" s="725"/>
      <c r="B5" s="725"/>
      <c r="C5" s="725"/>
      <c r="D5" s="725"/>
      <c r="E5" s="725"/>
      <c r="F5" s="725"/>
      <c r="G5" s="725"/>
      <c r="H5" s="725"/>
      <c r="I5" s="725"/>
      <c r="J5" s="725"/>
      <c r="K5" s="725"/>
      <c r="L5" s="725"/>
      <c r="M5" s="725"/>
      <c r="N5" s="725"/>
      <c r="O5" s="725"/>
      <c r="P5" s="725"/>
      <c r="Q5" s="725"/>
      <c r="R5" s="725"/>
      <c r="S5" s="725"/>
      <c r="T5" s="725"/>
      <c r="U5" s="725"/>
      <c r="V5" s="725"/>
      <c r="W5" s="725"/>
      <c r="X5" s="725"/>
      <c r="Y5" s="725"/>
      <c r="Z5" s="725"/>
      <c r="AA5" s="725"/>
      <c r="AB5" s="2360" t="s">
        <v>8</v>
      </c>
      <c r="AC5" s="2360"/>
      <c r="AD5" s="2360"/>
      <c r="AE5" s="2360"/>
    </row>
    <row r="6" spans="1:31" s="1752" customFormat="1" ht="14.25">
      <c r="A6" s="2595" t="s">
        <v>182</v>
      </c>
      <c r="B6" s="2598" t="s">
        <v>155</v>
      </c>
      <c r="C6" s="2599" t="s">
        <v>183</v>
      </c>
      <c r="D6" s="2600"/>
      <c r="E6" s="2603" t="s">
        <v>184</v>
      </c>
      <c r="F6" s="2590" t="s">
        <v>183</v>
      </c>
      <c r="G6" s="2590"/>
      <c r="H6" s="2604" t="s">
        <v>185</v>
      </c>
      <c r="I6" s="2590" t="s">
        <v>183</v>
      </c>
      <c r="J6" s="2590"/>
      <c r="K6" s="2586" t="s">
        <v>186</v>
      </c>
      <c r="L6" s="2587" t="s">
        <v>1175</v>
      </c>
      <c r="M6" s="2590" t="s">
        <v>183</v>
      </c>
      <c r="N6" s="2590"/>
      <c r="O6" s="2586" t="s">
        <v>357</v>
      </c>
      <c r="P6" s="2590" t="s">
        <v>183</v>
      </c>
      <c r="Q6" s="2590"/>
      <c r="R6" s="2586" t="s">
        <v>1135</v>
      </c>
      <c r="S6" s="2587" t="s">
        <v>1175</v>
      </c>
      <c r="T6" s="2590" t="s">
        <v>183</v>
      </c>
      <c r="U6" s="2590"/>
      <c r="V6" s="2586" t="s">
        <v>357</v>
      </c>
      <c r="W6" s="2590" t="s">
        <v>183</v>
      </c>
      <c r="X6" s="2590"/>
      <c r="Y6" s="2586" t="s">
        <v>188</v>
      </c>
      <c r="Z6" s="2587" t="s">
        <v>1175</v>
      </c>
      <c r="AA6" s="2590" t="s">
        <v>183</v>
      </c>
      <c r="AB6" s="2590"/>
      <c r="AC6" s="2586" t="s">
        <v>357</v>
      </c>
      <c r="AD6" s="2590" t="s">
        <v>183</v>
      </c>
      <c r="AE6" s="2590"/>
    </row>
    <row r="7" spans="1:31" s="1752" customFormat="1" ht="14.25">
      <c r="A7" s="2596"/>
      <c r="B7" s="2598"/>
      <c r="C7" s="2601"/>
      <c r="D7" s="2602"/>
      <c r="E7" s="2603"/>
      <c r="F7" s="2590"/>
      <c r="G7" s="2590"/>
      <c r="H7" s="2604"/>
      <c r="I7" s="2590"/>
      <c r="J7" s="2590"/>
      <c r="K7" s="2586"/>
      <c r="L7" s="2588"/>
      <c r="M7" s="2590"/>
      <c r="N7" s="2590"/>
      <c r="O7" s="2586"/>
      <c r="P7" s="2590"/>
      <c r="Q7" s="2590"/>
      <c r="R7" s="2586"/>
      <c r="S7" s="2588"/>
      <c r="T7" s="2590"/>
      <c r="U7" s="2590"/>
      <c r="V7" s="2586"/>
      <c r="W7" s="2590"/>
      <c r="X7" s="2590"/>
      <c r="Y7" s="2586"/>
      <c r="Z7" s="2588"/>
      <c r="AA7" s="2590"/>
      <c r="AB7" s="2590"/>
      <c r="AC7" s="2586"/>
      <c r="AD7" s="2590"/>
      <c r="AE7" s="2590"/>
    </row>
    <row r="8" spans="1:31" s="1753" customFormat="1" ht="12">
      <c r="A8" s="2596"/>
      <c r="B8" s="2598"/>
      <c r="C8" s="2587" t="s">
        <v>1176</v>
      </c>
      <c r="D8" s="2586" t="s">
        <v>207</v>
      </c>
      <c r="E8" s="2603"/>
      <c r="F8" s="2591" t="s">
        <v>1176</v>
      </c>
      <c r="G8" s="2576" t="s">
        <v>207</v>
      </c>
      <c r="H8" s="2604"/>
      <c r="I8" s="2591" t="s">
        <v>1176</v>
      </c>
      <c r="J8" s="2576" t="s">
        <v>207</v>
      </c>
      <c r="K8" s="2586"/>
      <c r="L8" s="2588"/>
      <c r="M8" s="2575" t="s">
        <v>190</v>
      </c>
      <c r="N8" s="2576" t="s">
        <v>191</v>
      </c>
      <c r="O8" s="2586"/>
      <c r="P8" s="2575" t="s">
        <v>190</v>
      </c>
      <c r="Q8" s="2576" t="s">
        <v>191</v>
      </c>
      <c r="R8" s="2586"/>
      <c r="S8" s="2588"/>
      <c r="T8" s="2575" t="s">
        <v>190</v>
      </c>
      <c r="U8" s="2576" t="s">
        <v>191</v>
      </c>
      <c r="V8" s="2586"/>
      <c r="W8" s="2575" t="s">
        <v>190</v>
      </c>
      <c r="X8" s="2576" t="s">
        <v>191</v>
      </c>
      <c r="Y8" s="2586"/>
      <c r="Z8" s="2588"/>
      <c r="AA8" s="2575" t="s">
        <v>190</v>
      </c>
      <c r="AB8" s="2576" t="s">
        <v>191</v>
      </c>
      <c r="AC8" s="2586"/>
      <c r="AD8" s="2575" t="s">
        <v>190</v>
      </c>
      <c r="AE8" s="2576" t="s">
        <v>191</v>
      </c>
    </row>
    <row r="9" spans="1:31" s="1753" customFormat="1" ht="46.9" customHeight="1">
      <c r="A9" s="2597"/>
      <c r="B9" s="2598"/>
      <c r="C9" s="2589"/>
      <c r="D9" s="2586"/>
      <c r="E9" s="2603"/>
      <c r="F9" s="2592"/>
      <c r="G9" s="2576"/>
      <c r="H9" s="2604"/>
      <c r="I9" s="2592"/>
      <c r="J9" s="2576"/>
      <c r="K9" s="2586"/>
      <c r="L9" s="2589"/>
      <c r="M9" s="2575"/>
      <c r="N9" s="2576"/>
      <c r="O9" s="2586"/>
      <c r="P9" s="2575"/>
      <c r="Q9" s="2576"/>
      <c r="R9" s="2586"/>
      <c r="S9" s="2589"/>
      <c r="T9" s="2575"/>
      <c r="U9" s="2576"/>
      <c r="V9" s="2586"/>
      <c r="W9" s="2575"/>
      <c r="X9" s="2576"/>
      <c r="Y9" s="2586"/>
      <c r="Z9" s="2589"/>
      <c r="AA9" s="2575"/>
      <c r="AB9" s="2576"/>
      <c r="AC9" s="2586"/>
      <c r="AD9" s="2575"/>
      <c r="AE9" s="2576"/>
    </row>
    <row r="10" spans="1:31" s="1754" customFormat="1">
      <c r="A10" s="2580" t="s">
        <v>289</v>
      </c>
      <c r="B10" s="2581" t="s">
        <v>105</v>
      </c>
      <c r="C10" s="2582" t="s">
        <v>106</v>
      </c>
      <c r="D10" s="2583"/>
      <c r="E10" s="2584" t="s">
        <v>1177</v>
      </c>
      <c r="F10" s="2573" t="s">
        <v>106</v>
      </c>
      <c r="G10" s="2573"/>
      <c r="H10" s="2585" t="s">
        <v>1178</v>
      </c>
      <c r="I10" s="2573" t="s">
        <v>106</v>
      </c>
      <c r="J10" s="2573"/>
      <c r="K10" s="2574" t="s">
        <v>1179</v>
      </c>
      <c r="L10" s="2574" t="s">
        <v>356</v>
      </c>
      <c r="M10" s="2573" t="s">
        <v>106</v>
      </c>
      <c r="N10" s="2573"/>
      <c r="O10" s="2574" t="s">
        <v>213</v>
      </c>
      <c r="P10" s="2573" t="s">
        <v>106</v>
      </c>
      <c r="Q10" s="2573"/>
      <c r="R10" s="2574" t="s">
        <v>1181</v>
      </c>
      <c r="S10" s="2574" t="s">
        <v>356</v>
      </c>
      <c r="T10" s="2573" t="s">
        <v>106</v>
      </c>
      <c r="U10" s="2573"/>
      <c r="V10" s="2574" t="s">
        <v>213</v>
      </c>
      <c r="W10" s="2573" t="s">
        <v>106</v>
      </c>
      <c r="X10" s="2573"/>
      <c r="Y10" s="2574" t="s">
        <v>1180</v>
      </c>
      <c r="Z10" s="2574" t="s">
        <v>356</v>
      </c>
      <c r="AA10" s="2573" t="s">
        <v>106</v>
      </c>
      <c r="AB10" s="2573"/>
      <c r="AC10" s="2574" t="s">
        <v>213</v>
      </c>
      <c r="AD10" s="2573" t="s">
        <v>106</v>
      </c>
      <c r="AE10" s="2573"/>
    </row>
    <row r="11" spans="1:31" s="1754" customFormat="1" ht="66" customHeight="1">
      <c r="A11" s="2580"/>
      <c r="B11" s="2581"/>
      <c r="C11" s="1714" t="s">
        <v>356</v>
      </c>
      <c r="D11" s="1714" t="s">
        <v>213</v>
      </c>
      <c r="E11" s="2584"/>
      <c r="F11" s="1714" t="s">
        <v>356</v>
      </c>
      <c r="G11" s="1714" t="s">
        <v>213</v>
      </c>
      <c r="H11" s="2585"/>
      <c r="I11" s="1714" t="s">
        <v>356</v>
      </c>
      <c r="J11" s="1714" t="s">
        <v>213</v>
      </c>
      <c r="K11" s="2574"/>
      <c r="L11" s="2574"/>
      <c r="M11" s="570" t="s">
        <v>1177</v>
      </c>
      <c r="N11" s="571" t="s">
        <v>1178</v>
      </c>
      <c r="O11" s="2574"/>
      <c r="P11" s="570" t="s">
        <v>1177</v>
      </c>
      <c r="Q11" s="571" t="s">
        <v>1178</v>
      </c>
      <c r="R11" s="2574"/>
      <c r="S11" s="2574"/>
      <c r="T11" s="570" t="s">
        <v>1177</v>
      </c>
      <c r="U11" s="571" t="s">
        <v>1178</v>
      </c>
      <c r="V11" s="2574"/>
      <c r="W11" s="570" t="s">
        <v>1177</v>
      </c>
      <c r="X11" s="571" t="s">
        <v>1178</v>
      </c>
      <c r="Y11" s="2574"/>
      <c r="Z11" s="2574"/>
      <c r="AA11" s="570" t="s">
        <v>1177</v>
      </c>
      <c r="AB11" s="571" t="s">
        <v>1178</v>
      </c>
      <c r="AC11" s="2574"/>
      <c r="AD11" s="570" t="s">
        <v>1177</v>
      </c>
      <c r="AE11" s="571" t="s">
        <v>1178</v>
      </c>
    </row>
    <row r="12" spans="1:31" ht="15.75">
      <c r="A12" s="1755">
        <v>2009</v>
      </c>
      <c r="B12" s="1756">
        <f>+C12+D12</f>
        <v>2334.8716709</v>
      </c>
      <c r="C12" s="1756">
        <f>+F12+I12</f>
        <v>965.59186697999996</v>
      </c>
      <c r="D12" s="1756">
        <f>+G12+J12</f>
        <v>1369.2798039199999</v>
      </c>
      <c r="E12" s="1756">
        <f>+F12+G12</f>
        <v>2149.9815619199999</v>
      </c>
      <c r="F12" s="1756">
        <f>+M12+AA12</f>
        <v>940.34621092999998</v>
      </c>
      <c r="G12" s="1756">
        <f>+P12+AD12</f>
        <v>1209.63535099</v>
      </c>
      <c r="H12" s="1756">
        <f>+I12+J12</f>
        <v>184.89010898000001</v>
      </c>
      <c r="I12" s="1756">
        <f>+N12+AB12</f>
        <v>25.245656049999997</v>
      </c>
      <c r="J12" s="1756">
        <f>+Q12+AE12</f>
        <v>159.64445293</v>
      </c>
      <c r="K12" s="1756">
        <f>+L12+O12</f>
        <v>1581.74617478</v>
      </c>
      <c r="L12" s="1756">
        <f>+M12+N12</f>
        <v>729.52573712999992</v>
      </c>
      <c r="M12" s="1756">
        <v>716.34732660999998</v>
      </c>
      <c r="N12" s="1756">
        <v>13.17841052</v>
      </c>
      <c r="O12" s="1756">
        <f t="shared" ref="O12:O29" si="0">P12+Q12</f>
        <v>852.22043765000012</v>
      </c>
      <c r="P12" s="1756">
        <v>767.8179416800001</v>
      </c>
      <c r="Q12" s="1756">
        <v>84.402495970000004</v>
      </c>
      <c r="R12" s="1756">
        <f t="shared" ref="R12:R29" si="1">S12+V12</f>
        <v>520.03121744999999</v>
      </c>
      <c r="S12" s="1756">
        <f t="shared" ref="S12:S29" si="2">T12+U12</f>
        <v>353.49315752000007</v>
      </c>
      <c r="T12" s="1756">
        <v>345.85064731000006</v>
      </c>
      <c r="U12" s="1756">
        <v>7.6425102100000002</v>
      </c>
      <c r="V12" s="1756">
        <f t="shared" ref="V12:V29" si="3">W12+X12</f>
        <v>166.53805992999997</v>
      </c>
      <c r="W12" s="1756">
        <v>142.31297461999998</v>
      </c>
      <c r="X12" s="1756">
        <v>24.225085310000001</v>
      </c>
      <c r="Y12" s="1756">
        <f t="shared" ref="Y12:Y29" si="4">Z12+AC12</f>
        <v>753.12549612000009</v>
      </c>
      <c r="Z12" s="1756">
        <f t="shared" ref="Z12:Z29" si="5">AA12+AB12</f>
        <v>236.06612985000001</v>
      </c>
      <c r="AA12" s="1756">
        <v>223.99888432</v>
      </c>
      <c r="AB12" s="1756">
        <v>12.067245529999997</v>
      </c>
      <c r="AC12" s="1756">
        <f t="shared" ref="AC12:AC29" si="6">AD12+AE12</f>
        <v>517.05936627000006</v>
      </c>
      <c r="AD12" s="1756">
        <v>441.81740931000002</v>
      </c>
      <c r="AE12" s="1756">
        <v>75.241956959999996</v>
      </c>
    </row>
    <row r="13" spans="1:31" ht="15.75">
      <c r="A13" s="1757">
        <v>2010</v>
      </c>
      <c r="B13" s="1758">
        <v>3029.7520766299999</v>
      </c>
      <c r="C13" s="1758">
        <v>1409.9405663699999</v>
      </c>
      <c r="D13" s="1758">
        <v>1619.81151026</v>
      </c>
      <c r="E13" s="1758">
        <v>2753.1319171800001</v>
      </c>
      <c r="F13" s="1758">
        <v>1369.67122221</v>
      </c>
      <c r="G13" s="1758">
        <v>1383.4606949700001</v>
      </c>
      <c r="H13" s="1758">
        <v>276.62015945000002</v>
      </c>
      <c r="I13" s="1758">
        <v>40.269344160000003</v>
      </c>
      <c r="J13" s="1758">
        <v>236.35081529000001</v>
      </c>
      <c r="K13" s="1758">
        <v>1982.55478328</v>
      </c>
      <c r="L13" s="1758">
        <v>1050.46106233</v>
      </c>
      <c r="M13" s="1758">
        <v>1028.6627618</v>
      </c>
      <c r="N13" s="1758">
        <v>21.798300529999999</v>
      </c>
      <c r="O13" s="1758">
        <v>932.09372095000003</v>
      </c>
      <c r="P13" s="1758">
        <v>822.37151931000005</v>
      </c>
      <c r="Q13" s="1758">
        <v>109.72220163999999</v>
      </c>
      <c r="R13" s="1758">
        <v>574.07753954000009</v>
      </c>
      <c r="S13" s="1758">
        <v>385.00787456</v>
      </c>
      <c r="T13" s="1758">
        <v>373.94191294000001</v>
      </c>
      <c r="U13" s="1758">
        <v>11.065961620000001</v>
      </c>
      <c r="V13" s="1758">
        <v>189.06966498000006</v>
      </c>
      <c r="W13" s="1758">
        <v>158.07785595000004</v>
      </c>
      <c r="X13" s="1758">
        <v>30.991809030000002</v>
      </c>
      <c r="Y13" s="1758">
        <v>1047.1972933500001</v>
      </c>
      <c r="Z13" s="1758">
        <v>359.47950403999999</v>
      </c>
      <c r="AA13" s="1758">
        <v>341.00846041</v>
      </c>
      <c r="AB13" s="1758">
        <v>18.47104363</v>
      </c>
      <c r="AC13" s="1758">
        <v>687.71778931000006</v>
      </c>
      <c r="AD13" s="1758">
        <v>561.08917566000002</v>
      </c>
      <c r="AE13" s="1758">
        <v>126.62861365000001</v>
      </c>
    </row>
    <row r="14" spans="1:31" hidden="1">
      <c r="A14" s="1759">
        <v>1</v>
      </c>
      <c r="B14" s="1758">
        <f t="shared" ref="B14:B29" si="7">+C14+D14</f>
        <v>2385.7566735800001</v>
      </c>
      <c r="C14" s="1758">
        <f t="shared" ref="C14:D29" si="8">+F14+I14</f>
        <v>984.89458506999995</v>
      </c>
      <c r="D14" s="1758">
        <f t="shared" si="8"/>
        <v>1400.8620885099999</v>
      </c>
      <c r="E14" s="1758">
        <f t="shared" ref="E14:E29" si="9">+F14+G14</f>
        <v>2198.1479804699998</v>
      </c>
      <c r="F14" s="1758">
        <f t="shared" ref="F14:F29" si="10">+M14+AA14</f>
        <v>958.51113047999991</v>
      </c>
      <c r="G14" s="1758">
        <f t="shared" ref="G14:G29" si="11">+P14+AD14</f>
        <v>1239.63684999</v>
      </c>
      <c r="H14" s="1758">
        <f t="shared" ref="H14:H29" si="12">+I14+J14</f>
        <v>187.60869310999999</v>
      </c>
      <c r="I14" s="1758">
        <f t="shared" ref="I14:I29" si="13">+N14+AB14</f>
        <v>26.383454589999999</v>
      </c>
      <c r="J14" s="1758">
        <f t="shared" ref="J14:J29" si="14">+Q14+AE14</f>
        <v>161.22523852</v>
      </c>
      <c r="K14" s="1758">
        <f t="shared" ref="K14:K20" si="15">+L14+O14</f>
        <v>1620.03987478</v>
      </c>
      <c r="L14" s="1758">
        <f t="shared" ref="L14:L29" si="16">+M14+N14</f>
        <v>748.34873550999987</v>
      </c>
      <c r="M14" s="1758">
        <v>734.20506462999992</v>
      </c>
      <c r="N14" s="1758">
        <v>14.14367088</v>
      </c>
      <c r="O14" s="1758">
        <f t="shared" si="0"/>
        <v>871.69113927000012</v>
      </c>
      <c r="P14" s="1758">
        <v>787.20356221000009</v>
      </c>
      <c r="Q14" s="1758">
        <v>84.487577060000007</v>
      </c>
      <c r="R14" s="1758">
        <f t="shared" si="1"/>
        <v>495.54856038999992</v>
      </c>
      <c r="S14" s="1758">
        <f t="shared" si="2"/>
        <v>328.11430781999991</v>
      </c>
      <c r="T14" s="1758">
        <v>320.49947731999993</v>
      </c>
      <c r="U14" s="1758">
        <v>7.6148305000000001</v>
      </c>
      <c r="V14" s="1758">
        <f t="shared" si="3"/>
        <v>167.43425257000001</v>
      </c>
      <c r="W14" s="1758">
        <v>144.69308780000003</v>
      </c>
      <c r="X14" s="1758">
        <v>22.741164769999997</v>
      </c>
      <c r="Y14" s="1758">
        <f t="shared" si="4"/>
        <v>765.71679880000011</v>
      </c>
      <c r="Z14" s="1758">
        <f t="shared" si="5"/>
        <v>236.54584956000002</v>
      </c>
      <c r="AA14" s="1758">
        <v>224.30606585000001</v>
      </c>
      <c r="AB14" s="1758">
        <v>12.239783709999999</v>
      </c>
      <c r="AC14" s="1758">
        <f t="shared" si="6"/>
        <v>529.17094924000003</v>
      </c>
      <c r="AD14" s="1758">
        <v>452.43328778</v>
      </c>
      <c r="AE14" s="1758">
        <v>76.737661459999998</v>
      </c>
    </row>
    <row r="15" spans="1:31" hidden="1">
      <c r="A15" s="1759">
        <v>2</v>
      </c>
      <c r="B15" s="1758">
        <f t="shared" si="7"/>
        <v>2422.8286893999998</v>
      </c>
      <c r="C15" s="1758">
        <f t="shared" si="8"/>
        <v>1029.72960706</v>
      </c>
      <c r="D15" s="1758">
        <f t="shared" si="8"/>
        <v>1393.0990823399998</v>
      </c>
      <c r="E15" s="1758">
        <f t="shared" si="9"/>
        <v>2222.3145293199996</v>
      </c>
      <c r="F15" s="1758">
        <f t="shared" si="10"/>
        <v>996.30905269999994</v>
      </c>
      <c r="G15" s="1758">
        <f t="shared" si="11"/>
        <v>1226.0054766199999</v>
      </c>
      <c r="H15" s="1758">
        <f t="shared" si="12"/>
        <v>200.51416008000001</v>
      </c>
      <c r="I15" s="1758">
        <f t="shared" si="13"/>
        <v>33.420554359999997</v>
      </c>
      <c r="J15" s="1758">
        <f t="shared" si="14"/>
        <v>167.09360572000003</v>
      </c>
      <c r="K15" s="1758">
        <f t="shared" si="15"/>
        <v>1646.96342949</v>
      </c>
      <c r="L15" s="1758">
        <f t="shared" si="16"/>
        <v>787.73736747999999</v>
      </c>
      <c r="M15" s="1758">
        <v>766.69862157</v>
      </c>
      <c r="N15" s="1758">
        <v>21.038745909999999</v>
      </c>
      <c r="O15" s="1758">
        <f t="shared" si="0"/>
        <v>859.22606200999996</v>
      </c>
      <c r="P15" s="1758">
        <v>771.02189335999992</v>
      </c>
      <c r="Q15" s="1758">
        <v>88.204168650000014</v>
      </c>
      <c r="R15" s="1758">
        <f t="shared" si="1"/>
        <v>510.42054188000003</v>
      </c>
      <c r="S15" s="1758">
        <f t="shared" si="2"/>
        <v>346.59478275000004</v>
      </c>
      <c r="T15" s="1758">
        <v>338.94568735000001</v>
      </c>
      <c r="U15" s="1758">
        <v>7.6490954000000002</v>
      </c>
      <c r="V15" s="1758">
        <f t="shared" si="3"/>
        <v>163.82575912999999</v>
      </c>
      <c r="W15" s="1758">
        <v>138.62288117999998</v>
      </c>
      <c r="X15" s="1758">
        <v>25.202877950000001</v>
      </c>
      <c r="Y15" s="1758">
        <f t="shared" si="4"/>
        <v>775.86525991000008</v>
      </c>
      <c r="Z15" s="1758">
        <f t="shared" si="5"/>
        <v>241.99223957999999</v>
      </c>
      <c r="AA15" s="1758">
        <v>229.61043112999999</v>
      </c>
      <c r="AB15" s="1758">
        <v>12.381808449999999</v>
      </c>
      <c r="AC15" s="1758">
        <f t="shared" si="6"/>
        <v>533.87302033000003</v>
      </c>
      <c r="AD15" s="1758">
        <v>454.98358325999999</v>
      </c>
      <c r="AE15" s="1758">
        <v>78.88943707</v>
      </c>
    </row>
    <row r="16" spans="1:31" hidden="1">
      <c r="A16" s="1759">
        <v>3</v>
      </c>
      <c r="B16" s="1758">
        <f t="shared" si="7"/>
        <v>2394.9631016999997</v>
      </c>
      <c r="C16" s="1758">
        <f t="shared" si="8"/>
        <v>980.62264517999995</v>
      </c>
      <c r="D16" s="1758">
        <f t="shared" si="8"/>
        <v>1414.3404565199999</v>
      </c>
      <c r="E16" s="1758">
        <f t="shared" si="9"/>
        <v>2165.2093463299998</v>
      </c>
      <c r="F16" s="1758">
        <f t="shared" si="10"/>
        <v>947.3857183099999</v>
      </c>
      <c r="G16" s="1758">
        <f t="shared" si="11"/>
        <v>1217.8236280199999</v>
      </c>
      <c r="H16" s="1758">
        <f t="shared" si="12"/>
        <v>229.75375537000002</v>
      </c>
      <c r="I16" s="1758">
        <f t="shared" si="13"/>
        <v>33.236926870000005</v>
      </c>
      <c r="J16" s="1758">
        <f t="shared" si="14"/>
        <v>196.5168285</v>
      </c>
      <c r="K16" s="1758">
        <f t="shared" si="15"/>
        <v>1596.1196230800001</v>
      </c>
      <c r="L16" s="1758">
        <f t="shared" si="16"/>
        <v>728.57798585</v>
      </c>
      <c r="M16" s="1758">
        <v>707.55199848999996</v>
      </c>
      <c r="N16" s="1758">
        <v>21.025987360000002</v>
      </c>
      <c r="O16" s="1758">
        <f t="shared" si="0"/>
        <v>867.54163722999999</v>
      </c>
      <c r="P16" s="1758">
        <v>753.06996697</v>
      </c>
      <c r="Q16" s="1758">
        <v>114.47167026</v>
      </c>
      <c r="R16" s="1758">
        <f t="shared" si="1"/>
        <v>453.32058209000002</v>
      </c>
      <c r="S16" s="1758">
        <f t="shared" si="2"/>
        <v>276.60139115999993</v>
      </c>
      <c r="T16" s="1758">
        <v>267.79145539999996</v>
      </c>
      <c r="U16" s="1758">
        <v>8.8099357600000001</v>
      </c>
      <c r="V16" s="1758">
        <f t="shared" si="3"/>
        <v>176.71919093000005</v>
      </c>
      <c r="W16" s="1758">
        <v>151.87859067000005</v>
      </c>
      <c r="X16" s="1758">
        <v>24.840600260000002</v>
      </c>
      <c r="Y16" s="1758">
        <f t="shared" si="4"/>
        <v>798.84347862000004</v>
      </c>
      <c r="Z16" s="1758">
        <f t="shared" si="5"/>
        <v>252.04465933</v>
      </c>
      <c r="AA16" s="1758">
        <v>239.83371982</v>
      </c>
      <c r="AB16" s="1758">
        <v>12.210939509999999</v>
      </c>
      <c r="AC16" s="1758">
        <f t="shared" si="6"/>
        <v>546.79881928999998</v>
      </c>
      <c r="AD16" s="1758">
        <v>464.75366105000001</v>
      </c>
      <c r="AE16" s="1758">
        <v>82.045158240000006</v>
      </c>
    </row>
    <row r="17" spans="1:31" hidden="1">
      <c r="A17" s="1759">
        <v>4</v>
      </c>
      <c r="B17" s="1758">
        <f t="shared" si="7"/>
        <v>2474.7451724799998</v>
      </c>
      <c r="C17" s="1758">
        <f t="shared" si="8"/>
        <v>1070.3465200400001</v>
      </c>
      <c r="D17" s="1758">
        <f t="shared" si="8"/>
        <v>1404.3986524399998</v>
      </c>
      <c r="E17" s="1758">
        <f t="shared" si="9"/>
        <v>2243.6622416599998</v>
      </c>
      <c r="F17" s="1758">
        <f t="shared" si="10"/>
        <v>1034.97521663</v>
      </c>
      <c r="G17" s="1758">
        <f t="shared" si="11"/>
        <v>1208.6870250299999</v>
      </c>
      <c r="H17" s="1758">
        <f t="shared" si="12"/>
        <v>231.08293082</v>
      </c>
      <c r="I17" s="1758">
        <f t="shared" si="13"/>
        <v>35.371303410000003</v>
      </c>
      <c r="J17" s="1758">
        <f t="shared" si="14"/>
        <v>195.71162741000001</v>
      </c>
      <c r="K17" s="1758">
        <f t="shared" si="15"/>
        <v>1649.7198340999998</v>
      </c>
      <c r="L17" s="1758">
        <f t="shared" si="16"/>
        <v>808.99133410000002</v>
      </c>
      <c r="M17" s="1758">
        <v>785.81950931000006</v>
      </c>
      <c r="N17" s="1758">
        <v>23.171824790000002</v>
      </c>
      <c r="O17" s="1758">
        <f t="shared" si="0"/>
        <v>840.72849999999994</v>
      </c>
      <c r="P17" s="1758">
        <v>727.35913864999998</v>
      </c>
      <c r="Q17" s="1758">
        <v>113.36936134999999</v>
      </c>
      <c r="R17" s="1758">
        <f t="shared" si="1"/>
        <v>494.21133439000005</v>
      </c>
      <c r="S17" s="1758">
        <f t="shared" si="2"/>
        <v>342.60319303000006</v>
      </c>
      <c r="T17" s="1758">
        <v>334.35324584000006</v>
      </c>
      <c r="U17" s="1758">
        <v>8.2499471900000003</v>
      </c>
      <c r="V17" s="1758">
        <f t="shared" si="3"/>
        <v>151.60814135999999</v>
      </c>
      <c r="W17" s="1758">
        <v>123.79325000999999</v>
      </c>
      <c r="X17" s="1758">
        <v>27.814891350000003</v>
      </c>
      <c r="Y17" s="1758">
        <f t="shared" si="4"/>
        <v>825.02533837999999</v>
      </c>
      <c r="Z17" s="1758">
        <f t="shared" si="5"/>
        <v>261.35518594000001</v>
      </c>
      <c r="AA17" s="1758">
        <v>249.15570732</v>
      </c>
      <c r="AB17" s="1758">
        <v>12.199478620000001</v>
      </c>
      <c r="AC17" s="1758">
        <f t="shared" si="6"/>
        <v>563.67015244000004</v>
      </c>
      <c r="AD17" s="1758">
        <v>481.32788638</v>
      </c>
      <c r="AE17" s="1758">
        <v>82.34226606</v>
      </c>
    </row>
    <row r="18" spans="1:31" hidden="1">
      <c r="A18" s="1759">
        <v>5</v>
      </c>
      <c r="B18" s="1758">
        <f t="shared" si="7"/>
        <v>2481.70096117</v>
      </c>
      <c r="C18" s="1758">
        <f t="shared" si="8"/>
        <v>1061.70389834</v>
      </c>
      <c r="D18" s="1758">
        <f t="shared" si="8"/>
        <v>1419.99706283</v>
      </c>
      <c r="E18" s="1758">
        <f t="shared" si="9"/>
        <v>2253.7982198</v>
      </c>
      <c r="F18" s="1758">
        <f t="shared" si="10"/>
        <v>1027.41710334</v>
      </c>
      <c r="G18" s="1758">
        <f t="shared" si="11"/>
        <v>1226.3811164599999</v>
      </c>
      <c r="H18" s="1758">
        <f t="shared" si="12"/>
        <v>227.90274137</v>
      </c>
      <c r="I18" s="1758">
        <f t="shared" si="13"/>
        <v>34.286794999999998</v>
      </c>
      <c r="J18" s="1758">
        <f t="shared" si="14"/>
        <v>193.61594637000002</v>
      </c>
      <c r="K18" s="1758">
        <f t="shared" si="15"/>
        <v>1653.1428037599999</v>
      </c>
      <c r="L18" s="1758">
        <f t="shared" si="16"/>
        <v>797.51454086000001</v>
      </c>
      <c r="M18" s="1758">
        <v>775.48334707000004</v>
      </c>
      <c r="N18" s="1758">
        <v>22.03119379</v>
      </c>
      <c r="O18" s="1758">
        <f t="shared" si="0"/>
        <v>855.62826289999998</v>
      </c>
      <c r="P18" s="1758">
        <v>744.83533221999994</v>
      </c>
      <c r="Q18" s="1758">
        <v>110.79293068000001</v>
      </c>
      <c r="R18" s="1758">
        <f t="shared" si="1"/>
        <v>488.13707039999997</v>
      </c>
      <c r="S18" s="1758">
        <f t="shared" si="2"/>
        <v>325.97959022999999</v>
      </c>
      <c r="T18" s="1758">
        <v>318.08818076</v>
      </c>
      <c r="U18" s="1758">
        <v>7.8914094700000001</v>
      </c>
      <c r="V18" s="1758">
        <f t="shared" si="3"/>
        <v>162.15748017000001</v>
      </c>
      <c r="W18" s="1758">
        <v>136.91766004000002</v>
      </c>
      <c r="X18" s="1758">
        <v>25.239820130000002</v>
      </c>
      <c r="Y18" s="1758">
        <f t="shared" si="4"/>
        <v>828.55815741000004</v>
      </c>
      <c r="Z18" s="1758">
        <f t="shared" si="5"/>
        <v>264.18935748000001</v>
      </c>
      <c r="AA18" s="1758">
        <v>251.93375627</v>
      </c>
      <c r="AB18" s="1758">
        <v>12.25560121</v>
      </c>
      <c r="AC18" s="1758">
        <f t="shared" si="6"/>
        <v>564.36879993000002</v>
      </c>
      <c r="AD18" s="1758">
        <v>481.54578423999999</v>
      </c>
      <c r="AE18" s="1758">
        <v>82.823015690000005</v>
      </c>
    </row>
    <row r="19" spans="1:31" hidden="1">
      <c r="A19" s="1759">
        <v>6</v>
      </c>
      <c r="B19" s="1758">
        <f t="shared" si="7"/>
        <v>2562.83582191</v>
      </c>
      <c r="C19" s="1758">
        <f t="shared" si="8"/>
        <v>1112.4802394800001</v>
      </c>
      <c r="D19" s="1758">
        <f t="shared" si="8"/>
        <v>1450.3555824300001</v>
      </c>
      <c r="E19" s="1758">
        <f t="shared" si="9"/>
        <v>2328.14721422</v>
      </c>
      <c r="F19" s="1758">
        <f t="shared" si="10"/>
        <v>1073.8226409000001</v>
      </c>
      <c r="G19" s="1758">
        <f t="shared" si="11"/>
        <v>1254.3245733200001</v>
      </c>
      <c r="H19" s="1758">
        <f t="shared" si="12"/>
        <v>234.68860769000003</v>
      </c>
      <c r="I19" s="1758">
        <f t="shared" si="13"/>
        <v>38.657598579999998</v>
      </c>
      <c r="J19" s="1758">
        <f t="shared" si="14"/>
        <v>196.03100911000001</v>
      </c>
      <c r="K19" s="1758">
        <f t="shared" si="15"/>
        <v>1711.6235453700001</v>
      </c>
      <c r="L19" s="1758">
        <f t="shared" si="16"/>
        <v>837.24547739000002</v>
      </c>
      <c r="M19" s="1758">
        <v>814.75039459000004</v>
      </c>
      <c r="N19" s="1758">
        <v>22.495082799999999</v>
      </c>
      <c r="O19" s="1758">
        <f t="shared" si="0"/>
        <v>874.37806797999997</v>
      </c>
      <c r="P19" s="1758">
        <v>763.15453316000003</v>
      </c>
      <c r="Q19" s="1758">
        <v>111.22353482</v>
      </c>
      <c r="R19" s="1758">
        <f t="shared" si="1"/>
        <v>523.03755899999999</v>
      </c>
      <c r="S19" s="1758">
        <f t="shared" si="2"/>
        <v>356.81037192999997</v>
      </c>
      <c r="T19" s="1758">
        <v>343.92267056999998</v>
      </c>
      <c r="U19" s="1758">
        <v>12.887701359999999</v>
      </c>
      <c r="V19" s="1758">
        <f t="shared" si="3"/>
        <v>166.22718707000001</v>
      </c>
      <c r="W19" s="1758">
        <v>140.17602475000001</v>
      </c>
      <c r="X19" s="1758">
        <v>26.05116232</v>
      </c>
      <c r="Y19" s="1758">
        <f t="shared" si="4"/>
        <v>851.21227653999995</v>
      </c>
      <c r="Z19" s="1758">
        <f t="shared" si="5"/>
        <v>275.23476209</v>
      </c>
      <c r="AA19" s="1758">
        <v>259.07224631000003</v>
      </c>
      <c r="AB19" s="1758">
        <v>16.16251578</v>
      </c>
      <c r="AC19" s="1758">
        <f t="shared" si="6"/>
        <v>575.97751444999994</v>
      </c>
      <c r="AD19" s="1758">
        <v>491.17004015999999</v>
      </c>
      <c r="AE19" s="1758">
        <v>84.807474290000002</v>
      </c>
    </row>
    <row r="20" spans="1:31" hidden="1">
      <c r="A20" s="1759">
        <v>7</v>
      </c>
      <c r="B20" s="1758">
        <f t="shared" si="7"/>
        <v>2716.2651976500001</v>
      </c>
      <c r="C20" s="1758">
        <f t="shared" si="8"/>
        <v>1212.0917760699999</v>
      </c>
      <c r="D20" s="1758">
        <f t="shared" si="8"/>
        <v>1504.1734215800002</v>
      </c>
      <c r="E20" s="1758">
        <f t="shared" si="9"/>
        <v>2480.95948142</v>
      </c>
      <c r="F20" s="1758">
        <f t="shared" si="10"/>
        <v>1173.5092171199999</v>
      </c>
      <c r="G20" s="1758">
        <f t="shared" si="11"/>
        <v>1307.4502643000001</v>
      </c>
      <c r="H20" s="1758">
        <f t="shared" si="12"/>
        <v>235.30571623000003</v>
      </c>
      <c r="I20" s="1758">
        <f t="shared" si="13"/>
        <v>38.582558950000006</v>
      </c>
      <c r="J20" s="1758">
        <f t="shared" si="14"/>
        <v>196.72315728000001</v>
      </c>
      <c r="K20" s="1758">
        <f t="shared" si="15"/>
        <v>1830.47295712</v>
      </c>
      <c r="L20" s="1758">
        <f t="shared" si="16"/>
        <v>919.30402593999997</v>
      </c>
      <c r="M20" s="1758">
        <v>898.05716949999999</v>
      </c>
      <c r="N20" s="1758">
        <v>21.246856440000002</v>
      </c>
      <c r="O20" s="1758">
        <f t="shared" si="0"/>
        <v>911.16893118000007</v>
      </c>
      <c r="P20" s="1758">
        <v>806.51771411000004</v>
      </c>
      <c r="Q20" s="1758">
        <v>104.65121707</v>
      </c>
      <c r="R20" s="1758">
        <f t="shared" si="1"/>
        <v>571.18026027999997</v>
      </c>
      <c r="S20" s="1758">
        <f t="shared" si="2"/>
        <v>390.98637384</v>
      </c>
      <c r="T20" s="1758">
        <v>381.83419182</v>
      </c>
      <c r="U20" s="1758">
        <v>9.1521820199999997</v>
      </c>
      <c r="V20" s="1758">
        <f t="shared" si="3"/>
        <v>180.19388643999997</v>
      </c>
      <c r="W20" s="1758">
        <v>154.40856262999998</v>
      </c>
      <c r="X20" s="1758">
        <v>25.785323809999998</v>
      </c>
      <c r="Y20" s="1758">
        <f t="shared" si="4"/>
        <v>885.79224053000007</v>
      </c>
      <c r="Z20" s="1758">
        <f t="shared" si="5"/>
        <v>292.78775013000001</v>
      </c>
      <c r="AA20" s="1758">
        <v>275.45204762000003</v>
      </c>
      <c r="AB20" s="1758">
        <v>17.335702510000001</v>
      </c>
      <c r="AC20" s="1758">
        <f t="shared" si="6"/>
        <v>593.00449040000001</v>
      </c>
      <c r="AD20" s="1758">
        <v>500.93255018999997</v>
      </c>
      <c r="AE20" s="1758">
        <v>92.071940209999994</v>
      </c>
    </row>
    <row r="21" spans="1:31" hidden="1">
      <c r="A21" s="1759">
        <v>8</v>
      </c>
      <c r="B21" s="1758">
        <f t="shared" si="7"/>
        <v>2720.8074087499999</v>
      </c>
      <c r="C21" s="1758">
        <f t="shared" si="8"/>
        <v>1186.96496387</v>
      </c>
      <c r="D21" s="1758">
        <f t="shared" si="8"/>
        <v>1533.8424448799999</v>
      </c>
      <c r="E21" s="1758">
        <f t="shared" si="9"/>
        <v>2475.3234267299999</v>
      </c>
      <c r="F21" s="1758">
        <f t="shared" si="10"/>
        <v>1150.4242307</v>
      </c>
      <c r="G21" s="1758">
        <f t="shared" si="11"/>
        <v>1324.89919603</v>
      </c>
      <c r="H21" s="1758">
        <f t="shared" si="12"/>
        <v>245.48398201999998</v>
      </c>
      <c r="I21" s="1758">
        <f t="shared" si="13"/>
        <v>36.540733170000003</v>
      </c>
      <c r="J21" s="1758">
        <f t="shared" si="14"/>
        <v>208.94324884999997</v>
      </c>
      <c r="K21" s="1758">
        <f>+L21+O21</f>
        <v>1802.3728617300001</v>
      </c>
      <c r="L21" s="1758">
        <f t="shared" si="16"/>
        <v>876.04747244000009</v>
      </c>
      <c r="M21" s="1758">
        <v>856.98685096000008</v>
      </c>
      <c r="N21" s="1758">
        <v>19.060621480000002</v>
      </c>
      <c r="O21" s="1758">
        <f t="shared" si="0"/>
        <v>926.32538928999998</v>
      </c>
      <c r="P21" s="1758">
        <v>818.67524112000001</v>
      </c>
      <c r="Q21" s="1758">
        <v>107.65014816999999</v>
      </c>
      <c r="R21" s="1758">
        <f t="shared" si="1"/>
        <v>500.33615320000001</v>
      </c>
      <c r="S21" s="1758">
        <f t="shared" si="2"/>
        <v>327.24065817000002</v>
      </c>
      <c r="T21" s="1758">
        <v>317.29276216</v>
      </c>
      <c r="U21" s="1758">
        <v>9.9478960099999991</v>
      </c>
      <c r="V21" s="1758">
        <f t="shared" si="3"/>
        <v>173.09549503</v>
      </c>
      <c r="W21" s="1758">
        <v>145.28047014999999</v>
      </c>
      <c r="X21" s="1758">
        <v>27.815024880000003</v>
      </c>
      <c r="Y21" s="1758">
        <f t="shared" si="4"/>
        <v>918.43454701999985</v>
      </c>
      <c r="Z21" s="1758">
        <f t="shared" si="5"/>
        <v>310.91749142999998</v>
      </c>
      <c r="AA21" s="1758">
        <v>293.43737973999998</v>
      </c>
      <c r="AB21" s="1758">
        <v>17.480111690000001</v>
      </c>
      <c r="AC21" s="1758">
        <f t="shared" si="6"/>
        <v>607.51705558999993</v>
      </c>
      <c r="AD21" s="1758">
        <v>506.22395490999997</v>
      </c>
      <c r="AE21" s="1758">
        <v>101.29310067999999</v>
      </c>
    </row>
    <row r="22" spans="1:31" hidden="1">
      <c r="A22" s="1759">
        <v>9</v>
      </c>
      <c r="B22" s="1758">
        <f t="shared" si="7"/>
        <v>2798.3141282899996</v>
      </c>
      <c r="C22" s="1758">
        <f t="shared" si="8"/>
        <v>1245.5884828000001</v>
      </c>
      <c r="D22" s="1758">
        <f t="shared" si="8"/>
        <v>1552.7256454899998</v>
      </c>
      <c r="E22" s="1758">
        <f t="shared" si="9"/>
        <v>2541.6270219999997</v>
      </c>
      <c r="F22" s="1758">
        <f t="shared" si="10"/>
        <v>1206.23803677</v>
      </c>
      <c r="G22" s="1758">
        <f t="shared" si="11"/>
        <v>1335.3889852299999</v>
      </c>
      <c r="H22" s="1758">
        <f t="shared" si="12"/>
        <v>256.68710629000003</v>
      </c>
      <c r="I22" s="1758">
        <f t="shared" si="13"/>
        <v>39.350446030000001</v>
      </c>
      <c r="J22" s="1758">
        <f t="shared" si="14"/>
        <v>217.33666026000003</v>
      </c>
      <c r="K22" s="1758">
        <f t="shared" ref="K22:K29" si="17">+L22+O22</f>
        <v>1857.0890481699998</v>
      </c>
      <c r="L22" s="1758">
        <f t="shared" si="16"/>
        <v>922.80662541999993</v>
      </c>
      <c r="M22" s="1758">
        <v>900.97212835999994</v>
      </c>
      <c r="N22" s="1758">
        <v>21.834497059999997</v>
      </c>
      <c r="O22" s="1758">
        <f t="shared" si="0"/>
        <v>934.28242275000002</v>
      </c>
      <c r="P22" s="1758">
        <v>820.82542999999998</v>
      </c>
      <c r="Q22" s="1758">
        <v>113.45699275000001</v>
      </c>
      <c r="R22" s="1758">
        <f t="shared" si="1"/>
        <v>524.63056880999989</v>
      </c>
      <c r="S22" s="1758">
        <f t="shared" si="2"/>
        <v>349.64738546999996</v>
      </c>
      <c r="T22" s="1758">
        <v>338.36879901999998</v>
      </c>
      <c r="U22" s="1758">
        <v>11.278586449999999</v>
      </c>
      <c r="V22" s="1758">
        <f t="shared" si="3"/>
        <v>174.98318333999998</v>
      </c>
      <c r="W22" s="1758">
        <v>146.70725561999998</v>
      </c>
      <c r="X22" s="1758">
        <v>28.275927720000002</v>
      </c>
      <c r="Y22" s="1758">
        <f t="shared" si="4"/>
        <v>941.22508012000003</v>
      </c>
      <c r="Z22" s="1758">
        <f t="shared" si="5"/>
        <v>322.78185738000002</v>
      </c>
      <c r="AA22" s="1758">
        <v>305.26590841000001</v>
      </c>
      <c r="AB22" s="1758">
        <v>17.51594897</v>
      </c>
      <c r="AC22" s="1758">
        <f t="shared" si="6"/>
        <v>618.44322274000001</v>
      </c>
      <c r="AD22" s="1758">
        <v>514.56355523000002</v>
      </c>
      <c r="AE22" s="1758">
        <v>103.87966751</v>
      </c>
    </row>
    <row r="23" spans="1:31" hidden="1">
      <c r="A23" s="1759">
        <v>10</v>
      </c>
      <c r="B23" s="1758">
        <f t="shared" si="7"/>
        <v>2887.52964651</v>
      </c>
      <c r="C23" s="1758">
        <f t="shared" si="8"/>
        <v>1308.5327202799999</v>
      </c>
      <c r="D23" s="1758">
        <f t="shared" si="8"/>
        <v>1578.9969262300001</v>
      </c>
      <c r="E23" s="1758">
        <f t="shared" si="9"/>
        <v>2642.4944710499999</v>
      </c>
      <c r="F23" s="1758">
        <f t="shared" si="10"/>
        <v>1269.2193216999999</v>
      </c>
      <c r="G23" s="1758">
        <f t="shared" si="11"/>
        <v>1373.27514935</v>
      </c>
      <c r="H23" s="1758">
        <f t="shared" si="12"/>
        <v>245.03517546</v>
      </c>
      <c r="I23" s="1758">
        <f t="shared" si="13"/>
        <v>39.313398579999998</v>
      </c>
      <c r="J23" s="1758">
        <f t="shared" si="14"/>
        <v>205.72177687999999</v>
      </c>
      <c r="K23" s="1758">
        <f t="shared" si="17"/>
        <v>1896.3183770599999</v>
      </c>
      <c r="L23" s="1758">
        <f t="shared" si="16"/>
        <v>962.58070470999996</v>
      </c>
      <c r="M23" s="1758">
        <v>941.03463070999999</v>
      </c>
      <c r="N23" s="1758">
        <v>21.546073999999997</v>
      </c>
      <c r="O23" s="1758">
        <f t="shared" si="0"/>
        <v>933.73767234999991</v>
      </c>
      <c r="P23" s="1758">
        <v>835.56842071999995</v>
      </c>
      <c r="Q23" s="1758">
        <v>98.169251629999991</v>
      </c>
      <c r="R23" s="1758">
        <f t="shared" si="1"/>
        <v>576.34303089000002</v>
      </c>
      <c r="S23" s="1758">
        <f t="shared" si="2"/>
        <v>385.43445643000001</v>
      </c>
      <c r="T23" s="1758">
        <v>374.16780999000002</v>
      </c>
      <c r="U23" s="1758">
        <v>11.266646439999999</v>
      </c>
      <c r="V23" s="1758">
        <f t="shared" si="3"/>
        <v>190.90857445999998</v>
      </c>
      <c r="W23" s="1758">
        <v>162.55348000999999</v>
      </c>
      <c r="X23" s="1758">
        <v>28.355094449999999</v>
      </c>
      <c r="Y23" s="1758">
        <f t="shared" si="4"/>
        <v>991.21126945000003</v>
      </c>
      <c r="Z23" s="1758">
        <f t="shared" si="5"/>
        <v>345.95201556999996</v>
      </c>
      <c r="AA23" s="1758">
        <v>328.18469098999998</v>
      </c>
      <c r="AB23" s="1758">
        <v>17.76732458</v>
      </c>
      <c r="AC23" s="1758">
        <f t="shared" si="6"/>
        <v>645.25925388000007</v>
      </c>
      <c r="AD23" s="1758">
        <v>537.70672863000004</v>
      </c>
      <c r="AE23" s="1758">
        <v>107.55252525</v>
      </c>
    </row>
    <row r="24" spans="1:31" hidden="1">
      <c r="A24" s="1759">
        <v>11</v>
      </c>
      <c r="B24" s="1758">
        <f t="shared" si="7"/>
        <v>2868.4287497800001</v>
      </c>
      <c r="C24" s="1758">
        <f t="shared" si="8"/>
        <v>1297.4377133</v>
      </c>
      <c r="D24" s="1758">
        <f t="shared" si="8"/>
        <v>1570.99103648</v>
      </c>
      <c r="E24" s="1758">
        <f t="shared" si="9"/>
        <v>2611.73494059</v>
      </c>
      <c r="F24" s="1758">
        <f t="shared" si="10"/>
        <v>1259.19981117</v>
      </c>
      <c r="G24" s="1758">
        <f t="shared" si="11"/>
        <v>1352.53512942</v>
      </c>
      <c r="H24" s="1758">
        <f t="shared" si="12"/>
        <v>256.69380919000002</v>
      </c>
      <c r="I24" s="1758">
        <f t="shared" si="13"/>
        <v>38.237902130000002</v>
      </c>
      <c r="J24" s="1758">
        <f t="shared" si="14"/>
        <v>218.45590706000002</v>
      </c>
      <c r="K24" s="1758">
        <f t="shared" si="17"/>
        <v>1856.40667261</v>
      </c>
      <c r="L24" s="1758">
        <f t="shared" si="16"/>
        <v>941.23767450000003</v>
      </c>
      <c r="M24" s="1758">
        <v>920.95187013999998</v>
      </c>
      <c r="N24" s="1758">
        <v>20.28580436</v>
      </c>
      <c r="O24" s="1758">
        <f t="shared" si="0"/>
        <v>915.16899811000008</v>
      </c>
      <c r="P24" s="1758">
        <v>807.02573340000004</v>
      </c>
      <c r="Q24" s="1758">
        <v>108.14326471000001</v>
      </c>
      <c r="R24" s="1758">
        <f t="shared" si="1"/>
        <v>504.74436416999993</v>
      </c>
      <c r="S24" s="1758">
        <f t="shared" si="2"/>
        <v>327.80126077999995</v>
      </c>
      <c r="T24" s="1758">
        <v>317.54026840999995</v>
      </c>
      <c r="U24" s="1758">
        <v>10.260992369999999</v>
      </c>
      <c r="V24" s="1758">
        <f t="shared" si="3"/>
        <v>176.94310339</v>
      </c>
      <c r="W24" s="1758">
        <v>149.13601165</v>
      </c>
      <c r="X24" s="1758">
        <v>27.807091740000001</v>
      </c>
      <c r="Y24" s="1758">
        <f t="shared" si="4"/>
        <v>1012.02207717</v>
      </c>
      <c r="Z24" s="1758">
        <f t="shared" si="5"/>
        <v>356.20003880000002</v>
      </c>
      <c r="AA24" s="1758">
        <v>338.24794102999999</v>
      </c>
      <c r="AB24" s="1758">
        <v>17.952097770000002</v>
      </c>
      <c r="AC24" s="1758">
        <f t="shared" si="6"/>
        <v>655.82203836999997</v>
      </c>
      <c r="AD24" s="1758">
        <v>545.50939601999994</v>
      </c>
      <c r="AE24" s="1758">
        <v>110.31264235</v>
      </c>
    </row>
    <row r="25" spans="1:31" hidden="1">
      <c r="A25" s="1759">
        <v>12</v>
      </c>
      <c r="B25" s="1758">
        <f t="shared" si="7"/>
        <v>3029.7520766299999</v>
      </c>
      <c r="C25" s="1758">
        <f t="shared" si="8"/>
        <v>1409.9405663699999</v>
      </c>
      <c r="D25" s="1758">
        <f t="shared" si="8"/>
        <v>1619.81151026</v>
      </c>
      <c r="E25" s="1758">
        <f t="shared" si="9"/>
        <v>2753.1319171800001</v>
      </c>
      <c r="F25" s="1758">
        <f t="shared" si="10"/>
        <v>1369.67122221</v>
      </c>
      <c r="G25" s="1758">
        <f t="shared" si="11"/>
        <v>1383.4606949700001</v>
      </c>
      <c r="H25" s="1758">
        <f t="shared" si="12"/>
        <v>276.62015945000002</v>
      </c>
      <c r="I25" s="1758">
        <f t="shared" si="13"/>
        <v>40.269344160000003</v>
      </c>
      <c r="J25" s="1758">
        <f t="shared" si="14"/>
        <v>236.35081529000001</v>
      </c>
      <c r="K25" s="1758">
        <f t="shared" si="17"/>
        <v>1982.55478328</v>
      </c>
      <c r="L25" s="1758">
        <f t="shared" si="16"/>
        <v>1050.46106233</v>
      </c>
      <c r="M25" s="1758">
        <v>1028.6627618</v>
      </c>
      <c r="N25" s="1758">
        <v>21.798300529999999</v>
      </c>
      <c r="O25" s="1758">
        <f t="shared" si="0"/>
        <v>932.09372095000003</v>
      </c>
      <c r="P25" s="1758">
        <v>822.37151931000005</v>
      </c>
      <c r="Q25" s="1758">
        <v>109.72220163999999</v>
      </c>
      <c r="R25" s="1758">
        <f t="shared" si="1"/>
        <v>574.07753954000009</v>
      </c>
      <c r="S25" s="1758">
        <f t="shared" si="2"/>
        <v>385.00787456</v>
      </c>
      <c r="T25" s="1758">
        <v>373.94191294000001</v>
      </c>
      <c r="U25" s="1758">
        <v>11.065961620000001</v>
      </c>
      <c r="V25" s="1758">
        <f t="shared" si="3"/>
        <v>189.06966498000006</v>
      </c>
      <c r="W25" s="1758">
        <v>158.07785595000004</v>
      </c>
      <c r="X25" s="1758">
        <v>30.991809030000002</v>
      </c>
      <c r="Y25" s="1758">
        <f t="shared" si="4"/>
        <v>1047.1972933500001</v>
      </c>
      <c r="Z25" s="1758">
        <f t="shared" si="5"/>
        <v>359.47950403999999</v>
      </c>
      <c r="AA25" s="1758">
        <v>341.00846041</v>
      </c>
      <c r="AB25" s="1758">
        <v>18.47104363</v>
      </c>
      <c r="AC25" s="1758">
        <f t="shared" si="6"/>
        <v>687.71778931000006</v>
      </c>
      <c r="AD25" s="1758">
        <v>561.08917566000002</v>
      </c>
      <c r="AE25" s="1758">
        <v>126.62861365000001</v>
      </c>
    </row>
    <row r="26" spans="1:31" ht="15.75">
      <c r="A26" s="1757">
        <v>2011</v>
      </c>
      <c r="B26" s="1758">
        <v>4119.8374570199994</v>
      </c>
      <c r="C26" s="1758">
        <v>2281.6742900099998</v>
      </c>
      <c r="D26" s="1758">
        <v>1838.1631670100001</v>
      </c>
      <c r="E26" s="1758">
        <v>3747.3870726099994</v>
      </c>
      <c r="F26" s="1758">
        <v>2225.2523184399997</v>
      </c>
      <c r="G26" s="1758">
        <v>1522.13475417</v>
      </c>
      <c r="H26" s="1758">
        <v>372.45038440999997</v>
      </c>
      <c r="I26" s="1758">
        <v>56.421971569999997</v>
      </c>
      <c r="J26" s="1758">
        <v>316.02841283999999</v>
      </c>
      <c r="K26" s="1758">
        <v>2640.2781299799999</v>
      </c>
      <c r="L26" s="1758">
        <v>1615.5138685099998</v>
      </c>
      <c r="M26" s="1758">
        <v>1576.7078550199999</v>
      </c>
      <c r="N26" s="1758">
        <v>38.806013489999998</v>
      </c>
      <c r="O26" s="1758">
        <v>1024.7642614700001</v>
      </c>
      <c r="P26" s="1758">
        <v>846.78046261999998</v>
      </c>
      <c r="Q26" s="1758">
        <v>177.98379885000003</v>
      </c>
      <c r="R26" s="1758">
        <v>843.78939447999983</v>
      </c>
      <c r="S26" s="1758">
        <v>613.14276837999989</v>
      </c>
      <c r="T26" s="1758">
        <v>598.90492479999989</v>
      </c>
      <c r="U26" s="1758">
        <v>14.23784358</v>
      </c>
      <c r="V26" s="1758">
        <v>230.64662609999999</v>
      </c>
      <c r="W26" s="1758">
        <v>188.46886025000001</v>
      </c>
      <c r="X26" s="1758">
        <v>42.17776585</v>
      </c>
      <c r="Y26" s="1758">
        <v>1479.55932704</v>
      </c>
      <c r="Z26" s="1758">
        <v>666.16042149999998</v>
      </c>
      <c r="AA26" s="1758">
        <v>648.54446341999994</v>
      </c>
      <c r="AB26" s="1758">
        <v>17.615958079999999</v>
      </c>
      <c r="AC26" s="1758">
        <v>813.39890553999999</v>
      </c>
      <c r="AD26" s="1758">
        <v>675.35429154999997</v>
      </c>
      <c r="AE26" s="1758">
        <v>138.04461398999999</v>
      </c>
    </row>
    <row r="27" spans="1:31" hidden="1">
      <c r="A27" s="1760">
        <v>1</v>
      </c>
      <c r="B27" s="1758">
        <f t="shared" si="7"/>
        <v>3072.1312173899996</v>
      </c>
      <c r="C27" s="1758">
        <f t="shared" si="8"/>
        <v>1388.6811291700001</v>
      </c>
      <c r="D27" s="1758">
        <f t="shared" si="8"/>
        <v>1683.4500882199998</v>
      </c>
      <c r="E27" s="1758">
        <f t="shared" si="9"/>
        <v>2793.9685544699996</v>
      </c>
      <c r="F27" s="1758">
        <f t="shared" si="10"/>
        <v>1348.22280325</v>
      </c>
      <c r="G27" s="1758">
        <f t="shared" si="11"/>
        <v>1445.7457512199999</v>
      </c>
      <c r="H27" s="1758">
        <f t="shared" si="12"/>
        <v>278.16266292</v>
      </c>
      <c r="I27" s="1758">
        <f t="shared" si="13"/>
        <v>40.45832592</v>
      </c>
      <c r="J27" s="1758">
        <f t="shared" si="14"/>
        <v>237.70433699999998</v>
      </c>
      <c r="K27" s="1758">
        <f t="shared" si="17"/>
        <v>1993.4201421499997</v>
      </c>
      <c r="L27" s="1758">
        <f t="shared" si="16"/>
        <v>1021.0301880199999</v>
      </c>
      <c r="M27" s="1758">
        <v>999.51221319999991</v>
      </c>
      <c r="N27" s="1758">
        <v>21.517974819999999</v>
      </c>
      <c r="O27" s="1758">
        <f t="shared" si="0"/>
        <v>972.38995412999998</v>
      </c>
      <c r="P27" s="1758">
        <v>863.64217873999996</v>
      </c>
      <c r="Q27" s="1758">
        <v>108.74777538999999</v>
      </c>
      <c r="R27" s="1758">
        <f t="shared" si="1"/>
        <v>575.05018775999997</v>
      </c>
      <c r="S27" s="1758">
        <f t="shared" si="2"/>
        <v>352.36563034999995</v>
      </c>
      <c r="T27" s="1758">
        <v>341.89018159999995</v>
      </c>
      <c r="U27" s="1758">
        <v>10.47544875</v>
      </c>
      <c r="V27" s="1758">
        <f t="shared" si="3"/>
        <v>222.68455740999997</v>
      </c>
      <c r="W27" s="1758">
        <v>191.33102738999997</v>
      </c>
      <c r="X27" s="1758">
        <v>31.353530020000001</v>
      </c>
      <c r="Y27" s="1758">
        <f t="shared" si="4"/>
        <v>1078.7110752399999</v>
      </c>
      <c r="Z27" s="1758">
        <f t="shared" si="5"/>
        <v>367.65094114999999</v>
      </c>
      <c r="AA27" s="1758">
        <v>348.71059005000001</v>
      </c>
      <c r="AB27" s="1758">
        <v>18.940351100000001</v>
      </c>
      <c r="AC27" s="1758">
        <f t="shared" si="6"/>
        <v>711.06013409000002</v>
      </c>
      <c r="AD27" s="1758">
        <v>582.10357248000003</v>
      </c>
      <c r="AE27" s="1758">
        <v>128.95656160999999</v>
      </c>
    </row>
    <row r="28" spans="1:31" hidden="1">
      <c r="A28" s="1760">
        <v>2</v>
      </c>
      <c r="B28" s="1758">
        <f t="shared" si="7"/>
        <v>3142.9067649100002</v>
      </c>
      <c r="C28" s="1758">
        <f t="shared" si="8"/>
        <v>1487.8513265500001</v>
      </c>
      <c r="D28" s="1758">
        <f t="shared" si="8"/>
        <v>1655.0554383600002</v>
      </c>
      <c r="E28" s="1758">
        <f t="shared" si="9"/>
        <v>2864.0972923200006</v>
      </c>
      <c r="F28" s="1758">
        <f t="shared" si="10"/>
        <v>1446.9984427000002</v>
      </c>
      <c r="G28" s="1758">
        <f t="shared" si="11"/>
        <v>1417.0988496200002</v>
      </c>
      <c r="H28" s="1758">
        <f t="shared" si="12"/>
        <v>278.80947258999998</v>
      </c>
      <c r="I28" s="1758">
        <f t="shared" si="13"/>
        <v>40.852883849999998</v>
      </c>
      <c r="J28" s="1758">
        <f t="shared" si="14"/>
        <v>237.95658874</v>
      </c>
      <c r="K28" s="1758">
        <f t="shared" si="17"/>
        <v>2049.83709924</v>
      </c>
      <c r="L28" s="1758">
        <f t="shared" si="16"/>
        <v>1115.1497055100001</v>
      </c>
      <c r="M28" s="1758">
        <v>1093.3286710100001</v>
      </c>
      <c r="N28" s="1758">
        <v>21.8210345</v>
      </c>
      <c r="O28" s="1758">
        <f t="shared" si="0"/>
        <v>934.68739373000005</v>
      </c>
      <c r="P28" s="1758">
        <v>828.14898779000009</v>
      </c>
      <c r="Q28" s="1758">
        <v>106.53840593999999</v>
      </c>
      <c r="R28" s="1758">
        <f t="shared" si="1"/>
        <v>614.03971422999996</v>
      </c>
      <c r="S28" s="1758">
        <f t="shared" si="2"/>
        <v>426.50273661</v>
      </c>
      <c r="T28" s="1758">
        <v>415.08898418000001</v>
      </c>
      <c r="U28" s="1758">
        <v>11.413752429999999</v>
      </c>
      <c r="V28" s="1758">
        <f t="shared" si="3"/>
        <v>187.53697761999999</v>
      </c>
      <c r="W28" s="1758">
        <v>155.81740033</v>
      </c>
      <c r="X28" s="1758">
        <v>31.71957729</v>
      </c>
      <c r="Y28" s="1758">
        <f t="shared" si="4"/>
        <v>1093.0696656699999</v>
      </c>
      <c r="Z28" s="1758">
        <f t="shared" si="5"/>
        <v>372.70162104000002</v>
      </c>
      <c r="AA28" s="1758">
        <v>353.66977169</v>
      </c>
      <c r="AB28" s="1758">
        <v>19.031849350000002</v>
      </c>
      <c r="AC28" s="1758">
        <f t="shared" si="6"/>
        <v>720.36804462999999</v>
      </c>
      <c r="AD28" s="1758">
        <v>588.94986183000003</v>
      </c>
      <c r="AE28" s="1758">
        <v>131.41818280000001</v>
      </c>
    </row>
    <row r="29" spans="1:31" hidden="1">
      <c r="A29" s="1760">
        <v>3</v>
      </c>
      <c r="B29" s="1758">
        <f t="shared" si="7"/>
        <v>3289.13620975</v>
      </c>
      <c r="C29" s="1758">
        <f t="shared" si="8"/>
        <v>1514.67471271</v>
      </c>
      <c r="D29" s="1758">
        <f t="shared" si="8"/>
        <v>1774.46149704</v>
      </c>
      <c r="E29" s="1758">
        <f t="shared" si="9"/>
        <v>3005.1889364899998</v>
      </c>
      <c r="F29" s="1758">
        <f t="shared" si="10"/>
        <v>1476.5827620099999</v>
      </c>
      <c r="G29" s="1758">
        <f t="shared" si="11"/>
        <v>1528.6061744799999</v>
      </c>
      <c r="H29" s="1758">
        <f t="shared" si="12"/>
        <v>283.94727326000003</v>
      </c>
      <c r="I29" s="1758">
        <f t="shared" si="13"/>
        <v>38.091950699999998</v>
      </c>
      <c r="J29" s="1758">
        <f t="shared" si="14"/>
        <v>245.85532256000002</v>
      </c>
      <c r="K29" s="1758">
        <f t="shared" si="17"/>
        <v>2089.5310464099998</v>
      </c>
      <c r="L29" s="1758">
        <f t="shared" si="16"/>
        <v>1139.58409345</v>
      </c>
      <c r="M29" s="1758">
        <v>1117.7655891899999</v>
      </c>
      <c r="N29" s="1758">
        <v>21.818504259999997</v>
      </c>
      <c r="O29" s="1758">
        <f t="shared" si="0"/>
        <v>949.94695295999998</v>
      </c>
      <c r="P29" s="1758">
        <v>839.16299196</v>
      </c>
      <c r="Q29" s="1758">
        <v>110.78396100000001</v>
      </c>
      <c r="R29" s="1758">
        <f t="shared" si="1"/>
        <v>608.64503751999996</v>
      </c>
      <c r="S29" s="1758">
        <f t="shared" si="2"/>
        <v>411.43732685999998</v>
      </c>
      <c r="T29" s="1758">
        <v>400.05283784</v>
      </c>
      <c r="U29" s="1758">
        <v>11.384489019999998</v>
      </c>
      <c r="V29" s="1758">
        <f t="shared" si="3"/>
        <v>197.20771066000003</v>
      </c>
      <c r="W29" s="1758">
        <v>164.54670804000003</v>
      </c>
      <c r="X29" s="1758">
        <v>32.661002620000005</v>
      </c>
      <c r="Y29" s="1758">
        <f t="shared" si="4"/>
        <v>1199.60516334</v>
      </c>
      <c r="Z29" s="1758">
        <f t="shared" si="5"/>
        <v>375.09061925999998</v>
      </c>
      <c r="AA29" s="1758">
        <v>358.81717282</v>
      </c>
      <c r="AB29" s="1758">
        <v>16.273446440000001</v>
      </c>
      <c r="AC29" s="1758">
        <f t="shared" si="6"/>
        <v>824.51454407999995</v>
      </c>
      <c r="AD29" s="1758">
        <v>689.44318251999994</v>
      </c>
      <c r="AE29" s="1758">
        <v>135.07136156000001</v>
      </c>
    </row>
    <row r="30" spans="1:31" hidden="1">
      <c r="A30" s="1760">
        <v>4</v>
      </c>
      <c r="B30" s="1758">
        <f>+C30+D30</f>
        <v>3358.6820325299996</v>
      </c>
      <c r="C30" s="1758">
        <f t="shared" ref="C30:D32" si="18">+F30+I30</f>
        <v>1555.9722181799998</v>
      </c>
      <c r="D30" s="1758">
        <f t="shared" si="18"/>
        <v>1802.7098143499998</v>
      </c>
      <c r="E30" s="1758">
        <f>+F30+G30</f>
        <v>3069.7795907299997</v>
      </c>
      <c r="F30" s="1758">
        <f>+M30+AA30</f>
        <v>1517.8652517399998</v>
      </c>
      <c r="G30" s="1758">
        <f>+P30+AD30</f>
        <v>1551.9143389899998</v>
      </c>
      <c r="H30" s="1758">
        <f>+I30+J30</f>
        <v>288.90244180000002</v>
      </c>
      <c r="I30" s="1758">
        <f>+N30+AB30</f>
        <v>38.106966439999994</v>
      </c>
      <c r="J30" s="1758">
        <f>+Q30+AE30</f>
        <v>250.79547536000001</v>
      </c>
      <c r="K30" s="1758">
        <f>+L30+O30</f>
        <v>2120.3649516299997</v>
      </c>
      <c r="L30" s="1758">
        <f>+M30+N30</f>
        <v>1154.45868636</v>
      </c>
      <c r="M30" s="1758">
        <v>1132.7305356899999</v>
      </c>
      <c r="N30" s="1758">
        <v>21.728150669999998</v>
      </c>
      <c r="O30" s="1758">
        <f>P30+Q30</f>
        <v>965.90626526999984</v>
      </c>
      <c r="P30" s="1758">
        <v>852.45385943999986</v>
      </c>
      <c r="Q30" s="1758">
        <v>113.45240583</v>
      </c>
      <c r="R30" s="1758">
        <f>S30+V30</f>
        <v>631.13291092999998</v>
      </c>
      <c r="S30" s="1758">
        <f>T30+U30</f>
        <v>430.59949551</v>
      </c>
      <c r="T30" s="1758">
        <v>418.93577388</v>
      </c>
      <c r="U30" s="1758">
        <v>11.663721630000001</v>
      </c>
      <c r="V30" s="1758">
        <f>W30+X30</f>
        <v>200.53341541999995</v>
      </c>
      <c r="W30" s="1758">
        <v>166.31272977999996</v>
      </c>
      <c r="X30" s="1758">
        <v>34.220685639999992</v>
      </c>
      <c r="Y30" s="1758">
        <f>Z30+AC30</f>
        <v>1238.3170808999998</v>
      </c>
      <c r="Z30" s="1758">
        <f>AA30+AB30</f>
        <v>401.51353182000003</v>
      </c>
      <c r="AA30" s="1758">
        <v>385.13471605000001</v>
      </c>
      <c r="AB30" s="1758">
        <v>16.378815769999999</v>
      </c>
      <c r="AC30" s="1758">
        <f>AD30+AE30</f>
        <v>836.80354907999993</v>
      </c>
      <c r="AD30" s="1758">
        <v>699.46047954999995</v>
      </c>
      <c r="AE30" s="1758">
        <v>137.34306953000001</v>
      </c>
    </row>
    <row r="31" spans="1:31" hidden="1">
      <c r="A31" s="1760">
        <v>5</v>
      </c>
      <c r="B31" s="1758">
        <f>+C31+D31</f>
        <v>3321.4622767800001</v>
      </c>
      <c r="C31" s="1758">
        <f t="shared" si="18"/>
        <v>1577.7175126500001</v>
      </c>
      <c r="D31" s="1758">
        <f t="shared" si="18"/>
        <v>1743.7447641299998</v>
      </c>
      <c r="E31" s="1758">
        <f>+F31+G31</f>
        <v>3029.0114991099999</v>
      </c>
      <c r="F31" s="1758">
        <f>+M31+AA31</f>
        <v>1537.9609659600001</v>
      </c>
      <c r="G31" s="1758">
        <f>+P31+AD31</f>
        <v>1491.0505331499999</v>
      </c>
      <c r="H31" s="1758">
        <f>+I31+J31</f>
        <v>292.45077766999998</v>
      </c>
      <c r="I31" s="1758">
        <f>+N31+AB31</f>
        <v>39.75654669</v>
      </c>
      <c r="J31" s="1758">
        <f>+Q31+AE31</f>
        <v>252.69423097999999</v>
      </c>
      <c r="K31" s="1758">
        <f>+L31+O31</f>
        <v>2117.8241179699999</v>
      </c>
      <c r="L31" s="1758">
        <f>(+M31+N31)</f>
        <v>1153.1648539100001</v>
      </c>
      <c r="M31" s="1758">
        <v>1129.6905461700001</v>
      </c>
      <c r="N31" s="1758">
        <v>23.47430774</v>
      </c>
      <c r="O31" s="1758">
        <f>P31+Q31</f>
        <v>964.65926405999994</v>
      </c>
      <c r="P31" s="1758">
        <v>848.68281552999997</v>
      </c>
      <c r="Q31" s="1758">
        <v>115.97644853000001</v>
      </c>
      <c r="R31" s="1758">
        <f>S31+V31</f>
        <v>640.54337295000005</v>
      </c>
      <c r="S31" s="1758">
        <f>T31+U31</f>
        <v>428.80747981000002</v>
      </c>
      <c r="T31" s="1758">
        <v>416.40295070000002</v>
      </c>
      <c r="U31" s="1758">
        <v>12.40452911</v>
      </c>
      <c r="V31" s="1758">
        <f>W31+X31</f>
        <v>211.73589314000003</v>
      </c>
      <c r="W31" s="1758">
        <v>175.08719787000001</v>
      </c>
      <c r="X31" s="1758">
        <v>36.648695270000005</v>
      </c>
      <c r="Y31" s="1758">
        <f>Z31+AC31</f>
        <v>1203.63815881</v>
      </c>
      <c r="Z31" s="1758">
        <f>AA31+AB31</f>
        <v>424.55265874000003</v>
      </c>
      <c r="AA31" s="1758">
        <v>408.27041979000001</v>
      </c>
      <c r="AB31" s="1758">
        <v>16.28223895</v>
      </c>
      <c r="AC31" s="1758">
        <f>AD31+AE31</f>
        <v>779.08550006999997</v>
      </c>
      <c r="AD31" s="1758">
        <v>642.36771762000001</v>
      </c>
      <c r="AE31" s="1758">
        <v>136.71778244999999</v>
      </c>
    </row>
    <row r="32" spans="1:31" hidden="1">
      <c r="A32" s="1760">
        <v>6</v>
      </c>
      <c r="B32" s="1758">
        <f>+C32+D32</f>
        <v>3451.4294540000001</v>
      </c>
      <c r="C32" s="1758">
        <f t="shared" si="18"/>
        <v>1674.2001243799998</v>
      </c>
      <c r="D32" s="1758">
        <f t="shared" si="18"/>
        <v>1777.22932962</v>
      </c>
      <c r="E32" s="1758">
        <f>+F32+G32</f>
        <v>3156.3301891999999</v>
      </c>
      <c r="F32" s="1758">
        <f>+M32+AA32</f>
        <v>1634.7911974899998</v>
      </c>
      <c r="G32" s="1758">
        <f>+P32+AD32</f>
        <v>1521.5389917100001</v>
      </c>
      <c r="H32" s="1758">
        <f>+I32+J32</f>
        <v>295.09926480000001</v>
      </c>
      <c r="I32" s="1758">
        <f>+N32+AB32</f>
        <v>39.408926889999996</v>
      </c>
      <c r="J32" s="1758">
        <f>+Q32+AE32</f>
        <v>255.69033791000001</v>
      </c>
      <c r="K32" s="1758">
        <f>+L32+O32</f>
        <v>2202.2772249700001</v>
      </c>
      <c r="L32" s="1758">
        <f>(+M32+N32)</f>
        <v>1235.13767117</v>
      </c>
      <c r="M32" s="1758">
        <v>1211.62053167</v>
      </c>
      <c r="N32" s="1758">
        <v>23.517139499999999</v>
      </c>
      <c r="O32" s="1758">
        <f>P32+Q32</f>
        <v>967.13955379999993</v>
      </c>
      <c r="P32" s="1758">
        <v>851.26943202999996</v>
      </c>
      <c r="Q32" s="1758">
        <v>115.87012177</v>
      </c>
      <c r="R32" s="1758">
        <f>S32+V32</f>
        <v>698.21442935000005</v>
      </c>
      <c r="S32" s="1758">
        <f>T32+U32</f>
        <v>485.03161867000006</v>
      </c>
      <c r="T32" s="1758">
        <v>473.29168300000003</v>
      </c>
      <c r="U32" s="1758">
        <v>11.739935669999999</v>
      </c>
      <c r="V32" s="1758">
        <f>W32+X32</f>
        <v>213.18281067999999</v>
      </c>
      <c r="W32" s="1758">
        <v>174.3885018</v>
      </c>
      <c r="X32" s="1758">
        <v>38.794308880000003</v>
      </c>
      <c r="Y32" s="1758">
        <f>Z32+AC32</f>
        <v>1249.1522290299999</v>
      </c>
      <c r="Z32" s="1758">
        <f>AA32+AB32</f>
        <v>439.06245320999994</v>
      </c>
      <c r="AA32" s="1758">
        <v>423.17066581999995</v>
      </c>
      <c r="AB32" s="1758">
        <v>15.891787389999999</v>
      </c>
      <c r="AC32" s="1758">
        <f>AD32+AE32</f>
        <v>810.08977582000011</v>
      </c>
      <c r="AD32" s="1758">
        <v>670.26955968000004</v>
      </c>
      <c r="AE32" s="1758">
        <v>139.82021614000001</v>
      </c>
    </row>
    <row r="33" spans="1:31" hidden="1">
      <c r="A33" s="1760">
        <v>7</v>
      </c>
      <c r="B33" s="1758">
        <f>+C33+D33</f>
        <v>3543.6408617500001</v>
      </c>
      <c r="C33" s="1758">
        <f>+F33+I33</f>
        <v>1745.40367109</v>
      </c>
      <c r="D33" s="1758">
        <f>+G33+J33</f>
        <v>1798.2371906600001</v>
      </c>
      <c r="E33" s="1758">
        <f>+F33+G33</f>
        <v>3228.1626874399999</v>
      </c>
      <c r="F33" s="1758">
        <f>+M33+AA33</f>
        <v>1705.19663517</v>
      </c>
      <c r="G33" s="1758">
        <f>+P33+AD33</f>
        <v>1522.9660522700001</v>
      </c>
      <c r="H33" s="1758">
        <f>+I33+J33</f>
        <v>315.47817431000004</v>
      </c>
      <c r="I33" s="1758">
        <f>+N33+AB33</f>
        <v>40.207035919999996</v>
      </c>
      <c r="J33" s="1758">
        <f>+Q33+AE33</f>
        <v>275.27113839000003</v>
      </c>
      <c r="K33" s="1758">
        <f>+L33+O33</f>
        <v>2242.1092349400001</v>
      </c>
      <c r="L33" s="1758">
        <f>(+M33+N33)</f>
        <v>1278.6928524700002</v>
      </c>
      <c r="M33" s="1758">
        <v>1254.6082479900001</v>
      </c>
      <c r="N33" s="1758">
        <v>24.084604479999999</v>
      </c>
      <c r="O33" s="1758">
        <f>P33+Q33</f>
        <v>963.41638246999992</v>
      </c>
      <c r="P33" s="1758">
        <v>831.78723308999997</v>
      </c>
      <c r="Q33" s="1758">
        <v>131.62914938</v>
      </c>
      <c r="R33" s="1758">
        <f>S33+V33</f>
        <v>738.9080111400001</v>
      </c>
      <c r="S33" s="1758">
        <f>T33+U33</f>
        <v>517.85449964000009</v>
      </c>
      <c r="T33" s="1758">
        <v>506.18611441000007</v>
      </c>
      <c r="U33" s="1758">
        <v>11.66838523</v>
      </c>
      <c r="V33" s="1758">
        <f>W33+X33</f>
        <v>221.05351150000001</v>
      </c>
      <c r="W33" s="1758">
        <v>180.77334060000001</v>
      </c>
      <c r="X33" s="1758">
        <v>40.280170900000002</v>
      </c>
      <c r="Y33" s="1758">
        <f>Z33+AC33</f>
        <v>1301.53162681</v>
      </c>
      <c r="Z33" s="1758">
        <f>AA33+AB33</f>
        <v>466.71081862</v>
      </c>
      <c r="AA33" s="1758">
        <v>450.58838717999998</v>
      </c>
      <c r="AB33" s="1758">
        <v>16.12243144</v>
      </c>
      <c r="AC33" s="1758">
        <f>AD33+AE33</f>
        <v>834.82080818999998</v>
      </c>
      <c r="AD33" s="1758">
        <v>691.17881918</v>
      </c>
      <c r="AE33" s="1758">
        <v>143.64198901</v>
      </c>
    </row>
    <row r="34" spans="1:31" hidden="1">
      <c r="A34" s="1760">
        <v>8</v>
      </c>
      <c r="B34" s="1758">
        <v>3660.7234386299997</v>
      </c>
      <c r="C34" s="1758">
        <v>1837.70567848</v>
      </c>
      <c r="D34" s="1758">
        <v>1823.01776015</v>
      </c>
      <c r="E34" s="1758">
        <v>3341.2512515199996</v>
      </c>
      <c r="F34" s="1758">
        <v>1793.2349224299999</v>
      </c>
      <c r="G34" s="1758">
        <v>1548.01632909</v>
      </c>
      <c r="H34" s="1758">
        <v>319.47218710999994</v>
      </c>
      <c r="I34" s="1758">
        <v>44.470756049999999</v>
      </c>
      <c r="J34" s="1758">
        <v>275.00143105999996</v>
      </c>
      <c r="K34" s="1758">
        <v>2304.4993147599998</v>
      </c>
      <c r="L34" s="1758">
        <v>1343.9873504899999</v>
      </c>
      <c r="M34" s="1758">
        <v>1315.0583001099999</v>
      </c>
      <c r="N34" s="1758">
        <v>28.92905038</v>
      </c>
      <c r="O34" s="1758">
        <v>960.51196427000002</v>
      </c>
      <c r="P34" s="1758">
        <v>829.61670271000003</v>
      </c>
      <c r="Q34" s="1758">
        <v>130.89526155999999</v>
      </c>
      <c r="R34" s="1758">
        <v>774.89832870999999</v>
      </c>
      <c r="S34" s="1758">
        <v>561.26581954000005</v>
      </c>
      <c r="T34" s="1758">
        <v>546.19266758000003</v>
      </c>
      <c r="U34" s="1758">
        <v>15.073151960000001</v>
      </c>
      <c r="V34" s="1758">
        <v>213.63250916999999</v>
      </c>
      <c r="W34" s="1758">
        <v>174.74798201999999</v>
      </c>
      <c r="X34" s="1758">
        <v>38.884527149999997</v>
      </c>
      <c r="Y34" s="1758">
        <v>1356.2241238699999</v>
      </c>
      <c r="Z34" s="1758">
        <v>493.71832798999998</v>
      </c>
      <c r="AA34" s="1758">
        <v>478.17662231999998</v>
      </c>
      <c r="AB34" s="1758">
        <v>15.541705670000001</v>
      </c>
      <c r="AC34" s="1758">
        <v>862.50579587999994</v>
      </c>
      <c r="AD34" s="1758">
        <v>718.39962637999997</v>
      </c>
      <c r="AE34" s="1758">
        <v>144.10616949999999</v>
      </c>
    </row>
    <row r="35" spans="1:31" hidden="1">
      <c r="A35" s="1760">
        <v>9</v>
      </c>
      <c r="B35" s="1758">
        <f>+C35+D35</f>
        <v>3622.4216608500001</v>
      </c>
      <c r="C35" s="1758">
        <f t="shared" ref="C35:D37" si="19">+F35+I35</f>
        <v>1798.7007750599998</v>
      </c>
      <c r="D35" s="1758">
        <f t="shared" si="19"/>
        <v>1823.7208857900002</v>
      </c>
      <c r="E35" s="1758">
        <f>+F35+G35</f>
        <v>3301.87825918</v>
      </c>
      <c r="F35" s="1758">
        <f>+M35+AA35</f>
        <v>1755.7630382799998</v>
      </c>
      <c r="G35" s="1758">
        <f>+P35+AD35</f>
        <v>1546.1152209000002</v>
      </c>
      <c r="H35" s="1758">
        <f>+I35+J35</f>
        <v>320.54340167000004</v>
      </c>
      <c r="I35" s="1758">
        <f>+N35+AB35</f>
        <v>42.937736780000002</v>
      </c>
      <c r="J35" s="1758">
        <f>+Q35+AE35</f>
        <v>277.60566489000001</v>
      </c>
      <c r="K35" s="1758">
        <f>+L35+O35</f>
        <v>2207.5095781600003</v>
      </c>
      <c r="L35" s="1758">
        <f>M35+N35</f>
        <v>1270.9284819699999</v>
      </c>
      <c r="M35" s="1758">
        <v>1243.27559415</v>
      </c>
      <c r="N35" s="1758">
        <v>27.65288782</v>
      </c>
      <c r="O35" s="1758">
        <f>P35+Q35</f>
        <v>936.58109619000015</v>
      </c>
      <c r="P35" s="1758">
        <v>805.39899179000008</v>
      </c>
      <c r="Q35" s="1758">
        <v>131.18210440000001</v>
      </c>
      <c r="R35" s="1758">
        <f>S35+V35</f>
        <v>663.32986907999998</v>
      </c>
      <c r="S35" s="1758">
        <f>T35+U35</f>
        <v>454.73067648</v>
      </c>
      <c r="T35" s="1758">
        <v>441.42866126000001</v>
      </c>
      <c r="U35" s="1758">
        <v>13.302015219999999</v>
      </c>
      <c r="V35" s="1758">
        <f>W35+X35</f>
        <v>208.59919260000001</v>
      </c>
      <c r="W35" s="1758">
        <v>172.77462405</v>
      </c>
      <c r="X35" s="1758">
        <v>35.824568550000002</v>
      </c>
      <c r="Y35" s="1758">
        <f>Z35+AC35</f>
        <v>1414.91208269</v>
      </c>
      <c r="Z35" s="1758">
        <f>AA35+AB35</f>
        <v>527.77229308999995</v>
      </c>
      <c r="AA35" s="1758">
        <v>512.48744412999997</v>
      </c>
      <c r="AB35" s="1758">
        <v>15.28484896</v>
      </c>
      <c r="AC35" s="1758">
        <f>AD35+AE35</f>
        <v>887.13978960000009</v>
      </c>
      <c r="AD35" s="1758">
        <v>740.71622911000009</v>
      </c>
      <c r="AE35" s="1758">
        <v>146.42356049</v>
      </c>
    </row>
    <row r="36" spans="1:31" hidden="1">
      <c r="A36" s="1760">
        <v>10</v>
      </c>
      <c r="B36" s="1758">
        <f>+C36+D36</f>
        <v>3674.9500908</v>
      </c>
      <c r="C36" s="1758">
        <f t="shared" si="19"/>
        <v>1823.2473730700001</v>
      </c>
      <c r="D36" s="1758">
        <f t="shared" si="19"/>
        <v>1851.7027177300001</v>
      </c>
      <c r="E36" s="1758">
        <f>+F36+G36</f>
        <v>3349.0632772400004</v>
      </c>
      <c r="F36" s="1758">
        <f>+M36+AA36</f>
        <v>1778.6873445800002</v>
      </c>
      <c r="G36" s="1758">
        <f>+P36+AD36</f>
        <v>1570.37593266</v>
      </c>
      <c r="H36" s="1758">
        <f>+I36+J36</f>
        <v>325.88681356000001</v>
      </c>
      <c r="I36" s="1758">
        <f>+N36+AB36</f>
        <v>44.560028490000001</v>
      </c>
      <c r="J36" s="1758">
        <f>+Q36+AE36</f>
        <v>281.32678507000003</v>
      </c>
      <c r="K36" s="1758">
        <f>+L36+O36</f>
        <v>2218.5641748200001</v>
      </c>
      <c r="L36" s="1758">
        <f>M36+N36</f>
        <v>1277.2987592700001</v>
      </c>
      <c r="M36" s="1758">
        <v>1248.6488293500001</v>
      </c>
      <c r="N36" s="1758">
        <v>28.649929919999998</v>
      </c>
      <c r="O36" s="1758">
        <f>P36+Q36</f>
        <v>941.26541554999994</v>
      </c>
      <c r="P36" s="1758">
        <v>808.84038536999992</v>
      </c>
      <c r="Q36" s="1758">
        <v>132.42503018000002</v>
      </c>
      <c r="R36" s="1758">
        <f>S36+V36</f>
        <v>643.05534983999996</v>
      </c>
      <c r="S36" s="1758">
        <f>T36+U36</f>
        <v>432.68067533999999</v>
      </c>
      <c r="T36" s="1758">
        <v>418.71257238999999</v>
      </c>
      <c r="U36" s="1758">
        <v>13.96810295</v>
      </c>
      <c r="V36" s="1758">
        <f>W36+X36</f>
        <v>210.3746745</v>
      </c>
      <c r="W36" s="1758">
        <v>175.16818782999999</v>
      </c>
      <c r="X36" s="1758">
        <v>35.206486670000004</v>
      </c>
      <c r="Y36" s="1758">
        <f>Z36+AC36</f>
        <v>1456.3859159799999</v>
      </c>
      <c r="Z36" s="1758">
        <f>AA36+AB36</f>
        <v>545.94861379999998</v>
      </c>
      <c r="AA36" s="1758">
        <v>530.03851523000003</v>
      </c>
      <c r="AB36" s="1758">
        <v>15.910098570000001</v>
      </c>
      <c r="AC36" s="1758">
        <f>AD36+AE36</f>
        <v>910.43730218000007</v>
      </c>
      <c r="AD36" s="1758">
        <v>761.53554729000007</v>
      </c>
      <c r="AE36" s="1758">
        <v>148.90175489000001</v>
      </c>
    </row>
    <row r="37" spans="1:31" hidden="1">
      <c r="A37" s="1760">
        <v>11</v>
      </c>
      <c r="B37" s="1758">
        <f>+C37+D37</f>
        <v>3830.0952434999999</v>
      </c>
      <c r="C37" s="1758">
        <f t="shared" si="19"/>
        <v>1970.17044476</v>
      </c>
      <c r="D37" s="1758">
        <f t="shared" si="19"/>
        <v>1859.9247987399999</v>
      </c>
      <c r="E37" s="1758">
        <f>+F37+G37</f>
        <v>3481.2427367199998</v>
      </c>
      <c r="F37" s="1758">
        <f>+M37+AA37</f>
        <v>1924.90769974</v>
      </c>
      <c r="G37" s="1758">
        <f>+P37+AD37</f>
        <v>1556.33503698</v>
      </c>
      <c r="H37" s="1758">
        <f>+I37+J37</f>
        <v>348.85250678</v>
      </c>
      <c r="I37" s="1758">
        <f>+N37+AB37</f>
        <v>45.262745019999997</v>
      </c>
      <c r="J37" s="1758">
        <f>+Q37+AE37</f>
        <v>303.58976175999999</v>
      </c>
      <c r="K37" s="1758">
        <f>+L37+O37</f>
        <v>2392.6496577799999</v>
      </c>
      <c r="L37" s="1758">
        <f>M37+N37</f>
        <v>1358.91171371</v>
      </c>
      <c r="M37" s="1758">
        <v>1330.7775355799999</v>
      </c>
      <c r="N37" s="1758">
        <v>28.134178129999999</v>
      </c>
      <c r="O37" s="1758">
        <f>P37+Q37</f>
        <v>1033.7379440700001</v>
      </c>
      <c r="P37" s="1758">
        <v>852.83691593000003</v>
      </c>
      <c r="Q37" s="1758">
        <v>180.90102813999999</v>
      </c>
      <c r="R37" s="1758">
        <f>S37+V37</f>
        <v>749.28207334000001</v>
      </c>
      <c r="S37" s="1758">
        <f>T37+U37</f>
        <v>493.74183979000003</v>
      </c>
      <c r="T37" s="1758">
        <v>480.87453503</v>
      </c>
      <c r="U37" s="1758">
        <v>12.86730476</v>
      </c>
      <c r="V37" s="1758">
        <f>W37+X37</f>
        <v>255.54023355000001</v>
      </c>
      <c r="W37" s="1758">
        <v>205.76126374</v>
      </c>
      <c r="X37" s="1758">
        <v>49.77896981</v>
      </c>
      <c r="Y37" s="1758">
        <f>Z37+AC37</f>
        <v>1437.4455857200001</v>
      </c>
      <c r="Z37" s="1758">
        <f>AA37+AB37</f>
        <v>611.25873105000005</v>
      </c>
      <c r="AA37" s="1758">
        <v>594.13016416000005</v>
      </c>
      <c r="AB37" s="1758">
        <v>17.128566889999998</v>
      </c>
      <c r="AC37" s="1758">
        <f>AD37+AE37</f>
        <v>826.18685467</v>
      </c>
      <c r="AD37" s="1758">
        <v>703.49812105000001</v>
      </c>
      <c r="AE37" s="1758">
        <v>122.68873361999999</v>
      </c>
    </row>
    <row r="38" spans="1:31" hidden="1">
      <c r="A38" s="1760">
        <v>12</v>
      </c>
      <c r="B38" s="1758">
        <f>+C38+D38</f>
        <v>4119.8374570199994</v>
      </c>
      <c r="C38" s="1758">
        <f>+F38+I38</f>
        <v>2281.6742900099998</v>
      </c>
      <c r="D38" s="1758">
        <f>+G38+J38</f>
        <v>1838.1631670100001</v>
      </c>
      <c r="E38" s="1758">
        <f>+F38+G38</f>
        <v>3747.3870726099994</v>
      </c>
      <c r="F38" s="1758">
        <f>+M38+AA38</f>
        <v>2225.2523184399997</v>
      </c>
      <c r="G38" s="1758">
        <f>+P38+AD38</f>
        <v>1522.13475417</v>
      </c>
      <c r="H38" s="1758">
        <f>+I38+J38</f>
        <v>372.45038440999997</v>
      </c>
      <c r="I38" s="1758">
        <f>+N38+AB38</f>
        <v>56.421971569999997</v>
      </c>
      <c r="J38" s="1758">
        <f>+Q38+AE38</f>
        <v>316.02841283999999</v>
      </c>
      <c r="K38" s="1758">
        <f>+L38+O38</f>
        <v>2640.2781299799999</v>
      </c>
      <c r="L38" s="1758">
        <f>M38+N38</f>
        <v>1615.5138685099998</v>
      </c>
      <c r="M38" s="1758">
        <v>1576.7078550199999</v>
      </c>
      <c r="N38" s="1758">
        <v>38.806013489999998</v>
      </c>
      <c r="O38" s="1758">
        <f>P38+Q38</f>
        <v>1024.7642614700001</v>
      </c>
      <c r="P38" s="1758">
        <v>846.78046261999998</v>
      </c>
      <c r="Q38" s="1758">
        <v>177.98379885000003</v>
      </c>
      <c r="R38" s="1758">
        <f>S38+V38</f>
        <v>843.78939447999983</v>
      </c>
      <c r="S38" s="1758">
        <f>T38+U38</f>
        <v>613.14276837999989</v>
      </c>
      <c r="T38" s="1758">
        <v>598.90492479999989</v>
      </c>
      <c r="U38" s="1758">
        <v>14.23784358</v>
      </c>
      <c r="V38" s="1758">
        <f>W38+X38</f>
        <v>230.64662609999999</v>
      </c>
      <c r="W38" s="1758">
        <v>188.46886025000001</v>
      </c>
      <c r="X38" s="1758">
        <v>42.17776585</v>
      </c>
      <c r="Y38" s="1758">
        <f>Z38+AC38</f>
        <v>1479.55932704</v>
      </c>
      <c r="Z38" s="1758">
        <f>AA38+AB38</f>
        <v>666.16042149999998</v>
      </c>
      <c r="AA38" s="1758">
        <v>648.54446341999994</v>
      </c>
      <c r="AB38" s="1758">
        <v>17.615958079999999</v>
      </c>
      <c r="AC38" s="1758">
        <f>AD38+AE38</f>
        <v>813.39890553999999</v>
      </c>
      <c r="AD38" s="1758">
        <v>675.35429154999997</v>
      </c>
      <c r="AE38" s="1758">
        <v>138.04461398999999</v>
      </c>
    </row>
    <row r="39" spans="1:31" ht="15.75">
      <c r="A39" s="1757">
        <v>2012</v>
      </c>
      <c r="B39" s="1758">
        <v>5113.4078103299998</v>
      </c>
      <c r="C39" s="1758">
        <v>2963.8571625000004</v>
      </c>
      <c r="D39" s="1758">
        <v>2149.5506478299999</v>
      </c>
      <c r="E39" s="1758">
        <v>4525.1908701800003</v>
      </c>
      <c r="F39" s="1758">
        <v>2889.7716593200003</v>
      </c>
      <c r="G39" s="1758">
        <v>1635.41921086</v>
      </c>
      <c r="H39" s="1758">
        <v>588.21694015000003</v>
      </c>
      <c r="I39" s="1758">
        <v>74.085503180000003</v>
      </c>
      <c r="J39" s="1758">
        <v>514.13143696999998</v>
      </c>
      <c r="K39" s="1758">
        <v>3132.5954872399998</v>
      </c>
      <c r="L39" s="1758">
        <v>2058.5881624799999</v>
      </c>
      <c r="M39" s="1758">
        <v>2002.2039538700001</v>
      </c>
      <c r="N39" s="1758">
        <v>56.384208610000002</v>
      </c>
      <c r="O39" s="1758">
        <v>1074.0073247600001</v>
      </c>
      <c r="P39" s="1758">
        <v>886.2459640300001</v>
      </c>
      <c r="Q39" s="1758">
        <v>187.76136072999998</v>
      </c>
      <c r="R39" s="1758">
        <v>1042.8349062699999</v>
      </c>
      <c r="S39" s="1758">
        <v>777.14939947000005</v>
      </c>
      <c r="T39" s="1758">
        <v>760.27598019000004</v>
      </c>
      <c r="U39" s="1758">
        <v>16.873419280000004</v>
      </c>
      <c r="V39" s="1758">
        <v>265.68550679999998</v>
      </c>
      <c r="W39" s="1758">
        <v>227.82533279</v>
      </c>
      <c r="X39" s="1758">
        <v>37.860174009999994</v>
      </c>
      <c r="Y39" s="1758">
        <v>1980.8123230900001</v>
      </c>
      <c r="Z39" s="1758">
        <v>905.26900002000002</v>
      </c>
      <c r="AA39" s="1758">
        <v>887.56770545000006</v>
      </c>
      <c r="AB39" s="1758">
        <v>17.701294570000002</v>
      </c>
      <c r="AC39" s="1758">
        <v>1075.54332307</v>
      </c>
      <c r="AD39" s="1758">
        <v>749.17324683000004</v>
      </c>
      <c r="AE39" s="1758">
        <v>326.37007624</v>
      </c>
    </row>
    <row r="40" spans="1:31" hidden="1">
      <c r="A40" s="1760">
        <v>1</v>
      </c>
      <c r="B40" s="1761">
        <f t="shared" ref="B40:B51" si="20">+C40+D40</f>
        <v>4179.4653587800003</v>
      </c>
      <c r="C40" s="1761">
        <f t="shared" ref="C40:D51" si="21">+F40+I40</f>
        <v>2314.9857024400003</v>
      </c>
      <c r="D40" s="1761">
        <f t="shared" si="21"/>
        <v>1864.47965634</v>
      </c>
      <c r="E40" s="1761">
        <f t="shared" ref="E40:E51" si="22">+F40+G40</f>
        <v>3796.0538128400003</v>
      </c>
      <c r="F40" s="1761">
        <f t="shared" ref="F40:F51" si="23">+M40+AA40</f>
        <v>2255.7079404400001</v>
      </c>
      <c r="G40" s="1761">
        <f t="shared" ref="G40:G51" si="24">+P40+AD40</f>
        <v>1540.3458724</v>
      </c>
      <c r="H40" s="1761">
        <f t="shared" ref="H40:H51" si="25">+I40+J40</f>
        <v>383.41154593999994</v>
      </c>
      <c r="I40" s="1761">
        <f t="shared" ref="I40:I51" si="26">+N40+AB40</f>
        <v>59.277761999999996</v>
      </c>
      <c r="J40" s="1761">
        <f t="shared" ref="J40:J51" si="27">+Q40+AE40</f>
        <v>324.13378393999994</v>
      </c>
      <c r="K40" s="1761">
        <f t="shared" ref="K40:K51" si="28">+L40+O40</f>
        <v>2647.40506215</v>
      </c>
      <c r="L40" s="1761">
        <f t="shared" ref="L40:L51" si="29">+M40+N40</f>
        <v>1621.2583045699998</v>
      </c>
      <c r="M40" s="1761">
        <v>1580.7951487099999</v>
      </c>
      <c r="N40" s="1761">
        <v>40.463155860000001</v>
      </c>
      <c r="O40" s="1761">
        <f t="shared" ref="O40:O51" si="30">P40+Q40</f>
        <v>1026.14675758</v>
      </c>
      <c r="P40" s="1761">
        <v>847.99000544</v>
      </c>
      <c r="Q40" s="1761">
        <v>178.15675213999998</v>
      </c>
      <c r="R40" s="1761">
        <f t="shared" ref="R40:R51" si="31">S40+V40</f>
        <v>840.72890419000009</v>
      </c>
      <c r="S40" s="1761">
        <f t="shared" ref="S40:S51" si="32">T40+U40</f>
        <v>613.40160514000013</v>
      </c>
      <c r="T40" s="1761">
        <v>599.42742643000008</v>
      </c>
      <c r="U40" s="1761">
        <v>13.97417871</v>
      </c>
      <c r="V40" s="1761">
        <f t="shared" ref="V40:V51" si="33">W40+X40</f>
        <v>227.32729905000002</v>
      </c>
      <c r="W40" s="1761">
        <v>187.08697971000001</v>
      </c>
      <c r="X40" s="1761">
        <v>40.240319339999999</v>
      </c>
      <c r="Y40" s="1761">
        <f t="shared" ref="Y40:Y51" si="34">Z40+AC40</f>
        <v>1532.0602966299998</v>
      </c>
      <c r="Z40" s="1761">
        <f t="shared" ref="Z40:Z51" si="35">AA40+AB40</f>
        <v>693.72739787</v>
      </c>
      <c r="AA40" s="1761">
        <v>674.91279172999998</v>
      </c>
      <c r="AB40" s="1761">
        <v>18.814606139999999</v>
      </c>
      <c r="AC40" s="1761">
        <f t="shared" ref="AC40:AC51" si="36">AD40+AE40</f>
        <v>838.33289875999992</v>
      </c>
      <c r="AD40" s="1761">
        <v>692.35586695999996</v>
      </c>
      <c r="AE40" s="1761">
        <v>145.97703179999999</v>
      </c>
    </row>
    <row r="41" spans="1:31" hidden="1">
      <c r="A41" s="1760">
        <v>2</v>
      </c>
      <c r="B41" s="1761">
        <f t="shared" si="20"/>
        <v>4330.6031756900002</v>
      </c>
      <c r="C41" s="1761">
        <f t="shared" si="21"/>
        <v>2421.3598318700001</v>
      </c>
      <c r="D41" s="1761">
        <f t="shared" si="21"/>
        <v>1909.2433438200001</v>
      </c>
      <c r="E41" s="1761">
        <f t="shared" si="22"/>
        <v>3916.8289355000002</v>
      </c>
      <c r="F41" s="1761">
        <f t="shared" si="23"/>
        <v>2361.1873018800002</v>
      </c>
      <c r="G41" s="1761">
        <f t="shared" si="24"/>
        <v>1555.64163362</v>
      </c>
      <c r="H41" s="1761">
        <f t="shared" si="25"/>
        <v>413.77424018999994</v>
      </c>
      <c r="I41" s="1761">
        <f t="shared" si="26"/>
        <v>60.172529990000001</v>
      </c>
      <c r="J41" s="1761">
        <f t="shared" si="27"/>
        <v>353.60171019999996</v>
      </c>
      <c r="K41" s="1761">
        <f t="shared" si="28"/>
        <v>2791.9560604500002</v>
      </c>
      <c r="L41" s="1761">
        <f t="shared" si="29"/>
        <v>1709.5563666400001</v>
      </c>
      <c r="M41" s="1761">
        <v>1668.2396651700001</v>
      </c>
      <c r="N41" s="1761">
        <v>41.316701469999998</v>
      </c>
      <c r="O41" s="1761">
        <f t="shared" si="30"/>
        <v>1082.3996938099999</v>
      </c>
      <c r="P41" s="1761">
        <v>866.98648814000001</v>
      </c>
      <c r="Q41" s="1761">
        <v>215.41320567</v>
      </c>
      <c r="R41" s="1761">
        <f t="shared" si="31"/>
        <v>881.74782860000005</v>
      </c>
      <c r="S41" s="1761">
        <f t="shared" si="32"/>
        <v>640.70385937000003</v>
      </c>
      <c r="T41" s="1761">
        <v>626.03336222000007</v>
      </c>
      <c r="U41" s="1761">
        <v>14.670497150000001</v>
      </c>
      <c r="V41" s="1761">
        <f t="shared" si="33"/>
        <v>241.04396923000002</v>
      </c>
      <c r="W41" s="1761">
        <v>198.75926312000001</v>
      </c>
      <c r="X41" s="1761">
        <v>42.284706110000002</v>
      </c>
      <c r="Y41" s="1761">
        <f t="shared" si="34"/>
        <v>1538.6471152400002</v>
      </c>
      <c r="Z41" s="1761">
        <f t="shared" si="35"/>
        <v>711.80346523000003</v>
      </c>
      <c r="AA41" s="1761">
        <v>692.94763670999998</v>
      </c>
      <c r="AB41" s="1761">
        <v>18.855828519999999</v>
      </c>
      <c r="AC41" s="1761">
        <f t="shared" si="36"/>
        <v>826.84365001000015</v>
      </c>
      <c r="AD41" s="1761">
        <v>688.6551454800001</v>
      </c>
      <c r="AE41" s="1761">
        <v>138.18850452999999</v>
      </c>
    </row>
    <row r="42" spans="1:31" hidden="1">
      <c r="A42" s="1760">
        <v>3</v>
      </c>
      <c r="B42" s="1761">
        <f t="shared" si="20"/>
        <v>4298.9149969499995</v>
      </c>
      <c r="C42" s="1761">
        <f t="shared" si="21"/>
        <v>2395.7400571499998</v>
      </c>
      <c r="D42" s="1761">
        <f t="shared" si="21"/>
        <v>1903.1749398000002</v>
      </c>
      <c r="E42" s="1761">
        <f t="shared" si="22"/>
        <v>3881.55446605</v>
      </c>
      <c r="F42" s="1761">
        <f t="shared" si="23"/>
        <v>2335.3348436299998</v>
      </c>
      <c r="G42" s="1761">
        <f t="shared" si="24"/>
        <v>1546.2196224200002</v>
      </c>
      <c r="H42" s="1761">
        <f t="shared" si="25"/>
        <v>417.36053090000001</v>
      </c>
      <c r="I42" s="1761">
        <f t="shared" si="26"/>
        <v>60.405213519999997</v>
      </c>
      <c r="J42" s="1761">
        <f t="shared" si="27"/>
        <v>356.95531738</v>
      </c>
      <c r="K42" s="1761">
        <f t="shared" si="28"/>
        <v>2742.8503246700002</v>
      </c>
      <c r="L42" s="1761">
        <f t="shared" si="29"/>
        <v>1675.5915348199999</v>
      </c>
      <c r="M42" s="1761">
        <v>1634.1503025999998</v>
      </c>
      <c r="N42" s="1761">
        <v>41.441232219999996</v>
      </c>
      <c r="O42" s="1761">
        <f t="shared" si="30"/>
        <v>1067.2587898500001</v>
      </c>
      <c r="P42" s="1761">
        <v>851.89247178000005</v>
      </c>
      <c r="Q42" s="1761">
        <v>215.36631806999998</v>
      </c>
      <c r="R42" s="1761">
        <f t="shared" si="31"/>
        <v>890.64527336999993</v>
      </c>
      <c r="S42" s="1761">
        <f t="shared" si="32"/>
        <v>649.11181754999996</v>
      </c>
      <c r="T42" s="1761">
        <v>634.78676427999994</v>
      </c>
      <c r="U42" s="1761">
        <v>14.32505327</v>
      </c>
      <c r="V42" s="1761">
        <f t="shared" si="33"/>
        <v>241.53345581999997</v>
      </c>
      <c r="W42" s="1761">
        <v>202.35781094999999</v>
      </c>
      <c r="X42" s="1761">
        <v>39.175644869999999</v>
      </c>
      <c r="Y42" s="1761">
        <f t="shared" si="34"/>
        <v>1556.06467228</v>
      </c>
      <c r="Z42" s="1761">
        <f t="shared" si="35"/>
        <v>720.14852232999999</v>
      </c>
      <c r="AA42" s="1761">
        <v>701.18454102999999</v>
      </c>
      <c r="AB42" s="1761">
        <v>18.9639813</v>
      </c>
      <c r="AC42" s="1761">
        <f t="shared" si="36"/>
        <v>835.91614994999998</v>
      </c>
      <c r="AD42" s="1761">
        <v>694.32715064000001</v>
      </c>
      <c r="AE42" s="1761">
        <v>141.58899930999999</v>
      </c>
    </row>
    <row r="43" spans="1:31" hidden="1">
      <c r="A43" s="1760">
        <v>4</v>
      </c>
      <c r="B43" s="1761">
        <f t="shared" si="20"/>
        <v>4338.8285999999998</v>
      </c>
      <c r="C43" s="1761">
        <f t="shared" si="21"/>
        <v>2400.4805999999999</v>
      </c>
      <c r="D43" s="1761">
        <f t="shared" si="21"/>
        <v>1938.348</v>
      </c>
      <c r="E43" s="1761">
        <f t="shared" si="22"/>
        <v>3915.8477000000003</v>
      </c>
      <c r="F43" s="1761">
        <f t="shared" si="23"/>
        <v>2337.3977</v>
      </c>
      <c r="G43" s="1761">
        <f t="shared" si="24"/>
        <v>1578.45</v>
      </c>
      <c r="H43" s="1761">
        <f t="shared" si="25"/>
        <v>422.98090000000002</v>
      </c>
      <c r="I43" s="1761">
        <f t="shared" si="26"/>
        <v>63.082899999999995</v>
      </c>
      <c r="J43" s="1761">
        <f t="shared" si="27"/>
        <v>359.89800000000002</v>
      </c>
      <c r="K43" s="1761">
        <f t="shared" si="28"/>
        <v>2774.9306000000001</v>
      </c>
      <c r="L43" s="1761">
        <f t="shared" si="29"/>
        <v>1701.0066000000002</v>
      </c>
      <c r="M43" s="1761">
        <v>1658.1537000000001</v>
      </c>
      <c r="N43" s="1761">
        <v>42.852899999999998</v>
      </c>
      <c r="O43" s="1761">
        <f t="shared" si="30"/>
        <v>1073.924</v>
      </c>
      <c r="P43" s="1761">
        <v>863.26</v>
      </c>
      <c r="Q43" s="1761">
        <v>210.66399999999999</v>
      </c>
      <c r="R43" s="1761">
        <f t="shared" si="31"/>
        <v>926.90364</v>
      </c>
      <c r="S43" s="1761">
        <f t="shared" si="32"/>
        <v>672.02245000000005</v>
      </c>
      <c r="T43" s="1761">
        <v>657.52700000000004</v>
      </c>
      <c r="U43" s="1761">
        <v>14.49545</v>
      </c>
      <c r="V43" s="1761">
        <f t="shared" si="33"/>
        <v>254.88119</v>
      </c>
      <c r="W43" s="1761">
        <v>217.006</v>
      </c>
      <c r="X43" s="1761">
        <v>37.875190000000003</v>
      </c>
      <c r="Y43" s="1761">
        <f t="shared" si="34"/>
        <v>1563.8980000000001</v>
      </c>
      <c r="Z43" s="1761">
        <f t="shared" si="35"/>
        <v>699.47400000000005</v>
      </c>
      <c r="AA43" s="1761">
        <v>679.24400000000003</v>
      </c>
      <c r="AB43" s="1761">
        <v>20.23</v>
      </c>
      <c r="AC43" s="1761">
        <f t="shared" si="36"/>
        <v>864.42400000000009</v>
      </c>
      <c r="AD43" s="1761">
        <v>715.19</v>
      </c>
      <c r="AE43" s="1761">
        <v>149.23400000000001</v>
      </c>
    </row>
    <row r="44" spans="1:31" hidden="1">
      <c r="A44" s="1760">
        <v>5</v>
      </c>
      <c r="B44" s="1761">
        <f t="shared" si="20"/>
        <v>4341.7222206500001</v>
      </c>
      <c r="C44" s="1761">
        <f t="shared" si="21"/>
        <v>2450.6532336699997</v>
      </c>
      <c r="D44" s="1761">
        <f t="shared" si="21"/>
        <v>1891.0689869800001</v>
      </c>
      <c r="E44" s="1761">
        <f t="shared" si="22"/>
        <v>3916.0947369299997</v>
      </c>
      <c r="F44" s="1761">
        <f t="shared" si="23"/>
        <v>2382.0562332299996</v>
      </c>
      <c r="G44" s="1761">
        <f t="shared" si="24"/>
        <v>1534.0385037000001</v>
      </c>
      <c r="H44" s="1761">
        <f t="shared" si="25"/>
        <v>425.62748371999999</v>
      </c>
      <c r="I44" s="1761">
        <f t="shared" si="26"/>
        <v>68.597000440000002</v>
      </c>
      <c r="J44" s="1761">
        <f t="shared" si="27"/>
        <v>357.03048328</v>
      </c>
      <c r="K44" s="1761">
        <f t="shared" si="28"/>
        <v>2741.7785271499997</v>
      </c>
      <c r="L44" s="1761">
        <f t="shared" si="29"/>
        <v>1720.8144945699999</v>
      </c>
      <c r="M44" s="1761">
        <v>1673.7196331299999</v>
      </c>
      <c r="N44" s="1761">
        <v>47.094861440000003</v>
      </c>
      <c r="O44" s="1761">
        <f t="shared" si="30"/>
        <v>1020.96403258</v>
      </c>
      <c r="P44" s="1761">
        <v>814.28855099999998</v>
      </c>
      <c r="Q44" s="1761">
        <v>206.67548158</v>
      </c>
      <c r="R44" s="1761">
        <f t="shared" si="31"/>
        <v>909.48692170999993</v>
      </c>
      <c r="S44" s="1761">
        <f t="shared" si="32"/>
        <v>679.25029234999988</v>
      </c>
      <c r="T44" s="1761">
        <v>664.80310138999994</v>
      </c>
      <c r="U44" s="1761">
        <v>14.44719096</v>
      </c>
      <c r="V44" s="1761">
        <f t="shared" si="33"/>
        <v>230.23662935999999</v>
      </c>
      <c r="W44" s="1761">
        <v>195.16742299999999</v>
      </c>
      <c r="X44" s="1761">
        <v>35.069206360000003</v>
      </c>
      <c r="Y44" s="1761">
        <f t="shared" si="34"/>
        <v>1599.9436934999999</v>
      </c>
      <c r="Z44" s="1761">
        <f t="shared" si="35"/>
        <v>729.83873909999988</v>
      </c>
      <c r="AA44" s="1761">
        <v>708.33660009999994</v>
      </c>
      <c r="AB44" s="1761">
        <v>21.502139</v>
      </c>
      <c r="AC44" s="1761">
        <f t="shared" si="36"/>
        <v>870.1049544</v>
      </c>
      <c r="AD44" s="1761">
        <v>719.74995269999999</v>
      </c>
      <c r="AE44" s="1761">
        <v>150.3550017</v>
      </c>
    </row>
    <row r="45" spans="1:31" hidden="1">
      <c r="A45" s="1760">
        <v>6</v>
      </c>
      <c r="B45" s="1761">
        <f t="shared" si="20"/>
        <v>4372.6359070899998</v>
      </c>
      <c r="C45" s="1761">
        <f t="shared" si="21"/>
        <v>2480.7951783600001</v>
      </c>
      <c r="D45" s="1761">
        <f t="shared" si="21"/>
        <v>1891.8407287300001</v>
      </c>
      <c r="E45" s="1761">
        <f t="shared" si="22"/>
        <v>3934.2153623200002</v>
      </c>
      <c r="F45" s="1761">
        <f t="shared" si="23"/>
        <v>2409.1661784500002</v>
      </c>
      <c r="G45" s="1761">
        <f t="shared" si="24"/>
        <v>1525.04918387</v>
      </c>
      <c r="H45" s="1761">
        <f t="shared" si="25"/>
        <v>438.42054477000005</v>
      </c>
      <c r="I45" s="1761">
        <f t="shared" si="26"/>
        <v>71.628999910000005</v>
      </c>
      <c r="J45" s="1761">
        <f t="shared" si="27"/>
        <v>366.79154486000004</v>
      </c>
      <c r="K45" s="1761">
        <f t="shared" si="28"/>
        <v>2768.8895501500001</v>
      </c>
      <c r="L45" s="1761">
        <f t="shared" si="29"/>
        <v>1736.9693218800001</v>
      </c>
      <c r="M45" s="1761">
        <v>1687.48987504</v>
      </c>
      <c r="N45" s="1761">
        <v>49.479446840000001</v>
      </c>
      <c r="O45" s="1761">
        <f t="shared" si="30"/>
        <v>1031.9202282700001</v>
      </c>
      <c r="P45" s="1761">
        <v>819.94114969999998</v>
      </c>
      <c r="Q45" s="1761">
        <v>211.97907857000001</v>
      </c>
      <c r="R45" s="1761">
        <f t="shared" si="31"/>
        <v>901.44824584999992</v>
      </c>
      <c r="S45" s="1761">
        <f t="shared" si="32"/>
        <v>669.46719513999994</v>
      </c>
      <c r="T45" s="1761">
        <v>652.81941490999998</v>
      </c>
      <c r="U45" s="1761">
        <v>16.647780229999999</v>
      </c>
      <c r="V45" s="1761">
        <f t="shared" si="33"/>
        <v>231.98105070999998</v>
      </c>
      <c r="W45" s="1761">
        <v>192.49263912999999</v>
      </c>
      <c r="X45" s="1761">
        <v>39.488411579999998</v>
      </c>
      <c r="Y45" s="1761">
        <f t="shared" si="34"/>
        <v>1603.7463569399999</v>
      </c>
      <c r="Z45" s="1761">
        <f t="shared" si="35"/>
        <v>743.82585647999997</v>
      </c>
      <c r="AA45" s="1761">
        <v>721.67630340999995</v>
      </c>
      <c r="AB45" s="1761">
        <v>22.14955307</v>
      </c>
      <c r="AC45" s="1761">
        <f t="shared" si="36"/>
        <v>859.92050045999997</v>
      </c>
      <c r="AD45" s="1761">
        <v>705.10803417</v>
      </c>
      <c r="AE45" s="1761">
        <v>154.81246629</v>
      </c>
    </row>
    <row r="46" spans="1:31" hidden="1">
      <c r="A46" s="1760">
        <v>7</v>
      </c>
      <c r="B46" s="1761">
        <f t="shared" si="20"/>
        <v>4415.2287439399997</v>
      </c>
      <c r="C46" s="1761">
        <f t="shared" si="21"/>
        <v>2484.5934808299999</v>
      </c>
      <c r="D46" s="1761">
        <f t="shared" si="21"/>
        <v>1930.6352631099999</v>
      </c>
      <c r="E46" s="1761">
        <f t="shared" si="22"/>
        <v>3983.2384086899997</v>
      </c>
      <c r="F46" s="1761">
        <f t="shared" si="23"/>
        <v>2421.0602596499998</v>
      </c>
      <c r="G46" s="1761">
        <f t="shared" si="24"/>
        <v>1562.1781490399999</v>
      </c>
      <c r="H46" s="1761">
        <f t="shared" si="25"/>
        <v>431.99033524999999</v>
      </c>
      <c r="I46" s="1761">
        <f t="shared" si="26"/>
        <v>63.533221179999998</v>
      </c>
      <c r="J46" s="1761">
        <f t="shared" si="27"/>
        <v>368.45711406999999</v>
      </c>
      <c r="K46" s="1761">
        <f t="shared" si="28"/>
        <v>2788.7426619399998</v>
      </c>
      <c r="L46" s="1761">
        <f t="shared" si="29"/>
        <v>1721.8286432099999</v>
      </c>
      <c r="M46" s="1761">
        <v>1672.30660485</v>
      </c>
      <c r="N46" s="1761">
        <v>49.522038359999996</v>
      </c>
      <c r="O46" s="1761">
        <f t="shared" si="30"/>
        <v>1066.91401873</v>
      </c>
      <c r="P46" s="1761">
        <v>852.04811209000002</v>
      </c>
      <c r="Q46" s="1761">
        <v>214.86590663999999</v>
      </c>
      <c r="R46" s="1761">
        <f t="shared" si="31"/>
        <v>916.05236908999996</v>
      </c>
      <c r="S46" s="1761">
        <f t="shared" si="32"/>
        <v>658.88300986000002</v>
      </c>
      <c r="T46" s="1761">
        <v>642.58851195</v>
      </c>
      <c r="U46" s="1761">
        <v>16.29449791</v>
      </c>
      <c r="V46" s="1761">
        <f t="shared" si="33"/>
        <v>257.16935923</v>
      </c>
      <c r="W46" s="1761">
        <v>225.77914336000001</v>
      </c>
      <c r="X46" s="1761">
        <v>31.390215870000002</v>
      </c>
      <c r="Y46" s="1761">
        <f t="shared" si="34"/>
        <v>1626.4860819999999</v>
      </c>
      <c r="Z46" s="1761">
        <f t="shared" si="35"/>
        <v>762.76483761999998</v>
      </c>
      <c r="AA46" s="1761">
        <v>748.75365479999994</v>
      </c>
      <c r="AB46" s="1761">
        <v>14.01118282</v>
      </c>
      <c r="AC46" s="1761">
        <f t="shared" si="36"/>
        <v>863.72124437999992</v>
      </c>
      <c r="AD46" s="1761">
        <v>710.13003694999998</v>
      </c>
      <c r="AE46" s="1761">
        <v>153.59120743</v>
      </c>
    </row>
    <row r="47" spans="1:31" hidden="1">
      <c r="A47" s="1760">
        <v>8</v>
      </c>
      <c r="B47" s="1761">
        <f t="shared" si="20"/>
        <v>4462.5601259300001</v>
      </c>
      <c r="C47" s="1761">
        <f t="shared" si="21"/>
        <v>2531.2333738400002</v>
      </c>
      <c r="D47" s="1761">
        <f t="shared" si="21"/>
        <v>1931.3267520899999</v>
      </c>
      <c r="E47" s="1761">
        <f t="shared" si="22"/>
        <v>4026.7439203900003</v>
      </c>
      <c r="F47" s="1761">
        <f t="shared" si="23"/>
        <v>2468.4336892700003</v>
      </c>
      <c r="G47" s="1761">
        <f t="shared" si="24"/>
        <v>1558.31023112</v>
      </c>
      <c r="H47" s="1761">
        <f t="shared" si="25"/>
        <v>435.81620554</v>
      </c>
      <c r="I47" s="1761">
        <f t="shared" si="26"/>
        <v>62.799684570000011</v>
      </c>
      <c r="J47" s="1761">
        <f t="shared" si="27"/>
        <v>373.01652096999999</v>
      </c>
      <c r="K47" s="1761">
        <f t="shared" si="28"/>
        <v>2853.5252051700004</v>
      </c>
      <c r="L47" s="1761">
        <f t="shared" si="29"/>
        <v>1803.8922251400004</v>
      </c>
      <c r="M47" s="1761">
        <v>1756.2077578400003</v>
      </c>
      <c r="N47" s="1761">
        <v>47.684467300000009</v>
      </c>
      <c r="O47" s="1761">
        <f t="shared" si="30"/>
        <v>1049.63298003</v>
      </c>
      <c r="P47" s="1761">
        <v>834.38048157000003</v>
      </c>
      <c r="Q47" s="1761">
        <v>215.25249846</v>
      </c>
      <c r="R47" s="1761">
        <f t="shared" si="31"/>
        <v>954.36980466000011</v>
      </c>
      <c r="S47" s="1761">
        <f t="shared" si="32"/>
        <v>721.67235341000014</v>
      </c>
      <c r="T47" s="1761">
        <v>707.50938414000018</v>
      </c>
      <c r="U47" s="1761">
        <v>14.162969270000001</v>
      </c>
      <c r="V47" s="1761">
        <f t="shared" si="33"/>
        <v>232.69745124999997</v>
      </c>
      <c r="W47" s="1761">
        <v>201.42437547999998</v>
      </c>
      <c r="X47" s="1761">
        <v>31.273075769999998</v>
      </c>
      <c r="Y47" s="1761">
        <f t="shared" si="34"/>
        <v>1609.0349207600002</v>
      </c>
      <c r="Z47" s="1761">
        <f t="shared" si="35"/>
        <v>727.34114870000008</v>
      </c>
      <c r="AA47" s="1761">
        <v>712.22593143000006</v>
      </c>
      <c r="AB47" s="1761">
        <v>15.11521727</v>
      </c>
      <c r="AC47" s="1761">
        <f t="shared" si="36"/>
        <v>881.69377206000001</v>
      </c>
      <c r="AD47" s="1761">
        <v>723.92974955</v>
      </c>
      <c r="AE47" s="1761">
        <v>157.76402250999999</v>
      </c>
    </row>
    <row r="48" spans="1:31" hidden="1">
      <c r="A48" s="1760">
        <v>9</v>
      </c>
      <c r="B48" s="1761">
        <f t="shared" si="20"/>
        <v>4556.3257138199997</v>
      </c>
      <c r="C48" s="1761">
        <f t="shared" si="21"/>
        <v>2615.91543022</v>
      </c>
      <c r="D48" s="1761">
        <f t="shared" si="21"/>
        <v>1940.4102836</v>
      </c>
      <c r="E48" s="1761">
        <f t="shared" si="22"/>
        <v>4110.8239940399999</v>
      </c>
      <c r="F48" s="1761">
        <f t="shared" si="23"/>
        <v>2550.9160714199998</v>
      </c>
      <c r="G48" s="1761">
        <f t="shared" si="24"/>
        <v>1559.9079226199999</v>
      </c>
      <c r="H48" s="1761">
        <f t="shared" si="25"/>
        <v>445.50171978000003</v>
      </c>
      <c r="I48" s="1761">
        <f t="shared" si="26"/>
        <v>64.99935880000001</v>
      </c>
      <c r="J48" s="1761">
        <f t="shared" si="27"/>
        <v>380.50236097999999</v>
      </c>
      <c r="K48" s="1761">
        <f t="shared" si="28"/>
        <v>2921.21124143</v>
      </c>
      <c r="L48" s="1761">
        <f t="shared" si="29"/>
        <v>1859.4618799500001</v>
      </c>
      <c r="M48" s="1761">
        <v>1809.46790293</v>
      </c>
      <c r="N48" s="1761">
        <v>49.993977020000003</v>
      </c>
      <c r="O48" s="1761">
        <f t="shared" si="30"/>
        <v>1061.7493614800001</v>
      </c>
      <c r="P48" s="1761">
        <v>837.70243659999994</v>
      </c>
      <c r="Q48" s="1761">
        <v>224.04692488000001</v>
      </c>
      <c r="R48" s="1761">
        <f t="shared" si="31"/>
        <v>993.74054749000004</v>
      </c>
      <c r="S48" s="1761">
        <f t="shared" si="32"/>
        <v>756.27759278000008</v>
      </c>
      <c r="T48" s="1761">
        <v>740.13854533000006</v>
      </c>
      <c r="U48" s="1761">
        <v>16.13904745</v>
      </c>
      <c r="V48" s="1761">
        <f t="shared" si="33"/>
        <v>237.46295470999999</v>
      </c>
      <c r="W48" s="1761">
        <v>199.56677836999998</v>
      </c>
      <c r="X48" s="1761">
        <v>37.896176340000004</v>
      </c>
      <c r="Y48" s="1761">
        <f t="shared" si="34"/>
        <v>1635.1144723899997</v>
      </c>
      <c r="Z48" s="1761">
        <f t="shared" si="35"/>
        <v>756.45355026999994</v>
      </c>
      <c r="AA48" s="1761">
        <v>741.44816848999994</v>
      </c>
      <c r="AB48" s="1761">
        <v>15.00538178</v>
      </c>
      <c r="AC48" s="1761">
        <f t="shared" si="36"/>
        <v>878.6609221199999</v>
      </c>
      <c r="AD48" s="1761">
        <v>722.20548601999997</v>
      </c>
      <c r="AE48" s="1761">
        <v>156.45543609999999</v>
      </c>
    </row>
    <row r="49" spans="1:31" hidden="1">
      <c r="A49" s="1760">
        <v>10</v>
      </c>
      <c r="B49" s="1761">
        <f t="shared" si="20"/>
        <v>4689.6690311399998</v>
      </c>
      <c r="C49" s="1761">
        <f t="shared" si="21"/>
        <v>2704.2721283300002</v>
      </c>
      <c r="D49" s="1761">
        <f t="shared" si="21"/>
        <v>1985.39690281</v>
      </c>
      <c r="E49" s="1761">
        <f t="shared" si="22"/>
        <v>4253.1566267799999</v>
      </c>
      <c r="F49" s="1761">
        <f t="shared" si="23"/>
        <v>2640.0072848300001</v>
      </c>
      <c r="G49" s="1761">
        <f t="shared" si="24"/>
        <v>1613.14934195</v>
      </c>
      <c r="H49" s="1761">
        <f t="shared" si="25"/>
        <v>436.51240436</v>
      </c>
      <c r="I49" s="1761">
        <f t="shared" si="26"/>
        <v>64.264843500000012</v>
      </c>
      <c r="J49" s="1761">
        <f t="shared" si="27"/>
        <v>372.24756085999996</v>
      </c>
      <c r="K49" s="1761">
        <f t="shared" si="28"/>
        <v>3019.1945834500002</v>
      </c>
      <c r="L49" s="1761">
        <f t="shared" si="29"/>
        <v>1931.3115117</v>
      </c>
      <c r="M49" s="1761">
        <v>1882.2360399500001</v>
      </c>
      <c r="N49" s="1761">
        <v>49.075471750000005</v>
      </c>
      <c r="O49" s="1761">
        <f t="shared" si="30"/>
        <v>1087.88307175</v>
      </c>
      <c r="P49" s="1761">
        <v>872.69774899000004</v>
      </c>
      <c r="Q49" s="1761">
        <v>215.18532275999996</v>
      </c>
      <c r="R49" s="1761">
        <f t="shared" si="31"/>
        <v>1005.2957479400002</v>
      </c>
      <c r="S49" s="1761">
        <f t="shared" si="32"/>
        <v>740.00818454000012</v>
      </c>
      <c r="T49" s="1761">
        <v>725.05667938000011</v>
      </c>
      <c r="U49" s="1761">
        <v>14.95150516</v>
      </c>
      <c r="V49" s="1761">
        <f t="shared" si="33"/>
        <v>265.28756340000001</v>
      </c>
      <c r="W49" s="1761">
        <v>227.95867665000003</v>
      </c>
      <c r="X49" s="1761">
        <v>37.328886749999995</v>
      </c>
      <c r="Y49" s="1761">
        <f t="shared" si="34"/>
        <v>1670.47444769</v>
      </c>
      <c r="Z49" s="1761">
        <f t="shared" si="35"/>
        <v>772.96061663</v>
      </c>
      <c r="AA49" s="1761">
        <v>757.77124488000004</v>
      </c>
      <c r="AB49" s="1761">
        <v>15.189371749999999</v>
      </c>
      <c r="AC49" s="1761">
        <f t="shared" si="36"/>
        <v>897.51383106000003</v>
      </c>
      <c r="AD49" s="1761">
        <v>740.45159295999997</v>
      </c>
      <c r="AE49" s="1761">
        <v>157.0622381</v>
      </c>
    </row>
    <row r="50" spans="1:31" hidden="1">
      <c r="A50" s="1760">
        <v>11</v>
      </c>
      <c r="B50" s="1761">
        <f t="shared" si="20"/>
        <v>4762.9615697900008</v>
      </c>
      <c r="C50" s="1761">
        <f t="shared" si="21"/>
        <v>2804.5977616700002</v>
      </c>
      <c r="D50" s="1761">
        <f t="shared" si="21"/>
        <v>1958.3638081200002</v>
      </c>
      <c r="E50" s="1761">
        <f t="shared" si="22"/>
        <v>4332.6070064100004</v>
      </c>
      <c r="F50" s="1761">
        <f t="shared" si="23"/>
        <v>2738.2874585700001</v>
      </c>
      <c r="G50" s="1761">
        <f t="shared" si="24"/>
        <v>1594.3195478400003</v>
      </c>
      <c r="H50" s="1761">
        <f t="shared" si="25"/>
        <v>430.35456338</v>
      </c>
      <c r="I50" s="1761">
        <f t="shared" si="26"/>
        <v>66.310303099999999</v>
      </c>
      <c r="J50" s="1761">
        <f t="shared" si="27"/>
        <v>364.04426028</v>
      </c>
      <c r="K50" s="1761">
        <f t="shared" si="28"/>
        <v>3025.4096513400004</v>
      </c>
      <c r="L50" s="1761">
        <f t="shared" si="29"/>
        <v>1979.8520945200003</v>
      </c>
      <c r="M50" s="1761">
        <v>1929.3502524300002</v>
      </c>
      <c r="N50" s="1761">
        <v>50.501842089999997</v>
      </c>
      <c r="O50" s="1761">
        <f t="shared" si="30"/>
        <v>1045.5575568200002</v>
      </c>
      <c r="P50" s="1761">
        <v>844.8795509900001</v>
      </c>
      <c r="Q50" s="1761">
        <v>200.67800583000002</v>
      </c>
      <c r="R50" s="1761">
        <f t="shared" si="31"/>
        <v>1020.2288967199999</v>
      </c>
      <c r="S50" s="1761">
        <f t="shared" si="32"/>
        <v>786.45607401999985</v>
      </c>
      <c r="T50" s="1761">
        <v>771.32250100999988</v>
      </c>
      <c r="U50" s="1761">
        <v>15.133573009999999</v>
      </c>
      <c r="V50" s="1761">
        <f t="shared" si="33"/>
        <v>233.77282270000001</v>
      </c>
      <c r="W50" s="1761">
        <v>198.33695929999999</v>
      </c>
      <c r="X50" s="1761">
        <v>35.435863400000002</v>
      </c>
      <c r="Y50" s="1761">
        <f t="shared" si="34"/>
        <v>1737.5519184499999</v>
      </c>
      <c r="Z50" s="1761">
        <f t="shared" si="35"/>
        <v>824.74566715000003</v>
      </c>
      <c r="AA50" s="1761">
        <v>808.93720614000006</v>
      </c>
      <c r="AB50" s="1761">
        <v>15.80846101</v>
      </c>
      <c r="AC50" s="1761">
        <f t="shared" si="36"/>
        <v>912.80625129999999</v>
      </c>
      <c r="AD50" s="1761">
        <v>749.43999685000006</v>
      </c>
      <c r="AE50" s="1761">
        <v>163.36625444999999</v>
      </c>
    </row>
    <row r="51" spans="1:31" hidden="1">
      <c r="A51" s="1760">
        <v>12</v>
      </c>
      <c r="B51" s="1761">
        <f t="shared" si="20"/>
        <v>5113.4078103299998</v>
      </c>
      <c r="C51" s="1761">
        <f t="shared" si="21"/>
        <v>2963.8571625000004</v>
      </c>
      <c r="D51" s="1761">
        <f t="shared" si="21"/>
        <v>2149.5506478299999</v>
      </c>
      <c r="E51" s="1761">
        <f t="shared" si="22"/>
        <v>4525.1908701800003</v>
      </c>
      <c r="F51" s="1761">
        <f t="shared" si="23"/>
        <v>2889.7716593200003</v>
      </c>
      <c r="G51" s="1761">
        <f t="shared" si="24"/>
        <v>1635.41921086</v>
      </c>
      <c r="H51" s="1761">
        <f t="shared" si="25"/>
        <v>588.21694015000003</v>
      </c>
      <c r="I51" s="1761">
        <f t="shared" si="26"/>
        <v>74.085503180000003</v>
      </c>
      <c r="J51" s="1761">
        <f t="shared" si="27"/>
        <v>514.13143696999998</v>
      </c>
      <c r="K51" s="1761">
        <f t="shared" si="28"/>
        <v>3132.5954872399998</v>
      </c>
      <c r="L51" s="1761">
        <f t="shared" si="29"/>
        <v>2058.5881624799999</v>
      </c>
      <c r="M51" s="1761">
        <v>2002.2039538700001</v>
      </c>
      <c r="N51" s="1761">
        <v>56.384208610000002</v>
      </c>
      <c r="O51" s="1761">
        <f t="shared" si="30"/>
        <v>1074.0073247600001</v>
      </c>
      <c r="P51" s="1761">
        <v>886.2459640300001</v>
      </c>
      <c r="Q51" s="1761">
        <v>187.76136072999998</v>
      </c>
      <c r="R51" s="1761">
        <f t="shared" si="31"/>
        <v>1042.8349062699999</v>
      </c>
      <c r="S51" s="1761">
        <f t="shared" si="32"/>
        <v>777.14939947000005</v>
      </c>
      <c r="T51" s="1761">
        <v>760.27598019000004</v>
      </c>
      <c r="U51" s="1761">
        <v>16.873419280000004</v>
      </c>
      <c r="V51" s="1761">
        <f t="shared" si="33"/>
        <v>265.68550679999998</v>
      </c>
      <c r="W51" s="1761">
        <v>227.82533279</v>
      </c>
      <c r="X51" s="1761">
        <v>37.860174009999994</v>
      </c>
      <c r="Y51" s="1761">
        <f t="shared" si="34"/>
        <v>1980.8123230900001</v>
      </c>
      <c r="Z51" s="1761">
        <f t="shared" si="35"/>
        <v>905.26900002000002</v>
      </c>
      <c r="AA51" s="1761">
        <v>887.56770545000006</v>
      </c>
      <c r="AB51" s="1761">
        <v>17.701294570000002</v>
      </c>
      <c r="AC51" s="1761">
        <f t="shared" si="36"/>
        <v>1075.54332307</v>
      </c>
      <c r="AD51" s="1761">
        <v>749.17324683000004</v>
      </c>
      <c r="AE51" s="1761">
        <v>326.37007624</v>
      </c>
    </row>
    <row r="52" spans="1:31" ht="15.75">
      <c r="A52" s="1757">
        <v>2013</v>
      </c>
      <c r="B52" s="1761"/>
      <c r="C52" s="1761"/>
      <c r="D52" s="1761"/>
      <c r="E52" s="1761"/>
      <c r="F52" s="1761"/>
      <c r="G52" s="1761"/>
      <c r="H52" s="1761"/>
      <c r="I52" s="1761"/>
      <c r="J52" s="1761"/>
      <c r="K52" s="1761"/>
      <c r="L52" s="1761"/>
      <c r="M52" s="1761"/>
      <c r="N52" s="1761"/>
      <c r="O52" s="1761"/>
      <c r="P52" s="1761"/>
      <c r="Q52" s="1761"/>
      <c r="R52" s="1761"/>
      <c r="S52" s="1761"/>
      <c r="T52" s="1761"/>
      <c r="U52" s="1761"/>
      <c r="V52" s="1761"/>
      <c r="W52" s="1761"/>
      <c r="X52" s="1761"/>
      <c r="Y52" s="1761"/>
      <c r="Z52" s="1761"/>
      <c r="AA52" s="1761"/>
      <c r="AB52" s="1761"/>
      <c r="AC52" s="1761"/>
      <c r="AD52" s="1761"/>
      <c r="AE52" s="1761"/>
    </row>
    <row r="53" spans="1:31">
      <c r="A53" s="1760">
        <v>1</v>
      </c>
      <c r="B53" s="1761">
        <f t="shared" ref="B53:B64" si="37">+C53+D53</f>
        <v>5315.3829536699996</v>
      </c>
      <c r="C53" s="1761">
        <f t="shared" ref="C53:D64" si="38">+F53+I53</f>
        <v>3172.5903249300004</v>
      </c>
      <c r="D53" s="1761">
        <f t="shared" si="38"/>
        <v>2142.7926287399996</v>
      </c>
      <c r="E53" s="1761">
        <f t="shared" ref="E53:E64" si="39">+F53+G53</f>
        <v>4715.4322848299998</v>
      </c>
      <c r="F53" s="1761">
        <f t="shared" ref="F53:F64" si="40">+M53+AA53</f>
        <v>3054.1924471000002</v>
      </c>
      <c r="G53" s="1761">
        <f t="shared" ref="G53:G64" si="41">+P53+AD53</f>
        <v>1661.2398377299999</v>
      </c>
      <c r="H53" s="1761">
        <f t="shared" ref="H53:H64" si="42">+I53+J53</f>
        <v>599.95066883999993</v>
      </c>
      <c r="I53" s="1761">
        <f t="shared" ref="I53:I64" si="43">+N53+AB53</f>
        <v>118.39787783</v>
      </c>
      <c r="J53" s="1761">
        <f t="shared" ref="J53:J64" si="44">+Q53+AE53</f>
        <v>481.55279100999996</v>
      </c>
      <c r="K53" s="1761">
        <f t="shared" ref="K53:K64" si="45">+L53+O53</f>
        <v>3184.4374205399999</v>
      </c>
      <c r="L53" s="1761">
        <f t="shared" ref="L53:L64" si="46">+M53+N53</f>
        <v>2123.7093182899998</v>
      </c>
      <c r="M53" s="1761">
        <v>2067.03238126</v>
      </c>
      <c r="N53" s="1761">
        <v>56.676937030000005</v>
      </c>
      <c r="O53" s="1761">
        <f t="shared" ref="O53:O64" si="47">P53+Q53</f>
        <v>1060.7281022499999</v>
      </c>
      <c r="P53" s="1761">
        <v>907.68400254999995</v>
      </c>
      <c r="Q53" s="1761">
        <v>153.04409969999998</v>
      </c>
      <c r="R53" s="1761">
        <f t="shared" ref="R53:R64" si="48">S53+V53</f>
        <v>1067.9671805600001</v>
      </c>
      <c r="S53" s="1761">
        <f t="shared" ref="S53:S64" si="49">T53+U53</f>
        <v>792.94621103999998</v>
      </c>
      <c r="T53" s="1761">
        <v>777.99044253</v>
      </c>
      <c r="U53" s="1761">
        <v>14.95576851</v>
      </c>
      <c r="V53" s="1761">
        <f t="shared" ref="V53:V64" si="50">W53+X53</f>
        <v>275.02096951999999</v>
      </c>
      <c r="W53" s="1761">
        <v>234.38221780999999</v>
      </c>
      <c r="X53" s="1761">
        <v>40.638751709999994</v>
      </c>
      <c r="Y53" s="1761">
        <f t="shared" ref="Y53:Y64" si="51">Z53+AC53</f>
        <v>2130.9455331300001</v>
      </c>
      <c r="Z53" s="1761">
        <f t="shared" ref="Z53:Z64" si="52">AA53+AB53</f>
        <v>1048.8810066400001</v>
      </c>
      <c r="AA53" s="1761">
        <v>987.16006584000002</v>
      </c>
      <c r="AB53" s="1761">
        <v>61.720940799999994</v>
      </c>
      <c r="AC53" s="1761">
        <f t="shared" ref="AC53:AC64" si="53">AD53+AE53</f>
        <v>1082.0645264899999</v>
      </c>
      <c r="AD53" s="1761">
        <v>753.55583517999992</v>
      </c>
      <c r="AE53" s="1761">
        <v>328.50869130999996</v>
      </c>
    </row>
    <row r="54" spans="1:31">
      <c r="A54" s="1760">
        <v>2</v>
      </c>
      <c r="B54" s="1761">
        <f t="shared" si="37"/>
        <v>5416.8434167400001</v>
      </c>
      <c r="C54" s="1761">
        <f t="shared" si="38"/>
        <v>3226.6282422200002</v>
      </c>
      <c r="D54" s="1761">
        <f t="shared" si="38"/>
        <v>2190.2151745199999</v>
      </c>
      <c r="E54" s="1761">
        <f t="shared" si="39"/>
        <v>4798.8679654100006</v>
      </c>
      <c r="F54" s="1761">
        <f t="shared" si="40"/>
        <v>3109.8383471400002</v>
      </c>
      <c r="G54" s="1761">
        <f t="shared" si="41"/>
        <v>1689.0296182700001</v>
      </c>
      <c r="H54" s="1761">
        <f t="shared" si="42"/>
        <v>617.97545132999994</v>
      </c>
      <c r="I54" s="1761">
        <f t="shared" si="43"/>
        <v>116.78989508000001</v>
      </c>
      <c r="J54" s="1761">
        <f t="shared" si="44"/>
        <v>501.18555624999999</v>
      </c>
      <c r="K54" s="1761">
        <f t="shared" si="45"/>
        <v>3189.27294712</v>
      </c>
      <c r="L54" s="1761">
        <f t="shared" si="46"/>
        <v>2139.2774117399999</v>
      </c>
      <c r="M54" s="1761">
        <v>2084.3332848300001</v>
      </c>
      <c r="N54" s="1761">
        <v>54.944126910000001</v>
      </c>
      <c r="O54" s="1761">
        <f t="shared" si="47"/>
        <v>1049.9955353800001</v>
      </c>
      <c r="P54" s="1761">
        <v>892.67199314000004</v>
      </c>
      <c r="Q54" s="1761">
        <v>157.32354224000002</v>
      </c>
      <c r="R54" s="1761">
        <f t="shared" si="48"/>
        <v>1128.9132014900001</v>
      </c>
      <c r="S54" s="1761">
        <f t="shared" si="49"/>
        <v>864.91507690000003</v>
      </c>
      <c r="T54" s="1761">
        <v>849.25054256999999</v>
      </c>
      <c r="U54" s="1761">
        <v>15.664534329999999</v>
      </c>
      <c r="V54" s="1761">
        <f t="shared" si="50"/>
        <v>263.99812459000003</v>
      </c>
      <c r="W54" s="1761">
        <v>222.47107683000002</v>
      </c>
      <c r="X54" s="1761">
        <v>41.527047760000009</v>
      </c>
      <c r="Y54" s="1761">
        <f t="shared" si="51"/>
        <v>2227.57046962</v>
      </c>
      <c r="Z54" s="1761">
        <f t="shared" si="52"/>
        <v>1087.3508304799998</v>
      </c>
      <c r="AA54" s="1761">
        <v>1025.5050623099999</v>
      </c>
      <c r="AB54" s="1761">
        <v>61.845768169999999</v>
      </c>
      <c r="AC54" s="1761">
        <f t="shared" si="53"/>
        <v>1140.21963914</v>
      </c>
      <c r="AD54" s="1761">
        <v>796.35762513000009</v>
      </c>
      <c r="AE54" s="1761">
        <v>343.86201401</v>
      </c>
    </row>
    <row r="55" spans="1:31">
      <c r="A55" s="1760">
        <v>3</v>
      </c>
      <c r="B55" s="1761">
        <f t="shared" si="37"/>
        <v>5535.9675161499999</v>
      </c>
      <c r="C55" s="1761">
        <f t="shared" si="38"/>
        <v>3259.7630677100001</v>
      </c>
      <c r="D55" s="1761">
        <f t="shared" si="38"/>
        <v>2276.2044484400003</v>
      </c>
      <c r="E55" s="1761">
        <f t="shared" si="39"/>
        <v>4871.2586217900007</v>
      </c>
      <c r="F55" s="1761">
        <f t="shared" si="40"/>
        <v>3144.46212754</v>
      </c>
      <c r="G55" s="1761">
        <f t="shared" si="41"/>
        <v>1726.7964942500003</v>
      </c>
      <c r="H55" s="1761">
        <f t="shared" si="42"/>
        <v>664.70889436000004</v>
      </c>
      <c r="I55" s="1761">
        <f t="shared" si="43"/>
        <v>115.30094017</v>
      </c>
      <c r="J55" s="1761">
        <f t="shared" si="44"/>
        <v>549.40795419000005</v>
      </c>
      <c r="K55" s="1761">
        <f t="shared" si="45"/>
        <v>3268.9519692000003</v>
      </c>
      <c r="L55" s="1761">
        <f t="shared" si="46"/>
        <v>2197.4050623600001</v>
      </c>
      <c r="M55" s="1761">
        <v>2143.9020378300002</v>
      </c>
      <c r="N55" s="1761">
        <v>53.503024530000005</v>
      </c>
      <c r="O55" s="1761">
        <f t="shared" si="47"/>
        <v>1071.54690684</v>
      </c>
      <c r="P55" s="1761">
        <v>910.50264336000009</v>
      </c>
      <c r="Q55" s="1761">
        <v>161.04426348000001</v>
      </c>
      <c r="R55" s="1761">
        <f t="shared" si="48"/>
        <v>1145.0066983899999</v>
      </c>
      <c r="S55" s="1761">
        <f t="shared" si="49"/>
        <v>858.79915613999992</v>
      </c>
      <c r="T55" s="1761">
        <v>842.6302285999999</v>
      </c>
      <c r="U55" s="1761">
        <v>16.168927540000002</v>
      </c>
      <c r="V55" s="1761">
        <f t="shared" si="50"/>
        <v>286.20754225000002</v>
      </c>
      <c r="W55" s="1761">
        <v>239.86241933000002</v>
      </c>
      <c r="X55" s="1761">
        <v>46.345122919999994</v>
      </c>
      <c r="Y55" s="1761">
        <f t="shared" si="51"/>
        <v>2267.01554695</v>
      </c>
      <c r="Z55" s="1761">
        <f t="shared" si="52"/>
        <v>1062.35800535</v>
      </c>
      <c r="AA55" s="1761">
        <v>1000.5600897099999</v>
      </c>
      <c r="AB55" s="1761">
        <v>61.797915639999999</v>
      </c>
      <c r="AC55" s="1761">
        <f t="shared" si="53"/>
        <v>1204.6575416000001</v>
      </c>
      <c r="AD55" s="1761">
        <v>816.29385089000016</v>
      </c>
      <c r="AE55" s="1761">
        <v>388.36369071000001</v>
      </c>
    </row>
    <row r="56" spans="1:31">
      <c r="A56" s="1760">
        <v>4</v>
      </c>
      <c r="B56" s="1761">
        <f t="shared" si="37"/>
        <v>5768.28016561</v>
      </c>
      <c r="C56" s="1761">
        <f t="shared" si="38"/>
        <v>3478.0867805800003</v>
      </c>
      <c r="D56" s="1761">
        <f t="shared" si="38"/>
        <v>2290.1933850300002</v>
      </c>
      <c r="E56" s="1761">
        <f t="shared" si="39"/>
        <v>5080.6374338100004</v>
      </c>
      <c r="F56" s="1761">
        <f t="shared" si="40"/>
        <v>3361.9994418400001</v>
      </c>
      <c r="G56" s="1761">
        <f t="shared" si="41"/>
        <v>1718.63799197</v>
      </c>
      <c r="H56" s="1761">
        <f t="shared" si="42"/>
        <v>687.64273180000009</v>
      </c>
      <c r="I56" s="1761">
        <f t="shared" si="43"/>
        <v>116.08733874000001</v>
      </c>
      <c r="J56" s="1761">
        <f t="shared" si="44"/>
        <v>571.55539306000003</v>
      </c>
      <c r="K56" s="1761">
        <f t="shared" si="45"/>
        <v>3230.9247393799997</v>
      </c>
      <c r="L56" s="1761">
        <f t="shared" si="46"/>
        <v>2183.10890445</v>
      </c>
      <c r="M56" s="1761">
        <v>2128.1561349499998</v>
      </c>
      <c r="N56" s="1761">
        <v>54.952769499999995</v>
      </c>
      <c r="O56" s="1761">
        <f t="shared" si="47"/>
        <v>1047.8158349299999</v>
      </c>
      <c r="P56" s="1761">
        <v>896.95608104999997</v>
      </c>
      <c r="Q56" s="1761">
        <v>150.85975388</v>
      </c>
      <c r="R56" s="1761">
        <f t="shared" si="48"/>
        <v>1113.7776123900001</v>
      </c>
      <c r="S56" s="1761">
        <f t="shared" si="49"/>
        <v>854.49023348000003</v>
      </c>
      <c r="T56" s="1761">
        <v>838.85617839999998</v>
      </c>
      <c r="U56" s="1761">
        <v>15.634055079999998</v>
      </c>
      <c r="V56" s="1761">
        <f t="shared" si="50"/>
        <v>259.28737890999997</v>
      </c>
      <c r="W56" s="1761">
        <v>223.87313054999998</v>
      </c>
      <c r="X56" s="1761">
        <v>35.414248359999995</v>
      </c>
      <c r="Y56" s="1761">
        <f t="shared" si="51"/>
        <v>2537.3554262300004</v>
      </c>
      <c r="Z56" s="1761">
        <f t="shared" si="52"/>
        <v>1294.9778761300001</v>
      </c>
      <c r="AA56" s="1761">
        <v>1233.8433068900001</v>
      </c>
      <c r="AB56" s="1761">
        <v>61.134569240000005</v>
      </c>
      <c r="AC56" s="1761">
        <f t="shared" si="53"/>
        <v>1242.3775501</v>
      </c>
      <c r="AD56" s="1761">
        <v>821.68191092000006</v>
      </c>
      <c r="AE56" s="1761">
        <v>420.69563918</v>
      </c>
    </row>
    <row r="57" spans="1:31">
      <c r="A57" s="1760">
        <v>5</v>
      </c>
      <c r="B57" s="1761">
        <f t="shared" si="37"/>
        <v>5891.45147163</v>
      </c>
      <c r="C57" s="1761">
        <f t="shared" si="38"/>
        <v>3565.3536078699999</v>
      </c>
      <c r="D57" s="1761">
        <f t="shared" si="38"/>
        <v>2326.0978637600001</v>
      </c>
      <c r="E57" s="1761">
        <f t="shared" si="39"/>
        <v>5199.3350518699999</v>
      </c>
      <c r="F57" s="1761">
        <f t="shared" si="40"/>
        <v>3449.0419230699999</v>
      </c>
      <c r="G57" s="1761">
        <f t="shared" si="41"/>
        <v>1750.2931288</v>
      </c>
      <c r="H57" s="1761">
        <f t="shared" si="42"/>
        <v>692.11641975999999</v>
      </c>
      <c r="I57" s="1761">
        <f t="shared" si="43"/>
        <v>116.31168479999999</v>
      </c>
      <c r="J57" s="1761">
        <f t="shared" si="44"/>
        <v>575.80473496000002</v>
      </c>
      <c r="K57" s="1761">
        <f t="shared" si="45"/>
        <v>3344.1253506499997</v>
      </c>
      <c r="L57" s="1761">
        <f t="shared" si="46"/>
        <v>2264.05759081</v>
      </c>
      <c r="M57" s="1761">
        <v>2209.7448520399998</v>
      </c>
      <c r="N57" s="1761">
        <v>54.312738770000003</v>
      </c>
      <c r="O57" s="1761">
        <f t="shared" si="47"/>
        <v>1080.06775984</v>
      </c>
      <c r="P57" s="1761">
        <v>925.32565005000004</v>
      </c>
      <c r="Q57" s="1761">
        <v>154.74210979</v>
      </c>
      <c r="R57" s="1761">
        <f t="shared" si="48"/>
        <v>1157.0424015799999</v>
      </c>
      <c r="S57" s="1761">
        <f t="shared" si="49"/>
        <v>876.25826108000001</v>
      </c>
      <c r="T57" s="1761">
        <v>860.14382441999999</v>
      </c>
      <c r="U57" s="1761">
        <v>16.114436659999999</v>
      </c>
      <c r="V57" s="1761">
        <f t="shared" si="50"/>
        <v>280.78414050000003</v>
      </c>
      <c r="W57" s="1761">
        <v>242.63089644000001</v>
      </c>
      <c r="X57" s="1761">
        <v>38.153244059999999</v>
      </c>
      <c r="Y57" s="1761">
        <f t="shared" si="51"/>
        <v>2547.3261209800003</v>
      </c>
      <c r="Z57" s="1761">
        <f t="shared" si="52"/>
        <v>1301.2960170600002</v>
      </c>
      <c r="AA57" s="1761">
        <v>1239.2970710300001</v>
      </c>
      <c r="AB57" s="1761">
        <v>61.998946029999999</v>
      </c>
      <c r="AC57" s="1761">
        <f t="shared" si="53"/>
        <v>1246.0301039200001</v>
      </c>
      <c r="AD57" s="1761">
        <v>824.96747875000005</v>
      </c>
      <c r="AE57" s="1761">
        <v>421.06262516999999</v>
      </c>
    </row>
    <row r="58" spans="1:31">
      <c r="A58" s="1760">
        <v>6</v>
      </c>
      <c r="B58" s="1761">
        <f t="shared" si="37"/>
        <v>5922.2164039399995</v>
      </c>
      <c r="C58" s="1761">
        <f t="shared" si="38"/>
        <v>3583.8546703100001</v>
      </c>
      <c r="D58" s="1761">
        <f t="shared" si="38"/>
        <v>2338.3617336299999</v>
      </c>
      <c r="E58" s="1761">
        <f t="shared" si="39"/>
        <v>5221.4891143699997</v>
      </c>
      <c r="F58" s="1761">
        <f t="shared" si="40"/>
        <v>3467.03324591</v>
      </c>
      <c r="G58" s="1761">
        <f t="shared" si="41"/>
        <v>1754.4558684599999</v>
      </c>
      <c r="H58" s="1761">
        <f t="shared" si="42"/>
        <v>700.72728957000004</v>
      </c>
      <c r="I58" s="1761">
        <f t="shared" si="43"/>
        <v>116.8214244</v>
      </c>
      <c r="J58" s="1761">
        <f t="shared" si="44"/>
        <v>583.90586517000008</v>
      </c>
      <c r="K58" s="1761">
        <f t="shared" si="45"/>
        <v>3412.7238381100001</v>
      </c>
      <c r="L58" s="1761">
        <f t="shared" si="46"/>
        <v>2325.4691912900003</v>
      </c>
      <c r="M58" s="1761">
        <v>2272.0069924200002</v>
      </c>
      <c r="N58" s="1761">
        <v>53.462198870000002</v>
      </c>
      <c r="O58" s="1761">
        <f t="shared" si="47"/>
        <v>1087.2546468199998</v>
      </c>
      <c r="P58" s="1761">
        <v>925.44447775999993</v>
      </c>
      <c r="Q58" s="1761">
        <v>161.81016906000002</v>
      </c>
      <c r="R58" s="1761">
        <f t="shared" si="48"/>
        <v>1202.87384284</v>
      </c>
      <c r="S58" s="1761">
        <f t="shared" si="49"/>
        <v>914.47111170000005</v>
      </c>
      <c r="T58" s="1761">
        <v>899.04871462000006</v>
      </c>
      <c r="U58" s="1761">
        <v>15.42239708</v>
      </c>
      <c r="V58" s="1761">
        <f t="shared" si="50"/>
        <v>288.40273113999996</v>
      </c>
      <c r="W58" s="1761">
        <v>245.24628513999997</v>
      </c>
      <c r="X58" s="1761">
        <v>43.15644600000001</v>
      </c>
      <c r="Y58" s="1761">
        <f t="shared" si="51"/>
        <v>2509.4925658299999</v>
      </c>
      <c r="Z58" s="1761">
        <f t="shared" si="52"/>
        <v>1258.3854790199998</v>
      </c>
      <c r="AA58" s="1761">
        <v>1195.0262534899998</v>
      </c>
      <c r="AB58" s="1761">
        <v>63.359225529999996</v>
      </c>
      <c r="AC58" s="1761">
        <f t="shared" si="53"/>
        <v>1251.1070868100001</v>
      </c>
      <c r="AD58" s="1761">
        <v>829.01139069999999</v>
      </c>
      <c r="AE58" s="1761">
        <v>422.09569611000006</v>
      </c>
    </row>
    <row r="59" spans="1:31">
      <c r="A59" s="1760">
        <v>7</v>
      </c>
      <c r="B59" s="1761">
        <f t="shared" si="37"/>
        <v>6019.3164782800004</v>
      </c>
      <c r="C59" s="1761">
        <f t="shared" si="38"/>
        <v>3609.8591840900003</v>
      </c>
      <c r="D59" s="1761">
        <f t="shared" si="38"/>
        <v>2409.4572941900001</v>
      </c>
      <c r="E59" s="1761">
        <f t="shared" si="39"/>
        <v>5287.5822711800001</v>
      </c>
      <c r="F59" s="1761">
        <f t="shared" si="40"/>
        <v>3460.7371533200003</v>
      </c>
      <c r="G59" s="1761">
        <f t="shared" si="41"/>
        <v>1826.8451178600001</v>
      </c>
      <c r="H59" s="1761">
        <f t="shared" si="42"/>
        <v>731.73420710000005</v>
      </c>
      <c r="I59" s="1761">
        <f t="shared" si="43"/>
        <v>149.12203077000001</v>
      </c>
      <c r="J59" s="1761">
        <f t="shared" si="44"/>
        <v>582.61217633000001</v>
      </c>
      <c r="K59" s="1761">
        <f t="shared" si="45"/>
        <v>3452.1833446500004</v>
      </c>
      <c r="L59" s="1761">
        <f t="shared" si="46"/>
        <v>2315.9672258300002</v>
      </c>
      <c r="M59" s="1761">
        <v>2230.1244928900001</v>
      </c>
      <c r="N59" s="1761">
        <v>85.842732940000005</v>
      </c>
      <c r="O59" s="1761">
        <f t="shared" si="47"/>
        <v>1136.21611882</v>
      </c>
      <c r="P59" s="1761">
        <v>974.91382616999999</v>
      </c>
      <c r="Q59" s="1761">
        <v>161.30229265</v>
      </c>
      <c r="R59" s="1761">
        <f t="shared" si="48"/>
        <v>1160.13708309</v>
      </c>
      <c r="S59" s="1761">
        <f t="shared" si="49"/>
        <v>850.97289785000009</v>
      </c>
      <c r="T59" s="1761">
        <v>832.82103095000014</v>
      </c>
      <c r="U59" s="1761">
        <v>18.151866900000002</v>
      </c>
      <c r="V59" s="1761">
        <f t="shared" si="50"/>
        <v>309.16418523999988</v>
      </c>
      <c r="W59" s="1761">
        <v>276.4176686699999</v>
      </c>
      <c r="X59" s="1761">
        <v>32.746516570000004</v>
      </c>
      <c r="Y59" s="1761">
        <f t="shared" si="51"/>
        <v>2567.13313363</v>
      </c>
      <c r="Z59" s="1761">
        <f t="shared" si="52"/>
        <v>1293.8919582599999</v>
      </c>
      <c r="AA59" s="1761">
        <v>1230.61266043</v>
      </c>
      <c r="AB59" s="1761">
        <v>63.279297829999997</v>
      </c>
      <c r="AC59" s="1761">
        <f t="shared" si="53"/>
        <v>1273.2411753700001</v>
      </c>
      <c r="AD59" s="1761">
        <v>851.93129169000008</v>
      </c>
      <c r="AE59" s="1761">
        <v>421.30988367999998</v>
      </c>
    </row>
    <row r="60" spans="1:31">
      <c r="A60" s="1760">
        <v>8</v>
      </c>
      <c r="B60" s="1761">
        <f t="shared" si="37"/>
        <v>6090.4318320100001</v>
      </c>
      <c r="C60" s="1761">
        <f t="shared" si="38"/>
        <v>3686.25774817</v>
      </c>
      <c r="D60" s="1761">
        <f t="shared" si="38"/>
        <v>2404.1740838400001</v>
      </c>
      <c r="E60" s="1761">
        <f t="shared" si="39"/>
        <v>5353.5566308399993</v>
      </c>
      <c r="F60" s="1761">
        <f t="shared" si="40"/>
        <v>3537.5087298799999</v>
      </c>
      <c r="G60" s="1761">
        <f t="shared" si="41"/>
        <v>1816.0479009599999</v>
      </c>
      <c r="H60" s="1761">
        <f t="shared" si="42"/>
        <v>736.87520116999997</v>
      </c>
      <c r="I60" s="1761">
        <f t="shared" si="43"/>
        <v>148.74901828999998</v>
      </c>
      <c r="J60" s="1761">
        <f t="shared" si="44"/>
        <v>588.12618287999999</v>
      </c>
      <c r="K60" s="1761">
        <f t="shared" si="45"/>
        <v>3492.7363818100002</v>
      </c>
      <c r="L60" s="1761">
        <f t="shared" si="46"/>
        <v>2369.1564675300001</v>
      </c>
      <c r="M60" s="1761">
        <v>2284.4809292</v>
      </c>
      <c r="N60" s="1761">
        <v>84.675538329999995</v>
      </c>
      <c r="O60" s="1761">
        <f t="shared" si="47"/>
        <v>1123.5799142799999</v>
      </c>
      <c r="P60" s="1761">
        <v>958.36480546999996</v>
      </c>
      <c r="Q60" s="1761">
        <v>165.21510881</v>
      </c>
      <c r="R60" s="1761">
        <f t="shared" si="48"/>
        <v>1217.8777373399998</v>
      </c>
      <c r="S60" s="1761">
        <f t="shared" si="49"/>
        <v>909.82929411999999</v>
      </c>
      <c r="T60" s="1761">
        <v>892.03902519999997</v>
      </c>
      <c r="U60" s="1761">
        <v>17.790268919999999</v>
      </c>
      <c r="V60" s="1761">
        <f t="shared" si="50"/>
        <v>308.04844321999997</v>
      </c>
      <c r="W60" s="1761">
        <v>275.10109048999999</v>
      </c>
      <c r="X60" s="1761">
        <v>32.947352729999999</v>
      </c>
      <c r="Y60" s="1761">
        <f t="shared" si="51"/>
        <v>2597.6954501999999</v>
      </c>
      <c r="Z60" s="1761">
        <f t="shared" si="52"/>
        <v>1317.1012806399999</v>
      </c>
      <c r="AA60" s="1761">
        <v>1253.0278006799999</v>
      </c>
      <c r="AB60" s="1761">
        <v>64.07347996</v>
      </c>
      <c r="AC60" s="1761">
        <f t="shared" si="53"/>
        <v>1280.59416956</v>
      </c>
      <c r="AD60" s="1761">
        <v>857.68309549000003</v>
      </c>
      <c r="AE60" s="1761">
        <v>422.91107406999998</v>
      </c>
    </row>
    <row r="61" spans="1:31">
      <c r="A61" s="1760">
        <v>9</v>
      </c>
      <c r="B61" s="1761">
        <f t="shared" si="37"/>
        <v>6237.3948655100003</v>
      </c>
      <c r="C61" s="1761">
        <f t="shared" si="38"/>
        <v>3810.2287109899999</v>
      </c>
      <c r="D61" s="1761">
        <f t="shared" si="38"/>
        <v>2427.1661545200004</v>
      </c>
      <c r="E61" s="1761">
        <f t="shared" si="39"/>
        <v>5491.3099233700004</v>
      </c>
      <c r="F61" s="1761">
        <f t="shared" si="40"/>
        <v>3660.0852061400001</v>
      </c>
      <c r="G61" s="1761">
        <f t="shared" si="41"/>
        <v>1831.2247172300001</v>
      </c>
      <c r="H61" s="1761">
        <f t="shared" si="42"/>
        <v>746.08494214000007</v>
      </c>
      <c r="I61" s="1761">
        <f t="shared" si="43"/>
        <v>150.14350485</v>
      </c>
      <c r="J61" s="1761">
        <f t="shared" si="44"/>
        <v>595.94143729000007</v>
      </c>
      <c r="K61" s="1761">
        <f t="shared" si="45"/>
        <v>3613.4530662699999</v>
      </c>
      <c r="L61" s="1761">
        <f t="shared" si="46"/>
        <v>2471.5560135199999</v>
      </c>
      <c r="M61" s="1761">
        <v>2385.6003037199998</v>
      </c>
      <c r="N61" s="1761">
        <v>85.955709799999994</v>
      </c>
      <c r="O61" s="1761">
        <f t="shared" si="47"/>
        <v>1141.8970527500001</v>
      </c>
      <c r="P61" s="1761">
        <v>970.16047580000009</v>
      </c>
      <c r="Q61" s="1761">
        <v>171.73657694999997</v>
      </c>
      <c r="R61" s="1761">
        <f t="shared" si="48"/>
        <v>1311.8177153800002</v>
      </c>
      <c r="S61" s="1761">
        <f t="shared" si="49"/>
        <v>992.37874834000002</v>
      </c>
      <c r="T61" s="1761">
        <v>975.06882923000001</v>
      </c>
      <c r="U61" s="1761">
        <v>17.309919109999999</v>
      </c>
      <c r="V61" s="1761">
        <f t="shared" si="50"/>
        <v>319.43896704000008</v>
      </c>
      <c r="W61" s="1761">
        <v>284.5541591700001</v>
      </c>
      <c r="X61" s="1761">
        <v>34.884807869999996</v>
      </c>
      <c r="Y61" s="1761">
        <f t="shared" si="51"/>
        <v>2623.9417992400004</v>
      </c>
      <c r="Z61" s="1761">
        <f t="shared" si="52"/>
        <v>1338.67269747</v>
      </c>
      <c r="AA61" s="1761">
        <v>1274.48490242</v>
      </c>
      <c r="AB61" s="1761">
        <v>64.187795050000005</v>
      </c>
      <c r="AC61" s="1761">
        <f t="shared" si="53"/>
        <v>1285.2691017700001</v>
      </c>
      <c r="AD61" s="1761">
        <v>861.06424143000004</v>
      </c>
      <c r="AE61" s="1761">
        <v>424.20486034000004</v>
      </c>
    </row>
    <row r="62" spans="1:31">
      <c r="A62" s="1760">
        <v>10</v>
      </c>
      <c r="B62" s="1761">
        <f t="shared" si="37"/>
        <v>6303.3730588999988</v>
      </c>
      <c r="C62" s="1761">
        <f t="shared" si="38"/>
        <v>3865.8009231899991</v>
      </c>
      <c r="D62" s="1761">
        <f t="shared" si="38"/>
        <v>2437.5721357100001</v>
      </c>
      <c r="E62" s="1761">
        <f t="shared" si="39"/>
        <v>5551.8639683599995</v>
      </c>
      <c r="F62" s="1761">
        <f t="shared" si="40"/>
        <v>3712.4003578799993</v>
      </c>
      <c r="G62" s="1761">
        <f t="shared" si="41"/>
        <v>1839.4636104800002</v>
      </c>
      <c r="H62" s="1761">
        <f t="shared" si="42"/>
        <v>751.50909053999999</v>
      </c>
      <c r="I62" s="1761">
        <f t="shared" si="43"/>
        <v>153.40056530999999</v>
      </c>
      <c r="J62" s="1761">
        <f t="shared" si="44"/>
        <v>598.10852522999994</v>
      </c>
      <c r="K62" s="1761">
        <f t="shared" si="45"/>
        <v>3621.0030646999994</v>
      </c>
      <c r="L62" s="1761">
        <f t="shared" si="46"/>
        <v>2473.2560071499997</v>
      </c>
      <c r="M62" s="1761">
        <v>2383.8400182699997</v>
      </c>
      <c r="N62" s="1761">
        <v>89.41598888</v>
      </c>
      <c r="O62" s="1761">
        <f t="shared" si="47"/>
        <v>1147.7470575499999</v>
      </c>
      <c r="P62" s="1761">
        <v>976.11569015999999</v>
      </c>
      <c r="Q62" s="1761">
        <v>171.63136739000001</v>
      </c>
      <c r="R62" s="1761">
        <f t="shared" si="48"/>
        <v>1256.7186570700001</v>
      </c>
      <c r="S62" s="1761">
        <f t="shared" si="49"/>
        <v>945.16911811</v>
      </c>
      <c r="T62" s="1761">
        <v>927.13565699000003</v>
      </c>
      <c r="U62" s="1761">
        <v>18.033461120000002</v>
      </c>
      <c r="V62" s="1761">
        <f t="shared" si="50"/>
        <v>311.54953896000006</v>
      </c>
      <c r="W62" s="1761">
        <v>278.24269532000005</v>
      </c>
      <c r="X62" s="1761">
        <v>33.306843640000004</v>
      </c>
      <c r="Y62" s="1761">
        <f t="shared" si="51"/>
        <v>2682.3699941999998</v>
      </c>
      <c r="Z62" s="1761">
        <f t="shared" si="52"/>
        <v>1392.5449160399999</v>
      </c>
      <c r="AA62" s="1761">
        <v>1328.5603396099998</v>
      </c>
      <c r="AB62" s="1761">
        <v>63.984576430000004</v>
      </c>
      <c r="AC62" s="1761">
        <f t="shared" si="53"/>
        <v>1289.82507816</v>
      </c>
      <c r="AD62" s="1761">
        <v>863.34792032000007</v>
      </c>
      <c r="AE62" s="1761">
        <v>426.47715783999996</v>
      </c>
    </row>
    <row r="63" spans="1:31">
      <c r="A63" s="1760">
        <v>11</v>
      </c>
      <c r="B63" s="1761">
        <f t="shared" si="37"/>
        <v>6419.6112475600003</v>
      </c>
      <c r="C63" s="1761">
        <f t="shared" si="38"/>
        <v>3955.45602414</v>
      </c>
      <c r="D63" s="1761">
        <f t="shared" si="38"/>
        <v>2464.1552234199999</v>
      </c>
      <c r="E63" s="1761">
        <f t="shared" si="39"/>
        <v>5659.3099568600001</v>
      </c>
      <c r="F63" s="1761">
        <f t="shared" si="40"/>
        <v>3800.22161203</v>
      </c>
      <c r="G63" s="1761">
        <f t="shared" si="41"/>
        <v>1859.0883448300001</v>
      </c>
      <c r="H63" s="1761">
        <f t="shared" si="42"/>
        <v>760.30129069999998</v>
      </c>
      <c r="I63" s="1761">
        <f t="shared" si="43"/>
        <v>155.23441210999999</v>
      </c>
      <c r="J63" s="1761">
        <f t="shared" si="44"/>
        <v>605.06687858999999</v>
      </c>
      <c r="K63" s="1761">
        <f t="shared" si="45"/>
        <v>3718.6585385899998</v>
      </c>
      <c r="L63" s="1761">
        <f t="shared" si="46"/>
        <v>2550.6016936199999</v>
      </c>
      <c r="M63" s="1761">
        <v>2459.49282481</v>
      </c>
      <c r="N63" s="1761">
        <v>91.10886880999999</v>
      </c>
      <c r="O63" s="1761">
        <f t="shared" si="47"/>
        <v>1168.0568449699999</v>
      </c>
      <c r="P63" s="1761">
        <v>985.04173283</v>
      </c>
      <c r="Q63" s="1761">
        <v>183.01511214000001</v>
      </c>
      <c r="R63" s="1761">
        <f t="shared" si="48"/>
        <v>1287.4893537599999</v>
      </c>
      <c r="S63" s="1761">
        <f t="shared" si="49"/>
        <v>977.85977923999997</v>
      </c>
      <c r="T63" s="1761">
        <v>959.80819712999994</v>
      </c>
      <c r="U63" s="1761">
        <v>18.051582110000002</v>
      </c>
      <c r="V63" s="1761">
        <f t="shared" si="50"/>
        <v>309.62957451999995</v>
      </c>
      <c r="W63" s="1761">
        <v>276.91025766999996</v>
      </c>
      <c r="X63" s="1761">
        <v>32.719316849999998</v>
      </c>
      <c r="Y63" s="1761">
        <f t="shared" si="51"/>
        <v>2700.9527089700005</v>
      </c>
      <c r="Z63" s="1761">
        <f t="shared" si="52"/>
        <v>1404.8543305200001</v>
      </c>
      <c r="AA63" s="1761">
        <v>1340.72878722</v>
      </c>
      <c r="AB63" s="1761">
        <v>64.125543300000004</v>
      </c>
      <c r="AC63" s="1761">
        <f t="shared" si="53"/>
        <v>1296.0983784500002</v>
      </c>
      <c r="AD63" s="1761">
        <v>874.0466120000001</v>
      </c>
      <c r="AE63" s="1761">
        <v>422.05176645</v>
      </c>
    </row>
    <row r="64" spans="1:31">
      <c r="A64" s="1760">
        <v>12</v>
      </c>
      <c r="B64" s="1761">
        <f t="shared" si="37"/>
        <v>6395.8448741600005</v>
      </c>
      <c r="C64" s="1761">
        <f t="shared" si="38"/>
        <v>3888.3470149499999</v>
      </c>
      <c r="D64" s="1761">
        <f t="shared" si="38"/>
        <v>2507.4978592100001</v>
      </c>
      <c r="E64" s="1761">
        <f t="shared" si="39"/>
        <v>5620.2964212200004</v>
      </c>
      <c r="F64" s="1761">
        <f t="shared" si="40"/>
        <v>3730.1211726500001</v>
      </c>
      <c r="G64" s="1761">
        <f t="shared" si="41"/>
        <v>1890.1752485700001</v>
      </c>
      <c r="H64" s="1761">
        <f t="shared" si="42"/>
        <v>775.54845294000006</v>
      </c>
      <c r="I64" s="1761">
        <f t="shared" si="43"/>
        <v>158.22584230000001</v>
      </c>
      <c r="J64" s="1761">
        <f t="shared" si="44"/>
        <v>617.32261063999999</v>
      </c>
      <c r="K64" s="1761">
        <f t="shared" si="45"/>
        <v>3705.50365977</v>
      </c>
      <c r="L64" s="1761">
        <f t="shared" si="46"/>
        <v>2445.7544599099997</v>
      </c>
      <c r="M64" s="1761">
        <v>2351.3211118099998</v>
      </c>
      <c r="N64" s="1761">
        <v>94.433348100000003</v>
      </c>
      <c r="O64" s="1761">
        <f t="shared" si="47"/>
        <v>1259.7491998600001</v>
      </c>
      <c r="P64" s="1761">
        <v>1067.0870260900001</v>
      </c>
      <c r="Q64" s="1761">
        <v>192.66217377000001</v>
      </c>
      <c r="R64" s="1761">
        <f t="shared" si="48"/>
        <v>1088.26971914</v>
      </c>
      <c r="S64" s="1761">
        <f t="shared" si="49"/>
        <v>778.70325536999997</v>
      </c>
      <c r="T64" s="1761">
        <v>759.75829567999995</v>
      </c>
      <c r="U64" s="1761">
        <v>18.944959690000001</v>
      </c>
      <c r="V64" s="1761">
        <f t="shared" si="50"/>
        <v>309.56646377000004</v>
      </c>
      <c r="W64" s="1761">
        <v>272.14360713000002</v>
      </c>
      <c r="X64" s="1761">
        <v>37.422856639999999</v>
      </c>
      <c r="Y64" s="1761">
        <f t="shared" si="51"/>
        <v>2690.3412143900005</v>
      </c>
      <c r="Z64" s="1761">
        <f t="shared" si="52"/>
        <v>1442.5925550400002</v>
      </c>
      <c r="AA64" s="1761">
        <v>1378.8000608400002</v>
      </c>
      <c r="AB64" s="1761">
        <v>63.7924942</v>
      </c>
      <c r="AC64" s="1761">
        <f t="shared" si="53"/>
        <v>1247.74865935</v>
      </c>
      <c r="AD64" s="1761">
        <v>823.08822248000001</v>
      </c>
      <c r="AE64" s="1761">
        <v>424.66043687000001</v>
      </c>
    </row>
    <row r="65" spans="1:31" ht="15.75">
      <c r="A65" s="1757">
        <v>2014</v>
      </c>
      <c r="B65" s="1761"/>
      <c r="C65" s="1761"/>
      <c r="D65" s="1761"/>
      <c r="E65" s="1761"/>
      <c r="F65" s="1761"/>
      <c r="G65" s="1761"/>
      <c r="H65" s="1761"/>
      <c r="I65" s="1761"/>
      <c r="J65" s="1761"/>
      <c r="K65" s="1761"/>
      <c r="L65" s="1761"/>
      <c r="M65" s="1761"/>
      <c r="N65" s="1761"/>
      <c r="O65" s="1761"/>
      <c r="P65" s="1761"/>
      <c r="Q65" s="1761"/>
      <c r="R65" s="1761"/>
      <c r="S65" s="1761"/>
      <c r="T65" s="1761"/>
      <c r="U65" s="1761"/>
      <c r="V65" s="1761"/>
      <c r="W65" s="1761"/>
      <c r="X65" s="1761"/>
      <c r="Y65" s="1761"/>
      <c r="Z65" s="1761"/>
      <c r="AA65" s="1761"/>
      <c r="AB65" s="1761"/>
      <c r="AC65" s="1761"/>
      <c r="AD65" s="1761"/>
      <c r="AE65" s="1761"/>
    </row>
    <row r="66" spans="1:31">
      <c r="A66" s="1760">
        <v>1</v>
      </c>
      <c r="B66" s="1761">
        <f t="shared" ref="B66:B71" si="54">+C66+D66</f>
        <v>6451.4104649499996</v>
      </c>
      <c r="C66" s="1761">
        <f t="shared" ref="C66:D74" si="55">+F66+I66</f>
        <v>3929.7981975099997</v>
      </c>
      <c r="D66" s="1761">
        <f t="shared" si="55"/>
        <v>2521.6122674399999</v>
      </c>
      <c r="E66" s="1761">
        <f t="shared" ref="E66:E71" si="56">+F66+G66</f>
        <v>5675.6954215400001</v>
      </c>
      <c r="F66" s="1761">
        <f t="shared" ref="F66:F71" si="57">+M66+AA66</f>
        <v>3773.0849977399998</v>
      </c>
      <c r="G66" s="1761">
        <f t="shared" ref="G66:G71" si="58">+P66+AD66</f>
        <v>1902.6104237999998</v>
      </c>
      <c r="H66" s="1761">
        <f t="shared" ref="H66:H71" si="59">+I66+J66</f>
        <v>775.71504340999991</v>
      </c>
      <c r="I66" s="1761">
        <f t="shared" ref="I66:I71" si="60">+N66+AB66</f>
        <v>156.71319976999999</v>
      </c>
      <c r="J66" s="1761">
        <f t="shared" ref="J66:J71" si="61">+Q66+AE66</f>
        <v>619.00184363999995</v>
      </c>
      <c r="K66" s="1761">
        <f t="shared" ref="K66:K71" si="62">+L66+O66</f>
        <v>3725.1427390499998</v>
      </c>
      <c r="L66" s="1761">
        <f t="shared" ref="L66:L71" si="63">+M66+N66</f>
        <v>2465.79586621</v>
      </c>
      <c r="M66" s="1761">
        <v>2368.00962037</v>
      </c>
      <c r="N66" s="1761">
        <v>97.786245839999992</v>
      </c>
      <c r="O66" s="1761">
        <f t="shared" ref="O66:O72" si="64">P66+Q66</f>
        <v>1259.3468728399998</v>
      </c>
      <c r="P66" s="1761">
        <v>1065.9615482699999</v>
      </c>
      <c r="Q66" s="1761">
        <v>193.38532456999999</v>
      </c>
      <c r="R66" s="1761">
        <f t="shared" ref="R66:R71" si="65">S66+V66</f>
        <v>1105.8477324099999</v>
      </c>
      <c r="S66" s="1761">
        <f t="shared" ref="S66:S71" si="66">T66+U66</f>
        <v>806.02335108999989</v>
      </c>
      <c r="T66" s="1761">
        <v>787.91023093999991</v>
      </c>
      <c r="U66" s="1761">
        <v>18.113120150000004</v>
      </c>
      <c r="V66" s="1761">
        <f t="shared" ref="V66:V72" si="67">W66+X66</f>
        <v>299.82438132000004</v>
      </c>
      <c r="W66" s="1761">
        <v>264.04105980000003</v>
      </c>
      <c r="X66" s="1761">
        <v>35.783321520000001</v>
      </c>
      <c r="Y66" s="1761">
        <f t="shared" ref="Y66:Y72" si="68">Z66+AC66</f>
        <v>2726.2677259000002</v>
      </c>
      <c r="Z66" s="1761">
        <f t="shared" ref="Z66:Z72" si="69">AA66+AB66</f>
        <v>1464.0023312999999</v>
      </c>
      <c r="AA66" s="1761">
        <v>1405.0753773699998</v>
      </c>
      <c r="AB66" s="1761">
        <v>58.926953929999996</v>
      </c>
      <c r="AC66" s="1761">
        <f t="shared" ref="AC66:AC72" si="70">AD66+AE66</f>
        <v>1262.2653946</v>
      </c>
      <c r="AD66" s="1761">
        <v>836.64887552999994</v>
      </c>
      <c r="AE66" s="1761">
        <v>425.61651906999998</v>
      </c>
    </row>
    <row r="67" spans="1:31">
      <c r="A67" s="1760">
        <v>2</v>
      </c>
      <c r="B67" s="1761">
        <f t="shared" si="54"/>
        <v>6591.6606563599998</v>
      </c>
      <c r="C67" s="1761">
        <f t="shared" si="55"/>
        <v>4028.5103759500003</v>
      </c>
      <c r="D67" s="1761">
        <f t="shared" si="55"/>
        <v>2563.1502804100001</v>
      </c>
      <c r="E67" s="1761">
        <f t="shared" si="56"/>
        <v>5840.2864390699997</v>
      </c>
      <c r="F67" s="1761">
        <f t="shared" si="57"/>
        <v>3894.0410626900002</v>
      </c>
      <c r="G67" s="1761">
        <f t="shared" si="58"/>
        <v>1946.2453763799999</v>
      </c>
      <c r="H67" s="1761">
        <f t="shared" si="59"/>
        <v>751.37421729000005</v>
      </c>
      <c r="I67" s="1761">
        <f t="shared" si="60"/>
        <v>134.46931326000001</v>
      </c>
      <c r="J67" s="1761">
        <f t="shared" si="61"/>
        <v>616.90490403000001</v>
      </c>
      <c r="K67" s="1761">
        <f t="shared" si="62"/>
        <v>3857.9997306400001</v>
      </c>
      <c r="L67" s="1761">
        <f t="shared" si="63"/>
        <v>2558.2764536700001</v>
      </c>
      <c r="M67" s="1761">
        <v>2483.72669653</v>
      </c>
      <c r="N67" s="1761">
        <v>74.549757139999997</v>
      </c>
      <c r="O67" s="1761">
        <f t="shared" si="64"/>
        <v>1299.7232769700001</v>
      </c>
      <c r="P67" s="1761">
        <v>1096.9439224800001</v>
      </c>
      <c r="Q67" s="1761">
        <v>202.77935449</v>
      </c>
      <c r="R67" s="1761">
        <f t="shared" si="65"/>
        <v>1214.3545982599999</v>
      </c>
      <c r="S67" s="1761">
        <f t="shared" si="66"/>
        <v>909.39596168000003</v>
      </c>
      <c r="T67" s="1761">
        <v>891.70560348000004</v>
      </c>
      <c r="U67" s="1761">
        <v>17.690358199999999</v>
      </c>
      <c r="V67" s="1761">
        <f t="shared" si="67"/>
        <v>304.95863657999996</v>
      </c>
      <c r="W67" s="1761">
        <v>271.80815847999997</v>
      </c>
      <c r="X67" s="1761">
        <v>33.150478100000001</v>
      </c>
      <c r="Y67" s="1761">
        <f t="shared" si="68"/>
        <v>2733.6609257199998</v>
      </c>
      <c r="Z67" s="1761">
        <f t="shared" si="69"/>
        <v>1470.2339222799999</v>
      </c>
      <c r="AA67" s="1761">
        <v>1410.31436616</v>
      </c>
      <c r="AB67" s="1761">
        <v>59.919556120000003</v>
      </c>
      <c r="AC67" s="1761">
        <f t="shared" si="70"/>
        <v>1263.4270034399999</v>
      </c>
      <c r="AD67" s="1761">
        <v>849.30145389999996</v>
      </c>
      <c r="AE67" s="1761">
        <v>414.12554954000001</v>
      </c>
    </row>
    <row r="68" spans="1:31">
      <c r="A68" s="1760">
        <v>3</v>
      </c>
      <c r="B68" s="1761">
        <f t="shared" si="54"/>
        <v>6656.3254772600003</v>
      </c>
      <c r="C68" s="1761">
        <f t="shared" si="55"/>
        <v>4077.05009122</v>
      </c>
      <c r="D68" s="1761">
        <f t="shared" si="55"/>
        <v>2579.2753860400003</v>
      </c>
      <c r="E68" s="1761">
        <f t="shared" si="56"/>
        <v>5959.3639897499997</v>
      </c>
      <c r="F68" s="1761">
        <f t="shared" si="57"/>
        <v>3948.3811343299999</v>
      </c>
      <c r="G68" s="1761">
        <f t="shared" si="58"/>
        <v>2010.9828554200003</v>
      </c>
      <c r="H68" s="1761">
        <f t="shared" si="59"/>
        <v>696.96148750999998</v>
      </c>
      <c r="I68" s="1761">
        <f t="shared" si="60"/>
        <v>128.66895689</v>
      </c>
      <c r="J68" s="1761">
        <f t="shared" si="61"/>
        <v>568.29253061999998</v>
      </c>
      <c r="K68" s="1761">
        <f t="shared" si="62"/>
        <v>3990.14908328</v>
      </c>
      <c r="L68" s="1761">
        <f t="shared" si="63"/>
        <v>2592.1079596700001</v>
      </c>
      <c r="M68" s="1761">
        <v>2523.3057687099999</v>
      </c>
      <c r="N68" s="1761">
        <v>68.802190960000004</v>
      </c>
      <c r="O68" s="1761">
        <f t="shared" si="64"/>
        <v>1398.0411236100001</v>
      </c>
      <c r="P68" s="1761">
        <v>1141.2416964200002</v>
      </c>
      <c r="Q68" s="1761">
        <v>256.79942719000002</v>
      </c>
      <c r="R68" s="1761">
        <f t="shared" si="65"/>
        <v>1256.2924715500001</v>
      </c>
      <c r="S68" s="1761">
        <f t="shared" si="66"/>
        <v>926.75950374000001</v>
      </c>
      <c r="T68" s="1761">
        <v>907.01271545999998</v>
      </c>
      <c r="U68" s="1761">
        <v>19.746788280000001</v>
      </c>
      <c r="V68" s="1761">
        <f t="shared" si="67"/>
        <v>329.53296781</v>
      </c>
      <c r="W68" s="1761">
        <v>283.94721874999999</v>
      </c>
      <c r="X68" s="1761">
        <v>45.585749059999998</v>
      </c>
      <c r="Y68" s="1761">
        <f t="shared" si="68"/>
        <v>2666.1763939800003</v>
      </c>
      <c r="Z68" s="1761">
        <f t="shared" si="69"/>
        <v>1484.9421315499999</v>
      </c>
      <c r="AA68" s="1761">
        <v>1425.07536562</v>
      </c>
      <c r="AB68" s="1761">
        <v>59.866765930000007</v>
      </c>
      <c r="AC68" s="1761">
        <f t="shared" si="70"/>
        <v>1181.2342624300002</v>
      </c>
      <c r="AD68" s="1761">
        <v>869.74115900000015</v>
      </c>
      <c r="AE68" s="1761">
        <v>311.49310343000002</v>
      </c>
    </row>
    <row r="69" spans="1:31">
      <c r="A69" s="1760">
        <v>4</v>
      </c>
      <c r="B69" s="1761">
        <f t="shared" si="54"/>
        <v>6569.8810599799999</v>
      </c>
      <c r="C69" s="1761">
        <f t="shared" si="55"/>
        <v>4066.9585735699998</v>
      </c>
      <c r="D69" s="1761">
        <f t="shared" si="55"/>
        <v>2502.9224864100001</v>
      </c>
      <c r="E69" s="1761">
        <f t="shared" si="56"/>
        <v>5961.1683254700001</v>
      </c>
      <c r="F69" s="1761">
        <f t="shared" si="57"/>
        <v>3942.2243731799999</v>
      </c>
      <c r="G69" s="1761">
        <f t="shared" si="58"/>
        <v>2018.94395229</v>
      </c>
      <c r="H69" s="1761">
        <f t="shared" si="59"/>
        <v>608.71273451000002</v>
      </c>
      <c r="I69" s="1761">
        <f t="shared" si="60"/>
        <v>124.73420039</v>
      </c>
      <c r="J69" s="1761">
        <f t="shared" si="61"/>
        <v>483.97853412000006</v>
      </c>
      <c r="K69" s="1761">
        <f t="shared" si="62"/>
        <v>3961.3788653300003</v>
      </c>
      <c r="L69" s="1761">
        <f t="shared" si="63"/>
        <v>2559.6036840800002</v>
      </c>
      <c r="M69" s="1761">
        <v>2494.8064018300001</v>
      </c>
      <c r="N69" s="1761">
        <v>64.797282249999995</v>
      </c>
      <c r="O69" s="1761">
        <f t="shared" si="64"/>
        <v>1401.7751812500001</v>
      </c>
      <c r="P69" s="1761">
        <v>1152.6522775200001</v>
      </c>
      <c r="Q69" s="1761">
        <v>249.12290373000002</v>
      </c>
      <c r="R69" s="1761">
        <f t="shared" si="65"/>
        <v>1134.0603969200001</v>
      </c>
      <c r="S69" s="1761">
        <f t="shared" si="66"/>
        <v>800.65418823000005</v>
      </c>
      <c r="T69" s="1761">
        <v>781.66087979000008</v>
      </c>
      <c r="U69" s="1761">
        <v>18.993308440000003</v>
      </c>
      <c r="V69" s="1761">
        <f t="shared" si="67"/>
        <v>333.40620869000003</v>
      </c>
      <c r="W69" s="1761">
        <v>294.80842256000005</v>
      </c>
      <c r="X69" s="1761">
        <v>38.597786129999996</v>
      </c>
      <c r="Y69" s="1761">
        <f t="shared" si="68"/>
        <v>2608.5021946499996</v>
      </c>
      <c r="Z69" s="1761">
        <f t="shared" si="69"/>
        <v>1507.3548894899998</v>
      </c>
      <c r="AA69" s="1761">
        <v>1447.4179713499998</v>
      </c>
      <c r="AB69" s="1761">
        <v>59.936918140000003</v>
      </c>
      <c r="AC69" s="1761">
        <f t="shared" si="70"/>
        <v>1101.1473051599999</v>
      </c>
      <c r="AD69" s="1761">
        <v>866.29167476999987</v>
      </c>
      <c r="AE69" s="1761">
        <v>234.85563039000002</v>
      </c>
    </row>
    <row r="70" spans="1:31">
      <c r="A70" s="1760">
        <v>5</v>
      </c>
      <c r="B70" s="1761">
        <f t="shared" si="54"/>
        <v>6643.0451918799999</v>
      </c>
      <c r="C70" s="1761">
        <f t="shared" si="55"/>
        <v>4158.8485667799996</v>
      </c>
      <c r="D70" s="1761">
        <f t="shared" si="55"/>
        <v>2484.1966251000003</v>
      </c>
      <c r="E70" s="1761">
        <f t="shared" si="56"/>
        <v>6030.3407771700004</v>
      </c>
      <c r="F70" s="1761">
        <f t="shared" si="57"/>
        <v>4032.5437257999997</v>
      </c>
      <c r="G70" s="1761">
        <f t="shared" si="58"/>
        <v>1997.7970513700002</v>
      </c>
      <c r="H70" s="1761">
        <f t="shared" si="59"/>
        <v>612.70441471000004</v>
      </c>
      <c r="I70" s="1761">
        <f t="shared" si="60"/>
        <v>126.30484097999999</v>
      </c>
      <c r="J70" s="1761">
        <f t="shared" si="61"/>
        <v>486.39957372999999</v>
      </c>
      <c r="K70" s="1761">
        <f t="shared" si="62"/>
        <v>3993.8217594899997</v>
      </c>
      <c r="L70" s="1761">
        <f t="shared" si="63"/>
        <v>2629.1217976899998</v>
      </c>
      <c r="M70" s="1761">
        <v>2563.13422597</v>
      </c>
      <c r="N70" s="1761">
        <v>65.987571719999991</v>
      </c>
      <c r="O70" s="1761">
        <f t="shared" si="64"/>
        <v>1364.6999618000002</v>
      </c>
      <c r="P70" s="1761">
        <v>1116.8125606700003</v>
      </c>
      <c r="Q70" s="1761">
        <v>247.88740112999997</v>
      </c>
      <c r="R70" s="1761">
        <f t="shared" si="65"/>
        <v>1132.31191143</v>
      </c>
      <c r="S70" s="1761">
        <f t="shared" si="66"/>
        <v>815.45175207</v>
      </c>
      <c r="T70" s="1761">
        <v>796.44956019999995</v>
      </c>
      <c r="U70" s="1761">
        <v>19.002191870000004</v>
      </c>
      <c r="V70" s="1761">
        <f t="shared" si="67"/>
        <v>316.86015936000001</v>
      </c>
      <c r="W70" s="1761">
        <v>279.47943951000002</v>
      </c>
      <c r="X70" s="1761">
        <v>37.380719849999991</v>
      </c>
      <c r="Y70" s="1761">
        <f t="shared" si="68"/>
        <v>2649.2234323900002</v>
      </c>
      <c r="Z70" s="1761">
        <f t="shared" si="69"/>
        <v>1529.7267690899998</v>
      </c>
      <c r="AA70" s="1761">
        <v>1469.4094998299997</v>
      </c>
      <c r="AB70" s="1761">
        <v>60.317269259999996</v>
      </c>
      <c r="AC70" s="1761">
        <f t="shared" si="70"/>
        <v>1119.4966633000001</v>
      </c>
      <c r="AD70" s="1761">
        <v>880.98449070000004</v>
      </c>
      <c r="AE70" s="1761">
        <v>238.51217260000001</v>
      </c>
    </row>
    <row r="71" spans="1:31">
      <c r="A71" s="1760">
        <v>6</v>
      </c>
      <c r="B71" s="1761">
        <f t="shared" si="54"/>
        <v>6720.5955842000003</v>
      </c>
      <c r="C71" s="1761">
        <f t="shared" si="55"/>
        <v>4198.2507232799999</v>
      </c>
      <c r="D71" s="1761">
        <f t="shared" si="55"/>
        <v>2522.3448609200004</v>
      </c>
      <c r="E71" s="1761">
        <f t="shared" si="56"/>
        <v>6093.2068779600004</v>
      </c>
      <c r="F71" s="1761">
        <f t="shared" si="57"/>
        <v>4070.3656986599999</v>
      </c>
      <c r="G71" s="1761">
        <f t="shared" si="58"/>
        <v>2022.8411793000002</v>
      </c>
      <c r="H71" s="1761">
        <f t="shared" si="59"/>
        <v>627.38870624000003</v>
      </c>
      <c r="I71" s="1761">
        <f t="shared" si="60"/>
        <v>127.88502462</v>
      </c>
      <c r="J71" s="1761">
        <f t="shared" si="61"/>
        <v>499.50368162000001</v>
      </c>
      <c r="K71" s="1761">
        <f t="shared" si="62"/>
        <v>4023.3686879800002</v>
      </c>
      <c r="L71" s="1761">
        <f t="shared" si="63"/>
        <v>2640.8026103699999</v>
      </c>
      <c r="M71" s="1761">
        <v>2572.74336589</v>
      </c>
      <c r="N71" s="1761">
        <v>68.059244480000004</v>
      </c>
      <c r="O71" s="1761">
        <f t="shared" si="64"/>
        <v>1382.5660776100003</v>
      </c>
      <c r="P71" s="1761">
        <v>1123.4978669800003</v>
      </c>
      <c r="Q71" s="1761">
        <v>259.06821063000001</v>
      </c>
      <c r="R71" s="1761">
        <f t="shared" si="65"/>
        <v>1129.7733274100001</v>
      </c>
      <c r="S71" s="1761">
        <f t="shared" si="66"/>
        <v>798.48918222999998</v>
      </c>
      <c r="T71" s="1761">
        <v>777.89316209000003</v>
      </c>
      <c r="U71" s="1761">
        <v>20.59602014</v>
      </c>
      <c r="V71" s="1761">
        <f t="shared" si="67"/>
        <v>331.28414518</v>
      </c>
      <c r="W71" s="1761">
        <v>289.52290390000002</v>
      </c>
      <c r="X71" s="1761">
        <v>41.761241279999993</v>
      </c>
      <c r="Y71" s="1761">
        <f t="shared" si="68"/>
        <v>2697.2268962200005</v>
      </c>
      <c r="Z71" s="1761">
        <f t="shared" si="69"/>
        <v>1557.4481129100002</v>
      </c>
      <c r="AA71" s="1761">
        <v>1497.6223327700002</v>
      </c>
      <c r="AB71" s="1761">
        <v>59.825780139999999</v>
      </c>
      <c r="AC71" s="1761">
        <f t="shared" si="70"/>
        <v>1139.7787833100001</v>
      </c>
      <c r="AD71" s="1761">
        <v>899.34331232</v>
      </c>
      <c r="AE71" s="1761">
        <v>240.43547099</v>
      </c>
    </row>
    <row r="72" spans="1:31">
      <c r="A72" s="1760">
        <v>7</v>
      </c>
      <c r="B72" s="1761">
        <f>+C72+D72</f>
        <v>6940.0354101999992</v>
      </c>
      <c r="C72" s="1761">
        <f t="shared" si="55"/>
        <v>4403.5624606999991</v>
      </c>
      <c r="D72" s="1761">
        <f t="shared" si="55"/>
        <v>2536.4729495000001</v>
      </c>
      <c r="E72" s="1761">
        <f>+F72+G72</f>
        <v>6310.9431645199993</v>
      </c>
      <c r="F72" s="1761">
        <f>+M72+AA72</f>
        <v>4271.6614618799995</v>
      </c>
      <c r="G72" s="1761">
        <f>+P72+AD72</f>
        <v>2039.28170264</v>
      </c>
      <c r="H72" s="1761">
        <f>+I72+J72</f>
        <v>629.09224567999991</v>
      </c>
      <c r="I72" s="1761">
        <f>+N72+AB72</f>
        <v>131.90099881999998</v>
      </c>
      <c r="J72" s="1761">
        <f>+Q72+AE72</f>
        <v>497.19124685999998</v>
      </c>
      <c r="K72" s="1761">
        <f>+L72+O72</f>
        <v>4224.9281000600004</v>
      </c>
      <c r="L72" s="1761">
        <f>+M72+N72</f>
        <v>2832.3002050199998</v>
      </c>
      <c r="M72" s="1761">
        <f>2760872.73555/1000</f>
        <v>2760.87273555</v>
      </c>
      <c r="N72" s="1761">
        <f>71427.46947/1000</f>
        <v>71.427469469999991</v>
      </c>
      <c r="O72" s="1761">
        <f t="shared" si="64"/>
        <v>1392.6278950400001</v>
      </c>
      <c r="P72" s="1761">
        <f>1135526.8194/1000</f>
        <v>1135.5268194</v>
      </c>
      <c r="Q72" s="1761">
        <f>257101.07564/1000</f>
        <v>257.10107563999998</v>
      </c>
      <c r="R72" s="1761">
        <f>S72+V72</f>
        <v>1236.9838280899999</v>
      </c>
      <c r="S72" s="1761">
        <f>T72+U72</f>
        <v>922.79444828999988</v>
      </c>
      <c r="T72" s="1761">
        <f>900312.27692/1000</f>
        <v>900.31227691999993</v>
      </c>
      <c r="U72" s="1761">
        <f>22482.17137/1000</f>
        <v>22.48217137</v>
      </c>
      <c r="V72" s="1761">
        <f t="shared" si="67"/>
        <v>314.18937979999998</v>
      </c>
      <c r="W72" s="1761">
        <f>272807.15785/1000</f>
        <v>272.80715785000001</v>
      </c>
      <c r="X72" s="1761">
        <f>41382.22195/1000</f>
        <v>41.382221950000002</v>
      </c>
      <c r="Y72" s="1761">
        <f t="shared" si="68"/>
        <v>2715.1073101399998</v>
      </c>
      <c r="Z72" s="1761">
        <f t="shared" si="69"/>
        <v>1571.26225568</v>
      </c>
      <c r="AA72" s="1761">
        <f>1510788.72633/1000</f>
        <v>1510.7887263299999</v>
      </c>
      <c r="AB72" s="1761">
        <f>60473.52935/1000</f>
        <v>60.47352935</v>
      </c>
      <c r="AC72" s="1761">
        <f t="shared" si="70"/>
        <v>1143.84505446</v>
      </c>
      <c r="AD72" s="1761">
        <f>903754.88324/1000</f>
        <v>903.75488324000003</v>
      </c>
      <c r="AE72" s="1761">
        <f>240090.17122/1000</f>
        <v>240.09017122</v>
      </c>
    </row>
    <row r="73" spans="1:31">
      <c r="A73" s="1760">
        <v>8</v>
      </c>
      <c r="B73" s="1761">
        <f>+C73+D73</f>
        <v>6992.7978599899998</v>
      </c>
      <c r="C73" s="1761">
        <f t="shared" si="55"/>
        <v>4447.0213318799997</v>
      </c>
      <c r="D73" s="1761">
        <f t="shared" si="55"/>
        <v>2545.7765281100001</v>
      </c>
      <c r="E73" s="1761">
        <f>+F73+G73</f>
        <v>6354.8139937699998</v>
      </c>
      <c r="F73" s="1761">
        <f>+M73+AA73</f>
        <v>4314.7920651499999</v>
      </c>
      <c r="G73" s="1761">
        <f>+P73+AD73</f>
        <v>2040.0219286199999</v>
      </c>
      <c r="H73" s="1761">
        <f>+I73+J73</f>
        <v>637.98386621999998</v>
      </c>
      <c r="I73" s="1761">
        <f>+N73+AB73</f>
        <v>132.22926673000001</v>
      </c>
      <c r="J73" s="1761">
        <f>+Q73+AE73</f>
        <v>505.75459948999998</v>
      </c>
      <c r="K73" s="1761">
        <f>+L73+O73</f>
        <v>4255.667445179999</v>
      </c>
      <c r="L73" s="1761">
        <f>+M73+N73</f>
        <v>2860.1562631099996</v>
      </c>
      <c r="M73" s="1761">
        <v>2789.2572967299998</v>
      </c>
      <c r="N73" s="1761">
        <v>70.89896637999999</v>
      </c>
      <c r="O73" s="1761">
        <f>P73+Q73</f>
        <v>1395.5111820699999</v>
      </c>
      <c r="P73" s="1761">
        <v>1136.08362197</v>
      </c>
      <c r="Q73" s="1761">
        <v>259.42756009999999</v>
      </c>
      <c r="R73" s="1761">
        <f>S73+V73</f>
        <v>1264.8937560400002</v>
      </c>
      <c r="S73" s="1761">
        <f>T73+U73</f>
        <v>953.78570688000013</v>
      </c>
      <c r="T73" s="1761">
        <v>931.61211873000013</v>
      </c>
      <c r="U73" s="1761">
        <v>22.173588149999997</v>
      </c>
      <c r="V73" s="1761">
        <f>W73+X73</f>
        <v>311.10804916000001</v>
      </c>
      <c r="W73" s="1761">
        <v>270.17126560999998</v>
      </c>
      <c r="X73" s="1761">
        <v>40.936783550000008</v>
      </c>
      <c r="Y73" s="1761">
        <f>Z73+AC73</f>
        <v>2737.1304148099998</v>
      </c>
      <c r="Z73" s="1761">
        <f>AA73+AB73</f>
        <v>1586.8650687700001</v>
      </c>
      <c r="AA73" s="1761">
        <v>1525.5347684200001</v>
      </c>
      <c r="AB73" s="1761">
        <v>61.330300350000002</v>
      </c>
      <c r="AC73" s="1761">
        <f>AD73+AE73</f>
        <v>1150.2653460399999</v>
      </c>
      <c r="AD73" s="1761">
        <v>903.93830664999996</v>
      </c>
      <c r="AE73" s="1761">
        <v>246.32703938999998</v>
      </c>
    </row>
    <row r="74" spans="1:31">
      <c r="A74" s="1760">
        <v>9</v>
      </c>
      <c r="B74" s="1761">
        <f>+C74+D74</f>
        <v>6959.6658804500003</v>
      </c>
      <c r="C74" s="1761">
        <f t="shared" si="55"/>
        <v>4421.0761625100004</v>
      </c>
      <c r="D74" s="1761">
        <f t="shared" si="55"/>
        <v>2538.5897179400004</v>
      </c>
      <c r="E74" s="1761">
        <f>+F74+G74</f>
        <v>6329.4943607900004</v>
      </c>
      <c r="F74" s="1761">
        <f>+M74+AA74</f>
        <v>4288.6481575500002</v>
      </c>
      <c r="G74" s="1761">
        <f>+P74+AD74</f>
        <v>2040.8462032400002</v>
      </c>
      <c r="H74" s="1761">
        <f>+I74+J74</f>
        <v>630.17151966000006</v>
      </c>
      <c r="I74" s="1761">
        <f>+N74+AB74</f>
        <v>132.42800495999998</v>
      </c>
      <c r="J74" s="1761">
        <f>+Q74+AE74</f>
        <v>497.74351470000005</v>
      </c>
      <c r="K74" s="1761">
        <f>+L74+O74</f>
        <v>4217.8168702399998</v>
      </c>
      <c r="L74" s="1761">
        <f>+M74+N74</f>
        <v>2818.5724524299999</v>
      </c>
      <c r="M74" s="1761">
        <v>2747.8982599199999</v>
      </c>
      <c r="N74" s="1761">
        <v>70.674192509999983</v>
      </c>
      <c r="O74" s="1761">
        <f>P74+Q74</f>
        <v>1399.2444178100002</v>
      </c>
      <c r="P74" s="1761">
        <v>1146.8674623300001</v>
      </c>
      <c r="Q74" s="1761">
        <v>252.37695548000002</v>
      </c>
      <c r="R74" s="1761">
        <f>S74+V74</f>
        <v>1232.96207643</v>
      </c>
      <c r="S74" s="1761">
        <f>T74+U74</f>
        <v>903.57757219999996</v>
      </c>
      <c r="T74" s="1761">
        <v>882.58605996999995</v>
      </c>
      <c r="U74" s="1761">
        <v>20.991512229999994</v>
      </c>
      <c r="V74" s="1761">
        <f>W74+X74</f>
        <v>329.38450423000006</v>
      </c>
      <c r="W74" s="1761">
        <v>287.15275673000008</v>
      </c>
      <c r="X74" s="1761">
        <v>42.231747500000004</v>
      </c>
      <c r="Y74" s="1761">
        <f>Z74+AC74</f>
        <v>2741.8490102100004</v>
      </c>
      <c r="Z74" s="1761">
        <f>AA74+AB74</f>
        <v>1602.50371008</v>
      </c>
      <c r="AA74" s="1761">
        <v>1540.7498976300001</v>
      </c>
      <c r="AB74" s="1761">
        <v>61.753812449999998</v>
      </c>
      <c r="AC74" s="1761">
        <f>AD74+AE74</f>
        <v>1139.3453001300002</v>
      </c>
      <c r="AD74" s="1761">
        <v>893.97874091000017</v>
      </c>
      <c r="AE74" s="1761">
        <v>245.36655922000003</v>
      </c>
    </row>
    <row r="75" spans="1:31">
      <c r="A75" s="1760">
        <v>10</v>
      </c>
      <c r="B75" s="1761">
        <f>+C75+D75</f>
        <v>7005.4142666900016</v>
      </c>
      <c r="C75" s="1761">
        <f>+F75+I75</f>
        <v>4439.2196933200012</v>
      </c>
      <c r="D75" s="1761">
        <f>+G75+J75</f>
        <v>2566.1945733700004</v>
      </c>
      <c r="E75" s="1761">
        <f>+F75+G75</f>
        <v>6369.1821249700015</v>
      </c>
      <c r="F75" s="1761">
        <f>+M75+AA75</f>
        <v>4305.5616620600013</v>
      </c>
      <c r="G75" s="1761">
        <f>+P75+AD75</f>
        <v>2063.6204629100002</v>
      </c>
      <c r="H75" s="1761">
        <f>+I75+J75</f>
        <v>636.23214171999996</v>
      </c>
      <c r="I75" s="1761">
        <f>+N75+AB75</f>
        <v>133.65803125999997</v>
      </c>
      <c r="J75" s="1761">
        <f>+Q75+AE75</f>
        <v>502.57411045999999</v>
      </c>
      <c r="K75" s="1761">
        <f>+L75+O75</f>
        <v>4237.6600490999999</v>
      </c>
      <c r="L75" s="1761">
        <f>+M75+N75</f>
        <v>2813.0767394600002</v>
      </c>
      <c r="M75" s="1761">
        <v>2741.5919655300004</v>
      </c>
      <c r="N75" s="1761">
        <v>71.484773929999989</v>
      </c>
      <c r="O75" s="1761">
        <f>P75+Q75</f>
        <v>1424.5833096399999</v>
      </c>
      <c r="P75" s="1761">
        <v>1169.3976625</v>
      </c>
      <c r="Q75" s="1761">
        <v>255.18564713999999</v>
      </c>
      <c r="R75" s="1761">
        <f>S75+V75</f>
        <v>1214.6478933000001</v>
      </c>
      <c r="S75" s="1761">
        <f>T75+U75</f>
        <v>872.47568078000006</v>
      </c>
      <c r="T75" s="1761">
        <v>849.49350105000008</v>
      </c>
      <c r="U75" s="1761">
        <v>22.982179730000002</v>
      </c>
      <c r="V75" s="1761">
        <f>W75+X75</f>
        <v>342.17221251999996</v>
      </c>
      <c r="W75" s="1761">
        <v>298.87088891999997</v>
      </c>
      <c r="X75" s="1761">
        <v>43.301323600000003</v>
      </c>
      <c r="Y75" s="1761">
        <f>Z75+AC75</f>
        <v>2767.7542175900007</v>
      </c>
      <c r="Z75" s="1761">
        <f>AA75+AB75</f>
        <v>1626.1429538600005</v>
      </c>
      <c r="AA75" s="1761">
        <v>1563.9696965300004</v>
      </c>
      <c r="AB75" s="1761">
        <v>62.173257329999998</v>
      </c>
      <c r="AC75" s="1761">
        <f>AD75+AE75</f>
        <v>1141.61126373</v>
      </c>
      <c r="AD75" s="1761">
        <v>894.22280040999999</v>
      </c>
      <c r="AE75" s="1761">
        <v>247.38846332</v>
      </c>
    </row>
    <row r="76" spans="1:31">
      <c r="A76" s="1760">
        <v>11</v>
      </c>
      <c r="B76" s="1761">
        <v>7086.3795704900003</v>
      </c>
      <c r="C76" s="1761">
        <v>4482.1152667100005</v>
      </c>
      <c r="D76" s="1761">
        <v>2604.2643037799999</v>
      </c>
      <c r="E76" s="1761">
        <v>6435.6216005100005</v>
      </c>
      <c r="F76" s="1761">
        <v>4347.9515414100006</v>
      </c>
      <c r="G76" s="1761">
        <v>2087.6700590999999</v>
      </c>
      <c r="H76" s="1761">
        <v>650.75796997999998</v>
      </c>
      <c r="I76" s="1761">
        <v>134.16372530000001</v>
      </c>
      <c r="J76" s="1761">
        <v>516.59424467999997</v>
      </c>
      <c r="K76" s="1761">
        <v>4265.5762716099998</v>
      </c>
      <c r="L76" s="1761">
        <v>2808.0154413800001</v>
      </c>
      <c r="M76" s="1761">
        <v>2736.3341646200001</v>
      </c>
      <c r="N76" s="1761">
        <v>71.681276760000003</v>
      </c>
      <c r="O76" s="1761">
        <v>1457.5608302300002</v>
      </c>
      <c r="P76" s="1761">
        <v>1186.1001939300002</v>
      </c>
      <c r="Q76" s="1761">
        <v>271.46063630000003</v>
      </c>
      <c r="R76" s="1761">
        <v>1227.89291026</v>
      </c>
      <c r="S76" s="1761">
        <v>876.08846697000001</v>
      </c>
      <c r="T76" s="1761">
        <v>852.54887004</v>
      </c>
      <c r="U76" s="1761">
        <v>23.539596930000002</v>
      </c>
      <c r="V76" s="1761">
        <v>351.80444328999999</v>
      </c>
      <c r="W76" s="1761">
        <v>300.38580257000001</v>
      </c>
      <c r="X76" s="1761">
        <v>51.418640719999999</v>
      </c>
      <c r="Y76" s="1761">
        <v>2820.8032988800001</v>
      </c>
      <c r="Z76" s="1761">
        <v>1674.0998253300002</v>
      </c>
      <c r="AA76" s="1761">
        <v>1611.6173767900002</v>
      </c>
      <c r="AB76" s="1761">
        <v>62.48244854</v>
      </c>
      <c r="AC76" s="1761">
        <v>1146.7034735499999</v>
      </c>
      <c r="AD76" s="1761">
        <v>901.56986516999996</v>
      </c>
      <c r="AE76" s="1761">
        <v>245.13360838</v>
      </c>
    </row>
    <row r="77" spans="1:31">
      <c r="A77" s="1760">
        <v>12</v>
      </c>
      <c r="B77" s="1761">
        <v>7188.3697248199987</v>
      </c>
      <c r="C77" s="1761">
        <v>4422.3999999999996</v>
      </c>
      <c r="D77" s="1761">
        <v>2765.9658132099999</v>
      </c>
      <c r="E77" s="1761">
        <v>6472.4956181699999</v>
      </c>
      <c r="F77" s="1761">
        <v>4293.76998499</v>
      </c>
      <c r="G77" s="1761">
        <v>2178.7256331799999</v>
      </c>
      <c r="H77" s="1761">
        <v>715.87410665000004</v>
      </c>
      <c r="I77" s="1761">
        <v>128.63392662000001</v>
      </c>
      <c r="J77" s="1761">
        <v>587.24018003000003</v>
      </c>
      <c r="K77" s="1761">
        <v>4344.3437627699996</v>
      </c>
      <c r="L77" s="1761">
        <v>2757.4619760299997</v>
      </c>
      <c r="M77" s="1761">
        <v>2692.0064045399999</v>
      </c>
      <c r="N77" s="1761">
        <v>65.455571489999997</v>
      </c>
      <c r="O77" s="1761">
        <v>1586.8817867400001</v>
      </c>
      <c r="P77" s="1761">
        <v>1248.68294973</v>
      </c>
      <c r="Q77" s="1761">
        <v>338.19883700999998</v>
      </c>
      <c r="R77" s="1761">
        <v>1222.4256750700001</v>
      </c>
      <c r="S77" s="1761">
        <v>884.03469315000007</v>
      </c>
      <c r="T77" s="1761">
        <v>858.70443988000011</v>
      </c>
      <c r="U77" s="1761">
        <v>25.330253270000004</v>
      </c>
      <c r="V77" s="1761">
        <v>338.39098192000006</v>
      </c>
      <c r="W77" s="1761">
        <v>296.51505732000004</v>
      </c>
      <c r="X77" s="1761">
        <v>41.875924599999998</v>
      </c>
      <c r="Y77" s="1761">
        <v>2844.0259620500001</v>
      </c>
      <c r="Z77" s="1761">
        <v>1664.9419355800001</v>
      </c>
      <c r="AA77" s="1761">
        <v>1601.7635804500001</v>
      </c>
      <c r="AB77" s="1761">
        <v>63.178355129999993</v>
      </c>
      <c r="AC77" s="1761">
        <v>1179.08402647</v>
      </c>
      <c r="AD77" s="1761">
        <v>930.04268345000003</v>
      </c>
      <c r="AE77" s="1761">
        <v>249.04134302000003</v>
      </c>
    </row>
    <row r="78" spans="1:31">
      <c r="A78" s="1760">
        <v>2015</v>
      </c>
      <c r="B78" s="1761"/>
      <c r="C78" s="1761"/>
      <c r="D78" s="1761"/>
      <c r="E78" s="1761"/>
      <c r="F78" s="1761"/>
      <c r="G78" s="1761"/>
      <c r="H78" s="1761"/>
      <c r="I78" s="1761"/>
      <c r="J78" s="1761"/>
      <c r="K78" s="1761"/>
      <c r="L78" s="1761"/>
      <c r="M78" s="1761"/>
      <c r="N78" s="1761"/>
      <c r="O78" s="1761"/>
      <c r="P78" s="1761"/>
      <c r="Q78" s="1761"/>
      <c r="R78" s="1761"/>
      <c r="S78" s="1761"/>
      <c r="T78" s="1761"/>
      <c r="U78" s="1761"/>
      <c r="V78" s="1761"/>
      <c r="W78" s="1761"/>
      <c r="X78" s="1761"/>
      <c r="Y78" s="1761"/>
      <c r="Z78" s="1761"/>
      <c r="AA78" s="1761"/>
      <c r="AB78" s="1761"/>
      <c r="AC78" s="1761"/>
      <c r="AD78" s="1761"/>
      <c r="AE78" s="1761"/>
    </row>
    <row r="79" spans="1:31">
      <c r="A79" s="1760">
        <v>1</v>
      </c>
      <c r="B79" s="1761">
        <v>7121.3389999999999</v>
      </c>
      <c r="C79" s="1761">
        <v>4276.3230000000003</v>
      </c>
      <c r="D79" s="1761">
        <v>2845</v>
      </c>
      <c r="E79" s="1761">
        <v>6463.59</v>
      </c>
      <c r="F79" s="1761">
        <v>4155.9520000000002</v>
      </c>
      <c r="G79" s="1761">
        <v>2307.6379999999999</v>
      </c>
      <c r="H79" s="1761">
        <v>657.74900000000002</v>
      </c>
      <c r="I79" s="1761">
        <v>120.371</v>
      </c>
      <c r="J79" s="1761">
        <v>537.37800000000004</v>
      </c>
      <c r="K79" s="1761">
        <v>4280.9480000000003</v>
      </c>
      <c r="L79" s="1761">
        <v>2656.7429999999999</v>
      </c>
      <c r="M79" s="1761">
        <v>2599.2179999999998</v>
      </c>
      <c r="N79" s="1761">
        <v>57.5456</v>
      </c>
      <c r="O79" s="1761">
        <v>1624.183</v>
      </c>
      <c r="P79" s="1761">
        <v>1337.9179999999999</v>
      </c>
      <c r="Q79" s="1761">
        <v>286.26499999999999</v>
      </c>
      <c r="R79" s="1761">
        <v>1230.095</v>
      </c>
      <c r="S79" s="1761">
        <v>892.476</v>
      </c>
      <c r="T79" s="1761">
        <v>866.58799999999997</v>
      </c>
      <c r="U79" s="1761">
        <v>25.888000000000002</v>
      </c>
      <c r="V79" s="1761">
        <v>337.61799999999999</v>
      </c>
      <c r="W79" s="1761">
        <v>294.42500000000001</v>
      </c>
      <c r="X79" s="1761">
        <v>43.192999999999998</v>
      </c>
      <c r="Y79" s="1761">
        <v>2840.3910000000001</v>
      </c>
      <c r="Z79" s="1761">
        <v>1619.559</v>
      </c>
      <c r="AA79" s="1761">
        <v>1556.7329999999999</v>
      </c>
      <c r="AB79" s="1761">
        <v>62.825699999999998</v>
      </c>
      <c r="AC79" s="1761">
        <v>1220.8320000000001</v>
      </c>
      <c r="AD79" s="1761">
        <v>969.72</v>
      </c>
      <c r="AE79" s="1761">
        <v>251.11199999999999</v>
      </c>
    </row>
    <row r="80" spans="1:31">
      <c r="A80" s="1760">
        <v>2</v>
      </c>
      <c r="B80" s="1761">
        <v>7932.68</v>
      </c>
      <c r="C80" s="1761">
        <v>2987.78</v>
      </c>
      <c r="D80" s="1761">
        <v>4944.8999999999996</v>
      </c>
      <c r="E80" s="1761">
        <v>7068.8</v>
      </c>
      <c r="F80" s="1761">
        <v>2919.982</v>
      </c>
      <c r="G80" s="1761">
        <v>4148.8209999999999</v>
      </c>
      <c r="H80" s="1761">
        <v>863.87099999999998</v>
      </c>
      <c r="I80" s="1761">
        <v>67.8</v>
      </c>
      <c r="J80" s="1761">
        <v>796.072</v>
      </c>
      <c r="K80" s="1761">
        <v>4998.5659999999998</v>
      </c>
      <c r="L80" s="1761">
        <v>1930.8209999999999</v>
      </c>
      <c r="M80" s="1761">
        <v>1884.3119999999999</v>
      </c>
      <c r="N80" s="1761">
        <v>46.509120000000003</v>
      </c>
      <c r="O80" s="1761">
        <v>3067.7440000000001</v>
      </c>
      <c r="P80" s="1761">
        <v>2612.7510000000002</v>
      </c>
      <c r="Q80" s="1761">
        <v>454.99310000000003</v>
      </c>
      <c r="R80" s="1761">
        <v>1361.193</v>
      </c>
      <c r="S80" s="1761">
        <v>739.56600000000003</v>
      </c>
      <c r="T80" s="1761">
        <v>716.74099999999999</v>
      </c>
      <c r="U80" s="1761">
        <v>22.8</v>
      </c>
      <c r="V80" s="1761">
        <v>621.62599999999998</v>
      </c>
      <c r="W80" s="1761">
        <v>559.50199999999995</v>
      </c>
      <c r="X80" s="1761">
        <v>62.124000000000002</v>
      </c>
      <c r="Y80" s="1761">
        <v>2934.1</v>
      </c>
      <c r="Z80" s="1761">
        <v>1056.9590000000001</v>
      </c>
      <c r="AA80" s="1761">
        <v>1035.67</v>
      </c>
      <c r="AB80" s="1761">
        <v>21.3</v>
      </c>
      <c r="AC80" s="1761">
        <v>1877.1479999999999</v>
      </c>
      <c r="AD80" s="1761">
        <v>1536.1</v>
      </c>
      <c r="AE80" s="1761">
        <v>341.05099999999999</v>
      </c>
    </row>
    <row r="81" spans="1:31">
      <c r="A81" s="1760">
        <v>3</v>
      </c>
      <c r="B81" s="1761">
        <v>7781.6453000000001</v>
      </c>
      <c r="C81" s="1761">
        <v>2697.0338000000002</v>
      </c>
      <c r="D81" s="1761">
        <v>5084.6116000000002</v>
      </c>
      <c r="E81" s="1761">
        <v>6924.1737999999996</v>
      </c>
      <c r="F81" s="1761">
        <v>2641.5976999999998</v>
      </c>
      <c r="G81" s="1761">
        <v>4282.5761000000002</v>
      </c>
      <c r="H81" s="1761">
        <v>857.47109999999998</v>
      </c>
      <c r="I81" s="1761">
        <v>55.436100000000003</v>
      </c>
      <c r="J81" s="1761">
        <v>802.03539999999998</v>
      </c>
      <c r="K81" s="1761">
        <v>4901.8209999999999</v>
      </c>
      <c r="L81" s="1761">
        <v>1702.0782999999999</v>
      </c>
      <c r="M81" s="1761">
        <v>1664.5219</v>
      </c>
      <c r="N81" s="1761">
        <v>37.556399999999996</v>
      </c>
      <c r="O81" s="1761">
        <v>3199.7426999999998</v>
      </c>
      <c r="P81" s="1761">
        <v>2743.7489999999998</v>
      </c>
      <c r="Q81" s="1761">
        <v>455.99369999999999</v>
      </c>
      <c r="R81" s="1761">
        <v>1280.5725</v>
      </c>
      <c r="S81" s="1761">
        <v>660.48979999999995</v>
      </c>
      <c r="T81" s="1761">
        <v>641.31790000000001</v>
      </c>
      <c r="U81" s="1761">
        <v>19.171900000000001</v>
      </c>
      <c r="V81" s="1761">
        <v>620.82809999999995</v>
      </c>
      <c r="W81" s="1761">
        <v>555.77</v>
      </c>
      <c r="X81" s="1761">
        <v>64.31</v>
      </c>
      <c r="Y81" s="1761">
        <v>2879.8243000000002</v>
      </c>
      <c r="Z81" s="1761">
        <v>994.95540000000005</v>
      </c>
      <c r="AA81" s="1761">
        <v>977.07579999999996</v>
      </c>
      <c r="AB81" s="1761">
        <v>17.8796</v>
      </c>
      <c r="AC81" s="1761">
        <v>1884.8688999999999</v>
      </c>
      <c r="AD81" s="1761">
        <v>1538.8271999999999</v>
      </c>
      <c r="AE81" s="1761">
        <v>346.04169999999999</v>
      </c>
    </row>
    <row r="82" spans="1:31">
      <c r="A82" s="1760">
        <v>4</v>
      </c>
      <c r="B82" s="1761">
        <v>7717.2430000000004</v>
      </c>
      <c r="C82" s="1761">
        <v>2245.0778</v>
      </c>
      <c r="D82" s="1761">
        <v>5472.1660000000002</v>
      </c>
      <c r="E82" s="1761">
        <v>6856.1909999999998</v>
      </c>
      <c r="F82" s="1761">
        <v>2201.7399999999998</v>
      </c>
      <c r="G82" s="1761">
        <v>4654.451</v>
      </c>
      <c r="H82" s="1761">
        <v>861.05219999999997</v>
      </c>
      <c r="I82" s="1761">
        <v>43.337699999999998</v>
      </c>
      <c r="J82" s="1761">
        <v>817.71439999999996</v>
      </c>
      <c r="K82" s="1761">
        <v>4816.5281999999997</v>
      </c>
      <c r="L82" s="1761">
        <v>1392.241</v>
      </c>
      <c r="M82" s="1761">
        <v>1363.127</v>
      </c>
      <c r="N82" s="1761">
        <v>29.113900000000001</v>
      </c>
      <c r="O82" s="1761">
        <v>3424.2869999999998</v>
      </c>
      <c r="P82" s="1761">
        <v>3029.172</v>
      </c>
      <c r="Q82" s="1761">
        <v>395.1146</v>
      </c>
      <c r="R82" s="1761">
        <v>1218.54196</v>
      </c>
      <c r="S82" s="1761">
        <v>574.76</v>
      </c>
      <c r="T82" s="1761">
        <v>559.66899999999998</v>
      </c>
      <c r="U82" s="1761">
        <v>15.09</v>
      </c>
      <c r="V82" s="1761">
        <v>643.78099999999995</v>
      </c>
      <c r="W82" s="1761">
        <v>563.01400000000001</v>
      </c>
      <c r="X82" s="1761">
        <v>80.766999999999996</v>
      </c>
      <c r="Y82" s="1761">
        <v>2900.7150000000001</v>
      </c>
      <c r="Z82" s="1761">
        <v>852.83600000000001</v>
      </c>
      <c r="AA82" s="1761">
        <v>838.61300000000006</v>
      </c>
      <c r="AB82" s="1761">
        <v>14.223000000000001</v>
      </c>
      <c r="AC82" s="1761">
        <v>2047.8779999999999</v>
      </c>
      <c r="AD82" s="1761">
        <v>1625.278</v>
      </c>
      <c r="AE82" s="1761">
        <v>422.59899999999999</v>
      </c>
    </row>
    <row r="83" spans="1:31">
      <c r="A83" s="1760">
        <v>5</v>
      </c>
      <c r="B83" s="1761">
        <v>7601.0539698400007</v>
      </c>
      <c r="C83" s="1761">
        <v>2172.5975648599997</v>
      </c>
      <c r="D83" s="1761">
        <v>5428.4564049800001</v>
      </c>
      <c r="E83" s="1761">
        <v>6747.8451515300003</v>
      </c>
      <c r="F83" s="1761">
        <v>2130.62341861</v>
      </c>
      <c r="G83" s="1761">
        <v>4617.2217329200002</v>
      </c>
      <c r="H83" s="1761">
        <v>853.20881830999986</v>
      </c>
      <c r="I83" s="1761">
        <v>41.974146250000004</v>
      </c>
      <c r="J83" s="1761">
        <v>811.23467205999987</v>
      </c>
      <c r="K83" s="1761">
        <v>4756.9318383999998</v>
      </c>
      <c r="L83" s="1761">
        <v>1356.38720352</v>
      </c>
      <c r="M83" s="1761">
        <v>1328.9284809200001</v>
      </c>
      <c r="N83" s="1761">
        <v>27.458722600000002</v>
      </c>
      <c r="O83" s="1761">
        <v>3400.5446348799996</v>
      </c>
      <c r="P83" s="1761">
        <v>3012.1943586800003</v>
      </c>
      <c r="Q83" s="1761">
        <v>388.35027619999988</v>
      </c>
      <c r="R83" s="1761">
        <v>1177.7797544</v>
      </c>
      <c r="S83" s="1761">
        <v>571.79054651000001</v>
      </c>
      <c r="T83" s="1761">
        <v>556.11874438000007</v>
      </c>
      <c r="U83" s="1761">
        <v>15.671802130000001</v>
      </c>
      <c r="V83" s="1761">
        <v>605.98920788999999</v>
      </c>
      <c r="W83" s="1761">
        <v>531.66616778000002</v>
      </c>
      <c r="X83" s="1761">
        <v>74.323040110000008</v>
      </c>
      <c r="Y83" s="1761">
        <v>2844.12213144</v>
      </c>
      <c r="Z83" s="1761">
        <v>816.21036133999996</v>
      </c>
      <c r="AA83" s="1761">
        <v>801.69493768999996</v>
      </c>
      <c r="AB83" s="1761">
        <v>14.515423649999999</v>
      </c>
      <c r="AC83" s="1761">
        <v>2027.9117701</v>
      </c>
      <c r="AD83" s="1761">
        <v>1605.02737424</v>
      </c>
      <c r="AE83" s="1761">
        <v>422.88439585999998</v>
      </c>
    </row>
    <row r="84" spans="1:31">
      <c r="A84" s="1760">
        <v>6</v>
      </c>
      <c r="B84" s="1761">
        <v>7653.5739775599995</v>
      </c>
      <c r="C84" s="1761">
        <v>2179.9266777099997</v>
      </c>
      <c r="D84" s="1761">
        <v>5473.6472998500012</v>
      </c>
      <c r="E84" s="1761">
        <v>6794.13709758</v>
      </c>
      <c r="F84" s="1761">
        <v>2137.7462591699996</v>
      </c>
      <c r="G84" s="1761">
        <v>4656.3908384100005</v>
      </c>
      <c r="H84" s="1761">
        <v>859.43687998000007</v>
      </c>
      <c r="I84" s="1761">
        <v>42.180418539999998</v>
      </c>
      <c r="J84" s="1761">
        <v>817.25646144000007</v>
      </c>
      <c r="K84" s="1761">
        <v>4858.4385419700002</v>
      </c>
      <c r="L84" s="1761">
        <v>1389.0385505799998</v>
      </c>
      <c r="M84" s="1761">
        <v>1360.9570695099999</v>
      </c>
      <c r="N84" s="1761">
        <v>28.081481069999999</v>
      </c>
      <c r="O84" s="1761">
        <v>3469.3999913900011</v>
      </c>
      <c r="P84" s="1761">
        <v>3035.2714719700007</v>
      </c>
      <c r="Q84" s="1761">
        <v>434.12851942000003</v>
      </c>
      <c r="R84" s="1761">
        <v>1274.0097037399998</v>
      </c>
      <c r="S84" s="1761">
        <v>623.7291557399999</v>
      </c>
      <c r="T84" s="1761">
        <v>608.91931143999989</v>
      </c>
      <c r="U84" s="1761">
        <v>14.809844299999998</v>
      </c>
      <c r="V84" s="1761">
        <v>650.28054799999995</v>
      </c>
      <c r="W84" s="1761">
        <v>569.52309290999995</v>
      </c>
      <c r="X84" s="1761">
        <v>80.757455090000008</v>
      </c>
      <c r="Y84" s="1761">
        <v>2795.1354355899998</v>
      </c>
      <c r="Z84" s="1761">
        <v>790.88812712999993</v>
      </c>
      <c r="AA84" s="1761">
        <v>776.78918965999992</v>
      </c>
      <c r="AB84" s="1761">
        <v>14.098937470000001</v>
      </c>
      <c r="AC84" s="1761">
        <v>2004.2473084599999</v>
      </c>
      <c r="AD84" s="1761">
        <v>1621.11936644</v>
      </c>
      <c r="AE84" s="1761">
        <v>383.12794201999998</v>
      </c>
    </row>
    <row r="85" spans="1:31">
      <c r="A85" s="1760">
        <v>7</v>
      </c>
      <c r="B85" s="1761">
        <v>7605.1210989900001</v>
      </c>
      <c r="C85" s="1761">
        <v>2138.6714725799998</v>
      </c>
      <c r="D85" s="1761">
        <v>5466.4496264099998</v>
      </c>
      <c r="E85" s="1761">
        <v>6734.3213579399999</v>
      </c>
      <c r="F85" s="1761">
        <v>2094.71836188</v>
      </c>
      <c r="G85" s="1761">
        <v>4639.6029960599999</v>
      </c>
      <c r="H85" s="1761">
        <v>870.79974104999997</v>
      </c>
      <c r="I85" s="1761">
        <v>43.953110700000003</v>
      </c>
      <c r="J85" s="1761">
        <v>826.84663034999994</v>
      </c>
      <c r="K85" s="1761">
        <v>4775.0516846800001</v>
      </c>
      <c r="L85" s="1761">
        <v>1362.9411642</v>
      </c>
      <c r="M85" s="1761">
        <v>1330.883808</v>
      </c>
      <c r="N85" s="1761">
        <v>32.057356200000001</v>
      </c>
      <c r="O85" s="1761">
        <v>3412.1105204800001</v>
      </c>
      <c r="P85" s="1761">
        <v>2996.4223993199998</v>
      </c>
      <c r="Q85" s="1761">
        <v>415.68812115999992</v>
      </c>
      <c r="R85" s="1761">
        <v>1271.4895956999999</v>
      </c>
      <c r="S85" s="1761">
        <v>615.08488919000001</v>
      </c>
      <c r="T85" s="1761">
        <v>599.84124184999996</v>
      </c>
      <c r="U85" s="1761">
        <v>15.243647339999997</v>
      </c>
      <c r="V85" s="1761">
        <v>656.40470650999998</v>
      </c>
      <c r="W85" s="1761">
        <v>566.61199297999985</v>
      </c>
      <c r="X85" s="1761">
        <v>89.792713530000015</v>
      </c>
      <c r="Y85" s="1761">
        <v>2830.06941431</v>
      </c>
      <c r="Z85" s="1761">
        <v>775.73030838</v>
      </c>
      <c r="AA85" s="1761">
        <v>763.83455387999993</v>
      </c>
      <c r="AB85" s="1761">
        <v>11.895754500000001</v>
      </c>
      <c r="AC85" s="1761">
        <v>2054.3391059300002</v>
      </c>
      <c r="AD85" s="1761">
        <v>1643.1805967400001</v>
      </c>
      <c r="AE85" s="1761">
        <v>411.15850919000002</v>
      </c>
    </row>
    <row r="86" spans="1:31">
      <c r="A86" s="1760">
        <v>8</v>
      </c>
      <c r="B86" s="1761">
        <v>7320.3477984499996</v>
      </c>
      <c r="C86" s="1761">
        <v>1847.94571505</v>
      </c>
      <c r="D86" s="1761">
        <v>5472.4020834000003</v>
      </c>
      <c r="E86" s="1761">
        <v>6462.4606675099994</v>
      </c>
      <c r="F86" s="1761">
        <v>1810.9422525</v>
      </c>
      <c r="G86" s="1761">
        <v>4651.5184150099994</v>
      </c>
      <c r="H86" s="1761">
        <v>857.88713094000002</v>
      </c>
      <c r="I86" s="1761">
        <v>37.003462550000002</v>
      </c>
      <c r="J86" s="1761">
        <v>820.88366839000003</v>
      </c>
      <c r="K86" s="1761">
        <v>4551.3533391800001</v>
      </c>
      <c r="L86" s="1761">
        <v>1128.0614200300001</v>
      </c>
      <c r="M86" s="1761">
        <v>1101.71684682</v>
      </c>
      <c r="N86" s="1761">
        <v>26.34457321</v>
      </c>
      <c r="O86" s="1761">
        <v>3423.29191915</v>
      </c>
      <c r="P86" s="1761">
        <v>3007.1346984299998</v>
      </c>
      <c r="Q86" s="1761">
        <v>416.15722072</v>
      </c>
      <c r="R86" s="1761">
        <v>1147.1793026700002</v>
      </c>
      <c r="S86" s="1761">
        <v>471.51166130000001</v>
      </c>
      <c r="T86" s="1761">
        <v>459.99972249000001</v>
      </c>
      <c r="U86" s="1761">
        <v>11.511938809999998</v>
      </c>
      <c r="V86" s="1761">
        <v>675.66764137000007</v>
      </c>
      <c r="W86" s="1761">
        <v>578.17614074000005</v>
      </c>
      <c r="X86" s="1761">
        <v>97.49150062999999</v>
      </c>
      <c r="Y86" s="1761">
        <v>2768.9944592699999</v>
      </c>
      <c r="Z86" s="1761">
        <v>719.88429501999997</v>
      </c>
      <c r="AA86" s="1761">
        <v>709.22540567999999</v>
      </c>
      <c r="AB86" s="1761">
        <v>10.65888934</v>
      </c>
      <c r="AC86" s="1761">
        <v>2049.1101642499998</v>
      </c>
      <c r="AD86" s="1761">
        <v>1644.3837165799998</v>
      </c>
      <c r="AE86" s="1761">
        <v>404.72644767000003</v>
      </c>
    </row>
    <row r="87" spans="1:31">
      <c r="A87" s="1760">
        <v>9</v>
      </c>
      <c r="B87" s="1761">
        <v>7311.8063250799996</v>
      </c>
      <c r="C87" s="1761">
        <v>1777.8414779</v>
      </c>
      <c r="D87" s="1761">
        <v>5533.9648471799992</v>
      </c>
      <c r="E87" s="1761">
        <v>6406.3446526799989</v>
      </c>
      <c r="F87" s="1761">
        <v>1742.7941885299999</v>
      </c>
      <c r="G87" s="1761">
        <v>4663.5504641499992</v>
      </c>
      <c r="H87" s="1761">
        <v>905.4616724</v>
      </c>
      <c r="I87" s="1761">
        <v>35.047289370000001</v>
      </c>
      <c r="J87" s="1761">
        <v>870.41438303000007</v>
      </c>
      <c r="K87" s="1761">
        <v>4587.5231250500001</v>
      </c>
      <c r="L87" s="1761">
        <v>1087.2257848700001</v>
      </c>
      <c r="M87" s="1761">
        <v>1062.39524016</v>
      </c>
      <c r="N87" s="1761">
        <v>24.830544709999998</v>
      </c>
      <c r="O87" s="1761">
        <v>3500.29734018</v>
      </c>
      <c r="P87" s="1761">
        <v>3030.9021169299999</v>
      </c>
      <c r="Q87" s="1761">
        <v>469.39522324999996</v>
      </c>
      <c r="R87" s="1761">
        <v>1253.1387061499997</v>
      </c>
      <c r="S87" s="1761">
        <v>462.99236394999997</v>
      </c>
      <c r="T87" s="1761">
        <v>451.37213398</v>
      </c>
      <c r="U87" s="1761">
        <v>11.62022997</v>
      </c>
      <c r="V87" s="1761">
        <v>790.14634219999971</v>
      </c>
      <c r="W87" s="1761">
        <v>628.07725794999976</v>
      </c>
      <c r="X87" s="1761">
        <v>162.06908424999997</v>
      </c>
      <c r="Y87" s="1761">
        <v>2724.28320003</v>
      </c>
      <c r="Z87" s="1761">
        <v>690.61569302999999</v>
      </c>
      <c r="AA87" s="1761">
        <v>680.39894836999997</v>
      </c>
      <c r="AB87" s="1761">
        <v>10.21674466</v>
      </c>
      <c r="AC87" s="1761">
        <v>2033.6675070000001</v>
      </c>
      <c r="AD87" s="1761">
        <v>1632.64834722</v>
      </c>
      <c r="AE87" s="1761">
        <v>401.01915978</v>
      </c>
    </row>
    <row r="88" spans="1:31">
      <c r="A88" s="1760">
        <v>10</v>
      </c>
      <c r="B88" s="1761">
        <v>7172.9407930899997</v>
      </c>
      <c r="C88" s="1761">
        <v>1723.8188301999996</v>
      </c>
      <c r="D88" s="1761">
        <v>5449.1219628899998</v>
      </c>
      <c r="E88" s="1761">
        <v>6280.4862207699998</v>
      </c>
      <c r="F88" s="1761">
        <v>1689.9756044599999</v>
      </c>
      <c r="G88" s="1761">
        <v>4590.5106163099999</v>
      </c>
      <c r="H88" s="1761">
        <v>892.45457232000012</v>
      </c>
      <c r="I88" s="1761">
        <v>33.843225739999994</v>
      </c>
      <c r="J88" s="1761">
        <v>858.61134658000014</v>
      </c>
      <c r="K88" s="1761">
        <v>4494.6221479700007</v>
      </c>
      <c r="L88" s="1761">
        <v>1061.1789904499999</v>
      </c>
      <c r="M88" s="1761">
        <v>1037.19972448</v>
      </c>
      <c r="N88" s="1761">
        <v>23.979265969999997</v>
      </c>
      <c r="O88" s="1761">
        <v>3433.4431575200001</v>
      </c>
      <c r="P88" s="1761">
        <v>2973.9924213199997</v>
      </c>
      <c r="Q88" s="1761">
        <v>459.45073620000011</v>
      </c>
      <c r="R88" s="1761">
        <v>1234.9712329899999</v>
      </c>
      <c r="S88" s="1761">
        <v>497.94087688000002</v>
      </c>
      <c r="T88" s="1761">
        <v>486.54688093999999</v>
      </c>
      <c r="U88" s="1761">
        <v>11.39399594</v>
      </c>
      <c r="V88" s="1761">
        <v>737.03035611000007</v>
      </c>
      <c r="W88" s="1761">
        <v>580.34538343000008</v>
      </c>
      <c r="X88" s="1761">
        <v>156.68497268000004</v>
      </c>
      <c r="Y88" s="1761">
        <v>2678.3186451199999</v>
      </c>
      <c r="Z88" s="1761">
        <v>662.63983974999996</v>
      </c>
      <c r="AA88" s="1761">
        <v>652.77587998000001</v>
      </c>
      <c r="AB88" s="1761">
        <v>9.8639597699999992</v>
      </c>
      <c r="AC88" s="1761">
        <v>2015.6788053700002</v>
      </c>
      <c r="AD88" s="1761">
        <v>1616.5181949900002</v>
      </c>
      <c r="AE88" s="1761">
        <v>399.16061037999998</v>
      </c>
    </row>
    <row r="89" spans="1:31">
      <c r="A89" s="1760">
        <v>11</v>
      </c>
      <c r="B89" s="1761">
        <v>7089.5180692200001</v>
      </c>
      <c r="C89" s="1761">
        <v>1669.0542028900004</v>
      </c>
      <c r="D89" s="1761">
        <v>5420.4638663299993</v>
      </c>
      <c r="E89" s="1761">
        <v>6209.8949123699995</v>
      </c>
      <c r="F89" s="1761">
        <v>1635.9719457200001</v>
      </c>
      <c r="G89" s="1761">
        <v>4573.9229666499996</v>
      </c>
      <c r="H89" s="1761">
        <v>879.62315684999999</v>
      </c>
      <c r="I89" s="1761">
        <v>33.082257169999998</v>
      </c>
      <c r="J89" s="1761">
        <v>846.54089967999994</v>
      </c>
      <c r="K89" s="1761">
        <v>4423.0350113300001</v>
      </c>
      <c r="L89" s="1761">
        <v>1039.3429286000001</v>
      </c>
      <c r="M89" s="1761">
        <v>1015.9798669700001</v>
      </c>
      <c r="N89" s="1761">
        <v>23.363061630000001</v>
      </c>
      <c r="O89" s="1761">
        <v>3383.69208273</v>
      </c>
      <c r="P89" s="1761">
        <v>2934.3404315500002</v>
      </c>
      <c r="Q89" s="1761">
        <v>449.35165117999998</v>
      </c>
      <c r="R89" s="1761">
        <v>1202.98114702</v>
      </c>
      <c r="S89" s="1761">
        <v>504.37593103000006</v>
      </c>
      <c r="T89" s="1761">
        <v>493.30292734000005</v>
      </c>
      <c r="U89" s="1761">
        <v>11.073003690000002</v>
      </c>
      <c r="V89" s="1761">
        <v>698.60521598999992</v>
      </c>
      <c r="W89" s="1761">
        <v>534.46641052999996</v>
      </c>
      <c r="X89" s="1761">
        <v>164.13880545999999</v>
      </c>
      <c r="Y89" s="1761">
        <v>2666.4830578899996</v>
      </c>
      <c r="Z89" s="1761">
        <v>629.71127429000001</v>
      </c>
      <c r="AA89" s="1761">
        <v>619.99207875000002</v>
      </c>
      <c r="AB89" s="1761">
        <v>9.7191955399999994</v>
      </c>
      <c r="AC89" s="1761">
        <v>2036.7717836000002</v>
      </c>
      <c r="AD89" s="1761">
        <v>1639.5825351000001</v>
      </c>
      <c r="AE89" s="1761">
        <v>397.18924849999996</v>
      </c>
    </row>
    <row r="90" spans="1:31">
      <c r="A90" s="1760">
        <v>12</v>
      </c>
      <c r="B90" s="1761">
        <v>9473.9352678300002</v>
      </c>
      <c r="C90" s="1761">
        <v>1420.2140270599998</v>
      </c>
      <c r="D90" s="1761">
        <v>8053.721240769999</v>
      </c>
      <c r="E90" s="1761">
        <v>8240.86622919</v>
      </c>
      <c r="F90" s="1761">
        <v>1386.2787789199999</v>
      </c>
      <c r="G90" s="1761">
        <v>6854.5874502699999</v>
      </c>
      <c r="H90" s="1761">
        <v>1233.0690386399999</v>
      </c>
      <c r="I90" s="1761">
        <v>33.935248139999999</v>
      </c>
      <c r="J90" s="1761">
        <v>1199.1337904999998</v>
      </c>
      <c r="K90" s="1761">
        <v>5929.0004859199989</v>
      </c>
      <c r="L90" s="1761">
        <v>849.97402743999987</v>
      </c>
      <c r="M90" s="1761">
        <v>825.18226513999991</v>
      </c>
      <c r="N90" s="1761">
        <v>24.791762300000002</v>
      </c>
      <c r="O90" s="1761">
        <v>5079.0264584799997</v>
      </c>
      <c r="P90" s="1761">
        <v>4462.3810947100001</v>
      </c>
      <c r="Q90" s="1761">
        <v>616.6453637699999</v>
      </c>
      <c r="R90" s="1761">
        <v>1641.2099316199997</v>
      </c>
      <c r="S90" s="1761">
        <v>440.88992102999993</v>
      </c>
      <c r="T90" s="1761">
        <v>427.09017397999992</v>
      </c>
      <c r="U90" s="1761">
        <v>13.799747050000002</v>
      </c>
      <c r="V90" s="1761">
        <v>1200.3200105899998</v>
      </c>
      <c r="W90" s="1761">
        <v>983.51033654999992</v>
      </c>
      <c r="X90" s="1761">
        <v>216.80967404</v>
      </c>
      <c r="Y90" s="1761">
        <v>3544.9347819099999</v>
      </c>
      <c r="Z90" s="1761">
        <v>570.23999962000005</v>
      </c>
      <c r="AA90" s="1761">
        <v>561.09651378000001</v>
      </c>
      <c r="AB90" s="1761">
        <v>9.1434858399999985</v>
      </c>
      <c r="AC90" s="1761">
        <v>2974.6947822900001</v>
      </c>
      <c r="AD90" s="1761">
        <v>2392.2063555600002</v>
      </c>
      <c r="AE90" s="1761">
        <v>582.4884267299999</v>
      </c>
    </row>
    <row r="91" spans="1:31">
      <c r="A91" s="1760">
        <v>2016</v>
      </c>
      <c r="B91" s="1761"/>
      <c r="C91" s="1761"/>
      <c r="D91" s="1761"/>
      <c r="E91" s="1761"/>
      <c r="F91" s="1761"/>
      <c r="G91" s="1761"/>
      <c r="H91" s="1761"/>
      <c r="I91" s="1761"/>
      <c r="J91" s="1761"/>
      <c r="K91" s="1761"/>
      <c r="L91" s="1761"/>
      <c r="M91" s="1761"/>
      <c r="N91" s="1761"/>
      <c r="O91" s="1761"/>
      <c r="P91" s="1761"/>
      <c r="Q91" s="1761"/>
      <c r="R91" s="1761"/>
      <c r="S91" s="1761"/>
      <c r="T91" s="1761"/>
      <c r="U91" s="1761"/>
      <c r="V91" s="1761"/>
      <c r="W91" s="1761"/>
      <c r="X91" s="1761"/>
      <c r="Y91" s="1761"/>
      <c r="Z91" s="1761"/>
      <c r="AA91" s="1761"/>
      <c r="AB91" s="1761"/>
      <c r="AC91" s="1761"/>
      <c r="AD91" s="1761"/>
      <c r="AE91" s="1761"/>
    </row>
    <row r="92" spans="1:31">
      <c r="A92" s="1760">
        <v>1</v>
      </c>
      <c r="B92" s="1761">
        <v>8643.3388407999992</v>
      </c>
      <c r="C92" s="1761">
        <v>1422.0817397100002</v>
      </c>
      <c r="D92" s="1761">
        <v>7221.2571010899992</v>
      </c>
      <c r="E92" s="1761">
        <v>7447.2643537699978</v>
      </c>
      <c r="F92" s="1761">
        <v>1394.01133218</v>
      </c>
      <c r="G92" s="1761">
        <v>6053.2530215899978</v>
      </c>
      <c r="H92" s="1761">
        <v>1196.07448703</v>
      </c>
      <c r="I92" s="1761">
        <v>28.070407530000004</v>
      </c>
      <c r="J92" s="1761">
        <v>1168.0040795</v>
      </c>
      <c r="K92" s="1761">
        <v>5322.65772311</v>
      </c>
      <c r="L92" s="1761">
        <v>898.01851525000006</v>
      </c>
      <c r="M92" s="1761">
        <v>878.37388914000007</v>
      </c>
      <c r="N92" s="1761">
        <v>19.644626110000001</v>
      </c>
      <c r="O92" s="1761">
        <v>4424.6392078599993</v>
      </c>
      <c r="P92" s="1761">
        <v>3842.0370275799996</v>
      </c>
      <c r="Q92" s="1761">
        <v>582.60218027999997</v>
      </c>
      <c r="R92" s="1761">
        <v>1488.3020478999999</v>
      </c>
      <c r="S92" s="1761">
        <v>395.46395204000004</v>
      </c>
      <c r="T92" s="1761">
        <v>385.37683241000008</v>
      </c>
      <c r="U92" s="1761">
        <v>10.08711963</v>
      </c>
      <c r="V92" s="1761">
        <v>1092.8380958599998</v>
      </c>
      <c r="W92" s="1761">
        <v>877.74916729999984</v>
      </c>
      <c r="X92" s="1761">
        <v>215.08892856</v>
      </c>
      <c r="Y92" s="1761">
        <v>3320.6811176899996</v>
      </c>
      <c r="Z92" s="1761">
        <v>524.06322446000001</v>
      </c>
      <c r="AA92" s="1761">
        <v>515.63744303999999</v>
      </c>
      <c r="AB92" s="1761">
        <v>8.4257814200000016</v>
      </c>
      <c r="AC92" s="1761">
        <v>2796.6178932299995</v>
      </c>
      <c r="AD92" s="1761">
        <v>2211.2159940099996</v>
      </c>
      <c r="AE92" s="1761">
        <v>585.40189922000002</v>
      </c>
    </row>
    <row r="93" spans="1:31">
      <c r="A93" s="1760">
        <v>2</v>
      </c>
      <c r="B93" s="1761">
        <v>8077.2805155200003</v>
      </c>
      <c r="C93" s="1761">
        <v>1408.90127102</v>
      </c>
      <c r="D93" s="1761">
        <v>6668.3792444999999</v>
      </c>
      <c r="E93" s="1761">
        <v>6996.2612405600003</v>
      </c>
      <c r="F93" s="1761">
        <v>1380.7842218699998</v>
      </c>
      <c r="G93" s="1761">
        <v>5615.4770186900005</v>
      </c>
      <c r="H93" s="1761">
        <v>1081.0192749600001</v>
      </c>
      <c r="I93" s="1761">
        <v>28.11704915</v>
      </c>
      <c r="J93" s="1761">
        <v>1052.9022258099999</v>
      </c>
      <c r="K93" s="1761">
        <v>4738.8875859899999</v>
      </c>
      <c r="L93" s="1761">
        <v>883.40900723000004</v>
      </c>
      <c r="M93" s="1761">
        <v>863.75118524999993</v>
      </c>
      <c r="N93" s="1761">
        <v>19.657821980000001</v>
      </c>
      <c r="O93" s="1761">
        <v>3855.4785787599999</v>
      </c>
      <c r="P93" s="1761">
        <v>3361.4866052000002</v>
      </c>
      <c r="Q93" s="1761">
        <v>493.99197356000002</v>
      </c>
      <c r="R93" s="1761">
        <v>1467.7936747600002</v>
      </c>
      <c r="S93" s="1761">
        <v>414.88588117</v>
      </c>
      <c r="T93" s="1761">
        <v>404.70384724999997</v>
      </c>
      <c r="U93" s="1761">
        <v>10.18203392</v>
      </c>
      <c r="V93" s="1761">
        <v>1052.9077935900002</v>
      </c>
      <c r="W93" s="1761">
        <v>814.24330665000002</v>
      </c>
      <c r="X93" s="1761">
        <v>238.66448693999999</v>
      </c>
      <c r="Y93" s="1761">
        <v>3338.3929295299995</v>
      </c>
      <c r="Z93" s="1761">
        <v>525.49226379000004</v>
      </c>
      <c r="AA93" s="1761">
        <v>517.03303661999996</v>
      </c>
      <c r="AB93" s="1761">
        <v>8.4592271700000001</v>
      </c>
      <c r="AC93" s="1761">
        <v>2812.9006657399996</v>
      </c>
      <c r="AD93" s="1761">
        <v>2253.9904134899998</v>
      </c>
      <c r="AE93" s="1761">
        <v>558.91025224999987</v>
      </c>
    </row>
    <row r="94" spans="1:31">
      <c r="A94" s="1760">
        <v>3</v>
      </c>
      <c r="B94" s="1761">
        <v>7888.866837309999</v>
      </c>
      <c r="C94" s="1761">
        <v>1511.5765146700001</v>
      </c>
      <c r="D94" s="1761">
        <v>6377.2903226400003</v>
      </c>
      <c r="E94" s="1761">
        <v>6860.4379567499982</v>
      </c>
      <c r="F94" s="1761">
        <v>1482.3184479899999</v>
      </c>
      <c r="G94" s="1761">
        <v>5378.119508759999</v>
      </c>
      <c r="H94" s="1761">
        <v>1028.4288805599999</v>
      </c>
      <c r="I94" s="1761">
        <v>29.258066679999999</v>
      </c>
      <c r="J94" s="1761">
        <v>999.17081387999997</v>
      </c>
      <c r="K94" s="1761">
        <v>4623.1699660300001</v>
      </c>
      <c r="L94" s="1761">
        <v>944.75561758999993</v>
      </c>
      <c r="M94" s="1761">
        <v>923.80277017999992</v>
      </c>
      <c r="N94" s="1761">
        <v>20.95284741</v>
      </c>
      <c r="O94" s="1761">
        <v>3678.4143484399997</v>
      </c>
      <c r="P94" s="1761">
        <v>3225.6338430000001</v>
      </c>
      <c r="Q94" s="1761">
        <v>452.78050543999996</v>
      </c>
      <c r="R94" s="1761">
        <v>1503.82988219</v>
      </c>
      <c r="S94" s="1761">
        <v>493.72119703999999</v>
      </c>
      <c r="T94" s="1761">
        <v>482.78437300999997</v>
      </c>
      <c r="U94" s="1761">
        <v>10.93682403</v>
      </c>
      <c r="V94" s="1761">
        <v>1010.10868515</v>
      </c>
      <c r="W94" s="1761">
        <v>802.72960946000012</v>
      </c>
      <c r="X94" s="1761">
        <v>207.37907568999998</v>
      </c>
      <c r="Y94" s="1761">
        <v>3265.6968712799999</v>
      </c>
      <c r="Z94" s="1761">
        <v>566.8208970799999</v>
      </c>
      <c r="AA94" s="1761">
        <v>558.51567780999994</v>
      </c>
      <c r="AB94" s="1761">
        <v>8.3052192700000003</v>
      </c>
      <c r="AC94" s="1761">
        <v>2698.8759742000002</v>
      </c>
      <c r="AD94" s="1761">
        <v>2152.4856657599998</v>
      </c>
      <c r="AE94" s="1761">
        <v>546.39030844000001</v>
      </c>
    </row>
    <row r="95" spans="1:31">
      <c r="A95" s="1760">
        <v>4</v>
      </c>
      <c r="B95" s="1761">
        <v>7684.9581025599991</v>
      </c>
      <c r="C95" s="1761">
        <v>1407.6139595500001</v>
      </c>
      <c r="D95" s="1761">
        <v>6277.3441430100002</v>
      </c>
      <c r="E95" s="1761">
        <v>6683.6563772800009</v>
      </c>
      <c r="F95" s="1761">
        <v>1377.4845387800001</v>
      </c>
      <c r="G95" s="1761">
        <v>5306.1718385000004</v>
      </c>
      <c r="H95" s="1761">
        <v>1001.30172528</v>
      </c>
      <c r="I95" s="1761">
        <v>30.129420770000003</v>
      </c>
      <c r="J95" s="1761">
        <v>971.17230451</v>
      </c>
      <c r="K95" s="1761">
        <v>4592.0517547900008</v>
      </c>
      <c r="L95" s="1761">
        <v>893.22790241000007</v>
      </c>
      <c r="M95" s="1761">
        <v>872.63862687000005</v>
      </c>
      <c r="N95" s="1761">
        <v>20.589275540000003</v>
      </c>
      <c r="O95" s="1761">
        <v>3698.8238523800001</v>
      </c>
      <c r="P95" s="1761">
        <v>3215.4354863399999</v>
      </c>
      <c r="Q95" s="1761">
        <v>483.38836603999999</v>
      </c>
      <c r="R95" s="1761">
        <v>1552.03914115</v>
      </c>
      <c r="S95" s="1761">
        <v>493.11902867000003</v>
      </c>
      <c r="T95" s="1761">
        <v>483.03023889000002</v>
      </c>
      <c r="U95" s="1761">
        <v>10.088789780000001</v>
      </c>
      <c r="V95" s="1761">
        <v>1058.9201124800002</v>
      </c>
      <c r="W95" s="1761">
        <v>859.71428450999997</v>
      </c>
      <c r="X95" s="1761">
        <v>199.20582797</v>
      </c>
      <c r="Y95" s="1761">
        <v>3092.9063477700001</v>
      </c>
      <c r="Z95" s="1761">
        <v>514.38605713999993</v>
      </c>
      <c r="AA95" s="1761">
        <v>504.84591190999998</v>
      </c>
      <c r="AB95" s="1761">
        <v>9.5401452300000003</v>
      </c>
      <c r="AC95" s="1761">
        <v>2578.5202906300001</v>
      </c>
      <c r="AD95" s="1761">
        <v>2090.73635216</v>
      </c>
      <c r="AE95" s="1761">
        <v>487.78393847000001</v>
      </c>
    </row>
    <row r="96" spans="1:31">
      <c r="A96" s="1760">
        <v>5</v>
      </c>
      <c r="B96" s="1761">
        <v>7565.9511798600006</v>
      </c>
      <c r="C96" s="1761">
        <v>1447.54840711</v>
      </c>
      <c r="D96" s="1761">
        <v>6118.4027727500006</v>
      </c>
      <c r="E96" s="1761">
        <v>6583.9164775400004</v>
      </c>
      <c r="F96" s="1761">
        <v>1417.2406280299999</v>
      </c>
      <c r="G96" s="1761">
        <v>5166.6758495100003</v>
      </c>
      <c r="H96" s="1761">
        <v>982.03470232000018</v>
      </c>
      <c r="I96" s="1761">
        <v>30.307779080000003</v>
      </c>
      <c r="J96" s="1761">
        <v>951.72692324000013</v>
      </c>
      <c r="K96" s="1761">
        <v>4548.8650003100001</v>
      </c>
      <c r="L96" s="1761">
        <v>936.23981334999996</v>
      </c>
      <c r="M96" s="1761">
        <v>915.08716974999993</v>
      </c>
      <c r="N96" s="1761">
        <v>21.152643600000005</v>
      </c>
      <c r="O96" s="1761">
        <v>3612.6251869600001</v>
      </c>
      <c r="P96" s="1761">
        <v>3134.3709992899999</v>
      </c>
      <c r="Q96" s="1761">
        <v>478.25418767000002</v>
      </c>
      <c r="R96" s="1761">
        <v>1538.99498956</v>
      </c>
      <c r="S96" s="1761">
        <v>486.20993685999997</v>
      </c>
      <c r="T96" s="1761">
        <v>476.46891482999996</v>
      </c>
      <c r="U96" s="1761">
        <v>9.7410220299999999</v>
      </c>
      <c r="V96" s="1761">
        <v>1052.7850527000001</v>
      </c>
      <c r="W96" s="1761">
        <v>858.01942688999986</v>
      </c>
      <c r="X96" s="1761">
        <v>194.76562581000002</v>
      </c>
      <c r="Y96" s="1761">
        <v>3017.08617955</v>
      </c>
      <c r="Z96" s="1761">
        <v>511.30859375999995</v>
      </c>
      <c r="AA96" s="1761">
        <v>502.15345827999994</v>
      </c>
      <c r="AB96" s="1761">
        <v>9.1551354800000002</v>
      </c>
      <c r="AC96" s="1761">
        <v>2505.7775857900001</v>
      </c>
      <c r="AD96" s="1761">
        <v>2032.3048502199999</v>
      </c>
      <c r="AE96" s="1761">
        <v>473.47273557000005</v>
      </c>
    </row>
    <row r="97" spans="1:31">
      <c r="A97" s="1760">
        <v>6</v>
      </c>
      <c r="B97" s="1761">
        <v>7815.6264911699991</v>
      </c>
      <c r="C97" s="1761">
        <v>1517.1021516099997</v>
      </c>
      <c r="D97" s="1761">
        <v>6298.5243395599991</v>
      </c>
      <c r="E97" s="1761">
        <v>6792.5395942199993</v>
      </c>
      <c r="F97" s="1761">
        <v>1484.6593616699997</v>
      </c>
      <c r="G97" s="1761">
        <v>5307.8802325500001</v>
      </c>
      <c r="H97" s="1761">
        <v>1023.08689695</v>
      </c>
      <c r="I97" s="1761">
        <v>32.442789939999997</v>
      </c>
      <c r="J97" s="1761">
        <v>990.64410700999997</v>
      </c>
      <c r="K97" s="1761">
        <v>4737.3135872899993</v>
      </c>
      <c r="L97" s="1761">
        <v>1002.7139079299999</v>
      </c>
      <c r="M97" s="1761">
        <v>979.37765181999987</v>
      </c>
      <c r="N97" s="1761">
        <v>23.336256110000001</v>
      </c>
      <c r="O97" s="1761">
        <v>3734.5996793599993</v>
      </c>
      <c r="P97" s="1761">
        <v>3231.9696183499996</v>
      </c>
      <c r="Q97" s="1761">
        <v>502.63006100999996</v>
      </c>
      <c r="R97" s="1761">
        <v>1638.4983436499999</v>
      </c>
      <c r="S97" s="1761">
        <v>546.73839292000002</v>
      </c>
      <c r="T97" s="1761">
        <v>534.79585080999993</v>
      </c>
      <c r="U97" s="1761">
        <v>11.942542109999998</v>
      </c>
      <c r="V97" s="1761">
        <v>1091.7599507299999</v>
      </c>
      <c r="W97" s="1761">
        <v>876.30853079999997</v>
      </c>
      <c r="X97" s="1761">
        <v>215.45141993000001</v>
      </c>
      <c r="Y97" s="1761">
        <v>3078.3129038799998</v>
      </c>
      <c r="Z97" s="1761">
        <v>514.38824367999996</v>
      </c>
      <c r="AA97" s="1761">
        <v>505.28170984999997</v>
      </c>
      <c r="AB97" s="1761">
        <v>9.1065338300000001</v>
      </c>
      <c r="AC97" s="1761">
        <v>2563.9246601999998</v>
      </c>
      <c r="AD97" s="1761">
        <v>2075.9106142000001</v>
      </c>
      <c r="AE97" s="1761">
        <v>488.01404600000001</v>
      </c>
    </row>
    <row r="98" spans="1:31">
      <c r="A98" s="1760">
        <v>7</v>
      </c>
      <c r="B98" s="1761">
        <v>7843.8322067699992</v>
      </c>
      <c r="C98" s="1761">
        <v>1506.0159207900001</v>
      </c>
      <c r="D98" s="1761">
        <v>6337.8162859799995</v>
      </c>
      <c r="E98" s="1761">
        <v>6851.7018981600004</v>
      </c>
      <c r="F98" s="1761">
        <v>1474.7795012400002</v>
      </c>
      <c r="G98" s="1761">
        <v>5376.9223969200002</v>
      </c>
      <c r="H98" s="1761">
        <v>992.13030860999993</v>
      </c>
      <c r="I98" s="1761">
        <v>31.236419549999997</v>
      </c>
      <c r="J98" s="1761">
        <v>960.89388905999999</v>
      </c>
      <c r="K98" s="1761">
        <v>4829.455896299999</v>
      </c>
      <c r="L98" s="1761">
        <v>1023.8503967300001</v>
      </c>
      <c r="M98" s="1761">
        <v>1001.57899021</v>
      </c>
      <c r="N98" s="1761">
        <v>22.271406519999999</v>
      </c>
      <c r="O98" s="1761">
        <v>3805.6054995699997</v>
      </c>
      <c r="P98" s="1761">
        <v>3311.3435036599994</v>
      </c>
      <c r="Q98" s="1761">
        <v>494.26199591</v>
      </c>
      <c r="R98" s="1761">
        <v>1731.3684805100002</v>
      </c>
      <c r="S98" s="1761">
        <v>589.40381854000009</v>
      </c>
      <c r="T98" s="1761">
        <v>578.43384142000002</v>
      </c>
      <c r="U98" s="1761">
        <v>10.969977119999999</v>
      </c>
      <c r="V98" s="1761">
        <v>1141.96466197</v>
      </c>
      <c r="W98" s="1761">
        <v>917.19110690000002</v>
      </c>
      <c r="X98" s="1761">
        <v>224.77355506999999</v>
      </c>
      <c r="Y98" s="1761">
        <v>3014.3763104700001</v>
      </c>
      <c r="Z98" s="1761">
        <v>482.16552406000005</v>
      </c>
      <c r="AA98" s="1761">
        <v>473.20051103000003</v>
      </c>
      <c r="AB98" s="1761">
        <v>8.9650130299999979</v>
      </c>
      <c r="AC98" s="1761">
        <v>2532.2107864099999</v>
      </c>
      <c r="AD98" s="1761">
        <v>2065.5788932599999</v>
      </c>
      <c r="AE98" s="1761">
        <v>466.63189315</v>
      </c>
    </row>
    <row r="99" spans="1:31">
      <c r="A99" s="1760">
        <v>8</v>
      </c>
      <c r="B99" s="1761">
        <v>7931.8856794200001</v>
      </c>
      <c r="C99" s="1761">
        <v>1456.50919583</v>
      </c>
      <c r="D99" s="1761">
        <v>6475.3764835900001</v>
      </c>
      <c r="E99" s="1761">
        <v>6913.4587721799999</v>
      </c>
      <c r="F99" s="1761">
        <v>1423.8463465199998</v>
      </c>
      <c r="G99" s="1761">
        <v>5489.6124256600006</v>
      </c>
      <c r="H99" s="1761">
        <v>1018.42690724</v>
      </c>
      <c r="I99" s="1761">
        <v>32.662849309999999</v>
      </c>
      <c r="J99" s="1761">
        <v>985.76405793000004</v>
      </c>
      <c r="K99" s="1761">
        <v>4874.7005078600005</v>
      </c>
      <c r="L99" s="1761">
        <v>974.24768753999979</v>
      </c>
      <c r="M99" s="1761">
        <v>950.5357732199999</v>
      </c>
      <c r="N99" s="1761">
        <v>23.711914320000002</v>
      </c>
      <c r="O99" s="1761">
        <v>3900.4528203200002</v>
      </c>
      <c r="P99" s="1761">
        <v>3384.2494364300001</v>
      </c>
      <c r="Q99" s="1761">
        <v>516.20338389000005</v>
      </c>
      <c r="R99" s="1761">
        <v>1665.4230384699995</v>
      </c>
      <c r="S99" s="1761">
        <v>530.98455763999993</v>
      </c>
      <c r="T99" s="1761">
        <v>518.44544952999991</v>
      </c>
      <c r="U99" s="1761">
        <v>12.539108110000003</v>
      </c>
      <c r="V99" s="1761">
        <v>1134.4384808299999</v>
      </c>
      <c r="W99" s="1761">
        <v>906.56418373999986</v>
      </c>
      <c r="X99" s="1761">
        <v>227.87429709</v>
      </c>
      <c r="Y99" s="1761">
        <v>3057.1851715599996</v>
      </c>
      <c r="Z99" s="1761">
        <v>482.26150828999999</v>
      </c>
      <c r="AA99" s="1761">
        <v>473.31057329999999</v>
      </c>
      <c r="AB99" s="1761">
        <v>8.9509349900000004</v>
      </c>
      <c r="AC99" s="1761">
        <v>2574.9236632699999</v>
      </c>
      <c r="AD99" s="1761">
        <v>2105.36298923</v>
      </c>
      <c r="AE99" s="1761">
        <v>469.56067403999998</v>
      </c>
    </row>
    <row r="100" spans="1:31">
      <c r="A100" s="1760">
        <v>9</v>
      </c>
      <c r="B100" s="1761">
        <v>7813.8673014099995</v>
      </c>
      <c r="C100" s="1761">
        <v>1426.0374654</v>
      </c>
      <c r="D100" s="1761">
        <v>6387.8298360099998</v>
      </c>
      <c r="E100" s="1761">
        <v>6828.53688754</v>
      </c>
      <c r="F100" s="1761">
        <v>1395.7307868299999</v>
      </c>
      <c r="G100" s="1761">
        <v>5432.8061007099996</v>
      </c>
      <c r="H100" s="1761">
        <v>985.33041386999992</v>
      </c>
      <c r="I100" s="1761">
        <v>30.306678569999995</v>
      </c>
      <c r="J100" s="1761">
        <v>955.0237353</v>
      </c>
      <c r="K100" s="1761">
        <v>4833.2744599099997</v>
      </c>
      <c r="L100" s="1761">
        <v>947.50138616999993</v>
      </c>
      <c r="M100" s="1761">
        <v>926.10750189999987</v>
      </c>
      <c r="N100" s="1761">
        <v>21.393884269999997</v>
      </c>
      <c r="O100" s="1761">
        <v>3885.7730737399997</v>
      </c>
      <c r="P100" s="1761">
        <v>3393.4231242800001</v>
      </c>
      <c r="Q100" s="1761">
        <v>492.34994945999995</v>
      </c>
      <c r="R100" s="1761">
        <v>1683.7554041899998</v>
      </c>
      <c r="S100" s="1761">
        <v>518.38537985999994</v>
      </c>
      <c r="T100" s="1761">
        <v>507.90023003999994</v>
      </c>
      <c r="U100" s="1761">
        <v>10.48514982</v>
      </c>
      <c r="V100" s="1761">
        <v>1165.37002433</v>
      </c>
      <c r="W100" s="1761">
        <v>970.89561084000002</v>
      </c>
      <c r="X100" s="1761">
        <v>194.47441348999996</v>
      </c>
      <c r="Y100" s="1761">
        <v>2980.5928414999998</v>
      </c>
      <c r="Z100" s="1761">
        <v>478.53607922999998</v>
      </c>
      <c r="AA100" s="1761">
        <v>469.62328492999995</v>
      </c>
      <c r="AB100" s="1761">
        <v>8.9127942999999998</v>
      </c>
      <c r="AC100" s="1761">
        <v>2502.05676227</v>
      </c>
      <c r="AD100" s="1761">
        <v>2039.3829764299999</v>
      </c>
      <c r="AE100" s="1761">
        <v>462.67378584000005</v>
      </c>
    </row>
    <row r="101" spans="1:31">
      <c r="A101" s="1760">
        <v>10</v>
      </c>
      <c r="B101" s="1761">
        <v>7413.1110749800009</v>
      </c>
      <c r="C101" s="1761">
        <v>1397.6114081800001</v>
      </c>
      <c r="D101" s="1761">
        <v>6015.4996668000003</v>
      </c>
      <c r="E101" s="1761">
        <v>6471.7484338200011</v>
      </c>
      <c r="F101" s="1761">
        <v>1365.1214721900001</v>
      </c>
      <c r="G101" s="1761">
        <v>5106.6269616300006</v>
      </c>
      <c r="H101" s="1761">
        <v>941.36264115999995</v>
      </c>
      <c r="I101" s="1761">
        <v>32.489935989999999</v>
      </c>
      <c r="J101" s="1761">
        <v>908.87270517000002</v>
      </c>
      <c r="K101" s="1761">
        <v>4901.9131810000008</v>
      </c>
      <c r="L101" s="1761">
        <v>928.55661909000003</v>
      </c>
      <c r="M101" s="1761">
        <v>904.83404340000004</v>
      </c>
      <c r="N101" s="1761">
        <v>23.722575689999999</v>
      </c>
      <c r="O101" s="1761">
        <v>3973.3565619100004</v>
      </c>
      <c r="P101" s="1761">
        <v>3483.5255997300005</v>
      </c>
      <c r="Q101" s="1761">
        <v>489.83096218000003</v>
      </c>
      <c r="R101" s="1761">
        <v>1728.0391389600002</v>
      </c>
      <c r="S101" s="1761">
        <v>480.19855047000004</v>
      </c>
      <c r="T101" s="1761">
        <v>467.23045539000003</v>
      </c>
      <c r="U101" s="1761">
        <v>12.968095080000001</v>
      </c>
      <c r="V101" s="1761">
        <v>1247.8405884900001</v>
      </c>
      <c r="W101" s="1761">
        <v>1039.49043674</v>
      </c>
      <c r="X101" s="1761">
        <v>208.35015175000001</v>
      </c>
      <c r="Y101" s="1761">
        <v>2511.1978939800001</v>
      </c>
      <c r="Z101" s="1761">
        <v>469.05478909000004</v>
      </c>
      <c r="AA101" s="1761">
        <v>460.28742879000004</v>
      </c>
      <c r="AB101" s="1761">
        <v>8.7673603</v>
      </c>
      <c r="AC101" s="1761">
        <v>2042.1431048900001</v>
      </c>
      <c r="AD101" s="1761">
        <v>1623.1013619</v>
      </c>
      <c r="AE101" s="1761">
        <v>419.04174298999993</v>
      </c>
    </row>
    <row r="102" spans="1:31">
      <c r="A102" s="1760">
        <v>11</v>
      </c>
      <c r="B102" s="1761">
        <v>7605.7838093800001</v>
      </c>
      <c r="C102" s="1761">
        <v>1430.4973788100001</v>
      </c>
      <c r="D102" s="1761">
        <v>6175.2864305700004</v>
      </c>
      <c r="E102" s="1761">
        <v>6648.5885385800002</v>
      </c>
      <c r="F102" s="1761">
        <v>1400.1552132500001</v>
      </c>
      <c r="G102" s="1761">
        <v>5248.4333253300001</v>
      </c>
      <c r="H102" s="1761">
        <v>957.1952708</v>
      </c>
      <c r="I102" s="1761">
        <v>30.342165560000002</v>
      </c>
      <c r="J102" s="1761">
        <v>926.8531052400001</v>
      </c>
      <c r="K102" s="1761">
        <v>5113.0464668800005</v>
      </c>
      <c r="L102" s="1761">
        <v>976.09259972000007</v>
      </c>
      <c r="M102" s="1761">
        <v>954.49573178000003</v>
      </c>
      <c r="N102" s="1761">
        <v>21.596867940000003</v>
      </c>
      <c r="O102" s="1761">
        <v>4136.9538671600003</v>
      </c>
      <c r="P102" s="1761">
        <v>3629.95108858</v>
      </c>
      <c r="Q102" s="1761">
        <v>507.00277858000004</v>
      </c>
      <c r="R102" s="1761">
        <v>1842.2914264600001</v>
      </c>
      <c r="S102" s="1761">
        <v>513.95585828000003</v>
      </c>
      <c r="T102" s="1761">
        <v>503.48044164999999</v>
      </c>
      <c r="U102" s="1761">
        <v>10.475416630000003</v>
      </c>
      <c r="V102" s="1761">
        <v>1328.3355681800001</v>
      </c>
      <c r="W102" s="1761">
        <v>1116.8657780700003</v>
      </c>
      <c r="X102" s="1761">
        <v>211.46979011000002</v>
      </c>
      <c r="Y102" s="1761">
        <v>2492.7373425000001</v>
      </c>
      <c r="Z102" s="1761">
        <v>454.40477909000009</v>
      </c>
      <c r="AA102" s="1761">
        <v>445.65948147000006</v>
      </c>
      <c r="AB102" s="1761">
        <v>8.7452976199999988</v>
      </c>
      <c r="AC102" s="1761">
        <v>2038.3325634100001</v>
      </c>
      <c r="AD102" s="1761">
        <v>1618.4822367500001</v>
      </c>
      <c r="AE102" s="1761">
        <v>419.85032666000001</v>
      </c>
    </row>
    <row r="103" spans="1:31">
      <c r="A103" s="1760">
        <v>12</v>
      </c>
      <c r="B103" s="1761">
        <v>7448.6703850999993</v>
      </c>
      <c r="C103" s="1761">
        <v>1517.2369543500004</v>
      </c>
      <c r="D103" s="1761">
        <v>5931.4334307499994</v>
      </c>
      <c r="E103" s="1761">
        <v>6481.7945768099999</v>
      </c>
      <c r="F103" s="1761">
        <v>1483.7997685900002</v>
      </c>
      <c r="G103" s="1761">
        <v>4997.994808219999</v>
      </c>
      <c r="H103" s="1761">
        <v>966.87580829000001</v>
      </c>
      <c r="I103" s="1761">
        <v>33.437185759999998</v>
      </c>
      <c r="J103" s="1761">
        <v>933.43862252999998</v>
      </c>
      <c r="K103" s="1761">
        <v>4967.6144122800006</v>
      </c>
      <c r="L103" s="1761">
        <v>1061.4773695300003</v>
      </c>
      <c r="M103" s="1761">
        <v>1036.6847789300002</v>
      </c>
      <c r="N103" s="1761">
        <v>24.7925906</v>
      </c>
      <c r="O103" s="1761">
        <v>3906.1370427500001</v>
      </c>
      <c r="P103" s="1761">
        <v>3396.8780316100001</v>
      </c>
      <c r="Q103" s="1761">
        <v>509.25901113999993</v>
      </c>
      <c r="R103" s="1761">
        <v>1737.1789279700001</v>
      </c>
      <c r="S103" s="1761">
        <v>593.12725676000014</v>
      </c>
      <c r="T103" s="1761">
        <v>579.65820566000014</v>
      </c>
      <c r="U103" s="1761">
        <v>13.4690511</v>
      </c>
      <c r="V103" s="1761">
        <v>1144.0516712099998</v>
      </c>
      <c r="W103" s="1761">
        <v>925.97169045999999</v>
      </c>
      <c r="X103" s="1761">
        <v>218.07998074999998</v>
      </c>
      <c r="Y103" s="1761">
        <v>2481.0559728199996</v>
      </c>
      <c r="Z103" s="1761">
        <v>455.75958481999999</v>
      </c>
      <c r="AA103" s="1761">
        <v>447.11498965999994</v>
      </c>
      <c r="AB103" s="1761">
        <v>8.6445951599999997</v>
      </c>
      <c r="AC103" s="1761">
        <v>2025.2963879999998</v>
      </c>
      <c r="AD103" s="1761">
        <v>1601.1167766099998</v>
      </c>
      <c r="AE103" s="1761">
        <v>424.17961138999999</v>
      </c>
    </row>
    <row r="104" spans="1:31">
      <c r="A104" s="1760">
        <v>2017</v>
      </c>
      <c r="B104" s="1761"/>
      <c r="C104" s="1761"/>
      <c r="D104" s="1761"/>
      <c r="E104" s="1761"/>
      <c r="F104" s="1761"/>
      <c r="G104" s="1761"/>
      <c r="H104" s="1761"/>
      <c r="I104" s="1761"/>
      <c r="J104" s="1761"/>
      <c r="K104" s="1761"/>
      <c r="L104" s="1761"/>
      <c r="M104" s="1761"/>
      <c r="N104" s="1761"/>
      <c r="O104" s="1761"/>
      <c r="P104" s="1761"/>
      <c r="Q104" s="1761"/>
      <c r="R104" s="1761"/>
      <c r="S104" s="1761"/>
      <c r="T104" s="1761"/>
      <c r="U104" s="1761"/>
      <c r="V104" s="1761"/>
      <c r="W104" s="1761"/>
      <c r="X104" s="1761"/>
      <c r="Y104" s="1761"/>
      <c r="Z104" s="1761"/>
      <c r="AA104" s="1761"/>
      <c r="AB104" s="1761"/>
      <c r="AC104" s="1761"/>
      <c r="AD104" s="1761"/>
      <c r="AE104" s="1761"/>
    </row>
    <row r="105" spans="1:31">
      <c r="A105" s="1760">
        <v>1</v>
      </c>
      <c r="B105" s="1761">
        <v>7747.2138473399991</v>
      </c>
      <c r="C105" s="1761">
        <v>1452.69394992</v>
      </c>
      <c r="D105" s="1761">
        <v>6294.5198974199993</v>
      </c>
      <c r="E105" s="1761">
        <v>6753.8906869799994</v>
      </c>
      <c r="F105" s="1761">
        <v>1420.1879446400001</v>
      </c>
      <c r="G105" s="1761">
        <v>5333.7027423399995</v>
      </c>
      <c r="H105" s="1761">
        <v>993.32316035999997</v>
      </c>
      <c r="I105" s="1761">
        <v>32.506005280000004</v>
      </c>
      <c r="J105" s="1761">
        <v>960.81715508000002</v>
      </c>
      <c r="K105" s="1761">
        <v>5157.3086473799995</v>
      </c>
      <c r="L105" s="1761">
        <v>1000.66411306</v>
      </c>
      <c r="M105" s="1761">
        <v>976.17507050999995</v>
      </c>
      <c r="N105" s="1761">
        <v>24.489042550000004</v>
      </c>
      <c r="O105" s="1761">
        <v>4156.6445343199994</v>
      </c>
      <c r="P105" s="1761">
        <v>3620.9460052899999</v>
      </c>
      <c r="Q105" s="1761">
        <v>535.69852903000003</v>
      </c>
      <c r="R105" s="1761">
        <v>1674.8844165500002</v>
      </c>
      <c r="S105" s="1761">
        <v>511.30370879999998</v>
      </c>
      <c r="T105" s="1761">
        <v>499.06653041999999</v>
      </c>
      <c r="U105" s="1761">
        <v>12.237178380000003</v>
      </c>
      <c r="V105" s="1761">
        <v>1163.5807077500001</v>
      </c>
      <c r="W105" s="1761">
        <v>926.81243798000003</v>
      </c>
      <c r="X105" s="1761">
        <v>236.76826976999999</v>
      </c>
      <c r="Y105" s="1761">
        <v>2589.9051999600006</v>
      </c>
      <c r="Z105" s="1761">
        <v>452.02983686000005</v>
      </c>
      <c r="AA105" s="1761">
        <v>444.01287413000006</v>
      </c>
      <c r="AB105" s="1761">
        <v>8.0169627299999995</v>
      </c>
      <c r="AC105" s="1761">
        <v>2137.8753630999995</v>
      </c>
      <c r="AD105" s="1761">
        <v>1712.7567370499999</v>
      </c>
      <c r="AE105" s="1761">
        <v>425.11862604999999</v>
      </c>
    </row>
    <row r="106" spans="1:31">
      <c r="A106" s="1760">
        <v>2</v>
      </c>
      <c r="B106" s="1761">
        <v>7101.7795807599996</v>
      </c>
      <c r="C106" s="1761">
        <v>1463.72423779</v>
      </c>
      <c r="D106" s="1761">
        <v>5638.0553429699994</v>
      </c>
      <c r="E106" s="1761">
        <v>6205.0481601699994</v>
      </c>
      <c r="F106" s="1761">
        <v>1431.2831334499999</v>
      </c>
      <c r="G106" s="1761">
        <v>4773.7650267199997</v>
      </c>
      <c r="H106" s="1761">
        <v>896.73142058999997</v>
      </c>
      <c r="I106" s="1761">
        <v>32.441104340000003</v>
      </c>
      <c r="J106" s="1761">
        <v>864.29031624999993</v>
      </c>
      <c r="K106" s="1761">
        <v>4709.0541522799995</v>
      </c>
      <c r="L106" s="1761">
        <v>1008.8547734</v>
      </c>
      <c r="M106" s="1761">
        <v>986.05256842999995</v>
      </c>
      <c r="N106" s="1761">
        <v>22.802204970000002</v>
      </c>
      <c r="O106" s="1761">
        <v>3700.19937888</v>
      </c>
      <c r="P106" s="1761">
        <v>3204.6507970900002</v>
      </c>
      <c r="Q106" s="1761">
        <v>495.54858178999996</v>
      </c>
      <c r="R106" s="1761">
        <v>1555.77900746</v>
      </c>
      <c r="S106" s="1761">
        <v>510.01916795</v>
      </c>
      <c r="T106" s="1761">
        <v>499.84428459999998</v>
      </c>
      <c r="U106" s="1761">
        <v>10.17488335</v>
      </c>
      <c r="V106" s="1761">
        <v>1045.7598395099999</v>
      </c>
      <c r="W106" s="1761">
        <v>826.15726330999996</v>
      </c>
      <c r="X106" s="1761">
        <v>219.60257619999999</v>
      </c>
      <c r="Y106" s="1761">
        <v>2392.7254284799997</v>
      </c>
      <c r="Z106" s="1761">
        <v>454.86946439000002</v>
      </c>
      <c r="AA106" s="1761">
        <v>445.23056502000003</v>
      </c>
      <c r="AB106" s="1761">
        <v>9.638899369999999</v>
      </c>
      <c r="AC106" s="1761">
        <v>1937.8559640899998</v>
      </c>
      <c r="AD106" s="1761">
        <v>1569.11422963</v>
      </c>
      <c r="AE106" s="1761">
        <v>368.74173445999998</v>
      </c>
    </row>
    <row r="107" spans="1:31">
      <c r="A107" s="1760">
        <v>3</v>
      </c>
      <c r="B107" s="1761">
        <v>6911.4482994199998</v>
      </c>
      <c r="C107" s="1761">
        <v>1480.4727689199999</v>
      </c>
      <c r="D107" s="1761">
        <v>5430.9755305000008</v>
      </c>
      <c r="E107" s="1761">
        <v>6033.8340495500006</v>
      </c>
      <c r="F107" s="1761">
        <v>1446.9942711000001</v>
      </c>
      <c r="G107" s="1761">
        <v>4586.8397784500003</v>
      </c>
      <c r="H107" s="1761">
        <v>877.61424987000009</v>
      </c>
      <c r="I107" s="1761">
        <v>33.478497820000001</v>
      </c>
      <c r="J107" s="1761">
        <v>844.13575205000006</v>
      </c>
      <c r="K107" s="1761">
        <v>4598.95956716</v>
      </c>
      <c r="L107" s="1761">
        <v>1019.97453338</v>
      </c>
      <c r="M107" s="1761">
        <v>996.40465117000008</v>
      </c>
      <c r="N107" s="1761">
        <v>23.569882209999999</v>
      </c>
      <c r="O107" s="1761">
        <v>3578.9850337799999</v>
      </c>
      <c r="P107" s="1761">
        <v>3090.4950881199993</v>
      </c>
      <c r="Q107" s="1761">
        <v>488.48994566000005</v>
      </c>
      <c r="R107" s="1761">
        <v>1486.5612453200001</v>
      </c>
      <c r="S107" s="1761">
        <v>507.79294545999994</v>
      </c>
      <c r="T107" s="1761">
        <v>496.46003026</v>
      </c>
      <c r="U107" s="1761">
        <v>11.332915199999999</v>
      </c>
      <c r="V107" s="1761">
        <v>978.76829986000018</v>
      </c>
      <c r="W107" s="1761">
        <v>761.94903144000011</v>
      </c>
      <c r="X107" s="1761">
        <v>216.81926842000001</v>
      </c>
      <c r="Y107" s="1761">
        <v>2312.4887322599998</v>
      </c>
      <c r="Z107" s="1761">
        <v>460.49823553999994</v>
      </c>
      <c r="AA107" s="1761">
        <v>450.58961992999997</v>
      </c>
      <c r="AB107" s="1761">
        <v>9.90861561</v>
      </c>
      <c r="AC107" s="1761">
        <v>1851.9904967200002</v>
      </c>
      <c r="AD107" s="1761">
        <v>1496.34469033</v>
      </c>
      <c r="AE107" s="1761">
        <v>355.64580639000002</v>
      </c>
    </row>
    <row r="108" spans="1:31">
      <c r="A108" s="1760">
        <v>4</v>
      </c>
      <c r="B108" s="1761">
        <v>6873.1633715100006</v>
      </c>
      <c r="C108" s="1761">
        <v>1608.1923604899998</v>
      </c>
      <c r="D108" s="1761">
        <v>5264.9710110200012</v>
      </c>
      <c r="E108" s="1761">
        <v>6006.2714098500001</v>
      </c>
      <c r="F108" s="1761">
        <v>1572.73132852</v>
      </c>
      <c r="G108" s="1761">
        <v>4433.5400813300002</v>
      </c>
      <c r="H108" s="1761">
        <v>866.89196166000011</v>
      </c>
      <c r="I108" s="1761">
        <v>35.461031970000001</v>
      </c>
      <c r="J108" s="1761">
        <v>831.43092969000008</v>
      </c>
      <c r="K108" s="1761">
        <v>4637.14995421</v>
      </c>
      <c r="L108" s="1761">
        <v>1128.9168918800001</v>
      </c>
      <c r="M108" s="1761">
        <v>1103.4617057600001</v>
      </c>
      <c r="N108" s="1761">
        <v>25.45518612</v>
      </c>
      <c r="O108" s="1761">
        <v>3508.2330623300004</v>
      </c>
      <c r="P108" s="1761">
        <v>3016.9175732100002</v>
      </c>
      <c r="Q108" s="1761">
        <v>491.31548912000005</v>
      </c>
      <c r="R108" s="1761">
        <v>1572.25408954</v>
      </c>
      <c r="S108" s="1761">
        <v>594.38608856999986</v>
      </c>
      <c r="T108" s="1761">
        <v>581.8769082099999</v>
      </c>
      <c r="U108" s="1761">
        <v>12.50918036</v>
      </c>
      <c r="V108" s="1761">
        <v>977.86800097000014</v>
      </c>
      <c r="W108" s="1761">
        <v>760.65189371000008</v>
      </c>
      <c r="X108" s="1761">
        <v>217.21610726000003</v>
      </c>
      <c r="Y108" s="1761">
        <v>2236.0134172999997</v>
      </c>
      <c r="Z108" s="1761">
        <v>479.27546860999996</v>
      </c>
      <c r="AA108" s="1761">
        <v>469.26962275999995</v>
      </c>
      <c r="AB108" s="1761">
        <v>10.005845849999998</v>
      </c>
      <c r="AC108" s="1761">
        <v>1756.7379486899997</v>
      </c>
      <c r="AD108" s="1761">
        <v>1416.6225081199998</v>
      </c>
      <c r="AE108" s="1761">
        <v>340.11544056999998</v>
      </c>
    </row>
    <row r="109" spans="1:31">
      <c r="A109" s="1760">
        <v>5</v>
      </c>
      <c r="B109" s="1761">
        <v>6846.7235042599996</v>
      </c>
      <c r="C109" s="1761">
        <v>1744.77150839</v>
      </c>
      <c r="D109" s="1761">
        <v>5101.9519958699993</v>
      </c>
      <c r="E109" s="1761">
        <v>6017.8606406300005</v>
      </c>
      <c r="F109" s="1761">
        <v>1698.5322011299997</v>
      </c>
      <c r="G109" s="1761">
        <v>4319.3284395000001</v>
      </c>
      <c r="H109" s="1761">
        <v>828.86286362999999</v>
      </c>
      <c r="I109" s="1761">
        <v>46.239307260000004</v>
      </c>
      <c r="J109" s="1761">
        <v>782.62355636999996</v>
      </c>
      <c r="K109" s="1761">
        <v>4650.3283388400005</v>
      </c>
      <c r="L109" s="1761">
        <v>1253.8706366500001</v>
      </c>
      <c r="M109" s="1761">
        <v>1225.0172643899998</v>
      </c>
      <c r="N109" s="1761">
        <v>28.85337226</v>
      </c>
      <c r="O109" s="1761">
        <v>3396.45770219</v>
      </c>
      <c r="P109" s="1761">
        <v>2941.4880281000001</v>
      </c>
      <c r="Q109" s="1761">
        <v>454.96967409000001</v>
      </c>
      <c r="R109" s="1761">
        <v>1643.35169776</v>
      </c>
      <c r="S109" s="1761">
        <v>691.21623787999988</v>
      </c>
      <c r="T109" s="1761">
        <v>679.92399665999994</v>
      </c>
      <c r="U109" s="1761">
        <v>11.292241220000001</v>
      </c>
      <c r="V109" s="1761">
        <v>952.1354598800001</v>
      </c>
      <c r="W109" s="1761">
        <v>759.01058208000006</v>
      </c>
      <c r="X109" s="1761">
        <v>193.12487780000001</v>
      </c>
      <c r="Y109" s="1761">
        <v>2196.39516542</v>
      </c>
      <c r="Z109" s="1761">
        <v>490.90087173999996</v>
      </c>
      <c r="AA109" s="1761">
        <v>473.51493674</v>
      </c>
      <c r="AB109" s="1761">
        <v>17.385935</v>
      </c>
      <c r="AC109" s="1761">
        <v>1705.4942936800001</v>
      </c>
      <c r="AD109" s="1761">
        <v>1377.8404114</v>
      </c>
      <c r="AE109" s="1761">
        <v>327.65388227999995</v>
      </c>
    </row>
    <row r="110" spans="1:31">
      <c r="A110" s="1760">
        <v>6</v>
      </c>
      <c r="B110" s="1761">
        <v>6907.1098250700015</v>
      </c>
      <c r="C110" s="1761">
        <v>1838.4266236000001</v>
      </c>
      <c r="D110" s="1761">
        <v>5068.6832014700003</v>
      </c>
      <c r="E110" s="1761">
        <v>6093.1433046100001</v>
      </c>
      <c r="F110" s="1761">
        <v>1789.3588692499998</v>
      </c>
      <c r="G110" s="1761">
        <v>4303.7844353600003</v>
      </c>
      <c r="H110" s="1761">
        <v>813.96652046000008</v>
      </c>
      <c r="I110" s="1761">
        <v>49.067754350000001</v>
      </c>
      <c r="J110" s="1761">
        <v>764.89876611</v>
      </c>
      <c r="K110" s="1761">
        <v>4705.23386897</v>
      </c>
      <c r="L110" s="1761">
        <v>1341.4902313499999</v>
      </c>
      <c r="M110" s="1761">
        <v>1312.2559013299999</v>
      </c>
      <c r="N110" s="1761">
        <v>29.234330020000002</v>
      </c>
      <c r="O110" s="1761">
        <v>3363.7436376200003</v>
      </c>
      <c r="P110" s="1761">
        <v>2924.54219534</v>
      </c>
      <c r="Q110" s="1761">
        <v>439.20144227999998</v>
      </c>
      <c r="R110" s="1761">
        <v>1733.13516983</v>
      </c>
      <c r="S110" s="1761">
        <v>734.24331022999991</v>
      </c>
      <c r="T110" s="1761">
        <v>721.79423368999994</v>
      </c>
      <c r="U110" s="1761">
        <v>12.44907654</v>
      </c>
      <c r="V110" s="1761">
        <v>998.89185960000009</v>
      </c>
      <c r="W110" s="1761">
        <v>815.96829234000006</v>
      </c>
      <c r="X110" s="1761">
        <v>182.92356725999997</v>
      </c>
      <c r="Y110" s="1761">
        <v>2201.8759561000002</v>
      </c>
      <c r="Z110" s="1761">
        <v>496.93639224999998</v>
      </c>
      <c r="AA110" s="1761">
        <v>477.10296791999997</v>
      </c>
      <c r="AB110" s="1761">
        <v>19.83342433</v>
      </c>
      <c r="AC110" s="1761">
        <v>1704.93956385</v>
      </c>
      <c r="AD110" s="1761">
        <v>1379.2422400200001</v>
      </c>
      <c r="AE110" s="1761">
        <v>325.69732382999996</v>
      </c>
    </row>
    <row r="111" spans="1:31">
      <c r="A111" s="1760">
        <v>7</v>
      </c>
      <c r="B111" s="1761">
        <v>6860.7177209399988</v>
      </c>
      <c r="C111" s="1761">
        <v>1822.0402112700001</v>
      </c>
      <c r="D111" s="1761">
        <v>5038.6775096699985</v>
      </c>
      <c r="E111" s="1761">
        <v>6054.1088052200002</v>
      </c>
      <c r="F111" s="1761">
        <v>1770.3942132900002</v>
      </c>
      <c r="G111" s="1761">
        <v>4283.7145919299992</v>
      </c>
      <c r="H111" s="1761">
        <v>806.60891571999991</v>
      </c>
      <c r="I111" s="1761">
        <v>51.645997980000004</v>
      </c>
      <c r="J111" s="1761">
        <v>754.96291773999997</v>
      </c>
      <c r="K111" s="1761">
        <v>4669.2146708500004</v>
      </c>
      <c r="L111" s="1761">
        <v>1301.41174499</v>
      </c>
      <c r="M111" s="1761">
        <v>1270.18626692</v>
      </c>
      <c r="N111" s="1761">
        <v>31.225478070000001</v>
      </c>
      <c r="O111" s="1761">
        <v>3367.80292586</v>
      </c>
      <c r="P111" s="1761">
        <v>2930.9304453700001</v>
      </c>
      <c r="Q111" s="1761">
        <v>436.87248048999999</v>
      </c>
      <c r="R111" s="1761">
        <v>1648.6893226899999</v>
      </c>
      <c r="S111" s="1761">
        <v>638.9342709199999</v>
      </c>
      <c r="T111" s="1761">
        <v>626.14714468999989</v>
      </c>
      <c r="U111" s="1761">
        <v>12.78712623</v>
      </c>
      <c r="V111" s="1761">
        <v>1009.7550517699999</v>
      </c>
      <c r="W111" s="1761">
        <v>831.21941169999991</v>
      </c>
      <c r="X111" s="1761">
        <v>178.53564007</v>
      </c>
      <c r="Y111" s="1761">
        <v>2191.5030500899998</v>
      </c>
      <c r="Z111" s="1761">
        <v>520.62846628000011</v>
      </c>
      <c r="AA111" s="1761">
        <v>500.20794637000006</v>
      </c>
      <c r="AB111" s="1761">
        <v>20.420519909999999</v>
      </c>
      <c r="AC111" s="1761">
        <v>1670.8745838099996</v>
      </c>
      <c r="AD111" s="1761">
        <v>1352.7841465599997</v>
      </c>
      <c r="AE111" s="1761">
        <v>318.09043724999998</v>
      </c>
    </row>
    <row r="112" spans="1:31">
      <c r="A112" s="1760">
        <v>8</v>
      </c>
      <c r="B112" s="1761">
        <v>6895.4724854100004</v>
      </c>
      <c r="C112" s="1761">
        <v>1918.3876794400001</v>
      </c>
      <c r="D112" s="1761">
        <v>4977.0848059700002</v>
      </c>
      <c r="E112" s="1761">
        <v>6096.6528371899994</v>
      </c>
      <c r="F112" s="1761">
        <v>1863.5428979500002</v>
      </c>
      <c r="G112" s="1761">
        <v>4233.1099392399992</v>
      </c>
      <c r="H112" s="1761">
        <v>798.81964821999998</v>
      </c>
      <c r="I112" s="1761">
        <v>54.844781490000003</v>
      </c>
      <c r="J112" s="1761">
        <v>743.97486673000003</v>
      </c>
      <c r="K112" s="1761">
        <v>4733.3702515000004</v>
      </c>
      <c r="L112" s="1761">
        <v>1383.4952701800003</v>
      </c>
      <c r="M112" s="1761">
        <v>1349.2550590300002</v>
      </c>
      <c r="N112" s="1761">
        <v>34.24021115</v>
      </c>
      <c r="O112" s="1761">
        <v>3349.8749813199997</v>
      </c>
      <c r="P112" s="1761">
        <v>2900.1196946299997</v>
      </c>
      <c r="Q112" s="1761">
        <v>449.75528669000005</v>
      </c>
      <c r="R112" s="1761">
        <v>1715.8992923200001</v>
      </c>
      <c r="S112" s="1761">
        <v>684.21014093999997</v>
      </c>
      <c r="T112" s="1761">
        <v>669.92811483000003</v>
      </c>
      <c r="U112" s="1761">
        <v>14.28202611</v>
      </c>
      <c r="V112" s="1761">
        <v>1031.6891513800001</v>
      </c>
      <c r="W112" s="1761">
        <v>862.80258056000014</v>
      </c>
      <c r="X112" s="1761">
        <v>168.88657082</v>
      </c>
      <c r="Y112" s="1761">
        <v>2162.10223391</v>
      </c>
      <c r="Z112" s="1761">
        <v>534.89240926000002</v>
      </c>
      <c r="AA112" s="1761">
        <v>514.28783892000001</v>
      </c>
      <c r="AB112" s="1761">
        <v>20.604570339999999</v>
      </c>
      <c r="AC112" s="1761">
        <v>1627.2098246499997</v>
      </c>
      <c r="AD112" s="1761">
        <v>1332.99024461</v>
      </c>
      <c r="AE112" s="1761">
        <v>294.21958004000004</v>
      </c>
    </row>
    <row r="113" spans="1:31">
      <c r="A113" s="1760">
        <v>9</v>
      </c>
      <c r="B113" s="1761">
        <v>7022.1769642000008</v>
      </c>
      <c r="C113" s="1761">
        <v>1981.7773606900003</v>
      </c>
      <c r="D113" s="1761">
        <v>5040.3996035100008</v>
      </c>
      <c r="E113" s="1761">
        <v>6239.0849786300005</v>
      </c>
      <c r="F113" s="1761">
        <v>1926.5075668500003</v>
      </c>
      <c r="G113" s="1761">
        <v>4312.5774117800011</v>
      </c>
      <c r="H113" s="1761">
        <v>783.09198557000002</v>
      </c>
      <c r="I113" s="1761">
        <v>55.269793839999998</v>
      </c>
      <c r="J113" s="1761">
        <v>727.82219172999999</v>
      </c>
      <c r="K113" s="1761">
        <v>4883.3877578200008</v>
      </c>
      <c r="L113" s="1761">
        <v>1431.9714366400001</v>
      </c>
      <c r="M113" s="1761">
        <v>1397.8468438000002</v>
      </c>
      <c r="N113" s="1761">
        <v>34.124592839999998</v>
      </c>
      <c r="O113" s="1761">
        <v>3451.4163211800005</v>
      </c>
      <c r="P113" s="1761">
        <v>3010.7522470600006</v>
      </c>
      <c r="Q113" s="1761">
        <v>440.66407412000001</v>
      </c>
      <c r="R113" s="1761">
        <v>1858.0048523999997</v>
      </c>
      <c r="S113" s="1761">
        <v>685.5311386699999</v>
      </c>
      <c r="T113" s="1761">
        <v>672.59218239999996</v>
      </c>
      <c r="U113" s="1761">
        <v>12.93895627</v>
      </c>
      <c r="V113" s="1761">
        <v>1172.4737137299999</v>
      </c>
      <c r="W113" s="1761">
        <v>1011.82683718</v>
      </c>
      <c r="X113" s="1761">
        <v>160.64687655</v>
      </c>
      <c r="Y113" s="1761">
        <v>2138.7892063800005</v>
      </c>
      <c r="Z113" s="1761">
        <v>549.80592405000004</v>
      </c>
      <c r="AA113" s="1761">
        <v>528.66072305</v>
      </c>
      <c r="AB113" s="1761">
        <v>21.145201</v>
      </c>
      <c r="AC113" s="1761">
        <v>1588.9832823300003</v>
      </c>
      <c r="AD113" s="1761">
        <v>1301.8251647200002</v>
      </c>
      <c r="AE113" s="1761">
        <v>287.15811761000003</v>
      </c>
    </row>
    <row r="114" spans="1:31">
      <c r="A114" s="1760">
        <v>10</v>
      </c>
      <c r="B114" s="1761">
        <v>7280.1157314900011</v>
      </c>
      <c r="C114" s="1761">
        <v>2189.5560085300003</v>
      </c>
      <c r="D114" s="1761">
        <v>5090.5597229600007</v>
      </c>
      <c r="E114" s="1761">
        <v>6513.5456944600019</v>
      </c>
      <c r="F114" s="1761">
        <v>2134.6301832300005</v>
      </c>
      <c r="G114" s="1761">
        <v>4378.9155112300014</v>
      </c>
      <c r="H114" s="1761">
        <v>766.57003703000009</v>
      </c>
      <c r="I114" s="1761">
        <v>54.9258253</v>
      </c>
      <c r="J114" s="1761">
        <v>711.64421173000005</v>
      </c>
      <c r="K114" s="1761">
        <v>5131.3671718300011</v>
      </c>
      <c r="L114" s="1761">
        <v>1620.8822610200002</v>
      </c>
      <c r="M114" s="1761">
        <v>1587.3242971800003</v>
      </c>
      <c r="N114" s="1761">
        <v>33.557963839999999</v>
      </c>
      <c r="O114" s="1761">
        <v>3510.4849108100007</v>
      </c>
      <c r="P114" s="1761">
        <v>3072.4716386100008</v>
      </c>
      <c r="Q114" s="1761">
        <v>438.01327220000002</v>
      </c>
      <c r="R114" s="1761">
        <v>2019.8910460700001</v>
      </c>
      <c r="S114" s="1761">
        <v>730.23960569000008</v>
      </c>
      <c r="T114" s="1761">
        <v>717.13511556000003</v>
      </c>
      <c r="U114" s="1761">
        <v>13.104490130000002</v>
      </c>
      <c r="V114" s="1761">
        <v>1289.6514403799999</v>
      </c>
      <c r="W114" s="1761">
        <v>1134.3309391800001</v>
      </c>
      <c r="X114" s="1761">
        <v>155.32050120000002</v>
      </c>
      <c r="Y114" s="1761">
        <v>2148.7485596600004</v>
      </c>
      <c r="Z114" s="1761">
        <v>568.67374751</v>
      </c>
      <c r="AA114" s="1761">
        <v>547.30588605000003</v>
      </c>
      <c r="AB114" s="1761">
        <v>21.36786146</v>
      </c>
      <c r="AC114" s="1761">
        <v>1580.0748121500001</v>
      </c>
      <c r="AD114" s="1761">
        <v>1306.4438726200001</v>
      </c>
      <c r="AE114" s="1761">
        <v>273.63093953000003</v>
      </c>
    </row>
    <row r="115" spans="1:31">
      <c r="A115" s="1760">
        <v>11</v>
      </c>
      <c r="B115" s="1761">
        <v>7370.6137107699997</v>
      </c>
      <c r="C115" s="1761">
        <v>2285.4785869899997</v>
      </c>
      <c r="D115" s="1761">
        <v>5085.13512378</v>
      </c>
      <c r="E115" s="1761">
        <v>6608.0878869699991</v>
      </c>
      <c r="F115" s="1761">
        <v>2226.5753235699999</v>
      </c>
      <c r="G115" s="1761">
        <v>4381.5125633999996</v>
      </c>
      <c r="H115" s="1761">
        <v>762.52582380000001</v>
      </c>
      <c r="I115" s="1761">
        <v>58.903263420000002</v>
      </c>
      <c r="J115" s="1761">
        <v>703.6225603800001</v>
      </c>
      <c r="K115" s="1761">
        <v>5271.1649083900002</v>
      </c>
      <c r="L115" s="1761">
        <v>1696.05278918</v>
      </c>
      <c r="M115" s="1761">
        <v>1661.08392353</v>
      </c>
      <c r="N115" s="1761">
        <v>34.968865649999998</v>
      </c>
      <c r="O115" s="1761">
        <v>3575.1121192099999</v>
      </c>
      <c r="P115" s="1761">
        <v>3127.4061164899999</v>
      </c>
      <c r="Q115" s="1761">
        <v>447.70600272000001</v>
      </c>
      <c r="R115" s="1761">
        <v>2208.9247353199999</v>
      </c>
      <c r="S115" s="1761">
        <v>719.73873243000014</v>
      </c>
      <c r="T115" s="1761">
        <v>705.85328219000007</v>
      </c>
      <c r="U115" s="1761">
        <v>13.885450239999999</v>
      </c>
      <c r="V115" s="1761">
        <v>1489.1860028899998</v>
      </c>
      <c r="W115" s="1761">
        <v>1319.9254439699998</v>
      </c>
      <c r="X115" s="1761">
        <v>169.26055891999999</v>
      </c>
      <c r="Y115" s="1761">
        <v>2099.4488023800004</v>
      </c>
      <c r="Z115" s="1761">
        <v>589.42579780999995</v>
      </c>
      <c r="AA115" s="1761">
        <v>565.49140003999992</v>
      </c>
      <c r="AB115" s="1761">
        <v>23.93439777</v>
      </c>
      <c r="AC115" s="1761">
        <v>1510.02300457</v>
      </c>
      <c r="AD115" s="1761">
        <v>1254.1064469100002</v>
      </c>
      <c r="AE115" s="1761">
        <v>255.91655766000002</v>
      </c>
    </row>
    <row r="116" spans="1:31">
      <c r="A116" s="1760">
        <v>12</v>
      </c>
      <c r="B116" s="1761">
        <v>7561.1649168700005</v>
      </c>
      <c r="C116" s="1761">
        <v>2532.8996759900006</v>
      </c>
      <c r="D116" s="1761">
        <v>5028.2652408800004</v>
      </c>
      <c r="E116" s="1761">
        <v>6816.1689644099997</v>
      </c>
      <c r="F116" s="1761">
        <v>2470.9792299200003</v>
      </c>
      <c r="G116" s="1761">
        <v>4345.1897344899999</v>
      </c>
      <c r="H116" s="1761">
        <v>744.9959524599999</v>
      </c>
      <c r="I116" s="1761">
        <v>61.920446069999997</v>
      </c>
      <c r="J116" s="1761">
        <v>683.07550638999999</v>
      </c>
      <c r="K116" s="1761">
        <v>5531.6934448000011</v>
      </c>
      <c r="L116" s="1761">
        <v>1927.9416608600002</v>
      </c>
      <c r="M116" s="1761">
        <v>1891.0497697700002</v>
      </c>
      <c r="N116" s="1761">
        <v>36.891891090000001</v>
      </c>
      <c r="O116" s="1761">
        <v>3603.7517839400007</v>
      </c>
      <c r="P116" s="1761">
        <v>3168.4605873</v>
      </c>
      <c r="Q116" s="1761">
        <v>435.29119663999995</v>
      </c>
      <c r="R116" s="1761">
        <v>2360.0227070700003</v>
      </c>
      <c r="S116" s="1761">
        <v>833.84853344999999</v>
      </c>
      <c r="T116" s="1761">
        <v>819.24011239000004</v>
      </c>
      <c r="U116" s="1761">
        <v>14.60842106</v>
      </c>
      <c r="V116" s="1761">
        <v>1526.1741736200001</v>
      </c>
      <c r="W116" s="1761">
        <v>1365.0884557700003</v>
      </c>
      <c r="X116" s="1761">
        <v>161.08571784999998</v>
      </c>
      <c r="Y116" s="1761">
        <v>2029.4714720700001</v>
      </c>
      <c r="Z116" s="1761">
        <v>604.95801513000004</v>
      </c>
      <c r="AA116" s="1761">
        <v>579.92946015000007</v>
      </c>
      <c r="AB116" s="1761">
        <v>25.028554979999999</v>
      </c>
      <c r="AC116" s="1761">
        <v>1424.5134569400002</v>
      </c>
      <c r="AD116" s="1761">
        <v>1176.7291471900003</v>
      </c>
      <c r="AE116" s="1761">
        <v>247.78430975000001</v>
      </c>
    </row>
    <row r="117" spans="1:31">
      <c r="A117" s="1760">
        <v>2018</v>
      </c>
      <c r="B117" s="1761"/>
      <c r="C117" s="1761"/>
      <c r="D117" s="1761"/>
      <c r="E117" s="1761"/>
      <c r="F117" s="1761"/>
      <c r="G117" s="1761"/>
      <c r="H117" s="1761"/>
      <c r="I117" s="1761"/>
      <c r="J117" s="1761"/>
      <c r="K117" s="1761"/>
      <c r="L117" s="1761"/>
      <c r="M117" s="1761"/>
      <c r="N117" s="1761"/>
      <c r="O117" s="1761"/>
      <c r="P117" s="1761"/>
      <c r="Q117" s="1761"/>
      <c r="R117" s="1761"/>
      <c r="S117" s="1761"/>
      <c r="T117" s="1761"/>
      <c r="U117" s="1761"/>
      <c r="V117" s="1761"/>
      <c r="W117" s="1761"/>
      <c r="X117" s="1761"/>
      <c r="Y117" s="1761"/>
      <c r="Z117" s="1761"/>
      <c r="AA117" s="1761"/>
      <c r="AB117" s="1761"/>
      <c r="AC117" s="1761"/>
      <c r="AD117" s="1761"/>
      <c r="AE117" s="1761"/>
    </row>
    <row r="118" spans="1:31">
      <c r="A118" s="1760">
        <v>1</v>
      </c>
      <c r="B118" s="1761">
        <v>7497.0399853000008</v>
      </c>
      <c r="C118" s="1761">
        <v>2529.6472036099999</v>
      </c>
      <c r="D118" s="1761">
        <v>4967.3927816900004</v>
      </c>
      <c r="E118" s="1761">
        <v>6747.3187275700002</v>
      </c>
      <c r="F118" s="1761">
        <v>2462.2246009299997</v>
      </c>
      <c r="G118" s="1761">
        <v>4285.0941266400005</v>
      </c>
      <c r="H118" s="1761">
        <v>749.72125772999993</v>
      </c>
      <c r="I118" s="1761">
        <v>67.422602680000011</v>
      </c>
      <c r="J118" s="1761">
        <v>682.29865504999998</v>
      </c>
      <c r="K118" s="1761">
        <v>5486.4540007800006</v>
      </c>
      <c r="L118" s="1761">
        <v>1904.2743460899999</v>
      </c>
      <c r="M118" s="1761">
        <v>1863.4737974299999</v>
      </c>
      <c r="N118" s="1761">
        <v>40.800548659999997</v>
      </c>
      <c r="O118" s="1761">
        <v>3582.17965469</v>
      </c>
      <c r="P118" s="1761">
        <v>3145.26460507</v>
      </c>
      <c r="Q118" s="1761">
        <v>436.91504961999999</v>
      </c>
      <c r="R118" s="1761">
        <v>2255.6485757400001</v>
      </c>
      <c r="S118" s="1761">
        <v>741.69174687999998</v>
      </c>
      <c r="T118" s="1761">
        <v>726.48402321999993</v>
      </c>
      <c r="U118" s="1761">
        <v>15.207723659999999</v>
      </c>
      <c r="V118" s="1761">
        <v>1513.9568288600001</v>
      </c>
      <c r="W118" s="1761">
        <v>1351.4334216499999</v>
      </c>
      <c r="X118" s="1761">
        <v>162.52340721000002</v>
      </c>
      <c r="Y118" s="1761">
        <v>2010.58598452</v>
      </c>
      <c r="Z118" s="1761">
        <v>625.37285751999991</v>
      </c>
      <c r="AA118" s="1761">
        <v>598.75080349999996</v>
      </c>
      <c r="AB118" s="1761">
        <v>26.62205402</v>
      </c>
      <c r="AC118" s="1761">
        <v>1385.213127</v>
      </c>
      <c r="AD118" s="1761">
        <v>1139.82952157</v>
      </c>
      <c r="AE118" s="1761">
        <v>245.38360543000002</v>
      </c>
    </row>
    <row r="119" spans="1:31">
      <c r="A119" s="1760">
        <v>2</v>
      </c>
      <c r="B119" s="1761">
        <v>7750.3027705799996</v>
      </c>
      <c r="C119" s="1761">
        <v>2935.1854748699998</v>
      </c>
      <c r="D119" s="1761">
        <v>4815.1172957099989</v>
      </c>
      <c r="E119" s="1761">
        <v>7014.2037231299992</v>
      </c>
      <c r="F119" s="1761">
        <v>2863.91213814</v>
      </c>
      <c r="G119" s="1761">
        <v>4150.2915849899991</v>
      </c>
      <c r="H119" s="1761">
        <v>736.09904744999994</v>
      </c>
      <c r="I119" s="1761">
        <v>71.273336729999997</v>
      </c>
      <c r="J119" s="1761">
        <v>664.82571071999996</v>
      </c>
      <c r="K119" s="1761">
        <v>5817.1273901699988</v>
      </c>
      <c r="L119" s="1761">
        <v>2288.0093067699995</v>
      </c>
      <c r="M119" s="1761">
        <v>2242.6476549199997</v>
      </c>
      <c r="N119" s="1761">
        <v>45.361651850000001</v>
      </c>
      <c r="O119" s="1761">
        <v>3529.1180833999993</v>
      </c>
      <c r="P119" s="1761">
        <v>3103.3396229699993</v>
      </c>
      <c r="Q119" s="1761">
        <v>425.77846043</v>
      </c>
      <c r="R119" s="1761">
        <v>2472.1859276200003</v>
      </c>
      <c r="S119" s="1761">
        <v>993.99246617000006</v>
      </c>
      <c r="T119" s="1761">
        <v>976.46430667000004</v>
      </c>
      <c r="U119" s="1761">
        <v>17.528159500000001</v>
      </c>
      <c r="V119" s="1761">
        <v>1478.1934614500001</v>
      </c>
      <c r="W119" s="1761">
        <v>1329.5898635999999</v>
      </c>
      <c r="X119" s="1761">
        <v>148.60359785</v>
      </c>
      <c r="Y119" s="1761">
        <v>1933.1753804099997</v>
      </c>
      <c r="Z119" s="1761">
        <v>647.17616810000004</v>
      </c>
      <c r="AA119" s="1761">
        <v>621.2644832200001</v>
      </c>
      <c r="AB119" s="1761">
        <v>25.911684879999999</v>
      </c>
      <c r="AC119" s="1761">
        <v>1285.9992123099998</v>
      </c>
      <c r="AD119" s="1761">
        <v>1046.9519620199999</v>
      </c>
      <c r="AE119" s="1761">
        <v>239.04725028999999</v>
      </c>
    </row>
    <row r="120" spans="1:31">
      <c r="A120" s="1760">
        <v>3</v>
      </c>
      <c r="B120" s="1761">
        <v>7657.1926146200003</v>
      </c>
      <c r="C120" s="1761">
        <v>2751.0534185800002</v>
      </c>
      <c r="D120" s="1761">
        <v>4906.1391960399997</v>
      </c>
      <c r="E120" s="1761">
        <v>6906.2533413499996</v>
      </c>
      <c r="F120" s="1761">
        <v>2652.8160331600002</v>
      </c>
      <c r="G120" s="1761">
        <v>4253.4373081899994</v>
      </c>
      <c r="H120" s="1761">
        <v>750.93927327000006</v>
      </c>
      <c r="I120" s="1761">
        <v>98.237385419999981</v>
      </c>
      <c r="J120" s="1761">
        <v>652.70188785000005</v>
      </c>
      <c r="K120" s="1761">
        <v>5651.9093129399998</v>
      </c>
      <c r="L120" s="1761">
        <v>2084.19498303</v>
      </c>
      <c r="M120" s="1761">
        <v>2013.53215045</v>
      </c>
      <c r="N120" s="1761">
        <v>70.662832579999986</v>
      </c>
      <c r="O120" s="1761">
        <v>3567.7143299099998</v>
      </c>
      <c r="P120" s="1761">
        <v>3151.9051646200001</v>
      </c>
      <c r="Q120" s="1761">
        <v>415.80916529000001</v>
      </c>
      <c r="R120" s="1761">
        <v>2306.7785542799998</v>
      </c>
      <c r="S120" s="1761">
        <v>777.43081287000007</v>
      </c>
      <c r="T120" s="1761">
        <v>736.09329121999997</v>
      </c>
      <c r="U120" s="1761">
        <v>41.337521649999992</v>
      </c>
      <c r="V120" s="1761">
        <v>1529.3477414099998</v>
      </c>
      <c r="W120" s="1761">
        <v>1391.2109921699998</v>
      </c>
      <c r="X120" s="1761">
        <v>138.13674924000003</v>
      </c>
      <c r="Y120" s="1761">
        <v>2005.28330168</v>
      </c>
      <c r="Z120" s="1761">
        <v>666.85843555000008</v>
      </c>
      <c r="AA120" s="1761">
        <v>639.28388271000006</v>
      </c>
      <c r="AB120" s="1761">
        <v>27.574552839999999</v>
      </c>
      <c r="AC120" s="1761">
        <v>1338.4248661300001</v>
      </c>
      <c r="AD120" s="1761">
        <v>1101.5321435699998</v>
      </c>
      <c r="AE120" s="1761">
        <v>236.89272256000001</v>
      </c>
    </row>
    <row r="121" spans="1:31">
      <c r="A121" s="1760">
        <v>4</v>
      </c>
      <c r="B121" s="1761">
        <v>7881.3586957200005</v>
      </c>
      <c r="C121" s="1761">
        <v>2887.83330518</v>
      </c>
      <c r="D121" s="1761">
        <v>4993.5253905400004</v>
      </c>
      <c r="E121" s="1761">
        <v>7155.1260668399991</v>
      </c>
      <c r="F121" s="1761">
        <v>2813.9098562099998</v>
      </c>
      <c r="G121" s="1761">
        <v>4341.2162106299993</v>
      </c>
      <c r="H121" s="1761">
        <v>726.23262888000011</v>
      </c>
      <c r="I121" s="1761">
        <v>73.923448969999995</v>
      </c>
      <c r="J121" s="1761">
        <v>652.30917991000001</v>
      </c>
      <c r="K121" s="1761">
        <v>5801.143322240001</v>
      </c>
      <c r="L121" s="1761">
        <v>2205.6636959899997</v>
      </c>
      <c r="M121" s="1761">
        <v>2161.3763665399997</v>
      </c>
      <c r="N121" s="1761">
        <v>44.287329450000001</v>
      </c>
      <c r="O121" s="1761">
        <v>3595.4796262500004</v>
      </c>
      <c r="P121" s="1761">
        <v>3174.7776455000003</v>
      </c>
      <c r="Q121" s="1761">
        <v>420.70198075000002</v>
      </c>
      <c r="R121" s="1761">
        <v>2452.2098031</v>
      </c>
      <c r="S121" s="1761">
        <v>885.43564898999989</v>
      </c>
      <c r="T121" s="1761">
        <v>871.48363013999995</v>
      </c>
      <c r="U121" s="1761">
        <v>13.95201885</v>
      </c>
      <c r="V121" s="1761">
        <v>1566.7741541099999</v>
      </c>
      <c r="W121" s="1761">
        <v>1413.54359791</v>
      </c>
      <c r="X121" s="1761">
        <v>153.2305562</v>
      </c>
      <c r="Y121" s="1761">
        <v>2080.2153734799999</v>
      </c>
      <c r="Z121" s="1761">
        <v>682.16960919000007</v>
      </c>
      <c r="AA121" s="1761">
        <v>652.53348967000011</v>
      </c>
      <c r="AB121" s="1761">
        <v>29.636119519999998</v>
      </c>
      <c r="AC121" s="1761">
        <v>1398.0457642900001</v>
      </c>
      <c r="AD121" s="1761">
        <v>1166.4385651299999</v>
      </c>
      <c r="AE121" s="1761">
        <v>231.60719916000002</v>
      </c>
    </row>
    <row r="122" spans="1:31">
      <c r="A122" s="1760">
        <v>5</v>
      </c>
      <c r="B122" s="1761">
        <v>7867.4841927100006</v>
      </c>
      <c r="C122" s="1761">
        <v>2919.1610511200001</v>
      </c>
      <c r="D122" s="1761">
        <v>4948.3231415900009</v>
      </c>
      <c r="E122" s="1761">
        <v>7131.9914783800004</v>
      </c>
      <c r="F122" s="1761">
        <v>2841.2712078599998</v>
      </c>
      <c r="G122" s="1761">
        <v>4290.7202705199998</v>
      </c>
      <c r="H122" s="1761">
        <v>735.49271433000001</v>
      </c>
      <c r="I122" s="1761">
        <v>77.889843259999992</v>
      </c>
      <c r="J122" s="1761">
        <v>657.60287106999999</v>
      </c>
      <c r="K122" s="1761">
        <v>5746.0538149900012</v>
      </c>
      <c r="L122" s="1761">
        <v>2210.13287231</v>
      </c>
      <c r="M122" s="1761">
        <v>2158.7737180700001</v>
      </c>
      <c r="N122" s="1761">
        <v>51.359154239999995</v>
      </c>
      <c r="O122" s="1761">
        <v>3535.9209426800007</v>
      </c>
      <c r="P122" s="1761">
        <v>3109.3209601500007</v>
      </c>
      <c r="Q122" s="1761">
        <v>426.59998253000003</v>
      </c>
      <c r="R122" s="1761">
        <v>2301.4850805999999</v>
      </c>
      <c r="S122" s="1761">
        <v>822.95172704000015</v>
      </c>
      <c r="T122" s="1761">
        <v>803.1785452900001</v>
      </c>
      <c r="U122" s="1761">
        <v>19.773181749999999</v>
      </c>
      <c r="V122" s="1761">
        <v>1478.53335356</v>
      </c>
      <c r="W122" s="1761">
        <v>1314.8033323699999</v>
      </c>
      <c r="X122" s="1761">
        <v>163.73002119</v>
      </c>
      <c r="Y122" s="1761">
        <v>2121.4303777200003</v>
      </c>
      <c r="Z122" s="1761">
        <v>709.02817880999999</v>
      </c>
      <c r="AA122" s="1761">
        <v>682.49748978999992</v>
      </c>
      <c r="AB122" s="1761">
        <v>26.530689020000001</v>
      </c>
      <c r="AC122" s="1761">
        <v>1412.4021989099999</v>
      </c>
      <c r="AD122" s="1761">
        <v>1181.39931037</v>
      </c>
      <c r="AE122" s="1761">
        <v>231.00288854000001</v>
      </c>
    </row>
    <row r="123" spans="1:31">
      <c r="A123" s="1760">
        <v>6</v>
      </c>
      <c r="B123" s="1761">
        <v>8109.3167944799998</v>
      </c>
      <c r="C123" s="1761">
        <v>3048.74734674</v>
      </c>
      <c r="D123" s="1761">
        <v>5060.5694477399993</v>
      </c>
      <c r="E123" s="1761">
        <v>7378.9881100100019</v>
      </c>
      <c r="F123" s="1761">
        <v>2969.0324319400002</v>
      </c>
      <c r="G123" s="1761">
        <v>4409.9556780700013</v>
      </c>
      <c r="H123" s="1761">
        <v>730.3286844700001</v>
      </c>
      <c r="I123" s="1761">
        <v>79.714914800000003</v>
      </c>
      <c r="J123" s="1761">
        <v>650.61376967000001</v>
      </c>
      <c r="K123" s="1761">
        <v>5533.6278241199998</v>
      </c>
      <c r="L123" s="1761">
        <v>1978.5591570100003</v>
      </c>
      <c r="M123" s="1761">
        <v>1936.6991054900002</v>
      </c>
      <c r="N123" s="1761">
        <v>41.860051519999999</v>
      </c>
      <c r="O123" s="1761">
        <v>3555.0686671099998</v>
      </c>
      <c r="P123" s="1761">
        <v>3136.59241952</v>
      </c>
      <c r="Q123" s="1761">
        <v>418.47624759000007</v>
      </c>
      <c r="R123" s="1761">
        <v>2398.1602705</v>
      </c>
      <c r="S123" s="1761">
        <v>917.95489522000003</v>
      </c>
      <c r="T123" s="1761">
        <v>902.81722892000005</v>
      </c>
      <c r="U123" s="1761">
        <v>15.137666299999998</v>
      </c>
      <c r="V123" s="1761">
        <v>1480.20537528</v>
      </c>
      <c r="W123" s="1761">
        <v>1318.4304832900002</v>
      </c>
      <c r="X123" s="1761">
        <v>161.77489198999999</v>
      </c>
      <c r="Y123" s="1761">
        <v>2575.6889703599995</v>
      </c>
      <c r="Z123" s="1761">
        <v>1070.18818973</v>
      </c>
      <c r="AA123" s="1761">
        <v>1032.33332645</v>
      </c>
      <c r="AB123" s="1761">
        <v>37.854863280000004</v>
      </c>
      <c r="AC123" s="1761">
        <v>1505.50078063</v>
      </c>
      <c r="AD123" s="1761">
        <v>1273.36325855</v>
      </c>
      <c r="AE123" s="1761">
        <v>232.13752208</v>
      </c>
    </row>
    <row r="124" spans="1:31">
      <c r="A124" s="1760">
        <v>7</v>
      </c>
      <c r="B124" s="1761">
        <v>8049.5306197800001</v>
      </c>
      <c r="C124" s="1761">
        <v>3033.9279491900002</v>
      </c>
      <c r="D124" s="1761">
        <v>5015.6026705900003</v>
      </c>
      <c r="E124" s="1761">
        <v>7334.703613489999</v>
      </c>
      <c r="F124" s="1761">
        <v>2952.1859868500001</v>
      </c>
      <c r="G124" s="1761">
        <v>4382.5176266399994</v>
      </c>
      <c r="H124" s="1761">
        <v>714.82700628999999</v>
      </c>
      <c r="I124" s="1761">
        <v>81.741962340000001</v>
      </c>
      <c r="J124" s="1761">
        <v>633.08504395</v>
      </c>
      <c r="K124" s="1761">
        <v>5507.4194654400007</v>
      </c>
      <c r="L124" s="1761">
        <v>1969.8867920600003</v>
      </c>
      <c r="M124" s="1761">
        <v>1925.7940569700002</v>
      </c>
      <c r="N124" s="1761">
        <v>44.092735089999998</v>
      </c>
      <c r="O124" s="1761">
        <v>3537.5326733800002</v>
      </c>
      <c r="P124" s="1761">
        <v>3131.1249291300001</v>
      </c>
      <c r="Q124" s="1761">
        <v>406.40774425000006</v>
      </c>
      <c r="R124" s="1761">
        <v>2353.5648591600007</v>
      </c>
      <c r="S124" s="1761">
        <v>876.91558681000004</v>
      </c>
      <c r="T124" s="1761">
        <v>860.87594050999996</v>
      </c>
      <c r="U124" s="1761">
        <v>16.039646300000001</v>
      </c>
      <c r="V124" s="1761">
        <v>1476.6492723500003</v>
      </c>
      <c r="W124" s="1761">
        <v>1328.4897727300004</v>
      </c>
      <c r="X124" s="1761">
        <v>148.15949962000002</v>
      </c>
      <c r="Y124" s="1761">
        <v>2542.1111543399998</v>
      </c>
      <c r="Z124" s="1761">
        <v>1064.0411571299999</v>
      </c>
      <c r="AA124" s="1761">
        <v>1026.3919298799999</v>
      </c>
      <c r="AB124" s="1761">
        <v>37.649227250000003</v>
      </c>
      <c r="AC124" s="1761">
        <v>1478.0699972100001</v>
      </c>
      <c r="AD124" s="1761">
        <v>1251.3926975100001</v>
      </c>
      <c r="AE124" s="1761">
        <v>226.67729969999999</v>
      </c>
    </row>
    <row r="125" spans="1:31">
      <c r="A125" s="1760">
        <v>8</v>
      </c>
      <c r="B125" s="1761">
        <v>8020.7721544300002</v>
      </c>
      <c r="C125" s="1761">
        <v>2966.8284411099999</v>
      </c>
      <c r="D125" s="1761">
        <v>5053.9437133199999</v>
      </c>
      <c r="E125" s="1761">
        <v>7308.7455212200002</v>
      </c>
      <c r="F125" s="1761">
        <v>2886.1159376300002</v>
      </c>
      <c r="G125" s="1761">
        <v>4422.6295835900009</v>
      </c>
      <c r="H125" s="1761">
        <v>712.02663321000011</v>
      </c>
      <c r="I125" s="1761">
        <v>80.712503480000009</v>
      </c>
      <c r="J125" s="1761">
        <v>631.31412972999999</v>
      </c>
      <c r="K125" s="1761">
        <v>5520.0750391000001</v>
      </c>
      <c r="L125" s="1761">
        <v>1906.27775144</v>
      </c>
      <c r="M125" s="1761">
        <v>1863.2352920200001</v>
      </c>
      <c r="N125" s="1761">
        <v>43.042459420000007</v>
      </c>
      <c r="O125" s="1761">
        <v>3613.7972876599997</v>
      </c>
      <c r="P125" s="1761">
        <v>3173.73009129</v>
      </c>
      <c r="Q125" s="1761">
        <v>440.06719637000003</v>
      </c>
      <c r="R125" s="1761">
        <v>2312.16482335</v>
      </c>
      <c r="S125" s="1761">
        <v>827.40744354000014</v>
      </c>
      <c r="T125" s="1761">
        <v>811.63838787000009</v>
      </c>
      <c r="U125" s="1761">
        <v>15.76905567</v>
      </c>
      <c r="V125" s="1761">
        <v>1484.7573798099997</v>
      </c>
      <c r="W125" s="1761">
        <v>1336.0791182799999</v>
      </c>
      <c r="X125" s="1761">
        <v>148.67826153000004</v>
      </c>
      <c r="Y125" s="1761">
        <v>2500.6971153300005</v>
      </c>
      <c r="Z125" s="1761">
        <v>1060.5506896700003</v>
      </c>
      <c r="AA125" s="1761">
        <v>1022.8806456100001</v>
      </c>
      <c r="AB125" s="1761">
        <v>37.670044060000002</v>
      </c>
      <c r="AC125" s="1761">
        <v>1440.14642566</v>
      </c>
      <c r="AD125" s="1761">
        <v>1248.8994923</v>
      </c>
      <c r="AE125" s="1761">
        <v>191.24693335999999</v>
      </c>
    </row>
    <row r="126" spans="1:31">
      <c r="A126" s="1760">
        <v>9</v>
      </c>
      <c r="B126" s="1761">
        <v>8199.1276429999998</v>
      </c>
      <c r="C126" s="1761">
        <v>3070.2410098999999</v>
      </c>
      <c r="D126" s="1761">
        <v>5128.886633099999</v>
      </c>
      <c r="E126" s="1761">
        <v>7363.4770324400006</v>
      </c>
      <c r="F126" s="1761">
        <v>2934.0627576400007</v>
      </c>
      <c r="G126" s="1761">
        <v>4429.4142747999995</v>
      </c>
      <c r="H126" s="1761">
        <v>835.6506105599999</v>
      </c>
      <c r="I126" s="1761">
        <v>136.17825226000002</v>
      </c>
      <c r="J126" s="1761">
        <v>699.4723583</v>
      </c>
      <c r="K126" s="1761">
        <v>5752.3377746799997</v>
      </c>
      <c r="L126" s="1761">
        <v>2052.2929290500001</v>
      </c>
      <c r="M126" s="1761">
        <v>1953.9680083400001</v>
      </c>
      <c r="N126" s="1761">
        <v>98.324920710000015</v>
      </c>
      <c r="O126" s="1761">
        <v>3700.0448456300001</v>
      </c>
      <c r="P126" s="1761">
        <v>3190.16330324</v>
      </c>
      <c r="Q126" s="1761">
        <v>509.88154238999999</v>
      </c>
      <c r="R126" s="1761">
        <v>2631.8904663099997</v>
      </c>
      <c r="S126" s="1761">
        <v>976.05798141000002</v>
      </c>
      <c r="T126" s="1761">
        <v>904.95493590000001</v>
      </c>
      <c r="U126" s="1761">
        <v>71.103045510000015</v>
      </c>
      <c r="V126" s="1761">
        <v>1655.8324848999996</v>
      </c>
      <c r="W126" s="1761">
        <v>1437.0148793899996</v>
      </c>
      <c r="X126" s="1761">
        <v>218.81760550999999</v>
      </c>
      <c r="Y126" s="1761">
        <v>2446.7898683200001</v>
      </c>
      <c r="Z126" s="1761">
        <v>1017.94808085</v>
      </c>
      <c r="AA126" s="1761">
        <v>980.09474929999999</v>
      </c>
      <c r="AB126" s="1761">
        <v>37.853331549999993</v>
      </c>
      <c r="AC126" s="1761">
        <v>1428.8417874699999</v>
      </c>
      <c r="AD126" s="1761">
        <v>1239.2509715599997</v>
      </c>
      <c r="AE126" s="1761">
        <v>189.59081591</v>
      </c>
    </row>
    <row r="127" spans="1:31">
      <c r="A127" s="1760">
        <v>10</v>
      </c>
      <c r="B127" s="1761">
        <v>8140.0415015399994</v>
      </c>
      <c r="C127" s="1761">
        <v>2968.14229703</v>
      </c>
      <c r="D127" s="1761">
        <v>5171.8992045099994</v>
      </c>
      <c r="E127" s="1761">
        <v>7295.4615516300009</v>
      </c>
      <c r="F127" s="1761">
        <v>2881.2760688399999</v>
      </c>
      <c r="G127" s="1761">
        <v>4414.1854827900006</v>
      </c>
      <c r="H127" s="1761">
        <v>844.57994990999998</v>
      </c>
      <c r="I127" s="1761">
        <v>86.866228190000001</v>
      </c>
      <c r="J127" s="1761">
        <v>757.71372171999997</v>
      </c>
      <c r="K127" s="1761">
        <v>5721.9515949200004</v>
      </c>
      <c r="L127" s="1761">
        <v>1951.7647698899998</v>
      </c>
      <c r="M127" s="1761">
        <v>1900.9030647399998</v>
      </c>
      <c r="N127" s="1761">
        <v>50.861705150000006</v>
      </c>
      <c r="O127" s="1761">
        <v>3770.1868250299999</v>
      </c>
      <c r="P127" s="1761">
        <v>3198.3940290800001</v>
      </c>
      <c r="Q127" s="1761">
        <v>571.79279594999991</v>
      </c>
      <c r="R127" s="1761">
        <v>2581.96560731</v>
      </c>
      <c r="S127" s="1761">
        <v>893.81149075000008</v>
      </c>
      <c r="T127" s="1761">
        <v>875.5844056200001</v>
      </c>
      <c r="U127" s="1761">
        <v>18.227085130000003</v>
      </c>
      <c r="V127" s="1761">
        <v>1688.1541165599999</v>
      </c>
      <c r="W127" s="1761">
        <v>1407.12624925</v>
      </c>
      <c r="X127" s="1761">
        <v>281.02786730999998</v>
      </c>
      <c r="Y127" s="1761">
        <v>2418.08990662</v>
      </c>
      <c r="Z127" s="1761">
        <v>1016.37752714</v>
      </c>
      <c r="AA127" s="1761">
        <v>980.3730041</v>
      </c>
      <c r="AB127" s="1761">
        <v>36.004523039999995</v>
      </c>
      <c r="AC127" s="1761">
        <v>1401.71237948</v>
      </c>
      <c r="AD127" s="1761">
        <v>1215.7914537099998</v>
      </c>
      <c r="AE127" s="1761">
        <v>185.92092577</v>
      </c>
    </row>
    <row r="128" spans="1:31">
      <c r="A128" s="1760">
        <v>11</v>
      </c>
      <c r="B128" s="1761">
        <v>8073.4974073799985</v>
      </c>
      <c r="C128" s="1761">
        <v>3022.3978956699993</v>
      </c>
      <c r="D128" s="1761">
        <v>5051.0995117099992</v>
      </c>
      <c r="E128" s="1761">
        <v>7313.4535235699996</v>
      </c>
      <c r="F128" s="1761">
        <v>2924.0024755599998</v>
      </c>
      <c r="G128" s="1761">
        <v>4389.4510480099989</v>
      </c>
      <c r="H128" s="1761">
        <v>760.04388381000001</v>
      </c>
      <c r="I128" s="1761">
        <v>98.395420110000003</v>
      </c>
      <c r="J128" s="1761">
        <v>661.64846370000009</v>
      </c>
      <c r="K128" s="1761">
        <v>5704.0945709799989</v>
      </c>
      <c r="L128" s="1761">
        <v>2001.3455705899996</v>
      </c>
      <c r="M128" s="1761">
        <v>1947.0342872199997</v>
      </c>
      <c r="N128" s="1761">
        <v>54.311283369999998</v>
      </c>
      <c r="O128" s="1761">
        <v>3702.7490003899993</v>
      </c>
      <c r="P128" s="1761">
        <v>3219.9523325799992</v>
      </c>
      <c r="Q128" s="1761">
        <v>482.79666781000003</v>
      </c>
      <c r="R128" s="1761">
        <v>2600.3699331199996</v>
      </c>
      <c r="S128" s="1761">
        <v>923.0870461799999</v>
      </c>
      <c r="T128" s="1761">
        <v>905.4018741299999</v>
      </c>
      <c r="U128" s="1761">
        <v>17.685172050000002</v>
      </c>
      <c r="V128" s="1761">
        <v>1677.2828869399998</v>
      </c>
      <c r="W128" s="1761">
        <v>1484.9987250199997</v>
      </c>
      <c r="X128" s="1761">
        <v>192.28416192</v>
      </c>
      <c r="Y128" s="1761">
        <v>2369.4028364000001</v>
      </c>
      <c r="Z128" s="1761">
        <v>1021.0523250799999</v>
      </c>
      <c r="AA128" s="1761">
        <v>976.96818833999998</v>
      </c>
      <c r="AB128" s="1761">
        <v>44.084136740000005</v>
      </c>
      <c r="AC128" s="1761">
        <v>1348.3505113200001</v>
      </c>
      <c r="AD128" s="1761">
        <v>1169.4987154300002</v>
      </c>
      <c r="AE128" s="1761">
        <v>178.85179589000001</v>
      </c>
    </row>
    <row r="129" spans="1:31">
      <c r="A129" s="1760">
        <v>12</v>
      </c>
      <c r="B129" s="1761">
        <v>8375.3809737499996</v>
      </c>
      <c r="C129" s="1761">
        <v>3142.2231517000005</v>
      </c>
      <c r="D129" s="1761">
        <v>5233.1578220499996</v>
      </c>
      <c r="E129" s="1761">
        <v>7611.5719711900001</v>
      </c>
      <c r="F129" s="1761">
        <v>3038.9146249300002</v>
      </c>
      <c r="G129" s="1761">
        <v>4572.6573462599999</v>
      </c>
      <c r="H129" s="1761">
        <v>763.80900256000007</v>
      </c>
      <c r="I129" s="1761">
        <v>103.30852676999999</v>
      </c>
      <c r="J129" s="1761">
        <v>660.50047579000011</v>
      </c>
      <c r="K129" s="1761">
        <v>6007.6955438299992</v>
      </c>
      <c r="L129" s="1761">
        <v>2109.37244186</v>
      </c>
      <c r="M129" s="1761">
        <v>2051.67298979</v>
      </c>
      <c r="N129" s="1761">
        <v>57.699452069999985</v>
      </c>
      <c r="O129" s="1761">
        <v>3898.3231019700002</v>
      </c>
      <c r="P129" s="1761">
        <v>3418.2589523399997</v>
      </c>
      <c r="Q129" s="1761">
        <v>480.06414963000003</v>
      </c>
      <c r="R129" s="1761">
        <v>2793.49047956</v>
      </c>
      <c r="S129" s="1761">
        <v>1042.0562517200001</v>
      </c>
      <c r="T129" s="1761">
        <v>1021.1814805600001</v>
      </c>
      <c r="U129" s="1761">
        <v>20.874771159999995</v>
      </c>
      <c r="V129" s="1761">
        <v>1751.4342278399997</v>
      </c>
      <c r="W129" s="1761">
        <v>1560.1352513399997</v>
      </c>
      <c r="X129" s="1761">
        <v>191.29897650000001</v>
      </c>
      <c r="Y129" s="1761">
        <v>2367.6854299199999</v>
      </c>
      <c r="Z129" s="1761">
        <v>1032.85070984</v>
      </c>
      <c r="AA129" s="1761">
        <v>987.24163513999997</v>
      </c>
      <c r="AB129" s="1761">
        <v>45.609074700000008</v>
      </c>
      <c r="AC129" s="1761">
        <v>1334.8347200799999</v>
      </c>
      <c r="AD129" s="1761">
        <v>1154.39839392</v>
      </c>
      <c r="AE129" s="1761">
        <v>180.43632616000002</v>
      </c>
    </row>
    <row r="130" spans="1:31">
      <c r="A130" s="1760">
        <v>2019</v>
      </c>
      <c r="B130" s="1761"/>
      <c r="C130" s="1761"/>
      <c r="D130" s="1761"/>
      <c r="E130" s="1761"/>
      <c r="F130" s="1761"/>
      <c r="G130" s="1761"/>
      <c r="H130" s="1761"/>
      <c r="I130" s="1761"/>
      <c r="J130" s="1761"/>
      <c r="K130" s="1761"/>
      <c r="L130" s="1761"/>
      <c r="M130" s="1761"/>
      <c r="N130" s="1761"/>
      <c r="O130" s="1761"/>
      <c r="P130" s="1761"/>
      <c r="Q130" s="1761"/>
      <c r="R130" s="1761"/>
      <c r="S130" s="1761"/>
      <c r="T130" s="1761"/>
      <c r="U130" s="1761"/>
      <c r="V130" s="1761"/>
      <c r="W130" s="1761"/>
      <c r="X130" s="1761"/>
      <c r="Y130" s="1761"/>
      <c r="Z130" s="1761"/>
      <c r="AA130" s="1761"/>
      <c r="AB130" s="1761"/>
      <c r="AC130" s="1761"/>
      <c r="AD130" s="1761"/>
      <c r="AE130" s="1761"/>
    </row>
    <row r="131" spans="1:31">
      <c r="A131" s="1760">
        <v>1</v>
      </c>
      <c r="B131" s="1761">
        <v>8075.9421830599995</v>
      </c>
      <c r="C131" s="1761">
        <v>3028.0286833999999</v>
      </c>
      <c r="D131" s="1761">
        <v>5047.9134996600005</v>
      </c>
      <c r="E131" s="1761">
        <v>7290.7329817099999</v>
      </c>
      <c r="F131" s="1761">
        <v>2927.1319528699996</v>
      </c>
      <c r="G131" s="1761">
        <v>4363.6010288400003</v>
      </c>
      <c r="H131" s="1761">
        <v>785.20920135000006</v>
      </c>
      <c r="I131" s="1761">
        <v>100.89673053000001</v>
      </c>
      <c r="J131" s="1761">
        <v>684.31247082000004</v>
      </c>
      <c r="K131" s="1761">
        <v>5736.0068931800006</v>
      </c>
      <c r="L131" s="1761">
        <v>1991.9083041600002</v>
      </c>
      <c r="M131" s="1761">
        <v>1936.1132291399999</v>
      </c>
      <c r="N131" s="1761">
        <v>55.795075020000006</v>
      </c>
      <c r="O131" s="1761">
        <v>3744.0985890200004</v>
      </c>
      <c r="P131" s="1761">
        <v>3236.8308564900003</v>
      </c>
      <c r="Q131" s="1761">
        <v>507.26773253000005</v>
      </c>
      <c r="R131" s="1761">
        <v>2553.6951124500001</v>
      </c>
      <c r="S131" s="1761">
        <v>902.81743503999996</v>
      </c>
      <c r="T131" s="1761">
        <v>884.96083039999996</v>
      </c>
      <c r="U131" s="1761">
        <v>17.85660464</v>
      </c>
      <c r="V131" s="1761">
        <v>1650.8776774099999</v>
      </c>
      <c r="W131" s="1761">
        <v>1445.64834774</v>
      </c>
      <c r="X131" s="1761">
        <v>205.22932967000006</v>
      </c>
      <c r="Y131" s="1761">
        <v>2339.9352898800003</v>
      </c>
      <c r="Z131" s="1761">
        <v>1036.1203792399999</v>
      </c>
      <c r="AA131" s="1761">
        <v>991.01872372999992</v>
      </c>
      <c r="AB131" s="1761">
        <v>45.101655509999993</v>
      </c>
      <c r="AC131" s="1761">
        <v>1303.8149106399999</v>
      </c>
      <c r="AD131" s="1761">
        <v>1126.7701723499999</v>
      </c>
      <c r="AE131" s="1761">
        <v>177.04473829</v>
      </c>
    </row>
    <row r="132" spans="1:31">
      <c r="A132" s="1760">
        <v>2</v>
      </c>
      <c r="B132" s="1761">
        <v>8214.0440353800004</v>
      </c>
      <c r="C132" s="1761">
        <v>3331.5149843699996</v>
      </c>
      <c r="D132" s="1761">
        <v>4882.5290510100003</v>
      </c>
      <c r="E132" s="1761">
        <v>7586.9529529600004</v>
      </c>
      <c r="F132" s="1761">
        <v>3228.8009155</v>
      </c>
      <c r="G132" s="1761">
        <v>4358.1520374600004</v>
      </c>
      <c r="H132" s="1761">
        <v>627.09108242000002</v>
      </c>
      <c r="I132" s="1761">
        <v>102.71406887000001</v>
      </c>
      <c r="J132" s="1761">
        <v>524.37701355000002</v>
      </c>
      <c r="K132" s="1761">
        <v>6056.0489390700004</v>
      </c>
      <c r="L132" s="1761">
        <v>2280.8901818599998</v>
      </c>
      <c r="M132" s="1761">
        <v>2223.8271000199998</v>
      </c>
      <c r="N132" s="1761">
        <v>57.063081840000002</v>
      </c>
      <c r="O132" s="1761">
        <v>3775.1587572100002</v>
      </c>
      <c r="P132" s="1761">
        <v>3307.7187213800003</v>
      </c>
      <c r="Q132" s="1761">
        <v>467.44003583000006</v>
      </c>
      <c r="R132" s="1761">
        <v>2861.58556082</v>
      </c>
      <c r="S132" s="1761">
        <v>1164.92700747</v>
      </c>
      <c r="T132" s="1761">
        <v>1144.4764041600001</v>
      </c>
      <c r="U132" s="1761">
        <v>20.450603309999998</v>
      </c>
      <c r="V132" s="1761">
        <v>1696.6585533500001</v>
      </c>
      <c r="W132" s="1761">
        <v>1495.1039470800001</v>
      </c>
      <c r="X132" s="1761">
        <v>201.55460626999999</v>
      </c>
      <c r="Y132" s="1761">
        <v>2157.99509631</v>
      </c>
      <c r="Z132" s="1761">
        <v>1050.6248025099999</v>
      </c>
      <c r="AA132" s="1761">
        <v>1004.97381548</v>
      </c>
      <c r="AB132" s="1761">
        <v>45.650987030000003</v>
      </c>
      <c r="AC132" s="1761">
        <v>1107.3702937999999</v>
      </c>
      <c r="AD132" s="1761">
        <v>1050.4333160799999</v>
      </c>
      <c r="AE132" s="1761">
        <v>56.936977720000002</v>
      </c>
    </row>
    <row r="133" spans="1:31">
      <c r="A133" s="1760">
        <v>3</v>
      </c>
      <c r="B133" s="1761">
        <v>8339.0993364299993</v>
      </c>
      <c r="C133" s="1761">
        <v>3297.3908343199992</v>
      </c>
      <c r="D133" s="1761">
        <v>5041.7085021100002</v>
      </c>
      <c r="E133" s="1761">
        <v>7732.3840459799994</v>
      </c>
      <c r="F133" s="1761">
        <v>3192.7614520899997</v>
      </c>
      <c r="G133" s="1761">
        <v>4539.6225938899997</v>
      </c>
      <c r="H133" s="1761">
        <v>606.71529045</v>
      </c>
      <c r="I133" s="1761">
        <v>104.62938223</v>
      </c>
      <c r="J133" s="1761">
        <v>502.08590822000002</v>
      </c>
      <c r="K133" s="1761">
        <v>6180.1522621099994</v>
      </c>
      <c r="L133" s="1761">
        <v>2235.5182789499995</v>
      </c>
      <c r="M133" s="1761">
        <v>2177.3162629999997</v>
      </c>
      <c r="N133" s="1761">
        <v>58.202015950000003</v>
      </c>
      <c r="O133" s="1761">
        <v>3944.6339831600003</v>
      </c>
      <c r="P133" s="1761">
        <v>3499.0537123200002</v>
      </c>
      <c r="Q133" s="1761">
        <v>445.58027084000003</v>
      </c>
      <c r="R133" s="1761">
        <v>2850.7544303600002</v>
      </c>
      <c r="S133" s="1761">
        <v>991.50181296000005</v>
      </c>
      <c r="T133" s="1761">
        <v>970.10469719000002</v>
      </c>
      <c r="U133" s="1761">
        <v>21.397115770000003</v>
      </c>
      <c r="V133" s="1761">
        <v>1859.2526174000002</v>
      </c>
      <c r="W133" s="1761">
        <v>1675.4227709400002</v>
      </c>
      <c r="X133" s="1761">
        <v>183.82984646000003</v>
      </c>
      <c r="Y133" s="1761">
        <v>2158.94707432</v>
      </c>
      <c r="Z133" s="1761">
        <v>1061.8725553699999</v>
      </c>
      <c r="AA133" s="1761">
        <v>1015.4451890899999</v>
      </c>
      <c r="AB133" s="1761">
        <v>46.427366280000001</v>
      </c>
      <c r="AC133" s="1761">
        <v>1097.0745189500001</v>
      </c>
      <c r="AD133" s="1761">
        <v>1040.56888157</v>
      </c>
      <c r="AE133" s="1761">
        <v>56.505637379999996</v>
      </c>
    </row>
    <row r="134" spans="1:31">
      <c r="A134" s="1760">
        <v>4</v>
      </c>
      <c r="B134" s="1761">
        <v>8714.9740302499995</v>
      </c>
      <c r="C134" s="1761">
        <v>3621.0354270499993</v>
      </c>
      <c r="D134" s="1761">
        <v>5093.9386032000002</v>
      </c>
      <c r="E134" s="1761">
        <v>8120.04966694</v>
      </c>
      <c r="F134" s="1761">
        <v>3513.5976597399995</v>
      </c>
      <c r="G134" s="1761">
        <v>4606.4520072000005</v>
      </c>
      <c r="H134" s="1761">
        <v>594.92436330999999</v>
      </c>
      <c r="I134" s="1761">
        <v>107.43776731</v>
      </c>
      <c r="J134" s="1761">
        <v>487.48659600000002</v>
      </c>
      <c r="K134" s="1761">
        <v>6501.6427129599997</v>
      </c>
      <c r="L134" s="1761">
        <v>2527.8687839199993</v>
      </c>
      <c r="M134" s="1761">
        <v>2467.2525106399994</v>
      </c>
      <c r="N134" s="1761">
        <v>60.616273279999994</v>
      </c>
      <c r="O134" s="1761">
        <v>3973.77392904</v>
      </c>
      <c r="P134" s="1761">
        <v>3541.3659354900001</v>
      </c>
      <c r="Q134" s="1761">
        <v>432.40799355000001</v>
      </c>
      <c r="R134" s="1761">
        <v>3215.9430687599997</v>
      </c>
      <c r="S134" s="1761">
        <v>1292.2645679399998</v>
      </c>
      <c r="T134" s="1761">
        <v>1270.4268685399998</v>
      </c>
      <c r="U134" s="1761">
        <v>21.837699399999998</v>
      </c>
      <c r="V134" s="1761">
        <v>1923.6785008199997</v>
      </c>
      <c r="W134" s="1761">
        <v>1756.2949558699997</v>
      </c>
      <c r="X134" s="1761">
        <v>167.38354495000002</v>
      </c>
      <c r="Y134" s="1761">
        <v>2213.3313172900002</v>
      </c>
      <c r="Z134" s="1761">
        <v>1093.16664313</v>
      </c>
      <c r="AA134" s="1761">
        <v>1046.3451491000001</v>
      </c>
      <c r="AB134" s="1761">
        <v>46.821494029999997</v>
      </c>
      <c r="AC134" s="1761">
        <v>1120.1646741600002</v>
      </c>
      <c r="AD134" s="1761">
        <v>1065.0860717100002</v>
      </c>
      <c r="AE134" s="1761">
        <v>55.078602449999998</v>
      </c>
    </row>
    <row r="135" spans="1:31">
      <c r="A135" s="1760">
        <v>5</v>
      </c>
      <c r="B135" s="1761">
        <v>8622.9238094699995</v>
      </c>
      <c r="C135" s="1761">
        <v>3672.4891450299997</v>
      </c>
      <c r="D135" s="1761">
        <v>4950.4346644400002</v>
      </c>
      <c r="E135" s="1761">
        <v>8084.5988720299993</v>
      </c>
      <c r="F135" s="1761">
        <v>3559.36022839</v>
      </c>
      <c r="G135" s="1761">
        <v>4525.2386436399993</v>
      </c>
      <c r="H135" s="1761">
        <v>538.32493743999999</v>
      </c>
      <c r="I135" s="1761">
        <v>113.12891664</v>
      </c>
      <c r="J135" s="1761">
        <v>425.19602080000004</v>
      </c>
      <c r="K135" s="1761">
        <v>6520.3301956599998</v>
      </c>
      <c r="L135" s="1761">
        <v>2631.7831141299998</v>
      </c>
      <c r="M135" s="1761">
        <v>2564.5515476</v>
      </c>
      <c r="N135" s="1761">
        <v>67.231566529999995</v>
      </c>
      <c r="O135" s="1761">
        <v>3888.54708153</v>
      </c>
      <c r="P135" s="1761">
        <v>3516.0388695500001</v>
      </c>
      <c r="Q135" s="1761">
        <v>372.50821198000006</v>
      </c>
      <c r="R135" s="1761">
        <v>3213.6735585400002</v>
      </c>
      <c r="S135" s="1761">
        <v>1364.93147576</v>
      </c>
      <c r="T135" s="1761">
        <v>1338.1680182</v>
      </c>
      <c r="U135" s="1761">
        <v>26.763457560000003</v>
      </c>
      <c r="V135" s="1761">
        <v>1848.7420827800001</v>
      </c>
      <c r="W135" s="1761">
        <v>1703.6491898100001</v>
      </c>
      <c r="X135" s="1761">
        <v>145.09289297000007</v>
      </c>
      <c r="Y135" s="1761">
        <v>2102.5936138099996</v>
      </c>
      <c r="Z135" s="1761">
        <v>1040.7060308999999</v>
      </c>
      <c r="AA135" s="1761">
        <v>994.80868078999993</v>
      </c>
      <c r="AB135" s="1761">
        <v>45.897350109999998</v>
      </c>
      <c r="AC135" s="1761">
        <v>1061.88758291</v>
      </c>
      <c r="AD135" s="1761">
        <v>1009.1997740899999</v>
      </c>
      <c r="AE135" s="1761">
        <v>52.687808820000008</v>
      </c>
    </row>
    <row r="136" spans="1:31">
      <c r="A136" s="1760">
        <v>6</v>
      </c>
      <c r="B136" s="1761">
        <v>8736.2501463299996</v>
      </c>
      <c r="C136" s="1761">
        <v>3800.9984868399997</v>
      </c>
      <c r="D136" s="1761">
        <v>4935.2516594899998</v>
      </c>
      <c r="E136" s="1761">
        <v>8233.8561040999994</v>
      </c>
      <c r="F136" s="1761">
        <v>3697.0532530699993</v>
      </c>
      <c r="G136" s="1761">
        <v>4536.8028510300001</v>
      </c>
      <c r="H136" s="1761">
        <v>502.39404223000003</v>
      </c>
      <c r="I136" s="1761">
        <v>103.94523377</v>
      </c>
      <c r="J136" s="1761">
        <v>398.44880846000001</v>
      </c>
      <c r="K136" s="1761">
        <v>6632.5246721200001</v>
      </c>
      <c r="L136" s="1761">
        <v>2750.8426220499996</v>
      </c>
      <c r="M136" s="1761">
        <v>2686.5418416199996</v>
      </c>
      <c r="N136" s="1761">
        <v>64.300780430000003</v>
      </c>
      <c r="O136" s="1761">
        <v>3881.6820500700001</v>
      </c>
      <c r="P136" s="1761">
        <v>3535.1525668600002</v>
      </c>
      <c r="Q136" s="1761">
        <v>346.52948321000002</v>
      </c>
      <c r="R136" s="1761">
        <v>3370.7044842800001</v>
      </c>
      <c r="S136" s="1761">
        <v>1490.1192988600001</v>
      </c>
      <c r="T136" s="1761">
        <v>1466.67377117</v>
      </c>
      <c r="U136" s="1761">
        <v>23.445527689999999</v>
      </c>
      <c r="V136" s="1761">
        <v>1880.58518542</v>
      </c>
      <c r="W136" s="1761">
        <v>1654.8677026400001</v>
      </c>
      <c r="X136" s="1761">
        <v>225.71748278000001</v>
      </c>
      <c r="Y136" s="1761">
        <v>2103.7254742099999</v>
      </c>
      <c r="Z136" s="1761">
        <v>1050.1558647899999</v>
      </c>
      <c r="AA136" s="1761">
        <v>1010.51141145</v>
      </c>
      <c r="AB136" s="1761">
        <v>39.644453339999998</v>
      </c>
      <c r="AC136" s="1761">
        <v>1053.56960942</v>
      </c>
      <c r="AD136" s="1761">
        <v>1001.6502841700001</v>
      </c>
      <c r="AE136" s="1761">
        <v>51.91932525</v>
      </c>
    </row>
    <row r="137" spans="1:31">
      <c r="A137" s="1760">
        <v>7</v>
      </c>
      <c r="B137" s="1761">
        <v>8580.0406136500005</v>
      </c>
      <c r="C137" s="1761">
        <v>3744.6693373600001</v>
      </c>
      <c r="D137" s="1761">
        <v>4835.3712762900004</v>
      </c>
      <c r="E137" s="1761">
        <v>8097.9065478600005</v>
      </c>
      <c r="F137" s="1761">
        <v>3640.6951740999998</v>
      </c>
      <c r="G137" s="1761">
        <v>4457.2113737600002</v>
      </c>
      <c r="H137" s="1761">
        <v>482.13406579000002</v>
      </c>
      <c r="I137" s="1761">
        <v>103.97416325999998</v>
      </c>
      <c r="J137" s="1761">
        <v>378.15990253000007</v>
      </c>
      <c r="K137" s="1761">
        <v>6509.6840994200002</v>
      </c>
      <c r="L137" s="1761">
        <v>2679.3347162099999</v>
      </c>
      <c r="M137" s="1761">
        <v>2615.2334557199997</v>
      </c>
      <c r="N137" s="1761">
        <v>64.101260489999987</v>
      </c>
      <c r="O137" s="1761">
        <v>3830.3493832100003</v>
      </c>
      <c r="P137" s="1761">
        <v>3504.9024964500004</v>
      </c>
      <c r="Q137" s="1761">
        <v>325.44688676000004</v>
      </c>
      <c r="R137" s="1761">
        <v>3195.0452238400003</v>
      </c>
      <c r="S137" s="1761">
        <v>1373.5680113300002</v>
      </c>
      <c r="T137" s="1761">
        <v>1350.2078703500001</v>
      </c>
      <c r="U137" s="1761">
        <v>23.360140979999994</v>
      </c>
      <c r="V137" s="1761">
        <v>1821.4772125099998</v>
      </c>
      <c r="W137" s="1761">
        <v>1612.5534250399999</v>
      </c>
      <c r="X137" s="1761">
        <v>208.92378747000004</v>
      </c>
      <c r="Y137" s="1761">
        <v>2070.3565142300004</v>
      </c>
      <c r="Z137" s="1761">
        <v>1065.3346211500002</v>
      </c>
      <c r="AA137" s="1761">
        <v>1025.4617183800001</v>
      </c>
      <c r="AB137" s="1761">
        <v>39.872902770000003</v>
      </c>
      <c r="AC137" s="1761">
        <v>1005.0218930799999</v>
      </c>
      <c r="AD137" s="1761">
        <v>952.30887730999996</v>
      </c>
      <c r="AE137" s="1761">
        <v>52.713015769999998</v>
      </c>
    </row>
    <row r="138" spans="1:31">
      <c r="A138" s="1760">
        <v>8</v>
      </c>
      <c r="B138" s="1761">
        <v>8561.8422749700003</v>
      </c>
      <c r="C138" s="1761">
        <v>3765.5694871499995</v>
      </c>
      <c r="D138" s="1761">
        <v>4796.2727878200003</v>
      </c>
      <c r="E138" s="1761">
        <v>8078.43782018</v>
      </c>
      <c r="F138" s="1761">
        <v>3659.0012241799996</v>
      </c>
      <c r="G138" s="1761">
        <v>4419.4365960000005</v>
      </c>
      <c r="H138" s="1761">
        <v>483.40445479000005</v>
      </c>
      <c r="I138" s="1761">
        <v>106.56826296999998</v>
      </c>
      <c r="J138" s="1761">
        <v>376.83619182000007</v>
      </c>
      <c r="K138" s="1761">
        <v>6441.8986334800002</v>
      </c>
      <c r="L138" s="1761">
        <v>2689.9068329199995</v>
      </c>
      <c r="M138" s="1761">
        <v>2623.7887863899996</v>
      </c>
      <c r="N138" s="1761">
        <v>66.118046529999987</v>
      </c>
      <c r="O138" s="1761">
        <v>3751.9918005600007</v>
      </c>
      <c r="P138" s="1761">
        <v>3426.7590505200005</v>
      </c>
      <c r="Q138" s="1761">
        <v>325.23275004000004</v>
      </c>
      <c r="R138" s="1761">
        <v>3098.1073455999999</v>
      </c>
      <c r="S138" s="1761">
        <v>1340.0595577399999</v>
      </c>
      <c r="T138" s="1761">
        <v>1315.0244947199999</v>
      </c>
      <c r="U138" s="1761">
        <v>25.035063019999996</v>
      </c>
      <c r="V138" s="1761">
        <v>1758.04778786</v>
      </c>
      <c r="W138" s="1761">
        <v>1549.0958424200001</v>
      </c>
      <c r="X138" s="1761">
        <v>208.95194544000003</v>
      </c>
      <c r="Y138" s="1761">
        <v>2119.9436414900001</v>
      </c>
      <c r="Z138" s="1761">
        <v>1075.66265423</v>
      </c>
      <c r="AA138" s="1761">
        <v>1035.21243779</v>
      </c>
      <c r="AB138" s="1761">
        <v>40.450216439999998</v>
      </c>
      <c r="AC138" s="1761">
        <v>1044.2809872599998</v>
      </c>
      <c r="AD138" s="1761">
        <v>992.67754547999994</v>
      </c>
      <c r="AE138" s="1761">
        <v>51.603441779999997</v>
      </c>
    </row>
    <row r="139" spans="1:31">
      <c r="A139" s="1760">
        <v>9</v>
      </c>
      <c r="B139" s="1761">
        <v>8605.3062544799996</v>
      </c>
      <c r="C139" s="1761">
        <v>3810.2057651500004</v>
      </c>
      <c r="D139" s="1761">
        <v>4795.1004893299996</v>
      </c>
      <c r="E139" s="1761">
        <v>8129.4050174600006</v>
      </c>
      <c r="F139" s="1761">
        <v>3700.6165205100006</v>
      </c>
      <c r="G139" s="1761">
        <v>4428.7884969500001</v>
      </c>
      <c r="H139" s="1761">
        <v>475.90123702</v>
      </c>
      <c r="I139" s="1761">
        <v>109.58924463999999</v>
      </c>
      <c r="J139" s="1761">
        <v>366.31199237999999</v>
      </c>
      <c r="K139" s="1761">
        <v>6458.8127638100004</v>
      </c>
      <c r="L139" s="1761">
        <v>2722.1014536800003</v>
      </c>
      <c r="M139" s="1761">
        <v>2654.6246591900003</v>
      </c>
      <c r="N139" s="1761">
        <v>67.476794489999989</v>
      </c>
      <c r="O139" s="1761">
        <v>3736.7113101300001</v>
      </c>
      <c r="P139" s="1761">
        <v>3420.1666149300004</v>
      </c>
      <c r="Q139" s="1761">
        <v>316.54469519999998</v>
      </c>
      <c r="R139" s="1761">
        <v>3112.5746047499997</v>
      </c>
      <c r="S139" s="1761">
        <v>1362.02321368</v>
      </c>
      <c r="T139" s="1761">
        <v>1335.9792223300001</v>
      </c>
      <c r="U139" s="1761">
        <v>26.043991349999999</v>
      </c>
      <c r="V139" s="1761">
        <v>1750.5513910699997</v>
      </c>
      <c r="W139" s="1761">
        <v>1549.4154976199998</v>
      </c>
      <c r="X139" s="1761">
        <v>201.13589345000003</v>
      </c>
      <c r="Y139" s="1761">
        <v>2146.49349067</v>
      </c>
      <c r="Z139" s="1761">
        <v>1088.1043114700001</v>
      </c>
      <c r="AA139" s="1761">
        <v>1045.99186132</v>
      </c>
      <c r="AB139" s="1761">
        <v>42.112450150000001</v>
      </c>
      <c r="AC139" s="1761">
        <v>1058.3891791999999</v>
      </c>
      <c r="AD139" s="1761">
        <v>1008.62188202</v>
      </c>
      <c r="AE139" s="1761">
        <v>49.767297180000007</v>
      </c>
    </row>
    <row r="140" spans="1:31">
      <c r="A140" s="1760">
        <v>10</v>
      </c>
      <c r="B140" s="1761">
        <v>8811.10468674</v>
      </c>
      <c r="C140" s="1761">
        <v>3926.7345848600003</v>
      </c>
      <c r="D140" s="1761">
        <v>4884.3701018799993</v>
      </c>
      <c r="E140" s="1761">
        <v>8169.1888384099993</v>
      </c>
      <c r="F140" s="1761">
        <v>3814.8323292300001</v>
      </c>
      <c r="G140" s="1761">
        <v>4354.3565091799992</v>
      </c>
      <c r="H140" s="1761">
        <v>641.91584833000002</v>
      </c>
      <c r="I140" s="1761">
        <v>111.90225563</v>
      </c>
      <c r="J140" s="1761">
        <v>530.0135927</v>
      </c>
      <c r="K140" s="1761">
        <v>6623.8035157799995</v>
      </c>
      <c r="L140" s="1761">
        <v>2830.9366581899999</v>
      </c>
      <c r="M140" s="1761">
        <v>2761.68139114</v>
      </c>
      <c r="N140" s="1761">
        <v>69.25526705</v>
      </c>
      <c r="O140" s="1761">
        <v>3792.8668575899997</v>
      </c>
      <c r="P140" s="1761">
        <v>3311.0618508199996</v>
      </c>
      <c r="Q140" s="1761">
        <v>481.80500676999998</v>
      </c>
      <c r="R140" s="1761">
        <v>3277.0431760699994</v>
      </c>
      <c r="S140" s="1761">
        <v>1451.0521270500001</v>
      </c>
      <c r="T140" s="1761">
        <v>1422.05701546</v>
      </c>
      <c r="U140" s="1761">
        <v>28.995111589999997</v>
      </c>
      <c r="V140" s="1761">
        <v>1825.9910490199998</v>
      </c>
      <c r="W140" s="1761">
        <v>1456.7363489999998</v>
      </c>
      <c r="X140" s="1761">
        <v>369.25470001999997</v>
      </c>
      <c r="Y140" s="1761">
        <v>2187.3011709599996</v>
      </c>
      <c r="Z140" s="1761">
        <v>1095.7979266699999</v>
      </c>
      <c r="AA140" s="1761">
        <v>1053.15093809</v>
      </c>
      <c r="AB140" s="1761">
        <v>42.646988579999999</v>
      </c>
      <c r="AC140" s="1761">
        <v>1091.5032442899999</v>
      </c>
      <c r="AD140" s="1761">
        <v>1043.2946583599999</v>
      </c>
      <c r="AE140" s="1761">
        <v>48.208585930000005</v>
      </c>
    </row>
    <row r="141" spans="1:31">
      <c r="A141" s="1760">
        <v>11</v>
      </c>
      <c r="B141" s="1761">
        <v>8681.5184964199998</v>
      </c>
      <c r="C141" s="1761">
        <v>3988.3930927000001</v>
      </c>
      <c r="D141" s="1761">
        <v>4693.1254037199997</v>
      </c>
      <c r="E141" s="1761">
        <v>8169.9872435899997</v>
      </c>
      <c r="F141" s="1761">
        <v>3872.9535122900002</v>
      </c>
      <c r="G141" s="1761">
        <v>4297.0337312999991</v>
      </c>
      <c r="H141" s="1761">
        <v>511.53125283000003</v>
      </c>
      <c r="I141" s="1761">
        <v>115.43958041</v>
      </c>
      <c r="J141" s="1761">
        <v>396.09167242000001</v>
      </c>
      <c r="K141" s="1761">
        <v>6563.1823620000005</v>
      </c>
      <c r="L141" s="1761">
        <v>2974.1982984200004</v>
      </c>
      <c r="M141" s="1761">
        <v>2904.3470528300004</v>
      </c>
      <c r="N141" s="1761">
        <v>69.851245590000005</v>
      </c>
      <c r="O141" s="1761">
        <v>3588.9840635800001</v>
      </c>
      <c r="P141" s="1761">
        <v>3239.4033373299999</v>
      </c>
      <c r="Q141" s="1761">
        <v>349.58072625</v>
      </c>
      <c r="R141" s="1761">
        <v>3109.2243080200001</v>
      </c>
      <c r="S141" s="1761">
        <v>1511.5276151200001</v>
      </c>
      <c r="T141" s="1761">
        <v>1483.6935592500001</v>
      </c>
      <c r="U141" s="1761">
        <v>27.834055870000004</v>
      </c>
      <c r="V141" s="1761">
        <v>1597.6966929</v>
      </c>
      <c r="W141" s="1761">
        <v>1358.57184736</v>
      </c>
      <c r="X141" s="1761">
        <v>239.12484554</v>
      </c>
      <c r="Y141" s="1761">
        <v>2118.3361344199998</v>
      </c>
      <c r="Z141" s="1761">
        <v>1014.1947942799999</v>
      </c>
      <c r="AA141" s="1761">
        <v>968.60645945999988</v>
      </c>
      <c r="AB141" s="1761">
        <v>45.58833482</v>
      </c>
      <c r="AC141" s="1761">
        <v>1104.1413401399998</v>
      </c>
      <c r="AD141" s="1761">
        <v>1057.6303939699999</v>
      </c>
      <c r="AE141" s="1761">
        <v>46.510946169999997</v>
      </c>
    </row>
    <row r="142" spans="1:31">
      <c r="A142" s="1760">
        <v>12</v>
      </c>
      <c r="B142" s="1761">
        <v>8637.9155303500011</v>
      </c>
      <c r="C142" s="1761">
        <v>4132.7329080199997</v>
      </c>
      <c r="D142" s="1761">
        <v>4505.1826223300004</v>
      </c>
      <c r="E142" s="1761">
        <v>8203.6864089799983</v>
      </c>
      <c r="F142" s="1761">
        <v>4010.6293237299997</v>
      </c>
      <c r="G142" s="1761">
        <v>4193.0570852500005</v>
      </c>
      <c r="H142" s="1761">
        <v>434.22912137000003</v>
      </c>
      <c r="I142" s="1761">
        <v>122.10358429</v>
      </c>
      <c r="J142" s="1761">
        <v>312.12553708000002</v>
      </c>
      <c r="K142" s="1761">
        <v>6550.2151859300002</v>
      </c>
      <c r="L142" s="1761">
        <v>3102.4427130099998</v>
      </c>
      <c r="M142" s="1761">
        <v>3026.6754768799997</v>
      </c>
      <c r="N142" s="1761">
        <v>75.767236130000001</v>
      </c>
      <c r="O142" s="1761">
        <v>3447.7724729199999</v>
      </c>
      <c r="P142" s="1761">
        <v>3180.53726087</v>
      </c>
      <c r="Q142" s="1761">
        <v>267.23521205000003</v>
      </c>
      <c r="R142" s="1761">
        <v>2955.0643476600003</v>
      </c>
      <c r="S142" s="1761">
        <v>1565.5802501900002</v>
      </c>
      <c r="T142" s="1761">
        <v>1532.3001263400001</v>
      </c>
      <c r="U142" s="1761">
        <v>33.280123849999995</v>
      </c>
      <c r="V142" s="1761">
        <v>1389.4840974700001</v>
      </c>
      <c r="W142" s="1761">
        <v>1284.3979682500001</v>
      </c>
      <c r="X142" s="1761">
        <v>105.08612922000002</v>
      </c>
      <c r="Y142" s="1761">
        <v>2087.70034442</v>
      </c>
      <c r="Z142" s="1761">
        <v>1030.2901950099999</v>
      </c>
      <c r="AA142" s="1761">
        <v>983.95384684999988</v>
      </c>
      <c r="AB142" s="1761">
        <v>46.33634816</v>
      </c>
      <c r="AC142" s="1761">
        <v>1057.41014941</v>
      </c>
      <c r="AD142" s="1761">
        <v>1012.51982438</v>
      </c>
      <c r="AE142" s="1761">
        <v>44.89032503</v>
      </c>
    </row>
    <row r="143" spans="1:31">
      <c r="A143" s="1760">
        <v>2020</v>
      </c>
      <c r="B143" s="1761"/>
      <c r="C143" s="1761"/>
      <c r="D143" s="1761"/>
      <c r="E143" s="1761"/>
      <c r="F143" s="1761"/>
      <c r="G143" s="1761"/>
      <c r="H143" s="1761"/>
      <c r="I143" s="1761"/>
      <c r="J143" s="1761"/>
      <c r="K143" s="1761"/>
      <c r="L143" s="1761"/>
      <c r="M143" s="1761"/>
      <c r="N143" s="1761"/>
      <c r="O143" s="1761"/>
      <c r="P143" s="1761"/>
      <c r="Q143" s="1761"/>
      <c r="R143" s="1761"/>
      <c r="S143" s="1761"/>
      <c r="T143" s="1761"/>
      <c r="U143" s="1761"/>
      <c r="V143" s="1761"/>
      <c r="W143" s="1761"/>
      <c r="X143" s="1761"/>
      <c r="Y143" s="1761"/>
      <c r="Z143" s="1761"/>
      <c r="AA143" s="1761"/>
      <c r="AB143" s="1761"/>
      <c r="AC143" s="1761"/>
      <c r="AD143" s="1761"/>
      <c r="AE143" s="1761"/>
    </row>
    <row r="144" spans="1:31">
      <c r="A144" s="1760" t="s">
        <v>18</v>
      </c>
      <c r="B144" s="1761">
        <v>8588.4792337399995</v>
      </c>
      <c r="C144" s="1761">
        <v>4199.855578820001</v>
      </c>
      <c r="D144" s="1761">
        <v>4388.6236549199994</v>
      </c>
      <c r="E144" s="1761">
        <v>8165.4175810900006</v>
      </c>
      <c r="F144" s="1761">
        <v>4079.1517216000007</v>
      </c>
      <c r="G144" s="1761">
        <v>4086.265859489999</v>
      </c>
      <c r="H144" s="1761">
        <v>423.06165265000004</v>
      </c>
      <c r="I144" s="1761">
        <v>120.70385722</v>
      </c>
      <c r="J144" s="1761">
        <v>302.35779543000007</v>
      </c>
      <c r="K144" s="1761">
        <v>6495.3926959499995</v>
      </c>
      <c r="L144" s="1761">
        <v>3136.2450272500005</v>
      </c>
      <c r="M144" s="1761">
        <v>3063.6249981400006</v>
      </c>
      <c r="N144" s="1761">
        <v>72.620029110000004</v>
      </c>
      <c r="O144" s="1761">
        <v>3359.147668699999</v>
      </c>
      <c r="P144" s="1761">
        <v>3098.9805696599992</v>
      </c>
      <c r="Q144" s="1761">
        <v>260.16709904000004</v>
      </c>
      <c r="R144" s="1761">
        <v>2928.8061998600001</v>
      </c>
      <c r="S144" s="1761">
        <v>1566.0216184400006</v>
      </c>
      <c r="T144" s="1761">
        <v>1536.3126568600005</v>
      </c>
      <c r="U144" s="1761">
        <v>29.708961580000004</v>
      </c>
      <c r="V144" s="1761">
        <v>1362.7845814199998</v>
      </c>
      <c r="W144" s="1761">
        <v>1262.9153817299998</v>
      </c>
      <c r="X144" s="1761">
        <v>99.869199690000002</v>
      </c>
      <c r="Y144" s="1761">
        <v>2093.08653779</v>
      </c>
      <c r="Z144" s="1761">
        <v>1063.6105515699999</v>
      </c>
      <c r="AA144" s="1761">
        <v>1015.52672346</v>
      </c>
      <c r="AB144" s="1761">
        <v>48.083828109999992</v>
      </c>
      <c r="AC144" s="1761">
        <v>1029.4759862200001</v>
      </c>
      <c r="AD144" s="1761">
        <v>987.28528983000001</v>
      </c>
      <c r="AE144" s="1761">
        <v>42.190696390000006</v>
      </c>
    </row>
    <row r="145" spans="1:31">
      <c r="A145" s="1760" t="s">
        <v>19</v>
      </c>
      <c r="B145" s="1761">
        <v>8694.4112436699997</v>
      </c>
      <c r="C145" s="1761">
        <v>4122.7364282199997</v>
      </c>
      <c r="D145" s="1761">
        <v>4571.6748154500001</v>
      </c>
      <c r="E145" s="1761">
        <v>8073.1237799899991</v>
      </c>
      <c r="F145" s="1761">
        <v>3997.3625117299998</v>
      </c>
      <c r="G145" s="1761">
        <v>4075.7612682599997</v>
      </c>
      <c r="H145" s="1761">
        <v>621.28746367999997</v>
      </c>
      <c r="I145" s="1761">
        <v>125.37391649</v>
      </c>
      <c r="J145" s="1761">
        <v>495.91354719000003</v>
      </c>
      <c r="K145" s="1761">
        <v>6634.89325207</v>
      </c>
      <c r="L145" s="1761">
        <v>3040.2849309899998</v>
      </c>
      <c r="M145" s="1761">
        <v>2963.5213249899998</v>
      </c>
      <c r="N145" s="1761">
        <v>76.76360600000001</v>
      </c>
      <c r="O145" s="1761">
        <v>3594.6083210799998</v>
      </c>
      <c r="P145" s="1761">
        <v>3138.3232784299998</v>
      </c>
      <c r="Q145" s="1761">
        <v>456.28504265000004</v>
      </c>
      <c r="R145" s="1761">
        <v>3091.7952556299997</v>
      </c>
      <c r="S145" s="1761">
        <v>1491.25870338</v>
      </c>
      <c r="T145" s="1761">
        <v>1457.41656754</v>
      </c>
      <c r="U145" s="1761">
        <v>33.842135839999997</v>
      </c>
      <c r="V145" s="1761">
        <v>1600.5365522499999</v>
      </c>
      <c r="W145" s="1761">
        <v>1274.8607790499998</v>
      </c>
      <c r="X145" s="1761">
        <v>325.67577320000004</v>
      </c>
      <c r="Y145" s="1761">
        <v>2059.5179915999997</v>
      </c>
      <c r="Z145" s="1761">
        <v>1082.4514972300001</v>
      </c>
      <c r="AA145" s="1761">
        <v>1033.84118674</v>
      </c>
      <c r="AB145" s="1761">
        <v>48.610310489999996</v>
      </c>
      <c r="AC145" s="1761">
        <v>977.06649436999987</v>
      </c>
      <c r="AD145" s="1761">
        <v>937.43798982999988</v>
      </c>
      <c r="AE145" s="1761">
        <v>39.628504539999994</v>
      </c>
    </row>
    <row r="146" spans="1:31">
      <c r="A146" s="1760" t="s">
        <v>20</v>
      </c>
      <c r="B146" s="1761">
        <v>8251.70134512</v>
      </c>
      <c r="C146" s="1761">
        <v>3701.7202587899997</v>
      </c>
      <c r="D146" s="1761">
        <v>4549.9810863299999</v>
      </c>
      <c r="E146" s="1761">
        <v>7794.7194418899999</v>
      </c>
      <c r="F146" s="1761">
        <v>3589.8849291299998</v>
      </c>
      <c r="G146" s="1761">
        <v>4204.8345127599996</v>
      </c>
      <c r="H146" s="1761">
        <v>456.98190323</v>
      </c>
      <c r="I146" s="1761">
        <v>111.83532966</v>
      </c>
      <c r="J146" s="1761">
        <v>345.14657356999999</v>
      </c>
      <c r="K146" s="1761">
        <v>6256.21372514</v>
      </c>
      <c r="L146" s="1761">
        <v>2681.9281821599998</v>
      </c>
      <c r="M146" s="1761">
        <v>2617.6641960899997</v>
      </c>
      <c r="N146" s="1761">
        <v>64.263986070000001</v>
      </c>
      <c r="O146" s="1761">
        <v>3574.2855429799997</v>
      </c>
      <c r="P146" s="1761">
        <v>3268.4012945899999</v>
      </c>
      <c r="Q146" s="1761">
        <v>305.88424838999998</v>
      </c>
      <c r="R146" s="1761">
        <v>2816.2959852199992</v>
      </c>
      <c r="S146" s="1761">
        <v>1334.2123969199997</v>
      </c>
      <c r="T146" s="1761">
        <v>1305.5922065599998</v>
      </c>
      <c r="U146" s="1761">
        <v>28.620190359999995</v>
      </c>
      <c r="V146" s="1761">
        <v>1482.0835882999997</v>
      </c>
      <c r="W146" s="1761">
        <v>1313.6111079399998</v>
      </c>
      <c r="X146" s="1761">
        <v>168.47248035999999</v>
      </c>
      <c r="Y146" s="1761">
        <v>1995.4876199800001</v>
      </c>
      <c r="Z146" s="1761">
        <v>1019.79207663</v>
      </c>
      <c r="AA146" s="1761">
        <v>972.22073304000003</v>
      </c>
      <c r="AB146" s="1761">
        <v>47.571343589999998</v>
      </c>
      <c r="AC146" s="1761">
        <v>975.69554334999998</v>
      </c>
      <c r="AD146" s="1761">
        <v>936.43321817000003</v>
      </c>
      <c r="AE146" s="1761">
        <v>39.262325180000005</v>
      </c>
    </row>
    <row r="147" spans="1:31">
      <c r="A147" s="1760" t="s">
        <v>21</v>
      </c>
      <c r="B147" s="1761">
        <v>7758</v>
      </c>
      <c r="C147" s="1761">
        <v>3481.0346676200002</v>
      </c>
      <c r="D147" s="1761">
        <v>4276.9809766500002</v>
      </c>
      <c r="E147" s="1761">
        <v>7386.3852780699999</v>
      </c>
      <c r="F147" s="1761">
        <v>3379.8332385499998</v>
      </c>
      <c r="G147" s="1761">
        <v>4006.5520395200006</v>
      </c>
      <c r="H147" s="1761">
        <v>371.63036620000003</v>
      </c>
      <c r="I147" s="1761">
        <v>101.20142907</v>
      </c>
      <c r="J147" s="1761">
        <v>270.42893713000001</v>
      </c>
      <c r="K147" s="1761">
        <v>5879.497872240001</v>
      </c>
      <c r="L147" s="1761">
        <v>2549.29791828</v>
      </c>
      <c r="M147" s="1761">
        <v>2486.8298943499999</v>
      </c>
      <c r="N147" s="1761">
        <v>62.468023930000001</v>
      </c>
      <c r="O147" s="1761">
        <v>3330.1999539600006</v>
      </c>
      <c r="P147" s="1761">
        <v>3090.3220915400007</v>
      </c>
      <c r="Q147" s="1761">
        <v>239.87786242000001</v>
      </c>
      <c r="R147" s="1761">
        <v>2841.7604314700002</v>
      </c>
      <c r="S147" s="1761">
        <v>1413.1998564199998</v>
      </c>
      <c r="T147" s="1761">
        <v>1381.4982432299998</v>
      </c>
      <c r="U147" s="1761">
        <v>31.701613189999996</v>
      </c>
      <c r="V147" s="1761">
        <v>1428.5605750500006</v>
      </c>
      <c r="W147" s="1761">
        <v>1316.9165594700005</v>
      </c>
      <c r="X147" s="1761">
        <v>111.64401558</v>
      </c>
      <c r="Y147" s="1761">
        <v>1878.5177720300003</v>
      </c>
      <c r="Z147" s="1761">
        <v>931.73674934000019</v>
      </c>
      <c r="AA147" s="1761">
        <v>893.00334420000013</v>
      </c>
      <c r="AB147" s="1761">
        <v>38.733405140000002</v>
      </c>
      <c r="AC147" s="1761">
        <v>946.78102268999999</v>
      </c>
      <c r="AD147" s="1761">
        <v>916.22994798000002</v>
      </c>
      <c r="AE147" s="1761">
        <v>30.551074710000002</v>
      </c>
    </row>
    <row r="148" spans="1:31">
      <c r="A148" s="1760" t="s">
        <v>22</v>
      </c>
      <c r="B148" s="1761">
        <v>7661.3</v>
      </c>
      <c r="C148" s="1761">
        <v>3528.3745984400002</v>
      </c>
      <c r="D148" s="1761">
        <v>4132.9581432599998</v>
      </c>
      <c r="E148" s="1761">
        <v>7302.8858875500009</v>
      </c>
      <c r="F148" s="1761">
        <v>3429.4933878500005</v>
      </c>
      <c r="G148" s="1761">
        <v>3873.3924997000004</v>
      </c>
      <c r="H148" s="1761">
        <v>358.44685414999992</v>
      </c>
      <c r="I148" s="1761">
        <v>98.881210589999995</v>
      </c>
      <c r="J148" s="1761">
        <v>259.56564355999996</v>
      </c>
      <c r="K148" s="1761">
        <v>5775.7523916099999</v>
      </c>
      <c r="L148" s="1761">
        <v>2637.2974618000003</v>
      </c>
      <c r="M148" s="1761">
        <v>2575.0350939600003</v>
      </c>
      <c r="N148" s="1761">
        <v>62.262367839999996</v>
      </c>
      <c r="O148" s="1761">
        <v>3138.4549298100001</v>
      </c>
      <c r="P148" s="1761">
        <v>2905.9981808400003</v>
      </c>
      <c r="Q148" s="1761">
        <v>232.45674896999998</v>
      </c>
      <c r="R148" s="1761">
        <v>2967.0823207000003</v>
      </c>
      <c r="S148" s="1761">
        <v>1618.6165247600002</v>
      </c>
      <c r="T148" s="1761">
        <v>1587.3616263900001</v>
      </c>
      <c r="U148" s="1761">
        <v>31.254898369999999</v>
      </c>
      <c r="V148" s="1761">
        <v>1348.4657959399999</v>
      </c>
      <c r="W148" s="1761">
        <v>1240.9052316899999</v>
      </c>
      <c r="X148" s="1761">
        <v>107.56056425</v>
      </c>
      <c r="Y148" s="1761">
        <v>1885.5803500900001</v>
      </c>
      <c r="Z148" s="1761">
        <v>891.07713664000005</v>
      </c>
      <c r="AA148" s="1761">
        <v>854.45829389000005</v>
      </c>
      <c r="AB148" s="1761">
        <v>36.618842749999999</v>
      </c>
      <c r="AC148" s="1761">
        <v>994.50321344999998</v>
      </c>
      <c r="AD148" s="1761">
        <v>967.39431886</v>
      </c>
      <c r="AE148" s="1761">
        <v>27.108894590000002</v>
      </c>
    </row>
    <row r="149" spans="1:31">
      <c r="A149" s="1760" t="s">
        <v>23</v>
      </c>
      <c r="B149" s="1761">
        <v>7706.4012706499998</v>
      </c>
      <c r="C149" s="1761">
        <v>3544.9701049700002</v>
      </c>
      <c r="D149" s="1761">
        <v>4161.43116568</v>
      </c>
      <c r="E149" s="1761">
        <v>7351.4405171899998</v>
      </c>
      <c r="F149" s="1761">
        <v>3442.5546489100002</v>
      </c>
      <c r="G149" s="1761">
        <v>3908.8858682800001</v>
      </c>
      <c r="H149" s="1761">
        <v>354.96075345999998</v>
      </c>
      <c r="I149" s="1761">
        <v>102.41545606</v>
      </c>
      <c r="J149" s="1761">
        <v>252.54529739999998</v>
      </c>
      <c r="K149" s="1761">
        <v>5906.5677469399998</v>
      </c>
      <c r="L149" s="1761">
        <v>2673.0195739100004</v>
      </c>
      <c r="M149" s="1761">
        <v>2610.5422492400003</v>
      </c>
      <c r="N149" s="1761">
        <v>62.477324670000002</v>
      </c>
      <c r="O149" s="1761">
        <v>3233.5481730299998</v>
      </c>
      <c r="P149" s="1761">
        <v>3008.02274889</v>
      </c>
      <c r="Q149" s="1761">
        <v>225.52542413999998</v>
      </c>
      <c r="R149" s="1761">
        <v>3018.19945057</v>
      </c>
      <c r="S149" s="1761">
        <v>1623.9208389700002</v>
      </c>
      <c r="T149" s="1761">
        <v>1594.2524610100002</v>
      </c>
      <c r="U149" s="1761">
        <v>29.668377959999997</v>
      </c>
      <c r="V149" s="1761">
        <v>1394.2786115999997</v>
      </c>
      <c r="W149" s="1761">
        <v>1294.0891212899999</v>
      </c>
      <c r="X149" s="1761">
        <v>100.18949031</v>
      </c>
      <c r="Y149" s="1761">
        <v>1799.83352371</v>
      </c>
      <c r="Z149" s="1761">
        <v>871.95053105999989</v>
      </c>
      <c r="AA149" s="1761">
        <v>832.01239966999992</v>
      </c>
      <c r="AB149" s="1761">
        <v>39.938131390000002</v>
      </c>
      <c r="AC149" s="1761">
        <v>927.88299265000001</v>
      </c>
      <c r="AD149" s="1761">
        <v>900.86311938999995</v>
      </c>
      <c r="AE149" s="1761">
        <v>27.019873260000001</v>
      </c>
    </row>
    <row r="150" spans="1:31">
      <c r="A150" s="1760" t="s">
        <v>24</v>
      </c>
      <c r="B150" s="1761">
        <v>7774.2386770500016</v>
      </c>
      <c r="C150" s="1761">
        <v>3684.9466921599997</v>
      </c>
      <c r="D150" s="1761">
        <v>4089.2919848900005</v>
      </c>
      <c r="E150" s="1761">
        <v>7459.6928587299999</v>
      </c>
      <c r="F150" s="1761">
        <v>3580.5043689799995</v>
      </c>
      <c r="G150" s="1761">
        <v>3879.1884897500004</v>
      </c>
      <c r="H150" s="1761">
        <v>314.54581832000002</v>
      </c>
      <c r="I150" s="1761">
        <v>104.44232318</v>
      </c>
      <c r="J150" s="1761">
        <v>210.10349514000001</v>
      </c>
      <c r="K150" s="1761">
        <v>5867.864881290001</v>
      </c>
      <c r="L150" s="1761">
        <v>2792.94644582</v>
      </c>
      <c r="M150" s="1761">
        <v>2728.5266656099998</v>
      </c>
      <c r="N150" s="1761">
        <v>64.419780209999999</v>
      </c>
      <c r="O150" s="1761">
        <v>3074.9184354700005</v>
      </c>
      <c r="P150" s="1761">
        <v>2891.5221403100004</v>
      </c>
      <c r="Q150" s="1761">
        <v>183.39629515999999</v>
      </c>
      <c r="R150" s="1761">
        <v>3058.4394158299997</v>
      </c>
      <c r="S150" s="1761">
        <v>1650.7743836099996</v>
      </c>
      <c r="T150" s="1761">
        <v>1620.2130031799995</v>
      </c>
      <c r="U150" s="1761">
        <v>30.561380430000003</v>
      </c>
      <c r="V150" s="1761">
        <v>1407.6650322200001</v>
      </c>
      <c r="W150" s="1761">
        <v>1279.7817993400001</v>
      </c>
      <c r="X150" s="1761">
        <v>127.88323287999999</v>
      </c>
      <c r="Y150" s="1761">
        <v>1906.3737957599999</v>
      </c>
      <c r="Z150" s="1761">
        <v>892.00024633999988</v>
      </c>
      <c r="AA150" s="1761">
        <v>851.97770336999986</v>
      </c>
      <c r="AB150" s="1761">
        <v>40.022542970000003</v>
      </c>
      <c r="AC150" s="1761">
        <v>1014.37354942</v>
      </c>
      <c r="AD150" s="1761">
        <v>987.66634943999998</v>
      </c>
      <c r="AE150" s="1761">
        <v>26.707199980000002</v>
      </c>
    </row>
    <row r="151" spans="1:31">
      <c r="A151" s="1760" t="s">
        <v>25</v>
      </c>
      <c r="B151" s="1761">
        <v>7874.4012779299992</v>
      </c>
      <c r="C151" s="1761">
        <v>3579.0921261900003</v>
      </c>
      <c r="D151" s="1761">
        <v>4295.3091517399989</v>
      </c>
      <c r="E151" s="1761">
        <v>7586.7931606000002</v>
      </c>
      <c r="F151" s="1761">
        <v>3474.9544580000002</v>
      </c>
      <c r="G151" s="1761">
        <v>4111.8387026</v>
      </c>
      <c r="H151" s="1761">
        <v>287.60811733000003</v>
      </c>
      <c r="I151" s="1761">
        <v>104.13766819</v>
      </c>
      <c r="J151" s="1761">
        <v>183.47044914</v>
      </c>
      <c r="K151" s="1761">
        <v>5896.1908831000001</v>
      </c>
      <c r="L151" s="1761">
        <v>2673.4608149900005</v>
      </c>
      <c r="M151" s="1761">
        <v>2608.7319497700005</v>
      </c>
      <c r="N151" s="1761">
        <v>64.728865220000003</v>
      </c>
      <c r="O151" s="1761">
        <v>3222.7300681099996</v>
      </c>
      <c r="P151" s="1761">
        <v>3067.5140804899997</v>
      </c>
      <c r="Q151" s="1761">
        <v>155.21598761999999</v>
      </c>
      <c r="R151" s="1761">
        <v>2902.2796027800005</v>
      </c>
      <c r="S151" s="1761">
        <v>1484.1951500500002</v>
      </c>
      <c r="T151" s="1761">
        <v>1454.2250220000001</v>
      </c>
      <c r="U151" s="1761">
        <v>29.97012805</v>
      </c>
      <c r="V151" s="1761">
        <v>1418.0844527300001</v>
      </c>
      <c r="W151" s="1761">
        <v>1318.2980545600001</v>
      </c>
      <c r="X151" s="1761">
        <v>99.786398169999998</v>
      </c>
      <c r="Y151" s="1761">
        <v>1978.2103948299996</v>
      </c>
      <c r="Z151" s="1761">
        <v>905.63131119999991</v>
      </c>
      <c r="AA151" s="1761">
        <v>866.2225082299999</v>
      </c>
      <c r="AB151" s="1761">
        <v>39.408802970000004</v>
      </c>
      <c r="AC151" s="1761">
        <v>1072.5790836299998</v>
      </c>
      <c r="AD151" s="1761">
        <v>1044.3246221099998</v>
      </c>
      <c r="AE151" s="1761">
        <v>28.25446152</v>
      </c>
    </row>
    <row r="152" spans="1:31">
      <c r="A152" s="1760" t="s">
        <v>26</v>
      </c>
      <c r="B152" s="1761">
        <v>7834.2450797000001</v>
      </c>
      <c r="C152" s="1761">
        <v>3613.5960100500001</v>
      </c>
      <c r="D152" s="1761">
        <v>4220.6490696499995</v>
      </c>
      <c r="E152" s="1761">
        <v>7552.9293717700002</v>
      </c>
      <c r="F152" s="1761">
        <v>3510.56493168</v>
      </c>
      <c r="G152" s="1761">
        <v>4042.3644400899998</v>
      </c>
      <c r="H152" s="1761">
        <v>281.31570792999997</v>
      </c>
      <c r="I152" s="1761">
        <v>103.03107837</v>
      </c>
      <c r="J152" s="1761">
        <v>178.28462955999998</v>
      </c>
      <c r="K152" s="1761">
        <v>5825.2891036500005</v>
      </c>
      <c r="L152" s="1761">
        <v>2716.1366229599998</v>
      </c>
      <c r="M152" s="1761">
        <v>2652.5119075600001</v>
      </c>
      <c r="N152" s="1761">
        <v>63.624715399999999</v>
      </c>
      <c r="O152" s="1761">
        <v>3109.1524806900002</v>
      </c>
      <c r="P152" s="1761">
        <v>2958.27883058</v>
      </c>
      <c r="Q152" s="1761">
        <v>150.87365010999997</v>
      </c>
      <c r="R152" s="1761">
        <v>2922.3527418099998</v>
      </c>
      <c r="S152" s="1761">
        <v>1513.21176397</v>
      </c>
      <c r="T152" s="1761">
        <v>1484.3222505700001</v>
      </c>
      <c r="U152" s="1761">
        <v>28.889513400000002</v>
      </c>
      <c r="V152" s="1761">
        <v>1409.1409778399996</v>
      </c>
      <c r="W152" s="1761">
        <v>1313.5260092099995</v>
      </c>
      <c r="X152" s="1761">
        <v>95.614968629999993</v>
      </c>
      <c r="Y152" s="1761">
        <v>2008.9559760500001</v>
      </c>
      <c r="Z152" s="1761">
        <v>897.45938708999995</v>
      </c>
      <c r="AA152" s="1761">
        <v>858.05302411999992</v>
      </c>
      <c r="AB152" s="1761">
        <v>39.406362970000004</v>
      </c>
      <c r="AC152" s="1761">
        <v>1111.4965889600001</v>
      </c>
      <c r="AD152" s="1761">
        <v>1084.08560951</v>
      </c>
      <c r="AE152" s="1761">
        <v>27.410979449999999</v>
      </c>
    </row>
    <row r="153" spans="1:31">
      <c r="A153" s="1760" t="s">
        <v>27</v>
      </c>
      <c r="B153" s="1761">
        <v>7870.3010247400016</v>
      </c>
      <c r="C153" s="1761">
        <v>3696.9854414500001</v>
      </c>
      <c r="D153" s="1761">
        <v>4173.3155832900011</v>
      </c>
      <c r="E153" s="1761">
        <v>7588.5342399200008</v>
      </c>
      <c r="F153" s="1761">
        <v>3594.8031224400002</v>
      </c>
      <c r="G153" s="1761">
        <v>3993.7311174800006</v>
      </c>
      <c r="H153" s="1761">
        <v>281.76678482000005</v>
      </c>
      <c r="I153" s="1761">
        <v>102.18231901</v>
      </c>
      <c r="J153" s="1761">
        <v>179.58446581000004</v>
      </c>
      <c r="K153" s="1761">
        <v>5868.8527532200005</v>
      </c>
      <c r="L153" s="1761">
        <v>2799.7462315799999</v>
      </c>
      <c r="M153" s="1761">
        <v>2736.6749445400001</v>
      </c>
      <c r="N153" s="1761">
        <v>63.071287040000001</v>
      </c>
      <c r="O153" s="1761">
        <v>3069.1065216400007</v>
      </c>
      <c r="P153" s="1761">
        <v>2917.0242469400005</v>
      </c>
      <c r="Q153" s="1761">
        <v>152.08227470000003</v>
      </c>
      <c r="R153" s="1761">
        <v>2977.6567668899997</v>
      </c>
      <c r="S153" s="1761">
        <v>1591.7539182199998</v>
      </c>
      <c r="T153" s="1761">
        <v>1563.0381559999998</v>
      </c>
      <c r="U153" s="1761">
        <v>28.715762219999998</v>
      </c>
      <c r="V153" s="1761">
        <v>1385.9028486699999</v>
      </c>
      <c r="W153" s="1761">
        <v>1287.62491241</v>
      </c>
      <c r="X153" s="1761">
        <v>98.277936260000004</v>
      </c>
      <c r="Y153" s="1761">
        <v>2001.4482715200002</v>
      </c>
      <c r="Z153" s="1761">
        <v>897.23920987000008</v>
      </c>
      <c r="AA153" s="1761">
        <v>858.12817790000008</v>
      </c>
      <c r="AB153" s="1761">
        <v>39.111031969999999</v>
      </c>
      <c r="AC153" s="1761">
        <v>1104.2090616500002</v>
      </c>
      <c r="AD153" s="1761">
        <v>1076.7068705400002</v>
      </c>
      <c r="AE153" s="1761">
        <v>27.502191109999998</v>
      </c>
    </row>
    <row r="154" spans="1:31">
      <c r="A154" s="1760" t="s">
        <v>28</v>
      </c>
      <c r="B154" s="1761">
        <v>7908.2428459499997</v>
      </c>
      <c r="C154" s="1761">
        <v>3742.1603622399998</v>
      </c>
      <c r="D154" s="1761">
        <v>4166.0824837099999</v>
      </c>
      <c r="E154" s="1761">
        <v>7633.4484345599994</v>
      </c>
      <c r="F154" s="1761">
        <v>3638.5323025799999</v>
      </c>
      <c r="G154" s="1761">
        <v>3994.9161319799996</v>
      </c>
      <c r="H154" s="1761">
        <v>274.79441138999999</v>
      </c>
      <c r="I154" s="1761">
        <v>103.62805966000001</v>
      </c>
      <c r="J154" s="1761">
        <v>171.16635173</v>
      </c>
      <c r="K154" s="1761">
        <v>5842.9364901399995</v>
      </c>
      <c r="L154" s="1761">
        <v>2842.6272447199999</v>
      </c>
      <c r="M154" s="1761">
        <v>2779.2671670300001</v>
      </c>
      <c r="N154" s="1761">
        <v>63.360077689999997</v>
      </c>
      <c r="O154" s="1761">
        <v>3000.3092454199996</v>
      </c>
      <c r="P154" s="1761">
        <v>2855.8955976399998</v>
      </c>
      <c r="Q154" s="1761">
        <v>144.41364777999999</v>
      </c>
      <c r="R154" s="1761">
        <v>3131.1310324100004</v>
      </c>
      <c r="S154" s="1761">
        <v>1659.51513707</v>
      </c>
      <c r="T154" s="1761">
        <v>1629.2460382900001</v>
      </c>
      <c r="U154" s="1761">
        <v>30.269098779999997</v>
      </c>
      <c r="V154" s="1761">
        <v>1471.6158953400002</v>
      </c>
      <c r="W154" s="1761">
        <v>1380.8711405700001</v>
      </c>
      <c r="X154" s="1761">
        <v>90.74475477</v>
      </c>
      <c r="Y154" s="1761">
        <v>2065.3063558100002</v>
      </c>
      <c r="Z154" s="1761">
        <v>899.53311752000002</v>
      </c>
      <c r="AA154" s="1761">
        <v>859.26513554999997</v>
      </c>
      <c r="AB154" s="1761">
        <v>40.267981970000008</v>
      </c>
      <c r="AC154" s="1761">
        <v>1165.7732382900001</v>
      </c>
      <c r="AD154" s="1761">
        <v>1139.02053434</v>
      </c>
      <c r="AE154" s="1761">
        <v>26.752703950000001</v>
      </c>
    </row>
    <row r="155" spans="1:31">
      <c r="A155" s="1760" t="s">
        <v>29</v>
      </c>
      <c r="B155" s="1761">
        <v>8177.8867921900019</v>
      </c>
      <c r="C155" s="1761">
        <v>4027.1134842900005</v>
      </c>
      <c r="D155" s="1761">
        <v>4150.7733079000009</v>
      </c>
      <c r="E155" s="1761">
        <v>7897.1303853200006</v>
      </c>
      <c r="F155" s="1761">
        <v>3911.9272055500005</v>
      </c>
      <c r="G155" s="1761">
        <v>3985.2031797700006</v>
      </c>
      <c r="H155" s="1761">
        <v>280.75640686999998</v>
      </c>
      <c r="I155" s="1761">
        <v>115.18627874000001</v>
      </c>
      <c r="J155" s="1761">
        <v>165.57012812999997</v>
      </c>
      <c r="K155" s="1761">
        <v>6105.7480807800002</v>
      </c>
      <c r="L155" s="1761">
        <v>3109.9550031500003</v>
      </c>
      <c r="M155" s="1761">
        <v>3034.9107738500002</v>
      </c>
      <c r="N155" s="1761">
        <v>75.044229300000012</v>
      </c>
      <c r="O155" s="1761">
        <v>2995.7930776300004</v>
      </c>
      <c r="P155" s="1761">
        <v>2856.7763734100004</v>
      </c>
      <c r="Q155" s="1761">
        <v>139.01670421999998</v>
      </c>
      <c r="R155" s="1761">
        <v>3374.4036623300003</v>
      </c>
      <c r="S155" s="1761">
        <v>1886.8482784300004</v>
      </c>
      <c r="T155" s="1761">
        <v>1846.4228726900003</v>
      </c>
      <c r="U155" s="1761">
        <v>40.425405740000002</v>
      </c>
      <c r="V155" s="1761">
        <v>1487.5553838999999</v>
      </c>
      <c r="W155" s="1761">
        <v>1401.6952288799998</v>
      </c>
      <c r="X155" s="1761">
        <v>85.860155019999993</v>
      </c>
      <c r="Y155" s="1761">
        <v>2072.1387114100003</v>
      </c>
      <c r="Z155" s="1761">
        <v>917.15848114000016</v>
      </c>
      <c r="AA155" s="1761">
        <v>877.01643170000011</v>
      </c>
      <c r="AB155" s="1761">
        <v>40.142049440000001</v>
      </c>
      <c r="AC155" s="1761">
        <v>1154.98023027</v>
      </c>
      <c r="AD155" s="1761">
        <v>1128.42680636</v>
      </c>
      <c r="AE155" s="1761">
        <v>26.553423909999999</v>
      </c>
    </row>
    <row r="156" spans="1:31">
      <c r="A156" s="1762">
        <v>2021</v>
      </c>
      <c r="B156" s="1763"/>
      <c r="C156" s="1763"/>
      <c r="D156" s="1763"/>
      <c r="E156" s="1763"/>
      <c r="F156" s="1763"/>
      <c r="G156" s="1763"/>
      <c r="H156" s="1763"/>
      <c r="I156" s="1763"/>
      <c r="J156" s="1763"/>
      <c r="K156" s="1763"/>
      <c r="L156" s="1763"/>
      <c r="M156" s="1763"/>
      <c r="N156" s="1763"/>
      <c r="O156" s="1763"/>
      <c r="P156" s="1763"/>
      <c r="Q156" s="1763"/>
      <c r="R156" s="1763"/>
      <c r="S156" s="1763"/>
      <c r="T156" s="1763"/>
      <c r="U156" s="1763"/>
      <c r="V156" s="1763"/>
      <c r="W156" s="1763"/>
      <c r="X156" s="1763"/>
      <c r="Y156" s="1763"/>
      <c r="Z156" s="1763"/>
      <c r="AA156" s="1763"/>
      <c r="AB156" s="1763"/>
      <c r="AC156" s="1763"/>
      <c r="AD156" s="1763"/>
      <c r="AE156" s="1763"/>
    </row>
    <row r="157" spans="1:31">
      <c r="A157" s="1762" t="s">
        <v>18</v>
      </c>
      <c r="B157" s="1761">
        <v>8202.9098893299997</v>
      </c>
      <c r="C157" s="1761">
        <v>4047.5098022799998</v>
      </c>
      <c r="D157" s="1761">
        <v>4155.4000870500004</v>
      </c>
      <c r="E157" s="1761">
        <v>7916.9531221899997</v>
      </c>
      <c r="F157" s="1761">
        <v>3931.2972171199999</v>
      </c>
      <c r="G157" s="1761">
        <v>3985.6559050699998</v>
      </c>
      <c r="H157" s="1761">
        <v>285.95676714000001</v>
      </c>
      <c r="I157" s="1761">
        <v>116.21258516</v>
      </c>
      <c r="J157" s="1761">
        <v>169.74418198000001</v>
      </c>
      <c r="K157" s="1761">
        <v>6141.8845454599996</v>
      </c>
      <c r="L157" s="1761">
        <v>3122.2300581</v>
      </c>
      <c r="M157" s="1761">
        <v>3046.2074872100002</v>
      </c>
      <c r="N157" s="1761">
        <v>76.022570889999997</v>
      </c>
      <c r="O157" s="1761">
        <v>3019.6544873600001</v>
      </c>
      <c r="P157" s="1761">
        <v>2876.3006158500002</v>
      </c>
      <c r="Q157" s="1761">
        <v>143.35387151</v>
      </c>
      <c r="R157" s="1761">
        <v>3435.0669021200001</v>
      </c>
      <c r="S157" s="1761">
        <v>1868.6757232</v>
      </c>
      <c r="T157" s="1761">
        <v>1832.4695991000001</v>
      </c>
      <c r="U157" s="1761">
        <v>36.206124099999997</v>
      </c>
      <c r="V157" s="1761">
        <v>1566.3911789199999</v>
      </c>
      <c r="W157" s="1761">
        <v>1477.0549723500001</v>
      </c>
      <c r="X157" s="1761">
        <v>89.336206570000002</v>
      </c>
      <c r="Y157" s="1761">
        <v>2061.0253438700001</v>
      </c>
      <c r="Z157" s="1761">
        <v>925.27974417999997</v>
      </c>
      <c r="AA157" s="1761">
        <v>885.08972990999996</v>
      </c>
      <c r="AB157" s="1761">
        <v>40.190014269999999</v>
      </c>
      <c r="AC157" s="1761">
        <v>1135.7455996900001</v>
      </c>
      <c r="AD157" s="1761">
        <v>1109.35528922</v>
      </c>
      <c r="AE157" s="1761">
        <v>26.390310469999999</v>
      </c>
    </row>
    <row r="158" spans="1:31">
      <c r="A158" s="1762" t="s">
        <v>19</v>
      </c>
      <c r="B158" s="1761">
        <v>8379.9494325300002</v>
      </c>
      <c r="C158" s="1761">
        <v>4179.61345661</v>
      </c>
      <c r="D158" s="1761">
        <v>4200.3359759200002</v>
      </c>
      <c r="E158" s="1761">
        <v>8098.0065849700004</v>
      </c>
      <c r="F158" s="1761">
        <v>4065.72686651</v>
      </c>
      <c r="G158" s="1761">
        <v>4032.2797184599999</v>
      </c>
      <c r="H158" s="1761">
        <v>281.94284756000002</v>
      </c>
      <c r="I158" s="1761">
        <v>113.88659010000001</v>
      </c>
      <c r="J158" s="1761">
        <v>168.05625746000001</v>
      </c>
      <c r="K158" s="1761">
        <v>6310.7346587000002</v>
      </c>
      <c r="L158" s="1761">
        <v>3243.9089990000002</v>
      </c>
      <c r="M158" s="1761">
        <v>3171.84538617</v>
      </c>
      <c r="N158" s="1761">
        <v>72.063612829999997</v>
      </c>
      <c r="O158" s="1761">
        <v>3066.8256597</v>
      </c>
      <c r="P158" s="1761">
        <v>2925.0313744599998</v>
      </c>
      <c r="Q158" s="1761">
        <v>141.79428523999999</v>
      </c>
      <c r="R158" s="1761">
        <v>3578.7500446899999</v>
      </c>
      <c r="S158" s="1761">
        <v>1952.0224437500001</v>
      </c>
      <c r="T158" s="1761">
        <v>1919.8020653399999</v>
      </c>
      <c r="U158" s="1761">
        <v>32.220378410000002</v>
      </c>
      <c r="V158" s="1761">
        <v>1626.72760094</v>
      </c>
      <c r="W158" s="1761">
        <v>1537.3435411299999</v>
      </c>
      <c r="X158" s="1761">
        <v>89.384059809999997</v>
      </c>
      <c r="Y158" s="1761">
        <v>2069.21477383</v>
      </c>
      <c r="Z158" s="1761">
        <v>935.70445760999996</v>
      </c>
      <c r="AA158" s="1761">
        <v>893.88148034000005</v>
      </c>
      <c r="AB158" s="1761">
        <v>41.822977270000003</v>
      </c>
      <c r="AC158" s="1761">
        <v>1133.51031622</v>
      </c>
      <c r="AD158" s="1761">
        <v>1107.2483440000001</v>
      </c>
      <c r="AE158" s="1761">
        <v>26.261972220000001</v>
      </c>
    </row>
    <row r="159" spans="1:31">
      <c r="A159" s="1762" t="s">
        <v>20</v>
      </c>
      <c r="B159" s="1761">
        <v>8147.4812487700001</v>
      </c>
      <c r="C159" s="1761">
        <v>4045.8177111199998</v>
      </c>
      <c r="D159" s="1761">
        <v>4101.6635376499999</v>
      </c>
      <c r="E159" s="1761">
        <v>7868.0425565699998</v>
      </c>
      <c r="F159" s="1761">
        <v>3930.8534901799999</v>
      </c>
      <c r="G159" s="1761">
        <v>3937.1890663899999</v>
      </c>
      <c r="H159" s="1761">
        <v>279.43869219999999</v>
      </c>
      <c r="I159" s="1761">
        <v>114.96422094</v>
      </c>
      <c r="J159" s="1761">
        <v>164.47447126</v>
      </c>
      <c r="K159" s="1761">
        <v>6074.4546684500001</v>
      </c>
      <c r="L159" s="1761">
        <v>3100.1470525300001</v>
      </c>
      <c r="M159" s="1761">
        <v>3027.17852498</v>
      </c>
      <c r="N159" s="1761">
        <v>72.968527550000005</v>
      </c>
      <c r="O159" s="1761">
        <v>2974.30761592</v>
      </c>
      <c r="P159" s="1761">
        <v>2836.94836412</v>
      </c>
      <c r="Q159" s="1761">
        <v>137.35925180000001</v>
      </c>
      <c r="R159" s="1761">
        <v>3326.6817631399999</v>
      </c>
      <c r="S159" s="1761">
        <v>1737.5526218699999</v>
      </c>
      <c r="T159" s="1761">
        <v>1705.25479344</v>
      </c>
      <c r="U159" s="1761">
        <v>32.297828430000003</v>
      </c>
      <c r="V159" s="1761">
        <v>1589.12914127</v>
      </c>
      <c r="W159" s="1761">
        <v>1502.4335048</v>
      </c>
      <c r="X159" s="1761">
        <v>86.695636469999997</v>
      </c>
      <c r="Y159" s="1761">
        <v>2073.02658032</v>
      </c>
      <c r="Z159" s="1761">
        <v>945.67065859000002</v>
      </c>
      <c r="AA159" s="1761">
        <v>903.67496519999997</v>
      </c>
      <c r="AB159" s="1761">
        <v>41.99569339</v>
      </c>
      <c r="AC159" s="1761">
        <v>1127.3559217300001</v>
      </c>
      <c r="AD159" s="1761">
        <v>1100.2407022699999</v>
      </c>
      <c r="AE159" s="1761">
        <v>27.115219459999999</v>
      </c>
    </row>
    <row r="160" spans="1:31">
      <c r="A160" s="1762" t="s">
        <v>21</v>
      </c>
      <c r="B160" s="1761">
        <v>8352.9226073400005</v>
      </c>
      <c r="C160" s="1761">
        <v>4285.2235069199996</v>
      </c>
      <c r="D160" s="1761">
        <v>4067.6991004199999</v>
      </c>
      <c r="E160" s="1761">
        <v>8074.5427841800001</v>
      </c>
      <c r="F160" s="1761">
        <v>4166.9760101600004</v>
      </c>
      <c r="G160" s="1761">
        <v>3907.5667740200001</v>
      </c>
      <c r="H160" s="1761">
        <v>278.37982316</v>
      </c>
      <c r="I160" s="1761">
        <v>118.24749676</v>
      </c>
      <c r="J160" s="1761">
        <v>160.13232640000001</v>
      </c>
      <c r="K160" s="1761">
        <v>6259.2910267999996</v>
      </c>
      <c r="L160" s="1761">
        <v>3317.3896296299999</v>
      </c>
      <c r="M160" s="1761">
        <v>3241.7320842600002</v>
      </c>
      <c r="N160" s="1761">
        <v>75.657545369999994</v>
      </c>
      <c r="O160" s="1761">
        <v>2941.9013971700001</v>
      </c>
      <c r="P160" s="1761">
        <v>2808.40436869</v>
      </c>
      <c r="Q160" s="1761">
        <v>133.49702848000001</v>
      </c>
      <c r="R160" s="1761">
        <v>3438.04072623</v>
      </c>
      <c r="S160" s="1761">
        <v>1862.40869152</v>
      </c>
      <c r="T160" s="1761">
        <v>1828.3675774799999</v>
      </c>
      <c r="U160" s="1761">
        <v>34.041114039999997</v>
      </c>
      <c r="V160" s="1761">
        <v>1575.63203471</v>
      </c>
      <c r="W160" s="1761">
        <v>1492.01292595</v>
      </c>
      <c r="X160" s="1761">
        <v>83.619108760000003</v>
      </c>
      <c r="Y160" s="1761">
        <v>2093.63158054</v>
      </c>
      <c r="Z160" s="1761">
        <v>967.83387729000003</v>
      </c>
      <c r="AA160" s="1761">
        <v>925.24392590000002</v>
      </c>
      <c r="AB160" s="1761">
        <v>42.589951390000003</v>
      </c>
      <c r="AC160" s="1761">
        <v>1125.79770325</v>
      </c>
      <c r="AD160" s="1761">
        <v>1099.16240533</v>
      </c>
      <c r="AE160" s="1761">
        <v>26.635297919999999</v>
      </c>
    </row>
    <row r="161" spans="1:31">
      <c r="A161" s="1762" t="s">
        <v>22</v>
      </c>
      <c r="B161" s="1761">
        <v>8635.1500713999994</v>
      </c>
      <c r="C161" s="1761">
        <v>4741.6438670300004</v>
      </c>
      <c r="D161" s="1761">
        <v>3893.50620437</v>
      </c>
      <c r="E161" s="1761">
        <v>8355.7176927</v>
      </c>
      <c r="F161" s="1761">
        <v>4621.5517271999997</v>
      </c>
      <c r="G161" s="1761">
        <v>3734.1659654999999</v>
      </c>
      <c r="H161" s="1761">
        <v>279.43237870000002</v>
      </c>
      <c r="I161" s="1761">
        <v>120.09213982999999</v>
      </c>
      <c r="J161" s="1761">
        <v>159.34023887000001</v>
      </c>
      <c r="K161" s="1761">
        <v>6500.4225577300003</v>
      </c>
      <c r="L161" s="1761">
        <v>3758.08346248</v>
      </c>
      <c r="M161" s="1761">
        <v>3681.3617859800001</v>
      </c>
      <c r="N161" s="1761">
        <v>76.721676500000001</v>
      </c>
      <c r="O161" s="1761">
        <v>2742.3390952499999</v>
      </c>
      <c r="P161" s="1761">
        <v>2609.64231642</v>
      </c>
      <c r="Q161" s="1761">
        <v>132.69677883</v>
      </c>
      <c r="R161" s="1761">
        <v>3639.25691886</v>
      </c>
      <c r="S161" s="1761">
        <v>2257.2199849100002</v>
      </c>
      <c r="T161" s="1761">
        <v>2223.2501714599998</v>
      </c>
      <c r="U161" s="1761">
        <v>33.969813449999997</v>
      </c>
      <c r="V161" s="1761">
        <v>1382.03693395</v>
      </c>
      <c r="W161" s="1761">
        <v>1298.17477162</v>
      </c>
      <c r="X161" s="1761">
        <v>83.862162330000004</v>
      </c>
      <c r="Y161" s="1761">
        <v>2134.72751367</v>
      </c>
      <c r="Z161" s="1761">
        <v>983.56040455000004</v>
      </c>
      <c r="AA161" s="1761">
        <v>940.18994122000004</v>
      </c>
      <c r="AB161" s="1761">
        <v>43.37046333</v>
      </c>
      <c r="AC161" s="1761">
        <v>1151.1671091200001</v>
      </c>
      <c r="AD161" s="1761">
        <v>1124.52364908</v>
      </c>
      <c r="AE161" s="1761">
        <v>26.643460040000001</v>
      </c>
    </row>
    <row r="162" spans="1:31">
      <c r="A162" s="1762" t="s">
        <v>23</v>
      </c>
      <c r="B162" s="1761">
        <v>8435.4425984400004</v>
      </c>
      <c r="C162" s="1761">
        <v>4581.7992435400001</v>
      </c>
      <c r="D162" s="1761">
        <v>3853.6433548999998</v>
      </c>
      <c r="E162" s="1761">
        <v>8139.9971844399997</v>
      </c>
      <c r="F162" s="1761">
        <v>4449.0094980200001</v>
      </c>
      <c r="G162" s="1761">
        <v>3690.98768642</v>
      </c>
      <c r="H162" s="1761">
        <v>295.44541400000003</v>
      </c>
      <c r="I162" s="1761">
        <v>132.78974552</v>
      </c>
      <c r="J162" s="1761">
        <v>162.65566848</v>
      </c>
      <c r="K162" s="1761">
        <v>6291.30578582</v>
      </c>
      <c r="L162" s="1761">
        <v>3566.5089448600002</v>
      </c>
      <c r="M162" s="1761">
        <v>3482.4114636700001</v>
      </c>
      <c r="N162" s="1761">
        <v>84.097481189999996</v>
      </c>
      <c r="O162" s="1761">
        <v>2724.7968409599998</v>
      </c>
      <c r="P162" s="1761">
        <v>2588.7485390500001</v>
      </c>
      <c r="Q162" s="1761">
        <v>136.04830190999999</v>
      </c>
      <c r="R162" s="1761">
        <v>3413.2464435000002</v>
      </c>
      <c r="S162" s="1761">
        <v>2038.4566502800001</v>
      </c>
      <c r="T162" s="1761">
        <v>1996.9320044999999</v>
      </c>
      <c r="U162" s="1761">
        <v>41.52464578</v>
      </c>
      <c r="V162" s="1761">
        <v>1374.7897932200001</v>
      </c>
      <c r="W162" s="1761">
        <v>1287.4633945</v>
      </c>
      <c r="X162" s="1761">
        <v>87.32639872</v>
      </c>
      <c r="Y162" s="1761">
        <v>2144.13681262</v>
      </c>
      <c r="Z162" s="1761">
        <v>1015.29029868</v>
      </c>
      <c r="AA162" s="1761">
        <v>966.59803435000003</v>
      </c>
      <c r="AB162" s="1761">
        <v>48.69226433</v>
      </c>
      <c r="AC162" s="1761">
        <v>1128.84651394</v>
      </c>
      <c r="AD162" s="1761">
        <v>1102.23914737</v>
      </c>
      <c r="AE162" s="1761">
        <v>26.60736657</v>
      </c>
    </row>
    <row r="163" spans="1:31">
      <c r="A163" s="1762" t="s">
        <v>24</v>
      </c>
      <c r="B163" s="1761">
        <v>8605.9042542200004</v>
      </c>
      <c r="C163" s="1761">
        <v>4761.0766930299997</v>
      </c>
      <c r="D163" s="1761">
        <v>3844.8275611899999</v>
      </c>
      <c r="E163" s="1761">
        <v>8321.22249663</v>
      </c>
      <c r="F163" s="1761">
        <v>4629.4249076799997</v>
      </c>
      <c r="G163" s="1761">
        <v>3691.7975889499999</v>
      </c>
      <c r="H163" s="1761">
        <v>284.68175759000002</v>
      </c>
      <c r="I163" s="1761">
        <v>131.65178535000001</v>
      </c>
      <c r="J163" s="1761">
        <v>153.02997224000001</v>
      </c>
      <c r="K163" s="1761">
        <v>6422.1753865199998</v>
      </c>
      <c r="L163" s="1761">
        <v>3705.1841592300002</v>
      </c>
      <c r="M163" s="1761">
        <v>3628.8730972100002</v>
      </c>
      <c r="N163" s="1761">
        <v>76.311062019999994</v>
      </c>
      <c r="O163" s="1761">
        <v>2716.9912272900001</v>
      </c>
      <c r="P163" s="1761">
        <v>2584.9870099200002</v>
      </c>
      <c r="Q163" s="1761">
        <v>132.00421736999999</v>
      </c>
      <c r="R163" s="1761">
        <v>3501.4101960600001</v>
      </c>
      <c r="S163" s="1761">
        <v>2127.4191736799999</v>
      </c>
      <c r="T163" s="1761">
        <v>2093.52965993</v>
      </c>
      <c r="U163" s="1761">
        <v>33.889513749999999</v>
      </c>
      <c r="V163" s="1761">
        <v>1373.99102238</v>
      </c>
      <c r="W163" s="1761">
        <v>1287.17599028</v>
      </c>
      <c r="X163" s="1761">
        <v>86.815032099999996</v>
      </c>
      <c r="Y163" s="1761">
        <v>2183.7288677000001</v>
      </c>
      <c r="Z163" s="1761">
        <v>1055.8925337999999</v>
      </c>
      <c r="AA163" s="1761">
        <v>1000.55181047</v>
      </c>
      <c r="AB163" s="1761">
        <v>55.340723330000003</v>
      </c>
      <c r="AC163" s="1761">
        <v>1127.8363339</v>
      </c>
      <c r="AD163" s="1761">
        <v>1106.8105790300001</v>
      </c>
      <c r="AE163" s="1761">
        <v>21.02575487</v>
      </c>
    </row>
    <row r="164" spans="1:31">
      <c r="A164" s="1762" t="s">
        <v>25</v>
      </c>
      <c r="B164" s="1761">
        <v>8559.0822393500002</v>
      </c>
      <c r="C164" s="1761">
        <v>4730.9916831399996</v>
      </c>
      <c r="D164" s="1761">
        <v>3828.0905562100002</v>
      </c>
      <c r="E164" s="1761">
        <v>8261.4924521299999</v>
      </c>
      <c r="F164" s="1761">
        <v>4597.4322888400002</v>
      </c>
      <c r="G164" s="1761">
        <v>3664.0601632900002</v>
      </c>
      <c r="H164" s="1761">
        <v>297.58978722000001</v>
      </c>
      <c r="I164" s="1761">
        <v>133.55939430000001</v>
      </c>
      <c r="J164" s="1761">
        <v>164.03039292</v>
      </c>
      <c r="K164" s="1761">
        <v>6323.5981685300003</v>
      </c>
      <c r="L164" s="1761">
        <v>3631.5454062200001</v>
      </c>
      <c r="M164" s="1761">
        <v>3554.6811667799998</v>
      </c>
      <c r="N164" s="1761">
        <v>76.864239440000006</v>
      </c>
      <c r="O164" s="1761">
        <v>2692.0527623100002</v>
      </c>
      <c r="P164" s="1761">
        <v>2546.1328347100002</v>
      </c>
      <c r="Q164" s="1761">
        <v>145.91992759999999</v>
      </c>
      <c r="R164" s="1761">
        <v>3376.6097092800001</v>
      </c>
      <c r="S164" s="1761">
        <v>2027.70204623</v>
      </c>
      <c r="T164" s="1761">
        <v>1993.92368672</v>
      </c>
      <c r="U164" s="1761">
        <v>33.778359510000001</v>
      </c>
      <c r="V164" s="1761">
        <v>1348.9076630500001</v>
      </c>
      <c r="W164" s="1761">
        <v>1249.4033742399999</v>
      </c>
      <c r="X164" s="1761">
        <v>99.504288810000006</v>
      </c>
      <c r="Y164" s="1761">
        <v>2235.4840708199999</v>
      </c>
      <c r="Z164" s="1761">
        <v>1099.4462769199999</v>
      </c>
      <c r="AA164" s="1761">
        <v>1042.7511220599999</v>
      </c>
      <c r="AB164" s="1761">
        <v>56.695154860000002</v>
      </c>
      <c r="AC164" s="1761">
        <v>1136.0377939</v>
      </c>
      <c r="AD164" s="1761">
        <v>1117.92732858</v>
      </c>
      <c r="AE164" s="1761">
        <v>18.110465319999999</v>
      </c>
    </row>
    <row r="165" spans="1:31">
      <c r="A165" s="1762" t="s">
        <v>26</v>
      </c>
      <c r="B165" s="1761">
        <v>8838.1387690800002</v>
      </c>
      <c r="C165" s="1761">
        <v>4985.1133417399997</v>
      </c>
      <c r="D165" s="1761">
        <v>3853.0254273400001</v>
      </c>
      <c r="E165" s="1761">
        <v>8517.3071868499992</v>
      </c>
      <c r="F165" s="1761">
        <v>4848.2476680199998</v>
      </c>
      <c r="G165" s="1761">
        <v>3669.0595188299999</v>
      </c>
      <c r="H165" s="1761">
        <v>320.83158222999998</v>
      </c>
      <c r="I165" s="1761">
        <v>136.86567371999999</v>
      </c>
      <c r="J165" s="1761">
        <v>183.96590850999999</v>
      </c>
      <c r="K165" s="1761">
        <v>6577.4633797200004</v>
      </c>
      <c r="L165" s="1761">
        <v>3841.5036752199999</v>
      </c>
      <c r="M165" s="1761">
        <v>3762.0730803599999</v>
      </c>
      <c r="N165" s="1761">
        <v>79.430594859999999</v>
      </c>
      <c r="O165" s="1761">
        <v>2735.9597045</v>
      </c>
      <c r="P165" s="1761">
        <v>2569.6455630599999</v>
      </c>
      <c r="Q165" s="1761">
        <v>166.31414143999999</v>
      </c>
      <c r="R165" s="1761">
        <v>3586.6666125400002</v>
      </c>
      <c r="S165" s="1761">
        <v>2190.4178669900002</v>
      </c>
      <c r="T165" s="1761">
        <v>2155.3955713199998</v>
      </c>
      <c r="U165" s="1761">
        <v>35.022295669999998</v>
      </c>
      <c r="V165" s="1761">
        <v>1396.24874555</v>
      </c>
      <c r="W165" s="1761">
        <v>1274.75617027</v>
      </c>
      <c r="X165" s="1761">
        <v>121.49257528</v>
      </c>
      <c r="Y165" s="1761">
        <v>2260.6753893599998</v>
      </c>
      <c r="Z165" s="1761">
        <v>1143.60966652</v>
      </c>
      <c r="AA165" s="1761">
        <v>1086.17458766</v>
      </c>
      <c r="AB165" s="1761">
        <v>57.435078859999997</v>
      </c>
      <c r="AC165" s="1761">
        <v>1117.06572284</v>
      </c>
      <c r="AD165" s="1761">
        <v>1099.41395577</v>
      </c>
      <c r="AE165" s="1761">
        <v>17.651767069999998</v>
      </c>
    </row>
    <row r="166" spans="1:31">
      <c r="A166" s="1762" t="s">
        <v>27</v>
      </c>
      <c r="B166" s="1761">
        <v>8887.43293945</v>
      </c>
      <c r="C166" s="1761">
        <v>5043.4021403300003</v>
      </c>
      <c r="D166" s="1761">
        <v>3844.0307991200002</v>
      </c>
      <c r="E166" s="1761">
        <v>8587.7660369700006</v>
      </c>
      <c r="F166" s="1761">
        <v>4907.0254985700003</v>
      </c>
      <c r="G166" s="1761">
        <v>3680.7405383999999</v>
      </c>
      <c r="H166" s="1761">
        <v>299.66690247999998</v>
      </c>
      <c r="I166" s="1761">
        <v>136.37664176000001</v>
      </c>
      <c r="J166" s="1761">
        <v>163.29026071999999</v>
      </c>
      <c r="K166" s="1761">
        <v>6603.07606364</v>
      </c>
      <c r="L166" s="1761">
        <v>3862.6714207099999</v>
      </c>
      <c r="M166" s="1761">
        <v>3782.9607208100001</v>
      </c>
      <c r="N166" s="1761">
        <v>79.710699899999994</v>
      </c>
      <c r="O166" s="1761">
        <v>2740.4046429300001</v>
      </c>
      <c r="P166" s="1761">
        <v>2595.12620526</v>
      </c>
      <c r="Q166" s="1761">
        <v>145.27843766999999</v>
      </c>
      <c r="R166" s="1761">
        <v>3612.9317821599998</v>
      </c>
      <c r="S166" s="1761">
        <v>2184.0029753099998</v>
      </c>
      <c r="T166" s="1761">
        <v>2149.5991926199999</v>
      </c>
      <c r="U166" s="1761">
        <v>34.40378269</v>
      </c>
      <c r="V166" s="1761">
        <v>1428.92880685</v>
      </c>
      <c r="W166" s="1761">
        <v>1327.81208012</v>
      </c>
      <c r="X166" s="1761">
        <v>101.11672673</v>
      </c>
      <c r="Y166" s="1761">
        <v>2284.35687581</v>
      </c>
      <c r="Z166" s="1761">
        <v>1180.7307196199999</v>
      </c>
      <c r="AA166" s="1761">
        <v>1124.06477776</v>
      </c>
      <c r="AB166" s="1761">
        <v>56.665941859999997</v>
      </c>
      <c r="AC166" s="1761">
        <v>1103.6261561900001</v>
      </c>
      <c r="AD166" s="1761">
        <v>1085.6143331400001</v>
      </c>
      <c r="AE166" s="1761">
        <v>18.01182305</v>
      </c>
    </row>
    <row r="167" spans="1:31">
      <c r="A167" s="1762">
        <v>11</v>
      </c>
      <c r="B167" s="1761">
        <v>9051.7110219499991</v>
      </c>
      <c r="C167" s="1761">
        <v>5254.7803552300002</v>
      </c>
      <c r="D167" s="1761">
        <v>3796.9306667199999</v>
      </c>
      <c r="E167" s="1761">
        <v>8757.4162792700008</v>
      </c>
      <c r="F167" s="1761">
        <v>5120.6421594100002</v>
      </c>
      <c r="G167" s="1761">
        <v>3636.7741198600002</v>
      </c>
      <c r="H167" s="1761">
        <v>294.29474268000001</v>
      </c>
      <c r="I167" s="1761">
        <v>134.13819581999999</v>
      </c>
      <c r="J167" s="1761">
        <v>160.15654685999999</v>
      </c>
      <c r="K167" s="1761">
        <v>6753.59731981</v>
      </c>
      <c r="L167" s="1761">
        <v>4038.55277948</v>
      </c>
      <c r="M167" s="1761">
        <v>3959.3488665199998</v>
      </c>
      <c r="N167" s="1761">
        <v>79.203912959999997</v>
      </c>
      <c r="O167" s="1761">
        <v>2715.04454033</v>
      </c>
      <c r="P167" s="1761">
        <v>2571.8813212099999</v>
      </c>
      <c r="Q167" s="1761">
        <v>143.16321912000001</v>
      </c>
      <c r="R167" s="1761">
        <v>3768.8603391800002</v>
      </c>
      <c r="S167" s="1761">
        <v>2358.6125810600001</v>
      </c>
      <c r="T167" s="1761">
        <v>2322.9282862199998</v>
      </c>
      <c r="U167" s="1761">
        <v>35.68429484</v>
      </c>
      <c r="V167" s="1761">
        <v>1410.2477581200001</v>
      </c>
      <c r="W167" s="1761">
        <v>1310.8146338700001</v>
      </c>
      <c r="X167" s="1761">
        <v>99.433124250000006</v>
      </c>
      <c r="Y167" s="1761">
        <v>2298.11370214</v>
      </c>
      <c r="Z167" s="1761">
        <v>1216.2275757499999</v>
      </c>
      <c r="AA167" s="1761">
        <v>1161.29329289</v>
      </c>
      <c r="AB167" s="1761">
        <v>54.934282860000003</v>
      </c>
      <c r="AC167" s="1761">
        <v>1081.8861263900001</v>
      </c>
      <c r="AD167" s="1761">
        <v>1064.89279865</v>
      </c>
      <c r="AE167" s="1761">
        <v>16.993327740000002</v>
      </c>
    </row>
    <row r="168" spans="1:31">
      <c r="A168" s="1762">
        <v>12</v>
      </c>
      <c r="B168" s="1761">
        <v>9241.4627988800003</v>
      </c>
      <c r="C168" s="1761">
        <v>5452.1802261399998</v>
      </c>
      <c r="D168" s="1761">
        <v>3789.28257274</v>
      </c>
      <c r="E168" s="1761">
        <v>8940.1440179199999</v>
      </c>
      <c r="F168" s="1761">
        <v>5312.9808875799999</v>
      </c>
      <c r="G168" s="1761">
        <v>3627.16313034</v>
      </c>
      <c r="H168" s="1761">
        <v>301.31878096000003</v>
      </c>
      <c r="I168" s="1761">
        <v>139.19933856</v>
      </c>
      <c r="J168" s="1761">
        <v>162.1194424</v>
      </c>
      <c r="K168" s="1761">
        <v>6910.3335272200002</v>
      </c>
      <c r="L168" s="1761">
        <v>4176.6579646999999</v>
      </c>
      <c r="M168" s="1761">
        <v>4092.6520239900001</v>
      </c>
      <c r="N168" s="1761">
        <v>84.005940710000004</v>
      </c>
      <c r="O168" s="1761">
        <v>2733.6755625199999</v>
      </c>
      <c r="P168" s="1761">
        <v>2588.3519029300001</v>
      </c>
      <c r="Q168" s="1761">
        <v>145.32365959000001</v>
      </c>
      <c r="R168" s="1761">
        <v>3880.1064687799999</v>
      </c>
      <c r="S168" s="1761">
        <v>2489.5264264500001</v>
      </c>
      <c r="T168" s="1761">
        <v>2449.2419848200002</v>
      </c>
      <c r="U168" s="1761">
        <v>40.284441630000003</v>
      </c>
      <c r="V168" s="1761">
        <v>1390.58004233</v>
      </c>
      <c r="W168" s="1761">
        <v>1303.5227148700001</v>
      </c>
      <c r="X168" s="1761">
        <v>87.057327459999996</v>
      </c>
      <c r="Y168" s="1761">
        <v>2331.1292716600001</v>
      </c>
      <c r="Z168" s="1761">
        <v>1275.52226144</v>
      </c>
      <c r="AA168" s="1761">
        <v>1220.3288635900001</v>
      </c>
      <c r="AB168" s="1761">
        <v>55.193397849999997</v>
      </c>
      <c r="AC168" s="1761">
        <v>1055.6070102199999</v>
      </c>
      <c r="AD168" s="1761">
        <v>1038.8112274099999</v>
      </c>
      <c r="AE168" s="1761">
        <v>16.795782809999999</v>
      </c>
    </row>
    <row r="169" spans="1:31">
      <c r="A169" s="1762">
        <v>2022</v>
      </c>
      <c r="B169" s="1761"/>
      <c r="C169" s="1761"/>
      <c r="D169" s="1761"/>
      <c r="E169" s="1761"/>
      <c r="F169" s="1761"/>
      <c r="G169" s="1761"/>
      <c r="H169" s="1761"/>
      <c r="I169" s="1761"/>
      <c r="J169" s="1761"/>
      <c r="K169" s="1761"/>
      <c r="L169" s="1761"/>
      <c r="M169" s="1761"/>
      <c r="N169" s="1761"/>
      <c r="O169" s="1761"/>
      <c r="P169" s="1761"/>
      <c r="Q169" s="1761"/>
      <c r="R169" s="1761"/>
      <c r="S169" s="1761"/>
      <c r="T169" s="1761"/>
      <c r="U169" s="1761"/>
      <c r="V169" s="1761"/>
      <c r="W169" s="1761"/>
      <c r="X169" s="1761"/>
      <c r="Y169" s="1761"/>
      <c r="Z169" s="1761"/>
      <c r="AA169" s="1761"/>
      <c r="AB169" s="1761"/>
      <c r="AC169" s="1761"/>
      <c r="AD169" s="1761"/>
      <c r="AE169" s="1761"/>
    </row>
    <row r="170" spans="1:31">
      <c r="A170" s="1762" t="s">
        <v>18</v>
      </c>
      <c r="B170" s="1761">
        <v>9635.77302366</v>
      </c>
      <c r="C170" s="1761">
        <v>5848.6432424000004</v>
      </c>
      <c r="D170" s="1761">
        <v>3787.1297812600001</v>
      </c>
      <c r="E170" s="1761">
        <v>9341.6568032100004</v>
      </c>
      <c r="F170" s="1761">
        <v>5715.3797942600004</v>
      </c>
      <c r="G170" s="1761">
        <v>3626.27700895</v>
      </c>
      <c r="H170" s="1761">
        <v>294.11622045000001</v>
      </c>
      <c r="I170" s="1761">
        <v>133.26344814000001</v>
      </c>
      <c r="J170" s="1761">
        <v>160.85277231000001</v>
      </c>
      <c r="K170" s="1761">
        <v>7276.9785544899996</v>
      </c>
      <c r="L170" s="1761">
        <v>4555.9724037400001</v>
      </c>
      <c r="M170" s="1761">
        <v>4478.0677056499999</v>
      </c>
      <c r="N170" s="1761">
        <v>77.904698089999997</v>
      </c>
      <c r="O170" s="1761">
        <v>2721.00615075</v>
      </c>
      <c r="P170" s="1761">
        <v>2577.2879420200002</v>
      </c>
      <c r="Q170" s="1761">
        <v>143.71820872999999</v>
      </c>
      <c r="R170" s="1761">
        <v>4225.2438634500004</v>
      </c>
      <c r="S170" s="1761">
        <v>2845.2499069099999</v>
      </c>
      <c r="T170" s="1761">
        <v>2811.2737275600002</v>
      </c>
      <c r="U170" s="1761">
        <v>33.976179350000002</v>
      </c>
      <c r="V170" s="1761">
        <v>1379.99395654</v>
      </c>
      <c r="W170" s="1761">
        <v>1292.72996625</v>
      </c>
      <c r="X170" s="1761">
        <v>87.263990289999995</v>
      </c>
      <c r="Y170" s="1761">
        <v>2358.79446917</v>
      </c>
      <c r="Z170" s="1761">
        <v>1292.6708386600001</v>
      </c>
      <c r="AA170" s="1761">
        <v>1237.31208861</v>
      </c>
      <c r="AB170" s="1761">
        <v>55.358750049999998</v>
      </c>
      <c r="AC170" s="1761">
        <v>1066.1236305100001</v>
      </c>
      <c r="AD170" s="1761">
        <v>1048.98906693</v>
      </c>
      <c r="AE170" s="1761">
        <v>17.134563579999998</v>
      </c>
    </row>
    <row r="171" spans="1:31">
      <c r="A171" s="1762" t="s">
        <v>19</v>
      </c>
      <c r="B171" s="1761">
        <v>10036.66102424</v>
      </c>
      <c r="C171" s="1761">
        <v>5982.7936873899998</v>
      </c>
      <c r="D171" s="1761">
        <v>4053.8673368499999</v>
      </c>
      <c r="E171" s="1761">
        <v>9484.9655012599997</v>
      </c>
      <c r="F171" s="1761">
        <v>5848.3744376900004</v>
      </c>
      <c r="G171" s="1761">
        <v>3636.5910635700002</v>
      </c>
      <c r="H171" s="1761">
        <v>551.69552297999996</v>
      </c>
      <c r="I171" s="1761">
        <v>134.41924969999999</v>
      </c>
      <c r="J171" s="1761">
        <v>417.27627328</v>
      </c>
      <c r="K171" s="1761">
        <v>7684.9544048199996</v>
      </c>
      <c r="L171" s="1761">
        <v>4675.9455449400002</v>
      </c>
      <c r="M171" s="1761">
        <v>4597.7253658199998</v>
      </c>
      <c r="N171" s="1761">
        <v>78.220179119999997</v>
      </c>
      <c r="O171" s="1761">
        <v>3009.0088598799998</v>
      </c>
      <c r="P171" s="1761">
        <v>2608.1366980299999</v>
      </c>
      <c r="Q171" s="1761">
        <v>400.87216185</v>
      </c>
      <c r="R171" s="1761">
        <v>4585.2542142900002</v>
      </c>
      <c r="S171" s="1761">
        <v>2923.8951665700001</v>
      </c>
      <c r="T171" s="1761">
        <v>2888.8425836199999</v>
      </c>
      <c r="U171" s="1761">
        <v>35.052582950000001</v>
      </c>
      <c r="V171" s="1761">
        <v>1661.35904772</v>
      </c>
      <c r="W171" s="1761">
        <v>1317.0594983799999</v>
      </c>
      <c r="X171" s="1761">
        <v>344.29954934</v>
      </c>
      <c r="Y171" s="1761">
        <v>2351.7066194200002</v>
      </c>
      <c r="Z171" s="1761">
        <v>1306.8481424500001</v>
      </c>
      <c r="AA171" s="1761">
        <v>1250.6490718699999</v>
      </c>
      <c r="AB171" s="1761">
        <v>56.199070579999997</v>
      </c>
      <c r="AC171" s="1761">
        <v>1044.8584769700001</v>
      </c>
      <c r="AD171" s="1761">
        <v>1028.45436554</v>
      </c>
      <c r="AE171" s="1761">
        <v>16.40411143</v>
      </c>
    </row>
    <row r="172" spans="1:31">
      <c r="A172" s="1762" t="s">
        <v>20</v>
      </c>
      <c r="B172" s="1761">
        <v>10372.044511300001</v>
      </c>
      <c r="C172" s="1761">
        <v>5984.902846</v>
      </c>
      <c r="D172" s="1761">
        <v>4387.1416652999997</v>
      </c>
      <c r="E172" s="1761">
        <v>9649.5362059199997</v>
      </c>
      <c r="F172" s="1761">
        <v>5799.1541748099999</v>
      </c>
      <c r="G172" s="1761">
        <v>3850.3820311099998</v>
      </c>
      <c r="H172" s="1761">
        <v>722.50830538000002</v>
      </c>
      <c r="I172" s="1761">
        <v>185.74867119000001</v>
      </c>
      <c r="J172" s="1761">
        <v>536.75963419000004</v>
      </c>
      <c r="K172" s="1761">
        <v>7960.1588202800003</v>
      </c>
      <c r="L172" s="1761">
        <v>4676.9493255199995</v>
      </c>
      <c r="M172" s="1761">
        <v>4546.70126291</v>
      </c>
      <c r="N172" s="1761">
        <v>130.24806261000001</v>
      </c>
      <c r="O172" s="1761">
        <v>3283.2094947599999</v>
      </c>
      <c r="P172" s="1761">
        <v>2762.2598720199999</v>
      </c>
      <c r="Q172" s="1761">
        <v>520.94962274</v>
      </c>
      <c r="R172" s="1761">
        <v>4850.6633906500001</v>
      </c>
      <c r="S172" s="1761">
        <v>2903.2585276899999</v>
      </c>
      <c r="T172" s="1761">
        <v>2822.9967970900002</v>
      </c>
      <c r="U172" s="1761">
        <v>80.261730600000007</v>
      </c>
      <c r="V172" s="1761">
        <v>1947.4048629599999</v>
      </c>
      <c r="W172" s="1761">
        <v>1482.1457714799999</v>
      </c>
      <c r="X172" s="1761">
        <v>465.25909148</v>
      </c>
      <c r="Y172" s="1761">
        <v>2411.8856910200002</v>
      </c>
      <c r="Z172" s="1761">
        <v>1307.95352048</v>
      </c>
      <c r="AA172" s="1761">
        <v>1252.4529118999999</v>
      </c>
      <c r="AB172" s="1761">
        <v>55.500608579999998</v>
      </c>
      <c r="AC172" s="1761">
        <v>1103.93217054</v>
      </c>
      <c r="AD172" s="1761">
        <v>1088.12215909</v>
      </c>
      <c r="AE172" s="1761">
        <v>15.810011449999999</v>
      </c>
    </row>
    <row r="173" spans="1:31">
      <c r="A173" s="1762" t="s">
        <v>21</v>
      </c>
      <c r="B173" s="1761">
        <v>10515.39277742</v>
      </c>
      <c r="C173" s="1761">
        <v>6347.5218666800001</v>
      </c>
      <c r="D173" s="1761">
        <v>4167.87091074</v>
      </c>
      <c r="E173" s="1761">
        <v>9765.1999709800002</v>
      </c>
      <c r="F173" s="1761">
        <v>6139.9205868199997</v>
      </c>
      <c r="G173" s="1761">
        <v>3625.2793841600001</v>
      </c>
      <c r="H173" s="1761">
        <v>750.19280644000003</v>
      </c>
      <c r="I173" s="1761">
        <v>207.60127986000001</v>
      </c>
      <c r="J173" s="1761">
        <v>542.59152658000005</v>
      </c>
      <c r="K173" s="1761">
        <v>8164.2847321500003</v>
      </c>
      <c r="L173" s="1761">
        <v>5031.2561213999998</v>
      </c>
      <c r="M173" s="1761">
        <v>4880.6130578599996</v>
      </c>
      <c r="N173" s="1761">
        <v>150.64306354000001</v>
      </c>
      <c r="O173" s="1761">
        <v>3133.0286107500001</v>
      </c>
      <c r="P173" s="1761">
        <v>2606.2425867900001</v>
      </c>
      <c r="Q173" s="1761">
        <v>526.78602395999997</v>
      </c>
      <c r="R173" s="1761">
        <v>4921.62313739</v>
      </c>
      <c r="S173" s="1761">
        <v>3180.4450775300002</v>
      </c>
      <c r="T173" s="1761">
        <v>3101.9346117499999</v>
      </c>
      <c r="U173" s="1761">
        <v>78.510465780000004</v>
      </c>
      <c r="V173" s="1761">
        <v>1741.1780598600001</v>
      </c>
      <c r="W173" s="1761">
        <v>1272.3418328299999</v>
      </c>
      <c r="X173" s="1761">
        <v>468.83622702999998</v>
      </c>
      <c r="Y173" s="1761">
        <v>2351.1080452699998</v>
      </c>
      <c r="Z173" s="1761">
        <v>1316.2657452799999</v>
      </c>
      <c r="AA173" s="1761">
        <v>1259.3075289599999</v>
      </c>
      <c r="AB173" s="1761">
        <v>56.958216319999998</v>
      </c>
      <c r="AC173" s="1761">
        <v>1034.8422999899999</v>
      </c>
      <c r="AD173" s="1761">
        <v>1019.03679737</v>
      </c>
      <c r="AE173" s="1761">
        <v>15.80550262</v>
      </c>
    </row>
    <row r="174" spans="1:31">
      <c r="A174" s="1762" t="s">
        <v>22</v>
      </c>
      <c r="B174" s="1761">
        <v>10593.24553143</v>
      </c>
      <c r="C174" s="1761">
        <v>6228.5775272800001</v>
      </c>
      <c r="D174" s="1761">
        <v>4364.6680041500003</v>
      </c>
      <c r="E174" s="1761">
        <v>9759.8542854499992</v>
      </c>
      <c r="F174" s="1761">
        <v>6021.7685259099999</v>
      </c>
      <c r="G174" s="1761">
        <v>3738.0857595399998</v>
      </c>
      <c r="H174" s="1761">
        <v>833.39124598000001</v>
      </c>
      <c r="I174" s="1761">
        <v>206.80900137</v>
      </c>
      <c r="J174" s="1761">
        <v>626.58224460999998</v>
      </c>
      <c r="K174" s="1761">
        <v>8218.7746648499997</v>
      </c>
      <c r="L174" s="1761">
        <v>4892.7916956400004</v>
      </c>
      <c r="M174" s="1761">
        <v>4743.7776315900001</v>
      </c>
      <c r="N174" s="1761">
        <v>149.01406405</v>
      </c>
      <c r="O174" s="1761">
        <v>3325.9829692100002</v>
      </c>
      <c r="P174" s="1761">
        <v>2718.4472800600001</v>
      </c>
      <c r="Q174" s="1761">
        <v>607.53568915000005</v>
      </c>
      <c r="R174" s="1761">
        <v>4918.9092595299999</v>
      </c>
      <c r="S174" s="1761">
        <v>2987.3838202400002</v>
      </c>
      <c r="T174" s="1761">
        <v>2911.59805525</v>
      </c>
      <c r="U174" s="1761">
        <v>75.785764990000004</v>
      </c>
      <c r="V174" s="1761">
        <v>1931.5254392899999</v>
      </c>
      <c r="W174" s="1761">
        <v>1382.1583049400001</v>
      </c>
      <c r="X174" s="1761">
        <v>549.36713435000001</v>
      </c>
      <c r="Y174" s="1761">
        <v>2374.4708665799999</v>
      </c>
      <c r="Z174" s="1761">
        <v>1335.78583164</v>
      </c>
      <c r="AA174" s="1761">
        <v>1277.9908943200001</v>
      </c>
      <c r="AB174" s="1761">
        <v>57.794937320000003</v>
      </c>
      <c r="AC174" s="1761">
        <v>1038.6850349399999</v>
      </c>
      <c r="AD174" s="1761">
        <v>1019.63847948</v>
      </c>
      <c r="AE174" s="1761">
        <v>19.04655546</v>
      </c>
    </row>
    <row r="175" spans="1:31">
      <c r="A175" s="1762" t="s">
        <v>23</v>
      </c>
      <c r="B175" s="1761">
        <v>10596.171226</v>
      </c>
      <c r="C175" s="1761">
        <v>6333.8626197699996</v>
      </c>
      <c r="D175" s="1761">
        <v>4262.3086062299999</v>
      </c>
      <c r="E175" s="1761">
        <v>9793.4862938200004</v>
      </c>
      <c r="F175" s="1761">
        <v>6117.8981031499998</v>
      </c>
      <c r="G175" s="1761">
        <v>3675.5881906700001</v>
      </c>
      <c r="H175" s="1761">
        <v>802.68493218000003</v>
      </c>
      <c r="I175" s="1761">
        <v>215.96451662000001</v>
      </c>
      <c r="J175" s="1761">
        <v>586.72041555999999</v>
      </c>
      <c r="K175" s="1761">
        <v>8198.0455238899995</v>
      </c>
      <c r="L175" s="1761">
        <v>4969.7617552199999</v>
      </c>
      <c r="M175" s="1761">
        <v>4812.8019904399998</v>
      </c>
      <c r="N175" s="1761">
        <v>156.95976478</v>
      </c>
      <c r="O175" s="1761">
        <v>3228.28376867</v>
      </c>
      <c r="P175" s="1761">
        <v>2660.5503372200001</v>
      </c>
      <c r="Q175" s="1761">
        <v>567.73343145000001</v>
      </c>
      <c r="R175" s="1761">
        <v>4843.84137895</v>
      </c>
      <c r="S175" s="1761">
        <v>2995.2085680300002</v>
      </c>
      <c r="T175" s="1761">
        <v>2920.5256109400002</v>
      </c>
      <c r="U175" s="1761">
        <v>74.682957090000002</v>
      </c>
      <c r="V175" s="1761">
        <v>1848.6328109200001</v>
      </c>
      <c r="W175" s="1761">
        <v>1339.4392472100001</v>
      </c>
      <c r="X175" s="1761">
        <v>509.19356370999998</v>
      </c>
      <c r="Y175" s="1761">
        <v>2398.12570211</v>
      </c>
      <c r="Z175" s="1761">
        <v>1364.1008645500001</v>
      </c>
      <c r="AA175" s="1761">
        <v>1305.0961127099999</v>
      </c>
      <c r="AB175" s="1761">
        <v>59.004751839999997</v>
      </c>
      <c r="AC175" s="1761">
        <v>1034.0248375599999</v>
      </c>
      <c r="AD175" s="1761">
        <v>1015.0378534499999</v>
      </c>
      <c r="AE175" s="1761">
        <v>18.986984110000002</v>
      </c>
    </row>
    <row r="176" spans="1:31">
      <c r="A176" s="1762" t="s">
        <v>24</v>
      </c>
      <c r="B176" s="1761">
        <v>10817.12822398</v>
      </c>
      <c r="C176" s="1761">
        <v>6502.81593066</v>
      </c>
      <c r="D176" s="1761">
        <v>4314.3122933200002</v>
      </c>
      <c r="E176" s="1761">
        <v>9978.5272559000005</v>
      </c>
      <c r="F176" s="1761">
        <v>6284.0606119800004</v>
      </c>
      <c r="G176" s="1761">
        <v>3694.46664392</v>
      </c>
      <c r="H176" s="1761">
        <v>838.60096808000003</v>
      </c>
      <c r="I176" s="1761">
        <v>218.75531867999999</v>
      </c>
      <c r="J176" s="1761">
        <v>619.84564939999996</v>
      </c>
      <c r="K176" s="1761">
        <v>8377.5930230899994</v>
      </c>
      <c r="L176" s="1761">
        <v>5102.4138333199999</v>
      </c>
      <c r="M176" s="1761">
        <v>4943.4320554799997</v>
      </c>
      <c r="N176" s="1761">
        <v>158.98177784000001</v>
      </c>
      <c r="O176" s="1761">
        <v>3275.17918977</v>
      </c>
      <c r="P176" s="1761">
        <v>2674.2530192200002</v>
      </c>
      <c r="Q176" s="1761">
        <v>600.92617055000005</v>
      </c>
      <c r="R176" s="1761">
        <v>4985.9218147700003</v>
      </c>
      <c r="S176" s="1761">
        <v>3090.6108148200001</v>
      </c>
      <c r="T176" s="1761">
        <v>3016.0694796500002</v>
      </c>
      <c r="U176" s="1761">
        <v>74.541335169999996</v>
      </c>
      <c r="V176" s="1761">
        <v>1895.31099995</v>
      </c>
      <c r="W176" s="1761">
        <v>1353.10420217</v>
      </c>
      <c r="X176" s="1761">
        <v>542.20679777999999</v>
      </c>
      <c r="Y176" s="1761">
        <v>2439.5352008899999</v>
      </c>
      <c r="Z176" s="1761">
        <v>1400.40209734</v>
      </c>
      <c r="AA176" s="1761">
        <v>1340.6285565000001</v>
      </c>
      <c r="AB176" s="1761">
        <v>59.773540840000003</v>
      </c>
      <c r="AC176" s="1761">
        <v>1039.13310355</v>
      </c>
      <c r="AD176" s="1761">
        <v>1020.2136247</v>
      </c>
      <c r="AE176" s="1761">
        <v>18.919478850000001</v>
      </c>
    </row>
    <row r="177" spans="1:31">
      <c r="A177" s="1762" t="s">
        <v>25</v>
      </c>
      <c r="B177" s="1761">
        <v>10858.376694009999</v>
      </c>
      <c r="C177" s="1761">
        <v>6548.1446269099997</v>
      </c>
      <c r="D177" s="1761">
        <v>4310.2320670999998</v>
      </c>
      <c r="E177" s="1761">
        <v>9982.0132904300008</v>
      </c>
      <c r="F177" s="1761">
        <v>6326.0402305099997</v>
      </c>
      <c r="G177" s="1761">
        <v>3655.9730599200002</v>
      </c>
      <c r="H177" s="1761">
        <v>876.36340357999995</v>
      </c>
      <c r="I177" s="1761">
        <v>222.10439640000001</v>
      </c>
      <c r="J177" s="1761">
        <v>654.25900718000003</v>
      </c>
      <c r="K177" s="1761">
        <v>8380.8924488100001</v>
      </c>
      <c r="L177" s="1761">
        <v>5103.7452320399998</v>
      </c>
      <c r="M177" s="1761">
        <v>4941.9929974799998</v>
      </c>
      <c r="N177" s="1761">
        <v>161.75223456000001</v>
      </c>
      <c r="O177" s="1761">
        <v>3277.1472167699999</v>
      </c>
      <c r="P177" s="1761">
        <v>2640.2162405099998</v>
      </c>
      <c r="Q177" s="1761">
        <v>636.93097625999997</v>
      </c>
      <c r="R177" s="1761">
        <v>4962.3723936599999</v>
      </c>
      <c r="S177" s="1761">
        <v>3047.0856493699998</v>
      </c>
      <c r="T177" s="1761">
        <v>2972.4960092000001</v>
      </c>
      <c r="U177" s="1761">
        <v>74.589640169999996</v>
      </c>
      <c r="V177" s="1761">
        <v>1915.2867442899999</v>
      </c>
      <c r="W177" s="1761">
        <v>1340.3506134899999</v>
      </c>
      <c r="X177" s="1761">
        <v>574.9361308</v>
      </c>
      <c r="Y177" s="1761">
        <v>2477.4842451999998</v>
      </c>
      <c r="Z177" s="1761">
        <v>1444.3993948699999</v>
      </c>
      <c r="AA177" s="1761">
        <v>1384.0472330299999</v>
      </c>
      <c r="AB177" s="1761">
        <v>60.352161840000001</v>
      </c>
      <c r="AC177" s="1761">
        <v>1033.0848503300001</v>
      </c>
      <c r="AD177" s="1761">
        <v>1015.75681941</v>
      </c>
      <c r="AE177" s="1761">
        <v>17.32803092</v>
      </c>
    </row>
    <row r="178" spans="1:31">
      <c r="A178" s="1762" t="s">
        <v>26</v>
      </c>
      <c r="B178" s="1761">
        <v>11225.705309770001</v>
      </c>
      <c r="C178" s="1761">
        <v>6823.7452551899996</v>
      </c>
      <c r="D178" s="1761">
        <v>4401.9600545800004</v>
      </c>
      <c r="E178" s="1761">
        <v>10271.42356275</v>
      </c>
      <c r="F178" s="1761">
        <v>6582.1696960199997</v>
      </c>
      <c r="G178" s="1761">
        <v>3689.25386673</v>
      </c>
      <c r="H178" s="1761">
        <v>954.28174702000001</v>
      </c>
      <c r="I178" s="1761">
        <v>241.57555916999999</v>
      </c>
      <c r="J178" s="1761">
        <v>712.70618784999999</v>
      </c>
      <c r="K178" s="1761">
        <v>8729.1537134299997</v>
      </c>
      <c r="L178" s="1761">
        <v>5355.7590316799997</v>
      </c>
      <c r="M178" s="1761">
        <v>5175.2763677900002</v>
      </c>
      <c r="N178" s="1761">
        <v>180.48266389</v>
      </c>
      <c r="O178" s="1761">
        <v>3373.39468175</v>
      </c>
      <c r="P178" s="1761">
        <v>2680.1615864199998</v>
      </c>
      <c r="Q178" s="1761">
        <v>693.23309532999997</v>
      </c>
      <c r="R178" s="1761">
        <v>5247.6083901900001</v>
      </c>
      <c r="S178" s="1761">
        <v>3246.9941658399998</v>
      </c>
      <c r="T178" s="1761">
        <v>3155.9361690699998</v>
      </c>
      <c r="U178" s="1761">
        <v>91.057996770000003</v>
      </c>
      <c r="V178" s="1761">
        <v>2000.6142243500001</v>
      </c>
      <c r="W178" s="1761">
        <v>1377.19612441</v>
      </c>
      <c r="X178" s="1761">
        <v>623.41809994000005</v>
      </c>
      <c r="Y178" s="1761">
        <v>2496.5515963399998</v>
      </c>
      <c r="Z178" s="1761">
        <v>1467.9862235099999</v>
      </c>
      <c r="AA178" s="1761">
        <v>1406.89332823</v>
      </c>
      <c r="AB178" s="1761">
        <v>61.09289528</v>
      </c>
      <c r="AC178" s="1761">
        <v>1028.5653728299999</v>
      </c>
      <c r="AD178" s="1761">
        <v>1009.09228031</v>
      </c>
      <c r="AE178" s="1761">
        <v>19.473092520000002</v>
      </c>
    </row>
    <row r="179" spans="1:31">
      <c r="A179" s="1762">
        <v>10</v>
      </c>
      <c r="B179" s="1761">
        <v>11500.0053315</v>
      </c>
      <c r="C179" s="1761">
        <v>7058.7334582900003</v>
      </c>
      <c r="D179" s="1761">
        <v>4441.2718732100002</v>
      </c>
      <c r="E179" s="1761">
        <v>10468.45933876</v>
      </c>
      <c r="F179" s="1761">
        <v>6769.4571330099998</v>
      </c>
      <c r="G179" s="1761">
        <v>3699.00220575</v>
      </c>
      <c r="H179" s="1761">
        <v>1031.54599274</v>
      </c>
      <c r="I179" s="1761">
        <v>289.27632527999998</v>
      </c>
      <c r="J179" s="1761">
        <v>742.26966746000005</v>
      </c>
      <c r="K179" s="1761">
        <v>8983.8416168700005</v>
      </c>
      <c r="L179" s="1761">
        <v>5576.9079509599997</v>
      </c>
      <c r="M179" s="1761">
        <v>5349.6612679600003</v>
      </c>
      <c r="N179" s="1761">
        <v>227.24668299999999</v>
      </c>
      <c r="O179" s="1761">
        <v>3406.9336659099999</v>
      </c>
      <c r="P179" s="1761">
        <v>2683.9807221000001</v>
      </c>
      <c r="Q179" s="1761">
        <v>722.95294380999997</v>
      </c>
      <c r="R179" s="1761">
        <v>5512.1619237300001</v>
      </c>
      <c r="S179" s="1761">
        <v>3423.0472678699998</v>
      </c>
      <c r="T179" s="1761">
        <v>3288.1556901399999</v>
      </c>
      <c r="U179" s="1761">
        <v>134.89157772999999</v>
      </c>
      <c r="V179" s="1761">
        <v>2089.1146558599999</v>
      </c>
      <c r="W179" s="1761">
        <v>1443.5897386700001</v>
      </c>
      <c r="X179" s="1761">
        <v>645.52491719</v>
      </c>
      <c r="Y179" s="1761">
        <v>2516.16371463</v>
      </c>
      <c r="Z179" s="1761">
        <v>1481.8255073299999</v>
      </c>
      <c r="AA179" s="1761">
        <v>1419.79586505</v>
      </c>
      <c r="AB179" s="1761">
        <v>62.029642279999997</v>
      </c>
      <c r="AC179" s="1761">
        <v>1034.3382073</v>
      </c>
      <c r="AD179" s="1761">
        <v>1015.0214836500001</v>
      </c>
      <c r="AE179" s="1761">
        <v>19.31672365</v>
      </c>
    </row>
    <row r="180" spans="1:31">
      <c r="A180" s="1762">
        <v>11</v>
      </c>
      <c r="B180" s="1761">
        <v>11588.58637651</v>
      </c>
      <c r="C180" s="1761">
        <v>7082.5847234399998</v>
      </c>
      <c r="D180" s="1761">
        <v>4506.0016530700004</v>
      </c>
      <c r="E180" s="1761">
        <v>10523.271259470001</v>
      </c>
      <c r="F180" s="1761">
        <v>6779.2917396100001</v>
      </c>
      <c r="G180" s="1761">
        <v>3743.97951986</v>
      </c>
      <c r="H180" s="1761">
        <v>1065.3151170399999</v>
      </c>
      <c r="I180" s="1761">
        <v>303.29298383000003</v>
      </c>
      <c r="J180" s="1761">
        <v>762.02213320999999</v>
      </c>
      <c r="K180" s="1761">
        <v>9044.6188487799991</v>
      </c>
      <c r="L180" s="1761">
        <v>5585.0776351100003</v>
      </c>
      <c r="M180" s="1761">
        <v>5344.8097267900002</v>
      </c>
      <c r="N180" s="1761">
        <v>240.26790832</v>
      </c>
      <c r="O180" s="1761">
        <v>3459.5412136700002</v>
      </c>
      <c r="P180" s="1761">
        <v>2718.0209945500001</v>
      </c>
      <c r="Q180" s="1761">
        <v>741.52021911999998</v>
      </c>
      <c r="R180" s="1761">
        <v>5516.3958060799996</v>
      </c>
      <c r="S180" s="1761">
        <v>3394.6715733800002</v>
      </c>
      <c r="T180" s="1761">
        <v>3250.73624991</v>
      </c>
      <c r="U180" s="1761">
        <v>143.93532346999999</v>
      </c>
      <c r="V180" s="1761">
        <v>2121.7242326999999</v>
      </c>
      <c r="W180" s="1761">
        <v>1470.5103259299999</v>
      </c>
      <c r="X180" s="1761">
        <v>651.21390676999999</v>
      </c>
      <c r="Y180" s="1761">
        <v>2543.9675277299998</v>
      </c>
      <c r="Z180" s="1761">
        <v>1497.50708833</v>
      </c>
      <c r="AA180" s="1761">
        <v>1434.4820128199999</v>
      </c>
      <c r="AB180" s="1761">
        <v>63.025075510000001</v>
      </c>
      <c r="AC180" s="1761">
        <v>1046.4604394</v>
      </c>
      <c r="AD180" s="1761">
        <v>1025.9585253099999</v>
      </c>
      <c r="AE180" s="1761">
        <v>20.50191409</v>
      </c>
    </row>
    <row r="181" spans="1:31">
      <c r="A181" s="1762">
        <v>12</v>
      </c>
      <c r="B181" s="1761">
        <v>11742.95861156</v>
      </c>
      <c r="C181" s="1761">
        <v>7139.3903813200004</v>
      </c>
      <c r="D181" s="1761">
        <v>4603.56823024</v>
      </c>
      <c r="E181" s="1761">
        <v>10568.709043999999</v>
      </c>
      <c r="F181" s="1761">
        <v>6805.2483170799997</v>
      </c>
      <c r="G181" s="1761">
        <v>3763.4607269200001</v>
      </c>
      <c r="H181" s="1761">
        <v>1174.2495675600001</v>
      </c>
      <c r="I181" s="1761">
        <v>334.14206424000002</v>
      </c>
      <c r="J181" s="1761">
        <v>840.10750331999998</v>
      </c>
      <c r="K181" s="1761">
        <v>9155.2199193899996</v>
      </c>
      <c r="L181" s="1761">
        <v>5608.6388590200004</v>
      </c>
      <c r="M181" s="1761">
        <v>5338.8023142900001</v>
      </c>
      <c r="N181" s="1761">
        <v>269.83654473000001</v>
      </c>
      <c r="O181" s="1761">
        <v>3546.5810603700002</v>
      </c>
      <c r="P181" s="1761">
        <v>2726.9816426299999</v>
      </c>
      <c r="Q181" s="1761">
        <v>819.59941774000004</v>
      </c>
      <c r="R181" s="1761">
        <v>5522.6940547800004</v>
      </c>
      <c r="S181" s="1761">
        <v>3349.2315357100001</v>
      </c>
      <c r="T181" s="1761">
        <v>3214.4074792900001</v>
      </c>
      <c r="U181" s="1761">
        <v>134.82405642000001</v>
      </c>
      <c r="V181" s="1761">
        <v>2173.4625190699999</v>
      </c>
      <c r="W181" s="1761">
        <v>1498.7787496200001</v>
      </c>
      <c r="X181" s="1761">
        <v>674.68376945</v>
      </c>
      <c r="Y181" s="1761">
        <v>2587.7386921699999</v>
      </c>
      <c r="Z181" s="1761">
        <v>1530.7515223</v>
      </c>
      <c r="AA181" s="1761">
        <v>1466.44600279</v>
      </c>
      <c r="AB181" s="1761">
        <v>64.305519509999996</v>
      </c>
      <c r="AC181" s="1761">
        <v>1056.9871698699999</v>
      </c>
      <c r="AD181" s="1761">
        <v>1036.4790842899999</v>
      </c>
      <c r="AE181" s="1761">
        <v>20.508085579999999</v>
      </c>
    </row>
    <row r="182" spans="1:31">
      <c r="A182" s="1762">
        <v>2023</v>
      </c>
      <c r="B182" s="1761"/>
      <c r="C182" s="1761"/>
      <c r="D182" s="1761"/>
      <c r="E182" s="1761"/>
      <c r="F182" s="1761"/>
      <c r="G182" s="1761"/>
      <c r="H182" s="1761"/>
      <c r="I182" s="1761"/>
      <c r="J182" s="1761"/>
      <c r="K182" s="1761"/>
      <c r="L182" s="1761"/>
      <c r="M182" s="1761"/>
      <c r="N182" s="1761"/>
      <c r="O182" s="1761"/>
      <c r="P182" s="1761"/>
      <c r="Q182" s="1761"/>
      <c r="R182" s="1761"/>
      <c r="S182" s="1761"/>
      <c r="T182" s="1761"/>
      <c r="U182" s="1761"/>
      <c r="V182" s="1761"/>
      <c r="W182" s="1761"/>
      <c r="X182" s="1761"/>
      <c r="Y182" s="1761"/>
      <c r="Z182" s="1761"/>
      <c r="AA182" s="1761"/>
      <c r="AB182" s="1761"/>
      <c r="AC182" s="1761"/>
      <c r="AD182" s="1761"/>
      <c r="AE182" s="1761"/>
    </row>
    <row r="183" spans="1:31">
      <c r="A183" s="1762" t="s">
        <v>18</v>
      </c>
      <c r="B183" s="1761">
        <v>11928.49516787</v>
      </c>
      <c r="C183" s="1761">
        <v>7299.5381969500004</v>
      </c>
      <c r="D183" s="1761">
        <v>4628.9569709199995</v>
      </c>
      <c r="E183" s="1761">
        <v>10762.03417033</v>
      </c>
      <c r="F183" s="1761">
        <v>6975.4389354200002</v>
      </c>
      <c r="G183" s="1761">
        <v>3786.5952349099998</v>
      </c>
      <c r="H183" s="1761">
        <v>1166.4609975400001</v>
      </c>
      <c r="I183" s="1761">
        <v>324.09926152999998</v>
      </c>
      <c r="J183" s="1761">
        <v>842.36173600999996</v>
      </c>
      <c r="K183" s="1761">
        <v>9409.8669428499998</v>
      </c>
      <c r="L183" s="1761">
        <v>5733.1894696500003</v>
      </c>
      <c r="M183" s="1761">
        <v>5475.3810606300003</v>
      </c>
      <c r="N183" s="1761">
        <v>257.80840902</v>
      </c>
      <c r="O183" s="1761">
        <v>3676.6774731999999</v>
      </c>
      <c r="P183" s="1761">
        <v>2853.0990793599999</v>
      </c>
      <c r="Q183" s="1761">
        <v>823.57839383999999</v>
      </c>
      <c r="R183" s="1761">
        <v>5717.9894990399998</v>
      </c>
      <c r="S183" s="1761">
        <v>3428.4033533900001</v>
      </c>
      <c r="T183" s="1761">
        <v>3302.0559422900001</v>
      </c>
      <c r="U183" s="1761">
        <v>126.3474111</v>
      </c>
      <c r="V183" s="1761">
        <v>2289.5861456500002</v>
      </c>
      <c r="W183" s="1761">
        <v>1628.12865012</v>
      </c>
      <c r="X183" s="1761">
        <v>661.45749552999996</v>
      </c>
      <c r="Y183" s="1761">
        <v>2518.6282250200002</v>
      </c>
      <c r="Z183" s="1761">
        <v>1566.3487273000001</v>
      </c>
      <c r="AA183" s="1761">
        <v>1500.0578747899999</v>
      </c>
      <c r="AB183" s="1761">
        <v>66.290852509999993</v>
      </c>
      <c r="AC183" s="1761">
        <v>952.27949771999999</v>
      </c>
      <c r="AD183" s="1761">
        <v>933.49615555000003</v>
      </c>
      <c r="AE183" s="1761">
        <v>18.783342170000001</v>
      </c>
    </row>
    <row r="184" spans="1:31">
      <c r="A184" s="1762" t="s">
        <v>19</v>
      </c>
      <c r="B184" s="1761">
        <v>11901.83757354</v>
      </c>
      <c r="C184" s="1761">
        <v>7298.5237890899998</v>
      </c>
      <c r="D184" s="1761">
        <v>4603.3137844499997</v>
      </c>
      <c r="E184" s="1761">
        <v>10741.809598170001</v>
      </c>
      <c r="F184" s="1761">
        <v>6970.07715259</v>
      </c>
      <c r="G184" s="1761">
        <v>3771.7324455799999</v>
      </c>
      <c r="H184" s="1761">
        <v>1160.0279753699999</v>
      </c>
      <c r="I184" s="1761">
        <v>328.44663650000001</v>
      </c>
      <c r="J184" s="1761">
        <v>831.58133886999997</v>
      </c>
      <c r="K184" s="1761">
        <v>9312.9617893699997</v>
      </c>
      <c r="L184" s="1761">
        <v>5707.7524783700001</v>
      </c>
      <c r="M184" s="1761">
        <v>5447.2109943799996</v>
      </c>
      <c r="N184" s="1761">
        <v>260.54148399000002</v>
      </c>
      <c r="O184" s="1761">
        <v>3605.2093110000001</v>
      </c>
      <c r="P184" s="1761">
        <v>2792.9372416299998</v>
      </c>
      <c r="Q184" s="1761">
        <v>812.27206937000005</v>
      </c>
      <c r="R184" s="1761">
        <v>5536.2434969400001</v>
      </c>
      <c r="S184" s="1761">
        <v>3414.4064955099998</v>
      </c>
      <c r="T184" s="1761">
        <v>3265.90246131</v>
      </c>
      <c r="U184" s="1761">
        <v>148.50403420000001</v>
      </c>
      <c r="V184" s="1761">
        <v>2121.8370014299999</v>
      </c>
      <c r="W184" s="1761">
        <v>1557.0415760799999</v>
      </c>
      <c r="X184" s="1761">
        <v>564.79542534999996</v>
      </c>
      <c r="Y184" s="1761">
        <v>2588.8757841699999</v>
      </c>
      <c r="Z184" s="1761">
        <v>1590.77131072</v>
      </c>
      <c r="AA184" s="1761">
        <v>1522.8661582100001</v>
      </c>
      <c r="AB184" s="1761">
        <v>67.905152509999994</v>
      </c>
      <c r="AC184" s="1761">
        <v>998.10447345</v>
      </c>
      <c r="AD184" s="1761">
        <v>978.79520394999997</v>
      </c>
      <c r="AE184" s="1761">
        <v>19.309269499999999</v>
      </c>
    </row>
    <row r="185" spans="1:31">
      <c r="A185" s="1762" t="s">
        <v>20</v>
      </c>
      <c r="B185" s="1761">
        <v>11964.3955489</v>
      </c>
      <c r="C185" s="1761">
        <v>7397.7179352399999</v>
      </c>
      <c r="D185" s="1761">
        <v>4566.6776136600001</v>
      </c>
      <c r="E185" s="1761">
        <v>10797.093831779999</v>
      </c>
      <c r="F185" s="1761">
        <v>7073.0781482599996</v>
      </c>
      <c r="G185" s="1761">
        <v>3724.01568352</v>
      </c>
      <c r="H185" s="1761">
        <v>1167.3017171199999</v>
      </c>
      <c r="I185" s="1761">
        <v>324.63978698</v>
      </c>
      <c r="J185" s="1761">
        <v>842.66193013999998</v>
      </c>
      <c r="K185" s="1761">
        <v>9412.8593387300007</v>
      </c>
      <c r="L185" s="1761">
        <v>5776.2775042900003</v>
      </c>
      <c r="M185" s="1761">
        <v>5520.7554078200001</v>
      </c>
      <c r="N185" s="1761">
        <v>255.52209647000001</v>
      </c>
      <c r="O185" s="1761">
        <v>3636.58183444</v>
      </c>
      <c r="P185" s="1761">
        <v>2812.8119496899999</v>
      </c>
      <c r="Q185" s="1761">
        <v>823.76988474999996</v>
      </c>
      <c r="R185" s="1761">
        <v>5622.1541340699996</v>
      </c>
      <c r="S185" s="1761">
        <v>3479.5931833499999</v>
      </c>
      <c r="T185" s="1761">
        <v>3332.0571330399998</v>
      </c>
      <c r="U185" s="1761">
        <v>147.53605031000001</v>
      </c>
      <c r="V185" s="1761">
        <v>2142.5609507200002</v>
      </c>
      <c r="W185" s="1761">
        <v>1572.71370441</v>
      </c>
      <c r="X185" s="1761">
        <v>569.84724630999995</v>
      </c>
      <c r="Y185" s="1761">
        <v>2551.5362101699998</v>
      </c>
      <c r="Z185" s="1761">
        <v>1621.4404309500001</v>
      </c>
      <c r="AA185" s="1761">
        <v>1552.32274044</v>
      </c>
      <c r="AB185" s="1761">
        <v>69.117690510000003</v>
      </c>
      <c r="AC185" s="1761">
        <v>930.09577922000005</v>
      </c>
      <c r="AD185" s="1761">
        <v>911.20373383000003</v>
      </c>
      <c r="AE185" s="1761">
        <v>18.89204539</v>
      </c>
    </row>
    <row r="186" spans="1:31">
      <c r="A186" s="1762" t="s">
        <v>21</v>
      </c>
      <c r="B186" s="1761">
        <v>12211.631103010001</v>
      </c>
      <c r="C186" s="1761">
        <v>7665.3725144700002</v>
      </c>
      <c r="D186" s="1761">
        <v>4546.2585885400003</v>
      </c>
      <c r="E186" s="1761">
        <v>11017.26131459</v>
      </c>
      <c r="F186" s="1761">
        <v>7338.16996475</v>
      </c>
      <c r="G186" s="1761">
        <v>3679.09134984</v>
      </c>
      <c r="H186" s="1761">
        <v>1194.3697884200001</v>
      </c>
      <c r="I186" s="1761">
        <v>327.20254971999998</v>
      </c>
      <c r="J186" s="1761">
        <v>867.16723869999998</v>
      </c>
      <c r="K186" s="1761">
        <v>9635.6336659299996</v>
      </c>
      <c r="L186" s="1761">
        <v>6018.7516766799999</v>
      </c>
      <c r="M186" s="1761">
        <v>5762.1769974700001</v>
      </c>
      <c r="N186" s="1761">
        <v>256.57467921</v>
      </c>
      <c r="O186" s="1761">
        <v>3616.8819892500001</v>
      </c>
      <c r="P186" s="1761">
        <v>2768.4502593100001</v>
      </c>
      <c r="Q186" s="1761">
        <v>848.43172993999997</v>
      </c>
      <c r="R186" s="1761">
        <v>5819.9236764500001</v>
      </c>
      <c r="S186" s="1761">
        <v>3707.7561475699999</v>
      </c>
      <c r="T186" s="1761">
        <v>3560.4584270300002</v>
      </c>
      <c r="U186" s="1761">
        <v>147.29772054</v>
      </c>
      <c r="V186" s="1761">
        <v>2112.1675288800002</v>
      </c>
      <c r="W186" s="1761">
        <v>1537.3832863800001</v>
      </c>
      <c r="X186" s="1761">
        <v>574.7842425</v>
      </c>
      <c r="Y186" s="1761">
        <v>2575.9974370800001</v>
      </c>
      <c r="Z186" s="1761">
        <v>1646.62083779</v>
      </c>
      <c r="AA186" s="1761">
        <v>1575.9929672799999</v>
      </c>
      <c r="AB186" s="1761">
        <v>70.627870509999994</v>
      </c>
      <c r="AC186" s="1761">
        <v>929.37659928999994</v>
      </c>
      <c r="AD186" s="1761">
        <v>910.64109053000004</v>
      </c>
      <c r="AE186" s="1761">
        <v>18.735508759999998</v>
      </c>
    </row>
    <row r="187" spans="1:31">
      <c r="A187" s="1762" t="s">
        <v>22</v>
      </c>
      <c r="B187" s="1761">
        <v>12400.72389207</v>
      </c>
      <c r="C187" s="1761">
        <v>7686.8349524400001</v>
      </c>
      <c r="D187" s="1761">
        <v>4713.8889396300001</v>
      </c>
      <c r="E187" s="1761">
        <v>11060.41619976</v>
      </c>
      <c r="F187" s="1761">
        <v>7353.7999551299999</v>
      </c>
      <c r="G187" s="1761">
        <v>3706.61624463</v>
      </c>
      <c r="H187" s="1761">
        <v>1340.30769231</v>
      </c>
      <c r="I187" s="1761">
        <v>333.03499730999999</v>
      </c>
      <c r="J187" s="1761">
        <v>1007.272695</v>
      </c>
      <c r="K187" s="1761">
        <v>9812.1660823300008</v>
      </c>
      <c r="L187" s="1761">
        <v>6013.0382952800001</v>
      </c>
      <c r="M187" s="1761">
        <v>5755.6722414799997</v>
      </c>
      <c r="N187" s="1761">
        <v>257.36605379999997</v>
      </c>
      <c r="O187" s="1761">
        <v>3799.1277870499998</v>
      </c>
      <c r="P187" s="1761">
        <v>2810.42015124</v>
      </c>
      <c r="Q187" s="1761">
        <v>988.70763581000006</v>
      </c>
      <c r="R187" s="1761">
        <v>5932.0066010399996</v>
      </c>
      <c r="S187" s="1761">
        <v>3638.1915757400002</v>
      </c>
      <c r="T187" s="1761">
        <v>3495.6773730599998</v>
      </c>
      <c r="U187" s="1761">
        <v>142.51420268000001</v>
      </c>
      <c r="V187" s="1761">
        <v>2293.8150252999999</v>
      </c>
      <c r="W187" s="1761">
        <v>1584.4919637600001</v>
      </c>
      <c r="X187" s="1761">
        <v>709.32306154000003</v>
      </c>
      <c r="Y187" s="1761">
        <v>2588.5578097399998</v>
      </c>
      <c r="Z187" s="1761">
        <v>1673.79665716</v>
      </c>
      <c r="AA187" s="1761">
        <v>1598.12771365</v>
      </c>
      <c r="AB187" s="1761">
        <v>75.668943510000005</v>
      </c>
      <c r="AC187" s="1761">
        <v>914.76115258000004</v>
      </c>
      <c r="AD187" s="1761">
        <v>896.19609338999999</v>
      </c>
      <c r="AE187" s="1761">
        <v>18.565059189999999</v>
      </c>
    </row>
    <row r="188" spans="1:31">
      <c r="A188" s="1762" t="s">
        <v>23</v>
      </c>
      <c r="B188" s="1761">
        <v>12748.80840428</v>
      </c>
      <c r="C188" s="1761">
        <v>8087.4388497199998</v>
      </c>
      <c r="D188" s="1761">
        <v>4661.3695545600003</v>
      </c>
      <c r="E188" s="1761">
        <v>11423.226392</v>
      </c>
      <c r="F188" s="1761">
        <v>7735.4396641699996</v>
      </c>
      <c r="G188" s="1761">
        <v>3687.78672783</v>
      </c>
      <c r="H188" s="1761">
        <v>1325.5820122800001</v>
      </c>
      <c r="I188" s="1761">
        <v>351.99918554999999</v>
      </c>
      <c r="J188" s="1761">
        <v>973.58282672999997</v>
      </c>
      <c r="K188" s="1761">
        <v>10143.298602180001</v>
      </c>
      <c r="L188" s="1761">
        <v>6397.3093472399996</v>
      </c>
      <c r="M188" s="1761">
        <v>6121.9346575899999</v>
      </c>
      <c r="N188" s="1761">
        <v>275.37468964999999</v>
      </c>
      <c r="O188" s="1761">
        <v>3745.9892549400001</v>
      </c>
      <c r="P188" s="1761">
        <v>2790.2217963100002</v>
      </c>
      <c r="Q188" s="1761">
        <v>955.76745862999996</v>
      </c>
      <c r="R188" s="1761">
        <v>6138.2266801300002</v>
      </c>
      <c r="S188" s="1761">
        <v>3919.2530596900001</v>
      </c>
      <c r="T188" s="1761">
        <v>3772.8848483100001</v>
      </c>
      <c r="U188" s="1761">
        <v>146.36821137999999</v>
      </c>
      <c r="V188" s="1761">
        <v>2218.9736204400001</v>
      </c>
      <c r="W188" s="1761">
        <v>1535.14376034</v>
      </c>
      <c r="X188" s="1761">
        <v>683.82986010000002</v>
      </c>
      <c r="Y188" s="1761">
        <v>2605.5098020999999</v>
      </c>
      <c r="Z188" s="1761">
        <v>1690.1295024799999</v>
      </c>
      <c r="AA188" s="1761">
        <v>1613.5050065800001</v>
      </c>
      <c r="AB188" s="1761">
        <v>76.624495899999999</v>
      </c>
      <c r="AC188" s="1761">
        <v>915.38029961999996</v>
      </c>
      <c r="AD188" s="1761">
        <v>897.56493151999996</v>
      </c>
      <c r="AE188" s="1761">
        <v>17.815368100000001</v>
      </c>
    </row>
    <row r="189" spans="1:31">
      <c r="A189" s="1762" t="s">
        <v>24</v>
      </c>
      <c r="B189" s="1761">
        <v>12705.49701117</v>
      </c>
      <c r="C189" s="1761">
        <v>8075.0030183400004</v>
      </c>
      <c r="D189" s="1761">
        <v>4630.49399283</v>
      </c>
      <c r="E189" s="1761">
        <v>11361.73312094</v>
      </c>
      <c r="F189" s="1761">
        <v>7718.0658963699998</v>
      </c>
      <c r="G189" s="1761">
        <v>3643.6672245700001</v>
      </c>
      <c r="H189" s="1761">
        <v>1343.76389023</v>
      </c>
      <c r="I189" s="1761">
        <v>356.93712197000002</v>
      </c>
      <c r="J189" s="1761">
        <v>986.82676825999999</v>
      </c>
      <c r="K189" s="1761">
        <v>10078.5282912</v>
      </c>
      <c r="L189" s="1761">
        <v>6355.0158672600001</v>
      </c>
      <c r="M189" s="1761">
        <v>6078.0139613000001</v>
      </c>
      <c r="N189" s="1761">
        <v>277.00190595999999</v>
      </c>
      <c r="O189" s="1761">
        <v>3723.5124239400002</v>
      </c>
      <c r="P189" s="1761">
        <v>2755.5856157100002</v>
      </c>
      <c r="Q189" s="1761">
        <v>967.92680823000001</v>
      </c>
      <c r="R189" s="1761">
        <v>6045.8216216500005</v>
      </c>
      <c r="S189" s="1761">
        <v>3841.6218606299999</v>
      </c>
      <c r="T189" s="1761">
        <v>3694.6689628700001</v>
      </c>
      <c r="U189" s="1761">
        <v>146.95289776000001</v>
      </c>
      <c r="V189" s="1761">
        <v>2204.1997610200001</v>
      </c>
      <c r="W189" s="1761">
        <v>1507.44404644</v>
      </c>
      <c r="X189" s="1761">
        <v>696.75571458000002</v>
      </c>
      <c r="Y189" s="1761">
        <v>2626.9687199700002</v>
      </c>
      <c r="Z189" s="1761">
        <v>1719.9871510800001</v>
      </c>
      <c r="AA189" s="1761">
        <v>1640.0519350699999</v>
      </c>
      <c r="AB189" s="1761">
        <v>79.935216010000005</v>
      </c>
      <c r="AC189" s="1761">
        <v>906.98156888999995</v>
      </c>
      <c r="AD189" s="1761">
        <v>888.08160885999996</v>
      </c>
      <c r="AE189" s="1761">
        <v>18.899960029999999</v>
      </c>
    </row>
    <row r="190" spans="1:31">
      <c r="A190" s="1762" t="s">
        <v>25</v>
      </c>
      <c r="B190" s="1761">
        <v>12580.12560284</v>
      </c>
      <c r="C190" s="1761">
        <v>8017.8207072300002</v>
      </c>
      <c r="D190" s="1761">
        <v>4562.3048956100001</v>
      </c>
      <c r="E190" s="1761">
        <v>11239.26713287</v>
      </c>
      <c r="F190" s="1761">
        <v>7656.9527244499996</v>
      </c>
      <c r="G190" s="1761">
        <v>3582.3144084199998</v>
      </c>
      <c r="H190" s="1761">
        <v>1340.85846997</v>
      </c>
      <c r="I190" s="1761">
        <v>360.86798277999998</v>
      </c>
      <c r="J190" s="1761">
        <v>979.99048718999995</v>
      </c>
      <c r="K190" s="1761">
        <v>9928.7726578900001</v>
      </c>
      <c r="L190" s="1761">
        <v>6263.1617035600002</v>
      </c>
      <c r="M190" s="1761">
        <v>5983.26840963</v>
      </c>
      <c r="N190" s="1761">
        <v>279.89329393000003</v>
      </c>
      <c r="O190" s="1761">
        <v>3665.6109543299999</v>
      </c>
      <c r="P190" s="1761">
        <v>2704.11073936</v>
      </c>
      <c r="Q190" s="1761">
        <v>961.50021497</v>
      </c>
      <c r="R190" s="1761">
        <v>5874.3278602199998</v>
      </c>
      <c r="S190" s="1761">
        <v>3717.7469765400001</v>
      </c>
      <c r="T190" s="1761">
        <v>3569.67922967</v>
      </c>
      <c r="U190" s="1761">
        <v>148.06774687000001</v>
      </c>
      <c r="V190" s="1761">
        <v>2156.5808836800002</v>
      </c>
      <c r="W190" s="1761">
        <v>1465.39252179</v>
      </c>
      <c r="X190" s="1761">
        <v>691.18836189000001</v>
      </c>
      <c r="Y190" s="1761">
        <v>2651.3529449500002</v>
      </c>
      <c r="Z190" s="1761">
        <v>1754.6590036699999</v>
      </c>
      <c r="AA190" s="1761">
        <v>1673.6843148200001</v>
      </c>
      <c r="AB190" s="1761">
        <v>80.974688850000007</v>
      </c>
      <c r="AC190" s="1761">
        <v>896.69394127999999</v>
      </c>
      <c r="AD190" s="1761">
        <v>878.20366906000004</v>
      </c>
      <c r="AE190" s="1761">
        <v>18.490272220000001</v>
      </c>
    </row>
    <row r="191" spans="1:31">
      <c r="A191" s="1762" t="s">
        <v>26</v>
      </c>
      <c r="B191" s="1761">
        <v>12705.47209046</v>
      </c>
      <c r="C191" s="1761">
        <v>8251.5401611800007</v>
      </c>
      <c r="D191" s="1761">
        <v>4453.9319292800001</v>
      </c>
      <c r="E191" s="1761">
        <v>11404.888261870001</v>
      </c>
      <c r="F191" s="1761">
        <v>7891.4799594699998</v>
      </c>
      <c r="G191" s="1761">
        <v>3513.4083024000001</v>
      </c>
      <c r="H191" s="1761">
        <v>1300.5838285899999</v>
      </c>
      <c r="I191" s="1761">
        <v>360.06020171</v>
      </c>
      <c r="J191" s="1761">
        <v>940.52362688000005</v>
      </c>
      <c r="K191" s="1761">
        <v>10052.585250390001</v>
      </c>
      <c r="L191" s="1761">
        <v>6470.99532628</v>
      </c>
      <c r="M191" s="1761">
        <v>6193.1050994200004</v>
      </c>
      <c r="N191" s="1761">
        <v>277.89022685999998</v>
      </c>
      <c r="O191" s="1761">
        <v>3581.5899241100001</v>
      </c>
      <c r="P191" s="1761">
        <v>2659.44709814</v>
      </c>
      <c r="Q191" s="1761">
        <v>922.14282596999999</v>
      </c>
      <c r="R191" s="1761">
        <v>5946.4646652499996</v>
      </c>
      <c r="S191" s="1761">
        <v>3880.6098629600001</v>
      </c>
      <c r="T191" s="1761">
        <v>3732.0095651900001</v>
      </c>
      <c r="U191" s="1761">
        <v>148.60029777</v>
      </c>
      <c r="V191" s="1761">
        <v>2065.85480229</v>
      </c>
      <c r="W191" s="1761">
        <v>1446.7207384799999</v>
      </c>
      <c r="X191" s="1761">
        <v>619.13406381000004</v>
      </c>
      <c r="Y191" s="1761">
        <v>2652.8868400699998</v>
      </c>
      <c r="Z191" s="1761">
        <v>1780.5448349000001</v>
      </c>
      <c r="AA191" s="1761">
        <v>1698.3748600500001</v>
      </c>
      <c r="AB191" s="1761">
        <v>82.169974850000003</v>
      </c>
      <c r="AC191" s="1761">
        <v>872.34200516999999</v>
      </c>
      <c r="AD191" s="1761">
        <v>853.96120426000004</v>
      </c>
      <c r="AE191" s="1761">
        <v>18.380800910000001</v>
      </c>
    </row>
    <row r="192" spans="1:31">
      <c r="A192" s="1762">
        <v>10</v>
      </c>
      <c r="B192" s="1761">
        <v>12564.1</v>
      </c>
      <c r="C192" s="1761">
        <v>8141.6861897899998</v>
      </c>
      <c r="D192" s="1761">
        <v>4422.3934747399999</v>
      </c>
      <c r="E192" s="1761">
        <v>11247.08615239</v>
      </c>
      <c r="F192" s="1761">
        <v>7766.8818144200004</v>
      </c>
      <c r="G192" s="1761">
        <v>3480.2043379699999</v>
      </c>
      <c r="H192" s="1761">
        <v>1316.9935121399999</v>
      </c>
      <c r="I192" s="1761">
        <v>374.80437537</v>
      </c>
      <c r="J192" s="1761">
        <v>942.18913677</v>
      </c>
      <c r="K192" s="1761">
        <v>10101.148677839999</v>
      </c>
      <c r="L192" s="1761">
        <v>6548.6797558899998</v>
      </c>
      <c r="M192" s="1761">
        <v>6256.5528523700004</v>
      </c>
      <c r="N192" s="1761">
        <v>292.12690351999998</v>
      </c>
      <c r="O192" s="1761">
        <v>3552.4689219500001</v>
      </c>
      <c r="P192" s="1761">
        <v>2628.7499069700002</v>
      </c>
      <c r="Q192" s="1761">
        <v>923.71901498</v>
      </c>
      <c r="R192" s="1761">
        <v>5967.5093773600001</v>
      </c>
      <c r="S192" s="1761">
        <v>3891.07964898</v>
      </c>
      <c r="T192" s="1761">
        <v>3743.2878593700002</v>
      </c>
      <c r="U192" s="1761">
        <v>147.79178961</v>
      </c>
      <c r="V192" s="1761">
        <v>2076.4297283800001</v>
      </c>
      <c r="W192" s="1761">
        <v>1473.4157615399999</v>
      </c>
      <c r="X192" s="1761">
        <v>603.01396683999997</v>
      </c>
      <c r="Y192" s="1761">
        <v>2462.9309866899998</v>
      </c>
      <c r="Z192" s="1761">
        <v>1593.0064339</v>
      </c>
      <c r="AA192" s="1761">
        <v>1510.32896205</v>
      </c>
      <c r="AB192" s="1761">
        <v>82.677471850000003</v>
      </c>
      <c r="AC192" s="1761">
        <v>869.92455279000001</v>
      </c>
      <c r="AD192" s="1761">
        <v>851.454431</v>
      </c>
      <c r="AE192" s="1761">
        <v>18.47012179</v>
      </c>
    </row>
    <row r="193" spans="1:31">
      <c r="A193" s="1762">
        <v>11</v>
      </c>
      <c r="B193" s="1761">
        <v>12524.91391736</v>
      </c>
      <c r="C193" s="1761">
        <v>8235.1652755199993</v>
      </c>
      <c r="D193" s="1761">
        <v>4289.7486418400003</v>
      </c>
      <c r="E193" s="1761">
        <v>11293.78532791</v>
      </c>
      <c r="F193" s="1761">
        <v>7854.3874797899998</v>
      </c>
      <c r="G193" s="1761">
        <v>3439.3978481200002</v>
      </c>
      <c r="H193" s="1761">
        <v>1231.1285894499999</v>
      </c>
      <c r="I193" s="1761">
        <v>380.77779572999998</v>
      </c>
      <c r="J193" s="1761">
        <v>850.35079371999996</v>
      </c>
      <c r="K193" s="1761">
        <v>9987.0562074000009</v>
      </c>
      <c r="L193" s="1761">
        <v>6585.7117858700003</v>
      </c>
      <c r="M193" s="1761">
        <v>6293.3344762099996</v>
      </c>
      <c r="N193" s="1761">
        <v>292.37730965999998</v>
      </c>
      <c r="O193" s="1761">
        <v>3401.3444215300001</v>
      </c>
      <c r="P193" s="1761">
        <v>2569.34574922</v>
      </c>
      <c r="Q193" s="1761">
        <v>831.99867230999996</v>
      </c>
      <c r="R193" s="1761">
        <v>5787.0419018299999</v>
      </c>
      <c r="S193" s="1761">
        <v>3855.3848486000002</v>
      </c>
      <c r="T193" s="1761">
        <v>3708.3492796999999</v>
      </c>
      <c r="U193" s="1761">
        <v>147.03556889999999</v>
      </c>
      <c r="V193" s="1761">
        <v>1931.65705323</v>
      </c>
      <c r="W193" s="1761">
        <v>1422.6145963399999</v>
      </c>
      <c r="X193" s="1761">
        <v>509.04245688999998</v>
      </c>
      <c r="Y193" s="1761">
        <v>2537.8577099600002</v>
      </c>
      <c r="Z193" s="1761">
        <v>1649.4534896499999</v>
      </c>
      <c r="AA193" s="1761">
        <v>1561.05300358</v>
      </c>
      <c r="AB193" s="1761">
        <v>88.400486069999999</v>
      </c>
      <c r="AC193" s="1761">
        <v>888.40422031000003</v>
      </c>
      <c r="AD193" s="1761">
        <v>870.05209890000003</v>
      </c>
      <c r="AE193" s="1761">
        <v>18.352121409999999</v>
      </c>
    </row>
    <row r="194" spans="1:31">
      <c r="A194" s="1762">
        <v>12</v>
      </c>
      <c r="B194" s="1761">
        <v>12947.75562296</v>
      </c>
      <c r="C194" s="1761">
        <v>8646.0871932900009</v>
      </c>
      <c r="D194" s="1761">
        <v>4301.6684296699996</v>
      </c>
      <c r="E194" s="1761">
        <v>11705.42095847</v>
      </c>
      <c r="F194" s="1761">
        <v>8252.1207080900003</v>
      </c>
      <c r="G194" s="1761">
        <v>3453.3002503799999</v>
      </c>
      <c r="H194" s="1761">
        <v>1242.33466449</v>
      </c>
      <c r="I194" s="1761">
        <v>393.96648520000002</v>
      </c>
      <c r="J194" s="1761">
        <v>848.36817928999994</v>
      </c>
      <c r="K194" s="1761">
        <v>10361.38380388</v>
      </c>
      <c r="L194" s="1761">
        <v>6945.0721071500002</v>
      </c>
      <c r="M194" s="1761">
        <v>6640.3577820199998</v>
      </c>
      <c r="N194" s="1761">
        <v>304.71432513000002</v>
      </c>
      <c r="O194" s="1761">
        <v>3416.3116967300002</v>
      </c>
      <c r="P194" s="1761">
        <v>2585.3953617000002</v>
      </c>
      <c r="Q194" s="1761">
        <v>830.91633503000003</v>
      </c>
      <c r="R194" s="1761">
        <v>6064.4357277099998</v>
      </c>
      <c r="S194" s="1761">
        <v>4124.6015843100004</v>
      </c>
      <c r="T194" s="1761">
        <v>3971.2963077499999</v>
      </c>
      <c r="U194" s="1761">
        <v>153.30527656000001</v>
      </c>
      <c r="V194" s="1761">
        <v>1939.8341433999999</v>
      </c>
      <c r="W194" s="1761">
        <v>1430.6006972499999</v>
      </c>
      <c r="X194" s="1761">
        <v>509.23344615000002</v>
      </c>
      <c r="Y194" s="1761">
        <v>2586.37181908</v>
      </c>
      <c r="Z194" s="1761">
        <v>1701.01508614</v>
      </c>
      <c r="AA194" s="1761">
        <v>1611.76292607</v>
      </c>
      <c r="AB194" s="1761">
        <v>89.252160070000002</v>
      </c>
      <c r="AC194" s="1761">
        <v>885.35673294000003</v>
      </c>
      <c r="AD194" s="1761">
        <v>867.90488868</v>
      </c>
      <c r="AE194" s="1761">
        <v>17.451844260000001</v>
      </c>
    </row>
    <row r="195" spans="1:31">
      <c r="A195" s="1762">
        <v>2024</v>
      </c>
      <c r="B195" s="1761"/>
      <c r="C195" s="1761"/>
      <c r="D195" s="1761"/>
      <c r="E195" s="1761"/>
      <c r="F195" s="1761"/>
      <c r="G195" s="1761"/>
      <c r="H195" s="1761"/>
      <c r="I195" s="1761"/>
      <c r="J195" s="1761"/>
      <c r="K195" s="1761"/>
      <c r="L195" s="1761"/>
      <c r="M195" s="1761"/>
      <c r="N195" s="1761"/>
      <c r="O195" s="1761"/>
      <c r="P195" s="1761"/>
      <c r="Q195" s="1761"/>
      <c r="R195" s="1761"/>
      <c r="S195" s="1761"/>
      <c r="T195" s="1761"/>
      <c r="U195" s="1761"/>
      <c r="V195" s="1761"/>
      <c r="W195" s="1761"/>
      <c r="X195" s="1761"/>
      <c r="Y195" s="1761"/>
      <c r="Z195" s="1761"/>
      <c r="AA195" s="1761"/>
      <c r="AB195" s="1761"/>
      <c r="AC195" s="1761"/>
      <c r="AD195" s="1761"/>
      <c r="AE195" s="1761"/>
    </row>
    <row r="196" spans="1:31">
      <c r="A196" s="1762" t="s">
        <v>18</v>
      </c>
      <c r="B196" s="1761">
        <v>13116.172725189999</v>
      </c>
      <c r="C196" s="1761">
        <v>8530.9007943899996</v>
      </c>
      <c r="D196" s="1761">
        <v>4585.2719307999996</v>
      </c>
      <c r="E196" s="1761">
        <v>11842.542372039999</v>
      </c>
      <c r="F196" s="1761">
        <v>8135.6342664800004</v>
      </c>
      <c r="G196" s="1761">
        <v>3706.90810556</v>
      </c>
      <c r="H196" s="1761">
        <v>1273.63035315</v>
      </c>
      <c r="I196" s="1761">
        <v>395.26652790999998</v>
      </c>
      <c r="J196" s="1761">
        <v>878.36382523999998</v>
      </c>
      <c r="K196" s="1761">
        <v>10332.0933731</v>
      </c>
      <c r="L196" s="1761">
        <v>6729.9864288799999</v>
      </c>
      <c r="M196" s="1761">
        <v>6430.6439181699998</v>
      </c>
      <c r="N196" s="1761">
        <v>299.34251071</v>
      </c>
      <c r="O196" s="1761">
        <v>3602.1069442200001</v>
      </c>
      <c r="P196" s="1761">
        <v>2741.0417076099998</v>
      </c>
      <c r="Q196" s="1761">
        <v>861.06523661000006</v>
      </c>
      <c r="R196" s="1761">
        <v>6001.7032856200003</v>
      </c>
      <c r="S196" s="1761">
        <v>3900.15271975</v>
      </c>
      <c r="T196" s="1761">
        <v>3751.9322188599999</v>
      </c>
      <c r="U196" s="1761">
        <v>148.22050089000001</v>
      </c>
      <c r="V196" s="1761">
        <v>2101.5505658699999</v>
      </c>
      <c r="W196" s="1761">
        <v>1551.25150461</v>
      </c>
      <c r="X196" s="1761">
        <v>550.29906126000003</v>
      </c>
      <c r="Y196" s="1761">
        <v>2784.0793520900002</v>
      </c>
      <c r="Z196" s="1761">
        <v>1800.9143655099999</v>
      </c>
      <c r="AA196" s="1761">
        <v>1704.9903483099999</v>
      </c>
      <c r="AB196" s="1761">
        <v>95.924017199999994</v>
      </c>
      <c r="AC196" s="1761">
        <v>983.16498658</v>
      </c>
      <c r="AD196" s="1761">
        <v>965.86639794999996</v>
      </c>
      <c r="AE196" s="1761">
        <v>17.298588630000001</v>
      </c>
    </row>
    <row r="197" spans="1:31">
      <c r="A197" s="1762" t="s">
        <v>19</v>
      </c>
      <c r="B197" s="1761">
        <v>13267.209236139999</v>
      </c>
      <c r="C197" s="1761">
        <v>8579.4712754499997</v>
      </c>
      <c r="D197" s="1761">
        <v>4687.7379606900004</v>
      </c>
      <c r="E197" s="1761">
        <v>12002.37940299</v>
      </c>
      <c r="F197" s="1761">
        <v>8183.7733318199998</v>
      </c>
      <c r="G197" s="1761">
        <v>3818.6060711700002</v>
      </c>
      <c r="H197" s="1761">
        <v>1264.82983315</v>
      </c>
      <c r="I197" s="1761">
        <v>395.69794363</v>
      </c>
      <c r="J197" s="1761">
        <v>869.13188951999996</v>
      </c>
      <c r="K197" s="1761">
        <v>10393.97454868</v>
      </c>
      <c r="L197" s="1761">
        <v>6683.9130338100003</v>
      </c>
      <c r="M197" s="1761">
        <v>6387.0250511900003</v>
      </c>
      <c r="N197" s="1761">
        <v>296.88798262</v>
      </c>
      <c r="O197" s="1761">
        <v>3710.0615148699999</v>
      </c>
      <c r="P197" s="1761">
        <v>2858.3344321099999</v>
      </c>
      <c r="Q197" s="1761">
        <v>851.72708276000003</v>
      </c>
      <c r="R197" s="1761">
        <v>6091.4328312500002</v>
      </c>
      <c r="S197" s="1761">
        <v>3899.9471199</v>
      </c>
      <c r="T197" s="1761">
        <v>3754.78918479</v>
      </c>
      <c r="U197" s="1761">
        <v>145.15793511000001</v>
      </c>
      <c r="V197" s="1761">
        <v>2191.4857113500002</v>
      </c>
      <c r="W197" s="1761">
        <v>1664.73661569</v>
      </c>
      <c r="X197" s="1761">
        <v>526.74909565999997</v>
      </c>
      <c r="Y197" s="1761">
        <v>2873.2346874599998</v>
      </c>
      <c r="Z197" s="1761">
        <v>1895.55824164</v>
      </c>
      <c r="AA197" s="1761">
        <v>1796.74828063</v>
      </c>
      <c r="AB197" s="1761">
        <v>98.809961009999995</v>
      </c>
      <c r="AC197" s="1761">
        <v>977.67644582000003</v>
      </c>
      <c r="AD197" s="1761">
        <v>960.27163905999998</v>
      </c>
      <c r="AE197" s="1761">
        <v>17.40480676</v>
      </c>
    </row>
    <row r="198" spans="1:31">
      <c r="A198" s="1762" t="s">
        <v>20</v>
      </c>
      <c r="B198" s="1761">
        <v>13150.527694509999</v>
      </c>
      <c r="C198" s="1761">
        <v>8529.4097118099999</v>
      </c>
      <c r="D198" s="1761">
        <v>4621.1179826999996</v>
      </c>
      <c r="E198" s="1761">
        <v>11892.62391341</v>
      </c>
      <c r="F198" s="1761">
        <v>8141.5448729600002</v>
      </c>
      <c r="G198" s="1761">
        <v>3751.0790404499999</v>
      </c>
      <c r="H198" s="1761">
        <v>1257.9037811000001</v>
      </c>
      <c r="I198" s="1761">
        <v>387.86483885000001</v>
      </c>
      <c r="J198" s="1761">
        <v>870.03894224999999</v>
      </c>
      <c r="K198" s="1761">
        <v>10043.64831572</v>
      </c>
      <c r="L198" s="1761">
        <v>6399.0612387000001</v>
      </c>
      <c r="M198" s="1761">
        <v>6115.42512231</v>
      </c>
      <c r="N198" s="1761">
        <v>283.63611638999998</v>
      </c>
      <c r="O198" s="1761">
        <v>3644.5870770199999</v>
      </c>
      <c r="P198" s="1761">
        <v>2791.9010377599998</v>
      </c>
      <c r="Q198" s="1761">
        <v>852.68603926000003</v>
      </c>
      <c r="R198" s="1761">
        <v>5922.5335661500003</v>
      </c>
      <c r="S198" s="1761">
        <v>3814.3556189800001</v>
      </c>
      <c r="T198" s="1761">
        <v>3673.7240719599999</v>
      </c>
      <c r="U198" s="1761">
        <v>140.63154702</v>
      </c>
      <c r="V198" s="1761">
        <v>2108.1779471700002</v>
      </c>
      <c r="W198" s="1761">
        <v>1577.96835007</v>
      </c>
      <c r="X198" s="1761">
        <v>530.2095971</v>
      </c>
      <c r="Y198" s="1761">
        <v>3106.8793787899999</v>
      </c>
      <c r="Z198" s="1761">
        <v>2130.3484731100002</v>
      </c>
      <c r="AA198" s="1761">
        <v>2026.11975065</v>
      </c>
      <c r="AB198" s="1761">
        <v>104.22872246</v>
      </c>
      <c r="AC198" s="1761">
        <v>976.53090568000005</v>
      </c>
      <c r="AD198" s="1761">
        <v>959.17800268999997</v>
      </c>
      <c r="AE198" s="1761">
        <v>17.35290299</v>
      </c>
    </row>
    <row r="199" spans="1:31">
      <c r="A199" s="1762" t="s">
        <v>21</v>
      </c>
      <c r="B199" s="1761">
        <v>13497.03617682</v>
      </c>
      <c r="C199" s="1761">
        <v>8873.1691139499999</v>
      </c>
      <c r="D199" s="1761">
        <v>4623.8670628700002</v>
      </c>
      <c r="E199" s="1761">
        <v>12237.70298419</v>
      </c>
      <c r="F199" s="1761">
        <v>8485.6593390199996</v>
      </c>
      <c r="G199" s="1761">
        <v>3752.0436451700002</v>
      </c>
      <c r="H199" s="1761">
        <v>1259.33319263</v>
      </c>
      <c r="I199" s="1761">
        <v>387.50977492999999</v>
      </c>
      <c r="J199" s="1761">
        <v>871.82341770000005</v>
      </c>
      <c r="K199" s="1761">
        <v>10257.647072870001</v>
      </c>
      <c r="L199" s="1761">
        <v>6592.4067234900003</v>
      </c>
      <c r="M199" s="1761">
        <v>6310.2688182800002</v>
      </c>
      <c r="N199" s="1761">
        <v>282.13790520999999</v>
      </c>
      <c r="O199" s="1761">
        <v>3665.2403493800002</v>
      </c>
      <c r="P199" s="1761">
        <v>2811.1365756</v>
      </c>
      <c r="Q199" s="1761">
        <v>854.10377377999998</v>
      </c>
      <c r="R199" s="1761">
        <v>6080.1554299500003</v>
      </c>
      <c r="S199" s="1761">
        <v>4003.6560761000001</v>
      </c>
      <c r="T199" s="1761">
        <v>3865.7335062799998</v>
      </c>
      <c r="U199" s="1761">
        <v>137.92256982000001</v>
      </c>
      <c r="V199" s="1761">
        <v>2076.4993538499998</v>
      </c>
      <c r="W199" s="1761">
        <v>1558.6598786899999</v>
      </c>
      <c r="X199" s="1761">
        <v>517.83947516000001</v>
      </c>
      <c r="Y199" s="1761">
        <v>3239.3891039499999</v>
      </c>
      <c r="Z199" s="1761">
        <v>2280.76239046</v>
      </c>
      <c r="AA199" s="1761">
        <v>2175.3905207399998</v>
      </c>
      <c r="AB199" s="1761">
        <v>105.37186972000001</v>
      </c>
      <c r="AC199" s="1761">
        <v>958.62671349000004</v>
      </c>
      <c r="AD199" s="1761">
        <v>940.90706956999998</v>
      </c>
      <c r="AE199" s="1761">
        <v>17.719643919999999</v>
      </c>
    </row>
    <row r="200" spans="1:31">
      <c r="A200" s="1762" t="s">
        <v>22</v>
      </c>
      <c r="B200" s="1761">
        <v>13678.656195719999</v>
      </c>
      <c r="C200" s="1761">
        <v>8932.56804835</v>
      </c>
      <c r="D200" s="1761">
        <v>4746.0881473700001</v>
      </c>
      <c r="E200" s="1761">
        <v>12366.383327830001</v>
      </c>
      <c r="F200" s="1761">
        <v>8547.5429277300009</v>
      </c>
      <c r="G200" s="1761">
        <v>3818.8404000999999</v>
      </c>
      <c r="H200" s="1761">
        <v>1312.27286789</v>
      </c>
      <c r="I200" s="1761">
        <v>385.02512062</v>
      </c>
      <c r="J200" s="1761">
        <v>927.24774726999999</v>
      </c>
      <c r="K200" s="1761">
        <v>10340.167308849999</v>
      </c>
      <c r="L200" s="1761">
        <v>6551.5990389799999</v>
      </c>
      <c r="M200" s="1761">
        <v>6278.6924500300001</v>
      </c>
      <c r="N200" s="1761">
        <v>272.90658895000001</v>
      </c>
      <c r="O200" s="1761">
        <v>3788.5682698700002</v>
      </c>
      <c r="P200" s="1761">
        <v>2875.8851020900001</v>
      </c>
      <c r="Q200" s="1761">
        <v>912.68316777999996</v>
      </c>
      <c r="R200" s="1761">
        <v>6051.0560320900004</v>
      </c>
      <c r="S200" s="1761">
        <v>3957.19154841</v>
      </c>
      <c r="T200" s="1761">
        <v>3827.1592678400002</v>
      </c>
      <c r="U200" s="1761">
        <v>130.03228057000001</v>
      </c>
      <c r="V200" s="1761">
        <v>2093.8644836799999</v>
      </c>
      <c r="W200" s="1761">
        <v>1527.3754349999999</v>
      </c>
      <c r="X200" s="1761">
        <v>566.48904868</v>
      </c>
      <c r="Y200" s="1761">
        <v>3338.48888687</v>
      </c>
      <c r="Z200" s="1761">
        <v>2380.9690093700001</v>
      </c>
      <c r="AA200" s="1761">
        <v>2268.8504776999998</v>
      </c>
      <c r="AB200" s="1761">
        <v>112.11853167</v>
      </c>
      <c r="AC200" s="1761">
        <v>957.51987750000001</v>
      </c>
      <c r="AD200" s="1761">
        <v>942.95529800999998</v>
      </c>
      <c r="AE200" s="1761">
        <v>14.56457949</v>
      </c>
    </row>
    <row r="201" spans="1:31">
      <c r="A201" s="1762" t="s">
        <v>23</v>
      </c>
      <c r="B201" s="1761">
        <v>14180.70736117</v>
      </c>
      <c r="C201" s="1761">
        <v>9369.6841562000009</v>
      </c>
      <c r="D201" s="1761">
        <v>4811.0232049699998</v>
      </c>
      <c r="E201" s="1761">
        <v>12884.08888039</v>
      </c>
      <c r="F201" s="1761">
        <v>8984.0502236699995</v>
      </c>
      <c r="G201" s="1761">
        <v>3900.0386567199998</v>
      </c>
      <c r="H201" s="1761">
        <v>1296.61848078</v>
      </c>
      <c r="I201" s="1761">
        <v>385.63393252999998</v>
      </c>
      <c r="J201" s="1761">
        <v>910.98454824999999</v>
      </c>
      <c r="K201" s="1761">
        <v>10699.117506619999</v>
      </c>
      <c r="L201" s="1761">
        <v>6888.6412306800003</v>
      </c>
      <c r="M201" s="1761">
        <v>6632.2865333899999</v>
      </c>
      <c r="N201" s="1761">
        <v>256.35469728999999</v>
      </c>
      <c r="O201" s="1761">
        <v>3810.4762759400001</v>
      </c>
      <c r="P201" s="1761">
        <v>2914.1855945000002</v>
      </c>
      <c r="Q201" s="1761">
        <v>896.29068143999996</v>
      </c>
      <c r="R201" s="1761">
        <v>6427.8717803</v>
      </c>
      <c r="S201" s="1761">
        <v>4371.6476527200002</v>
      </c>
      <c r="T201" s="1761">
        <v>4244.1487266699996</v>
      </c>
      <c r="U201" s="1761">
        <v>127.49892604999999</v>
      </c>
      <c r="V201" s="1761">
        <v>2056.2241275800002</v>
      </c>
      <c r="W201" s="1761">
        <v>1566.6030870500001</v>
      </c>
      <c r="X201" s="1761">
        <v>489.62104053000002</v>
      </c>
      <c r="Y201" s="1761">
        <v>3481.5898545499999</v>
      </c>
      <c r="Z201" s="1761">
        <v>2481.0429255200002</v>
      </c>
      <c r="AA201" s="1761">
        <v>2351.76369028</v>
      </c>
      <c r="AB201" s="1761">
        <v>129.27923523999999</v>
      </c>
      <c r="AC201" s="1761">
        <v>1000.54692903</v>
      </c>
      <c r="AD201" s="1761">
        <v>985.85306221999997</v>
      </c>
      <c r="AE201" s="1761">
        <v>14.693866809999999</v>
      </c>
    </row>
    <row r="202" spans="1:31">
      <c r="A202" s="1762" t="s">
        <v>24</v>
      </c>
      <c r="B202" s="1761">
        <v>13963.33135</v>
      </c>
      <c r="C202" s="1761">
        <v>9252.8804737299997</v>
      </c>
      <c r="D202" s="1761">
        <v>4710.4508762699998</v>
      </c>
      <c r="E202" s="1761">
        <v>12741.95371145</v>
      </c>
      <c r="F202" s="1761">
        <v>8859.3352453900006</v>
      </c>
      <c r="G202" s="1761">
        <v>3882.6184660600002</v>
      </c>
      <c r="H202" s="1761">
        <v>1221.37763855</v>
      </c>
      <c r="I202" s="1761">
        <v>393.54522833999999</v>
      </c>
      <c r="J202" s="1761">
        <v>827.83241021000003</v>
      </c>
      <c r="K202" s="1761">
        <v>10301.81347085</v>
      </c>
      <c r="L202" s="1761">
        <v>6639.7169159900004</v>
      </c>
      <c r="M202" s="1761">
        <v>6379.8364376</v>
      </c>
      <c r="N202" s="1761">
        <v>259.88047839000001</v>
      </c>
      <c r="O202" s="1761">
        <v>3662.0965548600002</v>
      </c>
      <c r="P202" s="1761">
        <v>2854.0587292</v>
      </c>
      <c r="Q202" s="1761">
        <v>808.03782565999995</v>
      </c>
      <c r="R202" s="1761">
        <v>5894.0296217799996</v>
      </c>
      <c r="S202" s="1761">
        <v>3971.2981900300001</v>
      </c>
      <c r="T202" s="1761">
        <v>3839.9901620300002</v>
      </c>
      <c r="U202" s="1761">
        <v>131.30802800000001</v>
      </c>
      <c r="V202" s="1761">
        <v>1922.73143175</v>
      </c>
      <c r="W202" s="1761">
        <v>1436.7981583999999</v>
      </c>
      <c r="X202" s="1761">
        <v>485.93327334999998</v>
      </c>
      <c r="Y202" s="1761">
        <v>3661.5178791500002</v>
      </c>
      <c r="Z202" s="1761">
        <v>2613.1635577400002</v>
      </c>
      <c r="AA202" s="1761">
        <v>2479.4988077899998</v>
      </c>
      <c r="AB202" s="1761">
        <v>133.66474994999999</v>
      </c>
      <c r="AC202" s="1761">
        <v>1048.35432141</v>
      </c>
      <c r="AD202" s="1761">
        <v>1028.5597368599999</v>
      </c>
      <c r="AE202" s="1761">
        <v>19.79458455</v>
      </c>
    </row>
    <row r="203" spans="1:31">
      <c r="A203" s="1762" t="s">
        <v>25</v>
      </c>
      <c r="B203" s="1761">
        <v>14185.538765679999</v>
      </c>
      <c r="C203" s="1761">
        <v>9371.6429139100001</v>
      </c>
      <c r="D203" s="1761">
        <v>4813.8958517700003</v>
      </c>
      <c r="E203" s="1761">
        <v>12973.994349430001</v>
      </c>
      <c r="F203" s="1761">
        <v>8973.3302263200003</v>
      </c>
      <c r="G203" s="1761">
        <v>4000.6641231100002</v>
      </c>
      <c r="H203" s="1761">
        <v>1211.54441625</v>
      </c>
      <c r="I203" s="1761">
        <v>398.31268759</v>
      </c>
      <c r="J203" s="1761">
        <v>813.23172866000004</v>
      </c>
      <c r="K203" s="1761">
        <v>10455.635607349999</v>
      </c>
      <c r="L203" s="1761">
        <v>6676.3959518600004</v>
      </c>
      <c r="M203" s="1761">
        <v>6419.6465238600003</v>
      </c>
      <c r="N203" s="1761">
        <v>256.74942800000002</v>
      </c>
      <c r="O203" s="1761">
        <v>3779.2396554900001</v>
      </c>
      <c r="P203" s="1761">
        <v>2986.0178044499999</v>
      </c>
      <c r="Q203" s="1761">
        <v>793.22185104000005</v>
      </c>
      <c r="R203" s="1761">
        <v>5968.5104264700003</v>
      </c>
      <c r="S203" s="1761">
        <v>4002.7037036699999</v>
      </c>
      <c r="T203" s="1761">
        <v>3877.2415366199998</v>
      </c>
      <c r="U203" s="1761">
        <v>125.46216705000001</v>
      </c>
      <c r="V203" s="1761">
        <v>1965.8067228</v>
      </c>
      <c r="W203" s="1761">
        <v>1546.5093169199999</v>
      </c>
      <c r="X203" s="1761">
        <v>419.29740587999999</v>
      </c>
      <c r="Y203" s="1761">
        <v>3729.9031583300002</v>
      </c>
      <c r="Z203" s="1761">
        <v>2695.2469620500001</v>
      </c>
      <c r="AA203" s="1761">
        <v>2553.6837024599999</v>
      </c>
      <c r="AB203" s="1761">
        <v>141.56325959</v>
      </c>
      <c r="AC203" s="1761">
        <v>1034.6561962799999</v>
      </c>
      <c r="AD203" s="1761">
        <v>1014.64631866</v>
      </c>
      <c r="AE203" s="1761">
        <v>20.009877620000001</v>
      </c>
    </row>
    <row r="204" spans="1:31">
      <c r="A204" s="1762" t="s">
        <v>26</v>
      </c>
      <c r="B204" s="1761">
        <v>14163.95359743</v>
      </c>
      <c r="C204" s="1761">
        <v>9346.7035968199998</v>
      </c>
      <c r="D204" s="1761">
        <v>4817.2500006099999</v>
      </c>
      <c r="E204" s="1761">
        <v>12938.507671560001</v>
      </c>
      <c r="F204" s="1761">
        <v>8946.3853670999997</v>
      </c>
      <c r="G204" s="1761">
        <v>3992.1223044600001</v>
      </c>
      <c r="H204" s="1761">
        <v>1225.4459258700001</v>
      </c>
      <c r="I204" s="1761">
        <v>400.31822971999998</v>
      </c>
      <c r="J204" s="1761">
        <v>825.12769615000002</v>
      </c>
      <c r="K204" s="1761">
        <v>10364.626004420001</v>
      </c>
      <c r="L204" s="1761">
        <v>6571.8846091200003</v>
      </c>
      <c r="M204" s="1761">
        <v>6315.7976048500004</v>
      </c>
      <c r="N204" s="1761">
        <v>256.08700427000002</v>
      </c>
      <c r="O204" s="1761">
        <v>3792.7413953</v>
      </c>
      <c r="P204" s="1761">
        <v>2989.0158701300002</v>
      </c>
      <c r="Q204" s="1761">
        <v>803.72552516999997</v>
      </c>
      <c r="R204" s="1761">
        <v>5919.5647172500003</v>
      </c>
      <c r="S204" s="1761">
        <v>3974.8512134299999</v>
      </c>
      <c r="T204" s="1761">
        <v>3848.5438418399999</v>
      </c>
      <c r="U204" s="1761">
        <v>126.30737159</v>
      </c>
      <c r="V204" s="1761">
        <v>1944.7135038199999</v>
      </c>
      <c r="W204" s="1761">
        <v>1518.45676647</v>
      </c>
      <c r="X204" s="1761">
        <v>426.25673734999998</v>
      </c>
      <c r="Y204" s="1761">
        <v>3799.3275930099999</v>
      </c>
      <c r="Z204" s="1761">
        <v>2774.8189877</v>
      </c>
      <c r="AA204" s="1761">
        <v>2630.5877622500002</v>
      </c>
      <c r="AB204" s="1761">
        <v>144.23122545000001</v>
      </c>
      <c r="AC204" s="1761">
        <v>1024.5086053099999</v>
      </c>
      <c r="AD204" s="1761">
        <v>1003.10643433</v>
      </c>
      <c r="AE204" s="1761">
        <v>21.402170980000001</v>
      </c>
    </row>
    <row r="205" spans="1:31">
      <c r="A205" s="1762">
        <v>10</v>
      </c>
      <c r="B205" s="1761">
        <v>14265.991405889999</v>
      </c>
      <c r="C205" s="1761">
        <v>9481.7043782700002</v>
      </c>
      <c r="D205" s="1761">
        <v>4784.2870276200001</v>
      </c>
      <c r="E205" s="1761">
        <v>13037.20933193</v>
      </c>
      <c r="F205" s="1761">
        <v>9068.3451529800004</v>
      </c>
      <c r="G205" s="1761">
        <v>3968.8641789500002</v>
      </c>
      <c r="H205" s="1761">
        <v>1228.7820739599999</v>
      </c>
      <c r="I205" s="1761">
        <v>413.35922528999998</v>
      </c>
      <c r="J205" s="1761">
        <v>815.42284867000001</v>
      </c>
      <c r="K205" s="1761">
        <v>10367.45078252</v>
      </c>
      <c r="L205" s="1761">
        <v>6600.4553703000001</v>
      </c>
      <c r="M205" s="1761">
        <v>6339.9326012800002</v>
      </c>
      <c r="N205" s="1761">
        <v>260.52276902</v>
      </c>
      <c r="O205" s="1761">
        <v>3766.9954122200002</v>
      </c>
      <c r="P205" s="1761">
        <v>2973.05608648</v>
      </c>
      <c r="Q205" s="1761">
        <v>793.93932573999996</v>
      </c>
      <c r="R205" s="1761">
        <v>5948.7440118599998</v>
      </c>
      <c r="S205" s="1761">
        <v>4034.65036736</v>
      </c>
      <c r="T205" s="1761">
        <v>3902.7583979599999</v>
      </c>
      <c r="U205" s="1761">
        <v>131.89196939999999</v>
      </c>
      <c r="V205" s="1761">
        <v>1914.0936445</v>
      </c>
      <c r="W205" s="1761">
        <v>1480.6661718099999</v>
      </c>
      <c r="X205" s="1761">
        <v>433.42747269</v>
      </c>
      <c r="Y205" s="1761">
        <v>3898.54062337</v>
      </c>
      <c r="Z205" s="1761">
        <v>2881.2490079700001</v>
      </c>
      <c r="AA205" s="1761">
        <v>2728.4125517000002</v>
      </c>
      <c r="AB205" s="1761">
        <v>152.83645627000001</v>
      </c>
      <c r="AC205" s="1761">
        <v>1017.2916154</v>
      </c>
      <c r="AD205" s="1761">
        <v>995.80809247000002</v>
      </c>
      <c r="AE205" s="1761">
        <v>21.483522929999999</v>
      </c>
    </row>
    <row r="206" spans="1:31">
      <c r="A206" s="1762">
        <v>11</v>
      </c>
      <c r="B206" s="1761">
        <v>14235.57581221</v>
      </c>
      <c r="C206" s="1761">
        <v>9380.4980992000001</v>
      </c>
      <c r="D206" s="1761">
        <v>4855.0777130099996</v>
      </c>
      <c r="E206" s="1761">
        <v>13012.884440129999</v>
      </c>
      <c r="F206" s="1761">
        <v>8969.4185061499993</v>
      </c>
      <c r="G206" s="1761">
        <v>4043.46593398</v>
      </c>
      <c r="H206" s="1761">
        <v>1222.6913720800001</v>
      </c>
      <c r="I206" s="1761">
        <v>411.07959305000003</v>
      </c>
      <c r="J206" s="1761">
        <v>811.61177902999998</v>
      </c>
      <c r="K206" s="1761">
        <v>10239.171395060001</v>
      </c>
      <c r="L206" s="1761">
        <v>6403.5933974899999</v>
      </c>
      <c r="M206" s="1761">
        <v>6151.2131034200002</v>
      </c>
      <c r="N206" s="1761">
        <v>252.38029406999999</v>
      </c>
      <c r="O206" s="1761">
        <v>3835.5779975700002</v>
      </c>
      <c r="P206" s="1761">
        <v>3051.22782474</v>
      </c>
      <c r="Q206" s="1761">
        <v>784.35017283000002</v>
      </c>
      <c r="R206" s="1761">
        <v>5860.4704417200001</v>
      </c>
      <c r="S206" s="1761">
        <v>3912.3338641</v>
      </c>
      <c r="T206" s="1761">
        <v>3784.6258293699998</v>
      </c>
      <c r="U206" s="1761">
        <v>127.70803472999999</v>
      </c>
      <c r="V206" s="1761">
        <v>1948.13657762</v>
      </c>
      <c r="W206" s="1761">
        <v>1518.19759658</v>
      </c>
      <c r="X206" s="1761">
        <v>429.93898103999999</v>
      </c>
      <c r="Y206" s="1761">
        <v>3996.40441715</v>
      </c>
      <c r="Z206" s="1761">
        <v>2976.9047017100002</v>
      </c>
      <c r="AA206" s="1761">
        <v>2818.2054027300001</v>
      </c>
      <c r="AB206" s="1761">
        <v>158.69929898000001</v>
      </c>
      <c r="AC206" s="1761">
        <v>1019.49971544</v>
      </c>
      <c r="AD206" s="1761">
        <v>992.23810923999997</v>
      </c>
      <c r="AE206" s="1761">
        <v>27.261606199999999</v>
      </c>
    </row>
    <row r="207" spans="1:31">
      <c r="A207" s="1762">
        <v>12</v>
      </c>
      <c r="B207" s="1761">
        <v>14661.94938401</v>
      </c>
      <c r="C207" s="1761">
        <v>9730.0478426400005</v>
      </c>
      <c r="D207" s="1761">
        <v>4931.9015413699999</v>
      </c>
      <c r="E207" s="1761">
        <v>13333.9245108</v>
      </c>
      <c r="F207" s="1761">
        <v>9258.0682788100003</v>
      </c>
      <c r="G207" s="1761">
        <v>4075.8562319900002</v>
      </c>
      <c r="H207" s="1761">
        <v>1328.0248732099999</v>
      </c>
      <c r="I207" s="1761">
        <v>471.97956383000002</v>
      </c>
      <c r="J207" s="1761">
        <v>856.04530938000005</v>
      </c>
      <c r="K207" s="1761">
        <v>10572.95228851</v>
      </c>
      <c r="L207" s="1761">
        <v>6657.5295488199999</v>
      </c>
      <c r="M207" s="1761">
        <v>6352.3820338899995</v>
      </c>
      <c r="N207" s="1761">
        <v>305.14751493</v>
      </c>
      <c r="O207" s="1761">
        <v>3915.4227396900001</v>
      </c>
      <c r="P207" s="1761">
        <v>3087.3715228199999</v>
      </c>
      <c r="Q207" s="1761">
        <v>828.05121686999996</v>
      </c>
      <c r="R207" s="1761">
        <v>6058.9693072600003</v>
      </c>
      <c r="S207" s="1761">
        <v>4149.86652753</v>
      </c>
      <c r="T207" s="1761">
        <v>3990.4939234799999</v>
      </c>
      <c r="U207" s="1761">
        <v>159.37260405000001</v>
      </c>
      <c r="V207" s="1761">
        <v>1909.1027797300001</v>
      </c>
      <c r="W207" s="1761">
        <v>1488.3318022999999</v>
      </c>
      <c r="X207" s="1761">
        <v>420.77097743000002</v>
      </c>
      <c r="Y207" s="1761">
        <v>4088.9970954999999</v>
      </c>
      <c r="Z207" s="1761">
        <v>3072.5182938200001</v>
      </c>
      <c r="AA207" s="1761">
        <v>2905.6862449199998</v>
      </c>
      <c r="AB207" s="1761">
        <v>166.83204889999999</v>
      </c>
      <c r="AC207" s="1761">
        <v>1016.4788016799999</v>
      </c>
      <c r="AD207" s="1761">
        <v>988.48470916999997</v>
      </c>
      <c r="AE207" s="1761">
        <v>27.994092510000002</v>
      </c>
    </row>
    <row r="208" spans="1:31">
      <c r="A208" s="1762">
        <v>2025</v>
      </c>
      <c r="B208" s="1761"/>
      <c r="C208" s="1761"/>
      <c r="D208" s="1761"/>
      <c r="E208" s="1761"/>
      <c r="F208" s="1761"/>
      <c r="G208" s="1761"/>
      <c r="H208" s="1761"/>
      <c r="I208" s="1761"/>
      <c r="J208" s="1761"/>
      <c r="K208" s="1761"/>
      <c r="L208" s="1761"/>
      <c r="M208" s="1761"/>
      <c r="N208" s="1761"/>
      <c r="O208" s="1761"/>
      <c r="P208" s="1761"/>
      <c r="Q208" s="1761"/>
      <c r="R208" s="1761"/>
      <c r="S208" s="1761"/>
      <c r="T208" s="1761"/>
      <c r="U208" s="1761"/>
      <c r="V208" s="1761"/>
      <c r="W208" s="1761"/>
      <c r="X208" s="1761"/>
      <c r="Y208" s="1761"/>
      <c r="Z208" s="1761"/>
      <c r="AA208" s="1761"/>
      <c r="AB208" s="1761"/>
      <c r="AC208" s="1761"/>
      <c r="AD208" s="1761"/>
      <c r="AE208" s="1761"/>
    </row>
    <row r="209" spans="1:31">
      <c r="A209" s="1762" t="s">
        <v>18</v>
      </c>
      <c r="B209" s="1761">
        <v>14698.65421431</v>
      </c>
      <c r="C209" s="1761">
        <v>9781.0876976300005</v>
      </c>
      <c r="D209" s="1761">
        <v>4917.5665166799999</v>
      </c>
      <c r="E209" s="1761">
        <v>13367.133686130001</v>
      </c>
      <c r="F209" s="1761">
        <v>9295.6171774100003</v>
      </c>
      <c r="G209" s="1761">
        <v>4071.5165087199998</v>
      </c>
      <c r="H209" s="1761">
        <v>1331.5205281799999</v>
      </c>
      <c r="I209" s="1761">
        <v>485.47052022000003</v>
      </c>
      <c r="J209" s="1761">
        <v>846.05000796000002</v>
      </c>
      <c r="K209" s="1761">
        <v>10487.90339867</v>
      </c>
      <c r="L209" s="1761">
        <v>6580.8893628899996</v>
      </c>
      <c r="M209" s="1761">
        <v>6260.0986357299998</v>
      </c>
      <c r="N209" s="1761">
        <v>320.79072716000002</v>
      </c>
      <c r="O209" s="1761">
        <v>3907.0140357800001</v>
      </c>
      <c r="P209" s="1761">
        <v>3089.1507205799999</v>
      </c>
      <c r="Q209" s="1761">
        <v>817.86331519999999</v>
      </c>
      <c r="R209" s="1761">
        <v>5949.7142307000004</v>
      </c>
      <c r="S209" s="1761">
        <v>4074.1833236100001</v>
      </c>
      <c r="T209" s="1761">
        <v>3941.8649368699998</v>
      </c>
      <c r="U209" s="1761">
        <v>132.31838673999999</v>
      </c>
      <c r="V209" s="1761">
        <v>1875.53090709</v>
      </c>
      <c r="W209" s="1761">
        <v>1456.3214013500001</v>
      </c>
      <c r="X209" s="1761">
        <v>419.20950574</v>
      </c>
      <c r="Y209" s="1761">
        <v>4210.7508156399999</v>
      </c>
      <c r="Z209" s="1761">
        <v>3200.1983347400001</v>
      </c>
      <c r="AA209" s="1761">
        <v>3035.51854168</v>
      </c>
      <c r="AB209" s="1761">
        <v>164.67979306000001</v>
      </c>
      <c r="AC209" s="1761">
        <v>1010.5524809</v>
      </c>
      <c r="AD209" s="1761">
        <v>982.36578813999995</v>
      </c>
      <c r="AE209" s="1761">
        <v>28.18669276</v>
      </c>
    </row>
    <row r="210" spans="1:31">
      <c r="A210" s="1762" t="s">
        <v>19</v>
      </c>
      <c r="B210" s="1761">
        <v>14835.865925030001</v>
      </c>
      <c r="C210" s="1761">
        <v>9932.7997755199995</v>
      </c>
      <c r="D210" s="1761">
        <v>4903.0661495100003</v>
      </c>
      <c r="E210" s="1761">
        <v>13590.34553907</v>
      </c>
      <c r="F210" s="1761">
        <v>9444.5670324700004</v>
      </c>
      <c r="G210" s="1761">
        <v>4145.7785065999997</v>
      </c>
      <c r="H210" s="1761">
        <v>1245.5203859600001</v>
      </c>
      <c r="I210" s="1761">
        <v>488.23274305000001</v>
      </c>
      <c r="J210" s="1761">
        <v>757.28764291000005</v>
      </c>
      <c r="K210" s="1761">
        <v>10570.713726100001</v>
      </c>
      <c r="L210" s="1761">
        <v>6696.74920862</v>
      </c>
      <c r="M210" s="1761">
        <v>6374.4235581399998</v>
      </c>
      <c r="N210" s="1761">
        <v>322.32565047999998</v>
      </c>
      <c r="O210" s="1761">
        <v>3873.9645174799998</v>
      </c>
      <c r="P210" s="1761">
        <v>3164.5071280299999</v>
      </c>
      <c r="Q210" s="1761">
        <v>709.45738945000005</v>
      </c>
      <c r="R210" s="1761">
        <v>6029.0852152099997</v>
      </c>
      <c r="S210" s="1761">
        <v>4191.5900717200002</v>
      </c>
      <c r="T210" s="1761">
        <v>4058.9765914099999</v>
      </c>
      <c r="U210" s="1761">
        <v>132.61348031</v>
      </c>
      <c r="V210" s="1761">
        <v>1837.4951434899999</v>
      </c>
      <c r="W210" s="1761">
        <v>1434.6885496800001</v>
      </c>
      <c r="X210" s="1761">
        <v>402.80659380999998</v>
      </c>
      <c r="Y210" s="1761">
        <v>4265.1521989299999</v>
      </c>
      <c r="Z210" s="1761">
        <v>3236.0505668999999</v>
      </c>
      <c r="AA210" s="1761">
        <v>3070.1434743300001</v>
      </c>
      <c r="AB210" s="1761">
        <v>165.90709257</v>
      </c>
      <c r="AC210" s="1761">
        <v>1029.10163203</v>
      </c>
      <c r="AD210" s="1761">
        <v>981.27137857000002</v>
      </c>
      <c r="AE210" s="1761">
        <v>47.830253460000002</v>
      </c>
    </row>
    <row r="211" spans="1:31">
      <c r="A211" s="1762" t="s">
        <v>20</v>
      </c>
      <c r="B211" s="1761">
        <v>15074.000669290001</v>
      </c>
      <c r="C211" s="1761">
        <v>10090.14707049</v>
      </c>
      <c r="D211" s="1761">
        <v>4983.8535988000003</v>
      </c>
      <c r="E211" s="1761">
        <v>13742.68362342</v>
      </c>
      <c r="F211" s="1761">
        <v>9605.6818099100001</v>
      </c>
      <c r="G211" s="1761">
        <v>4137.0018135099999</v>
      </c>
      <c r="H211" s="1761">
        <v>1331.3170458699999</v>
      </c>
      <c r="I211" s="1761">
        <v>484.46526058000001</v>
      </c>
      <c r="J211" s="1761">
        <v>846.85178528999995</v>
      </c>
      <c r="K211" s="1761">
        <v>10689.710773000001</v>
      </c>
      <c r="L211" s="1761">
        <v>6750.7738895700004</v>
      </c>
      <c r="M211" s="1761">
        <v>6436.3042954399998</v>
      </c>
      <c r="N211" s="1761">
        <v>314.46959413000002</v>
      </c>
      <c r="O211" s="1761">
        <v>3938.9368834299999</v>
      </c>
      <c r="P211" s="1761">
        <v>3140.1874912799999</v>
      </c>
      <c r="Q211" s="1761">
        <v>798.74939214999995</v>
      </c>
      <c r="R211" s="1761">
        <v>6062.3633540500005</v>
      </c>
      <c r="S211" s="1761">
        <v>4211.0510741400003</v>
      </c>
      <c r="T211" s="1761">
        <v>4087.8701999800001</v>
      </c>
      <c r="U211" s="1761">
        <v>123.18087416</v>
      </c>
      <c r="V211" s="1761">
        <v>1851.3122799099999</v>
      </c>
      <c r="W211" s="1761">
        <v>1455.0677395</v>
      </c>
      <c r="X211" s="1761">
        <v>396.24454041000001</v>
      </c>
      <c r="Y211" s="1761">
        <v>4384.2898962899999</v>
      </c>
      <c r="Z211" s="1761">
        <v>3339.3731809199999</v>
      </c>
      <c r="AA211" s="1761">
        <v>3169.3775144699998</v>
      </c>
      <c r="AB211" s="1761">
        <v>169.99566644999999</v>
      </c>
      <c r="AC211" s="1761">
        <v>1044.91671537</v>
      </c>
      <c r="AD211" s="1761">
        <v>996.81432223000002</v>
      </c>
      <c r="AE211" s="1761">
        <v>48.102393139999997</v>
      </c>
    </row>
    <row r="212" spans="1:31">
      <c r="A212" s="1762" t="s">
        <v>21</v>
      </c>
      <c r="B212" s="1761">
        <v>14852.993585669999</v>
      </c>
      <c r="C212" s="1761">
        <v>9923.2553766199999</v>
      </c>
      <c r="D212" s="1761">
        <v>4929.7382090499996</v>
      </c>
      <c r="E212" s="1761">
        <v>13508.07799602</v>
      </c>
      <c r="F212" s="1761">
        <v>9423.3952316699997</v>
      </c>
      <c r="G212" s="1761">
        <v>4084.6827643500001</v>
      </c>
      <c r="H212" s="1761">
        <v>1344.9155896499999</v>
      </c>
      <c r="I212" s="1761">
        <v>499.86014495000001</v>
      </c>
      <c r="J212" s="1761">
        <v>845.05544469999995</v>
      </c>
      <c r="K212" s="1761">
        <v>10324.361184310001</v>
      </c>
      <c r="L212" s="1761">
        <v>6430.9081164099998</v>
      </c>
      <c r="M212" s="1761">
        <v>6113.2445439499998</v>
      </c>
      <c r="N212" s="1761">
        <v>317.66357246000001</v>
      </c>
      <c r="O212" s="1761">
        <v>3893.4530679</v>
      </c>
      <c r="P212" s="1761">
        <v>3097.5022285300001</v>
      </c>
      <c r="Q212" s="1761">
        <v>795.95083937000004</v>
      </c>
      <c r="R212" s="1761">
        <v>5714.7369915700001</v>
      </c>
      <c r="S212" s="1761">
        <v>3920.9937029500002</v>
      </c>
      <c r="T212" s="1761">
        <v>3776.0741987900001</v>
      </c>
      <c r="U212" s="1761">
        <v>144.91950416</v>
      </c>
      <c r="V212" s="1761">
        <v>1793.7432886199999</v>
      </c>
      <c r="W212" s="1761">
        <v>1383.34982188</v>
      </c>
      <c r="X212" s="1761">
        <v>410.39346674000001</v>
      </c>
      <c r="Y212" s="1761">
        <v>4528.6324013599997</v>
      </c>
      <c r="Z212" s="1761">
        <v>3492.3472602100001</v>
      </c>
      <c r="AA212" s="1761">
        <v>3310.15068772</v>
      </c>
      <c r="AB212" s="1761">
        <v>182.19657248999999</v>
      </c>
      <c r="AC212" s="1761">
        <v>1036.2851411500001</v>
      </c>
      <c r="AD212" s="1761">
        <v>987.18053582000005</v>
      </c>
      <c r="AE212" s="1761">
        <v>49.104605329999998</v>
      </c>
    </row>
    <row r="213" spans="1:31" ht="15.6" customHeight="1">
      <c r="A213" s="2191" t="s">
        <v>22</v>
      </c>
      <c r="B213" s="2192">
        <v>15063.011597229999</v>
      </c>
      <c r="C213" s="2192">
        <v>10135.961725949999</v>
      </c>
      <c r="D213" s="2192">
        <v>4927.0498712799999</v>
      </c>
      <c r="E213" s="2192">
        <v>13698.826089280001</v>
      </c>
      <c r="F213" s="2192">
        <v>9612.6976458499994</v>
      </c>
      <c r="G213" s="2192">
        <v>4086.1284434300001</v>
      </c>
      <c r="H213" s="2192">
        <v>1364.1855079500001</v>
      </c>
      <c r="I213" s="2192">
        <v>523.2640801</v>
      </c>
      <c r="J213" s="2192">
        <v>840.92142784999999</v>
      </c>
      <c r="K213" s="2192">
        <v>10354.72427572</v>
      </c>
      <c r="L213" s="2192">
        <v>6515.0765648899996</v>
      </c>
      <c r="M213" s="2192">
        <v>6219.9963545600003</v>
      </c>
      <c r="N213" s="2192">
        <v>295.08021033</v>
      </c>
      <c r="O213" s="2192">
        <v>3839.6477108300001</v>
      </c>
      <c r="P213" s="2192">
        <v>3093.7576917599999</v>
      </c>
      <c r="Q213" s="2192">
        <v>745.89001906999999</v>
      </c>
      <c r="R213" s="2192">
        <v>5862.1701354099996</v>
      </c>
      <c r="S213" s="2192">
        <v>4024.19741845</v>
      </c>
      <c r="T213" s="2192">
        <v>3891.3015130200001</v>
      </c>
      <c r="U213" s="2192">
        <v>132.89590543</v>
      </c>
      <c r="V213" s="2192">
        <v>1837.9727169600001</v>
      </c>
      <c r="W213" s="2192">
        <v>1433.2588400100001</v>
      </c>
      <c r="X213" s="2192">
        <v>404.71387694999999</v>
      </c>
      <c r="Y213" s="2192">
        <v>4708.2873215099999</v>
      </c>
      <c r="Z213" s="2192">
        <v>3620.88516106</v>
      </c>
      <c r="AA213" s="2192">
        <v>3392.70129129</v>
      </c>
      <c r="AB213" s="2192">
        <v>228.18386977</v>
      </c>
      <c r="AC213" s="2192">
        <v>1087.4021604500001</v>
      </c>
      <c r="AD213" s="2192">
        <v>992.37075167</v>
      </c>
      <c r="AE213" s="2192">
        <v>95.031408780000007</v>
      </c>
    </row>
    <row r="214" spans="1:31" s="1764" customFormat="1" ht="27" customHeight="1">
      <c r="A214" s="2578" t="s">
        <v>2714</v>
      </c>
      <c r="B214" s="2578"/>
      <c r="C214" s="2578"/>
      <c r="D214" s="2578"/>
      <c r="E214" s="2578"/>
      <c r="F214" s="2578"/>
      <c r="G214" s="2578"/>
      <c r="H214" s="2578"/>
      <c r="I214" s="2578"/>
      <c r="J214" s="2578"/>
      <c r="K214" s="2578"/>
      <c r="L214" s="2578"/>
      <c r="M214" s="2578"/>
      <c r="N214" s="2578"/>
      <c r="O214" s="2578"/>
      <c r="P214" s="2578"/>
      <c r="Q214" s="2578"/>
      <c r="R214" s="2578"/>
      <c r="S214" s="2578"/>
      <c r="T214" s="2578"/>
      <c r="U214" s="2578"/>
      <c r="V214" s="2578"/>
      <c r="W214" s="2578"/>
      <c r="X214" s="2578"/>
      <c r="Y214" s="2578"/>
      <c r="Z214" s="2578"/>
      <c r="AA214" s="2578"/>
      <c r="AB214" s="2578"/>
      <c r="AC214" s="2578"/>
      <c r="AD214" s="2578"/>
      <c r="AE214" s="2579"/>
    </row>
    <row r="215" spans="1:31" s="1764" customFormat="1">
      <c r="A215" s="2577" t="s">
        <v>2702</v>
      </c>
      <c r="B215" s="2577"/>
      <c r="C215" s="2577"/>
      <c r="D215" s="2577"/>
      <c r="E215" s="2577"/>
      <c r="F215" s="2577"/>
      <c r="G215" s="2577"/>
      <c r="H215" s="2577"/>
      <c r="I215" s="2577"/>
      <c r="J215" s="2577"/>
      <c r="K215" s="2577"/>
      <c r="L215" s="2577"/>
      <c r="M215" s="2577"/>
      <c r="N215" s="2577"/>
      <c r="O215" s="2577"/>
      <c r="P215" s="2577"/>
      <c r="Q215" s="2577"/>
      <c r="R215" s="2577"/>
      <c r="S215" s="2577"/>
      <c r="T215" s="2577"/>
      <c r="U215" s="2577"/>
      <c r="V215" s="2577"/>
      <c r="W215" s="2577"/>
      <c r="X215" s="2577"/>
      <c r="Y215" s="2577"/>
      <c r="Z215" s="2577"/>
      <c r="AA215" s="2577"/>
      <c r="AB215" s="2577"/>
      <c r="AC215" s="2577"/>
      <c r="AD215" s="2577"/>
      <c r="AE215" s="2577"/>
    </row>
    <row r="216" spans="1:31">
      <c r="B216" s="1827"/>
      <c r="C216" s="1827"/>
      <c r="D216" s="1827"/>
      <c r="E216" s="1827"/>
      <c r="F216" s="1827"/>
      <c r="G216" s="1827"/>
      <c r="H216" s="1827"/>
      <c r="I216" s="1827"/>
      <c r="J216" s="1827"/>
      <c r="K216" s="1827"/>
      <c r="L216" s="1827"/>
      <c r="M216" s="1827"/>
      <c r="N216" s="1827"/>
      <c r="O216" s="1827"/>
      <c r="P216" s="1827"/>
      <c r="Q216" s="1827"/>
      <c r="R216" s="1827"/>
      <c r="S216" s="1827"/>
      <c r="T216" s="1827"/>
      <c r="U216" s="1827"/>
      <c r="V216" s="1827"/>
      <c r="W216" s="1827"/>
      <c r="X216" s="1827"/>
      <c r="Y216" s="1827"/>
      <c r="Z216" s="1827"/>
      <c r="AA216" s="1827"/>
      <c r="AB216" s="1827"/>
      <c r="AC216" s="1827"/>
      <c r="AD216" s="1827"/>
      <c r="AE216" s="1827"/>
    </row>
    <row r="217" spans="1:31" ht="15.75">
      <c r="A217" s="1765"/>
      <c r="B217" s="1766"/>
      <c r="C217" s="1827"/>
      <c r="D217" s="1827"/>
      <c r="E217" s="1766"/>
      <c r="F217" s="1766"/>
      <c r="G217" s="1766"/>
    </row>
    <row r="218" spans="1:31">
      <c r="B218" s="1767"/>
      <c r="C218" s="1767"/>
      <c r="D218" s="1767"/>
      <c r="E218" s="1767"/>
      <c r="F218" s="1767"/>
      <c r="G218" s="1767"/>
      <c r="H218" s="1767"/>
      <c r="I218" s="1767"/>
      <c r="J218" s="1767"/>
      <c r="K218" s="1767"/>
      <c r="L218" s="1767"/>
      <c r="M218" s="1767"/>
      <c r="N218" s="1767"/>
      <c r="O218" s="1767"/>
      <c r="P218" s="1767"/>
      <c r="Q218" s="1767"/>
      <c r="R218" s="1767"/>
      <c r="S218" s="1767"/>
      <c r="T218" s="1767"/>
      <c r="U218" s="1767"/>
      <c r="V218" s="1767"/>
      <c r="W218" s="1767"/>
      <c r="X218" s="1767"/>
      <c r="Y218" s="1767"/>
      <c r="Z218" s="1767"/>
      <c r="AA218" s="1767"/>
      <c r="AB218" s="1767"/>
      <c r="AC218" s="1767"/>
      <c r="AD218" s="1767"/>
      <c r="AE218" s="1767"/>
    </row>
    <row r="292" spans="7:8">
      <c r="G292" s="1768"/>
      <c r="H292" s="1768"/>
    </row>
  </sheetData>
  <mergeCells count="67">
    <mergeCell ref="A2:AE2"/>
    <mergeCell ref="A3:AE3"/>
    <mergeCell ref="AB5:AE5"/>
    <mergeCell ref="A6:A9"/>
    <mergeCell ref="B6:B9"/>
    <mergeCell ref="C6:D7"/>
    <mergeCell ref="E6:E9"/>
    <mergeCell ref="F6:G7"/>
    <mergeCell ref="H6:H9"/>
    <mergeCell ref="I6:J7"/>
    <mergeCell ref="P6:Q7"/>
    <mergeCell ref="R6:R9"/>
    <mergeCell ref="N8:N9"/>
    <mergeCell ref="P8:P9"/>
    <mergeCell ref="Q8:Q9"/>
    <mergeCell ref="AA6:AB7"/>
    <mergeCell ref="AC6:AC9"/>
    <mergeCell ref="AD6:AE7"/>
    <mergeCell ref="C8:C9"/>
    <mergeCell ref="D8:D9"/>
    <mergeCell ref="F8:F9"/>
    <mergeCell ref="G8:G9"/>
    <mergeCell ref="I8:I9"/>
    <mergeCell ref="J8:J9"/>
    <mergeCell ref="M8:M9"/>
    <mergeCell ref="S6:S9"/>
    <mergeCell ref="T6:U7"/>
    <mergeCell ref="V6:V9"/>
    <mergeCell ref="W6:X7"/>
    <mergeCell ref="Y6:Y9"/>
    <mergeCell ref="Z6:Z9"/>
    <mergeCell ref="AD8:AD9"/>
    <mergeCell ref="T8:T9"/>
    <mergeCell ref="U8:U9"/>
    <mergeCell ref="W8:W9"/>
    <mergeCell ref="X8:X9"/>
    <mergeCell ref="K6:K9"/>
    <mergeCell ref="L6:L9"/>
    <mergeCell ref="M6:N7"/>
    <mergeCell ref="O6:O9"/>
    <mergeCell ref="B10:B11"/>
    <mergeCell ref="C10:D10"/>
    <mergeCell ref="E10:E11"/>
    <mergeCell ref="F10:G10"/>
    <mergeCell ref="H10:H11"/>
    <mergeCell ref="AA8:AA9"/>
    <mergeCell ref="AB8:AB9"/>
    <mergeCell ref="A215:AE215"/>
    <mergeCell ref="Z10:Z11"/>
    <mergeCell ref="AA10:AB10"/>
    <mergeCell ref="AC10:AC11"/>
    <mergeCell ref="AD10:AE10"/>
    <mergeCell ref="A214:AE214"/>
    <mergeCell ref="R10:R11"/>
    <mergeCell ref="S10:S11"/>
    <mergeCell ref="T10:U10"/>
    <mergeCell ref="V10:V11"/>
    <mergeCell ref="W10:X10"/>
    <mergeCell ref="AE8:AE9"/>
    <mergeCell ref="A10:A11"/>
    <mergeCell ref="Y10:Y11"/>
    <mergeCell ref="I10:J10"/>
    <mergeCell ref="K10:K11"/>
    <mergeCell ref="L10:L11"/>
    <mergeCell ref="O10:O11"/>
    <mergeCell ref="P10:Q10"/>
    <mergeCell ref="M10:N10"/>
  </mergeCells>
  <phoneticPr fontId="352" type="noConversion"/>
  <pageMargins left="0.18" right="0.17" top="0.75" bottom="0.75" header="0.3" footer="0.3"/>
  <pageSetup scale="19"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2">
    <tabColor rgb="FF92D050"/>
    <pageSetUpPr fitToPage="1"/>
  </sheetPr>
  <dimension ref="A2:CB42"/>
  <sheetViews>
    <sheetView showGridLines="0" view="pageBreakPreview" zoomScale="70" zoomScaleSheetLayoutView="70" workbookViewId="0">
      <pane ySplit="11" topLeftCell="A12" activePane="bottomLeft" state="frozen"/>
      <selection activeCell="B39" sqref="B39"/>
      <selection pane="bottomLeft" activeCell="T46" sqref="T46"/>
    </sheetView>
  </sheetViews>
  <sheetFormatPr defaultColWidth="8.85546875" defaultRowHeight="15"/>
  <cols>
    <col min="1" max="1" width="39.5703125" style="110" customWidth="1"/>
    <col min="2" max="2" width="15.42578125" style="111" customWidth="1"/>
    <col min="3" max="3" width="18.5703125" style="109" bestFit="1" customWidth="1"/>
    <col min="4" max="4" width="14" style="101" customWidth="1"/>
    <col min="5" max="5" width="10.5703125" style="109" customWidth="1"/>
    <col min="6" max="6" width="14" style="101" customWidth="1"/>
    <col min="7" max="7" width="10.5703125" style="109" customWidth="1"/>
    <col min="8" max="8" width="14" style="101" customWidth="1"/>
    <col min="9" max="9" width="10.5703125" style="109" customWidth="1"/>
    <col min="10" max="10" width="14" style="101" customWidth="1"/>
    <col min="11" max="11" width="10.5703125" style="109" customWidth="1"/>
    <col min="12" max="12" width="14" style="101" customWidth="1"/>
    <col min="13" max="13" width="10.5703125" style="109" customWidth="1"/>
    <col min="14" max="14" width="14" style="101" customWidth="1"/>
    <col min="15" max="15" width="10.5703125" style="109" customWidth="1"/>
    <col min="16" max="16" width="8.42578125" style="101" customWidth="1"/>
    <col min="17" max="17" width="8.85546875" style="101" customWidth="1"/>
    <col min="18" max="18" width="9.28515625" style="101" bestFit="1" customWidth="1"/>
    <col min="19" max="77" width="8.85546875" style="101"/>
    <col min="78" max="78" width="0" style="101" hidden="1" customWidth="1"/>
    <col min="79" max="16384" width="8.85546875" style="101"/>
  </cols>
  <sheetData>
    <row r="2" spans="1:80" ht="36.6" customHeight="1">
      <c r="A2" s="2443" t="s">
        <v>2746</v>
      </c>
      <c r="B2" s="2443"/>
      <c r="C2" s="2443"/>
      <c r="D2" s="2443"/>
      <c r="E2" s="2443"/>
      <c r="F2" s="2443"/>
      <c r="G2" s="2443"/>
      <c r="H2" s="2443"/>
      <c r="I2" s="2443"/>
      <c r="J2" s="2443"/>
      <c r="K2" s="2443"/>
      <c r="L2" s="2443"/>
      <c r="M2" s="2443"/>
      <c r="N2" s="2443"/>
      <c r="O2" s="2443"/>
    </row>
    <row r="3" spans="1:80" ht="39" customHeight="1">
      <c r="A3" s="2444" t="s">
        <v>2747</v>
      </c>
      <c r="B3" s="2444"/>
      <c r="C3" s="2444"/>
      <c r="D3" s="2444"/>
      <c r="E3" s="2444"/>
      <c r="F3" s="2444"/>
      <c r="G3" s="2444"/>
      <c r="H3" s="2444"/>
      <c r="I3" s="2444"/>
      <c r="J3" s="2444"/>
      <c r="K3" s="2444"/>
      <c r="L3" s="2444"/>
      <c r="M3" s="2444"/>
      <c r="N3" s="2444"/>
      <c r="O3" s="2444"/>
    </row>
    <row r="4" spans="1:80" s="707" customFormat="1" ht="21.75" customHeight="1">
      <c r="A4" s="706"/>
      <c r="B4" s="706"/>
      <c r="C4" s="706"/>
      <c r="D4" s="706"/>
      <c r="E4" s="706"/>
      <c r="F4" s="706"/>
      <c r="G4" s="706"/>
      <c r="H4" s="706"/>
      <c r="I4" s="706"/>
      <c r="J4" s="706"/>
      <c r="K4" s="706"/>
      <c r="L4" s="706"/>
      <c r="M4" s="706"/>
      <c r="N4" s="706"/>
      <c r="O4" s="706"/>
    </row>
    <row r="5" spans="1:80" s="707" customFormat="1" ht="21.75" customHeight="1">
      <c r="A5" s="2546" t="s">
        <v>4317</v>
      </c>
      <c r="B5" s="2546"/>
      <c r="C5" s="2546"/>
      <c r="D5" s="2546"/>
      <c r="E5" s="2546"/>
      <c r="F5" s="2546"/>
      <c r="G5" s="2546"/>
      <c r="H5" s="2546"/>
      <c r="I5" s="2546"/>
      <c r="J5" s="2546"/>
      <c r="K5" s="2546"/>
      <c r="L5" s="2445" t="s">
        <v>1168</v>
      </c>
      <c r="M5" s="2445"/>
      <c r="N5" s="2445"/>
      <c r="O5" s="2445"/>
    </row>
    <row r="6" spans="1:80" s="45" customFormat="1" ht="24" customHeight="1">
      <c r="A6" s="2540" t="s">
        <v>1169</v>
      </c>
      <c r="B6" s="2541" t="s">
        <v>145</v>
      </c>
      <c r="C6" s="2542" t="s">
        <v>192</v>
      </c>
      <c r="D6" s="2540" t="s">
        <v>183</v>
      </c>
      <c r="E6" s="2543"/>
      <c r="F6" s="2543"/>
      <c r="G6" s="2543"/>
      <c r="H6" s="2540" t="s">
        <v>202</v>
      </c>
      <c r="I6" s="2543"/>
      <c r="J6" s="2543"/>
      <c r="K6" s="2543"/>
      <c r="L6" s="2540" t="s">
        <v>203</v>
      </c>
      <c r="M6" s="2543"/>
      <c r="N6" s="2543"/>
      <c r="O6" s="2543"/>
    </row>
    <row r="7" spans="1:80" s="45" customFormat="1" ht="34.9" customHeight="1">
      <c r="A7" s="2540"/>
      <c r="B7" s="2541"/>
      <c r="C7" s="2542"/>
      <c r="D7" s="2540" t="s">
        <v>195</v>
      </c>
      <c r="E7" s="2543"/>
      <c r="F7" s="2541" t="s">
        <v>1145</v>
      </c>
      <c r="G7" s="2544"/>
      <c r="H7" s="2540" t="s">
        <v>195</v>
      </c>
      <c r="I7" s="2543"/>
      <c r="J7" s="2541" t="s">
        <v>1145</v>
      </c>
      <c r="K7" s="2544"/>
      <c r="L7" s="2540" t="s">
        <v>195</v>
      </c>
      <c r="M7" s="2543"/>
      <c r="N7" s="2541" t="s">
        <v>1145</v>
      </c>
      <c r="O7" s="2544"/>
      <c r="CA7" s="298" t="s">
        <v>2062</v>
      </c>
      <c r="CB7" s="305" t="s">
        <v>2063</v>
      </c>
    </row>
    <row r="8" spans="1:80" s="45" customFormat="1" ht="28.5">
      <c r="A8" s="2540"/>
      <c r="B8" s="2541"/>
      <c r="C8" s="2542"/>
      <c r="D8" s="572" t="s">
        <v>196</v>
      </c>
      <c r="E8" s="573" t="s">
        <v>2164</v>
      </c>
      <c r="F8" s="572" t="s">
        <v>196</v>
      </c>
      <c r="G8" s="573" t="s">
        <v>192</v>
      </c>
      <c r="H8" s="574" t="s">
        <v>196</v>
      </c>
      <c r="I8" s="573" t="s">
        <v>192</v>
      </c>
      <c r="J8" s="574" t="s">
        <v>196</v>
      </c>
      <c r="K8" s="573" t="s">
        <v>192</v>
      </c>
      <c r="L8" s="574" t="s">
        <v>196</v>
      </c>
      <c r="M8" s="575" t="s">
        <v>192</v>
      </c>
      <c r="N8" s="572" t="s">
        <v>196</v>
      </c>
      <c r="O8" s="575" t="s">
        <v>192</v>
      </c>
      <c r="BW8" s="45" t="e">
        <f>BW10+BW19+#REF!+#REF!</f>
        <v>#REF!</v>
      </c>
      <c r="CA8" s="45" t="e">
        <f>CA10+CA19+#REF!+#REF!</f>
        <v>#REF!</v>
      </c>
      <c r="CB8" s="306" t="e">
        <f>BW8+BX8+BY8+CA8</f>
        <v>#REF!</v>
      </c>
    </row>
    <row r="9" spans="1:80" s="45" customFormat="1" ht="15" customHeight="1">
      <c r="A9" s="2544" t="s">
        <v>1203</v>
      </c>
      <c r="B9" s="2551" t="s">
        <v>105</v>
      </c>
      <c r="C9" s="2551" t="s">
        <v>1171</v>
      </c>
      <c r="D9" s="2544" t="s">
        <v>106</v>
      </c>
      <c r="E9" s="2550"/>
      <c r="F9" s="2550"/>
      <c r="G9" s="2550"/>
      <c r="H9" s="2544" t="s">
        <v>1182</v>
      </c>
      <c r="I9" s="2550"/>
      <c r="J9" s="2550"/>
      <c r="K9" s="2550"/>
      <c r="L9" s="2544" t="s">
        <v>1183</v>
      </c>
      <c r="M9" s="2550"/>
      <c r="N9" s="2550"/>
      <c r="O9" s="2550"/>
      <c r="CB9" s="306"/>
    </row>
    <row r="10" spans="1:80" s="45" customFormat="1" ht="15" customHeight="1">
      <c r="A10" s="2544"/>
      <c r="B10" s="2552"/>
      <c r="C10" s="2552"/>
      <c r="D10" s="2544" t="s">
        <v>1172</v>
      </c>
      <c r="E10" s="2550"/>
      <c r="F10" s="2544" t="s">
        <v>213</v>
      </c>
      <c r="G10" s="2550"/>
      <c r="H10" s="2544" t="s">
        <v>1172</v>
      </c>
      <c r="I10" s="2550"/>
      <c r="J10" s="2544" t="s">
        <v>213</v>
      </c>
      <c r="K10" s="2550"/>
      <c r="L10" s="2544" t="s">
        <v>1172</v>
      </c>
      <c r="M10" s="2550"/>
      <c r="N10" s="2544" t="s">
        <v>213</v>
      </c>
      <c r="O10" s="2550"/>
      <c r="CA10" s="45" t="e">
        <f>CA12+CA17</f>
        <v>#REF!</v>
      </c>
      <c r="CB10" s="306" t="e">
        <f>BW10+BX10+BY10+CA10</f>
        <v>#REF!</v>
      </c>
    </row>
    <row r="11" spans="1:80" s="45" customFormat="1" ht="45">
      <c r="A11" s="2544"/>
      <c r="B11" s="2552"/>
      <c r="C11" s="2552"/>
      <c r="D11" s="576" t="s">
        <v>1173</v>
      </c>
      <c r="E11" s="577" t="s">
        <v>1171</v>
      </c>
      <c r="F11" s="576" t="s">
        <v>1173</v>
      </c>
      <c r="G11" s="577" t="s">
        <v>1171</v>
      </c>
      <c r="H11" s="576" t="s">
        <v>1173</v>
      </c>
      <c r="I11" s="577" t="s">
        <v>1171</v>
      </c>
      <c r="J11" s="576" t="s">
        <v>1173</v>
      </c>
      <c r="K11" s="577" t="s">
        <v>1171</v>
      </c>
      <c r="L11" s="576" t="s">
        <v>1173</v>
      </c>
      <c r="M11" s="577" t="s">
        <v>1171</v>
      </c>
      <c r="N11" s="576" t="s">
        <v>1173</v>
      </c>
      <c r="O11" s="577" t="s">
        <v>1171</v>
      </c>
      <c r="CB11" s="306"/>
    </row>
    <row r="12" spans="1:80" s="106" customFormat="1" ht="18.75">
      <c r="A12" s="726"/>
      <c r="B12" s="727"/>
      <c r="C12" s="727"/>
      <c r="D12" s="728"/>
      <c r="E12" s="727"/>
      <c r="F12" s="728"/>
      <c r="G12" s="729"/>
      <c r="H12" s="728"/>
      <c r="I12" s="729"/>
      <c r="J12" s="728"/>
      <c r="K12" s="729"/>
      <c r="L12" s="728"/>
      <c r="M12" s="729"/>
      <c r="N12" s="728"/>
      <c r="O12" s="727"/>
      <c r="CA12" s="106">
        <f>CA14+CA15</f>
        <v>4361</v>
      </c>
      <c r="CB12" s="311">
        <f>BW12+BX12+BY12+CA12</f>
        <v>4361</v>
      </c>
    </row>
    <row r="13" spans="1:80" s="45" customFormat="1" ht="15.75">
      <c r="A13" s="731" t="s">
        <v>197</v>
      </c>
      <c r="B13" s="2169">
        <v>15063011.604390001</v>
      </c>
      <c r="C13" s="736">
        <v>4.88610049145385E-2</v>
      </c>
      <c r="D13" s="2153">
        <v>10135961.729730001</v>
      </c>
      <c r="E13" s="736">
        <v>6.3191919252830103E-2</v>
      </c>
      <c r="F13" s="2153">
        <v>4927049.8746600002</v>
      </c>
      <c r="G13" s="736">
        <v>1.93795050737922E-2</v>
      </c>
      <c r="H13" s="2153">
        <v>4024197.4210799998</v>
      </c>
      <c r="I13" s="737">
        <v>4.0811983946182498E-3</v>
      </c>
      <c r="J13" s="2153">
        <v>1837972.71832</v>
      </c>
      <c r="K13" s="737">
        <v>1.13757298615746E-4</v>
      </c>
      <c r="L13" s="2153">
        <v>6111764.30865</v>
      </c>
      <c r="M13" s="737">
        <v>0.102112456562477</v>
      </c>
      <c r="N13" s="2153">
        <v>3089077.1563400002</v>
      </c>
      <c r="O13" s="736">
        <v>3.0851506612234E-2</v>
      </c>
      <c r="CB13" s="306"/>
    </row>
    <row r="14" spans="1:80" s="45" customFormat="1" ht="15.75">
      <c r="A14" s="678" t="s">
        <v>144</v>
      </c>
      <c r="B14" s="2170"/>
      <c r="C14" s="730"/>
      <c r="D14" s="2171"/>
      <c r="E14" s="730"/>
      <c r="F14" s="2171"/>
      <c r="G14" s="730"/>
      <c r="H14" s="2171"/>
      <c r="I14" s="732"/>
      <c r="J14" s="2171"/>
      <c r="K14" s="732"/>
      <c r="L14" s="2171"/>
      <c r="M14" s="732"/>
      <c r="N14" s="2171"/>
      <c r="O14" s="730"/>
      <c r="U14" s="445"/>
      <c r="CA14" s="45">
        <v>3917</v>
      </c>
      <c r="CB14" s="306">
        <f>BW14+BX14+BY14+CA14</f>
        <v>3917</v>
      </c>
    </row>
    <row r="15" spans="1:80" s="45" customFormat="1" ht="15.75" customHeight="1">
      <c r="A15" s="731" t="s">
        <v>2669</v>
      </c>
      <c r="B15" s="2163">
        <v>13276945.88738</v>
      </c>
      <c r="C15" s="730">
        <v>4.7236155603317398E-2</v>
      </c>
      <c r="D15" s="2163">
        <v>8548432.8346999995</v>
      </c>
      <c r="E15" s="730">
        <v>6.2638578079420096E-2</v>
      </c>
      <c r="F15" s="2163">
        <v>4728513.0526799997</v>
      </c>
      <c r="G15" s="730">
        <v>1.9390026918608302E-2</v>
      </c>
      <c r="H15" s="2163">
        <v>3402267.6120500001</v>
      </c>
      <c r="I15" s="732">
        <v>3.6288650800052999E-3</v>
      </c>
      <c r="J15" s="2163">
        <v>1757250.5623999999</v>
      </c>
      <c r="K15" s="732">
        <v>1.18983374675974E-4</v>
      </c>
      <c r="L15" s="2163">
        <v>5146165.2226499999</v>
      </c>
      <c r="M15" s="732">
        <v>0.101651467696123</v>
      </c>
      <c r="N15" s="2163">
        <v>2971262.49028</v>
      </c>
      <c r="O15" s="730">
        <v>3.0786239709066E-2</v>
      </c>
      <c r="R15" s="46"/>
      <c r="CA15" s="45">
        <v>444</v>
      </c>
      <c r="CB15" s="306">
        <f t="shared" ref="CB15:CB23" si="0">BW15+BX15+BY15+CA15</f>
        <v>444</v>
      </c>
    </row>
    <row r="16" spans="1:80" s="112" customFormat="1" ht="14.25" customHeight="1">
      <c r="A16" s="738"/>
      <c r="B16" s="2171"/>
      <c r="C16" s="730"/>
      <c r="D16" s="2171"/>
      <c r="E16" s="730"/>
      <c r="F16" s="2171"/>
      <c r="G16" s="730"/>
      <c r="H16" s="2171"/>
      <c r="I16" s="732"/>
      <c r="J16" s="2171"/>
      <c r="K16" s="732"/>
      <c r="L16" s="2171"/>
      <c r="M16" s="732"/>
      <c r="N16" s="2171"/>
      <c r="O16" s="730"/>
      <c r="P16" s="45"/>
      <c r="CB16" s="312"/>
    </row>
    <row r="17" spans="1:80" ht="15.75">
      <c r="A17" s="731" t="s">
        <v>201</v>
      </c>
      <c r="B17" s="2163">
        <v>76623.719129999998</v>
      </c>
      <c r="C17" s="730">
        <v>4.8281618799048201E-2</v>
      </c>
      <c r="D17" s="2163">
        <v>72664.694829999993</v>
      </c>
      <c r="E17" s="730">
        <v>4.9916171511980398E-2</v>
      </c>
      <c r="F17" s="2163">
        <v>3959.0243</v>
      </c>
      <c r="G17" s="730">
        <v>1.8280723359035699E-2</v>
      </c>
      <c r="H17" s="2163">
        <v>43463.074829999998</v>
      </c>
      <c r="I17" s="732">
        <v>1.41678724390425E-2</v>
      </c>
      <c r="J17" s="2163">
        <v>1937.6742999999999</v>
      </c>
      <c r="K17" s="732">
        <v>0</v>
      </c>
      <c r="L17" s="2163">
        <v>29201.62</v>
      </c>
      <c r="M17" s="732">
        <v>0.103123185289035</v>
      </c>
      <c r="N17" s="2163">
        <v>2021.35</v>
      </c>
      <c r="O17" s="730">
        <v>3.58046988398842E-2</v>
      </c>
      <c r="P17" s="45"/>
      <c r="CA17" s="101" t="e">
        <f>#REF!+#REF!</f>
        <v>#REF!</v>
      </c>
      <c r="CB17" s="313" t="e">
        <f t="shared" si="0"/>
        <v>#REF!</v>
      </c>
    </row>
    <row r="18" spans="1:80" ht="15.75">
      <c r="A18" s="733"/>
      <c r="B18" s="2163"/>
      <c r="C18" s="730"/>
      <c r="D18" s="2163"/>
      <c r="E18" s="730"/>
      <c r="F18" s="2163"/>
      <c r="G18" s="730"/>
      <c r="H18" s="2163"/>
      <c r="I18" s="732"/>
      <c r="J18" s="2163"/>
      <c r="K18" s="732"/>
      <c r="L18" s="2163"/>
      <c r="M18" s="732"/>
      <c r="N18" s="2163"/>
      <c r="O18" s="730"/>
      <c r="P18" s="45"/>
      <c r="CB18" s="313"/>
    </row>
    <row r="19" spans="1:80" ht="15.75">
      <c r="A19" s="731" t="s">
        <v>2670</v>
      </c>
      <c r="B19" s="2163">
        <v>558328.77731000003</v>
      </c>
      <c r="C19" s="730">
        <v>6.5806321173868199E-2</v>
      </c>
      <c r="D19" s="2163">
        <v>460360.57292000001</v>
      </c>
      <c r="E19" s="730">
        <v>7.6042021120438896E-2</v>
      </c>
      <c r="F19" s="2163">
        <v>97968.204389999999</v>
      </c>
      <c r="G19" s="730">
        <v>1.7707933324662199E-2</v>
      </c>
      <c r="H19" s="2163">
        <v>134343.41691999999</v>
      </c>
      <c r="I19" s="732">
        <v>5.73435169107503E-3</v>
      </c>
      <c r="J19" s="2163">
        <v>43325.507109999999</v>
      </c>
      <c r="K19" s="732">
        <v>0</v>
      </c>
      <c r="L19" s="2163">
        <v>326017.15600000002</v>
      </c>
      <c r="M19" s="732">
        <v>0.105014031865857</v>
      </c>
      <c r="N19" s="2163">
        <v>54642.69728</v>
      </c>
      <c r="O19" s="730">
        <v>3.1748330840724599E-2</v>
      </c>
      <c r="P19" s="45"/>
      <c r="CA19" s="101" t="e">
        <f>#REF!+#REF!</f>
        <v>#REF!</v>
      </c>
      <c r="CB19" s="313" t="e">
        <f t="shared" si="0"/>
        <v>#REF!</v>
      </c>
    </row>
    <row r="20" spans="1:80" ht="15.75">
      <c r="A20" s="733"/>
      <c r="B20" s="2163"/>
      <c r="C20" s="730"/>
      <c r="D20" s="2163"/>
      <c r="E20" s="730"/>
      <c r="F20" s="2163"/>
      <c r="G20" s="730"/>
      <c r="H20" s="2163"/>
      <c r="I20" s="732"/>
      <c r="J20" s="2163"/>
      <c r="K20" s="732"/>
      <c r="L20" s="2163"/>
      <c r="M20" s="732"/>
      <c r="N20" s="2163"/>
      <c r="O20" s="730"/>
      <c r="P20" s="45"/>
      <c r="CB20" s="313"/>
    </row>
    <row r="21" spans="1:80" ht="15.75">
      <c r="A21" s="731" t="s">
        <v>198</v>
      </c>
      <c r="B21" s="2163">
        <v>45517.13</v>
      </c>
      <c r="C21" s="730">
        <v>5.6995990410643203E-2</v>
      </c>
      <c r="D21" s="2163">
        <v>42059.01</v>
      </c>
      <c r="E21" s="730">
        <v>6.0123654384637203E-2</v>
      </c>
      <c r="F21" s="2163">
        <v>3458.12</v>
      </c>
      <c r="G21" s="730">
        <v>1.8956116039929201E-2</v>
      </c>
      <c r="H21" s="2163">
        <v>18617.59</v>
      </c>
      <c r="I21" s="732">
        <v>6.2057763652545797E-3</v>
      </c>
      <c r="J21" s="2163">
        <v>1228.04</v>
      </c>
      <c r="K21" s="732">
        <v>0</v>
      </c>
      <c r="L21" s="2163">
        <v>23441.42</v>
      </c>
      <c r="M21" s="732">
        <v>0.10294618589658799</v>
      </c>
      <c r="N21" s="2163">
        <v>2230.08</v>
      </c>
      <c r="O21" s="730">
        <v>2.9394696154397999E-2</v>
      </c>
      <c r="P21" s="45"/>
      <c r="CB21" s="313"/>
    </row>
    <row r="22" spans="1:80" ht="15.75">
      <c r="A22" s="733"/>
      <c r="B22" s="2163"/>
      <c r="C22" s="730"/>
      <c r="D22" s="2163"/>
      <c r="E22" s="730"/>
      <c r="F22" s="2163"/>
      <c r="G22" s="730"/>
      <c r="H22" s="2163"/>
      <c r="I22" s="732"/>
      <c r="J22" s="2163"/>
      <c r="K22" s="732"/>
      <c r="L22" s="2163"/>
      <c r="M22" s="732"/>
      <c r="N22" s="2163"/>
      <c r="O22" s="730"/>
      <c r="P22" s="45"/>
      <c r="CB22" s="313"/>
    </row>
    <row r="23" spans="1:80" ht="15.75">
      <c r="A23" s="731" t="s">
        <v>2671</v>
      </c>
      <c r="B23" s="2163">
        <v>239580.48199999999</v>
      </c>
      <c r="C23" s="730">
        <v>6.6167127992296196E-2</v>
      </c>
      <c r="D23" s="2163">
        <v>209972.14937999999</v>
      </c>
      <c r="E23" s="730">
        <v>7.2119216651893706E-2</v>
      </c>
      <c r="F23" s="2163">
        <v>29608.332620000001</v>
      </c>
      <c r="G23" s="730">
        <v>2.3956954755056398E-2</v>
      </c>
      <c r="H23" s="2163">
        <v>71374.439379999996</v>
      </c>
      <c r="I23" s="732">
        <v>8.2627724311801105E-3</v>
      </c>
      <c r="J23" s="2163">
        <v>8033.1438399999997</v>
      </c>
      <c r="K23" s="732">
        <v>0</v>
      </c>
      <c r="L23" s="2163">
        <v>138597.71</v>
      </c>
      <c r="M23" s="732">
        <v>0.10500372756519601</v>
      </c>
      <c r="N23" s="2163">
        <v>21575.18878</v>
      </c>
      <c r="O23" s="730">
        <v>3.2876907459903099E-2</v>
      </c>
      <c r="P23" s="45"/>
      <c r="CA23" s="101" t="e">
        <f>#REF!-#REF!</f>
        <v>#REF!</v>
      </c>
      <c r="CB23" s="313" t="e">
        <f t="shared" si="0"/>
        <v>#REF!</v>
      </c>
    </row>
    <row r="24" spans="1:80" ht="15.75">
      <c r="A24" s="733"/>
      <c r="B24" s="2163"/>
      <c r="C24" s="730"/>
      <c r="D24" s="2163"/>
      <c r="E24" s="730"/>
      <c r="F24" s="2163"/>
      <c r="G24" s="730"/>
      <c r="H24" s="2163"/>
      <c r="I24" s="732"/>
      <c r="J24" s="2163"/>
      <c r="K24" s="732"/>
      <c r="L24" s="2163"/>
      <c r="M24" s="732"/>
      <c r="N24" s="2163"/>
      <c r="O24" s="730"/>
      <c r="P24" s="45"/>
      <c r="CB24" s="313"/>
    </row>
    <row r="25" spans="1:80" ht="15.75">
      <c r="A25" s="731" t="s">
        <v>2672</v>
      </c>
      <c r="B25" s="2163">
        <v>91582.61</v>
      </c>
      <c r="C25" s="730">
        <v>5.4834558460388899E-2</v>
      </c>
      <c r="D25" s="2163">
        <v>87349.3</v>
      </c>
      <c r="E25" s="730">
        <v>5.6527988409752601E-2</v>
      </c>
      <c r="F25" s="2163">
        <v>4233.3100000000004</v>
      </c>
      <c r="G25" s="730">
        <v>1.9892652321705701E-2</v>
      </c>
      <c r="H25" s="2163">
        <v>40923.56</v>
      </c>
      <c r="I25" s="732">
        <v>3.0904667140395402E-3</v>
      </c>
      <c r="J25" s="2163">
        <v>1571.74</v>
      </c>
      <c r="K25" s="732">
        <v>0</v>
      </c>
      <c r="L25" s="2163">
        <v>46425.74</v>
      </c>
      <c r="M25" s="732">
        <v>0.103632323749713</v>
      </c>
      <c r="N25" s="2163">
        <v>2661.57</v>
      </c>
      <c r="O25" s="730">
        <v>3.1639883226817302E-2</v>
      </c>
      <c r="P25" s="45"/>
      <c r="CB25" s="313"/>
    </row>
    <row r="26" spans="1:80" ht="15.75">
      <c r="A26" s="733"/>
      <c r="B26" s="2163"/>
      <c r="C26" s="730"/>
      <c r="D26" s="2163"/>
      <c r="E26" s="730"/>
      <c r="F26" s="2163"/>
      <c r="G26" s="730"/>
      <c r="H26" s="2163"/>
      <c r="I26" s="732"/>
      <c r="J26" s="2163"/>
      <c r="K26" s="732"/>
      <c r="L26" s="2163"/>
      <c r="M26" s="732"/>
      <c r="N26" s="2163"/>
      <c r="O26" s="730"/>
      <c r="P26" s="45"/>
    </row>
    <row r="27" spans="1:80" ht="15.75">
      <c r="A27" s="731" t="s">
        <v>2673</v>
      </c>
      <c r="B27" s="2163">
        <v>121211.07</v>
      </c>
      <c r="C27" s="730">
        <v>6.32313778683746E-2</v>
      </c>
      <c r="D27" s="2163">
        <v>112236.2</v>
      </c>
      <c r="E27" s="730">
        <v>6.6519148599115105E-2</v>
      </c>
      <c r="F27" s="2163">
        <v>8974.8700000000008</v>
      </c>
      <c r="G27" s="730">
        <v>2.2115808139839401E-2</v>
      </c>
      <c r="H27" s="2163">
        <v>45221.52</v>
      </c>
      <c r="I27" s="732">
        <v>7.7469709111944902E-3</v>
      </c>
      <c r="J27" s="2163">
        <v>3062.4</v>
      </c>
      <c r="K27" s="732">
        <v>0</v>
      </c>
      <c r="L27" s="2163">
        <v>67014.679999999993</v>
      </c>
      <c r="M27" s="732">
        <v>0.106178626324859</v>
      </c>
      <c r="N27" s="2163">
        <v>5912.47</v>
      </c>
      <c r="O27" s="730">
        <v>3.3570826236750499E-2</v>
      </c>
      <c r="P27" s="45"/>
      <c r="R27" s="415"/>
    </row>
    <row r="28" spans="1:80" ht="15.75">
      <c r="A28" s="733"/>
      <c r="B28" s="2163"/>
      <c r="C28" s="730"/>
      <c r="D28" s="2163"/>
      <c r="E28" s="730"/>
      <c r="F28" s="2163"/>
      <c r="G28" s="730"/>
      <c r="H28" s="2163"/>
      <c r="I28" s="732"/>
      <c r="J28" s="2163"/>
      <c r="K28" s="732"/>
      <c r="L28" s="2163"/>
      <c r="M28" s="732"/>
      <c r="N28" s="2163"/>
      <c r="O28" s="730"/>
      <c r="P28" s="45"/>
    </row>
    <row r="29" spans="1:80" ht="15.75">
      <c r="A29" s="731" t="s">
        <v>199</v>
      </c>
      <c r="B29" s="2163">
        <v>143540.82857000001</v>
      </c>
      <c r="C29" s="730">
        <v>6.0887557185430798E-2</v>
      </c>
      <c r="D29" s="2163">
        <v>132043.2879</v>
      </c>
      <c r="E29" s="730">
        <v>6.4653474771586603E-2</v>
      </c>
      <c r="F29" s="2163">
        <v>11497.54067</v>
      </c>
      <c r="G29" s="730">
        <v>1.7637948046501699E-2</v>
      </c>
      <c r="H29" s="2163">
        <v>52753.867899999997</v>
      </c>
      <c r="I29" s="732">
        <v>4.4226084131359002E-3</v>
      </c>
      <c r="J29" s="2163">
        <v>5317.8406699999996</v>
      </c>
      <c r="K29" s="732">
        <v>0</v>
      </c>
      <c r="L29" s="2163">
        <v>79289.42</v>
      </c>
      <c r="M29" s="732">
        <v>0.104727057947958</v>
      </c>
      <c r="N29" s="2163">
        <v>6179.7</v>
      </c>
      <c r="O29" s="730">
        <v>3.2815998349434397E-2</v>
      </c>
      <c r="P29" s="45"/>
    </row>
    <row r="30" spans="1:80" ht="15.75">
      <c r="A30" s="733"/>
      <c r="B30" s="2163"/>
      <c r="C30" s="730"/>
      <c r="D30" s="2163"/>
      <c r="E30" s="730"/>
      <c r="F30" s="2163"/>
      <c r="G30" s="730"/>
      <c r="H30" s="2163"/>
      <c r="I30" s="732"/>
      <c r="J30" s="2163"/>
      <c r="K30" s="732"/>
      <c r="L30" s="2163"/>
      <c r="M30" s="732"/>
      <c r="N30" s="2163"/>
      <c r="O30" s="730"/>
      <c r="P30" s="45"/>
    </row>
    <row r="31" spans="1:80" ht="15.75">
      <c r="A31" s="731" t="s">
        <v>2674</v>
      </c>
      <c r="B31" s="2163">
        <v>132303.75</v>
      </c>
      <c r="C31" s="730">
        <v>6.10978841945145E-2</v>
      </c>
      <c r="D31" s="2163">
        <v>125068.6</v>
      </c>
      <c r="E31" s="730">
        <v>6.3689912743886107E-2</v>
      </c>
      <c r="F31" s="2163">
        <v>7235.15</v>
      </c>
      <c r="G31" s="730">
        <v>1.62914348700442E-2</v>
      </c>
      <c r="H31" s="2163">
        <v>50504.46</v>
      </c>
      <c r="I31" s="732">
        <v>4.3397216800258797E-3</v>
      </c>
      <c r="J31" s="2163">
        <v>3419.71</v>
      </c>
      <c r="K31" s="732">
        <v>0</v>
      </c>
      <c r="L31" s="2163">
        <v>74564.14</v>
      </c>
      <c r="M31" s="732">
        <v>0.10388952277864399</v>
      </c>
      <c r="N31" s="2163">
        <v>3815.44</v>
      </c>
      <c r="O31" s="730">
        <v>3.0893153869540599E-2</v>
      </c>
      <c r="P31" s="45"/>
    </row>
    <row r="32" spans="1:80" ht="15.75">
      <c r="A32" s="733"/>
      <c r="B32" s="2163"/>
      <c r="C32" s="730"/>
      <c r="D32" s="2163"/>
      <c r="E32" s="730"/>
      <c r="F32" s="2163"/>
      <c r="G32" s="730"/>
      <c r="H32" s="2163"/>
      <c r="I32" s="732"/>
      <c r="J32" s="2163"/>
      <c r="K32" s="732"/>
      <c r="L32" s="2163"/>
      <c r="M32" s="732"/>
      <c r="N32" s="2163"/>
      <c r="O32" s="730"/>
      <c r="P32" s="45"/>
      <c r="Q32" s="415"/>
    </row>
    <row r="33" spans="1:17" ht="15.75">
      <c r="A33" s="731" t="s">
        <v>2675</v>
      </c>
      <c r="B33" s="2163">
        <v>127234.61</v>
      </c>
      <c r="C33" s="730">
        <v>6.24190388055577E-2</v>
      </c>
      <c r="D33" s="2163">
        <v>117721.67</v>
      </c>
      <c r="E33" s="730">
        <v>6.5690215769110299E-2</v>
      </c>
      <c r="F33" s="2163">
        <v>9512.94</v>
      </c>
      <c r="G33" s="730">
        <v>2.1938554852653301E-2</v>
      </c>
      <c r="H33" s="2163">
        <v>47618.82</v>
      </c>
      <c r="I33" s="732">
        <v>8.69644816902225E-3</v>
      </c>
      <c r="J33" s="2163">
        <v>3298.49</v>
      </c>
      <c r="K33" s="732">
        <v>0</v>
      </c>
      <c r="L33" s="2163">
        <v>70102.850000000006</v>
      </c>
      <c r="M33" s="732">
        <v>0.104404418693391</v>
      </c>
      <c r="N33" s="2163">
        <v>6214.45</v>
      </c>
      <c r="O33" s="730">
        <v>3.3583045321790302E-2</v>
      </c>
      <c r="P33" s="45"/>
    </row>
    <row r="34" spans="1:17" ht="15.75">
      <c r="A34" s="733"/>
      <c r="B34" s="2163"/>
      <c r="C34" s="730"/>
      <c r="D34" s="2163"/>
      <c r="E34" s="730"/>
      <c r="F34" s="2163"/>
      <c r="G34" s="730"/>
      <c r="H34" s="2163"/>
      <c r="I34" s="732"/>
      <c r="J34" s="2163"/>
      <c r="K34" s="732"/>
      <c r="L34" s="2163"/>
      <c r="M34" s="732"/>
      <c r="N34" s="2163"/>
      <c r="O34" s="730"/>
      <c r="P34" s="45"/>
    </row>
    <row r="35" spans="1:17" ht="15.75">
      <c r="A35" s="731" t="s">
        <v>2676</v>
      </c>
      <c r="B35" s="2163">
        <v>47674.15</v>
      </c>
      <c r="C35" s="730">
        <v>4.3118847069114001E-2</v>
      </c>
      <c r="D35" s="2163">
        <v>45637.87</v>
      </c>
      <c r="E35" s="730">
        <v>4.4199807615912003E-2</v>
      </c>
      <c r="F35" s="2163">
        <v>2036.28</v>
      </c>
      <c r="G35" s="730">
        <v>1.8891954446343302E-2</v>
      </c>
      <c r="H35" s="2163">
        <v>26454.720000000001</v>
      </c>
      <c r="I35" s="732">
        <v>3.4841041598625902E-3</v>
      </c>
      <c r="J35" s="2163">
        <v>881.6</v>
      </c>
      <c r="K35" s="732">
        <v>0</v>
      </c>
      <c r="L35" s="2163">
        <v>19183.150000000001</v>
      </c>
      <c r="M35" s="732">
        <v>0.100349216578091</v>
      </c>
      <c r="N35" s="2163">
        <v>1154.68</v>
      </c>
      <c r="O35" s="730">
        <v>3.3315991443516803E-2</v>
      </c>
      <c r="P35" s="45"/>
      <c r="Q35" s="415"/>
    </row>
    <row r="36" spans="1:17" ht="15.75">
      <c r="A36" s="731"/>
      <c r="B36" s="2163"/>
      <c r="C36" s="730"/>
      <c r="D36" s="2163"/>
      <c r="E36" s="730"/>
      <c r="F36" s="2163"/>
      <c r="G36" s="730"/>
      <c r="H36" s="2163"/>
      <c r="I36" s="732"/>
      <c r="J36" s="2163"/>
      <c r="K36" s="732"/>
      <c r="L36" s="2163"/>
      <c r="M36" s="732"/>
      <c r="N36" s="2163"/>
      <c r="O36" s="730"/>
      <c r="P36" s="45"/>
      <c r="Q36" s="415"/>
    </row>
    <row r="37" spans="1:17" ht="15.75">
      <c r="A37" s="731" t="s">
        <v>200</v>
      </c>
      <c r="B37" s="2163">
        <v>129388.36</v>
      </c>
      <c r="C37" s="730">
        <v>5.2690530825183997E-2</v>
      </c>
      <c r="D37" s="2163">
        <v>114180.1</v>
      </c>
      <c r="E37" s="730">
        <v>5.7336626504968902E-2</v>
      </c>
      <c r="F37" s="2163">
        <v>15208.26</v>
      </c>
      <c r="G37" s="730">
        <v>1.7808718617382899E-2</v>
      </c>
      <c r="H37" s="2163">
        <v>54961.05</v>
      </c>
      <c r="I37" s="732">
        <v>6.3383079471734998E-3</v>
      </c>
      <c r="J37" s="2163">
        <v>6493.58</v>
      </c>
      <c r="K37" s="732">
        <v>0</v>
      </c>
      <c r="L37" s="2163">
        <v>59219.05</v>
      </c>
      <c r="M37" s="732">
        <v>0.104668036518654</v>
      </c>
      <c r="N37" s="2163">
        <v>8714.68</v>
      </c>
      <c r="O37" s="730">
        <v>3.10785505606632E-2</v>
      </c>
      <c r="P37" s="45"/>
      <c r="Q37" s="415"/>
    </row>
    <row r="38" spans="1:17" ht="15.75">
      <c r="A38" s="731"/>
      <c r="B38" s="2163"/>
      <c r="C38" s="730"/>
      <c r="D38" s="2163"/>
      <c r="E38" s="730"/>
      <c r="F38" s="2163"/>
      <c r="G38" s="730"/>
      <c r="H38" s="2163"/>
      <c r="I38" s="732"/>
      <c r="J38" s="2163"/>
      <c r="K38" s="732"/>
      <c r="L38" s="2163"/>
      <c r="M38" s="732"/>
      <c r="N38" s="2163"/>
      <c r="O38" s="730"/>
      <c r="P38" s="45"/>
      <c r="Q38" s="415"/>
    </row>
    <row r="39" spans="1:17" ht="15.75">
      <c r="A39" s="731" t="s">
        <v>2677</v>
      </c>
      <c r="B39" s="2163">
        <v>662.93</v>
      </c>
      <c r="C39" s="730">
        <v>4.4154191241910903E-2</v>
      </c>
      <c r="D39" s="2163">
        <v>623.64</v>
      </c>
      <c r="E39" s="730">
        <v>4.4836665383875297E-2</v>
      </c>
      <c r="F39" s="2163">
        <v>39.29</v>
      </c>
      <c r="G39" s="730">
        <v>3.3321455841181E-2</v>
      </c>
      <c r="H39" s="2163">
        <v>362.61</v>
      </c>
      <c r="I39" s="732">
        <v>0</v>
      </c>
      <c r="J39" s="2163">
        <v>6.56</v>
      </c>
      <c r="K39" s="732">
        <v>0</v>
      </c>
      <c r="L39" s="2163">
        <v>261.02999999999997</v>
      </c>
      <c r="M39" s="732">
        <v>0.107121549247213</v>
      </c>
      <c r="N39" s="2163">
        <v>32.729999999999997</v>
      </c>
      <c r="O39" s="730">
        <v>0.04</v>
      </c>
      <c r="P39" s="45"/>
      <c r="Q39" s="415"/>
    </row>
    <row r="40" spans="1:17" ht="15.75">
      <c r="A40" s="731"/>
      <c r="B40" s="2163"/>
      <c r="C40" s="730"/>
      <c r="D40" s="1671"/>
      <c r="E40" s="730"/>
      <c r="F40" s="2163"/>
      <c r="G40" s="730"/>
      <c r="H40" s="2163"/>
      <c r="I40" s="732"/>
      <c r="J40" s="2163"/>
      <c r="K40" s="732"/>
      <c r="L40" s="2163"/>
      <c r="M40" s="732"/>
      <c r="N40" s="2163"/>
      <c r="O40" s="730"/>
      <c r="P40" s="45"/>
      <c r="Q40" s="415"/>
    </row>
    <row r="41" spans="1:17" ht="15.75">
      <c r="A41" s="830" t="s">
        <v>2678</v>
      </c>
      <c r="B41" s="2167">
        <v>72417.3</v>
      </c>
      <c r="C41" s="735">
        <v>4.97860534706486E-2</v>
      </c>
      <c r="D41" s="2167">
        <v>67611.8</v>
      </c>
      <c r="E41" s="735">
        <v>5.1948389630212498E-2</v>
      </c>
      <c r="F41" s="2167">
        <v>4805.5</v>
      </c>
      <c r="G41" s="735">
        <v>1.9362696909790901E-2</v>
      </c>
      <c r="H41" s="2167">
        <v>35330.68</v>
      </c>
      <c r="I41" s="739">
        <v>5.7118940252494496E-3</v>
      </c>
      <c r="J41" s="2167">
        <v>2145.87</v>
      </c>
      <c r="K41" s="739">
        <v>0</v>
      </c>
      <c r="L41" s="2167">
        <v>32281.119999999999</v>
      </c>
      <c r="M41" s="739">
        <v>0.10255279339750301</v>
      </c>
      <c r="N41" s="2167">
        <v>2659.63</v>
      </c>
      <c r="O41" s="735">
        <v>3.4985106950966897E-2</v>
      </c>
      <c r="P41" s="45"/>
    </row>
    <row r="42" spans="1:17" s="794" customFormat="1" ht="40.5" customHeight="1">
      <c r="A42" s="2548" t="s">
        <v>2704</v>
      </c>
      <c r="B42" s="2549"/>
      <c r="C42" s="2549"/>
      <c r="D42" s="2549"/>
      <c r="E42" s="2549"/>
      <c r="F42" s="2549"/>
      <c r="G42" s="2549"/>
      <c r="H42" s="2549"/>
      <c r="I42" s="2549"/>
      <c r="J42" s="2549"/>
      <c r="K42" s="2549"/>
      <c r="L42" s="2549"/>
      <c r="M42" s="2549"/>
      <c r="N42" s="2549"/>
      <c r="O42" s="2549"/>
    </row>
  </sheetData>
  <mergeCells count="29">
    <mergeCell ref="A42:O42"/>
    <mergeCell ref="L5:O5"/>
    <mergeCell ref="H6:K6"/>
    <mergeCell ref="L6:O6"/>
    <mergeCell ref="D7:E7"/>
    <mergeCell ref="F7:G7"/>
    <mergeCell ref="H7:I7"/>
    <mergeCell ref="J7:K7"/>
    <mergeCell ref="L9:O9"/>
    <mergeCell ref="D10:E10"/>
    <mergeCell ref="F10:G10"/>
    <mergeCell ref="H10:I10"/>
    <mergeCell ref="J10:K10"/>
    <mergeCell ref="L10:M10"/>
    <mergeCell ref="N10:O10"/>
    <mergeCell ref="A9:A11"/>
    <mergeCell ref="B9:B11"/>
    <mergeCell ref="C9:C11"/>
    <mergeCell ref="D9:G9"/>
    <mergeCell ref="H9:K9"/>
    <mergeCell ref="A2:O2"/>
    <mergeCell ref="A3:O3"/>
    <mergeCell ref="A6:A8"/>
    <mergeCell ref="B6:B8"/>
    <mergeCell ref="C6:C8"/>
    <mergeCell ref="D6:G6"/>
    <mergeCell ref="A5:K5"/>
    <mergeCell ref="L7:M7"/>
    <mergeCell ref="N7:O7"/>
  </mergeCells>
  <pageMargins left="0.17" right="0.17" top="0.21" bottom="0.75" header="0.3" footer="0.3"/>
  <pageSetup paperSize="9" scale="66"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40C43-4DA3-49A5-9721-4FEF2AEF0921}">
  <sheetPr codeName="Sheet41">
    <tabColor rgb="FF92D050"/>
  </sheetPr>
  <dimension ref="A1:J90"/>
  <sheetViews>
    <sheetView showGridLines="0" view="pageBreakPreview" zoomScale="80" zoomScaleSheetLayoutView="80" workbookViewId="0">
      <pane ySplit="13" topLeftCell="A85" activePane="bottomLeft" state="frozen"/>
      <selection activeCell="B39" sqref="B39"/>
      <selection pane="bottomLeft" activeCell="E104" sqref="E104"/>
    </sheetView>
  </sheetViews>
  <sheetFormatPr defaultColWidth="9.140625" defaultRowHeight="15.75"/>
  <cols>
    <col min="1" max="1" width="69.28515625" style="1797" customWidth="1"/>
    <col min="2" max="2" width="28.28515625" style="1797" customWidth="1"/>
    <col min="3" max="3" width="28.42578125" style="1797" customWidth="1"/>
    <col min="4" max="5" width="19.7109375" style="1797" customWidth="1"/>
    <col min="6" max="6" width="29" style="1797" customWidth="1"/>
    <col min="7" max="7" width="27" style="1797" customWidth="1"/>
    <col min="8" max="8" width="70.140625" style="1797" customWidth="1"/>
    <col min="9" max="16384" width="9.140625" style="1797"/>
  </cols>
  <sheetData>
    <row r="1" spans="1:8" ht="11.25" customHeight="1"/>
    <row r="2" spans="1:8" ht="25.5" customHeight="1">
      <c r="A2" s="2605" t="s">
        <v>2748</v>
      </c>
      <c r="B2" s="2605"/>
      <c r="C2" s="2605"/>
      <c r="D2" s="2605"/>
      <c r="E2" s="2605"/>
      <c r="F2" s="2605"/>
      <c r="G2" s="2605"/>
      <c r="H2" s="2605"/>
    </row>
    <row r="3" spans="1:8" ht="25.5" customHeight="1">
      <c r="A3" s="2606" t="s">
        <v>2749</v>
      </c>
      <c r="B3" s="2606"/>
      <c r="C3" s="2606"/>
      <c r="D3" s="2606"/>
      <c r="E3" s="2606"/>
      <c r="F3" s="2606"/>
      <c r="G3" s="2606"/>
      <c r="H3" s="2606"/>
    </row>
    <row r="4" spans="1:8" ht="13.5" customHeight="1">
      <c r="A4" s="1798"/>
      <c r="B4" s="1798"/>
      <c r="C4" s="1798"/>
      <c r="D4" s="1798"/>
      <c r="E4" s="1798"/>
      <c r="F4" s="1798"/>
      <c r="G4" s="1798"/>
      <c r="H4" s="1798"/>
    </row>
    <row r="5" spans="1:8" ht="13.5" customHeight="1">
      <c r="A5" s="1799"/>
      <c r="B5" s="1799"/>
      <c r="C5" s="1799"/>
      <c r="D5" s="1799"/>
      <c r="E5" s="1799"/>
      <c r="F5" s="1799"/>
      <c r="G5" s="1799"/>
      <c r="H5" s="1799"/>
    </row>
    <row r="6" spans="1:8" s="1800" customFormat="1" ht="29.25" customHeight="1">
      <c r="A6" s="2607" t="s">
        <v>3940</v>
      </c>
      <c r="B6" s="2608" t="s">
        <v>1139</v>
      </c>
      <c r="C6" s="2609"/>
      <c r="D6" s="2608" t="s">
        <v>2773</v>
      </c>
      <c r="E6" s="2608"/>
      <c r="F6" s="2608" t="s">
        <v>216</v>
      </c>
      <c r="G6" s="2609"/>
      <c r="H6" s="2610" t="s">
        <v>3941</v>
      </c>
    </row>
    <row r="7" spans="1:8" s="1800" customFormat="1" ht="37.5" customHeight="1">
      <c r="A7" s="2607"/>
      <c r="B7" s="2609"/>
      <c r="C7" s="2609"/>
      <c r="D7" s="2608"/>
      <c r="E7" s="2608"/>
      <c r="F7" s="2609"/>
      <c r="G7" s="2609"/>
      <c r="H7" s="2610"/>
    </row>
    <row r="8" spans="1:8" s="1800" customFormat="1" ht="3.75" customHeight="1">
      <c r="A8" s="2607"/>
      <c r="B8" s="2611" t="s">
        <v>195</v>
      </c>
      <c r="C8" s="2611" t="s">
        <v>1145</v>
      </c>
      <c r="D8" s="2611" t="s">
        <v>195</v>
      </c>
      <c r="E8" s="2611" t="s">
        <v>1145</v>
      </c>
      <c r="F8" s="2611" t="s">
        <v>195</v>
      </c>
      <c r="G8" s="2611" t="s">
        <v>1145</v>
      </c>
      <c r="H8" s="2610"/>
    </row>
    <row r="9" spans="1:8" s="1800" customFormat="1" ht="28.5" customHeight="1">
      <c r="A9" s="2607"/>
      <c r="B9" s="2612"/>
      <c r="C9" s="2612"/>
      <c r="D9" s="2612"/>
      <c r="E9" s="2612"/>
      <c r="F9" s="2612"/>
      <c r="G9" s="2612"/>
      <c r="H9" s="2610"/>
    </row>
    <row r="10" spans="1:8" ht="27" customHeight="1">
      <c r="A10" s="2607"/>
      <c r="B10" s="2613" t="s">
        <v>1200</v>
      </c>
      <c r="C10" s="2614"/>
      <c r="D10" s="2613" t="s">
        <v>2774</v>
      </c>
      <c r="E10" s="2613"/>
      <c r="F10" s="2613" t="s">
        <v>1184</v>
      </c>
      <c r="G10" s="2613"/>
      <c r="H10" s="2610"/>
    </row>
    <row r="11" spans="1:8" ht="27" customHeight="1">
      <c r="A11" s="2607"/>
      <c r="B11" s="2614"/>
      <c r="C11" s="2614"/>
      <c r="D11" s="2613"/>
      <c r="E11" s="2613"/>
      <c r="F11" s="2613"/>
      <c r="G11" s="2613"/>
      <c r="H11" s="2610"/>
    </row>
    <row r="12" spans="1:8" ht="3" customHeight="1">
      <c r="A12" s="2607"/>
      <c r="B12" s="2617" t="s">
        <v>356</v>
      </c>
      <c r="C12" s="2617" t="s">
        <v>213</v>
      </c>
      <c r="D12" s="2617" t="s">
        <v>356</v>
      </c>
      <c r="E12" s="2617" t="s">
        <v>213</v>
      </c>
      <c r="F12" s="2617" t="s">
        <v>356</v>
      </c>
      <c r="G12" s="2617" t="s">
        <v>213</v>
      </c>
      <c r="H12" s="2610"/>
    </row>
    <row r="13" spans="1:8" ht="28.5" customHeight="1">
      <c r="A13" s="2607"/>
      <c r="B13" s="2617"/>
      <c r="C13" s="2617"/>
      <c r="D13" s="2617"/>
      <c r="E13" s="2617"/>
      <c r="F13" s="2617"/>
      <c r="G13" s="2617"/>
      <c r="H13" s="2610"/>
    </row>
    <row r="14" spans="1:8" ht="15" customHeight="1">
      <c r="A14" s="1801" t="s">
        <v>217</v>
      </c>
      <c r="B14" s="1802"/>
      <c r="C14" s="1802"/>
      <c r="D14" s="1802" t="s">
        <v>93</v>
      </c>
      <c r="E14" s="1802" t="s">
        <v>93</v>
      </c>
      <c r="F14" s="1802"/>
      <c r="G14" s="1802"/>
      <c r="H14" s="1803" t="s">
        <v>217</v>
      </c>
    </row>
    <row r="15" spans="1:8" ht="15" customHeight="1">
      <c r="A15" s="1804" t="s">
        <v>1140</v>
      </c>
      <c r="B15" s="1805">
        <v>15</v>
      </c>
      <c r="C15" s="1805">
        <v>15</v>
      </c>
      <c r="D15" s="1805"/>
      <c r="E15" s="1805"/>
      <c r="F15" s="1805">
        <v>15</v>
      </c>
      <c r="G15" s="1805">
        <v>15</v>
      </c>
      <c r="H15" s="1806" t="s">
        <v>218</v>
      </c>
    </row>
    <row r="16" spans="1:8" ht="15" customHeight="1">
      <c r="A16" s="1807" t="s">
        <v>1141</v>
      </c>
      <c r="B16" s="1805">
        <v>12</v>
      </c>
      <c r="C16" s="1805">
        <v>12</v>
      </c>
      <c r="D16" s="1805" t="s">
        <v>93</v>
      </c>
      <c r="E16" s="1805" t="s">
        <v>93</v>
      </c>
      <c r="F16" s="1805">
        <v>12</v>
      </c>
      <c r="G16" s="1805">
        <v>12</v>
      </c>
      <c r="H16" s="1806" t="s">
        <v>219</v>
      </c>
    </row>
    <row r="17" spans="1:8" ht="15" customHeight="1">
      <c r="A17" s="1804" t="s">
        <v>1142</v>
      </c>
      <c r="B17" s="1805">
        <v>10</v>
      </c>
      <c r="C17" s="1805">
        <v>10</v>
      </c>
      <c r="D17" s="1805"/>
      <c r="E17" s="1805"/>
      <c r="F17" s="1805">
        <v>10</v>
      </c>
      <c r="G17" s="1805">
        <v>10</v>
      </c>
      <c r="H17" s="1806" t="s">
        <v>220</v>
      </c>
    </row>
    <row r="18" spans="1:8" ht="15" customHeight="1">
      <c r="A18" s="1804"/>
      <c r="B18" s="1805"/>
      <c r="C18" s="1805"/>
      <c r="D18" s="1805" t="s">
        <v>93</v>
      </c>
      <c r="E18" s="1805" t="s">
        <v>93</v>
      </c>
      <c r="F18" s="1805"/>
      <c r="G18" s="1805"/>
      <c r="H18" s="1806"/>
    </row>
    <row r="19" spans="1:8" ht="15" customHeight="1">
      <c r="A19" s="1801" t="s">
        <v>221</v>
      </c>
      <c r="B19" s="1805"/>
      <c r="C19" s="1805"/>
      <c r="D19" s="1805"/>
      <c r="E19" s="1805"/>
      <c r="F19" s="1805"/>
      <c r="G19" s="1805"/>
      <c r="H19" s="1803" t="s">
        <v>221</v>
      </c>
    </row>
    <row r="20" spans="1:8" ht="15" customHeight="1">
      <c r="A20" s="1804" t="s">
        <v>1140</v>
      </c>
      <c r="B20" s="1805">
        <v>15</v>
      </c>
      <c r="C20" s="1805">
        <v>15</v>
      </c>
      <c r="D20" s="1805" t="s">
        <v>93</v>
      </c>
      <c r="E20" s="1805" t="s">
        <v>93</v>
      </c>
      <c r="F20" s="1805">
        <v>15</v>
      </c>
      <c r="G20" s="1805">
        <v>15</v>
      </c>
      <c r="H20" s="1806" t="s">
        <v>218</v>
      </c>
    </row>
    <row r="21" spans="1:8" ht="15" customHeight="1">
      <c r="A21" s="1807" t="s">
        <v>1141</v>
      </c>
      <c r="B21" s="1805">
        <v>12</v>
      </c>
      <c r="C21" s="1805">
        <v>12</v>
      </c>
      <c r="D21" s="1805"/>
      <c r="E21" s="1805"/>
      <c r="F21" s="1805">
        <v>12</v>
      </c>
      <c r="G21" s="1805">
        <v>12</v>
      </c>
      <c r="H21" s="1806" t="s">
        <v>219</v>
      </c>
    </row>
    <row r="22" spans="1:8" ht="15" customHeight="1">
      <c r="A22" s="1804" t="s">
        <v>1143</v>
      </c>
      <c r="B22" s="1805">
        <v>10</v>
      </c>
      <c r="C22" s="1805">
        <v>10</v>
      </c>
      <c r="D22" s="1805" t="s">
        <v>93</v>
      </c>
      <c r="E22" s="1805" t="s">
        <v>93</v>
      </c>
      <c r="F22" s="1805">
        <v>10</v>
      </c>
      <c r="G22" s="1805">
        <v>10</v>
      </c>
      <c r="H22" s="1806" t="s">
        <v>222</v>
      </c>
    </row>
    <row r="23" spans="1:8" ht="15" customHeight="1">
      <c r="A23" s="1807" t="s">
        <v>1144</v>
      </c>
      <c r="B23" s="1805">
        <v>8</v>
      </c>
      <c r="C23" s="1805">
        <v>8</v>
      </c>
      <c r="D23" s="1805"/>
      <c r="E23" s="1805"/>
      <c r="F23" s="1805">
        <v>8</v>
      </c>
      <c r="G23" s="1805">
        <v>8</v>
      </c>
      <c r="H23" s="1806" t="s">
        <v>223</v>
      </c>
    </row>
    <row r="24" spans="1:8" ht="15" customHeight="1">
      <c r="A24" s="1808"/>
      <c r="B24" s="1805"/>
      <c r="C24" s="1805"/>
      <c r="D24" s="1805" t="s">
        <v>93</v>
      </c>
      <c r="E24" s="1805" t="s">
        <v>93</v>
      </c>
      <c r="F24" s="1805"/>
      <c r="G24" s="1805"/>
      <c r="H24" s="1809"/>
    </row>
    <row r="25" spans="1:8" ht="15" customHeight="1">
      <c r="A25" s="1808" t="s">
        <v>224</v>
      </c>
      <c r="B25" s="1805">
        <v>12</v>
      </c>
      <c r="C25" s="1805">
        <v>5</v>
      </c>
      <c r="D25" s="1805"/>
      <c r="E25" s="1805"/>
      <c r="F25" s="1805">
        <v>12</v>
      </c>
      <c r="G25" s="1805">
        <v>5</v>
      </c>
      <c r="H25" s="1809" t="s">
        <v>224</v>
      </c>
    </row>
    <row r="26" spans="1:8" ht="15" customHeight="1">
      <c r="A26" s="1808"/>
      <c r="B26" s="1805"/>
      <c r="C26" s="1805"/>
      <c r="D26" s="1805" t="s">
        <v>93</v>
      </c>
      <c r="E26" s="1805" t="s">
        <v>93</v>
      </c>
      <c r="F26" s="1805"/>
      <c r="G26" s="1805"/>
      <c r="H26" s="1809"/>
    </row>
    <row r="27" spans="1:8" ht="15" customHeight="1">
      <c r="A27" s="1807" t="s">
        <v>225</v>
      </c>
      <c r="B27" s="1805">
        <v>12</v>
      </c>
      <c r="C27" s="1805">
        <v>25</v>
      </c>
      <c r="D27" s="1805"/>
      <c r="E27" s="1805"/>
      <c r="F27" s="1805">
        <v>12</v>
      </c>
      <c r="G27" s="1805">
        <v>25</v>
      </c>
      <c r="H27" s="1810" t="s">
        <v>225</v>
      </c>
    </row>
    <row r="28" spans="1:8" ht="15" customHeight="1">
      <c r="A28" s="1807"/>
      <c r="B28" s="1805"/>
      <c r="C28" s="1805"/>
      <c r="D28" s="1805" t="s">
        <v>93</v>
      </c>
      <c r="E28" s="1805" t="s">
        <v>93</v>
      </c>
      <c r="F28" s="1805"/>
      <c r="G28" s="1805"/>
      <c r="H28" s="1810"/>
    </row>
    <row r="29" spans="1:8" ht="15" customHeight="1">
      <c r="A29" s="1804" t="s">
        <v>226</v>
      </c>
      <c r="B29" s="1805">
        <v>12</v>
      </c>
      <c r="C29" s="1805">
        <v>5</v>
      </c>
      <c r="D29" s="1805"/>
      <c r="E29" s="1805"/>
      <c r="F29" s="1805">
        <v>12</v>
      </c>
      <c r="G29" s="1805">
        <v>5</v>
      </c>
      <c r="H29" s="1806" t="s">
        <v>226</v>
      </c>
    </row>
    <row r="30" spans="1:8" ht="15" customHeight="1">
      <c r="A30" s="1804"/>
      <c r="B30" s="1805"/>
      <c r="C30" s="1805"/>
      <c r="D30" s="1805" t="s">
        <v>93</v>
      </c>
      <c r="E30" s="1805" t="s">
        <v>93</v>
      </c>
      <c r="F30" s="1805"/>
      <c r="G30" s="1805"/>
      <c r="H30" s="1806"/>
    </row>
    <row r="31" spans="1:8" ht="15" customHeight="1">
      <c r="A31" s="1804" t="s">
        <v>227</v>
      </c>
      <c r="B31" s="1805">
        <v>18</v>
      </c>
      <c r="C31" s="1805">
        <v>5</v>
      </c>
      <c r="D31" s="1805"/>
      <c r="E31" s="1805"/>
      <c r="F31" s="1805">
        <v>18</v>
      </c>
      <c r="G31" s="1805">
        <v>5</v>
      </c>
      <c r="H31" s="1806" t="s">
        <v>227</v>
      </c>
    </row>
    <row r="32" spans="1:8" ht="15" customHeight="1">
      <c r="A32" s="1804"/>
      <c r="B32" s="1805"/>
      <c r="C32" s="1805"/>
      <c r="D32" s="1805" t="s">
        <v>93</v>
      </c>
      <c r="E32" s="1805" t="s">
        <v>93</v>
      </c>
      <c r="F32" s="1805"/>
      <c r="G32" s="1805"/>
      <c r="H32" s="1806"/>
    </row>
    <row r="33" spans="1:8" ht="15" customHeight="1">
      <c r="A33" s="1804" t="s">
        <v>228</v>
      </c>
      <c r="B33" s="1805">
        <v>12</v>
      </c>
      <c r="C33" s="1805">
        <v>12</v>
      </c>
      <c r="D33" s="1805"/>
      <c r="E33" s="1805"/>
      <c r="F33" s="1805">
        <v>12</v>
      </c>
      <c r="G33" s="1805">
        <v>12</v>
      </c>
      <c r="H33" s="1806" t="s">
        <v>228</v>
      </c>
    </row>
    <row r="34" spans="1:8" ht="15" customHeight="1">
      <c r="A34" s="1808"/>
      <c r="B34" s="1805"/>
      <c r="C34" s="1805"/>
      <c r="D34" s="1805" t="s">
        <v>93</v>
      </c>
      <c r="E34" s="1805" t="s">
        <v>93</v>
      </c>
      <c r="F34" s="1805"/>
      <c r="G34" s="1805"/>
      <c r="H34" s="1809"/>
    </row>
    <row r="35" spans="1:8" ht="15" customHeight="1">
      <c r="A35" s="1804" t="s">
        <v>229</v>
      </c>
      <c r="B35" s="1805">
        <v>15</v>
      </c>
      <c r="C35" s="1805">
        <v>15</v>
      </c>
      <c r="D35" s="1805"/>
      <c r="E35" s="1805"/>
      <c r="F35" s="1805">
        <v>15</v>
      </c>
      <c r="G35" s="1805">
        <v>15</v>
      </c>
      <c r="H35" s="1806" t="s">
        <v>229</v>
      </c>
    </row>
    <row r="36" spans="1:8" ht="15" customHeight="1">
      <c r="A36" s="1808"/>
      <c r="B36" s="1805"/>
      <c r="C36" s="1805"/>
      <c r="D36" s="1805" t="s">
        <v>93</v>
      </c>
      <c r="E36" s="1805" t="s">
        <v>93</v>
      </c>
      <c r="F36" s="1805"/>
      <c r="G36" s="1805"/>
      <c r="H36" s="1809"/>
    </row>
    <row r="37" spans="1:8" ht="15" customHeight="1">
      <c r="A37" s="1807" t="s">
        <v>230</v>
      </c>
      <c r="B37" s="1805">
        <v>12</v>
      </c>
      <c r="C37" s="1805">
        <v>12</v>
      </c>
      <c r="D37" s="1805"/>
      <c r="E37" s="1805"/>
      <c r="F37" s="1805">
        <v>12</v>
      </c>
      <c r="G37" s="1805">
        <v>12</v>
      </c>
      <c r="H37" s="1810" t="s">
        <v>230</v>
      </c>
    </row>
    <row r="38" spans="1:8" ht="15" customHeight="1">
      <c r="A38" s="1808"/>
      <c r="B38" s="1805"/>
      <c r="C38" s="1805"/>
      <c r="D38" s="1805" t="s">
        <v>93</v>
      </c>
      <c r="E38" s="1805" t="s">
        <v>93</v>
      </c>
      <c r="F38" s="1805"/>
      <c r="G38" s="1805"/>
      <c r="H38" s="1809"/>
    </row>
    <row r="39" spans="1:8" ht="15" customHeight="1">
      <c r="A39" s="1808" t="s">
        <v>231</v>
      </c>
      <c r="B39" s="1805">
        <v>10</v>
      </c>
      <c r="C39" s="1805">
        <v>10</v>
      </c>
      <c r="D39" s="1805"/>
      <c r="E39" s="1805"/>
      <c r="F39" s="1805">
        <v>10</v>
      </c>
      <c r="G39" s="1805">
        <v>10</v>
      </c>
      <c r="H39" s="1809" t="s">
        <v>231</v>
      </c>
    </row>
    <row r="40" spans="1:8" ht="15" customHeight="1">
      <c r="A40" s="1808"/>
      <c r="B40" s="1805"/>
      <c r="C40" s="1805"/>
      <c r="D40" s="1805" t="s">
        <v>93</v>
      </c>
      <c r="E40" s="1805" t="s">
        <v>93</v>
      </c>
      <c r="F40" s="1805"/>
      <c r="G40" s="1805"/>
      <c r="H40" s="1809"/>
    </row>
    <row r="41" spans="1:8" ht="15" customHeight="1">
      <c r="A41" s="1808" t="s">
        <v>232</v>
      </c>
      <c r="B41" s="1811"/>
      <c r="C41" s="1811"/>
      <c r="D41" s="1811"/>
      <c r="E41" s="1811"/>
      <c r="F41" s="1811"/>
      <c r="G41" s="1811"/>
      <c r="H41" s="1809" t="s">
        <v>232</v>
      </c>
    </row>
    <row r="42" spans="1:8" ht="15" customHeight="1">
      <c r="A42" s="1808" t="s">
        <v>233</v>
      </c>
      <c r="B42" s="1805">
        <v>10</v>
      </c>
      <c r="C42" s="1805">
        <v>10</v>
      </c>
      <c r="D42" s="1805" t="s">
        <v>93</v>
      </c>
      <c r="E42" s="1805" t="s">
        <v>93</v>
      </c>
      <c r="F42" s="1805">
        <v>10</v>
      </c>
      <c r="G42" s="1805">
        <v>10</v>
      </c>
      <c r="H42" s="1806" t="s">
        <v>234</v>
      </c>
    </row>
    <row r="43" spans="1:8" ht="15" customHeight="1">
      <c r="A43" s="1808"/>
      <c r="B43" s="1805"/>
      <c r="C43" s="1805"/>
      <c r="D43" s="1805"/>
      <c r="E43" s="1805"/>
      <c r="F43" s="1805"/>
      <c r="G43" s="1805"/>
      <c r="H43" s="1806"/>
    </row>
    <row r="44" spans="1:8" ht="15" customHeight="1">
      <c r="A44" s="1808" t="s">
        <v>235</v>
      </c>
      <c r="B44" s="1805">
        <v>10</v>
      </c>
      <c r="C44" s="1805">
        <v>10</v>
      </c>
      <c r="D44" s="1805" t="s">
        <v>93</v>
      </c>
      <c r="E44" s="1805" t="s">
        <v>93</v>
      </c>
      <c r="F44" s="1805">
        <v>10</v>
      </c>
      <c r="G44" s="1805">
        <v>10</v>
      </c>
      <c r="H44" s="1809" t="s">
        <v>235</v>
      </c>
    </row>
    <row r="45" spans="1:8">
      <c r="A45" s="1808"/>
      <c r="B45" s="1811"/>
      <c r="C45" s="1811"/>
      <c r="D45" s="1811"/>
      <c r="E45" s="1811"/>
      <c r="F45" s="1811"/>
      <c r="G45" s="1811"/>
      <c r="H45" s="1809"/>
    </row>
    <row r="46" spans="1:8" ht="15" customHeight="1">
      <c r="A46" s="1808" t="s">
        <v>236</v>
      </c>
      <c r="B46" s="1805">
        <v>12</v>
      </c>
      <c r="C46" s="1805">
        <v>12</v>
      </c>
      <c r="D46" s="1805">
        <v>5</v>
      </c>
      <c r="E46" s="1805">
        <v>5</v>
      </c>
      <c r="F46" s="1805">
        <v>12</v>
      </c>
      <c r="G46" s="1805">
        <v>12</v>
      </c>
      <c r="H46" s="1806" t="s">
        <v>237</v>
      </c>
    </row>
    <row r="47" spans="1:8">
      <c r="A47" s="1808"/>
      <c r="B47" s="1811"/>
      <c r="C47" s="1811"/>
      <c r="D47" s="1811"/>
      <c r="E47" s="1811"/>
      <c r="F47" s="1811"/>
      <c r="G47" s="1811"/>
      <c r="H47" s="1809"/>
    </row>
    <row r="48" spans="1:8" ht="18" customHeight="1">
      <c r="A48" s="1812" t="s">
        <v>238</v>
      </c>
      <c r="B48" s="1805">
        <v>9</v>
      </c>
      <c r="C48" s="1805">
        <v>9</v>
      </c>
      <c r="D48" s="1805">
        <v>0</v>
      </c>
      <c r="E48" s="1805">
        <v>0</v>
      </c>
      <c r="F48" s="1805">
        <v>9</v>
      </c>
      <c r="G48" s="1805">
        <v>9</v>
      </c>
      <c r="H48" s="1813" t="s">
        <v>239</v>
      </c>
    </row>
    <row r="49" spans="1:8">
      <c r="A49" s="1808"/>
      <c r="B49" s="1811"/>
      <c r="C49" s="1811"/>
      <c r="D49" s="1811"/>
      <c r="E49" s="1811"/>
      <c r="F49" s="1811"/>
      <c r="G49" s="1811"/>
      <c r="H49" s="1809"/>
    </row>
    <row r="50" spans="1:8" ht="19.149999999999999" customHeight="1">
      <c r="A50" s="1808" t="s">
        <v>240</v>
      </c>
      <c r="B50" s="1805">
        <v>6</v>
      </c>
      <c r="C50" s="1805">
        <v>6</v>
      </c>
      <c r="D50" s="1805">
        <v>0</v>
      </c>
      <c r="E50" s="1805">
        <v>0</v>
      </c>
      <c r="F50" s="1805">
        <v>6</v>
      </c>
      <c r="G50" s="1805">
        <v>6</v>
      </c>
      <c r="H50" s="1809" t="s">
        <v>240</v>
      </c>
    </row>
    <row r="51" spans="1:8">
      <c r="A51" s="1808"/>
      <c r="B51" s="1811"/>
      <c r="C51" s="1811"/>
      <c r="D51" s="1811"/>
      <c r="E51" s="1811"/>
      <c r="F51" s="1811"/>
      <c r="G51" s="1811"/>
      <c r="H51" s="1809"/>
    </row>
    <row r="52" spans="1:8">
      <c r="A52" s="1808" t="s">
        <v>241</v>
      </c>
      <c r="B52" s="1805">
        <v>3</v>
      </c>
      <c r="C52" s="1805">
        <v>3</v>
      </c>
      <c r="D52" s="1805">
        <v>0</v>
      </c>
      <c r="E52" s="1805">
        <v>0</v>
      </c>
      <c r="F52" s="1805">
        <v>3</v>
      </c>
      <c r="G52" s="1805">
        <v>3</v>
      </c>
      <c r="H52" s="1809" t="s">
        <v>241</v>
      </c>
    </row>
    <row r="53" spans="1:8" ht="12" customHeight="1">
      <c r="A53" s="1808"/>
      <c r="B53" s="1805"/>
      <c r="C53" s="1805"/>
      <c r="D53" s="1805"/>
      <c r="E53" s="1805"/>
      <c r="F53" s="1805"/>
      <c r="G53" s="1805"/>
      <c r="H53" s="1806"/>
    </row>
    <row r="54" spans="1:8">
      <c r="A54" s="1808" t="s">
        <v>1057</v>
      </c>
      <c r="B54" s="1805">
        <v>0.5</v>
      </c>
      <c r="C54" s="1805">
        <v>0.5</v>
      </c>
      <c r="D54" s="1805">
        <v>0</v>
      </c>
      <c r="E54" s="1805">
        <v>0</v>
      </c>
      <c r="F54" s="1805">
        <v>0.5</v>
      </c>
      <c r="G54" s="1805">
        <v>0.5</v>
      </c>
      <c r="H54" s="1809" t="s">
        <v>1057</v>
      </c>
    </row>
    <row r="55" spans="1:8" ht="12" customHeight="1">
      <c r="A55" s="1808"/>
      <c r="B55" s="1805"/>
      <c r="C55" s="1805"/>
      <c r="D55" s="1805"/>
      <c r="E55" s="1805"/>
      <c r="F55" s="1805"/>
      <c r="G55" s="1805"/>
      <c r="H55" s="1809"/>
    </row>
    <row r="56" spans="1:8">
      <c r="A56" s="1808" t="s">
        <v>1227</v>
      </c>
      <c r="B56" s="1805">
        <v>0.5</v>
      </c>
      <c r="C56" s="1805">
        <v>0.5</v>
      </c>
      <c r="D56" s="1805">
        <v>0.5</v>
      </c>
      <c r="E56" s="1805">
        <v>0.5</v>
      </c>
      <c r="F56" s="1805">
        <v>0.5</v>
      </c>
      <c r="G56" s="1805">
        <v>0.5</v>
      </c>
      <c r="H56" s="1809" t="s">
        <v>1227</v>
      </c>
    </row>
    <row r="57" spans="1:8">
      <c r="A57" s="1808"/>
      <c r="B57" s="1805"/>
      <c r="C57" s="1805"/>
      <c r="D57" s="1805"/>
      <c r="E57" s="1805"/>
      <c r="F57" s="1805"/>
      <c r="G57" s="1805"/>
      <c r="H57" s="1809"/>
    </row>
    <row r="58" spans="1:8">
      <c r="A58" s="1808" t="s">
        <v>1250</v>
      </c>
      <c r="B58" s="1805">
        <v>2</v>
      </c>
      <c r="C58" s="1805">
        <v>2</v>
      </c>
      <c r="D58" s="1805">
        <v>2</v>
      </c>
      <c r="E58" s="1805">
        <v>2</v>
      </c>
      <c r="F58" s="1805">
        <v>2</v>
      </c>
      <c r="G58" s="1805">
        <v>2</v>
      </c>
      <c r="H58" s="1809" t="s">
        <v>1250</v>
      </c>
    </row>
    <row r="59" spans="1:8">
      <c r="B59" s="1805"/>
      <c r="C59" s="1805"/>
      <c r="D59" s="1805"/>
      <c r="E59" s="1805"/>
      <c r="F59" s="1805"/>
      <c r="G59" s="1805"/>
    </row>
    <row r="60" spans="1:8">
      <c r="A60" s="1814" t="s">
        <v>1420</v>
      </c>
      <c r="B60" s="1805">
        <v>2</v>
      </c>
      <c r="C60" s="1805">
        <v>3</v>
      </c>
      <c r="D60" s="1805">
        <v>2</v>
      </c>
      <c r="E60" s="1805">
        <v>3</v>
      </c>
      <c r="F60" s="1805">
        <v>2</v>
      </c>
      <c r="G60" s="1805">
        <v>3</v>
      </c>
      <c r="H60" s="1809" t="s">
        <v>1420</v>
      </c>
    </row>
    <row r="61" spans="1:8">
      <c r="B61" s="1805"/>
      <c r="C61" s="1805"/>
      <c r="D61" s="1805"/>
      <c r="E61" s="1805"/>
      <c r="F61" s="1805"/>
      <c r="G61" s="1805"/>
      <c r="H61" s="1809"/>
    </row>
    <row r="62" spans="1:8">
      <c r="A62" s="1814" t="s">
        <v>1714</v>
      </c>
      <c r="B62" s="1805">
        <v>3</v>
      </c>
      <c r="C62" s="1805">
        <v>3</v>
      </c>
      <c r="D62" s="1805">
        <v>3</v>
      </c>
      <c r="E62" s="1805">
        <v>3</v>
      </c>
      <c r="F62" s="1805">
        <v>3</v>
      </c>
      <c r="G62" s="1805">
        <v>3</v>
      </c>
      <c r="H62" s="1815" t="s">
        <v>1714</v>
      </c>
    </row>
    <row r="63" spans="1:8">
      <c r="B63" s="1805"/>
      <c r="C63" s="1805"/>
      <c r="D63" s="1805"/>
      <c r="E63" s="1805"/>
      <c r="F63" s="1805"/>
      <c r="G63" s="1805"/>
      <c r="H63" s="1815"/>
    </row>
    <row r="64" spans="1:8">
      <c r="A64" s="1814" t="s">
        <v>2896</v>
      </c>
      <c r="B64" s="1805">
        <v>2</v>
      </c>
      <c r="C64" s="1805">
        <v>2</v>
      </c>
      <c r="D64" s="1805">
        <v>2</v>
      </c>
      <c r="E64" s="1805">
        <v>2</v>
      </c>
      <c r="F64" s="1805">
        <v>2</v>
      </c>
      <c r="G64" s="1805">
        <v>2</v>
      </c>
      <c r="H64" s="1815" t="s">
        <v>2896</v>
      </c>
    </row>
    <row r="65" spans="1:8">
      <c r="B65" s="1805"/>
      <c r="C65" s="1805"/>
      <c r="D65" s="1805"/>
      <c r="E65" s="1805"/>
      <c r="F65" s="1805"/>
      <c r="G65" s="1805"/>
      <c r="H65" s="1815"/>
    </row>
    <row r="66" spans="1:8">
      <c r="A66" s="1808" t="s">
        <v>1865</v>
      </c>
      <c r="B66" s="1805">
        <v>0.5</v>
      </c>
      <c r="C66" s="1805">
        <v>0.5</v>
      </c>
      <c r="D66" s="1805">
        <v>0.5</v>
      </c>
      <c r="E66" s="1805">
        <v>0.5</v>
      </c>
      <c r="F66" s="1805">
        <v>0.5</v>
      </c>
      <c r="G66" s="1805">
        <v>0.5</v>
      </c>
      <c r="H66" s="1809" t="s">
        <v>1865</v>
      </c>
    </row>
    <row r="67" spans="1:8">
      <c r="B67" s="1805"/>
      <c r="C67" s="1805"/>
      <c r="D67" s="1805"/>
      <c r="E67" s="1805"/>
      <c r="F67" s="1805"/>
      <c r="G67" s="1805"/>
      <c r="H67" s="1816"/>
    </row>
    <row r="68" spans="1:8">
      <c r="A68" s="1814" t="s">
        <v>2894</v>
      </c>
      <c r="B68" s="1805">
        <v>0.5</v>
      </c>
      <c r="C68" s="1805">
        <v>1</v>
      </c>
      <c r="D68" s="1805">
        <v>0</v>
      </c>
      <c r="E68" s="1805">
        <v>0</v>
      </c>
      <c r="F68" s="1805">
        <v>0.5</v>
      </c>
      <c r="G68" s="1805">
        <v>1</v>
      </c>
      <c r="H68" s="1815" t="s">
        <v>2895</v>
      </c>
    </row>
    <row r="69" spans="1:8">
      <c r="A69" s="1814"/>
      <c r="B69" s="1805"/>
      <c r="C69" s="1805"/>
      <c r="D69" s="1805"/>
      <c r="E69" s="1805"/>
      <c r="F69" s="1805"/>
      <c r="G69" s="1805"/>
      <c r="H69" s="1815"/>
    </row>
    <row r="70" spans="1:8">
      <c r="A70" s="1814" t="s">
        <v>3534</v>
      </c>
      <c r="B70" s="1817">
        <v>4</v>
      </c>
      <c r="C70" s="1817">
        <v>5</v>
      </c>
      <c r="D70" s="1817">
        <v>0</v>
      </c>
      <c r="E70" s="1817">
        <v>0</v>
      </c>
      <c r="F70" s="1817">
        <v>4</v>
      </c>
      <c r="G70" s="1817">
        <v>5</v>
      </c>
      <c r="H70" s="1815" t="s">
        <v>3534</v>
      </c>
    </row>
    <row r="71" spans="1:8">
      <c r="A71" s="1818"/>
      <c r="B71" s="1805"/>
      <c r="C71" s="1805"/>
      <c r="D71" s="1805"/>
      <c r="E71" s="1805"/>
      <c r="F71" s="1805"/>
      <c r="G71" s="1805"/>
      <c r="H71" s="1819"/>
    </row>
    <row r="72" spans="1:8">
      <c r="A72" s="1818" t="s">
        <v>3942</v>
      </c>
      <c r="B72" s="1805"/>
      <c r="C72" s="1805"/>
      <c r="D72" s="1805"/>
      <c r="E72" s="1805"/>
      <c r="F72" s="1805"/>
      <c r="G72" s="1805"/>
      <c r="H72" s="1819" t="s">
        <v>3942</v>
      </c>
    </row>
    <row r="73" spans="1:8" ht="36.75" customHeight="1">
      <c r="A73" s="1820" t="s">
        <v>3943</v>
      </c>
      <c r="B73" s="1805">
        <v>5</v>
      </c>
      <c r="C73" s="1805">
        <v>6</v>
      </c>
      <c r="D73" s="1805">
        <v>0</v>
      </c>
      <c r="E73" s="1805">
        <v>0</v>
      </c>
      <c r="F73" s="1805">
        <v>5</v>
      </c>
      <c r="G73" s="1805">
        <v>6</v>
      </c>
      <c r="H73" s="1821" t="s">
        <v>3944</v>
      </c>
    </row>
    <row r="74" spans="1:8" ht="33" customHeight="1">
      <c r="A74" s="1820" t="s">
        <v>3945</v>
      </c>
      <c r="B74" s="1805">
        <v>10</v>
      </c>
      <c r="C74" s="1805">
        <v>12</v>
      </c>
      <c r="D74" s="1805">
        <v>0</v>
      </c>
      <c r="E74" s="1805">
        <v>0</v>
      </c>
      <c r="F74" s="1805">
        <v>5</v>
      </c>
      <c r="G74" s="1805">
        <v>6</v>
      </c>
      <c r="H74" s="1822" t="s">
        <v>3946</v>
      </c>
    </row>
    <row r="75" spans="1:8" ht="20.25" customHeight="1">
      <c r="A75" s="1820"/>
      <c r="B75" s="1805"/>
      <c r="C75" s="1805"/>
      <c r="D75" s="1805"/>
      <c r="E75" s="1805"/>
      <c r="F75" s="1805"/>
      <c r="G75" s="1805"/>
      <c r="H75" s="1821"/>
    </row>
    <row r="76" spans="1:8" ht="20.25" customHeight="1">
      <c r="A76" s="1820" t="s">
        <v>3947</v>
      </c>
      <c r="B76" s="1805"/>
      <c r="C76" s="1805"/>
      <c r="D76" s="1805"/>
      <c r="E76" s="1805"/>
      <c r="F76" s="1805"/>
      <c r="G76" s="1805"/>
      <c r="H76" s="1821" t="s">
        <v>3947</v>
      </c>
    </row>
    <row r="77" spans="1:8" ht="37.5" customHeight="1">
      <c r="A77" s="1820" t="s">
        <v>3948</v>
      </c>
      <c r="B77" s="1805">
        <v>5</v>
      </c>
      <c r="C77" s="1805">
        <v>6</v>
      </c>
      <c r="D77" s="1805">
        <v>0</v>
      </c>
      <c r="E77" s="1805">
        <v>0</v>
      </c>
      <c r="F77" s="1805">
        <v>5</v>
      </c>
      <c r="G77" s="1805">
        <v>6</v>
      </c>
      <c r="H77" s="1821" t="s">
        <v>3949</v>
      </c>
    </row>
    <row r="78" spans="1:8" ht="49.5" customHeight="1">
      <c r="A78" s="1820" t="s">
        <v>3950</v>
      </c>
      <c r="B78" s="1805">
        <v>10</v>
      </c>
      <c r="C78" s="1805">
        <v>12</v>
      </c>
      <c r="D78" s="1805">
        <v>0</v>
      </c>
      <c r="E78" s="1805">
        <v>0</v>
      </c>
      <c r="F78" s="1805">
        <v>10</v>
      </c>
      <c r="G78" s="1805">
        <v>12</v>
      </c>
      <c r="H78" s="1822" t="s">
        <v>3951</v>
      </c>
    </row>
    <row r="79" spans="1:8" ht="54" customHeight="1">
      <c r="A79" s="1820"/>
      <c r="B79" s="1805"/>
      <c r="C79" s="1805"/>
      <c r="D79" s="1805"/>
      <c r="E79" s="1805"/>
      <c r="F79" s="1805"/>
      <c r="G79" s="1805"/>
    </row>
    <row r="80" spans="1:8" ht="28.5" customHeight="1">
      <c r="A80" s="1820" t="s">
        <v>3952</v>
      </c>
      <c r="B80" s="1805"/>
      <c r="C80" s="1805"/>
      <c r="D80" s="1805"/>
      <c r="E80" s="1805"/>
      <c r="F80" s="1805"/>
      <c r="G80" s="1805"/>
      <c r="H80" s="1825" t="s">
        <v>3953</v>
      </c>
    </row>
    <row r="81" spans="1:10" ht="78.75">
      <c r="A81" s="1820" t="s">
        <v>3954</v>
      </c>
      <c r="B81" s="1805">
        <v>5</v>
      </c>
      <c r="C81" s="1805">
        <v>6</v>
      </c>
      <c r="D81" s="1805">
        <v>0</v>
      </c>
      <c r="E81" s="1805">
        <v>0</v>
      </c>
      <c r="F81" s="1805">
        <v>5</v>
      </c>
      <c r="G81" s="1805">
        <v>6</v>
      </c>
      <c r="H81" s="1826" t="s">
        <v>3955</v>
      </c>
    </row>
    <row r="82" spans="1:10" ht="78.75">
      <c r="A82" s="1820" t="s">
        <v>3956</v>
      </c>
      <c r="B82" s="1805">
        <v>10</v>
      </c>
      <c r="C82" s="1805">
        <v>12</v>
      </c>
      <c r="D82" s="1805">
        <v>0</v>
      </c>
      <c r="E82" s="1805">
        <v>0</v>
      </c>
      <c r="F82" s="1805">
        <v>10</v>
      </c>
      <c r="G82" s="1805">
        <v>12</v>
      </c>
      <c r="H82" s="1826" t="s">
        <v>3957</v>
      </c>
    </row>
    <row r="83" spans="1:10" ht="78.75">
      <c r="A83" s="1820" t="s">
        <v>3958</v>
      </c>
      <c r="B83" s="1805">
        <v>10</v>
      </c>
      <c r="C83" s="1805">
        <v>12</v>
      </c>
      <c r="D83" s="1805">
        <v>0</v>
      </c>
      <c r="E83" s="1805">
        <v>0</v>
      </c>
      <c r="F83" s="1805">
        <v>10</v>
      </c>
      <c r="G83" s="1805">
        <v>12</v>
      </c>
      <c r="H83" s="1826" t="s">
        <v>3959</v>
      </c>
    </row>
    <row r="84" spans="1:10" ht="78.75">
      <c r="A84" s="1820" t="s">
        <v>3960</v>
      </c>
      <c r="B84" s="1805">
        <v>12.5</v>
      </c>
      <c r="C84" s="1805">
        <v>15</v>
      </c>
      <c r="D84" s="1805">
        <v>0</v>
      </c>
      <c r="E84" s="1805">
        <v>0</v>
      </c>
      <c r="F84" s="1805">
        <v>12.5</v>
      </c>
      <c r="G84" s="1805">
        <v>15</v>
      </c>
      <c r="H84" s="1826" t="s">
        <v>3961</v>
      </c>
    </row>
    <row r="85" spans="1:10" ht="78.75">
      <c r="A85" s="1820" t="s">
        <v>3962</v>
      </c>
      <c r="B85" s="1805">
        <v>10</v>
      </c>
      <c r="C85" s="1805">
        <v>12</v>
      </c>
      <c r="D85" s="1805">
        <v>0</v>
      </c>
      <c r="E85" s="1805">
        <v>0</v>
      </c>
      <c r="F85" s="1805">
        <v>10</v>
      </c>
      <c r="G85" s="1805">
        <v>12</v>
      </c>
      <c r="H85" s="1826" t="s">
        <v>3963</v>
      </c>
    </row>
    <row r="86" spans="1:10" ht="78.75">
      <c r="A86" s="1820" t="s">
        <v>3964</v>
      </c>
      <c r="B86" s="1805">
        <v>20</v>
      </c>
      <c r="C86" s="1805">
        <v>20</v>
      </c>
      <c r="D86" s="1805">
        <v>0</v>
      </c>
      <c r="E86" s="1805">
        <v>0</v>
      </c>
      <c r="F86" s="1805">
        <v>20</v>
      </c>
      <c r="G86" s="1805">
        <v>20</v>
      </c>
      <c r="H86" s="1826" t="s">
        <v>3965</v>
      </c>
    </row>
    <row r="87" spans="1:10" ht="78.75">
      <c r="A87" s="1820" t="s">
        <v>3966</v>
      </c>
      <c r="B87" s="1805">
        <v>20</v>
      </c>
      <c r="C87" s="1805">
        <v>20</v>
      </c>
      <c r="D87" s="1805">
        <v>0</v>
      </c>
      <c r="E87" s="1805">
        <v>0</v>
      </c>
      <c r="F87" s="1805">
        <v>20</v>
      </c>
      <c r="G87" s="1805">
        <v>20</v>
      </c>
      <c r="H87" s="1826" t="s">
        <v>3967</v>
      </c>
    </row>
    <row r="88" spans="1:10" ht="78.75">
      <c r="A88" s="1823" t="s">
        <v>3968</v>
      </c>
      <c r="B88" s="1817">
        <v>25</v>
      </c>
      <c r="C88" s="1817">
        <v>25</v>
      </c>
      <c r="D88" s="1817">
        <v>0</v>
      </c>
      <c r="E88" s="1817">
        <v>0</v>
      </c>
      <c r="F88" s="1817">
        <v>25</v>
      </c>
      <c r="G88" s="1817">
        <v>25</v>
      </c>
      <c r="H88" s="1826" t="s">
        <v>3969</v>
      </c>
    </row>
    <row r="89" spans="1:10" s="1824" customFormat="1" ht="38.450000000000003" customHeight="1">
      <c r="A89" s="2615" t="s">
        <v>2705</v>
      </c>
      <c r="B89" s="2616"/>
      <c r="C89" s="2616"/>
      <c r="D89" s="2616"/>
      <c r="E89" s="2616"/>
      <c r="F89" s="2616"/>
      <c r="G89" s="2616"/>
      <c r="H89" s="2616"/>
    </row>
    <row r="90" spans="1:10">
      <c r="J90" s="1797" t="s">
        <v>3970</v>
      </c>
    </row>
  </sheetData>
  <mergeCells count="23">
    <mergeCell ref="A89:H89"/>
    <mergeCell ref="B12:B13"/>
    <mergeCell ref="C12:C13"/>
    <mergeCell ref="D12:D13"/>
    <mergeCell ref="E12:E13"/>
    <mergeCell ref="F12:F13"/>
    <mergeCell ref="G12:G13"/>
    <mergeCell ref="A2:H2"/>
    <mergeCell ref="A3:H3"/>
    <mergeCell ref="A6:A13"/>
    <mergeCell ref="B6:C7"/>
    <mergeCell ref="D6:E7"/>
    <mergeCell ref="F6:G7"/>
    <mergeCell ref="H6:H13"/>
    <mergeCell ref="B8:B9"/>
    <mergeCell ref="C8:C9"/>
    <mergeCell ref="D8:D9"/>
    <mergeCell ref="E8:E9"/>
    <mergeCell ref="F8:F9"/>
    <mergeCell ref="G8:G9"/>
    <mergeCell ref="B10:C11"/>
    <mergeCell ref="D10:E11"/>
    <mergeCell ref="F10:G11"/>
  </mergeCells>
  <pageMargins left="0.76" right="0.17" top="0.17" bottom="0.17" header="0.17" footer="0.17"/>
  <pageSetup scale="32"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tabColor rgb="FF92D050"/>
  </sheetPr>
  <dimension ref="A2:AR297"/>
  <sheetViews>
    <sheetView showGridLines="0" view="pageBreakPreview" zoomScale="70" zoomScaleSheetLayoutView="70" workbookViewId="0">
      <pane ySplit="88" topLeftCell="A255" activePane="bottomLeft" state="frozen"/>
      <selection activeCell="B39" sqref="B39"/>
      <selection pane="bottomLeft" activeCell="AK318" sqref="AK318"/>
    </sheetView>
  </sheetViews>
  <sheetFormatPr defaultColWidth="9.140625" defaultRowHeight="14.1" customHeight="1"/>
  <cols>
    <col min="1" max="1" width="8.42578125" style="66" customWidth="1"/>
    <col min="2" max="3" width="8.7109375" style="152" customWidth="1"/>
    <col min="4" max="4" width="10.28515625" style="152" customWidth="1"/>
    <col min="5" max="6" width="8.7109375" style="152" customWidth="1"/>
    <col min="7" max="7" width="11.28515625" style="152" customWidth="1"/>
    <col min="8" max="8" width="9.85546875" style="152" customWidth="1"/>
    <col min="9" max="9" width="11.28515625" style="152" customWidth="1"/>
    <col min="10" max="10" width="11.28515625" style="152" bestFit="1" customWidth="1"/>
    <col min="11" max="17" width="8.7109375" style="152" customWidth="1"/>
    <col min="18" max="18" width="9.5703125" style="152" customWidth="1"/>
    <col min="19" max="22" width="8.7109375" style="152" customWidth="1"/>
    <col min="23" max="23" width="11.5703125" style="152" customWidth="1"/>
    <col min="24" max="27" width="8.7109375" style="152" customWidth="1"/>
    <col min="28" max="28" width="10.28515625" style="152" customWidth="1"/>
    <col min="29" max="29" width="10.140625" style="152" customWidth="1"/>
    <col min="30" max="30" width="10.42578125" style="152" customWidth="1"/>
    <col min="31" max="31" width="15.42578125" style="152" customWidth="1"/>
    <col min="32" max="32" width="10.85546875" style="152" customWidth="1"/>
    <col min="33" max="33" width="14.85546875" style="152" customWidth="1"/>
    <col min="34" max="34" width="10.85546875" style="152" customWidth="1"/>
    <col min="35" max="35" width="13.140625" style="152" customWidth="1"/>
    <col min="36" max="36" width="15" style="152" customWidth="1"/>
    <col min="37" max="37" width="11.28515625" style="152" customWidth="1"/>
    <col min="38" max="38" width="11.5703125" style="152" customWidth="1"/>
    <col min="39" max="39" width="8.7109375" style="152" customWidth="1"/>
    <col min="40" max="40" width="12" style="152" customWidth="1"/>
    <col min="41" max="41" width="10.7109375" style="154" customWidth="1"/>
    <col min="42" max="16384" width="9.140625" style="152"/>
  </cols>
  <sheetData>
    <row r="2" spans="1:41" ht="25.5" customHeight="1">
      <c r="A2" s="2623" t="s">
        <v>3667</v>
      </c>
      <c r="B2" s="2623"/>
      <c r="C2" s="2623"/>
      <c r="D2" s="2623"/>
      <c r="E2" s="2623"/>
      <c r="F2" s="2623"/>
      <c r="G2" s="2623"/>
      <c r="H2" s="2623"/>
      <c r="I2" s="2623"/>
      <c r="J2" s="2623"/>
      <c r="K2" s="2623"/>
      <c r="L2" s="2623"/>
      <c r="M2" s="2623"/>
      <c r="N2" s="2623"/>
      <c r="O2" s="2623"/>
      <c r="P2" s="2623"/>
      <c r="Q2" s="2623"/>
      <c r="R2" s="2623"/>
      <c r="S2" s="2623"/>
      <c r="T2" s="2623"/>
      <c r="U2" s="2623"/>
      <c r="V2" s="2623"/>
      <c r="W2" s="2623"/>
      <c r="X2" s="2623"/>
      <c r="Y2" s="2623"/>
      <c r="Z2" s="2623"/>
      <c r="AA2" s="2623"/>
      <c r="AB2" s="2623"/>
      <c r="AC2" s="2623"/>
      <c r="AD2" s="2623"/>
      <c r="AE2" s="2623"/>
      <c r="AF2" s="2623"/>
      <c r="AG2" s="2623"/>
      <c r="AH2" s="2623"/>
      <c r="AI2" s="2623"/>
      <c r="AJ2" s="2623"/>
      <c r="AK2" s="2623"/>
      <c r="AL2" s="2623"/>
      <c r="AM2" s="2623"/>
      <c r="AN2" s="2623"/>
      <c r="AO2" s="2623"/>
    </row>
    <row r="3" spans="1:41" ht="33" customHeight="1">
      <c r="A3" s="2624" t="s">
        <v>2750</v>
      </c>
      <c r="B3" s="2624"/>
      <c r="C3" s="2624"/>
      <c r="D3" s="2624"/>
      <c r="E3" s="2624"/>
      <c r="F3" s="2624"/>
      <c r="G3" s="2624"/>
      <c r="H3" s="2624"/>
      <c r="I3" s="2624"/>
      <c r="J3" s="2624"/>
      <c r="K3" s="2624"/>
      <c r="L3" s="2624"/>
      <c r="M3" s="2624"/>
      <c r="N3" s="2624"/>
      <c r="O3" s="2624"/>
      <c r="P3" s="2624"/>
      <c r="Q3" s="2624"/>
      <c r="R3" s="2624"/>
      <c r="S3" s="2624"/>
      <c r="T3" s="2624"/>
      <c r="U3" s="2624"/>
      <c r="V3" s="2624"/>
      <c r="W3" s="2624"/>
      <c r="X3" s="2624"/>
      <c r="Y3" s="2624"/>
      <c r="Z3" s="2624"/>
      <c r="AA3" s="2624"/>
      <c r="AB3" s="2624"/>
      <c r="AC3" s="2624"/>
      <c r="AD3" s="2624"/>
      <c r="AE3" s="2624"/>
      <c r="AF3" s="2624"/>
      <c r="AG3" s="2624"/>
      <c r="AH3" s="2624"/>
      <c r="AI3" s="2624"/>
      <c r="AJ3" s="2624"/>
      <c r="AK3" s="2624"/>
      <c r="AL3" s="2624"/>
      <c r="AM3" s="2624"/>
      <c r="AN3" s="2624"/>
      <c r="AO3" s="2624"/>
    </row>
    <row r="4" spans="1:41" ht="15" customHeight="1">
      <c r="A4" s="543"/>
      <c r="B4" s="543"/>
      <c r="C4" s="543"/>
      <c r="D4" s="543"/>
      <c r="E4" s="543"/>
      <c r="F4" s="543"/>
      <c r="G4" s="543"/>
      <c r="H4" s="543"/>
      <c r="I4" s="543"/>
      <c r="J4" s="543"/>
      <c r="K4" s="543"/>
      <c r="L4" s="543"/>
      <c r="M4" s="543"/>
      <c r="N4" s="543"/>
      <c r="O4" s="543"/>
      <c r="P4" s="543"/>
      <c r="Q4" s="543"/>
      <c r="R4" s="543"/>
      <c r="S4" s="543"/>
      <c r="T4" s="543"/>
      <c r="U4" s="543"/>
      <c r="V4" s="543"/>
      <c r="W4" s="543"/>
      <c r="X4" s="543"/>
      <c r="Y4" s="543"/>
      <c r="Z4" s="543"/>
      <c r="AA4" s="543"/>
      <c r="AB4" s="543"/>
      <c r="AC4" s="543"/>
      <c r="AD4" s="543"/>
      <c r="AE4" s="543"/>
      <c r="AF4" s="543"/>
      <c r="AG4" s="543"/>
      <c r="AH4" s="543"/>
      <c r="AI4" s="543"/>
      <c r="AJ4" s="543"/>
      <c r="AK4" s="543"/>
      <c r="AL4" s="543"/>
      <c r="AM4" s="543"/>
      <c r="AN4" s="543"/>
      <c r="AO4" s="543"/>
    </row>
    <row r="5" spans="1:41" ht="15" customHeight="1">
      <c r="A5" s="519"/>
      <c r="B5" s="519"/>
      <c r="C5" s="519"/>
      <c r="D5" s="519"/>
      <c r="E5" s="519"/>
      <c r="F5" s="519"/>
      <c r="G5" s="519"/>
      <c r="H5" s="519"/>
      <c r="I5" s="519"/>
      <c r="J5" s="519"/>
      <c r="K5" s="519"/>
      <c r="L5" s="519"/>
      <c r="M5" s="519"/>
      <c r="N5" s="519"/>
      <c r="O5" s="519"/>
      <c r="P5" s="519"/>
      <c r="Q5" s="519"/>
      <c r="R5" s="519"/>
      <c r="S5" s="519"/>
      <c r="T5" s="519"/>
      <c r="U5" s="519"/>
      <c r="V5" s="519"/>
      <c r="W5" s="519"/>
      <c r="X5" s="519"/>
      <c r="Y5" s="519"/>
      <c r="Z5" s="519"/>
      <c r="AA5" s="519"/>
      <c r="AB5" s="519"/>
      <c r="AC5" s="519"/>
      <c r="AD5" s="519"/>
      <c r="AE5" s="519"/>
      <c r="AF5" s="519"/>
      <c r="AG5" s="519"/>
      <c r="AH5" s="519"/>
      <c r="AI5" s="519"/>
      <c r="AJ5" s="519"/>
      <c r="AK5" s="519"/>
      <c r="AL5" s="519"/>
      <c r="AM5" s="519"/>
      <c r="AN5" s="519"/>
      <c r="AO5" s="519"/>
    </row>
    <row r="6" spans="1:41" s="154" customFormat="1" ht="42" customHeight="1">
      <c r="A6" s="578" t="s">
        <v>182</v>
      </c>
      <c r="B6" s="578" t="s">
        <v>242</v>
      </c>
      <c r="C6" s="578" t="s">
        <v>243</v>
      </c>
      <c r="D6" s="578" t="s">
        <v>244</v>
      </c>
      <c r="E6" s="578" t="s">
        <v>245</v>
      </c>
      <c r="F6" s="578" t="s">
        <v>246</v>
      </c>
      <c r="G6" s="578" t="s">
        <v>247</v>
      </c>
      <c r="H6" s="578" t="s">
        <v>248</v>
      </c>
      <c r="I6" s="578" t="s">
        <v>249</v>
      </c>
      <c r="J6" s="578" t="s">
        <v>4162</v>
      </c>
      <c r="K6" s="578" t="s">
        <v>250</v>
      </c>
      <c r="L6" s="578" t="s">
        <v>251</v>
      </c>
      <c r="M6" s="578" t="s">
        <v>252</v>
      </c>
      <c r="N6" s="578" t="s">
        <v>253</v>
      </c>
      <c r="O6" s="578" t="s">
        <v>254</v>
      </c>
      <c r="P6" s="578" t="s">
        <v>255</v>
      </c>
      <c r="Q6" s="578" t="s">
        <v>256</v>
      </c>
      <c r="R6" s="578" t="s">
        <v>257</v>
      </c>
      <c r="S6" s="578" t="s">
        <v>258</v>
      </c>
      <c r="T6" s="578" t="s">
        <v>259</v>
      </c>
      <c r="U6" s="578" t="s">
        <v>3505</v>
      </c>
      <c r="V6" s="578" t="s">
        <v>260</v>
      </c>
      <c r="W6" s="578" t="s">
        <v>4158</v>
      </c>
      <c r="X6" s="578" t="s">
        <v>261</v>
      </c>
      <c r="Y6" s="578" t="s">
        <v>262</v>
      </c>
      <c r="Z6" s="578" t="s">
        <v>263</v>
      </c>
      <c r="AA6" s="578" t="s">
        <v>4160</v>
      </c>
      <c r="AB6" s="578" t="s">
        <v>4155</v>
      </c>
      <c r="AC6" s="578" t="s">
        <v>265</v>
      </c>
      <c r="AD6" s="578" t="s">
        <v>1058</v>
      </c>
      <c r="AE6" s="578" t="s">
        <v>1059</v>
      </c>
      <c r="AF6" s="578" t="s">
        <v>1060</v>
      </c>
      <c r="AG6" s="579" t="s">
        <v>1061</v>
      </c>
      <c r="AH6" s="578" t="s">
        <v>2653</v>
      </c>
      <c r="AI6" s="579" t="s">
        <v>4168</v>
      </c>
      <c r="AJ6" s="579" t="s">
        <v>4169</v>
      </c>
      <c r="AK6" s="578" t="s">
        <v>4181</v>
      </c>
      <c r="AL6" s="578" t="s">
        <v>4183</v>
      </c>
      <c r="AM6" s="578" t="s">
        <v>4170</v>
      </c>
      <c r="AN6" s="579" t="s">
        <v>4171</v>
      </c>
      <c r="AO6" s="578" t="s">
        <v>182</v>
      </c>
    </row>
    <row r="7" spans="1:41" ht="34.9" customHeight="1">
      <c r="A7" s="580" t="s">
        <v>289</v>
      </c>
      <c r="B7" s="580" t="s">
        <v>266</v>
      </c>
      <c r="C7" s="580" t="s">
        <v>267</v>
      </c>
      <c r="D7" s="581" t="s">
        <v>268</v>
      </c>
      <c r="E7" s="581" t="s">
        <v>269</v>
      </c>
      <c r="F7" s="581" t="s">
        <v>270</v>
      </c>
      <c r="G7" s="581" t="s">
        <v>271</v>
      </c>
      <c r="H7" s="581" t="s">
        <v>272</v>
      </c>
      <c r="I7" s="581" t="s">
        <v>273</v>
      </c>
      <c r="J7" s="581" t="s">
        <v>4163</v>
      </c>
      <c r="K7" s="581" t="s">
        <v>274</v>
      </c>
      <c r="L7" s="581" t="s">
        <v>275</v>
      </c>
      <c r="M7" s="581" t="s">
        <v>276</v>
      </c>
      <c r="N7" s="581" t="s">
        <v>277</v>
      </c>
      <c r="O7" s="581" t="s">
        <v>278</v>
      </c>
      <c r="P7" s="581" t="s">
        <v>279</v>
      </c>
      <c r="Q7" s="581" t="s">
        <v>280</v>
      </c>
      <c r="R7" s="581" t="s">
        <v>281</v>
      </c>
      <c r="S7" s="581" t="s">
        <v>282</v>
      </c>
      <c r="T7" s="581" t="s">
        <v>283</v>
      </c>
      <c r="U7" s="581" t="s">
        <v>4154</v>
      </c>
      <c r="V7" s="581" t="s">
        <v>284</v>
      </c>
      <c r="W7" s="581" t="s">
        <v>4159</v>
      </c>
      <c r="X7" s="581" t="s">
        <v>285</v>
      </c>
      <c r="Y7" s="581" t="s">
        <v>286</v>
      </c>
      <c r="Z7" s="581" t="s">
        <v>287</v>
      </c>
      <c r="AA7" s="581" t="s">
        <v>4161</v>
      </c>
      <c r="AB7" s="581" t="s">
        <v>4156</v>
      </c>
      <c r="AC7" s="581" t="s">
        <v>288</v>
      </c>
      <c r="AD7" s="581" t="s">
        <v>1062</v>
      </c>
      <c r="AE7" s="581" t="s">
        <v>1063</v>
      </c>
      <c r="AF7" s="581" t="s">
        <v>1064</v>
      </c>
      <c r="AG7" s="582" t="s">
        <v>1065</v>
      </c>
      <c r="AH7" s="581" t="s">
        <v>2654</v>
      </c>
      <c r="AI7" s="582" t="s">
        <v>4172</v>
      </c>
      <c r="AJ7" s="582" t="s">
        <v>4173</v>
      </c>
      <c r="AK7" s="581" t="s">
        <v>4182</v>
      </c>
      <c r="AL7" s="581" t="s">
        <v>4207</v>
      </c>
      <c r="AM7" s="581" t="s">
        <v>4174</v>
      </c>
      <c r="AN7" s="582" t="s">
        <v>4175</v>
      </c>
      <c r="AO7" s="583" t="s">
        <v>289</v>
      </c>
    </row>
    <row r="8" spans="1:41" ht="14.1" hidden="1" customHeight="1">
      <c r="B8" s="153"/>
      <c r="C8" s="153"/>
      <c r="D8" s="153"/>
      <c r="E8" s="153"/>
      <c r="F8" s="155"/>
      <c r="G8" s="153"/>
      <c r="H8" s="155"/>
      <c r="I8" s="155"/>
      <c r="J8" s="155"/>
      <c r="K8" s="155"/>
      <c r="L8" s="155"/>
      <c r="M8" s="155"/>
      <c r="N8" s="155"/>
      <c r="O8" s="155"/>
      <c r="P8" s="155"/>
      <c r="Q8" s="155"/>
      <c r="R8" s="155"/>
      <c r="S8" s="155"/>
      <c r="T8" s="155"/>
      <c r="U8" s="155"/>
      <c r="V8" s="155"/>
      <c r="W8" s="155"/>
      <c r="X8" s="155"/>
      <c r="Y8" s="155"/>
      <c r="Z8" s="155"/>
      <c r="AA8" s="155"/>
      <c r="AB8" s="155"/>
      <c r="AC8" s="155"/>
      <c r="AD8" s="155"/>
      <c r="AE8" s="155"/>
      <c r="AF8" s="155"/>
      <c r="AG8" s="155"/>
      <c r="AH8" s="155"/>
      <c r="AI8" s="155"/>
      <c r="AJ8" s="155"/>
      <c r="AK8" s="155"/>
      <c r="AL8" s="155"/>
      <c r="AM8" s="155"/>
      <c r="AN8" s="155"/>
      <c r="AO8" s="69"/>
    </row>
    <row r="9" spans="1:41" ht="14.1" hidden="1" customHeight="1">
      <c r="A9" s="66">
        <v>1995</v>
      </c>
      <c r="B9" s="156">
        <v>0.88281589221710188</v>
      </c>
      <c r="C9" s="156" t="s">
        <v>93</v>
      </c>
      <c r="D9" s="156">
        <v>0.65485038479262669</v>
      </c>
      <c r="E9" s="156" t="s">
        <v>93</v>
      </c>
      <c r="F9" s="156" t="s">
        <v>93</v>
      </c>
      <c r="G9" s="156">
        <v>0.15733485459549409</v>
      </c>
      <c r="H9" s="156" t="s">
        <v>93</v>
      </c>
      <c r="I9" s="156">
        <v>1.3926609426139271</v>
      </c>
      <c r="J9" s="156">
        <v>3.7644079621095748E-4</v>
      </c>
      <c r="K9" s="156">
        <v>0.1237000687019969</v>
      </c>
      <c r="L9" s="156">
        <v>0.74629808970814115</v>
      </c>
      <c r="M9" s="156" t="s">
        <v>93</v>
      </c>
      <c r="N9" s="156">
        <v>0.64367552814900142</v>
      </c>
      <c r="O9" s="156">
        <v>3.0524454509728622</v>
      </c>
      <c r="P9" s="156">
        <v>0.13910381382488479</v>
      </c>
      <c r="Q9" s="156"/>
      <c r="R9" s="156">
        <v>0.6231930623911931</v>
      </c>
      <c r="S9" s="156">
        <v>3.2445313517665129E-2</v>
      </c>
      <c r="T9" s="156">
        <v>9.4382058115719397E-3</v>
      </c>
      <c r="U9" s="156">
        <v>7.6945746646185379E-5</v>
      </c>
      <c r="V9" s="156">
        <v>0.70388205663082437</v>
      </c>
      <c r="W9" s="156">
        <v>1.4546023028673836E-2</v>
      </c>
      <c r="X9" s="156">
        <v>8.1784012519201227E-2</v>
      </c>
      <c r="Y9" s="156">
        <v>0.1968118294162827</v>
      </c>
      <c r="Z9" s="156" t="s">
        <v>93</v>
      </c>
      <c r="AA9" s="156">
        <v>1.9603763809523806E-4</v>
      </c>
      <c r="AB9" s="156" t="s">
        <v>93</v>
      </c>
      <c r="AC9" s="156" t="s">
        <v>93</v>
      </c>
      <c r="AD9" s="156" t="s">
        <v>93</v>
      </c>
      <c r="AE9" s="156" t="s">
        <v>93</v>
      </c>
      <c r="AF9" s="156" t="s">
        <v>93</v>
      </c>
      <c r="AG9" s="156" t="s">
        <v>93</v>
      </c>
      <c r="AH9" s="156" t="s">
        <v>93</v>
      </c>
      <c r="AI9" s="156"/>
      <c r="AJ9" s="156"/>
      <c r="AK9" s="156"/>
      <c r="AL9" s="156"/>
      <c r="AM9" s="156"/>
      <c r="AN9" s="156"/>
      <c r="AO9" s="69">
        <v>1995</v>
      </c>
    </row>
    <row r="10" spans="1:41" ht="14.1" hidden="1" customHeight="1">
      <c r="A10" s="66">
        <v>1996</v>
      </c>
      <c r="B10" s="156">
        <v>0.86051520825608696</v>
      </c>
      <c r="C10" s="156" t="s">
        <v>93</v>
      </c>
      <c r="D10" s="156">
        <v>0.67300848752317388</v>
      </c>
      <c r="E10" s="156" t="s">
        <v>93</v>
      </c>
      <c r="F10" s="156" t="s">
        <v>93</v>
      </c>
      <c r="G10" s="156">
        <v>0.14879866501668521</v>
      </c>
      <c r="H10" s="156" t="s">
        <v>93</v>
      </c>
      <c r="I10" s="156">
        <v>1.3425138746941045</v>
      </c>
      <c r="J10" s="156">
        <v>5.3726787603510075E-3</v>
      </c>
      <c r="K10" s="156">
        <v>0.12875299760227416</v>
      </c>
      <c r="L10" s="156">
        <v>0.70049032015202095</v>
      </c>
      <c r="M10" s="156" t="s">
        <v>93</v>
      </c>
      <c r="N10" s="156">
        <v>0.63129247222222218</v>
      </c>
      <c r="O10" s="156">
        <v>2.9717226963725132</v>
      </c>
      <c r="P10" s="156">
        <v>0.13351925627240141</v>
      </c>
      <c r="Q10" s="156"/>
      <c r="R10" s="156">
        <v>0.60666688909281907</v>
      </c>
      <c r="S10" s="156">
        <v>1.2390048819676184E-2</v>
      </c>
      <c r="T10" s="156">
        <v>7.9409230873810407E-3</v>
      </c>
      <c r="U10" s="156">
        <v>6.3013780744036575E-5</v>
      </c>
      <c r="V10" s="156">
        <v>0.68296069087875388</v>
      </c>
      <c r="W10" s="156">
        <v>1.26631311827957E-2</v>
      </c>
      <c r="X10" s="156">
        <v>6.7982349443826473E-2</v>
      </c>
      <c r="Y10" s="156">
        <v>0.1828815312878507</v>
      </c>
      <c r="Z10" s="156" t="s">
        <v>93</v>
      </c>
      <c r="AA10" s="156">
        <v>1.6606360153256702E-4</v>
      </c>
      <c r="AB10" s="156" t="s">
        <v>93</v>
      </c>
      <c r="AC10" s="156">
        <v>0.45956661559139783</v>
      </c>
      <c r="AD10" s="156" t="s">
        <v>93</v>
      </c>
      <c r="AE10" s="156" t="s">
        <v>93</v>
      </c>
      <c r="AF10" s="156" t="s">
        <v>93</v>
      </c>
      <c r="AG10" s="156" t="s">
        <v>93</v>
      </c>
      <c r="AH10" s="156" t="s">
        <v>93</v>
      </c>
      <c r="AI10" s="156"/>
      <c r="AJ10" s="156"/>
      <c r="AK10" s="156"/>
      <c r="AL10" s="156"/>
      <c r="AM10" s="156"/>
      <c r="AN10" s="156"/>
      <c r="AO10" s="69">
        <v>1996</v>
      </c>
    </row>
    <row r="11" spans="1:41" ht="14.1" hidden="1" customHeight="1">
      <c r="A11" s="66">
        <v>1997</v>
      </c>
      <c r="B11" s="156">
        <v>0.79733100614439323</v>
      </c>
      <c r="C11" s="156" t="s">
        <v>93</v>
      </c>
      <c r="D11" s="156">
        <v>0.59529099655657958</v>
      </c>
      <c r="E11" s="156">
        <v>0.21726175916538659</v>
      </c>
      <c r="F11" s="156" t="s">
        <v>93</v>
      </c>
      <c r="G11" s="156">
        <v>0.12112246426011265</v>
      </c>
      <c r="H11" s="156" t="s">
        <v>93</v>
      </c>
      <c r="I11" s="156">
        <v>1.3064758693292371</v>
      </c>
      <c r="J11" s="156">
        <v>5.995757091653865E-3</v>
      </c>
      <c r="K11" s="156">
        <v>0.10481237528161801</v>
      </c>
      <c r="L11" s="156">
        <v>0.5511634853174604</v>
      </c>
      <c r="M11" s="156" t="s">
        <v>93</v>
      </c>
      <c r="N11" s="156">
        <v>0.57646182901945719</v>
      </c>
      <c r="O11" s="156">
        <v>2.7546952777777771</v>
      </c>
      <c r="P11" s="156">
        <v>0.11320841592421914</v>
      </c>
      <c r="Q11" s="156"/>
      <c r="R11" s="156">
        <v>0.55621799769585256</v>
      </c>
      <c r="S11" s="156">
        <v>7.5211507936507925E-3</v>
      </c>
      <c r="T11" s="156">
        <v>6.6203459293394775E-3</v>
      </c>
      <c r="U11" s="156">
        <v>3.1326728110599087E-5</v>
      </c>
      <c r="V11" s="156">
        <v>0.68405892688171999</v>
      </c>
      <c r="W11" s="156">
        <v>1.0577898783922171E-2</v>
      </c>
      <c r="X11" s="156">
        <v>4.5685688312852031E-2</v>
      </c>
      <c r="Y11" s="156">
        <v>0.17326171171274965</v>
      </c>
      <c r="Z11" s="156" t="s">
        <v>93</v>
      </c>
      <c r="AA11" s="156">
        <v>1.379831285202253E-4</v>
      </c>
      <c r="AB11" s="156" t="s">
        <v>93</v>
      </c>
      <c r="AC11" s="156">
        <v>0.42821706652585761</v>
      </c>
      <c r="AD11" s="156" t="s">
        <v>93</v>
      </c>
      <c r="AE11" s="156" t="s">
        <v>93</v>
      </c>
      <c r="AF11" s="156" t="s">
        <v>93</v>
      </c>
      <c r="AG11" s="156" t="s">
        <v>93</v>
      </c>
      <c r="AH11" s="156" t="s">
        <v>93</v>
      </c>
      <c r="AI11" s="156"/>
      <c r="AJ11" s="156"/>
      <c r="AK11" s="156"/>
      <c r="AL11" s="156"/>
      <c r="AM11" s="156"/>
      <c r="AN11" s="156"/>
      <c r="AO11" s="69">
        <v>1997</v>
      </c>
    </row>
    <row r="12" spans="1:41" ht="14.1" hidden="1" customHeight="1">
      <c r="A12" s="66">
        <v>1998</v>
      </c>
      <c r="B12" s="156">
        <v>0.77375761648745534</v>
      </c>
      <c r="C12" s="156" t="s">
        <v>93</v>
      </c>
      <c r="D12" s="156">
        <v>0.48743745204813105</v>
      </c>
      <c r="E12" s="156">
        <v>0.21071051557859705</v>
      </c>
      <c r="F12" s="156" t="s">
        <v>93</v>
      </c>
      <c r="G12" s="156">
        <v>0.11562934651817716</v>
      </c>
      <c r="H12" s="156">
        <v>9.9736159617682202E-2</v>
      </c>
      <c r="I12" s="156">
        <v>1.282675151513057</v>
      </c>
      <c r="J12" s="156">
        <v>4.4116665386584764E-4</v>
      </c>
      <c r="K12" s="156">
        <v>9.7398792946748594E-2</v>
      </c>
      <c r="L12" s="156">
        <v>0.53492174768305178</v>
      </c>
      <c r="M12" s="156" t="s">
        <v>93</v>
      </c>
      <c r="N12" s="156">
        <v>0.52270602555043522</v>
      </c>
      <c r="O12" s="156">
        <v>2.5801606493727598</v>
      </c>
      <c r="P12" s="156">
        <v>0.1025052366359447</v>
      </c>
      <c r="Q12" s="156"/>
      <c r="R12" s="156">
        <v>0.48139156715309789</v>
      </c>
      <c r="S12" s="156">
        <v>3.0535547875064008E-3</v>
      </c>
      <c r="T12" s="156">
        <v>5.9475003712237589E-3</v>
      </c>
      <c r="U12" s="156">
        <v>1.8846953405017927E-5</v>
      </c>
      <c r="V12" s="156">
        <v>0.55967509569892493</v>
      </c>
      <c r="W12" s="156">
        <v>9.8668944956477218E-3</v>
      </c>
      <c r="X12" s="156">
        <v>3.8523076907322068E-2</v>
      </c>
      <c r="Y12" s="156">
        <v>0.15063520599078339</v>
      </c>
      <c r="Z12" s="156" t="s">
        <v>93</v>
      </c>
      <c r="AA12" s="156">
        <v>9.9638010896057352E-2</v>
      </c>
      <c r="AB12" s="156">
        <v>1.4833709677419352E-4</v>
      </c>
      <c r="AC12" s="156">
        <v>0.34337342805939575</v>
      </c>
      <c r="AD12" s="156" t="s">
        <v>93</v>
      </c>
      <c r="AE12" s="156" t="s">
        <v>93</v>
      </c>
      <c r="AF12" s="156" t="s">
        <v>93</v>
      </c>
      <c r="AG12" s="156" t="s">
        <v>93</v>
      </c>
      <c r="AH12" s="156" t="s">
        <v>93</v>
      </c>
      <c r="AI12" s="156"/>
      <c r="AJ12" s="156"/>
      <c r="AK12" s="156"/>
      <c r="AL12" s="156"/>
      <c r="AM12" s="156"/>
      <c r="AN12" s="156"/>
      <c r="AO12" s="69">
        <v>1998</v>
      </c>
    </row>
    <row r="13" spans="1:41" ht="14.1" hidden="1" customHeight="1">
      <c r="A13" s="66">
        <v>1999</v>
      </c>
      <c r="B13" s="156">
        <v>0.82363630696364576</v>
      </c>
      <c r="C13" s="156">
        <v>0.87812466804346601</v>
      </c>
      <c r="D13" s="156">
        <v>0.53107733205325147</v>
      </c>
      <c r="E13" s="156">
        <v>0.22426232393753198</v>
      </c>
      <c r="F13" s="156" t="s">
        <v>93</v>
      </c>
      <c r="G13" s="156">
        <v>0.11809926865079362</v>
      </c>
      <c r="H13" s="156">
        <v>0.10615695455709165</v>
      </c>
      <c r="I13" s="156">
        <v>1.3327799866359449</v>
      </c>
      <c r="J13" s="156">
        <v>4.68352329749104E-4</v>
      </c>
      <c r="K13" s="156">
        <v>9.9650875806451614E-2</v>
      </c>
      <c r="L13" s="156">
        <v>0.54876247653609822</v>
      </c>
      <c r="M13" s="156" t="s">
        <v>93</v>
      </c>
      <c r="N13" s="156">
        <v>0.55430076772913461</v>
      </c>
      <c r="O13" s="156">
        <v>2.7051243225038406</v>
      </c>
      <c r="P13" s="156">
        <v>0.10556549607014849</v>
      </c>
      <c r="Q13" s="156"/>
      <c r="R13" s="156">
        <v>0.48623971327444954</v>
      </c>
      <c r="S13" s="156">
        <v>1.9879608294930875E-3</v>
      </c>
      <c r="T13" s="156">
        <v>7.2773239503328181E-3</v>
      </c>
      <c r="U13" s="156">
        <v>3.0691756272401444E-6</v>
      </c>
      <c r="V13" s="156">
        <v>0.40825465938300043</v>
      </c>
      <c r="W13" s="156">
        <v>7.8344946620583743E-3</v>
      </c>
      <c r="X13" s="156">
        <v>2.2774341039426521E-2</v>
      </c>
      <c r="Y13" s="156">
        <v>7.9331603725038405E-2</v>
      </c>
      <c r="Z13" s="156">
        <v>7.3145440709827822E-3</v>
      </c>
      <c r="AA13" s="156">
        <v>3.3571349615975424E-2</v>
      </c>
      <c r="AB13" s="156">
        <v>1.5826308243727601E-4</v>
      </c>
      <c r="AC13" s="156">
        <v>0.20160610446748589</v>
      </c>
      <c r="AD13" s="156" t="s">
        <v>93</v>
      </c>
      <c r="AE13" s="156" t="s">
        <v>93</v>
      </c>
      <c r="AF13" s="156" t="s">
        <v>93</v>
      </c>
      <c r="AG13" s="156" t="s">
        <v>93</v>
      </c>
      <c r="AH13" s="156" t="s">
        <v>93</v>
      </c>
      <c r="AI13" s="156"/>
      <c r="AJ13" s="156"/>
      <c r="AK13" s="156"/>
      <c r="AL13" s="156"/>
      <c r="AM13" s="156"/>
      <c r="AN13" s="156"/>
      <c r="AO13" s="69">
        <v>1999</v>
      </c>
    </row>
    <row r="14" spans="1:41" ht="14.1" hidden="1" customHeight="1">
      <c r="B14" s="156"/>
      <c r="C14" s="156"/>
      <c r="D14" s="156"/>
      <c r="E14" s="156"/>
      <c r="F14" s="156" t="s">
        <v>93</v>
      </c>
      <c r="G14" s="156"/>
      <c r="H14" s="156"/>
      <c r="I14" s="156"/>
      <c r="J14" s="156"/>
      <c r="K14" s="156"/>
      <c r="L14" s="156"/>
      <c r="M14" s="156" t="s">
        <v>93</v>
      </c>
      <c r="N14" s="156"/>
      <c r="O14" s="156"/>
      <c r="P14" s="156"/>
      <c r="Q14" s="156"/>
      <c r="R14" s="156"/>
      <c r="S14" s="156"/>
      <c r="T14" s="156"/>
      <c r="U14" s="156"/>
      <c r="V14" s="156"/>
      <c r="W14" s="156"/>
      <c r="X14" s="156"/>
      <c r="Y14" s="156"/>
      <c r="Z14" s="156"/>
      <c r="AA14" s="156"/>
      <c r="AB14" s="156"/>
      <c r="AC14" s="156"/>
      <c r="AD14" s="156"/>
      <c r="AE14" s="156"/>
      <c r="AF14" s="156"/>
      <c r="AG14" s="156"/>
      <c r="AH14" s="156"/>
      <c r="AI14" s="156"/>
      <c r="AJ14" s="156"/>
      <c r="AK14" s="156"/>
      <c r="AL14" s="156"/>
      <c r="AM14" s="156"/>
      <c r="AN14" s="156"/>
      <c r="AO14" s="157"/>
    </row>
    <row r="15" spans="1:41" ht="14.1" hidden="1" customHeight="1">
      <c r="A15" s="66">
        <v>2000</v>
      </c>
      <c r="B15" s="156">
        <v>0.89484554196020272</v>
      </c>
      <c r="C15" s="156">
        <v>0.82961918243727595</v>
      </c>
      <c r="D15" s="156">
        <v>0.52081676716104308</v>
      </c>
      <c r="E15" s="156">
        <v>0.24363206179087879</v>
      </c>
      <c r="F15" s="156"/>
      <c r="G15" s="156">
        <v>0.11091726099987638</v>
      </c>
      <c r="H15" s="156">
        <v>0.11483847570139662</v>
      </c>
      <c r="I15" s="156">
        <v>1.3556911563712768</v>
      </c>
      <c r="J15" s="156">
        <v>5.1150265109380793E-4</v>
      </c>
      <c r="K15" s="156">
        <v>9.7926530638981588E-2</v>
      </c>
      <c r="L15" s="156">
        <v>0.5358606091583239</v>
      </c>
      <c r="M15" s="156" t="s">
        <v>93</v>
      </c>
      <c r="N15" s="156">
        <v>0.60265821263749852</v>
      </c>
      <c r="O15" s="156">
        <v>2.9164291453590412</v>
      </c>
      <c r="P15" s="156">
        <v>0.10188555929427759</v>
      </c>
      <c r="Q15" s="156"/>
      <c r="R15" s="156">
        <v>0.519090465356569</v>
      </c>
      <c r="S15" s="156">
        <v>1.4550000000000001E-3</v>
      </c>
      <c r="T15" s="156">
        <v>8.3070336793968618E-3</v>
      </c>
      <c r="U15" s="156">
        <v>1.4729906933629957E-3</v>
      </c>
      <c r="V15" s="156">
        <v>0.45514735090841679</v>
      </c>
      <c r="W15" s="156">
        <v>6.3455588431590663E-3</v>
      </c>
      <c r="X15" s="156">
        <v>1.8770007866765543E-2</v>
      </c>
      <c r="Y15" s="156">
        <v>7.2018590532690649E-2</v>
      </c>
      <c r="Z15" s="156">
        <v>4.3689440860215046E-3</v>
      </c>
      <c r="AA15" s="156">
        <v>3.1830267643060191E-2</v>
      </c>
      <c r="AB15" s="156">
        <v>1.7217948337659123E-4</v>
      </c>
      <c r="AC15" s="156">
        <v>0.16452280437523178</v>
      </c>
      <c r="AD15" s="156" t="s">
        <v>93</v>
      </c>
      <c r="AE15" s="156" t="s">
        <v>93</v>
      </c>
      <c r="AF15" s="156" t="s">
        <v>93</v>
      </c>
      <c r="AG15" s="156" t="s">
        <v>93</v>
      </c>
      <c r="AH15" s="156" t="s">
        <v>93</v>
      </c>
      <c r="AI15" s="156"/>
      <c r="AJ15" s="156"/>
      <c r="AK15" s="156"/>
      <c r="AL15" s="156"/>
      <c r="AM15" s="156"/>
      <c r="AN15" s="156"/>
      <c r="AO15" s="69">
        <v>2000</v>
      </c>
    </row>
    <row r="16" spans="1:41" ht="14.1" hidden="1" customHeight="1">
      <c r="A16" s="66">
        <v>2001</v>
      </c>
      <c r="B16" s="156">
        <v>0.93129139656938043</v>
      </c>
      <c r="C16" s="156">
        <v>0.83397946731950812</v>
      </c>
      <c r="D16" s="156">
        <v>0.48203072724014345</v>
      </c>
      <c r="E16" s="156">
        <v>0.25355197633128512</v>
      </c>
      <c r="F16" s="156" t="s">
        <v>93</v>
      </c>
      <c r="G16" s="156">
        <v>0.11190809975678442</v>
      </c>
      <c r="H16" s="156">
        <v>0.11940288673835123</v>
      </c>
      <c r="I16" s="156">
        <v>1.3410753786098313</v>
      </c>
      <c r="J16" s="156">
        <v>5.3202968509984637E-4</v>
      </c>
      <c r="K16" s="156">
        <v>9.02090309139785E-2</v>
      </c>
      <c r="L16" s="156">
        <v>0.55228771845878144</v>
      </c>
      <c r="M16" s="156" t="s">
        <v>93</v>
      </c>
      <c r="N16" s="156">
        <v>0.60171432493599575</v>
      </c>
      <c r="O16" s="156">
        <v>3.0373671376216076</v>
      </c>
      <c r="P16" s="156">
        <v>0.10364131953405017</v>
      </c>
      <c r="Q16" s="156">
        <v>0.22847234569892474</v>
      </c>
      <c r="R16" s="156">
        <v>0.5199717070020482</v>
      </c>
      <c r="S16" s="156">
        <v>8.2094334357398857E-4</v>
      </c>
      <c r="T16" s="156">
        <v>7.674372529441884E-3</v>
      </c>
      <c r="U16" s="156">
        <v>6.7780733486943166E-4</v>
      </c>
      <c r="V16" s="156">
        <v>0.44942385582437283</v>
      </c>
      <c r="W16" s="156">
        <v>6.3498915514592913E-3</v>
      </c>
      <c r="X16" s="156">
        <v>1.9225849910394267E-2</v>
      </c>
      <c r="Y16" s="156">
        <v>7.2529016973886321E-2</v>
      </c>
      <c r="Z16" s="156">
        <v>2.3401538146441379E-3</v>
      </c>
      <c r="AA16" s="156">
        <v>3.1912230811571941E-2</v>
      </c>
      <c r="AB16" s="156">
        <v>1.7903763440860218E-4</v>
      </c>
      <c r="AC16" s="156">
        <v>0.17320132516641062</v>
      </c>
      <c r="AD16" s="156" t="s">
        <v>93</v>
      </c>
      <c r="AE16" s="156" t="s">
        <v>93</v>
      </c>
      <c r="AF16" s="156" t="s">
        <v>93</v>
      </c>
      <c r="AG16" s="156" t="s">
        <v>93</v>
      </c>
      <c r="AH16" s="156" t="s">
        <v>93</v>
      </c>
      <c r="AI16" s="156"/>
      <c r="AJ16" s="156"/>
      <c r="AK16" s="156"/>
      <c r="AL16" s="156"/>
      <c r="AM16" s="156"/>
      <c r="AN16" s="156"/>
      <c r="AO16" s="69">
        <v>2001</v>
      </c>
    </row>
    <row r="17" spans="1:41" ht="14.1" hidden="1" customHeight="1">
      <c r="A17" s="66">
        <v>2002</v>
      </c>
      <c r="B17" s="156">
        <v>0.97215336021505372</v>
      </c>
      <c r="C17" s="156">
        <v>0.91828466815156151</v>
      </c>
      <c r="D17" s="156">
        <v>0.52842016369687639</v>
      </c>
      <c r="E17" s="156">
        <v>0.26467685381464418</v>
      </c>
      <c r="F17" s="156" t="s">
        <v>93</v>
      </c>
      <c r="G17" s="156">
        <v>0.12358040474910395</v>
      </c>
      <c r="H17" s="156">
        <v>0.12464389445724526</v>
      </c>
      <c r="I17" s="156">
        <v>1.4552023287762421</v>
      </c>
      <c r="J17" s="156">
        <v>3.6615725806451619E-4</v>
      </c>
      <c r="K17" s="156">
        <v>0.10024500602918587</v>
      </c>
      <c r="L17" s="156">
        <v>0.62596775331541221</v>
      </c>
      <c r="M17" s="156" t="s">
        <v>93</v>
      </c>
      <c r="N17" s="156">
        <v>0.61934160456989262</v>
      </c>
      <c r="O17" s="156">
        <v>3.1979294615847418</v>
      </c>
      <c r="P17" s="156">
        <v>0.12252910517153098</v>
      </c>
      <c r="Q17" s="156">
        <v>0.23840000501792111</v>
      </c>
      <c r="R17" s="156">
        <v>0.54247768275729646</v>
      </c>
      <c r="S17" s="156">
        <v>6.4776269841269841E-4</v>
      </c>
      <c r="T17" s="156">
        <v>7.7756526241679483E-3</v>
      </c>
      <c r="U17" s="156">
        <v>5.441965693804403E-4</v>
      </c>
      <c r="V17" s="156">
        <v>0.44308462425755252</v>
      </c>
      <c r="W17" s="156">
        <v>6.3374796594982078E-3</v>
      </c>
      <c r="X17" s="156">
        <v>2.0714002534562213E-2</v>
      </c>
      <c r="Y17" s="156">
        <v>7.2167281848438292E-2</v>
      </c>
      <c r="Z17" s="156">
        <v>1.2775620071684586E-3</v>
      </c>
      <c r="AA17" s="156">
        <v>3.102373046594982E-2</v>
      </c>
      <c r="AB17" s="156">
        <v>1.9076143113159246E-4</v>
      </c>
      <c r="AC17" s="156">
        <v>0.18200727526881721</v>
      </c>
      <c r="AD17" s="156" t="s">
        <v>93</v>
      </c>
      <c r="AE17" s="156" t="s">
        <v>93</v>
      </c>
      <c r="AF17" s="156" t="s">
        <v>93</v>
      </c>
      <c r="AG17" s="156" t="s">
        <v>93</v>
      </c>
      <c r="AH17" s="156" t="s">
        <v>93</v>
      </c>
      <c r="AI17" s="156"/>
      <c r="AJ17" s="156"/>
      <c r="AK17" s="156"/>
      <c r="AL17" s="156"/>
      <c r="AM17" s="156"/>
      <c r="AN17" s="156"/>
      <c r="AO17" s="69">
        <v>2002</v>
      </c>
    </row>
    <row r="18" spans="1:41" ht="14.1" hidden="1" customHeight="1">
      <c r="A18" s="66">
        <v>2003</v>
      </c>
      <c r="B18" s="156">
        <v>0.98214777521761409</v>
      </c>
      <c r="C18" s="156">
        <v>1.1104457008448541</v>
      </c>
      <c r="D18" s="156">
        <v>0.64014454042498714</v>
      </c>
      <c r="E18" s="156">
        <v>0.26699421500256015</v>
      </c>
      <c r="F18" s="156">
        <v>0.11868998553274682</v>
      </c>
      <c r="G18" s="156">
        <v>0.1494442750128008</v>
      </c>
      <c r="H18" s="156">
        <v>0.1261165044418843</v>
      </c>
      <c r="I18" s="156">
        <v>1.6058458408858169</v>
      </c>
      <c r="J18" s="156">
        <v>1.1962903225806449E-4</v>
      </c>
      <c r="K18" s="156">
        <v>0.12175598705837176</v>
      </c>
      <c r="L18" s="156">
        <v>0.72840181794674863</v>
      </c>
      <c r="M18" s="156" t="s">
        <v>93</v>
      </c>
      <c r="N18" s="156">
        <v>0.70221998663594465</v>
      </c>
      <c r="O18" s="156">
        <v>3.2957525888248851</v>
      </c>
      <c r="P18" s="156">
        <v>0.13891215264976955</v>
      </c>
      <c r="Q18" s="156">
        <v>0.25278260738607267</v>
      </c>
      <c r="R18" s="156">
        <v>0.56379221379928324</v>
      </c>
      <c r="S18" s="156">
        <v>6.562872631848439E-4</v>
      </c>
      <c r="T18" s="156">
        <v>8.4843585765489015E-3</v>
      </c>
      <c r="U18" s="156">
        <v>4.7838348694316426E-4</v>
      </c>
      <c r="V18" s="156">
        <v>0.45875398943932422</v>
      </c>
      <c r="W18" s="156">
        <v>6.5728046210957502E-3</v>
      </c>
      <c r="X18" s="156">
        <v>2.2439402278545826E-2</v>
      </c>
      <c r="Y18" s="156">
        <v>7.050894162826421E-2</v>
      </c>
      <c r="Z18" s="156">
        <v>1.011152009728623E-3</v>
      </c>
      <c r="AA18" s="156">
        <v>3.2014427700972868E-2</v>
      </c>
      <c r="AB18" s="156">
        <v>1.8881989247311826E-4</v>
      </c>
      <c r="AC18" s="156">
        <v>0.18317551947004607</v>
      </c>
      <c r="AD18" s="156" t="s">
        <v>93</v>
      </c>
      <c r="AE18" s="156" t="s">
        <v>93</v>
      </c>
      <c r="AF18" s="156" t="s">
        <v>93</v>
      </c>
      <c r="AG18" s="156" t="s">
        <v>93</v>
      </c>
      <c r="AH18" s="156" t="s">
        <v>93</v>
      </c>
      <c r="AI18" s="156"/>
      <c r="AJ18" s="156"/>
      <c r="AK18" s="156"/>
      <c r="AL18" s="156"/>
      <c r="AM18" s="156"/>
      <c r="AN18" s="156"/>
      <c r="AO18" s="69">
        <v>2003</v>
      </c>
    </row>
    <row r="19" spans="1:41" ht="14.1" hidden="1" customHeight="1">
      <c r="A19" s="66">
        <v>2004</v>
      </c>
      <c r="B19" s="156">
        <v>0.98268630952380975</v>
      </c>
      <c r="C19" s="156">
        <v>1.2218809199185867</v>
      </c>
      <c r="D19" s="156">
        <v>0.72345349314823348</v>
      </c>
      <c r="E19" s="156">
        <v>0.26754441893675679</v>
      </c>
      <c r="F19" s="156">
        <v>0.11872832421867145</v>
      </c>
      <c r="G19" s="156">
        <v>0.16411710608969532</v>
      </c>
      <c r="H19" s="156">
        <v>0.12626309496899496</v>
      </c>
      <c r="I19" s="156">
        <v>1.7956251864270354</v>
      </c>
      <c r="J19" s="156">
        <v>1.1411683616247769E-4</v>
      </c>
      <c r="K19" s="156">
        <v>0.13388080880990444</v>
      </c>
      <c r="L19" s="156">
        <v>0.7916547255401768</v>
      </c>
      <c r="M19" s="156" t="s">
        <v>93</v>
      </c>
      <c r="N19" s="156">
        <v>0.75610470225752147</v>
      </c>
      <c r="O19" s="156">
        <v>3.3256529605936724</v>
      </c>
      <c r="P19" s="156">
        <v>0.14597746626016112</v>
      </c>
      <c r="Q19" s="156">
        <v>0.27064041943434786</v>
      </c>
      <c r="R19" s="156">
        <v>0.58141526678503164</v>
      </c>
      <c r="S19" s="156">
        <v>6.8946948008310051E-4</v>
      </c>
      <c r="T19" s="156">
        <v>9.0912257761309508E-3</v>
      </c>
      <c r="U19" s="156">
        <v>4.5500969766001253E-4</v>
      </c>
      <c r="V19" s="156">
        <v>0.51387534600374196</v>
      </c>
      <c r="W19" s="156">
        <v>7.22941226497021E-3</v>
      </c>
      <c r="X19" s="156">
        <v>2.3018727736859056E-2</v>
      </c>
      <c r="Y19" s="156">
        <v>7.978292040604229E-2</v>
      </c>
      <c r="Z19" s="156">
        <v>9.6538158809316604E-4</v>
      </c>
      <c r="AA19" s="156">
        <v>3.4105865543009199E-2</v>
      </c>
      <c r="AB19" s="156">
        <v>1.889423421560518E-4</v>
      </c>
      <c r="AC19" s="156">
        <v>0.18444596818029821</v>
      </c>
      <c r="AD19" s="156" t="s">
        <v>93</v>
      </c>
      <c r="AE19" s="156" t="s">
        <v>93</v>
      </c>
      <c r="AF19" s="156" t="s">
        <v>93</v>
      </c>
      <c r="AG19" s="156" t="s">
        <v>93</v>
      </c>
      <c r="AH19" s="156" t="s">
        <v>93</v>
      </c>
      <c r="AI19" s="156"/>
      <c r="AJ19" s="156"/>
      <c r="AK19" s="156"/>
      <c r="AL19" s="156"/>
      <c r="AM19" s="156"/>
      <c r="AN19" s="156"/>
      <c r="AO19" s="69">
        <v>2004</v>
      </c>
    </row>
    <row r="20" spans="1:41" ht="14.1" hidden="1" customHeight="1">
      <c r="AO20" s="69"/>
    </row>
    <row r="21" spans="1:41" ht="14.1" hidden="1" customHeight="1">
      <c r="A21" s="67" t="s">
        <v>290</v>
      </c>
      <c r="B21" s="255">
        <v>0.94593367548684404</v>
      </c>
      <c r="C21" s="255">
        <v>1.1799189641095131</v>
      </c>
      <c r="D21" s="255">
        <v>0.7214375089697963</v>
      </c>
      <c r="E21" s="255">
        <v>0.25754380584657166</v>
      </c>
      <c r="F21" s="255">
        <v>0.11543263870997472</v>
      </c>
      <c r="G21" s="255">
        <v>0.15834942654388592</v>
      </c>
      <c r="H21" s="255">
        <v>0.12161343880031124</v>
      </c>
      <c r="I21" s="255">
        <v>1.7241537845646071</v>
      </c>
      <c r="J21" s="255">
        <v>1.0559463735593489E-2</v>
      </c>
      <c r="K21" s="255">
        <v>0.12730662920232499</v>
      </c>
      <c r="L21" s="255">
        <v>0.76212722371322605</v>
      </c>
      <c r="M21" s="255" t="s">
        <v>93</v>
      </c>
      <c r="N21" s="255">
        <v>0.78064717093030378</v>
      </c>
      <c r="O21" s="255">
        <v>3.2391187205705632</v>
      </c>
      <c r="P21" s="255">
        <v>0.14710298054503232</v>
      </c>
      <c r="Q21" s="255">
        <v>0.29316292300349051</v>
      </c>
      <c r="R21" s="255">
        <v>0.56863158787381396</v>
      </c>
      <c r="S21" s="255">
        <v>0.69914020691080114</v>
      </c>
      <c r="T21" s="255">
        <v>0.86196312369486783</v>
      </c>
      <c r="U21" s="255">
        <v>4.3891176623420534E-2</v>
      </c>
      <c r="V21" s="255">
        <v>0.5219372125199554</v>
      </c>
      <c r="W21" s="255">
        <v>7.1181277902860737E-3</v>
      </c>
      <c r="X21" s="255">
        <v>2.3060969851624428E-2</v>
      </c>
      <c r="Y21" s="255">
        <v>7.5059549513980972E-2</v>
      </c>
      <c r="Z21" s="255">
        <v>8.5265343844294558E-2</v>
      </c>
      <c r="AA21" s="255">
        <v>3.3463213661675539E-2</v>
      </c>
      <c r="AB21" s="255">
        <v>1.8190597977724668E-2</v>
      </c>
      <c r="AC21" s="255">
        <v>0.18473449703997971</v>
      </c>
      <c r="AD21" s="255" t="s">
        <v>93</v>
      </c>
      <c r="AE21" s="255" t="s">
        <v>93</v>
      </c>
      <c r="AF21" s="255" t="s">
        <v>93</v>
      </c>
      <c r="AG21" s="256" t="s">
        <v>93</v>
      </c>
      <c r="AH21" s="255" t="s">
        <v>93</v>
      </c>
      <c r="AI21" s="256"/>
      <c r="AJ21" s="256"/>
      <c r="AK21" s="255"/>
      <c r="AL21" s="255"/>
      <c r="AM21" s="255"/>
      <c r="AN21" s="256"/>
      <c r="AO21" s="67" t="s">
        <v>290</v>
      </c>
    </row>
    <row r="22" spans="1:41" ht="14.1" hidden="1" customHeight="1">
      <c r="A22" s="68" t="s">
        <v>18</v>
      </c>
      <c r="B22" s="257">
        <v>0.98043225806451606</v>
      </c>
      <c r="C22" s="257">
        <v>1.2896110493548389</v>
      </c>
      <c r="D22" s="257">
        <v>0.75045144354838733</v>
      </c>
      <c r="E22" s="257">
        <v>0.26695327290744064</v>
      </c>
      <c r="F22" s="257">
        <v>0.11845975798559077</v>
      </c>
      <c r="G22" s="257">
        <v>0.17333244380028695</v>
      </c>
      <c r="H22" s="257">
        <v>0.12580107686839384</v>
      </c>
      <c r="I22" s="257">
        <v>1.8445905622580649</v>
      </c>
      <c r="J22" s="257">
        <v>1.1106463065983436E-2</v>
      </c>
      <c r="K22" s="257">
        <v>0.14249150216733694</v>
      </c>
      <c r="L22" s="257">
        <v>0.83380896113919845</v>
      </c>
      <c r="M22" s="257" t="s">
        <v>93</v>
      </c>
      <c r="N22" s="257">
        <v>0.80163356632466642</v>
      </c>
      <c r="O22" s="257">
        <v>3.3554947243171656</v>
      </c>
      <c r="P22" s="257">
        <v>0.1568872527957651</v>
      </c>
      <c r="Q22" s="257">
        <v>0.3163147614936096</v>
      </c>
      <c r="R22" s="257">
        <v>0.59880411736823413</v>
      </c>
      <c r="S22" s="257">
        <v>0.68157305821839209</v>
      </c>
      <c r="T22" s="257">
        <v>0.94954427606423419</v>
      </c>
      <c r="U22" s="257">
        <v>4.5125644641717255E-2</v>
      </c>
      <c r="V22" s="257">
        <v>0.53998898557722319</v>
      </c>
      <c r="W22" s="257">
        <v>7.5374511892632766E-3</v>
      </c>
      <c r="X22" s="257">
        <v>2.3885563762757873E-2</v>
      </c>
      <c r="Y22" s="257">
        <v>7.8651857727098998E-2</v>
      </c>
      <c r="Z22" s="257">
        <v>9.2449109397410842E-2</v>
      </c>
      <c r="AA22" s="257">
        <v>3.5100629784033957E-2</v>
      </c>
      <c r="AB22" s="257">
        <v>1.8848759305210919E-2</v>
      </c>
      <c r="AC22" s="257">
        <v>0.18464542861136723</v>
      </c>
      <c r="AD22" s="257" t="s">
        <v>93</v>
      </c>
      <c r="AE22" s="257" t="s">
        <v>93</v>
      </c>
      <c r="AF22" s="257" t="s">
        <v>93</v>
      </c>
      <c r="AG22" s="258" t="s">
        <v>93</v>
      </c>
      <c r="AH22" s="257" t="s">
        <v>93</v>
      </c>
      <c r="AI22" s="258"/>
      <c r="AJ22" s="258"/>
      <c r="AK22" s="257"/>
      <c r="AL22" s="257"/>
      <c r="AM22" s="257"/>
      <c r="AN22" s="258"/>
      <c r="AO22" s="68" t="s">
        <v>18</v>
      </c>
    </row>
    <row r="23" spans="1:41" ht="14.1" hidden="1" customHeight="1">
      <c r="A23" s="68" t="s">
        <v>19</v>
      </c>
      <c r="B23" s="257">
        <v>0.97954285714285705</v>
      </c>
      <c r="C23" s="257">
        <v>1.2754051692857142</v>
      </c>
      <c r="D23" s="257">
        <v>0.76464213892857136</v>
      </c>
      <c r="E23" s="257">
        <v>0.26670243837525881</v>
      </c>
      <c r="F23" s="257">
        <v>0.1183523055812067</v>
      </c>
      <c r="G23" s="257">
        <v>0.17136085756052927</v>
      </c>
      <c r="H23" s="257">
        <v>0.1255876507503482</v>
      </c>
      <c r="I23" s="257">
        <v>1.8483206078571424</v>
      </c>
      <c r="J23" s="257">
        <v>1.1067121348629234E-2</v>
      </c>
      <c r="K23" s="257">
        <v>0.14037881867270538</v>
      </c>
      <c r="L23" s="257">
        <v>0.82225400283743055</v>
      </c>
      <c r="M23" s="257" t="s">
        <v>93</v>
      </c>
      <c r="N23" s="257">
        <v>0.7908496415723798</v>
      </c>
      <c r="O23" s="257">
        <v>3.3545928468116006</v>
      </c>
      <c r="P23" s="257">
        <v>0.1533129636276912</v>
      </c>
      <c r="Q23" s="257">
        <v>0.32005924189121893</v>
      </c>
      <c r="R23" s="257">
        <v>0.59734457047816703</v>
      </c>
      <c r="S23" s="257">
        <v>0.74464424198628898</v>
      </c>
      <c r="T23" s="257">
        <v>0.93280169804677915</v>
      </c>
      <c r="U23" s="257">
        <v>4.5140231346615614E-2</v>
      </c>
      <c r="V23" s="257">
        <v>0.53565751157375119</v>
      </c>
      <c r="W23" s="257">
        <v>7.527551350718609E-3</v>
      </c>
      <c r="X23" s="257">
        <v>2.384995755917986E-2</v>
      </c>
      <c r="Y23" s="257">
        <v>7.8353452767287404E-2</v>
      </c>
      <c r="Z23" s="257">
        <v>9.1792867218586788E-2</v>
      </c>
      <c r="AA23" s="257">
        <v>3.501322456776565E-2</v>
      </c>
      <c r="AB23" s="257">
        <v>1.8837362637362638E-2</v>
      </c>
      <c r="AC23" s="257">
        <v>0.18475430040107318</v>
      </c>
      <c r="AD23" s="257" t="s">
        <v>93</v>
      </c>
      <c r="AE23" s="257" t="s">
        <v>93</v>
      </c>
      <c r="AF23" s="257" t="s">
        <v>93</v>
      </c>
      <c r="AG23" s="258" t="s">
        <v>93</v>
      </c>
      <c r="AH23" s="257" t="s">
        <v>93</v>
      </c>
      <c r="AI23" s="258"/>
      <c r="AJ23" s="258"/>
      <c r="AK23" s="257"/>
      <c r="AL23" s="257"/>
      <c r="AM23" s="257"/>
      <c r="AN23" s="258"/>
      <c r="AO23" s="68" t="s">
        <v>19</v>
      </c>
    </row>
    <row r="24" spans="1:41" ht="14.1" hidden="1" customHeight="1">
      <c r="A24" s="68" t="s">
        <v>20</v>
      </c>
      <c r="B24" s="257">
        <v>0.97458709677419353</v>
      </c>
      <c r="C24" s="257">
        <v>1.2861807987096781</v>
      </c>
      <c r="D24" s="257">
        <v>0.76454589193548395</v>
      </c>
      <c r="E24" s="257">
        <v>0.26533933417267797</v>
      </c>
      <c r="F24" s="257">
        <v>0.11775353069222419</v>
      </c>
      <c r="G24" s="257">
        <v>0.17271935737899136</v>
      </c>
      <c r="H24" s="257">
        <v>0.12495305703279512</v>
      </c>
      <c r="I24" s="257">
        <v>1.8567349299999993</v>
      </c>
      <c r="J24" s="257">
        <v>1.0995587759339651E-2</v>
      </c>
      <c r="K24" s="257">
        <v>0.14154711171778009</v>
      </c>
      <c r="L24" s="257">
        <v>0.83028485617309433</v>
      </c>
      <c r="M24" s="257" t="s">
        <v>93</v>
      </c>
      <c r="N24" s="257">
        <v>0.8008686405419988</v>
      </c>
      <c r="O24" s="257">
        <v>3.3373618158181331</v>
      </c>
      <c r="P24" s="257">
        <v>0.15706715074344205</v>
      </c>
      <c r="Q24" s="257">
        <v>0.3200241596730341</v>
      </c>
      <c r="R24" s="257">
        <v>0.59753042847374749</v>
      </c>
      <c r="S24" s="257">
        <v>0.74452482278720045</v>
      </c>
      <c r="T24" s="257">
        <v>0.92612016190901991</v>
      </c>
      <c r="U24" s="257">
        <v>4.5116054176341659E-2</v>
      </c>
      <c r="V24" s="257">
        <v>0.53056366955020728</v>
      </c>
      <c r="W24" s="257">
        <v>7.4723740884549642E-3</v>
      </c>
      <c r="X24" s="257">
        <v>2.3806762584457884E-2</v>
      </c>
      <c r="Y24" s="257">
        <v>7.7358741979600784E-2</v>
      </c>
      <c r="Z24" s="257">
        <v>9.0776954209192393E-2</v>
      </c>
      <c r="AA24" s="257">
        <v>3.5293750196912443E-2</v>
      </c>
      <c r="AB24" s="257">
        <v>1.8742059553349871E-2</v>
      </c>
      <c r="AC24" s="257">
        <v>0.18413772405199264</v>
      </c>
      <c r="AD24" s="257" t="s">
        <v>93</v>
      </c>
      <c r="AE24" s="257" t="s">
        <v>93</v>
      </c>
      <c r="AF24" s="257" t="s">
        <v>93</v>
      </c>
      <c r="AG24" s="258" t="s">
        <v>93</v>
      </c>
      <c r="AH24" s="257" t="s">
        <v>93</v>
      </c>
      <c r="AI24" s="258"/>
      <c r="AJ24" s="258"/>
      <c r="AK24" s="257"/>
      <c r="AL24" s="257"/>
      <c r="AM24" s="257"/>
      <c r="AN24" s="258"/>
      <c r="AO24" s="68" t="s">
        <v>20</v>
      </c>
    </row>
    <row r="25" spans="1:41" ht="14.1" hidden="1" customHeight="1">
      <c r="A25" s="68" t="s">
        <v>21</v>
      </c>
      <c r="B25" s="257">
        <v>0.96612000000000009</v>
      </c>
      <c r="C25" s="257">
        <v>1.2485469473333337</v>
      </c>
      <c r="D25" s="257">
        <v>0.74604114200000016</v>
      </c>
      <c r="E25" s="257">
        <v>0.26303461206758599</v>
      </c>
      <c r="F25" s="257">
        <v>0.11673050202380232</v>
      </c>
      <c r="G25" s="257">
        <v>0.16758899659629914</v>
      </c>
      <c r="H25" s="257">
        <v>0.12387959798273876</v>
      </c>
      <c r="I25" s="257">
        <v>1.8281745210000004</v>
      </c>
      <c r="J25" s="257">
        <v>1.0864142864089878E-2</v>
      </c>
      <c r="K25" s="257">
        <v>0.13624329062588184</v>
      </c>
      <c r="L25" s="257">
        <v>0.80653656085554937</v>
      </c>
      <c r="M25" s="257" t="s">
        <v>93</v>
      </c>
      <c r="N25" s="257">
        <v>0.7831733340889051</v>
      </c>
      <c r="O25" s="257">
        <v>3.3083814813931736</v>
      </c>
      <c r="P25" s="257">
        <v>0.15258966551571473</v>
      </c>
      <c r="Q25" s="257">
        <v>0.30119600317591239</v>
      </c>
      <c r="R25" s="257">
        <v>0.58410794706175118</v>
      </c>
      <c r="S25" s="257">
        <v>0.70982288378209435</v>
      </c>
      <c r="T25" s="257">
        <v>0.89932751157956758</v>
      </c>
      <c r="U25" s="257">
        <v>4.4877393316834255E-2</v>
      </c>
      <c r="V25" s="257">
        <v>0.52769387709159576</v>
      </c>
      <c r="W25" s="257">
        <v>7.3530392889327289E-3</v>
      </c>
      <c r="X25" s="257">
        <v>2.3395725610547757E-2</v>
      </c>
      <c r="Y25" s="257">
        <v>7.6596974187404229E-2</v>
      </c>
      <c r="Z25" s="257">
        <v>8.9171638961982699E-2</v>
      </c>
      <c r="AA25" s="257">
        <v>3.4742180702690272E-2</v>
      </c>
      <c r="AB25" s="257">
        <v>1.8579230769230768E-2</v>
      </c>
      <c r="AC25" s="257">
        <v>0.18585212495205203</v>
      </c>
      <c r="AD25" s="257" t="s">
        <v>93</v>
      </c>
      <c r="AE25" s="257" t="s">
        <v>93</v>
      </c>
      <c r="AF25" s="257" t="s">
        <v>93</v>
      </c>
      <c r="AG25" s="258" t="s">
        <v>93</v>
      </c>
      <c r="AH25" s="257" t="s">
        <v>93</v>
      </c>
      <c r="AI25" s="258"/>
      <c r="AJ25" s="258"/>
      <c r="AK25" s="257"/>
      <c r="AL25" s="257"/>
      <c r="AM25" s="257"/>
      <c r="AN25" s="258"/>
      <c r="AO25" s="68" t="s">
        <v>21</v>
      </c>
    </row>
    <row r="26" spans="1:41" ht="14.1" hidden="1" customHeight="1">
      <c r="A26" s="68" t="s">
        <v>22</v>
      </c>
      <c r="B26" s="257">
        <v>0.95703870967741933</v>
      </c>
      <c r="C26" s="257">
        <v>1.2167725435483872</v>
      </c>
      <c r="D26" s="257">
        <v>0.7339277106451616</v>
      </c>
      <c r="E26" s="257">
        <v>0.26056358668113905</v>
      </c>
      <c r="F26" s="257">
        <v>0.11563326402191978</v>
      </c>
      <c r="G26" s="257">
        <v>0.16344375720869453</v>
      </c>
      <c r="H26" s="257">
        <v>0.12283739421676787</v>
      </c>
      <c r="I26" s="257">
        <v>1.7798433361290324</v>
      </c>
      <c r="J26" s="257">
        <v>1.0723494908712322E-2</v>
      </c>
      <c r="K26" s="257">
        <v>0.13236981496876532</v>
      </c>
      <c r="L26" s="257">
        <v>0.78778407792686933</v>
      </c>
      <c r="M26" s="257" t="s">
        <v>93</v>
      </c>
      <c r="N26" s="257">
        <v>0.7621920608638949</v>
      </c>
      <c r="O26" s="257">
        <v>3.2771474019932363</v>
      </c>
      <c r="P26" s="257">
        <v>0.15047956597720405</v>
      </c>
      <c r="Q26" s="257">
        <v>0.29113134936738411</v>
      </c>
      <c r="R26" s="257">
        <v>0.57971116431973213</v>
      </c>
      <c r="S26" s="257">
        <v>0.69825943436750726</v>
      </c>
      <c r="T26" s="257">
        <v>0.89800516478924453</v>
      </c>
      <c r="U26" s="257">
        <v>4.4504695455100302E-2</v>
      </c>
      <c r="V26" s="257">
        <v>0.52433685339908009</v>
      </c>
      <c r="W26" s="257">
        <v>7.2838132271203053E-3</v>
      </c>
      <c r="X26" s="257">
        <v>2.3315445690385628E-2</v>
      </c>
      <c r="Y26" s="257">
        <v>7.5965443084402937E-2</v>
      </c>
      <c r="Z26" s="257">
        <v>8.7489913541508729E-2</v>
      </c>
      <c r="AA26" s="257">
        <v>3.4284185747788985E-2</v>
      </c>
      <c r="AB26" s="257">
        <v>1.8404590570719595E-2</v>
      </c>
      <c r="AC26" s="257">
        <v>0.18951261577770681</v>
      </c>
      <c r="AD26" s="257" t="s">
        <v>93</v>
      </c>
      <c r="AE26" s="257" t="s">
        <v>93</v>
      </c>
      <c r="AF26" s="257" t="s">
        <v>93</v>
      </c>
      <c r="AG26" s="258" t="s">
        <v>93</v>
      </c>
      <c r="AH26" s="257" t="s">
        <v>93</v>
      </c>
      <c r="AI26" s="258"/>
      <c r="AJ26" s="258"/>
      <c r="AK26" s="257"/>
      <c r="AL26" s="257"/>
      <c r="AM26" s="257"/>
      <c r="AN26" s="258"/>
      <c r="AO26" s="68" t="s">
        <v>22</v>
      </c>
    </row>
    <row r="27" spans="1:41" ht="14.1" hidden="1" customHeight="1">
      <c r="A27" s="68" t="s">
        <v>23</v>
      </c>
      <c r="B27" s="257">
        <v>0.94714963579604572</v>
      </c>
      <c r="C27" s="257">
        <v>1.1544485072112378</v>
      </c>
      <c r="D27" s="257">
        <v>0.72579389389177951</v>
      </c>
      <c r="E27" s="257">
        <v>0.25787049173071697</v>
      </c>
      <c r="F27" s="257">
        <v>0.11443842636332335</v>
      </c>
      <c r="G27" s="257">
        <v>0.15507762286009572</v>
      </c>
      <c r="H27" s="257">
        <v>0.12179044576788352</v>
      </c>
      <c r="I27" s="257">
        <v>1.7247706924557751</v>
      </c>
      <c r="J27" s="257">
        <v>1.054740172859938E-2</v>
      </c>
      <c r="K27" s="257">
        <v>0.12478304982313845</v>
      </c>
      <c r="L27" s="257">
        <v>0.75028499942726889</v>
      </c>
      <c r="M27" s="257" t="s">
        <v>93</v>
      </c>
      <c r="N27" s="257">
        <v>0.76199772671380483</v>
      </c>
      <c r="O27" s="257">
        <v>3.24349166959357</v>
      </c>
      <c r="P27" s="257">
        <v>0.14602630553385126</v>
      </c>
      <c r="Q27" s="257">
        <v>0.2840207648666972</v>
      </c>
      <c r="R27" s="257">
        <v>0.56690945469567322</v>
      </c>
      <c r="S27" s="257">
        <v>0.69646771190786372</v>
      </c>
      <c r="T27" s="257">
        <v>0.87316761481181726</v>
      </c>
      <c r="U27" s="257">
        <v>4.4063759655451125E-2</v>
      </c>
      <c r="V27" s="257">
        <v>0.52074670621419505</v>
      </c>
      <c r="W27" s="257">
        <v>7.0894662350667334E-3</v>
      </c>
      <c r="X27" s="257">
        <v>2.3094316324846566E-2</v>
      </c>
      <c r="Y27" s="257">
        <v>7.5218021722373241E-2</v>
      </c>
      <c r="Z27" s="257">
        <v>8.5982379788741362E-2</v>
      </c>
      <c r="AA27" s="257">
        <v>3.3260363603525078E-2</v>
      </c>
      <c r="AB27" s="257">
        <v>1.8214416073000884E-2</v>
      </c>
      <c r="AC27" s="257">
        <v>0.18738693619930916</v>
      </c>
      <c r="AD27" s="257" t="s">
        <v>93</v>
      </c>
      <c r="AE27" s="257" t="s">
        <v>93</v>
      </c>
      <c r="AF27" s="257" t="s">
        <v>93</v>
      </c>
      <c r="AG27" s="258" t="s">
        <v>93</v>
      </c>
      <c r="AH27" s="257" t="s">
        <v>93</v>
      </c>
      <c r="AI27" s="258"/>
      <c r="AJ27" s="258"/>
      <c r="AK27" s="257"/>
      <c r="AL27" s="257"/>
      <c r="AM27" s="257"/>
      <c r="AN27" s="258"/>
      <c r="AO27" s="68" t="s">
        <v>23</v>
      </c>
    </row>
    <row r="28" spans="1:41" ht="14.1" hidden="1" customHeight="1">
      <c r="A28" s="68" t="s">
        <v>24</v>
      </c>
      <c r="B28" s="257">
        <v>0.94003870967741932</v>
      </c>
      <c r="C28" s="257">
        <v>1.1336250370967738</v>
      </c>
      <c r="D28" s="257">
        <v>0.70818375290322588</v>
      </c>
      <c r="E28" s="257">
        <v>0.25593740773392371</v>
      </c>
      <c r="F28" s="257">
        <v>0.11433181334724968</v>
      </c>
      <c r="G28" s="257">
        <v>0.15199332862625742</v>
      </c>
      <c r="H28" s="257">
        <v>0.12090639750691658</v>
      </c>
      <c r="I28" s="257">
        <v>1.6499780616129036</v>
      </c>
      <c r="J28" s="257">
        <v>1.0450570815693642E-2</v>
      </c>
      <c r="K28" s="257">
        <v>0.12023996612369189</v>
      </c>
      <c r="L28" s="257">
        <v>0.72788498567864546</v>
      </c>
      <c r="M28" s="257" t="s">
        <v>93</v>
      </c>
      <c r="N28" s="257">
        <v>0.76809941950176897</v>
      </c>
      <c r="O28" s="257">
        <v>3.2191969056137855</v>
      </c>
      <c r="P28" s="257">
        <v>0.1429971107011217</v>
      </c>
      <c r="Q28" s="257">
        <v>0.27680345453271399</v>
      </c>
      <c r="R28" s="257">
        <v>0.55874924206574428</v>
      </c>
      <c r="S28" s="257">
        <v>0.70367458258646132</v>
      </c>
      <c r="T28" s="257">
        <v>0.84036697115434977</v>
      </c>
      <c r="U28" s="257">
        <v>4.3729290163397057E-2</v>
      </c>
      <c r="V28" s="257">
        <v>0.51779119292547493</v>
      </c>
      <c r="W28" s="257">
        <v>6.927288637864952E-3</v>
      </c>
      <c r="X28" s="257">
        <v>2.2951266916456659E-2</v>
      </c>
      <c r="Y28" s="257">
        <v>7.472770944663254E-2</v>
      </c>
      <c r="Z28" s="257">
        <v>8.4049487566987616E-2</v>
      </c>
      <c r="AA28" s="257">
        <v>3.2762924330021446E-2</v>
      </c>
      <c r="AB28" s="257">
        <v>1.8077667493796527E-2</v>
      </c>
      <c r="AC28" s="257">
        <v>0.18602147252152224</v>
      </c>
      <c r="AD28" s="257" t="s">
        <v>93</v>
      </c>
      <c r="AE28" s="257" t="s">
        <v>93</v>
      </c>
      <c r="AF28" s="257" t="s">
        <v>93</v>
      </c>
      <c r="AG28" s="258" t="s">
        <v>93</v>
      </c>
      <c r="AH28" s="257" t="s">
        <v>93</v>
      </c>
      <c r="AI28" s="258"/>
      <c r="AJ28" s="258"/>
      <c r="AK28" s="257"/>
      <c r="AL28" s="257"/>
      <c r="AM28" s="257"/>
      <c r="AN28" s="258"/>
      <c r="AO28" s="68" t="s">
        <v>24</v>
      </c>
    </row>
    <row r="29" spans="1:41" ht="14.1" hidden="1" customHeight="1">
      <c r="A29" s="68" t="s">
        <v>25</v>
      </c>
      <c r="B29" s="257">
        <v>0.9317612903225807</v>
      </c>
      <c r="C29" s="257">
        <v>1.1460545425806452</v>
      </c>
      <c r="D29" s="257">
        <v>0.70972309354838703</v>
      </c>
      <c r="E29" s="257">
        <v>0.25368276188453448</v>
      </c>
      <c r="F29" s="257">
        <v>0.11500840685215669</v>
      </c>
      <c r="G29" s="257">
        <v>0.15363937103864864</v>
      </c>
      <c r="H29" s="257">
        <v>0.11989232590323289</v>
      </c>
      <c r="I29" s="257">
        <v>1.670947147741936</v>
      </c>
      <c r="J29" s="257">
        <v>1.0351821085887091E-2</v>
      </c>
      <c r="K29" s="257">
        <v>0.12272609466056038</v>
      </c>
      <c r="L29" s="257">
        <v>0.73812219655267741</v>
      </c>
      <c r="M29" s="257" t="s">
        <v>93</v>
      </c>
      <c r="N29" s="257">
        <v>0.77221183275795247</v>
      </c>
      <c r="O29" s="257">
        <v>3.1906623378203536</v>
      </c>
      <c r="P29" s="257">
        <v>0.14482128157351856</v>
      </c>
      <c r="Q29" s="257">
        <v>0.28344555301409696</v>
      </c>
      <c r="R29" s="257">
        <v>0.56071193449262546</v>
      </c>
      <c r="S29" s="257">
        <v>0.6932974453883558</v>
      </c>
      <c r="T29" s="257">
        <v>0.84190453042379354</v>
      </c>
      <c r="U29" s="257">
        <v>4.335068286180082E-2</v>
      </c>
      <c r="V29" s="257">
        <v>0.51678183531304711</v>
      </c>
      <c r="W29" s="257">
        <v>6.8747048522470652E-3</v>
      </c>
      <c r="X29" s="257">
        <v>2.2755606641300333E-2</v>
      </c>
      <c r="Y29" s="257">
        <v>7.4079581119456284E-2</v>
      </c>
      <c r="Z29" s="257">
        <v>8.2654515753396635E-2</v>
      </c>
      <c r="AA29" s="257">
        <v>3.2718787412825981E-2</v>
      </c>
      <c r="AB29" s="257">
        <v>1.7918982630272959E-2</v>
      </c>
      <c r="AC29" s="257">
        <v>0.18450718492494406</v>
      </c>
      <c r="AD29" s="257" t="s">
        <v>93</v>
      </c>
      <c r="AE29" s="257" t="s">
        <v>93</v>
      </c>
      <c r="AF29" s="257" t="s">
        <v>93</v>
      </c>
      <c r="AG29" s="258" t="s">
        <v>93</v>
      </c>
      <c r="AH29" s="257" t="s">
        <v>93</v>
      </c>
      <c r="AI29" s="258"/>
      <c r="AJ29" s="258"/>
      <c r="AK29" s="257"/>
      <c r="AL29" s="257"/>
      <c r="AM29" s="257"/>
      <c r="AN29" s="258"/>
      <c r="AO29" s="68" t="s">
        <v>25</v>
      </c>
    </row>
    <row r="30" spans="1:41" ht="14.1" hidden="1" customHeight="1">
      <c r="A30" s="68" t="s">
        <v>26</v>
      </c>
      <c r="B30" s="257">
        <v>0.91821333333333333</v>
      </c>
      <c r="C30" s="257">
        <v>1.1272746293333331</v>
      </c>
      <c r="D30" s="257">
        <v>0.7027109853333332</v>
      </c>
      <c r="E30" s="257">
        <v>0.2499979592435905</v>
      </c>
      <c r="F30" s="257">
        <v>0.11347107536667306</v>
      </c>
      <c r="G30" s="257">
        <v>0.15114602963087584</v>
      </c>
      <c r="H30" s="257">
        <v>0.11828619804819741</v>
      </c>
      <c r="I30" s="257">
        <v>1.6631714913333329</v>
      </c>
      <c r="J30" s="257">
        <v>1.0188192175940334E-2</v>
      </c>
      <c r="K30" s="257">
        <v>0.12077427632712867</v>
      </c>
      <c r="L30" s="257">
        <v>0.72788603910869554</v>
      </c>
      <c r="M30" s="257" t="s">
        <v>93</v>
      </c>
      <c r="N30" s="257">
        <v>0.77825588664938128</v>
      </c>
      <c r="O30" s="257">
        <v>3.1442849540148257</v>
      </c>
      <c r="P30" s="257">
        <v>0.14442649588765502</v>
      </c>
      <c r="Q30" s="257">
        <v>0.28712439427618613</v>
      </c>
      <c r="R30" s="257">
        <v>0.54649385834538866</v>
      </c>
      <c r="S30" s="257">
        <v>0.68443487599813713</v>
      </c>
      <c r="T30" s="257">
        <v>0.82756364418676853</v>
      </c>
      <c r="U30" s="257">
        <v>4.2687742135440895E-2</v>
      </c>
      <c r="V30" s="257">
        <v>0.51125344762115832</v>
      </c>
      <c r="W30" s="257">
        <v>6.776482164821648E-3</v>
      </c>
      <c r="X30" s="257">
        <v>2.2445443082204895E-2</v>
      </c>
      <c r="Y30" s="257">
        <v>7.3054426368488121E-2</v>
      </c>
      <c r="Z30" s="257">
        <v>8.1064839747268261E-2</v>
      </c>
      <c r="AA30" s="257">
        <v>3.2359915629243674E-2</v>
      </c>
      <c r="AB30" s="257">
        <v>1.7657948717948721E-2</v>
      </c>
      <c r="AC30" s="257">
        <v>0.18182442244224423</v>
      </c>
      <c r="AD30" s="257" t="s">
        <v>93</v>
      </c>
      <c r="AE30" s="257" t="s">
        <v>93</v>
      </c>
      <c r="AF30" s="257" t="s">
        <v>93</v>
      </c>
      <c r="AG30" s="258" t="s">
        <v>93</v>
      </c>
      <c r="AH30" s="257" t="s">
        <v>93</v>
      </c>
      <c r="AI30" s="258"/>
      <c r="AJ30" s="258"/>
      <c r="AK30" s="257"/>
      <c r="AL30" s="257"/>
      <c r="AM30" s="257"/>
      <c r="AN30" s="258"/>
      <c r="AO30" s="68" t="s">
        <v>26</v>
      </c>
    </row>
    <row r="31" spans="1:41" ht="14.1" hidden="1" customHeight="1">
      <c r="A31" s="68" t="s">
        <v>27</v>
      </c>
      <c r="B31" s="257">
        <v>0.91884516129032257</v>
      </c>
      <c r="C31" s="257">
        <v>1.1071290303225805</v>
      </c>
      <c r="D31" s="257">
        <v>0.69390404645161297</v>
      </c>
      <c r="E31" s="257">
        <v>0.25018170116147365</v>
      </c>
      <c r="F31" s="257">
        <v>0.11358366513383196</v>
      </c>
      <c r="G31" s="257">
        <v>0.1483666417964476</v>
      </c>
      <c r="H31" s="257">
        <v>0.11846284854395997</v>
      </c>
      <c r="I31" s="257">
        <v>1.6232526309677415</v>
      </c>
      <c r="J31" s="257">
        <v>1.0163590353503168E-2</v>
      </c>
      <c r="K31" s="257">
        <v>0.11754840069127226</v>
      </c>
      <c r="L31" s="257">
        <v>0.71470374159508632</v>
      </c>
      <c r="M31" s="257" t="s">
        <v>93</v>
      </c>
      <c r="N31" s="257">
        <v>0.78097546362886072</v>
      </c>
      <c r="O31" s="257">
        <v>3.1464936406574902</v>
      </c>
      <c r="P31" s="257">
        <v>0.14129897303877267</v>
      </c>
      <c r="Q31" s="257">
        <v>0.2822908172662838</v>
      </c>
      <c r="R31" s="257">
        <v>0.54378761113223251</v>
      </c>
      <c r="S31" s="257">
        <v>0.6764689334881907</v>
      </c>
      <c r="T31" s="257">
        <v>0.80214971445406213</v>
      </c>
      <c r="U31" s="257">
        <v>4.2706711752049889E-2</v>
      </c>
      <c r="V31" s="257">
        <v>0.51117106232422893</v>
      </c>
      <c r="W31" s="257">
        <v>6.8563100876095663E-3</v>
      </c>
      <c r="X31" s="257">
        <v>2.2491597396931948E-2</v>
      </c>
      <c r="Y31" s="257">
        <v>7.2942770494991427E-2</v>
      </c>
      <c r="Z31" s="257">
        <v>8.0229949526523667E-2</v>
      </c>
      <c r="AA31" s="257">
        <v>3.2184635065085954E-2</v>
      </c>
      <c r="AB31" s="257">
        <v>1.7670099255583119E-2</v>
      </c>
      <c r="AC31" s="257">
        <v>0.18244805085423255</v>
      </c>
      <c r="AD31" s="257" t="s">
        <v>93</v>
      </c>
      <c r="AE31" s="257" t="s">
        <v>93</v>
      </c>
      <c r="AF31" s="257" t="s">
        <v>93</v>
      </c>
      <c r="AG31" s="258" t="s">
        <v>93</v>
      </c>
      <c r="AH31" s="257" t="s">
        <v>93</v>
      </c>
      <c r="AI31" s="258"/>
      <c r="AJ31" s="258"/>
      <c r="AK31" s="257"/>
      <c r="AL31" s="257"/>
      <c r="AM31" s="257"/>
      <c r="AN31" s="258"/>
      <c r="AO31" s="68" t="s">
        <v>27</v>
      </c>
    </row>
    <row r="32" spans="1:41" ht="14.1" hidden="1" customHeight="1">
      <c r="A32" s="68" t="s">
        <v>28</v>
      </c>
      <c r="B32" s="257">
        <v>0.91912666666666665</v>
      </c>
      <c r="C32" s="257">
        <v>1.0853499406666667</v>
      </c>
      <c r="D32" s="257">
        <v>0.67607942199999993</v>
      </c>
      <c r="E32" s="257">
        <v>0.25023663493947507</v>
      </c>
      <c r="F32" s="257">
        <v>0.1137060226401338</v>
      </c>
      <c r="G32" s="257">
        <v>0.14548709181588892</v>
      </c>
      <c r="H32" s="257">
        <v>0.11852582694266087</v>
      </c>
      <c r="I32" s="257">
        <v>1.5973073760000001</v>
      </c>
      <c r="J32" s="257">
        <v>1.0142262349784527E-2</v>
      </c>
      <c r="K32" s="257">
        <v>0.1133234359929538</v>
      </c>
      <c r="L32" s="257">
        <v>0.70251161827154929</v>
      </c>
      <c r="M32" s="257" t="s">
        <v>93</v>
      </c>
      <c r="N32" s="257">
        <v>0.77719956812035917</v>
      </c>
      <c r="O32" s="257">
        <v>3.1475486519478184</v>
      </c>
      <c r="P32" s="257">
        <v>0.13880786028251682</v>
      </c>
      <c r="Q32" s="257">
        <v>0.27330086273286036</v>
      </c>
      <c r="R32" s="257">
        <v>0.54123866309599067</v>
      </c>
      <c r="S32" s="257">
        <v>0.67747042556243198</v>
      </c>
      <c r="T32" s="257">
        <v>0.77697010744460138</v>
      </c>
      <c r="U32" s="257">
        <v>4.2722925598743966E-2</v>
      </c>
      <c r="V32" s="257">
        <v>0.51186870666965301</v>
      </c>
      <c r="W32" s="257">
        <v>6.8552789712268336E-3</v>
      </c>
      <c r="X32" s="257">
        <v>2.2483722827245704E-2</v>
      </c>
      <c r="Y32" s="257">
        <v>7.2098086319141469E-2</v>
      </c>
      <c r="Z32" s="257">
        <v>7.9273090199349805E-2</v>
      </c>
      <c r="AA32" s="257">
        <v>3.1960881812892528E-2</v>
      </c>
      <c r="AB32" s="257">
        <v>1.7675512820512815E-2</v>
      </c>
      <c r="AC32" s="257">
        <v>0.18308454413377181</v>
      </c>
      <c r="AD32" s="257" t="s">
        <v>93</v>
      </c>
      <c r="AE32" s="257" t="s">
        <v>93</v>
      </c>
      <c r="AF32" s="257" t="s">
        <v>93</v>
      </c>
      <c r="AG32" s="258" t="s">
        <v>93</v>
      </c>
      <c r="AH32" s="257" t="s">
        <v>93</v>
      </c>
      <c r="AI32" s="258"/>
      <c r="AJ32" s="258"/>
      <c r="AK32" s="257"/>
      <c r="AL32" s="257"/>
      <c r="AM32" s="257"/>
      <c r="AN32" s="258"/>
      <c r="AO32" s="68" t="s">
        <v>28</v>
      </c>
    </row>
    <row r="33" spans="1:41" ht="14.1" hidden="1" customHeight="1">
      <c r="A33" s="68" t="s">
        <v>29</v>
      </c>
      <c r="B33" s="257">
        <v>0.91834838709677424</v>
      </c>
      <c r="C33" s="257">
        <v>1.0886293738709671</v>
      </c>
      <c r="D33" s="257">
        <v>0.68124658645161318</v>
      </c>
      <c r="E33" s="257">
        <v>0.25002546926104335</v>
      </c>
      <c r="F33" s="257">
        <v>0.11372289451158445</v>
      </c>
      <c r="G33" s="257">
        <v>0.14603762021361588</v>
      </c>
      <c r="H33" s="257">
        <v>0.1184384460398398</v>
      </c>
      <c r="I33" s="257">
        <v>1.6027540574193546</v>
      </c>
      <c r="J33" s="257">
        <v>1.0112916370959209E-2</v>
      </c>
      <c r="K33" s="257">
        <v>0.11525378865668488</v>
      </c>
      <c r="L33" s="257">
        <v>0.70346464499264705</v>
      </c>
      <c r="M33" s="257" t="s">
        <v>93</v>
      </c>
      <c r="N33" s="257">
        <v>0.79030891039967266</v>
      </c>
      <c r="O33" s="257">
        <v>3.1447682168656104</v>
      </c>
      <c r="P33" s="257">
        <v>0.13652114086313477</v>
      </c>
      <c r="Q33" s="257">
        <v>0.2822437137518875</v>
      </c>
      <c r="R33" s="257">
        <v>0.54819006295648209</v>
      </c>
      <c r="S33" s="257">
        <v>0.67904406685669028</v>
      </c>
      <c r="T33" s="257">
        <v>0.77563608947417739</v>
      </c>
      <c r="U33" s="257">
        <v>4.2668988377553486E-2</v>
      </c>
      <c r="V33" s="257">
        <v>0.51539270197984854</v>
      </c>
      <c r="W33" s="257">
        <v>6.8637733901062087E-3</v>
      </c>
      <c r="X33" s="257">
        <v>2.2256229823178025E-2</v>
      </c>
      <c r="Y33" s="257">
        <v>7.166752895089408E-2</v>
      </c>
      <c r="Z33" s="257">
        <v>7.8249380220585918E-2</v>
      </c>
      <c r="AA33" s="257">
        <v>3.1877085087320498E-2</v>
      </c>
      <c r="AB33" s="257">
        <v>1.7660545905707193E-2</v>
      </c>
      <c r="AC33" s="257">
        <v>0.18263915960954086</v>
      </c>
      <c r="AD33" s="257" t="s">
        <v>93</v>
      </c>
      <c r="AE33" s="257" t="s">
        <v>93</v>
      </c>
      <c r="AF33" s="257" t="s">
        <v>93</v>
      </c>
      <c r="AG33" s="258" t="s">
        <v>93</v>
      </c>
      <c r="AH33" s="257" t="s">
        <v>93</v>
      </c>
      <c r="AI33" s="258"/>
      <c r="AJ33" s="258"/>
      <c r="AK33" s="257"/>
      <c r="AL33" s="257"/>
      <c r="AM33" s="257"/>
      <c r="AN33" s="258"/>
      <c r="AO33" s="68" t="s">
        <v>29</v>
      </c>
    </row>
    <row r="34" spans="1:41" ht="14.1" hidden="1" customHeight="1">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c r="AA34" s="69"/>
      <c r="AB34" s="69"/>
      <c r="AC34" s="69"/>
      <c r="AD34" s="69"/>
      <c r="AE34" s="69"/>
      <c r="AF34" s="69"/>
      <c r="AG34" s="259"/>
      <c r="AH34" s="69"/>
      <c r="AI34" s="259"/>
      <c r="AJ34" s="259"/>
      <c r="AK34" s="69"/>
      <c r="AL34" s="69"/>
      <c r="AM34" s="69"/>
      <c r="AN34" s="259"/>
      <c r="AO34" s="69"/>
    </row>
    <row r="35" spans="1:41" ht="14.1" hidden="1" customHeight="1">
      <c r="A35" s="68" t="s">
        <v>181</v>
      </c>
      <c r="B35" s="257">
        <v>0.89273775985663084</v>
      </c>
      <c r="C35" s="257">
        <v>1.1231102056151432</v>
      </c>
      <c r="D35" s="257">
        <v>0.67414568193951607</v>
      </c>
      <c r="E35" s="257">
        <v>0.24307402682488041</v>
      </c>
      <c r="F35" s="257">
        <v>0.11207214721150816</v>
      </c>
      <c r="G35" s="257">
        <v>0.15057661109637274</v>
      </c>
      <c r="H35" s="257">
        <v>0.11493064097721377</v>
      </c>
      <c r="I35" s="257">
        <v>1.6485125727214858</v>
      </c>
      <c r="J35" s="257">
        <v>9.735790304360413E-3</v>
      </c>
      <c r="K35" s="257">
        <v>0.12145617601962737</v>
      </c>
      <c r="L35" s="257">
        <v>0.71371443771119603</v>
      </c>
      <c r="M35" s="257">
        <v>0.20152287708417099</v>
      </c>
      <c r="N35" s="257">
        <v>0.78755315548331051</v>
      </c>
      <c r="O35" s="257">
        <v>3.0758616731392432</v>
      </c>
      <c r="P35" s="257">
        <v>0.13949636016196279</v>
      </c>
      <c r="Q35" s="257">
        <v>0.2882005760235507</v>
      </c>
      <c r="R35" s="257">
        <v>0.56275011307625322</v>
      </c>
      <c r="S35" s="257">
        <v>0.62510332185771578</v>
      </c>
      <c r="T35" s="257">
        <v>0.76670713727910389</v>
      </c>
      <c r="U35" s="257">
        <v>4.1603834443135222E-2</v>
      </c>
      <c r="V35" s="257">
        <v>0.50386269222107438</v>
      </c>
      <c r="W35" s="257">
        <v>7.0780934721574396E-3</v>
      </c>
      <c r="X35" s="257">
        <v>2.2305067090561195E-2</v>
      </c>
      <c r="Y35" s="257">
        <v>6.8012962227981158E-2</v>
      </c>
      <c r="Z35" s="257">
        <v>7.3250563474894337E-2</v>
      </c>
      <c r="AA35" s="257">
        <v>3.2870442444326214E-2</v>
      </c>
      <c r="AB35" s="257">
        <v>1.7168033843396751E-2</v>
      </c>
      <c r="AC35" s="257">
        <v>0.1772219178351396</v>
      </c>
      <c r="AD35" s="257" t="s">
        <v>93</v>
      </c>
      <c r="AE35" s="257" t="s">
        <v>93</v>
      </c>
      <c r="AF35" s="257" t="s">
        <v>93</v>
      </c>
      <c r="AG35" s="258" t="s">
        <v>93</v>
      </c>
      <c r="AH35" s="257" t="s">
        <v>93</v>
      </c>
      <c r="AI35" s="258"/>
      <c r="AJ35" s="258"/>
      <c r="AK35" s="257"/>
      <c r="AL35" s="257"/>
      <c r="AM35" s="257"/>
      <c r="AN35" s="258"/>
      <c r="AO35" s="68" t="s">
        <v>181</v>
      </c>
    </row>
    <row r="36" spans="1:41" ht="14.1" hidden="1" customHeight="1">
      <c r="A36" s="68" t="s">
        <v>18</v>
      </c>
      <c r="B36" s="257">
        <v>0.91723225806451636</v>
      </c>
      <c r="C36" s="257">
        <v>1.1100060038709676</v>
      </c>
      <c r="D36" s="257">
        <v>0.68643241258064536</v>
      </c>
      <c r="E36" s="257">
        <v>0.24971863477094891</v>
      </c>
      <c r="F36" s="257">
        <v>0.11371612703504276</v>
      </c>
      <c r="G36" s="257">
        <v>0.14876920233734062</v>
      </c>
      <c r="H36" s="257">
        <v>0.11829071204802508</v>
      </c>
      <c r="I36" s="257">
        <v>1.6166277306451615</v>
      </c>
      <c r="J36" s="257">
        <v>1.0075639849682252E-2</v>
      </c>
      <c r="K36" s="257">
        <v>0.1191042949619477</v>
      </c>
      <c r="L36" s="257">
        <v>0.71627149057853945</v>
      </c>
      <c r="M36" s="257" t="s">
        <v>93</v>
      </c>
      <c r="N36" s="257">
        <v>0.79103827915112135</v>
      </c>
      <c r="O36" s="257">
        <v>3.140660016872451</v>
      </c>
      <c r="P36" s="257">
        <v>0.13797538738232076</v>
      </c>
      <c r="Q36" s="257">
        <v>0.29000950981659779</v>
      </c>
      <c r="R36" s="257">
        <v>0.56096308080564028</v>
      </c>
      <c r="S36" s="257">
        <v>0.68717610687285735</v>
      </c>
      <c r="T36" s="257">
        <v>0.79357968864449213</v>
      </c>
      <c r="U36" s="257">
        <v>4.2602348013034468E-2</v>
      </c>
      <c r="V36" s="257">
        <v>0.51059884401035316</v>
      </c>
      <c r="W36" s="257">
        <v>6.8883224631034424E-3</v>
      </c>
      <c r="X36" s="257">
        <v>2.2206729552459718E-2</v>
      </c>
      <c r="Y36" s="257">
        <v>7.1201571119186596E-2</v>
      </c>
      <c r="Z36" s="257">
        <v>7.7526156789894551E-2</v>
      </c>
      <c r="AA36" s="257">
        <v>3.2305221335223483E-2</v>
      </c>
      <c r="AB36" s="257">
        <v>1.7639081885856073E-2</v>
      </c>
      <c r="AC36" s="257">
        <v>0.18107901112530939</v>
      </c>
      <c r="AD36" s="257" t="s">
        <v>93</v>
      </c>
      <c r="AE36" s="257" t="s">
        <v>93</v>
      </c>
      <c r="AF36" s="257" t="s">
        <v>93</v>
      </c>
      <c r="AG36" s="258" t="s">
        <v>93</v>
      </c>
      <c r="AH36" s="257" t="s">
        <v>93</v>
      </c>
      <c r="AI36" s="258"/>
      <c r="AJ36" s="258"/>
      <c r="AK36" s="257"/>
      <c r="AL36" s="257"/>
      <c r="AM36" s="257"/>
      <c r="AN36" s="258"/>
      <c r="AO36" s="68" t="s">
        <v>18</v>
      </c>
    </row>
    <row r="37" spans="1:41" ht="14.1" hidden="1" customHeight="1">
      <c r="A37" s="68" t="s">
        <v>19</v>
      </c>
      <c r="B37" s="257">
        <v>0.9140499999999997</v>
      </c>
      <c r="C37" s="257">
        <v>1.093191185</v>
      </c>
      <c r="D37" s="257">
        <v>0.67821786000000006</v>
      </c>
      <c r="E37" s="257">
        <v>0.2488522864813548</v>
      </c>
      <c r="F37" s="257">
        <v>0.11351068647919034</v>
      </c>
      <c r="G37" s="257">
        <v>0.14644785443013353</v>
      </c>
      <c r="H37" s="257">
        <v>0.11779069075404393</v>
      </c>
      <c r="I37" s="257">
        <v>1.6000777544642857</v>
      </c>
      <c r="J37" s="257">
        <v>1.0017855229455809E-2</v>
      </c>
      <c r="K37" s="257">
        <v>0.11713392738546222</v>
      </c>
      <c r="L37" s="257">
        <v>0.70145341991841392</v>
      </c>
      <c r="M37" s="257" t="s">
        <v>93</v>
      </c>
      <c r="N37" s="257">
        <v>0.79503282120446117</v>
      </c>
      <c r="O37" s="257">
        <v>3.1290317478432428</v>
      </c>
      <c r="P37" s="257">
        <v>0.13567375790816708</v>
      </c>
      <c r="Q37" s="257">
        <v>0.28796387074811364</v>
      </c>
      <c r="R37" s="257">
        <v>0.5608753986983932</v>
      </c>
      <c r="S37" s="257">
        <v>0.69069361686945174</v>
      </c>
      <c r="T37" s="257">
        <v>0.77532385048439545</v>
      </c>
      <c r="U37" s="257">
        <v>4.2483800511304994E-2</v>
      </c>
      <c r="V37" s="257">
        <v>0.50449915100660514</v>
      </c>
      <c r="W37" s="257">
        <v>6.9645664791730616E-3</v>
      </c>
      <c r="X37" s="257">
        <v>2.208996437397636E-2</v>
      </c>
      <c r="Y37" s="257">
        <v>7.0435080609704659E-2</v>
      </c>
      <c r="Z37" s="257">
        <v>7.6535828235591977E-2</v>
      </c>
      <c r="AA37" s="257">
        <v>3.2421269778423939E-2</v>
      </c>
      <c r="AB37" s="257">
        <v>1.7577884615384624E-2</v>
      </c>
      <c r="AC37" s="257">
        <v>0.18071339475211254</v>
      </c>
      <c r="AD37" s="257" t="s">
        <v>93</v>
      </c>
      <c r="AE37" s="257" t="s">
        <v>93</v>
      </c>
      <c r="AF37" s="257" t="s">
        <v>93</v>
      </c>
      <c r="AG37" s="258" t="s">
        <v>93</v>
      </c>
      <c r="AH37" s="257" t="s">
        <v>93</v>
      </c>
      <c r="AI37" s="258"/>
      <c r="AJ37" s="258"/>
      <c r="AK37" s="257"/>
      <c r="AL37" s="257"/>
      <c r="AM37" s="257"/>
      <c r="AN37" s="258"/>
      <c r="AO37" s="68" t="s">
        <v>19</v>
      </c>
    </row>
    <row r="38" spans="1:41" ht="14.1" hidden="1" customHeight="1">
      <c r="A38" s="68" t="s">
        <v>20</v>
      </c>
      <c r="B38" s="257">
        <v>0.91094193548387081</v>
      </c>
      <c r="C38" s="257">
        <v>1.0954476314516128</v>
      </c>
      <c r="D38" s="257">
        <v>0.6646647006451617</v>
      </c>
      <c r="E38" s="257">
        <v>0.24802719726259448</v>
      </c>
      <c r="F38" s="257">
        <v>0.11336969426387589</v>
      </c>
      <c r="G38" s="257">
        <v>0.14682757987154077</v>
      </c>
      <c r="H38" s="257">
        <v>0.11739489603100575</v>
      </c>
      <c r="I38" s="257">
        <v>1.5899480748387096</v>
      </c>
      <c r="J38" s="257">
        <v>9.9857659788956631E-3</v>
      </c>
      <c r="K38" s="257">
        <v>0.11661524904511672</v>
      </c>
      <c r="L38" s="257">
        <v>0.6982662916811172</v>
      </c>
      <c r="M38" s="257">
        <v>0.1946508013270975</v>
      </c>
      <c r="N38" s="257">
        <v>0.78904939771565785</v>
      </c>
      <c r="O38" s="257">
        <v>3.1189403136161427</v>
      </c>
      <c r="P38" s="257">
        <v>0.13709728099268065</v>
      </c>
      <c r="Q38" s="257">
        <v>0.28323434246136869</v>
      </c>
      <c r="R38" s="257">
        <v>0.56161796870102421</v>
      </c>
      <c r="S38" s="257">
        <v>0.68383814595803261</v>
      </c>
      <c r="T38" s="257">
        <v>0.77637453169416948</v>
      </c>
      <c r="U38" s="257">
        <v>4.2340880130694397E-2</v>
      </c>
      <c r="V38" s="257">
        <v>0.4991647536714196</v>
      </c>
      <c r="W38" s="257">
        <v>7.0822811286387977E-3</v>
      </c>
      <c r="X38" s="257">
        <v>2.2055210081539128E-2</v>
      </c>
      <c r="Y38" s="257">
        <v>6.9829470908880545E-2</v>
      </c>
      <c r="Z38" s="257">
        <v>7.5632966357459086E-2</v>
      </c>
      <c r="AA38" s="257">
        <v>3.2673419508928124E-2</v>
      </c>
      <c r="AB38" s="257">
        <v>1.7518114143920602E-2</v>
      </c>
      <c r="AC38" s="257">
        <v>0.18000974970494973</v>
      </c>
      <c r="AD38" s="257" t="s">
        <v>93</v>
      </c>
      <c r="AE38" s="257" t="s">
        <v>93</v>
      </c>
      <c r="AF38" s="257" t="s">
        <v>93</v>
      </c>
      <c r="AG38" s="258" t="s">
        <v>93</v>
      </c>
      <c r="AH38" s="257" t="s">
        <v>93</v>
      </c>
      <c r="AI38" s="258"/>
      <c r="AJ38" s="258"/>
      <c r="AK38" s="257"/>
      <c r="AL38" s="257"/>
      <c r="AM38" s="257"/>
      <c r="AN38" s="258"/>
      <c r="AO38" s="68" t="s">
        <v>20</v>
      </c>
    </row>
    <row r="39" spans="1:41" ht="14.1" hidden="1" customHeight="1">
      <c r="A39" s="68" t="s">
        <v>21</v>
      </c>
      <c r="B39" s="257">
        <v>0.90615666666666661</v>
      </c>
      <c r="C39" s="257">
        <v>1.1099529144999998</v>
      </c>
      <c r="D39" s="257">
        <v>0.66516409483333327</v>
      </c>
      <c r="E39" s="257">
        <v>0.24671020308203268</v>
      </c>
      <c r="F39" s="257">
        <v>0.11305151711050013</v>
      </c>
      <c r="G39" s="257">
        <v>0.14874922229034154</v>
      </c>
      <c r="H39" s="257">
        <v>0.11681898245029944</v>
      </c>
      <c r="I39" s="257">
        <v>1.5984857714999992</v>
      </c>
      <c r="J39" s="257">
        <v>9.9174225398818306E-3</v>
      </c>
      <c r="K39" s="257">
        <v>0.11893005154619743</v>
      </c>
      <c r="L39" s="257">
        <v>0.70439703866825665</v>
      </c>
      <c r="M39" s="257">
        <v>0.19754794604698109</v>
      </c>
      <c r="N39" s="257">
        <v>0.79027153127683158</v>
      </c>
      <c r="O39" s="257">
        <v>3.1027340801027208</v>
      </c>
      <c r="P39" s="257">
        <v>0.14129378181947333</v>
      </c>
      <c r="Q39" s="257">
        <v>0.28308807179712786</v>
      </c>
      <c r="R39" s="257">
        <v>0.56555439238302485</v>
      </c>
      <c r="S39" s="257">
        <v>0.677240201015195</v>
      </c>
      <c r="T39" s="257">
        <v>0.7734360243342534</v>
      </c>
      <c r="U39" s="257">
        <v>4.2138829879401429E-2</v>
      </c>
      <c r="V39" s="257">
        <v>0.49804717835181489</v>
      </c>
      <c r="W39" s="257">
        <v>7.1566221626837437E-3</v>
      </c>
      <c r="X39" s="257">
        <v>2.2078756517498833E-2</v>
      </c>
      <c r="Y39" s="257">
        <v>6.9534090898501169E-2</v>
      </c>
      <c r="Z39" s="257">
        <v>7.4574336987274226E-2</v>
      </c>
      <c r="AA39" s="257">
        <v>3.2870650033704422E-2</v>
      </c>
      <c r="AB39" s="257">
        <v>1.7426089743589744E-2</v>
      </c>
      <c r="AC39" s="257">
        <v>0.17926965018259902</v>
      </c>
      <c r="AD39" s="257" t="s">
        <v>93</v>
      </c>
      <c r="AE39" s="257" t="s">
        <v>93</v>
      </c>
      <c r="AF39" s="257" t="s">
        <v>93</v>
      </c>
      <c r="AG39" s="258" t="s">
        <v>93</v>
      </c>
      <c r="AH39" s="257" t="s">
        <v>93</v>
      </c>
      <c r="AI39" s="258"/>
      <c r="AJ39" s="258"/>
      <c r="AK39" s="257"/>
      <c r="AL39" s="257"/>
      <c r="AM39" s="257"/>
      <c r="AN39" s="258"/>
      <c r="AO39" s="68" t="s">
        <v>21</v>
      </c>
    </row>
    <row r="40" spans="1:41" ht="14.1" hidden="1" customHeight="1">
      <c r="A40" s="68" t="s">
        <v>22</v>
      </c>
      <c r="B40" s="257">
        <v>0.90144838709677411</v>
      </c>
      <c r="C40" s="257">
        <v>1.1510523075806447</v>
      </c>
      <c r="D40" s="257">
        <v>0.68890106822580643</v>
      </c>
      <c r="E40" s="257">
        <v>0.24544718357357881</v>
      </c>
      <c r="F40" s="257">
        <v>0.11248158989550659</v>
      </c>
      <c r="G40" s="257">
        <v>0.15437154606072057</v>
      </c>
      <c r="H40" s="257">
        <v>0.11625510175780035</v>
      </c>
      <c r="I40" s="257">
        <v>1.6847485988709672</v>
      </c>
      <c r="J40" s="257">
        <v>9.8527512848930951E-3</v>
      </c>
      <c r="K40" s="257">
        <v>0.12334372310030162</v>
      </c>
      <c r="L40" s="257">
        <v>0.73960010899292072</v>
      </c>
      <c r="M40" s="257">
        <v>0.20145864495153304</v>
      </c>
      <c r="N40" s="257">
        <v>0.81184186993046947</v>
      </c>
      <c r="O40" s="257">
        <v>3.1063718595549239</v>
      </c>
      <c r="P40" s="257">
        <v>0.14774757791657206</v>
      </c>
      <c r="Q40" s="257">
        <v>0.29560649026213204</v>
      </c>
      <c r="R40" s="257">
        <v>0.57180149787538526</v>
      </c>
      <c r="S40" s="257">
        <v>0.63341827079002555</v>
      </c>
      <c r="T40" s="257">
        <v>0.80644009776763703</v>
      </c>
      <c r="U40" s="257">
        <v>4.1977758120945237E-2</v>
      </c>
      <c r="V40" s="257">
        <v>0.49965287839872347</v>
      </c>
      <c r="W40" s="257">
        <v>7.360175461575651E-3</v>
      </c>
      <c r="X40" s="257">
        <v>2.215870018677674E-2</v>
      </c>
      <c r="Y40" s="257">
        <v>6.8856750416920243E-2</v>
      </c>
      <c r="Z40" s="257">
        <v>7.3866796004519286E-2</v>
      </c>
      <c r="AA40" s="257">
        <v>3.3321917130559126E-2</v>
      </c>
      <c r="AB40" s="257">
        <v>1.7335545905707194E-2</v>
      </c>
      <c r="AC40" s="257">
        <v>0.1795163267691271</v>
      </c>
      <c r="AD40" s="257" t="s">
        <v>93</v>
      </c>
      <c r="AE40" s="257" t="s">
        <v>93</v>
      </c>
      <c r="AF40" s="257" t="s">
        <v>93</v>
      </c>
      <c r="AG40" s="258" t="s">
        <v>93</v>
      </c>
      <c r="AH40" s="257" t="s">
        <v>93</v>
      </c>
      <c r="AI40" s="258"/>
      <c r="AJ40" s="258"/>
      <c r="AK40" s="257"/>
      <c r="AL40" s="257"/>
      <c r="AM40" s="257"/>
      <c r="AN40" s="258"/>
      <c r="AO40" s="68" t="s">
        <v>22</v>
      </c>
    </row>
    <row r="41" spans="1:41" ht="14.1" hidden="1" customHeight="1">
      <c r="A41" s="68" t="s">
        <v>23</v>
      </c>
      <c r="B41" s="257">
        <v>0.89694000000000029</v>
      </c>
      <c r="C41" s="257">
        <v>1.1361212593333334</v>
      </c>
      <c r="D41" s="257">
        <v>0.66462530666666675</v>
      </c>
      <c r="E41" s="257">
        <v>0.24427977304713219</v>
      </c>
      <c r="F41" s="257">
        <v>0.1118991556315224</v>
      </c>
      <c r="G41" s="257">
        <v>0.15236413738001817</v>
      </c>
      <c r="H41" s="257">
        <v>0.11553792950093959</v>
      </c>
      <c r="I41" s="257">
        <v>1.6551988024999995</v>
      </c>
      <c r="J41" s="257">
        <v>9.7895207447819196E-3</v>
      </c>
      <c r="K41" s="257">
        <v>0.12295131079303016</v>
      </c>
      <c r="L41" s="257">
        <v>0.72825527263698164</v>
      </c>
      <c r="M41" s="257">
        <v>0.20032904609237806</v>
      </c>
      <c r="N41" s="257">
        <v>0.80572118968690576</v>
      </c>
      <c r="O41" s="257">
        <v>3.1018277846646019</v>
      </c>
      <c r="P41" s="257">
        <v>0.14465900826813041</v>
      </c>
      <c r="Q41" s="257">
        <v>0.28278905767462575</v>
      </c>
      <c r="R41" s="257">
        <v>0.56413692350619493</v>
      </c>
      <c r="S41" s="257">
        <v>0.56136788515535396</v>
      </c>
      <c r="T41" s="257">
        <v>0.78352466096743889</v>
      </c>
      <c r="U41" s="257">
        <v>4.1834717720401732E-2</v>
      </c>
      <c r="V41" s="257">
        <v>0.50349190328559368</v>
      </c>
      <c r="W41" s="257">
        <v>7.4898895338378615E-3</v>
      </c>
      <c r="X41" s="257">
        <v>2.2235088077074208E-2</v>
      </c>
      <c r="Y41" s="257">
        <v>6.7163456102709754E-2</v>
      </c>
      <c r="Z41" s="257">
        <v>7.3346389510408533E-2</v>
      </c>
      <c r="AA41" s="257">
        <v>3.3209311618763067E-2</v>
      </c>
      <c r="AB41" s="257">
        <v>1.7248846153846149E-2</v>
      </c>
      <c r="AC41" s="257">
        <v>0.17906370264824528</v>
      </c>
      <c r="AD41" s="257" t="s">
        <v>93</v>
      </c>
      <c r="AE41" s="257" t="s">
        <v>93</v>
      </c>
      <c r="AF41" s="257" t="s">
        <v>93</v>
      </c>
      <c r="AG41" s="258" t="s">
        <v>93</v>
      </c>
      <c r="AH41" s="257" t="s">
        <v>93</v>
      </c>
      <c r="AI41" s="258"/>
      <c r="AJ41" s="258"/>
      <c r="AK41" s="257"/>
      <c r="AL41" s="257"/>
      <c r="AM41" s="257"/>
      <c r="AN41" s="258"/>
      <c r="AO41" s="68" t="s">
        <v>23</v>
      </c>
    </row>
    <row r="42" spans="1:41" ht="14.1" hidden="1" customHeight="1">
      <c r="A42" s="68" t="s">
        <v>24</v>
      </c>
      <c r="B42" s="257">
        <v>0.89148387096774206</v>
      </c>
      <c r="C42" s="257">
        <v>1.1316033356451611</v>
      </c>
      <c r="D42" s="257">
        <v>0.66933055532258035</v>
      </c>
      <c r="E42" s="257">
        <v>0.24272429490065778</v>
      </c>
      <c r="F42" s="257">
        <v>0.11157125667799804</v>
      </c>
      <c r="G42" s="257">
        <v>0.15168577592520235</v>
      </c>
      <c r="H42" s="257">
        <v>0.1146868608718358</v>
      </c>
      <c r="I42" s="257">
        <v>1.6436815098387092</v>
      </c>
      <c r="J42" s="257">
        <v>9.726758141230963E-3</v>
      </c>
      <c r="K42" s="257">
        <v>0.12285542215913371</v>
      </c>
      <c r="L42" s="257">
        <v>0.7215391559062434</v>
      </c>
      <c r="M42" s="257">
        <v>0.20058391653760435</v>
      </c>
      <c r="N42" s="257">
        <v>0.79119419944164682</v>
      </c>
      <c r="O42" s="257">
        <v>3.0825983897677278</v>
      </c>
      <c r="P42" s="257">
        <v>0.14256451983454993</v>
      </c>
      <c r="Q42" s="257">
        <v>0.28285549104007585</v>
      </c>
      <c r="R42" s="257">
        <v>0.5629599332550449</v>
      </c>
      <c r="S42" s="257">
        <v>0.57353318229886785</v>
      </c>
      <c r="T42" s="257">
        <v>0.77077076949931278</v>
      </c>
      <c r="U42" s="257">
        <v>4.1595093654627366E-2</v>
      </c>
      <c r="V42" s="257">
        <v>0.50455144205806068</v>
      </c>
      <c r="W42" s="257">
        <v>7.5497239051689168E-3</v>
      </c>
      <c r="X42" s="257">
        <v>2.2321918709322177E-2</v>
      </c>
      <c r="Y42" s="257">
        <v>6.6833109720257716E-2</v>
      </c>
      <c r="Z42" s="257">
        <v>7.2730814769671873E-2</v>
      </c>
      <c r="AA42" s="257">
        <v>3.3126231490972137E-2</v>
      </c>
      <c r="AB42" s="257">
        <v>1.7143920595533498E-2</v>
      </c>
      <c r="AC42" s="257">
        <v>0.17739844458846044</v>
      </c>
      <c r="AD42" s="257" t="s">
        <v>93</v>
      </c>
      <c r="AE42" s="257" t="s">
        <v>93</v>
      </c>
      <c r="AF42" s="257" t="s">
        <v>93</v>
      </c>
      <c r="AG42" s="258" t="s">
        <v>93</v>
      </c>
      <c r="AH42" s="257" t="s">
        <v>93</v>
      </c>
      <c r="AI42" s="258"/>
      <c r="AJ42" s="258"/>
      <c r="AK42" s="257"/>
      <c r="AL42" s="257"/>
      <c r="AM42" s="257"/>
      <c r="AN42" s="258"/>
      <c r="AO42" s="68" t="s">
        <v>24</v>
      </c>
    </row>
    <row r="43" spans="1:41" ht="13.5" hidden="1" customHeight="1">
      <c r="A43" s="68" t="s">
        <v>25</v>
      </c>
      <c r="B43" s="257">
        <v>0.88149999999999995</v>
      </c>
      <c r="C43" s="257">
        <v>1.1308322749999997</v>
      </c>
      <c r="D43" s="257">
        <v>0.67192337499999999</v>
      </c>
      <c r="E43" s="257">
        <v>0.23999782191426508</v>
      </c>
      <c r="F43" s="257">
        <v>0.11078992019103878</v>
      </c>
      <c r="G43" s="257">
        <v>0.15160374924757072</v>
      </c>
      <c r="H43" s="257">
        <v>0.11334413413567863</v>
      </c>
      <c r="I43" s="257">
        <v>1.6791693499999998</v>
      </c>
      <c r="J43" s="257">
        <v>9.592991620415714E-3</v>
      </c>
      <c r="K43" s="257">
        <v>0.12232437120555073</v>
      </c>
      <c r="L43" s="257">
        <v>0.71757092270747691</v>
      </c>
      <c r="M43" s="257">
        <v>0.20150874385644077</v>
      </c>
      <c r="N43" s="257">
        <v>0.79493191450987466</v>
      </c>
      <c r="O43" s="257">
        <v>3.0483798457654663</v>
      </c>
      <c r="P43" s="257">
        <v>0.13950102469555861</v>
      </c>
      <c r="Q43" s="257">
        <v>0.28745190112828534</v>
      </c>
      <c r="R43" s="257">
        <v>0.56048323001112699</v>
      </c>
      <c r="S43" s="257">
        <v>0.60248786822500178</v>
      </c>
      <c r="T43" s="257">
        <v>0.75097972397341961</v>
      </c>
      <c r="U43" s="257">
        <v>4.1157931597992296E-2</v>
      </c>
      <c r="V43" s="257">
        <v>0.50685679786102411</v>
      </c>
      <c r="W43" s="257">
        <v>7.0424223056642955E-3</v>
      </c>
      <c r="X43" s="257">
        <v>2.2392988695541727E-2</v>
      </c>
      <c r="Y43" s="257">
        <v>6.625328823750469E-2</v>
      </c>
      <c r="Z43" s="257">
        <v>7.1754755838468368E-2</v>
      </c>
      <c r="AA43" s="257">
        <v>3.2963129160122652E-2</v>
      </c>
      <c r="AB43" s="257">
        <v>1.6951923076923076E-2</v>
      </c>
      <c r="AC43" s="257">
        <v>0.17556263692491536</v>
      </c>
      <c r="AD43" s="257" t="s">
        <v>93</v>
      </c>
      <c r="AE43" s="257" t="s">
        <v>93</v>
      </c>
      <c r="AF43" s="257" t="s">
        <v>93</v>
      </c>
      <c r="AG43" s="258" t="s">
        <v>93</v>
      </c>
      <c r="AH43" s="257" t="s">
        <v>93</v>
      </c>
      <c r="AI43" s="258"/>
      <c r="AJ43" s="258"/>
      <c r="AK43" s="257"/>
      <c r="AL43" s="257"/>
      <c r="AM43" s="257"/>
      <c r="AN43" s="258"/>
      <c r="AO43" s="68" t="s">
        <v>25</v>
      </c>
    </row>
    <row r="44" spans="1:41" ht="14.1" hidden="1" customHeight="1">
      <c r="A44" s="68" t="s">
        <v>26</v>
      </c>
      <c r="B44" s="257">
        <v>0.876</v>
      </c>
      <c r="C44" s="257">
        <v>1.1130017999999999</v>
      </c>
      <c r="D44" s="257">
        <v>0.65476619999999996</v>
      </c>
      <c r="E44" s="257">
        <v>0.23850038797152151</v>
      </c>
      <c r="F44" s="257">
        <v>0.11079491557579206</v>
      </c>
      <c r="G44" s="257">
        <v>0.14922067966953412</v>
      </c>
      <c r="H44" s="257">
        <v>0.11244031421676851</v>
      </c>
      <c r="I44" s="257">
        <v>1.6445585999999999</v>
      </c>
      <c r="J44" s="257">
        <v>9.5062398263700484E-3</v>
      </c>
      <c r="K44" s="257">
        <v>0.12033793529775398</v>
      </c>
      <c r="L44" s="257">
        <v>0.70285232880009629</v>
      </c>
      <c r="M44" s="257">
        <v>0.20364988957340463</v>
      </c>
      <c r="N44" s="257">
        <v>0.78776978417266186</v>
      </c>
      <c r="O44" s="257">
        <v>3.0290980134511312</v>
      </c>
      <c r="P44" s="257">
        <v>0.13560371517027864</v>
      </c>
      <c r="Q44" s="257">
        <v>0.27923433689814003</v>
      </c>
      <c r="R44" s="257">
        <v>0.55215884021430817</v>
      </c>
      <c r="S44" s="257">
        <v>0.58178920103606302</v>
      </c>
      <c r="T44" s="257">
        <v>0.74360171469801783</v>
      </c>
      <c r="U44" s="257">
        <v>4.0905907074480503E-2</v>
      </c>
      <c r="V44" s="257">
        <v>0.50460829493087567</v>
      </c>
      <c r="W44" s="257">
        <v>6.8889587920729798E-3</v>
      </c>
      <c r="X44" s="257">
        <v>2.2318471337579616E-2</v>
      </c>
      <c r="Y44" s="257">
        <v>6.6138165345413363E-2</v>
      </c>
      <c r="Z44" s="257">
        <v>7.1265284206929652E-2</v>
      </c>
      <c r="AA44" s="257">
        <v>3.2726620640186499E-2</v>
      </c>
      <c r="AB44" s="257">
        <v>1.6846153846153844E-2</v>
      </c>
      <c r="AC44" s="257">
        <v>0.17412045319022063</v>
      </c>
      <c r="AD44" s="257" t="s">
        <v>93</v>
      </c>
      <c r="AE44" s="257" t="s">
        <v>93</v>
      </c>
      <c r="AF44" s="257" t="s">
        <v>93</v>
      </c>
      <c r="AG44" s="258" t="s">
        <v>93</v>
      </c>
      <c r="AH44" s="257" t="s">
        <v>93</v>
      </c>
      <c r="AI44" s="258"/>
      <c r="AJ44" s="258"/>
      <c r="AK44" s="257"/>
      <c r="AL44" s="257"/>
      <c r="AM44" s="257"/>
      <c r="AN44" s="258"/>
      <c r="AO44" s="68" t="s">
        <v>26</v>
      </c>
    </row>
    <row r="45" spans="1:41" ht="14.1" hidden="1" customHeight="1">
      <c r="A45" s="68" t="s">
        <v>27</v>
      </c>
      <c r="B45" s="257">
        <v>0.87329999999999997</v>
      </c>
      <c r="C45" s="257">
        <v>1.1103572849999999</v>
      </c>
      <c r="D45" s="257">
        <v>0.67165503000000004</v>
      </c>
      <c r="E45" s="257">
        <v>0.23776528403599287</v>
      </c>
      <c r="F45" s="257">
        <v>0.11084597321825219</v>
      </c>
      <c r="G45" s="257">
        <v>0.14897391719690894</v>
      </c>
      <c r="H45" s="257">
        <v>0.11230421028265733</v>
      </c>
      <c r="I45" s="257">
        <v>1.6588333500000001</v>
      </c>
      <c r="J45" s="257">
        <v>9.4707732350070503E-3</v>
      </c>
      <c r="K45" s="257">
        <v>0.1204252737251441</v>
      </c>
      <c r="L45" s="257">
        <v>0.69886363636363646</v>
      </c>
      <c r="M45" s="257">
        <v>0.20362813906311936</v>
      </c>
      <c r="N45" s="257">
        <v>0.77623216745922408</v>
      </c>
      <c r="O45" s="257">
        <v>3.0197617524507683</v>
      </c>
      <c r="P45" s="257">
        <v>0.13292642089561327</v>
      </c>
      <c r="Q45" s="257">
        <v>0.28554612781401739</v>
      </c>
      <c r="R45" s="257">
        <v>0.55912670465458736</v>
      </c>
      <c r="S45" s="257">
        <v>0.59835560123329912</v>
      </c>
      <c r="T45" s="257">
        <v>0.74323404255319148</v>
      </c>
      <c r="U45" s="257">
        <v>4.0770308123249298E-2</v>
      </c>
      <c r="V45" s="257">
        <v>0.50247410817031068</v>
      </c>
      <c r="W45" s="257">
        <v>6.8309280769682035E-3</v>
      </c>
      <c r="X45" s="257">
        <v>2.2344410443254973E-2</v>
      </c>
      <c r="Y45" s="257">
        <v>6.620924943138741E-2</v>
      </c>
      <c r="Z45" s="257">
        <v>7.0881863560732103E-2</v>
      </c>
      <c r="AA45" s="257">
        <v>3.2632943840545867E-2</v>
      </c>
      <c r="AB45" s="257">
        <v>1.679423076923077E-2</v>
      </c>
      <c r="AC45" s="257">
        <v>0.1744855144855145</v>
      </c>
      <c r="AD45" s="257" t="s">
        <v>93</v>
      </c>
      <c r="AE45" s="257" t="s">
        <v>93</v>
      </c>
      <c r="AF45" s="257" t="s">
        <v>93</v>
      </c>
      <c r="AG45" s="258" t="s">
        <v>93</v>
      </c>
      <c r="AH45" s="257" t="s">
        <v>93</v>
      </c>
      <c r="AI45" s="258"/>
      <c r="AJ45" s="258"/>
      <c r="AK45" s="257"/>
      <c r="AL45" s="257"/>
      <c r="AM45" s="257"/>
      <c r="AN45" s="258"/>
      <c r="AO45" s="68" t="s">
        <v>27</v>
      </c>
    </row>
    <row r="46" spans="1:41" ht="14.1" hidden="1" customHeight="1">
      <c r="A46" s="68" t="s">
        <v>28</v>
      </c>
      <c r="B46" s="257">
        <v>0.87239999999999995</v>
      </c>
      <c r="C46" s="257">
        <v>1.14868908</v>
      </c>
      <c r="D46" s="257">
        <v>0.68461589999999994</v>
      </c>
      <c r="E46" s="257">
        <v>0.23760434681954981</v>
      </c>
      <c r="F46" s="257">
        <v>0.11124216593240546</v>
      </c>
      <c r="G46" s="257">
        <v>0.15410160390023317</v>
      </c>
      <c r="H46" s="257">
        <v>0.11219929393154093</v>
      </c>
      <c r="I46" s="257">
        <v>1.69952244</v>
      </c>
      <c r="J46" s="257">
        <v>9.452811788926211E-3</v>
      </c>
      <c r="K46" s="257">
        <v>0.12656134395264831</v>
      </c>
      <c r="L46" s="257">
        <v>0.7217970462913168</v>
      </c>
      <c r="M46" s="257">
        <v>0.20474067120394276</v>
      </c>
      <c r="N46" s="257">
        <v>0.76657440358507978</v>
      </c>
      <c r="O46" s="257">
        <v>3.017171315429974</v>
      </c>
      <c r="P46" s="257">
        <v>0.13994898695798641</v>
      </c>
      <c r="Q46" s="257">
        <v>0.30076535889126388</v>
      </c>
      <c r="R46" s="257">
        <v>0.5650808044823008</v>
      </c>
      <c r="S46" s="257">
        <v>0.59529170931422726</v>
      </c>
      <c r="T46" s="257">
        <v>0.75061303506130361</v>
      </c>
      <c r="U46" s="257">
        <v>4.0756832515767345E-2</v>
      </c>
      <c r="V46" s="257">
        <v>0.50461289296353073</v>
      </c>
      <c r="W46" s="257">
        <v>6.8174891571914191E-3</v>
      </c>
      <c r="X46" s="257">
        <v>2.2481638964051025E-2</v>
      </c>
      <c r="Y46" s="257">
        <v>6.6216318785578751E-2</v>
      </c>
      <c r="Z46" s="257">
        <v>7.0617375889395248E-2</v>
      </c>
      <c r="AA46" s="257">
        <v>3.3128652639013885E-2</v>
      </c>
      <c r="AB46" s="257">
        <v>1.6776923076923078E-2</v>
      </c>
      <c r="AC46" s="257">
        <v>0.17258160237388726</v>
      </c>
      <c r="AD46" s="257" t="s">
        <v>93</v>
      </c>
      <c r="AE46" s="257" t="s">
        <v>93</v>
      </c>
      <c r="AF46" s="257" t="s">
        <v>93</v>
      </c>
      <c r="AG46" s="258" t="s">
        <v>93</v>
      </c>
      <c r="AH46" s="257" t="s">
        <v>93</v>
      </c>
      <c r="AI46" s="258"/>
      <c r="AJ46" s="258"/>
      <c r="AK46" s="257"/>
      <c r="AL46" s="257"/>
      <c r="AM46" s="257"/>
      <c r="AN46" s="258"/>
      <c r="AO46" s="68" t="s">
        <v>28</v>
      </c>
    </row>
    <row r="47" spans="1:41" ht="14.1" hidden="1" customHeight="1">
      <c r="A47" s="68" t="s">
        <v>29</v>
      </c>
      <c r="B47" s="257">
        <v>0.87139999999999995</v>
      </c>
      <c r="C47" s="257">
        <v>1.1470673899999999</v>
      </c>
      <c r="D47" s="257">
        <v>0.6894516799999999</v>
      </c>
      <c r="E47" s="257">
        <v>0.23726090803893543</v>
      </c>
      <c r="F47" s="257">
        <v>0.11159276452697295</v>
      </c>
      <c r="G47" s="257">
        <v>0.15380406484692843</v>
      </c>
      <c r="H47" s="257">
        <v>0.11210456574597005</v>
      </c>
      <c r="I47" s="257">
        <v>1.7112988900000001</v>
      </c>
      <c r="J47" s="257">
        <v>9.4409534127843989E-3</v>
      </c>
      <c r="K47" s="257">
        <v>0.12689120906324175</v>
      </c>
      <c r="L47" s="257">
        <v>0.71370653998935263</v>
      </c>
      <c r="M47" s="257">
        <v>0.20713097218920848</v>
      </c>
      <c r="N47" s="257">
        <v>0.75098030766579027</v>
      </c>
      <c r="O47" s="257">
        <v>3.0137649581517603</v>
      </c>
      <c r="P47" s="257">
        <v>0.13896486010222228</v>
      </c>
      <c r="Q47" s="257">
        <v>0.29986235375086023</v>
      </c>
      <c r="R47" s="257">
        <v>0.56824258232800773</v>
      </c>
      <c r="S47" s="257">
        <v>0.61604807352421354</v>
      </c>
      <c r="T47" s="257">
        <v>0.73260750767161298</v>
      </c>
      <c r="U47" s="257">
        <v>4.0681605975723616E-2</v>
      </c>
      <c r="V47" s="257">
        <v>0.5077940619445821</v>
      </c>
      <c r="W47" s="257">
        <v>6.8657421998109041E-3</v>
      </c>
      <c r="X47" s="257">
        <v>2.2976928147659857E-2</v>
      </c>
      <c r="Y47" s="257">
        <v>6.7484995159728944E-2</v>
      </c>
      <c r="Z47" s="257">
        <v>7.0274193548387098E-2</v>
      </c>
      <c r="AA47" s="257">
        <v>3.3065942155471401E-2</v>
      </c>
      <c r="AB47" s="257">
        <v>1.6757692307692307E-2</v>
      </c>
      <c r="AC47" s="257">
        <v>0.17286252727633405</v>
      </c>
      <c r="AD47" s="257" t="s">
        <v>93</v>
      </c>
      <c r="AE47" s="257" t="s">
        <v>93</v>
      </c>
      <c r="AF47" s="257" t="s">
        <v>93</v>
      </c>
      <c r="AG47" s="258" t="s">
        <v>93</v>
      </c>
      <c r="AH47" s="257" t="s">
        <v>93</v>
      </c>
      <c r="AI47" s="258"/>
      <c r="AJ47" s="258"/>
      <c r="AK47" s="257"/>
      <c r="AL47" s="257"/>
      <c r="AM47" s="257"/>
      <c r="AN47" s="258"/>
      <c r="AO47" s="68" t="s">
        <v>29</v>
      </c>
    </row>
    <row r="48" spans="1:41" ht="14.1" hidden="1" customHeight="1">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259"/>
      <c r="AH48" s="69"/>
      <c r="AI48" s="259"/>
      <c r="AJ48" s="259"/>
      <c r="AK48" s="69"/>
      <c r="AL48" s="69"/>
      <c r="AM48" s="69"/>
      <c r="AN48" s="259"/>
      <c r="AO48" s="69"/>
    </row>
    <row r="49" spans="1:41" s="238" customFormat="1" ht="14.1" hidden="1" customHeight="1">
      <c r="A49" s="68" t="s">
        <v>121</v>
      </c>
      <c r="B49" s="257">
        <v>0.85793871863799287</v>
      </c>
      <c r="C49" s="257">
        <v>1.1768602836948927</v>
      </c>
      <c r="D49" s="257">
        <v>0.71978744611290335</v>
      </c>
      <c r="E49" s="257">
        <v>0.23362453544030604</v>
      </c>
      <c r="F49" s="257">
        <v>0.11284113428252307</v>
      </c>
      <c r="G49" s="257">
        <v>0.15794873822615443</v>
      </c>
      <c r="H49" s="257">
        <v>0.10995394865558678</v>
      </c>
      <c r="I49" s="257">
        <v>1.7190623876017026</v>
      </c>
      <c r="J49" s="257">
        <v>9.2492303141000192E-3</v>
      </c>
      <c r="K49" s="257">
        <v>0.1271735886623177</v>
      </c>
      <c r="L49" s="257">
        <v>0.71610452761730981</v>
      </c>
      <c r="M49" s="257">
        <v>0.20892145378240365</v>
      </c>
      <c r="N49" s="257">
        <v>0.80190183108638802</v>
      </c>
      <c r="O49" s="257">
        <v>3.0178615016327437</v>
      </c>
      <c r="P49" s="257">
        <v>0.1471309703533098</v>
      </c>
      <c r="Q49" s="257">
        <v>0.31088377891665925</v>
      </c>
      <c r="R49" s="257">
        <v>0.56980529872067942</v>
      </c>
      <c r="S49" s="257">
        <v>0.6586098197037461</v>
      </c>
      <c r="T49" s="257">
        <v>0.72941070909585382</v>
      </c>
      <c r="U49" s="257">
        <v>3.9951063382684303E-2</v>
      </c>
      <c r="V49" s="257">
        <v>0.51415282189180067</v>
      </c>
      <c r="W49" s="257">
        <v>7.0038344375970953E-3</v>
      </c>
      <c r="X49" s="257">
        <v>2.3072629884065134E-2</v>
      </c>
      <c r="Y49" s="257">
        <v>7.1050566369667126E-2</v>
      </c>
      <c r="Z49" s="257">
        <v>6.789934389787157E-2</v>
      </c>
      <c r="AA49" s="257">
        <v>3.3583862924023593E-2</v>
      </c>
      <c r="AB49" s="257">
        <v>1.649856906534326E-2</v>
      </c>
      <c r="AC49" s="257">
        <v>0.17054577734444468</v>
      </c>
      <c r="AD49" s="257" t="s">
        <v>93</v>
      </c>
      <c r="AE49" s="257" t="s">
        <v>93</v>
      </c>
      <c r="AF49" s="257" t="s">
        <v>93</v>
      </c>
      <c r="AG49" s="257" t="s">
        <v>93</v>
      </c>
      <c r="AH49" s="257" t="s">
        <v>93</v>
      </c>
      <c r="AI49" s="257"/>
      <c r="AJ49" s="257"/>
      <c r="AK49" s="257"/>
      <c r="AL49" s="257"/>
      <c r="AM49" s="257"/>
      <c r="AN49" s="257"/>
      <c r="AO49" s="68" t="s">
        <v>121</v>
      </c>
    </row>
    <row r="50" spans="1:41" ht="14.1" hidden="1" customHeight="1">
      <c r="A50" s="68" t="s">
        <v>18</v>
      </c>
      <c r="B50" s="257">
        <v>0.87070000000000003</v>
      </c>
      <c r="C50" s="257">
        <v>1.1284707350000001</v>
      </c>
      <c r="D50" s="257">
        <v>0.67204979500000006</v>
      </c>
      <c r="E50" s="257">
        <v>0.23707031515894086</v>
      </c>
      <c r="F50" s="257">
        <v>0.11198713826366559</v>
      </c>
      <c r="G50" s="257">
        <v>0.15137343532684286</v>
      </c>
      <c r="H50" s="257">
        <v>0.11153097299789928</v>
      </c>
      <c r="I50" s="257">
        <v>1.7091840999999999</v>
      </c>
      <c r="J50" s="257">
        <v>9.4333694474539563E-3</v>
      </c>
      <c r="K50" s="257">
        <v>0.12476893315182346</v>
      </c>
      <c r="L50" s="257">
        <v>0.69519741307038208</v>
      </c>
      <c r="M50" s="257">
        <v>0.2040065604498594</v>
      </c>
      <c r="N50" s="257">
        <v>0.73766255771593159</v>
      </c>
      <c r="O50" s="257">
        <v>3.0107192254495159</v>
      </c>
      <c r="P50" s="257">
        <v>0.13865312037199229</v>
      </c>
      <c r="Q50" s="257">
        <v>0.28732180570221749</v>
      </c>
      <c r="R50" s="257">
        <v>0.56649316851008458</v>
      </c>
      <c r="S50" s="257">
        <v>0.61226355389916332</v>
      </c>
      <c r="T50" s="257">
        <v>0.71630126280284645</v>
      </c>
      <c r="U50" s="257">
        <v>4.0620480522509911E-2</v>
      </c>
      <c r="V50" s="257">
        <v>0.50698730639338541</v>
      </c>
      <c r="W50" s="257">
        <v>6.8947222552163765E-3</v>
      </c>
      <c r="X50" s="257">
        <v>2.2542394822006474E-2</v>
      </c>
      <c r="Y50" s="257">
        <v>6.7287480680061823E-2</v>
      </c>
      <c r="Z50" s="257">
        <v>7.0075894761410379E-2</v>
      </c>
      <c r="AA50" s="257">
        <v>3.2804920549700002E-2</v>
      </c>
      <c r="AB50" s="257">
        <v>1.6744230769230772E-2</v>
      </c>
      <c r="AC50" s="257">
        <v>0.17258671952428148</v>
      </c>
      <c r="AD50" s="257" t="s">
        <v>93</v>
      </c>
      <c r="AE50" s="257" t="s">
        <v>93</v>
      </c>
      <c r="AF50" s="257" t="s">
        <v>93</v>
      </c>
      <c r="AG50" s="257" t="s">
        <v>93</v>
      </c>
      <c r="AH50" s="257" t="s">
        <v>93</v>
      </c>
      <c r="AI50" s="257"/>
      <c r="AJ50" s="257"/>
      <c r="AK50" s="257"/>
      <c r="AL50" s="257"/>
      <c r="AM50" s="257"/>
      <c r="AN50" s="257"/>
      <c r="AO50" s="68" t="s">
        <v>18</v>
      </c>
    </row>
    <row r="51" spans="1:41" ht="14.1" hidden="1" customHeight="1">
      <c r="A51" s="68" t="s">
        <v>19</v>
      </c>
      <c r="B51" s="257">
        <v>0.86880000000000002</v>
      </c>
      <c r="C51" s="257">
        <v>1.1485970400000001</v>
      </c>
      <c r="D51" s="257">
        <v>0.68444063999999993</v>
      </c>
      <c r="E51" s="257">
        <v>0.23657553643393969</v>
      </c>
      <c r="F51" s="257">
        <v>0.11225531365075263</v>
      </c>
      <c r="G51" s="257">
        <v>0.15410539759121628</v>
      </c>
      <c r="H51" s="257">
        <v>0.11121778870156304</v>
      </c>
      <c r="I51" s="257">
        <v>1.7056716000000001</v>
      </c>
      <c r="J51" s="257">
        <v>9.4005626487773213E-3</v>
      </c>
      <c r="K51" s="257">
        <v>0.12419678786622541</v>
      </c>
      <c r="L51" s="257">
        <v>0.71277381245385196</v>
      </c>
      <c r="M51" s="257">
        <v>0.2062188464277237</v>
      </c>
      <c r="N51" s="257">
        <v>0.74447300771208225</v>
      </c>
      <c r="O51" s="257">
        <v>3.00435714779722</v>
      </c>
      <c r="P51" s="257">
        <v>0.14176851655434625</v>
      </c>
      <c r="Q51" s="257">
        <v>0.29186683239829347</v>
      </c>
      <c r="R51" s="257">
        <v>0.56747224036577404</v>
      </c>
      <c r="S51" s="257">
        <v>0.61075571177504395</v>
      </c>
      <c r="T51" s="257">
        <v>0.73316455696202532</v>
      </c>
      <c r="U51" s="257">
        <v>4.0503496503496508E-2</v>
      </c>
      <c r="V51" s="257">
        <v>0.5074173577853055</v>
      </c>
      <c r="W51" s="257">
        <v>6.9915100792660844E-3</v>
      </c>
      <c r="X51" s="257">
        <v>2.2660406885758998E-2</v>
      </c>
      <c r="Y51" s="257">
        <v>6.7716289945440378E-2</v>
      </c>
      <c r="Z51" s="257">
        <v>6.9847088900680157E-2</v>
      </c>
      <c r="AA51" s="257">
        <v>3.324659421399051E-2</v>
      </c>
      <c r="AB51" s="257">
        <v>1.6707692307692309E-2</v>
      </c>
      <c r="AC51" s="257">
        <v>0.17203960396039605</v>
      </c>
      <c r="AD51" s="257" t="s">
        <v>93</v>
      </c>
      <c r="AE51" s="257" t="s">
        <v>93</v>
      </c>
      <c r="AF51" s="257" t="s">
        <v>93</v>
      </c>
      <c r="AG51" s="257" t="s">
        <v>93</v>
      </c>
      <c r="AH51" s="257" t="s">
        <v>93</v>
      </c>
      <c r="AI51" s="257"/>
      <c r="AJ51" s="257"/>
      <c r="AK51" s="257"/>
      <c r="AL51" s="257"/>
      <c r="AM51" s="257"/>
      <c r="AN51" s="257"/>
      <c r="AO51" s="68" t="s">
        <v>19</v>
      </c>
    </row>
    <row r="52" spans="1:41" ht="14.1" hidden="1" customHeight="1">
      <c r="A52" s="68" t="s">
        <v>20</v>
      </c>
      <c r="B52" s="257">
        <v>0.86719999999999997</v>
      </c>
      <c r="C52" s="257">
        <v>1.1569748800000001</v>
      </c>
      <c r="D52" s="257">
        <v>0.70026400000000011</v>
      </c>
      <c r="E52" s="257">
        <v>0.23616879314805486</v>
      </c>
      <c r="F52" s="257">
        <v>0.11217903111053618</v>
      </c>
      <c r="G52" s="257">
        <v>0.15529807847280669</v>
      </c>
      <c r="H52" s="257">
        <v>0.11098597317497697</v>
      </c>
      <c r="I52" s="257">
        <v>1.7034843200000001</v>
      </c>
      <c r="J52" s="257">
        <v>9.3802055164954011E-3</v>
      </c>
      <c r="K52" s="257">
        <v>0.12421221496505098</v>
      </c>
      <c r="L52" s="257">
        <v>0.71318721986923805</v>
      </c>
      <c r="M52" s="257">
        <v>0.20821128451380552</v>
      </c>
      <c r="N52" s="257">
        <v>0.74910378784606757</v>
      </c>
      <c r="O52" s="257">
        <v>2.9960269476593533</v>
      </c>
      <c r="P52" s="257">
        <v>0.14255303410127643</v>
      </c>
      <c r="Q52" s="257">
        <v>0.29897778007619247</v>
      </c>
      <c r="R52" s="257">
        <v>0.57157922488795154</v>
      </c>
      <c r="S52" s="257">
        <v>0.62458136771219708</v>
      </c>
      <c r="T52" s="257">
        <v>0.73625673897355348</v>
      </c>
      <c r="U52" s="257">
        <v>4.0438330613196551E-2</v>
      </c>
      <c r="V52" s="257">
        <v>0.51101944608131999</v>
      </c>
      <c r="W52" s="257">
        <v>7.0099426077115832E-3</v>
      </c>
      <c r="X52" s="257">
        <v>2.2785076195480817E-2</v>
      </c>
      <c r="Y52" s="257">
        <v>6.9375999999999993E-2</v>
      </c>
      <c r="Z52" s="257">
        <v>6.9372115161550951E-2</v>
      </c>
      <c r="AA52" s="257">
        <v>3.3352563362947583E-2</v>
      </c>
      <c r="AB52" s="257">
        <v>1.6676923076923075E-2</v>
      </c>
      <c r="AC52" s="257">
        <v>0.17257711442786067</v>
      </c>
      <c r="AD52" s="257" t="s">
        <v>93</v>
      </c>
      <c r="AE52" s="257" t="s">
        <v>93</v>
      </c>
      <c r="AF52" s="257" t="s">
        <v>93</v>
      </c>
      <c r="AG52" s="257" t="s">
        <v>93</v>
      </c>
      <c r="AH52" s="257" t="s">
        <v>93</v>
      </c>
      <c r="AI52" s="257"/>
      <c r="AJ52" s="257"/>
      <c r="AK52" s="257"/>
      <c r="AL52" s="257"/>
      <c r="AM52" s="257"/>
      <c r="AN52" s="257"/>
      <c r="AO52" s="68" t="s">
        <v>20</v>
      </c>
    </row>
    <row r="53" spans="1:41" ht="14.1" hidden="1" customHeight="1">
      <c r="A53" s="68" t="s">
        <v>21</v>
      </c>
      <c r="B53" s="257">
        <v>0.86564333333333354</v>
      </c>
      <c r="C53" s="257">
        <v>1.1693496946666668</v>
      </c>
      <c r="D53" s="257">
        <v>0.7148700885</v>
      </c>
      <c r="E53" s="257">
        <v>0.23573047399013597</v>
      </c>
      <c r="F53" s="257">
        <v>0.11207398712130277</v>
      </c>
      <c r="G53" s="257">
        <v>0.15689050694325965</v>
      </c>
      <c r="H53" s="257">
        <v>0.11075110862075056</v>
      </c>
      <c r="I53" s="257">
        <v>1.7192849539999997</v>
      </c>
      <c r="J53" s="257">
        <v>9.3621266095034027E-3</v>
      </c>
      <c r="K53" s="257">
        <v>0.1265158275868252</v>
      </c>
      <c r="L53" s="257">
        <v>0.7141168404338748</v>
      </c>
      <c r="M53" s="257">
        <v>0.21177389725345228</v>
      </c>
      <c r="N53" s="257">
        <v>0.76150905961449633</v>
      </c>
      <c r="O53" s="257">
        <v>2.9933807371780508</v>
      </c>
      <c r="P53" s="257">
        <v>0.14398942990207264</v>
      </c>
      <c r="Q53" s="257">
        <v>0.30621989072881983</v>
      </c>
      <c r="R53" s="257">
        <v>0.57153097111660978</v>
      </c>
      <c r="S53" s="257">
        <v>0.63613612951856735</v>
      </c>
      <c r="T53" s="257">
        <v>0.72849949013698567</v>
      </c>
      <c r="U53" s="257">
        <v>4.0356930701926787E-2</v>
      </c>
      <c r="V53" s="257">
        <v>0.5114727481308966</v>
      </c>
      <c r="W53" s="257">
        <v>7.0945361234436713E-3</v>
      </c>
      <c r="X53" s="257">
        <v>2.2751166585990856E-2</v>
      </c>
      <c r="Y53" s="257">
        <v>6.955505623960119E-2</v>
      </c>
      <c r="Z53" s="257">
        <v>6.9107950663919615E-2</v>
      </c>
      <c r="AA53" s="257">
        <v>3.3511621955542067E-2</v>
      </c>
      <c r="AB53" s="257">
        <v>1.6645384615384621E-2</v>
      </c>
      <c r="AC53" s="257">
        <v>0.1720145280190615</v>
      </c>
      <c r="AD53" s="257" t="s">
        <v>93</v>
      </c>
      <c r="AE53" s="257" t="s">
        <v>93</v>
      </c>
      <c r="AF53" s="257" t="s">
        <v>93</v>
      </c>
      <c r="AG53" s="257" t="s">
        <v>93</v>
      </c>
      <c r="AH53" s="257" t="s">
        <v>93</v>
      </c>
      <c r="AI53" s="257"/>
      <c r="AJ53" s="257"/>
      <c r="AK53" s="257"/>
      <c r="AL53" s="257"/>
      <c r="AM53" s="257"/>
      <c r="AN53" s="257"/>
      <c r="AO53" s="68" t="s">
        <v>21</v>
      </c>
    </row>
    <row r="54" spans="1:41" ht="14.1" hidden="1" customHeight="1">
      <c r="A54" s="68" t="s">
        <v>22</v>
      </c>
      <c r="B54" s="257">
        <v>0.86196774193548387</v>
      </c>
      <c r="C54" s="257">
        <v>1.1644660717741937</v>
      </c>
      <c r="D54" s="257">
        <v>0.71046176806451589</v>
      </c>
      <c r="E54" s="257">
        <v>0.23470659593374082</v>
      </c>
      <c r="F54" s="257">
        <v>0.11226717065513543</v>
      </c>
      <c r="G54" s="257">
        <v>0.15626171656416965</v>
      </c>
      <c r="H54" s="257">
        <v>0.11022325064493298</v>
      </c>
      <c r="I54" s="257">
        <v>1.7103277580645166</v>
      </c>
      <c r="J54" s="257">
        <v>9.3139297661829368E-3</v>
      </c>
      <c r="K54" s="257">
        <v>0.12656429954878243</v>
      </c>
      <c r="L54" s="257">
        <v>0.70579046175975768</v>
      </c>
      <c r="M54" s="257">
        <v>0.21534032290542551</v>
      </c>
      <c r="N54" s="257">
        <v>0.78532516799652741</v>
      </c>
      <c r="O54" s="257">
        <v>2.9848112519092433</v>
      </c>
      <c r="P54" s="257">
        <v>0.14303066192209321</v>
      </c>
      <c r="Q54" s="257">
        <v>0.30791707809970198</v>
      </c>
      <c r="R54" s="257">
        <v>0.56608897845920902</v>
      </c>
      <c r="S54" s="257">
        <v>0.64421068473736409</v>
      </c>
      <c r="T54" s="257">
        <v>0.71445406993265781</v>
      </c>
      <c r="U54" s="257">
        <v>4.0183009313552655E-2</v>
      </c>
      <c r="V54" s="257">
        <v>0.51200437889667161</v>
      </c>
      <c r="W54" s="257">
        <v>7.1791470299646691E-3</v>
      </c>
      <c r="X54" s="257">
        <v>2.2696054689053276E-2</v>
      </c>
      <c r="Y54" s="257">
        <v>7.0017852382878457E-2</v>
      </c>
      <c r="Z54" s="257">
        <v>6.8554217157662301E-2</v>
      </c>
      <c r="AA54" s="257">
        <v>3.3370582766602208E-2</v>
      </c>
      <c r="AB54" s="257">
        <v>1.6576302729528539E-2</v>
      </c>
      <c r="AC54" s="257">
        <v>0.17165771128189214</v>
      </c>
      <c r="AD54" s="257" t="s">
        <v>93</v>
      </c>
      <c r="AE54" s="257" t="s">
        <v>93</v>
      </c>
      <c r="AF54" s="257" t="s">
        <v>93</v>
      </c>
      <c r="AG54" s="257" t="s">
        <v>93</v>
      </c>
      <c r="AH54" s="257" t="s">
        <v>93</v>
      </c>
      <c r="AI54" s="257"/>
      <c r="AJ54" s="257"/>
      <c r="AK54" s="257"/>
      <c r="AL54" s="257"/>
      <c r="AM54" s="257"/>
      <c r="AN54" s="257"/>
      <c r="AO54" s="68" t="s">
        <v>22</v>
      </c>
    </row>
    <row r="55" spans="1:41" ht="14.1" hidden="1" customHeight="1">
      <c r="A55" s="68" t="s">
        <v>23</v>
      </c>
      <c r="B55" s="257">
        <v>0.85651333333333357</v>
      </c>
      <c r="C55" s="257">
        <v>1.1489149721666663</v>
      </c>
      <c r="D55" s="257">
        <v>0.72075426716666657</v>
      </c>
      <c r="E55" s="257">
        <v>0.23320975842585218</v>
      </c>
      <c r="F55" s="257">
        <v>0.11220639452666893</v>
      </c>
      <c r="G55" s="257">
        <v>0.15431219012913441</v>
      </c>
      <c r="H55" s="257">
        <v>0.10961401409027872</v>
      </c>
      <c r="I55" s="257">
        <v>1.7005247086666664</v>
      </c>
      <c r="J55" s="257">
        <v>9.2454258708269971E-3</v>
      </c>
      <c r="K55" s="257">
        <v>0.12329239939630093</v>
      </c>
      <c r="L55" s="257">
        <v>0.69450362405060928</v>
      </c>
      <c r="M55" s="257">
        <v>0.20522691670262164</v>
      </c>
      <c r="N55" s="257">
        <v>0.80361212876398824</v>
      </c>
      <c r="O55" s="257">
        <v>2.9726126680580554</v>
      </c>
      <c r="P55" s="257">
        <v>0.14262496290026644</v>
      </c>
      <c r="Q55" s="257">
        <v>0.30166228654150107</v>
      </c>
      <c r="R55" s="257">
        <v>0.55751574704748852</v>
      </c>
      <c r="S55" s="257">
        <v>0.64831738964586449</v>
      </c>
      <c r="T55" s="257">
        <v>0.69865371492576511</v>
      </c>
      <c r="U55" s="257">
        <v>3.9927073116123903E-2</v>
      </c>
      <c r="V55" s="257">
        <v>0.51174067231875897</v>
      </c>
      <c r="W55" s="257">
        <v>7.0240992411217265E-3</v>
      </c>
      <c r="X55" s="257">
        <v>2.2555666243651164E-2</v>
      </c>
      <c r="Y55" s="257">
        <v>6.9950403292394672E-2</v>
      </c>
      <c r="Z55" s="257">
        <v>6.7861233340806723E-2</v>
      </c>
      <c r="AA55" s="257">
        <v>3.3042272895153726E-2</v>
      </c>
      <c r="AB55" s="257">
        <v>1.647141025641026E-2</v>
      </c>
      <c r="AC55" s="257">
        <v>0.1705152950991945</v>
      </c>
      <c r="AD55" s="257" t="s">
        <v>93</v>
      </c>
      <c r="AE55" s="257" t="s">
        <v>93</v>
      </c>
      <c r="AF55" s="257" t="s">
        <v>93</v>
      </c>
      <c r="AG55" s="257" t="s">
        <v>93</v>
      </c>
      <c r="AH55" s="257" t="s">
        <v>93</v>
      </c>
      <c r="AI55" s="257"/>
      <c r="AJ55" s="257"/>
      <c r="AK55" s="257"/>
      <c r="AL55" s="257"/>
      <c r="AM55" s="257"/>
      <c r="AN55" s="257"/>
      <c r="AO55" s="68" t="s">
        <v>23</v>
      </c>
    </row>
    <row r="56" spans="1:41" ht="14.1" hidden="1" customHeight="1">
      <c r="A56" s="68" t="s">
        <v>24</v>
      </c>
      <c r="B56" s="257">
        <v>0.85477096774193551</v>
      </c>
      <c r="C56" s="257">
        <v>1.1719715382258067</v>
      </c>
      <c r="D56" s="257">
        <v>0.74179498629032248</v>
      </c>
      <c r="E56" s="257">
        <v>0.23273618538863208</v>
      </c>
      <c r="F56" s="257">
        <v>0.11281955849961071</v>
      </c>
      <c r="G56" s="257">
        <v>0.15749685401655894</v>
      </c>
      <c r="H56" s="257">
        <v>0.10932263399743132</v>
      </c>
      <c r="I56" s="257">
        <v>1.7378369714516124</v>
      </c>
      <c r="J56" s="257">
        <v>9.2157633210915336E-3</v>
      </c>
      <c r="K56" s="257">
        <v>0.12756554959940641</v>
      </c>
      <c r="L56" s="257">
        <v>0.70726389926165389</v>
      </c>
      <c r="M56" s="257">
        <v>0.20110424811157504</v>
      </c>
      <c r="N56" s="257">
        <v>0.81349651100870324</v>
      </c>
      <c r="O56" s="257">
        <v>2.9836052140559834</v>
      </c>
      <c r="P56" s="257">
        <v>0.14765827082648933</v>
      </c>
      <c r="Q56" s="257">
        <v>0.31094664334288619</v>
      </c>
      <c r="R56" s="257">
        <v>0.56367337854078048</v>
      </c>
      <c r="S56" s="257">
        <v>0.666937321840813</v>
      </c>
      <c r="T56" s="257">
        <v>0.7024629777482998</v>
      </c>
      <c r="U56" s="257">
        <v>3.9830893184619541E-2</v>
      </c>
      <c r="V56" s="257">
        <v>0.51309293242402654</v>
      </c>
      <c r="W56" s="257">
        <v>7.0015830663936159E-3</v>
      </c>
      <c r="X56" s="257">
        <v>2.2554715560358471E-2</v>
      </c>
      <c r="Y56" s="257">
        <v>7.0286631430975383E-2</v>
      </c>
      <c r="Z56" s="257">
        <v>6.7508308886801496E-2</v>
      </c>
      <c r="AA56" s="257">
        <v>3.346373823458252E-2</v>
      </c>
      <c r="AB56" s="257">
        <v>1.643790322580645E-2</v>
      </c>
      <c r="AC56" s="257">
        <v>0.17065718514673811</v>
      </c>
      <c r="AD56" s="257" t="s">
        <v>93</v>
      </c>
      <c r="AE56" s="257" t="s">
        <v>93</v>
      </c>
      <c r="AF56" s="257" t="s">
        <v>93</v>
      </c>
      <c r="AG56" s="257" t="s">
        <v>93</v>
      </c>
      <c r="AH56" s="257" t="s">
        <v>93</v>
      </c>
      <c r="AI56" s="257"/>
      <c r="AJ56" s="257"/>
      <c r="AK56" s="257"/>
      <c r="AL56" s="257"/>
      <c r="AM56" s="257"/>
      <c r="AN56" s="257"/>
      <c r="AO56" s="68" t="s">
        <v>24</v>
      </c>
    </row>
    <row r="57" spans="1:41" ht="14.1" hidden="1" customHeight="1">
      <c r="A57" s="68" t="s">
        <v>25</v>
      </c>
      <c r="B57" s="257">
        <v>0.85342903225806466</v>
      </c>
      <c r="C57" s="257">
        <v>1.1618833625806451</v>
      </c>
      <c r="D57" s="257">
        <v>0.70700602854838712</v>
      </c>
      <c r="E57" s="257">
        <v>0.2323595899092484</v>
      </c>
      <c r="F57" s="257">
        <v>0.11265445705478772</v>
      </c>
      <c r="G57" s="257">
        <v>0.15611344275315076</v>
      </c>
      <c r="H57" s="257">
        <v>0.10917663057291224</v>
      </c>
      <c r="I57" s="257">
        <v>1.7157099853225806</v>
      </c>
      <c r="J57" s="257">
        <v>9.2100409189899285E-3</v>
      </c>
      <c r="K57" s="257">
        <v>0.12475066827651161</v>
      </c>
      <c r="L57" s="257">
        <v>0.70924868307929112</v>
      </c>
      <c r="M57" s="257">
        <v>0.2016879989742156</v>
      </c>
      <c r="N57" s="257">
        <v>0.80491338724053019</v>
      </c>
      <c r="O57" s="257">
        <v>3.0274295156007724</v>
      </c>
      <c r="P57" s="257">
        <v>0.14574669586711675</v>
      </c>
      <c r="Q57" s="257">
        <v>0.30480801442686178</v>
      </c>
      <c r="R57" s="257">
        <v>0.56010661914755355</v>
      </c>
      <c r="S57" s="257">
        <v>0.64763703806770978</v>
      </c>
      <c r="T57" s="257">
        <v>0.73151426229736904</v>
      </c>
      <c r="U57" s="257">
        <v>3.9751060782233547E-2</v>
      </c>
      <c r="V57" s="257">
        <v>0.51327189460102629</v>
      </c>
      <c r="W57" s="257">
        <v>6.822072863086494E-3</v>
      </c>
      <c r="X57" s="257">
        <v>2.2572777547928833E-2</v>
      </c>
      <c r="Y57" s="257">
        <v>7.1021969191729178E-2</v>
      </c>
      <c r="Z57" s="257">
        <v>6.7215874141599311E-2</v>
      </c>
      <c r="AA57" s="257">
        <v>3.3300650856454325E-2</v>
      </c>
      <c r="AB57" s="257">
        <v>1.6412096774193547E-2</v>
      </c>
      <c r="AC57" s="257">
        <v>0.17044004482914532</v>
      </c>
      <c r="AD57" s="257" t="s">
        <v>93</v>
      </c>
      <c r="AE57" s="257" t="s">
        <v>93</v>
      </c>
      <c r="AF57" s="257" t="s">
        <v>93</v>
      </c>
      <c r="AG57" s="257" t="s">
        <v>93</v>
      </c>
      <c r="AH57" s="257" t="s">
        <v>93</v>
      </c>
      <c r="AI57" s="257"/>
      <c r="AJ57" s="257"/>
      <c r="AK57" s="257"/>
      <c r="AL57" s="257"/>
      <c r="AM57" s="257"/>
      <c r="AN57" s="257"/>
      <c r="AO57" s="68" t="s">
        <v>25</v>
      </c>
    </row>
    <row r="58" spans="1:41" ht="14.1" hidden="1" customHeight="1">
      <c r="A58" s="68" t="s">
        <v>26</v>
      </c>
      <c r="B58" s="257">
        <v>0.85185666666666693</v>
      </c>
      <c r="C58" s="257">
        <v>1.1831643134999998</v>
      </c>
      <c r="D58" s="257">
        <v>0.72042076550000023</v>
      </c>
      <c r="E58" s="257">
        <v>0.23198300470578165</v>
      </c>
      <c r="F58" s="257">
        <v>0.11322351262973274</v>
      </c>
      <c r="G58" s="257">
        <v>0.15880917142738507</v>
      </c>
      <c r="H58" s="257">
        <v>0.1094363208545112</v>
      </c>
      <c r="I58" s="257">
        <v>1.7184138688333335</v>
      </c>
      <c r="J58" s="257">
        <v>9.1498532731262728E-3</v>
      </c>
      <c r="K58" s="257">
        <v>0.12742052922031194</v>
      </c>
      <c r="L58" s="257">
        <v>0.71806099218681962</v>
      </c>
      <c r="M58" s="257">
        <v>0.20842931872313089</v>
      </c>
      <c r="N58" s="257">
        <v>0.82834976613063782</v>
      </c>
      <c r="O58" s="257">
        <v>3.0320427011787241</v>
      </c>
      <c r="P58" s="257">
        <v>0.15112103897636478</v>
      </c>
      <c r="Q58" s="257">
        <v>0.31223350695130969</v>
      </c>
      <c r="R58" s="257">
        <v>0.563455273008029</v>
      </c>
      <c r="S58" s="257">
        <v>0.67408577748569376</v>
      </c>
      <c r="T58" s="257">
        <v>0.73975036791720516</v>
      </c>
      <c r="U58" s="257">
        <v>3.9639677369319073E-2</v>
      </c>
      <c r="V58" s="257">
        <v>0.51316323500437433</v>
      </c>
      <c r="W58" s="257">
        <v>6.9639655626549035E-3</v>
      </c>
      <c r="X58" s="257">
        <v>2.2724483949318933E-2</v>
      </c>
      <c r="Y58" s="257">
        <v>7.3107552388513131E-2</v>
      </c>
      <c r="Z58" s="257">
        <v>6.6889729817178861E-2</v>
      </c>
      <c r="AA58" s="257">
        <v>3.3634106222003447E-2</v>
      </c>
      <c r="AB58" s="257">
        <v>1.6381858974358978E-2</v>
      </c>
      <c r="AC58" s="257">
        <v>0.16995291245318578</v>
      </c>
      <c r="AD58" s="257" t="s">
        <v>93</v>
      </c>
      <c r="AE58" s="257" t="s">
        <v>93</v>
      </c>
      <c r="AF58" s="257" t="s">
        <v>93</v>
      </c>
      <c r="AG58" s="257" t="s">
        <v>93</v>
      </c>
      <c r="AH58" s="257" t="s">
        <v>93</v>
      </c>
      <c r="AI58" s="257"/>
      <c r="AJ58" s="257"/>
      <c r="AK58" s="257"/>
      <c r="AL58" s="257"/>
      <c r="AM58" s="257"/>
      <c r="AN58" s="257"/>
      <c r="AO58" s="68" t="s">
        <v>26</v>
      </c>
    </row>
    <row r="59" spans="1:41" ht="14.1" hidden="1" customHeight="1">
      <c r="A59" s="68" t="s">
        <v>27</v>
      </c>
      <c r="B59" s="257">
        <v>0.85020322580645169</v>
      </c>
      <c r="C59" s="257">
        <v>1.2095530143548388</v>
      </c>
      <c r="D59" s="257">
        <v>0.76367170612903212</v>
      </c>
      <c r="E59" s="257">
        <v>0.23154013906301352</v>
      </c>
      <c r="F59" s="257">
        <v>0.11333489321109907</v>
      </c>
      <c r="G59" s="257">
        <v>0.16228005218941424</v>
      </c>
      <c r="H59" s="257">
        <v>0.10964008162424391</v>
      </c>
      <c r="I59" s="257">
        <v>1.7382035119354839</v>
      </c>
      <c r="J59" s="257">
        <v>9.1219643970851961E-3</v>
      </c>
      <c r="K59" s="257">
        <v>0.13179734978085064</v>
      </c>
      <c r="L59" s="257">
        <v>0.72443722943652866</v>
      </c>
      <c r="M59" s="257">
        <v>0.21168986695021905</v>
      </c>
      <c r="N59" s="257">
        <v>0.8691899499396224</v>
      </c>
      <c r="O59" s="257">
        <v>3.0474712092870173</v>
      </c>
      <c r="P59" s="257">
        <v>0.15730056255935884</v>
      </c>
      <c r="Q59" s="257">
        <v>0.32594774886319672</v>
      </c>
      <c r="R59" s="257">
        <v>0.57981869357345694</v>
      </c>
      <c r="S59" s="257">
        <v>0.70868000877978377</v>
      </c>
      <c r="T59" s="257">
        <v>0.73453807215034239</v>
      </c>
      <c r="U59" s="257">
        <v>3.952559664732775E-2</v>
      </c>
      <c r="V59" s="257">
        <v>0.5180055876766988</v>
      </c>
      <c r="W59" s="257">
        <v>7.0316385519395208E-3</v>
      </c>
      <c r="X59" s="257">
        <v>2.433010315926612E-2</v>
      </c>
      <c r="Y59" s="257">
        <v>7.4242465215001371E-2</v>
      </c>
      <c r="Z59" s="257">
        <v>6.6542098167244101E-2</v>
      </c>
      <c r="AA59" s="257">
        <v>3.4162585108697199E-2</v>
      </c>
      <c r="AB59" s="257">
        <v>1.6348635235732014E-2</v>
      </c>
      <c r="AC59" s="257">
        <v>0.16853015993327169</v>
      </c>
      <c r="AD59" s="257" t="s">
        <v>93</v>
      </c>
      <c r="AE59" s="257" t="s">
        <v>93</v>
      </c>
      <c r="AF59" s="257" t="s">
        <v>93</v>
      </c>
      <c r="AG59" s="257" t="s">
        <v>93</v>
      </c>
      <c r="AH59" s="257" t="s">
        <v>93</v>
      </c>
      <c r="AI59" s="257"/>
      <c r="AJ59" s="257"/>
      <c r="AK59" s="257"/>
      <c r="AL59" s="257"/>
      <c r="AM59" s="257"/>
      <c r="AN59" s="257"/>
      <c r="AO59" s="68" t="s">
        <v>27</v>
      </c>
    </row>
    <row r="60" spans="1:41" ht="14.1" hidden="1" customHeight="1">
      <c r="A60" s="68" t="s">
        <v>28</v>
      </c>
      <c r="B60" s="257">
        <v>0.8480899999999999</v>
      </c>
      <c r="C60" s="257">
        <v>1.2452058191666668</v>
      </c>
      <c r="D60" s="257">
        <v>0.76254172283333321</v>
      </c>
      <c r="E60" s="257">
        <v>0.2310263614317549</v>
      </c>
      <c r="F60" s="257">
        <v>0.11427204682331851</v>
      </c>
      <c r="G60" s="257">
        <v>0.16706012505758733</v>
      </c>
      <c r="H60" s="257">
        <v>0.10905473840280466</v>
      </c>
      <c r="I60" s="257">
        <v>1.758641381333333</v>
      </c>
      <c r="J60" s="257">
        <v>9.0910987341313622E-3</v>
      </c>
      <c r="K60" s="257">
        <v>0.13415037433267013</v>
      </c>
      <c r="L60" s="257">
        <v>0.7552053234886047</v>
      </c>
      <c r="M60" s="257">
        <v>0.21646853660977911</v>
      </c>
      <c r="N60" s="257">
        <v>0.88088698498958784</v>
      </c>
      <c r="O60" s="257">
        <v>3.0754716593957605</v>
      </c>
      <c r="P60" s="257">
        <v>0.1571845485712092</v>
      </c>
      <c r="Q60" s="257">
        <v>0.34029326814969507</v>
      </c>
      <c r="R60" s="257">
        <v>0.58605783105747566</v>
      </c>
      <c r="S60" s="257">
        <v>0.71291139587032004</v>
      </c>
      <c r="T60" s="257">
        <v>0.7633515976025127</v>
      </c>
      <c r="U60" s="257">
        <v>3.9384383268936132E-2</v>
      </c>
      <c r="V60" s="257">
        <v>0.52317360001241198</v>
      </c>
      <c r="W60" s="257">
        <v>7.0264231504329608E-3</v>
      </c>
      <c r="X60" s="257">
        <v>2.4379154863682615E-2</v>
      </c>
      <c r="Y60" s="257">
        <v>7.5113835649413749E-2</v>
      </c>
      <c r="Z60" s="257">
        <v>6.6117019917764724E-2</v>
      </c>
      <c r="AA60" s="257">
        <v>3.466240266954642E-2</v>
      </c>
      <c r="AB60" s="257">
        <v>1.6309423076923079E-2</v>
      </c>
      <c r="AC60" s="257">
        <v>0.16829919898302811</v>
      </c>
      <c r="AD60" s="257" t="s">
        <v>93</v>
      </c>
      <c r="AE60" s="257" t="s">
        <v>93</v>
      </c>
      <c r="AF60" s="257" t="s">
        <v>93</v>
      </c>
      <c r="AG60" s="257" t="s">
        <v>93</v>
      </c>
      <c r="AH60" s="257" t="s">
        <v>93</v>
      </c>
      <c r="AI60" s="257"/>
      <c r="AJ60" s="257"/>
      <c r="AK60" s="257"/>
      <c r="AL60" s="257"/>
      <c r="AM60" s="257"/>
      <c r="AN60" s="257"/>
      <c r="AO60" s="68" t="s">
        <v>28</v>
      </c>
    </row>
    <row r="61" spans="1:41" ht="14.1" hidden="1" customHeight="1">
      <c r="A61" s="68" t="s">
        <v>29</v>
      </c>
      <c r="B61" s="257">
        <v>0.84609032258064554</v>
      </c>
      <c r="C61" s="257">
        <v>1.2337719629032258</v>
      </c>
      <c r="D61" s="257">
        <v>0.73917358532258082</v>
      </c>
      <c r="E61" s="257">
        <v>0.23038767169457816</v>
      </c>
      <c r="F61" s="257">
        <v>0.11482010784366649</v>
      </c>
      <c r="G61" s="257">
        <v>0.16538388824232725</v>
      </c>
      <c r="H61" s="257">
        <v>0.10849387018473639</v>
      </c>
      <c r="I61" s="257">
        <v>1.7114654916129035</v>
      </c>
      <c r="J61" s="257">
        <v>9.0664232655359393E-3</v>
      </c>
      <c r="K61" s="257">
        <v>0.13084813022305328</v>
      </c>
      <c r="L61" s="257">
        <v>0.74346883231710481</v>
      </c>
      <c r="M61" s="257">
        <v>0.21689964776703582</v>
      </c>
      <c r="N61" s="257">
        <v>0.84429966407847989</v>
      </c>
      <c r="O61" s="257">
        <v>3.0864097420232253</v>
      </c>
      <c r="P61" s="257">
        <v>0.1539408016871314</v>
      </c>
      <c r="Q61" s="257">
        <v>0.34241049171923521</v>
      </c>
      <c r="R61" s="257">
        <v>0.58387145893374015</v>
      </c>
      <c r="S61" s="257">
        <v>0.71680145711243259</v>
      </c>
      <c r="T61" s="257">
        <v>0.75398139770068429</v>
      </c>
      <c r="U61" s="257">
        <v>3.9251828568969353E-2</v>
      </c>
      <c r="V61" s="257">
        <v>0.52848470337673137</v>
      </c>
      <c r="W61" s="257">
        <v>7.0063727199335454E-3</v>
      </c>
      <c r="X61" s="257">
        <v>2.4319558106285045E-2</v>
      </c>
      <c r="Y61" s="257">
        <v>7.4931260019996213E-2</v>
      </c>
      <c r="Z61" s="257">
        <v>6.5700595857840147E-2</v>
      </c>
      <c r="AA61" s="257">
        <v>3.4454316253063159E-2</v>
      </c>
      <c r="AB61" s="257">
        <v>1.6270967741935483E-2</v>
      </c>
      <c r="AC61" s="257">
        <v>0.16727885447528101</v>
      </c>
      <c r="AD61" s="257" t="s">
        <v>93</v>
      </c>
      <c r="AE61" s="257" t="s">
        <v>93</v>
      </c>
      <c r="AF61" s="257" t="s">
        <v>93</v>
      </c>
      <c r="AG61" s="257" t="s">
        <v>93</v>
      </c>
      <c r="AH61" s="257" t="s">
        <v>93</v>
      </c>
      <c r="AI61" s="257"/>
      <c r="AJ61" s="257"/>
      <c r="AK61" s="257"/>
      <c r="AL61" s="257"/>
      <c r="AM61" s="257"/>
      <c r="AN61" s="257"/>
      <c r="AO61" s="68" t="s">
        <v>29</v>
      </c>
    </row>
    <row r="62" spans="1:41" ht="14.1" hidden="1" customHeight="1">
      <c r="A62" s="69"/>
      <c r="B62" s="257"/>
      <c r="C62" s="257"/>
      <c r="D62" s="257"/>
      <c r="E62" s="257"/>
      <c r="F62" s="257"/>
      <c r="G62" s="257"/>
      <c r="H62" s="257"/>
      <c r="I62" s="257"/>
      <c r="J62" s="257"/>
      <c r="K62" s="257"/>
      <c r="L62" s="257"/>
      <c r="M62" s="257"/>
      <c r="N62" s="257"/>
      <c r="O62" s="257"/>
      <c r="P62" s="257"/>
      <c r="Q62" s="257"/>
      <c r="R62" s="257"/>
      <c r="S62" s="257"/>
      <c r="T62" s="257"/>
      <c r="U62" s="257"/>
      <c r="V62" s="257"/>
      <c r="W62" s="257"/>
      <c r="X62" s="257"/>
      <c r="Y62" s="257"/>
      <c r="Z62" s="257"/>
      <c r="AA62" s="257"/>
      <c r="AB62" s="257"/>
      <c r="AC62" s="257"/>
      <c r="AD62" s="257"/>
      <c r="AE62" s="257"/>
      <c r="AF62" s="257"/>
      <c r="AG62" s="257"/>
      <c r="AH62" s="257"/>
      <c r="AI62" s="257"/>
      <c r="AJ62" s="257"/>
      <c r="AK62" s="257"/>
      <c r="AL62" s="257"/>
      <c r="AM62" s="257"/>
      <c r="AN62" s="257"/>
      <c r="AO62" s="69"/>
    </row>
    <row r="63" spans="1:41" ht="14.1" hidden="1" customHeight="1">
      <c r="A63" s="68" t="s">
        <v>114</v>
      </c>
      <c r="B63" s="257">
        <v>0.82162457757642082</v>
      </c>
      <c r="C63" s="257">
        <v>1.2099503093067814</v>
      </c>
      <c r="D63" s="257">
        <v>0.70190940928992429</v>
      </c>
      <c r="E63" s="257">
        <v>0.22370172438092492</v>
      </c>
      <c r="F63" s="257">
        <v>0.11820686289919308</v>
      </c>
      <c r="G63" s="257">
        <v>0.16227344002725613</v>
      </c>
      <c r="H63" s="257">
        <v>0.10551496764741243</v>
      </c>
      <c r="I63" s="257">
        <v>1.5261202671737373</v>
      </c>
      <c r="J63" s="257">
        <v>8.693765144154899E-3</v>
      </c>
      <c r="K63" s="257">
        <v>0.1263077160931749</v>
      </c>
      <c r="L63" s="257">
        <v>0.76167473231931604</v>
      </c>
      <c r="M63" s="257">
        <v>0.22994456156195819</v>
      </c>
      <c r="N63" s="257">
        <v>0.77728083667927894</v>
      </c>
      <c r="O63" s="257">
        <v>3.0551102924012015</v>
      </c>
      <c r="P63" s="257">
        <v>0.14795070400543217</v>
      </c>
      <c r="Q63" s="257">
        <v>0.34625519036681474</v>
      </c>
      <c r="R63" s="257">
        <v>0.58146037368544745</v>
      </c>
      <c r="S63" s="257">
        <v>0.63810643899695341</v>
      </c>
      <c r="T63" s="257">
        <v>0.79656067843736789</v>
      </c>
      <c r="U63" s="257">
        <v>3.846526305370087E-2</v>
      </c>
      <c r="V63" s="257">
        <v>0.55338913493682973</v>
      </c>
      <c r="W63" s="257">
        <v>6.8287085516211847E-3</v>
      </c>
      <c r="X63" s="257">
        <v>2.2537353998815141E-2</v>
      </c>
      <c r="Y63" s="257">
        <v>7.9284191357945191E-2</v>
      </c>
      <c r="Z63" s="257">
        <v>6.2320005957130699E-2</v>
      </c>
      <c r="AA63" s="257">
        <v>3.3203817931841885E-2</v>
      </c>
      <c r="AB63" s="257">
        <v>1.1580186470078002E-2</v>
      </c>
      <c r="AC63" s="257">
        <v>0.15953550293129468</v>
      </c>
      <c r="AD63" s="257" t="s">
        <v>93</v>
      </c>
      <c r="AE63" s="257" t="s">
        <v>93</v>
      </c>
      <c r="AF63" s="257" t="s">
        <v>93</v>
      </c>
      <c r="AG63" s="257" t="s">
        <v>93</v>
      </c>
      <c r="AH63" s="257" t="s">
        <v>93</v>
      </c>
      <c r="AI63" s="257"/>
      <c r="AJ63" s="257"/>
      <c r="AK63" s="257"/>
      <c r="AL63" s="257"/>
      <c r="AM63" s="257"/>
      <c r="AN63" s="257"/>
      <c r="AO63" s="68" t="s">
        <v>114</v>
      </c>
    </row>
    <row r="64" spans="1:41" ht="14.1" hidden="1" customHeight="1">
      <c r="A64" s="68" t="s">
        <v>18</v>
      </c>
      <c r="B64" s="257">
        <v>0.84533548387096813</v>
      </c>
      <c r="C64" s="257">
        <v>1.2441959725806451</v>
      </c>
      <c r="D64" s="257">
        <v>0.7448904333870966</v>
      </c>
      <c r="E64" s="257">
        <v>0.2301516467768964</v>
      </c>
      <c r="F64" s="257">
        <v>0.11659412583520148</v>
      </c>
      <c r="G64" s="257">
        <v>0.16697880589755035</v>
      </c>
      <c r="H64" s="257">
        <v>0.10830672886097169</v>
      </c>
      <c r="I64" s="257">
        <v>1.6676952116129029</v>
      </c>
      <c r="J64" s="257">
        <v>9.0998560419067107E-3</v>
      </c>
      <c r="K64" s="257">
        <v>0.13198602319298447</v>
      </c>
      <c r="L64" s="257">
        <v>0.76581878083814348</v>
      </c>
      <c r="M64" s="257">
        <v>0.22498032475481683</v>
      </c>
      <c r="N64" s="257">
        <v>0.83906652599528408</v>
      </c>
      <c r="O64" s="257">
        <v>3.0956619480007475</v>
      </c>
      <c r="P64" s="257">
        <v>0.15642836270451452</v>
      </c>
      <c r="Q64" s="257">
        <v>0.34500041178805219</v>
      </c>
      <c r="R64" s="257">
        <v>0.58982593538262484</v>
      </c>
      <c r="S64" s="257">
        <v>0.71972860900072333</v>
      </c>
      <c r="T64" s="257">
        <v>0.77936845185016035</v>
      </c>
      <c r="U64" s="257">
        <v>3.9248165877936302E-2</v>
      </c>
      <c r="V64" s="257">
        <v>0.53066196274868782</v>
      </c>
      <c r="W64" s="257">
        <v>7.0203890917074031E-3</v>
      </c>
      <c r="X64" s="257">
        <v>2.3789722141375438E-2</v>
      </c>
      <c r="Y64" s="257">
        <v>7.4874869747243777E-2</v>
      </c>
      <c r="Z64" s="257">
        <v>6.5424206423224454E-2</v>
      </c>
      <c r="AA64" s="257">
        <v>3.4550102979736139E-2</v>
      </c>
      <c r="AB64" s="257">
        <v>1.6257816377171216E-2</v>
      </c>
      <c r="AC64" s="257">
        <v>0.16706982710371518</v>
      </c>
      <c r="AD64" s="257" t="s">
        <v>93</v>
      </c>
      <c r="AE64" s="257" t="s">
        <v>93</v>
      </c>
      <c r="AF64" s="257" t="s">
        <v>93</v>
      </c>
      <c r="AG64" s="257" t="s">
        <v>93</v>
      </c>
      <c r="AH64" s="257" t="s">
        <v>93</v>
      </c>
      <c r="AI64" s="257"/>
      <c r="AJ64" s="257"/>
      <c r="AK64" s="257"/>
      <c r="AL64" s="257"/>
      <c r="AM64" s="257"/>
      <c r="AN64" s="257"/>
      <c r="AO64" s="158" t="s">
        <v>18</v>
      </c>
    </row>
    <row r="65" spans="1:41" ht="14.1" hidden="1" customHeight="1">
      <c r="A65" s="68" t="s">
        <v>19</v>
      </c>
      <c r="B65" s="257">
        <v>0.84424137931034482</v>
      </c>
      <c r="C65" s="257">
        <v>1.2435879062068964</v>
      </c>
      <c r="D65" s="257">
        <v>0.76852724189655164</v>
      </c>
      <c r="E65" s="257">
        <v>0.22990030026024827</v>
      </c>
      <c r="F65" s="257">
        <v>0.11776362253484238</v>
      </c>
      <c r="G65" s="257">
        <v>0.16683014078802383</v>
      </c>
      <c r="H65" s="257">
        <v>0.10827484633112064</v>
      </c>
      <c r="I65" s="257">
        <v>1.6588806570689656</v>
      </c>
      <c r="J65" s="257">
        <v>9.0482380600979614E-3</v>
      </c>
      <c r="K65" s="257">
        <v>0.13270612678174584</v>
      </c>
      <c r="L65" s="257">
        <v>0.77326172519214698</v>
      </c>
      <c r="M65" s="257">
        <v>0.23399632300061873</v>
      </c>
      <c r="N65" s="257">
        <v>0.84259570778773429</v>
      </c>
      <c r="O65" s="257">
        <v>3.0891579976680825</v>
      </c>
      <c r="P65" s="257">
        <v>0.15637066411011843</v>
      </c>
      <c r="Q65" s="257">
        <v>0.34730060669862389</v>
      </c>
      <c r="R65" s="257">
        <v>0.59790409078889184</v>
      </c>
      <c r="S65" s="257">
        <v>0.70685348408400617</v>
      </c>
      <c r="T65" s="257">
        <v>0.78750260181313103</v>
      </c>
      <c r="U65" s="257">
        <v>3.92639100893728E-2</v>
      </c>
      <c r="V65" s="257">
        <v>0.53915092366851558</v>
      </c>
      <c r="W65" s="257">
        <v>7.0137583740764366E-3</v>
      </c>
      <c r="X65" s="257">
        <v>2.3399083325356663E-2</v>
      </c>
      <c r="Y65" s="257">
        <v>7.5220974440916688E-2</v>
      </c>
      <c r="Z65" s="257">
        <v>6.5187903460509178E-2</v>
      </c>
      <c r="AA65" s="257">
        <v>3.4416086871954306E-2</v>
      </c>
      <c r="AB65" s="257">
        <v>1.6235411140583557E-2</v>
      </c>
      <c r="AC65" s="257">
        <v>0.16724292580172545</v>
      </c>
      <c r="AD65" s="257" t="s">
        <v>93</v>
      </c>
      <c r="AE65" s="257" t="s">
        <v>93</v>
      </c>
      <c r="AF65" s="257" t="s">
        <v>93</v>
      </c>
      <c r="AG65" s="257" t="s">
        <v>93</v>
      </c>
      <c r="AH65" s="257" t="s">
        <v>93</v>
      </c>
      <c r="AI65" s="257"/>
      <c r="AJ65" s="257"/>
      <c r="AK65" s="257"/>
      <c r="AL65" s="257"/>
      <c r="AM65" s="257"/>
      <c r="AN65" s="257"/>
      <c r="AO65" s="158" t="s">
        <v>19</v>
      </c>
    </row>
    <row r="66" spans="1:41" ht="14.1" hidden="1" customHeight="1">
      <c r="A66" s="68" t="s">
        <v>20</v>
      </c>
      <c r="B66" s="257">
        <v>0.83982907864780454</v>
      </c>
      <c r="C66" s="257">
        <v>1.3057487185153462</v>
      </c>
      <c r="D66" s="257">
        <v>0.78205517275924619</v>
      </c>
      <c r="E66" s="257">
        <v>0.22871135988903935</v>
      </c>
      <c r="F66" s="257">
        <v>0.118597990663424</v>
      </c>
      <c r="G66" s="257">
        <v>0.17513359570940432</v>
      </c>
      <c r="H66" s="257">
        <v>0.10794872885468003</v>
      </c>
      <c r="I66" s="257">
        <v>1.6850097814580403</v>
      </c>
      <c r="J66" s="257">
        <v>9.1977581427582274E-3</v>
      </c>
      <c r="K66" s="257">
        <v>0.13882017532883548</v>
      </c>
      <c r="L66" s="257">
        <v>0.83131756005985846</v>
      </c>
      <c r="M66" s="257">
        <v>0.24025825529628961</v>
      </c>
      <c r="N66" s="257">
        <v>0.84731026318165448</v>
      </c>
      <c r="O66" s="257">
        <v>3.123125150143415</v>
      </c>
      <c r="P66" s="257">
        <v>0.16394973548702022</v>
      </c>
      <c r="Q66" s="257">
        <v>0.36904079335041418</v>
      </c>
      <c r="R66" s="257">
        <v>0.60686443656458389</v>
      </c>
      <c r="S66" s="257">
        <v>0.68051118502363506</v>
      </c>
      <c r="T66" s="257">
        <v>0.83386075695707118</v>
      </c>
      <c r="U66" s="257">
        <v>3.9103185782480898E-2</v>
      </c>
      <c r="V66" s="257">
        <v>0.555217185775432</v>
      </c>
      <c r="W66" s="257">
        <v>6.9588228441538605E-3</v>
      </c>
      <c r="X66" s="257">
        <v>2.3056556700527201E-2</v>
      </c>
      <c r="Y66" s="257">
        <v>7.7966359819953923E-2</v>
      </c>
      <c r="Z66" s="257">
        <v>6.4709418712750225E-2</v>
      </c>
      <c r="AA66" s="257">
        <v>3.544047582879134E-2</v>
      </c>
      <c r="AB66" s="257">
        <v>1.6150559204765477E-2</v>
      </c>
      <c r="AC66" s="257">
        <v>0.1672437547663288</v>
      </c>
      <c r="AD66" s="257" t="s">
        <v>93</v>
      </c>
      <c r="AE66" s="257" t="s">
        <v>93</v>
      </c>
      <c r="AF66" s="257" t="s">
        <v>93</v>
      </c>
      <c r="AG66" s="257" t="s">
        <v>93</v>
      </c>
      <c r="AH66" s="257" t="s">
        <v>93</v>
      </c>
      <c r="AI66" s="257"/>
      <c r="AJ66" s="257"/>
      <c r="AK66" s="257"/>
      <c r="AL66" s="257"/>
      <c r="AM66" s="257"/>
      <c r="AN66" s="257"/>
      <c r="AO66" s="158" t="s">
        <v>20</v>
      </c>
    </row>
    <row r="67" spans="1:41" ht="14.1" hidden="1" customHeight="1">
      <c r="A67" s="68" t="s">
        <v>21</v>
      </c>
      <c r="B67" s="257">
        <v>0.83015386644905198</v>
      </c>
      <c r="C67" s="257">
        <v>1.3082278036406052</v>
      </c>
      <c r="D67" s="257">
        <v>0.77228840775966112</v>
      </c>
      <c r="E67" s="257">
        <v>0.22603398188536136</v>
      </c>
      <c r="F67" s="257">
        <v>0.11858699301280873</v>
      </c>
      <c r="G67" s="257">
        <v>0.1753523966503415</v>
      </c>
      <c r="H67" s="257">
        <v>0.10654811950678982</v>
      </c>
      <c r="I67" s="257">
        <v>1.6451131514018846</v>
      </c>
      <c r="J67" s="257">
        <v>9.1669468533611114E-3</v>
      </c>
      <c r="K67" s="257">
        <v>0.13958961511046744</v>
      </c>
      <c r="L67" s="257">
        <v>0.81950057484928118</v>
      </c>
      <c r="M67" s="257">
        <v>0.2354408362968651</v>
      </c>
      <c r="N67" s="257">
        <v>0.81958407147155932</v>
      </c>
      <c r="O67" s="257">
        <v>3.1232078576869085</v>
      </c>
      <c r="P67" s="257">
        <v>0.16420040035808561</v>
      </c>
      <c r="Q67" s="257">
        <v>0.37986942775049326</v>
      </c>
      <c r="R67" s="257">
        <v>0.60861062543143585</v>
      </c>
      <c r="S67" s="257">
        <v>0.63730602965767635</v>
      </c>
      <c r="T67" s="257">
        <v>0.80913531364072744</v>
      </c>
      <c r="U67" s="257">
        <v>3.8695181164608163E-2</v>
      </c>
      <c r="V67" s="257">
        <v>0.57097110690992636</v>
      </c>
      <c r="W67" s="257">
        <v>6.8875578370629917E-3</v>
      </c>
      <c r="X67" s="257">
        <v>2.2775244402588119E-2</v>
      </c>
      <c r="Y67" s="257">
        <v>7.9829834847566117E-2</v>
      </c>
      <c r="Z67" s="257">
        <v>6.3736716934755605E-2</v>
      </c>
      <c r="AA67" s="257">
        <v>3.5307420268959284E-2</v>
      </c>
      <c r="AB67" s="257">
        <v>1.5964497431712538E-2</v>
      </c>
      <c r="AC67" s="257">
        <v>0.16811664977127322</v>
      </c>
      <c r="AD67" s="257" t="s">
        <v>93</v>
      </c>
      <c r="AE67" s="257" t="s">
        <v>93</v>
      </c>
      <c r="AF67" s="257" t="s">
        <v>93</v>
      </c>
      <c r="AG67" s="257" t="s">
        <v>93</v>
      </c>
      <c r="AH67" s="257" t="s">
        <v>93</v>
      </c>
      <c r="AI67" s="257"/>
      <c r="AJ67" s="257"/>
      <c r="AK67" s="257"/>
      <c r="AL67" s="257"/>
      <c r="AM67" s="257"/>
      <c r="AN67" s="257"/>
      <c r="AO67" s="158" t="s">
        <v>21</v>
      </c>
    </row>
    <row r="68" spans="1:41" ht="14.1" hidden="1" customHeight="1">
      <c r="A68" s="68" t="s">
        <v>22</v>
      </c>
      <c r="B68" s="257">
        <v>0.82642259651039296</v>
      </c>
      <c r="C68" s="257">
        <v>1.2842699431189726</v>
      </c>
      <c r="D68" s="257">
        <v>0.78308254350691553</v>
      </c>
      <c r="E68" s="257">
        <v>0.22500518380282006</v>
      </c>
      <c r="F68" s="257">
        <v>0.11849890498081531</v>
      </c>
      <c r="G68" s="257">
        <v>0.17212289022991292</v>
      </c>
      <c r="H68" s="257">
        <v>0.10596422991937512</v>
      </c>
      <c r="I68" s="257">
        <v>1.624478542891779</v>
      </c>
      <c r="J68" s="257">
        <v>8.9561415899710225E-3</v>
      </c>
      <c r="K68" s="257">
        <v>0.13775192156201446</v>
      </c>
      <c r="L68" s="257">
        <v>0.79077063531735847</v>
      </c>
      <c r="M68" s="257">
        <v>0.24414144341059971</v>
      </c>
      <c r="N68" s="257">
        <v>0.82572110917351227</v>
      </c>
      <c r="O68" s="257">
        <v>3.1037400804856028</v>
      </c>
      <c r="P68" s="257">
        <v>0.16297310124231637</v>
      </c>
      <c r="Q68" s="257">
        <v>0.37670727987309505</v>
      </c>
      <c r="R68" s="257">
        <v>0.60478291516270821</v>
      </c>
      <c r="S68" s="257">
        <v>0.66151355480102847</v>
      </c>
      <c r="T68" s="257">
        <v>0.79242265154514147</v>
      </c>
      <c r="U68" s="257">
        <v>3.8639966803429016E-2</v>
      </c>
      <c r="V68" s="257">
        <v>0.56832618597674822</v>
      </c>
      <c r="W68" s="257">
        <v>6.8562122648737588E-3</v>
      </c>
      <c r="X68" s="257">
        <v>2.2675794669713128E-2</v>
      </c>
      <c r="Y68" s="257">
        <v>7.995472817388162E-2</v>
      </c>
      <c r="Z68" s="257">
        <v>6.3277344443775696E-2</v>
      </c>
      <c r="AA68" s="257">
        <v>3.4818974472895031E-2</v>
      </c>
      <c r="AB68" s="257">
        <v>1.5892742240584488E-2</v>
      </c>
      <c r="AC68" s="257">
        <v>0.17299680058135242</v>
      </c>
      <c r="AD68" s="257" t="s">
        <v>93</v>
      </c>
      <c r="AE68" s="257" t="s">
        <v>93</v>
      </c>
      <c r="AF68" s="257" t="s">
        <v>93</v>
      </c>
      <c r="AG68" s="257" t="s">
        <v>93</v>
      </c>
      <c r="AH68" s="257" t="s">
        <v>93</v>
      </c>
      <c r="AI68" s="257"/>
      <c r="AJ68" s="257"/>
      <c r="AK68" s="257"/>
      <c r="AL68" s="257"/>
      <c r="AM68" s="257"/>
      <c r="AN68" s="257"/>
      <c r="AO68" s="158" t="s">
        <v>22</v>
      </c>
    </row>
    <row r="69" spans="1:41" ht="14.1" hidden="1" customHeight="1">
      <c r="A69" s="68" t="s">
        <v>23</v>
      </c>
      <c r="B69" s="257">
        <v>0.81750195409380955</v>
      </c>
      <c r="C69" s="257">
        <v>1.2717693980166263</v>
      </c>
      <c r="D69" s="257">
        <v>0.77785671786599719</v>
      </c>
      <c r="E69" s="257">
        <v>0.22257044660343794</v>
      </c>
      <c r="F69" s="257">
        <v>0.11850379569687791</v>
      </c>
      <c r="G69" s="257">
        <v>0.1705054566953727</v>
      </c>
      <c r="H69" s="257">
        <v>0.10471768429850045</v>
      </c>
      <c r="I69" s="257">
        <v>1.6069590455758467</v>
      </c>
      <c r="J69" s="257">
        <v>8.8121927980428123E-3</v>
      </c>
      <c r="K69" s="257">
        <v>0.13570560434519158</v>
      </c>
      <c r="L69" s="257">
        <v>0.78800974358928255</v>
      </c>
      <c r="M69" s="257">
        <v>0.24396606185194039</v>
      </c>
      <c r="N69" s="257">
        <v>0.80570157282653199</v>
      </c>
      <c r="O69" s="257">
        <v>3.0800226245038171</v>
      </c>
      <c r="P69" s="257">
        <v>0.15925685758184896</v>
      </c>
      <c r="Q69" s="257">
        <v>0.37632359991211123</v>
      </c>
      <c r="R69" s="257">
        <v>0.59752057640945777</v>
      </c>
      <c r="S69" s="257">
        <v>0.66152743771348477</v>
      </c>
      <c r="T69" s="257">
        <v>0.76467352585461379</v>
      </c>
      <c r="U69" s="257">
        <v>3.8368892994020166E-2</v>
      </c>
      <c r="V69" s="257">
        <v>0.57276291786989364</v>
      </c>
      <c r="W69" s="257">
        <v>6.7736689732718382E-3</v>
      </c>
      <c r="X69" s="257">
        <v>2.2427294741834816E-2</v>
      </c>
      <c r="Y69" s="257">
        <v>8.144757576932557E-2</v>
      </c>
      <c r="Z69" s="257">
        <v>6.2459506970777526E-2</v>
      </c>
      <c r="AA69" s="257">
        <v>3.4572291317177303E-2</v>
      </c>
      <c r="AB69" s="257">
        <v>1.5721191424880956E-2</v>
      </c>
      <c r="AC69" s="257">
        <v>0.17133248174464716</v>
      </c>
      <c r="AD69" s="257" t="s">
        <v>93</v>
      </c>
      <c r="AE69" s="257" t="s">
        <v>93</v>
      </c>
      <c r="AF69" s="257" t="s">
        <v>93</v>
      </c>
      <c r="AG69" s="257" t="s">
        <v>93</v>
      </c>
      <c r="AH69" s="257" t="s">
        <v>93</v>
      </c>
      <c r="AI69" s="257"/>
      <c r="AJ69" s="257"/>
      <c r="AK69" s="257"/>
      <c r="AL69" s="257"/>
      <c r="AM69" s="257"/>
      <c r="AN69" s="257"/>
      <c r="AO69" s="158" t="s">
        <v>23</v>
      </c>
    </row>
    <row r="70" spans="1:41" ht="14.1" hidden="1" customHeight="1">
      <c r="A70" s="68" t="s">
        <v>24</v>
      </c>
      <c r="B70" s="257">
        <v>0.807793700112033</v>
      </c>
      <c r="C70" s="257">
        <v>1.2737385319284984</v>
      </c>
      <c r="D70" s="257">
        <v>0.777619108637576</v>
      </c>
      <c r="E70" s="257">
        <v>0.21992816471566001</v>
      </c>
      <c r="F70" s="257">
        <v>0.11815851007373995</v>
      </c>
      <c r="G70" s="257">
        <v>0.17073578080802093</v>
      </c>
      <c r="H70" s="257">
        <v>0.1035654820610075</v>
      </c>
      <c r="I70" s="257">
        <v>1.606168470759181</v>
      </c>
      <c r="J70" s="257">
        <v>8.7814813624450538E-3</v>
      </c>
      <c r="K70" s="257">
        <v>0.13470675910580371</v>
      </c>
      <c r="L70" s="257">
        <v>0.78691601238704412</v>
      </c>
      <c r="M70" s="257">
        <v>0.23985640587990639</v>
      </c>
      <c r="N70" s="257">
        <v>0.79766699907173455</v>
      </c>
      <c r="O70" s="257">
        <v>3.0440440777541133</v>
      </c>
      <c r="P70" s="257">
        <v>0.15828497603589789</v>
      </c>
      <c r="Q70" s="257">
        <v>0.39042809578529286</v>
      </c>
      <c r="R70" s="257">
        <v>0.59453405096510958</v>
      </c>
      <c r="S70" s="257">
        <v>0.66458461785755418</v>
      </c>
      <c r="T70" s="257">
        <v>0.75676228184242422</v>
      </c>
      <c r="U70" s="257">
        <v>3.8061042823747296E-2</v>
      </c>
      <c r="V70" s="257">
        <v>0.57343539500074636</v>
      </c>
      <c r="W70" s="257">
        <v>6.7152656169588605E-3</v>
      </c>
      <c r="X70" s="257">
        <v>2.2295287405643939E-2</v>
      </c>
      <c r="Y70" s="257">
        <v>8.272462687955652E-2</v>
      </c>
      <c r="Z70" s="257">
        <v>6.1541586273467154E-2</v>
      </c>
      <c r="AA70" s="257">
        <v>3.4583659033797801E-2</v>
      </c>
      <c r="AB70" s="257">
        <v>8.2166061406332494E-3</v>
      </c>
      <c r="AC70" s="257">
        <v>0.17503913605803895</v>
      </c>
      <c r="AD70" s="257" t="s">
        <v>93</v>
      </c>
      <c r="AE70" s="257" t="s">
        <v>93</v>
      </c>
      <c r="AF70" s="257" t="s">
        <v>93</v>
      </c>
      <c r="AG70" s="257" t="s">
        <v>93</v>
      </c>
      <c r="AH70" s="257" t="s">
        <v>93</v>
      </c>
      <c r="AI70" s="257"/>
      <c r="AJ70" s="257"/>
      <c r="AK70" s="257"/>
      <c r="AL70" s="257"/>
      <c r="AM70" s="257"/>
      <c r="AN70" s="257"/>
      <c r="AO70" s="158" t="s">
        <v>24</v>
      </c>
    </row>
    <row r="71" spans="1:41" ht="14.1" hidden="1" customHeight="1">
      <c r="A71" s="68" t="s">
        <v>25</v>
      </c>
      <c r="B71" s="257">
        <v>0.81241665111597905</v>
      </c>
      <c r="C71" s="257">
        <v>1.2190220708479043</v>
      </c>
      <c r="D71" s="257">
        <v>0.71880437235880679</v>
      </c>
      <c r="E71" s="257">
        <v>0.22118253419668846</v>
      </c>
      <c r="F71" s="257">
        <v>0.11859102637448234</v>
      </c>
      <c r="G71" s="257">
        <v>0.16341750713366604</v>
      </c>
      <c r="H71" s="257">
        <v>0.1040465388529659</v>
      </c>
      <c r="I71" s="257">
        <v>1.5387664727574006</v>
      </c>
      <c r="J71" s="257">
        <v>8.5877955240627416E-3</v>
      </c>
      <c r="K71" s="257">
        <v>0.12974153777857403</v>
      </c>
      <c r="L71" s="257">
        <v>0.75168864971105631</v>
      </c>
      <c r="M71" s="257">
        <v>0.22875135869974458</v>
      </c>
      <c r="N71" s="257">
        <v>0.77318093370940066</v>
      </c>
      <c r="O71" s="257">
        <v>3.039563137071156</v>
      </c>
      <c r="P71" s="257">
        <v>0.15284479235923321</v>
      </c>
      <c r="Q71" s="257">
        <v>0.37107196752187771</v>
      </c>
      <c r="R71" s="257">
        <v>0.57945597401139048</v>
      </c>
      <c r="S71" s="257">
        <v>0.68981997247861826</v>
      </c>
      <c r="T71" s="257">
        <v>0.74378762418387812</v>
      </c>
      <c r="U71" s="257">
        <v>3.8449736385827188E-2</v>
      </c>
      <c r="V71" s="257">
        <v>0.57578584093741392</v>
      </c>
      <c r="W71" s="257">
        <v>6.7698825376822534E-3</v>
      </c>
      <c r="X71" s="257">
        <v>2.2774821611682219E-2</v>
      </c>
      <c r="Y71" s="257">
        <v>8.416948767943562E-2</v>
      </c>
      <c r="Z71" s="257">
        <v>6.164239167354859E-2</v>
      </c>
      <c r="AA71" s="257">
        <v>3.363049556143622E-2</v>
      </c>
      <c r="AB71" s="257">
        <v>5.6941766330189493E-3</v>
      </c>
      <c r="AC71" s="257">
        <v>0.17548252150367347</v>
      </c>
      <c r="AD71" s="257" t="s">
        <v>93</v>
      </c>
      <c r="AE71" s="257" t="s">
        <v>93</v>
      </c>
      <c r="AF71" s="257" t="s">
        <v>93</v>
      </c>
      <c r="AG71" s="257" t="s">
        <v>93</v>
      </c>
      <c r="AH71" s="257" t="s">
        <v>93</v>
      </c>
      <c r="AI71" s="257"/>
      <c r="AJ71" s="257"/>
      <c r="AK71" s="257"/>
      <c r="AL71" s="257"/>
      <c r="AM71" s="257"/>
      <c r="AN71" s="257"/>
      <c r="AO71" s="158" t="s">
        <v>25</v>
      </c>
    </row>
    <row r="72" spans="1:41" ht="14.1" hidden="1" customHeight="1">
      <c r="A72" s="68" t="s">
        <v>26</v>
      </c>
      <c r="B72" s="257">
        <v>0.81240699667652772</v>
      </c>
      <c r="C72" s="257">
        <v>1.1678208263447742</v>
      </c>
      <c r="D72" s="257">
        <v>0.66630790137250961</v>
      </c>
      <c r="E72" s="257">
        <v>0.22117557234633151</v>
      </c>
      <c r="F72" s="257">
        <v>0.11880524649023337</v>
      </c>
      <c r="G72" s="257">
        <v>0.15658605452006891</v>
      </c>
      <c r="H72" s="257">
        <v>0.104277407006029</v>
      </c>
      <c r="I72" s="257">
        <v>1.462170434852766</v>
      </c>
      <c r="J72" s="257">
        <v>8.3822643492485957E-3</v>
      </c>
      <c r="K72" s="257">
        <v>0.1221667085817626</v>
      </c>
      <c r="L72" s="257">
        <v>0.73284167990687232</v>
      </c>
      <c r="M72" s="257">
        <v>0.2300812749004188</v>
      </c>
      <c r="N72" s="257">
        <v>0.76809899484654554</v>
      </c>
      <c r="O72" s="257">
        <v>3.0360812010532543</v>
      </c>
      <c r="P72" s="257">
        <v>0.14332135647334737</v>
      </c>
      <c r="Q72" s="257">
        <v>0.34711747018312111</v>
      </c>
      <c r="R72" s="257">
        <v>0.56808248038600773</v>
      </c>
      <c r="S72" s="257">
        <v>0.65372554551943984</v>
      </c>
      <c r="T72" s="257">
        <v>0.76158411385643121</v>
      </c>
      <c r="U72" s="257">
        <v>3.8462624735866369E-2</v>
      </c>
      <c r="V72" s="257">
        <v>0.57795670883031902</v>
      </c>
      <c r="W72" s="257">
        <v>6.7871169806029323E-3</v>
      </c>
      <c r="X72" s="257">
        <v>2.3363997886881493E-2</v>
      </c>
      <c r="Y72" s="257">
        <v>8.1494441128717607E-2</v>
      </c>
      <c r="Z72" s="257">
        <v>6.1304788406597338E-2</v>
      </c>
      <c r="AA72" s="257">
        <v>3.2095063406238335E-2</v>
      </c>
      <c r="AB72" s="257">
        <v>5.6941089656669221E-3</v>
      </c>
      <c r="AC72" s="257">
        <v>0.1670723568565543</v>
      </c>
      <c r="AD72" s="257" t="s">
        <v>93</v>
      </c>
      <c r="AE72" s="257" t="s">
        <v>93</v>
      </c>
      <c r="AF72" s="257" t="s">
        <v>93</v>
      </c>
      <c r="AG72" s="257" t="s">
        <v>93</v>
      </c>
      <c r="AH72" s="257" t="s">
        <v>93</v>
      </c>
      <c r="AI72" s="257"/>
      <c r="AJ72" s="257"/>
      <c r="AK72" s="257"/>
      <c r="AL72" s="257"/>
      <c r="AM72" s="257"/>
      <c r="AN72" s="257"/>
      <c r="AO72" s="158" t="s">
        <v>26</v>
      </c>
    </row>
    <row r="73" spans="1:41" ht="14.1" hidden="1" customHeight="1">
      <c r="A73" s="68" t="s">
        <v>27</v>
      </c>
      <c r="B73" s="257">
        <v>0.80988035854965301</v>
      </c>
      <c r="C73" s="257">
        <v>1.0827745133533706</v>
      </c>
      <c r="D73" s="257">
        <v>0.56321046330115498</v>
      </c>
      <c r="E73" s="257">
        <v>0.22048641319535667</v>
      </c>
      <c r="F73" s="257">
        <v>0.11847406268112071</v>
      </c>
      <c r="G73" s="257">
        <v>0.14524323757077504</v>
      </c>
      <c r="H73" s="257">
        <v>0.10435355191116404</v>
      </c>
      <c r="I73" s="257">
        <v>1.3766037717216548</v>
      </c>
      <c r="J73" s="257">
        <v>8.2276107050314913E-3</v>
      </c>
      <c r="K73" s="257">
        <v>0.1100984533318056</v>
      </c>
      <c r="L73" s="257">
        <v>0.7106001586212114</v>
      </c>
      <c r="M73" s="257">
        <v>0.22172252647271035</v>
      </c>
      <c r="N73" s="257">
        <v>0.69406758027011317</v>
      </c>
      <c r="O73" s="257">
        <v>3.0192194795140357</v>
      </c>
      <c r="P73" s="257">
        <v>0.12610506790680648</v>
      </c>
      <c r="Q73" s="257">
        <v>0.30271241467867133</v>
      </c>
      <c r="R73" s="257">
        <v>0.54853904634670636</v>
      </c>
      <c r="S73" s="257">
        <v>0.55383010238458374</v>
      </c>
      <c r="T73" s="257">
        <v>0.80817221935998007</v>
      </c>
      <c r="U73" s="257">
        <v>3.831939240831099E-2</v>
      </c>
      <c r="V73" s="257">
        <v>0.5746025705429717</v>
      </c>
      <c r="W73" s="257">
        <v>6.7556531628094442E-3</v>
      </c>
      <c r="X73" s="257">
        <v>2.2732907026477029E-2</v>
      </c>
      <c r="Y73" s="257">
        <v>7.8502654172001959E-2</v>
      </c>
      <c r="Z73" s="257">
        <v>6.0616618262798419E-2</v>
      </c>
      <c r="AA73" s="257">
        <v>3.0689001837316803E-2</v>
      </c>
      <c r="AB73" s="257">
        <v>5.6763999197452465E-3</v>
      </c>
      <c r="AC73" s="257">
        <v>0.14740482358641224</v>
      </c>
      <c r="AD73" s="257" t="s">
        <v>93</v>
      </c>
      <c r="AE73" s="257" t="s">
        <v>93</v>
      </c>
      <c r="AF73" s="257" t="s">
        <v>93</v>
      </c>
      <c r="AG73" s="257" t="s">
        <v>93</v>
      </c>
      <c r="AH73" s="257" t="s">
        <v>93</v>
      </c>
      <c r="AI73" s="257"/>
      <c r="AJ73" s="257"/>
      <c r="AK73" s="257"/>
      <c r="AL73" s="257"/>
      <c r="AM73" s="257"/>
      <c r="AN73" s="257"/>
      <c r="AO73" s="158" t="s">
        <v>27</v>
      </c>
    </row>
    <row r="74" spans="1:41" ht="14.1" hidden="1" customHeight="1">
      <c r="A74" s="68" t="s">
        <v>28</v>
      </c>
      <c r="B74" s="257">
        <v>0.80890347898281012</v>
      </c>
      <c r="C74" s="257">
        <v>1.0294431257340853</v>
      </c>
      <c r="D74" s="257">
        <v>0.52991796936814151</v>
      </c>
      <c r="E74" s="257">
        <v>0.22021684862229091</v>
      </c>
      <c r="F74" s="257">
        <v>0.11846482661970711</v>
      </c>
      <c r="G74" s="257">
        <v>0.1382221585665645</v>
      </c>
      <c r="H74" s="257">
        <v>0.10436134391154191</v>
      </c>
      <c r="I74" s="257">
        <v>1.2419093397120897</v>
      </c>
      <c r="J74" s="257">
        <v>8.006215215846095E-3</v>
      </c>
      <c r="K74" s="257">
        <v>0.10180978075662155</v>
      </c>
      <c r="L74" s="257">
        <v>0.68042248336099631</v>
      </c>
      <c r="M74" s="257">
        <v>0.20840374012986845</v>
      </c>
      <c r="N74" s="257">
        <v>0.66212467905413497</v>
      </c>
      <c r="O74" s="257">
        <v>2.9815226784934579</v>
      </c>
      <c r="P74" s="257">
        <v>0.11681828713843938</v>
      </c>
      <c r="Q74" s="257">
        <v>0.27714455426277174</v>
      </c>
      <c r="R74" s="257">
        <v>0.53693023825692898</v>
      </c>
      <c r="S74" s="257">
        <v>0.50574218170880003</v>
      </c>
      <c r="T74" s="257">
        <v>0.83633995364547498</v>
      </c>
      <c r="U74" s="257">
        <v>3.8086498141703735E-2</v>
      </c>
      <c r="V74" s="257">
        <v>0.51546166149476891</v>
      </c>
      <c r="W74" s="257">
        <v>6.7350391952121147E-3</v>
      </c>
      <c r="X74" s="257">
        <v>2.0726313405782806E-2</v>
      </c>
      <c r="Y74" s="257">
        <v>7.7885590433405219E-2</v>
      </c>
      <c r="Z74" s="257">
        <v>5.9631634059637867E-2</v>
      </c>
      <c r="AA74" s="257">
        <v>2.9650360663076004E-2</v>
      </c>
      <c r="AB74" s="257">
        <v>8.8904059011715251E-3</v>
      </c>
      <c r="AC74" s="257">
        <v>0.13267452792131099</v>
      </c>
      <c r="AD74" s="257" t="s">
        <v>93</v>
      </c>
      <c r="AE74" s="257" t="s">
        <v>93</v>
      </c>
      <c r="AF74" s="257" t="s">
        <v>93</v>
      </c>
      <c r="AG74" s="257" t="s">
        <v>93</v>
      </c>
      <c r="AH74" s="257" t="s">
        <v>93</v>
      </c>
      <c r="AI74" s="257"/>
      <c r="AJ74" s="257"/>
      <c r="AK74" s="257"/>
      <c r="AL74" s="257"/>
      <c r="AM74" s="257"/>
      <c r="AN74" s="257"/>
      <c r="AO74" s="158" t="s">
        <v>28</v>
      </c>
    </row>
    <row r="75" spans="1:41" ht="14.1" hidden="1" customHeight="1">
      <c r="A75" s="68" t="s">
        <v>29</v>
      </c>
      <c r="B75" s="257">
        <v>0.80460938659767323</v>
      </c>
      <c r="C75" s="257">
        <v>1.0888049013936516</v>
      </c>
      <c r="D75" s="257">
        <v>0.53835257926543456</v>
      </c>
      <c r="E75" s="257">
        <v>0.21905824027696802</v>
      </c>
      <c r="F75" s="257">
        <v>0.1174432498270639</v>
      </c>
      <c r="G75" s="257">
        <v>0.14615325575737231</v>
      </c>
      <c r="H75" s="257">
        <v>0.10381495025480307</v>
      </c>
      <c r="I75" s="257">
        <v>1.1996883262723357</v>
      </c>
      <c r="J75" s="257">
        <v>8.0586810870869694E-3</v>
      </c>
      <c r="K75" s="257">
        <v>0.10060988724229206</v>
      </c>
      <c r="L75" s="257">
        <v>0.70894878399853956</v>
      </c>
      <c r="M75" s="257">
        <v>0.20773618804971894</v>
      </c>
      <c r="N75" s="257">
        <v>0.65225160276314442</v>
      </c>
      <c r="O75" s="257">
        <v>2.9259772764398391</v>
      </c>
      <c r="P75" s="257">
        <v>0.11485484666755746</v>
      </c>
      <c r="Q75" s="257">
        <v>0.27234566259725201</v>
      </c>
      <c r="R75" s="257">
        <v>0.5444741145195231</v>
      </c>
      <c r="S75" s="257">
        <v>0.5221345477338899</v>
      </c>
      <c r="T75" s="257">
        <v>0.88511864669938134</v>
      </c>
      <c r="U75" s="257">
        <v>3.6884559437107528E-2</v>
      </c>
      <c r="V75" s="257">
        <v>0.48633715948653428</v>
      </c>
      <c r="W75" s="257">
        <v>6.6711357410423272E-3</v>
      </c>
      <c r="X75" s="257">
        <v>2.043122466791885E-2</v>
      </c>
      <c r="Y75" s="257">
        <v>7.7339153203337604E-2</v>
      </c>
      <c r="Z75" s="257">
        <v>5.8307955863726238E-2</v>
      </c>
      <c r="AA75" s="257">
        <v>2.869188294072407E-2</v>
      </c>
      <c r="AB75" s="257">
        <v>8.5683222610019056E-3</v>
      </c>
      <c r="AC75" s="257">
        <v>0.10275022948050368</v>
      </c>
      <c r="AD75" s="257" t="s">
        <v>93</v>
      </c>
      <c r="AE75" s="257" t="s">
        <v>93</v>
      </c>
      <c r="AF75" s="257" t="s">
        <v>93</v>
      </c>
      <c r="AG75" s="257" t="s">
        <v>93</v>
      </c>
      <c r="AH75" s="257" t="s">
        <v>93</v>
      </c>
      <c r="AI75" s="257"/>
      <c r="AJ75" s="257"/>
      <c r="AK75" s="257"/>
      <c r="AL75" s="257"/>
      <c r="AM75" s="257"/>
      <c r="AN75" s="257"/>
      <c r="AO75" s="158" t="s">
        <v>29</v>
      </c>
    </row>
    <row r="76" spans="1:41" ht="14.1" hidden="1" customHeight="1">
      <c r="A76" s="68" t="s">
        <v>43</v>
      </c>
      <c r="B76" s="257">
        <v>0.80377492563930553</v>
      </c>
      <c r="C76" s="257">
        <v>1.1204167221535182</v>
      </c>
      <c r="D76" s="257">
        <v>0.63571862559353476</v>
      </c>
      <c r="E76" s="257">
        <v>0.21884423639156805</v>
      </c>
      <c r="F76" s="257">
        <v>0.1176685415462858</v>
      </c>
      <c r="G76" s="257">
        <v>0.15046778384534346</v>
      </c>
      <c r="H76" s="257">
        <v>0.10368875502014531</v>
      </c>
      <c r="I76" s="257">
        <v>1.2577564973303781</v>
      </c>
      <c r="J76" s="257">
        <v>8.1395184987713923E-3</v>
      </c>
      <c r="K76" s="257">
        <v>0.10571022744460662</v>
      </c>
      <c r="L76" s="257">
        <v>0.74189236315489693</v>
      </c>
      <c r="M76" s="257">
        <v>0.20497890103825553</v>
      </c>
      <c r="N76" s="257">
        <v>0.70693213208204764</v>
      </c>
      <c r="O76" s="257">
        <v>2.7892915798169948</v>
      </c>
      <c r="P76" s="257">
        <v>0.12837515004024869</v>
      </c>
      <c r="Q76" s="257">
        <v>0.25995552040233172</v>
      </c>
      <c r="R76" s="257">
        <v>0.55318242309164445</v>
      </c>
      <c r="S76" s="257">
        <v>0.51847697250557978</v>
      </c>
      <c r="T76" s="257">
        <v>0.86095175267574608</v>
      </c>
      <c r="U76" s="257">
        <v>2.8849336018701575E-2</v>
      </c>
      <c r="V76" s="257">
        <v>0.48151542747367837</v>
      </c>
      <c r="W76" s="257">
        <v>5.4683524484943355E-3</v>
      </c>
      <c r="X76" s="257">
        <v>1.8814572945711691E-2</v>
      </c>
      <c r="Y76" s="257">
        <v>7.2381269517133195E-2</v>
      </c>
      <c r="Z76" s="257">
        <v>5.4897725096457489E-2</v>
      </c>
      <c r="AA76" s="257">
        <v>2.5421748622190474E-2</v>
      </c>
      <c r="AB76" s="257">
        <v>0.27292114334980644</v>
      </c>
      <c r="AC76" s="257">
        <v>9.974936750806189E-2</v>
      </c>
      <c r="AD76" s="257" t="s">
        <v>93</v>
      </c>
      <c r="AE76" s="257" t="s">
        <v>93</v>
      </c>
      <c r="AF76" s="257" t="s">
        <v>93</v>
      </c>
      <c r="AG76" s="257" t="s">
        <v>93</v>
      </c>
      <c r="AH76" s="257" t="s">
        <v>93</v>
      </c>
      <c r="AI76" s="257"/>
      <c r="AJ76" s="257"/>
      <c r="AK76" s="257"/>
      <c r="AL76" s="257"/>
      <c r="AM76" s="257"/>
      <c r="AN76" s="257"/>
      <c r="AO76" s="68" t="s">
        <v>43</v>
      </c>
    </row>
    <row r="77" spans="1:41" ht="14.1" hidden="1" customHeight="1">
      <c r="A77" s="68" t="s">
        <v>18</v>
      </c>
      <c r="B77" s="257">
        <v>0.80349677854719892</v>
      </c>
      <c r="C77" s="257">
        <v>1.0744643301385308</v>
      </c>
      <c r="D77" s="257">
        <v>0.5447162756722429</v>
      </c>
      <c r="E77" s="257">
        <v>0.21874330556871061</v>
      </c>
      <c r="F77" s="257">
        <v>0.11753026545125062</v>
      </c>
      <c r="G77" s="257">
        <v>0.14418646114545058</v>
      </c>
      <c r="H77" s="257">
        <v>0.10359021231893729</v>
      </c>
      <c r="I77" s="257">
        <v>1.1648709182107035</v>
      </c>
      <c r="J77" s="257">
        <v>8.1129803837892214E-3</v>
      </c>
      <c r="K77" s="257">
        <v>9.9841589307149023E-2</v>
      </c>
      <c r="L77" s="257">
        <v>0.71944504690311195</v>
      </c>
      <c r="M77" s="257">
        <v>0.20597316658754905</v>
      </c>
      <c r="N77" s="257">
        <v>0.65659509040769914</v>
      </c>
      <c r="O77" s="257">
        <v>2.8269730188052891</v>
      </c>
      <c r="P77" s="257">
        <v>0.11521964289107564</v>
      </c>
      <c r="Q77" s="257">
        <v>0.25562360440573906</v>
      </c>
      <c r="R77" s="257">
        <v>0.5409434992219202</v>
      </c>
      <c r="S77" s="257">
        <v>0.5042383063412047</v>
      </c>
      <c r="T77" s="257">
        <v>0.89031297020551936</v>
      </c>
      <c r="U77" s="257">
        <v>3.11272042616473E-2</v>
      </c>
      <c r="V77" s="257">
        <v>0.48232555214720646</v>
      </c>
      <c r="W77" s="257">
        <v>6.6244461140256734E-3</v>
      </c>
      <c r="X77" s="257">
        <v>2.0206662472944864E-2</v>
      </c>
      <c r="Y77" s="257">
        <v>7.6723193711998997E-2</v>
      </c>
      <c r="Z77" s="257">
        <v>5.7567673621273865E-2</v>
      </c>
      <c r="AA77" s="257">
        <v>2.5646341334251033E-2</v>
      </c>
      <c r="AB77" s="257">
        <v>0.1764722135831796</v>
      </c>
      <c r="AC77" s="257">
        <v>0.10026311998492388</v>
      </c>
      <c r="AD77" s="257" t="s">
        <v>93</v>
      </c>
      <c r="AE77" s="257" t="s">
        <v>93</v>
      </c>
      <c r="AF77" s="257" t="s">
        <v>93</v>
      </c>
      <c r="AG77" s="257" t="s">
        <v>93</v>
      </c>
      <c r="AH77" s="257" t="s">
        <v>93</v>
      </c>
      <c r="AI77" s="257"/>
      <c r="AJ77" s="257"/>
      <c r="AK77" s="257"/>
      <c r="AL77" s="257"/>
      <c r="AM77" s="257"/>
      <c r="AN77" s="257"/>
      <c r="AO77" s="68" t="s">
        <v>18</v>
      </c>
    </row>
    <row r="78" spans="1:41" ht="14.1" hidden="1" customHeight="1">
      <c r="A78" s="68" t="s">
        <v>19</v>
      </c>
      <c r="B78" s="257">
        <v>0.80650263159440228</v>
      </c>
      <c r="C78" s="257">
        <v>1.0313177912243396</v>
      </c>
      <c r="D78" s="257">
        <v>0.52325635394986036</v>
      </c>
      <c r="E78" s="257">
        <v>0.21957343544390545</v>
      </c>
      <c r="F78" s="257">
        <v>0.11799420339285403</v>
      </c>
      <c r="G78" s="257">
        <v>0.13840634909749791</v>
      </c>
      <c r="H78" s="257">
        <v>0.10401344814042558</v>
      </c>
      <c r="I78" s="257">
        <v>1.1613221663113862</v>
      </c>
      <c r="J78" s="257">
        <v>8.3611806313476419E-3</v>
      </c>
      <c r="K78" s="257">
        <v>9.4796415571330964E-2</v>
      </c>
      <c r="L78" s="257">
        <v>0.69200990852652022</v>
      </c>
      <c r="M78" s="257">
        <v>0.19697145279040024</v>
      </c>
      <c r="N78" s="257">
        <v>0.64859374994552221</v>
      </c>
      <c r="O78" s="257">
        <v>2.7515566470064168</v>
      </c>
      <c r="P78" s="257">
        <v>0.1172649344528961</v>
      </c>
      <c r="Q78" s="257">
        <v>0.22223813752153568</v>
      </c>
      <c r="R78" s="257">
        <v>0.53112873518777504</v>
      </c>
      <c r="S78" s="257">
        <v>0.48518010958418445</v>
      </c>
      <c r="T78" s="257">
        <v>0.87367529738575722</v>
      </c>
      <c r="U78" s="257">
        <v>2.8745722573580667E-2</v>
      </c>
      <c r="V78" s="257">
        <v>0.48222471921342713</v>
      </c>
      <c r="W78" s="257">
        <v>5.5645858448580146E-3</v>
      </c>
      <c r="X78" s="257">
        <v>1.9650097303890422E-2</v>
      </c>
      <c r="Y78" s="257">
        <v>7.609129862096875E-2</v>
      </c>
      <c r="Z78" s="257">
        <v>5.740850777623565E-2</v>
      </c>
      <c r="AA78" s="257">
        <v>2.2545251209371869E-2</v>
      </c>
      <c r="AB78" s="257">
        <v>0.28263628231799626</v>
      </c>
      <c r="AC78" s="257">
        <v>9.8802863440047337E-2</v>
      </c>
      <c r="AD78" s="257" t="s">
        <v>93</v>
      </c>
      <c r="AE78" s="257" t="s">
        <v>93</v>
      </c>
      <c r="AF78" s="257" t="s">
        <v>93</v>
      </c>
      <c r="AG78" s="257" t="s">
        <v>93</v>
      </c>
      <c r="AH78" s="257" t="s">
        <v>93</v>
      </c>
      <c r="AI78" s="257"/>
      <c r="AJ78" s="257"/>
      <c r="AK78" s="257"/>
      <c r="AL78" s="257"/>
      <c r="AM78" s="257"/>
      <c r="AN78" s="257"/>
      <c r="AO78" s="68" t="s">
        <v>19</v>
      </c>
    </row>
    <row r="79" spans="1:41" ht="14.1" hidden="1" customHeight="1">
      <c r="A79" s="68" t="s">
        <v>20</v>
      </c>
      <c r="B79" s="257">
        <v>0.80388843476435279</v>
      </c>
      <c r="C79" s="257">
        <v>1.0463227035236171</v>
      </c>
      <c r="D79" s="257">
        <v>0.53035344234936854</v>
      </c>
      <c r="E79" s="257">
        <v>0.21885878312723606</v>
      </c>
      <c r="F79" s="257">
        <v>0.11763843413783732</v>
      </c>
      <c r="G79" s="257">
        <v>0.14041802544356752</v>
      </c>
      <c r="H79" s="257">
        <v>0.10367781953355946</v>
      </c>
      <c r="I79" s="257">
        <v>1.1355683178300195</v>
      </c>
      <c r="J79" s="257">
        <v>8.2036724406482874E-3</v>
      </c>
      <c r="K79" s="257">
        <v>9.3847793691543002E-2</v>
      </c>
      <c r="L79" s="257">
        <v>0.69244265799554905</v>
      </c>
      <c r="M79" s="257">
        <v>0.19332278103070877</v>
      </c>
      <c r="N79" s="257">
        <v>0.63489980406191704</v>
      </c>
      <c r="O79" s="257">
        <v>2.7376912809196545</v>
      </c>
      <c r="P79" s="257">
        <v>0.11814040533805235</v>
      </c>
      <c r="Q79" s="257">
        <v>0.22804265957856173</v>
      </c>
      <c r="R79" s="257">
        <v>0.52461652228448941</v>
      </c>
      <c r="S79" s="257">
        <v>0.47078625328341356</v>
      </c>
      <c r="T79" s="257">
        <v>0.82550155518686941</v>
      </c>
      <c r="U79" s="257">
        <v>2.8080188038293829E-2</v>
      </c>
      <c r="V79" s="257">
        <v>0.47971718557336906</v>
      </c>
      <c r="W79" s="257">
        <v>5.3308164705470045E-3</v>
      </c>
      <c r="X79" s="257">
        <v>1.9088231927784104E-2</v>
      </c>
      <c r="Y79" s="257">
        <v>7.4214341002157333E-2</v>
      </c>
      <c r="Z79" s="257">
        <v>5.6661792717886128E-2</v>
      </c>
      <c r="AA79" s="257">
        <v>2.3094167170223397E-2</v>
      </c>
      <c r="AB79" s="257">
        <v>0.28172014535284823</v>
      </c>
      <c r="AC79" s="257">
        <v>0.10009719320277212</v>
      </c>
      <c r="AD79" s="257" t="s">
        <v>93</v>
      </c>
      <c r="AE79" s="257" t="s">
        <v>93</v>
      </c>
      <c r="AF79" s="257" t="s">
        <v>93</v>
      </c>
      <c r="AG79" s="257" t="s">
        <v>93</v>
      </c>
      <c r="AH79" s="257" t="s">
        <v>93</v>
      </c>
      <c r="AI79" s="257"/>
      <c r="AJ79" s="257"/>
      <c r="AK79" s="257"/>
      <c r="AL79" s="257"/>
      <c r="AM79" s="257"/>
      <c r="AN79" s="257"/>
      <c r="AO79" s="68" t="s">
        <v>20</v>
      </c>
    </row>
    <row r="80" spans="1:41" ht="14.1" hidden="1" customHeight="1">
      <c r="A80" s="68" t="s">
        <v>21</v>
      </c>
      <c r="B80" s="257">
        <v>0.80319404945564621</v>
      </c>
      <c r="C80" s="257">
        <v>1.0599721037600156</v>
      </c>
      <c r="D80" s="257">
        <v>0.5733653049060492</v>
      </c>
      <c r="E80" s="257">
        <v>0.21866856308606905</v>
      </c>
      <c r="F80" s="257">
        <v>0.11758486434629378</v>
      </c>
      <c r="G80" s="257">
        <v>0.142291440813789</v>
      </c>
      <c r="H80" s="257">
        <v>0.10363232616691802</v>
      </c>
      <c r="I80" s="257">
        <v>1.1807561914828071</v>
      </c>
      <c r="J80" s="257">
        <v>8.0331699932758901E-3</v>
      </c>
      <c r="K80" s="257">
        <v>9.7510277018801647E-2</v>
      </c>
      <c r="L80" s="257">
        <v>0.6994467202773097</v>
      </c>
      <c r="M80" s="257">
        <v>0.19182586661143966</v>
      </c>
      <c r="N80" s="257">
        <v>0.65440992834079248</v>
      </c>
      <c r="O80" s="257">
        <v>2.754638178610664</v>
      </c>
      <c r="P80" s="257">
        <v>0.12062925933892546</v>
      </c>
      <c r="Q80" s="257">
        <v>0.24035066050378867</v>
      </c>
      <c r="R80" s="257">
        <v>0.53373016020835284</v>
      </c>
      <c r="S80" s="257">
        <v>0.50016612196962529</v>
      </c>
      <c r="T80" s="257">
        <v>0.81255681810303571</v>
      </c>
      <c r="U80" s="257">
        <v>2.8378630587148568E-2</v>
      </c>
      <c r="V80" s="257">
        <v>0.48322256889525927</v>
      </c>
      <c r="W80" s="257">
        <v>5.3292729492870859E-3</v>
      </c>
      <c r="X80" s="257">
        <v>1.8865391648987578E-2</v>
      </c>
      <c r="Y80" s="257">
        <v>7.1773105375077834E-2</v>
      </c>
      <c r="Z80" s="257">
        <v>5.5802762003960879E-2</v>
      </c>
      <c r="AA80" s="257">
        <v>2.3938468123633892E-2</v>
      </c>
      <c r="AB80" s="257">
        <v>0.28147680022976912</v>
      </c>
      <c r="AC80" s="257">
        <v>9.9658429354873984E-2</v>
      </c>
      <c r="AD80" s="257" t="s">
        <v>93</v>
      </c>
      <c r="AE80" s="257" t="s">
        <v>93</v>
      </c>
      <c r="AF80" s="257" t="s">
        <v>93</v>
      </c>
      <c r="AG80" s="257" t="s">
        <v>93</v>
      </c>
      <c r="AH80" s="257" t="s">
        <v>93</v>
      </c>
      <c r="AI80" s="257"/>
      <c r="AJ80" s="257"/>
      <c r="AK80" s="257"/>
      <c r="AL80" s="257"/>
      <c r="AM80" s="257"/>
      <c r="AN80" s="257"/>
      <c r="AO80" s="68" t="s">
        <v>21</v>
      </c>
    </row>
    <row r="81" spans="1:41" ht="14.1" hidden="1" customHeight="1">
      <c r="A81" s="68" t="s">
        <v>22</v>
      </c>
      <c r="B81" s="257">
        <v>0.80356167761731123</v>
      </c>
      <c r="C81" s="257">
        <v>1.0946490716033543</v>
      </c>
      <c r="D81" s="257">
        <v>0.61189480906129168</v>
      </c>
      <c r="E81" s="257">
        <v>0.21879750462368489</v>
      </c>
      <c r="F81" s="257">
        <v>0.11775336584079017</v>
      </c>
      <c r="G81" s="257">
        <v>0.1469871138133122</v>
      </c>
      <c r="H81" s="257">
        <v>0.10366956384924496</v>
      </c>
      <c r="I81" s="257">
        <v>1.2352899796165531</v>
      </c>
      <c r="J81" s="257">
        <v>8.187307885342639E-3</v>
      </c>
      <c r="K81" s="257">
        <v>0.10341060098341877</v>
      </c>
      <c r="L81" s="257">
        <v>0.72389222199659364</v>
      </c>
      <c r="M81" s="257">
        <v>0.19724835804714907</v>
      </c>
      <c r="N81" s="257">
        <v>0.69568735735098808</v>
      </c>
      <c r="O81" s="257">
        <v>2.7736777781608204</v>
      </c>
      <c r="P81" s="257">
        <v>0.12451397093257582</v>
      </c>
      <c r="Q81" s="257">
        <v>0.2479213733784725</v>
      </c>
      <c r="R81" s="257">
        <v>0.54952727226151621</v>
      </c>
      <c r="S81" s="257">
        <v>0.51491020134953025</v>
      </c>
      <c r="T81" s="257">
        <v>0.83130810565836244</v>
      </c>
      <c r="U81" s="257">
        <v>2.8878159576115562E-2</v>
      </c>
      <c r="V81" s="257">
        <v>0.48776245770248444</v>
      </c>
      <c r="W81" s="257">
        <v>5.3419934930815241E-3</v>
      </c>
      <c r="X81" s="257">
        <v>1.8874026485433029E-2</v>
      </c>
      <c r="Y81" s="257">
        <v>7.1471280861550787E-2</v>
      </c>
      <c r="Z81" s="257">
        <v>5.5111267237302933E-2</v>
      </c>
      <c r="AA81" s="257">
        <v>2.5081752882047854E-2</v>
      </c>
      <c r="AB81" s="257">
        <v>0.28160563434985514</v>
      </c>
      <c r="AC81" s="257">
        <v>0.1030587145158286</v>
      </c>
      <c r="AD81" s="257" t="s">
        <v>93</v>
      </c>
      <c r="AE81" s="257" t="s">
        <v>93</v>
      </c>
      <c r="AF81" s="257" t="s">
        <v>93</v>
      </c>
      <c r="AG81" s="257" t="s">
        <v>93</v>
      </c>
      <c r="AH81" s="257" t="s">
        <v>93</v>
      </c>
      <c r="AI81" s="257"/>
      <c r="AJ81" s="257"/>
      <c r="AK81" s="257"/>
      <c r="AL81" s="257"/>
      <c r="AM81" s="257"/>
      <c r="AN81" s="257"/>
      <c r="AO81" s="68" t="s">
        <v>22</v>
      </c>
    </row>
    <row r="82" spans="1:41" ht="14.1" hidden="1" customHeight="1">
      <c r="A82" s="68" t="s">
        <v>23</v>
      </c>
      <c r="B82" s="257">
        <v>0.80386224461596345</v>
      </c>
      <c r="C82" s="257">
        <v>1.1280768196375102</v>
      </c>
      <c r="D82" s="257">
        <v>0.64533976951705507</v>
      </c>
      <c r="E82" s="257">
        <v>0.21897299082407226</v>
      </c>
      <c r="F82" s="257">
        <v>0.11762902899883544</v>
      </c>
      <c r="G82" s="257">
        <v>0.1515112170053711</v>
      </c>
      <c r="H82" s="257">
        <v>0.10370951094484651</v>
      </c>
      <c r="I82" s="257">
        <v>1.3158376787904584</v>
      </c>
      <c r="J82" s="257">
        <v>8.177740142293102E-3</v>
      </c>
      <c r="K82" s="257">
        <v>0.10370167631319487</v>
      </c>
      <c r="L82" s="257">
        <v>0.74461912266074792</v>
      </c>
      <c r="M82" s="257">
        <v>0.20390547584580815</v>
      </c>
      <c r="N82" s="257">
        <v>0.71582291424651168</v>
      </c>
      <c r="O82" s="257">
        <v>2.7925913449681659</v>
      </c>
      <c r="P82" s="257">
        <v>0.12610610578351258</v>
      </c>
      <c r="Q82" s="257">
        <v>0.2500473858639094</v>
      </c>
      <c r="R82" s="257">
        <v>0.55369171906978776</v>
      </c>
      <c r="S82" s="257">
        <v>0.51993750441693587</v>
      </c>
      <c r="T82" s="257">
        <v>0.83224091421706814</v>
      </c>
      <c r="U82" s="257">
        <v>2.8496495604658702E-2</v>
      </c>
      <c r="V82" s="257">
        <v>0.48720357015903087</v>
      </c>
      <c r="W82" s="257">
        <v>5.3457606427014335E-3</v>
      </c>
      <c r="X82" s="257">
        <v>1.8881086191801844E-2</v>
      </c>
      <c r="Y82" s="257">
        <v>7.1744012509784391E-2</v>
      </c>
      <c r="Z82" s="257">
        <v>5.4498184127376378E-2</v>
      </c>
      <c r="AA82" s="257">
        <v>2.5892770985001735E-2</v>
      </c>
      <c r="AB82" s="257">
        <v>0.28171096709863802</v>
      </c>
      <c r="AC82" s="257">
        <v>0.10474291274852841</v>
      </c>
      <c r="AD82" s="257" t="s">
        <v>93</v>
      </c>
      <c r="AE82" s="257" t="s">
        <v>93</v>
      </c>
      <c r="AF82" s="257" t="s">
        <v>93</v>
      </c>
      <c r="AG82" s="257" t="s">
        <v>93</v>
      </c>
      <c r="AH82" s="257" t="s">
        <v>93</v>
      </c>
      <c r="AI82" s="257"/>
      <c r="AJ82" s="257"/>
      <c r="AK82" s="257"/>
      <c r="AL82" s="257"/>
      <c r="AM82" s="257"/>
      <c r="AN82" s="257"/>
      <c r="AO82" s="68" t="s">
        <v>23</v>
      </c>
    </row>
    <row r="83" spans="1:41" ht="14.1" hidden="1" customHeight="1">
      <c r="A83" s="68" t="s">
        <v>24</v>
      </c>
      <c r="B83" s="257">
        <v>0.80420480655474647</v>
      </c>
      <c r="C83" s="257">
        <v>1.131619226135208</v>
      </c>
      <c r="D83" s="257">
        <v>0.64521009474138991</v>
      </c>
      <c r="E83" s="257">
        <v>0.21895366601186139</v>
      </c>
      <c r="F83" s="257">
        <v>0.11770097371720753</v>
      </c>
      <c r="G83" s="257">
        <v>0.15198107689202503</v>
      </c>
      <c r="H83" s="257">
        <v>0.10376484205057869</v>
      </c>
      <c r="I83" s="257">
        <v>1.316575968649432</v>
      </c>
      <c r="J83" s="257">
        <v>8.0685528908636256E-3</v>
      </c>
      <c r="K83" s="257">
        <v>0.10431187646784283</v>
      </c>
      <c r="L83" s="257">
        <v>0.74495067126665904</v>
      </c>
      <c r="M83" s="257">
        <v>0.20672895632936591</v>
      </c>
      <c r="N83" s="257">
        <v>0.713635272530739</v>
      </c>
      <c r="O83" s="257">
        <v>2.7984690181180691</v>
      </c>
      <c r="P83" s="257">
        <v>0.12616919964673001</v>
      </c>
      <c r="Q83" s="257">
        <v>0.2627514956338336</v>
      </c>
      <c r="R83" s="257">
        <v>0.55445443467462963</v>
      </c>
      <c r="S83" s="257">
        <v>0.52862601910376916</v>
      </c>
      <c r="T83" s="257">
        <v>0.85187275114738215</v>
      </c>
      <c r="U83" s="257">
        <v>2.8315568187384742E-2</v>
      </c>
      <c r="V83" s="257">
        <v>0.48255022079030485</v>
      </c>
      <c r="W83" s="257">
        <v>5.338579032857985E-3</v>
      </c>
      <c r="X83" s="257">
        <v>1.8590450109214788E-2</v>
      </c>
      <c r="Y83" s="257">
        <v>7.1654529349364005E-2</v>
      </c>
      <c r="Z83" s="257">
        <v>5.4119510274560197E-2</v>
      </c>
      <c r="AA83" s="257">
        <v>2.5531192556688447E-2</v>
      </c>
      <c r="AB83" s="257">
        <v>0.281831016840633</v>
      </c>
      <c r="AC83" s="257">
        <v>0.10382519182331701</v>
      </c>
      <c r="AD83" s="257" t="s">
        <v>93</v>
      </c>
      <c r="AE83" s="257" t="s">
        <v>93</v>
      </c>
      <c r="AF83" s="257" t="s">
        <v>93</v>
      </c>
      <c r="AG83" s="257" t="s">
        <v>93</v>
      </c>
      <c r="AH83" s="257" t="s">
        <v>93</v>
      </c>
      <c r="AI83" s="257"/>
      <c r="AJ83" s="257"/>
      <c r="AK83" s="257"/>
      <c r="AL83" s="257"/>
      <c r="AM83" s="257"/>
      <c r="AN83" s="257"/>
      <c r="AO83" s="68" t="s">
        <v>24</v>
      </c>
    </row>
    <row r="84" spans="1:41" ht="14.1" hidden="1" customHeight="1">
      <c r="A84" s="68" t="s">
        <v>25</v>
      </c>
      <c r="B84" s="257">
        <v>0.80407256428598639</v>
      </c>
      <c r="C84" s="257">
        <v>1.1467653016156194</v>
      </c>
      <c r="D84" s="257">
        <v>0.67102953606008053</v>
      </c>
      <c r="E84" s="257">
        <v>0.21891689233198017</v>
      </c>
      <c r="F84" s="257">
        <v>0.11768223315923516</v>
      </c>
      <c r="G84" s="257">
        <v>0.15405224917018082</v>
      </c>
      <c r="H84" s="257">
        <v>0.10374132509105291</v>
      </c>
      <c r="I84" s="257">
        <v>1.3294603396793097</v>
      </c>
      <c r="J84" s="257">
        <v>8.0848435874347896E-3</v>
      </c>
      <c r="K84" s="257">
        <v>0.11204176397293125</v>
      </c>
      <c r="L84" s="257">
        <v>0.75240691574018459</v>
      </c>
      <c r="M84" s="257">
        <v>0.21006636645255677</v>
      </c>
      <c r="N84" s="257">
        <v>0.73975101877245997</v>
      </c>
      <c r="O84" s="257">
        <v>2.8008288480081616</v>
      </c>
      <c r="P84" s="257">
        <v>0.13233172252629133</v>
      </c>
      <c r="Q84" s="257">
        <v>0.27755785943699812</v>
      </c>
      <c r="R84" s="257">
        <v>0.55772411546813916</v>
      </c>
      <c r="S84" s="257">
        <v>0.54117312009043894</v>
      </c>
      <c r="T84" s="257">
        <v>0.84863787117422185</v>
      </c>
      <c r="U84" s="257">
        <v>2.8368413196506327E-2</v>
      </c>
      <c r="V84" s="257">
        <v>0.47972063665692216</v>
      </c>
      <c r="W84" s="257">
        <v>5.3321719372423169E-3</v>
      </c>
      <c r="X84" s="257">
        <v>1.8398796909822417E-2</v>
      </c>
      <c r="Y84" s="257">
        <v>7.1618046828641618E-2</v>
      </c>
      <c r="Z84" s="257">
        <v>5.3897284295790333E-2</v>
      </c>
      <c r="AA84" s="257">
        <v>2.5421467358283923E-2</v>
      </c>
      <c r="AB84" s="257">
        <v>0.28178467295811699</v>
      </c>
      <c r="AC84" s="257">
        <v>9.7480449958315243E-2</v>
      </c>
      <c r="AD84" s="257" t="s">
        <v>93</v>
      </c>
      <c r="AE84" s="257" t="s">
        <v>93</v>
      </c>
      <c r="AF84" s="257" t="s">
        <v>93</v>
      </c>
      <c r="AG84" s="257" t="s">
        <v>93</v>
      </c>
      <c r="AH84" s="257" t="s">
        <v>93</v>
      </c>
      <c r="AI84" s="257"/>
      <c r="AJ84" s="257"/>
      <c r="AK84" s="257"/>
      <c r="AL84" s="257"/>
      <c r="AM84" s="257"/>
      <c r="AN84" s="257"/>
      <c r="AO84" s="68" t="s">
        <v>25</v>
      </c>
    </row>
    <row r="85" spans="1:41" ht="14.1" hidden="1" customHeight="1">
      <c r="A85" s="68" t="s">
        <v>26</v>
      </c>
      <c r="B85" s="257">
        <v>0.80350059497643689</v>
      </c>
      <c r="C85" s="257">
        <v>1.1694799885454641</v>
      </c>
      <c r="D85" s="257">
        <v>0.69144134173662197</v>
      </c>
      <c r="E85" s="257">
        <v>0.21876801291014242</v>
      </c>
      <c r="F85" s="257">
        <v>0.11766356854848219</v>
      </c>
      <c r="G85" s="257">
        <v>0.15713008165995065</v>
      </c>
      <c r="H85" s="257">
        <v>0.10367123074557909</v>
      </c>
      <c r="I85" s="257">
        <v>1.3126105781849331</v>
      </c>
      <c r="J85" s="257">
        <v>8.116743753162358E-3</v>
      </c>
      <c r="K85" s="257">
        <v>0.11471823848079048</v>
      </c>
      <c r="L85" s="257">
        <v>0.77220473945492885</v>
      </c>
      <c r="M85" s="257">
        <v>0.21339957947703597</v>
      </c>
      <c r="N85" s="257">
        <v>0.74237264064980857</v>
      </c>
      <c r="O85" s="257">
        <v>2.8026966695384847</v>
      </c>
      <c r="P85" s="257">
        <v>0.13586577883333231</v>
      </c>
      <c r="Q85" s="257">
        <v>0.28171289825184348</v>
      </c>
      <c r="R85" s="257">
        <v>0.56423627836038637</v>
      </c>
      <c r="S85" s="257">
        <v>0.53915877516135635</v>
      </c>
      <c r="T85" s="257">
        <v>0.8789502704239921</v>
      </c>
      <c r="U85" s="257">
        <v>2.8791323627002128E-2</v>
      </c>
      <c r="V85" s="257">
        <v>0.47769783282260203</v>
      </c>
      <c r="W85" s="257">
        <v>5.3253654222982219E-3</v>
      </c>
      <c r="X85" s="257">
        <v>1.8274393428684383E-2</v>
      </c>
      <c r="Y85" s="257">
        <v>7.1112102723678905E-2</v>
      </c>
      <c r="Z85" s="257">
        <v>5.3689688773520643E-2</v>
      </c>
      <c r="AA85" s="257">
        <v>2.6090917465507926E-2</v>
      </c>
      <c r="AB85" s="257">
        <v>0.28158422813262191</v>
      </c>
      <c r="AC85" s="257">
        <v>9.3692077593513626E-2</v>
      </c>
      <c r="AD85" s="257" t="s">
        <v>93</v>
      </c>
      <c r="AE85" s="257" t="s">
        <v>93</v>
      </c>
      <c r="AF85" s="257" t="s">
        <v>93</v>
      </c>
      <c r="AG85" s="257" t="s">
        <v>93</v>
      </c>
      <c r="AH85" s="257" t="s">
        <v>93</v>
      </c>
      <c r="AI85" s="257"/>
      <c r="AJ85" s="257"/>
      <c r="AK85" s="257"/>
      <c r="AL85" s="257"/>
      <c r="AM85" s="257"/>
      <c r="AN85" s="257"/>
      <c r="AO85" s="68" t="s">
        <v>26</v>
      </c>
    </row>
    <row r="86" spans="1:41" ht="14.1" hidden="1" customHeight="1">
      <c r="A86" s="68" t="s">
        <v>27</v>
      </c>
      <c r="B86" s="257">
        <v>0.8031940107178015</v>
      </c>
      <c r="C86" s="257">
        <v>1.1902211661009774</v>
      </c>
      <c r="D86" s="257">
        <v>0.72875319366183455</v>
      </c>
      <c r="E86" s="257">
        <v>0.21868876019006112</v>
      </c>
      <c r="F86" s="257">
        <v>0.11765146506842232</v>
      </c>
      <c r="G86" s="257">
        <v>0.1598944168887384</v>
      </c>
      <c r="H86" s="257">
        <v>0.10363569357366467</v>
      </c>
      <c r="I86" s="257">
        <v>1.301990543608448</v>
      </c>
      <c r="J86" s="257">
        <v>8.1180168220890882E-3</v>
      </c>
      <c r="K86" s="257">
        <v>0.1156239493881254</v>
      </c>
      <c r="L86" s="257">
        <v>0.7859905798669593</v>
      </c>
      <c r="M86" s="257">
        <v>0.21555739342140215</v>
      </c>
      <c r="N86" s="257">
        <v>0.76234367413194015</v>
      </c>
      <c r="O86" s="257">
        <v>2.8074756467421396</v>
      </c>
      <c r="P86" s="257">
        <v>0.14236046711713224</v>
      </c>
      <c r="Q86" s="257">
        <v>0.28249630662234548</v>
      </c>
      <c r="R86" s="257">
        <v>0.5747080039530571</v>
      </c>
      <c r="S86" s="257">
        <v>0.54569207696398703</v>
      </c>
      <c r="T86" s="257">
        <v>0.89016950152097662</v>
      </c>
      <c r="U86" s="257">
        <v>2.9337506361386725E-2</v>
      </c>
      <c r="V86" s="257">
        <v>0.47935830071579666</v>
      </c>
      <c r="W86" s="257">
        <v>5.3266324808012256E-3</v>
      </c>
      <c r="X86" s="257">
        <v>1.8399508128667013E-2</v>
      </c>
      <c r="Y86" s="257">
        <v>7.2188575693177104E-2</v>
      </c>
      <c r="Z86" s="257">
        <v>5.3504675977796352E-2</v>
      </c>
      <c r="AA86" s="257">
        <v>2.7252838546756752E-2</v>
      </c>
      <c r="AB86" s="257">
        <v>0.28147678665421455</v>
      </c>
      <c r="AC86" s="257">
        <v>9.7037109942639796E-2</v>
      </c>
      <c r="AD86" s="257" t="s">
        <v>93</v>
      </c>
      <c r="AE86" s="257" t="s">
        <v>93</v>
      </c>
      <c r="AF86" s="257" t="s">
        <v>93</v>
      </c>
      <c r="AG86" s="257" t="s">
        <v>93</v>
      </c>
      <c r="AH86" s="257" t="s">
        <v>93</v>
      </c>
      <c r="AI86" s="257"/>
      <c r="AJ86" s="257"/>
      <c r="AK86" s="257"/>
      <c r="AL86" s="257"/>
      <c r="AM86" s="257"/>
      <c r="AN86" s="257"/>
      <c r="AO86" s="68" t="s">
        <v>27</v>
      </c>
    </row>
    <row r="87" spans="1:41" ht="14.1" hidden="1" customHeight="1">
      <c r="A87" s="68" t="s">
        <v>28</v>
      </c>
      <c r="B87" s="257">
        <v>0.80285555974838752</v>
      </c>
      <c r="C87" s="257">
        <v>1.1990126407115853</v>
      </c>
      <c r="D87" s="257">
        <v>0.73928271497375164</v>
      </c>
      <c r="E87" s="257">
        <v>0.21858037753316978</v>
      </c>
      <c r="F87" s="257">
        <v>0.11759554564626812</v>
      </c>
      <c r="G87" s="257">
        <v>0.16113035239247084</v>
      </c>
      <c r="H87" s="257">
        <v>0.10359308490151209</v>
      </c>
      <c r="I87" s="257">
        <v>1.3350521859744835</v>
      </c>
      <c r="J87" s="257">
        <v>8.1012807195080441E-3</v>
      </c>
      <c r="K87" s="257">
        <v>0.11615410031634496</v>
      </c>
      <c r="L87" s="257">
        <v>0.79428054472875531</v>
      </c>
      <c r="M87" s="257">
        <v>0.21281183768026085</v>
      </c>
      <c r="N87" s="257">
        <v>0.75848355461672301</v>
      </c>
      <c r="O87" s="257">
        <v>2.8124226185062735</v>
      </c>
      <c r="P87" s="257">
        <v>0.14254343988043519</v>
      </c>
      <c r="Q87" s="257">
        <v>0.28799210820159094</v>
      </c>
      <c r="R87" s="257">
        <v>0.57827660066129483</v>
      </c>
      <c r="S87" s="257">
        <v>0.53950483373829983</v>
      </c>
      <c r="T87" s="257">
        <v>0.90050005280381329</v>
      </c>
      <c r="U87" s="257">
        <v>2.9408706161031854E-2</v>
      </c>
      <c r="V87" s="257">
        <v>0.47810285734537344</v>
      </c>
      <c r="W87" s="257">
        <v>5.3614546728082604E-3</v>
      </c>
      <c r="X87" s="257">
        <v>1.8316126022663016E-2</v>
      </c>
      <c r="Y87" s="257">
        <v>7.2426653319905374E-2</v>
      </c>
      <c r="Z87" s="257">
        <v>5.3317656164741899E-2</v>
      </c>
      <c r="AA87" s="257">
        <v>2.7799297003856679E-2</v>
      </c>
      <c r="AB87" s="257">
        <v>0.28135817758836074</v>
      </c>
      <c r="AC87" s="257">
        <v>9.8332263782071772E-2</v>
      </c>
      <c r="AD87" s="257" t="s">
        <v>93</v>
      </c>
      <c r="AE87" s="257" t="s">
        <v>93</v>
      </c>
      <c r="AF87" s="257" t="s">
        <v>93</v>
      </c>
      <c r="AG87" s="257" t="s">
        <v>93</v>
      </c>
      <c r="AH87" s="257" t="s">
        <v>93</v>
      </c>
      <c r="AI87" s="257"/>
      <c r="AJ87" s="257"/>
      <c r="AK87" s="257"/>
      <c r="AL87" s="257"/>
      <c r="AM87" s="257"/>
      <c r="AN87" s="257"/>
      <c r="AO87" s="68" t="s">
        <v>28</v>
      </c>
    </row>
    <row r="88" spans="1:41" ht="14.1" hidden="1" customHeight="1">
      <c r="A88" s="68" t="s">
        <v>29</v>
      </c>
      <c r="B88" s="257">
        <v>0.80296575479343335</v>
      </c>
      <c r="C88" s="257">
        <v>1.1730995228459959</v>
      </c>
      <c r="D88" s="257">
        <v>0.72398067049287085</v>
      </c>
      <c r="E88" s="257">
        <v>0.21860854504792321</v>
      </c>
      <c r="F88" s="257">
        <v>0.1175985502479527</v>
      </c>
      <c r="G88" s="257">
        <v>0.15762462182176787</v>
      </c>
      <c r="H88" s="257">
        <v>0.10356600292542457</v>
      </c>
      <c r="I88" s="257">
        <v>1.3037430996260035</v>
      </c>
      <c r="J88" s="257">
        <v>8.1087327355020243E-3</v>
      </c>
      <c r="K88" s="257">
        <v>0.11256444782380641</v>
      </c>
      <c r="L88" s="257">
        <v>0.78101922844144434</v>
      </c>
      <c r="M88" s="257">
        <v>0.21193557818538919</v>
      </c>
      <c r="N88" s="257">
        <v>0.76059057992946988</v>
      </c>
      <c r="O88" s="257">
        <v>2.8124779084198019</v>
      </c>
      <c r="P88" s="257">
        <v>0.13935687374202488</v>
      </c>
      <c r="Q88" s="257">
        <v>0.28273175542936219</v>
      </c>
      <c r="R88" s="257">
        <v>0.57515173574838474</v>
      </c>
      <c r="S88" s="257">
        <v>0.53235034806421178</v>
      </c>
      <c r="T88" s="257">
        <v>0.89569492428195419</v>
      </c>
      <c r="U88" s="257">
        <v>2.8264114049662521E-2</v>
      </c>
      <c r="V88" s="257">
        <v>0.47829922766236466</v>
      </c>
      <c r="W88" s="257">
        <v>5.3991503214232866E-3</v>
      </c>
      <c r="X88" s="257">
        <v>1.8230104718646827E-2</v>
      </c>
      <c r="Y88" s="257">
        <v>6.7558094209293318E-2</v>
      </c>
      <c r="Z88" s="257">
        <v>5.3193698187044537E-2</v>
      </c>
      <c r="AA88" s="257">
        <v>2.6766518830662167E-2</v>
      </c>
      <c r="AB88" s="257">
        <v>0.28139679509144322</v>
      </c>
      <c r="AC88" s="257">
        <v>0.1000020837499106</v>
      </c>
      <c r="AD88" s="257"/>
      <c r="AE88" s="257"/>
      <c r="AF88" s="257"/>
      <c r="AG88" s="257"/>
      <c r="AH88" s="257"/>
      <c r="AI88" s="257"/>
      <c r="AJ88" s="257"/>
      <c r="AK88" s="257"/>
      <c r="AL88" s="257"/>
      <c r="AM88" s="257"/>
      <c r="AN88" s="257"/>
      <c r="AO88" s="68" t="s">
        <v>29</v>
      </c>
    </row>
    <row r="89" spans="1:41" s="238" customFormat="1" ht="14.1" customHeight="1">
      <c r="A89" s="68" t="s">
        <v>48</v>
      </c>
      <c r="B89" s="257">
        <v>0.80264683120960545</v>
      </c>
      <c r="C89" s="257">
        <v>1.0656879440683713</v>
      </c>
      <c r="D89" s="257">
        <v>0.73772852578849279</v>
      </c>
      <c r="E89" s="257">
        <v>0.21852698630866638</v>
      </c>
      <c r="F89" s="257">
        <v>0.11857392591769646</v>
      </c>
      <c r="G89" s="257">
        <v>0.14309564615279888</v>
      </c>
      <c r="H89" s="257">
        <v>0.10331184788715318</v>
      </c>
      <c r="I89" s="257">
        <v>1.2411972571459053</v>
      </c>
      <c r="J89" s="257">
        <v>7.9740803481703117E-3</v>
      </c>
      <c r="K89" s="257">
        <v>0.11161239773242804</v>
      </c>
      <c r="L89" s="257">
        <v>0.77135260154574325</v>
      </c>
      <c r="M89" s="257">
        <v>0.21497091105212138</v>
      </c>
      <c r="N89" s="257">
        <v>0.77906747872498394</v>
      </c>
      <c r="O89" s="257">
        <v>2.7989378378516494</v>
      </c>
      <c r="P89" s="257">
        <v>0.13298635361282171</v>
      </c>
      <c r="Q89" s="257">
        <v>0.26690251315535368</v>
      </c>
      <c r="R89" s="257">
        <v>0.58908226169982048</v>
      </c>
      <c r="S89" s="257">
        <v>0.53282594502915626</v>
      </c>
      <c r="T89" s="257">
        <v>0.916362555372638</v>
      </c>
      <c r="U89" s="257">
        <v>2.6950184482944266E-2</v>
      </c>
      <c r="V89" s="257">
        <v>0.45121893620202713</v>
      </c>
      <c r="W89" s="257">
        <v>5.4469311104774357E-3</v>
      </c>
      <c r="X89" s="257">
        <v>2.0648050089634402E-2</v>
      </c>
      <c r="Y89" s="257">
        <v>6.48784027677866E-2</v>
      </c>
      <c r="Z89" s="257">
        <v>5.0650905935042477E-2</v>
      </c>
      <c r="AA89" s="257">
        <v>2.6435911765299882E-2</v>
      </c>
      <c r="AB89" s="257">
        <v>0.28146280266548707</v>
      </c>
      <c r="AC89" s="257">
        <v>0.10067133808881053</v>
      </c>
      <c r="AD89" s="257">
        <v>1.7474725612554285E-2</v>
      </c>
      <c r="AE89" s="257">
        <v>0.21393956245905038</v>
      </c>
      <c r="AF89" s="257">
        <v>6.8509337837104264E-2</v>
      </c>
      <c r="AG89" s="257">
        <v>0.58060054359473678</v>
      </c>
      <c r="AH89" s="257"/>
      <c r="AI89" s="257"/>
      <c r="AJ89" s="257"/>
      <c r="AK89" s="257"/>
      <c r="AL89" s="257"/>
      <c r="AM89" s="257"/>
      <c r="AN89" s="257"/>
      <c r="AO89" s="68" t="s">
        <v>48</v>
      </c>
    </row>
    <row r="90" spans="1:41" ht="14.1" hidden="1" customHeight="1">
      <c r="A90" s="68" t="s">
        <v>18</v>
      </c>
      <c r="B90" s="257">
        <v>0.80314047267877298</v>
      </c>
      <c r="C90" s="257">
        <v>1.1462217627108744</v>
      </c>
      <c r="D90" s="257">
        <v>0.73116029283974837</v>
      </c>
      <c r="E90" s="257">
        <v>0.21865543945039098</v>
      </c>
      <c r="F90" s="257">
        <v>0.11763339296172586</v>
      </c>
      <c r="G90" s="257">
        <v>0.15401802948440732</v>
      </c>
      <c r="H90" s="257">
        <v>0.10347191559010736</v>
      </c>
      <c r="I90" s="257">
        <v>1.2957635455297756</v>
      </c>
      <c r="J90" s="257">
        <v>8.1130344464565417E-3</v>
      </c>
      <c r="K90" s="257">
        <v>0.1122061609591866</v>
      </c>
      <c r="L90" s="257">
        <v>0.77619373668985714</v>
      </c>
      <c r="M90" s="257">
        <v>0.21559378393816694</v>
      </c>
      <c r="N90" s="257">
        <v>0.76988186245452073</v>
      </c>
      <c r="O90" s="257">
        <v>2.8007322384600721</v>
      </c>
      <c r="P90" s="257">
        <v>0.13975528167778045</v>
      </c>
      <c r="Q90" s="257">
        <v>0.28091559010423744</v>
      </c>
      <c r="R90" s="257">
        <v>0.57450175566195294</v>
      </c>
      <c r="S90" s="257">
        <v>0.54334543799453061</v>
      </c>
      <c r="T90" s="257">
        <v>0.88067749314499633</v>
      </c>
      <c r="U90" s="257">
        <v>2.8108468671367817E-2</v>
      </c>
      <c r="V90" s="257">
        <v>0.47005597933659415</v>
      </c>
      <c r="W90" s="257">
        <v>5.4217385870394316E-3</v>
      </c>
      <c r="X90" s="257">
        <v>1.8169608564294434E-2</v>
      </c>
      <c r="Y90" s="257">
        <v>6.4750551998300002E-2</v>
      </c>
      <c r="Z90" s="257">
        <v>5.2947324561423523E-2</v>
      </c>
      <c r="AA90" s="257">
        <v>2.6854937508524933E-2</v>
      </c>
      <c r="AB90" s="257">
        <v>0.28145802441870449</v>
      </c>
      <c r="AC90" s="257">
        <v>9.9299183304908029E-2</v>
      </c>
      <c r="AD90" s="257" t="s">
        <v>93</v>
      </c>
      <c r="AE90" s="257" t="s">
        <v>93</v>
      </c>
      <c r="AF90" s="257" t="s">
        <v>93</v>
      </c>
      <c r="AG90" s="257" t="s">
        <v>93</v>
      </c>
      <c r="AH90" s="257"/>
      <c r="AI90" s="257"/>
      <c r="AJ90" s="257"/>
      <c r="AK90" s="257"/>
      <c r="AL90" s="257"/>
      <c r="AM90" s="257"/>
      <c r="AN90" s="257"/>
      <c r="AO90" s="68" t="s">
        <v>18</v>
      </c>
    </row>
    <row r="91" spans="1:41" ht="14.1" hidden="1" customHeight="1">
      <c r="A91" s="68" t="s">
        <v>19</v>
      </c>
      <c r="B91" s="257">
        <v>0.80337899070116658</v>
      </c>
      <c r="C91" s="257">
        <v>1.098302153098228</v>
      </c>
      <c r="D91" s="257">
        <v>0.71156097513137551</v>
      </c>
      <c r="E91" s="257">
        <v>0.21873652652879619</v>
      </c>
      <c r="F91" s="257">
        <v>0.11764067740422821</v>
      </c>
      <c r="G91" s="257">
        <v>0.14753589196154332</v>
      </c>
      <c r="H91" s="257">
        <v>0.10342765457469717</v>
      </c>
      <c r="I91" s="257">
        <v>1.2547729560283436</v>
      </c>
      <c r="J91" s="257">
        <v>8.1216655052528588E-3</v>
      </c>
      <c r="K91" s="257">
        <v>0.11041078986254617</v>
      </c>
      <c r="L91" s="257">
        <v>0.74850392500488494</v>
      </c>
      <c r="M91" s="257">
        <v>0.21440082664324384</v>
      </c>
      <c r="N91" s="257">
        <v>0.76011101211711751</v>
      </c>
      <c r="O91" s="257">
        <v>2.7858120699285647</v>
      </c>
      <c r="P91" s="257">
        <v>0.13559676693343176</v>
      </c>
      <c r="Q91" s="257">
        <v>0.27350119726484573</v>
      </c>
      <c r="R91" s="257">
        <v>0.56876845531258235</v>
      </c>
      <c r="S91" s="257">
        <v>0.52899323022241385</v>
      </c>
      <c r="T91" s="257">
        <v>0.89080399827363121</v>
      </c>
      <c r="U91" s="257">
        <v>2.7660826961135376E-2</v>
      </c>
      <c r="V91" s="257">
        <v>0.46602712604381097</v>
      </c>
      <c r="W91" s="257">
        <v>5.435710997372104E-3</v>
      </c>
      <c r="X91" s="257">
        <v>1.8003971396323881E-2</v>
      </c>
      <c r="Y91" s="257">
        <v>6.2697425335673407E-2</v>
      </c>
      <c r="Z91" s="257">
        <v>5.2475713312153151E-2</v>
      </c>
      <c r="AA91" s="257">
        <v>2.6627166757080732E-2</v>
      </c>
      <c r="AB91" s="257">
        <v>0.281298250495088</v>
      </c>
      <c r="AC91" s="257">
        <v>9.9656782109195735E-2</v>
      </c>
      <c r="AD91" s="257" t="s">
        <v>93</v>
      </c>
      <c r="AE91" s="257" t="s">
        <v>93</v>
      </c>
      <c r="AF91" s="257" t="s">
        <v>93</v>
      </c>
      <c r="AG91" s="257" t="s">
        <v>93</v>
      </c>
      <c r="AH91" s="257"/>
      <c r="AI91" s="257"/>
      <c r="AJ91" s="257"/>
      <c r="AK91" s="257"/>
      <c r="AL91" s="257"/>
      <c r="AM91" s="257"/>
      <c r="AN91" s="257"/>
      <c r="AO91" s="68" t="s">
        <v>19</v>
      </c>
    </row>
    <row r="92" spans="1:41" ht="14.1" hidden="1" customHeight="1">
      <c r="A92" s="68" t="s">
        <v>20</v>
      </c>
      <c r="B92" s="257">
        <v>0.80331589492024891</v>
      </c>
      <c r="C92" s="257">
        <v>1.094129183186249</v>
      </c>
      <c r="D92" s="257">
        <v>0.73382735375170316</v>
      </c>
      <c r="E92" s="257">
        <v>0.21872115842161965</v>
      </c>
      <c r="F92" s="257">
        <v>0.11767593379236167</v>
      </c>
      <c r="G92" s="257">
        <v>0.14702051351957923</v>
      </c>
      <c r="H92" s="257">
        <v>0.10350722996304974</v>
      </c>
      <c r="I92" s="257">
        <v>1.2144188175786796</v>
      </c>
      <c r="J92" s="257">
        <v>8.12191169543648E-3</v>
      </c>
      <c r="K92" s="257">
        <v>0.11252843940703512</v>
      </c>
      <c r="L92" s="257">
        <v>0.75392852445442404</v>
      </c>
      <c r="M92" s="257">
        <v>0.21458950445464889</v>
      </c>
      <c r="N92" s="257">
        <v>0.78473066180849405</v>
      </c>
      <c r="O92" s="257">
        <v>2.7849865365763571</v>
      </c>
      <c r="P92" s="257">
        <v>0.13632155195728898</v>
      </c>
      <c r="Q92" s="257">
        <v>0.28132819419908428</v>
      </c>
      <c r="R92" s="257">
        <v>0.5746405549551965</v>
      </c>
      <c r="S92" s="257">
        <v>0.52391365671067425</v>
      </c>
      <c r="T92" s="257">
        <v>0.88985524000865812</v>
      </c>
      <c r="U92" s="257">
        <v>2.7176480027395009E-2</v>
      </c>
      <c r="V92" s="257">
        <v>0.46534652617662142</v>
      </c>
      <c r="W92" s="257">
        <v>5.461275050029908E-3</v>
      </c>
      <c r="X92" s="257">
        <v>1.7929557183725919E-2</v>
      </c>
      <c r="Y92" s="257">
        <v>6.3832864237478526E-2</v>
      </c>
      <c r="Z92" s="257">
        <v>5.201410827820601E-2</v>
      </c>
      <c r="AA92" s="257">
        <v>2.7213962626640002E-2</v>
      </c>
      <c r="AB92" s="257">
        <v>0.28182510580570919</v>
      </c>
      <c r="AC92" s="257">
        <v>0.1002060443736624</v>
      </c>
      <c r="AD92" s="257" t="s">
        <v>93</v>
      </c>
      <c r="AE92" s="257" t="s">
        <v>93</v>
      </c>
      <c r="AF92" s="257" t="s">
        <v>93</v>
      </c>
      <c r="AG92" s="257" t="s">
        <v>93</v>
      </c>
      <c r="AH92" s="257"/>
      <c r="AI92" s="257"/>
      <c r="AJ92" s="257"/>
      <c r="AK92" s="257"/>
      <c r="AL92" s="257"/>
      <c r="AM92" s="257"/>
      <c r="AN92" s="257"/>
      <c r="AO92" s="68" t="s">
        <v>20</v>
      </c>
    </row>
    <row r="93" spans="1:41" ht="14.1" hidden="1" customHeight="1">
      <c r="A93" s="68" t="s">
        <v>21</v>
      </c>
      <c r="B93" s="257">
        <v>0.80347009697529326</v>
      </c>
      <c r="C93" s="257">
        <v>1.0792700430968887</v>
      </c>
      <c r="D93" s="257">
        <v>0.74359819539129857</v>
      </c>
      <c r="E93" s="257">
        <v>0.21875542913195289</v>
      </c>
      <c r="F93" s="257">
        <v>0.117709035767493</v>
      </c>
      <c r="G93" s="257">
        <v>0.14499640636597125</v>
      </c>
      <c r="H93" s="257">
        <v>0.10349989598596583</v>
      </c>
      <c r="I93" s="257">
        <v>1.2316861658550922</v>
      </c>
      <c r="J93" s="257">
        <v>8.1159008564416543E-3</v>
      </c>
      <c r="K93" s="257">
        <v>0.11160984319680491</v>
      </c>
      <c r="L93" s="257">
        <v>0.75281564401166456</v>
      </c>
      <c r="M93" s="257">
        <v>0.21668251271099315</v>
      </c>
      <c r="N93" s="257">
        <v>0.79960374792709199</v>
      </c>
      <c r="O93" s="257">
        <v>2.7843647233347957</v>
      </c>
      <c r="P93" s="257">
        <v>0.13575434900959446</v>
      </c>
      <c r="Q93" s="257">
        <v>0.27891588353568042</v>
      </c>
      <c r="R93" s="257">
        <v>0.58086349103505019</v>
      </c>
      <c r="S93" s="257">
        <v>0.53788447159628183</v>
      </c>
      <c r="T93" s="257">
        <v>0.86041437526617282</v>
      </c>
      <c r="U93" s="257">
        <v>2.7036093083908631E-2</v>
      </c>
      <c r="V93" s="257">
        <v>0.45818112292646423</v>
      </c>
      <c r="W93" s="257">
        <v>5.4753536561242344E-3</v>
      </c>
      <c r="X93" s="257">
        <v>1.7758207469892658E-2</v>
      </c>
      <c r="Y93" s="257">
        <v>6.430256061244663E-2</v>
      </c>
      <c r="Z93" s="257">
        <v>5.1518525769857965E-2</v>
      </c>
      <c r="AA93" s="257">
        <v>2.7505317963603396E-2</v>
      </c>
      <c r="AB93" s="257">
        <v>0.2816319445630559</v>
      </c>
      <c r="AC93" s="257">
        <v>0.10084730698603867</v>
      </c>
      <c r="AD93" s="257" t="s">
        <v>93</v>
      </c>
      <c r="AE93" s="257" t="s">
        <v>93</v>
      </c>
      <c r="AF93" s="257" t="s">
        <v>93</v>
      </c>
      <c r="AG93" s="257" t="s">
        <v>93</v>
      </c>
      <c r="AH93" s="257"/>
      <c r="AI93" s="257"/>
      <c r="AJ93" s="257"/>
      <c r="AK93" s="257"/>
      <c r="AL93" s="257"/>
      <c r="AM93" s="257"/>
      <c r="AN93" s="257"/>
      <c r="AO93" s="68" t="s">
        <v>21</v>
      </c>
    </row>
    <row r="94" spans="1:41" ht="14.1" hidden="1" customHeight="1">
      <c r="A94" s="68" t="s">
        <v>22</v>
      </c>
      <c r="B94" s="257">
        <v>0.80353241920353724</v>
      </c>
      <c r="C94" s="257">
        <v>1.0120321689891731</v>
      </c>
      <c r="D94" s="257">
        <v>0.70078198862550889</v>
      </c>
      <c r="E94" s="257">
        <v>0.21876973610988454</v>
      </c>
      <c r="F94" s="257">
        <v>0.11768657781480733</v>
      </c>
      <c r="G94" s="257">
        <v>0.13599803259734988</v>
      </c>
      <c r="H94" s="257">
        <v>0.10321538327377112</v>
      </c>
      <c r="I94" s="257">
        <v>1.1803568436401601</v>
      </c>
      <c r="J94" s="257">
        <v>8.0758274118420299E-3</v>
      </c>
      <c r="K94" s="257">
        <v>0.10437080091816803</v>
      </c>
      <c r="L94" s="257">
        <v>0.71227928795242135</v>
      </c>
      <c r="M94" s="257">
        <v>0.21210035671084171</v>
      </c>
      <c r="N94" s="257">
        <v>0.77217169581639511</v>
      </c>
      <c r="O94" s="257">
        <v>2.7695694591707367</v>
      </c>
      <c r="P94" s="257">
        <v>0.12796331478373552</v>
      </c>
      <c r="Q94" s="257">
        <v>0.24921405200762398</v>
      </c>
      <c r="R94" s="257">
        <v>0.57623231560478683</v>
      </c>
      <c r="S94" s="257">
        <v>0.51774770827852701</v>
      </c>
      <c r="T94" s="257">
        <v>0.87298696167216083</v>
      </c>
      <c r="U94" s="257">
        <v>2.6897953525470072E-2</v>
      </c>
      <c r="V94" s="257">
        <v>0.45140805233016634</v>
      </c>
      <c r="W94" s="257">
        <v>5.4774305363435236E-3</v>
      </c>
      <c r="X94" s="257">
        <v>1.7703162655355945E-2</v>
      </c>
      <c r="Y94" s="257">
        <v>6.3282707181519807E-2</v>
      </c>
      <c r="Z94" s="257">
        <v>5.110502271095238E-2</v>
      </c>
      <c r="AA94" s="257">
        <v>2.6363064758078009E-2</v>
      </c>
      <c r="AB94" s="257">
        <v>0.28171670589331527</v>
      </c>
      <c r="AC94" s="257">
        <v>0.10081756007049873</v>
      </c>
      <c r="AD94" s="257">
        <v>1.7134228664226134E-2</v>
      </c>
      <c r="AE94" s="257">
        <v>0.21427926823317517</v>
      </c>
      <c r="AF94" s="257">
        <v>6.6171838166594429E-2</v>
      </c>
      <c r="AG94" s="257">
        <v>0.5404097715731031</v>
      </c>
      <c r="AH94" s="257"/>
      <c r="AI94" s="257"/>
      <c r="AJ94" s="257"/>
      <c r="AK94" s="257"/>
      <c r="AL94" s="257"/>
      <c r="AM94" s="257"/>
      <c r="AN94" s="257"/>
      <c r="AO94" s="68" t="s">
        <v>22</v>
      </c>
    </row>
    <row r="95" spans="1:41" ht="14.1" hidden="1" customHeight="1">
      <c r="A95" s="68" t="s">
        <v>23</v>
      </c>
      <c r="B95" s="257">
        <v>0.80373953114255192</v>
      </c>
      <c r="C95" s="257">
        <v>0.9821968308185709</v>
      </c>
      <c r="D95" s="257">
        <v>0.68574202911726134</v>
      </c>
      <c r="E95" s="257">
        <v>0.21882858782962061</v>
      </c>
      <c r="F95" s="257">
        <v>0.11784255881431144</v>
      </c>
      <c r="G95" s="257">
        <v>0.13200220329226955</v>
      </c>
      <c r="H95" s="257">
        <v>0.10320844863302163</v>
      </c>
      <c r="I95" s="257">
        <v>1.1840913237634085</v>
      </c>
      <c r="J95" s="257">
        <v>8.0289714631483593E-3</v>
      </c>
      <c r="K95" s="257">
        <v>0.10260533991504704</v>
      </c>
      <c r="L95" s="257">
        <v>0.71183480503893615</v>
      </c>
      <c r="M95" s="257">
        <v>0.20860610450746289</v>
      </c>
      <c r="N95" s="257">
        <v>0.77432568198057483</v>
      </c>
      <c r="O95" s="257">
        <v>2.7630307329960853</v>
      </c>
      <c r="P95" s="257">
        <v>0.12417721497685172</v>
      </c>
      <c r="Q95" s="257">
        <v>0.23929258387993688</v>
      </c>
      <c r="R95" s="257">
        <v>0.57479306311505918</v>
      </c>
      <c r="S95" s="257">
        <v>0.50921857334695864</v>
      </c>
      <c r="T95" s="257">
        <v>0.88356539038169213</v>
      </c>
      <c r="U95" s="257">
        <v>2.6654881829539859E-2</v>
      </c>
      <c r="V95" s="257">
        <v>0.43402013840333947</v>
      </c>
      <c r="W95" s="257">
        <v>5.4651103112325844E-3</v>
      </c>
      <c r="X95" s="257">
        <v>1.7472598503098954E-2</v>
      </c>
      <c r="Y95" s="257">
        <v>6.2335217811515645E-2</v>
      </c>
      <c r="Z95" s="257">
        <v>5.0635051268126167E-2</v>
      </c>
      <c r="AA95" s="257">
        <v>2.5731450373852532E-2</v>
      </c>
      <c r="AB95" s="257">
        <v>0.28196871582961852</v>
      </c>
      <c r="AC95" s="257">
        <v>0.100908593739089</v>
      </c>
      <c r="AD95" s="257">
        <v>1.7264350506369677E-2</v>
      </c>
      <c r="AE95" s="257">
        <v>0.21432254054092914</v>
      </c>
      <c r="AF95" s="257">
        <v>6.6155767238507052E-2</v>
      </c>
      <c r="AG95" s="257">
        <v>0.55610407528347061</v>
      </c>
      <c r="AH95" s="257"/>
      <c r="AI95" s="257"/>
      <c r="AJ95" s="257"/>
      <c r="AK95" s="257"/>
      <c r="AL95" s="257"/>
      <c r="AM95" s="257"/>
      <c r="AN95" s="257"/>
      <c r="AO95" s="68" t="s">
        <v>23</v>
      </c>
    </row>
    <row r="96" spans="1:41" ht="14.1" hidden="1" customHeight="1">
      <c r="A96" s="68" t="s">
        <v>24</v>
      </c>
      <c r="B96" s="257">
        <v>0.80367763263122827</v>
      </c>
      <c r="C96" s="257">
        <v>1.0260676325532239</v>
      </c>
      <c r="D96" s="257">
        <v>0.70294406240770213</v>
      </c>
      <c r="E96" s="257">
        <v>0.21881503713587663</v>
      </c>
      <c r="F96" s="257">
        <v>0.11861004535133514</v>
      </c>
      <c r="G96" s="257">
        <v>0.13767974901455282</v>
      </c>
      <c r="H96" s="257">
        <v>0.10332518075630506</v>
      </c>
      <c r="I96" s="257">
        <v>1.2278470414020157</v>
      </c>
      <c r="J96" s="257">
        <v>8.0353512069075653E-3</v>
      </c>
      <c r="K96" s="257">
        <v>0.10807325155828958</v>
      </c>
      <c r="L96" s="257">
        <v>0.76330962741194852</v>
      </c>
      <c r="M96" s="257">
        <v>0.20821051366650481</v>
      </c>
      <c r="N96" s="257">
        <v>0.76946279242453408</v>
      </c>
      <c r="O96" s="257">
        <v>2.7807091728456239</v>
      </c>
      <c r="P96" s="257">
        <v>0.1279109055674417</v>
      </c>
      <c r="Q96" s="257">
        <v>0.25115767970356695</v>
      </c>
      <c r="R96" s="257">
        <v>0.58323264236778827</v>
      </c>
      <c r="S96" s="257">
        <v>0.52133760433284804</v>
      </c>
      <c r="T96" s="257">
        <v>0.91740015428520105</v>
      </c>
      <c r="U96" s="257">
        <v>2.6789124179400475E-2</v>
      </c>
      <c r="V96" s="257">
        <v>0.43699405449511791</v>
      </c>
      <c r="W96" s="257">
        <v>5.4478248032645629E-3</v>
      </c>
      <c r="X96" s="257">
        <v>1.7447697415623388E-2</v>
      </c>
      <c r="Y96" s="257">
        <v>6.4090962949353097E-2</v>
      </c>
      <c r="Z96" s="257">
        <v>5.0231692839715306E-2</v>
      </c>
      <c r="AA96" s="257">
        <v>2.6232369942426316E-2</v>
      </c>
      <c r="AB96" s="257">
        <v>0.28201691913499621</v>
      </c>
      <c r="AC96" s="257">
        <v>0.10140309808195909</v>
      </c>
      <c r="AD96" s="257">
        <v>1.7167234463118922E-2</v>
      </c>
      <c r="AE96" s="257">
        <v>0.21429919657347196</v>
      </c>
      <c r="AF96" s="257">
        <v>6.6752704606742153E-2</v>
      </c>
      <c r="AG96" s="257">
        <v>0.5720851134957553</v>
      </c>
      <c r="AH96" s="257"/>
      <c r="AI96" s="257"/>
      <c r="AJ96" s="257"/>
      <c r="AK96" s="257"/>
      <c r="AL96" s="257"/>
      <c r="AM96" s="257"/>
      <c r="AN96" s="257"/>
      <c r="AO96" s="68" t="s">
        <v>24</v>
      </c>
    </row>
    <row r="97" spans="1:41" ht="14.1" hidden="1" customHeight="1">
      <c r="A97" s="68" t="s">
        <v>25</v>
      </c>
      <c r="B97" s="257">
        <v>0.80362651844495248</v>
      </c>
      <c r="C97" s="257">
        <v>1.0375449908484551</v>
      </c>
      <c r="D97" s="257">
        <v>0.72311984656440731</v>
      </c>
      <c r="E97" s="257">
        <v>0.2187401486580961</v>
      </c>
      <c r="F97" s="257">
        <v>0.11841789705273889</v>
      </c>
      <c r="G97" s="257">
        <v>0.13926729180126379</v>
      </c>
      <c r="H97" s="257">
        <v>0.10341945037057949</v>
      </c>
      <c r="I97" s="257">
        <v>1.2585611595958237</v>
      </c>
      <c r="J97" s="257">
        <v>8.0356175611834314E-3</v>
      </c>
      <c r="K97" s="257">
        <v>0.11001181652858551</v>
      </c>
      <c r="L97" s="257">
        <v>0.77271300639222629</v>
      </c>
      <c r="M97" s="257">
        <v>0.21191305607513447</v>
      </c>
      <c r="N97" s="257">
        <v>0.77387822092337188</v>
      </c>
      <c r="O97" s="257">
        <v>2.7990990771177535</v>
      </c>
      <c r="P97" s="257">
        <v>0.13075228364041105</v>
      </c>
      <c r="Q97" s="257">
        <v>0.26004870521041545</v>
      </c>
      <c r="R97" s="257">
        <v>0.59276419252556034</v>
      </c>
      <c r="S97" s="257">
        <v>0.53158818090988458</v>
      </c>
      <c r="T97" s="257">
        <v>0.94004130451083023</v>
      </c>
      <c r="U97" s="257">
        <v>2.6864234883470912E-2</v>
      </c>
      <c r="V97" s="257">
        <v>0.43781897976377443</v>
      </c>
      <c r="W97" s="257">
        <v>5.4538577344276657E-3</v>
      </c>
      <c r="X97" s="257">
        <v>1.7226720652624931E-2</v>
      </c>
      <c r="Y97" s="257">
        <v>6.6332723029074378E-2</v>
      </c>
      <c r="Z97" s="257">
        <v>4.9921768136909475E-2</v>
      </c>
      <c r="AA97" s="257">
        <v>2.6462432332850346E-2</v>
      </c>
      <c r="AB97" s="257">
        <v>0.28172162528058925</v>
      </c>
      <c r="AC97" s="257">
        <v>0.10184400327941694</v>
      </c>
      <c r="AD97" s="257">
        <v>1.7266812515379173E-2</v>
      </c>
      <c r="AE97" s="257">
        <v>0.21428759375671677</v>
      </c>
      <c r="AF97" s="257">
        <v>6.8069078142294015E-2</v>
      </c>
      <c r="AG97" s="257">
        <v>0.57449287997966447</v>
      </c>
      <c r="AH97" s="257"/>
      <c r="AI97" s="257"/>
      <c r="AJ97" s="257"/>
      <c r="AK97" s="257"/>
      <c r="AL97" s="257"/>
      <c r="AM97" s="257"/>
      <c r="AN97" s="257"/>
      <c r="AO97" s="68" t="s">
        <v>25</v>
      </c>
    </row>
    <row r="98" spans="1:41" ht="14.1" hidden="1" customHeight="1">
      <c r="A98" s="68" t="s">
        <v>26</v>
      </c>
      <c r="B98" s="257">
        <v>0.80335409159324034</v>
      </c>
      <c r="C98" s="257">
        <v>1.0471742016843053</v>
      </c>
      <c r="D98" s="257">
        <v>0.74948716026072637</v>
      </c>
      <c r="E98" s="257">
        <v>0.21872186665447987</v>
      </c>
      <c r="F98" s="257">
        <v>0.11903871460985334</v>
      </c>
      <c r="G98" s="257">
        <v>0.14060880169150328</v>
      </c>
      <c r="H98" s="257">
        <v>0.10343527226484577</v>
      </c>
      <c r="I98" s="257">
        <v>1.2494063858556221</v>
      </c>
      <c r="J98" s="257">
        <v>7.9741386993486141E-3</v>
      </c>
      <c r="K98" s="257">
        <v>0.11338231690961803</v>
      </c>
      <c r="L98" s="257">
        <v>0.8008074219854181</v>
      </c>
      <c r="M98" s="257">
        <v>0.21467999570422139</v>
      </c>
      <c r="N98" s="257">
        <v>0.77444128235615151</v>
      </c>
      <c r="O98" s="257">
        <v>2.800143250079119</v>
      </c>
      <c r="P98" s="257">
        <v>0.13231847825745111</v>
      </c>
      <c r="Q98" s="257">
        <v>0.2647861317088514</v>
      </c>
      <c r="R98" s="257">
        <v>0.60082567026012368</v>
      </c>
      <c r="S98" s="257">
        <v>0.53660471881277827</v>
      </c>
      <c r="T98" s="257">
        <v>0.95183617250309449</v>
      </c>
      <c r="U98" s="257">
        <v>2.6570747122300054E-2</v>
      </c>
      <c r="V98" s="257">
        <v>0.43917745827996246</v>
      </c>
      <c r="W98" s="257">
        <v>5.450699749396261E-3</v>
      </c>
      <c r="X98" s="257">
        <v>1.7220889072094497E-2</v>
      </c>
      <c r="Y98" s="257">
        <v>6.5562086017730156E-2</v>
      </c>
      <c r="Z98" s="257">
        <v>4.9682908704261029E-2</v>
      </c>
      <c r="AA98" s="257">
        <v>2.6038683516075131E-2</v>
      </c>
      <c r="AB98" s="257">
        <v>0.28171832572332722</v>
      </c>
      <c r="AC98" s="257">
        <v>0.10138335050431975</v>
      </c>
      <c r="AD98" s="257">
        <v>1.7424081154974465E-2</v>
      </c>
      <c r="AE98" s="257">
        <v>0.2142230064215753</v>
      </c>
      <c r="AF98" s="257">
        <v>6.8953432548608334E-2</v>
      </c>
      <c r="AG98" s="257">
        <v>0.58233064045259142</v>
      </c>
      <c r="AH98" s="257"/>
      <c r="AI98" s="257"/>
      <c r="AJ98" s="257"/>
      <c r="AK98" s="257"/>
      <c r="AL98" s="257"/>
      <c r="AM98" s="257"/>
      <c r="AN98" s="257"/>
      <c r="AO98" s="68" t="s">
        <v>26</v>
      </c>
    </row>
    <row r="99" spans="1:41" ht="14.1" hidden="1" customHeight="1">
      <c r="A99" s="68" t="s">
        <v>27</v>
      </c>
      <c r="B99" s="257">
        <v>0.80158671067448883</v>
      </c>
      <c r="C99" s="257">
        <v>1.1134859512178743</v>
      </c>
      <c r="D99" s="257">
        <v>0.786031466036896</v>
      </c>
      <c r="E99" s="257">
        <v>0.21824153140083566</v>
      </c>
      <c r="F99" s="257">
        <v>0.12019440399477564</v>
      </c>
      <c r="G99" s="257">
        <v>0.14933375381535996</v>
      </c>
      <c r="H99" s="257">
        <v>0.10330454941539619</v>
      </c>
      <c r="I99" s="257">
        <v>1.2705168658627988</v>
      </c>
      <c r="J99" s="257">
        <v>7.6851281619199187E-3</v>
      </c>
      <c r="K99" s="257">
        <v>0.12004494282362153</v>
      </c>
      <c r="L99" s="257">
        <v>0.82690581381316475</v>
      </c>
      <c r="M99" s="257">
        <v>0.22174313229253551</v>
      </c>
      <c r="N99" s="257">
        <v>0.78689215569828341</v>
      </c>
      <c r="O99" s="257">
        <v>2.8394090489602859</v>
      </c>
      <c r="P99" s="257">
        <v>0.13735329237539398</v>
      </c>
      <c r="Q99" s="257">
        <v>0.28161946001955507</v>
      </c>
      <c r="R99" s="257">
        <v>0.61456916976359699</v>
      </c>
      <c r="S99" s="257">
        <v>0.562101075475676</v>
      </c>
      <c r="T99" s="257">
        <v>0.97959595990297743</v>
      </c>
      <c r="U99" s="257">
        <v>2.6701355897339685E-2</v>
      </c>
      <c r="V99" s="257">
        <v>0.44742554047271271</v>
      </c>
      <c r="W99" s="257">
        <v>5.431226811124434E-3</v>
      </c>
      <c r="X99" s="257">
        <v>2.6631890249263712E-2</v>
      </c>
      <c r="Y99" s="257">
        <v>6.8126193291814102E-2</v>
      </c>
      <c r="Z99" s="257">
        <v>4.9379689447424997E-2</v>
      </c>
      <c r="AA99" s="257">
        <v>2.6445434452972909E-2</v>
      </c>
      <c r="AB99" s="257">
        <v>0.28113289341874403</v>
      </c>
      <c r="AC99" s="257">
        <v>0.10088581239537876</v>
      </c>
      <c r="AD99" s="257">
        <v>1.8042878245540062E-2</v>
      </c>
      <c r="AE99" s="257">
        <v>0.21374597426919714</v>
      </c>
      <c r="AF99" s="257">
        <v>7.1349597494579017E-2</v>
      </c>
      <c r="AG99" s="257">
        <v>0.60150367653338788</v>
      </c>
      <c r="AH99" s="257"/>
      <c r="AI99" s="257"/>
      <c r="AJ99" s="257"/>
      <c r="AK99" s="257"/>
      <c r="AL99" s="257"/>
      <c r="AM99" s="257"/>
      <c r="AN99" s="257"/>
      <c r="AO99" s="68" t="s">
        <v>27</v>
      </c>
    </row>
    <row r="100" spans="1:41" ht="14.1" hidden="1" customHeight="1">
      <c r="A100" s="68" t="s">
        <v>28</v>
      </c>
      <c r="B100" s="257">
        <v>0.80001179364803976</v>
      </c>
      <c r="C100" s="257">
        <v>1.0960891262355026</v>
      </c>
      <c r="D100" s="257">
        <v>0.79246244682111555</v>
      </c>
      <c r="E100" s="257">
        <v>0.21782295425518036</v>
      </c>
      <c r="F100" s="257">
        <v>0.12027815499165835</v>
      </c>
      <c r="G100" s="257">
        <v>0.14702741806969835</v>
      </c>
      <c r="H100" s="257">
        <v>0.10316401681302313</v>
      </c>
      <c r="I100" s="257">
        <v>1.2801439588210688</v>
      </c>
      <c r="J100" s="257">
        <v>7.6918596208213159E-3</v>
      </c>
      <c r="K100" s="257">
        <v>0.1175530251891399</v>
      </c>
      <c r="L100" s="257">
        <v>0.81373925717363982</v>
      </c>
      <c r="M100" s="257">
        <v>0.21965467744677411</v>
      </c>
      <c r="N100" s="257">
        <v>0.7909458959304223</v>
      </c>
      <c r="O100" s="257">
        <v>2.8479119573453624</v>
      </c>
      <c r="P100" s="257">
        <v>0.1345658581848875</v>
      </c>
      <c r="Q100" s="257">
        <v>0.27778276205657859</v>
      </c>
      <c r="R100" s="257">
        <v>0.61678280816039943</v>
      </c>
      <c r="S100" s="257">
        <v>0.55574470118832586</v>
      </c>
      <c r="T100" s="257">
        <v>0.97068701406585933</v>
      </c>
      <c r="U100" s="257">
        <v>2.6422073214787858E-2</v>
      </c>
      <c r="V100" s="257">
        <v>0.45437152305536582</v>
      </c>
      <c r="W100" s="257">
        <v>5.4234011925163531E-3</v>
      </c>
      <c r="X100" s="257">
        <v>3.4212178743212598E-2</v>
      </c>
      <c r="Y100" s="257">
        <v>6.7585645231252017E-2</v>
      </c>
      <c r="Z100" s="257">
        <v>4.9084325352737199E-2</v>
      </c>
      <c r="AA100" s="257">
        <v>2.5838532055909951E-2</v>
      </c>
      <c r="AB100" s="257">
        <v>0.28066897139751096</v>
      </c>
      <c r="AC100" s="257">
        <v>0.10055121521340177</v>
      </c>
      <c r="AD100" s="257">
        <v>1.7817133327741042E-2</v>
      </c>
      <c r="AE100" s="257">
        <v>0.21332955735514281</v>
      </c>
      <c r="AF100" s="257">
        <v>7.0954669172115986E-2</v>
      </c>
      <c r="AG100" s="257">
        <v>0.61857166546726094</v>
      </c>
      <c r="AH100" s="257"/>
      <c r="AI100" s="257"/>
      <c r="AJ100" s="257"/>
      <c r="AK100" s="257"/>
      <c r="AL100" s="257"/>
      <c r="AM100" s="257"/>
      <c r="AN100" s="257"/>
      <c r="AO100" s="68" t="s">
        <v>28</v>
      </c>
    </row>
    <row r="101" spans="1:41" ht="14.1" hidden="1" customHeight="1">
      <c r="A101" s="68" t="s">
        <v>29</v>
      </c>
      <c r="B101" s="257">
        <v>0.79892782190174738</v>
      </c>
      <c r="C101" s="257">
        <v>1.0557412843811114</v>
      </c>
      <c r="D101" s="257">
        <v>0.79202649251417057</v>
      </c>
      <c r="E101" s="257">
        <v>0.2175154201272631</v>
      </c>
      <c r="F101" s="257">
        <v>0.12015971845706908</v>
      </c>
      <c r="G101" s="257">
        <v>0.14165966222008811</v>
      </c>
      <c r="H101" s="257">
        <v>0.10276317700507562</v>
      </c>
      <c r="I101" s="257">
        <v>1.2468020218180744</v>
      </c>
      <c r="J101" s="257">
        <v>7.6895575492849496E-3</v>
      </c>
      <c r="K101" s="257">
        <v>0.11655204552109433</v>
      </c>
      <c r="L101" s="257">
        <v>0.82320016862033241</v>
      </c>
      <c r="M101" s="257">
        <v>0.22147646847492844</v>
      </c>
      <c r="N101" s="257">
        <v>0.79236473526285078</v>
      </c>
      <c r="O101" s="257">
        <v>2.831485787405037</v>
      </c>
      <c r="P101" s="257">
        <v>0.13336694598959248</v>
      </c>
      <c r="Q101" s="257">
        <v>0.2642679181738678</v>
      </c>
      <c r="R101" s="257">
        <v>0.61101302163574822</v>
      </c>
      <c r="S101" s="257">
        <v>0.5254319814809757</v>
      </c>
      <c r="T101" s="257">
        <v>0.95848660045638057</v>
      </c>
      <c r="U101" s="257">
        <v>2.6519974399215412E-2</v>
      </c>
      <c r="V101" s="257">
        <v>0.45380073314039493</v>
      </c>
      <c r="W101" s="257">
        <v>5.4195438968581752E-3</v>
      </c>
      <c r="X101" s="257">
        <v>2.8000119170101902E-2</v>
      </c>
      <c r="Y101" s="257">
        <v>6.5641895517281473E-2</v>
      </c>
      <c r="Z101" s="257">
        <v>4.8814740838742522E-2</v>
      </c>
      <c r="AA101" s="257">
        <v>2.5917588895584313E-2</v>
      </c>
      <c r="AB101" s="257">
        <v>0.28039615002518592</v>
      </c>
      <c r="AC101" s="257">
        <v>0.10025310700785731</v>
      </c>
      <c r="AD101" s="257">
        <v>1.768108602308481E-2</v>
      </c>
      <c r="AE101" s="257">
        <v>0.21302936252219468</v>
      </c>
      <c r="AF101" s="257">
        <v>6.9667615327393087E-2</v>
      </c>
      <c r="AG101" s="257">
        <v>0.59930652597266032</v>
      </c>
      <c r="AH101" s="257"/>
      <c r="AI101" s="257"/>
      <c r="AJ101" s="257"/>
      <c r="AK101" s="257"/>
      <c r="AL101" s="257"/>
      <c r="AM101" s="257"/>
      <c r="AN101" s="257"/>
      <c r="AO101" s="68" t="s">
        <v>29</v>
      </c>
    </row>
    <row r="102" spans="1:41" s="238" customFormat="1" ht="14.1" customHeight="1">
      <c r="A102" s="68" t="s">
        <v>1030</v>
      </c>
      <c r="B102" s="257">
        <v>0.78968574372698763</v>
      </c>
      <c r="C102" s="257">
        <v>1.0994913536948157</v>
      </c>
      <c r="D102" s="257">
        <v>0.81484416083518563</v>
      </c>
      <c r="E102" s="257">
        <v>0.21499944027333007</v>
      </c>
      <c r="F102" s="257">
        <v>0.1221716760199343</v>
      </c>
      <c r="G102" s="257">
        <v>0.14756233683623229</v>
      </c>
      <c r="H102" s="257">
        <v>0.10143755331384963</v>
      </c>
      <c r="I102" s="257">
        <v>1.2662395710655485</v>
      </c>
      <c r="J102" s="257">
        <v>7.4457850457328272E-3</v>
      </c>
      <c r="K102" s="257">
        <v>0.12175131002555256</v>
      </c>
      <c r="L102" s="257">
        <v>0.89338590542330876</v>
      </c>
      <c r="M102" s="257">
        <v>0.22097923072021453</v>
      </c>
      <c r="N102" s="257">
        <v>0.79881346274543252</v>
      </c>
      <c r="O102" s="257">
        <v>2.8598857738023593</v>
      </c>
      <c r="P102" s="257">
        <v>0.14095328969622839</v>
      </c>
      <c r="Q102" s="257">
        <v>0.26791052640293045</v>
      </c>
      <c r="R102" s="257">
        <v>0.62828222544344559</v>
      </c>
      <c r="S102" s="257">
        <v>0.4729552528751329</v>
      </c>
      <c r="T102" s="257">
        <v>0.99060672135022509</v>
      </c>
      <c r="U102" s="257">
        <v>1.9513657301397008E-2</v>
      </c>
      <c r="V102" s="257">
        <v>0.46922955341522959</v>
      </c>
      <c r="W102" s="257">
        <v>5.3854785452765687E-3</v>
      </c>
      <c r="X102" s="257">
        <v>1.7122973264398326E-2</v>
      </c>
      <c r="Y102" s="257">
        <v>6.7342624454091657E-2</v>
      </c>
      <c r="Z102" s="257">
        <v>4.6116756009145769E-2</v>
      </c>
      <c r="AA102" s="257">
        <v>2.6922404523018726E-2</v>
      </c>
      <c r="AB102" s="257">
        <v>0.2771315579370367</v>
      </c>
      <c r="AC102" s="257">
        <v>9.8903171378733876E-2</v>
      </c>
      <c r="AD102" s="257">
        <v>1.6982394795970444E-2</v>
      </c>
      <c r="AE102" s="257">
        <v>0.21056870076263234</v>
      </c>
      <c r="AF102" s="257">
        <v>7.132393279490222E-2</v>
      </c>
      <c r="AG102" s="257">
        <v>0.62447311714823539</v>
      </c>
      <c r="AH102" s="257"/>
      <c r="AI102" s="257"/>
      <c r="AJ102" s="257"/>
      <c r="AK102" s="257"/>
      <c r="AL102" s="257"/>
      <c r="AM102" s="257"/>
      <c r="AN102" s="257"/>
      <c r="AO102" s="68" t="s">
        <v>1030</v>
      </c>
    </row>
    <row r="103" spans="1:41" ht="14.1" hidden="1" customHeight="1">
      <c r="A103" s="68" t="s">
        <v>18</v>
      </c>
      <c r="B103" s="257">
        <v>0.79746421658253075</v>
      </c>
      <c r="C103" s="257">
        <v>1.0642171058980801</v>
      </c>
      <c r="D103" s="257">
        <v>0.79443421413935644</v>
      </c>
      <c r="E103" s="257">
        <v>0.21711741681248575</v>
      </c>
      <c r="F103" s="257">
        <v>0.12081392442422524</v>
      </c>
      <c r="G103" s="257">
        <v>0.14280684943663829</v>
      </c>
      <c r="H103" s="257">
        <v>0.10248140891871355</v>
      </c>
      <c r="I103" s="257">
        <v>1.2559697308975655</v>
      </c>
      <c r="J103" s="257">
        <v>7.6844015252124148E-3</v>
      </c>
      <c r="K103" s="257">
        <v>0.11923076602741976</v>
      </c>
      <c r="L103" s="257">
        <v>0.83329910896588932</v>
      </c>
      <c r="M103" s="257">
        <v>0.22253113853500289</v>
      </c>
      <c r="N103" s="257">
        <v>0.80184762676491839</v>
      </c>
      <c r="O103" s="257">
        <v>2.8385905357980166</v>
      </c>
      <c r="P103" s="257">
        <v>0.13581676482055843</v>
      </c>
      <c r="Q103" s="257">
        <v>0.2733418667548369</v>
      </c>
      <c r="R103" s="257">
        <v>0.61896286477191931</v>
      </c>
      <c r="S103" s="257">
        <v>0.51015297886753208</v>
      </c>
      <c r="T103" s="257">
        <v>0.96588894934157155</v>
      </c>
      <c r="U103" s="257">
        <v>2.6484561044820869E-2</v>
      </c>
      <c r="V103" s="257">
        <v>0.44469352442229027</v>
      </c>
      <c r="W103" s="257">
        <v>5.422322299695634E-3</v>
      </c>
      <c r="X103" s="257">
        <v>1.6882122566409617E-2</v>
      </c>
      <c r="Y103" s="257">
        <v>6.5318653259203122E-2</v>
      </c>
      <c r="Z103" s="257">
        <v>4.8478852715776941E-2</v>
      </c>
      <c r="AA103" s="257">
        <v>2.6466577016276725E-2</v>
      </c>
      <c r="AB103" s="257">
        <v>0.27988486923941236</v>
      </c>
      <c r="AC103" s="257">
        <v>0.10025504335513596</v>
      </c>
      <c r="AD103" s="257">
        <v>1.7566019309853846E-2</v>
      </c>
      <c r="AE103" s="257">
        <v>0.21264916840527667</v>
      </c>
      <c r="AF103" s="257">
        <v>7.1167662178379831E-2</v>
      </c>
      <c r="AG103" s="257">
        <v>0.61041041465031987</v>
      </c>
      <c r="AH103" s="257">
        <v>0</v>
      </c>
      <c r="AI103" s="257"/>
      <c r="AJ103" s="257"/>
      <c r="AK103" s="257"/>
      <c r="AL103" s="257"/>
      <c r="AM103" s="257"/>
      <c r="AN103" s="257"/>
      <c r="AO103" s="68" t="s">
        <v>18</v>
      </c>
    </row>
    <row r="104" spans="1:41" ht="14.1" hidden="1" customHeight="1">
      <c r="A104" s="68" t="s">
        <v>19</v>
      </c>
      <c r="B104" s="257">
        <v>0.79524642857142869</v>
      </c>
      <c r="C104" s="257">
        <v>1.0865046273214285</v>
      </c>
      <c r="D104" s="257">
        <v>0.80263973767857144</v>
      </c>
      <c r="E104" s="257">
        <v>0.21651573181625744</v>
      </c>
      <c r="F104" s="257">
        <v>0.12093247790507801</v>
      </c>
      <c r="G104" s="257">
        <v>0.14573438840817129</v>
      </c>
      <c r="H104" s="257">
        <v>0.10209649929371394</v>
      </c>
      <c r="I104" s="257">
        <v>1.2830122594642861</v>
      </c>
      <c r="J104" s="257">
        <v>7.6777611680131494E-3</v>
      </c>
      <c r="K104" s="257">
        <v>0.12357882594533484</v>
      </c>
      <c r="L104" s="257">
        <v>0.83815597196818581</v>
      </c>
      <c r="M104" s="257">
        <v>0.21718411715561808</v>
      </c>
      <c r="N104" s="257">
        <v>0.80483005396434848</v>
      </c>
      <c r="O104" s="257">
        <v>2.8661822742450331</v>
      </c>
      <c r="P104" s="257">
        <v>0.13878014025208393</v>
      </c>
      <c r="Q104" s="257">
        <v>0.27670676553971285</v>
      </c>
      <c r="R104" s="257">
        <v>0.62296135061642166</v>
      </c>
      <c r="S104" s="257">
        <v>0.50007822080957098</v>
      </c>
      <c r="T104" s="257">
        <v>0.96312533233189457</v>
      </c>
      <c r="U104" s="257">
        <v>2.6367115307190579E-2</v>
      </c>
      <c r="V104" s="257">
        <v>0.44932139933238402</v>
      </c>
      <c r="W104" s="257">
        <v>5.4323947772529132E-3</v>
      </c>
      <c r="X104" s="257">
        <v>1.6767183018894929E-2</v>
      </c>
      <c r="Y104" s="257">
        <v>6.628568510572222E-2</v>
      </c>
      <c r="Z104" s="257">
        <v>4.7941469782448808E-2</v>
      </c>
      <c r="AA104" s="257">
        <v>2.7167964381519173E-2</v>
      </c>
      <c r="AB104" s="257">
        <v>0.27907841695933666</v>
      </c>
      <c r="AC104" s="257">
        <v>0.10000318977291782</v>
      </c>
      <c r="AD104" s="257">
        <v>1.7496742844228492E-2</v>
      </c>
      <c r="AE104" s="257">
        <v>0.21204794780049235</v>
      </c>
      <c r="AF104" s="257">
        <v>7.1125448589246479E-2</v>
      </c>
      <c r="AG104" s="257">
        <v>0.60670676305323612</v>
      </c>
      <c r="AH104" s="257">
        <v>4.466880385999094E-2</v>
      </c>
      <c r="AI104" s="257"/>
      <c r="AJ104" s="257"/>
      <c r="AK104" s="257"/>
      <c r="AL104" s="257"/>
      <c r="AM104" s="257"/>
      <c r="AN104" s="257"/>
      <c r="AO104" s="68" t="s">
        <v>19</v>
      </c>
    </row>
    <row r="105" spans="1:41" ht="14.1" hidden="1" customHeight="1">
      <c r="A105" s="68" t="s">
        <v>20</v>
      </c>
      <c r="B105" s="257">
        <v>0.79339032258064501</v>
      </c>
      <c r="C105" s="257">
        <v>1.1089423304838713</v>
      </c>
      <c r="D105" s="257">
        <v>0.79734752177419355</v>
      </c>
      <c r="E105" s="257">
        <v>0.21600873317440505</v>
      </c>
      <c r="F105" s="257">
        <v>0.12077240833328567</v>
      </c>
      <c r="G105" s="257">
        <v>0.14869845995317715</v>
      </c>
      <c r="H105" s="257">
        <v>0.10178710453085711</v>
      </c>
      <c r="I105" s="257">
        <v>1.281225629193548</v>
      </c>
      <c r="J105" s="257">
        <v>7.688116358646158E-3</v>
      </c>
      <c r="K105" s="257">
        <v>0.12459208502512539</v>
      </c>
      <c r="L105" s="257">
        <v>0.86319861632058481</v>
      </c>
      <c r="M105" s="257">
        <v>0.22215563148487483</v>
      </c>
      <c r="N105" s="257">
        <v>0.8113032467465412</v>
      </c>
      <c r="O105" s="257">
        <v>2.8569948021824616</v>
      </c>
      <c r="P105" s="257">
        <v>0.14139504214059664</v>
      </c>
      <c r="Q105" s="257">
        <v>0.27559078193230996</v>
      </c>
      <c r="R105" s="257">
        <v>0.6243623048716519</v>
      </c>
      <c r="S105" s="257">
        <v>0.50043274801326099</v>
      </c>
      <c r="T105" s="257">
        <v>0.96771165102017886</v>
      </c>
      <c r="U105" s="257">
        <v>2.6241917928122679E-2</v>
      </c>
      <c r="V105" s="257">
        <v>0.46432655436854414</v>
      </c>
      <c r="W105" s="257">
        <v>5.443739701964421E-3</v>
      </c>
      <c r="X105" s="257">
        <v>1.6726066203140492E-2</v>
      </c>
      <c r="Y105" s="257">
        <v>6.621798143702573E-2</v>
      </c>
      <c r="Z105" s="257">
        <v>4.7462786100866933E-2</v>
      </c>
      <c r="AA105" s="257">
        <v>2.7842900634661515E-2</v>
      </c>
      <c r="AB105" s="257">
        <v>0.27838743176512787</v>
      </c>
      <c r="AC105" s="257">
        <v>9.9754031419424932E-2</v>
      </c>
      <c r="AD105" s="257">
        <v>1.7609583598491647E-2</v>
      </c>
      <c r="AE105" s="257">
        <v>0.21155082422981158</v>
      </c>
      <c r="AF105" s="257">
        <v>7.065466698658765E-2</v>
      </c>
      <c r="AG105" s="257">
        <v>0.58459936209677399</v>
      </c>
      <c r="AH105" s="257">
        <v>4.545460630299105E-2</v>
      </c>
      <c r="AI105" s="257"/>
      <c r="AJ105" s="257"/>
      <c r="AK105" s="257"/>
      <c r="AL105" s="257"/>
      <c r="AM105" s="257"/>
      <c r="AN105" s="257"/>
      <c r="AO105" s="68" t="s">
        <v>20</v>
      </c>
    </row>
    <row r="106" spans="1:41" ht="14.1" hidden="1" customHeight="1">
      <c r="A106" s="68" t="s">
        <v>21</v>
      </c>
      <c r="B106" s="257">
        <v>0.79195666666666642</v>
      </c>
      <c r="C106" s="257">
        <v>1.1440901056666668</v>
      </c>
      <c r="D106" s="257">
        <v>0.83731415566666656</v>
      </c>
      <c r="E106" s="257">
        <v>0.21561839911763864</v>
      </c>
      <c r="F106" s="257">
        <v>0.12131151291240418</v>
      </c>
      <c r="G106" s="257">
        <v>0.1534104709941029</v>
      </c>
      <c r="H106" s="257">
        <v>0.10187444432470739</v>
      </c>
      <c r="I106" s="257">
        <v>1.2955274538333335</v>
      </c>
      <c r="J106" s="257">
        <v>7.5870943086253943E-3</v>
      </c>
      <c r="K106" s="257">
        <v>0.12762518795336927</v>
      </c>
      <c r="L106" s="257">
        <v>0.88129113045122986</v>
      </c>
      <c r="M106" s="257">
        <v>0.23071836769102047</v>
      </c>
      <c r="N106" s="257">
        <v>0.82631792848645647</v>
      </c>
      <c r="O106" s="257">
        <v>2.8662026972321235</v>
      </c>
      <c r="P106" s="257">
        <v>0.14642198553254296</v>
      </c>
      <c r="Q106" s="257">
        <v>0.28830945247414824</v>
      </c>
      <c r="R106" s="257">
        <v>0.63516383506376917</v>
      </c>
      <c r="S106" s="257">
        <v>0.52003648774769373</v>
      </c>
      <c r="T106" s="257">
        <v>0.95110999282791153</v>
      </c>
      <c r="U106" s="257">
        <v>2.5982271290338275E-2</v>
      </c>
      <c r="V106" s="257">
        <v>0.47748182714701987</v>
      </c>
      <c r="W106" s="257">
        <v>5.4448875914010044E-3</v>
      </c>
      <c r="X106" s="257">
        <v>1.6814711626111607E-2</v>
      </c>
      <c r="Y106" s="257">
        <v>6.791248911202219E-2</v>
      </c>
      <c r="Z106" s="257">
        <v>4.6977183106501778E-2</v>
      </c>
      <c r="AA106" s="257">
        <v>2.819382062345786E-2</v>
      </c>
      <c r="AB106" s="257">
        <v>0.27749978986247359</v>
      </c>
      <c r="AC106" s="257">
        <v>9.9373115380746321E-2</v>
      </c>
      <c r="AD106" s="257">
        <v>1.7862271807744974E-2</v>
      </c>
      <c r="AE106" s="257">
        <v>0.21118450238874836</v>
      </c>
      <c r="AF106" s="257">
        <v>7.2976614959075009E-2</v>
      </c>
      <c r="AG106" s="257">
        <v>0.6237397166666665</v>
      </c>
      <c r="AH106" s="257">
        <v>4.7142531005134797E-2</v>
      </c>
      <c r="AI106" s="257"/>
      <c r="AJ106" s="257"/>
      <c r="AK106" s="257"/>
      <c r="AL106" s="257"/>
      <c r="AM106" s="257"/>
      <c r="AN106" s="257"/>
      <c r="AO106" s="68" t="s">
        <v>21</v>
      </c>
    </row>
    <row r="107" spans="1:41" ht="14.1" hidden="1" customHeight="1">
      <c r="A107" s="68" t="s">
        <v>22</v>
      </c>
      <c r="B107" s="257">
        <v>0.79051935483870972</v>
      </c>
      <c r="C107" s="257">
        <v>1.135600321129032</v>
      </c>
      <c r="D107" s="257">
        <v>0.8450525262903229</v>
      </c>
      <c r="E107" s="257">
        <v>0.21522641962017708</v>
      </c>
      <c r="F107" s="257">
        <v>0.12170153090785037</v>
      </c>
      <c r="G107" s="257">
        <v>0.15228710614510121</v>
      </c>
      <c r="H107" s="257">
        <v>0.10167298202290881</v>
      </c>
      <c r="I107" s="257">
        <v>1.2928710232258065</v>
      </c>
      <c r="J107" s="257">
        <v>7.4978635413821262E-3</v>
      </c>
      <c r="K107" s="257">
        <v>0.12673297225151925</v>
      </c>
      <c r="L107" s="257">
        <v>0.90514495540758022</v>
      </c>
      <c r="M107" s="257">
        <v>0.22822261426199741</v>
      </c>
      <c r="N107" s="257">
        <v>0.81771738753668088</v>
      </c>
      <c r="O107" s="257">
        <v>2.8731015116601384</v>
      </c>
      <c r="P107" s="257">
        <v>0.14475181624809072</v>
      </c>
      <c r="Q107" s="257">
        <v>0.28805784369887605</v>
      </c>
      <c r="R107" s="257">
        <v>0.6388590272858109</v>
      </c>
      <c r="S107" s="257">
        <v>0.50299792189162706</v>
      </c>
      <c r="T107" s="257">
        <v>0.97440975553091858</v>
      </c>
      <c r="U107" s="257">
        <v>2.3582794729609845E-2</v>
      </c>
      <c r="V107" s="257">
        <v>0.47055932274233042</v>
      </c>
      <c r="W107" s="257">
        <v>5.4307432747624949E-3</v>
      </c>
      <c r="X107" s="257">
        <v>1.7053655678183736E-2</v>
      </c>
      <c r="Y107" s="257">
        <v>6.821106203964597E-2</v>
      </c>
      <c r="Z107" s="257">
        <v>4.657351403807506E-2</v>
      </c>
      <c r="AA107" s="257">
        <v>2.8335824333536885E-2</v>
      </c>
      <c r="AB107" s="257">
        <v>0.27701385611419443</v>
      </c>
      <c r="AC107" s="257">
        <v>9.9046769750920388E-2</v>
      </c>
      <c r="AD107" s="257">
        <v>1.7599585269215692E-2</v>
      </c>
      <c r="AE107" s="257">
        <v>0.21079645399685631</v>
      </c>
      <c r="AF107" s="257">
        <v>7.2945274335019558E-2</v>
      </c>
      <c r="AG107" s="257">
        <v>0.63013069854838732</v>
      </c>
      <c r="AH107" s="257">
        <v>4.6596980286110638E-2</v>
      </c>
      <c r="AI107" s="257"/>
      <c r="AJ107" s="257"/>
      <c r="AK107" s="257"/>
      <c r="AL107" s="257"/>
      <c r="AM107" s="257"/>
      <c r="AN107" s="257"/>
      <c r="AO107" s="68" t="s">
        <v>22</v>
      </c>
    </row>
    <row r="108" spans="1:41" ht="14.1" hidden="1" customHeight="1">
      <c r="A108" s="68" t="s">
        <v>23</v>
      </c>
      <c r="B108" s="257">
        <v>0.78803666666666639</v>
      </c>
      <c r="C108" s="257">
        <v>1.1338737273333328</v>
      </c>
      <c r="D108" s="257">
        <v>0.83547165583333338</v>
      </c>
      <c r="E108" s="257">
        <v>0.21455035670948522</v>
      </c>
      <c r="F108" s="257">
        <v>0.12171084620193849</v>
      </c>
      <c r="G108" s="257">
        <v>0.15203546721918243</v>
      </c>
      <c r="H108" s="257">
        <v>0.10121621949068575</v>
      </c>
      <c r="I108" s="257">
        <v>1.2789608378333335</v>
      </c>
      <c r="J108" s="257">
        <v>7.2065220292794989E-3</v>
      </c>
      <c r="K108" s="257">
        <v>0.12458938580352591</v>
      </c>
      <c r="L108" s="257">
        <v>0.93656987044649609</v>
      </c>
      <c r="M108" s="257">
        <v>0.2307206212088421</v>
      </c>
      <c r="N108" s="257">
        <v>0.8062487513935338</v>
      </c>
      <c r="O108" s="257">
        <v>2.869438263960038</v>
      </c>
      <c r="P108" s="257">
        <v>0.14483820469006339</v>
      </c>
      <c r="Q108" s="257">
        <v>0.28591614714424196</v>
      </c>
      <c r="R108" s="257">
        <v>0.63847717080724509</v>
      </c>
      <c r="S108" s="257">
        <v>0.49262975047170243</v>
      </c>
      <c r="T108" s="257">
        <v>0.97920595608449978</v>
      </c>
      <c r="U108" s="257">
        <v>1.5828191164796078E-2</v>
      </c>
      <c r="V108" s="257">
        <v>0.47732065911808985</v>
      </c>
      <c r="W108" s="257">
        <v>5.4049389155709391E-3</v>
      </c>
      <c r="X108" s="257">
        <v>1.7411990497424982E-2</v>
      </c>
      <c r="Y108" s="257">
        <v>6.8149372613848208E-2</v>
      </c>
      <c r="Z108" s="257">
        <v>4.6151902729721132E-2</v>
      </c>
      <c r="AA108" s="257">
        <v>2.8165602501943762E-2</v>
      </c>
      <c r="AB108" s="257">
        <v>0.27676758484804398</v>
      </c>
      <c r="AC108" s="257">
        <v>9.8656917561196711E-2</v>
      </c>
      <c r="AD108" s="257">
        <v>1.7569462344203871E-2</v>
      </c>
      <c r="AE108" s="257">
        <v>0.21013377191046559</v>
      </c>
      <c r="AF108" s="257">
        <v>7.2922215500072621E-2</v>
      </c>
      <c r="AG108" s="257">
        <v>0.64210437800000009</v>
      </c>
      <c r="AH108" s="257">
        <v>4.6689755719475284E-2</v>
      </c>
      <c r="AI108" s="257"/>
      <c r="AJ108" s="257"/>
      <c r="AK108" s="257"/>
      <c r="AL108" s="257"/>
      <c r="AM108" s="257"/>
      <c r="AN108" s="257"/>
      <c r="AO108" s="68" t="s">
        <v>23</v>
      </c>
    </row>
    <row r="109" spans="1:41" ht="14.1" hidden="1" customHeight="1">
      <c r="A109" s="68" t="s">
        <v>24</v>
      </c>
      <c r="B109" s="257">
        <v>0.78658064516129056</v>
      </c>
      <c r="C109" s="257">
        <v>1.1258713337096773</v>
      </c>
      <c r="D109" s="257">
        <v>0.84780457822580668</v>
      </c>
      <c r="E109" s="257">
        <v>0.21415472776327338</v>
      </c>
      <c r="F109" s="257">
        <v>0.12181061973643333</v>
      </c>
      <c r="G109" s="257">
        <v>0.15099658653689571</v>
      </c>
      <c r="H109" s="257">
        <v>0.10098530200266666</v>
      </c>
      <c r="I109" s="257">
        <v>1.2697631616129028</v>
      </c>
      <c r="J109" s="257">
        <v>7.4198099625389057E-3</v>
      </c>
      <c r="K109" s="257">
        <v>0.12332904369495483</v>
      </c>
      <c r="L109" s="257">
        <v>0.95485664794777925</v>
      </c>
      <c r="M109" s="257">
        <v>0.2304654023655183</v>
      </c>
      <c r="N109" s="257">
        <v>0.82271347656157134</v>
      </c>
      <c r="O109" s="257">
        <v>2.8694720746566071</v>
      </c>
      <c r="P109" s="257">
        <v>0.14470376997281661</v>
      </c>
      <c r="Q109" s="257">
        <v>0.28214436415304028</v>
      </c>
      <c r="R109" s="257">
        <v>0.64642992947258027</v>
      </c>
      <c r="S109" s="257">
        <v>0.47627069628332175</v>
      </c>
      <c r="T109" s="257">
        <v>0.9904484803813226</v>
      </c>
      <c r="U109" s="257">
        <v>1.5826269810757701E-2</v>
      </c>
      <c r="V109" s="257">
        <v>0.47249329874790641</v>
      </c>
      <c r="W109" s="257">
        <v>5.3883023851887483E-3</v>
      </c>
      <c r="X109" s="257">
        <v>1.7440742874563878E-2</v>
      </c>
      <c r="Y109" s="257">
        <v>6.8247048204119268E-2</v>
      </c>
      <c r="Z109" s="257">
        <v>4.5792974000917329E-2</v>
      </c>
      <c r="AA109" s="257">
        <v>2.8190676405381494E-2</v>
      </c>
      <c r="AB109" s="257">
        <v>0.27596119265099417</v>
      </c>
      <c r="AC109" s="257">
        <v>9.8420356972567513E-2</v>
      </c>
      <c r="AD109" s="257">
        <v>1.7712699923420141E-2</v>
      </c>
      <c r="AE109" s="257">
        <v>0.2097452768565079</v>
      </c>
      <c r="AF109" s="257">
        <v>7.4352000908286614E-2</v>
      </c>
      <c r="AG109" s="257">
        <v>0.66477817919354842</v>
      </c>
      <c r="AH109" s="257">
        <v>4.6281658000347656E-2</v>
      </c>
      <c r="AI109" s="257"/>
      <c r="AJ109" s="257"/>
      <c r="AK109" s="257"/>
      <c r="AL109" s="257"/>
      <c r="AM109" s="257"/>
      <c r="AN109" s="257"/>
      <c r="AO109" s="68" t="s">
        <v>24</v>
      </c>
    </row>
    <row r="110" spans="1:41" ht="14.1" hidden="1" customHeight="1">
      <c r="A110" s="68" t="s">
        <v>25</v>
      </c>
      <c r="B110" s="257">
        <v>0.78646774193548408</v>
      </c>
      <c r="C110" s="257">
        <v>1.1263777819354841</v>
      </c>
      <c r="D110" s="257">
        <v>0.82390580145161296</v>
      </c>
      <c r="E110" s="257">
        <v>0.21412474178107793</v>
      </c>
      <c r="F110" s="257">
        <v>0.12276979941204752</v>
      </c>
      <c r="G110" s="257">
        <v>0.15119679165890307</v>
      </c>
      <c r="H110" s="257">
        <v>0.10085853237762843</v>
      </c>
      <c r="I110" s="257">
        <v>1.2863371382258066</v>
      </c>
      <c r="J110" s="257">
        <v>7.4320965460124054E-3</v>
      </c>
      <c r="K110" s="257">
        <v>0.12268899949672146</v>
      </c>
      <c r="L110" s="257">
        <v>1.0088491268441986</v>
      </c>
      <c r="M110" s="257">
        <v>0.22168642471233199</v>
      </c>
      <c r="N110" s="257">
        <v>0.80116085613682564</v>
      </c>
      <c r="O110" s="257">
        <v>2.8843278988426486</v>
      </c>
      <c r="P110" s="257">
        <v>0.14427462254629053</v>
      </c>
      <c r="Q110" s="257">
        <v>0.27337597428201876</v>
      </c>
      <c r="R110" s="257">
        <v>0.65017713962361134</v>
      </c>
      <c r="S110" s="257">
        <v>0.44737144402123052</v>
      </c>
      <c r="T110" s="257">
        <v>1.0199030677943492</v>
      </c>
      <c r="U110" s="257">
        <v>1.5680058255308025E-2</v>
      </c>
      <c r="V110" s="257">
        <v>0.47722625197889007</v>
      </c>
      <c r="W110" s="257">
        <v>5.3637659825164618E-3</v>
      </c>
      <c r="X110" s="257">
        <v>1.7578982154499191E-2</v>
      </c>
      <c r="Y110" s="257">
        <v>6.9159963151392598E-2</v>
      </c>
      <c r="Z110" s="257">
        <v>4.546201036803138E-2</v>
      </c>
      <c r="AA110" s="257">
        <v>2.7276665463624512E-2</v>
      </c>
      <c r="AB110" s="257">
        <v>0.27596922840931587</v>
      </c>
      <c r="AC110" s="257">
        <v>9.8367668665585828E-2</v>
      </c>
      <c r="AD110" s="257">
        <v>1.7335431035262028E-2</v>
      </c>
      <c r="AE110" s="257">
        <v>0.20971399742843921</v>
      </c>
      <c r="AF110" s="257">
        <v>7.3078371942885953E-2</v>
      </c>
      <c r="AG110" s="257">
        <v>0.65697328467741944</v>
      </c>
      <c r="AH110" s="257">
        <v>0</v>
      </c>
      <c r="AI110" s="257"/>
      <c r="AJ110" s="257"/>
      <c r="AK110" s="257"/>
      <c r="AL110" s="257"/>
      <c r="AM110" s="257"/>
      <c r="AN110" s="257"/>
      <c r="AO110" s="68" t="s">
        <v>25</v>
      </c>
    </row>
    <row r="111" spans="1:41" ht="14.1" hidden="1" customHeight="1">
      <c r="A111" s="68" t="s">
        <v>26</v>
      </c>
      <c r="B111" s="257">
        <v>0.78666666666666651</v>
      </c>
      <c r="C111" s="257">
        <v>1.0863002638333334</v>
      </c>
      <c r="D111" s="257">
        <v>0.80854767800000005</v>
      </c>
      <c r="E111" s="257">
        <v>0.21417580647059589</v>
      </c>
      <c r="F111" s="257">
        <v>0.12314672962189571</v>
      </c>
      <c r="G111" s="257">
        <v>0.14587368874615256</v>
      </c>
      <c r="H111" s="257">
        <v>0.10093343403047196</v>
      </c>
      <c r="I111" s="257">
        <v>1.2435573924999999</v>
      </c>
      <c r="J111" s="257">
        <v>7.3668047469991008E-3</v>
      </c>
      <c r="K111" s="257">
        <v>0.11895810586153817</v>
      </c>
      <c r="L111" s="257">
        <v>0.90912088639213873</v>
      </c>
      <c r="M111" s="257">
        <v>0.21390508915419337</v>
      </c>
      <c r="N111" s="257">
        <v>0.78788245925925993</v>
      </c>
      <c r="O111" s="257">
        <v>2.8606388344002247</v>
      </c>
      <c r="P111" s="257">
        <v>0.14076039993069947</v>
      </c>
      <c r="Q111" s="257">
        <v>0.25159719367268629</v>
      </c>
      <c r="R111" s="257">
        <v>0.63106375180143504</v>
      </c>
      <c r="S111" s="257">
        <v>0.43975925710733216</v>
      </c>
      <c r="T111" s="257">
        <v>1.0241511611414185</v>
      </c>
      <c r="U111" s="257">
        <v>1.4932757594822328E-2</v>
      </c>
      <c r="V111" s="257">
        <v>0.47343170114680333</v>
      </c>
      <c r="W111" s="257">
        <v>5.3428071996170839E-3</v>
      </c>
      <c r="X111" s="257">
        <v>1.7490472612395412E-2</v>
      </c>
      <c r="Y111" s="257">
        <v>6.777882748473564E-2</v>
      </c>
      <c r="Z111" s="257">
        <v>4.5206081650667002E-2</v>
      </c>
      <c r="AA111" s="257">
        <v>2.5790733052306985E-2</v>
      </c>
      <c r="AB111" s="257">
        <v>0.27623523466986549</v>
      </c>
      <c r="AC111" s="257">
        <v>9.8351039559873232E-2</v>
      </c>
      <c r="AD111" s="257">
        <v>1.6554842994500465E-2</v>
      </c>
      <c r="AE111" s="257">
        <v>0.20975158202802183</v>
      </c>
      <c r="AF111" s="257">
        <v>7.0498201170850108E-2</v>
      </c>
      <c r="AG111" s="257">
        <v>0.64200882016666683</v>
      </c>
      <c r="AH111" s="257">
        <v>4.4337615808861607E-2</v>
      </c>
      <c r="AI111" s="257"/>
      <c r="AJ111" s="257"/>
      <c r="AK111" s="257"/>
      <c r="AL111" s="257"/>
      <c r="AM111" s="257"/>
      <c r="AN111" s="257"/>
      <c r="AO111" s="68" t="s">
        <v>26</v>
      </c>
    </row>
    <row r="112" spans="1:41" ht="14.1" hidden="1" customHeight="1">
      <c r="A112" s="68" t="s">
        <v>27</v>
      </c>
      <c r="B112" s="257">
        <v>0.78690322580645133</v>
      </c>
      <c r="C112" s="257">
        <v>1.0786462432258064</v>
      </c>
      <c r="D112" s="257">
        <v>0.7955451685483873</v>
      </c>
      <c r="E112" s="257">
        <v>0.21424104887019732</v>
      </c>
      <c r="F112" s="257">
        <v>0.12348551133147666</v>
      </c>
      <c r="G112" s="257">
        <v>0.14489492374061624</v>
      </c>
      <c r="H112" s="257">
        <v>0.10115104871539557</v>
      </c>
      <c r="I112" s="257">
        <v>1.2384168287096771</v>
      </c>
      <c r="J112" s="257">
        <v>7.3952339210880515E-3</v>
      </c>
      <c r="K112" s="257">
        <v>0.11821998844921124</v>
      </c>
      <c r="L112" s="257">
        <v>0.87766254706415492</v>
      </c>
      <c r="M112" s="257">
        <v>0.21452940632131884</v>
      </c>
      <c r="N112" s="257">
        <v>0.7699424862508043</v>
      </c>
      <c r="O112" s="257">
        <v>2.8550222462280859</v>
      </c>
      <c r="P112" s="257">
        <v>0.13905743238246412</v>
      </c>
      <c r="Q112" s="257">
        <v>0.24756498210062861</v>
      </c>
      <c r="R112" s="257">
        <v>0.61563013820953605</v>
      </c>
      <c r="S112" s="257">
        <v>0.42985368231393889</v>
      </c>
      <c r="T112" s="257">
        <v>1.0262449052634215</v>
      </c>
      <c r="U112" s="257">
        <v>1.8898461845093049E-2</v>
      </c>
      <c r="V112" s="257">
        <v>0.47472024805491986</v>
      </c>
      <c r="W112" s="257">
        <v>5.3170466007503876E-3</v>
      </c>
      <c r="X112" s="257">
        <v>1.7395467866684017E-2</v>
      </c>
      <c r="Y112" s="257">
        <v>6.6962855973796767E-2</v>
      </c>
      <c r="Z112" s="257">
        <v>4.4877660293851214E-2</v>
      </c>
      <c r="AA112" s="257">
        <v>2.5126838231254167E-2</v>
      </c>
      <c r="AB112" s="257">
        <v>0.27638254520666777</v>
      </c>
      <c r="AC112" s="257">
        <v>9.8324766496418789E-2</v>
      </c>
      <c r="AD112" s="257">
        <v>1.5973179295915831E-2</v>
      </c>
      <c r="AE112" s="257">
        <v>0.20982208923290049</v>
      </c>
      <c r="AF112" s="257">
        <v>6.8215663084126896E-2</v>
      </c>
      <c r="AG112" s="257">
        <v>0.62018758596774204</v>
      </c>
      <c r="AH112" s="257">
        <v>4.3490856413869405E-2</v>
      </c>
      <c r="AI112" s="257"/>
      <c r="AJ112" s="257"/>
      <c r="AK112" s="257"/>
      <c r="AL112" s="257"/>
      <c r="AM112" s="257"/>
      <c r="AN112" s="257"/>
      <c r="AO112" s="68" t="s">
        <v>27</v>
      </c>
    </row>
    <row r="113" spans="1:41" ht="14.1" hidden="1" customHeight="1">
      <c r="A113" s="68" t="s">
        <v>28</v>
      </c>
      <c r="B113" s="257">
        <v>0.7866066666666669</v>
      </c>
      <c r="C113" s="257">
        <v>1.0672401478333333</v>
      </c>
      <c r="D113" s="257">
        <v>0.79400757483333317</v>
      </c>
      <c r="E113" s="257">
        <v>0.21416122072289767</v>
      </c>
      <c r="F113" s="257">
        <v>0.12375978706272846</v>
      </c>
      <c r="G113" s="257">
        <v>0.14342304586956475</v>
      </c>
      <c r="H113" s="257">
        <v>0.10108631875130424</v>
      </c>
      <c r="I113" s="257">
        <v>1.2428539910000003</v>
      </c>
      <c r="J113" s="257">
        <v>7.2321096464512862E-3</v>
      </c>
      <c r="K113" s="257">
        <v>0.11666161901178598</v>
      </c>
      <c r="L113" s="257">
        <v>0.86876316999598258</v>
      </c>
      <c r="M113" s="257">
        <v>0.21135753507380217</v>
      </c>
      <c r="N113" s="257">
        <v>0.76722099807993638</v>
      </c>
      <c r="O113" s="257">
        <v>2.848199681265279</v>
      </c>
      <c r="P113" s="257">
        <v>0.13707038089372042</v>
      </c>
      <c r="Q113" s="257">
        <v>0.24099066411707379</v>
      </c>
      <c r="R113" s="257">
        <v>0.61020392920933586</v>
      </c>
      <c r="S113" s="257">
        <v>0.43494321594036933</v>
      </c>
      <c r="T113" s="257">
        <v>1.0147337599333566</v>
      </c>
      <c r="U113" s="257">
        <v>1.50574019664667E-2</v>
      </c>
      <c r="V113" s="257">
        <v>0.47514517151966967</v>
      </c>
      <c r="W113" s="257">
        <v>5.320570594825832E-3</v>
      </c>
      <c r="X113" s="257">
        <v>1.7056503479703874E-2</v>
      </c>
      <c r="Y113" s="257">
        <v>6.7057903927998222E-2</v>
      </c>
      <c r="Z113" s="257">
        <v>4.4470221787458221E-2</v>
      </c>
      <c r="AA113" s="257">
        <v>2.5512878283756021E-2</v>
      </c>
      <c r="AB113" s="257">
        <v>0.27631260825844434</v>
      </c>
      <c r="AC113" s="257">
        <v>9.8209938797635385E-2</v>
      </c>
      <c r="AD113" s="257">
        <v>1.5534818061829988E-2</v>
      </c>
      <c r="AE113" s="257">
        <v>0.20974229534056771</v>
      </c>
      <c r="AF113" s="257">
        <v>6.943062860951052E-2</v>
      </c>
      <c r="AG113" s="257">
        <v>0.60618516050000004</v>
      </c>
      <c r="AH113" s="257">
        <v>4.1910965187058648E-2</v>
      </c>
      <c r="AI113" s="257"/>
      <c r="AJ113" s="257"/>
      <c r="AK113" s="257"/>
      <c r="AL113" s="257"/>
      <c r="AM113" s="257"/>
      <c r="AN113" s="257"/>
      <c r="AO113" s="68" t="s">
        <v>28</v>
      </c>
    </row>
    <row r="114" spans="1:41" ht="14.1" hidden="1" customHeight="1">
      <c r="A114" s="68" t="s">
        <v>29</v>
      </c>
      <c r="B114" s="257">
        <v>0.78639032258064545</v>
      </c>
      <c r="C114" s="257">
        <v>1.0362322559677415</v>
      </c>
      <c r="D114" s="257">
        <v>0.79605931758064485</v>
      </c>
      <c r="E114" s="257">
        <v>0.21409868042146984</v>
      </c>
      <c r="F114" s="257">
        <v>0.12384496438984791</v>
      </c>
      <c r="G114" s="257">
        <v>0.13939026332628202</v>
      </c>
      <c r="H114" s="257">
        <v>0.10110734530714227</v>
      </c>
      <c r="I114" s="257">
        <v>1.2263794062903224</v>
      </c>
      <c r="J114" s="257">
        <v>7.1616067945454295E-3</v>
      </c>
      <c r="K114" s="257">
        <v>0.11480874078612466</v>
      </c>
      <c r="L114" s="257">
        <v>0.84371883327548491</v>
      </c>
      <c r="M114" s="257">
        <v>0.20827442067805335</v>
      </c>
      <c r="N114" s="257">
        <v>0.76857628176431303</v>
      </c>
      <c r="O114" s="257">
        <v>2.8304584651576552</v>
      </c>
      <c r="P114" s="257">
        <v>0.1335689169448136</v>
      </c>
      <c r="Q114" s="257">
        <v>0.23133028096559172</v>
      </c>
      <c r="R114" s="257">
        <v>0.60709526358803101</v>
      </c>
      <c r="S114" s="257">
        <v>0.42093663103401546</v>
      </c>
      <c r="T114" s="257">
        <v>1.0103476445518558</v>
      </c>
      <c r="U114" s="257">
        <v>9.28208667943798E-3</v>
      </c>
      <c r="V114" s="257">
        <v>0.47403468240390673</v>
      </c>
      <c r="W114" s="257">
        <v>5.3142232197729029E-3</v>
      </c>
      <c r="X114" s="257">
        <v>1.685778059476814E-2</v>
      </c>
      <c r="Y114" s="257">
        <v>6.6809651139589935E-2</v>
      </c>
      <c r="Z114" s="257">
        <v>4.4006415535433531E-2</v>
      </c>
      <c r="AA114" s="257">
        <v>2.4998373348505611E-2</v>
      </c>
      <c r="AB114" s="257">
        <v>0.2760859372605638</v>
      </c>
      <c r="AC114" s="257">
        <v>9.8075218812383666E-2</v>
      </c>
      <c r="AD114" s="257">
        <v>1.4974101066978386E-2</v>
      </c>
      <c r="AE114" s="257">
        <v>0.20968649953349983</v>
      </c>
      <c r="AF114" s="257">
        <v>6.8520445274785541E-2</v>
      </c>
      <c r="AG114" s="257">
        <v>0.60585304225806436</v>
      </c>
      <c r="AH114" s="257">
        <v>4.064524176597737E-2</v>
      </c>
      <c r="AI114" s="257"/>
      <c r="AJ114" s="257"/>
      <c r="AK114" s="257"/>
      <c r="AL114" s="257"/>
      <c r="AM114" s="257"/>
      <c r="AN114" s="257"/>
      <c r="AO114" s="68" t="s">
        <v>29</v>
      </c>
    </row>
    <row r="115" spans="1:41" s="238" customFormat="1" ht="14.1" customHeight="1">
      <c r="A115" s="68" t="s">
        <v>1301</v>
      </c>
      <c r="B115" s="257">
        <v>0.78564379433938958</v>
      </c>
      <c r="C115" s="257">
        <v>1.0102096785332624</v>
      </c>
      <c r="D115" s="257">
        <v>0.81377537803406563</v>
      </c>
      <c r="E115" s="257">
        <v>0.21389847506349149</v>
      </c>
      <c r="F115" s="257">
        <v>0.12452422484961272</v>
      </c>
      <c r="G115" s="257">
        <v>0.13571200778561868</v>
      </c>
      <c r="H115" s="257">
        <v>0.10128147545087883</v>
      </c>
      <c r="I115" s="257">
        <v>1.2448389161333118</v>
      </c>
      <c r="J115" s="257">
        <v>6.4547632013985242E-3</v>
      </c>
      <c r="K115" s="257">
        <v>0.11604626470159647</v>
      </c>
      <c r="L115" s="257">
        <v>0.8380503263629997</v>
      </c>
      <c r="M115" s="257">
        <v>0.20393412907736261</v>
      </c>
      <c r="N115" s="257">
        <v>0.78620153755019528</v>
      </c>
      <c r="O115" s="257">
        <v>2.8052130170782075</v>
      </c>
      <c r="P115" s="257">
        <v>0.13508583469008154</v>
      </c>
      <c r="Q115" s="257">
        <v>0.24169564182539161</v>
      </c>
      <c r="R115" s="257">
        <v>0.62880324555057976</v>
      </c>
      <c r="S115" s="257">
        <v>0.43655777299608983</v>
      </c>
      <c r="T115" s="257">
        <v>0.984810442947052</v>
      </c>
      <c r="U115" s="257">
        <v>9.4262221480790678E-3</v>
      </c>
      <c r="V115" s="257">
        <v>0.47587236866573646</v>
      </c>
      <c r="W115" s="257">
        <v>5.2687279209235501E-3</v>
      </c>
      <c r="X115" s="257">
        <v>1.671808002185261E-2</v>
      </c>
      <c r="Y115" s="257">
        <v>6.493940069355543E-2</v>
      </c>
      <c r="Z115" s="257">
        <v>4.1635225463087039E-2</v>
      </c>
      <c r="AA115" s="257">
        <v>2.5325221981539487E-2</v>
      </c>
      <c r="AB115" s="257">
        <v>0.2755802262076017</v>
      </c>
      <c r="AC115" s="257">
        <v>9.7202982578912592E-2</v>
      </c>
      <c r="AD115" s="257">
        <v>1.4740576821343852E-2</v>
      </c>
      <c r="AE115" s="257">
        <v>0.20949169244039312</v>
      </c>
      <c r="AF115" s="257">
        <v>6.9781036815369568E-2</v>
      </c>
      <c r="AG115" s="257">
        <v>0.63646850217278461</v>
      </c>
      <c r="AH115" s="257">
        <v>4.0158718495735442E-2</v>
      </c>
      <c r="AI115" s="257"/>
      <c r="AJ115" s="257"/>
      <c r="AK115" s="257"/>
      <c r="AL115" s="257"/>
      <c r="AM115" s="257"/>
      <c r="AN115" s="257"/>
      <c r="AO115" s="68" t="s">
        <v>1301</v>
      </c>
    </row>
    <row r="116" spans="1:41" ht="14.1" hidden="1" customHeight="1">
      <c r="A116" s="68" t="s">
        <v>18</v>
      </c>
      <c r="B116" s="260">
        <v>0.78634516129032306</v>
      </c>
      <c r="C116" s="260">
        <v>1.0139640319354837</v>
      </c>
      <c r="D116" s="260">
        <v>0.81533754209677423</v>
      </c>
      <c r="E116" s="260">
        <v>0.21408826473358306</v>
      </c>
      <c r="F116" s="260">
        <v>0.12446468240681387</v>
      </c>
      <c r="G116" s="260">
        <v>0.13637001004455698</v>
      </c>
      <c r="H116" s="260">
        <v>0.10127325882531325</v>
      </c>
      <c r="I116" s="260">
        <v>1.2176704548387098</v>
      </c>
      <c r="J116" s="260">
        <v>6.9823614214841231E-3</v>
      </c>
      <c r="K116" s="260">
        <v>0.11454948174157534</v>
      </c>
      <c r="L116" s="260">
        <v>0.83707310415319847</v>
      </c>
      <c r="M116" s="260">
        <v>0.20639210456756166</v>
      </c>
      <c r="N116" s="260">
        <v>0.7752539842715791</v>
      </c>
      <c r="O116" s="260">
        <v>2.8211296848734304</v>
      </c>
      <c r="P116" s="260">
        <v>0.13186161674551583</v>
      </c>
      <c r="Q116" s="260">
        <v>0.23174119745515928</v>
      </c>
      <c r="R116" s="260">
        <v>0.61361871207440166</v>
      </c>
      <c r="S116" s="260">
        <v>0.42538627537306622</v>
      </c>
      <c r="T116" s="260">
        <v>1.0212132054413492</v>
      </c>
      <c r="U116" s="260">
        <v>9.3694586779316368E-3</v>
      </c>
      <c r="V116" s="260">
        <v>0.47066114830928396</v>
      </c>
      <c r="W116" s="260">
        <v>5.2999439829408065E-3</v>
      </c>
      <c r="X116" s="260">
        <v>1.6860373408321555E-2</v>
      </c>
      <c r="Y116" s="260">
        <v>6.6541939723690921E-2</v>
      </c>
      <c r="Z116" s="260">
        <v>4.3660659118573489E-2</v>
      </c>
      <c r="AA116" s="260">
        <v>2.5036486169299793E-2</v>
      </c>
      <c r="AB116" s="260">
        <v>0.27603628766012728</v>
      </c>
      <c r="AC116" s="260">
        <v>9.7902537017452496E-2</v>
      </c>
      <c r="AD116" s="260">
        <v>1.5337493057141065E-2</v>
      </c>
      <c r="AE116" s="260">
        <v>0.20967833528034896</v>
      </c>
      <c r="AF116" s="260">
        <v>6.8748124065651742E-2</v>
      </c>
      <c r="AG116" s="261">
        <v>0.62669445677419344</v>
      </c>
      <c r="AH116" s="260">
        <v>3.9671126711268954E-2</v>
      </c>
      <c r="AI116" s="261"/>
      <c r="AJ116" s="261"/>
      <c r="AK116" s="260"/>
      <c r="AL116" s="260"/>
      <c r="AM116" s="260"/>
      <c r="AN116" s="261"/>
      <c r="AO116" s="68" t="s">
        <v>18</v>
      </c>
    </row>
    <row r="117" spans="1:41" ht="14.1" hidden="1" customHeight="1">
      <c r="A117" s="68" t="s">
        <v>19</v>
      </c>
      <c r="B117" s="260">
        <v>0.78627241379310364</v>
      </c>
      <c r="C117" s="260">
        <v>1.0399387831034481</v>
      </c>
      <c r="D117" s="260">
        <v>0.84341943758620674</v>
      </c>
      <c r="E117" s="260">
        <v>0.21407149315136956</v>
      </c>
      <c r="F117" s="260">
        <v>0.12480799494181979</v>
      </c>
      <c r="G117" s="260">
        <v>0.13989355637082462</v>
      </c>
      <c r="H117" s="260">
        <v>0.10138774099819822</v>
      </c>
      <c r="I117" s="260">
        <v>1.2419783063793099</v>
      </c>
      <c r="J117" s="260">
        <v>6.5522492649495775E-3</v>
      </c>
      <c r="K117" s="260">
        <v>0.11784384338516679</v>
      </c>
      <c r="L117" s="260">
        <v>0.86141503976513856</v>
      </c>
      <c r="M117" s="260">
        <v>0.21042836270172333</v>
      </c>
      <c r="N117" s="260">
        <v>0.78819226539479037</v>
      </c>
      <c r="O117" s="260">
        <v>2.833132170269629</v>
      </c>
      <c r="P117" s="260">
        <v>0.13739726279085634</v>
      </c>
      <c r="Q117" s="260">
        <v>0.24858743380744366</v>
      </c>
      <c r="R117" s="260">
        <v>0.62708258690627228</v>
      </c>
      <c r="S117" s="260">
        <v>0.44751671302633994</v>
      </c>
      <c r="T117" s="260">
        <v>1.0033948321712216</v>
      </c>
      <c r="U117" s="260">
        <v>9.4765587999630155E-3</v>
      </c>
      <c r="V117" s="260">
        <v>0.47376506517855982</v>
      </c>
      <c r="W117" s="260">
        <v>5.3046466200971495E-3</v>
      </c>
      <c r="X117" s="260">
        <v>1.6805792004447755E-2</v>
      </c>
      <c r="Y117" s="260">
        <v>6.6351161014693669E-2</v>
      </c>
      <c r="Z117" s="260">
        <v>4.3235674383513653E-2</v>
      </c>
      <c r="AA117" s="260">
        <v>2.6343470015967464E-2</v>
      </c>
      <c r="AB117" s="260">
        <v>0.27676425516940351</v>
      </c>
      <c r="AC117" s="260">
        <v>9.8002720913347635E-2</v>
      </c>
      <c r="AD117" s="260">
        <v>1.5979447909183344E-2</v>
      </c>
      <c r="AE117" s="260">
        <v>0.20965847383510139</v>
      </c>
      <c r="AF117" s="260">
        <v>7.002487870050951E-2</v>
      </c>
      <c r="AG117" s="261">
        <v>0.65594905913793122</v>
      </c>
      <c r="AH117" s="260">
        <v>4.151991276079172E-2</v>
      </c>
      <c r="AI117" s="261"/>
      <c r="AJ117" s="261"/>
      <c r="AK117" s="260"/>
      <c r="AL117" s="260"/>
      <c r="AM117" s="260"/>
      <c r="AN117" s="261"/>
      <c r="AO117" s="68" t="s">
        <v>19</v>
      </c>
    </row>
    <row r="118" spans="1:41" ht="14.1" hidden="1" customHeight="1">
      <c r="A118" s="68" t="s">
        <v>20</v>
      </c>
      <c r="B118" s="260">
        <v>0.7862516129032262</v>
      </c>
      <c r="C118" s="260">
        <v>1.038385445967742</v>
      </c>
      <c r="D118" s="260">
        <v>0.83232294725806444</v>
      </c>
      <c r="E118" s="260">
        <v>0.21406533393119609</v>
      </c>
      <c r="F118" s="260">
        <v>0.12453621396397117</v>
      </c>
      <c r="G118" s="260">
        <v>0.13965639817343953</v>
      </c>
      <c r="H118" s="260">
        <v>0.10130711577203835</v>
      </c>
      <c r="I118" s="260">
        <v>1.2445317133870966</v>
      </c>
      <c r="J118" s="260">
        <v>6.3978098722799132E-3</v>
      </c>
      <c r="K118" s="260">
        <v>0.11700075845796377</v>
      </c>
      <c r="L118" s="260">
        <v>0.8604968837746817</v>
      </c>
      <c r="M118" s="260">
        <v>0.20887149490241849</v>
      </c>
      <c r="N118" s="260">
        <v>0.7925880820500707</v>
      </c>
      <c r="O118" s="260">
        <v>2.8248919777509456</v>
      </c>
      <c r="P118" s="260">
        <v>0.13822830467580205</v>
      </c>
      <c r="Q118" s="260">
        <v>0.25174023560035147</v>
      </c>
      <c r="R118" s="260">
        <v>0.62544659799176427</v>
      </c>
      <c r="S118" s="260">
        <v>0.44087402078212667</v>
      </c>
      <c r="T118" s="260">
        <v>0.95322901425361284</v>
      </c>
      <c r="U118" s="260">
        <v>9.6884083227364755E-3</v>
      </c>
      <c r="V118" s="260">
        <v>0.47559111115548552</v>
      </c>
      <c r="W118" s="260">
        <v>5.3191816474741404E-3</v>
      </c>
      <c r="X118" s="260">
        <v>1.6853892692497523E-2</v>
      </c>
      <c r="Y118" s="260">
        <v>6.634454297627998E-2</v>
      </c>
      <c r="Z118" s="260">
        <v>4.2890065859323701E-2</v>
      </c>
      <c r="AA118" s="260">
        <v>2.6816159716696243E-2</v>
      </c>
      <c r="AB118" s="260">
        <v>0.27596696660714992</v>
      </c>
      <c r="AC118" s="260">
        <v>9.7953390050566275E-2</v>
      </c>
      <c r="AD118" s="260">
        <v>1.5673554309392563E-2</v>
      </c>
      <c r="AE118" s="260">
        <v>0.20964527560495855</v>
      </c>
      <c r="AF118" s="260">
        <v>6.9954207480662042E-2</v>
      </c>
      <c r="AG118" s="261">
        <v>0.6477885782258066</v>
      </c>
      <c r="AH118" s="260">
        <v>4.210811092263176E-2</v>
      </c>
      <c r="AI118" s="261"/>
      <c r="AJ118" s="261"/>
      <c r="AK118" s="260"/>
      <c r="AL118" s="260"/>
      <c r="AM118" s="260"/>
      <c r="AN118" s="261"/>
      <c r="AO118" s="68" t="s">
        <v>20</v>
      </c>
    </row>
    <row r="119" spans="1:41" ht="14.1" hidden="1" customHeight="1">
      <c r="A119" s="68" t="s">
        <v>21</v>
      </c>
      <c r="B119" s="260">
        <v>0.78610666666666684</v>
      </c>
      <c r="C119" s="260">
        <v>1.0348822586666666</v>
      </c>
      <c r="D119" s="260">
        <v>0.81344755349999998</v>
      </c>
      <c r="E119" s="260">
        <v>0.21402373102434763</v>
      </c>
      <c r="F119" s="260">
        <v>0.12466474524821589</v>
      </c>
      <c r="G119" s="260">
        <v>0.13910948561867728</v>
      </c>
      <c r="H119" s="260">
        <v>0.10127116008078257</v>
      </c>
      <c r="I119" s="260">
        <v>1.2577053665</v>
      </c>
      <c r="J119" s="260">
        <v>6.3973540587481687E-3</v>
      </c>
      <c r="K119" s="260">
        <v>0.11673768616047796</v>
      </c>
      <c r="L119" s="260">
        <v>0.86077281561727681</v>
      </c>
      <c r="M119" s="260">
        <v>0.20976990066412085</v>
      </c>
      <c r="N119" s="260">
        <v>0.7916418277009184</v>
      </c>
      <c r="O119" s="260">
        <v>2.8263836410221228</v>
      </c>
      <c r="P119" s="260">
        <v>0.13657507521355697</v>
      </c>
      <c r="Q119" s="260">
        <v>0.24787863089867301</v>
      </c>
      <c r="R119" s="260">
        <v>0.62803617013765467</v>
      </c>
      <c r="S119" s="260">
        <v>0.43971510229796895</v>
      </c>
      <c r="T119" s="260">
        <v>0.96537366006566361</v>
      </c>
      <c r="U119" s="260">
        <v>9.760032593762508E-3</v>
      </c>
      <c r="V119" s="260">
        <v>0.48057503440188848</v>
      </c>
      <c r="W119" s="260">
        <v>5.3175895667814579E-3</v>
      </c>
      <c r="X119" s="260">
        <v>1.6795237503174867E-2</v>
      </c>
      <c r="Y119" s="260">
        <v>6.6801242953114612E-2</v>
      </c>
      <c r="Z119" s="260">
        <v>4.2482155754840246E-2</v>
      </c>
      <c r="AA119" s="260">
        <v>2.6677607453502068E-2</v>
      </c>
      <c r="AB119" s="260">
        <v>0.27577774198339416</v>
      </c>
      <c r="AC119" s="260">
        <v>9.7904567837305431E-2</v>
      </c>
      <c r="AD119" s="260">
        <v>1.5210287763138011E-2</v>
      </c>
      <c r="AE119" s="260">
        <v>0.2096161470498866</v>
      </c>
      <c r="AF119" s="260">
        <v>6.9207109949519355E-2</v>
      </c>
      <c r="AG119" s="262">
        <v>0.64316752666666643</v>
      </c>
      <c r="AH119" s="260">
        <v>4.1775965703699652E-2</v>
      </c>
      <c r="AI119" s="263"/>
      <c r="AJ119" s="262"/>
      <c r="AK119" s="260"/>
      <c r="AL119" s="261"/>
      <c r="AM119" s="260"/>
      <c r="AN119" s="262"/>
      <c r="AO119" s="68" t="s">
        <v>21</v>
      </c>
    </row>
    <row r="120" spans="1:41" ht="14.1" hidden="1" customHeight="1">
      <c r="A120" s="68" t="s">
        <v>22</v>
      </c>
      <c r="B120" s="260">
        <v>0.78591935483871</v>
      </c>
      <c r="C120" s="260">
        <v>1.007432748870968</v>
      </c>
      <c r="D120" s="260">
        <v>0.78459767387096779</v>
      </c>
      <c r="E120" s="260">
        <v>0.21397158436005512</v>
      </c>
      <c r="F120" s="260">
        <v>0.12425413149449401</v>
      </c>
      <c r="G120" s="260">
        <v>0.13551786373126018</v>
      </c>
      <c r="H120" s="260">
        <v>0.10123210205293058</v>
      </c>
      <c r="I120" s="260">
        <v>1.2524251064516128</v>
      </c>
      <c r="J120" s="260">
        <v>6.393889742877374E-3</v>
      </c>
      <c r="K120" s="260">
        <v>0.11196938640165054</v>
      </c>
      <c r="L120" s="260">
        <v>0.83857742739023788</v>
      </c>
      <c r="M120" s="260">
        <v>0.20561433100218421</v>
      </c>
      <c r="N120" s="260">
        <v>0.77899974900236368</v>
      </c>
      <c r="O120" s="260">
        <v>2.8178175361613897</v>
      </c>
      <c r="P120" s="260">
        <v>0.13304085158295009</v>
      </c>
      <c r="Q120" s="260">
        <v>0.23522916134101929</v>
      </c>
      <c r="R120" s="260">
        <v>0.6230058410824123</v>
      </c>
      <c r="S120" s="260">
        <v>0.43513175214746513</v>
      </c>
      <c r="T120" s="260">
        <v>0.98512161068124016</v>
      </c>
      <c r="U120" s="260">
        <v>9.6283916119703165E-3</v>
      </c>
      <c r="V120" s="260">
        <v>0.48353585136528981</v>
      </c>
      <c r="W120" s="260">
        <v>5.3146186224136598E-3</v>
      </c>
      <c r="X120" s="260">
        <v>1.670185357785994E-2</v>
      </c>
      <c r="Y120" s="260">
        <v>6.6252075063870486E-2</v>
      </c>
      <c r="Z120" s="260">
        <v>4.2218309559477134E-2</v>
      </c>
      <c r="AA120" s="260">
        <v>2.5594518087405364E-2</v>
      </c>
      <c r="AB120" s="260">
        <v>0.27514056053713853</v>
      </c>
      <c r="AC120" s="260">
        <v>9.7666242180402846E-2</v>
      </c>
      <c r="AD120" s="260">
        <v>1.4460310403932662E-2</v>
      </c>
      <c r="AE120" s="260">
        <v>0.20956245070408927</v>
      </c>
      <c r="AF120" s="260">
        <v>6.7933231297278074E-2</v>
      </c>
      <c r="AG120" s="263">
        <v>0.60907651612903235</v>
      </c>
      <c r="AH120" s="260">
        <v>3.9857962289529453E-2</v>
      </c>
      <c r="AI120" s="263"/>
      <c r="AJ120" s="263"/>
      <c r="AK120" s="260"/>
      <c r="AL120" s="261"/>
      <c r="AM120" s="260"/>
      <c r="AN120" s="263"/>
      <c r="AO120" s="68" t="s">
        <v>22</v>
      </c>
    </row>
    <row r="121" spans="1:41" ht="14.1" hidden="1" customHeight="1">
      <c r="A121" s="68" t="s">
        <v>23</v>
      </c>
      <c r="B121" s="260">
        <v>0.78573666666666631</v>
      </c>
      <c r="C121" s="260">
        <v>0.98508731716666675</v>
      </c>
      <c r="D121" s="260">
        <v>0.7825830185</v>
      </c>
      <c r="E121" s="260">
        <v>0.21392590768129899</v>
      </c>
      <c r="F121" s="260">
        <v>0.12344278149883695</v>
      </c>
      <c r="G121" s="260">
        <v>0.13253634815458371</v>
      </c>
      <c r="H121" s="260">
        <v>0.10126823466124948</v>
      </c>
      <c r="I121" s="260">
        <v>1.2211263501666669</v>
      </c>
      <c r="J121" s="260">
        <v>6.3981853738784471E-3</v>
      </c>
      <c r="K121" s="260">
        <v>0.11100481761472886</v>
      </c>
      <c r="L121" s="260">
        <v>0.82010625220954803</v>
      </c>
      <c r="M121" s="260">
        <v>0.2020440510260437</v>
      </c>
      <c r="N121" s="260">
        <v>0.76413588014785916</v>
      </c>
      <c r="O121" s="260">
        <v>2.8039073952793272</v>
      </c>
      <c r="P121" s="260">
        <v>0.13063851569599796</v>
      </c>
      <c r="Q121" s="260">
        <v>0.22881206879299534</v>
      </c>
      <c r="R121" s="260">
        <v>0.61425129017545399</v>
      </c>
      <c r="S121" s="260">
        <v>0.43085740262914285</v>
      </c>
      <c r="T121" s="260">
        <v>0.99030224550654167</v>
      </c>
      <c r="U121" s="260">
        <v>9.461957519735241E-3</v>
      </c>
      <c r="V121" s="260">
        <v>0.48098824581552735</v>
      </c>
      <c r="W121" s="260">
        <v>5.2781626791884471E-3</v>
      </c>
      <c r="X121" s="260">
        <v>1.6647720479979707E-2</v>
      </c>
      <c r="Y121" s="260">
        <v>6.4996763594690185E-2</v>
      </c>
      <c r="Z121" s="260">
        <v>4.1867557840359872E-2</v>
      </c>
      <c r="AA121" s="260">
        <v>2.3905344160899754E-2</v>
      </c>
      <c r="AB121" s="260">
        <v>0.27519681180576278</v>
      </c>
      <c r="AC121" s="260">
        <v>9.7209988098241273E-2</v>
      </c>
      <c r="AD121" s="260">
        <v>1.4038413957902E-2</v>
      </c>
      <c r="AE121" s="260">
        <v>0.20951040967742604</v>
      </c>
      <c r="AF121" s="260">
        <v>6.7428759627632839E-2</v>
      </c>
      <c r="AG121" s="263">
        <v>0.61063495133333323</v>
      </c>
      <c r="AH121" s="260">
        <v>3.8471583324120838E-2</v>
      </c>
      <c r="AI121" s="263"/>
      <c r="AJ121" s="263"/>
      <c r="AK121" s="260"/>
      <c r="AL121" s="261"/>
      <c r="AM121" s="260"/>
      <c r="AN121" s="263"/>
      <c r="AO121" s="68" t="s">
        <v>23</v>
      </c>
    </row>
    <row r="122" spans="1:41" ht="14.1" hidden="1" customHeight="1">
      <c r="A122" s="68" t="s">
        <v>24</v>
      </c>
      <c r="B122" s="260">
        <v>0.78560516129032232</v>
      </c>
      <c r="C122" s="260">
        <v>0.96699508714516136</v>
      </c>
      <c r="D122" s="260">
        <v>0.80851727640322579</v>
      </c>
      <c r="E122" s="260">
        <v>0.21388810963289431</v>
      </c>
      <c r="F122" s="260">
        <v>0.12330352144095535</v>
      </c>
      <c r="G122" s="260">
        <v>0.13000242111162755</v>
      </c>
      <c r="H122" s="260">
        <v>0.10129336244422757</v>
      </c>
      <c r="I122" s="260">
        <v>1.2250211029516129</v>
      </c>
      <c r="J122" s="260">
        <v>6.3928711527985157E-3</v>
      </c>
      <c r="K122" s="260">
        <v>0.11301023979940844</v>
      </c>
      <c r="L122" s="260">
        <v>0.80508963754806984</v>
      </c>
      <c r="M122" s="260">
        <v>0.19707057859000257</v>
      </c>
      <c r="N122" s="260">
        <v>0.77449029385195478</v>
      </c>
      <c r="O122" s="260">
        <v>2.7911785659427624</v>
      </c>
      <c r="P122" s="260">
        <v>0.12968936590266789</v>
      </c>
      <c r="Q122" s="260">
        <v>0.23096220937238246</v>
      </c>
      <c r="R122" s="260">
        <v>0.62253076123117124</v>
      </c>
      <c r="S122" s="260">
        <v>0.43366940569813239</v>
      </c>
      <c r="T122" s="260">
        <v>0.99417194221419558</v>
      </c>
      <c r="U122" s="260">
        <v>9.4327930250289373E-3</v>
      </c>
      <c r="V122" s="260">
        <v>0.47536879671127541</v>
      </c>
      <c r="W122" s="260">
        <v>5.2452509946304916E-3</v>
      </c>
      <c r="X122" s="260">
        <v>1.6647979010473501E-2</v>
      </c>
      <c r="Y122" s="260">
        <v>6.3503882409466292E-2</v>
      </c>
      <c r="Z122" s="260">
        <v>4.1483761805890029E-2</v>
      </c>
      <c r="AA122" s="260">
        <v>2.4195439550918005E-2</v>
      </c>
      <c r="AB122" s="260">
        <v>0.2750243106556477</v>
      </c>
      <c r="AC122" s="260">
        <v>9.7183076109854022E-2</v>
      </c>
      <c r="AD122" s="260">
        <v>1.4160209493285152E-2</v>
      </c>
      <c r="AE122" s="260">
        <v>0.20948335723503414</v>
      </c>
      <c r="AF122" s="260">
        <v>6.8761175345029901E-2</v>
      </c>
      <c r="AG122" s="263">
        <v>0.62732102606451601</v>
      </c>
      <c r="AH122" s="260">
        <v>3.79807459033146E-2</v>
      </c>
      <c r="AI122" s="263"/>
      <c r="AJ122" s="263"/>
      <c r="AK122" s="260"/>
      <c r="AL122" s="261"/>
      <c r="AM122" s="260"/>
      <c r="AN122" s="263"/>
      <c r="AO122" s="68" t="s">
        <v>24</v>
      </c>
    </row>
    <row r="123" spans="1:41" ht="14.1" hidden="1" customHeight="1">
      <c r="A123" s="68" t="s">
        <v>25</v>
      </c>
      <c r="B123" s="260">
        <v>0.78543870967741902</v>
      </c>
      <c r="C123" s="260">
        <v>0.97242083548387104</v>
      </c>
      <c r="D123" s="260">
        <v>0.82268528129032259</v>
      </c>
      <c r="E123" s="260">
        <v>0.21384269754908738</v>
      </c>
      <c r="F123" s="260">
        <v>0.12346192362832423</v>
      </c>
      <c r="G123" s="260">
        <v>0.13060969859406765</v>
      </c>
      <c r="H123" s="260">
        <v>0.10126876227273847</v>
      </c>
      <c r="I123" s="260">
        <v>1.2329888049999997</v>
      </c>
      <c r="J123" s="260">
        <v>6.4045714294174967E-3</v>
      </c>
      <c r="K123" s="260">
        <v>0.11732823943479949</v>
      </c>
      <c r="L123" s="260">
        <v>0.80958348493108878</v>
      </c>
      <c r="M123" s="260">
        <v>0.19569656482754122</v>
      </c>
      <c r="N123" s="260">
        <v>0.79021777456141939</v>
      </c>
      <c r="O123" s="260">
        <v>2.7837894824687868</v>
      </c>
      <c r="P123" s="260">
        <v>0.13263206358995547</v>
      </c>
      <c r="Q123" s="260">
        <v>0.23791348644960872</v>
      </c>
      <c r="R123" s="260">
        <v>0.62908128104031402</v>
      </c>
      <c r="S123" s="260">
        <v>0.43746058285215222</v>
      </c>
      <c r="T123" s="260">
        <v>0.99850572974162854</v>
      </c>
      <c r="U123" s="260">
        <v>9.4259394900897547E-3</v>
      </c>
      <c r="V123" s="260">
        <v>0.47690270084849512</v>
      </c>
      <c r="W123" s="260">
        <v>5.2523054838797259E-3</v>
      </c>
      <c r="X123" s="260">
        <v>1.673240849755606E-2</v>
      </c>
      <c r="Y123" s="260">
        <v>6.291408629130589E-2</v>
      </c>
      <c r="Z123" s="260">
        <v>4.1076554223168603E-2</v>
      </c>
      <c r="AA123" s="260">
        <v>2.4597665364902516E-2</v>
      </c>
      <c r="AB123" s="260">
        <v>0.27556757856769348</v>
      </c>
      <c r="AC123" s="260">
        <v>9.6928653675393356E-2</v>
      </c>
      <c r="AD123" s="260">
        <v>1.4127069401720479E-2</v>
      </c>
      <c r="AE123" s="260">
        <v>0.20943789146703851</v>
      </c>
      <c r="AF123" s="260">
        <v>6.9391337455610339E-2</v>
      </c>
      <c r="AG123" s="263">
        <v>0.63649816677419357</v>
      </c>
      <c r="AH123" s="260">
        <v>3.8869923928571228E-2</v>
      </c>
      <c r="AI123" s="263"/>
      <c r="AJ123" s="263"/>
      <c r="AK123" s="260"/>
      <c r="AL123" s="261"/>
      <c r="AM123" s="260"/>
      <c r="AN123" s="263"/>
      <c r="AO123" s="68" t="s">
        <v>25</v>
      </c>
    </row>
    <row r="124" spans="1:41" ht="14.1" hidden="1" customHeight="1">
      <c r="A124" s="68" t="s">
        <v>26</v>
      </c>
      <c r="B124" s="260">
        <v>0.78526666666666634</v>
      </c>
      <c r="C124" s="260">
        <v>1.0086856391666668</v>
      </c>
      <c r="D124" s="260">
        <v>0.81696921550000035</v>
      </c>
      <c r="E124" s="260">
        <v>0.21379493748376177</v>
      </c>
      <c r="F124" s="260">
        <v>0.12420580001982476</v>
      </c>
      <c r="G124" s="260">
        <v>0.1353248586916575</v>
      </c>
      <c r="H124" s="260">
        <v>0.10126948386823527</v>
      </c>
      <c r="I124" s="260">
        <v>1.2640948663333336</v>
      </c>
      <c r="J124" s="260">
        <v>6.4013741764797913E-3</v>
      </c>
      <c r="K124" s="260">
        <v>0.11891165796788843</v>
      </c>
      <c r="L124" s="260">
        <v>0.83456284039925344</v>
      </c>
      <c r="M124" s="260">
        <v>0.19888827697684328</v>
      </c>
      <c r="N124" s="260">
        <v>0.80249729587975527</v>
      </c>
      <c r="O124" s="260">
        <v>2.793131079697325</v>
      </c>
      <c r="P124" s="260">
        <v>0.13649965823983776</v>
      </c>
      <c r="Q124" s="260">
        <v>0.24415536270180871</v>
      </c>
      <c r="R124" s="260">
        <v>0.63722493756675036</v>
      </c>
      <c r="S124" s="260">
        <v>0.43571674145606926</v>
      </c>
      <c r="T124" s="260">
        <v>1.0046122121569927</v>
      </c>
      <c r="U124" s="260">
        <v>9.3152247733647546E-3</v>
      </c>
      <c r="V124" s="260">
        <v>0.47472026394678585</v>
      </c>
      <c r="W124" s="260">
        <v>5.24200265981206E-3</v>
      </c>
      <c r="X124" s="260">
        <v>1.6723298631663757E-2</v>
      </c>
      <c r="Y124" s="260">
        <v>6.33161717500242E-2</v>
      </c>
      <c r="Z124" s="260">
        <v>4.0674516431071714E-2</v>
      </c>
      <c r="AA124" s="260">
        <v>2.4960374348124415E-2</v>
      </c>
      <c r="AB124" s="260">
        <v>0.27566662728897851</v>
      </c>
      <c r="AC124" s="260">
        <v>9.661837616570533E-2</v>
      </c>
      <c r="AD124" s="260">
        <v>1.4397715171153477E-2</v>
      </c>
      <c r="AE124" s="260">
        <v>0.20939504495717223</v>
      </c>
      <c r="AF124" s="260">
        <v>6.9906134965897662E-2</v>
      </c>
      <c r="AG124" s="263">
        <v>0.64297507683333299</v>
      </c>
      <c r="AH124" s="260">
        <v>4.0749168337503541E-2</v>
      </c>
      <c r="AI124" s="263"/>
      <c r="AJ124" s="263"/>
      <c r="AK124" s="260"/>
      <c r="AL124" s="261"/>
      <c r="AM124" s="260"/>
      <c r="AN124" s="263"/>
      <c r="AO124" s="68" t="s">
        <v>26</v>
      </c>
    </row>
    <row r="125" spans="1:41" ht="14.1" hidden="1" customHeight="1">
      <c r="A125" s="68" t="s">
        <v>27</v>
      </c>
      <c r="B125" s="260">
        <v>0.78507419354838714</v>
      </c>
      <c r="C125" s="260">
        <v>1.0184780141935486</v>
      </c>
      <c r="D125" s="260">
        <v>0.80837436096774229</v>
      </c>
      <c r="E125" s="260">
        <v>0.21374345493691177</v>
      </c>
      <c r="F125" s="260">
        <v>0.12530781582657452</v>
      </c>
      <c r="G125" s="260">
        <v>0.13655450611823733</v>
      </c>
      <c r="H125" s="260">
        <v>0.10127664985027504</v>
      </c>
      <c r="I125" s="260">
        <v>1.2606623774193548</v>
      </c>
      <c r="J125" s="260">
        <v>6.383107696541877E-3</v>
      </c>
      <c r="K125" s="260">
        <v>0.11826439411716889</v>
      </c>
      <c r="L125" s="260">
        <v>0.84176385171074319</v>
      </c>
      <c r="M125" s="260">
        <v>0.20361506710042288</v>
      </c>
      <c r="N125" s="260">
        <v>0.79661915715551201</v>
      </c>
      <c r="O125" s="260">
        <v>2.7938321835636653</v>
      </c>
      <c r="P125" s="260">
        <v>0.13760069340829864</v>
      </c>
      <c r="Q125" s="260">
        <v>0.24817646054190537</v>
      </c>
      <c r="R125" s="260">
        <v>0.64130199780284891</v>
      </c>
      <c r="S125" s="260">
        <v>0.4356667362187735</v>
      </c>
      <c r="T125" s="260">
        <v>0.99458481564960532</v>
      </c>
      <c r="U125" s="260">
        <v>9.2045676785469134E-3</v>
      </c>
      <c r="V125" s="260">
        <v>0.47284763235081689</v>
      </c>
      <c r="W125" s="260">
        <v>5.2193966418581719E-3</v>
      </c>
      <c r="X125" s="260">
        <v>1.6677607556387818E-2</v>
      </c>
      <c r="Y125" s="260">
        <v>6.4162239322638301E-2</v>
      </c>
      <c r="Z125" s="260">
        <v>4.0336076657176499E-2</v>
      </c>
      <c r="AA125" s="260">
        <v>2.523336170775297E-2</v>
      </c>
      <c r="AB125" s="260">
        <v>0.27543112377625145</v>
      </c>
      <c r="AC125" s="260">
        <v>9.6335974952474396E-2</v>
      </c>
      <c r="AD125" s="260">
        <v>1.481513715141281E-2</v>
      </c>
      <c r="AE125" s="260">
        <v>0.20934699562680381</v>
      </c>
      <c r="AF125" s="260">
        <v>7.092113570128418E-2</v>
      </c>
      <c r="AG125" s="263">
        <v>0.64311015225806445</v>
      </c>
      <c r="AH125" s="260">
        <v>4.0876057948949496E-2</v>
      </c>
      <c r="AI125" s="263"/>
      <c r="AJ125" s="263"/>
      <c r="AK125" s="260"/>
      <c r="AL125" s="261"/>
      <c r="AM125" s="260"/>
      <c r="AN125" s="263"/>
      <c r="AO125" s="68" t="s">
        <v>27</v>
      </c>
    </row>
    <row r="126" spans="1:41" ht="14.1" hidden="1" customHeight="1">
      <c r="A126" s="68" t="s">
        <v>28</v>
      </c>
      <c r="B126" s="260">
        <v>0.784876666666667</v>
      </c>
      <c r="C126" s="260">
        <v>1.0073706666666669</v>
      </c>
      <c r="D126" s="260">
        <v>0.81637902250000016</v>
      </c>
      <c r="E126" s="260">
        <v>0.21368972649882911</v>
      </c>
      <c r="F126" s="260">
        <v>0.12590220136156394</v>
      </c>
      <c r="G126" s="260">
        <v>0.1350579116310896</v>
      </c>
      <c r="H126" s="260">
        <v>0.10126600344830615</v>
      </c>
      <c r="I126" s="260">
        <v>1.2536391193333332</v>
      </c>
      <c r="J126" s="260">
        <v>6.3771030126280066E-3</v>
      </c>
      <c r="K126" s="260">
        <v>0.11704658295567819</v>
      </c>
      <c r="L126" s="260">
        <v>0.83561042083647563</v>
      </c>
      <c r="M126" s="260">
        <v>0.20124865973502573</v>
      </c>
      <c r="N126" s="260">
        <v>0.78718272517714849</v>
      </c>
      <c r="O126" s="260">
        <v>2.783801571778326</v>
      </c>
      <c r="P126" s="260">
        <v>0.13719945748982551</v>
      </c>
      <c r="Q126" s="260">
        <v>0.24385878607535935</v>
      </c>
      <c r="R126" s="260">
        <v>0.64137906020239677</v>
      </c>
      <c r="S126" s="260">
        <v>0.43759208807813654</v>
      </c>
      <c r="T126" s="260">
        <v>0.97013777757805941</v>
      </c>
      <c r="U126" s="260">
        <v>9.1881563860827329E-3</v>
      </c>
      <c r="V126" s="260">
        <v>0.47254813866141243</v>
      </c>
      <c r="W126" s="260">
        <v>5.2146170917972169E-3</v>
      </c>
      <c r="X126" s="260">
        <v>1.6608787454632911E-2</v>
      </c>
      <c r="Y126" s="260">
        <v>6.3631976122118974E-2</v>
      </c>
      <c r="Z126" s="260">
        <v>3.9995861302035099E-2</v>
      </c>
      <c r="AA126" s="260">
        <v>2.5000934841574389E-2</v>
      </c>
      <c r="AB126" s="260">
        <v>0.27511253059528673</v>
      </c>
      <c r="AC126" s="260">
        <v>9.5981938255138427E-2</v>
      </c>
      <c r="AD126" s="260">
        <v>1.4327395093374653E-2</v>
      </c>
      <c r="AE126" s="260">
        <v>0.20928974758292099</v>
      </c>
      <c r="AF126" s="260">
        <v>7.2158604215174588E-2</v>
      </c>
      <c r="AG126" s="263">
        <v>0.64279179216666693</v>
      </c>
      <c r="AH126" s="260">
        <v>3.9729387800357882E-2</v>
      </c>
      <c r="AI126" s="263"/>
      <c r="AJ126" s="263"/>
      <c r="AK126" s="260"/>
      <c r="AL126" s="261"/>
      <c r="AM126" s="260"/>
      <c r="AN126" s="263"/>
      <c r="AO126" s="68" t="s">
        <v>28</v>
      </c>
    </row>
    <row r="127" spans="1:41" ht="14.1" hidden="1" customHeight="1">
      <c r="A127" s="68" t="s">
        <v>29</v>
      </c>
      <c r="B127" s="260">
        <v>0.78483225806451629</v>
      </c>
      <c r="C127" s="260">
        <v>1.028875314032258</v>
      </c>
      <c r="D127" s="260">
        <v>0.82067120693548379</v>
      </c>
      <c r="E127" s="260">
        <v>0.2136764597785632</v>
      </c>
      <c r="F127" s="260">
        <v>0.12593888636395786</v>
      </c>
      <c r="G127" s="260">
        <v>0.137911035187402</v>
      </c>
      <c r="H127" s="260">
        <v>0.10126383113625073</v>
      </c>
      <c r="I127" s="260">
        <v>1.2662234248387094</v>
      </c>
      <c r="J127" s="260">
        <v>6.3762812146989948E-3</v>
      </c>
      <c r="K127" s="260">
        <v>0.11888808838265111</v>
      </c>
      <c r="L127" s="260">
        <v>0.85155215802028361</v>
      </c>
      <c r="M127" s="260">
        <v>0.20757015683446325</v>
      </c>
      <c r="N127" s="260">
        <v>0.7925994154089725</v>
      </c>
      <c r="O127" s="260">
        <v>2.7895609161307759</v>
      </c>
      <c r="P127" s="260">
        <v>0.13966715094571397</v>
      </c>
      <c r="Q127" s="260">
        <v>0.25129266886799273</v>
      </c>
      <c r="R127" s="260">
        <v>0.64267971039551652</v>
      </c>
      <c r="S127" s="260">
        <v>0.43910645539370347</v>
      </c>
      <c r="T127" s="260">
        <v>0.93707826990451204</v>
      </c>
      <c r="U127" s="260">
        <v>9.1631768977365174E-3</v>
      </c>
      <c r="V127" s="260">
        <v>0.47296443524401643</v>
      </c>
      <c r="W127" s="260">
        <v>5.2170190602092653E-3</v>
      </c>
      <c r="X127" s="260">
        <v>1.6562009445235934E-2</v>
      </c>
      <c r="Y127" s="260">
        <v>6.4456727100771438E-2</v>
      </c>
      <c r="Z127" s="260">
        <v>3.9701512621614504E-2</v>
      </c>
      <c r="AA127" s="260">
        <v>2.554130236143087E-2</v>
      </c>
      <c r="AB127" s="260">
        <v>0.27527791984438627</v>
      </c>
      <c r="AC127" s="260">
        <v>9.6748325691069739E-2</v>
      </c>
      <c r="AD127" s="260">
        <v>1.4359888144489984E-2</v>
      </c>
      <c r="AE127" s="260">
        <v>0.20927618026393729</v>
      </c>
      <c r="AF127" s="260">
        <v>7.2937742980184461E-2</v>
      </c>
      <c r="AG127" s="263">
        <v>0.65161472370967755</v>
      </c>
      <c r="AH127" s="260">
        <v>4.0294676318086149E-2</v>
      </c>
      <c r="AI127" s="263"/>
      <c r="AJ127" s="263"/>
      <c r="AK127" s="260"/>
      <c r="AL127" s="261"/>
      <c r="AM127" s="260"/>
      <c r="AN127" s="263"/>
      <c r="AO127" s="68" t="s">
        <v>29</v>
      </c>
    </row>
    <row r="128" spans="1:41" ht="14.1" customHeight="1">
      <c r="A128" s="68" t="s">
        <v>1423</v>
      </c>
      <c r="B128" s="261">
        <f>AVERAGE(B129:B140)</f>
        <v>0.7845465143369178</v>
      </c>
      <c r="C128" s="261">
        <f t="shared" ref="C128:AD128" si="0">AVERAGE(C129:C140)</f>
        <v>1.0422336173697515</v>
      </c>
      <c r="D128" s="261">
        <f t="shared" si="0"/>
        <v>0.75942420806057997</v>
      </c>
      <c r="E128" s="261">
        <f t="shared" si="0"/>
        <v>0.21359874411916524</v>
      </c>
      <c r="F128" s="261">
        <f t="shared" si="0"/>
        <v>0.12760433608145547</v>
      </c>
      <c r="G128" s="261">
        <f t="shared" si="0"/>
        <v>0.13974621191473921</v>
      </c>
      <c r="H128" s="261">
        <f t="shared" si="0"/>
        <v>0.10114531042059173</v>
      </c>
      <c r="I128" s="261">
        <f t="shared" si="0"/>
        <v>1.22773748587644</v>
      </c>
      <c r="J128" s="261">
        <f t="shared" si="0"/>
        <v>5.2805917564734449E-3</v>
      </c>
      <c r="K128" s="261">
        <f t="shared" si="0"/>
        <v>0.12047955259314906</v>
      </c>
      <c r="L128" s="261">
        <f t="shared" si="0"/>
        <v>0.84680041281999596</v>
      </c>
      <c r="M128" s="261">
        <f t="shared" si="0"/>
        <v>0.21737991708407953</v>
      </c>
      <c r="N128" s="261">
        <f t="shared" si="0"/>
        <v>0.76199413355812229</v>
      </c>
      <c r="O128" s="261">
        <f t="shared" si="0"/>
        <v>2.7643749377535047</v>
      </c>
      <c r="P128" s="261">
        <f t="shared" si="0"/>
        <v>0.13367851256154958</v>
      </c>
      <c r="Q128" s="261">
        <f t="shared" si="0"/>
        <v>0.24844913647831898</v>
      </c>
      <c r="R128" s="261">
        <f t="shared" si="0"/>
        <v>0.62713820361881756</v>
      </c>
      <c r="S128" s="261">
        <f t="shared" si="0"/>
        <v>0.41317508302971967</v>
      </c>
      <c r="T128" s="261">
        <f t="shared" si="0"/>
        <v>0.80558834507580224</v>
      </c>
      <c r="U128" s="261">
        <f t="shared" si="0"/>
        <v>8.8474329500962245E-3</v>
      </c>
      <c r="V128" s="261">
        <f t="shared" si="0"/>
        <v>0.47179419116042376</v>
      </c>
      <c r="W128" s="261">
        <f t="shared" si="0"/>
        <v>5.1562908216118445E-3</v>
      </c>
      <c r="X128" s="261">
        <f t="shared" si="0"/>
        <v>1.6322975221843582E-2</v>
      </c>
      <c r="Y128" s="261">
        <f t="shared" si="0"/>
        <v>6.3022448992718652E-2</v>
      </c>
      <c r="Z128" s="261">
        <f t="shared" si="0"/>
        <v>3.7744854363119411E-2</v>
      </c>
      <c r="AA128" s="261">
        <f t="shared" si="0"/>
        <v>2.4659677731157941E-2</v>
      </c>
      <c r="AB128" s="261">
        <f t="shared" si="0"/>
        <v>0.27506468595122346</v>
      </c>
      <c r="AC128" s="261">
        <f t="shared" si="0"/>
        <v>9.6211697302232682E-2</v>
      </c>
      <c r="AD128" s="261">
        <f t="shared" si="0"/>
        <v>1.3462958386332246E-2</v>
      </c>
      <c r="AE128" s="261">
        <f t="shared" ref="AE128:AF128" si="1">AVERAGE(AE129:AE140)</f>
        <v>0.20919464660068163</v>
      </c>
      <c r="AF128" s="261">
        <f t="shared" si="1"/>
        <v>7.1713762269946274E-2</v>
      </c>
      <c r="AG128" s="261">
        <f t="shared" ref="AG128" si="2">AVERAGE(AG129:AG140)</f>
        <v>0.64336590499059143</v>
      </c>
      <c r="AH128" s="261">
        <v>4.0155716181889692E-2</v>
      </c>
      <c r="AI128" s="261"/>
      <c r="AJ128" s="261"/>
      <c r="AK128" s="261"/>
      <c r="AL128" s="261"/>
      <c r="AM128" s="261"/>
      <c r="AN128" s="261"/>
      <c r="AO128" s="68" t="s">
        <v>1423</v>
      </c>
    </row>
    <row r="129" spans="1:41" ht="14.1" hidden="1" customHeight="1">
      <c r="A129" s="68" t="s">
        <v>18</v>
      </c>
      <c r="B129" s="245">
        <v>0.78479354838709714</v>
      </c>
      <c r="C129" s="245">
        <v>1.0435831493548384</v>
      </c>
      <c r="D129" s="245">
        <v>0.82258757370967728</v>
      </c>
      <c r="E129" s="245">
        <v>0.21366601486775147</v>
      </c>
      <c r="F129" s="245">
        <v>0.1261409756250424</v>
      </c>
      <c r="G129" s="245">
        <v>0.13985831644636632</v>
      </c>
      <c r="H129" s="245">
        <v>0.10122309932866626</v>
      </c>
      <c r="I129" s="245">
        <v>1.2547349045161289</v>
      </c>
      <c r="J129" s="245">
        <v>6.3920192828283073E-3</v>
      </c>
      <c r="K129" s="245">
        <v>0.12086926394013441</v>
      </c>
      <c r="L129" s="245">
        <v>0.84954714678721799</v>
      </c>
      <c r="M129" s="245">
        <v>0.21013186446184992</v>
      </c>
      <c r="N129" s="245">
        <v>0.79038717796045277</v>
      </c>
      <c r="O129" s="245">
        <v>2.7863074795002083</v>
      </c>
      <c r="P129" s="245">
        <v>0.14112273777379811</v>
      </c>
      <c r="Q129" s="245">
        <v>0.25287645490188243</v>
      </c>
      <c r="R129" s="245">
        <v>0.63934964061118837</v>
      </c>
      <c r="S129" s="245">
        <v>0.44264991625274275</v>
      </c>
      <c r="T129" s="245">
        <v>0.88481797147429309</v>
      </c>
      <c r="U129" s="245">
        <v>9.1106242778640385E-3</v>
      </c>
      <c r="V129" s="245">
        <v>0.47374610310123377</v>
      </c>
      <c r="W129" s="245">
        <v>5.2071055669413169E-3</v>
      </c>
      <c r="X129" s="245">
        <v>1.6526487555949248E-2</v>
      </c>
      <c r="Y129" s="245">
        <v>6.4722962645600235E-2</v>
      </c>
      <c r="Z129" s="245">
        <v>3.9463258320047115E-2</v>
      </c>
      <c r="AA129" s="245">
        <v>2.5947612508132753E-2</v>
      </c>
      <c r="AB129" s="245">
        <v>0.27537789803230617</v>
      </c>
      <c r="AC129" s="245">
        <v>9.6820318480980549E-2</v>
      </c>
      <c r="AD129" s="245">
        <v>1.4453541245375784E-2</v>
      </c>
      <c r="AE129" s="245">
        <v>0.20926567865152185</v>
      </c>
      <c r="AF129" s="245">
        <v>7.3640599546331301E-2</v>
      </c>
      <c r="AG129" s="244">
        <v>0.65495771870967767</v>
      </c>
      <c r="AH129" s="245">
        <v>4.0929631266396829E-2</v>
      </c>
      <c r="AI129" s="244"/>
      <c r="AJ129" s="244"/>
      <c r="AK129" s="245"/>
      <c r="AL129" s="245"/>
      <c r="AM129" s="245"/>
      <c r="AN129" s="244"/>
      <c r="AO129" s="68" t="s">
        <v>18</v>
      </c>
    </row>
    <row r="130" spans="1:41" ht="14.1" hidden="1" customHeight="1">
      <c r="A130" s="68" t="s">
        <v>19</v>
      </c>
      <c r="B130" s="245">
        <v>0.78470000000000029</v>
      </c>
      <c r="C130" s="245">
        <v>1.0494240385714284</v>
      </c>
      <c r="D130" s="245">
        <v>0.81015455267857139</v>
      </c>
      <c r="E130" s="245">
        <v>0.21363882978778495</v>
      </c>
      <c r="F130" s="245">
        <v>0.125888492348109</v>
      </c>
      <c r="G130" s="245">
        <v>0.14067383547339468</v>
      </c>
      <c r="H130" s="245">
        <v>0.10117706057400955</v>
      </c>
      <c r="I130" s="245">
        <v>1.2187495826785713</v>
      </c>
      <c r="J130" s="245">
        <v>6.383832117636018E-3</v>
      </c>
      <c r="K130" s="245">
        <v>0.12313778806639065</v>
      </c>
      <c r="L130" s="245">
        <v>0.85270587395604946</v>
      </c>
      <c r="M130" s="245">
        <v>0.21243418285493004</v>
      </c>
      <c r="N130" s="245">
        <v>0.77954163277452004</v>
      </c>
      <c r="O130" s="245">
        <v>2.7814412524137042</v>
      </c>
      <c r="P130" s="245">
        <v>0.14129843649519686</v>
      </c>
      <c r="Q130" s="245">
        <v>0.25147608144203121</v>
      </c>
      <c r="R130" s="245">
        <v>0.63354263155060508</v>
      </c>
      <c r="S130" s="245">
        <v>0.44191436806048168</v>
      </c>
      <c r="T130" s="245">
        <v>0.84369785348942317</v>
      </c>
      <c r="U130" s="245">
        <v>9.1017080473356996E-3</v>
      </c>
      <c r="V130" s="245">
        <v>0.47421366574486112</v>
      </c>
      <c r="W130" s="245">
        <v>5.2144271088261614E-3</v>
      </c>
      <c r="X130" s="245">
        <v>1.6410387328353399E-2</v>
      </c>
      <c r="Y130" s="245">
        <v>6.4857929271549528E-2</v>
      </c>
      <c r="Z130" s="245">
        <v>3.9054800718806557E-2</v>
      </c>
      <c r="AA130" s="245">
        <v>2.5989621052510663E-2</v>
      </c>
      <c r="AB130" s="245">
        <v>0.27524625621915166</v>
      </c>
      <c r="AC130" s="245">
        <v>9.6546663439868619E-2</v>
      </c>
      <c r="AD130" s="245">
        <v>1.4588814649041101E-2</v>
      </c>
      <c r="AE130" s="245">
        <v>0.20923858703604906</v>
      </c>
      <c r="AF130" s="245">
        <v>7.2193991571862903E-2</v>
      </c>
      <c r="AG130" s="244">
        <v>0.65900327250000024</v>
      </c>
      <c r="AH130" s="245">
        <v>4.1242054954393599E-2</v>
      </c>
      <c r="AI130" s="244"/>
      <c r="AJ130" s="244"/>
      <c r="AK130" s="245"/>
      <c r="AL130" s="245"/>
      <c r="AM130" s="245"/>
      <c r="AN130" s="244"/>
      <c r="AO130" s="68" t="s">
        <v>19</v>
      </c>
    </row>
    <row r="131" spans="1:41" ht="14.1" hidden="1" customHeight="1">
      <c r="A131" s="68" t="s">
        <v>20</v>
      </c>
      <c r="B131" s="245">
        <v>0.78483548387096813</v>
      </c>
      <c r="C131" s="245">
        <v>1.0178988890322584</v>
      </c>
      <c r="D131" s="245">
        <v>0.81081328435483879</v>
      </c>
      <c r="E131" s="245">
        <v>0.21367696260496316</v>
      </c>
      <c r="F131" s="245">
        <v>0.1262432847593575</v>
      </c>
      <c r="G131" s="245">
        <v>0.13652043430910238</v>
      </c>
      <c r="H131" s="245">
        <v>0.10115601588296633</v>
      </c>
      <c r="I131" s="245">
        <v>1.1838038649999998</v>
      </c>
      <c r="J131" s="245">
        <v>6.391949210986422E-3</v>
      </c>
      <c r="K131" s="245">
        <v>0.12192188972628597</v>
      </c>
      <c r="L131" s="245">
        <v>0.82950852031283839</v>
      </c>
      <c r="M131" s="245">
        <v>0.2124928296610139</v>
      </c>
      <c r="N131" s="245">
        <v>0.76622274579560712</v>
      </c>
      <c r="O131" s="245">
        <v>2.7601216523348939</v>
      </c>
      <c r="P131" s="245">
        <v>0.1361068549448797</v>
      </c>
      <c r="Q131" s="245">
        <v>0.24511566458968101</v>
      </c>
      <c r="R131" s="245">
        <v>0.62983270264673974</v>
      </c>
      <c r="S131" s="245">
        <v>0.43444861839626603</v>
      </c>
      <c r="T131" s="245">
        <v>0.82867416474393851</v>
      </c>
      <c r="U131" s="245">
        <v>9.1362653307296166E-3</v>
      </c>
      <c r="V131" s="245">
        <v>0.4731280943895762</v>
      </c>
      <c r="W131" s="245">
        <v>5.2061682391733432E-3</v>
      </c>
      <c r="X131" s="245">
        <v>1.6491141296217735E-2</v>
      </c>
      <c r="Y131" s="245">
        <v>6.3719888291118118E-2</v>
      </c>
      <c r="Z131" s="245">
        <v>3.8697481647812809E-2</v>
      </c>
      <c r="AA131" s="245">
        <v>2.5493449736130186E-2</v>
      </c>
      <c r="AB131" s="245">
        <v>0.27499038521814889</v>
      </c>
      <c r="AC131" s="245">
        <v>9.6530199377891771E-2</v>
      </c>
      <c r="AD131" s="245">
        <v>1.4444704563763469E-2</v>
      </c>
      <c r="AE131" s="245">
        <v>0.20927776081291805</v>
      </c>
      <c r="AF131" s="245">
        <v>7.1234569423536689E-2</v>
      </c>
      <c r="AG131" s="244">
        <v>0.64903491629032284</v>
      </c>
      <c r="AH131" s="245">
        <v>3.9729956381622931E-2</v>
      </c>
      <c r="AI131" s="244"/>
      <c r="AJ131" s="244"/>
      <c r="AK131" s="245"/>
      <c r="AL131" s="245"/>
      <c r="AM131" s="245"/>
      <c r="AN131" s="244"/>
      <c r="AO131" s="68" t="s">
        <v>20</v>
      </c>
    </row>
    <row r="132" spans="1:41" ht="14.1" hidden="1" customHeight="1">
      <c r="A132" s="68" t="s">
        <v>21</v>
      </c>
      <c r="B132" s="245">
        <v>0.78461000000000047</v>
      </c>
      <c r="C132" s="245">
        <v>1.021542662666667</v>
      </c>
      <c r="D132" s="245">
        <v>0.81485247033333341</v>
      </c>
      <c r="E132" s="245">
        <v>0.21362042004190707</v>
      </c>
      <c r="F132" s="245">
        <v>0.12683760965242943</v>
      </c>
      <c r="G132" s="245">
        <v>0.13701596352576403</v>
      </c>
      <c r="H132" s="245">
        <v>0.10107180903130969</v>
      </c>
      <c r="I132" s="245">
        <v>1.2013476178333335</v>
      </c>
      <c r="J132" s="245">
        <v>6.3901127987946397E-3</v>
      </c>
      <c r="K132" s="245">
        <v>0.12088298343399882</v>
      </c>
      <c r="L132" s="245">
        <v>0.83735960421611844</v>
      </c>
      <c r="M132" s="245">
        <v>0.21650478375342941</v>
      </c>
      <c r="N132" s="245">
        <v>0.7705871195703683</v>
      </c>
      <c r="O132" s="245">
        <v>2.752073523628864</v>
      </c>
      <c r="P132" s="245">
        <v>0.13540655211583577</v>
      </c>
      <c r="Q132" s="245">
        <v>0.24683963311900972</v>
      </c>
      <c r="R132" s="245">
        <v>0.63390993815052554</v>
      </c>
      <c r="S132" s="245">
        <v>0.43655937420839808</v>
      </c>
      <c r="T132" s="245">
        <v>0.8021282605207648</v>
      </c>
      <c r="U132" s="245">
        <v>9.0863674207864661E-3</v>
      </c>
      <c r="V132" s="245">
        <v>0.47439079990891025</v>
      </c>
      <c r="W132" s="245">
        <v>5.1941742714995296E-3</v>
      </c>
      <c r="X132" s="245">
        <v>1.6395564330154024E-2</v>
      </c>
      <c r="Y132" s="245">
        <v>6.3597484215349234E-2</v>
      </c>
      <c r="Z132" s="245">
        <v>3.8257553541384194E-2</v>
      </c>
      <c r="AA132" s="245">
        <v>2.5050256080843283E-2</v>
      </c>
      <c r="AB132" s="245">
        <v>0.27517316134901232</v>
      </c>
      <c r="AC132" s="245">
        <v>9.6387186384324058E-2</v>
      </c>
      <c r="AD132" s="245">
        <v>1.4439707491486415E-2</v>
      </c>
      <c r="AE132" s="245">
        <v>0.20921808204143558</v>
      </c>
      <c r="AF132" s="245">
        <v>6.9977457349917421E-2</v>
      </c>
      <c r="AG132" s="244">
        <v>0.66513452499999981</v>
      </c>
      <c r="AH132" s="245">
        <v>3.956665797079522E-2</v>
      </c>
      <c r="AI132" s="244"/>
      <c r="AJ132" s="244"/>
      <c r="AK132" s="245"/>
      <c r="AL132" s="245"/>
      <c r="AM132" s="245"/>
      <c r="AN132" s="244"/>
      <c r="AO132" s="68" t="s">
        <v>21</v>
      </c>
    </row>
    <row r="133" spans="1:41" ht="14.1" hidden="1" customHeight="1">
      <c r="A133" s="68" t="s">
        <v>22</v>
      </c>
      <c r="B133" s="245">
        <v>0.78458387096774229</v>
      </c>
      <c r="C133" s="245">
        <v>1.0183994143548385</v>
      </c>
      <c r="D133" s="245">
        <v>0.77868555919354854</v>
      </c>
      <c r="E133" s="245">
        <v>0.21360864687165726</v>
      </c>
      <c r="F133" s="245">
        <v>0.12774956545683647</v>
      </c>
      <c r="G133" s="245">
        <v>0.13663064653738158</v>
      </c>
      <c r="H133" s="245">
        <v>0.10108444691590542</v>
      </c>
      <c r="I133" s="245">
        <v>1.2007465366129035</v>
      </c>
      <c r="J133" s="245">
        <v>6.389899995665119E-3</v>
      </c>
      <c r="K133" s="245">
        <v>0.11885500991701721</v>
      </c>
      <c r="L133" s="245">
        <v>0.82153651199228706</v>
      </c>
      <c r="M133" s="245">
        <v>0.21630372884403379</v>
      </c>
      <c r="N133" s="245">
        <v>0.76951112058796634</v>
      </c>
      <c r="O133" s="245">
        <v>2.748650053437252</v>
      </c>
      <c r="P133" s="245">
        <v>0.13474723845484765</v>
      </c>
      <c r="Q133" s="245">
        <v>0.24403463189907307</v>
      </c>
      <c r="R133" s="245">
        <v>0.62868759025613485</v>
      </c>
      <c r="S133" s="245">
        <v>0.43069901461424359</v>
      </c>
      <c r="T133" s="245">
        <v>0.77872554577297204</v>
      </c>
      <c r="U133" s="245">
        <v>9.0609604654288984E-3</v>
      </c>
      <c r="V133" s="245">
        <v>0.47711628749361518</v>
      </c>
      <c r="W133" s="245">
        <v>5.1944272577280686E-3</v>
      </c>
      <c r="X133" s="245">
        <v>1.6386747280331664E-2</v>
      </c>
      <c r="Y133" s="245">
        <v>6.3556666097172976E-2</v>
      </c>
      <c r="Z133" s="245">
        <v>3.7885692465711045E-2</v>
      </c>
      <c r="AA133" s="245">
        <v>2.5052888713195855E-2</v>
      </c>
      <c r="AB133" s="245">
        <v>0.27520000117640403</v>
      </c>
      <c r="AC133" s="245">
        <v>9.6494921334254441E-2</v>
      </c>
      <c r="AD133" s="245">
        <v>1.4295940214423361E-2</v>
      </c>
      <c r="AE133" s="245">
        <v>0.20920760868962779</v>
      </c>
      <c r="AF133" s="245">
        <v>7.0584267386931923E-2</v>
      </c>
      <c r="AG133" s="244">
        <v>0.64821590193548395</v>
      </c>
      <c r="AH133" s="245">
        <v>3.9337682956943447E-2</v>
      </c>
      <c r="AI133" s="244"/>
      <c r="AJ133" s="244"/>
      <c r="AK133" s="245"/>
      <c r="AL133" s="245"/>
      <c r="AM133" s="245"/>
      <c r="AN133" s="244"/>
      <c r="AO133" s="68" t="s">
        <v>22</v>
      </c>
    </row>
    <row r="134" spans="1:41" ht="14.1" hidden="1" customHeight="1">
      <c r="A134" s="68" t="s">
        <v>23</v>
      </c>
      <c r="B134" s="245">
        <v>0.78459666666666683</v>
      </c>
      <c r="C134" s="245">
        <v>1.0354927621666667</v>
      </c>
      <c r="D134" s="245">
        <v>0.73998661999999982</v>
      </c>
      <c r="E134" s="245">
        <v>0.21361514176552449</v>
      </c>
      <c r="F134" s="245">
        <v>0.12786943155000696</v>
      </c>
      <c r="G134" s="245">
        <v>0.13884910339664511</v>
      </c>
      <c r="H134" s="245">
        <v>0.10110229312514679</v>
      </c>
      <c r="I134" s="245">
        <v>1.2147275871666663</v>
      </c>
      <c r="J134" s="245">
        <v>6.3900042078972744E-3</v>
      </c>
      <c r="K134" s="245">
        <v>0.11927585090415779</v>
      </c>
      <c r="L134" s="245">
        <v>0.84033324766766659</v>
      </c>
      <c r="M134" s="245">
        <v>0.2160843887561251</v>
      </c>
      <c r="N134" s="245">
        <v>0.76052727330498215</v>
      </c>
      <c r="O134" s="245">
        <v>2.7576872199953582</v>
      </c>
      <c r="P134" s="245">
        <v>0.13380983378357095</v>
      </c>
      <c r="Q134" s="245">
        <v>0.24149837187175915</v>
      </c>
      <c r="R134" s="245">
        <v>0.62277772128828879</v>
      </c>
      <c r="S134" s="245">
        <v>0.41320619426908123</v>
      </c>
      <c r="T134" s="245">
        <v>0.80521743195430018</v>
      </c>
      <c r="U134" s="245">
        <v>8.9995455915347078E-3</v>
      </c>
      <c r="V134" s="245">
        <v>0.47390888625177857</v>
      </c>
      <c r="W134" s="245">
        <v>5.1796140990260199E-3</v>
      </c>
      <c r="X134" s="245">
        <v>1.6296815797481976E-2</v>
      </c>
      <c r="Y134" s="245">
        <v>6.3111317616804649E-2</v>
      </c>
      <c r="Z134" s="245">
        <v>3.7592406331414467E-2</v>
      </c>
      <c r="AA134" s="245">
        <v>2.4273923946596044E-2</v>
      </c>
      <c r="AB134" s="245">
        <v>0.27541921570999711</v>
      </c>
      <c r="AC134" s="245">
        <v>9.6250026214407675E-2</v>
      </c>
      <c r="AD134" s="245">
        <v>1.3476508205217766E-2</v>
      </c>
      <c r="AE134" s="245">
        <v>0.20920866934061244</v>
      </c>
      <c r="AF134" s="245">
        <v>6.9134152321141062E-2</v>
      </c>
      <c r="AG134" s="244">
        <v>0.62094339916666685</v>
      </c>
      <c r="AH134" s="245">
        <v>4.0190574255351802E-2</v>
      </c>
      <c r="AI134" s="244"/>
      <c r="AJ134" s="244"/>
      <c r="AK134" s="245"/>
      <c r="AL134" s="245"/>
      <c r="AM134" s="245"/>
      <c r="AN134" s="244"/>
      <c r="AO134" s="68" t="s">
        <v>23</v>
      </c>
    </row>
    <row r="135" spans="1:41" ht="14.1" hidden="1" customHeight="1">
      <c r="A135" s="68" t="s">
        <v>24</v>
      </c>
      <c r="B135" s="245">
        <v>0.78440645161290345</v>
      </c>
      <c r="C135" s="245">
        <v>1.0266625317741935</v>
      </c>
      <c r="D135" s="245">
        <v>0.719720516935484</v>
      </c>
      <c r="E135" s="245">
        <v>0.21355903019183059</v>
      </c>
      <c r="F135" s="245">
        <v>0.12786586595402258</v>
      </c>
      <c r="G135" s="245">
        <v>0.13766073314728214</v>
      </c>
      <c r="H135" s="245">
        <v>0.10112860630416945</v>
      </c>
      <c r="I135" s="245">
        <v>1.1917585114516129</v>
      </c>
      <c r="J135" s="245">
        <v>6.3613640325616049E-3</v>
      </c>
      <c r="K135" s="245">
        <v>0.11864232110218899</v>
      </c>
      <c r="L135" s="245">
        <v>0.83050983867275252</v>
      </c>
      <c r="M135" s="245">
        <v>0.21770492409726319</v>
      </c>
      <c r="N135" s="245">
        <v>0.75394963482454425</v>
      </c>
      <c r="O135" s="245">
        <v>2.7479286895211996</v>
      </c>
      <c r="P135" s="245">
        <v>0.13018509323434066</v>
      </c>
      <c r="Q135" s="245">
        <v>0.24045005917175638</v>
      </c>
      <c r="R135" s="245">
        <v>0.61878229545397301</v>
      </c>
      <c r="S135" s="245">
        <v>0.4059837835552374</v>
      </c>
      <c r="T135" s="245">
        <v>0.7873739307348594</v>
      </c>
      <c r="U135" s="245">
        <v>8.8750625094912265E-3</v>
      </c>
      <c r="V135" s="245">
        <v>0.47377321912005094</v>
      </c>
      <c r="W135" s="245">
        <v>5.1393269830258062E-3</v>
      </c>
      <c r="X135" s="245">
        <v>1.6194388297040316E-2</v>
      </c>
      <c r="Y135" s="245">
        <v>6.5406180544173645E-2</v>
      </c>
      <c r="Z135" s="245">
        <v>3.7370386492531153E-2</v>
      </c>
      <c r="AA135" s="245">
        <v>2.3945369276404362E-2</v>
      </c>
      <c r="AB135" s="245">
        <v>0.2752856582674999</v>
      </c>
      <c r="AC135" s="245">
        <v>9.6281193320891051E-2</v>
      </c>
      <c r="AD135" s="245">
        <v>1.3136427810877411E-2</v>
      </c>
      <c r="AE135" s="245">
        <v>0.20915364378043691</v>
      </c>
      <c r="AF135" s="245">
        <v>6.969070695381821E-2</v>
      </c>
      <c r="AG135" s="244">
        <v>0.61924803516129046</v>
      </c>
      <c r="AH135" s="245">
        <v>3.9594152472187456E-2</v>
      </c>
      <c r="AI135" s="244"/>
      <c r="AJ135" s="244"/>
      <c r="AK135" s="245"/>
      <c r="AL135" s="245"/>
      <c r="AM135" s="245"/>
      <c r="AN135" s="244"/>
      <c r="AO135" s="68" t="s">
        <v>24</v>
      </c>
    </row>
    <row r="136" spans="1:41" ht="14.1" hidden="1" customHeight="1">
      <c r="A136" s="68" t="s">
        <v>25</v>
      </c>
      <c r="B136" s="245">
        <v>0.78443225806451644</v>
      </c>
      <c r="C136" s="245">
        <v>1.0440979424193548</v>
      </c>
      <c r="D136" s="245">
        <v>0.70750191338709689</v>
      </c>
      <c r="E136" s="245">
        <v>0.21356605632102477</v>
      </c>
      <c r="F136" s="245">
        <v>0.12814086898445701</v>
      </c>
      <c r="G136" s="245">
        <v>0.13999897869983322</v>
      </c>
      <c r="H136" s="245">
        <v>0.10114454989034495</v>
      </c>
      <c r="I136" s="245">
        <v>1.2124459438709676</v>
      </c>
      <c r="J136" s="245">
        <v>6.0241960877121447E-3</v>
      </c>
      <c r="K136" s="245">
        <v>0.11998596282048619</v>
      </c>
      <c r="L136" s="245">
        <v>0.84641864017170854</v>
      </c>
      <c r="M136" s="245">
        <v>0.2195741612364715</v>
      </c>
      <c r="N136" s="245">
        <v>0.7541520203413572</v>
      </c>
      <c r="O136" s="245">
        <v>2.7562032318379592</v>
      </c>
      <c r="P136" s="245">
        <v>0.131530152378522</v>
      </c>
      <c r="Q136" s="245">
        <v>0.24656977825756374</v>
      </c>
      <c r="R136" s="245">
        <v>0.61604040945485461</v>
      </c>
      <c r="S136" s="245">
        <v>0.40067661660104359</v>
      </c>
      <c r="T136" s="245">
        <v>0.80070539384960504</v>
      </c>
      <c r="U136" s="245">
        <v>8.8037741629155997E-3</v>
      </c>
      <c r="V136" s="245">
        <v>0.4724134129322165</v>
      </c>
      <c r="W136" s="245">
        <v>5.1262309457543046E-3</v>
      </c>
      <c r="X136" s="245">
        <v>1.6134371547554604E-2</v>
      </c>
      <c r="Y136" s="245">
        <v>6.2064070213524447E-2</v>
      </c>
      <c r="Z136" s="245">
        <v>3.7084299609887336E-2</v>
      </c>
      <c r="AA136" s="245">
        <v>2.3750980103537718E-2</v>
      </c>
      <c r="AB136" s="245">
        <v>0.27480939938178894</v>
      </c>
      <c r="AC136" s="245">
        <v>9.6533994065871098E-2</v>
      </c>
      <c r="AD136" s="245">
        <v>1.2503151596345659E-2</v>
      </c>
      <c r="AE136" s="245">
        <v>0.20916250363604424</v>
      </c>
      <c r="AF136" s="245">
        <v>7.0225706922794645E-2</v>
      </c>
      <c r="AG136" s="244">
        <v>0.62055265032258067</v>
      </c>
      <c r="AH136" s="245">
        <v>4.0417926387065532E-2</v>
      </c>
      <c r="AI136" s="244"/>
      <c r="AJ136" s="244"/>
      <c r="AK136" s="245"/>
      <c r="AL136" s="245"/>
      <c r="AM136" s="245"/>
      <c r="AN136" s="244"/>
      <c r="AO136" s="68" t="s">
        <v>25</v>
      </c>
    </row>
    <row r="137" spans="1:41" ht="14.1" hidden="1" customHeight="1">
      <c r="A137" s="68" t="s">
        <v>26</v>
      </c>
      <c r="B137" s="245">
        <v>0.7844500000000002</v>
      </c>
      <c r="C137" s="245">
        <v>1.0470226753333334</v>
      </c>
      <c r="D137" s="245">
        <v>0.7270546451666664</v>
      </c>
      <c r="E137" s="245">
        <v>0.21357143054799441</v>
      </c>
      <c r="F137" s="245">
        <v>0.12818303333731304</v>
      </c>
      <c r="G137" s="245">
        <v>0.14038264440041848</v>
      </c>
      <c r="H137" s="245">
        <v>0.10116011770927234</v>
      </c>
      <c r="I137" s="245">
        <v>1.2429474545000001</v>
      </c>
      <c r="J137" s="245">
        <v>3.1636114512103275E-3</v>
      </c>
      <c r="K137" s="245">
        <v>0.12072174916887139</v>
      </c>
      <c r="L137" s="245">
        <v>0.84859604887405748</v>
      </c>
      <c r="M137" s="245">
        <v>0.21984816340424534</v>
      </c>
      <c r="N137" s="245">
        <v>0.75690334689332983</v>
      </c>
      <c r="O137" s="245">
        <v>2.7582830394547231</v>
      </c>
      <c r="P137" s="245">
        <v>0.1314036340137372</v>
      </c>
      <c r="Q137" s="245">
        <v>0.24718147735583454</v>
      </c>
      <c r="R137" s="245">
        <v>0.62080075424977588</v>
      </c>
      <c r="S137" s="245">
        <v>0.38899167727156297</v>
      </c>
      <c r="T137" s="245">
        <v>0.79058661084308901</v>
      </c>
      <c r="U137" s="245">
        <v>8.6793570617850375E-3</v>
      </c>
      <c r="V137" s="245">
        <v>0.47235239343551227</v>
      </c>
      <c r="W137" s="245">
        <v>5.1172621082313414E-3</v>
      </c>
      <c r="X137" s="245">
        <v>1.612912312142592E-2</v>
      </c>
      <c r="Y137" s="245">
        <v>6.175280454254118E-2</v>
      </c>
      <c r="Z137" s="245">
        <v>3.9069506095889259E-2</v>
      </c>
      <c r="AA137" s="245">
        <v>2.4071986676440452E-2</v>
      </c>
      <c r="AB137" s="245">
        <v>0.27450455250970435</v>
      </c>
      <c r="AC137" s="245">
        <v>9.6043670571782452E-2</v>
      </c>
      <c r="AD137" s="245">
        <v>1.2284180667157014E-2</v>
      </c>
      <c r="AE137" s="245">
        <v>0.20916212525566957</v>
      </c>
      <c r="AF137" s="245">
        <v>7.2343573585445228E-2</v>
      </c>
      <c r="AG137" s="244">
        <v>0.63755112866666663</v>
      </c>
      <c r="AH137" s="245">
        <v>4.0640005844046791E-2</v>
      </c>
      <c r="AI137" s="244"/>
      <c r="AJ137" s="244"/>
      <c r="AK137" s="245"/>
      <c r="AL137" s="245"/>
      <c r="AM137" s="245"/>
      <c r="AN137" s="244"/>
      <c r="AO137" s="68" t="s">
        <v>26</v>
      </c>
    </row>
    <row r="138" spans="1:41" ht="14.1" hidden="1" customHeight="1">
      <c r="A138" s="68" t="s">
        <v>27</v>
      </c>
      <c r="B138" s="245">
        <v>0.78439354838709718</v>
      </c>
      <c r="C138" s="245">
        <v>1.070210637419355</v>
      </c>
      <c r="D138" s="245">
        <v>0.74623324580645145</v>
      </c>
      <c r="E138" s="245">
        <v>0.21355645510617813</v>
      </c>
      <c r="F138" s="245">
        <v>0.12849046361084779</v>
      </c>
      <c r="G138" s="245">
        <v>0.1434730433789356</v>
      </c>
      <c r="H138" s="245">
        <v>0.10116047037805406</v>
      </c>
      <c r="I138" s="245">
        <v>1.2635221999999997</v>
      </c>
      <c r="J138" s="245">
        <v>3.1624588352576863E-3</v>
      </c>
      <c r="K138" s="245">
        <v>0.12244819264794463</v>
      </c>
      <c r="L138" s="245">
        <v>0.86935794578367642</v>
      </c>
      <c r="M138" s="245">
        <v>0.22187316288023495</v>
      </c>
      <c r="N138" s="245">
        <v>0.75719082195318388</v>
      </c>
      <c r="O138" s="245">
        <v>2.7776527680380978</v>
      </c>
      <c r="P138" s="245">
        <v>0.13174874045193535</v>
      </c>
      <c r="Q138" s="245">
        <v>0.25549316783811865</v>
      </c>
      <c r="R138" s="245">
        <v>0.63047955960824265</v>
      </c>
      <c r="S138" s="245">
        <v>0.39511568630823068</v>
      </c>
      <c r="T138" s="245">
        <v>0.80204197013468215</v>
      </c>
      <c r="U138" s="245">
        <v>8.5658938347348296E-3</v>
      </c>
      <c r="V138" s="245">
        <v>0.47115251442906542</v>
      </c>
      <c r="W138" s="245">
        <v>5.0940643219471917E-3</v>
      </c>
      <c r="X138" s="245">
        <v>1.6418408367418598E-2</v>
      </c>
      <c r="Y138" s="245">
        <v>6.1359545572869358E-2</v>
      </c>
      <c r="Z138" s="245">
        <v>3.6515029573667861E-2</v>
      </c>
      <c r="AA138" s="245">
        <v>2.4467227329287293E-2</v>
      </c>
      <c r="AB138" s="245">
        <v>0.27518459915960153</v>
      </c>
      <c r="AC138" s="245">
        <v>9.5844167184518159E-2</v>
      </c>
      <c r="AD138" s="245">
        <v>1.2738035508890595E-2</v>
      </c>
      <c r="AE138" s="245">
        <v>0.20915308167129207</v>
      </c>
      <c r="AF138" s="245">
        <v>7.3512013834584625E-2</v>
      </c>
      <c r="AG138" s="244">
        <v>0.65396368500000035</v>
      </c>
      <c r="AH138" s="245">
        <v>4.1734373674998701E-2</v>
      </c>
      <c r="AI138" s="244"/>
      <c r="AJ138" s="244"/>
      <c r="AK138" s="245"/>
      <c r="AL138" s="245"/>
      <c r="AM138" s="245"/>
      <c r="AN138" s="244"/>
      <c r="AO138" s="68" t="s">
        <v>27</v>
      </c>
    </row>
    <row r="139" spans="1:41" ht="14.1" hidden="1" customHeight="1">
      <c r="A139" s="68" t="s">
        <v>28</v>
      </c>
      <c r="B139" s="245">
        <v>0.78434666666666708</v>
      </c>
      <c r="C139" s="245">
        <v>1.0584119456666667</v>
      </c>
      <c r="D139" s="245">
        <v>0.73211299000000019</v>
      </c>
      <c r="E139" s="245">
        <v>0.213543781863932</v>
      </c>
      <c r="F139" s="245">
        <v>0.12873813475033205</v>
      </c>
      <c r="G139" s="245">
        <v>0.14190281919402764</v>
      </c>
      <c r="H139" s="245">
        <v>0.10117253738902371</v>
      </c>
      <c r="I139" s="245">
        <v>1.2634858635000001</v>
      </c>
      <c r="J139" s="245">
        <v>3.1525657986502323E-3</v>
      </c>
      <c r="K139" s="245">
        <v>0.11925072108825165</v>
      </c>
      <c r="L139" s="245">
        <v>0.8591805569474531</v>
      </c>
      <c r="M139" s="245">
        <v>0.22182666109803489</v>
      </c>
      <c r="N139" s="245">
        <v>0.74824117347463348</v>
      </c>
      <c r="O139" s="245">
        <v>2.7705342949629643</v>
      </c>
      <c r="P139" s="245">
        <v>0.12914066756797363</v>
      </c>
      <c r="Q139" s="245">
        <v>0.25249922981658446</v>
      </c>
      <c r="R139" s="245">
        <v>0.62879924835976098</v>
      </c>
      <c r="S139" s="245">
        <v>0.38782936949992919</v>
      </c>
      <c r="T139" s="245">
        <v>0.78577230227206429</v>
      </c>
      <c r="U139" s="245">
        <v>8.4447510313629109E-3</v>
      </c>
      <c r="V139" s="245">
        <v>0.46729043655122504</v>
      </c>
      <c r="W139" s="245">
        <v>5.111002906442735E-3</v>
      </c>
      <c r="X139" s="245">
        <v>1.6388856056180852E-2</v>
      </c>
      <c r="Y139" s="245">
        <v>6.1400209423880567E-2</v>
      </c>
      <c r="Z139" s="245">
        <v>3.6151461632084318E-2</v>
      </c>
      <c r="AA139" s="245">
        <v>2.4006753764512407E-2</v>
      </c>
      <c r="AB139" s="245">
        <v>0.27445839587768295</v>
      </c>
      <c r="AC139" s="245">
        <v>9.5620865252384807E-2</v>
      </c>
      <c r="AD139" s="245">
        <v>1.2533320304811777E-2</v>
      </c>
      <c r="AE139" s="245">
        <v>0.20913801142335089</v>
      </c>
      <c r="AF139" s="245">
        <v>7.3806279906437663E-2</v>
      </c>
      <c r="AG139" s="244">
        <v>0.64818530116666673</v>
      </c>
      <c r="AH139" s="245">
        <v>3.9429654320039711E-2</v>
      </c>
      <c r="AI139" s="244"/>
      <c r="AJ139" s="244"/>
      <c r="AK139" s="245"/>
      <c r="AL139" s="245"/>
      <c r="AM139" s="245"/>
      <c r="AN139" s="244"/>
      <c r="AO139" s="68" t="s">
        <v>28</v>
      </c>
    </row>
    <row r="140" spans="1:41" ht="14.1" hidden="1" customHeight="1">
      <c r="A140" s="68" t="s">
        <v>29</v>
      </c>
      <c r="B140" s="245">
        <v>0.78440967741935519</v>
      </c>
      <c r="C140" s="245">
        <v>1.0740567596774193</v>
      </c>
      <c r="D140" s="245">
        <v>0.70338712516129009</v>
      </c>
      <c r="E140" s="245">
        <v>0.21356215945943521</v>
      </c>
      <c r="F140" s="245">
        <v>0.12910430694871142</v>
      </c>
      <c r="G140" s="245">
        <v>0.1439880244677193</v>
      </c>
      <c r="H140" s="245">
        <v>0.10116271851823216</v>
      </c>
      <c r="I140" s="245">
        <v>1.2845797633870968</v>
      </c>
      <c r="J140" s="245">
        <v>3.1650872584815582E-3</v>
      </c>
      <c r="K140" s="245">
        <v>0.11976289830206088</v>
      </c>
      <c r="L140" s="245">
        <v>0.87655101845812577</v>
      </c>
      <c r="M140" s="245">
        <v>0.22378015396132214</v>
      </c>
      <c r="N140" s="245">
        <v>0.73671553521652189</v>
      </c>
      <c r="O140" s="245">
        <v>2.7756160479168295</v>
      </c>
      <c r="P140" s="245">
        <v>0.12764220952395716</v>
      </c>
      <c r="Q140" s="245">
        <v>0.25735508747653368</v>
      </c>
      <c r="R140" s="245">
        <v>0.62265595179572164</v>
      </c>
      <c r="S140" s="245">
        <v>0.38002637731941852</v>
      </c>
      <c r="T140" s="245">
        <v>0.75731870511963395</v>
      </c>
      <c r="U140" s="245">
        <v>8.3048856671856675E-3</v>
      </c>
      <c r="V140" s="245">
        <v>0.45804448056704039</v>
      </c>
      <c r="W140" s="245">
        <v>5.0916860507463167E-3</v>
      </c>
      <c r="X140" s="245">
        <v>1.6103411684014662E-2</v>
      </c>
      <c r="Y140" s="245">
        <v>6.0720329478039833E-2</v>
      </c>
      <c r="Z140" s="245">
        <v>3.5796375928196761E-2</v>
      </c>
      <c r="AA140" s="245">
        <v>2.386606358630429E-2</v>
      </c>
      <c r="AB140" s="245">
        <v>0.27512670851338389</v>
      </c>
      <c r="AC140" s="245">
        <v>9.5187161999617728E-2</v>
      </c>
      <c r="AD140" s="245">
        <v>1.2661168378596604E-2</v>
      </c>
      <c r="AE140" s="245">
        <v>0.20915000686922094</v>
      </c>
      <c r="AF140" s="245">
        <v>7.4221828436553797E-2</v>
      </c>
      <c r="AG140" s="244">
        <v>0.64360032596774208</v>
      </c>
      <c r="AH140" s="245">
        <v>3.9055923698834219E-2</v>
      </c>
      <c r="AI140" s="244"/>
      <c r="AJ140" s="244"/>
      <c r="AK140" s="245"/>
      <c r="AL140" s="245"/>
      <c r="AM140" s="245"/>
      <c r="AN140" s="244"/>
      <c r="AO140" s="68" t="s">
        <v>29</v>
      </c>
    </row>
    <row r="141" spans="1:41" ht="14.1" customHeight="1">
      <c r="A141" s="68" t="s">
        <v>1634</v>
      </c>
      <c r="B141" s="261">
        <f>AVERAGE(B142:B153)</f>
        <v>0.78435758704557135</v>
      </c>
      <c r="C141" s="261">
        <f t="shared" ref="C141:AD141" si="3">AVERAGE(C142:C153)</f>
        <v>1.0430173007026049</v>
      </c>
      <c r="D141" s="261">
        <f t="shared" si="3"/>
        <v>0.7077542476602342</v>
      </c>
      <c r="E141" s="261">
        <f t="shared" si="3"/>
        <v>0.21354705707963942</v>
      </c>
      <c r="F141" s="261">
        <f t="shared" si="3"/>
        <v>0.12732024968764996</v>
      </c>
      <c r="G141" s="261">
        <f t="shared" si="3"/>
        <v>0.13990376099742655</v>
      </c>
      <c r="H141" s="261">
        <f t="shared" si="3"/>
        <v>0.10114425751140438</v>
      </c>
      <c r="I141" s="261">
        <f t="shared" si="3"/>
        <v>1.2929372532783221</v>
      </c>
      <c r="J141" s="261">
        <f t="shared" si="3"/>
        <v>3.0514418441001481E-3</v>
      </c>
      <c r="K141" s="261">
        <f t="shared" si="3"/>
        <v>0.11472934905703243</v>
      </c>
      <c r="L141" s="261">
        <f t="shared" si="3"/>
        <v>0.85855549785290197</v>
      </c>
      <c r="M141" s="261">
        <f t="shared" si="3"/>
        <v>0.21980000235952954</v>
      </c>
      <c r="N141" s="261">
        <f t="shared" si="3"/>
        <v>0.7106528225131018</v>
      </c>
      <c r="O141" s="261">
        <f t="shared" si="3"/>
        <v>2.7560063521623945</v>
      </c>
      <c r="P141" s="261">
        <f t="shared" si="3"/>
        <v>0.12493649555859326</v>
      </c>
      <c r="Q141" s="261">
        <f t="shared" si="3"/>
        <v>0.24924640138086793</v>
      </c>
      <c r="R141" s="261">
        <f t="shared" si="3"/>
        <v>0.61923798216383408</v>
      </c>
      <c r="S141" s="261">
        <f t="shared" si="3"/>
        <v>0.35896630509228361</v>
      </c>
      <c r="T141" s="261">
        <f t="shared" si="3"/>
        <v>0.74321423416217325</v>
      </c>
      <c r="U141" s="261">
        <f t="shared" si="3"/>
        <v>7.6797542176731742E-3</v>
      </c>
      <c r="V141" s="261">
        <f t="shared" si="3"/>
        <v>0.44526839163163406</v>
      </c>
      <c r="W141" s="261">
        <f t="shared" si="3"/>
        <v>4.3888009353352268E-3</v>
      </c>
      <c r="X141" s="261">
        <f t="shared" si="3"/>
        <v>1.4673011129217109E-2</v>
      </c>
      <c r="Y141" s="261">
        <f t="shared" si="3"/>
        <v>5.6330634364533248E-2</v>
      </c>
      <c r="Z141" s="261">
        <f t="shared" si="3"/>
        <v>3.4052207435186894E-2</v>
      </c>
      <c r="AA141" s="261">
        <f t="shared" si="3"/>
        <v>2.0833883414518112E-2</v>
      </c>
      <c r="AB141" s="261">
        <f t="shared" si="3"/>
        <v>0.27517184673083522</v>
      </c>
      <c r="AC141" s="261">
        <f t="shared" si="3"/>
        <v>6.7830785391055706E-2</v>
      </c>
      <c r="AD141" s="261">
        <f t="shared" si="3"/>
        <v>1.2855477032212945E-2</v>
      </c>
      <c r="AE141" s="261">
        <f t="shared" ref="AE141:AF141" si="4">AVERAGE(AE142:AE153)</f>
        <v>0.20911213672009965</v>
      </c>
      <c r="AF141" s="261">
        <f t="shared" si="4"/>
        <v>7.4538930821939672E-2</v>
      </c>
      <c r="AG141" s="261">
        <f t="shared" ref="AG141" si="5">AVERAGE(AG142:AG153)</f>
        <v>0.65134146946604587</v>
      </c>
      <c r="AH141" s="261">
        <v>3.7889473542700884E-2</v>
      </c>
      <c r="AI141" s="261"/>
      <c r="AJ141" s="261"/>
      <c r="AK141" s="261"/>
      <c r="AL141" s="261"/>
      <c r="AM141" s="261"/>
      <c r="AN141" s="261"/>
      <c r="AO141" s="68" t="s">
        <v>1634</v>
      </c>
    </row>
    <row r="142" spans="1:41" ht="14.1" hidden="1" customHeight="1">
      <c r="A142" s="68" t="s">
        <v>18</v>
      </c>
      <c r="B142" s="245">
        <v>0.78440000000000032</v>
      </c>
      <c r="C142" s="245">
        <v>1.0705518477419358</v>
      </c>
      <c r="D142" s="245">
        <v>0.69345691419354849</v>
      </c>
      <c r="E142" s="245">
        <v>0.21356121305593306</v>
      </c>
      <c r="F142" s="245">
        <v>0.12957350292363168</v>
      </c>
      <c r="G142" s="245">
        <v>0.14348228367197458</v>
      </c>
      <c r="H142" s="245">
        <v>0.10111956228378553</v>
      </c>
      <c r="I142" s="245">
        <v>1.2921290277419357</v>
      </c>
      <c r="J142" s="245">
        <v>3.1604910228742594E-3</v>
      </c>
      <c r="K142" s="245">
        <v>0.12092352778489292</v>
      </c>
      <c r="L142" s="245">
        <v>0.86981650331200444</v>
      </c>
      <c r="M142" s="245">
        <v>0.22463870225042112</v>
      </c>
      <c r="N142" s="245">
        <v>0.71822355784095315</v>
      </c>
      <c r="O142" s="245">
        <v>2.7758636895154285</v>
      </c>
      <c r="P142" s="245">
        <v>0.12745384739723933</v>
      </c>
      <c r="Q142" s="245">
        <v>0.25662701007154354</v>
      </c>
      <c r="R142" s="245">
        <v>0.61640632991756816</v>
      </c>
      <c r="S142" s="245">
        <v>0.35536848483566957</v>
      </c>
      <c r="T142" s="245">
        <v>0.75281094814759453</v>
      </c>
      <c r="U142" s="245">
        <v>8.1958534008016604E-3</v>
      </c>
      <c r="V142" s="245">
        <v>0.4456429338269286</v>
      </c>
      <c r="W142" s="245">
        <v>5.0669493125724344E-3</v>
      </c>
      <c r="X142" s="245">
        <v>1.5826902677330709E-2</v>
      </c>
      <c r="Y142" s="245">
        <v>5.9954354968338362E-2</v>
      </c>
      <c r="Z142" s="245">
        <v>3.5272173639461391E-2</v>
      </c>
      <c r="AA142" s="245">
        <v>2.3393077209934464E-2</v>
      </c>
      <c r="AB142" s="245">
        <v>0.27527563112953918</v>
      </c>
      <c r="AC142" s="245">
        <v>9.4115201431317894E-2</v>
      </c>
      <c r="AD142" s="245">
        <v>1.2654520995779791E-2</v>
      </c>
      <c r="AE142" s="245">
        <v>0.20914922486632886</v>
      </c>
      <c r="AF142" s="245">
        <v>7.3641995522427547E-2</v>
      </c>
      <c r="AG142" s="244">
        <v>0.64716543096774182</v>
      </c>
      <c r="AH142" s="245">
        <v>3.8967928836824539E-2</v>
      </c>
      <c r="AI142" s="244"/>
      <c r="AJ142" s="244"/>
      <c r="AK142" s="245"/>
      <c r="AL142" s="245"/>
      <c r="AM142" s="245"/>
      <c r="AN142" s="244"/>
      <c r="AO142" s="68" t="s">
        <v>18</v>
      </c>
    </row>
    <row r="143" spans="1:41" ht="14.1" hidden="1" customHeight="1">
      <c r="A143" s="68" t="s">
        <v>19</v>
      </c>
      <c r="B143" s="245">
        <v>0.7843785714285717</v>
      </c>
      <c r="C143" s="245">
        <v>1.0706143101785714</v>
      </c>
      <c r="D143" s="245">
        <v>0.70225741553571441</v>
      </c>
      <c r="E143" s="245">
        <v>0.21355266899586528</v>
      </c>
      <c r="F143" s="245">
        <v>0.12907077364313474</v>
      </c>
      <c r="G143" s="245">
        <v>0.14347189040700045</v>
      </c>
      <c r="H143" s="245">
        <v>0.10109657933722893</v>
      </c>
      <c r="I143" s="245">
        <v>1.2979794576785717</v>
      </c>
      <c r="J143" s="245">
        <v>3.1527696814074684E-3</v>
      </c>
      <c r="K143" s="245">
        <v>0.12069033806743133</v>
      </c>
      <c r="L143" s="245">
        <v>0.87643327275059124</v>
      </c>
      <c r="M143" s="245">
        <v>0.22312259235710627</v>
      </c>
      <c r="N143" s="245">
        <v>0.7091676068913334</v>
      </c>
      <c r="O143" s="245">
        <v>2.7794101558920659</v>
      </c>
      <c r="P143" s="245">
        <v>0.12780266704951618</v>
      </c>
      <c r="Q143" s="245">
        <v>0.25609338847159996</v>
      </c>
      <c r="R143" s="245">
        <v>0.61893004285146003</v>
      </c>
      <c r="S143" s="245">
        <v>0.35452316347381607</v>
      </c>
      <c r="T143" s="245">
        <v>0.76821958513004163</v>
      </c>
      <c r="U143" s="245">
        <v>8.0789484634412496E-3</v>
      </c>
      <c r="V143" s="245">
        <v>0.4490710629185804</v>
      </c>
      <c r="W143" s="245">
        <v>4.5606327266495524E-3</v>
      </c>
      <c r="X143" s="245">
        <v>1.5310085481843672E-2</v>
      </c>
      <c r="Y143" s="245">
        <v>5.8497523984298271E-2</v>
      </c>
      <c r="Z143" s="245">
        <v>3.5111022807930305E-2</v>
      </c>
      <c r="AA143" s="245">
        <v>2.2263795739375498E-2</v>
      </c>
      <c r="AB143" s="245">
        <v>0.27520503303336857</v>
      </c>
      <c r="AC143" s="245">
        <v>8.8121868384130622E-2</v>
      </c>
      <c r="AD143" s="245">
        <v>1.2597539407304485E-2</v>
      </c>
      <c r="AE143" s="245">
        <v>0.20914650537716378</v>
      </c>
      <c r="AF143" s="245">
        <v>7.3190255977142224E-2</v>
      </c>
      <c r="AG143" s="245">
        <v>0.64924743767857152</v>
      </c>
      <c r="AH143" s="245">
        <v>3.8983592621416097E-2</v>
      </c>
      <c r="AI143" s="245"/>
      <c r="AJ143" s="245"/>
      <c r="AK143" s="245"/>
      <c r="AL143" s="245"/>
      <c r="AM143" s="245"/>
      <c r="AN143" s="245"/>
      <c r="AO143" s="68" t="s">
        <v>19</v>
      </c>
    </row>
    <row r="144" spans="1:41" ht="14.1" hidden="1" customHeight="1">
      <c r="A144" s="68" t="s">
        <v>20</v>
      </c>
      <c r="B144" s="244">
        <v>0.78434193548387143</v>
      </c>
      <c r="C144" s="245">
        <v>1.0855303540322576</v>
      </c>
      <c r="D144" s="264">
        <v>0.71227704967741923</v>
      </c>
      <c r="E144" s="245">
        <v>0.21354277820767087</v>
      </c>
      <c r="F144" s="245">
        <v>0.12715623841978022</v>
      </c>
      <c r="G144" s="245">
        <v>0.14544131071611552</v>
      </c>
      <c r="H144" s="245">
        <v>0.10104318972616928</v>
      </c>
      <c r="I144" s="245">
        <v>1.3055171141935484</v>
      </c>
      <c r="J144" s="245">
        <v>3.1319449151546645E-3</v>
      </c>
      <c r="K144" s="245">
        <v>0.12246872511934222</v>
      </c>
      <c r="L144" s="245">
        <v>0.89197943476858232</v>
      </c>
      <c r="M144" s="245">
        <v>0.22576341905659983</v>
      </c>
      <c r="N144" s="245">
        <v>0.7078930744280395</v>
      </c>
      <c r="O144" s="245">
        <v>2.7860532202404058</v>
      </c>
      <c r="P144" s="245">
        <v>0.13110397876429472</v>
      </c>
      <c r="Q144" s="245">
        <v>0.25847793643739403</v>
      </c>
      <c r="R144" s="245">
        <v>0.61980833440734284</v>
      </c>
      <c r="S144" s="245">
        <v>0.35455021499707751</v>
      </c>
      <c r="T144" s="245">
        <v>0.76851619805647597</v>
      </c>
      <c r="U144" s="245">
        <v>7.987138046130899E-3</v>
      </c>
      <c r="V144" s="245">
        <v>0.45197268589177814</v>
      </c>
      <c r="W144" s="245">
        <v>4.3031530252914873E-3</v>
      </c>
      <c r="X144" s="245">
        <v>1.4527007953726108E-2</v>
      </c>
      <c r="Y144" s="245">
        <v>5.931332454073595E-2</v>
      </c>
      <c r="Z144" s="245">
        <v>3.475362101053716E-2</v>
      </c>
      <c r="AA144" s="245">
        <v>2.1674501971694595E-2</v>
      </c>
      <c r="AB144" s="245">
        <v>0.27487110105740026</v>
      </c>
      <c r="AC144" s="245">
        <v>7.9181057793387313E-2</v>
      </c>
      <c r="AD144" s="245">
        <v>1.2836994829768489E-2</v>
      </c>
      <c r="AE144" s="245">
        <v>0.20913797009117036</v>
      </c>
      <c r="AF144" s="245">
        <v>7.3372189500235635E-2</v>
      </c>
      <c r="AG144" s="245">
        <v>0.66974917725806449</v>
      </c>
      <c r="AH144" s="245">
        <v>3.9651475960650162E-2</v>
      </c>
      <c r="AI144" s="245"/>
      <c r="AJ144" s="245"/>
      <c r="AK144" s="245"/>
      <c r="AL144" s="245"/>
      <c r="AM144" s="245"/>
      <c r="AN144" s="245"/>
      <c r="AO144" s="68" t="s">
        <v>20</v>
      </c>
    </row>
    <row r="145" spans="1:41" ht="14.1" hidden="1" customHeight="1">
      <c r="A145" s="68" t="s">
        <v>21</v>
      </c>
      <c r="B145" s="244">
        <v>0.78433666666666702</v>
      </c>
      <c r="C145" s="245">
        <v>1.0830447046666669</v>
      </c>
      <c r="D145" s="264">
        <v>0.73030638583333329</v>
      </c>
      <c r="E145" s="245">
        <v>0.21354057478607688</v>
      </c>
      <c r="F145" s="245">
        <v>0.12601842568651053</v>
      </c>
      <c r="G145" s="245">
        <v>0.14507608424818097</v>
      </c>
      <c r="H145" s="245">
        <v>0.10114370068254781</v>
      </c>
      <c r="I145" s="245">
        <v>1.3129676180000003</v>
      </c>
      <c r="J145" s="245">
        <v>3.0943164985028017E-3</v>
      </c>
      <c r="K145" s="245">
        <v>0.11973159788400986</v>
      </c>
      <c r="L145" s="245">
        <v>0.88806336888550608</v>
      </c>
      <c r="M145" s="245">
        <v>0.22566587472831121</v>
      </c>
      <c r="N145" s="245">
        <v>0.7131961046703218</v>
      </c>
      <c r="O145" s="245">
        <v>2.7874499804696216</v>
      </c>
      <c r="P145" s="245">
        <v>0.13117515631868917</v>
      </c>
      <c r="Q145" s="245">
        <v>0.25901897742753194</v>
      </c>
      <c r="R145" s="245">
        <v>0.62471588174250425</v>
      </c>
      <c r="S145" s="245">
        <v>0.36859609913832492</v>
      </c>
      <c r="T145" s="245">
        <v>0.76479186704594038</v>
      </c>
      <c r="U145" s="245">
        <v>7.8852361625763867E-3</v>
      </c>
      <c r="V145" s="245">
        <v>0.44764779595055931</v>
      </c>
      <c r="W145" s="245">
        <v>4.3078390058642595E-3</v>
      </c>
      <c r="X145" s="245">
        <v>1.443045650966027E-2</v>
      </c>
      <c r="Y145" s="245">
        <v>5.852144462030081E-2</v>
      </c>
      <c r="Z145" s="245">
        <v>3.5727568364930865E-2</v>
      </c>
      <c r="AA145" s="245">
        <v>2.2002187374801262E-2</v>
      </c>
      <c r="AB145" s="245">
        <v>0.27519216943128733</v>
      </c>
      <c r="AC145" s="245">
        <v>6.7383441006971356E-2</v>
      </c>
      <c r="AD145" s="245">
        <v>1.2988629324145266E-2</v>
      </c>
      <c r="AE145" s="245">
        <v>0.20913543801073725</v>
      </c>
      <c r="AF145" s="245">
        <v>7.521319474652878E-2</v>
      </c>
      <c r="AG145" s="245">
        <v>0.67483551283333343</v>
      </c>
      <c r="AH145" s="245">
        <v>3.9460582644928438E-2</v>
      </c>
      <c r="AI145" s="245"/>
      <c r="AJ145" s="245"/>
      <c r="AK145" s="245"/>
      <c r="AL145" s="245"/>
      <c r="AM145" s="245"/>
      <c r="AN145" s="245"/>
      <c r="AO145" s="68" t="s">
        <v>21</v>
      </c>
    </row>
    <row r="146" spans="1:41" ht="14.1" hidden="1" customHeight="1">
      <c r="A146" s="68" t="s">
        <v>22</v>
      </c>
      <c r="B146" s="244">
        <v>0.78437096774193593</v>
      </c>
      <c r="C146" s="245">
        <v>1.078926094516129</v>
      </c>
      <c r="D146" s="264">
        <v>0.73019750129032246</v>
      </c>
      <c r="E146" s="245">
        <v>0.21355124509315271</v>
      </c>
      <c r="F146" s="245">
        <v>0.12572539441964062</v>
      </c>
      <c r="G146" s="245">
        <v>0.14454606610394524</v>
      </c>
      <c r="H146" s="245">
        <v>0.10117586770738295</v>
      </c>
      <c r="I146" s="245">
        <v>1.3221849890322577</v>
      </c>
      <c r="J146" s="245">
        <v>3.0729185652029222E-3</v>
      </c>
      <c r="K146" s="245">
        <v>0.11951067795805488</v>
      </c>
      <c r="L146" s="245">
        <v>0.8840468860634656</v>
      </c>
      <c r="M146" s="245">
        <v>0.22643372011708532</v>
      </c>
      <c r="N146" s="245">
        <v>0.71987226201932542</v>
      </c>
      <c r="O146" s="245">
        <v>2.7870214539528955</v>
      </c>
      <c r="P146" s="245">
        <v>0.13203223689727059</v>
      </c>
      <c r="Q146" s="245">
        <v>0.2580316958632432</v>
      </c>
      <c r="R146" s="245">
        <v>0.62654005080975217</v>
      </c>
      <c r="S146" s="245">
        <v>0.37509237141163249</v>
      </c>
      <c r="T146" s="245">
        <v>0.77029502304768871</v>
      </c>
      <c r="U146" s="245">
        <v>7.8178122430260042E-3</v>
      </c>
      <c r="V146" s="245">
        <v>0.44562580498157972</v>
      </c>
      <c r="W146" s="245">
        <v>4.3005713178476679E-3</v>
      </c>
      <c r="X146" s="245">
        <v>1.4927054027039168E-2</v>
      </c>
      <c r="Y146" s="245">
        <v>5.7846305543273087E-2</v>
      </c>
      <c r="Z146" s="245">
        <v>3.4358689824315503E-2</v>
      </c>
      <c r="AA146" s="245">
        <v>2.2496334700336108E-2</v>
      </c>
      <c r="AB146" s="245">
        <v>0.27521087587208348</v>
      </c>
      <c r="AC146" s="245">
        <v>6.6507670090860574E-2</v>
      </c>
      <c r="AD146" s="245">
        <v>1.3222468707723548E-2</v>
      </c>
      <c r="AE146" s="245">
        <v>0.20913824603598408</v>
      </c>
      <c r="AF146" s="245">
        <v>7.6500317460331882E-2</v>
      </c>
      <c r="AG146" s="245">
        <v>0.6754129012903225</v>
      </c>
      <c r="AH146" s="245">
        <v>3.9309995005765826E-2</v>
      </c>
      <c r="AI146" s="245"/>
      <c r="AJ146" s="245"/>
      <c r="AK146" s="245"/>
      <c r="AL146" s="245"/>
      <c r="AM146" s="245"/>
      <c r="AN146" s="245"/>
      <c r="AO146" s="68" t="s">
        <v>22</v>
      </c>
    </row>
    <row r="147" spans="1:41" ht="14.1" hidden="1" customHeight="1">
      <c r="A147" s="68" t="s">
        <v>23</v>
      </c>
      <c r="B147" s="244">
        <v>0.7843033333333338</v>
      </c>
      <c r="C147" s="245">
        <v>1.0668996495</v>
      </c>
      <c r="D147" s="264">
        <v>0.73503457549999984</v>
      </c>
      <c r="E147" s="245">
        <v>0.21353450340244814</v>
      </c>
      <c r="F147" s="245">
        <v>0.12588015202868513</v>
      </c>
      <c r="G147" s="245">
        <v>0.1430244513309237</v>
      </c>
      <c r="H147" s="245">
        <v>0.10117569177630051</v>
      </c>
      <c r="I147" s="245">
        <v>1.3265195693333334</v>
      </c>
      <c r="J147" s="245">
        <v>3.0647567179677474E-3</v>
      </c>
      <c r="K147" s="245">
        <v>0.1173073964615709</v>
      </c>
      <c r="L147" s="245">
        <v>0.87589163362041755</v>
      </c>
      <c r="M147" s="245">
        <v>0.22707025923437063</v>
      </c>
      <c r="N147" s="245">
        <v>0.72419568346753826</v>
      </c>
      <c r="O147" s="245">
        <v>2.7812938476192772</v>
      </c>
      <c r="P147" s="245">
        <v>0.12996314383566315</v>
      </c>
      <c r="Q147" s="245">
        <v>0.25789998972428796</v>
      </c>
      <c r="R147" s="245">
        <v>0.62688934107955907</v>
      </c>
      <c r="S147" s="245">
        <v>0.37019043079814906</v>
      </c>
      <c r="T147" s="245">
        <v>0.76895951648084904</v>
      </c>
      <c r="U147" s="245">
        <v>7.7151976837528764E-3</v>
      </c>
      <c r="V147" s="245">
        <v>0.44374761188876427</v>
      </c>
      <c r="W147" s="245">
        <v>4.2737174855083243E-3</v>
      </c>
      <c r="X147" s="245">
        <v>1.5033450270941665E-2</v>
      </c>
      <c r="Y147" s="245">
        <v>5.6390580665506236E-2</v>
      </c>
      <c r="Z147" s="245">
        <v>3.4153156566206384E-2</v>
      </c>
      <c r="AA147" s="245">
        <v>2.2798229687416096E-2</v>
      </c>
      <c r="AB147" s="245">
        <v>0.27516037532110627</v>
      </c>
      <c r="AC147" s="245">
        <v>6.626151356800293E-2</v>
      </c>
      <c r="AD147" s="245">
        <v>1.3140557740849696E-2</v>
      </c>
      <c r="AE147" s="245">
        <v>0.20911419038800017</v>
      </c>
      <c r="AF147" s="245">
        <v>7.6978763133064274E-2</v>
      </c>
      <c r="AG147" s="245">
        <v>0.67646277783333331</v>
      </c>
      <c r="AH147" s="245">
        <v>3.8863046614976353E-2</v>
      </c>
      <c r="AI147" s="245"/>
      <c r="AJ147" s="245"/>
      <c r="AK147" s="245"/>
      <c r="AL147" s="245"/>
      <c r="AM147" s="245"/>
      <c r="AN147" s="245"/>
      <c r="AO147" s="68" t="s">
        <v>23</v>
      </c>
    </row>
    <row r="148" spans="1:41" ht="14.1" hidden="1" customHeight="1">
      <c r="A148" s="234" t="s">
        <v>24</v>
      </c>
      <c r="B148" s="244">
        <v>0.78432903225806427</v>
      </c>
      <c r="C148" s="244">
        <v>1.0629333945161292</v>
      </c>
      <c r="D148" s="244">
        <v>0.73636602306451604</v>
      </c>
      <c r="E148" s="244">
        <v>0.21353832773203035</v>
      </c>
      <c r="F148" s="244">
        <v>0.12647221328163749</v>
      </c>
      <c r="G148" s="244">
        <v>0.14254833196669078</v>
      </c>
      <c r="H148" s="244">
        <v>0.10119654382965233</v>
      </c>
      <c r="I148" s="244">
        <v>1.3402176820967744</v>
      </c>
      <c r="J148" s="244">
        <v>3.078277530671207E-3</v>
      </c>
      <c r="K148" s="244">
        <v>0.11513655437042893</v>
      </c>
      <c r="L148" s="244">
        <v>0.87479873089387139</v>
      </c>
      <c r="M148" s="244">
        <v>0.22913914385678402</v>
      </c>
      <c r="N148" s="244">
        <v>0.73209384378599041</v>
      </c>
      <c r="O148" s="244">
        <v>2.7782109506861055</v>
      </c>
      <c r="P148" s="244">
        <v>0.12666459956613385</v>
      </c>
      <c r="Q148" s="244">
        <v>0.25645711084800343</v>
      </c>
      <c r="R148" s="244">
        <v>0.63106086126942984</v>
      </c>
      <c r="S148" s="244">
        <v>0.37009477052529532</v>
      </c>
      <c r="T148" s="244">
        <v>0.77142513769964238</v>
      </c>
      <c r="U148" s="244">
        <v>7.6548582690537832E-3</v>
      </c>
      <c r="V148" s="244">
        <v>0.44634309084181667</v>
      </c>
      <c r="W148" s="244">
        <v>4.2733865517791281E-3</v>
      </c>
      <c r="X148" s="244">
        <v>1.5131772089536555E-2</v>
      </c>
      <c r="Y148" s="244">
        <v>5.6187939275837803E-2</v>
      </c>
      <c r="Z148" s="244">
        <v>3.4010694769712524E-2</v>
      </c>
      <c r="AA148" s="244">
        <v>2.2634964934422939E-2</v>
      </c>
      <c r="AB148" s="244">
        <v>0.27518214551911041</v>
      </c>
      <c r="AC148" s="244">
        <v>6.6706778352018631E-2</v>
      </c>
      <c r="AD148" s="244">
        <v>1.305677334412781E-2</v>
      </c>
      <c r="AE148" s="244">
        <v>0.2091320113492042</v>
      </c>
      <c r="AF148" s="244">
        <v>7.6806660372143579E-2</v>
      </c>
      <c r="AG148" s="245">
        <v>0.68233281483870944</v>
      </c>
      <c r="AH148" s="244">
        <v>3.8719775807638732E-2</v>
      </c>
      <c r="AI148" s="244"/>
      <c r="AJ148" s="245"/>
      <c r="AK148" s="244"/>
      <c r="AL148" s="244"/>
      <c r="AM148" s="244"/>
      <c r="AN148" s="245"/>
      <c r="AO148" s="68" t="s">
        <v>24</v>
      </c>
    </row>
    <row r="149" spans="1:41" ht="14.1" hidden="1" customHeight="1">
      <c r="A149" s="234" t="s">
        <v>25</v>
      </c>
      <c r="B149" s="244">
        <v>0.78430967741935531</v>
      </c>
      <c r="C149" s="244">
        <v>1.0446760729032261</v>
      </c>
      <c r="D149" s="244">
        <v>0.72976985741935485</v>
      </c>
      <c r="E149" s="244">
        <v>0.21353183904169304</v>
      </c>
      <c r="F149" s="244">
        <v>0.12741142742130823</v>
      </c>
      <c r="G149" s="244">
        <v>0.14013069262372893</v>
      </c>
      <c r="H149" s="244">
        <v>0.10119370982367035</v>
      </c>
      <c r="I149" s="244">
        <v>1.3105672277419356</v>
      </c>
      <c r="J149" s="244">
        <v>3.0510846735935376E-3</v>
      </c>
      <c r="K149" s="244">
        <v>0.11365781953333985</v>
      </c>
      <c r="L149" s="244">
        <v>0.86198705930884645</v>
      </c>
      <c r="M149" s="244">
        <v>0.22448484344102318</v>
      </c>
      <c r="N149" s="244">
        <v>0.71821075771985776</v>
      </c>
      <c r="O149" s="244">
        <v>2.7643134534567837</v>
      </c>
      <c r="P149" s="244">
        <v>0.1264517519863721</v>
      </c>
      <c r="Q149" s="244">
        <v>0.24917117967663466</v>
      </c>
      <c r="R149" s="244">
        <v>0.62809959316300135</v>
      </c>
      <c r="S149" s="244">
        <v>0.36299204667331808</v>
      </c>
      <c r="T149" s="244">
        <v>0.76187801170745495</v>
      </c>
      <c r="U149" s="244">
        <v>7.5881072088567663E-3</v>
      </c>
      <c r="V149" s="244">
        <v>0.45451528422791071</v>
      </c>
      <c r="W149" s="244">
        <v>4.30606796320943E-3</v>
      </c>
      <c r="X149" s="244">
        <v>1.5049640676432099E-2</v>
      </c>
      <c r="Y149" s="244">
        <v>5.6791855215094493E-2</v>
      </c>
      <c r="Z149" s="244">
        <v>3.3613711313884798E-2</v>
      </c>
      <c r="AA149" s="244">
        <v>2.1719254912189578E-2</v>
      </c>
      <c r="AB149" s="244">
        <v>0.27517613309171196</v>
      </c>
      <c r="AC149" s="244">
        <v>6.0621999172106117E-2</v>
      </c>
      <c r="AD149" s="244">
        <v>1.2889277603126002E-2</v>
      </c>
      <c r="AE149" s="244">
        <v>0.20912487207325778</v>
      </c>
      <c r="AF149" s="244">
        <v>7.6532700112612428E-2</v>
      </c>
      <c r="AG149" s="245">
        <v>0.66148782661290317</v>
      </c>
      <c r="AH149" s="244">
        <v>3.7575210416306286E-2</v>
      </c>
      <c r="AI149" s="244"/>
      <c r="AJ149" s="245"/>
      <c r="AK149" s="244"/>
      <c r="AL149" s="244"/>
      <c r="AM149" s="244"/>
      <c r="AN149" s="245"/>
      <c r="AO149" s="68" t="s">
        <v>25</v>
      </c>
    </row>
    <row r="150" spans="1:41" ht="14.1" hidden="1" customHeight="1">
      <c r="A150" s="234" t="s">
        <v>26</v>
      </c>
      <c r="B150" s="244">
        <v>0.78435666666666715</v>
      </c>
      <c r="C150" s="244">
        <v>1.0122225686666662</v>
      </c>
      <c r="D150" s="244">
        <v>0.71045134883333327</v>
      </c>
      <c r="E150" s="245">
        <v>0.21354970229976072</v>
      </c>
      <c r="F150" s="244">
        <v>0.12778010947520965</v>
      </c>
      <c r="G150" s="244">
        <v>0.13596508401902005</v>
      </c>
      <c r="H150" s="244">
        <v>0.10118164976219432</v>
      </c>
      <c r="I150" s="244">
        <v>1.2805724231666666</v>
      </c>
      <c r="J150" s="244">
        <v>2.9656432748537986E-3</v>
      </c>
      <c r="K150" s="244">
        <v>0.11014071707208858</v>
      </c>
      <c r="L150" s="244">
        <v>0.83816236962288237</v>
      </c>
      <c r="M150" s="244">
        <v>0.21592135475524707</v>
      </c>
      <c r="N150" s="244">
        <v>0.7130402117500918</v>
      </c>
      <c r="O150" s="244">
        <v>2.7361379740735505</v>
      </c>
      <c r="P150" s="244">
        <v>0.12373910040852634</v>
      </c>
      <c r="Q150" s="244">
        <v>0.24148874233815432</v>
      </c>
      <c r="R150" s="244">
        <v>0.62085931215039214</v>
      </c>
      <c r="S150" s="244">
        <v>0.35484225796035201</v>
      </c>
      <c r="T150" s="244">
        <v>0.73088692110926423</v>
      </c>
      <c r="U150" s="244">
        <v>7.4634169663391862E-3</v>
      </c>
      <c r="V150" s="244">
        <v>0.45009190663780935</v>
      </c>
      <c r="W150" s="244">
        <v>4.3104969883713869E-3</v>
      </c>
      <c r="X150" s="244">
        <v>1.4546615870337204E-2</v>
      </c>
      <c r="Y150" s="244">
        <v>5.5030344817443441E-2</v>
      </c>
      <c r="Z150" s="244">
        <v>3.3275940627182782E-2</v>
      </c>
      <c r="AA150" s="244">
        <v>2.0702191958576411E-2</v>
      </c>
      <c r="AB150" s="244">
        <v>0.27517667065791745</v>
      </c>
      <c r="AC150" s="244">
        <v>6.0732629544552434E-2</v>
      </c>
      <c r="AD150" s="244">
        <v>1.2884047238579567E-2</v>
      </c>
      <c r="AE150" s="244">
        <v>0.20912961870822194</v>
      </c>
      <c r="AF150" s="244">
        <v>7.5733456493650333E-2</v>
      </c>
      <c r="AG150" s="245">
        <v>0.63900324083333371</v>
      </c>
      <c r="AH150" s="244">
        <v>3.6695828113537408E-2</v>
      </c>
      <c r="AI150" s="244"/>
      <c r="AJ150" s="245"/>
      <c r="AK150" s="244"/>
      <c r="AL150" s="244"/>
      <c r="AM150" s="244"/>
      <c r="AN150" s="245"/>
      <c r="AO150" s="68" t="s">
        <v>26</v>
      </c>
    </row>
    <row r="151" spans="1:41" ht="14.1" hidden="1" customHeight="1">
      <c r="A151" s="234" t="s">
        <v>27</v>
      </c>
      <c r="B151" s="244">
        <v>0.78432903225806494</v>
      </c>
      <c r="C151" s="244">
        <v>0.99561824983870972</v>
      </c>
      <c r="D151" s="244">
        <v>0.68850046854838709</v>
      </c>
      <c r="E151" s="245">
        <v>0.21353926549706928</v>
      </c>
      <c r="F151" s="244">
        <v>0.1280253632339505</v>
      </c>
      <c r="G151" s="244">
        <v>0.13373595769410168</v>
      </c>
      <c r="H151" s="244">
        <v>0.10109454090107002</v>
      </c>
      <c r="I151" s="244">
        <v>1.2622410146774194</v>
      </c>
      <c r="J151" s="244">
        <v>2.9574406074946674E-3</v>
      </c>
      <c r="K151" s="244">
        <v>0.10862139950953037</v>
      </c>
      <c r="L151" s="244">
        <v>0.82424121895724956</v>
      </c>
      <c r="M151" s="244">
        <v>0.21093256266757138</v>
      </c>
      <c r="N151" s="244">
        <v>0.69964281695049679</v>
      </c>
      <c r="O151" s="244">
        <v>2.7161062466747561</v>
      </c>
      <c r="P151" s="244">
        <v>0.12014168571958682</v>
      </c>
      <c r="Q151" s="244">
        <v>0.23682125256105874</v>
      </c>
      <c r="R151" s="244">
        <v>0.61592439767701535</v>
      </c>
      <c r="S151" s="244">
        <v>0.34775470701113459</v>
      </c>
      <c r="T151" s="244">
        <v>0.72718118877140758</v>
      </c>
      <c r="U151" s="244">
        <v>7.3564161535115925E-3</v>
      </c>
      <c r="V151" s="244">
        <v>0.44786523024352104</v>
      </c>
      <c r="W151" s="244">
        <v>4.3201884553744343E-3</v>
      </c>
      <c r="X151" s="244">
        <v>1.4169802707079829E-2</v>
      </c>
      <c r="Y151" s="244">
        <v>5.3670703626445423E-2</v>
      </c>
      <c r="Z151" s="244">
        <v>3.3045800693287802E-2</v>
      </c>
      <c r="AA151" s="244">
        <v>1.9265447626942132E-2</v>
      </c>
      <c r="AB151" s="244">
        <v>0.27518370304524747</v>
      </c>
      <c r="AC151" s="244">
        <v>6.05354745038666E-2</v>
      </c>
      <c r="AD151" s="244">
        <v>1.2778773975252188E-2</v>
      </c>
      <c r="AE151" s="244">
        <v>0.2090718604497665</v>
      </c>
      <c r="AF151" s="244">
        <v>7.3910889329496979E-2</v>
      </c>
      <c r="AG151" s="245">
        <v>0.61811569403225786</v>
      </c>
      <c r="AH151" s="244">
        <v>3.6118453826040314E-2</v>
      </c>
      <c r="AI151" s="244"/>
      <c r="AJ151" s="245"/>
      <c r="AK151" s="244"/>
      <c r="AL151" s="244"/>
      <c r="AM151" s="244"/>
      <c r="AN151" s="245"/>
      <c r="AO151" s="68" t="s">
        <v>27</v>
      </c>
    </row>
    <row r="152" spans="1:41" ht="14.1" hidden="1" customHeight="1">
      <c r="A152" s="234" t="s">
        <v>28</v>
      </c>
      <c r="B152" s="244">
        <v>0.78439000000000036</v>
      </c>
      <c r="C152" s="244">
        <v>0.97870173299999996</v>
      </c>
      <c r="D152" s="244">
        <v>0.67782137783333318</v>
      </c>
      <c r="E152" s="245">
        <v>0.21355402925810482</v>
      </c>
      <c r="F152" s="244">
        <v>0.1280629935230112</v>
      </c>
      <c r="G152" s="244">
        <v>0.13152009989040664</v>
      </c>
      <c r="H152" s="244">
        <v>0.10115431662066539</v>
      </c>
      <c r="I152" s="244">
        <v>1.2379883859999998</v>
      </c>
      <c r="J152" s="244">
        <v>2.9505222128412842E-3</v>
      </c>
      <c r="K152" s="244">
        <v>0.10578537362965441</v>
      </c>
      <c r="L152" s="244">
        <v>0.81353325434436508</v>
      </c>
      <c r="M152" s="244">
        <v>0.20496128514763981</v>
      </c>
      <c r="N152" s="244">
        <v>0.69206549362608227</v>
      </c>
      <c r="O152" s="244">
        <v>2.6952317885171468</v>
      </c>
      <c r="P152" s="244">
        <v>0.1151004374742108</v>
      </c>
      <c r="Q152" s="244">
        <v>0.23224472533609319</v>
      </c>
      <c r="R152" s="244">
        <v>0.60537042113096406</v>
      </c>
      <c r="S152" s="244">
        <v>0.35124788384435762</v>
      </c>
      <c r="T152" s="244">
        <v>0.67664851523019398</v>
      </c>
      <c r="U152" s="265">
        <v>7.2552172618874037E-3</v>
      </c>
      <c r="V152" s="244">
        <v>0.4421234829471134</v>
      </c>
      <c r="W152" s="244">
        <v>4.3347011876513188E-3</v>
      </c>
      <c r="X152" s="244">
        <v>1.3611373972033101E-2</v>
      </c>
      <c r="Y152" s="244">
        <v>5.2633600115778521E-2</v>
      </c>
      <c r="Z152" s="244">
        <v>3.2777726789224401E-2</v>
      </c>
      <c r="AA152" s="244">
        <v>1.7066156580370549E-2</v>
      </c>
      <c r="AB152" s="244">
        <v>0.27521088226607787</v>
      </c>
      <c r="AC152" s="244">
        <v>5.3631002925680002E-2</v>
      </c>
      <c r="AD152" s="244">
        <v>1.2717926311431442E-2</v>
      </c>
      <c r="AE152" s="244">
        <v>0.20906325753659211</v>
      </c>
      <c r="AF152" s="244">
        <v>7.150259540183096E-2</v>
      </c>
      <c r="AG152" s="245">
        <v>0.61348837683333335</v>
      </c>
      <c r="AH152" s="244">
        <v>3.5358636047360559E-2</v>
      </c>
      <c r="AI152" s="244"/>
      <c r="AJ152" s="245"/>
      <c r="AK152" s="244"/>
      <c r="AL152" s="244"/>
      <c r="AM152" s="244"/>
      <c r="AN152" s="245"/>
      <c r="AO152" s="68" t="s">
        <v>28</v>
      </c>
    </row>
    <row r="153" spans="1:41" ht="14.1" hidden="1" customHeight="1">
      <c r="A153" s="234" t="s">
        <v>29</v>
      </c>
      <c r="B153" s="244">
        <v>0.78444516129032282</v>
      </c>
      <c r="C153" s="244">
        <v>0.96648862887096743</v>
      </c>
      <c r="D153" s="244">
        <v>0.64661205419354839</v>
      </c>
      <c r="E153" s="245">
        <v>0.21356853758586797</v>
      </c>
      <c r="F153" s="244">
        <v>0.12666640219529943</v>
      </c>
      <c r="G153" s="244">
        <v>0.12990287929702996</v>
      </c>
      <c r="H153" s="244">
        <v>0.10115573768618505</v>
      </c>
      <c r="I153" s="244">
        <v>1.2263625296774192</v>
      </c>
      <c r="J153" s="244">
        <v>2.9371364286374202E-3</v>
      </c>
      <c r="K153" s="244">
        <v>0.10277806129404496</v>
      </c>
      <c r="L153" s="244">
        <v>0.80371224170704147</v>
      </c>
      <c r="M153" s="244">
        <v>0.19946627070219472</v>
      </c>
      <c r="N153" s="244">
        <v>0.68023245700719148</v>
      </c>
      <c r="O153" s="244">
        <v>2.6849834648506983</v>
      </c>
      <c r="P153" s="244">
        <v>0.10760934128561597</v>
      </c>
      <c r="Q153" s="244">
        <v>0.22862480781487038</v>
      </c>
      <c r="R153" s="244">
        <v>0.59625121976702</v>
      </c>
      <c r="S153" s="244">
        <v>0.34234323043827625</v>
      </c>
      <c r="T153" s="244">
        <v>0.65695789751952649</v>
      </c>
      <c r="U153" s="265">
        <v>7.1588487527002777E-3</v>
      </c>
      <c r="V153" s="244">
        <v>0.41857380922324816</v>
      </c>
      <c r="W153" s="244">
        <v>4.3079072039032872E-3</v>
      </c>
      <c r="X153" s="244">
        <v>1.3511971314644947E-2</v>
      </c>
      <c r="Y153" s="244">
        <v>5.1129635001346492E-2</v>
      </c>
      <c r="Z153" s="244">
        <v>3.2526382815568855E-2</v>
      </c>
      <c r="AA153" s="244">
        <v>1.399045827815772E-2</v>
      </c>
      <c r="AB153" s="244">
        <v>0.27521744034517276</v>
      </c>
      <c r="AC153" s="244">
        <v>5.0170787919774112E-2</v>
      </c>
      <c r="AD153" s="244">
        <v>1.2498214908467031E-2</v>
      </c>
      <c r="AE153" s="244">
        <v>0.20900244575476892</v>
      </c>
      <c r="AF153" s="244">
        <v>7.1084151813811572E-2</v>
      </c>
      <c r="AG153" s="245">
        <v>0.60879644258064536</v>
      </c>
      <c r="AH153" s="244">
        <v>3.4969156616965882E-2</v>
      </c>
      <c r="AI153" s="244"/>
      <c r="AJ153" s="245"/>
      <c r="AK153" s="244"/>
      <c r="AL153" s="244"/>
      <c r="AM153" s="244"/>
      <c r="AN153" s="245"/>
      <c r="AO153" s="68" t="s">
        <v>29</v>
      </c>
    </row>
    <row r="154" spans="1:41" s="278" customFormat="1" ht="14.1" customHeight="1">
      <c r="A154" s="93" t="s">
        <v>1829</v>
      </c>
      <c r="B154" s="261">
        <f>AVERAGE(B155:B166)</f>
        <v>1.0261412090373785</v>
      </c>
      <c r="C154" s="261">
        <f t="shared" ref="C154:AD154" si="6">AVERAGE(C155:C166)</f>
        <v>1.1380661614643177</v>
      </c>
      <c r="D154" s="261">
        <f t="shared" si="6"/>
        <v>0.77047473763962504</v>
      </c>
      <c r="E154" s="261">
        <f t="shared" si="6"/>
        <v>0.27937685207091939</v>
      </c>
      <c r="F154" s="261">
        <f t="shared" si="6"/>
        <v>0.16320473209247199</v>
      </c>
      <c r="G154" s="261">
        <f t="shared" si="6"/>
        <v>0.15257177118851109</v>
      </c>
      <c r="H154" s="261">
        <f t="shared" si="6"/>
        <v>0.13236576933735009</v>
      </c>
      <c r="I154" s="261">
        <f t="shared" si="6"/>
        <v>1.569405805778546</v>
      </c>
      <c r="J154" s="261">
        <f t="shared" si="6"/>
        <v>3.5584098700840207E-3</v>
      </c>
      <c r="K154" s="261">
        <f t="shared" si="6"/>
        <v>0.12166709460852369</v>
      </c>
      <c r="L154" s="261">
        <f t="shared" si="6"/>
        <v>1.0657420128174018</v>
      </c>
      <c r="M154" s="261">
        <f t="shared" si="6"/>
        <v>0.2643942423911998</v>
      </c>
      <c r="N154" s="261">
        <f t="shared" si="6"/>
        <v>0.80252272141285941</v>
      </c>
      <c r="O154" s="261">
        <f t="shared" si="6"/>
        <v>3.407267372541559</v>
      </c>
      <c r="P154" s="261">
        <f t="shared" si="6"/>
        <v>0.12715908951503652</v>
      </c>
      <c r="Q154" s="261">
        <f t="shared" si="6"/>
        <v>0.2720776334638389</v>
      </c>
      <c r="R154" s="261">
        <f t="shared" si="6"/>
        <v>0.74624099141586664</v>
      </c>
      <c r="S154" s="261">
        <f t="shared" si="6"/>
        <v>0.37683908693990426</v>
      </c>
      <c r="T154" s="261">
        <f t="shared" si="6"/>
        <v>0.84751871537622636</v>
      </c>
      <c r="U154" s="261">
        <f t="shared" si="6"/>
        <v>6.4682592485912531E-3</v>
      </c>
      <c r="V154" s="261">
        <f t="shared" si="6"/>
        <v>0.45146551616713104</v>
      </c>
      <c r="W154" s="261">
        <f t="shared" si="6"/>
        <v>4.778343764856214E-3</v>
      </c>
      <c r="X154" s="261">
        <f t="shared" si="6"/>
        <v>1.5979918211013897E-2</v>
      </c>
      <c r="Y154" s="261">
        <f t="shared" si="6"/>
        <v>5.4878214191267795E-2</v>
      </c>
      <c r="Z154" s="261">
        <f t="shared" si="6"/>
        <v>3.9905795899181327E-2</v>
      </c>
      <c r="AA154" s="261">
        <f t="shared" si="6"/>
        <v>1.6967626910605955E-2</v>
      </c>
      <c r="AB154" s="261">
        <f t="shared" si="6"/>
        <v>0.29449698026486104</v>
      </c>
      <c r="AC154" s="261">
        <f t="shared" si="6"/>
        <v>4.7095740730988787E-2</v>
      </c>
      <c r="AD154" s="261">
        <f t="shared" si="6"/>
        <v>1.5985067769523947E-2</v>
      </c>
      <c r="AE154" s="261">
        <f t="shared" ref="AE154:AF154" si="7">AVERAGE(AE155:AE166)</f>
        <v>0.27356933420201984</v>
      </c>
      <c r="AF154" s="261">
        <f t="shared" si="7"/>
        <v>9.0672508177162339E-2</v>
      </c>
      <c r="AG154" s="261">
        <f t="shared" ref="AG154" si="8">AVERAGE(AG155:AG166)</f>
        <v>0.71665555690818605</v>
      </c>
      <c r="AH154" s="261">
        <v>4.1746610163370883E-2</v>
      </c>
      <c r="AI154" s="261"/>
      <c r="AJ154" s="261"/>
      <c r="AK154" s="261"/>
      <c r="AL154" s="261"/>
      <c r="AM154" s="261"/>
      <c r="AN154" s="261"/>
      <c r="AO154" s="280" t="s">
        <v>1829</v>
      </c>
    </row>
    <row r="155" spans="1:41" ht="14.1" customHeight="1">
      <c r="A155" s="954" t="s">
        <v>18</v>
      </c>
      <c r="B155" s="244">
        <v>0.78440000000000043</v>
      </c>
      <c r="C155" s="244">
        <v>0.91522273806451648</v>
      </c>
      <c r="D155" s="244">
        <v>0.63432909806451621</v>
      </c>
      <c r="E155" s="245">
        <v>0.21355549202978444</v>
      </c>
      <c r="F155" s="244">
        <v>0.12609404080454825</v>
      </c>
      <c r="G155" s="244">
        <v>0.12301077675715842</v>
      </c>
      <c r="H155" s="244">
        <v>0.1011631390711354</v>
      </c>
      <c r="I155" s="244">
        <v>1.1904902058064519</v>
      </c>
      <c r="J155" s="244">
        <v>2.8944691520298173E-3</v>
      </c>
      <c r="K155" s="244">
        <v>9.6970338096486045E-2</v>
      </c>
      <c r="L155" s="244">
        <v>0.83490868179597411</v>
      </c>
      <c r="M155" s="244">
        <v>0.19900603895872337</v>
      </c>
      <c r="N155" s="244">
        <v>0.65125441628224501</v>
      </c>
      <c r="O155" s="244">
        <v>2.6661149019916839</v>
      </c>
      <c r="P155" s="244">
        <v>0.10249421174527008</v>
      </c>
      <c r="Q155" s="244">
        <v>0.21377604832311642</v>
      </c>
      <c r="R155" s="244">
        <v>0.58738458731740772</v>
      </c>
      <c r="S155" s="244">
        <v>0.33663203326638447</v>
      </c>
      <c r="T155" s="244">
        <v>0.66213072282798657</v>
      </c>
      <c r="U155" s="265">
        <v>5.6691148143732852E-3</v>
      </c>
      <c r="V155" s="244">
        <v>0.40488379440541084</v>
      </c>
      <c r="W155" s="244">
        <v>4.2692842027772272E-3</v>
      </c>
      <c r="X155" s="244">
        <v>1.3151457769559425E-2</v>
      </c>
      <c r="Y155" s="244">
        <v>4.7835593860859872E-2</v>
      </c>
      <c r="Z155" s="244">
        <v>3.2319468559896813E-2</v>
      </c>
      <c r="AA155" s="244">
        <v>1.2378095405850035E-2</v>
      </c>
      <c r="AB155" s="244">
        <v>0.23160891486173193</v>
      </c>
      <c r="AC155" s="244">
        <v>4.9545110846971094E-2</v>
      </c>
      <c r="AD155" s="244">
        <v>1.2601595113309848E-2</v>
      </c>
      <c r="AE155" s="244">
        <v>0.20888617148101546</v>
      </c>
      <c r="AF155" s="244">
        <v>7.2076491723395725E-2</v>
      </c>
      <c r="AG155" s="245">
        <v>0.60114138709677423</v>
      </c>
      <c r="AH155" s="244">
        <v>3.286615092493609E-2</v>
      </c>
      <c r="AI155" s="244"/>
      <c r="AJ155" s="245"/>
      <c r="AK155" s="244"/>
      <c r="AL155" s="244"/>
      <c r="AM155" s="244"/>
      <c r="AN155" s="245"/>
      <c r="AO155" s="955" t="s">
        <v>18</v>
      </c>
    </row>
    <row r="156" spans="1:41" ht="14.1" customHeight="1">
      <c r="A156" s="954" t="s">
        <v>19</v>
      </c>
      <c r="B156" s="244">
        <v>0.86048214285714308</v>
      </c>
      <c r="C156" s="244">
        <v>0.97805648946428558</v>
      </c>
      <c r="D156" s="244">
        <v>0.67109006053571452</v>
      </c>
      <c r="E156" s="245">
        <v>0.23427104978366667</v>
      </c>
      <c r="F156" s="244">
        <v>0.1376366251855167</v>
      </c>
      <c r="G156" s="244">
        <v>0.13126884293448229</v>
      </c>
      <c r="H156" s="244">
        <v>0.11095192217263303</v>
      </c>
      <c r="I156" s="244">
        <v>1.3201705664285714</v>
      </c>
      <c r="J156" s="244">
        <v>3.1276851196516682E-3</v>
      </c>
      <c r="K156" s="244">
        <v>0.10309214505114704</v>
      </c>
      <c r="L156" s="244">
        <v>0.92048014437611292</v>
      </c>
      <c r="M156" s="244">
        <v>0.22110793031115775</v>
      </c>
      <c r="N156" s="244">
        <v>0.68804650413552904</v>
      </c>
      <c r="O156" s="244">
        <v>2.9122120169108476</v>
      </c>
      <c r="P156" s="244">
        <v>0.11336839070249963</v>
      </c>
      <c r="Q156" s="244">
        <v>0.23433478912995143</v>
      </c>
      <c r="R156" s="244">
        <v>0.63513079974151843</v>
      </c>
      <c r="S156" s="244">
        <v>0.34963141107705009</v>
      </c>
      <c r="T156" s="244">
        <v>0.72575967502647665</v>
      </c>
      <c r="U156" s="265">
        <v>5.6521066959469924E-3</v>
      </c>
      <c r="V156" s="244">
        <v>0.41011097111153327</v>
      </c>
      <c r="W156" s="244">
        <v>4.6486228118394705E-3</v>
      </c>
      <c r="X156" s="244">
        <v>1.4131328707392306E-2</v>
      </c>
      <c r="Y156" s="244">
        <v>4.6408283262788938E-2</v>
      </c>
      <c r="Z156" s="244">
        <v>3.5113325094625614E-2</v>
      </c>
      <c r="AA156" s="244">
        <v>1.340776130766963E-2</v>
      </c>
      <c r="AB156" s="244">
        <v>0.24545654297887937</v>
      </c>
      <c r="AC156" s="244">
        <v>3.4961803171396869E-2</v>
      </c>
      <c r="AD156" s="244">
        <v>1.3874449252558615E-2</v>
      </c>
      <c r="AE156" s="244">
        <v>0.22932549479360462</v>
      </c>
      <c r="AF156" s="244">
        <v>7.821206542207311E-2</v>
      </c>
      <c r="AG156" s="245">
        <v>0.64185681089285695</v>
      </c>
      <c r="AH156" s="244">
        <v>3.5435998573196299E-2</v>
      </c>
      <c r="AI156" s="244"/>
      <c r="AJ156" s="245"/>
      <c r="AK156" s="244"/>
      <c r="AL156" s="244"/>
      <c r="AM156" s="244"/>
      <c r="AN156" s="245"/>
      <c r="AO156" s="955" t="s">
        <v>19</v>
      </c>
    </row>
    <row r="157" spans="1:41" ht="12.75" customHeight="1">
      <c r="A157" s="955" t="s">
        <v>20</v>
      </c>
      <c r="B157" s="245">
        <v>1.0488774193548387</v>
      </c>
      <c r="C157" s="245">
        <v>1.1355377904838706</v>
      </c>
      <c r="D157" s="245">
        <v>0.81005901725806506</v>
      </c>
      <c r="E157" s="245">
        <v>0.2855677409556136</v>
      </c>
      <c r="F157" s="245">
        <v>0.16819279065611573</v>
      </c>
      <c r="G157" s="245">
        <v>0.15228668899333347</v>
      </c>
      <c r="H157" s="245">
        <v>0.13519740739580574</v>
      </c>
      <c r="I157" s="245">
        <v>1.5741870251612913</v>
      </c>
      <c r="J157" s="245">
        <v>3.7890855287241996E-3</v>
      </c>
      <c r="K157" s="245">
        <v>0.12258423705643261</v>
      </c>
      <c r="L157" s="245">
        <v>1.0651036269080343</v>
      </c>
      <c r="M157" s="245">
        <v>0.26273248052595011</v>
      </c>
      <c r="N157" s="245">
        <v>0.83153212723755032</v>
      </c>
      <c r="O157" s="245">
        <v>3.5092353325282279</v>
      </c>
      <c r="P157" s="245">
        <v>0.1303524791701848</v>
      </c>
      <c r="Q157" s="245">
        <v>0.27440821141173022</v>
      </c>
      <c r="R157" s="245">
        <v>0.76128064012570762</v>
      </c>
      <c r="S157" s="245">
        <v>0.40519608964373732</v>
      </c>
      <c r="T157" s="245">
        <v>0.87049609164264197</v>
      </c>
      <c r="U157" s="245">
        <v>6.9939645701623228E-3</v>
      </c>
      <c r="V157" s="245">
        <v>0.48011384850025701</v>
      </c>
      <c r="W157" s="266">
        <v>5.6549974180872915E-3</v>
      </c>
      <c r="X157" s="245">
        <v>1.6882923811961614E-2</v>
      </c>
      <c r="Y157" s="245">
        <v>5.7467843264085064E-2</v>
      </c>
      <c r="Z157" s="245">
        <v>4.2393660843409099E-2</v>
      </c>
      <c r="AA157" s="245">
        <v>1.7347133641308608E-2</v>
      </c>
      <c r="AB157" s="245">
        <v>0.29972403573388645</v>
      </c>
      <c r="AC157" s="267">
        <v>4.527824755545122E-2</v>
      </c>
      <c r="AD157" s="245">
        <v>1.6801508187459721E-2</v>
      </c>
      <c r="AE157" s="245">
        <v>0.27965518823663299</v>
      </c>
      <c r="AF157" s="245">
        <v>9.4182459019606618E-2</v>
      </c>
      <c r="AG157" s="245">
        <v>0.78127023016129027</v>
      </c>
      <c r="AH157" s="245">
        <v>4.1536264792766842E-2</v>
      </c>
      <c r="AI157" s="245"/>
      <c r="AJ157" s="245"/>
      <c r="AK157" s="245"/>
      <c r="AL157" s="245"/>
      <c r="AM157" s="245"/>
      <c r="AN157" s="245"/>
      <c r="AO157" s="955" t="s">
        <v>20</v>
      </c>
    </row>
    <row r="158" spans="1:41" ht="12.75" customHeight="1">
      <c r="A158" s="954" t="s">
        <v>21</v>
      </c>
      <c r="B158" s="244">
        <v>1.0502933333333333</v>
      </c>
      <c r="C158" s="244">
        <v>1.1330773169999999</v>
      </c>
      <c r="D158" s="244">
        <v>0.8105642801666666</v>
      </c>
      <c r="E158" s="244">
        <v>0.28595011305141199</v>
      </c>
      <c r="F158" s="244">
        <v>0.16938179523792601</v>
      </c>
      <c r="G158" s="244">
        <v>0.15173703169635822</v>
      </c>
      <c r="H158" s="244">
        <v>0.1355016918364684</v>
      </c>
      <c r="I158" s="244">
        <v>1.5669177525</v>
      </c>
      <c r="J158" s="244">
        <v>3.7506518616557964E-3</v>
      </c>
      <c r="K158" s="244">
        <v>0.12139894431911484</v>
      </c>
      <c r="L158" s="244">
        <v>1.0916240232788668</v>
      </c>
      <c r="M158" s="244">
        <v>0.26687791239016978</v>
      </c>
      <c r="N158" s="244">
        <v>0.84944664248346557</v>
      </c>
      <c r="O158" s="244">
        <v>3.4823771216670614</v>
      </c>
      <c r="P158" s="244">
        <v>0.13282511404950631</v>
      </c>
      <c r="Q158" s="244">
        <v>0.28144082156303829</v>
      </c>
      <c r="R158" s="244">
        <v>0.77764087358989153</v>
      </c>
      <c r="S158" s="245">
        <v>0.39645107886048092</v>
      </c>
      <c r="T158" s="245">
        <v>0.87834952750097806</v>
      </c>
      <c r="U158" s="265">
        <v>7.2687783110908632E-3</v>
      </c>
      <c r="V158" s="244">
        <v>0.46462232469115605</v>
      </c>
      <c r="W158" s="266">
        <v>5.6526005299576392E-3</v>
      </c>
      <c r="X158" s="244">
        <v>1.6682486160236879E-2</v>
      </c>
      <c r="Y158" s="244">
        <v>5.8648297845124216E-2</v>
      </c>
      <c r="Z158" s="244">
        <v>4.1990570562899836E-2</v>
      </c>
      <c r="AA158" s="244">
        <v>1.9925549251556266E-2</v>
      </c>
      <c r="AB158" s="245">
        <v>0.30014013246557791</v>
      </c>
      <c r="AC158" s="267">
        <v>4.6529298507110038E-2</v>
      </c>
      <c r="AD158" s="244">
        <v>1.6767761817266923E-2</v>
      </c>
      <c r="AE158" s="244">
        <v>0.28004799297789568</v>
      </c>
      <c r="AF158" s="244">
        <v>9.6600299075535384E-2</v>
      </c>
      <c r="AG158" s="245">
        <v>0.79562496449999986</v>
      </c>
      <c r="AH158" s="244">
        <v>4.1284334085382408E-2</v>
      </c>
      <c r="AI158" s="244"/>
      <c r="AJ158" s="245"/>
      <c r="AK158" s="244"/>
      <c r="AL158" s="244"/>
      <c r="AM158" s="244"/>
      <c r="AN158" s="245"/>
      <c r="AO158" s="955" t="s">
        <v>21</v>
      </c>
    </row>
    <row r="159" spans="1:41" ht="12.75" customHeight="1">
      <c r="A159" s="954" t="s">
        <v>22</v>
      </c>
      <c r="B159" s="244">
        <v>1.0483612903225805</v>
      </c>
      <c r="C159" s="244">
        <v>1.1711938641935484</v>
      </c>
      <c r="D159" s="244">
        <v>0.82790843306451622</v>
      </c>
      <c r="E159" s="244">
        <v>0.28542245667720445</v>
      </c>
      <c r="F159" s="244">
        <v>0.16898803459166137</v>
      </c>
      <c r="G159" s="244">
        <v>0.15696541869443539</v>
      </c>
      <c r="H159" s="244">
        <v>0.13523437071329289</v>
      </c>
      <c r="I159" s="244">
        <v>1.6236445116129039</v>
      </c>
      <c r="J159" s="244">
        <v>3.7362811200199035E-3</v>
      </c>
      <c r="K159" s="244">
        <v>0.12578498787994846</v>
      </c>
      <c r="L159" s="244">
        <v>1.1260519924274857</v>
      </c>
      <c r="M159" s="244">
        <v>0.27160383211835987</v>
      </c>
      <c r="N159" s="244">
        <v>0.86226904603201904</v>
      </c>
      <c r="O159" s="244">
        <v>3.4727916466196325</v>
      </c>
      <c r="P159" s="244">
        <v>0.13892966434281531</v>
      </c>
      <c r="Q159" s="244">
        <v>0.28715111273349619</v>
      </c>
      <c r="R159" s="244">
        <v>0.78636712293937694</v>
      </c>
      <c r="S159" s="245">
        <v>0.39670889974114015</v>
      </c>
      <c r="T159" s="245">
        <v>0.86895383734015785</v>
      </c>
      <c r="U159" s="265">
        <v>7.3079173055522707E-3</v>
      </c>
      <c r="V159" s="244">
        <v>0.45133125919168099</v>
      </c>
      <c r="W159" s="266">
        <v>5.640235641125084E-3</v>
      </c>
      <c r="X159" s="244">
        <v>1.7776364200108842E-2</v>
      </c>
      <c r="Y159" s="244">
        <v>5.8773690361874562E-2</v>
      </c>
      <c r="Z159" s="244">
        <v>4.1550405032674063E-2</v>
      </c>
      <c r="AA159" s="244">
        <v>2.0708555165938211E-2</v>
      </c>
      <c r="AB159" s="245">
        <v>0.29956630327746198</v>
      </c>
      <c r="AC159" s="267">
        <v>5.0134226336303496E-2</v>
      </c>
      <c r="AD159" s="244">
        <v>1.6443272212126256E-2</v>
      </c>
      <c r="AE159" s="244">
        <v>0.27954677776196796</v>
      </c>
      <c r="AF159" s="244">
        <v>9.6015266467410584E-2</v>
      </c>
      <c r="AG159" s="245">
        <v>0.7763147708064515</v>
      </c>
      <c r="AH159" s="244">
        <v>4.2720457976653456E-2</v>
      </c>
      <c r="AI159" s="244"/>
      <c r="AJ159" s="245"/>
      <c r="AK159" s="244"/>
      <c r="AL159" s="244"/>
      <c r="AM159" s="244"/>
      <c r="AN159" s="245"/>
      <c r="AO159" s="955" t="s">
        <v>22</v>
      </c>
    </row>
    <row r="160" spans="1:41" ht="12.75" customHeight="1">
      <c r="A160" s="954" t="s">
        <v>23</v>
      </c>
      <c r="B160" s="244">
        <v>1.0480766666666668</v>
      </c>
      <c r="C160" s="244">
        <v>1.1770014231666672</v>
      </c>
      <c r="D160" s="244">
        <v>0.80948725333333327</v>
      </c>
      <c r="E160" s="244">
        <v>0.28534932743276253</v>
      </c>
      <c r="F160" s="244">
        <v>0.16885850216014481</v>
      </c>
      <c r="G160" s="244">
        <v>0.15777814874204346</v>
      </c>
      <c r="H160" s="244">
        <v>0.13519246506494148</v>
      </c>
      <c r="I160" s="244">
        <v>1.6323264044999997</v>
      </c>
      <c r="J160" s="244">
        <v>3.6491918083195376E-3</v>
      </c>
      <c r="K160" s="244">
        <v>0.12692944015438062</v>
      </c>
      <c r="L160" s="244">
        <v>1.1250963759559078</v>
      </c>
      <c r="M160" s="244">
        <v>0.27471419225440891</v>
      </c>
      <c r="N160" s="244">
        <v>0.84854066695724828</v>
      </c>
      <c r="O160" s="244">
        <v>3.4687519097489168</v>
      </c>
      <c r="P160" s="244">
        <v>0.13420634882892921</v>
      </c>
      <c r="Q160" s="244">
        <v>0.2830356069843421</v>
      </c>
      <c r="R160" s="244">
        <v>0.77938311817558281</v>
      </c>
      <c r="S160" s="245">
        <v>0.38814358207521471</v>
      </c>
      <c r="T160" s="245">
        <v>0.84719761185156073</v>
      </c>
      <c r="U160" s="265">
        <v>6.8379627259781773E-3</v>
      </c>
      <c r="V160" s="244">
        <v>0.46308644103052832</v>
      </c>
      <c r="W160" s="266">
        <v>5.6318956123995395E-3</v>
      </c>
      <c r="X160" s="244">
        <v>1.7536657884315212E-2</v>
      </c>
      <c r="Y160" s="244">
        <v>5.6918028394966208E-2</v>
      </c>
      <c r="Z160" s="244">
        <v>4.1200211843754317E-2</v>
      </c>
      <c r="AA160" s="244">
        <v>1.9227761410148789E-2</v>
      </c>
      <c r="AB160" s="245">
        <v>0.29958894828087906</v>
      </c>
      <c r="AC160" s="267">
        <v>4.9131703015405731E-2</v>
      </c>
      <c r="AD160" s="244">
        <v>1.6420424465332508E-2</v>
      </c>
      <c r="AE160" s="244">
        <v>0.27946636602567426</v>
      </c>
      <c r="AF160" s="244">
        <v>9.4326968002663131E-2</v>
      </c>
      <c r="AG160" s="245">
        <v>0.73345740999999998</v>
      </c>
      <c r="AH160" s="244">
        <v>4.3091628261128209E-2</v>
      </c>
      <c r="AI160" s="244"/>
      <c r="AJ160" s="245"/>
      <c r="AK160" s="244"/>
      <c r="AL160" s="244"/>
      <c r="AM160" s="244"/>
      <c r="AN160" s="245"/>
      <c r="AO160" s="955" t="s">
        <v>23</v>
      </c>
    </row>
    <row r="161" spans="1:41" ht="12.75" customHeight="1">
      <c r="A161" s="954" t="s">
        <v>24</v>
      </c>
      <c r="B161" s="244">
        <v>1.0491322580645162</v>
      </c>
      <c r="C161" s="244">
        <v>1.1556283545161292</v>
      </c>
      <c r="D161" s="244">
        <v>0.7789747325806452</v>
      </c>
      <c r="E161" s="244">
        <v>0.28563323568708321</v>
      </c>
      <c r="F161" s="244">
        <v>0.16898189753045992</v>
      </c>
      <c r="G161" s="244">
        <v>0.1548637079660368</v>
      </c>
      <c r="H161" s="244">
        <v>0.1353443893484573</v>
      </c>
      <c r="I161" s="244">
        <v>1.6321544346774193</v>
      </c>
      <c r="J161" s="244">
        <v>3.5963082743788459E-3</v>
      </c>
      <c r="K161" s="244">
        <v>0.12334435261549072</v>
      </c>
      <c r="L161" s="244">
        <v>1.1019026253670365</v>
      </c>
      <c r="M161" s="244">
        <v>0.27690059047032778</v>
      </c>
      <c r="N161" s="244">
        <v>0.81863957311229085</v>
      </c>
      <c r="O161" s="244">
        <v>3.4659829244488298</v>
      </c>
      <c r="P161" s="244">
        <v>0.12935170451435452</v>
      </c>
      <c r="Q161" s="244">
        <v>0.27780506280207889</v>
      </c>
      <c r="R161" s="244">
        <v>0.77131726372561282</v>
      </c>
      <c r="S161" s="245">
        <v>0.38933804664434846</v>
      </c>
      <c r="T161" s="245">
        <v>0.85146572770081608</v>
      </c>
      <c r="U161" s="265">
        <v>6.851506460141028E-3</v>
      </c>
      <c r="V161" s="244">
        <v>0.46286925618696084</v>
      </c>
      <c r="W161" s="266">
        <v>5.6177313919611319E-3</v>
      </c>
      <c r="X161" s="244">
        <v>1.6782379375608707E-2</v>
      </c>
      <c r="Y161" s="244">
        <v>5.5449618743894168E-2</v>
      </c>
      <c r="Z161" s="244">
        <v>4.0915004644573871E-2</v>
      </c>
      <c r="AA161" s="244">
        <v>1.8356101401485511E-2</v>
      </c>
      <c r="AB161" s="245">
        <v>0.3000312819706441</v>
      </c>
      <c r="AC161" s="267">
        <v>4.7884983387212102E-2</v>
      </c>
      <c r="AD161" s="244">
        <v>1.6489319648334336E-2</v>
      </c>
      <c r="AE161" s="244">
        <v>0.27973828203960216</v>
      </c>
      <c r="AF161" s="244">
        <v>9.170639917079168E-2</v>
      </c>
      <c r="AG161" s="245">
        <v>0.69771612629032265</v>
      </c>
      <c r="AH161" s="244">
        <v>4.2630742157126617E-2</v>
      </c>
      <c r="AI161" s="244"/>
      <c r="AJ161" s="245"/>
      <c r="AK161" s="244"/>
      <c r="AL161" s="244"/>
      <c r="AM161" s="244"/>
      <c r="AN161" s="245"/>
      <c r="AO161" s="955" t="s">
        <v>24</v>
      </c>
    </row>
    <row r="162" spans="1:41" ht="12.75" customHeight="1">
      <c r="A162" s="954" t="s">
        <v>25</v>
      </c>
      <c r="B162" s="244">
        <v>1.0485967741935482</v>
      </c>
      <c r="C162" s="244">
        <v>1.1669952846774194</v>
      </c>
      <c r="D162" s="244">
        <v>0.76517629435483869</v>
      </c>
      <c r="E162" s="244">
        <v>0.28548644181905264</v>
      </c>
      <c r="F162" s="244">
        <v>0.16551059535682602</v>
      </c>
      <c r="G162" s="244">
        <v>0.15635464297476692</v>
      </c>
      <c r="H162" s="244">
        <v>0.13525903601002701</v>
      </c>
      <c r="I162" s="244">
        <v>1.6346483977419353</v>
      </c>
      <c r="J162" s="244">
        <v>3.5454870999107515E-3</v>
      </c>
      <c r="K162" s="244">
        <v>0.12263468798040168</v>
      </c>
      <c r="L162" s="244">
        <v>1.0827421922043499</v>
      </c>
      <c r="M162" s="244">
        <v>0.27347630271071088</v>
      </c>
      <c r="N162" s="244">
        <v>0.79859741183089983</v>
      </c>
      <c r="O162" s="244">
        <v>3.4668374853221615</v>
      </c>
      <c r="P162" s="244">
        <v>0.12726344696853081</v>
      </c>
      <c r="Q162" s="244">
        <v>0.27820460905223499</v>
      </c>
      <c r="R162" s="244">
        <v>0.75048308925034701</v>
      </c>
      <c r="S162" s="245">
        <v>0.36763224081350449</v>
      </c>
      <c r="T162" s="245">
        <v>0.85062336530322535</v>
      </c>
      <c r="U162" s="265">
        <v>6.4530168036034874E-3</v>
      </c>
      <c r="V162" s="244">
        <v>0.45058620518034453</v>
      </c>
      <c r="W162" s="266">
        <v>5.1292642095519128E-3</v>
      </c>
      <c r="X162" s="244">
        <v>1.6723592564691712E-2</v>
      </c>
      <c r="Y162" s="244">
        <v>5.5394134569460622E-2</v>
      </c>
      <c r="Z162" s="244">
        <v>4.0539311800948323E-2</v>
      </c>
      <c r="AA162" s="244">
        <v>1.6120299188476541E-2</v>
      </c>
      <c r="AB162" s="245">
        <v>0.29976398909660729</v>
      </c>
      <c r="AC162" s="267">
        <v>4.8352879521374147E-2</v>
      </c>
      <c r="AD162" s="244">
        <v>1.6125958113809697E-2</v>
      </c>
      <c r="AE162" s="244">
        <v>0.27957676367473167</v>
      </c>
      <c r="AF162" s="244">
        <v>8.896944518542195E-2</v>
      </c>
      <c r="AG162" s="245">
        <v>0.68690504596774227</v>
      </c>
      <c r="AH162" s="244">
        <v>4.3161304316652646E-2</v>
      </c>
      <c r="AI162" s="244"/>
      <c r="AJ162" s="245"/>
      <c r="AK162" s="244"/>
      <c r="AL162" s="244"/>
      <c r="AM162" s="244"/>
      <c r="AN162" s="245"/>
      <c r="AO162" s="955" t="s">
        <v>25</v>
      </c>
    </row>
    <row r="163" spans="1:41" ht="14.1" customHeight="1">
      <c r="A163" s="954" t="s">
        <v>26</v>
      </c>
      <c r="B163" s="244">
        <v>1.048046666666667</v>
      </c>
      <c r="C163" s="244">
        <v>1.1775746858333334</v>
      </c>
      <c r="D163" s="244">
        <v>0.7400965865000001</v>
      </c>
      <c r="E163" s="244">
        <v>0.28535384939070868</v>
      </c>
      <c r="F163" s="244">
        <v>0.16453966611764884</v>
      </c>
      <c r="G163" s="244">
        <v>0.15783216579493339</v>
      </c>
      <c r="H163" s="244">
        <v>0.13522822143242214</v>
      </c>
      <c r="I163" s="244">
        <v>1.6107656025000003</v>
      </c>
      <c r="J163" s="244">
        <v>3.5100260802476417E-3</v>
      </c>
      <c r="K163" s="244">
        <v>0.12539658052182995</v>
      </c>
      <c r="L163" s="244">
        <v>1.0794271406840403</v>
      </c>
      <c r="M163" s="244">
        <v>0.26795262546229481</v>
      </c>
      <c r="N163" s="244">
        <v>0.79111541614183334</v>
      </c>
      <c r="O163" s="244">
        <v>3.4688970760663818</v>
      </c>
      <c r="P163" s="244">
        <v>0.12699790883637604</v>
      </c>
      <c r="Q163" s="244">
        <v>0.2794095826573294</v>
      </c>
      <c r="R163" s="244">
        <v>0.74096037469135112</v>
      </c>
      <c r="S163" s="245">
        <v>0.34788416326981508</v>
      </c>
      <c r="T163" s="245">
        <v>0.87298362814370234</v>
      </c>
      <c r="U163" s="265">
        <v>5.9352728641758447E-3</v>
      </c>
      <c r="V163" s="244">
        <v>0.43882980753191847</v>
      </c>
      <c r="W163" s="266">
        <v>4.0435279824071997E-3</v>
      </c>
      <c r="X163" s="244">
        <v>1.5709070354137673E-2</v>
      </c>
      <c r="Y163" s="244">
        <v>5.3499667187145168E-2</v>
      </c>
      <c r="Z163" s="244">
        <v>4.0173271034123263E-2</v>
      </c>
      <c r="AA163" s="244">
        <v>1.5744019927106737E-2</v>
      </c>
      <c r="AB163" s="245">
        <v>0.29946158681899937</v>
      </c>
      <c r="AC163" s="267">
        <v>4.7858092217570446E-2</v>
      </c>
      <c r="AD163" s="244">
        <v>1.5818361323412175E-2</v>
      </c>
      <c r="AE163" s="244">
        <v>0.27947153947663977</v>
      </c>
      <c r="AF163" s="244">
        <v>8.8477068783908056E-2</v>
      </c>
      <c r="AG163" s="245">
        <v>0.66335698083333328</v>
      </c>
      <c r="AH163" s="244">
        <v>4.3480932404772667E-2</v>
      </c>
      <c r="AI163" s="244"/>
      <c r="AJ163" s="245"/>
      <c r="AK163" s="244"/>
      <c r="AL163" s="244"/>
      <c r="AM163" s="244"/>
      <c r="AN163" s="245"/>
      <c r="AO163" s="955" t="s">
        <v>26</v>
      </c>
    </row>
    <row r="164" spans="1:41" ht="14.1" customHeight="1">
      <c r="A164" s="954" t="s">
        <v>27</v>
      </c>
      <c r="B164" s="244">
        <v>1.0480999999999998</v>
      </c>
      <c r="C164" s="244">
        <v>1.1764853893548386</v>
      </c>
      <c r="D164" s="244">
        <v>0.75488144145161284</v>
      </c>
      <c r="E164" s="244">
        <v>0.28536209377776622</v>
      </c>
      <c r="F164" s="244">
        <v>0.16501620107039874</v>
      </c>
      <c r="G164" s="244">
        <v>0.15770146434869248</v>
      </c>
      <c r="H164" s="244">
        <v>0.13523735893864122</v>
      </c>
      <c r="I164" s="244">
        <v>1.6071126941935481</v>
      </c>
      <c r="J164" s="244">
        <v>3.4988122012437378E-3</v>
      </c>
      <c r="K164" s="244">
        <v>0.12579041976885613</v>
      </c>
      <c r="L164" s="244">
        <v>1.0817000025414005</v>
      </c>
      <c r="M164" s="244">
        <v>0.27092718248283659</v>
      </c>
      <c r="N164" s="244">
        <v>0.80196327145786594</v>
      </c>
      <c r="O164" s="244">
        <v>3.4693922273355917</v>
      </c>
      <c r="P164" s="244">
        <v>0.12673396330530026</v>
      </c>
      <c r="Q164" s="244">
        <v>0.27694972122235378</v>
      </c>
      <c r="R164" s="244">
        <v>0.7477569763216626</v>
      </c>
      <c r="S164" s="245">
        <v>0.35787546689170291</v>
      </c>
      <c r="T164" s="245">
        <v>0.87282227622382735</v>
      </c>
      <c r="U164" s="265">
        <v>6.031829620229575E-3</v>
      </c>
      <c r="V164" s="244">
        <v>0.43969291514687125</v>
      </c>
      <c r="W164" s="266">
        <v>3.803264273144479E-3</v>
      </c>
      <c r="X164" s="244">
        <v>1.5162321116843515E-2</v>
      </c>
      <c r="Y164" s="244">
        <v>5.292811893181433E-2</v>
      </c>
      <c r="Z164" s="244">
        <v>3.9570467426428758E-2</v>
      </c>
      <c r="AA164" s="244">
        <v>1.6616627433716745E-2</v>
      </c>
      <c r="AB164" s="245">
        <v>0.29946404127515247</v>
      </c>
      <c r="AC164" s="267">
        <v>4.7764199990906427E-2</v>
      </c>
      <c r="AD164" s="244">
        <v>1.6103855931582121E-2</v>
      </c>
      <c r="AE164" s="244">
        <v>0.27951209792840714</v>
      </c>
      <c r="AF164" s="244">
        <v>9.1465883047933808E-2</v>
      </c>
      <c r="AG164" s="245">
        <v>0.70053331451612921</v>
      </c>
      <c r="AH164" s="244">
        <v>4.3396311561569832E-2</v>
      </c>
      <c r="AI164" s="244"/>
      <c r="AJ164" s="245"/>
      <c r="AK164" s="244"/>
      <c r="AL164" s="244"/>
      <c r="AM164" s="244"/>
      <c r="AN164" s="245"/>
      <c r="AO164" s="955" t="s">
        <v>27</v>
      </c>
    </row>
    <row r="165" spans="1:41" ht="14.1" customHeight="1">
      <c r="A165" s="954" t="s">
        <v>28</v>
      </c>
      <c r="B165" s="244">
        <v>1.0503666666666662</v>
      </c>
      <c r="C165" s="244">
        <v>1.1302617953333334</v>
      </c>
      <c r="D165" s="244">
        <v>0.75214945033333314</v>
      </c>
      <c r="E165" s="244">
        <v>0.28597202602765381</v>
      </c>
      <c r="F165" s="244">
        <v>0.16489623650403751</v>
      </c>
      <c r="G165" s="244">
        <v>0.15150784792858835</v>
      </c>
      <c r="H165" s="244">
        <v>0.13552293558912534</v>
      </c>
      <c r="I165" s="244">
        <v>1.598199805833334</v>
      </c>
      <c r="J165" s="244">
        <v>3.5051654755467307E-3</v>
      </c>
      <c r="K165" s="244">
        <v>0.12119924105097318</v>
      </c>
      <c r="L165" s="244">
        <v>1.0427353059252125</v>
      </c>
      <c r="M165" s="244">
        <v>0.27037002503450397</v>
      </c>
      <c r="N165" s="244">
        <v>0.79257255224274314</v>
      </c>
      <c r="O165" s="244">
        <v>3.4576191967942593</v>
      </c>
      <c r="P165" s="244">
        <v>0.12179897478179846</v>
      </c>
      <c r="Q165" s="244">
        <v>0.2658305148752757</v>
      </c>
      <c r="R165" s="244">
        <v>0.74405526038727021</v>
      </c>
      <c r="S165" s="245">
        <v>0.36546593421573204</v>
      </c>
      <c r="T165" s="245">
        <v>0.85830242306169224</v>
      </c>
      <c r="U165" s="265">
        <v>5.9037563286048885E-3</v>
      </c>
      <c r="V165" s="244">
        <v>0.43833526722826532</v>
      </c>
      <c r="W165" s="266">
        <v>3.4661540216467395E-3</v>
      </c>
      <c r="X165" s="244">
        <v>1.4930153085549142E-2</v>
      </c>
      <c r="Y165" s="244">
        <v>5.2700421205821558E-2</v>
      </c>
      <c r="Z165" s="244">
        <v>3.8746487347093669E-2</v>
      </c>
      <c r="AA165" s="244">
        <v>1.6193652207904582E-2</v>
      </c>
      <c r="AB165" s="245">
        <v>0.30011190346920308</v>
      </c>
      <c r="AC165" s="267">
        <v>4.50162997375975E-2</v>
      </c>
      <c r="AD165" s="244">
        <v>1.5891268324324036E-2</v>
      </c>
      <c r="AE165" s="244">
        <v>0.28002373712012568</v>
      </c>
      <c r="AF165" s="244">
        <v>9.1240412466469759E-2</v>
      </c>
      <c r="AG165" s="245">
        <v>0.69126921683333331</v>
      </c>
      <c r="AH165" s="244">
        <v>4.1791791880136049E-2</v>
      </c>
      <c r="AI165" s="244"/>
      <c r="AJ165" s="245"/>
      <c r="AK165" s="244"/>
      <c r="AL165" s="244"/>
      <c r="AM165" s="244"/>
      <c r="AN165" s="245"/>
      <c r="AO165" s="955" t="s">
        <v>28</v>
      </c>
    </row>
    <row r="166" spans="1:41" ht="14.1" customHeight="1">
      <c r="A166" s="954" t="s">
        <v>29</v>
      </c>
      <c r="B166" s="244">
        <v>1.2289612903225804</v>
      </c>
      <c r="C166" s="244">
        <v>1.3397588054838707</v>
      </c>
      <c r="D166" s="244">
        <v>0.89098020403225819</v>
      </c>
      <c r="E166" s="244">
        <v>0.33459839821832427</v>
      </c>
      <c r="F166" s="244">
        <v>0.19036039989437981</v>
      </c>
      <c r="G166" s="244">
        <v>0.17955451743130393</v>
      </c>
      <c r="H166" s="244">
        <v>0.15855629447525096</v>
      </c>
      <c r="I166" s="244">
        <v>1.8422522683870974</v>
      </c>
      <c r="J166" s="244">
        <v>4.0977547192796102E-3</v>
      </c>
      <c r="K166" s="244">
        <v>0.14487976080722287</v>
      </c>
      <c r="L166" s="244">
        <v>1.2371320423444001</v>
      </c>
      <c r="M166" s="244">
        <v>0.31706179597495399</v>
      </c>
      <c r="N166" s="244">
        <v>0.89629502904062242</v>
      </c>
      <c r="O166" s="244">
        <v>4.0469966310651078</v>
      </c>
      <c r="P166" s="244">
        <v>0.14158686693487266</v>
      </c>
      <c r="Q166" s="244">
        <v>0.31258552081111957</v>
      </c>
      <c r="R166" s="244">
        <v>0.87313179072467284</v>
      </c>
      <c r="S166" s="245">
        <v>0.42111009677974026</v>
      </c>
      <c r="T166" s="245">
        <v>1.0111396978916511</v>
      </c>
      <c r="U166" s="265">
        <v>6.7138844832363024E-3</v>
      </c>
      <c r="V166" s="244">
        <v>0.51312410380064466</v>
      </c>
      <c r="W166" s="266">
        <v>3.7825470833768504E-3</v>
      </c>
      <c r="X166" s="244">
        <v>1.6290283501761711E-2</v>
      </c>
      <c r="Y166" s="244">
        <v>6.2514872667378915E-2</v>
      </c>
      <c r="Z166" s="244">
        <v>4.4357366599748191E-2</v>
      </c>
      <c r="AA166" s="244">
        <v>1.7585966586109784E-2</v>
      </c>
      <c r="AB166" s="245">
        <v>0.35904608294930884</v>
      </c>
      <c r="AC166" s="267">
        <v>5.2692044484566429E-2</v>
      </c>
      <c r="AD166" s="244">
        <v>1.8483038844771125E-2</v>
      </c>
      <c r="AE166" s="244">
        <v>0.32758159890794092</v>
      </c>
      <c r="AF166" s="244">
        <v>0.1047973397607383</v>
      </c>
      <c r="AG166" s="245">
        <v>0.83042042499999991</v>
      </c>
      <c r="AH166" s="244">
        <v>4.9563405026129333E-2</v>
      </c>
      <c r="AI166" s="244"/>
      <c r="AJ166" s="245"/>
      <c r="AK166" s="244"/>
      <c r="AL166" s="244"/>
      <c r="AM166" s="244"/>
      <c r="AN166" s="245"/>
      <c r="AO166" s="955" t="s">
        <v>29</v>
      </c>
    </row>
    <row r="167" spans="1:41" ht="14.1" customHeight="1">
      <c r="A167" s="234" t="s">
        <v>1852</v>
      </c>
      <c r="B167" s="261">
        <f>AVERAGE(B168:B179)</f>
        <v>1.5958779230008651</v>
      </c>
      <c r="C167" s="261">
        <f t="shared" ref="C167:AD167" si="9">AVERAGE(C168:C179)</f>
        <v>1.7658935033890282</v>
      </c>
      <c r="D167" s="261">
        <f t="shared" si="9"/>
        <v>1.1878767671196855</v>
      </c>
      <c r="E167" s="261">
        <f t="shared" si="9"/>
        <v>0.43449173952501913</v>
      </c>
      <c r="F167" s="261">
        <f t="shared" si="9"/>
        <v>0.24021482106460998</v>
      </c>
      <c r="G167" s="261">
        <f t="shared" si="9"/>
        <v>0.23718021236658357</v>
      </c>
      <c r="H167" s="261">
        <f t="shared" si="9"/>
        <v>0.20560351931737722</v>
      </c>
      <c r="I167" s="261">
        <f t="shared" si="9"/>
        <v>2.1612791376026603</v>
      </c>
      <c r="J167" s="261">
        <f t="shared" si="9"/>
        <v>4.9811097389763827E-3</v>
      </c>
      <c r="K167" s="261">
        <f t="shared" si="9"/>
        <v>0.18654497058064745</v>
      </c>
      <c r="L167" s="261">
        <f t="shared" si="9"/>
        <v>1.6203441327256825</v>
      </c>
      <c r="M167" s="261">
        <f t="shared" si="9"/>
        <v>0.41583900770537968</v>
      </c>
      <c r="N167" s="261">
        <f t="shared" si="9"/>
        <v>1.2054019561886948</v>
      </c>
      <c r="O167" s="261">
        <f t="shared" si="9"/>
        <v>5.2803595268683328</v>
      </c>
      <c r="P167" s="261">
        <f t="shared" si="9"/>
        <v>0.19016444676751612</v>
      </c>
      <c r="Q167" s="261">
        <f t="shared" si="9"/>
        <v>0.40487109798209459</v>
      </c>
      <c r="R167" s="261">
        <f t="shared" si="9"/>
        <v>1.1557079126917718</v>
      </c>
      <c r="S167" s="261">
        <f t="shared" si="9"/>
        <v>0.52881185334340008</v>
      </c>
      <c r="T167" s="261">
        <f t="shared" si="9"/>
        <v>1.4713257961377302</v>
      </c>
      <c r="U167" s="261">
        <f t="shared" si="9"/>
        <v>0.42492409634875994</v>
      </c>
      <c r="V167" s="261">
        <f t="shared" si="9"/>
        <v>0.67583563433859373</v>
      </c>
      <c r="W167" s="261">
        <f t="shared" si="9"/>
        <v>4.6743752140705605E-3</v>
      </c>
      <c r="X167" s="261">
        <f t="shared" si="9"/>
        <v>2.2782672876630855E-2</v>
      </c>
      <c r="Y167" s="261">
        <f t="shared" si="9"/>
        <v>8.0303517069475208E-2</v>
      </c>
      <c r="Z167" s="261">
        <f t="shared" si="9"/>
        <v>5.3929806682516478E-2</v>
      </c>
      <c r="AA167" s="261">
        <f t="shared" si="9"/>
        <v>2.3941955507349472E-2</v>
      </c>
      <c r="AB167" s="261">
        <f t="shared" si="9"/>
        <v>0.4654061065624675</v>
      </c>
      <c r="AC167" s="261">
        <f t="shared" si="9"/>
        <v>6.2489735430924807E-2</v>
      </c>
      <c r="AD167" s="261">
        <f t="shared" si="9"/>
        <v>2.3748320978396163E-2</v>
      </c>
      <c r="AE167" s="261">
        <f t="shared" ref="AE167:AF167" si="10">AVERAGE(AE168:AE179)</f>
        <v>0.42549215976103155</v>
      </c>
      <c r="AF167" s="261">
        <f t="shared" si="10"/>
        <v>0.13763289415177757</v>
      </c>
      <c r="AG167" s="261">
        <f t="shared" ref="AG167" si="11">AVERAGE(AG168:AG179)</f>
        <v>1.1138061070640066</v>
      </c>
      <c r="AH167" s="261">
        <v>4.1746610163370883E-2</v>
      </c>
      <c r="AI167" s="261"/>
      <c r="AJ167" s="261"/>
      <c r="AK167" s="261"/>
      <c r="AL167" s="261"/>
      <c r="AM167" s="261"/>
      <c r="AN167" s="261"/>
      <c r="AO167" s="68" t="s">
        <v>1852</v>
      </c>
    </row>
    <row r="168" spans="1:41" ht="14.1" customHeight="1">
      <c r="A168" s="954" t="s">
        <v>18</v>
      </c>
      <c r="B168" s="244">
        <v>1.5814290322580644</v>
      </c>
      <c r="C168" s="244">
        <v>1.720046606612903</v>
      </c>
      <c r="D168" s="244">
        <v>1.1139397756451612</v>
      </c>
      <c r="E168" s="244">
        <v>0.43055393078492882</v>
      </c>
      <c r="F168" s="244">
        <v>0.24081737431137409</v>
      </c>
      <c r="G168" s="244">
        <v>0.23050704289415722</v>
      </c>
      <c r="H168" s="244">
        <v>0.20332682410435787</v>
      </c>
      <c r="I168" s="244">
        <v>2.2860379343548387</v>
      </c>
      <c r="J168" s="244">
        <v>5.2497585652376147E-3</v>
      </c>
      <c r="K168" s="244">
        <v>0.18561814596558904</v>
      </c>
      <c r="L168" s="244">
        <v>1.5735008635568826</v>
      </c>
      <c r="M168" s="244">
        <v>0.40100788589042319</v>
      </c>
      <c r="N168" s="244">
        <v>1.1157342399168517</v>
      </c>
      <c r="O168" s="244">
        <v>5.2024515301748364</v>
      </c>
      <c r="P168" s="244">
        <v>0.1797722552331697</v>
      </c>
      <c r="Q168" s="244">
        <v>0.39166053896512953</v>
      </c>
      <c r="R168" s="244">
        <v>1.1051779445398697</v>
      </c>
      <c r="S168" s="245">
        <v>0.52744897196828466</v>
      </c>
      <c r="T168" s="245">
        <v>1.3345671735096039</v>
      </c>
      <c r="U168" s="265">
        <v>7.9550798717274145E-3</v>
      </c>
      <c r="V168" s="244">
        <v>0.65015780519107103</v>
      </c>
      <c r="W168" s="266">
        <v>4.3742544436166366E-3</v>
      </c>
      <c r="X168" s="244">
        <v>2.0768331418720358E-2</v>
      </c>
      <c r="Y168" s="244">
        <v>7.8109510667086823E-2</v>
      </c>
      <c r="Z168" s="244">
        <v>5.6242691876078131E-2</v>
      </c>
      <c r="AA168" s="244">
        <v>2.0629297769055071E-2</v>
      </c>
      <c r="AB168" s="245">
        <v>0.46517162157138731</v>
      </c>
      <c r="AC168" s="267">
        <v>6.5127864822154671E-2</v>
      </c>
      <c r="AD168" s="244">
        <v>2.3506913894377569E-2</v>
      </c>
      <c r="AE168" s="244">
        <v>0.42152122193094937</v>
      </c>
      <c r="AF168" s="244">
        <v>0.13171152973950406</v>
      </c>
      <c r="AG168" s="245">
        <v>1.0386881014516132</v>
      </c>
      <c r="AH168" s="244">
        <v>6.363818472244058E-2</v>
      </c>
      <c r="AI168" s="244"/>
      <c r="AJ168" s="245"/>
      <c r="AK168" s="244"/>
      <c r="AL168" s="244"/>
      <c r="AM168" s="244"/>
      <c r="AN168" s="245"/>
      <c r="AO168" s="955" t="s">
        <v>18</v>
      </c>
    </row>
    <row r="169" spans="1:41" ht="14.1" customHeight="1">
      <c r="A169" s="954" t="s">
        <v>19</v>
      </c>
      <c r="B169" s="244">
        <v>1.5724103448275859</v>
      </c>
      <c r="C169" s="244">
        <v>1.7489034482758619</v>
      </c>
      <c r="D169" s="244">
        <v>1.1221178053448275</v>
      </c>
      <c r="E169" s="244">
        <v>0.42809613765498727</v>
      </c>
      <c r="F169" s="244">
        <v>0.24010380907170994</v>
      </c>
      <c r="G169" s="244">
        <v>0.23433523123035685</v>
      </c>
      <c r="H169" s="244">
        <v>0.20206045062886852</v>
      </c>
      <c r="I169" s="244">
        <v>2.2525793103448271</v>
      </c>
      <c r="J169" s="244">
        <v>5.2088753193821578E-3</v>
      </c>
      <c r="K169" s="244">
        <v>0.1858975998221396</v>
      </c>
      <c r="L169" s="244">
        <v>1.5864645659974554</v>
      </c>
      <c r="M169" s="244">
        <v>0.40242110868701186</v>
      </c>
      <c r="N169" s="244">
        <v>1.1402949488492375</v>
      </c>
      <c r="O169" s="244">
        <v>5.2411373985462788</v>
      </c>
      <c r="P169" s="244">
        <v>0.18297924430134088</v>
      </c>
      <c r="Q169" s="244">
        <v>0.3972945129716684</v>
      </c>
      <c r="R169" s="244">
        <v>1.1194047672515388</v>
      </c>
      <c r="S169" s="245">
        <v>0.53437348777356308</v>
      </c>
      <c r="T169" s="245">
        <v>1.37291522401999</v>
      </c>
      <c r="U169" s="265">
        <v>7.2510029833866259E-3</v>
      </c>
      <c r="V169" s="244">
        <v>0.63344615067667709</v>
      </c>
      <c r="W169" s="266">
        <v>4.3760826232261511E-3</v>
      </c>
      <c r="X169" s="244">
        <v>2.084428412460685E-2</v>
      </c>
      <c r="Y169" s="244">
        <v>7.8262795385125039E-2</v>
      </c>
      <c r="Z169" s="244">
        <v>5.5353192374893702E-2</v>
      </c>
      <c r="AA169" s="244">
        <v>2.0413909134925145E-2</v>
      </c>
      <c r="AB169" s="245">
        <v>0.46286129888065669</v>
      </c>
      <c r="AC169" s="267">
        <v>5.9608689012592496E-2</v>
      </c>
      <c r="AD169" s="244">
        <v>2.3030538219119871E-2</v>
      </c>
      <c r="AE169" s="244">
        <v>0.41927159033086892</v>
      </c>
      <c r="AF169" s="244">
        <v>0.12905037202732672</v>
      </c>
      <c r="AG169" s="245">
        <v>1.0447093646551722</v>
      </c>
      <c r="AH169" s="244">
        <v>6.4683862716993612E-2</v>
      </c>
      <c r="AI169" s="244"/>
      <c r="AJ169" s="245"/>
      <c r="AK169" s="244"/>
      <c r="AL169" s="244"/>
      <c r="AM169" s="244"/>
      <c r="AN169" s="245"/>
      <c r="AO169" s="955" t="s">
        <v>19</v>
      </c>
    </row>
    <row r="170" spans="1:41" ht="14.1" customHeight="1">
      <c r="A170" s="954" t="s">
        <v>20</v>
      </c>
      <c r="B170" s="244">
        <v>1.6026548387096771</v>
      </c>
      <c r="C170" s="244">
        <v>1.7863741935483883</v>
      </c>
      <c r="D170" s="244">
        <v>1.2038669458064515</v>
      </c>
      <c r="E170" s="244">
        <v>0.43633821444827448</v>
      </c>
      <c r="F170" s="244">
        <v>0.24672866099508728</v>
      </c>
      <c r="G170" s="244">
        <v>0.23956276704509782</v>
      </c>
      <c r="H170" s="244">
        <v>0.20649584669810231</v>
      </c>
      <c r="I170" s="244">
        <v>2.2892451612903222</v>
      </c>
      <c r="J170" s="244">
        <v>5.308053833211296E-3</v>
      </c>
      <c r="K170" s="244">
        <v>0.19225164355422961</v>
      </c>
      <c r="L170" s="244">
        <v>1.6342731614499391</v>
      </c>
      <c r="M170" s="244">
        <v>0.41446822221455176</v>
      </c>
      <c r="N170" s="244">
        <v>1.2140128106083539</v>
      </c>
      <c r="O170" s="244">
        <v>5.3263399932937183</v>
      </c>
      <c r="P170" s="244">
        <v>0.18957317506823157</v>
      </c>
      <c r="Q170" s="244">
        <v>0.41562225824167048</v>
      </c>
      <c r="R170" s="244">
        <v>1.1688854553074839</v>
      </c>
      <c r="S170" s="245">
        <v>0.55655350670194748</v>
      </c>
      <c r="T170" s="245">
        <v>1.4219277484909769</v>
      </c>
      <c r="U170" s="265">
        <v>7.7472707666131815E-3</v>
      </c>
      <c r="V170" s="244">
        <v>0.67507150911186697</v>
      </c>
      <c r="W170" s="266">
        <v>4.6459923030461479E-3</v>
      </c>
      <c r="X170" s="244">
        <v>2.1885364006006203E-2</v>
      </c>
      <c r="Y170" s="244">
        <v>8.0987483870386484E-2</v>
      </c>
      <c r="Z170" s="244">
        <v>5.6121573286820589E-2</v>
      </c>
      <c r="AA170" s="244">
        <v>2.2860854904179894E-2</v>
      </c>
      <c r="AB170" s="245">
        <v>0.47215411591615836</v>
      </c>
      <c r="AC170" s="267">
        <v>6.0944094308261108E-2</v>
      </c>
      <c r="AD170" s="244">
        <v>2.3934810400214283E-2</v>
      </c>
      <c r="AE170" s="244">
        <v>0.42734977214562958</v>
      </c>
      <c r="AF170" s="244">
        <v>0.13541652403393079</v>
      </c>
      <c r="AG170" s="245">
        <v>1.0828440111290321</v>
      </c>
      <c r="AH170" s="244">
        <v>6.6049827004142858E-2</v>
      </c>
      <c r="AI170" s="244"/>
      <c r="AJ170" s="245"/>
      <c r="AK170" s="244"/>
      <c r="AL170" s="244"/>
      <c r="AM170" s="244"/>
      <c r="AN170" s="245"/>
      <c r="AO170" s="955" t="s">
        <v>20</v>
      </c>
    </row>
    <row r="171" spans="1:41" ht="14.1" customHeight="1">
      <c r="A171" s="954" t="s">
        <v>21</v>
      </c>
      <c r="B171" s="244">
        <v>1.5159333333333327</v>
      </c>
      <c r="C171" s="244">
        <v>1.7184755341666667</v>
      </c>
      <c r="D171" s="244">
        <v>1.1618337196666666</v>
      </c>
      <c r="E171" s="244">
        <v>0.41271013953919711</v>
      </c>
      <c r="F171" s="244">
        <v>0.23400022476744639</v>
      </c>
      <c r="G171" s="244">
        <v>0.23087890572114178</v>
      </c>
      <c r="H171" s="244">
        <v>0.19544163347417412</v>
      </c>
      <c r="I171" s="244">
        <v>2.1667129441666666</v>
      </c>
      <c r="J171" s="244">
        <v>5.0114843042972897E-3</v>
      </c>
      <c r="K171" s="244">
        <v>0.18648067296446252</v>
      </c>
      <c r="L171" s="244">
        <v>1.5721749754244791</v>
      </c>
      <c r="M171" s="244">
        <v>0.40175792039326069</v>
      </c>
      <c r="N171" s="244">
        <v>1.1799471169722566</v>
      </c>
      <c r="O171" s="244">
        <v>5.026025993155983</v>
      </c>
      <c r="P171" s="244">
        <v>0.18408900452909613</v>
      </c>
      <c r="Q171" s="244">
        <v>0.39897933220304937</v>
      </c>
      <c r="R171" s="244">
        <v>1.1220529420096219</v>
      </c>
      <c r="S171" s="245">
        <v>0.53450788976257801</v>
      </c>
      <c r="T171" s="245">
        <v>1.3821290446726617</v>
      </c>
      <c r="U171" s="265">
        <v>7.6272746065795382E-3</v>
      </c>
      <c r="V171" s="244">
        <v>0.67137364682608047</v>
      </c>
      <c r="W171" s="266">
        <v>4.5026358215603515E-3</v>
      </c>
      <c r="X171" s="244">
        <v>2.1796136630929549E-2</v>
      </c>
      <c r="Y171" s="244">
        <v>7.7212017416130971E-2</v>
      </c>
      <c r="Z171" s="244">
        <v>5.258043019110227E-2</v>
      </c>
      <c r="AA171" s="244">
        <v>2.2733178814308745E-2</v>
      </c>
      <c r="AB171" s="245">
        <v>0.44712467094084934</v>
      </c>
      <c r="AC171" s="267">
        <v>5.9197784011543568E-2</v>
      </c>
      <c r="AD171" s="244">
        <v>2.2794072818853647E-2</v>
      </c>
      <c r="AE171" s="244">
        <v>0.40422591534091123</v>
      </c>
      <c r="AF171" s="244">
        <v>0.13212218295276792</v>
      </c>
      <c r="AG171" s="245">
        <v>1.0441747793333331</v>
      </c>
      <c r="AH171" s="244">
        <v>6.3576454784819186E-2</v>
      </c>
      <c r="AI171" s="244"/>
      <c r="AJ171" s="245"/>
      <c r="AK171" s="244"/>
      <c r="AL171" s="244"/>
      <c r="AM171" s="244"/>
      <c r="AN171" s="245"/>
      <c r="AO171" s="955" t="s">
        <v>21</v>
      </c>
    </row>
    <row r="172" spans="1:41" ht="14.1" customHeight="1">
      <c r="A172" s="954" t="s">
        <v>22</v>
      </c>
      <c r="B172" s="244">
        <v>1.5020709677419355</v>
      </c>
      <c r="C172" s="244">
        <v>1.6992096774193541</v>
      </c>
      <c r="D172" s="244">
        <v>1.1004602646774191</v>
      </c>
      <c r="E172" s="244">
        <v>0.40894897478637177</v>
      </c>
      <c r="F172" s="244">
        <v>0.23013983796855686</v>
      </c>
      <c r="G172" s="244">
        <v>0.2284366215148019</v>
      </c>
      <c r="H172" s="244">
        <v>0.19348312274922336</v>
      </c>
      <c r="I172" s="244">
        <v>2.1844516129032261</v>
      </c>
      <c r="J172" s="244">
        <v>4.9559718551341917E-3</v>
      </c>
      <c r="K172" s="244">
        <v>0.18296886175849983</v>
      </c>
      <c r="L172" s="244">
        <v>1.5366240110942686</v>
      </c>
      <c r="M172" s="244">
        <v>0.3943063881468763</v>
      </c>
      <c r="N172" s="244">
        <v>1.1634015831536275</v>
      </c>
      <c r="O172" s="244">
        <v>4.9821693675487957</v>
      </c>
      <c r="P172" s="244">
        <v>0.18271775127480616</v>
      </c>
      <c r="Q172" s="244">
        <v>0.38577808734758712</v>
      </c>
      <c r="R172" s="244">
        <v>1.0971901371247572</v>
      </c>
      <c r="S172" s="245">
        <v>0.51119912411295665</v>
      </c>
      <c r="T172" s="245">
        <v>1.3810078921238815</v>
      </c>
      <c r="U172" s="265">
        <v>7.7153245393527048E-3</v>
      </c>
      <c r="V172" s="244">
        <v>0.68839184215461102</v>
      </c>
      <c r="W172" s="266">
        <v>4.5113472880022026E-3</v>
      </c>
      <c r="X172" s="244">
        <v>2.1977558075747305E-2</v>
      </c>
      <c r="Y172" s="244">
        <v>7.5920115140273012E-2</v>
      </c>
      <c r="Z172" s="244">
        <v>5.1661637112896272E-2</v>
      </c>
      <c r="AA172" s="244">
        <v>2.2824191636779741E-2</v>
      </c>
      <c r="AB172" s="245">
        <v>0.44421905846751458</v>
      </c>
      <c r="AC172" s="267">
        <v>5.9620906686502766E-2</v>
      </c>
      <c r="AD172" s="244">
        <v>2.2450605747151586E-2</v>
      </c>
      <c r="AE172" s="244">
        <v>0.40050410323762625</v>
      </c>
      <c r="AF172" s="244">
        <v>0.12800690029043657</v>
      </c>
      <c r="AG172" s="245">
        <v>1.0226058919354839</v>
      </c>
      <c r="AH172" s="244">
        <v>6.2871501451351688E-2</v>
      </c>
      <c r="AI172" s="244"/>
      <c r="AJ172" s="245"/>
      <c r="AK172" s="244"/>
      <c r="AL172" s="244"/>
      <c r="AM172" s="244"/>
      <c r="AN172" s="245"/>
      <c r="AO172" s="955" t="s">
        <v>22</v>
      </c>
    </row>
    <row r="173" spans="1:41" ht="14.1" customHeight="1">
      <c r="A173" s="954" t="s">
        <v>23</v>
      </c>
      <c r="B173" s="244">
        <v>1.515746666666667</v>
      </c>
      <c r="C173" s="244">
        <v>1.6993266666666669</v>
      </c>
      <c r="D173" s="244">
        <v>1.1181989531666665</v>
      </c>
      <c r="E173" s="244">
        <v>0.41267772587913776</v>
      </c>
      <c r="F173" s="244">
        <v>0.23000270056652361</v>
      </c>
      <c r="G173" s="244">
        <v>0.2285035245792352</v>
      </c>
      <c r="H173" s="244">
        <v>0.19526476718035829</v>
      </c>
      <c r="I173" s="244">
        <v>2.1481199999999991</v>
      </c>
      <c r="J173" s="244">
        <v>4.9790585082962191E-3</v>
      </c>
      <c r="K173" s="244">
        <v>0.18209169729161073</v>
      </c>
      <c r="L173" s="244">
        <v>1.56148562066401</v>
      </c>
      <c r="M173" s="244">
        <v>0.392456261223327</v>
      </c>
      <c r="N173" s="244">
        <v>1.1737989023451993</v>
      </c>
      <c r="O173" s="244">
        <v>5.0295266041659454</v>
      </c>
      <c r="P173" s="244">
        <v>0.18180273580716205</v>
      </c>
      <c r="Q173" s="244">
        <v>0.3862723271945368</v>
      </c>
      <c r="R173" s="244">
        <v>1.1173645698228256</v>
      </c>
      <c r="S173" s="245">
        <v>0.51832371374001451</v>
      </c>
      <c r="T173" s="245">
        <v>1.4403822126001478</v>
      </c>
      <c r="U173" s="265">
        <v>7.6200116138623614E-3</v>
      </c>
      <c r="V173" s="244">
        <v>0.6957252244294877</v>
      </c>
      <c r="W173" s="266">
        <v>4.5006575682308737E-3</v>
      </c>
      <c r="X173" s="244">
        <v>2.228790228793525E-2</v>
      </c>
      <c r="Y173" s="244">
        <v>7.6748120691662716E-2</v>
      </c>
      <c r="Z173" s="244">
        <v>5.1591951778697825E-2</v>
      </c>
      <c r="AA173" s="244">
        <v>2.3163655863421402E-2</v>
      </c>
      <c r="AB173" s="245">
        <v>0.44842197412912677</v>
      </c>
      <c r="AC173" s="267">
        <v>6.0742999217332394E-2</v>
      </c>
      <c r="AD173" s="244">
        <v>2.2519334660728467E-2</v>
      </c>
      <c r="AE173" s="244">
        <v>0.40416678961293395</v>
      </c>
      <c r="AF173" s="244">
        <v>0.12954387113447757</v>
      </c>
      <c r="AG173" s="245">
        <v>1.0629290631666668</v>
      </c>
      <c r="AH173" s="244">
        <v>6.2806479463604487E-2</v>
      </c>
      <c r="AI173" s="244"/>
      <c r="AJ173" s="245"/>
      <c r="AK173" s="244"/>
      <c r="AL173" s="244"/>
      <c r="AM173" s="244"/>
      <c r="AN173" s="245"/>
      <c r="AO173" s="955" t="s">
        <v>23</v>
      </c>
    </row>
    <row r="174" spans="1:41" ht="14.1" customHeight="1">
      <c r="A174" s="954" t="s">
        <v>24</v>
      </c>
      <c r="B174" s="244">
        <v>1.5600387096774191</v>
      </c>
      <c r="C174" s="244">
        <v>1.7276225806451608</v>
      </c>
      <c r="D174" s="244">
        <v>1.1742856775806454</v>
      </c>
      <c r="E174" s="244">
        <v>0.42473538741950939</v>
      </c>
      <c r="F174" s="244">
        <v>0.23374355562113813</v>
      </c>
      <c r="G174" s="244">
        <v>0.23224536525069675</v>
      </c>
      <c r="H174" s="244">
        <v>0.20112899441787893</v>
      </c>
      <c r="I174" s="244">
        <v>2.0595580645161293</v>
      </c>
      <c r="J174" s="244">
        <v>5.0940695659179771E-3</v>
      </c>
      <c r="K174" s="244">
        <v>0.18248884291927908</v>
      </c>
      <c r="L174" s="244">
        <v>1.5904827838257547</v>
      </c>
      <c r="M174" s="244">
        <v>0.4047514464267023</v>
      </c>
      <c r="N174" s="244">
        <v>1.1979424945906054</v>
      </c>
      <c r="O174" s="244">
        <v>5.1621996272750126</v>
      </c>
      <c r="P174" s="244">
        <v>0.18456213142601458</v>
      </c>
      <c r="Q174" s="244">
        <v>0.39325818882300506</v>
      </c>
      <c r="R174" s="244">
        <v>1.1556492665873785</v>
      </c>
      <c r="S174" s="245">
        <v>0.52720311824006039</v>
      </c>
      <c r="T174" s="245">
        <v>1.5014722327059302</v>
      </c>
      <c r="U174" s="265">
        <v>0.78204518171385373</v>
      </c>
      <c r="V174" s="244">
        <v>0.66550953800591695</v>
      </c>
      <c r="W174" s="266">
        <v>4.5738107487591885E-3</v>
      </c>
      <c r="X174" s="244">
        <v>2.3166778070056102E-2</v>
      </c>
      <c r="Y174" s="244">
        <v>7.8845875304476745E-2</v>
      </c>
      <c r="Z174" s="244">
        <v>5.2903527896162886E-2</v>
      </c>
      <c r="AA174" s="244">
        <v>2.4261383414193746E-2</v>
      </c>
      <c r="AB174" s="245">
        <v>0.46420066583039521</v>
      </c>
      <c r="AC174" s="267">
        <v>6.2880587053056367E-2</v>
      </c>
      <c r="AD174" s="244">
        <v>2.3207949490565344E-2</v>
      </c>
      <c r="AE174" s="244">
        <v>0.41594361490783111</v>
      </c>
      <c r="AF174" s="244">
        <v>0.13682021880415832</v>
      </c>
      <c r="AG174" s="245">
        <v>1.112780725967742</v>
      </c>
      <c r="AH174" s="244">
        <v>6.3892375732359924E-2</v>
      </c>
      <c r="AI174" s="244"/>
      <c r="AJ174" s="245"/>
      <c r="AK174" s="244"/>
      <c r="AL174" s="244"/>
      <c r="AM174" s="244"/>
      <c r="AN174" s="245"/>
      <c r="AO174" s="955" t="s">
        <v>24</v>
      </c>
    </row>
    <row r="175" spans="1:41" ht="14.1" customHeight="1">
      <c r="A175" s="954" t="s">
        <v>25</v>
      </c>
      <c r="B175" s="244">
        <v>1.6120612903225808</v>
      </c>
      <c r="C175" s="244">
        <v>1.807441935483872</v>
      </c>
      <c r="D175" s="244">
        <v>1.2307006717741933</v>
      </c>
      <c r="E175" s="244">
        <v>0.43889499412356897</v>
      </c>
      <c r="F175" s="244">
        <v>0.24242534891902737</v>
      </c>
      <c r="G175" s="244">
        <v>0.24290870262032274</v>
      </c>
      <c r="H175" s="244">
        <v>0.20785721043237654</v>
      </c>
      <c r="I175" s="244">
        <v>2.1135483870967744</v>
      </c>
      <c r="J175" s="244">
        <v>5.1861756775843969E-3</v>
      </c>
      <c r="K175" s="244">
        <v>0.19047280821324897</v>
      </c>
      <c r="L175" s="244">
        <v>1.6617297671431803</v>
      </c>
      <c r="M175" s="244">
        <v>0.42477326430463291</v>
      </c>
      <c r="N175" s="244">
        <v>1.2423218966546283</v>
      </c>
      <c r="O175" s="244">
        <v>5.3466158281082237</v>
      </c>
      <c r="P175" s="244">
        <v>0.19431927978049437</v>
      </c>
      <c r="Q175" s="244">
        <v>0.42033827713577782</v>
      </c>
      <c r="R175" s="244">
        <v>1.1968897873405921</v>
      </c>
      <c r="S175" s="245">
        <v>0.54434731566752736</v>
      </c>
      <c r="T175" s="245">
        <v>1.5924424969250293</v>
      </c>
      <c r="U175" s="265">
        <v>0.82309757256243898</v>
      </c>
      <c r="V175" s="244">
        <v>0.69495531579664871</v>
      </c>
      <c r="W175" s="266">
        <v>4.6893991350046571E-3</v>
      </c>
      <c r="X175" s="244">
        <v>2.3538645873073229E-2</v>
      </c>
      <c r="Y175" s="244">
        <v>8.1787395007955385E-2</v>
      </c>
      <c r="Z175" s="244">
        <v>5.4186227453361026E-2</v>
      </c>
      <c r="AA175" s="244">
        <v>2.4841693841917378E-2</v>
      </c>
      <c r="AB175" s="245">
        <v>0.46569677840714524</v>
      </c>
      <c r="AC175" s="267">
        <v>6.4263327660410693E-2</v>
      </c>
      <c r="AD175" s="244">
        <v>2.4089174426784973E-2</v>
      </c>
      <c r="AE175" s="244">
        <v>0.42985885541558061</v>
      </c>
      <c r="AF175" s="244">
        <v>0.14512582467306362</v>
      </c>
      <c r="AG175" s="245">
        <v>1.1661866770967746</v>
      </c>
      <c r="AH175" s="244">
        <v>6.6881504112183798E-2</v>
      </c>
      <c r="AI175" s="244"/>
      <c r="AJ175" s="245"/>
      <c r="AK175" s="244"/>
      <c r="AL175" s="244"/>
      <c r="AM175" s="244"/>
      <c r="AN175" s="245"/>
      <c r="AO175" s="955" t="s">
        <v>25</v>
      </c>
    </row>
    <row r="176" spans="1:41" ht="14.1" customHeight="1">
      <c r="A176" s="954" t="s">
        <v>26</v>
      </c>
      <c r="B176" s="244">
        <v>1.6347299999999991</v>
      </c>
      <c r="C176" s="244">
        <v>1.8337166666666669</v>
      </c>
      <c r="D176" s="244">
        <v>1.2421000223333334</v>
      </c>
      <c r="E176" s="244">
        <v>0.44507033409081553</v>
      </c>
      <c r="F176" s="244">
        <v>0.24497291650145567</v>
      </c>
      <c r="G176" s="244">
        <v>0.24623409956477058</v>
      </c>
      <c r="H176" s="244">
        <v>0.21075411777632247</v>
      </c>
      <c r="I176" s="244">
        <v>2.1546499999999997</v>
      </c>
      <c r="J176" s="244">
        <v>4.624151304602509E-3</v>
      </c>
      <c r="K176" s="244">
        <v>0.19182145391706945</v>
      </c>
      <c r="L176" s="244">
        <v>1.6785444537074985</v>
      </c>
      <c r="M176" s="244">
        <v>0.43423029505313515</v>
      </c>
      <c r="N176" s="244">
        <v>1.2514470012198344</v>
      </c>
      <c r="O176" s="244">
        <v>5.4219370772857935</v>
      </c>
      <c r="P176" s="244">
        <v>0.19905789971495289</v>
      </c>
      <c r="Q176" s="244">
        <v>0.42445425640071771</v>
      </c>
      <c r="R176" s="244">
        <v>1.2033681181290496</v>
      </c>
      <c r="S176" s="245">
        <v>0.55175291784238567</v>
      </c>
      <c r="T176" s="245">
        <v>1.6024589747158891</v>
      </c>
      <c r="U176" s="265">
        <v>0.83983746676091087</v>
      </c>
      <c r="V176" s="244">
        <v>0.70758090919409622</v>
      </c>
      <c r="W176" s="266">
        <v>4.8302302119583168E-3</v>
      </c>
      <c r="X176" s="244">
        <v>2.3734576551923178E-2</v>
      </c>
      <c r="Y176" s="244">
        <v>8.2835269869187655E-2</v>
      </c>
      <c r="Z176" s="244">
        <v>5.4767224368054548E-2</v>
      </c>
      <c r="AA176" s="244">
        <v>2.5357285379214511E-2</v>
      </c>
      <c r="AB176" s="245">
        <v>0.46795185542548801</v>
      </c>
      <c r="AC176" s="267">
        <v>6.2242249441238053E-2</v>
      </c>
      <c r="AD176" s="244">
        <v>2.4503596662658413E-2</v>
      </c>
      <c r="AE176" s="244">
        <v>0.43579511516150699</v>
      </c>
      <c r="AF176" s="244">
        <v>0.14749159627204414</v>
      </c>
      <c r="AG176" s="245">
        <v>1.1964046968333335</v>
      </c>
      <c r="AH176" s="244">
        <v>6.7861961724177897E-2</v>
      </c>
      <c r="AI176" s="244"/>
      <c r="AJ176" s="245"/>
      <c r="AK176" s="244"/>
      <c r="AL176" s="244"/>
      <c r="AM176" s="244"/>
      <c r="AN176" s="245"/>
      <c r="AO176" s="955" t="s">
        <v>26</v>
      </c>
    </row>
    <row r="177" spans="1:41" ht="14.1" customHeight="1">
      <c r="A177" s="954" t="s">
        <v>27</v>
      </c>
      <c r="B177" s="244">
        <v>1.6115870967741939</v>
      </c>
      <c r="C177" s="244">
        <v>1.777766451612903</v>
      </c>
      <c r="D177" s="244">
        <v>1.2268045259677423</v>
      </c>
      <c r="E177" s="244">
        <v>0.43877323336430446</v>
      </c>
      <c r="F177" s="244">
        <v>0.23961044673708876</v>
      </c>
      <c r="G177" s="244">
        <v>0.23892161616082661</v>
      </c>
      <c r="H177" s="244">
        <v>0.20775999542398657</v>
      </c>
      <c r="I177" s="244">
        <v>1.9935664516129037</v>
      </c>
      <c r="J177" s="244">
        <v>4.5493954938651947E-3</v>
      </c>
      <c r="K177" s="244">
        <v>0.1832173169600744</v>
      </c>
      <c r="L177" s="244">
        <v>1.6342427187338024</v>
      </c>
      <c r="M177" s="244">
        <v>0.42251186468381441</v>
      </c>
      <c r="N177" s="244">
        <v>1.2172281537396912</v>
      </c>
      <c r="O177" s="244">
        <v>5.3281694706388141</v>
      </c>
      <c r="P177" s="244">
        <v>0.19762263131592719</v>
      </c>
      <c r="Q177" s="244">
        <v>0.41263187629747472</v>
      </c>
      <c r="R177" s="244">
        <v>1.1648695123917709</v>
      </c>
      <c r="S177" s="245">
        <v>0.52496940809266657</v>
      </c>
      <c r="T177" s="245">
        <v>1.5538359537126343</v>
      </c>
      <c r="U177" s="265">
        <v>0.84249256633955205</v>
      </c>
      <c r="V177" s="244">
        <v>0.68256540126270904</v>
      </c>
      <c r="W177" s="266">
        <v>4.8522386748800677E-3</v>
      </c>
      <c r="X177" s="244">
        <v>2.3603876002811223E-2</v>
      </c>
      <c r="Y177" s="244">
        <v>8.1238035531127115E-2</v>
      </c>
      <c r="Z177" s="244">
        <v>5.2736720876965522E-2</v>
      </c>
      <c r="AA177" s="244">
        <v>2.5729561739294755E-2</v>
      </c>
      <c r="AB177" s="245">
        <v>0.46164525801503886</v>
      </c>
      <c r="AC177" s="267">
        <v>6.2609652342151031E-2</v>
      </c>
      <c r="AD177" s="244">
        <v>2.4136807249704861E-2</v>
      </c>
      <c r="AE177" s="244">
        <v>0.42962451135972063</v>
      </c>
      <c r="AF177" s="244">
        <v>0.14304102257198115</v>
      </c>
      <c r="AG177" s="245">
        <v>1.153935908064516</v>
      </c>
      <c r="AH177" s="244">
        <v>6.5790962060428795E-2</v>
      </c>
      <c r="AI177" s="244"/>
      <c r="AJ177" s="245"/>
      <c r="AK177" s="244"/>
      <c r="AL177" s="244"/>
      <c r="AM177" s="244"/>
      <c r="AN177" s="245"/>
      <c r="AO177" s="955" t="s">
        <v>27</v>
      </c>
    </row>
    <row r="178" spans="1:41" ht="14.1" customHeight="1">
      <c r="A178" s="954" t="s">
        <v>28</v>
      </c>
      <c r="B178" s="244">
        <v>1.6919566666666666</v>
      </c>
      <c r="C178" s="244">
        <v>1.8269866666666672</v>
      </c>
      <c r="D178" s="244">
        <v>1.2750254526666671</v>
      </c>
      <c r="E178" s="244">
        <v>0.4606634926158899</v>
      </c>
      <c r="F178" s="244">
        <v>0.24727265681929772</v>
      </c>
      <c r="G178" s="244">
        <v>0.24553565959533985</v>
      </c>
      <c r="H178" s="244">
        <v>0.21813970767001667</v>
      </c>
      <c r="I178" s="244">
        <v>2.1043733333333332</v>
      </c>
      <c r="J178" s="244">
        <v>4.7882524201266303E-3</v>
      </c>
      <c r="K178" s="244">
        <v>0.18540326888322667</v>
      </c>
      <c r="L178" s="244">
        <v>1.6988455095994088</v>
      </c>
      <c r="M178" s="244">
        <v>0.44031815916287159</v>
      </c>
      <c r="N178" s="244">
        <v>1.2576760387507322</v>
      </c>
      <c r="O178" s="244">
        <v>5.5710871107506863</v>
      </c>
      <c r="P178" s="244">
        <v>0.20104553214597637</v>
      </c>
      <c r="Q178" s="244">
        <v>0.4165156939922226</v>
      </c>
      <c r="R178" s="244">
        <v>1.1991682318327794</v>
      </c>
      <c r="S178" s="245">
        <v>0.51497272316144715</v>
      </c>
      <c r="T178" s="245">
        <v>1.5643801517417517</v>
      </c>
      <c r="U178" s="265">
        <v>0.87422907170306685</v>
      </c>
      <c r="V178" s="244">
        <v>0.68462272650641276</v>
      </c>
      <c r="W178" s="266">
        <v>4.9872995276221722E-3</v>
      </c>
      <c r="X178" s="244">
        <v>2.4536315093521281E-2</v>
      </c>
      <c r="Y178" s="244">
        <v>8.4662760100225401E-2</v>
      </c>
      <c r="Z178" s="244">
        <v>5.4106487986559725E-2</v>
      </c>
      <c r="AA178" s="244">
        <v>2.6290938493907342E-2</v>
      </c>
      <c r="AB178" s="245">
        <v>0.48396105232387576</v>
      </c>
      <c r="AC178" s="267">
        <v>6.5828690184897176E-2</v>
      </c>
      <c r="AD178" s="244">
        <v>2.5029151485013154E-2</v>
      </c>
      <c r="AE178" s="244">
        <v>0.4511151514488127</v>
      </c>
      <c r="AF178" s="244">
        <v>0.14548854745774598</v>
      </c>
      <c r="AG178" s="245">
        <v>1.2089084091666671</v>
      </c>
      <c r="AH178" s="244">
        <v>6.7590617417509366E-2</v>
      </c>
      <c r="AI178" s="244"/>
      <c r="AJ178" s="245"/>
      <c r="AK178" s="244"/>
      <c r="AL178" s="244"/>
      <c r="AM178" s="244"/>
      <c r="AN178" s="245"/>
      <c r="AO178" s="955" t="s">
        <v>28</v>
      </c>
    </row>
    <row r="179" spans="1:41" ht="14.1" customHeight="1">
      <c r="A179" s="954" t="s">
        <v>29</v>
      </c>
      <c r="B179" s="244">
        <v>1.7499161290322576</v>
      </c>
      <c r="C179" s="244">
        <v>1.8448516129032262</v>
      </c>
      <c r="D179" s="244">
        <v>1.2851873908064515</v>
      </c>
      <c r="E179" s="244">
        <v>0.47643830959324396</v>
      </c>
      <c r="F179" s="244">
        <v>0.25276032049661346</v>
      </c>
      <c r="G179" s="244">
        <v>0.24809301222225519</v>
      </c>
      <c r="H179" s="244">
        <v>0.22552956125286089</v>
      </c>
      <c r="I179" s="244">
        <v>2.1825064516129031</v>
      </c>
      <c r="J179" s="244">
        <v>4.8180700200611123E-3</v>
      </c>
      <c r="K179" s="244">
        <v>0.1898273347183396</v>
      </c>
      <c r="L179" s="244">
        <v>1.7157611615115127</v>
      </c>
      <c r="M179" s="244">
        <v>0.45706527627794941</v>
      </c>
      <c r="N179" s="244">
        <v>1.3110182874633189</v>
      </c>
      <c r="O179" s="244">
        <v>5.7266543214759027</v>
      </c>
      <c r="P179" s="244">
        <v>0.20443172061302145</v>
      </c>
      <c r="Q179" s="244">
        <v>0.41564782621229535</v>
      </c>
      <c r="R179" s="244">
        <v>1.2184742199635947</v>
      </c>
      <c r="S179" s="245">
        <v>0.50009006305736869</v>
      </c>
      <c r="T179" s="245">
        <v>1.5083904484342643</v>
      </c>
      <c r="U179" s="265">
        <v>0.89147133272377488</v>
      </c>
      <c r="V179" s="244">
        <v>0.66062754290754677</v>
      </c>
      <c r="W179" s="266">
        <v>5.2485542229399528E-3</v>
      </c>
      <c r="X179" s="244">
        <v>2.5252306384239767E-2</v>
      </c>
      <c r="Y179" s="244">
        <v>8.7032825850065124E-2</v>
      </c>
      <c r="Z179" s="244">
        <v>5.490601498860527E-2</v>
      </c>
      <c r="AA179" s="244">
        <v>2.8197515096995984E-2</v>
      </c>
      <c r="AB179" s="245">
        <v>0.50146492884197358</v>
      </c>
      <c r="AC179" s="267">
        <v>6.6809980430957414E-2</v>
      </c>
      <c r="AD179" s="244">
        <v>2.5776896685581786E-2</v>
      </c>
      <c r="AE179" s="244">
        <v>0.4665292762400079</v>
      </c>
      <c r="AF179" s="244">
        <v>0.14777613986389401</v>
      </c>
      <c r="AG179" s="245">
        <v>1.2315056559677418</v>
      </c>
      <c r="AH179" s="244">
        <v>6.8247456290771183E-2</v>
      </c>
      <c r="AI179" s="244"/>
      <c r="AJ179" s="245"/>
      <c r="AK179" s="244"/>
      <c r="AL179" s="244"/>
      <c r="AM179" s="244"/>
      <c r="AN179" s="245"/>
      <c r="AO179" s="955" t="s">
        <v>29</v>
      </c>
    </row>
    <row r="180" spans="1:41" ht="13.5" customHeight="1">
      <c r="A180" s="234" t="s">
        <v>1915</v>
      </c>
      <c r="B180" s="261">
        <f t="shared" ref="B180:AD180" si="12">AVERAGE(B181:B192)</f>
        <v>1.7211510029441881</v>
      </c>
      <c r="C180" s="261">
        <f t="shared" si="12"/>
        <v>1.9422979012846262</v>
      </c>
      <c r="D180" s="261">
        <f t="shared" si="12"/>
        <v>1.3189227749850547</v>
      </c>
      <c r="E180" s="261">
        <f t="shared" si="12"/>
        <v>0.46860152914810316</v>
      </c>
      <c r="F180" s="261">
        <f t="shared" si="12"/>
        <v>0.25466027811378239</v>
      </c>
      <c r="G180" s="261">
        <f t="shared" si="12"/>
        <v>0.26110831238092591</v>
      </c>
      <c r="H180" s="261">
        <f t="shared" si="12"/>
        <v>0.22089045609397603</v>
      </c>
      <c r="I180" s="261">
        <f t="shared" si="12"/>
        <v>2.2160943763568866</v>
      </c>
      <c r="J180" s="261">
        <f t="shared" si="12"/>
        <v>4.5344892305445505E-3</v>
      </c>
      <c r="K180" s="261">
        <f t="shared" si="12"/>
        <v>0.20156989221853475</v>
      </c>
      <c r="L180" s="261">
        <f t="shared" si="12"/>
        <v>1.7478313353100836</v>
      </c>
      <c r="M180" s="261">
        <f t="shared" si="12"/>
        <v>0.47829589741350015</v>
      </c>
      <c r="N180" s="261">
        <f t="shared" si="12"/>
        <v>1.3263700969759233</v>
      </c>
      <c r="O180" s="261">
        <f t="shared" si="12"/>
        <v>5.6728871813575124</v>
      </c>
      <c r="P180" s="261">
        <f t="shared" si="12"/>
        <v>0.20819853468335936</v>
      </c>
      <c r="Q180" s="261">
        <f t="shared" si="12"/>
        <v>0.4561365939136291</v>
      </c>
      <c r="R180" s="261">
        <f t="shared" si="12"/>
        <v>1.2461237410510018</v>
      </c>
      <c r="S180" s="261">
        <f t="shared" si="12"/>
        <v>0.4724673434732502</v>
      </c>
      <c r="T180" s="261">
        <f t="shared" si="12"/>
        <v>1.5339856288720108</v>
      </c>
      <c r="U180" s="261">
        <f t="shared" si="12"/>
        <v>0.89126970347225998</v>
      </c>
      <c r="V180" s="261">
        <f t="shared" si="12"/>
        <v>0.68588963829829075</v>
      </c>
      <c r="W180" s="261">
        <f t="shared" si="12"/>
        <v>5.2837749950899468E-3</v>
      </c>
      <c r="X180" s="261">
        <f t="shared" si="12"/>
        <v>2.4964036515669696E-2</v>
      </c>
      <c r="Y180" s="261">
        <f t="shared" si="12"/>
        <v>9.3455511772065306E-2</v>
      </c>
      <c r="Z180" s="261">
        <f t="shared" si="12"/>
        <v>3.8878278826169711E-2</v>
      </c>
      <c r="AA180" s="261">
        <f t="shared" si="12"/>
        <v>2.9512174678602055E-2</v>
      </c>
      <c r="AB180" s="261">
        <f t="shared" si="12"/>
        <v>0.49225415744973144</v>
      </c>
      <c r="AC180" s="261">
        <f t="shared" si="12"/>
        <v>6.4722984865363778E-2</v>
      </c>
      <c r="AD180" s="261">
        <f t="shared" si="12"/>
        <v>2.6423034278258983E-2</v>
      </c>
      <c r="AE180" s="261">
        <f t="shared" ref="AE180:AF180" si="13">AVERAGE(AE181:AE192)</f>
        <v>0.45893662973597077</v>
      </c>
      <c r="AF180" s="261">
        <f t="shared" si="13"/>
        <v>0.15217779670287521</v>
      </c>
      <c r="AG180" s="261">
        <f t="shared" ref="AG180" si="14">AVERAGE(AG181:AG192)</f>
        <v>1.2229085071054469</v>
      </c>
      <c r="AH180" s="261">
        <v>7.3843593654358261E-2</v>
      </c>
      <c r="AI180" s="261"/>
      <c r="AJ180" s="261"/>
      <c r="AK180" s="261"/>
      <c r="AL180" s="261"/>
      <c r="AM180" s="261"/>
      <c r="AN180" s="261"/>
      <c r="AO180" s="68" t="s">
        <v>1915</v>
      </c>
    </row>
    <row r="181" spans="1:41" ht="14.1" customHeight="1">
      <c r="A181" s="954" t="s">
        <v>18</v>
      </c>
      <c r="B181" s="244">
        <v>1.8179419354838704</v>
      </c>
      <c r="C181" s="244">
        <v>1.9323387096774194</v>
      </c>
      <c r="D181" s="244">
        <v>1.3535429230645157</v>
      </c>
      <c r="E181" s="244">
        <v>0.49495488868913706</v>
      </c>
      <c r="F181" s="244">
        <v>0.26360760468112482</v>
      </c>
      <c r="G181" s="244">
        <v>0.25988411646421389</v>
      </c>
      <c r="H181" s="244">
        <v>0.23438424583345088</v>
      </c>
      <c r="I181" s="244">
        <v>2.2424419354838703</v>
      </c>
      <c r="J181" s="244">
        <v>4.6168781376571301E-3</v>
      </c>
      <c r="K181" s="244">
        <v>0.20303214192414537</v>
      </c>
      <c r="L181" s="244">
        <v>1.8027720734194714</v>
      </c>
      <c r="M181" s="244">
        <v>0.47607891227567584</v>
      </c>
      <c r="N181" s="244">
        <v>1.3747779480278774</v>
      </c>
      <c r="O181" s="244">
        <v>5.9503610266149813</v>
      </c>
      <c r="P181" s="244">
        <v>0.21448113539973385</v>
      </c>
      <c r="Q181" s="244">
        <v>0.44213035402897033</v>
      </c>
      <c r="R181" s="244">
        <v>1.2715643377714931</v>
      </c>
      <c r="S181" s="244">
        <v>0.48691377673136998</v>
      </c>
      <c r="T181" s="244">
        <v>1.5811904273145005</v>
      </c>
      <c r="U181" s="244">
        <v>0.93275646799422351</v>
      </c>
      <c r="V181" s="244">
        <v>0.67358173677565336</v>
      </c>
      <c r="W181" s="244">
        <v>5.4992226887513873E-3</v>
      </c>
      <c r="X181" s="244">
        <v>2.6200784752399644E-2</v>
      </c>
      <c r="Y181" s="244">
        <v>9.0720415256852996E-2</v>
      </c>
      <c r="Z181" s="244">
        <v>5.6156698265372409E-2</v>
      </c>
      <c r="AA181" s="244">
        <v>3.0434257371069261E-2</v>
      </c>
      <c r="AB181" s="244">
        <v>0.52011027146281186</v>
      </c>
      <c r="AC181" s="244">
        <v>6.691076541146021E-2</v>
      </c>
      <c r="AD181" s="244">
        <v>2.6699670656929332E-2</v>
      </c>
      <c r="AE181" s="244">
        <v>0.48471156014854072</v>
      </c>
      <c r="AF181" s="244">
        <v>0.15389973416357225</v>
      </c>
      <c r="AG181" s="244">
        <v>1.2938398517741936</v>
      </c>
      <c r="AH181" s="244">
        <v>7.1510687648433255E-2</v>
      </c>
      <c r="AI181" s="244"/>
      <c r="AJ181" s="244"/>
      <c r="AK181" s="244"/>
      <c r="AL181" s="244"/>
      <c r="AM181" s="244"/>
      <c r="AN181" s="244"/>
      <c r="AO181" s="955" t="s">
        <v>18</v>
      </c>
    </row>
    <row r="182" spans="1:41" ht="14.1" customHeight="1">
      <c r="A182" s="954" t="s">
        <v>19</v>
      </c>
      <c r="B182" s="244">
        <v>1.7865821428571436</v>
      </c>
      <c r="C182" s="244">
        <v>1.9040714285714286</v>
      </c>
      <c r="D182" s="244">
        <v>1.370370288035714</v>
      </c>
      <c r="E182" s="244">
        <v>0.48642179701209332</v>
      </c>
      <c r="F182" s="244">
        <v>0.25994084977423965</v>
      </c>
      <c r="G182" s="244">
        <v>0.25609980856306552</v>
      </c>
      <c r="H182" s="244">
        <v>0.23023887172444882</v>
      </c>
      <c r="I182" s="244">
        <v>2.2338928571428571</v>
      </c>
      <c r="J182" s="244">
        <v>4.6415278817934546E-3</v>
      </c>
      <c r="K182" s="244">
        <v>0.20101805030869718</v>
      </c>
      <c r="L182" s="244">
        <v>1.7857257166279239</v>
      </c>
      <c r="M182" s="244">
        <v>0.47877766694751323</v>
      </c>
      <c r="N182" s="244">
        <v>1.3647770065714016</v>
      </c>
      <c r="O182" s="244">
        <v>5.8545383638088779</v>
      </c>
      <c r="P182" s="244">
        <v>0.21485509444916295</v>
      </c>
      <c r="Q182" s="244">
        <v>0.44170818055393973</v>
      </c>
      <c r="R182" s="244">
        <v>1.2630009878758293</v>
      </c>
      <c r="S182" s="244">
        <v>0.48668430789585126</v>
      </c>
      <c r="T182" s="244">
        <v>1.5797146759732941</v>
      </c>
      <c r="U182" s="244">
        <v>0.9422108778329249</v>
      </c>
      <c r="V182" s="244">
        <v>0.67656862842990095</v>
      </c>
      <c r="W182" s="244">
        <v>5.5882707921724945E-3</v>
      </c>
      <c r="X182" s="244">
        <v>2.5760131788002398E-2</v>
      </c>
      <c r="Y182" s="244">
        <v>8.9667434722657133E-2</v>
      </c>
      <c r="Z182" s="244">
        <v>5.431179217552308E-2</v>
      </c>
      <c r="AA182" s="244">
        <v>3.056729154022364E-2</v>
      </c>
      <c r="AB182" s="244">
        <v>0.51119243724310581</v>
      </c>
      <c r="AC182" s="244">
        <v>6.6068236857208931E-2</v>
      </c>
      <c r="AD182" s="244">
        <v>2.6645940801698961E-2</v>
      </c>
      <c r="AE182" s="244">
        <v>0.47637971929677059</v>
      </c>
      <c r="AF182" s="244">
        <v>0.15631456329993673</v>
      </c>
      <c r="AG182" s="244">
        <v>1.2911387244642858</v>
      </c>
      <c r="AH182" s="244">
        <v>7.046668158020894E-2</v>
      </c>
      <c r="AI182" s="244"/>
      <c r="AJ182" s="244"/>
      <c r="AK182" s="244"/>
      <c r="AL182" s="244"/>
      <c r="AM182" s="244"/>
      <c r="AN182" s="244"/>
      <c r="AO182" s="955" t="s">
        <v>19</v>
      </c>
    </row>
    <row r="183" spans="1:41" ht="14.1" customHeight="1">
      <c r="A183" s="954" t="s">
        <v>20</v>
      </c>
      <c r="B183" s="244">
        <v>1.7346903225806449</v>
      </c>
      <c r="C183" s="244">
        <v>1.8525709677419351</v>
      </c>
      <c r="D183" s="244">
        <v>1.3224394743548389</v>
      </c>
      <c r="E183" s="244">
        <v>0.47230565738113123</v>
      </c>
      <c r="F183" s="244">
        <v>0.25140114688866044</v>
      </c>
      <c r="G183" s="244">
        <v>0.24917380563016886</v>
      </c>
      <c r="H183" s="244">
        <v>0.2233932785276467</v>
      </c>
      <c r="I183" s="244">
        <v>2.1355548387096781</v>
      </c>
      <c r="J183" s="244">
        <v>4.5995925189071573E-3</v>
      </c>
      <c r="K183" s="244">
        <v>0.19438626105829057</v>
      </c>
      <c r="L183" s="244">
        <v>1.729285187538242</v>
      </c>
      <c r="M183" s="244">
        <v>0.47484312664197748</v>
      </c>
      <c r="N183" s="244">
        <v>1.2968390923679789</v>
      </c>
      <c r="O183" s="244">
        <v>5.6806583705432292</v>
      </c>
      <c r="P183" s="244">
        <v>0.20383673216526021</v>
      </c>
      <c r="Q183" s="244">
        <v>0.43096647813622851</v>
      </c>
      <c r="R183" s="244">
        <v>1.2326520280905549</v>
      </c>
      <c r="S183" s="244">
        <v>0.47178398059211207</v>
      </c>
      <c r="T183" s="244">
        <v>1.5280017467438638</v>
      </c>
      <c r="U183" s="244">
        <v>0.91352792712632835</v>
      </c>
      <c r="V183" s="244">
        <v>0.70027108268674387</v>
      </c>
      <c r="W183" s="244">
        <v>5.4877519288833478E-3</v>
      </c>
      <c r="X183" s="244">
        <v>2.5049913092846408E-2</v>
      </c>
      <c r="Y183" s="244">
        <v>8.7986576986107082E-2</v>
      </c>
      <c r="Z183" s="244">
        <v>5.0443297621791054E-2</v>
      </c>
      <c r="AA183" s="244">
        <v>2.9863558291488065E-2</v>
      </c>
      <c r="AB183" s="244">
        <v>0.49636905514537166</v>
      </c>
      <c r="AC183" s="244">
        <v>6.4274618249592644E-2</v>
      </c>
      <c r="AD183" s="244">
        <v>2.6290017034052302E-2</v>
      </c>
      <c r="AE183" s="244">
        <v>0.46248722965450262</v>
      </c>
      <c r="AF183" s="244">
        <v>0.15230879014188767</v>
      </c>
      <c r="AG183" s="244">
        <v>1.213567469677419</v>
      </c>
      <c r="AH183" s="244">
        <v>6.8550109367215992E-2</v>
      </c>
      <c r="AI183" s="244"/>
      <c r="AJ183" s="244"/>
      <c r="AK183" s="244"/>
      <c r="AL183" s="244"/>
      <c r="AM183" s="244"/>
      <c r="AN183" s="244"/>
      <c r="AO183" s="955" t="s">
        <v>20</v>
      </c>
    </row>
    <row r="184" spans="1:41" ht="14.1" customHeight="1">
      <c r="A184" s="954" t="s">
        <v>21</v>
      </c>
      <c r="B184" s="244">
        <v>1.7062599999999997</v>
      </c>
      <c r="C184" s="244">
        <v>1.8274599999999994</v>
      </c>
      <c r="D184" s="244">
        <v>1.2867652541666668</v>
      </c>
      <c r="E184" s="244">
        <v>0.46454864800563911</v>
      </c>
      <c r="F184" s="244">
        <v>0.24763188241818479</v>
      </c>
      <c r="G184" s="244">
        <v>0.24569856254416347</v>
      </c>
      <c r="H184" s="244">
        <v>0.21947504755799965</v>
      </c>
      <c r="I184" s="244">
        <v>2.1546400000000001</v>
      </c>
      <c r="J184" s="244">
        <v>4.6873675134672449E-3</v>
      </c>
      <c r="K184" s="244">
        <v>0.19042099443073074</v>
      </c>
      <c r="L184" s="244">
        <v>1.704604784046313</v>
      </c>
      <c r="M184" s="244">
        <v>0.46736251714149574</v>
      </c>
      <c r="N184" s="244">
        <v>1.2711826288872585</v>
      </c>
      <c r="O184" s="244">
        <v>5.5985449917770973</v>
      </c>
      <c r="P184" s="244">
        <v>0.19869861912435433</v>
      </c>
      <c r="Q184" s="244">
        <v>0.43121573845967148</v>
      </c>
      <c r="R184" s="244">
        <v>1.220557557987523</v>
      </c>
      <c r="S184" s="244">
        <v>0.46716392503479204</v>
      </c>
      <c r="T184" s="244">
        <v>1.5489062385221586</v>
      </c>
      <c r="U184" s="244">
        <v>0.90710449914423519</v>
      </c>
      <c r="V184" s="244">
        <v>0.70561061350475207</v>
      </c>
      <c r="W184" s="244">
        <v>5.4602995809633677E-3</v>
      </c>
      <c r="X184" s="244">
        <v>2.5032606425944303E-2</v>
      </c>
      <c r="Y184" s="244">
        <v>8.8430344653885717E-2</v>
      </c>
      <c r="Z184" s="244">
        <v>4.6688980405595513E-2</v>
      </c>
      <c r="AA184" s="244">
        <v>3.023007156653618E-2</v>
      </c>
      <c r="AB184" s="244">
        <v>0.48822119599916025</v>
      </c>
      <c r="AC184" s="244">
        <v>6.3580602617732046E-2</v>
      </c>
      <c r="AD184" s="244">
        <v>2.6443135946511723E-2</v>
      </c>
      <c r="AE184" s="244">
        <v>0.45497356437913522</v>
      </c>
      <c r="AF184" s="244">
        <v>0.15056737970421266</v>
      </c>
      <c r="AG184" s="244">
        <v>1.1901484245</v>
      </c>
      <c r="AH184" s="244">
        <v>6.808863901542872E-2</v>
      </c>
      <c r="AI184" s="244"/>
      <c r="AJ184" s="244"/>
      <c r="AK184" s="244"/>
      <c r="AL184" s="244"/>
      <c r="AM184" s="244"/>
      <c r="AN184" s="244"/>
      <c r="AO184" s="955" t="s">
        <v>21</v>
      </c>
    </row>
    <row r="185" spans="1:41" ht="14.1" customHeight="1">
      <c r="A185" s="954" t="s">
        <v>22</v>
      </c>
      <c r="B185" s="244">
        <v>1.7023419354838711</v>
      </c>
      <c r="C185" s="244">
        <v>1.8801548387096769</v>
      </c>
      <c r="D185" s="244">
        <v>1.2641834237096772</v>
      </c>
      <c r="E185" s="244">
        <v>0.46348185403797793</v>
      </c>
      <c r="F185" s="244">
        <v>0.24718039189623375</v>
      </c>
      <c r="G185" s="244">
        <v>0.25271572887741633</v>
      </c>
      <c r="H185" s="244">
        <v>0.21861431975356563</v>
      </c>
      <c r="I185" s="244">
        <v>2.1994032258064511</v>
      </c>
      <c r="J185" s="244">
        <v>4.5787000124066154E-3</v>
      </c>
      <c r="K185" s="244">
        <v>0.19364599003814359</v>
      </c>
      <c r="L185" s="244">
        <v>1.7247250183108622</v>
      </c>
      <c r="M185" s="244">
        <v>0.47355566297445556</v>
      </c>
      <c r="N185" s="244">
        <v>1.2502325091812381</v>
      </c>
      <c r="O185" s="244">
        <v>5.5997139691617877</v>
      </c>
      <c r="P185" s="244">
        <v>0.19975449116225416</v>
      </c>
      <c r="Q185" s="244">
        <v>0.44722402693672308</v>
      </c>
      <c r="R185" s="244">
        <v>1.2196716284614599</v>
      </c>
      <c r="S185" s="244">
        <v>0.47701819204421292</v>
      </c>
      <c r="T185" s="244">
        <v>1.5172710463790573</v>
      </c>
      <c r="U185" s="244">
        <v>0.91034476716658286</v>
      </c>
      <c r="V185" s="244">
        <v>0.70020046059122387</v>
      </c>
      <c r="W185" s="244">
        <v>5.4191208026202814E-3</v>
      </c>
      <c r="X185" s="244">
        <v>2.5106077589651169E-2</v>
      </c>
      <c r="Y185" s="244">
        <v>9.1680710699895931E-2</v>
      </c>
      <c r="Z185" s="244">
        <v>4.5075416500958983E-2</v>
      </c>
      <c r="AA185" s="244">
        <v>2.977248344078795E-2</v>
      </c>
      <c r="AB185" s="244">
        <v>0.48706670330291213</v>
      </c>
      <c r="AC185" s="244">
        <v>6.4456689628823657E-2</v>
      </c>
      <c r="AD185" s="244">
        <v>2.6415678404543959E-2</v>
      </c>
      <c r="AE185" s="244">
        <v>0.45392602623970746</v>
      </c>
      <c r="AF185" s="244">
        <v>0.1510973143210885</v>
      </c>
      <c r="AG185" s="244">
        <v>1.1793042827419353</v>
      </c>
      <c r="AH185" s="244">
        <v>7.0689438117078118E-2</v>
      </c>
      <c r="AI185" s="244"/>
      <c r="AJ185" s="244"/>
      <c r="AK185" s="244"/>
      <c r="AL185" s="244"/>
      <c r="AM185" s="244"/>
      <c r="AN185" s="244"/>
      <c r="AO185" s="955" t="s">
        <v>22</v>
      </c>
    </row>
    <row r="186" spans="1:41" ht="14.1" customHeight="1">
      <c r="A186" s="954" t="s">
        <v>23</v>
      </c>
      <c r="B186" s="244">
        <v>1.7021966666666661</v>
      </c>
      <c r="C186" s="244">
        <v>1.9082233333333336</v>
      </c>
      <c r="D186" s="244">
        <v>1.2830338973333328</v>
      </c>
      <c r="E186" s="244">
        <v>0.4634364484568772</v>
      </c>
      <c r="F186" s="244">
        <v>0.24987564514516178</v>
      </c>
      <c r="G186" s="244">
        <v>0.25657301808768801</v>
      </c>
      <c r="H186" s="244">
        <v>0.2183025471364724</v>
      </c>
      <c r="I186" s="244">
        <v>2.1768466666666666</v>
      </c>
      <c r="J186" s="244">
        <v>4.581280742295967E-3</v>
      </c>
      <c r="K186" s="244">
        <v>0.19563210430949587</v>
      </c>
      <c r="L186" s="244">
        <v>1.7562199332074215</v>
      </c>
      <c r="M186" s="244">
        <v>0.48139340285704474</v>
      </c>
      <c r="N186" s="244">
        <v>1.2773578818745299</v>
      </c>
      <c r="O186" s="244">
        <v>5.6089558961435753</v>
      </c>
      <c r="P186" s="244">
        <v>0.20094823009227364</v>
      </c>
      <c r="Q186" s="244">
        <v>0.4529060860760778</v>
      </c>
      <c r="R186" s="244">
        <v>1.2292844886873842</v>
      </c>
      <c r="S186" s="244">
        <v>0.48351145758602071</v>
      </c>
      <c r="T186" s="244">
        <v>1.5347515783621188</v>
      </c>
      <c r="U186" s="244">
        <v>0.89968594374829902</v>
      </c>
      <c r="V186" s="244">
        <v>0.70312814825831538</v>
      </c>
      <c r="W186" s="244">
        <v>5.3377973393965474E-3</v>
      </c>
      <c r="X186" s="244">
        <v>2.4852724611076023E-2</v>
      </c>
      <c r="Y186" s="244">
        <v>9.3476014074495239E-2</v>
      </c>
      <c r="Z186" s="244">
        <v>4.3674168275689471E-2</v>
      </c>
      <c r="AA186" s="244">
        <v>2.9410974865534796E-2</v>
      </c>
      <c r="AB186" s="244">
        <v>0.4870121945626063</v>
      </c>
      <c r="AC186" s="244">
        <v>6.5140723289114827E-2</v>
      </c>
      <c r="AD186" s="244">
        <v>2.6405800159000199E-2</v>
      </c>
      <c r="AE186" s="244">
        <v>0.45387957542520901</v>
      </c>
      <c r="AF186" s="244">
        <v>0.15058167630025221</v>
      </c>
      <c r="AG186" s="244">
        <v>1.2273578308333337</v>
      </c>
      <c r="AH186" s="244">
        <v>7.2629499289119756E-2</v>
      </c>
      <c r="AI186" s="244"/>
      <c r="AJ186" s="244"/>
      <c r="AK186" s="244"/>
      <c r="AL186" s="244"/>
      <c r="AM186" s="244"/>
      <c r="AN186" s="244"/>
      <c r="AO186" s="955" t="s">
        <v>23</v>
      </c>
    </row>
    <row r="187" spans="1:41" ht="14.1" customHeight="1">
      <c r="A187" s="954" t="s">
        <v>24</v>
      </c>
      <c r="B187" s="244">
        <v>1.7017354838709677</v>
      </c>
      <c r="C187" s="244">
        <v>1.9595709677419344</v>
      </c>
      <c r="D187" s="244">
        <v>1.3252637732258064</v>
      </c>
      <c r="E187" s="244">
        <v>0.46331104485381802</v>
      </c>
      <c r="F187" s="244">
        <v>0.25126755091520908</v>
      </c>
      <c r="G187" s="244">
        <v>0.26350836219469331</v>
      </c>
      <c r="H187" s="244">
        <v>0.21792978486482259</v>
      </c>
      <c r="I187" s="244">
        <v>2.2114903225806448</v>
      </c>
      <c r="J187" s="244">
        <v>4.6706065153587703E-3</v>
      </c>
      <c r="K187" s="244">
        <v>0.20423216280903495</v>
      </c>
      <c r="L187" s="244">
        <v>1.7719380435764618</v>
      </c>
      <c r="M187" s="244">
        <v>0.4804070596291804</v>
      </c>
      <c r="N187" s="244">
        <v>1.3360021171876424</v>
      </c>
      <c r="O187" s="244">
        <v>5.6200996559746308</v>
      </c>
      <c r="P187" s="244">
        <v>0.20811713332747545</v>
      </c>
      <c r="Q187" s="244">
        <v>0.46271760900606668</v>
      </c>
      <c r="R187" s="244">
        <v>1.2406156968625208</v>
      </c>
      <c r="S187" s="244">
        <v>0.47836116141298174</v>
      </c>
      <c r="T187" s="244">
        <v>1.5138253604346199</v>
      </c>
      <c r="U187" s="244">
        <v>0.87130371776409621</v>
      </c>
      <c r="V187" s="244">
        <v>0.70732700246249403</v>
      </c>
      <c r="W187" s="244">
        <v>5.2305348603714965E-3</v>
      </c>
      <c r="X187" s="244">
        <v>2.4578138069272039E-2</v>
      </c>
      <c r="Y187" s="244">
        <v>9.4039835907954658E-2</v>
      </c>
      <c r="Z187" s="244">
        <v>4.2357993634664214E-2</v>
      </c>
      <c r="AA187" s="244">
        <v>2.8550857595874772E-2</v>
      </c>
      <c r="AB187" s="244">
        <v>0.48688147806217602</v>
      </c>
      <c r="AC187" s="244">
        <v>6.5463679394504676E-2</v>
      </c>
      <c r="AD187" s="244">
        <v>2.6399653173508768E-2</v>
      </c>
      <c r="AE187" s="244">
        <v>0.45377797777285944</v>
      </c>
      <c r="AF187" s="244">
        <v>0.15011084467682256</v>
      </c>
      <c r="AG187" s="244">
        <v>1.2520230680645168</v>
      </c>
      <c r="AH187" s="244">
        <v>7.5090318247811802E-2</v>
      </c>
      <c r="AI187" s="244"/>
      <c r="AJ187" s="244"/>
      <c r="AK187" s="244"/>
      <c r="AL187" s="244"/>
      <c r="AM187" s="244"/>
      <c r="AN187" s="244"/>
      <c r="AO187" s="955" t="s">
        <v>24</v>
      </c>
    </row>
    <row r="188" spans="1:41" ht="14.1" customHeight="1">
      <c r="A188" s="954" t="s">
        <v>25</v>
      </c>
      <c r="B188" s="244">
        <v>1.7008161290322579</v>
      </c>
      <c r="C188" s="244">
        <v>2.0088290322580651</v>
      </c>
      <c r="D188" s="244">
        <v>1.3457435029032261</v>
      </c>
      <c r="E188" s="244">
        <v>0.46305626818053008</v>
      </c>
      <c r="F188" s="244">
        <v>0.25479948171751438</v>
      </c>
      <c r="G188" s="244">
        <v>0.27007955558843688</v>
      </c>
      <c r="H188" s="244">
        <v>0.21745621151030517</v>
      </c>
      <c r="I188" s="244">
        <v>2.2058032258064513</v>
      </c>
      <c r="J188" s="244">
        <v>4.5435634543955486E-3</v>
      </c>
      <c r="K188" s="244">
        <v>0.21022577649026675</v>
      </c>
      <c r="L188" s="244">
        <v>1.762547734015576</v>
      </c>
      <c r="M188" s="244">
        <v>0.47269378728867611</v>
      </c>
      <c r="N188" s="244">
        <v>1.3485069177832623</v>
      </c>
      <c r="O188" s="244">
        <v>5.6359192717650499</v>
      </c>
      <c r="P188" s="244">
        <v>0.21525252033192918</v>
      </c>
      <c r="Q188" s="244">
        <v>0.47098098684782458</v>
      </c>
      <c r="R188" s="244">
        <v>1.2497281406406777</v>
      </c>
      <c r="S188" s="244">
        <v>0.48412996107480494</v>
      </c>
      <c r="T188" s="244">
        <v>1.549683569515709</v>
      </c>
      <c r="U188" s="244">
        <v>0.87623056962146662</v>
      </c>
      <c r="V188" s="244">
        <v>0.70720810891064334</v>
      </c>
      <c r="W188" s="244">
        <v>5.1051226704707112E-3</v>
      </c>
      <c r="X188" s="244">
        <v>2.4616423722641816E-2</v>
      </c>
      <c r="Y188" s="244">
        <v>9.5187695644265269E-2</v>
      </c>
      <c r="Z188" s="244">
        <v>4.1051818645489388E-2</v>
      </c>
      <c r="AA188" s="244">
        <v>2.8550730300611872E-2</v>
      </c>
      <c r="AB188" s="244">
        <v>0.48637686960214394</v>
      </c>
      <c r="AC188" s="244">
        <v>6.6307304299214234E-2</v>
      </c>
      <c r="AD188" s="244">
        <v>2.6576676133882409E-2</v>
      </c>
      <c r="AE188" s="244">
        <v>0.45353282684098156</v>
      </c>
      <c r="AF188" s="244">
        <v>0.15022304496396197</v>
      </c>
      <c r="AG188" s="244">
        <v>1.2427916141935484</v>
      </c>
      <c r="AH188" s="244">
        <v>7.6952575823204847E-2</v>
      </c>
      <c r="AI188" s="244"/>
      <c r="AJ188" s="244"/>
      <c r="AK188" s="244"/>
      <c r="AL188" s="244"/>
      <c r="AM188" s="244"/>
      <c r="AN188" s="244"/>
      <c r="AO188" s="955" t="s">
        <v>25</v>
      </c>
    </row>
    <row r="189" spans="1:41" ht="14.1" customHeight="1">
      <c r="A189" s="954" t="s">
        <v>26</v>
      </c>
      <c r="B189" s="244">
        <v>1.700753333333334</v>
      </c>
      <c r="C189" s="244">
        <v>2.0271066666666662</v>
      </c>
      <c r="D189" s="244">
        <v>1.3547870331666665</v>
      </c>
      <c r="E189" s="244">
        <v>0.46303907699600089</v>
      </c>
      <c r="F189" s="244">
        <v>0.25895047307939023</v>
      </c>
      <c r="G189" s="244">
        <v>0.27244496991781636</v>
      </c>
      <c r="H189" s="244">
        <v>0.21767408526733154</v>
      </c>
      <c r="I189" s="244">
        <v>2.2603300000000002</v>
      </c>
      <c r="J189" s="244">
        <v>4.5635755429143865E-3</v>
      </c>
      <c r="K189" s="244">
        <v>0.21274550446541118</v>
      </c>
      <c r="L189" s="244">
        <v>1.7678389487147992</v>
      </c>
      <c r="M189" s="244">
        <v>0.48109904395738379</v>
      </c>
      <c r="N189" s="244">
        <v>1.3813650886380699</v>
      </c>
      <c r="O189" s="244">
        <v>5.64307771343897</v>
      </c>
      <c r="P189" s="244">
        <v>0.21731199679591379</v>
      </c>
      <c r="Q189" s="244">
        <v>0.47474431368183428</v>
      </c>
      <c r="R189" s="244">
        <v>1.2600755531731347</v>
      </c>
      <c r="S189" s="244">
        <v>0.49054412277782516</v>
      </c>
      <c r="T189" s="244">
        <v>1.5373190624393693</v>
      </c>
      <c r="U189" s="244">
        <v>0.8779857993063106</v>
      </c>
      <c r="V189" s="244">
        <v>0.68924785098377717</v>
      </c>
      <c r="W189" s="244">
        <v>5.0201396457205481E-3</v>
      </c>
      <c r="X189" s="244">
        <v>2.4705622873475643E-2</v>
      </c>
      <c r="Y189" s="244">
        <v>9.6289086904902899E-2</v>
      </c>
      <c r="Z189" s="244">
        <v>2.3652170308908187E-2</v>
      </c>
      <c r="AA189" s="244">
        <v>2.9445983384807289E-2</v>
      </c>
      <c r="AB189" s="244">
        <v>0.48648752280210511</v>
      </c>
      <c r="AC189" s="244">
        <v>6.5227731180210594E-2</v>
      </c>
      <c r="AD189" s="244">
        <v>2.6397872080411774E-2</v>
      </c>
      <c r="AE189" s="244">
        <v>0.4535124541742761</v>
      </c>
      <c r="AF189" s="244">
        <v>0.15017156072134405</v>
      </c>
      <c r="AG189" s="244">
        <v>1.2322100178333331</v>
      </c>
      <c r="AH189" s="244">
        <v>7.7731359082269164E-2</v>
      </c>
      <c r="AI189" s="244"/>
      <c r="AJ189" s="244"/>
      <c r="AK189" s="244"/>
      <c r="AL189" s="244"/>
      <c r="AM189" s="244"/>
      <c r="AN189" s="244"/>
      <c r="AO189" s="955" t="s">
        <v>26</v>
      </c>
    </row>
    <row r="190" spans="1:41" ht="14.1" customHeight="1">
      <c r="A190" s="954" t="s">
        <v>27</v>
      </c>
      <c r="B190" s="244">
        <v>1.7002000000000002</v>
      </c>
      <c r="C190" s="244">
        <v>1.9990151519354835</v>
      </c>
      <c r="D190" s="244">
        <v>1.3237345664516129</v>
      </c>
      <c r="E190" s="244">
        <v>0.46288832062675089</v>
      </c>
      <c r="F190" s="244">
        <v>0.25656053349326863</v>
      </c>
      <c r="G190" s="244">
        <v>0.26857465871921105</v>
      </c>
      <c r="H190" s="244">
        <v>0.21782314221260848</v>
      </c>
      <c r="I190" s="244">
        <v>2.2440731267741931</v>
      </c>
      <c r="J190" s="244">
        <v>4.4894735720619802E-3</v>
      </c>
      <c r="K190" s="244">
        <v>0.2080131270930799</v>
      </c>
      <c r="L190" s="244">
        <v>1.7322173012448632</v>
      </c>
      <c r="M190" s="244">
        <v>0.48430161583576942</v>
      </c>
      <c r="N190" s="244">
        <v>1.3512758333787145</v>
      </c>
      <c r="O190" s="244">
        <v>5.6275950170815454</v>
      </c>
      <c r="P190" s="244">
        <v>0.21266720388989518</v>
      </c>
      <c r="Q190" s="244">
        <v>0.46829550514866763</v>
      </c>
      <c r="R190" s="244">
        <v>1.2494886702224175</v>
      </c>
      <c r="S190" s="244">
        <v>0.46316828578824726</v>
      </c>
      <c r="T190" s="244">
        <v>1.5049938889102841</v>
      </c>
      <c r="U190" s="244">
        <v>0.86581620647958435</v>
      </c>
      <c r="V190" s="244">
        <v>0.68056517683423445</v>
      </c>
      <c r="W190" s="244">
        <v>5.0460134680012265E-3</v>
      </c>
      <c r="X190" s="244">
        <v>2.478426842130765E-2</v>
      </c>
      <c r="Y190" s="244">
        <v>9.7643709091705486E-2</v>
      </c>
      <c r="Z190" s="244">
        <v>2.1090116821259206E-2</v>
      </c>
      <c r="AA190" s="244">
        <v>2.9461918641927293E-2</v>
      </c>
      <c r="AB190" s="244">
        <v>0.48578623231297885</v>
      </c>
      <c r="AC190" s="244">
        <v>6.3813079618755306E-2</v>
      </c>
      <c r="AD190" s="244">
        <v>2.6122135093410742E-2</v>
      </c>
      <c r="AE190" s="244">
        <v>0.45336950743785065</v>
      </c>
      <c r="AF190" s="244">
        <v>0.14990065469751493</v>
      </c>
      <c r="AG190" s="244">
        <v>1.1977856743548387</v>
      </c>
      <c r="AH190" s="244">
        <v>7.7524227158552686E-2</v>
      </c>
      <c r="AI190" s="244"/>
      <c r="AJ190" s="244"/>
      <c r="AK190" s="244"/>
      <c r="AL190" s="244"/>
      <c r="AM190" s="244"/>
      <c r="AN190" s="244"/>
      <c r="AO190" s="955" t="s">
        <v>27</v>
      </c>
    </row>
    <row r="191" spans="1:41" ht="14.1" customHeight="1">
      <c r="A191" s="954">
        <v>11</v>
      </c>
      <c r="B191" s="244">
        <v>1.7002166666666665</v>
      </c>
      <c r="C191" s="244">
        <v>1.9953336971666671</v>
      </c>
      <c r="D191" s="244">
        <v>1.2970445306666667</v>
      </c>
      <c r="E191" s="244">
        <v>0.46289317662872614</v>
      </c>
      <c r="F191" s="244">
        <v>0.25677672713494898</v>
      </c>
      <c r="G191" s="244">
        <v>0.26811997372317808</v>
      </c>
      <c r="H191" s="244">
        <v>0.21783141843679624</v>
      </c>
      <c r="I191" s="244">
        <v>2.2465437016666669</v>
      </c>
      <c r="J191" s="244">
        <v>4.290507309050836E-3</v>
      </c>
      <c r="K191" s="244">
        <v>0.20298315954189267</v>
      </c>
      <c r="L191" s="244">
        <v>1.7142749719585213</v>
      </c>
      <c r="M191" s="244">
        <v>0.48350498181306761</v>
      </c>
      <c r="N191" s="244">
        <v>1.3328105079349291</v>
      </c>
      <c r="O191" s="244">
        <v>5.625508538127951</v>
      </c>
      <c r="P191" s="244">
        <v>0.20808318641720736</v>
      </c>
      <c r="Q191" s="244">
        <v>0.47180864561014668</v>
      </c>
      <c r="R191" s="244">
        <v>1.2539183211469962</v>
      </c>
      <c r="S191" s="244">
        <v>0.4382199846621353</v>
      </c>
      <c r="T191" s="244">
        <v>1.5066407476006101</v>
      </c>
      <c r="U191" s="244">
        <v>0.85330803864116378</v>
      </c>
      <c r="V191" s="244">
        <v>0.63627050743253999</v>
      </c>
      <c r="W191" s="244">
        <v>5.1140639867652046E-3</v>
      </c>
      <c r="X191" s="244">
        <v>2.4473460501940526E-2</v>
      </c>
      <c r="Y191" s="244">
        <v>9.7325959857663388E-2</v>
      </c>
      <c r="Z191" s="244">
        <v>2.1050107753287837E-2</v>
      </c>
      <c r="AA191" s="244">
        <v>2.884130628879987E-2</v>
      </c>
      <c r="AB191" s="244">
        <v>0.4858095233714505</v>
      </c>
      <c r="AC191" s="244">
        <v>6.365593049885003E-2</v>
      </c>
      <c r="AD191" s="244">
        <v>2.6214909978014515E-2</v>
      </c>
      <c r="AE191" s="244">
        <v>0.45336048423818087</v>
      </c>
      <c r="AF191" s="244">
        <v>0.15411084905759986</v>
      </c>
      <c r="AG191" s="244">
        <v>1.1710697216666663</v>
      </c>
      <c r="AH191" s="244">
        <v>7.8098837476729757E-2</v>
      </c>
      <c r="AI191" s="244"/>
      <c r="AJ191" s="244"/>
      <c r="AK191" s="244"/>
      <c r="AL191" s="244"/>
      <c r="AM191" s="244"/>
      <c r="AN191" s="244"/>
      <c r="AO191" s="955" t="s">
        <v>28</v>
      </c>
    </row>
    <row r="192" spans="1:41" ht="14.1" customHeight="1">
      <c r="A192" s="954" t="s">
        <v>29</v>
      </c>
      <c r="B192" s="244">
        <v>1.700077419354838</v>
      </c>
      <c r="C192" s="244">
        <v>2.0129000216129027</v>
      </c>
      <c r="D192" s="244">
        <v>1.3001646327419349</v>
      </c>
      <c r="E192" s="244">
        <v>0.46288116890855646</v>
      </c>
      <c r="F192" s="244">
        <v>0.25793105022145213</v>
      </c>
      <c r="G192" s="244">
        <v>0.27042718826105888</v>
      </c>
      <c r="H192" s="244">
        <v>0.2175625203022642</v>
      </c>
      <c r="I192" s="244">
        <v>2.2821126156451612</v>
      </c>
      <c r="J192" s="244">
        <v>4.1507975662255061E-3</v>
      </c>
      <c r="K192" s="244">
        <v>0.20250343415322827</v>
      </c>
      <c r="L192" s="244">
        <v>1.7218263110605503</v>
      </c>
      <c r="M192" s="244">
        <v>0.48553299159976204</v>
      </c>
      <c r="N192" s="244">
        <v>1.331313631878176</v>
      </c>
      <c r="O192" s="244">
        <v>5.629673361852447</v>
      </c>
      <c r="P192" s="244">
        <v>0.20437607304485245</v>
      </c>
      <c r="Q192" s="244">
        <v>0.47894120247739796</v>
      </c>
      <c r="R192" s="244">
        <v>1.2629274816920315</v>
      </c>
      <c r="S192" s="244">
        <v>0.44210896607864913</v>
      </c>
      <c r="T192" s="244">
        <v>1.5055292042685429</v>
      </c>
      <c r="U192" s="244">
        <v>0.84496162684190679</v>
      </c>
      <c r="V192" s="244">
        <v>0.65069634270921006</v>
      </c>
      <c r="W192" s="244">
        <v>5.0969621769627518E-3</v>
      </c>
      <c r="X192" s="244">
        <v>2.4408286339478752E-2</v>
      </c>
      <c r="Y192" s="244">
        <v>9.9018357464397896E-2</v>
      </c>
      <c r="Z192" s="244">
        <v>2.0986785505497176E-2</v>
      </c>
      <c r="AA192" s="244">
        <v>2.901666285556373E-2</v>
      </c>
      <c r="AB192" s="244">
        <v>0.48573640552995356</v>
      </c>
      <c r="AC192" s="244">
        <v>6.1776457338898132E-2</v>
      </c>
      <c r="AD192" s="244">
        <v>2.6464921877143149E-2</v>
      </c>
      <c r="AE192" s="244">
        <v>0.45332863122363554</v>
      </c>
      <c r="AF192" s="244">
        <v>0.15684714838630895</v>
      </c>
      <c r="AG192" s="244">
        <v>1.1836654051612909</v>
      </c>
      <c r="AH192" s="244">
        <v>7.8501822788945727E-2</v>
      </c>
      <c r="AI192" s="244"/>
      <c r="AJ192" s="244"/>
      <c r="AK192" s="244"/>
      <c r="AL192" s="244"/>
      <c r="AM192" s="244"/>
      <c r="AN192" s="244"/>
      <c r="AO192" s="955" t="s">
        <v>29</v>
      </c>
    </row>
    <row r="193" spans="1:41" ht="14.1" customHeight="1">
      <c r="A193" s="234" t="s">
        <v>2051</v>
      </c>
      <c r="B193" s="261">
        <f>AVERAGE(B194:B205)</f>
        <v>1.7000182795698928</v>
      </c>
      <c r="C193" s="261">
        <f t="shared" ref="C193:AD193" si="15">AVERAGE(C194:C205)</f>
        <v>2.009349931898202</v>
      </c>
      <c r="D193" s="261">
        <f t="shared" si="15"/>
        <v>1.2719028085336663</v>
      </c>
      <c r="E193" s="261">
        <f t="shared" si="15"/>
        <v>0.46284313704014973</v>
      </c>
      <c r="F193" s="261">
        <f t="shared" si="15"/>
        <v>0.2574301486161063</v>
      </c>
      <c r="G193" s="261">
        <f t="shared" si="15"/>
        <v>0.26960071357497317</v>
      </c>
      <c r="H193" s="261">
        <f t="shared" si="15"/>
        <v>0.21690594624092349</v>
      </c>
      <c r="I193" s="261">
        <f t="shared" si="15"/>
        <v>2.2708028223711918</v>
      </c>
      <c r="J193" s="261">
        <f t="shared" si="15"/>
        <v>3.9584262772437359E-3</v>
      </c>
      <c r="K193" s="261">
        <f t="shared" si="15"/>
        <v>0.19603404016884007</v>
      </c>
      <c r="L193" s="261">
        <f t="shared" si="15"/>
        <v>1.7390099949566105</v>
      </c>
      <c r="M193" s="261">
        <f t="shared" si="15"/>
        <v>0.473559561151359</v>
      </c>
      <c r="N193" s="261">
        <f t="shared" si="15"/>
        <v>1.3127109064837192</v>
      </c>
      <c r="O193" s="261">
        <f t="shared" si="15"/>
        <v>5.6278143861887058</v>
      </c>
      <c r="P193" s="261">
        <f t="shared" si="15"/>
        <v>0.20920215332612566</v>
      </c>
      <c r="Q193" s="261">
        <f t="shared" si="15"/>
        <v>0.47194345156671552</v>
      </c>
      <c r="R193" s="261">
        <f t="shared" si="15"/>
        <v>1.2608853119977661</v>
      </c>
      <c r="S193" s="261">
        <f t="shared" si="15"/>
        <v>0.36324775412156923</v>
      </c>
      <c r="T193" s="261">
        <f t="shared" si="15"/>
        <v>1.5401637241387018</v>
      </c>
      <c r="U193" s="261">
        <f t="shared" si="15"/>
        <v>0.83514205117453122</v>
      </c>
      <c r="V193" s="261">
        <f t="shared" si="15"/>
        <v>0.67194517339978199</v>
      </c>
      <c r="W193" s="261">
        <f t="shared" si="15"/>
        <v>4.9483596740986227E-3</v>
      </c>
      <c r="X193" s="261">
        <f t="shared" si="15"/>
        <v>2.4700459412636253E-2</v>
      </c>
      <c r="Y193" s="261">
        <f t="shared" si="15"/>
        <v>0.10123128874706938</v>
      </c>
      <c r="Z193" s="261">
        <f t="shared" si="15"/>
        <v>2.0916823305146961E-2</v>
      </c>
      <c r="AA193" s="261">
        <f t="shared" si="15"/>
        <v>2.7230669099730837E-2</v>
      </c>
      <c r="AB193" s="261">
        <f t="shared" si="15"/>
        <v>0.48574436497367257</v>
      </c>
      <c r="AC193" s="261">
        <f t="shared" si="15"/>
        <v>6.2583208035858928E-2</v>
      </c>
      <c r="AD193" s="261">
        <f t="shared" si="15"/>
        <v>2.4921767374481249E-2</v>
      </c>
      <c r="AE193" s="261">
        <f t="shared" ref="AE193:AF193" si="16">AVERAGE(AE194:AE205)</f>
        <v>0.45326255732167114</v>
      </c>
      <c r="AF193" s="261">
        <f t="shared" si="16"/>
        <v>0.15468403622023488</v>
      </c>
      <c r="AG193" s="261">
        <f t="shared" ref="AG193" si="17">AVERAGE(AG194:AG205)</f>
        <v>1.1777854195074886</v>
      </c>
      <c r="AH193" s="261">
        <v>7.834217810232709E-2</v>
      </c>
      <c r="AI193" s="261"/>
      <c r="AJ193" s="261"/>
      <c r="AK193" s="261"/>
      <c r="AL193" s="261"/>
      <c r="AM193" s="261"/>
      <c r="AN193" s="261"/>
      <c r="AO193" s="68" t="s">
        <v>2051</v>
      </c>
    </row>
    <row r="194" spans="1:41" ht="14.1" customHeight="1">
      <c r="A194" s="954" t="s">
        <v>18</v>
      </c>
      <c r="B194" s="244">
        <v>1.7000999999999993</v>
      </c>
      <c r="C194" s="244">
        <v>2.0704924295161287</v>
      </c>
      <c r="D194" s="244">
        <v>1.3504389524193545</v>
      </c>
      <c r="E194" s="244">
        <v>0.46286387546052438</v>
      </c>
      <c r="F194" s="244">
        <v>0.26433600862762546</v>
      </c>
      <c r="G194" s="244">
        <v>0.27807799834005503</v>
      </c>
      <c r="H194" s="244">
        <v>0.21739064749068457</v>
      </c>
      <c r="I194" s="244">
        <v>2.3436743987096778</v>
      </c>
      <c r="J194" s="244">
        <v>4.0831142635449026E-3</v>
      </c>
      <c r="K194" s="244">
        <v>0.21089825995691938</v>
      </c>
      <c r="L194" s="244">
        <v>1.7655992536013458</v>
      </c>
      <c r="M194" s="244">
        <v>0.49647442746336407</v>
      </c>
      <c r="N194" s="244">
        <v>1.366011872069181</v>
      </c>
      <c r="O194" s="244">
        <v>5.6510060656940073</v>
      </c>
      <c r="P194" s="244">
        <v>0.21436813308165489</v>
      </c>
      <c r="Q194" s="244">
        <v>0.49757162470212768</v>
      </c>
      <c r="R194" s="244">
        <v>1.2857338250711217</v>
      </c>
      <c r="S194" s="244">
        <v>0.45082060405697327</v>
      </c>
      <c r="T194" s="244">
        <v>1.5303113399749715</v>
      </c>
      <c r="U194" s="244">
        <v>0.85446072590623934</v>
      </c>
      <c r="V194" s="244">
        <v>0.66709463840855998</v>
      </c>
      <c r="W194" s="244">
        <v>5.203347224253153E-3</v>
      </c>
      <c r="X194" s="244">
        <v>2.4655582549363106E-2</v>
      </c>
      <c r="Y194" s="244">
        <v>0.10027683148596472</v>
      </c>
      <c r="Z194" s="244">
        <v>2.0870598842012325E-2</v>
      </c>
      <c r="AA194" s="244">
        <v>3.0007608577132396E-2</v>
      </c>
      <c r="AB194" s="244">
        <v>0.48589884957444124</v>
      </c>
      <c r="AC194" s="244">
        <v>5.9782517307097813E-2</v>
      </c>
      <c r="AD194" s="244">
        <v>2.6719110341884851E-2</v>
      </c>
      <c r="AE194" s="244">
        <v>0.45332326441306459</v>
      </c>
      <c r="AF194" s="244">
        <v>0.15946211326534387</v>
      </c>
      <c r="AG194" s="244">
        <v>1.2325674108064515</v>
      </c>
      <c r="AH194" s="244">
        <v>8.1353829697808633E-2</v>
      </c>
      <c r="AI194" s="244"/>
      <c r="AJ194" s="244"/>
      <c r="AK194" s="244"/>
      <c r="AL194" s="244"/>
      <c r="AM194" s="244"/>
      <c r="AN194" s="244"/>
      <c r="AO194" s="955" t="s">
        <v>18</v>
      </c>
    </row>
    <row r="195" spans="1:41" ht="14.1" customHeight="1">
      <c r="A195" s="954" t="s">
        <v>19</v>
      </c>
      <c r="B195" s="244">
        <v>1.7000999999999993</v>
      </c>
      <c r="C195" s="244">
        <v>2.1030240398214288</v>
      </c>
      <c r="D195" s="244">
        <v>1.3401523992857141</v>
      </c>
      <c r="E195" s="244">
        <v>0.46286279358939092</v>
      </c>
      <c r="F195" s="244">
        <v>0.26896984827660603</v>
      </c>
      <c r="G195" s="244">
        <v>0.28243191255411337</v>
      </c>
      <c r="H195" s="244">
        <v>0.21736008829381076</v>
      </c>
      <c r="I195" s="244">
        <v>2.3819899812500003</v>
      </c>
      <c r="J195" s="244">
        <v>3.7517374507606981E-3</v>
      </c>
      <c r="K195" s="244">
        <v>0.21190564154714989</v>
      </c>
      <c r="L195" s="244">
        <v>1.8225696092904151</v>
      </c>
      <c r="M195" s="244">
        <v>0.48670294085862492</v>
      </c>
      <c r="N195" s="244">
        <v>1.3552334390450427</v>
      </c>
      <c r="O195" s="244">
        <v>5.6708811718454673</v>
      </c>
      <c r="P195" s="244">
        <v>0.21741765078191691</v>
      </c>
      <c r="Q195" s="244">
        <v>0.50466034242791835</v>
      </c>
      <c r="R195" s="244">
        <v>1.2888649691630081</v>
      </c>
      <c r="S195" s="244">
        <v>0.44947769071031474</v>
      </c>
      <c r="T195" s="244">
        <v>1.576240815330161</v>
      </c>
      <c r="U195" s="244">
        <v>0.85994656295938843</v>
      </c>
      <c r="V195" s="244">
        <v>0.69034963904733437</v>
      </c>
      <c r="W195" s="244">
        <v>5.2835573743780983E-3</v>
      </c>
      <c r="X195" s="244">
        <v>2.487077925180502E-2</v>
      </c>
      <c r="Y195" s="244">
        <v>0.10200233941043524</v>
      </c>
      <c r="Z195" s="244">
        <v>2.0775632819944066E-2</v>
      </c>
      <c r="AA195" s="244">
        <v>2.9930642390997221E-2</v>
      </c>
      <c r="AB195" s="244">
        <v>0.48579249364982019</v>
      </c>
      <c r="AC195" s="244">
        <v>6.2610936441366949E-2</v>
      </c>
      <c r="AD195" s="244">
        <v>2.6416188418558285E-2</v>
      </c>
      <c r="AE195" s="244">
        <v>0.45332567708130461</v>
      </c>
      <c r="AF195" s="244">
        <v>0.15756151469474691</v>
      </c>
      <c r="AG195" s="244">
        <v>1.2435685039285713</v>
      </c>
      <c r="AH195" s="244">
        <v>8.3060908009085957E-2</v>
      </c>
      <c r="AI195" s="244"/>
      <c r="AJ195" s="244"/>
      <c r="AK195" s="244"/>
      <c r="AL195" s="244"/>
      <c r="AM195" s="244"/>
      <c r="AN195" s="244"/>
      <c r="AO195" s="955" t="s">
        <v>19</v>
      </c>
    </row>
    <row r="196" spans="1:41" ht="14.1" customHeight="1">
      <c r="A196" s="954" t="s">
        <v>20</v>
      </c>
      <c r="B196" s="244">
        <v>1.7000193548387104</v>
      </c>
      <c r="C196" s="244">
        <v>2.093688933870967</v>
      </c>
      <c r="D196" s="244">
        <v>1.3180058130645165</v>
      </c>
      <c r="E196" s="244">
        <v>0.46284320377966209</v>
      </c>
      <c r="F196" s="244">
        <v>0.26879163432332165</v>
      </c>
      <c r="G196" s="244">
        <v>0.28106919511494144</v>
      </c>
      <c r="H196" s="244">
        <v>0.21682649308610177</v>
      </c>
      <c r="I196" s="244">
        <v>2.3652833003225817</v>
      </c>
      <c r="J196" s="244">
        <v>3.7745019197560053E-3</v>
      </c>
      <c r="K196" s="244">
        <v>0.20638450791122506</v>
      </c>
      <c r="L196" s="244">
        <v>1.7928054565439879</v>
      </c>
      <c r="M196" s="244">
        <v>0.49091326084632336</v>
      </c>
      <c r="N196" s="244">
        <v>1.3115624555503989</v>
      </c>
      <c r="O196" s="244">
        <v>5.6672437803129654</v>
      </c>
      <c r="P196" s="244">
        <v>0.2186438843312693</v>
      </c>
      <c r="Q196" s="244">
        <v>0.49781163580283133</v>
      </c>
      <c r="R196" s="244">
        <v>1.291509169874987</v>
      </c>
      <c r="S196" s="244">
        <v>0.43807477526674476</v>
      </c>
      <c r="T196" s="244">
        <v>1.6031623462505105</v>
      </c>
      <c r="U196" s="244">
        <v>0.86782131433113796</v>
      </c>
      <c r="V196" s="244">
        <v>0.69508003134364393</v>
      </c>
      <c r="W196" s="244">
        <v>5.2978134207125639E-3</v>
      </c>
      <c r="X196" s="244">
        <v>2.4933935333088002E-2</v>
      </c>
      <c r="Y196" s="244">
        <v>0.10257783757295127</v>
      </c>
      <c r="Z196" s="244">
        <v>2.0864344853785709E-2</v>
      </c>
      <c r="AA196" s="244">
        <v>2.9749668300187968E-2</v>
      </c>
      <c r="AB196" s="244">
        <v>0.48571981566820277</v>
      </c>
      <c r="AC196" s="244">
        <v>6.4520684836577177E-2</v>
      </c>
      <c r="AD196" s="244">
        <v>2.6141374010524035E-2</v>
      </c>
      <c r="AE196" s="244">
        <v>0.45330768977883734</v>
      </c>
      <c r="AF196" s="244">
        <v>0.15872941559640907</v>
      </c>
      <c r="AG196" s="244">
        <v>1.23210547419355</v>
      </c>
      <c r="AH196" s="244">
        <v>8.2353404940332262E-2</v>
      </c>
      <c r="AI196" s="244"/>
      <c r="AJ196" s="244"/>
      <c r="AK196" s="244"/>
      <c r="AL196" s="244"/>
      <c r="AM196" s="244"/>
      <c r="AN196" s="244"/>
      <c r="AO196" s="955" t="s">
        <v>20</v>
      </c>
    </row>
    <row r="197" spans="1:41" ht="14.1" customHeight="1">
      <c r="A197" s="954" t="s">
        <v>21</v>
      </c>
      <c r="B197" s="244">
        <v>1.7000000000000006</v>
      </c>
      <c r="C197" s="244">
        <v>2.0870748333333338</v>
      </c>
      <c r="D197" s="244">
        <v>1.3068665000000002</v>
      </c>
      <c r="E197" s="244">
        <v>0.46283544800993076</v>
      </c>
      <c r="F197" s="244">
        <v>0.2699143433889557</v>
      </c>
      <c r="G197" s="244">
        <v>0.28019985504106348</v>
      </c>
      <c r="H197" s="244">
        <v>0.21660494371116812</v>
      </c>
      <c r="I197" s="244">
        <v>2.3930021666666663</v>
      </c>
      <c r="J197" s="244">
        <v>3.6917533821081965E-3</v>
      </c>
      <c r="K197" s="244">
        <v>0.20126073229015842</v>
      </c>
      <c r="L197" s="244">
        <v>1.7563938008870963</v>
      </c>
      <c r="M197" s="244">
        <v>0.48104155778260566</v>
      </c>
      <c r="N197" s="244">
        <v>1.3347876047738907</v>
      </c>
      <c r="O197" s="244">
        <v>5.6647226198447944</v>
      </c>
      <c r="P197" s="244">
        <v>0.21685239959728511</v>
      </c>
      <c r="Q197" s="244">
        <v>0.49782483366214275</v>
      </c>
      <c r="R197" s="244">
        <v>1.2923576584201293</v>
      </c>
      <c r="S197" s="244">
        <v>0.41897119056430759</v>
      </c>
      <c r="T197" s="244">
        <v>1.5800523028659099</v>
      </c>
      <c r="U197" s="244">
        <v>0.85014505237788618</v>
      </c>
      <c r="V197" s="244">
        <v>0.70058181513555517</v>
      </c>
      <c r="W197" s="244">
        <v>5.2330156010868805E-3</v>
      </c>
      <c r="X197" s="244">
        <v>2.4787600607635189E-2</v>
      </c>
      <c r="Y197" s="244">
        <v>0.10344734359299497</v>
      </c>
      <c r="Z197" s="244">
        <v>2.0952390782856229E-2</v>
      </c>
      <c r="AA197" s="244">
        <v>2.8144049194741332E-2</v>
      </c>
      <c r="AB197" s="244">
        <v>0.48580693507732137</v>
      </c>
      <c r="AC197" s="244">
        <v>6.5037306397247641E-2</v>
      </c>
      <c r="AD197" s="244">
        <v>2.5898148709182452E-2</v>
      </c>
      <c r="AE197" s="244">
        <v>0.45330593371071853</v>
      </c>
      <c r="AF197" s="244">
        <v>0.15912825169447944</v>
      </c>
      <c r="AG197" s="244">
        <v>1.2315536666666667</v>
      </c>
      <c r="AH197" s="244">
        <v>8.230028697552251E-2</v>
      </c>
      <c r="AI197" s="244"/>
      <c r="AJ197" s="244"/>
      <c r="AK197" s="244"/>
      <c r="AL197" s="244"/>
      <c r="AM197" s="244"/>
      <c r="AN197" s="244"/>
      <c r="AO197" s="955" t="s">
        <v>21</v>
      </c>
    </row>
    <row r="198" spans="1:41" ht="14.1" customHeight="1">
      <c r="A198" s="954" t="s">
        <v>22</v>
      </c>
      <c r="B198" s="244">
        <v>1.7000000000000008</v>
      </c>
      <c r="C198" s="244">
        <v>2.0127643548387097</v>
      </c>
      <c r="D198" s="244">
        <v>1.2803879032258063</v>
      </c>
      <c r="E198" s="244">
        <v>0.46282939839823134</v>
      </c>
      <c r="F198" s="244">
        <v>0.26693869477726656</v>
      </c>
      <c r="G198" s="244">
        <v>0.27021716002922219</v>
      </c>
      <c r="H198" s="244">
        <v>0.21660084207080887</v>
      </c>
      <c r="I198" s="244">
        <v>2.2931875806451618</v>
      </c>
      <c r="J198" s="244">
        <v>4.0543360690521524E-3</v>
      </c>
      <c r="K198" s="244">
        <v>0.1941775882327432</v>
      </c>
      <c r="L198" s="244">
        <v>1.7040570104024841</v>
      </c>
      <c r="M198" s="244">
        <v>0.47369279239706374</v>
      </c>
      <c r="N198" s="244">
        <v>1.3229389272883847</v>
      </c>
      <c r="O198" s="244">
        <v>5.6327978641209775</v>
      </c>
      <c r="P198" s="244">
        <v>0.21027581720065081</v>
      </c>
      <c r="Q198" s="244">
        <v>0.47006779283285227</v>
      </c>
      <c r="R198" s="244">
        <v>1.2702058131930607</v>
      </c>
      <c r="S198" s="244">
        <v>0.38592219967974584</v>
      </c>
      <c r="T198" s="244">
        <v>1.5497203923511127</v>
      </c>
      <c r="U198" s="244">
        <v>0.84686401072673367</v>
      </c>
      <c r="V198" s="244">
        <v>0.69233013798126086</v>
      </c>
      <c r="W198" s="244">
        <v>5.1807641570734897E-3</v>
      </c>
      <c r="X198" s="244">
        <v>2.4790403931737395E-2</v>
      </c>
      <c r="Y198" s="244">
        <v>0.10200937483071555</v>
      </c>
      <c r="Z198" s="244">
        <v>2.0853733770599119E-2</v>
      </c>
      <c r="AA198" s="244">
        <v>2.7306063529547762E-2</v>
      </c>
      <c r="AB198" s="244">
        <v>0.48571428571428571</v>
      </c>
      <c r="AC198" s="244">
        <v>6.4953818001475108E-2</v>
      </c>
      <c r="AD198" s="244">
        <v>2.5175088735204954E-2</v>
      </c>
      <c r="AE198" s="244">
        <v>0.45329395044197118</v>
      </c>
      <c r="AF198" s="244">
        <v>0.15796402345003568</v>
      </c>
      <c r="AG198" s="244">
        <v>1.1817495161290319</v>
      </c>
      <c r="AH198" s="244">
        <v>7.8559283030070454E-2</v>
      </c>
      <c r="AI198" s="244"/>
      <c r="AJ198" s="244"/>
      <c r="AK198" s="244"/>
      <c r="AL198" s="244"/>
      <c r="AM198" s="244"/>
      <c r="AN198" s="244"/>
      <c r="AO198" s="955" t="s">
        <v>22</v>
      </c>
    </row>
    <row r="199" spans="1:41" ht="14.1" customHeight="1">
      <c r="A199" s="954" t="s">
        <v>23</v>
      </c>
      <c r="B199" s="244">
        <v>1.7000000000000006</v>
      </c>
      <c r="C199" s="244">
        <v>1.9906603333333335</v>
      </c>
      <c r="D199" s="244">
        <v>1.2779835000000002</v>
      </c>
      <c r="E199" s="244">
        <v>0.46283334785620689</v>
      </c>
      <c r="F199" s="244">
        <v>0.26339523979061352</v>
      </c>
      <c r="G199" s="244">
        <v>0.26723406855393889</v>
      </c>
      <c r="H199" s="244">
        <v>0.21665320150787074</v>
      </c>
      <c r="I199" s="244">
        <v>2.2625215000000001</v>
      </c>
      <c r="J199" s="244">
        <v>4.024885065600785E-3</v>
      </c>
      <c r="K199" s="244">
        <v>0.19383006887388435</v>
      </c>
      <c r="L199" s="244">
        <v>1.7208513943050363</v>
      </c>
      <c r="M199" s="244">
        <v>0.47280236923057434</v>
      </c>
      <c r="N199" s="244">
        <v>1.2992950509359418</v>
      </c>
      <c r="O199" s="244">
        <v>5.6221415197443338</v>
      </c>
      <c r="P199" s="244">
        <v>0.20997867268002077</v>
      </c>
      <c r="Q199" s="244">
        <v>0.4627462102647712</v>
      </c>
      <c r="R199" s="244">
        <v>1.2639946296144078</v>
      </c>
      <c r="S199" s="244">
        <v>0.36854064756997867</v>
      </c>
      <c r="T199" s="244">
        <v>1.545818065174339</v>
      </c>
      <c r="U199" s="244">
        <v>0.84857488168340089</v>
      </c>
      <c r="V199" s="244">
        <v>0.69127398476684243</v>
      </c>
      <c r="W199" s="244">
        <v>5.0576047708510282E-3</v>
      </c>
      <c r="X199" s="244">
        <v>2.4882920200870511E-2</v>
      </c>
      <c r="Y199" s="244">
        <v>0.10089964106284879</v>
      </c>
      <c r="Z199" s="244">
        <v>2.0832105742579769E-2</v>
      </c>
      <c r="AA199" s="244">
        <v>2.710619789958375E-2</v>
      </c>
      <c r="AB199" s="244">
        <v>0.48571428571428571</v>
      </c>
      <c r="AC199" s="244">
        <v>6.4883319183139984E-2</v>
      </c>
      <c r="AD199" s="244">
        <v>2.5109999214592432E-2</v>
      </c>
      <c r="AE199" s="244">
        <v>0.45330553091428849</v>
      </c>
      <c r="AF199" s="244">
        <v>0.15603764874232506</v>
      </c>
      <c r="AG199" s="244">
        <v>1.1833558333333338</v>
      </c>
      <c r="AH199" s="244">
        <v>7.7197410769155039E-2</v>
      </c>
      <c r="AI199" s="244"/>
      <c r="AJ199" s="244"/>
      <c r="AK199" s="244"/>
      <c r="AL199" s="244"/>
      <c r="AM199" s="244"/>
      <c r="AN199" s="244"/>
      <c r="AO199" s="955" t="s">
        <v>23</v>
      </c>
    </row>
    <row r="200" spans="1:41" ht="14.1" customHeight="1">
      <c r="A200" s="954" t="s">
        <v>24</v>
      </c>
      <c r="B200" s="244">
        <v>1.7000000000000008</v>
      </c>
      <c r="C200" s="244">
        <v>1.9853395161290321</v>
      </c>
      <c r="D200" s="244">
        <v>1.2580000000000002</v>
      </c>
      <c r="E200" s="244">
        <v>0.4628354953918653</v>
      </c>
      <c r="F200" s="244">
        <v>0.25316000906131492</v>
      </c>
      <c r="G200" s="244">
        <v>0.26640851859900289</v>
      </c>
      <c r="H200" s="244">
        <v>0.21661868613383953</v>
      </c>
      <c r="I200" s="244">
        <v>2.2368983870967734</v>
      </c>
      <c r="J200" s="244">
        <v>3.9232103090953039E-3</v>
      </c>
      <c r="K200" s="244">
        <v>0.19242944127713124</v>
      </c>
      <c r="L200" s="244">
        <v>1.7082061686245649</v>
      </c>
      <c r="M200" s="244">
        <v>0.46665675420155306</v>
      </c>
      <c r="N200" s="244">
        <v>1.2929618258919533</v>
      </c>
      <c r="O200" s="244">
        <v>5.6158809080344785</v>
      </c>
      <c r="P200" s="244">
        <v>0.20896321895079217</v>
      </c>
      <c r="Q200" s="244">
        <v>0.45857372664622525</v>
      </c>
      <c r="R200" s="244">
        <v>1.2464949168593566</v>
      </c>
      <c r="S200" s="244">
        <v>0.35688070793425514</v>
      </c>
      <c r="T200" s="244">
        <v>1.5254899707085328</v>
      </c>
      <c r="U200" s="244">
        <v>0.85628607528326517</v>
      </c>
      <c r="V200" s="244">
        <v>0.69421792341744748</v>
      </c>
      <c r="W200" s="244">
        <v>4.9363109918855001E-3</v>
      </c>
      <c r="X200" s="244">
        <v>2.4924660125593526E-2</v>
      </c>
      <c r="Y200" s="244">
        <v>0.10190972532715196</v>
      </c>
      <c r="Z200" s="244">
        <v>2.1416822677279554E-2</v>
      </c>
      <c r="AA200" s="244">
        <v>2.7021883083911478E-2</v>
      </c>
      <c r="AB200" s="244">
        <v>0.48571428571428571</v>
      </c>
      <c r="AC200" s="244">
        <v>6.4393822502970863E-2</v>
      </c>
      <c r="AD200" s="244">
        <v>2.4745685404226218E-2</v>
      </c>
      <c r="AE200" s="244">
        <v>0.45329453529722202</v>
      </c>
      <c r="AF200" s="244">
        <v>0.15140057762625847</v>
      </c>
      <c r="AG200" s="244">
        <v>1.153759838709677</v>
      </c>
      <c r="AH200" s="244">
        <v>7.6769146468937496E-2</v>
      </c>
      <c r="AI200" s="244"/>
      <c r="AJ200" s="244"/>
      <c r="AK200" s="244"/>
      <c r="AL200" s="244"/>
      <c r="AM200" s="244"/>
      <c r="AN200" s="244"/>
      <c r="AO200" s="955" t="s">
        <v>24</v>
      </c>
    </row>
    <row r="201" spans="1:41" ht="14.1" customHeight="1">
      <c r="A201" s="954" t="s">
        <v>25</v>
      </c>
      <c r="B201" s="244">
        <v>1.7000000000000008</v>
      </c>
      <c r="C201" s="244">
        <v>1.9614901612903235</v>
      </c>
      <c r="D201" s="244">
        <v>1.2459464516129033</v>
      </c>
      <c r="E201" s="244">
        <v>0.46284626782153404</v>
      </c>
      <c r="F201" s="244">
        <v>0.24802735894941191</v>
      </c>
      <c r="G201" s="244">
        <v>0.26308583535164559</v>
      </c>
      <c r="H201" s="244">
        <v>0.21657426016623677</v>
      </c>
      <c r="I201" s="244">
        <v>2.187831451612904</v>
      </c>
      <c r="J201" s="244">
        <v>4.0101728731511662E-3</v>
      </c>
      <c r="K201" s="244">
        <v>0.18771457090581647</v>
      </c>
      <c r="L201" s="244">
        <v>1.7167977669157861</v>
      </c>
      <c r="M201" s="244">
        <v>0.46345387252482589</v>
      </c>
      <c r="N201" s="244">
        <v>1.3029768486374498</v>
      </c>
      <c r="O201" s="244">
        <v>5.6089325808710564</v>
      </c>
      <c r="P201" s="244">
        <v>0.20386482847071635</v>
      </c>
      <c r="Q201" s="244">
        <v>0.45764174598663243</v>
      </c>
      <c r="R201" s="244">
        <v>1.2415630745937274</v>
      </c>
      <c r="S201" s="244">
        <v>0.29333977387385313</v>
      </c>
      <c r="T201" s="244">
        <v>1.5307244675778691</v>
      </c>
      <c r="U201" s="244">
        <v>0.83364245108434498</v>
      </c>
      <c r="V201" s="244">
        <v>0.67343863389948766</v>
      </c>
      <c r="W201" s="244">
        <v>4.7644253389759906E-3</v>
      </c>
      <c r="X201" s="244">
        <v>2.4750394552775057E-2</v>
      </c>
      <c r="Y201" s="244">
        <v>0.10239107573239369</v>
      </c>
      <c r="Z201" s="244">
        <v>2.1581353000028829E-2</v>
      </c>
      <c r="AA201" s="244">
        <v>2.5669457980729591E-2</v>
      </c>
      <c r="AB201" s="244">
        <v>0.48571428571428571</v>
      </c>
      <c r="AC201" s="244">
        <v>6.1861325254389095E-2</v>
      </c>
      <c r="AD201" s="244">
        <v>2.4455512863331006E-2</v>
      </c>
      <c r="AE201" s="244">
        <v>0.45326685486515822</v>
      </c>
      <c r="AF201" s="244">
        <v>0.15150972348044014</v>
      </c>
      <c r="AG201" s="244">
        <v>1.1325729032258065</v>
      </c>
      <c r="AH201" s="244">
        <v>7.6376890705450423E-2</v>
      </c>
      <c r="AI201" s="244"/>
      <c r="AJ201" s="244"/>
      <c r="AK201" s="244"/>
      <c r="AL201" s="244"/>
      <c r="AM201" s="244"/>
      <c r="AN201" s="244"/>
      <c r="AO201" s="955" t="s">
        <v>25</v>
      </c>
    </row>
    <row r="202" spans="1:41" ht="14.1" customHeight="1">
      <c r="A202" s="954" t="s">
        <v>26</v>
      </c>
      <c r="B202" s="244">
        <v>1.7000000000000006</v>
      </c>
      <c r="C202" s="244">
        <v>1.9838744999999998</v>
      </c>
      <c r="D202" s="244">
        <v>1.2256518333333331</v>
      </c>
      <c r="E202" s="244">
        <v>0.46284069842569064</v>
      </c>
      <c r="F202" s="244">
        <v>0.24803907159912264</v>
      </c>
      <c r="G202" s="244">
        <v>0.26601432727385993</v>
      </c>
      <c r="H202" s="244">
        <v>0.21687135925506487</v>
      </c>
      <c r="I202" s="244">
        <v>2.2205966666666659</v>
      </c>
      <c r="J202" s="244">
        <v>4.047619047619049E-3</v>
      </c>
      <c r="K202" s="244">
        <v>0.18981550404556133</v>
      </c>
      <c r="L202" s="244">
        <v>1.7573059607167196</v>
      </c>
      <c r="M202" s="244">
        <v>0.4738412028320228</v>
      </c>
      <c r="N202" s="244">
        <v>1.3044763260591914</v>
      </c>
      <c r="O202" s="244">
        <v>5.6137123589220472</v>
      </c>
      <c r="P202" s="244">
        <v>0.20595982392963572</v>
      </c>
      <c r="Q202" s="244">
        <v>0.46141754416530939</v>
      </c>
      <c r="R202" s="244">
        <v>1.2404133051808086</v>
      </c>
      <c r="S202" s="244">
        <v>0.26853712521062373</v>
      </c>
      <c r="T202" s="244">
        <v>1.5188154237619333</v>
      </c>
      <c r="U202" s="244">
        <v>0.8040721678602567</v>
      </c>
      <c r="V202" s="244">
        <v>0.65219093154543606</v>
      </c>
      <c r="W202" s="244">
        <v>4.6300064773124603E-3</v>
      </c>
      <c r="X202" s="244">
        <v>2.4569511675598121E-2</v>
      </c>
      <c r="Y202" s="244">
        <v>0.10131440295568359</v>
      </c>
      <c r="Z202" s="244">
        <v>2.1228427896773996E-2</v>
      </c>
      <c r="AA202" s="244">
        <v>2.5130135734556469E-2</v>
      </c>
      <c r="AB202" s="244">
        <v>0.48571428571428571</v>
      </c>
      <c r="AC202" s="244">
        <v>6.0319476268163627E-2</v>
      </c>
      <c r="AD202" s="244">
        <v>2.3592172343725844E-2</v>
      </c>
      <c r="AE202" s="244">
        <v>0.45325295811975697</v>
      </c>
      <c r="AF202" s="244">
        <v>0.15195359958659435</v>
      </c>
      <c r="AG202" s="244">
        <v>1.1229604999999998</v>
      </c>
      <c r="AH202" s="244">
        <v>7.7415876049239413E-2</v>
      </c>
      <c r="AI202" s="244"/>
      <c r="AJ202" s="244"/>
      <c r="AK202" s="244"/>
      <c r="AL202" s="244"/>
      <c r="AM202" s="244"/>
      <c r="AN202" s="244"/>
      <c r="AO202" s="955" t="s">
        <v>26</v>
      </c>
    </row>
    <row r="203" spans="1:41" ht="14.1" customHeight="1">
      <c r="A203" s="954" t="s">
        <v>27</v>
      </c>
      <c r="B203" s="244">
        <v>1.7000000000000008</v>
      </c>
      <c r="C203" s="244">
        <v>1.9536454838709669</v>
      </c>
      <c r="D203" s="244">
        <v>1.2073043548387101</v>
      </c>
      <c r="E203" s="244">
        <v>0.46284037322691168</v>
      </c>
      <c r="F203" s="244">
        <v>0.24571117875860971</v>
      </c>
      <c r="G203" s="244">
        <v>0.26188769450481947</v>
      </c>
      <c r="H203" s="244">
        <v>0.21689809457647222</v>
      </c>
      <c r="I203" s="244">
        <v>2.2134329032258062</v>
      </c>
      <c r="J203" s="244">
        <v>4.047619047619049E-3</v>
      </c>
      <c r="K203" s="244">
        <v>0.1880436182621868</v>
      </c>
      <c r="L203" s="244">
        <v>1.7111704658400482</v>
      </c>
      <c r="M203" s="244">
        <v>0.46504648573711949</v>
      </c>
      <c r="N203" s="244">
        <v>1.3067995431434025</v>
      </c>
      <c r="O203" s="244">
        <v>5.6029652485038142</v>
      </c>
      <c r="P203" s="244">
        <v>0.20591274152864369</v>
      </c>
      <c r="Q203" s="244">
        <v>0.45384849801674682</v>
      </c>
      <c r="R203" s="244">
        <v>1.2323747417481767</v>
      </c>
      <c r="S203" s="244">
        <v>0.29166002815388814</v>
      </c>
      <c r="T203" s="244">
        <v>1.5069397684236157</v>
      </c>
      <c r="U203" s="244">
        <v>0.80031392646280286</v>
      </c>
      <c r="V203" s="244">
        <v>0.63939028561357947</v>
      </c>
      <c r="W203" s="244">
        <v>4.6323186700245383E-3</v>
      </c>
      <c r="X203" s="244">
        <v>2.4549336833977684E-2</v>
      </c>
      <c r="Y203" s="244">
        <v>9.9967418248837828E-2</v>
      </c>
      <c r="Z203" s="244">
        <v>2.0747742824985975E-2</v>
      </c>
      <c r="AA203" s="244">
        <v>2.5794281611344443E-2</v>
      </c>
      <c r="AB203" s="244">
        <v>0.48571428571428571</v>
      </c>
      <c r="AC203" s="244">
        <v>6.0469109690879562E-2</v>
      </c>
      <c r="AD203" s="244">
        <v>2.3101941544332757E-2</v>
      </c>
      <c r="AE203" s="244">
        <v>0.45320352521921498</v>
      </c>
      <c r="AF203" s="244">
        <v>0.1501322724911785</v>
      </c>
      <c r="AG203" s="244">
        <v>1.1092472580645163</v>
      </c>
      <c r="AH203" s="244">
        <v>7.5646583262654513E-2</v>
      </c>
      <c r="AI203" s="244"/>
      <c r="AJ203" s="244"/>
      <c r="AK203" s="244"/>
      <c r="AL203" s="244"/>
      <c r="AM203" s="244"/>
      <c r="AN203" s="244"/>
      <c r="AO203" s="955" t="s">
        <v>27</v>
      </c>
    </row>
    <row r="204" spans="1:41" ht="14.1" customHeight="1">
      <c r="A204" s="954" t="s">
        <v>28</v>
      </c>
      <c r="B204" s="244">
        <v>1.7000000000000006</v>
      </c>
      <c r="C204" s="244">
        <v>1.9341325000000003</v>
      </c>
      <c r="D204" s="244">
        <v>1.2324858333333333</v>
      </c>
      <c r="E204" s="244">
        <v>0.46284006835841712</v>
      </c>
      <c r="F204" s="244">
        <v>0.24501924444597781</v>
      </c>
      <c r="G204" s="244">
        <v>0.2592334357660851</v>
      </c>
      <c r="H204" s="244">
        <v>0.21708948131970862</v>
      </c>
      <c r="I204" s="244">
        <v>2.1961365000000002</v>
      </c>
      <c r="J204" s="244">
        <v>4.047619047619049E-3</v>
      </c>
      <c r="K204" s="244">
        <v>0.18777551905827369</v>
      </c>
      <c r="L204" s="244">
        <v>1.6982780947417981</v>
      </c>
      <c r="M204" s="244">
        <v>0.45896263715478119</v>
      </c>
      <c r="N204" s="244">
        <v>1.2899958970921934</v>
      </c>
      <c r="O204" s="244">
        <v>5.5920746255157221</v>
      </c>
      <c r="P204" s="244">
        <v>0.20103420119342436</v>
      </c>
      <c r="Q204" s="244">
        <v>0.44973803742502888</v>
      </c>
      <c r="R204" s="244">
        <v>1.236581534549092</v>
      </c>
      <c r="S204" s="244">
        <v>0.31638530227328854</v>
      </c>
      <c r="T204" s="244">
        <v>1.5003229432872029</v>
      </c>
      <c r="U204" s="244">
        <v>0.80188579645642888</v>
      </c>
      <c r="V204" s="244">
        <v>0.63003434474940545</v>
      </c>
      <c r="W204" s="244">
        <v>4.594428969658065E-3</v>
      </c>
      <c r="X204" s="244">
        <v>2.4350061232799206E-2</v>
      </c>
      <c r="Y204" s="244">
        <v>9.9234927109531287E-2</v>
      </c>
      <c r="Z204" s="244">
        <v>2.0559186466766129E-2</v>
      </c>
      <c r="AA204" s="244">
        <v>2.566577332530854E-2</v>
      </c>
      <c r="AB204" s="244">
        <v>0.48571428571428571</v>
      </c>
      <c r="AC204" s="244">
        <v>6.0895681946077161E-2</v>
      </c>
      <c r="AD204" s="244">
        <v>2.3630448665545398E-2</v>
      </c>
      <c r="AE204" s="244">
        <v>0.45314966339424934</v>
      </c>
      <c r="AF204" s="244">
        <v>0.15089238136135441</v>
      </c>
      <c r="AG204" s="244">
        <v>1.1513929999999999</v>
      </c>
      <c r="AH204" s="244">
        <v>7.4574346602186134E-2</v>
      </c>
      <c r="AI204" s="244"/>
      <c r="AJ204" s="244"/>
      <c r="AK204" s="244"/>
      <c r="AL204" s="244"/>
      <c r="AM204" s="244"/>
      <c r="AN204" s="244"/>
      <c r="AO204" s="955" t="s">
        <v>28</v>
      </c>
    </row>
    <row r="205" spans="1:41" ht="14.1" customHeight="1">
      <c r="A205" s="954" t="s">
        <v>29</v>
      </c>
      <c r="B205" s="244">
        <v>1.7000000000000008</v>
      </c>
      <c r="C205" s="244">
        <v>1.9360120967741943</v>
      </c>
      <c r="D205" s="244">
        <v>1.2196101612903223</v>
      </c>
      <c r="E205" s="244">
        <v>0.46284667416343062</v>
      </c>
      <c r="F205" s="244">
        <v>0.24685915139445019</v>
      </c>
      <c r="G205" s="244">
        <v>0.25934856177093085</v>
      </c>
      <c r="H205" s="244">
        <v>0.21738325727931526</v>
      </c>
      <c r="I205" s="244">
        <v>2.155079032258064</v>
      </c>
      <c r="J205" s="244">
        <v>4.0445468509984657E-3</v>
      </c>
      <c r="K205" s="244">
        <v>0.18817302966503113</v>
      </c>
      <c r="L205" s="244">
        <v>1.7140849576100423</v>
      </c>
      <c r="M205" s="244">
        <v>0.4531264327874488</v>
      </c>
      <c r="N205" s="244">
        <v>1.2654910873176006</v>
      </c>
      <c r="O205" s="244">
        <v>5.5914138908548026</v>
      </c>
      <c r="P205" s="244">
        <v>0.19715446816749757</v>
      </c>
      <c r="Q205" s="244">
        <v>0.45141942686799968</v>
      </c>
      <c r="R205" s="244">
        <v>1.2405301057053166</v>
      </c>
      <c r="S205" s="244">
        <v>0.32036300416485741</v>
      </c>
      <c r="T205" s="244">
        <v>1.5143668539582651</v>
      </c>
      <c r="U205" s="244">
        <v>0.7976916489624889</v>
      </c>
      <c r="V205" s="244">
        <v>0.63735971488883025</v>
      </c>
      <c r="W205" s="244">
        <v>4.5667230929716937E-3</v>
      </c>
      <c r="X205" s="244">
        <v>2.4340326656392262E-2</v>
      </c>
      <c r="Y205" s="244">
        <v>9.8744547635323643E-2</v>
      </c>
      <c r="Z205" s="244">
        <v>2.0319539984151827E-2</v>
      </c>
      <c r="AA205" s="244">
        <v>2.5242267568729122E-2</v>
      </c>
      <c r="AB205" s="244">
        <v>0.48571428571428571</v>
      </c>
      <c r="AC205" s="244">
        <v>6.1270498600922089E-2</v>
      </c>
      <c r="AD205" s="244">
        <v>2.4075538242666717E-2</v>
      </c>
      <c r="AE205" s="244">
        <v>0.45312110462426719</v>
      </c>
      <c r="AF205" s="244">
        <v>0.15143691265365269</v>
      </c>
      <c r="AG205" s="244">
        <v>1.1585911290322584</v>
      </c>
      <c r="AH205" s="244">
        <v>7.4894151288677921E-2</v>
      </c>
      <c r="AI205" s="244"/>
      <c r="AJ205" s="244"/>
      <c r="AK205" s="244"/>
      <c r="AL205" s="244"/>
      <c r="AM205" s="244"/>
      <c r="AN205" s="244"/>
      <c r="AO205" s="955" t="s">
        <v>29</v>
      </c>
    </row>
    <row r="206" spans="1:41" ht="14.1" customHeight="1">
      <c r="A206" s="234" t="s">
        <v>2144</v>
      </c>
      <c r="B206" s="261">
        <f>AVERAGE(B207:B218)</f>
        <v>1.7000000000000004</v>
      </c>
      <c r="C206" s="261">
        <f t="shared" ref="C206:AD206" si="18">AVERAGE(C207:C218)</f>
        <v>1.9037410078084995</v>
      </c>
      <c r="D206" s="261">
        <f t="shared" si="18"/>
        <v>1.1821446487135174</v>
      </c>
      <c r="E206" s="261">
        <f t="shared" si="18"/>
        <v>0.46283168901180899</v>
      </c>
      <c r="F206" s="261">
        <f t="shared" si="18"/>
        <v>0.24622386079054551</v>
      </c>
      <c r="G206" s="261">
        <f t="shared" si="18"/>
        <v>0.25498708679367482</v>
      </c>
      <c r="H206" s="261">
        <f t="shared" si="18"/>
        <v>0.21697545536294624</v>
      </c>
      <c r="I206" s="261">
        <f t="shared" si="18"/>
        <v>2.1714416954045057</v>
      </c>
      <c r="J206" s="261">
        <f t="shared" si="18"/>
        <v>4.0312339989759362E-3</v>
      </c>
      <c r="K206" s="261">
        <f t="shared" si="18"/>
        <v>0.17992665389127263</v>
      </c>
      <c r="L206" s="261">
        <f t="shared" si="18"/>
        <v>1.7104707703536814</v>
      </c>
      <c r="M206" s="261">
        <f t="shared" si="18"/>
        <v>0.47704209092279326</v>
      </c>
      <c r="N206" s="261">
        <f t="shared" si="18"/>
        <v>1.2811959361425742</v>
      </c>
      <c r="O206" s="261">
        <f t="shared" si="18"/>
        <v>5.5947235936636952</v>
      </c>
      <c r="P206" s="261">
        <f t="shared" si="18"/>
        <v>0.19335131885593529</v>
      </c>
      <c r="Q206" s="261">
        <f t="shared" si="18"/>
        <v>0.44304885100477759</v>
      </c>
      <c r="R206" s="261">
        <f t="shared" si="18"/>
        <v>1.246328822052502</v>
      </c>
      <c r="S206" s="261">
        <f t="shared" si="18"/>
        <v>0.29989089675002811</v>
      </c>
      <c r="T206" s="261">
        <f t="shared" si="18"/>
        <v>1.5593933190951486</v>
      </c>
      <c r="U206" s="261">
        <f t="shared" si="18"/>
        <v>0.81295354465666358</v>
      </c>
      <c r="V206" s="261">
        <f t="shared" si="18"/>
        <v>0.60499334204071709</v>
      </c>
      <c r="W206" s="261">
        <f t="shared" si="18"/>
        <v>4.4457879452068699E-3</v>
      </c>
      <c r="X206" s="261">
        <f t="shared" si="18"/>
        <v>2.399522745824945E-2</v>
      </c>
      <c r="Y206" s="261">
        <f t="shared" si="18"/>
        <v>9.6807507045663044E-2</v>
      </c>
      <c r="Z206" s="261">
        <f t="shared" si="18"/>
        <v>1.9249522464982478E-2</v>
      </c>
      <c r="AA206" s="261">
        <f t="shared" si="18"/>
        <v>2.6277793717939365E-2</v>
      </c>
      <c r="AB206" s="261">
        <f t="shared" si="18"/>
        <v>0.48570937019969262</v>
      </c>
      <c r="AC206" s="261">
        <f t="shared" si="18"/>
        <v>6.5984987659571073E-2</v>
      </c>
      <c r="AD206" s="261">
        <f t="shared" si="18"/>
        <v>2.4155183793416014E-2</v>
      </c>
      <c r="AE206" s="261">
        <f t="shared" ref="AE206:AF206" si="19">AVERAGE(AE207:AE218)</f>
        <v>0.45325905054330601</v>
      </c>
      <c r="AF206" s="261">
        <f t="shared" si="19"/>
        <v>0.14598484406746146</v>
      </c>
      <c r="AG206" s="261">
        <f t="shared" ref="AG206" si="20">AVERAGE(AG207:AG218)</f>
        <v>1.1204821102790579</v>
      </c>
      <c r="AH206" s="261">
        <v>7.4160231118462455E-2</v>
      </c>
      <c r="AI206" s="261"/>
      <c r="AJ206" s="261"/>
      <c r="AK206" s="261"/>
      <c r="AL206" s="261"/>
      <c r="AM206" s="261"/>
      <c r="AN206" s="261"/>
      <c r="AO206" s="68" t="s">
        <v>2144</v>
      </c>
    </row>
    <row r="207" spans="1:41" ht="14.1" customHeight="1">
      <c r="A207" s="954" t="s">
        <v>18</v>
      </c>
      <c r="B207" s="244">
        <v>1.7000000000000008</v>
      </c>
      <c r="C207" s="244">
        <v>1.9417729032258058</v>
      </c>
      <c r="D207" s="244">
        <v>1.2138274193548384</v>
      </c>
      <c r="E207" s="244">
        <v>0.46283935715907537</v>
      </c>
      <c r="F207" s="244">
        <v>0.2503365220112197</v>
      </c>
      <c r="G207" s="244">
        <v>0.26008825784914713</v>
      </c>
      <c r="H207" s="244">
        <v>0.21680632448771175</v>
      </c>
      <c r="I207" s="244">
        <v>2.1892983870967746</v>
      </c>
      <c r="J207" s="244">
        <v>4.047619047619049E-3</v>
      </c>
      <c r="K207" s="244">
        <v>0.18915697341027848</v>
      </c>
      <c r="L207" s="244">
        <v>1.7190878054716754</v>
      </c>
      <c r="M207" s="244">
        <v>0.4602554877389195</v>
      </c>
      <c r="N207" s="244">
        <v>1.2760723719747575</v>
      </c>
      <c r="O207" s="244">
        <v>5.6069059050895484</v>
      </c>
      <c r="P207" s="244">
        <v>0.19851800540680736</v>
      </c>
      <c r="Q207" s="244">
        <v>0.45251360408722269</v>
      </c>
      <c r="R207" s="244">
        <v>1.2527103883813173</v>
      </c>
      <c r="S207" s="244">
        <v>0.31695351365077684</v>
      </c>
      <c r="T207" s="244">
        <v>1.5595764851063356</v>
      </c>
      <c r="U207" s="244">
        <v>0.78857446776157236</v>
      </c>
      <c r="V207" s="244">
        <v>0.63789803930986477</v>
      </c>
      <c r="W207" s="244">
        <v>4.5009099630899047E-3</v>
      </c>
      <c r="X207" s="244">
        <v>2.430574656952314E-2</v>
      </c>
      <c r="Y207" s="244">
        <v>9.9196719183031079E-2</v>
      </c>
      <c r="Z207" s="244">
        <v>2.0146119198989728E-2</v>
      </c>
      <c r="AA207" s="244">
        <v>2.5395110977770759E-2</v>
      </c>
      <c r="AB207" s="244">
        <v>0.48571428571428571</v>
      </c>
      <c r="AC207" s="244">
        <v>6.100677418483258E-2</v>
      </c>
      <c r="AD207" s="244">
        <v>2.404360445852239E-2</v>
      </c>
      <c r="AE207" s="244">
        <v>0.45320975284697734</v>
      </c>
      <c r="AF207" s="244">
        <v>0.1516171639962299</v>
      </c>
      <c r="AG207" s="244">
        <v>1.1508862903225805</v>
      </c>
      <c r="AH207" s="244">
        <v>7.5718820058469388E-2</v>
      </c>
      <c r="AI207" s="244"/>
      <c r="AJ207" s="244"/>
      <c r="AK207" s="244"/>
      <c r="AL207" s="244"/>
      <c r="AM207" s="244"/>
      <c r="AN207" s="244"/>
      <c r="AO207" s="955" t="s">
        <v>18</v>
      </c>
    </row>
    <row r="208" spans="1:41" ht="14.1" customHeight="1">
      <c r="A208" s="954" t="s">
        <v>19</v>
      </c>
      <c r="B208" s="244">
        <v>1.7000000000000006</v>
      </c>
      <c r="C208" s="244">
        <v>1.9296153571428574</v>
      </c>
      <c r="D208" s="244">
        <v>1.2134691071428569</v>
      </c>
      <c r="E208" s="244">
        <v>0.46283624307045468</v>
      </c>
      <c r="F208" s="244">
        <v>0.25225629149516682</v>
      </c>
      <c r="G208" s="244">
        <v>0.25857023346543206</v>
      </c>
      <c r="H208" s="244">
        <v>0.21663266027364284</v>
      </c>
      <c r="I208" s="244">
        <v>2.2090042857142858</v>
      </c>
      <c r="J208" s="244">
        <v>4.047619047619049E-3</v>
      </c>
      <c r="K208" s="244">
        <v>0.18390911083505493</v>
      </c>
      <c r="L208" s="244">
        <v>1.6978308887387423</v>
      </c>
      <c r="M208" s="244">
        <v>0.46873634237499889</v>
      </c>
      <c r="N208" s="244">
        <v>1.2858690122007481</v>
      </c>
      <c r="O208" s="244">
        <v>5.5996454602627441</v>
      </c>
      <c r="P208" s="244">
        <v>0.19812140306538975</v>
      </c>
      <c r="Q208" s="244">
        <v>0.44724636642725579</v>
      </c>
      <c r="R208" s="244">
        <v>1.2555659815700924</v>
      </c>
      <c r="S208" s="244">
        <v>0.32254260275984725</v>
      </c>
      <c r="T208" s="244">
        <v>1.5423374940411168</v>
      </c>
      <c r="U208" s="244">
        <v>0.78894045365182641</v>
      </c>
      <c r="V208" s="244">
        <v>0.6412937087810251</v>
      </c>
      <c r="W208" s="244">
        <v>4.4998527646776827E-3</v>
      </c>
      <c r="X208" s="244">
        <v>2.4232812096887085E-2</v>
      </c>
      <c r="Y208" s="244">
        <v>9.9280795601982108E-2</v>
      </c>
      <c r="Z208" s="244">
        <v>1.996999471837094E-2</v>
      </c>
      <c r="AA208" s="244">
        <v>2.5819159474498334E-2</v>
      </c>
      <c r="AB208" s="244">
        <v>0.48571428571428571</v>
      </c>
      <c r="AC208" s="244">
        <v>6.255078611835288E-2</v>
      </c>
      <c r="AD208" s="244">
        <v>2.3870633311079463E-2</v>
      </c>
      <c r="AE208" s="244">
        <v>0.4532875731350246</v>
      </c>
      <c r="AF208" s="244">
        <v>0.15139104681814428</v>
      </c>
      <c r="AG208" s="244">
        <v>1.1612092857142857</v>
      </c>
      <c r="AH208" s="244">
        <v>7.4993444975348558E-2</v>
      </c>
      <c r="AI208" s="244"/>
      <c r="AJ208" s="244"/>
      <c r="AK208" s="244"/>
      <c r="AL208" s="244"/>
      <c r="AM208" s="244"/>
      <c r="AN208" s="244"/>
      <c r="AO208" s="955" t="s">
        <v>19</v>
      </c>
    </row>
    <row r="209" spans="1:41" ht="14.1" customHeight="1">
      <c r="A209" s="954" t="s">
        <v>20</v>
      </c>
      <c r="B209" s="244">
        <v>1.7000000000000008</v>
      </c>
      <c r="C209" s="244">
        <v>1.9231003225806453</v>
      </c>
      <c r="D209" s="244">
        <v>1.2039400000000007</v>
      </c>
      <c r="E209" s="244">
        <v>0.46284118643091943</v>
      </c>
      <c r="F209" s="244">
        <v>0.25321910708219103</v>
      </c>
      <c r="G209" s="244">
        <v>0.2577140697929628</v>
      </c>
      <c r="H209" s="244">
        <v>0.21657021036733434</v>
      </c>
      <c r="I209" s="244">
        <v>2.2448390322580645</v>
      </c>
      <c r="J209" s="244">
        <v>4.047619047619049E-3</v>
      </c>
      <c r="K209" s="244">
        <v>0.18321617652410102</v>
      </c>
      <c r="L209" s="244">
        <v>1.6976692659255783</v>
      </c>
      <c r="M209" s="244">
        <v>0.47028570392737673</v>
      </c>
      <c r="N209" s="244">
        <v>1.273670272438338</v>
      </c>
      <c r="O209" s="244">
        <v>5.5972500874639968</v>
      </c>
      <c r="P209" s="244">
        <v>0.1977676619281207</v>
      </c>
      <c r="Q209" s="244">
        <v>0.447431240657511</v>
      </c>
      <c r="R209" s="244">
        <v>1.255570709506832</v>
      </c>
      <c r="S209" s="244">
        <v>0.31233186127607004</v>
      </c>
      <c r="T209" s="244">
        <v>1.5264285496769359</v>
      </c>
      <c r="U209" s="244">
        <v>0.79910751962554216</v>
      </c>
      <c r="V209" s="244">
        <v>0.6335359736354873</v>
      </c>
      <c r="W209" s="244">
        <v>4.5006370058385849E-3</v>
      </c>
      <c r="X209" s="244">
        <v>2.4100285177608937E-2</v>
      </c>
      <c r="Y209" s="244">
        <v>9.8976172609173754E-2</v>
      </c>
      <c r="Z209" s="244">
        <v>1.9940237730362673E-2</v>
      </c>
      <c r="AA209" s="244">
        <v>2.6074129617365823E-2</v>
      </c>
      <c r="AB209" s="244">
        <v>0.48571428571428571</v>
      </c>
      <c r="AC209" s="244">
        <v>6.3260584770304093E-2</v>
      </c>
      <c r="AD209" s="244">
        <v>2.4479742633628215E-2</v>
      </c>
      <c r="AE209" s="244">
        <v>0.45329473025590883</v>
      </c>
      <c r="AF209" s="244">
        <v>0.15025310400944361</v>
      </c>
      <c r="AG209" s="244">
        <v>1.1600662903225807</v>
      </c>
      <c r="AH209" s="244">
        <v>7.496501031490993E-2</v>
      </c>
      <c r="AI209" s="244"/>
      <c r="AJ209" s="244"/>
      <c r="AK209" s="244"/>
      <c r="AL209" s="244"/>
      <c r="AM209" s="244"/>
      <c r="AN209" s="244"/>
      <c r="AO209" s="955" t="s">
        <v>20</v>
      </c>
    </row>
    <row r="210" spans="1:41" ht="14.1" customHeight="1">
      <c r="A210" s="954" t="s">
        <v>21</v>
      </c>
      <c r="B210" s="244">
        <v>1.7000000000000006</v>
      </c>
      <c r="C210" s="244">
        <v>1.9098565000000003</v>
      </c>
      <c r="D210" s="244">
        <v>1.2090003333333332</v>
      </c>
      <c r="E210" s="244">
        <v>0.46283691820502748</v>
      </c>
      <c r="F210" s="244">
        <v>0.25311508823134854</v>
      </c>
      <c r="G210" s="244">
        <v>0.25582521034600247</v>
      </c>
      <c r="H210" s="244">
        <v>0.21669783929401804</v>
      </c>
      <c r="I210" s="244">
        <v>2.2152926666666661</v>
      </c>
      <c r="J210" s="244">
        <v>4.047619047619049E-3</v>
      </c>
      <c r="K210" s="244">
        <v>0.18230275487939654</v>
      </c>
      <c r="L210" s="244">
        <v>1.6868652844795746</v>
      </c>
      <c r="M210" s="244">
        <v>0.47271913847607439</v>
      </c>
      <c r="N210" s="244">
        <v>1.2706271056580156</v>
      </c>
      <c r="O210" s="244">
        <v>5.5870588076858958</v>
      </c>
      <c r="P210" s="244">
        <v>0.19850386464327244</v>
      </c>
      <c r="Q210" s="244">
        <v>0.44557637331244299</v>
      </c>
      <c r="R210" s="244">
        <v>1.2535244924761484</v>
      </c>
      <c r="S210" s="244">
        <v>0.29508059899699213</v>
      </c>
      <c r="T210" s="244">
        <v>1.522563120293114</v>
      </c>
      <c r="U210" s="244">
        <v>0.80337648140246776</v>
      </c>
      <c r="V210" s="244">
        <v>0.63097884978710117</v>
      </c>
      <c r="W210" s="244">
        <v>4.4791724897107347E-3</v>
      </c>
      <c r="X210" s="244">
        <v>2.3818445760596683E-2</v>
      </c>
      <c r="Y210" s="244">
        <v>9.6258705421294569E-2</v>
      </c>
      <c r="Z210" s="244">
        <v>2.0235019944949216E-2</v>
      </c>
      <c r="AA210" s="244">
        <v>2.6321217345018275E-2</v>
      </c>
      <c r="AB210" s="244">
        <v>0.48571428571428571</v>
      </c>
      <c r="AC210" s="244">
        <v>6.3415077332455883E-2</v>
      </c>
      <c r="AD210" s="244">
        <v>2.4477911595397923E-2</v>
      </c>
      <c r="AE210" s="244">
        <v>0.45329908487135967</v>
      </c>
      <c r="AF210" s="244">
        <v>0.14874779552773984</v>
      </c>
      <c r="AG210" s="244">
        <v>1.1419466666666662</v>
      </c>
      <c r="AH210" s="244">
        <v>7.436163039949524E-2</v>
      </c>
      <c r="AI210" s="244"/>
      <c r="AJ210" s="244"/>
      <c r="AK210" s="244"/>
      <c r="AL210" s="244"/>
      <c r="AM210" s="244"/>
      <c r="AN210" s="244"/>
      <c r="AO210" s="955" t="s">
        <v>21</v>
      </c>
    </row>
    <row r="211" spans="1:41" ht="14.1" customHeight="1">
      <c r="A211" s="954" t="s">
        <v>22</v>
      </c>
      <c r="B211" s="244">
        <v>1.7000000000000008</v>
      </c>
      <c r="C211" s="244">
        <v>1.9021135483870968</v>
      </c>
      <c r="D211" s="244">
        <v>1.1811874193548391</v>
      </c>
      <c r="E211" s="244">
        <v>0.46284159305505468</v>
      </c>
      <c r="F211" s="244">
        <v>0.24825553548178023</v>
      </c>
      <c r="G211" s="244">
        <v>0.2547302299851153</v>
      </c>
      <c r="H211" s="244">
        <v>0.21661472768583154</v>
      </c>
      <c r="I211" s="244">
        <v>2.1873187096774185</v>
      </c>
      <c r="J211" s="244">
        <v>4.047619047619049E-3</v>
      </c>
      <c r="K211" s="244">
        <v>0.17707818815550039</v>
      </c>
      <c r="L211" s="244">
        <v>1.6810044124229535</v>
      </c>
      <c r="M211" s="244">
        <v>0.47345967298514141</v>
      </c>
      <c r="N211" s="244">
        <v>1.2631012941694797</v>
      </c>
      <c r="O211" s="244">
        <v>5.5874639185744321</v>
      </c>
      <c r="P211" s="244">
        <v>0.19440884314690604</v>
      </c>
      <c r="Q211" s="244">
        <v>0.44272632087389735</v>
      </c>
      <c r="R211" s="244">
        <v>1.2406569013425839</v>
      </c>
      <c r="S211" s="244">
        <v>0.28057876075523908</v>
      </c>
      <c r="T211" s="244">
        <v>1.544353017319436</v>
      </c>
      <c r="U211" s="244">
        <v>0.81124175897980499</v>
      </c>
      <c r="V211" s="244">
        <v>0.61932171679548254</v>
      </c>
      <c r="W211" s="244">
        <v>4.4708895435759755E-3</v>
      </c>
      <c r="X211" s="244">
        <v>2.3630287304384035E-2</v>
      </c>
      <c r="Y211" s="244">
        <v>9.4676570596163759E-2</v>
      </c>
      <c r="Z211" s="244">
        <v>2.0107276508950049E-2</v>
      </c>
      <c r="AA211" s="244">
        <v>2.6177010108470129E-2</v>
      </c>
      <c r="AB211" s="244">
        <v>0.48571428571428571</v>
      </c>
      <c r="AC211" s="244">
        <v>6.4437793698725834E-2</v>
      </c>
      <c r="AD211" s="244">
        <v>2.4370636865510355E-2</v>
      </c>
      <c r="AE211" s="244">
        <v>0.45330311351568547</v>
      </c>
      <c r="AF211" s="244">
        <v>0.14374040430878393</v>
      </c>
      <c r="AG211" s="244">
        <v>1.1160664516129033</v>
      </c>
      <c r="AH211" s="244">
        <v>7.3840364588972543E-2</v>
      </c>
      <c r="AI211" s="244"/>
      <c r="AJ211" s="244"/>
      <c r="AK211" s="244"/>
      <c r="AL211" s="244"/>
      <c r="AM211" s="244"/>
      <c r="AN211" s="244"/>
      <c r="AO211" s="955" t="s">
        <v>22</v>
      </c>
    </row>
    <row r="212" spans="1:41" ht="14.1" customHeight="1">
      <c r="A212" s="954" t="s">
        <v>23</v>
      </c>
      <c r="B212" s="244">
        <v>1.7000000000000006</v>
      </c>
      <c r="C212" s="244">
        <v>1.9183423333333338</v>
      </c>
      <c r="D212" s="244">
        <v>1.1801966666666663</v>
      </c>
      <c r="E212" s="244">
        <v>0.46284321872909412</v>
      </c>
      <c r="F212" s="244">
        <v>0.24642139496302884</v>
      </c>
      <c r="G212" s="244">
        <v>0.2569108293527369</v>
      </c>
      <c r="H212" s="244">
        <v>0.21722243638522387</v>
      </c>
      <c r="I212" s="244">
        <v>2.1548151666666673</v>
      </c>
      <c r="J212" s="244">
        <v>4.047619047619049E-3</v>
      </c>
      <c r="K212" s="244">
        <v>0.18046082600476521</v>
      </c>
      <c r="L212" s="244">
        <v>1.7192347590317136</v>
      </c>
      <c r="M212" s="244">
        <v>0.47254428995594205</v>
      </c>
      <c r="N212" s="244">
        <v>1.2781621555586709</v>
      </c>
      <c r="O212" s="244">
        <v>5.5950658584623563</v>
      </c>
      <c r="P212" s="244">
        <v>0.19681226233212318</v>
      </c>
      <c r="Q212" s="244">
        <v>0.44994859293230643</v>
      </c>
      <c r="R212" s="244">
        <v>1.2467055825927629</v>
      </c>
      <c r="S212" s="244">
        <v>0.29194741255764861</v>
      </c>
      <c r="T212" s="244">
        <v>1.5737991189859248</v>
      </c>
      <c r="U212" s="244">
        <v>0.82148250698022385</v>
      </c>
      <c r="V212" s="244">
        <v>0.61295249317527378</v>
      </c>
      <c r="W212" s="244">
        <v>4.450409165339439E-3</v>
      </c>
      <c r="X212" s="244">
        <v>2.3699030242458598E-2</v>
      </c>
      <c r="Y212" s="244">
        <v>9.3575956646178682E-2</v>
      </c>
      <c r="Z212" s="244">
        <v>1.9950963099612275E-2</v>
      </c>
      <c r="AA212" s="244">
        <v>2.6487207697368089E-2</v>
      </c>
      <c r="AB212" s="244">
        <v>0.48571428571428571</v>
      </c>
      <c r="AC212" s="244">
        <v>6.4158679806422869E-2</v>
      </c>
      <c r="AD212" s="244">
        <v>2.4489254209760346E-2</v>
      </c>
      <c r="AE212" s="244">
        <v>0.45329102694431828</v>
      </c>
      <c r="AF212" s="244">
        <v>0.14482155522570556</v>
      </c>
      <c r="AG212" s="244">
        <v>1.1203821666666665</v>
      </c>
      <c r="AH212" s="244">
        <v>7.4882137429118589E-2</v>
      </c>
      <c r="AI212" s="244"/>
      <c r="AJ212" s="244"/>
      <c r="AK212" s="244"/>
      <c r="AL212" s="244"/>
      <c r="AM212" s="244"/>
      <c r="AN212" s="244"/>
      <c r="AO212" s="955" t="s">
        <v>23</v>
      </c>
    </row>
    <row r="213" spans="1:41" ht="14.1" customHeight="1">
      <c r="A213" s="954" t="s">
        <v>24</v>
      </c>
      <c r="B213" s="244">
        <v>1.7000000000000008</v>
      </c>
      <c r="C213" s="244">
        <v>1.9090396774193545</v>
      </c>
      <c r="D213" s="244">
        <v>1.1888483870967743</v>
      </c>
      <c r="E213" s="244">
        <v>0.46283813762975801</v>
      </c>
      <c r="F213" s="244">
        <v>0.24721081649840271</v>
      </c>
      <c r="G213" s="244">
        <v>0.25570705127479415</v>
      </c>
      <c r="H213" s="244">
        <v>0.21766050421980238</v>
      </c>
      <c r="I213" s="244">
        <v>2.1241472580645158</v>
      </c>
      <c r="J213" s="244">
        <v>4.047619047619049E-3</v>
      </c>
      <c r="K213" s="244">
        <v>0.18098527216656032</v>
      </c>
      <c r="L213" s="244">
        <v>1.7218117422525103</v>
      </c>
      <c r="M213" s="244">
        <v>0.4793584388159538</v>
      </c>
      <c r="N213" s="244">
        <v>1.298732163129851</v>
      </c>
      <c r="O213" s="244">
        <v>5.5890939144994789</v>
      </c>
      <c r="P213" s="244">
        <v>0.19778403139524756</v>
      </c>
      <c r="Q213" s="244">
        <v>0.44834738243869099</v>
      </c>
      <c r="R213" s="244">
        <v>1.2496412630718179</v>
      </c>
      <c r="S213" s="244">
        <v>0.29958721225573914</v>
      </c>
      <c r="T213" s="244">
        <v>1.5716577329512773</v>
      </c>
      <c r="U213" s="244">
        <v>0.8347454402457003</v>
      </c>
      <c r="V213" s="244">
        <v>0.59434240006052663</v>
      </c>
      <c r="W213" s="244">
        <v>4.428634265770403E-3</v>
      </c>
      <c r="X213" s="244">
        <v>2.4314960583590603E-2</v>
      </c>
      <c r="Y213" s="244">
        <v>9.5781107674834678E-2</v>
      </c>
      <c r="Z213" s="244">
        <v>1.9796406069129666E-2</v>
      </c>
      <c r="AA213" s="244">
        <v>2.6904181555764857E-2</v>
      </c>
      <c r="AB213" s="244">
        <v>0.48571428571428571</v>
      </c>
      <c r="AC213" s="244">
        <v>6.6099004184081003E-2</v>
      </c>
      <c r="AD213" s="244">
        <v>2.4713196743390918E-2</v>
      </c>
      <c r="AE213" s="244">
        <v>0.45327016861700642</v>
      </c>
      <c r="AF213" s="244">
        <v>0.14450809203879653</v>
      </c>
      <c r="AG213" s="244">
        <v>1.1371245161290322</v>
      </c>
      <c r="AH213" s="244">
        <v>7.4741444732902895E-2</v>
      </c>
      <c r="AI213" s="244"/>
      <c r="AJ213" s="244"/>
      <c r="AK213" s="244"/>
      <c r="AL213" s="244"/>
      <c r="AM213" s="244"/>
      <c r="AN213" s="244"/>
      <c r="AO213" s="955" t="s">
        <v>24</v>
      </c>
    </row>
    <row r="214" spans="1:41" ht="14.1" customHeight="1">
      <c r="A214" s="954" t="s">
        <v>25</v>
      </c>
      <c r="B214" s="244">
        <v>1.7000000000000008</v>
      </c>
      <c r="C214" s="244">
        <v>1.890377580645161</v>
      </c>
      <c r="D214" s="244">
        <v>1.1518941935483875</v>
      </c>
      <c r="E214" s="244">
        <v>0.46283479665802407</v>
      </c>
      <c r="F214" s="244">
        <v>0.24094415436856967</v>
      </c>
      <c r="G214" s="244">
        <v>0.25338872935037993</v>
      </c>
      <c r="H214" s="244">
        <v>0.21684280465254252</v>
      </c>
      <c r="I214" s="244">
        <v>2.0660119354838713</v>
      </c>
      <c r="J214" s="244">
        <v>4.0414746543778815E-3</v>
      </c>
      <c r="K214" s="244">
        <v>0.17616968450456105</v>
      </c>
      <c r="L214" s="244">
        <v>1.7339414300074452</v>
      </c>
      <c r="M214" s="244">
        <v>0.48423741464857378</v>
      </c>
      <c r="N214" s="244">
        <v>1.2810241704089882</v>
      </c>
      <c r="O214" s="244">
        <v>5.5886357310656827</v>
      </c>
      <c r="P214" s="244">
        <v>0.18960910919206622</v>
      </c>
      <c r="Q214" s="244">
        <v>0.43510654638176705</v>
      </c>
      <c r="R214" s="244">
        <v>1.2281805456884669</v>
      </c>
      <c r="S214" s="244">
        <v>0.30172170197383125</v>
      </c>
      <c r="T214" s="244">
        <v>1.5983024828106536</v>
      </c>
      <c r="U214" s="244">
        <v>0.82798681045863187</v>
      </c>
      <c r="V214" s="244">
        <v>0.58132391219115276</v>
      </c>
      <c r="W214" s="244">
        <v>4.3963694993184163E-3</v>
      </c>
      <c r="X214" s="244">
        <v>2.4255677892976592E-2</v>
      </c>
      <c r="Y214" s="244">
        <v>9.5910938535728074E-2</v>
      </c>
      <c r="Z214" s="244">
        <v>1.8944811449210109E-2</v>
      </c>
      <c r="AA214" s="244">
        <v>2.5917443322887094E-2</v>
      </c>
      <c r="AB214" s="244">
        <v>0.48571244239631328</v>
      </c>
      <c r="AC214" s="244">
        <v>6.741534536806483E-2</v>
      </c>
      <c r="AD214" s="244">
        <v>2.3944967639186448E-2</v>
      </c>
      <c r="AE214" s="244">
        <v>0.4532276724624234</v>
      </c>
      <c r="AF214" s="244">
        <v>0.14055111742232815</v>
      </c>
      <c r="AG214" s="244">
        <v>1.0942567741935485</v>
      </c>
      <c r="AH214" s="244">
        <v>7.3252259145732829E-2</v>
      </c>
      <c r="AI214" s="244"/>
      <c r="AJ214" s="244"/>
      <c r="AK214" s="244"/>
      <c r="AL214" s="244"/>
      <c r="AM214" s="244"/>
      <c r="AN214" s="244"/>
      <c r="AO214" s="955" t="s">
        <v>25</v>
      </c>
    </row>
    <row r="215" spans="1:41" ht="14.1" customHeight="1">
      <c r="A215" s="954" t="s">
        <v>26</v>
      </c>
      <c r="B215" s="244">
        <v>1.7000000000000006</v>
      </c>
      <c r="C215" s="244">
        <v>1.8726766666666668</v>
      </c>
      <c r="D215" s="244">
        <v>1.15683</v>
      </c>
      <c r="E215" s="244">
        <v>0.46279999999999977</v>
      </c>
      <c r="F215" s="244">
        <v>0.23885666666666677</v>
      </c>
      <c r="G215" s="244">
        <v>0.25091000000000008</v>
      </c>
      <c r="H215" s="244">
        <v>0.21694999999999995</v>
      </c>
      <c r="I215" s="244">
        <v>2.1001299999999996</v>
      </c>
      <c r="J215" s="244">
        <v>4.0000000000000027E-3</v>
      </c>
      <c r="K215" s="244">
        <v>0.17514333333333332</v>
      </c>
      <c r="L215" s="244">
        <v>1.7162166666666672</v>
      </c>
      <c r="M215" s="244">
        <v>0.48272999999999999</v>
      </c>
      <c r="N215" s="244">
        <v>1.2833566666666671</v>
      </c>
      <c r="O215" s="244">
        <v>5.5925233333333333</v>
      </c>
      <c r="P215" s="244">
        <v>0.18862999999999994</v>
      </c>
      <c r="Q215" s="244">
        <v>0.43009333333333338</v>
      </c>
      <c r="R215" s="244">
        <v>1.2318233333333333</v>
      </c>
      <c r="S215" s="244">
        <v>0.29746666666666677</v>
      </c>
      <c r="T215" s="244">
        <v>1.5820266666666669</v>
      </c>
      <c r="U215" s="244">
        <v>0.81875333333333333</v>
      </c>
      <c r="V215" s="244">
        <v>0.57393333333333341</v>
      </c>
      <c r="W215" s="244">
        <v>4.4000000000000003E-3</v>
      </c>
      <c r="X215" s="244">
        <v>2.4063333333333336E-2</v>
      </c>
      <c r="Y215" s="244">
        <v>9.582000000000003E-2</v>
      </c>
      <c r="Z215" s="244">
        <v>1.8083333333333337E-2</v>
      </c>
      <c r="AA215" s="244">
        <v>2.6156666666666658E-2</v>
      </c>
      <c r="AB215" s="244">
        <v>0.48569999999999969</v>
      </c>
      <c r="AC215" s="244">
        <v>6.8873333333333342E-2</v>
      </c>
      <c r="AD215" s="244">
        <v>2.3840000000000007E-2</v>
      </c>
      <c r="AE215" s="244">
        <v>0.45317999999999997</v>
      </c>
      <c r="AF215" s="244">
        <v>0.14221999999999999</v>
      </c>
      <c r="AG215" s="244">
        <v>1.0783233333333335</v>
      </c>
      <c r="AH215" s="244">
        <v>7.2406666666666661E-2</v>
      </c>
      <c r="AI215" s="244"/>
      <c r="AJ215" s="244"/>
      <c r="AK215" s="244"/>
      <c r="AL215" s="244"/>
      <c r="AM215" s="244"/>
      <c r="AN215" s="244"/>
      <c r="AO215" s="955" t="s">
        <v>26</v>
      </c>
    </row>
    <row r="216" spans="1:41" ht="14.1" customHeight="1">
      <c r="A216" s="954" t="s">
        <v>27</v>
      </c>
      <c r="B216" s="244">
        <v>1.7000000000000008</v>
      </c>
      <c r="C216" s="244">
        <v>1.8782354838709674</v>
      </c>
      <c r="D216" s="244">
        <v>1.1550290322580645</v>
      </c>
      <c r="E216" s="244">
        <v>0.46281612903225777</v>
      </c>
      <c r="F216" s="244">
        <v>0.23951290322580646</v>
      </c>
      <c r="G216" s="244">
        <v>0.25147096774193545</v>
      </c>
      <c r="H216" s="244">
        <v>0.21679999999999999</v>
      </c>
      <c r="I216" s="244">
        <v>2.145754838709677</v>
      </c>
      <c r="J216" s="244">
        <v>4.0000000000000027E-3</v>
      </c>
      <c r="K216" s="244">
        <v>0.17396774193548389</v>
      </c>
      <c r="L216" s="244">
        <v>1.7104483870967739</v>
      </c>
      <c r="M216" s="244">
        <v>0.48339354838709669</v>
      </c>
      <c r="N216" s="244">
        <v>1.2880774193548388</v>
      </c>
      <c r="O216" s="244">
        <v>5.5952838709677435</v>
      </c>
      <c r="P216" s="244">
        <v>0.18590322580645163</v>
      </c>
      <c r="Q216" s="244">
        <v>0.43655483870967748</v>
      </c>
      <c r="R216" s="244">
        <v>1.2400838709677422</v>
      </c>
      <c r="S216" s="244">
        <v>0.29364193548387096</v>
      </c>
      <c r="T216" s="244">
        <v>1.5723870967741935</v>
      </c>
      <c r="U216" s="244">
        <v>0.82690967741935473</v>
      </c>
      <c r="V216" s="244">
        <v>0.57377419354838721</v>
      </c>
      <c r="W216" s="244">
        <v>4.3999999999999994E-3</v>
      </c>
      <c r="X216" s="244">
        <v>2.4103225806451623E-2</v>
      </c>
      <c r="Y216" s="244">
        <v>9.689354838709674E-2</v>
      </c>
      <c r="Z216" s="244">
        <v>1.8006451612903235E-2</v>
      </c>
      <c r="AA216" s="244">
        <v>2.6425806451612886E-2</v>
      </c>
      <c r="AB216" s="244">
        <v>0.48569999999999969</v>
      </c>
      <c r="AC216" s="244">
        <v>6.868709677419356E-2</v>
      </c>
      <c r="AD216" s="244">
        <v>2.3941935483870976E-2</v>
      </c>
      <c r="AE216" s="244">
        <v>0.45322580645161309</v>
      </c>
      <c r="AF216" s="244">
        <v>0.14358387096774194</v>
      </c>
      <c r="AG216" s="244">
        <v>1.0771387096774192</v>
      </c>
      <c r="AH216" s="244">
        <v>7.3067741935483876E-2</v>
      </c>
      <c r="AI216" s="244"/>
      <c r="AJ216" s="244"/>
      <c r="AK216" s="244"/>
      <c r="AL216" s="244"/>
      <c r="AM216" s="244"/>
      <c r="AN216" s="244"/>
      <c r="AO216" s="955" t="s">
        <v>27</v>
      </c>
    </row>
    <row r="217" spans="1:41" ht="14.1" customHeight="1">
      <c r="A217" s="954" t="s">
        <v>28</v>
      </c>
      <c r="B217" s="244">
        <v>1.7000000000000006</v>
      </c>
      <c r="C217" s="244">
        <v>1.8801133333333337</v>
      </c>
      <c r="D217" s="244">
        <v>1.1613100000000001</v>
      </c>
      <c r="E217" s="244">
        <v>0.46283333333333321</v>
      </c>
      <c r="F217" s="244">
        <v>0.24219333333333326</v>
      </c>
      <c r="G217" s="244">
        <v>0.2516133333333333</v>
      </c>
      <c r="H217" s="244">
        <v>0.21714666666666665</v>
      </c>
      <c r="I217" s="244">
        <v>2.1911299999999998</v>
      </c>
      <c r="J217" s="244">
        <v>4.0000000000000027E-3</v>
      </c>
      <c r="K217" s="244">
        <v>0.17642333333333332</v>
      </c>
      <c r="L217" s="244">
        <v>1.7131966666666669</v>
      </c>
      <c r="M217" s="244">
        <v>0.4875366666666669</v>
      </c>
      <c r="N217" s="244">
        <v>1.2850166666666667</v>
      </c>
      <c r="O217" s="244">
        <v>5.5977433333333346</v>
      </c>
      <c r="P217" s="244">
        <v>0.18578000000000003</v>
      </c>
      <c r="Q217" s="244">
        <v>0.43898999999999988</v>
      </c>
      <c r="R217" s="244">
        <v>1.248766666666667</v>
      </c>
      <c r="S217" s="244">
        <v>0.29619333333333331</v>
      </c>
      <c r="T217" s="244">
        <v>1.5625300000000002</v>
      </c>
      <c r="U217" s="244">
        <v>0.82754666666666665</v>
      </c>
      <c r="V217" s="244">
        <v>0.57333000000000001</v>
      </c>
      <c r="W217" s="244">
        <v>4.4000000000000003E-3</v>
      </c>
      <c r="X217" s="244">
        <v>2.3586666666666662E-2</v>
      </c>
      <c r="Y217" s="244">
        <v>9.7306666666666666E-2</v>
      </c>
      <c r="Z217" s="244">
        <v>1.7923333333333347E-2</v>
      </c>
      <c r="AA217" s="244">
        <v>2.6623333333333318E-2</v>
      </c>
      <c r="AB217" s="244">
        <v>0.48569999999999969</v>
      </c>
      <c r="AC217" s="244">
        <v>6.9876666666666684E-2</v>
      </c>
      <c r="AD217" s="244">
        <v>2.3800000000000012E-2</v>
      </c>
      <c r="AE217" s="244">
        <v>0.45331000000000005</v>
      </c>
      <c r="AF217" s="244">
        <v>0.1455033333333334</v>
      </c>
      <c r="AG217" s="244">
        <v>1.0879299999999998</v>
      </c>
      <c r="AH217" s="244">
        <v>7.3606666666666654E-2</v>
      </c>
      <c r="AI217" s="244"/>
      <c r="AJ217" s="244"/>
      <c r="AK217" s="244"/>
      <c r="AL217" s="244"/>
      <c r="AM217" s="244"/>
      <c r="AN217" s="244"/>
      <c r="AO217" s="955" t="s">
        <v>28</v>
      </c>
    </row>
    <row r="218" spans="1:41" ht="14.1" customHeight="1">
      <c r="A218" s="954" t="s">
        <v>29</v>
      </c>
      <c r="B218" s="244">
        <v>1.7000000000000008</v>
      </c>
      <c r="C218" s="244">
        <v>1.8896483870967746</v>
      </c>
      <c r="D218" s="244">
        <v>1.1702032258064516</v>
      </c>
      <c r="E218" s="244">
        <v>0.4628193548387094</v>
      </c>
      <c r="F218" s="244">
        <v>0.24236451612903226</v>
      </c>
      <c r="G218" s="244">
        <v>0.25291612903225813</v>
      </c>
      <c r="H218" s="244">
        <v>0.21776129032258074</v>
      </c>
      <c r="I218" s="244">
        <v>2.2295580645161284</v>
      </c>
      <c r="J218" s="244">
        <v>4.0000000000000027E-3</v>
      </c>
      <c r="K218" s="244">
        <v>0.18030645161290326</v>
      </c>
      <c r="L218" s="244">
        <v>1.7283419354838714</v>
      </c>
      <c r="M218" s="244">
        <v>0.48924838709677426</v>
      </c>
      <c r="N218" s="244">
        <v>1.290641935483871</v>
      </c>
      <c r="O218" s="244">
        <v>5.6000129032258075</v>
      </c>
      <c r="P218" s="244">
        <v>0.18837741935483868</v>
      </c>
      <c r="Q218" s="244">
        <v>0.44205161290322587</v>
      </c>
      <c r="R218" s="244">
        <v>1.2527161290322579</v>
      </c>
      <c r="S218" s="244">
        <v>0.29064516129032264</v>
      </c>
      <c r="T218" s="244">
        <v>1.556758064516129</v>
      </c>
      <c r="U218" s="244">
        <v>0.80677741935483871</v>
      </c>
      <c r="V218" s="244">
        <v>0.58723548387096758</v>
      </c>
      <c r="W218" s="244">
        <v>4.4225806451612913E-3</v>
      </c>
      <c r="X218" s="244">
        <v>2.3832258064516131E-2</v>
      </c>
      <c r="Y218" s="244">
        <v>9.8012903225806428E-2</v>
      </c>
      <c r="Z218" s="244">
        <v>1.7890322580645171E-2</v>
      </c>
      <c r="AA218" s="244">
        <v>2.7032258064516125E-2</v>
      </c>
      <c r="AB218" s="244">
        <v>0.48569999999999969</v>
      </c>
      <c r="AC218" s="244">
        <v>7.2038709677419363E-2</v>
      </c>
      <c r="AD218" s="244">
        <v>2.3890322580645176E-2</v>
      </c>
      <c r="AE218" s="244">
        <v>0.45320967741935475</v>
      </c>
      <c r="AF218" s="244">
        <v>0.14488064516129034</v>
      </c>
      <c r="AG218" s="244">
        <v>1.1204548387096773</v>
      </c>
      <c r="AH218" s="244">
        <v>7.4122580645161321E-2</v>
      </c>
      <c r="AI218" s="244"/>
      <c r="AJ218" s="244"/>
      <c r="AK218" s="244"/>
      <c r="AL218" s="244"/>
      <c r="AM218" s="244"/>
      <c r="AN218" s="244"/>
      <c r="AO218" s="955" t="s">
        <v>29</v>
      </c>
    </row>
    <row r="219" spans="1:41" s="278" customFormat="1" ht="14.1" customHeight="1">
      <c r="A219" s="93" t="s">
        <v>2375</v>
      </c>
      <c r="B219" s="261">
        <f>AVERAGE(B220:B231)</f>
        <v>1.7000000000000004</v>
      </c>
      <c r="C219" s="261">
        <f t="shared" ref="C219:AD219" si="21">AVERAGE(C220:C231)</f>
        <v>1.9402105688419231</v>
      </c>
      <c r="D219" s="261">
        <f t="shared" si="21"/>
        <v>1.173453283277716</v>
      </c>
      <c r="E219" s="261">
        <f t="shared" si="21"/>
        <v>0.46280483870967709</v>
      </c>
      <c r="F219" s="261">
        <f t="shared" si="21"/>
        <v>0.24646005685329378</v>
      </c>
      <c r="G219" s="261">
        <f t="shared" si="21"/>
        <v>0.26022967000370784</v>
      </c>
      <c r="H219" s="261">
        <f t="shared" si="21"/>
        <v>0.21917549437646763</v>
      </c>
      <c r="I219" s="261">
        <f t="shared" si="21"/>
        <v>2.1815987102953898</v>
      </c>
      <c r="J219" s="261">
        <f t="shared" si="21"/>
        <v>4.0000000000000027E-3</v>
      </c>
      <c r="K219" s="261">
        <f t="shared" si="21"/>
        <v>0.18512538406871834</v>
      </c>
      <c r="L219" s="261">
        <f t="shared" si="21"/>
        <v>1.8118485103819058</v>
      </c>
      <c r="M219" s="261">
        <f t="shared" si="21"/>
        <v>0.4944787594240514</v>
      </c>
      <c r="N219" s="261">
        <f t="shared" si="21"/>
        <v>1.2682950071066617</v>
      </c>
      <c r="O219" s="261">
        <f t="shared" si="21"/>
        <v>5.5418502366827349</v>
      </c>
      <c r="P219" s="261">
        <f t="shared" si="21"/>
        <v>0.18107905079718209</v>
      </c>
      <c r="Q219" s="261">
        <f t="shared" si="21"/>
        <v>0.43666448553948833</v>
      </c>
      <c r="R219" s="261">
        <f t="shared" si="21"/>
        <v>1.2327443270300338</v>
      </c>
      <c r="S219" s="261">
        <f t="shared" si="21"/>
        <v>0.24464378877765414</v>
      </c>
      <c r="T219" s="261">
        <f t="shared" si="21"/>
        <v>1.5924261738351255</v>
      </c>
      <c r="U219" s="261">
        <f t="shared" si="21"/>
        <v>0.70005997404523546</v>
      </c>
      <c r="V219" s="261">
        <f t="shared" si="21"/>
        <v>0.54788076350265724</v>
      </c>
      <c r="W219" s="261">
        <f t="shared" si="21"/>
        <v>4.1241845878136211E-3</v>
      </c>
      <c r="X219" s="261">
        <f t="shared" si="21"/>
        <v>2.2084242986033859E-2</v>
      </c>
      <c r="Y219" s="261">
        <f t="shared" si="21"/>
        <v>9.8238161228525522E-2</v>
      </c>
      <c r="Z219" s="261">
        <f t="shared" si="21"/>
        <v>1.6939444444444441E-2</v>
      </c>
      <c r="AA219" s="261">
        <f t="shared" si="21"/>
        <v>2.3644264615004323E-2</v>
      </c>
      <c r="AB219" s="261">
        <f t="shared" si="21"/>
        <v>0.48569999999999963</v>
      </c>
      <c r="AC219" s="261">
        <f t="shared" si="21"/>
        <v>6.3276391051785952E-2</v>
      </c>
      <c r="AD219" s="261">
        <f t="shared" si="21"/>
        <v>2.295526572735138E-2</v>
      </c>
      <c r="AE219" s="261">
        <f t="shared" ref="AE219:AF219" si="22">AVERAGE(AE220:AE231)</f>
        <v>0.45298290538870356</v>
      </c>
      <c r="AF219" s="261">
        <f t="shared" si="22"/>
        <v>0.1442632712272896</v>
      </c>
      <c r="AG219" s="261">
        <f t="shared" ref="AG219" si="23">AVERAGE(AG220:AG231)</f>
        <v>1.1053529134223214</v>
      </c>
      <c r="AH219" s="261">
        <v>7.3378805099924796E-2</v>
      </c>
      <c r="AI219" s="261"/>
      <c r="AJ219" s="261"/>
      <c r="AK219" s="261"/>
      <c r="AL219" s="261"/>
      <c r="AM219" s="261"/>
      <c r="AN219" s="261"/>
      <c r="AO219" s="446">
        <v>2020</v>
      </c>
    </row>
    <row r="220" spans="1:41" ht="14.1" customHeight="1">
      <c r="A220" s="954" t="s">
        <v>18</v>
      </c>
      <c r="B220" s="244">
        <v>1.7000000000000008</v>
      </c>
      <c r="C220" s="244">
        <v>1.8894806451612909</v>
      </c>
      <c r="D220" s="244">
        <v>1.1698612903225807</v>
      </c>
      <c r="E220" s="244">
        <v>0.46281935483870945</v>
      </c>
      <c r="F220" s="244">
        <v>0.24554838709677421</v>
      </c>
      <c r="G220" s="244">
        <v>0.25285161290322572</v>
      </c>
      <c r="H220" s="244">
        <v>0.21865161290322579</v>
      </c>
      <c r="I220" s="244">
        <v>2.2235387096774186</v>
      </c>
      <c r="J220" s="244">
        <v>4.0000000000000027E-3</v>
      </c>
      <c r="K220" s="244">
        <v>0.17940322580645163</v>
      </c>
      <c r="L220" s="244">
        <v>1.752038709677419</v>
      </c>
      <c r="M220" s="244">
        <v>0.4914677419354837</v>
      </c>
      <c r="N220" s="244">
        <v>1.2992838709677414</v>
      </c>
      <c r="O220" s="244">
        <v>5.601003225806453</v>
      </c>
      <c r="P220" s="244">
        <v>0.19055806451612903</v>
      </c>
      <c r="Q220" s="244">
        <v>0.44461935483870962</v>
      </c>
      <c r="R220" s="244">
        <v>1.2588483870967742</v>
      </c>
      <c r="S220" s="244">
        <v>0.28723225806451613</v>
      </c>
      <c r="T220" s="244">
        <v>1.5531322580645166</v>
      </c>
      <c r="U220" s="244">
        <v>0.8033580645161289</v>
      </c>
      <c r="V220" s="244">
        <v>0.59081935483870984</v>
      </c>
      <c r="W220" s="244">
        <v>4.5000000000000014E-3</v>
      </c>
      <c r="X220" s="244">
        <v>2.4322580645161282E-2</v>
      </c>
      <c r="Y220" s="244">
        <v>9.7500000000000003E-2</v>
      </c>
      <c r="Z220" s="244">
        <v>1.7835483870967738E-2</v>
      </c>
      <c r="AA220" s="244">
        <v>2.7487096774193545E-2</v>
      </c>
      <c r="AB220" s="244">
        <v>0.48569999999999969</v>
      </c>
      <c r="AC220" s="244">
        <v>7.0412903225806456E-2</v>
      </c>
      <c r="AD220" s="244">
        <v>2.3874193548387115E-2</v>
      </c>
      <c r="AE220" s="244">
        <v>0.45309354838709665</v>
      </c>
      <c r="AF220" s="244">
        <v>0.14606129032258067</v>
      </c>
      <c r="AG220" s="244">
        <v>1.126680645161291</v>
      </c>
      <c r="AH220" s="244">
        <v>7.4854838709677365E-2</v>
      </c>
      <c r="AI220" s="244"/>
      <c r="AJ220" s="244"/>
      <c r="AK220" s="244"/>
      <c r="AL220" s="244"/>
      <c r="AM220" s="244"/>
      <c r="AN220" s="244"/>
      <c r="AO220" s="955" t="s">
        <v>18</v>
      </c>
    </row>
    <row r="221" spans="1:41" ht="14.1" customHeight="1">
      <c r="A221" s="954" t="s">
        <v>19</v>
      </c>
      <c r="B221" s="244">
        <v>1.7000000000000006</v>
      </c>
      <c r="C221" s="244">
        <v>1.8548241379310346</v>
      </c>
      <c r="D221" s="244">
        <v>1.1343206896551723</v>
      </c>
      <c r="E221" s="244">
        <v>0.46279999999999977</v>
      </c>
      <c r="F221" s="244">
        <v>0.24311724137931029</v>
      </c>
      <c r="G221" s="244">
        <v>0.24825862068965521</v>
      </c>
      <c r="H221" s="244">
        <v>0.21865862068965522</v>
      </c>
      <c r="I221" s="244">
        <v>2.2055034482758615</v>
      </c>
      <c r="J221" s="244">
        <v>4.0000000000000027E-3</v>
      </c>
      <c r="K221" s="244">
        <v>0.1753931034482758</v>
      </c>
      <c r="L221" s="244">
        <v>1.741237931034483</v>
      </c>
      <c r="M221" s="244">
        <v>0.49532758620689665</v>
      </c>
      <c r="N221" s="244">
        <v>1.2802896551724141</v>
      </c>
      <c r="O221" s="244">
        <v>5.5758206896551723</v>
      </c>
      <c r="P221" s="244">
        <v>0.18310344827586209</v>
      </c>
      <c r="Q221" s="244">
        <v>0.4336793103448276</v>
      </c>
      <c r="R221" s="244">
        <v>1.224444827586207</v>
      </c>
      <c r="S221" s="244">
        <v>0.28074137931034476</v>
      </c>
      <c r="T221" s="244">
        <v>1.5450999999999995</v>
      </c>
      <c r="U221" s="244">
        <v>0.77655517241379324</v>
      </c>
      <c r="V221" s="244">
        <v>0.59721034482758606</v>
      </c>
      <c r="W221" s="244">
        <v>4.5000000000000014E-3</v>
      </c>
      <c r="X221" s="244">
        <v>2.4275862068965509E-2</v>
      </c>
      <c r="Y221" s="244">
        <v>9.6389655172413838E-2</v>
      </c>
      <c r="Z221" s="244">
        <v>1.7799999999999996E-2</v>
      </c>
      <c r="AA221" s="244">
        <v>2.6596551724137926E-2</v>
      </c>
      <c r="AB221" s="244">
        <v>0.48569999999999969</v>
      </c>
      <c r="AC221" s="244">
        <v>6.9262068965517218E-2</v>
      </c>
      <c r="AD221" s="244">
        <v>2.3782758620689654E-2</v>
      </c>
      <c r="AE221" s="244">
        <v>0.4531620689655172</v>
      </c>
      <c r="AF221" s="244">
        <v>0.14230344827586208</v>
      </c>
      <c r="AG221" s="244">
        <v>1.0875068965517243</v>
      </c>
      <c r="AH221" s="244">
        <v>7.3972413793103445E-2</v>
      </c>
      <c r="AI221" s="244"/>
      <c r="AJ221" s="244"/>
      <c r="AK221" s="244"/>
      <c r="AL221" s="244"/>
      <c r="AM221" s="244"/>
      <c r="AN221" s="244"/>
      <c r="AO221" s="955" t="s">
        <v>19</v>
      </c>
    </row>
    <row r="222" spans="1:41" ht="14.1" customHeight="1">
      <c r="A222" s="954" t="s">
        <v>20</v>
      </c>
      <c r="B222" s="244">
        <v>1.7000000000000008</v>
      </c>
      <c r="C222" s="244">
        <v>1.884580645161291</v>
      </c>
      <c r="D222" s="244">
        <v>1.0579258064516128</v>
      </c>
      <c r="E222" s="244">
        <v>0.4628129032258062</v>
      </c>
      <c r="F222" s="244">
        <v>0.24209354838709682</v>
      </c>
      <c r="G222" s="244">
        <v>0.2516225806451613</v>
      </c>
      <c r="H222" s="244">
        <v>0.21890322580645155</v>
      </c>
      <c r="I222" s="244">
        <v>2.1027870967741937</v>
      </c>
      <c r="J222" s="244">
        <v>4.0000000000000027E-3</v>
      </c>
      <c r="K222" s="244">
        <v>0.1729548387096774</v>
      </c>
      <c r="L222" s="244">
        <v>1.7735516129032252</v>
      </c>
      <c r="M222" s="244">
        <v>0.47449999999999998</v>
      </c>
      <c r="N222" s="244">
        <v>1.2231451612903226</v>
      </c>
      <c r="O222" s="244">
        <v>5.4971999999999994</v>
      </c>
      <c r="P222" s="244">
        <v>0.16657419354838707</v>
      </c>
      <c r="Q222" s="244">
        <v>0.4242483870967742</v>
      </c>
      <c r="R222" s="244">
        <v>1.1995870967741935</v>
      </c>
      <c r="S222" s="244">
        <v>0.26857419354838696</v>
      </c>
      <c r="T222" s="244">
        <v>1.5776741935483876</v>
      </c>
      <c r="U222" s="244">
        <v>0.70726451612903218</v>
      </c>
      <c r="V222" s="244">
        <v>0.55812258064516129</v>
      </c>
      <c r="W222" s="244">
        <v>4.0999999999999995E-3</v>
      </c>
      <c r="X222" s="244">
        <v>2.3438709677419348E-2</v>
      </c>
      <c r="Y222" s="244">
        <v>9.5819354838709694E-2</v>
      </c>
      <c r="Z222" s="244">
        <v>1.7825806451612899E-2</v>
      </c>
      <c r="AA222" s="244">
        <v>2.2858064516129036E-2</v>
      </c>
      <c r="AB222" s="244">
        <v>0.48569999999999969</v>
      </c>
      <c r="AC222" s="244">
        <v>6.4616129032258079E-2</v>
      </c>
      <c r="AD222" s="244">
        <v>2.2861290322580642E-2</v>
      </c>
      <c r="AE222" s="244">
        <v>0.45260967741935493</v>
      </c>
      <c r="AF222" s="244">
        <v>0.13937419354838709</v>
      </c>
      <c r="AG222" s="244">
        <v>1.0283290322580647</v>
      </c>
      <c r="AH222" s="244">
        <v>7.0990322580645179E-2</v>
      </c>
      <c r="AI222" s="244"/>
      <c r="AJ222" s="244"/>
      <c r="AK222" s="244"/>
      <c r="AL222" s="244"/>
      <c r="AM222" s="244"/>
      <c r="AN222" s="244"/>
      <c r="AO222" s="955" t="s">
        <v>20</v>
      </c>
    </row>
    <row r="223" spans="1:41" ht="14.1" customHeight="1">
      <c r="A223" s="954" t="s">
        <v>21</v>
      </c>
      <c r="B223" s="244">
        <v>1.7000000000000006</v>
      </c>
      <c r="C223" s="244">
        <v>1.8476299999999999</v>
      </c>
      <c r="D223" s="244">
        <v>1.0701566666666666</v>
      </c>
      <c r="E223" s="244">
        <v>0.46279999999999977</v>
      </c>
      <c r="F223" s="244">
        <v>0.24030333333333337</v>
      </c>
      <c r="G223" s="244">
        <v>0.24760999999999991</v>
      </c>
      <c r="H223" s="244">
        <v>0.21930666666666662</v>
      </c>
      <c r="I223" s="244">
        <v>2.1105000000000005</v>
      </c>
      <c r="J223" s="244">
        <v>4.0000000000000027E-3</v>
      </c>
      <c r="K223" s="244">
        <v>0.16963999999999999</v>
      </c>
      <c r="L223" s="244">
        <v>1.7517099999999997</v>
      </c>
      <c r="M223" s="244">
        <v>0.47602666666666643</v>
      </c>
      <c r="N223" s="244">
        <v>1.2095600000000002</v>
      </c>
      <c r="O223" s="244">
        <v>5.463143333333333</v>
      </c>
      <c r="P223" s="244">
        <v>0.16320333333333331</v>
      </c>
      <c r="Q223" s="244">
        <v>0.40638000000000013</v>
      </c>
      <c r="R223" s="244">
        <v>1.1940866666666667</v>
      </c>
      <c r="S223" s="244">
        <v>0.24882999999999997</v>
      </c>
      <c r="T223" s="244">
        <v>1.5766399999999998</v>
      </c>
      <c r="U223" s="244">
        <v>0.67975000000000008</v>
      </c>
      <c r="V223" s="244">
        <v>0.5354133333333333</v>
      </c>
      <c r="W223" s="244">
        <v>3.9166666666666681E-3</v>
      </c>
      <c r="X223" s="244">
        <v>2.0766666666666659E-2</v>
      </c>
      <c r="Y223" s="244">
        <v>9.3736666666666676E-2</v>
      </c>
      <c r="Z223" s="244">
        <v>1.725666666666666E-2</v>
      </c>
      <c r="AA223" s="244">
        <v>2.2650000000000007E-2</v>
      </c>
      <c r="AB223" s="244">
        <v>0.48569999999999969</v>
      </c>
      <c r="AC223" s="244">
        <v>6.2486666666666656E-2</v>
      </c>
      <c r="AD223" s="244">
        <v>2.2306666666666662E-2</v>
      </c>
      <c r="AE223" s="244">
        <v>0.45198333333333335</v>
      </c>
      <c r="AF223" s="244">
        <v>0.13891666666666672</v>
      </c>
      <c r="AG223" s="244">
        <v>1.0211499999999998</v>
      </c>
      <c r="AH223" s="244">
        <v>6.7750000000000005E-2</v>
      </c>
      <c r="AI223" s="244"/>
      <c r="AJ223" s="244"/>
      <c r="AK223" s="244"/>
      <c r="AL223" s="244"/>
      <c r="AM223" s="244"/>
      <c r="AN223" s="244"/>
      <c r="AO223" s="955" t="s">
        <v>21</v>
      </c>
    </row>
    <row r="224" spans="1:41" ht="14.1" customHeight="1">
      <c r="A224" s="954" t="s">
        <v>22</v>
      </c>
      <c r="B224" s="244">
        <v>1.7000000000000008</v>
      </c>
      <c r="C224" s="244">
        <v>1.8517032258064507</v>
      </c>
      <c r="D224" s="244">
        <v>1.1053806451612909</v>
      </c>
      <c r="E224" s="244">
        <v>0.46279999999999977</v>
      </c>
      <c r="F224" s="244">
        <v>0.23949677419354826</v>
      </c>
      <c r="G224" s="244">
        <v>0.2482741935483872</v>
      </c>
      <c r="H224" s="244">
        <v>0.21926774193548382</v>
      </c>
      <c r="I224" s="244">
        <v>2.091267741935483</v>
      </c>
      <c r="J224" s="244">
        <v>4.0000000000000027E-3</v>
      </c>
      <c r="K224" s="244">
        <v>0.1745677419354838</v>
      </c>
      <c r="L224" s="244">
        <v>1.7519387096774202</v>
      </c>
      <c r="M224" s="244">
        <v>0.48317419354838703</v>
      </c>
      <c r="N224" s="244">
        <v>1.2138483870967742</v>
      </c>
      <c r="O224" s="244">
        <v>5.5000354838709677</v>
      </c>
      <c r="P224" s="244">
        <v>0.16776129032258061</v>
      </c>
      <c r="Q224" s="244">
        <v>0.40790322580645172</v>
      </c>
      <c r="R224" s="244">
        <v>1.1985516129032259</v>
      </c>
      <c r="S224" s="244">
        <v>0.24541935483870958</v>
      </c>
      <c r="T224" s="244">
        <v>1.5869935483870967</v>
      </c>
      <c r="U224" s="244">
        <v>0.70191290322580624</v>
      </c>
      <c r="V224" s="244">
        <v>0.53124516129032262</v>
      </c>
      <c r="W224" s="244">
        <v>4.0451612903225848E-3</v>
      </c>
      <c r="X224" s="244">
        <v>2.205806451612902E-2</v>
      </c>
      <c r="Y224" s="244">
        <v>9.5577419354838641E-2</v>
      </c>
      <c r="Z224" s="244">
        <v>1.6799999999999995E-2</v>
      </c>
      <c r="AA224" s="244">
        <v>2.330967741935485E-2</v>
      </c>
      <c r="AB224" s="244">
        <v>0.48569999999999969</v>
      </c>
      <c r="AC224" s="244">
        <v>6.3532258064516164E-2</v>
      </c>
      <c r="AD224" s="244">
        <v>2.2467741935483863E-2</v>
      </c>
      <c r="AE224" s="244">
        <v>0.45253225806451625</v>
      </c>
      <c r="AF224" s="244">
        <v>0.13834838709677424</v>
      </c>
      <c r="AG224" s="244">
        <v>1.0327258064516134</v>
      </c>
      <c r="AH224" s="244">
        <v>6.7880645161290318E-2</v>
      </c>
      <c r="AI224" s="244"/>
      <c r="AJ224" s="244"/>
      <c r="AK224" s="244"/>
      <c r="AL224" s="244"/>
      <c r="AM224" s="244"/>
      <c r="AN224" s="244"/>
      <c r="AO224" s="955" t="s">
        <v>22</v>
      </c>
    </row>
    <row r="225" spans="1:41" ht="14.1" customHeight="1">
      <c r="A225" s="954" t="s">
        <v>23</v>
      </c>
      <c r="B225" s="244">
        <v>1.7000000000000006</v>
      </c>
      <c r="C225" s="244">
        <v>1.9149900000000004</v>
      </c>
      <c r="D225" s="244">
        <v>1.1714566666666668</v>
      </c>
      <c r="E225" s="244">
        <v>0.46279999999999977</v>
      </c>
      <c r="F225" s="244">
        <v>0.23988999999999999</v>
      </c>
      <c r="G225" s="244">
        <v>0.2568833333333333</v>
      </c>
      <c r="H225" s="244">
        <v>0.21932999999999989</v>
      </c>
      <c r="I225" s="244">
        <v>2.1291066666666674</v>
      </c>
      <c r="J225" s="244">
        <v>4.0000000000000027E-3</v>
      </c>
      <c r="K225" s="244">
        <v>0.18251333333333336</v>
      </c>
      <c r="L225" s="244">
        <v>1.7867900000000003</v>
      </c>
      <c r="M225" s="244">
        <v>0.49187666666666663</v>
      </c>
      <c r="N225" s="244">
        <v>1.2533233333333333</v>
      </c>
      <c r="O225" s="244">
        <v>5.5235466666666673</v>
      </c>
      <c r="P225" s="244">
        <v>0.17834666666666665</v>
      </c>
      <c r="Q225" s="244">
        <v>0.43074333333333337</v>
      </c>
      <c r="R225" s="244">
        <v>1.2197800000000001</v>
      </c>
      <c r="S225" s="244">
        <v>0.24935666666666664</v>
      </c>
      <c r="T225" s="244">
        <v>1.5804766666666668</v>
      </c>
      <c r="U225" s="244">
        <v>0.71357000000000015</v>
      </c>
      <c r="V225" s="244">
        <v>0.55903000000000003</v>
      </c>
      <c r="W225" s="244">
        <v>4.2199999999999981E-3</v>
      </c>
      <c r="X225" s="244">
        <v>2.2763333333333323E-2</v>
      </c>
      <c r="Y225" s="244">
        <v>9.8426666666666662E-2</v>
      </c>
      <c r="Z225" s="244">
        <v>1.6729999999999998E-2</v>
      </c>
      <c r="AA225" s="244">
        <v>2.4493333333333322E-2</v>
      </c>
      <c r="AB225" s="244">
        <v>0.48569999999999969</v>
      </c>
      <c r="AC225" s="244">
        <v>6.3730000000000037E-2</v>
      </c>
      <c r="AD225" s="244">
        <v>2.2429999999999988E-2</v>
      </c>
      <c r="AE225" s="244">
        <v>0.45301333333333316</v>
      </c>
      <c r="AF225" s="244">
        <v>0.1407133333333333</v>
      </c>
      <c r="AG225" s="244">
        <v>1.0942866666666669</v>
      </c>
      <c r="AH225" s="244">
        <v>7.1783333333333324E-2</v>
      </c>
      <c r="AI225" s="244"/>
      <c r="AJ225" s="244"/>
      <c r="AK225" s="244"/>
      <c r="AL225" s="244"/>
      <c r="AM225" s="244"/>
      <c r="AN225" s="244"/>
      <c r="AO225" s="955" t="s">
        <v>23</v>
      </c>
    </row>
    <row r="226" spans="1:41" ht="14.1" customHeight="1">
      <c r="A226" s="954" t="s">
        <v>24</v>
      </c>
      <c r="B226" s="244">
        <v>1.7000000000000008</v>
      </c>
      <c r="C226" s="244">
        <v>1.943125806451613</v>
      </c>
      <c r="D226" s="244">
        <v>1.1924354838709679</v>
      </c>
      <c r="E226" s="244">
        <v>0.46279999999999977</v>
      </c>
      <c r="F226" s="244">
        <v>0.24235806451612907</v>
      </c>
      <c r="G226" s="244">
        <v>0.26095806451612902</v>
      </c>
      <c r="H226" s="244">
        <v>0.2193193548387096</v>
      </c>
      <c r="I226" s="244">
        <v>2.1475709677419359</v>
      </c>
      <c r="J226" s="244">
        <v>4.0000000000000027E-3</v>
      </c>
      <c r="K226" s="244">
        <v>0.18748064516129026</v>
      </c>
      <c r="L226" s="244">
        <v>1.8162838709677422</v>
      </c>
      <c r="M226" s="244">
        <v>0.49491290322580633</v>
      </c>
      <c r="N226" s="244">
        <v>1.2579096774193543</v>
      </c>
      <c r="O226" s="244">
        <v>5.5331225806451609</v>
      </c>
      <c r="P226" s="244">
        <v>0.18224516129032259</v>
      </c>
      <c r="Q226" s="244">
        <v>0.43657419354838706</v>
      </c>
      <c r="R226" s="244">
        <v>1.2238645161290329</v>
      </c>
      <c r="S226" s="244">
        <v>0.24759677419354834</v>
      </c>
      <c r="T226" s="244">
        <v>1.591022580645161</v>
      </c>
      <c r="U226" s="244">
        <v>0.70526129032258056</v>
      </c>
      <c r="V226" s="244">
        <v>0.55452580645161265</v>
      </c>
      <c r="W226" s="244">
        <v>4.1225806451612931E-3</v>
      </c>
      <c r="X226" s="244">
        <v>2.1954838709677418E-2</v>
      </c>
      <c r="Y226" s="244">
        <v>9.9803225806451595E-2</v>
      </c>
      <c r="Z226" s="244">
        <v>1.6696774193548387E-2</v>
      </c>
      <c r="AA226" s="244">
        <v>2.3845161290322586E-2</v>
      </c>
      <c r="AB226" s="244">
        <v>0.48569999999999969</v>
      </c>
      <c r="AC226" s="244">
        <v>6.2264516129032256E-2</v>
      </c>
      <c r="AD226" s="244">
        <v>2.2680645161290338E-2</v>
      </c>
      <c r="AE226" s="244">
        <v>0.4532354838709679</v>
      </c>
      <c r="AF226" s="244">
        <v>0.14163870967741937</v>
      </c>
      <c r="AG226" s="244">
        <v>1.1176709677419354</v>
      </c>
      <c r="AH226" s="244">
        <v>7.3248387096774184E-2</v>
      </c>
      <c r="AI226" s="244"/>
      <c r="AJ226" s="244"/>
      <c r="AK226" s="244"/>
      <c r="AL226" s="244"/>
      <c r="AM226" s="244"/>
      <c r="AN226" s="244"/>
      <c r="AO226" s="955" t="s">
        <v>24</v>
      </c>
    </row>
    <row r="227" spans="1:41" ht="14.1" customHeight="1">
      <c r="A227" s="954" t="s">
        <v>25</v>
      </c>
      <c r="B227" s="244">
        <v>1.7000000000000008</v>
      </c>
      <c r="C227" s="244">
        <v>2.0109967741935488</v>
      </c>
      <c r="D227" s="244">
        <v>1.2236064516129035</v>
      </c>
      <c r="E227" s="244">
        <v>0.46279999999999977</v>
      </c>
      <c r="F227" s="244">
        <v>0.24516129032258069</v>
      </c>
      <c r="G227" s="244">
        <v>0.27007741935483875</v>
      </c>
      <c r="H227" s="244">
        <v>0.21936129032258064</v>
      </c>
      <c r="I227" s="244">
        <v>2.2315774193548386</v>
      </c>
      <c r="J227" s="244">
        <v>4.0000000000000027E-3</v>
      </c>
      <c r="K227" s="244">
        <v>0.19513548387096774</v>
      </c>
      <c r="L227" s="244">
        <v>1.8674741935483878</v>
      </c>
      <c r="M227" s="244">
        <v>0.50000322580645151</v>
      </c>
      <c r="N227" s="244">
        <v>1.2841129032258058</v>
      </c>
      <c r="O227" s="244">
        <v>5.560574193548387</v>
      </c>
      <c r="P227" s="244">
        <v>0.18999032258064516</v>
      </c>
      <c r="Q227" s="244">
        <v>0.4567709677419356</v>
      </c>
      <c r="R227" s="244">
        <v>1.2410870967741934</v>
      </c>
      <c r="S227" s="244">
        <v>0.23433225806451616</v>
      </c>
      <c r="T227" s="244">
        <v>1.6039032258064521</v>
      </c>
      <c r="U227" s="244">
        <v>0.68093870967741932</v>
      </c>
      <c r="V227" s="244">
        <v>0.5528064516129032</v>
      </c>
      <c r="W227" s="244">
        <v>4.0806451612903256E-3</v>
      </c>
      <c r="X227" s="244">
        <v>2.1858064516129039E-2</v>
      </c>
      <c r="Y227" s="244">
        <v>0.10216774193548389</v>
      </c>
      <c r="Z227" s="244">
        <v>1.6625806451612903E-2</v>
      </c>
      <c r="AA227" s="244">
        <v>2.3080645161290332E-2</v>
      </c>
      <c r="AB227" s="244">
        <v>0.48569999999999969</v>
      </c>
      <c r="AC227" s="244">
        <v>6.1806451612903254E-2</v>
      </c>
      <c r="AD227" s="244">
        <v>2.2774193548387101E-2</v>
      </c>
      <c r="AE227" s="244">
        <v>0.45328387096774203</v>
      </c>
      <c r="AF227" s="244">
        <v>0.1432322580645162</v>
      </c>
      <c r="AG227" s="245">
        <v>1.1220419354838711</v>
      </c>
      <c r="AH227" s="244">
        <v>7.6832258064516115E-2</v>
      </c>
      <c r="AI227" s="244"/>
      <c r="AJ227" s="245"/>
      <c r="AK227" s="244"/>
      <c r="AL227" s="244"/>
      <c r="AM227" s="244"/>
      <c r="AN227" s="245"/>
      <c r="AO227" s="955" t="s">
        <v>25</v>
      </c>
    </row>
    <row r="228" spans="1:41" ht="14.1" customHeight="1">
      <c r="A228" s="955" t="s">
        <v>26</v>
      </c>
      <c r="B228" s="245">
        <v>1.7000000000000006</v>
      </c>
      <c r="C228" s="245">
        <v>2.0055233333333335</v>
      </c>
      <c r="D228" s="245">
        <v>1.2301266666666666</v>
      </c>
      <c r="E228" s="245">
        <v>0.46279999999999977</v>
      </c>
      <c r="F228" s="245">
        <v>0.24951666666666664</v>
      </c>
      <c r="G228" s="245">
        <v>0.26950333333333326</v>
      </c>
      <c r="H228" s="245">
        <v>0.21935000000000002</v>
      </c>
      <c r="I228" s="245">
        <v>2.2046099999999997</v>
      </c>
      <c r="J228" s="245">
        <v>4.0000000000000027E-3</v>
      </c>
      <c r="K228" s="245">
        <v>0.19246666666666667</v>
      </c>
      <c r="L228" s="245">
        <v>1.8595299999999999</v>
      </c>
      <c r="M228" s="245">
        <v>0.4970533333333334</v>
      </c>
      <c r="N228" s="245">
        <v>1.2871266666666663</v>
      </c>
      <c r="O228" s="245">
        <v>5.5568766666666676</v>
      </c>
      <c r="P228" s="245">
        <v>0.18645333333333333</v>
      </c>
      <c r="Q228" s="245">
        <v>0.44873666666666667</v>
      </c>
      <c r="R228" s="245">
        <v>1.2449066666666664</v>
      </c>
      <c r="S228" s="245">
        <v>0.22585666666666668</v>
      </c>
      <c r="T228" s="245">
        <v>1.6099033333333332</v>
      </c>
      <c r="U228" s="245">
        <v>0.65091333333333345</v>
      </c>
      <c r="V228" s="245">
        <v>0.53621666666666667</v>
      </c>
      <c r="W228" s="245">
        <v>4.0000000000000027E-3</v>
      </c>
      <c r="X228" s="245">
        <v>2.1673333333333336E-2</v>
      </c>
      <c r="Y228" s="245">
        <v>0.10167333333333334</v>
      </c>
      <c r="Z228" s="245">
        <v>1.6590000000000004E-2</v>
      </c>
      <c r="AA228" s="245">
        <v>2.2433333333333336E-2</v>
      </c>
      <c r="AB228" s="245">
        <v>0.48569999999999969</v>
      </c>
      <c r="AC228" s="245">
        <v>6.0743333333333344E-2</v>
      </c>
      <c r="AD228" s="245">
        <v>2.314666666666667E-2</v>
      </c>
      <c r="AE228" s="245">
        <v>0.45323000000000024</v>
      </c>
      <c r="AF228" s="245">
        <v>0.14437000000000003</v>
      </c>
      <c r="AG228" s="245">
        <v>1.1349333333333331</v>
      </c>
      <c r="AH228" s="245">
        <v>7.5096666666666673E-2</v>
      </c>
      <c r="AI228" s="245"/>
      <c r="AJ228" s="245"/>
      <c r="AK228" s="245"/>
      <c r="AL228" s="245"/>
      <c r="AM228" s="245"/>
      <c r="AN228" s="245"/>
      <c r="AO228" s="955" t="s">
        <v>26</v>
      </c>
    </row>
    <row r="229" spans="1:41" ht="14.1" customHeight="1">
      <c r="A229" s="955" t="s">
        <v>27</v>
      </c>
      <c r="B229" s="245">
        <v>1.7000000000000008</v>
      </c>
      <c r="C229" s="245">
        <v>1.9994290322580646</v>
      </c>
      <c r="D229" s="245">
        <v>1.2112677419354838</v>
      </c>
      <c r="E229" s="245">
        <v>0.46279999999999977</v>
      </c>
      <c r="F229" s="245">
        <v>0.25278064516129045</v>
      </c>
      <c r="G229" s="245">
        <v>0.26861290322580639</v>
      </c>
      <c r="H229" s="245">
        <v>0.2193774193548387</v>
      </c>
      <c r="I229" s="245">
        <v>2.2041580645161281</v>
      </c>
      <c r="J229" s="245">
        <v>4.0000000000000027E-3</v>
      </c>
      <c r="K229" s="245">
        <v>0.19211290322580646</v>
      </c>
      <c r="L229" s="245">
        <v>1.8615774193548387</v>
      </c>
      <c r="M229" s="245">
        <v>0.50039354838709682</v>
      </c>
      <c r="N229" s="245">
        <v>1.2864129032258067</v>
      </c>
      <c r="O229" s="245">
        <v>5.5554774193548404</v>
      </c>
      <c r="P229" s="245">
        <v>0.18276451612903227</v>
      </c>
      <c r="Q229" s="245">
        <v>0.44073548387096773</v>
      </c>
      <c r="R229" s="245">
        <v>1.2500451612903227</v>
      </c>
      <c r="S229" s="245">
        <v>0.21434838709677417</v>
      </c>
      <c r="T229" s="245">
        <v>1.6157741935483876</v>
      </c>
      <c r="U229" s="245">
        <v>0.65781612903225817</v>
      </c>
      <c r="V229" s="245">
        <v>0.52804516129032264</v>
      </c>
      <c r="W229" s="245">
        <v>3.990322580645164E-3</v>
      </c>
      <c r="X229" s="245">
        <v>2.11741935483871E-2</v>
      </c>
      <c r="Y229" s="245">
        <v>0.10015483870967741</v>
      </c>
      <c r="Z229" s="245">
        <v>1.6419354838709689E-2</v>
      </c>
      <c r="AA229" s="245">
        <v>2.191935483870967E-2</v>
      </c>
      <c r="AB229" s="245">
        <v>0.48569999999999969</v>
      </c>
      <c r="AC229" s="245">
        <v>6.00161290322581E-2</v>
      </c>
      <c r="AD229" s="245">
        <v>2.3154838709677421E-2</v>
      </c>
      <c r="AE229" s="245">
        <v>0.45323870967741953</v>
      </c>
      <c r="AF229" s="245">
        <v>0.1485129032258064</v>
      </c>
      <c r="AG229" s="245">
        <v>1.1276096774193549</v>
      </c>
      <c r="AH229" s="245">
        <v>7.3496774193548386E-2</v>
      </c>
      <c r="AI229" s="245"/>
      <c r="AJ229" s="245"/>
      <c r="AK229" s="245"/>
      <c r="AL229" s="245"/>
      <c r="AM229" s="245"/>
      <c r="AN229" s="245"/>
      <c r="AO229" s="955" t="s">
        <v>27</v>
      </c>
    </row>
    <row r="230" spans="1:41" ht="14.1" customHeight="1">
      <c r="A230" s="954">
        <v>11</v>
      </c>
      <c r="B230" s="245">
        <v>1.7000000000000006</v>
      </c>
      <c r="C230" s="245">
        <v>2.01084</v>
      </c>
      <c r="D230" s="245">
        <v>1.23464</v>
      </c>
      <c r="E230" s="245">
        <v>0.46279999999999977</v>
      </c>
      <c r="F230" s="245">
        <v>0.25729666666666667</v>
      </c>
      <c r="G230" s="245">
        <v>0.27002333333333339</v>
      </c>
      <c r="H230" s="245">
        <v>0.21927999999999984</v>
      </c>
      <c r="I230" s="245">
        <v>2.2430966666666667</v>
      </c>
      <c r="J230" s="245">
        <v>4.0000000000000027E-3</v>
      </c>
      <c r="K230" s="245">
        <v>0.19643666666666668</v>
      </c>
      <c r="L230" s="245">
        <v>1.86704</v>
      </c>
      <c r="M230" s="245">
        <v>0.50558666666666674</v>
      </c>
      <c r="N230" s="245">
        <v>1.2979533333333335</v>
      </c>
      <c r="O230" s="245">
        <v>5.5596799999999993</v>
      </c>
      <c r="P230" s="245">
        <v>0.18659666666666663</v>
      </c>
      <c r="Q230" s="245">
        <v>0.44657000000000002</v>
      </c>
      <c r="R230" s="245">
        <v>1.2613266666666665</v>
      </c>
      <c r="S230" s="245">
        <v>0.21336333333333338</v>
      </c>
      <c r="T230" s="245">
        <v>1.6305166666666666</v>
      </c>
      <c r="U230" s="245">
        <v>0.65896666666666692</v>
      </c>
      <c r="V230" s="245">
        <v>0.51336333333333328</v>
      </c>
      <c r="W230" s="245">
        <v>3.9600000000000017E-3</v>
      </c>
      <c r="X230" s="245">
        <v>2.0683333333333338E-2</v>
      </c>
      <c r="Y230" s="245">
        <v>9.9079999999999932E-2</v>
      </c>
      <c r="Z230" s="245">
        <v>1.6396666666666677E-2</v>
      </c>
      <c r="AA230" s="245">
        <v>2.209666666666666E-2</v>
      </c>
      <c r="AB230" s="245">
        <v>0.48569999999999969</v>
      </c>
      <c r="AC230" s="245">
        <v>6.0033333333333362E-2</v>
      </c>
      <c r="AD230" s="245">
        <v>2.291E-2</v>
      </c>
      <c r="AE230" s="245">
        <v>0.45329000000000008</v>
      </c>
      <c r="AF230" s="245">
        <v>0.15233000000000005</v>
      </c>
      <c r="AG230" s="245">
        <v>1.1657000000000002</v>
      </c>
      <c r="AH230" s="245">
        <v>7.5863333333333352E-2</v>
      </c>
      <c r="AI230" s="245"/>
      <c r="AJ230" s="245"/>
      <c r="AK230" s="245"/>
      <c r="AL230" s="245"/>
      <c r="AM230" s="245"/>
      <c r="AN230" s="245"/>
      <c r="AO230" s="955" t="s">
        <v>28</v>
      </c>
    </row>
    <row r="231" spans="1:41" ht="14.1" customHeight="1">
      <c r="A231" s="954" t="s">
        <v>29</v>
      </c>
      <c r="B231" s="245">
        <v>1.7000000000000008</v>
      </c>
      <c r="C231" s="245">
        <v>2.0694032258064516</v>
      </c>
      <c r="D231" s="245">
        <v>1.2802612903225805</v>
      </c>
      <c r="E231" s="245">
        <v>0.46282580645161259</v>
      </c>
      <c r="F231" s="245">
        <v>0.25995806451612896</v>
      </c>
      <c r="G231" s="245">
        <v>0.27808064516129033</v>
      </c>
      <c r="H231" s="245">
        <v>0.21929999999999986</v>
      </c>
      <c r="I231" s="245">
        <v>2.2854677419354834</v>
      </c>
      <c r="J231" s="245">
        <v>4.0000000000000027E-3</v>
      </c>
      <c r="K231" s="245">
        <v>0.20340000000000008</v>
      </c>
      <c r="L231" s="245">
        <v>1.9130096774193543</v>
      </c>
      <c r="M231" s="245">
        <v>0.52342258064516123</v>
      </c>
      <c r="N231" s="245">
        <v>1.3265741935483872</v>
      </c>
      <c r="O231" s="245">
        <v>5.5757225806451611</v>
      </c>
      <c r="P231" s="245">
        <v>0.19535161290322586</v>
      </c>
      <c r="Q231" s="245">
        <v>0.4630129032258064</v>
      </c>
      <c r="R231" s="245">
        <v>1.2764032258064522</v>
      </c>
      <c r="S231" s="245">
        <v>0.22007419354838714</v>
      </c>
      <c r="T231" s="245">
        <v>1.6379774193548389</v>
      </c>
      <c r="U231" s="245">
        <v>0.66441290322580626</v>
      </c>
      <c r="V231" s="245">
        <v>0.51777096774193543</v>
      </c>
      <c r="W231" s="245">
        <v>4.0548387096774217E-3</v>
      </c>
      <c r="X231" s="245">
        <v>2.0041935483870971E-2</v>
      </c>
      <c r="Y231" s="245">
        <v>9.8529032258064503E-2</v>
      </c>
      <c r="Z231" s="245">
        <v>1.6296774193548382E-2</v>
      </c>
      <c r="AA231" s="245">
        <v>2.2961290322580645E-2</v>
      </c>
      <c r="AB231" s="245">
        <v>0.48569999999999969</v>
      </c>
      <c r="AC231" s="245">
        <v>6.0412903225806454E-2</v>
      </c>
      <c r="AD231" s="245">
        <v>2.3074193548387103E-2</v>
      </c>
      <c r="AE231" s="245">
        <v>0.45312258064516092</v>
      </c>
      <c r="AF231" s="245">
        <v>0.15535806451612905</v>
      </c>
      <c r="AG231" s="245">
        <v>1.2056</v>
      </c>
      <c r="AH231" s="245">
        <v>7.871935483870969E-2</v>
      </c>
      <c r="AI231" s="245"/>
      <c r="AJ231" s="245"/>
      <c r="AK231" s="245"/>
      <c r="AL231" s="245"/>
      <c r="AM231" s="245"/>
      <c r="AN231" s="245"/>
      <c r="AO231" s="955">
        <v>12</v>
      </c>
    </row>
    <row r="232" spans="1:41" ht="14.1" customHeight="1">
      <c r="A232" s="68">
        <v>2021</v>
      </c>
      <c r="B232" s="260">
        <f>AVERAGE(B233:B244)</f>
        <v>1.7000000000000004</v>
      </c>
      <c r="C232" s="260">
        <f t="shared" ref="C232:AF232" si="24">AVERAGE(C233:C244)</f>
        <v>2.0124739669738871</v>
      </c>
      <c r="D232" s="260">
        <f t="shared" si="24"/>
        <v>1.2781624449564777</v>
      </c>
      <c r="E232" s="260">
        <f t="shared" si="24"/>
        <v>0.46280162186379908</v>
      </c>
      <c r="F232" s="260">
        <f t="shared" si="24"/>
        <v>0.26353630184331794</v>
      </c>
      <c r="G232" s="260">
        <f t="shared" si="24"/>
        <v>0.27060897721454175</v>
      </c>
      <c r="H232" s="260">
        <f t="shared" si="24"/>
        <v>0.2187276696108551</v>
      </c>
      <c r="I232" s="260">
        <f t="shared" si="24"/>
        <v>2.3391259594214033</v>
      </c>
      <c r="J232" s="260">
        <f t="shared" si="24"/>
        <v>4.0000000000000027E-3</v>
      </c>
      <c r="K232" s="260">
        <f t="shared" si="24"/>
        <v>0.19844697836661543</v>
      </c>
      <c r="L232" s="260">
        <f t="shared" si="24"/>
        <v>1.8606220398105482</v>
      </c>
      <c r="M232" s="260">
        <f t="shared" si="24"/>
        <v>0.52648894585253447</v>
      </c>
      <c r="N232" s="260">
        <f t="shared" si="24"/>
        <v>1.3562598732718893</v>
      </c>
      <c r="O232" s="260">
        <f t="shared" si="24"/>
        <v>5.6334439234511002</v>
      </c>
      <c r="P232" s="260">
        <f t="shared" si="24"/>
        <v>0.19795010432667692</v>
      </c>
      <c r="Q232" s="260">
        <f t="shared" si="24"/>
        <v>0.44105432795698923</v>
      </c>
      <c r="R232" s="260">
        <f t="shared" si="24"/>
        <v>1.2655139400921664</v>
      </c>
      <c r="S232" s="260">
        <f t="shared" si="24"/>
        <v>0.19791647529441883</v>
      </c>
      <c r="T232" s="260">
        <f t="shared" si="24"/>
        <v>1.5498433595750132</v>
      </c>
      <c r="U232" s="260">
        <f t="shared" si="24"/>
        <v>0.67028654761904749</v>
      </c>
      <c r="V232" s="260">
        <f t="shared" si="24"/>
        <v>0.52882436059907822</v>
      </c>
      <c r="W232" s="260">
        <f t="shared" si="24"/>
        <v>3.9976478494623676E-3</v>
      </c>
      <c r="X232" s="260">
        <f t="shared" si="24"/>
        <v>2.0124176267281111E-2</v>
      </c>
      <c r="Y232" s="260">
        <f t="shared" si="24"/>
        <v>9.6170396185355875E-2</v>
      </c>
      <c r="Z232" s="260">
        <f t="shared" si="24"/>
        <v>1.6033369815668209E-2</v>
      </c>
      <c r="AA232" s="260">
        <f t="shared" si="24"/>
        <v>2.308636072708654E-2</v>
      </c>
      <c r="AB232" s="260">
        <f t="shared" si="24"/>
        <v>0.48569999999999963</v>
      </c>
      <c r="AC232" s="260">
        <f t="shared" si="24"/>
        <v>6.2358463901689705E-2</v>
      </c>
      <c r="AD232" s="260">
        <f t="shared" si="24"/>
        <v>2.2996043266769076E-2</v>
      </c>
      <c r="AE232" s="260">
        <f t="shared" si="24"/>
        <v>0.45322787762416805</v>
      </c>
      <c r="AF232" s="260">
        <f t="shared" si="24"/>
        <v>0.14865055811571937</v>
      </c>
      <c r="AG232" s="260">
        <f t="shared" ref="AG232:AH232" si="25">AVERAGE(AG233:AG244)</f>
        <v>1.2035854147465439</v>
      </c>
      <c r="AH232" s="260">
        <f t="shared" si="25"/>
        <v>7.8445110087045564E-2</v>
      </c>
      <c r="AI232" s="260"/>
      <c r="AJ232" s="260"/>
      <c r="AK232" s="260"/>
      <c r="AL232" s="260"/>
      <c r="AM232" s="260"/>
      <c r="AN232" s="260"/>
      <c r="AO232" s="68">
        <v>2021</v>
      </c>
    </row>
    <row r="233" spans="1:41" ht="14.1" customHeight="1">
      <c r="A233" s="954" t="s">
        <v>18</v>
      </c>
      <c r="B233" s="245">
        <v>1.7</v>
      </c>
      <c r="C233" s="245">
        <v>2.07129032258065</v>
      </c>
      <c r="D233" s="245">
        <v>1.3118129032258099</v>
      </c>
      <c r="E233" s="245">
        <v>0.46279999999999999</v>
      </c>
      <c r="F233" s="245">
        <v>0.26249032258064497</v>
      </c>
      <c r="G233" s="245">
        <v>0.27845161290322601</v>
      </c>
      <c r="H233" s="245">
        <v>0.21929032258064499</v>
      </c>
      <c r="I233" s="245">
        <v>2.31706451612903</v>
      </c>
      <c r="J233" s="245">
        <v>4.0000000000000001E-3</v>
      </c>
      <c r="K233" s="245">
        <v>0.20533870967741899</v>
      </c>
      <c r="L233" s="245">
        <v>1.9179516129032299</v>
      </c>
      <c r="M233" s="245">
        <v>0.52743225806451599</v>
      </c>
      <c r="N233" s="245">
        <v>1.33536129032258</v>
      </c>
      <c r="O233" s="245">
        <v>5.60255483870968</v>
      </c>
      <c r="P233" s="245">
        <v>0.19961935483870999</v>
      </c>
      <c r="Q233" s="245">
        <v>0.45683870967741902</v>
      </c>
      <c r="R233" s="245">
        <v>1.2817774193548399</v>
      </c>
      <c r="S233" s="245">
        <v>0.23000322580645199</v>
      </c>
      <c r="T233" s="245">
        <v>1.6386967741935501</v>
      </c>
      <c r="U233" s="245">
        <v>0.66250967741935496</v>
      </c>
      <c r="V233" s="245">
        <v>0.516025806451613</v>
      </c>
      <c r="W233" s="245">
        <v>4.0483870967741899E-3</v>
      </c>
      <c r="X233" s="245">
        <v>2.03064516129032E-2</v>
      </c>
      <c r="Y233" s="245">
        <v>9.82709677419355E-2</v>
      </c>
      <c r="Z233" s="245">
        <v>1.6264516129032298E-2</v>
      </c>
      <c r="AA233" s="245">
        <v>2.2893548387096799E-2</v>
      </c>
      <c r="AB233" s="245">
        <v>0.48570000000000002</v>
      </c>
      <c r="AC233" s="245">
        <v>6.03096774193548E-2</v>
      </c>
      <c r="AD233" s="245">
        <v>2.3241935483871001E-2</v>
      </c>
      <c r="AE233" s="245">
        <v>0.45315161290322598</v>
      </c>
      <c r="AF233" s="245">
        <v>0.15464516129032199</v>
      </c>
      <c r="AG233" s="245">
        <v>1.2232129032258101</v>
      </c>
      <c r="AH233" s="245">
        <v>7.9212903225806472E-2</v>
      </c>
      <c r="AI233" s="245"/>
      <c r="AJ233" s="245"/>
      <c r="AK233" s="245"/>
      <c r="AL233" s="245"/>
      <c r="AM233" s="245"/>
      <c r="AN233" s="245"/>
      <c r="AO233" s="955" t="s">
        <v>18</v>
      </c>
    </row>
    <row r="234" spans="1:41" ht="14.1" customHeight="1">
      <c r="A234" s="952" t="s">
        <v>19</v>
      </c>
      <c r="B234" s="245">
        <v>1.7000000000000006</v>
      </c>
      <c r="C234" s="245">
        <v>2.0559285714285713</v>
      </c>
      <c r="D234" s="245">
        <v>1.3173142857142854</v>
      </c>
      <c r="E234" s="245">
        <v>0.46279999999999977</v>
      </c>
      <c r="F234" s="245">
        <v>0.26307142857142846</v>
      </c>
      <c r="G234" s="245">
        <v>0.27646428571428561</v>
      </c>
      <c r="H234" s="245">
        <v>0.21928214285714279</v>
      </c>
      <c r="I234" s="245">
        <v>2.3562178571428576</v>
      </c>
      <c r="J234" s="245">
        <v>4.0000000000000027E-3</v>
      </c>
      <c r="K234" s="245">
        <v>0.2038464285714286</v>
      </c>
      <c r="L234" s="245">
        <v>1.8939607142857138</v>
      </c>
      <c r="M234" s="245">
        <v>0.51958928571428575</v>
      </c>
      <c r="N234" s="245">
        <v>1.3385142857142862</v>
      </c>
      <c r="O234" s="245">
        <v>5.6172642857142847</v>
      </c>
      <c r="P234" s="245">
        <v>0.19981071428571426</v>
      </c>
      <c r="Q234" s="245">
        <v>0.45705000000000001</v>
      </c>
      <c r="R234" s="245">
        <v>1.2799785714285716</v>
      </c>
      <c r="S234" s="245">
        <v>0.23931071428571429</v>
      </c>
      <c r="T234" s="245">
        <v>1.613432142857143</v>
      </c>
      <c r="U234" s="245">
        <v>0.65312857142857161</v>
      </c>
      <c r="V234" s="245">
        <v>0.51406071428571432</v>
      </c>
      <c r="W234" s="245">
        <v>4.0750000000000031E-3</v>
      </c>
      <c r="X234" s="245">
        <v>2.0217857142857138E-2</v>
      </c>
      <c r="Y234" s="245">
        <v>9.7503571428571453E-2</v>
      </c>
      <c r="Z234" s="245">
        <v>1.616785714285714E-2</v>
      </c>
      <c r="AA234" s="245">
        <v>2.2864285714285722E-2</v>
      </c>
      <c r="AB234" s="245">
        <v>0.48569999999999969</v>
      </c>
      <c r="AC234" s="245">
        <v>6.1042857142857121E-2</v>
      </c>
      <c r="AD234" s="245">
        <v>2.3357142857142844E-2</v>
      </c>
      <c r="AE234" s="245">
        <v>0.45323571428571441</v>
      </c>
      <c r="AF234" s="245">
        <v>0.15282142857142861</v>
      </c>
      <c r="AG234" s="245">
        <v>1.2312714285714288</v>
      </c>
      <c r="AH234" s="245">
        <v>7.9421428571428559E-2</v>
      </c>
      <c r="AI234" s="245"/>
      <c r="AJ234" s="245"/>
      <c r="AK234" s="245"/>
      <c r="AL234" s="245"/>
      <c r="AM234" s="245"/>
      <c r="AN234" s="245"/>
      <c r="AO234" s="955" t="s">
        <v>19</v>
      </c>
    </row>
    <row r="235" spans="1:41" ht="14.1" customHeight="1">
      <c r="A235" s="952" t="s">
        <v>20</v>
      </c>
      <c r="B235" s="245">
        <v>1.7000000000000008</v>
      </c>
      <c r="C235" s="245">
        <v>2.0279903225806453</v>
      </c>
      <c r="D235" s="245">
        <v>1.3150838709677415</v>
      </c>
      <c r="E235" s="245">
        <v>0.46280322580645145</v>
      </c>
      <c r="F235" s="245">
        <v>0.26147096774193546</v>
      </c>
      <c r="G235" s="245">
        <v>0.27274193548387099</v>
      </c>
      <c r="H235" s="245">
        <v>0.21895806451612898</v>
      </c>
      <c r="I235" s="245">
        <v>2.3638580645161293</v>
      </c>
      <c r="J235" s="245">
        <v>4.0000000000000027E-3</v>
      </c>
      <c r="K235" s="245">
        <v>0.19973548387096773</v>
      </c>
      <c r="L235" s="245">
        <v>1.833167741935483</v>
      </c>
      <c r="M235" s="245">
        <v>0.51412580645161277</v>
      </c>
      <c r="N235" s="245">
        <v>1.353312903225806</v>
      </c>
      <c r="O235" s="245">
        <v>5.6237903225806445</v>
      </c>
      <c r="P235" s="245">
        <v>0.19965161290322581</v>
      </c>
      <c r="Q235" s="245">
        <v>0.44135161290322583</v>
      </c>
      <c r="R235" s="245">
        <v>1.2671032258064523</v>
      </c>
      <c r="S235" s="245">
        <v>0.22637096774193535</v>
      </c>
      <c r="T235" s="245">
        <v>1.5648548387096777</v>
      </c>
      <c r="U235" s="245">
        <v>0.65295483870967741</v>
      </c>
      <c r="V235" s="245">
        <v>0.51048064516129033</v>
      </c>
      <c r="W235" s="245">
        <v>4.0483870967741951E-3</v>
      </c>
      <c r="X235" s="245">
        <v>2.0032258064516136E-2</v>
      </c>
      <c r="Y235" s="245">
        <v>9.6119354838709661E-2</v>
      </c>
      <c r="Z235" s="245">
        <v>1.6187096774193541E-2</v>
      </c>
      <c r="AA235" s="245">
        <v>2.292258064516129E-2</v>
      </c>
      <c r="AB235" s="245">
        <v>0.48569999999999969</v>
      </c>
      <c r="AC235" s="245">
        <v>6.1267741935483837E-2</v>
      </c>
      <c r="AD235" s="245">
        <v>2.3338709677419342E-2</v>
      </c>
      <c r="AE235" s="245">
        <v>0.45326129032258078</v>
      </c>
      <c r="AF235" s="245">
        <v>0.15033225806451614</v>
      </c>
      <c r="AG235" s="245">
        <v>1.2195000000000003</v>
      </c>
      <c r="AH235" s="245">
        <v>7.7470967741935473E-2</v>
      </c>
      <c r="AI235" s="245"/>
      <c r="AJ235" s="245"/>
      <c r="AK235" s="245"/>
      <c r="AL235" s="245"/>
      <c r="AM235" s="245"/>
      <c r="AN235" s="245"/>
      <c r="AO235" s="955" t="s">
        <v>20</v>
      </c>
    </row>
    <row r="236" spans="1:41" ht="14.1" customHeight="1">
      <c r="A236" s="952" t="s">
        <v>21</v>
      </c>
      <c r="B236" s="245">
        <v>1.7000000000000006</v>
      </c>
      <c r="C236" s="245">
        <v>2.0305533333333328</v>
      </c>
      <c r="D236" s="245">
        <v>1.3075866666666667</v>
      </c>
      <c r="E236" s="245">
        <v>0.46279999999999977</v>
      </c>
      <c r="F236" s="245">
        <v>0.26048000000000004</v>
      </c>
      <c r="G236" s="245">
        <v>0.2730466666666666</v>
      </c>
      <c r="H236" s="245">
        <v>0.21877666666666673</v>
      </c>
      <c r="I236" s="245">
        <v>2.3513099999999993</v>
      </c>
      <c r="J236" s="245">
        <v>4.0000000000000027E-3</v>
      </c>
      <c r="K236" s="245">
        <v>0.19960666666666674</v>
      </c>
      <c r="L236" s="245">
        <v>1.8394866666666665</v>
      </c>
      <c r="M236" s="245">
        <v>0.51798333333333346</v>
      </c>
      <c r="N236" s="245">
        <v>1.3585533333333335</v>
      </c>
      <c r="O236" s="245">
        <v>5.6359933333333325</v>
      </c>
      <c r="P236" s="245">
        <v>0.20225333333333334</v>
      </c>
      <c r="Q236" s="245">
        <v>0.44476666666666659</v>
      </c>
      <c r="R236" s="245">
        <v>1.2730333333333332</v>
      </c>
      <c r="S236" s="245">
        <v>0.20803333333333332</v>
      </c>
      <c r="T236" s="245">
        <v>1.5582366666666665</v>
      </c>
      <c r="U236" s="245">
        <v>0.65126000000000028</v>
      </c>
      <c r="V236" s="245">
        <v>0.49537333333333328</v>
      </c>
      <c r="W236" s="245">
        <v>3.9433333333333343E-3</v>
      </c>
      <c r="X236" s="245">
        <v>2.0050000000000005E-2</v>
      </c>
      <c r="Y236" s="245">
        <v>9.4669999999999976E-2</v>
      </c>
      <c r="Z236" s="245">
        <v>1.6173333333333331E-2</v>
      </c>
      <c r="AA236" s="245">
        <v>2.2323333333333341E-2</v>
      </c>
      <c r="AB236" s="245">
        <v>0.48569999999999969</v>
      </c>
      <c r="AC236" s="245">
        <v>6.0896666666666634E-2</v>
      </c>
      <c r="AD236" s="245">
        <v>2.2813333333333345E-2</v>
      </c>
      <c r="AE236" s="245">
        <v>0.45330000000000009</v>
      </c>
      <c r="AF236" s="245">
        <v>0.15192333333333333</v>
      </c>
      <c r="AG236" s="245">
        <v>1.2099533333333334</v>
      </c>
      <c r="AH236" s="245">
        <v>7.8286666666666685E-2</v>
      </c>
      <c r="AI236" s="245"/>
      <c r="AJ236" s="245"/>
      <c r="AK236" s="245"/>
      <c r="AL236" s="245"/>
      <c r="AM236" s="245"/>
      <c r="AN236" s="245"/>
      <c r="AO236" s="955" t="s">
        <v>21</v>
      </c>
    </row>
    <row r="237" spans="1:41" ht="14.1" customHeight="1">
      <c r="A237" s="952" t="s">
        <v>22</v>
      </c>
      <c r="B237" s="245">
        <v>1.7000000000000008</v>
      </c>
      <c r="C237" s="245">
        <v>2.0669129032258069</v>
      </c>
      <c r="D237" s="245">
        <v>1.3222322580645161</v>
      </c>
      <c r="E237" s="245">
        <v>0.46279999999999977</v>
      </c>
      <c r="F237" s="245">
        <v>0.2643322580645161</v>
      </c>
      <c r="G237" s="245">
        <v>0.27796451612903234</v>
      </c>
      <c r="H237" s="245">
        <v>0.21893870967741949</v>
      </c>
      <c r="I237" s="245">
        <v>2.3885838709677438</v>
      </c>
      <c r="J237" s="245">
        <v>4.0000000000000027E-3</v>
      </c>
      <c r="K237" s="245">
        <v>0.20389354838709681</v>
      </c>
      <c r="L237" s="245">
        <v>1.8849064516129033</v>
      </c>
      <c r="M237" s="245">
        <v>0.52252903225806469</v>
      </c>
      <c r="N237" s="245">
        <v>1.4005129032258066</v>
      </c>
      <c r="O237" s="245">
        <v>5.6478290322580644</v>
      </c>
      <c r="P237" s="245">
        <v>0.20528709677419346</v>
      </c>
      <c r="Q237" s="245">
        <v>0.45626451612903224</v>
      </c>
      <c r="R237" s="245">
        <v>1.2798935483870977</v>
      </c>
      <c r="S237" s="245">
        <v>0.20373225806451611</v>
      </c>
      <c r="T237" s="245">
        <v>1.560267741935484</v>
      </c>
      <c r="U237" s="245">
        <v>0.67218064516129028</v>
      </c>
      <c r="V237" s="245">
        <v>0.50353225806451618</v>
      </c>
      <c r="W237" s="245">
        <v>4.0000000000000027E-3</v>
      </c>
      <c r="X237" s="245">
        <v>2.0177419354838709E-2</v>
      </c>
      <c r="Y237" s="245">
        <v>9.5812903225806448E-2</v>
      </c>
      <c r="Z237" s="245">
        <v>1.6132258064516129E-2</v>
      </c>
      <c r="AA237" s="245">
        <v>2.2983870967741942E-2</v>
      </c>
      <c r="AB237" s="245">
        <v>0.48569999999999969</v>
      </c>
      <c r="AC237" s="245">
        <v>6.1570967741935524E-2</v>
      </c>
      <c r="AD237" s="245">
        <v>2.3190322580645156E-2</v>
      </c>
      <c r="AE237" s="245">
        <v>0.45330000000000009</v>
      </c>
      <c r="AF237" s="245">
        <v>0.15150967741935481</v>
      </c>
      <c r="AG237" s="245">
        <v>1.2310967741935479</v>
      </c>
      <c r="AH237" s="245">
        <v>8.0777419354838703E-2</v>
      </c>
      <c r="AI237" s="245"/>
      <c r="AJ237" s="245"/>
      <c r="AK237" s="245"/>
      <c r="AL237" s="245"/>
      <c r="AM237" s="245"/>
      <c r="AN237" s="245"/>
      <c r="AO237" s="955" t="s">
        <v>22</v>
      </c>
    </row>
    <row r="238" spans="1:41" ht="14.1" customHeight="1">
      <c r="A238" s="952" t="s">
        <v>23</v>
      </c>
      <c r="B238" s="245">
        <v>1.7000000000000008</v>
      </c>
      <c r="C238" s="245">
        <v>2.0485566666666668</v>
      </c>
      <c r="D238" s="245">
        <v>1.2999533333333333</v>
      </c>
      <c r="E238" s="245">
        <v>0.46279999999999977</v>
      </c>
      <c r="F238" s="245">
        <v>0.26463999999999999</v>
      </c>
      <c r="G238" s="245">
        <v>0.27547333333333329</v>
      </c>
      <c r="H238" s="245">
        <v>0.21901999999999999</v>
      </c>
      <c r="I238" s="245">
        <v>2.3859033333333333</v>
      </c>
      <c r="J238" s="245">
        <v>4.0000000000000027E-3</v>
      </c>
      <c r="K238" s="245">
        <v>0.2025766666666666</v>
      </c>
      <c r="L238" s="245">
        <v>1.8733300000000006</v>
      </c>
      <c r="M238" s="245">
        <v>0.52273666666666652</v>
      </c>
      <c r="N238" s="245">
        <v>1.3918299999999999</v>
      </c>
      <c r="O238" s="245">
        <v>5.64872</v>
      </c>
      <c r="P238" s="245">
        <v>0.20203666666666659</v>
      </c>
      <c r="Q238" s="245">
        <v>0.45529333333333333</v>
      </c>
      <c r="R238" s="245">
        <v>1.2754266666666667</v>
      </c>
      <c r="S238" s="245">
        <v>0.19706333333333326</v>
      </c>
      <c r="T238" s="245">
        <v>1.5440933333333338</v>
      </c>
      <c r="U238" s="245">
        <v>0.67491666666666661</v>
      </c>
      <c r="V238" s="245">
        <v>0.53786333333333336</v>
      </c>
      <c r="W238" s="245">
        <v>4.0000000000000027E-3</v>
      </c>
      <c r="X238" s="245">
        <v>2.0106666666666672E-2</v>
      </c>
      <c r="Y238" s="245">
        <v>9.5546666666666627E-2</v>
      </c>
      <c r="Z238" s="245">
        <v>1.6080000000000004E-2</v>
      </c>
      <c r="AA238" s="245">
        <v>2.3429999999999996E-2</v>
      </c>
      <c r="AB238" s="245">
        <v>0.48569999999999969</v>
      </c>
      <c r="AC238" s="245">
        <v>6.236333333333334E-2</v>
      </c>
      <c r="AD238" s="245">
        <v>2.3113333333333336E-2</v>
      </c>
      <c r="AE238" s="245">
        <v>0.45330000000000009</v>
      </c>
      <c r="AF238" s="245">
        <v>0.15153999999999998</v>
      </c>
      <c r="AG238" s="245">
        <v>1.2094066666666665</v>
      </c>
      <c r="AH238" s="245">
        <v>8.050333333333333E-2</v>
      </c>
      <c r="AI238" s="245"/>
      <c r="AJ238" s="245"/>
      <c r="AK238" s="245"/>
      <c r="AL238" s="245"/>
      <c r="AM238" s="245"/>
      <c r="AN238" s="245"/>
      <c r="AO238" s="955" t="s">
        <v>23</v>
      </c>
    </row>
    <row r="239" spans="1:41" ht="14.1" customHeight="1">
      <c r="A239" s="952" t="s">
        <v>24</v>
      </c>
      <c r="B239" s="245">
        <v>1.7000000000000008</v>
      </c>
      <c r="C239" s="245">
        <v>2.0101354838709686</v>
      </c>
      <c r="D239" s="245">
        <v>1.2625999999999999</v>
      </c>
      <c r="E239" s="245">
        <v>0.46279999999999977</v>
      </c>
      <c r="F239" s="245">
        <v>0.26258064516129037</v>
      </c>
      <c r="G239" s="245">
        <v>0.27029999999999998</v>
      </c>
      <c r="H239" s="245">
        <v>0.21880967741935484</v>
      </c>
      <c r="I239" s="245">
        <v>2.3478387096774198</v>
      </c>
      <c r="J239" s="245">
        <v>4.0000000000000027E-3</v>
      </c>
      <c r="K239" s="245">
        <v>0.19710967741935487</v>
      </c>
      <c r="L239" s="245">
        <v>1.851141935483871</v>
      </c>
      <c r="M239" s="245">
        <v>0.51964193548387094</v>
      </c>
      <c r="N239" s="245">
        <v>1.3583870967741936</v>
      </c>
      <c r="O239" s="245">
        <v>5.64916451612903</v>
      </c>
      <c r="P239" s="245">
        <v>0.19387741935483871</v>
      </c>
      <c r="Q239" s="245">
        <v>0.44109032258064518</v>
      </c>
      <c r="R239" s="245">
        <v>1.2553258064516133</v>
      </c>
      <c r="S239" s="245">
        <v>0.1976290322580645</v>
      </c>
      <c r="T239" s="245">
        <v>1.5409774193548382</v>
      </c>
      <c r="U239" s="245">
        <v>0.6701677419354839</v>
      </c>
      <c r="V239" s="245">
        <v>0.54368387096774173</v>
      </c>
      <c r="W239" s="245">
        <v>4.0000000000000027E-3</v>
      </c>
      <c r="X239" s="245">
        <v>2.0116129032258071E-2</v>
      </c>
      <c r="Y239" s="245">
        <v>9.4287096774193585E-2</v>
      </c>
      <c r="Z239" s="245">
        <v>1.6012903225806462E-2</v>
      </c>
      <c r="AA239" s="245">
        <v>2.3006451612903222E-2</v>
      </c>
      <c r="AB239" s="245">
        <v>0.48569999999999969</v>
      </c>
      <c r="AC239" s="245">
        <v>6.2503225806451609E-2</v>
      </c>
      <c r="AD239" s="245">
        <v>2.2816129032258069E-2</v>
      </c>
      <c r="AE239" s="245">
        <v>0.45323548387096796</v>
      </c>
      <c r="AF239" s="245">
        <v>0.14866774193548388</v>
      </c>
      <c r="AG239" s="245">
        <v>1.1877806451612902</v>
      </c>
      <c r="AH239" s="245">
        <v>7.8451612903225817E-2</v>
      </c>
      <c r="AI239" s="245"/>
      <c r="AJ239" s="245"/>
      <c r="AK239" s="245"/>
      <c r="AL239" s="245"/>
      <c r="AM239" s="245"/>
      <c r="AN239" s="245"/>
      <c r="AO239" s="955" t="s">
        <v>24</v>
      </c>
    </row>
    <row r="240" spans="1:41" ht="14.1" customHeight="1">
      <c r="A240" s="952" t="s">
        <v>25</v>
      </c>
      <c r="B240" s="245">
        <v>1.7000000000000008</v>
      </c>
      <c r="C240" s="245">
        <v>2.0008548387096767</v>
      </c>
      <c r="D240" s="245">
        <v>1.2406419354838711</v>
      </c>
      <c r="E240" s="245">
        <v>0.46279999999999977</v>
      </c>
      <c r="F240" s="245">
        <v>0.26243225806451609</v>
      </c>
      <c r="G240" s="245">
        <v>0.2690548387096775</v>
      </c>
      <c r="H240" s="245">
        <v>0.2184129032258065</v>
      </c>
      <c r="I240" s="245">
        <v>2.3455032258064525</v>
      </c>
      <c r="J240" s="245">
        <v>4.0000000000000027E-3</v>
      </c>
      <c r="K240" s="245">
        <v>0.19583225806451612</v>
      </c>
      <c r="L240" s="245">
        <v>1.8589548387096773</v>
      </c>
      <c r="M240" s="245">
        <v>0.52700967741935478</v>
      </c>
      <c r="N240" s="245">
        <v>1.3489903225806454</v>
      </c>
      <c r="O240" s="245">
        <v>5.6514741935483874</v>
      </c>
      <c r="P240" s="245">
        <v>0.19177096774193547</v>
      </c>
      <c r="Q240" s="245">
        <v>0.43792580645161283</v>
      </c>
      <c r="R240" s="245">
        <v>1.2541258064516128</v>
      </c>
      <c r="S240" s="245">
        <v>0.20028387096774194</v>
      </c>
      <c r="T240" s="245">
        <v>1.5472322580645164</v>
      </c>
      <c r="U240" s="245">
        <v>0.67762903225806459</v>
      </c>
      <c r="V240" s="245">
        <v>0.54603548387096756</v>
      </c>
      <c r="W240" s="245">
        <v>4.0000000000000027E-3</v>
      </c>
      <c r="X240" s="245">
        <v>2.0100000000000003E-2</v>
      </c>
      <c r="Y240" s="245">
        <v>9.5890322580645171E-2</v>
      </c>
      <c r="Z240" s="245">
        <v>1.5987096774193556E-2</v>
      </c>
      <c r="AA240" s="245">
        <v>2.3087096774193554E-2</v>
      </c>
      <c r="AB240" s="245">
        <v>0.48569999999999969</v>
      </c>
      <c r="AC240" s="245">
        <v>6.3516129032258076E-2</v>
      </c>
      <c r="AD240" s="245">
        <v>2.2909677419354835E-2</v>
      </c>
      <c r="AE240" s="245">
        <v>0.45329354838709685</v>
      </c>
      <c r="AF240" s="245">
        <v>0.14633870967741938</v>
      </c>
      <c r="AG240" s="245">
        <v>1.1848225806451611</v>
      </c>
      <c r="AH240" s="245">
        <v>7.8558064516129053E-2</v>
      </c>
      <c r="AI240" s="245"/>
      <c r="AJ240" s="245"/>
      <c r="AK240" s="245"/>
      <c r="AL240" s="245"/>
      <c r="AM240" s="245"/>
      <c r="AN240" s="245"/>
      <c r="AO240" s="955" t="s">
        <v>25</v>
      </c>
    </row>
    <row r="241" spans="1:41" ht="14.1" customHeight="1">
      <c r="A241" s="952" t="s">
        <v>26</v>
      </c>
      <c r="B241" s="245">
        <v>1.7000000000000006</v>
      </c>
      <c r="C241" s="245">
        <v>2.0032966666666665</v>
      </c>
      <c r="D241" s="245">
        <v>1.2458100000000001</v>
      </c>
      <c r="E241" s="245">
        <v>0.46279999999999977</v>
      </c>
      <c r="F241" s="245">
        <v>0.26328333333333331</v>
      </c>
      <c r="G241" s="245">
        <v>0.26938333333333325</v>
      </c>
      <c r="H241" s="245">
        <v>0.21851666666666664</v>
      </c>
      <c r="I241" s="245">
        <v>2.3389399999999996</v>
      </c>
      <c r="J241" s="245">
        <v>4.0000000000000027E-3</v>
      </c>
      <c r="K241" s="245">
        <v>0.19699666666666665</v>
      </c>
      <c r="L241" s="245">
        <v>1.8440966666666663</v>
      </c>
      <c r="M241" s="245">
        <v>0.53016666666666656</v>
      </c>
      <c r="N241" s="245">
        <v>1.3432166666666663</v>
      </c>
      <c r="O241" s="245">
        <v>5.6503233333333345</v>
      </c>
      <c r="P241" s="245">
        <v>0.19643999999999998</v>
      </c>
      <c r="Q241" s="245">
        <v>0.43889666666666666</v>
      </c>
      <c r="R241" s="245">
        <v>1.2622899999999999</v>
      </c>
      <c r="S241" s="245">
        <v>0.19929666666666668</v>
      </c>
      <c r="T241" s="245">
        <v>1.543806666666667</v>
      </c>
      <c r="U241" s="245">
        <v>0.67961666666666665</v>
      </c>
      <c r="V241" s="245">
        <v>0.54602333333333353</v>
      </c>
      <c r="W241" s="245">
        <v>4.0000000000000027E-3</v>
      </c>
      <c r="X241" s="245">
        <v>2.0100000000000003E-2</v>
      </c>
      <c r="Y241" s="245">
        <v>9.6296666666666683E-2</v>
      </c>
      <c r="Z241" s="245">
        <v>1.5910000000000011E-2</v>
      </c>
      <c r="AA241" s="245">
        <v>2.3329999999999986E-2</v>
      </c>
      <c r="AB241" s="245">
        <v>0.48569999999999969</v>
      </c>
      <c r="AC241" s="245">
        <v>6.3626666666666692E-2</v>
      </c>
      <c r="AD241" s="245">
        <v>2.3106666666666675E-2</v>
      </c>
      <c r="AE241" s="245">
        <v>0.45325666666666681</v>
      </c>
      <c r="AF241" s="245">
        <v>0.14510666666666666</v>
      </c>
      <c r="AG241" s="245">
        <v>1.2019233333333332</v>
      </c>
      <c r="AH241" s="245">
        <v>7.8883333333333319E-2</v>
      </c>
      <c r="AI241" s="245"/>
      <c r="AJ241" s="245"/>
      <c r="AK241" s="245"/>
      <c r="AL241" s="245"/>
      <c r="AM241" s="245"/>
      <c r="AN241" s="245"/>
      <c r="AO241" s="955" t="s">
        <v>26</v>
      </c>
    </row>
    <row r="242" spans="1:41" ht="14.1" customHeight="1">
      <c r="A242" s="952" t="s">
        <v>27</v>
      </c>
      <c r="B242" s="245">
        <v>1.7000000000000008</v>
      </c>
      <c r="C242" s="245">
        <v>1.9727999999999992</v>
      </c>
      <c r="D242" s="245">
        <v>1.2570741935483867</v>
      </c>
      <c r="E242" s="245">
        <v>0.46280967741935458</v>
      </c>
      <c r="F242" s="245">
        <v>0.26470645161290324</v>
      </c>
      <c r="G242" s="245">
        <v>0.26517741935483874</v>
      </c>
      <c r="H242" s="245">
        <v>0.21850000000000011</v>
      </c>
      <c r="I242" s="245">
        <v>2.325490322580646</v>
      </c>
      <c r="J242" s="245">
        <v>4.0000000000000027E-3</v>
      </c>
      <c r="K242" s="245">
        <v>0.19611935483870974</v>
      </c>
      <c r="L242" s="245">
        <v>1.8409709677419357</v>
      </c>
      <c r="M242" s="245">
        <v>0.52902258064516128</v>
      </c>
      <c r="N242" s="245">
        <v>1.3649032258064515</v>
      </c>
      <c r="O242" s="245">
        <v>5.6354225806451606</v>
      </c>
      <c r="P242" s="245">
        <v>0.2004774193548387</v>
      </c>
      <c r="Q242" s="245">
        <v>0.42929677419354839</v>
      </c>
      <c r="R242" s="245">
        <v>1.2581612903225807</v>
      </c>
      <c r="S242" s="245">
        <v>0.18492580645161283</v>
      </c>
      <c r="T242" s="245">
        <v>1.5039387096774195</v>
      </c>
      <c r="U242" s="245">
        <v>0.69087741935483848</v>
      </c>
      <c r="V242" s="245">
        <v>0.54189999999999994</v>
      </c>
      <c r="W242" s="245">
        <v>4.0000000000000027E-3</v>
      </c>
      <c r="X242" s="245">
        <v>2.0100000000000003E-2</v>
      </c>
      <c r="Y242" s="245">
        <v>9.7387096774193577E-2</v>
      </c>
      <c r="Z242" s="245">
        <v>1.5900000000000011E-2</v>
      </c>
      <c r="AA242" s="245">
        <v>2.3806451612903224E-2</v>
      </c>
      <c r="AB242" s="245">
        <v>0.48569999999999969</v>
      </c>
      <c r="AC242" s="245">
        <v>6.4458064516129024E-2</v>
      </c>
      <c r="AD242" s="245">
        <v>2.2696774193548406E-2</v>
      </c>
      <c r="AE242" s="245">
        <v>0.45322258064516158</v>
      </c>
      <c r="AF242" s="245">
        <v>0.14377419354838719</v>
      </c>
      <c r="AG242" s="245">
        <v>1.1979032258064519</v>
      </c>
      <c r="AH242" s="245">
        <v>7.7374193548387135E-2</v>
      </c>
      <c r="AI242" s="245"/>
      <c r="AJ242" s="245"/>
      <c r="AK242" s="245"/>
      <c r="AL242" s="245"/>
      <c r="AM242" s="245"/>
      <c r="AN242" s="245"/>
      <c r="AO242" s="955" t="s">
        <v>27</v>
      </c>
    </row>
    <row r="243" spans="1:41" ht="14.1" customHeight="1">
      <c r="A243" s="952" t="s">
        <v>28</v>
      </c>
      <c r="B243" s="245">
        <v>1.7000000000000006</v>
      </c>
      <c r="C243" s="245">
        <v>1.9391233333333335</v>
      </c>
      <c r="D243" s="245">
        <v>1.2412366666666665</v>
      </c>
      <c r="E243" s="245">
        <v>0.46280333333333312</v>
      </c>
      <c r="F243" s="245">
        <v>0.2659866666666667</v>
      </c>
      <c r="G243" s="245">
        <v>0.26074333333333327</v>
      </c>
      <c r="H243" s="245">
        <v>0.21823333333333339</v>
      </c>
      <c r="I243" s="245">
        <v>2.2864499999999994</v>
      </c>
      <c r="J243" s="245">
        <v>4.0000000000000027E-3</v>
      </c>
      <c r="K243" s="245">
        <v>0.19305666666666671</v>
      </c>
      <c r="L243" s="245">
        <v>1.843003333333334</v>
      </c>
      <c r="M243" s="245">
        <v>0.54503333333333326</v>
      </c>
      <c r="N243" s="245">
        <v>1.3530300000000006</v>
      </c>
      <c r="O243" s="245">
        <v>5.6244099999999992</v>
      </c>
      <c r="P243" s="245">
        <v>0.19467666666666669</v>
      </c>
      <c r="Q243" s="245">
        <v>0.41750333333333323</v>
      </c>
      <c r="R243" s="245">
        <v>1.2521999999999998</v>
      </c>
      <c r="S243" s="245">
        <v>0.16090333333333331</v>
      </c>
      <c r="T243" s="245">
        <v>1.4890966666666672</v>
      </c>
      <c r="U243" s="245">
        <v>0.6863166666666668</v>
      </c>
      <c r="V243" s="245">
        <v>0.54212000000000005</v>
      </c>
      <c r="W243" s="245">
        <v>3.9566666666666682E-3</v>
      </c>
      <c r="X243" s="245">
        <v>2.0083333333333335E-2</v>
      </c>
      <c r="Y243" s="245">
        <v>9.6463333333333345E-2</v>
      </c>
      <c r="Z243" s="245">
        <v>1.5846666666666658E-2</v>
      </c>
      <c r="AA243" s="245">
        <v>2.3349999999999999E-2</v>
      </c>
      <c r="AB243" s="245">
        <v>0.48569999999999969</v>
      </c>
      <c r="AC243" s="245">
        <v>6.4233333333333337E-2</v>
      </c>
      <c r="AD243" s="245">
        <v>2.2823333333333338E-2</v>
      </c>
      <c r="AE243" s="245">
        <v>0.45320666666666665</v>
      </c>
      <c r="AF243" s="245">
        <v>0.14347333333333331</v>
      </c>
      <c r="AG243" s="245">
        <v>1.1917766666666665</v>
      </c>
      <c r="AH243" s="245">
        <v>7.6343333333333332E-2</v>
      </c>
      <c r="AI243" s="245"/>
      <c r="AJ243" s="245"/>
      <c r="AK243" s="245"/>
      <c r="AL243" s="245"/>
      <c r="AM243" s="245"/>
      <c r="AN243" s="245"/>
      <c r="AO243" s="955" t="s">
        <v>28</v>
      </c>
    </row>
    <row r="244" spans="1:41" ht="14.1" customHeight="1">
      <c r="A244" s="952" t="s">
        <v>29</v>
      </c>
      <c r="B244" s="245">
        <v>1.7000000000000008</v>
      </c>
      <c r="C244" s="245">
        <v>1.9222451612903229</v>
      </c>
      <c r="D244" s="245">
        <v>1.2166032258064512</v>
      </c>
      <c r="E244" s="245">
        <v>0.46280322580645145</v>
      </c>
      <c r="F244" s="245">
        <v>0.26696129032258059</v>
      </c>
      <c r="G244" s="245">
        <v>0.25850645161290325</v>
      </c>
      <c r="H244" s="245">
        <v>0.21799354838709678</v>
      </c>
      <c r="I244" s="245">
        <v>2.2623516129032266</v>
      </c>
      <c r="J244" s="245">
        <v>4.0000000000000027E-3</v>
      </c>
      <c r="K244" s="245">
        <v>0.18725161290322581</v>
      </c>
      <c r="L244" s="245">
        <v>1.8464935483870963</v>
      </c>
      <c r="M244" s="245">
        <v>0.54259677419354824</v>
      </c>
      <c r="N244" s="245">
        <v>1.328506451612903</v>
      </c>
      <c r="O244" s="245">
        <v>5.6143806451612912</v>
      </c>
      <c r="P244" s="245">
        <v>0.1895</v>
      </c>
      <c r="Q244" s="245">
        <v>0.41637419354838723</v>
      </c>
      <c r="R244" s="245">
        <v>1.2468516129032259</v>
      </c>
      <c r="S244" s="245">
        <v>0.12744516129032257</v>
      </c>
      <c r="T244" s="245">
        <v>1.4934870967741938</v>
      </c>
      <c r="U244" s="245">
        <v>0.67188064516129042</v>
      </c>
      <c r="V244" s="245">
        <v>0.54879354838709671</v>
      </c>
      <c r="W244" s="245">
        <v>3.9000000000000003E-3</v>
      </c>
      <c r="X244" s="245">
        <v>2.0100000000000003E-2</v>
      </c>
      <c r="Y244" s="245">
        <v>9.5796774193548415E-2</v>
      </c>
      <c r="Z244" s="245">
        <v>1.5738709677419353E-2</v>
      </c>
      <c r="AA244" s="245">
        <v>2.3038709677419361E-2</v>
      </c>
      <c r="AB244" s="245">
        <v>0.48569999999999969</v>
      </c>
      <c r="AC244" s="245">
        <v>6.2512903225806452E-2</v>
      </c>
      <c r="AD244" s="245">
        <v>2.254516129032258E-2</v>
      </c>
      <c r="AE244" s="245">
        <v>0.45297096774193546</v>
      </c>
      <c r="AF244" s="245">
        <v>0.14367419354838709</v>
      </c>
      <c r="AG244" s="245">
        <v>1.1543774193548386</v>
      </c>
      <c r="AH244" s="245">
        <v>7.6058064516129065E-2</v>
      </c>
      <c r="AI244" s="245"/>
      <c r="AJ244" s="245"/>
      <c r="AK244" s="245"/>
      <c r="AL244" s="245"/>
      <c r="AM244" s="245"/>
      <c r="AN244" s="245"/>
      <c r="AO244" s="955" t="s">
        <v>29</v>
      </c>
    </row>
    <row r="245" spans="1:41" ht="14.1" customHeight="1">
      <c r="A245" s="953" t="s">
        <v>2827</v>
      </c>
      <c r="B245" s="260">
        <f>AVERAGE(B246:B257)</f>
        <v>1.7000000000000004</v>
      </c>
      <c r="C245" s="260">
        <f t="shared" ref="C245:AF245" si="26">AVERAGE(C246:C257)</f>
        <v>1.7928871908602153</v>
      </c>
      <c r="D245" s="260">
        <f t="shared" si="26"/>
        <v>1.1820551286482337</v>
      </c>
      <c r="E245" s="260">
        <f t="shared" si="26"/>
        <v>0.46280456989247282</v>
      </c>
      <c r="F245" s="260">
        <f t="shared" si="26"/>
        <v>0.253138561187916</v>
      </c>
      <c r="G245" s="260">
        <f t="shared" si="26"/>
        <v>0.24100021121351758</v>
      </c>
      <c r="H245" s="260">
        <f t="shared" si="26"/>
        <v>0.21711826356886835</v>
      </c>
      <c r="I245" s="260">
        <f t="shared" si="26"/>
        <v>2.1052157584485407</v>
      </c>
      <c r="J245" s="260">
        <f t="shared" si="26"/>
        <v>4.0000000000000027E-3</v>
      </c>
      <c r="K245" s="260">
        <f t="shared" si="26"/>
        <v>0.16883501600102405</v>
      </c>
      <c r="L245" s="260">
        <f t="shared" si="26"/>
        <v>1.7824750172811059</v>
      </c>
      <c r="M245" s="260">
        <f t="shared" si="26"/>
        <v>0.50728376984126977</v>
      </c>
      <c r="N245" s="260">
        <f t="shared" si="26"/>
        <v>1.3078170193292369</v>
      </c>
      <c r="O245" s="260">
        <f t="shared" si="26"/>
        <v>5.5499770218893998</v>
      </c>
      <c r="P245" s="260">
        <f t="shared" si="26"/>
        <v>0.17766517985151045</v>
      </c>
      <c r="Q245" s="260">
        <f t="shared" si="26"/>
        <v>0.38316735855094725</v>
      </c>
      <c r="R245" s="260">
        <f t="shared" si="26"/>
        <v>1.2338432136456736</v>
      </c>
      <c r="S245" s="260">
        <f t="shared" si="26"/>
        <v>0.10429247695852534</v>
      </c>
      <c r="T245" s="260">
        <f t="shared" si="26"/>
        <v>1.3038809254992318</v>
      </c>
      <c r="U245" s="260">
        <f t="shared" si="26"/>
        <v>0.6492856054787508</v>
      </c>
      <c r="V245" s="260">
        <f t="shared" si="26"/>
        <v>0.58544369175627242</v>
      </c>
      <c r="W245" s="260">
        <f t="shared" si="26"/>
        <v>3.6946108550947273E-3</v>
      </c>
      <c r="X245" s="260">
        <f t="shared" si="26"/>
        <v>2.0166467613927291E-2</v>
      </c>
      <c r="Y245" s="260">
        <f t="shared" si="26"/>
        <v>9.0151565540194559E-2</v>
      </c>
      <c r="Z245" s="260">
        <f t="shared" si="26"/>
        <v>1.5410913978494622E-2</v>
      </c>
      <c r="AA245" s="260">
        <f t="shared" si="26"/>
        <v>2.5214363159242192E-2</v>
      </c>
      <c r="AB245" s="260">
        <f t="shared" si="26"/>
        <v>0.48569999999999963</v>
      </c>
      <c r="AC245" s="260">
        <f t="shared" si="26"/>
        <v>5.2824126344086036E-2</v>
      </c>
      <c r="AD245" s="260">
        <f t="shared" si="26"/>
        <v>2.1663943292370712E-2</v>
      </c>
      <c r="AE245" s="260">
        <f t="shared" si="26"/>
        <v>0.45276445724526365</v>
      </c>
      <c r="AF245" s="260">
        <f t="shared" si="26"/>
        <v>0.13212694188428059</v>
      </c>
      <c r="AG245" s="260">
        <f t="shared" ref="AG245:AH245" si="27">AVERAGE(AG246:AG257)</f>
        <v>1.0819806528417819</v>
      </c>
      <c r="AH245" s="260">
        <f t="shared" si="27"/>
        <v>7.2992382232462891E-2</v>
      </c>
      <c r="AI245" s="260"/>
      <c r="AJ245" s="260"/>
      <c r="AK245" s="260"/>
      <c r="AL245" s="260"/>
      <c r="AM245" s="260"/>
      <c r="AN245" s="260"/>
      <c r="AO245" s="68" t="s">
        <v>2827</v>
      </c>
    </row>
    <row r="246" spans="1:41" ht="14.1" customHeight="1">
      <c r="A246" s="952" t="s">
        <v>18</v>
      </c>
      <c r="B246" s="245">
        <v>1.7000000000000008</v>
      </c>
      <c r="C246" s="245">
        <v>1.9247193548387094</v>
      </c>
      <c r="D246" s="245">
        <v>1.2208967741935484</v>
      </c>
      <c r="E246" s="245">
        <v>0.46279999999999977</v>
      </c>
      <c r="F246" s="245">
        <v>0.2673967741935484</v>
      </c>
      <c r="G246" s="245">
        <v>0.25866774193548386</v>
      </c>
      <c r="H246" s="245">
        <v>0.21815806451612912</v>
      </c>
      <c r="I246" s="245">
        <v>2.3046419354838714</v>
      </c>
      <c r="J246" s="245">
        <v>4.0000000000000027E-3</v>
      </c>
      <c r="K246" s="245">
        <v>0.18604193548387102</v>
      </c>
      <c r="L246" s="245">
        <v>1.8505612903225808</v>
      </c>
      <c r="M246" s="245">
        <v>0.54231612903225823</v>
      </c>
      <c r="N246" s="245">
        <v>1.3453032258064512</v>
      </c>
      <c r="O246" s="245">
        <v>5.6199741935483862</v>
      </c>
      <c r="P246" s="245">
        <v>0.19239354838709677</v>
      </c>
      <c r="Q246" s="245">
        <v>0.4224516129032258</v>
      </c>
      <c r="R246" s="245">
        <v>1.2585225806451614</v>
      </c>
      <c r="S246" s="245">
        <v>0.12610967741935486</v>
      </c>
      <c r="T246" s="245">
        <v>1.4806064516129038</v>
      </c>
      <c r="U246" s="245">
        <v>0.65888064516129019</v>
      </c>
      <c r="V246" s="245">
        <v>0.55202580645161292</v>
      </c>
      <c r="W246" s="245">
        <v>3.9000000000000003E-3</v>
      </c>
      <c r="X246" s="245">
        <v>2.009677419354839E-2</v>
      </c>
      <c r="Y246" s="245">
        <v>9.4706451612903239E-2</v>
      </c>
      <c r="Z246" s="245">
        <v>1.5699999999999995E-2</v>
      </c>
      <c r="AA246" s="245">
        <v>2.2274193548387097E-2</v>
      </c>
      <c r="AB246" s="245">
        <v>0.48569999999999969</v>
      </c>
      <c r="AC246" s="245">
        <v>6.07258064516129E-2</v>
      </c>
      <c r="AD246" s="245">
        <v>2.2838709677419369E-2</v>
      </c>
      <c r="AE246" s="245">
        <v>0.45300967741935483</v>
      </c>
      <c r="AF246" s="245">
        <v>0.14224516129032255</v>
      </c>
      <c r="AG246" s="245">
        <v>1.1475387096774192</v>
      </c>
      <c r="AH246" s="245">
        <v>7.8496774193548377E-2</v>
      </c>
      <c r="AI246" s="245"/>
      <c r="AJ246" s="245"/>
      <c r="AK246" s="245"/>
      <c r="AL246" s="245"/>
      <c r="AM246" s="245"/>
      <c r="AN246" s="245"/>
      <c r="AO246" s="955" t="s">
        <v>18</v>
      </c>
    </row>
    <row r="247" spans="1:41" ht="13.5" customHeight="1">
      <c r="A247" s="952" t="s">
        <v>19</v>
      </c>
      <c r="B247" s="245">
        <v>1.7000000000000006</v>
      </c>
      <c r="C247" s="245">
        <v>1.9281250000000001</v>
      </c>
      <c r="D247" s="245">
        <v>1.217239285714286</v>
      </c>
      <c r="E247" s="245">
        <v>0.46279999999999977</v>
      </c>
      <c r="F247" s="245">
        <v>0.26790714285714279</v>
      </c>
      <c r="G247" s="245">
        <v>0.25914285714285706</v>
      </c>
      <c r="H247" s="245">
        <v>0.21795357142857147</v>
      </c>
      <c r="I247" s="245">
        <v>2.3013107142857145</v>
      </c>
      <c r="J247" s="245">
        <v>4.0000000000000027E-3</v>
      </c>
      <c r="K247" s="245">
        <v>0.18274642857142856</v>
      </c>
      <c r="L247" s="245">
        <v>1.8421821428571425</v>
      </c>
      <c r="M247" s="245">
        <v>0.52897857142857152</v>
      </c>
      <c r="N247" s="245">
        <v>1.3360892857142854</v>
      </c>
      <c r="O247" s="245">
        <v>5.6190607142857116</v>
      </c>
      <c r="P247" s="245">
        <v>0.1916678571428572</v>
      </c>
      <c r="Q247" s="245">
        <v>0.42350357142857142</v>
      </c>
      <c r="R247" s="245">
        <v>1.2623107142857142</v>
      </c>
      <c r="S247" s="245">
        <v>0.12480714285714281</v>
      </c>
      <c r="T247" s="245">
        <v>1.4751214285714285</v>
      </c>
      <c r="U247" s="245">
        <v>0.65224285714285712</v>
      </c>
      <c r="V247" s="245">
        <v>0.56514999999999993</v>
      </c>
      <c r="W247" s="245">
        <v>3.892857142857145E-3</v>
      </c>
      <c r="X247" s="245">
        <v>2.0096428571428574E-2</v>
      </c>
      <c r="Y247" s="245">
        <v>9.4578571428571415E-2</v>
      </c>
      <c r="Z247" s="245">
        <v>1.5699999999999995E-2</v>
      </c>
      <c r="AA247" s="245">
        <v>2.173214285714286E-2</v>
      </c>
      <c r="AB247" s="245">
        <v>0.48569999999999969</v>
      </c>
      <c r="AC247" s="245">
        <v>5.9475E-2</v>
      </c>
      <c r="AD247" s="245">
        <v>2.2667857142857139E-2</v>
      </c>
      <c r="AE247" s="245">
        <v>0.45310714285714276</v>
      </c>
      <c r="AF247" s="245">
        <v>0.14177857142857142</v>
      </c>
      <c r="AG247" s="245">
        <v>1.1344142857142858</v>
      </c>
      <c r="AH247" s="245">
        <v>7.8914285714285701E-2</v>
      </c>
      <c r="AI247" s="245"/>
      <c r="AJ247" s="245"/>
      <c r="AK247" s="245"/>
      <c r="AL247" s="245"/>
      <c r="AM247" s="245"/>
      <c r="AN247" s="245"/>
      <c r="AO247" s="955" t="s">
        <v>19</v>
      </c>
    </row>
    <row r="248" spans="1:41" ht="13.5" customHeight="1">
      <c r="A248" s="952" t="s">
        <v>20</v>
      </c>
      <c r="B248" s="245">
        <v>1.7000000000000008</v>
      </c>
      <c r="C248" s="245">
        <v>1.8756838709677426</v>
      </c>
      <c r="D248" s="245">
        <v>1.2506419354838709</v>
      </c>
      <c r="E248" s="245">
        <v>0.46279999999999977</v>
      </c>
      <c r="F248" s="245">
        <v>0.26803548387096782</v>
      </c>
      <c r="G248" s="245">
        <v>0.25207419354838717</v>
      </c>
      <c r="H248" s="245">
        <v>0.217374193548387</v>
      </c>
      <c r="I248" s="245">
        <v>2.2385999999999999</v>
      </c>
      <c r="J248" s="245">
        <v>4.0000000000000027E-3</v>
      </c>
      <c r="K248" s="245">
        <v>0.17756451612903221</v>
      </c>
      <c r="L248" s="245">
        <v>1.8280677419354836</v>
      </c>
      <c r="M248" s="245">
        <v>0.52432580645161264</v>
      </c>
      <c r="N248" s="245">
        <v>1.3414354838709672</v>
      </c>
      <c r="O248" s="245">
        <v>5.5961903225806449</v>
      </c>
      <c r="P248" s="245">
        <v>0.19196451612903223</v>
      </c>
      <c r="Q248" s="245">
        <v>0.39540000000000003</v>
      </c>
      <c r="R248" s="245">
        <v>1.2514741935483875</v>
      </c>
      <c r="S248" s="245">
        <v>0.11672580645161287</v>
      </c>
      <c r="T248" s="245">
        <v>1.443025806451613</v>
      </c>
      <c r="U248" s="245">
        <v>0.61860000000000037</v>
      </c>
      <c r="V248" s="245">
        <v>0.52510322580645163</v>
      </c>
      <c r="W248" s="245">
        <v>3.3967741935483869E-3</v>
      </c>
      <c r="X248" s="245">
        <v>1.7067741935483865E-2</v>
      </c>
      <c r="Y248" s="245">
        <v>9.2309677419354849E-2</v>
      </c>
      <c r="Z248" s="245">
        <v>1.5309677419354841E-2</v>
      </c>
      <c r="AA248" s="245">
        <v>1.5545161290322584E-2</v>
      </c>
      <c r="AB248" s="245">
        <v>0.48569999999999969</v>
      </c>
      <c r="AC248" s="245">
        <v>5.6477419354838729E-2</v>
      </c>
      <c r="AD248" s="245">
        <v>2.2364516129032244E-2</v>
      </c>
      <c r="AE248" s="245">
        <v>0.45311290322580627</v>
      </c>
      <c r="AF248" s="245">
        <v>0.13950645161290318</v>
      </c>
      <c r="AG248" s="245">
        <v>1.1652806451612907</v>
      </c>
      <c r="AH248" s="245">
        <v>7.496129032258067E-2</v>
      </c>
      <c r="AI248" s="245"/>
      <c r="AJ248" s="245"/>
      <c r="AK248" s="245"/>
      <c r="AL248" s="245"/>
      <c r="AM248" s="245"/>
      <c r="AN248" s="245"/>
      <c r="AO248" s="955" t="s">
        <v>20</v>
      </c>
    </row>
    <row r="249" spans="1:41" ht="13.5" customHeight="1">
      <c r="A249" s="952" t="s">
        <v>21</v>
      </c>
      <c r="B249" s="245">
        <v>1.7000000000000006</v>
      </c>
      <c r="C249" s="245">
        <v>1.84154</v>
      </c>
      <c r="D249" s="245">
        <v>1.2558966666666664</v>
      </c>
      <c r="E249" s="245">
        <v>0.46279999999999977</v>
      </c>
      <c r="F249" s="245">
        <v>0.26474000000000003</v>
      </c>
      <c r="G249" s="245">
        <v>0.24757333333333331</v>
      </c>
      <c r="H249" s="245">
        <v>0.2168033333333334</v>
      </c>
      <c r="I249" s="245">
        <v>2.2055266666666662</v>
      </c>
      <c r="J249" s="245">
        <v>4.0000000000000027E-3</v>
      </c>
      <c r="K249" s="245">
        <v>0.17827333333333334</v>
      </c>
      <c r="L249" s="245">
        <v>1.8023133333333334</v>
      </c>
      <c r="M249" s="245">
        <v>0.52548666666666666</v>
      </c>
      <c r="N249" s="245">
        <v>1.3487066666666669</v>
      </c>
      <c r="O249" s="245">
        <v>5.5715966666666681</v>
      </c>
      <c r="P249" s="245">
        <v>0.19135333333333338</v>
      </c>
      <c r="Q249" s="245">
        <v>0.3961566666666666</v>
      </c>
      <c r="R249" s="245">
        <v>1.2459066666666667</v>
      </c>
      <c r="S249" s="245">
        <v>0.11564333333333335</v>
      </c>
      <c r="T249" s="245">
        <v>1.348233333333333</v>
      </c>
      <c r="U249" s="245">
        <v>0.61860000000000037</v>
      </c>
      <c r="V249" s="245">
        <v>0.55529666666666677</v>
      </c>
      <c r="W249" s="245">
        <v>3.7366666666666655E-3</v>
      </c>
      <c r="X249" s="245">
        <v>1.9676666666666662E-2</v>
      </c>
      <c r="Y249" s="245">
        <v>9.2320000000000013E-2</v>
      </c>
      <c r="Z249" s="245">
        <v>1.5130000000000005E-2</v>
      </c>
      <c r="AA249" s="245">
        <v>2.1143333333333333E-2</v>
      </c>
      <c r="AB249" s="245">
        <v>0.48569999999999969</v>
      </c>
      <c r="AC249" s="245">
        <v>5.7409999999999989E-2</v>
      </c>
      <c r="AD249" s="245">
        <v>2.2326666666666661E-2</v>
      </c>
      <c r="AE249" s="245">
        <v>0.45326000000000016</v>
      </c>
      <c r="AF249" s="245">
        <v>0.13780000000000001</v>
      </c>
      <c r="AG249" s="245">
        <v>1.1517433333333331</v>
      </c>
      <c r="AH249" s="245">
        <v>7.5363333333333324E-2</v>
      </c>
      <c r="AI249" s="245"/>
      <c r="AJ249" s="245"/>
      <c r="AK249" s="245"/>
      <c r="AL249" s="245"/>
      <c r="AM249" s="245"/>
      <c r="AN249" s="245"/>
      <c r="AO249" s="955" t="s">
        <v>21</v>
      </c>
    </row>
    <row r="250" spans="1:41" ht="13.5" customHeight="1">
      <c r="A250" s="952" t="s">
        <v>22</v>
      </c>
      <c r="B250" s="245">
        <v>1.7000000000000008</v>
      </c>
      <c r="C250" s="245">
        <v>1.7968129032258069</v>
      </c>
      <c r="D250" s="245">
        <v>1.1999516129032262</v>
      </c>
      <c r="E250" s="245">
        <v>0.46279999999999977</v>
      </c>
      <c r="F250" s="245">
        <v>0.25344516129032268</v>
      </c>
      <c r="G250" s="245">
        <v>0.2414967741935484</v>
      </c>
      <c r="H250" s="245">
        <v>0.21659999999999988</v>
      </c>
      <c r="I250" s="245">
        <v>2.1157806451612902</v>
      </c>
      <c r="J250" s="245">
        <v>4.0000000000000027E-3</v>
      </c>
      <c r="K250" s="245">
        <v>0.17123548387096774</v>
      </c>
      <c r="L250" s="245">
        <v>1.7366451612903231</v>
      </c>
      <c r="M250" s="245">
        <v>0.50386774193548378</v>
      </c>
      <c r="N250" s="245">
        <v>1.3241774193548383</v>
      </c>
      <c r="O250" s="245">
        <v>5.5472645161290313</v>
      </c>
      <c r="P250" s="245">
        <v>0.17719677419354835</v>
      </c>
      <c r="Q250" s="245">
        <v>0.38620645161290312</v>
      </c>
      <c r="R250" s="245">
        <v>1.2297387096774188</v>
      </c>
      <c r="S250" s="245">
        <v>0.10935161290322579</v>
      </c>
      <c r="T250" s="245">
        <v>1.3193677419354837</v>
      </c>
      <c r="U250" s="245">
        <v>0.61860000000000037</v>
      </c>
      <c r="V250" s="245">
        <v>0.57443225806451603</v>
      </c>
      <c r="W250" s="245">
        <v>3.938709677419357E-3</v>
      </c>
      <c r="X250" s="245">
        <v>2.0538709677419359E-2</v>
      </c>
      <c r="Y250" s="245">
        <v>9.0138709677419354E-2</v>
      </c>
      <c r="Z250" s="245">
        <v>1.5261290322580645E-2</v>
      </c>
      <c r="AA250" s="245">
        <v>2.6267741935483872E-2</v>
      </c>
      <c r="AB250" s="245">
        <v>0.48569999999999969</v>
      </c>
      <c r="AC250" s="245">
        <v>5.7367741935483905E-2</v>
      </c>
      <c r="AD250" s="245">
        <v>2.2009677419354844E-2</v>
      </c>
      <c r="AE250" s="245">
        <v>0.45320645161290346</v>
      </c>
      <c r="AF250" s="245">
        <v>0.13407096774193553</v>
      </c>
      <c r="AG250" s="245">
        <v>1.0900741935483871</v>
      </c>
      <c r="AH250" s="245">
        <v>7.2674193548387084E-2</v>
      </c>
      <c r="AI250" s="245"/>
      <c r="AJ250" s="245"/>
      <c r="AK250" s="245"/>
      <c r="AL250" s="245"/>
      <c r="AM250" s="245"/>
      <c r="AN250" s="245"/>
      <c r="AO250" s="955" t="s">
        <v>22</v>
      </c>
    </row>
    <row r="251" spans="1:41" ht="13.5" customHeight="1">
      <c r="A251" s="952" t="s">
        <v>23</v>
      </c>
      <c r="B251" s="245">
        <v>1.7000000000000006</v>
      </c>
      <c r="C251" s="245">
        <v>1.7991066666666666</v>
      </c>
      <c r="D251" s="245">
        <v>1.1973833333333335</v>
      </c>
      <c r="E251" s="245">
        <v>0.46279999999999977</v>
      </c>
      <c r="F251" s="245">
        <v>0.25397333333333333</v>
      </c>
      <c r="G251" s="245">
        <v>0.24185666666666661</v>
      </c>
      <c r="H251" s="245">
        <v>0.21663333333333326</v>
      </c>
      <c r="I251" s="245">
        <v>2.1009933333333333</v>
      </c>
      <c r="J251" s="245">
        <v>4.0000000000000027E-3</v>
      </c>
      <c r="K251" s="245">
        <v>0.16987999999999995</v>
      </c>
      <c r="L251" s="245">
        <v>1.7540899999999999</v>
      </c>
      <c r="M251" s="245">
        <v>0.49944333333333329</v>
      </c>
      <c r="N251" s="245">
        <v>1.3277833333333335</v>
      </c>
      <c r="O251" s="245">
        <v>5.5445600000000015</v>
      </c>
      <c r="P251" s="245">
        <v>0.17479333333333338</v>
      </c>
      <c r="Q251" s="245">
        <v>0.38749333333333336</v>
      </c>
      <c r="R251" s="245">
        <v>1.2289199999999998</v>
      </c>
      <c r="S251" s="245">
        <v>9.990333333333333E-2</v>
      </c>
      <c r="T251" s="245">
        <v>1.2716566666666667</v>
      </c>
      <c r="U251" s="245">
        <v>0.61860000000000037</v>
      </c>
      <c r="V251" s="245">
        <v>0.57700333333333342</v>
      </c>
      <c r="W251" s="245">
        <v>3.816666666666667E-3</v>
      </c>
      <c r="X251" s="245">
        <v>2.102E-2</v>
      </c>
      <c r="Y251" s="245">
        <v>8.9066666666666655E-2</v>
      </c>
      <c r="Z251" s="245">
        <v>1.5516666666666666E-2</v>
      </c>
      <c r="AA251" s="245">
        <v>2.9436666666666667E-2</v>
      </c>
      <c r="AB251" s="245">
        <v>0.48569999999999969</v>
      </c>
      <c r="AC251" s="245">
        <v>5.7656666666666682E-2</v>
      </c>
      <c r="AD251" s="245">
        <v>2.1783333333333332E-2</v>
      </c>
      <c r="AE251" s="245">
        <v>0.45308666666666642</v>
      </c>
      <c r="AF251" s="245">
        <v>0.13317999999999999</v>
      </c>
      <c r="AG251" s="245">
        <v>1.0829166666666667</v>
      </c>
      <c r="AH251" s="245">
        <v>7.2786666666666708E-2</v>
      </c>
      <c r="AI251" s="245"/>
      <c r="AJ251" s="245"/>
      <c r="AK251" s="245"/>
      <c r="AL251" s="245"/>
      <c r="AM251" s="245"/>
      <c r="AN251" s="245"/>
      <c r="AO251" s="955" t="s">
        <v>23</v>
      </c>
    </row>
    <row r="252" spans="1:41" ht="13.5" customHeight="1">
      <c r="A252" s="952" t="s">
        <v>24</v>
      </c>
      <c r="B252" s="245">
        <v>1.7000000000000008</v>
      </c>
      <c r="C252" s="245">
        <v>1.7343354838709675</v>
      </c>
      <c r="D252" s="245">
        <v>1.1658580645161294</v>
      </c>
      <c r="E252" s="245">
        <v>0.46279999999999977</v>
      </c>
      <c r="F252" s="245">
        <v>0.25247419354838707</v>
      </c>
      <c r="G252" s="245">
        <v>0.23304193548387089</v>
      </c>
      <c r="H252" s="245">
        <v>0.21660645161290312</v>
      </c>
      <c r="I252" s="245">
        <v>2.0417258064516131</v>
      </c>
      <c r="J252" s="245">
        <v>4.0000000000000027E-3</v>
      </c>
      <c r="K252" s="245">
        <v>0.16389032258064512</v>
      </c>
      <c r="L252" s="245">
        <v>1.7561580645161288</v>
      </c>
      <c r="M252" s="245">
        <v>0.49084516129032246</v>
      </c>
      <c r="N252" s="245">
        <v>1.3136838709677423</v>
      </c>
      <c r="O252" s="245">
        <v>5.5298225806451606</v>
      </c>
      <c r="P252" s="245">
        <v>0.17006129032258063</v>
      </c>
      <c r="Q252" s="245">
        <v>0.36393548387096769</v>
      </c>
      <c r="R252" s="245">
        <v>1.2189935483870973</v>
      </c>
      <c r="S252" s="245">
        <v>9.7670967741935469E-2</v>
      </c>
      <c r="T252" s="245">
        <v>1.2464999999999995</v>
      </c>
      <c r="U252" s="245">
        <v>0.64160322580645202</v>
      </c>
      <c r="V252" s="245">
        <v>0.598064516129032</v>
      </c>
      <c r="W252" s="245">
        <v>3.5645161290322599E-3</v>
      </c>
      <c r="X252" s="245">
        <v>2.1061290322580639E-2</v>
      </c>
      <c r="Y252" s="245">
        <v>8.8419354838709691E-2</v>
      </c>
      <c r="Z252" s="245">
        <v>1.5600000000000003E-2</v>
      </c>
      <c r="AA252" s="245">
        <v>2.8680645161290323E-2</v>
      </c>
      <c r="AB252" s="245">
        <v>0.48569999999999969</v>
      </c>
      <c r="AC252" s="245">
        <v>5.3987096774193555E-2</v>
      </c>
      <c r="AD252" s="245">
        <v>2.1380645161290315E-2</v>
      </c>
      <c r="AE252" s="245">
        <v>0.45269677419354842</v>
      </c>
      <c r="AF252" s="245">
        <v>0.1300967741935484</v>
      </c>
      <c r="AG252" s="245">
        <v>1.0539709677419355</v>
      </c>
      <c r="AH252" s="245">
        <v>7.0458064516129029E-2</v>
      </c>
      <c r="AI252" s="245"/>
      <c r="AJ252" s="245"/>
      <c r="AK252" s="245"/>
      <c r="AL252" s="245"/>
      <c r="AM252" s="245"/>
      <c r="AN252" s="245"/>
      <c r="AO252" s="955" t="s">
        <v>24</v>
      </c>
    </row>
    <row r="253" spans="1:41" ht="13.5" customHeight="1">
      <c r="A253" s="952" t="s">
        <v>25</v>
      </c>
      <c r="B253" s="245">
        <v>1.7000000000000008</v>
      </c>
      <c r="C253" s="245">
        <v>1.7226870967741938</v>
      </c>
      <c r="D253" s="245">
        <v>1.1843548387096776</v>
      </c>
      <c r="E253" s="245">
        <v>0.46279999999999977</v>
      </c>
      <c r="F253" s="245">
        <v>0.25010645161290324</v>
      </c>
      <c r="G253" s="245">
        <v>0.23157419354838715</v>
      </c>
      <c r="H253" s="245">
        <v>0.21670322580645165</v>
      </c>
      <c r="I253" s="245">
        <v>2.0398225806451609</v>
      </c>
      <c r="J253" s="245">
        <v>4.0000000000000027E-3</v>
      </c>
      <c r="K253" s="245">
        <v>0.16414516129032258</v>
      </c>
      <c r="L253" s="245">
        <v>1.7776709677419351</v>
      </c>
      <c r="M253" s="245">
        <v>0.51639677419354835</v>
      </c>
      <c r="N253" s="245">
        <v>1.3176225806451616</v>
      </c>
      <c r="O253" s="245">
        <v>5.5349548387096759</v>
      </c>
      <c r="P253" s="245">
        <v>0.17526129032258067</v>
      </c>
      <c r="Q253" s="245">
        <v>0.36516129032258082</v>
      </c>
      <c r="R253" s="245">
        <v>1.2290903225806453</v>
      </c>
      <c r="S253" s="245">
        <v>9.4335483870967768E-2</v>
      </c>
      <c r="T253" s="245">
        <v>1.2591258064516127</v>
      </c>
      <c r="U253" s="245">
        <v>0.67351612903225833</v>
      </c>
      <c r="V253" s="245">
        <v>0.61262258064516117</v>
      </c>
      <c r="W253" s="245">
        <v>3.6032258064516145E-3</v>
      </c>
      <c r="X253" s="245">
        <v>2.0690322580645168E-2</v>
      </c>
      <c r="Y253" s="245">
        <v>8.8322580645161311E-2</v>
      </c>
      <c r="Z253" s="245">
        <v>1.5567741935483874E-2</v>
      </c>
      <c r="AA253" s="245">
        <v>2.7990322580645155E-2</v>
      </c>
      <c r="AB253" s="245">
        <v>0.48569999999999969</v>
      </c>
      <c r="AC253" s="245">
        <v>4.6416129032258058E-2</v>
      </c>
      <c r="AD253" s="245">
        <v>2.1364516129032247E-2</v>
      </c>
      <c r="AE253" s="245">
        <v>0.45253548387096781</v>
      </c>
      <c r="AF253" s="245">
        <v>0.1289774193548387</v>
      </c>
      <c r="AG253" s="245">
        <v>1.066764516129032</v>
      </c>
      <c r="AH253" s="245">
        <v>7.0164516129032239E-2</v>
      </c>
      <c r="AI253" s="245"/>
      <c r="AJ253" s="245"/>
      <c r="AK253" s="245"/>
      <c r="AL253" s="245"/>
      <c r="AM253" s="245"/>
      <c r="AN253" s="245"/>
      <c r="AO253" s="955" t="s">
        <v>25</v>
      </c>
    </row>
    <row r="254" spans="1:41" ht="13.5" customHeight="1">
      <c r="A254" s="952" t="s">
        <v>26</v>
      </c>
      <c r="B254" s="245">
        <v>1.7000000000000006</v>
      </c>
      <c r="C254" s="245">
        <v>1.6864999999999997</v>
      </c>
      <c r="D254" s="245">
        <v>1.1386833333333333</v>
      </c>
      <c r="E254" s="245">
        <v>0.46279999999999977</v>
      </c>
      <c r="F254" s="245">
        <v>0.24250333333333327</v>
      </c>
      <c r="G254" s="245">
        <v>0.22678333333333328</v>
      </c>
      <c r="H254" s="245">
        <v>0.21659999999999988</v>
      </c>
      <c r="I254" s="245">
        <v>1.9309800000000004</v>
      </c>
      <c r="J254" s="245">
        <v>4.0000000000000027E-3</v>
      </c>
      <c r="K254" s="245">
        <v>0.15644</v>
      </c>
      <c r="L254" s="245">
        <v>1.7475699999999998</v>
      </c>
      <c r="M254" s="245">
        <v>0.49396666666666661</v>
      </c>
      <c r="N254" s="245">
        <v>1.2794366666666661</v>
      </c>
      <c r="O254" s="245">
        <v>5.4998233333333335</v>
      </c>
      <c r="P254" s="245">
        <v>0.16637000000000002</v>
      </c>
      <c r="Q254" s="245">
        <v>0.35620999999999997</v>
      </c>
      <c r="R254" s="245">
        <v>1.2042366666666671</v>
      </c>
      <c r="S254" s="245">
        <v>9.2913333333333306E-2</v>
      </c>
      <c r="T254" s="245">
        <v>1.1901266666666666</v>
      </c>
      <c r="U254" s="245">
        <v>0.67347000000000035</v>
      </c>
      <c r="V254" s="245">
        <v>0.59711333333333327</v>
      </c>
      <c r="W254" s="245">
        <v>3.5833333333333351E-3</v>
      </c>
      <c r="X254" s="245">
        <v>2.0813333333333336E-2</v>
      </c>
      <c r="Y254" s="245">
        <v>8.7800000000000003E-2</v>
      </c>
      <c r="Z254" s="245">
        <v>1.5493333333333343E-2</v>
      </c>
      <c r="AA254" s="245">
        <v>2.827E-2</v>
      </c>
      <c r="AB254" s="245">
        <v>0.48569999999999969</v>
      </c>
      <c r="AC254" s="245">
        <v>4.6170000000000017E-2</v>
      </c>
      <c r="AD254" s="245">
        <v>2.1206666666666665E-2</v>
      </c>
      <c r="AE254" s="245">
        <v>0.45227333333333331</v>
      </c>
      <c r="AF254" s="245">
        <v>0.12209666666666665</v>
      </c>
      <c r="AG254" s="245">
        <v>1.0115466666666668</v>
      </c>
      <c r="AH254" s="245">
        <v>6.865333333333333E-2</v>
      </c>
      <c r="AI254" s="245"/>
      <c r="AJ254" s="245"/>
      <c r="AK254" s="245"/>
      <c r="AL254" s="245"/>
      <c r="AM254" s="245"/>
      <c r="AN254" s="245"/>
      <c r="AO254" s="955" t="s">
        <v>26</v>
      </c>
    </row>
    <row r="255" spans="1:41" ht="13.5" customHeight="1">
      <c r="A255" s="952" t="s">
        <v>27</v>
      </c>
      <c r="B255" s="245">
        <v>1.7000000000000008</v>
      </c>
      <c r="C255" s="245">
        <v>1.6719483870967742</v>
      </c>
      <c r="D255" s="245">
        <v>1.0832161290322582</v>
      </c>
      <c r="E255" s="245">
        <v>0.46279999999999977</v>
      </c>
      <c r="F255" s="245">
        <v>0.23653548387096779</v>
      </c>
      <c r="G255" s="245">
        <v>0.22478387096774194</v>
      </c>
      <c r="H255" s="245">
        <v>0.21659999999999988</v>
      </c>
      <c r="I255" s="245">
        <v>1.9186709677419356</v>
      </c>
      <c r="J255" s="245">
        <v>4.0000000000000027E-3</v>
      </c>
      <c r="K255" s="245">
        <v>0.15265806451612907</v>
      </c>
      <c r="L255" s="245">
        <v>1.7106935483870973</v>
      </c>
      <c r="M255" s="245">
        <v>0.48041935483870968</v>
      </c>
      <c r="N255" s="245">
        <v>1.2409483870967735</v>
      </c>
      <c r="O255" s="245">
        <v>5.4820903225806425</v>
      </c>
      <c r="P255" s="245">
        <v>0.1607741935483871</v>
      </c>
      <c r="Q255" s="245">
        <v>0.34790322580645167</v>
      </c>
      <c r="R255" s="245">
        <v>1.1937258064516127</v>
      </c>
      <c r="S255" s="245">
        <v>9.1500000000000012E-2</v>
      </c>
      <c r="T255" s="245">
        <v>1.157074193548387</v>
      </c>
      <c r="U255" s="245">
        <v>0.6707645161290321</v>
      </c>
      <c r="V255" s="245">
        <v>0.61124516129032258</v>
      </c>
      <c r="W255" s="245">
        <v>3.5935483870967767E-3</v>
      </c>
      <c r="X255" s="245">
        <v>2.0703225806451602E-2</v>
      </c>
      <c r="Y255" s="245">
        <v>8.7745161290322574E-2</v>
      </c>
      <c r="Z255" s="245">
        <v>1.532903225806451E-2</v>
      </c>
      <c r="AA255" s="245">
        <v>2.757419354838709E-2</v>
      </c>
      <c r="AB255" s="245">
        <v>0.48569999999999969</v>
      </c>
      <c r="AC255" s="245">
        <v>4.6080645161290339E-2</v>
      </c>
      <c r="AD255" s="245">
        <v>2.0635483870967739E-2</v>
      </c>
      <c r="AE255" s="245">
        <v>0.45240322580645176</v>
      </c>
      <c r="AF255" s="245">
        <v>0.11919354838709677</v>
      </c>
      <c r="AG255" s="245">
        <v>0.96860967741935533</v>
      </c>
      <c r="AH255" s="245">
        <v>6.8158064516129033E-2</v>
      </c>
      <c r="AI255" s="245"/>
      <c r="AJ255" s="245"/>
      <c r="AK255" s="245"/>
      <c r="AL255" s="245"/>
      <c r="AM255" s="245"/>
      <c r="AN255" s="245"/>
      <c r="AO255" s="955" t="s">
        <v>27</v>
      </c>
    </row>
    <row r="256" spans="1:41" ht="13.5" customHeight="1">
      <c r="A256" s="952" t="s">
        <v>28</v>
      </c>
      <c r="B256" s="245">
        <v>1.7000000000000006</v>
      </c>
      <c r="C256" s="245">
        <v>1.7335133333333341</v>
      </c>
      <c r="D256" s="245">
        <v>1.1231266666666666</v>
      </c>
      <c r="E256" s="245">
        <v>0.46279999999999977</v>
      </c>
      <c r="F256" s="245">
        <v>0.23710666666666663</v>
      </c>
      <c r="G256" s="245">
        <v>0.23303666666666664</v>
      </c>
      <c r="H256" s="245">
        <v>0.2170966666666666</v>
      </c>
      <c r="I256" s="245">
        <v>1.9948299999999999</v>
      </c>
      <c r="J256" s="245">
        <v>4.0000000000000027E-3</v>
      </c>
      <c r="K256" s="245">
        <v>0.15929333333333331</v>
      </c>
      <c r="L256" s="245">
        <v>1.7603866666666663</v>
      </c>
      <c r="M256" s="245">
        <v>0.48862999999999995</v>
      </c>
      <c r="N256" s="245">
        <v>1.2667366666666668</v>
      </c>
      <c r="O256" s="245">
        <v>5.5096899999999982</v>
      </c>
      <c r="P256" s="245">
        <v>0.16782666666666665</v>
      </c>
      <c r="Q256" s="245">
        <v>0.36898666666666669</v>
      </c>
      <c r="R256" s="245">
        <v>1.2257799999999999</v>
      </c>
      <c r="S256" s="245">
        <v>9.1420000000000001E-2</v>
      </c>
      <c r="T256" s="245">
        <v>1.195723333333333</v>
      </c>
      <c r="U256" s="245">
        <v>0.67314666666666689</v>
      </c>
      <c r="V256" s="245">
        <v>0.62389000000000006</v>
      </c>
      <c r="W256" s="245">
        <v>3.6800000000000001E-3</v>
      </c>
      <c r="X256" s="245">
        <v>2.0226666666666667E-2</v>
      </c>
      <c r="Y256" s="245">
        <v>8.8459999999999983E-2</v>
      </c>
      <c r="Z256" s="245">
        <v>1.5219999999999994E-2</v>
      </c>
      <c r="AA256" s="245">
        <v>2.7796666666666681E-2</v>
      </c>
      <c r="AB256" s="245">
        <v>0.48569999999999969</v>
      </c>
      <c r="AC256" s="245">
        <v>4.6113333333333353E-2</v>
      </c>
      <c r="AD256" s="245">
        <v>2.0766666666666669E-2</v>
      </c>
      <c r="AE256" s="245">
        <v>0.45233666666666678</v>
      </c>
      <c r="AF256" s="245">
        <v>0.12511</v>
      </c>
      <c r="AG256" s="245">
        <v>1.0314533333333336</v>
      </c>
      <c r="AH256" s="245">
        <v>7.1120000000000017E-2</v>
      </c>
      <c r="AI256" s="245"/>
      <c r="AJ256" s="245"/>
      <c r="AK256" s="245"/>
      <c r="AL256" s="245"/>
      <c r="AM256" s="245"/>
      <c r="AN256" s="245"/>
      <c r="AO256" s="955" t="s">
        <v>28</v>
      </c>
    </row>
    <row r="257" spans="1:41" ht="13.5" customHeight="1">
      <c r="A257" s="952" t="s">
        <v>29</v>
      </c>
      <c r="B257" s="245">
        <v>1.7000000000000008</v>
      </c>
      <c r="C257" s="245">
        <v>1.7996741935483866</v>
      </c>
      <c r="D257" s="245">
        <v>1.1474129032258067</v>
      </c>
      <c r="E257" s="245">
        <v>0.4628548387096772</v>
      </c>
      <c r="F257" s="245">
        <v>0.24343870967741935</v>
      </c>
      <c r="G257" s="245">
        <v>0.24197096774193541</v>
      </c>
      <c r="H257" s="245">
        <v>0.21829032258064518</v>
      </c>
      <c r="I257" s="245">
        <v>2.0697064516129031</v>
      </c>
      <c r="J257" s="245">
        <v>4.0000000000000027E-3</v>
      </c>
      <c r="K257" s="245">
        <v>0.16385161290322578</v>
      </c>
      <c r="L257" s="245">
        <v>1.8233612903225804</v>
      </c>
      <c r="M257" s="245">
        <v>0.49272903225806436</v>
      </c>
      <c r="N257" s="245">
        <v>1.2518806451612909</v>
      </c>
      <c r="O257" s="245">
        <v>5.5446967741935476</v>
      </c>
      <c r="P257" s="245">
        <v>0.17231935483870964</v>
      </c>
      <c r="Q257" s="245">
        <v>0.3846</v>
      </c>
      <c r="R257" s="245">
        <v>1.2574193548387091</v>
      </c>
      <c r="S257" s="245">
        <v>9.1129032258064541E-2</v>
      </c>
      <c r="T257" s="245">
        <v>1.2600096774193552</v>
      </c>
      <c r="U257" s="245">
        <v>0.67340322580645207</v>
      </c>
      <c r="V257" s="245">
        <v>0.63337741935483871</v>
      </c>
      <c r="W257" s="245">
        <v>3.6290322580645154E-3</v>
      </c>
      <c r="X257" s="245">
        <v>2.0006451612903237E-2</v>
      </c>
      <c r="Y257" s="245">
        <v>8.7951612903225826E-2</v>
      </c>
      <c r="Z257" s="245">
        <v>1.5103225806451615E-2</v>
      </c>
      <c r="AA257" s="245">
        <v>2.5861290322580638E-2</v>
      </c>
      <c r="AB257" s="245">
        <v>0.48569999999999969</v>
      </c>
      <c r="AC257" s="245">
        <v>4.6009677419354862E-2</v>
      </c>
      <c r="AD257" s="245">
        <v>2.0622580645161287E-2</v>
      </c>
      <c r="AE257" s="245">
        <v>0.45214516129032245</v>
      </c>
      <c r="AF257" s="245">
        <v>0.13146774193548388</v>
      </c>
      <c r="AG257" s="245">
        <v>1.0794548387096776</v>
      </c>
      <c r="AH257" s="245">
        <v>7.4158064516129024E-2</v>
      </c>
      <c r="AI257" s="245"/>
      <c r="AJ257" s="245"/>
      <c r="AK257" s="245"/>
      <c r="AL257" s="245"/>
      <c r="AM257" s="245"/>
      <c r="AN257" s="245"/>
      <c r="AO257" s="955" t="s">
        <v>29</v>
      </c>
    </row>
    <row r="258" spans="1:41" ht="14.1" customHeight="1">
      <c r="A258" s="953" t="s">
        <v>3518</v>
      </c>
      <c r="B258" s="260">
        <v>1.7000000000000004</v>
      </c>
      <c r="C258" s="260">
        <v>1.8383501881720401</v>
      </c>
      <c r="D258" s="260">
        <v>1.1304122241423451</v>
      </c>
      <c r="E258" s="260">
        <v>0.46283909498207865</v>
      </c>
      <c r="F258" s="260">
        <v>0.24029235279057862</v>
      </c>
      <c r="G258" s="260">
        <v>0.24673077892985149</v>
      </c>
      <c r="H258" s="260">
        <v>0.21716084613415254</v>
      </c>
      <c r="I258" s="260">
        <v>2.1138646447772658</v>
      </c>
      <c r="J258" s="260">
        <v>4.0000000000000027E-3</v>
      </c>
      <c r="K258" s="260">
        <v>0.1603632680491551</v>
      </c>
      <c r="L258" s="260">
        <v>1.8926535106246802</v>
      </c>
      <c r="M258" s="260">
        <v>0.46201107718894008</v>
      </c>
      <c r="N258" s="260">
        <v>1.2601812115975422</v>
      </c>
      <c r="O258" s="260">
        <v>5.530141706349208</v>
      </c>
      <c r="P258" s="260">
        <v>0.16109531233998978</v>
      </c>
      <c r="Q258" s="260">
        <v>0.40489512992831539</v>
      </c>
      <c r="R258" s="260">
        <v>1.2660800332821298</v>
      </c>
      <c r="S258" s="260">
        <v>7.3878261648745516E-2</v>
      </c>
      <c r="T258" s="260">
        <v>1.2133108352534563</v>
      </c>
      <c r="U258" s="260">
        <v>0.63497507808499765</v>
      </c>
      <c r="V258" s="260">
        <v>0.64791298259088581</v>
      </c>
      <c r="W258" s="260">
        <v>3.7295078084997428E-3</v>
      </c>
      <c r="X258" s="260">
        <v>1.93891077828981E-2</v>
      </c>
      <c r="Y258" s="260">
        <v>9.3892320148489514E-2</v>
      </c>
      <c r="Z258" s="260">
        <v>1.4511118791602667E-2</v>
      </c>
      <c r="AA258" s="260">
        <v>2.0160521633384536E-2</v>
      </c>
      <c r="AB258" s="260">
        <v>0.48569999999999963</v>
      </c>
      <c r="AC258" s="260">
        <v>4.6132258704557109E-2</v>
      </c>
      <c r="AD258" s="260">
        <v>2.0579298515104961E-2</v>
      </c>
      <c r="AE258" s="260">
        <v>0.45311113607270875</v>
      </c>
      <c r="AF258" s="260">
        <v>0.13028197900665642</v>
      </c>
      <c r="AG258" s="260">
        <v>1.0447799731182794</v>
      </c>
      <c r="AH258" s="260">
        <v>7.662119431643627E-2</v>
      </c>
      <c r="AI258" s="260"/>
      <c r="AJ258" s="260"/>
      <c r="AK258" s="260"/>
      <c r="AL258" s="260"/>
      <c r="AM258" s="260"/>
      <c r="AN258" s="260"/>
      <c r="AO258" s="68" t="s">
        <v>3518</v>
      </c>
    </row>
    <row r="259" spans="1:41" ht="13.5" customHeight="1">
      <c r="A259" s="953" t="s">
        <v>18</v>
      </c>
      <c r="B259" s="245">
        <v>1.7000000000000008</v>
      </c>
      <c r="C259" s="245">
        <v>1.8303354838709678</v>
      </c>
      <c r="D259" s="245">
        <v>1.1789258064516128</v>
      </c>
      <c r="E259" s="245">
        <v>0.46281290322580626</v>
      </c>
      <c r="F259" s="245">
        <v>0.24987096774193557</v>
      </c>
      <c r="G259" s="245">
        <v>0.24608064516129022</v>
      </c>
      <c r="H259" s="245">
        <v>0.21746451612903228</v>
      </c>
      <c r="I259" s="245">
        <v>2.0764419354838703</v>
      </c>
      <c r="J259" s="245">
        <v>4.0000000000000027E-3</v>
      </c>
      <c r="K259" s="245">
        <v>0.16340645161290321</v>
      </c>
      <c r="L259" s="245">
        <v>1.8394935483870964</v>
      </c>
      <c r="M259" s="245">
        <v>0.49372903225806469</v>
      </c>
      <c r="N259" s="245">
        <v>1.2650032258064516</v>
      </c>
      <c r="O259" s="245">
        <v>5.5605903225806443</v>
      </c>
      <c r="P259" s="245">
        <v>0.17097741935483876</v>
      </c>
      <c r="Q259" s="245">
        <v>0.38939354838709694</v>
      </c>
      <c r="R259" s="245">
        <v>1.2812290322580648</v>
      </c>
      <c r="S259" s="245">
        <v>9.0535483870967701E-2</v>
      </c>
      <c r="T259" s="245">
        <v>1.3017354838709674</v>
      </c>
      <c r="U259" s="245">
        <v>0.67347096774193582</v>
      </c>
      <c r="V259" s="245">
        <v>0.63623870967741925</v>
      </c>
      <c r="W259" s="245">
        <v>3.6967741935483855E-3</v>
      </c>
      <c r="X259" s="245">
        <v>1.9870967741935502E-2</v>
      </c>
      <c r="Y259" s="245">
        <v>8.9332258064516112E-2</v>
      </c>
      <c r="Z259" s="245">
        <v>1.5045161290322587E-2</v>
      </c>
      <c r="AA259" s="245">
        <v>2.4235483870967734E-2</v>
      </c>
      <c r="AB259" s="245">
        <v>0.48569999999999969</v>
      </c>
      <c r="AC259" s="245">
        <v>4.6103225806451625E-2</v>
      </c>
      <c r="AD259" s="245">
        <v>2.0754838709677422E-2</v>
      </c>
      <c r="AE259" s="245">
        <v>0.45258064516129037</v>
      </c>
      <c r="AF259" s="245">
        <v>0.13669999999999999</v>
      </c>
      <c r="AG259" s="245">
        <v>1.0871193548387097</v>
      </c>
      <c r="AH259" s="245">
        <v>7.6338709677419347E-2</v>
      </c>
      <c r="AI259" s="245"/>
      <c r="AJ259" s="245"/>
      <c r="AK259" s="245"/>
      <c r="AL259" s="245"/>
      <c r="AM259" s="245"/>
      <c r="AN259" s="245"/>
      <c r="AO259" s="955" t="s">
        <v>18</v>
      </c>
    </row>
    <row r="260" spans="1:41" ht="13.5" customHeight="1">
      <c r="A260" s="953" t="s">
        <v>19</v>
      </c>
      <c r="B260" s="245">
        <v>1.7000000000000006</v>
      </c>
      <c r="C260" s="245">
        <v>1.8216500000000002</v>
      </c>
      <c r="D260" s="245">
        <v>1.1751535714285715</v>
      </c>
      <c r="E260" s="245">
        <v>0.46279999999999977</v>
      </c>
      <c r="F260" s="245">
        <v>0.24869285714285719</v>
      </c>
      <c r="G260" s="245">
        <v>0.24468214285714279</v>
      </c>
      <c r="H260" s="245">
        <v>0.21665714285714285</v>
      </c>
      <c r="I260" s="245">
        <v>2.0545892857142851</v>
      </c>
      <c r="J260" s="245">
        <v>4.0000000000000027E-3</v>
      </c>
      <c r="K260" s="245">
        <v>0.16292857142857139</v>
      </c>
      <c r="L260" s="245">
        <v>1.838696428571428</v>
      </c>
      <c r="M260" s="245">
        <v>0.48210357142857146</v>
      </c>
      <c r="N260" s="245">
        <v>1.2647535714285716</v>
      </c>
      <c r="O260" s="245">
        <v>5.5534571428571429</v>
      </c>
      <c r="P260" s="245">
        <v>0.16636428571428571</v>
      </c>
      <c r="Q260" s="245">
        <v>0.38427499999999998</v>
      </c>
      <c r="R260" s="245">
        <v>1.2773785714285713</v>
      </c>
      <c r="S260" s="245">
        <v>9.0200000000000044E-2</v>
      </c>
      <c r="T260" s="245">
        <v>1.2814035714285714</v>
      </c>
      <c r="U260" s="245">
        <v>0.6734785714285717</v>
      </c>
      <c r="V260" s="245">
        <v>0.64286428571428567</v>
      </c>
      <c r="W260" s="245">
        <v>3.7678571428571418E-3</v>
      </c>
      <c r="X260" s="245">
        <v>1.9607142857142858E-2</v>
      </c>
      <c r="Y260" s="245">
        <v>9.0682142857142822E-2</v>
      </c>
      <c r="Z260" s="245">
        <v>1.5014285714285725E-2</v>
      </c>
      <c r="AA260" s="245">
        <v>2.3203571428571428E-2</v>
      </c>
      <c r="AB260" s="245">
        <v>0.48569999999999969</v>
      </c>
      <c r="AC260" s="245">
        <v>4.6117857142857155E-2</v>
      </c>
      <c r="AD260" s="245">
        <v>2.0578571428571429E-2</v>
      </c>
      <c r="AE260" s="245">
        <v>0.45309642857142857</v>
      </c>
      <c r="AF260" s="245">
        <v>0.13336428571428569</v>
      </c>
      <c r="AG260" s="245">
        <v>1.0717500000000002</v>
      </c>
      <c r="AH260" s="245">
        <v>7.6821428571428568E-2</v>
      </c>
      <c r="AI260" s="245"/>
      <c r="AJ260" s="245"/>
      <c r="AK260" s="245"/>
      <c r="AL260" s="245"/>
      <c r="AM260" s="245"/>
      <c r="AN260" s="245"/>
      <c r="AO260" s="955" t="s">
        <v>19</v>
      </c>
    </row>
    <row r="261" spans="1:41" ht="13.5" customHeight="1">
      <c r="A261" s="953" t="s">
        <v>20</v>
      </c>
      <c r="B261" s="245">
        <v>1.7000000000000008</v>
      </c>
      <c r="C261" s="245">
        <v>1.8143225806451613</v>
      </c>
      <c r="D261" s="245">
        <v>1.1381322580645161</v>
      </c>
      <c r="E261" s="245">
        <v>0.46286774193548369</v>
      </c>
      <c r="F261" s="245">
        <v>0.24657096774193549</v>
      </c>
      <c r="G261" s="245">
        <v>0.24372258064516125</v>
      </c>
      <c r="H261" s="245">
        <v>0.21660645161290309</v>
      </c>
      <c r="I261" s="245">
        <v>2.0581161290322569</v>
      </c>
      <c r="J261" s="245">
        <v>4.0000000000000027E-3</v>
      </c>
      <c r="K261" s="245">
        <v>0.1620129032258065</v>
      </c>
      <c r="L261" s="245">
        <v>1.8329225806451603</v>
      </c>
      <c r="M261" s="245">
        <v>0.46810000000000007</v>
      </c>
      <c r="N261" s="245">
        <v>1.2431999999999999</v>
      </c>
      <c r="O261" s="245">
        <v>5.5378354838709676</v>
      </c>
      <c r="P261" s="245">
        <v>0.16106451612903228</v>
      </c>
      <c r="Q261" s="245">
        <v>0.38679999999999998</v>
      </c>
      <c r="R261" s="245">
        <v>1.2657903225806446</v>
      </c>
      <c r="S261" s="245">
        <v>8.9554838709677398E-2</v>
      </c>
      <c r="T261" s="245">
        <v>1.2666354838709677</v>
      </c>
      <c r="U261" s="245">
        <v>0.67348709677419394</v>
      </c>
      <c r="V261" s="245">
        <v>0.65752580645161263</v>
      </c>
      <c r="W261" s="245">
        <v>3.7838709677419334E-3</v>
      </c>
      <c r="X261" s="245">
        <v>1.9483870967741936E-2</v>
      </c>
      <c r="Y261" s="245">
        <v>9.098387096774195E-2</v>
      </c>
      <c r="Z261" s="245">
        <v>1.4929032258064526E-2</v>
      </c>
      <c r="AA261" s="245">
        <v>2.2341935483870964E-2</v>
      </c>
      <c r="AB261" s="245">
        <v>0.48569999999999969</v>
      </c>
      <c r="AC261" s="245">
        <v>4.6012903225806472E-2</v>
      </c>
      <c r="AD261" s="245">
        <v>2.0654838709677423E-2</v>
      </c>
      <c r="AE261" s="245">
        <v>0.4527580645161291</v>
      </c>
      <c r="AF261" s="245">
        <v>0.13027741935483864</v>
      </c>
      <c r="AG261" s="245">
        <v>1.0561258064516128</v>
      </c>
      <c r="AH261" s="245">
        <v>7.6467741935483849E-2</v>
      </c>
      <c r="AI261" s="245"/>
      <c r="AJ261" s="245"/>
      <c r="AK261" s="245"/>
      <c r="AL261" s="245"/>
      <c r="AM261" s="245"/>
      <c r="AN261" s="245"/>
      <c r="AO261" s="955" t="s">
        <v>20</v>
      </c>
    </row>
    <row r="262" spans="1:41" ht="13.5" customHeight="1">
      <c r="A262" s="953" t="s">
        <v>21</v>
      </c>
      <c r="B262" s="245">
        <v>1.7000000000000006</v>
      </c>
      <c r="C262" s="245">
        <v>1.8632599999999995</v>
      </c>
      <c r="D262" s="245">
        <v>1.1380466666666669</v>
      </c>
      <c r="E262" s="245">
        <v>0.46290333333333317</v>
      </c>
      <c r="F262" s="245">
        <v>0.24697333333333329</v>
      </c>
      <c r="G262" s="245">
        <v>0.25003666666666663</v>
      </c>
      <c r="H262" s="245">
        <v>0.21659999999999988</v>
      </c>
      <c r="I262" s="245">
        <v>2.1154200000000007</v>
      </c>
      <c r="J262" s="245">
        <v>4.0000000000000027E-3</v>
      </c>
      <c r="K262" s="245">
        <v>0.16421333333333335</v>
      </c>
      <c r="L262" s="245">
        <v>1.8898300000000001</v>
      </c>
      <c r="M262" s="245">
        <v>0.46817000000000003</v>
      </c>
      <c r="N262" s="245">
        <v>1.2611399999999999</v>
      </c>
      <c r="O262" s="245">
        <v>5.5468233333333341</v>
      </c>
      <c r="P262" s="245">
        <v>0.16211000000000006</v>
      </c>
      <c r="Q262" s="245">
        <v>0.4014700000000001</v>
      </c>
      <c r="R262" s="245">
        <v>1.2767400000000004</v>
      </c>
      <c r="S262" s="245">
        <v>8.7923333333333353E-2</v>
      </c>
      <c r="T262" s="245">
        <v>1.2742300000000004</v>
      </c>
      <c r="U262" s="245">
        <v>0.67346333333333375</v>
      </c>
      <c r="V262" s="245">
        <v>0.67374000000000001</v>
      </c>
      <c r="W262" s="245">
        <v>3.7599999999999977E-3</v>
      </c>
      <c r="X262" s="245">
        <v>1.9399999999999983E-2</v>
      </c>
      <c r="Y262" s="245">
        <v>9.389666666666667E-2</v>
      </c>
      <c r="Z262" s="245">
        <v>1.4900000000000009E-2</v>
      </c>
      <c r="AA262" s="245">
        <v>2.0993333333333333E-2</v>
      </c>
      <c r="AB262" s="245">
        <v>0.48569999999999969</v>
      </c>
      <c r="AC262" s="245">
        <v>4.6040000000000032E-2</v>
      </c>
      <c r="AD262" s="245">
        <v>2.0726666666666671E-2</v>
      </c>
      <c r="AE262" s="245">
        <v>0.45316000000000028</v>
      </c>
      <c r="AF262" s="245">
        <v>0.12877</v>
      </c>
      <c r="AG262" s="245">
        <v>1.0571333333333335</v>
      </c>
      <c r="AH262" s="245">
        <v>7.9553333333333323E-2</v>
      </c>
      <c r="AI262" s="245"/>
      <c r="AJ262" s="245"/>
      <c r="AK262" s="245"/>
      <c r="AL262" s="245"/>
      <c r="AM262" s="245"/>
      <c r="AN262" s="245"/>
      <c r="AO262" s="955" t="s">
        <v>21</v>
      </c>
    </row>
    <row r="263" spans="1:41" ht="13.5" customHeight="1">
      <c r="A263" s="953" t="s">
        <v>22</v>
      </c>
      <c r="B263" s="245">
        <v>1.7000000000000008</v>
      </c>
      <c r="C263" s="245">
        <v>1.8495032258064517</v>
      </c>
      <c r="D263" s="245">
        <v>1.1305225806451618</v>
      </c>
      <c r="E263" s="245">
        <v>0.46294516129032232</v>
      </c>
      <c r="F263" s="245">
        <v>0.24332580645161292</v>
      </c>
      <c r="G263" s="245">
        <v>0.24829032258064523</v>
      </c>
      <c r="H263" s="245">
        <v>0.2169548387096773</v>
      </c>
      <c r="I263" s="245">
        <v>2.1220419354838707</v>
      </c>
      <c r="J263" s="245">
        <v>4.0000000000000027E-3</v>
      </c>
      <c r="K263" s="245">
        <v>0.16266774193548386</v>
      </c>
      <c r="L263" s="245">
        <v>1.8964741935483871</v>
      </c>
      <c r="M263" s="245">
        <v>0.46410645161290309</v>
      </c>
      <c r="N263" s="245">
        <v>1.2574967741935483</v>
      </c>
      <c r="O263" s="245">
        <v>5.5392870967741947</v>
      </c>
      <c r="P263" s="245">
        <v>0.15742258064516132</v>
      </c>
      <c r="Q263" s="245">
        <v>0.40729354838709686</v>
      </c>
      <c r="R263" s="245">
        <v>1.2695677419354836</v>
      </c>
      <c r="S263" s="245">
        <v>8.6158064516129035E-2</v>
      </c>
      <c r="T263" s="245">
        <v>1.2419032258064515</v>
      </c>
      <c r="U263" s="245">
        <v>0.67350000000000032</v>
      </c>
      <c r="V263" s="245">
        <v>0.67137419354838701</v>
      </c>
      <c r="W263" s="245">
        <v>3.8032258064516116E-3</v>
      </c>
      <c r="X263" s="245">
        <v>1.9403225806451596E-2</v>
      </c>
      <c r="Y263" s="245">
        <v>9.5516129032258063E-2</v>
      </c>
      <c r="Z263" s="245">
        <v>1.4883870967741939E-2</v>
      </c>
      <c r="AA263" s="245">
        <v>2.1438709677419353E-2</v>
      </c>
      <c r="AB263" s="245">
        <v>0.48569999999999969</v>
      </c>
      <c r="AC263" s="245">
        <v>4.6009677419354862E-2</v>
      </c>
      <c r="AD263" s="245">
        <v>2.0661290322580638E-2</v>
      </c>
      <c r="AE263" s="245">
        <v>0.45329677419354847</v>
      </c>
      <c r="AF263" s="245">
        <v>0.12810967741935483</v>
      </c>
      <c r="AG263" s="245">
        <v>1.0570322580645164</v>
      </c>
      <c r="AH263" s="245">
        <v>7.8409677419354853E-2</v>
      </c>
      <c r="AI263" s="245"/>
      <c r="AJ263" s="245"/>
      <c r="AK263" s="245"/>
      <c r="AL263" s="245"/>
      <c r="AM263" s="245"/>
      <c r="AN263" s="245"/>
      <c r="AO263" s="955" t="s">
        <v>22</v>
      </c>
    </row>
    <row r="264" spans="1:41" ht="13.5" customHeight="1">
      <c r="A264" s="953" t="s">
        <v>23</v>
      </c>
      <c r="B264" s="245">
        <v>1.7000000000000006</v>
      </c>
      <c r="C264" s="245">
        <v>1.8416733333333335</v>
      </c>
      <c r="D264" s="245">
        <v>1.1411999999999998</v>
      </c>
      <c r="E264" s="245">
        <v>0.46280999999999983</v>
      </c>
      <c r="F264" s="245">
        <v>0.23795333333333327</v>
      </c>
      <c r="G264" s="245">
        <v>0.24723333333333344</v>
      </c>
      <c r="H264" s="245">
        <v>0.21709333333333339</v>
      </c>
      <c r="I264" s="245">
        <v>2.1471633333333324</v>
      </c>
      <c r="J264" s="245">
        <v>4.0000000000000027E-3</v>
      </c>
      <c r="K264" s="245">
        <v>0.15813333333333335</v>
      </c>
      <c r="L264" s="245">
        <v>1.8881333333333339</v>
      </c>
      <c r="M264" s="245">
        <v>0.46721666666666656</v>
      </c>
      <c r="N264" s="245">
        <v>1.2784800000000003</v>
      </c>
      <c r="O264" s="245">
        <v>5.5306733333333344</v>
      </c>
      <c r="P264" s="245">
        <v>0.15710999999999997</v>
      </c>
      <c r="Q264" s="245">
        <v>0.41251666666666653</v>
      </c>
      <c r="R264" s="245">
        <v>1.2631599999999996</v>
      </c>
      <c r="S264" s="245">
        <v>7.2733333333333344E-2</v>
      </c>
      <c r="T264" s="245">
        <v>1.2058933333333335</v>
      </c>
      <c r="U264" s="245">
        <v>0.67348666666666701</v>
      </c>
      <c r="V264" s="245">
        <v>0.64991666666666681</v>
      </c>
      <c r="W264" s="245">
        <v>3.7999999999999987E-3</v>
      </c>
      <c r="X264" s="245">
        <v>1.9436666666666658E-2</v>
      </c>
      <c r="Y264" s="245">
        <v>9.5369999999999983E-2</v>
      </c>
      <c r="Z264" s="245">
        <v>1.4849999999999992E-2</v>
      </c>
      <c r="AA264" s="245">
        <v>2.0466666666666668E-2</v>
      </c>
      <c r="AB264" s="245">
        <v>0.48569999999999969</v>
      </c>
      <c r="AC264" s="245">
        <v>4.6003333333333354E-2</v>
      </c>
      <c r="AD264" s="245">
        <v>2.0656666666666674E-2</v>
      </c>
      <c r="AE264" s="245">
        <v>0.4532466666666668</v>
      </c>
      <c r="AF264" s="245">
        <v>0.13121333333333338</v>
      </c>
      <c r="AG264" s="245">
        <v>1.0425433333333334</v>
      </c>
      <c r="AH264" s="245">
        <v>7.7689999999999995E-2</v>
      </c>
      <c r="AI264" s="245"/>
      <c r="AJ264" s="245"/>
      <c r="AK264" s="245"/>
      <c r="AL264" s="245"/>
      <c r="AM264" s="245"/>
      <c r="AN264" s="245"/>
      <c r="AO264" s="955" t="s">
        <v>23</v>
      </c>
    </row>
    <row r="265" spans="1:41" ht="13.5" customHeight="1">
      <c r="A265" s="953" t="s">
        <v>24</v>
      </c>
      <c r="B265" s="245">
        <v>1.7000000000000008</v>
      </c>
      <c r="C265" s="245">
        <v>1.8779741935483871</v>
      </c>
      <c r="D265" s="245">
        <v>1.1448516129032262</v>
      </c>
      <c r="E265" s="245">
        <v>0.46279999999999977</v>
      </c>
      <c r="F265" s="245">
        <v>0.23662903225806448</v>
      </c>
      <c r="G265" s="245">
        <v>0.25205483870967738</v>
      </c>
      <c r="H265" s="245">
        <v>0.21747741935483869</v>
      </c>
      <c r="I265" s="245">
        <v>2.1881709677419354</v>
      </c>
      <c r="J265" s="245">
        <v>4.0000000000000027E-3</v>
      </c>
      <c r="K265" s="245">
        <v>0.16154193548387091</v>
      </c>
      <c r="L265" s="245">
        <v>1.9428709677419349</v>
      </c>
      <c r="M265" s="245">
        <v>0.46419032258064497</v>
      </c>
      <c r="N265" s="245">
        <v>1.2864096774193552</v>
      </c>
      <c r="O265" s="245">
        <v>5.5378258064516128</v>
      </c>
      <c r="P265" s="245">
        <v>0.16508387096774194</v>
      </c>
      <c r="Q265" s="245">
        <v>0.42239999999999989</v>
      </c>
      <c r="R265" s="245">
        <v>1.2732806451612908</v>
      </c>
      <c r="S265" s="245">
        <v>6.4435483870967716E-2</v>
      </c>
      <c r="T265" s="245">
        <v>1.2064870967741936</v>
      </c>
      <c r="U265" s="245">
        <v>0.67370967741935528</v>
      </c>
      <c r="V265" s="245">
        <v>0.6550387096774194</v>
      </c>
      <c r="W265" s="245">
        <v>3.8064516129032249E-3</v>
      </c>
      <c r="X265" s="245">
        <v>1.9419354838709664E-2</v>
      </c>
      <c r="Y265" s="245">
        <v>9.4780645161290297E-2</v>
      </c>
      <c r="Z265" s="245">
        <v>1.4709677419354835E-2</v>
      </c>
      <c r="AA265" s="245">
        <v>1.8848387096774194E-2</v>
      </c>
      <c r="AB265" s="245">
        <v>0.48569999999999969</v>
      </c>
      <c r="AC265" s="245">
        <v>4.6016129032258088E-2</v>
      </c>
      <c r="AD265" s="245">
        <v>2.0687096774193559E-2</v>
      </c>
      <c r="AE265" s="245">
        <v>0.45317741935483891</v>
      </c>
      <c r="AF265" s="245">
        <v>0.13237096774193546</v>
      </c>
      <c r="AG265" s="245">
        <v>1.0587548387096772</v>
      </c>
      <c r="AH265" s="245">
        <v>7.862580645161292E-2</v>
      </c>
      <c r="AI265" s="245"/>
      <c r="AJ265" s="245"/>
      <c r="AK265" s="245"/>
      <c r="AL265" s="245"/>
      <c r="AM265" s="245"/>
      <c r="AN265" s="245"/>
      <c r="AO265" s="955" t="s">
        <v>24</v>
      </c>
    </row>
    <row r="266" spans="1:41" ht="13.5" customHeight="1">
      <c r="A266" s="953" t="s">
        <v>25</v>
      </c>
      <c r="B266" s="245">
        <v>1.7000000000000008</v>
      </c>
      <c r="C266" s="245">
        <v>1.8547645161290323</v>
      </c>
      <c r="D266" s="245">
        <v>1.1026774193548381</v>
      </c>
      <c r="E266" s="245">
        <v>0.46279999999999977</v>
      </c>
      <c r="F266" s="245">
        <v>0.23449032258064509</v>
      </c>
      <c r="G266" s="245">
        <v>0.24889677419354841</v>
      </c>
      <c r="H266" s="245">
        <v>0.21726129032258065</v>
      </c>
      <c r="I266" s="245">
        <v>2.1595290322580638</v>
      </c>
      <c r="J266" s="245">
        <v>4.0000000000000027E-3</v>
      </c>
      <c r="K266" s="245">
        <v>0.15717419354838708</v>
      </c>
      <c r="L266" s="245">
        <v>1.9354903225806459</v>
      </c>
      <c r="M266" s="245">
        <v>0.45430645161290317</v>
      </c>
      <c r="N266" s="245">
        <v>1.2617645161290321</v>
      </c>
      <c r="O266" s="245">
        <v>5.5217806451612921</v>
      </c>
      <c r="P266" s="245">
        <v>0.16265483870967742</v>
      </c>
      <c r="Q266" s="245">
        <v>0.41591935483870962</v>
      </c>
      <c r="R266" s="245">
        <v>1.2586741935483872</v>
      </c>
      <c r="S266" s="245">
        <v>6.3212903225806458E-2</v>
      </c>
      <c r="T266" s="245">
        <v>1.1745645161290326</v>
      </c>
      <c r="U266" s="245">
        <v>0.67345806451612944</v>
      </c>
      <c r="V266" s="245">
        <v>0.64929354838709696</v>
      </c>
      <c r="W266" s="245">
        <v>3.7516129032258037E-3</v>
      </c>
      <c r="X266" s="245">
        <v>1.9341935483870958E-2</v>
      </c>
      <c r="Y266" s="245">
        <v>9.6151612903225825E-2</v>
      </c>
      <c r="Z266" s="245">
        <v>1.4280645161290325E-2</v>
      </c>
      <c r="AA266" s="245">
        <v>1.787096774193549E-2</v>
      </c>
      <c r="AB266" s="245">
        <v>0.48569999999999969</v>
      </c>
      <c r="AC266" s="245">
        <v>4.6032258064516149E-2</v>
      </c>
      <c r="AD266" s="245">
        <v>2.0538709677419349E-2</v>
      </c>
      <c r="AE266" s="245">
        <v>0.45316774193548409</v>
      </c>
      <c r="AF266" s="245">
        <v>0.12855806451612897</v>
      </c>
      <c r="AG266" s="245">
        <v>1.0188903225806449</v>
      </c>
      <c r="AH266" s="245">
        <v>7.6877419354838675E-2</v>
      </c>
      <c r="AI266" s="245"/>
      <c r="AJ266" s="245"/>
      <c r="AK266" s="245"/>
      <c r="AL266" s="245"/>
      <c r="AM266" s="245"/>
      <c r="AN266" s="245"/>
      <c r="AO266" s="955" t="s">
        <v>25</v>
      </c>
    </row>
    <row r="267" spans="1:41" ht="13.5" customHeight="1">
      <c r="A267" s="953" t="s">
        <v>26</v>
      </c>
      <c r="B267" s="245">
        <v>1.7000000000000006</v>
      </c>
      <c r="C267" s="245">
        <v>1.8174966666666663</v>
      </c>
      <c r="D267" s="245">
        <v>1.0929766666666667</v>
      </c>
      <c r="E267" s="245">
        <v>0.46279999999999977</v>
      </c>
      <c r="F267" s="245">
        <v>0.23305999999999999</v>
      </c>
      <c r="G267" s="245">
        <v>0.24375666666666662</v>
      </c>
      <c r="H267" s="245">
        <v>0.21712333333333328</v>
      </c>
      <c r="I267" s="245">
        <v>2.1114266666666661</v>
      </c>
      <c r="J267" s="245">
        <v>4.0000000000000027E-3</v>
      </c>
      <c r="K267" s="245">
        <v>0.15335666666666664</v>
      </c>
      <c r="L267" s="245">
        <v>1.8950666666666669</v>
      </c>
      <c r="M267" s="245">
        <v>0.44525666666666669</v>
      </c>
      <c r="N267" s="245">
        <v>1.2560366666666662</v>
      </c>
      <c r="O267" s="245">
        <v>5.5063366666666642</v>
      </c>
      <c r="P267" s="245">
        <v>0.15862999999999999</v>
      </c>
      <c r="Q267" s="245">
        <v>0.39557666666666658</v>
      </c>
      <c r="R267" s="245">
        <v>1.2478733333333334</v>
      </c>
      <c r="S267" s="245">
        <v>6.3E-2</v>
      </c>
      <c r="T267" s="245">
        <v>1.1523633333333336</v>
      </c>
      <c r="U267" s="245">
        <v>0.67349000000000037</v>
      </c>
      <c r="V267" s="245">
        <v>0.64345666666666668</v>
      </c>
      <c r="W267" s="245">
        <v>3.6266666666666691E-3</v>
      </c>
      <c r="X267" s="245">
        <v>1.9313333333333328E-2</v>
      </c>
      <c r="Y267" s="245">
        <v>9.4803333333333337E-2</v>
      </c>
      <c r="Z267" s="245">
        <v>1.4000000000000011E-2</v>
      </c>
      <c r="AA267" s="245">
        <v>1.7583333333333333E-2</v>
      </c>
      <c r="AB267" s="245">
        <v>0.48569999999999969</v>
      </c>
      <c r="AC267" s="245">
        <v>4.6023333333333354E-2</v>
      </c>
      <c r="AD267" s="245">
        <v>2.0476666666666664E-2</v>
      </c>
      <c r="AE267" s="245">
        <v>0.45320666666666687</v>
      </c>
      <c r="AF267" s="245">
        <v>0.12762333333333334</v>
      </c>
      <c r="AG267" s="245">
        <v>1.0084166666666665</v>
      </c>
      <c r="AH267" s="245">
        <v>7.4606666666666696E-2</v>
      </c>
      <c r="AI267" s="245"/>
      <c r="AJ267" s="245"/>
      <c r="AK267" s="245"/>
      <c r="AL267" s="245"/>
      <c r="AM267" s="245"/>
      <c r="AN267" s="245"/>
      <c r="AO267" s="955" t="s">
        <v>26</v>
      </c>
    </row>
    <row r="268" spans="1:41" ht="13.5" customHeight="1">
      <c r="A268" s="953" t="s">
        <v>27</v>
      </c>
      <c r="B268" s="245">
        <v>1.7000000000000008</v>
      </c>
      <c r="C268" s="245">
        <v>1.7954032258064523</v>
      </c>
      <c r="D268" s="245">
        <v>1.0796870967741934</v>
      </c>
      <c r="E268" s="245">
        <v>0.46279999999999977</v>
      </c>
      <c r="F268" s="245">
        <v>0.2326483870967743</v>
      </c>
      <c r="G268" s="245">
        <v>0.24067096774193547</v>
      </c>
      <c r="H268" s="245">
        <v>0.21727096774193536</v>
      </c>
      <c r="I268" s="245">
        <v>2.0690096774193552</v>
      </c>
      <c r="J268" s="245">
        <v>4.0000000000000027E-3</v>
      </c>
      <c r="K268" s="245">
        <v>0.15432903225806449</v>
      </c>
      <c r="L268" s="245">
        <v>1.8806677419354838</v>
      </c>
      <c r="M268" s="245">
        <v>0.42819032258064527</v>
      </c>
      <c r="N268" s="245">
        <v>1.2409774193548389</v>
      </c>
      <c r="O268" s="245">
        <v>5.4969064516129045</v>
      </c>
      <c r="P268" s="245">
        <v>0.15468709677419362</v>
      </c>
      <c r="Q268" s="245">
        <v>0.3975322580645162</v>
      </c>
      <c r="R268" s="245">
        <v>1.2416741935483868</v>
      </c>
      <c r="S268" s="245">
        <v>6.1003225806451622E-2</v>
      </c>
      <c r="T268" s="245">
        <v>1.1367903225806448</v>
      </c>
      <c r="U268" s="245">
        <v>0.52626451612903213</v>
      </c>
      <c r="V268" s="245">
        <v>0.6326354838709678</v>
      </c>
      <c r="W268" s="245">
        <v>3.5709677419354857E-3</v>
      </c>
      <c r="X268" s="245">
        <v>1.9225806451612898E-2</v>
      </c>
      <c r="Y268" s="245">
        <v>9.3770967741935482E-2</v>
      </c>
      <c r="Z268" s="245">
        <v>1.3906451612903234E-2</v>
      </c>
      <c r="AA268" s="245">
        <v>1.7483870967741934E-2</v>
      </c>
      <c r="AB268" s="245">
        <v>0.48569999999999969</v>
      </c>
      <c r="AC268" s="245">
        <v>4.6435483870967735E-2</v>
      </c>
      <c r="AD268" s="245">
        <v>2.0409677419354826E-2</v>
      </c>
      <c r="AE268" s="245">
        <v>0.45319354838709675</v>
      </c>
      <c r="AF268" s="245">
        <v>0.1257967741935484</v>
      </c>
      <c r="AG268" s="245">
        <v>1.0029032258064514</v>
      </c>
      <c r="AH268" s="245">
        <v>7.3077419354838719E-2</v>
      </c>
      <c r="AI268" s="245"/>
      <c r="AJ268" s="245"/>
      <c r="AK268" s="245"/>
      <c r="AL268" s="245"/>
      <c r="AM268" s="245"/>
      <c r="AN268" s="245"/>
      <c r="AO268" s="952" t="s">
        <v>27</v>
      </c>
    </row>
    <row r="269" spans="1:41" ht="13.5" customHeight="1">
      <c r="A269" s="953" t="s">
        <v>28</v>
      </c>
      <c r="B269" s="245">
        <v>1.7000000000000006</v>
      </c>
      <c r="C269" s="245">
        <v>1.8368899999999997</v>
      </c>
      <c r="D269" s="245">
        <v>1.1041633333333334</v>
      </c>
      <c r="E269" s="245">
        <v>0.46282999999999969</v>
      </c>
      <c r="F269" s="245">
        <v>0.23518999999999998</v>
      </c>
      <c r="G269" s="245">
        <v>0.2462766666666667</v>
      </c>
      <c r="H269" s="245">
        <v>0.21774666666666667</v>
      </c>
      <c r="I269" s="245">
        <v>2.1110700000000002</v>
      </c>
      <c r="J269" s="245">
        <v>4.0000000000000027E-3</v>
      </c>
      <c r="K269" s="245">
        <v>0.15884666666666666</v>
      </c>
      <c r="L269" s="245">
        <v>1.905886666666667</v>
      </c>
      <c r="M269" s="245">
        <v>0.4456666666666666</v>
      </c>
      <c r="N269" s="245">
        <v>1.2398933333333331</v>
      </c>
      <c r="O269" s="245">
        <v>5.5086100000000009</v>
      </c>
      <c r="P269" s="245">
        <v>0.15571333333333334</v>
      </c>
      <c r="Q269" s="245">
        <v>0.41689999999999994</v>
      </c>
      <c r="R269" s="245">
        <v>1.2605633333333335</v>
      </c>
      <c r="S269" s="245">
        <v>5.9356666666666641E-2</v>
      </c>
      <c r="T269" s="245">
        <v>1.1353333333333329</v>
      </c>
      <c r="U269" s="245">
        <v>0.51605333333333325</v>
      </c>
      <c r="V269" s="245">
        <v>0.62942333333333333</v>
      </c>
      <c r="W269" s="245">
        <v>3.6866666666666649E-3</v>
      </c>
      <c r="X269" s="245">
        <v>1.9076666666666669E-2</v>
      </c>
      <c r="Y269" s="245">
        <v>9.4926666666666673E-2</v>
      </c>
      <c r="Z269" s="245">
        <v>1.3843333333333327E-2</v>
      </c>
      <c r="AA269" s="245">
        <v>1.8759999999999999E-2</v>
      </c>
      <c r="AB269" s="245">
        <v>0.48569999999999969</v>
      </c>
      <c r="AC269" s="245">
        <v>4.697999999999998E-2</v>
      </c>
      <c r="AD269" s="245">
        <v>2.0403333333333322E-2</v>
      </c>
      <c r="AE269" s="245">
        <v>0.45324000000000014</v>
      </c>
      <c r="AF269" s="245">
        <v>0.13009666666666667</v>
      </c>
      <c r="AG269" s="245">
        <v>1.0183066666666665</v>
      </c>
      <c r="AH269" s="245">
        <v>7.5070000000000026E-2</v>
      </c>
      <c r="AI269" s="245"/>
      <c r="AJ269" s="245"/>
      <c r="AK269" s="245"/>
      <c r="AL269" s="245"/>
      <c r="AM269" s="245"/>
      <c r="AN269" s="245"/>
      <c r="AO269" s="952" t="s">
        <v>28</v>
      </c>
    </row>
    <row r="270" spans="1:41" ht="13.5" customHeight="1">
      <c r="A270" s="953" t="s">
        <v>29</v>
      </c>
      <c r="B270" s="245">
        <v>1.7000000000000008</v>
      </c>
      <c r="C270" s="245">
        <v>1.8569290322580652</v>
      </c>
      <c r="D270" s="245">
        <v>1.1386096774193546</v>
      </c>
      <c r="E270" s="245">
        <v>0.46289999999999981</v>
      </c>
      <c r="F270" s="245">
        <v>0.23810322580645157</v>
      </c>
      <c r="G270" s="245">
        <v>0.24906774193548384</v>
      </c>
      <c r="H270" s="245">
        <v>0.21767419354838702</v>
      </c>
      <c r="I270" s="245">
        <v>2.1533967741935487</v>
      </c>
      <c r="J270" s="245">
        <v>4.0000000000000027E-3</v>
      </c>
      <c r="K270" s="245">
        <v>0.1657483870967742</v>
      </c>
      <c r="L270" s="245">
        <v>1.9663096774193547</v>
      </c>
      <c r="M270" s="245">
        <v>0.46309677419354833</v>
      </c>
      <c r="N270" s="245">
        <v>1.2670193548387101</v>
      </c>
      <c r="O270" s="245">
        <v>5.5215741935483882</v>
      </c>
      <c r="P270" s="245">
        <v>0.16132580645161287</v>
      </c>
      <c r="Q270" s="245">
        <v>0.42866451612903234</v>
      </c>
      <c r="R270" s="245">
        <v>1.2770290322580644</v>
      </c>
      <c r="S270" s="245">
        <v>5.8425806451612924E-2</v>
      </c>
      <c r="T270" s="245">
        <v>1.1823903225806447</v>
      </c>
      <c r="U270" s="245">
        <v>0.5158387096774194</v>
      </c>
      <c r="V270" s="245">
        <v>0.63344838709677409</v>
      </c>
      <c r="W270" s="245">
        <v>3.6999999999999984E-3</v>
      </c>
      <c r="X270" s="245">
        <v>1.9090322580645164E-2</v>
      </c>
      <c r="Y270" s="245">
        <v>9.6493548387096756E-2</v>
      </c>
      <c r="Z270" s="245">
        <v>1.377096774193548E-2</v>
      </c>
      <c r="AA270" s="245">
        <v>1.8700000000000008E-2</v>
      </c>
      <c r="AB270" s="245">
        <v>0.48569999999999969</v>
      </c>
      <c r="AC270" s="245">
        <v>4.5812903225806438E-2</v>
      </c>
      <c r="AD270" s="245">
        <v>2.04032258064516E-2</v>
      </c>
      <c r="AE270" s="245">
        <v>0.45320967741935503</v>
      </c>
      <c r="AF270" s="245">
        <v>0.13050322580645163</v>
      </c>
      <c r="AG270" s="245">
        <v>1.0583838709677422</v>
      </c>
      <c r="AH270" s="245">
        <v>7.591612903225807E-2</v>
      </c>
      <c r="AI270" s="245"/>
      <c r="AJ270" s="245"/>
      <c r="AK270" s="245"/>
      <c r="AL270" s="245"/>
      <c r="AM270" s="245"/>
      <c r="AN270" s="245"/>
      <c r="AO270" s="952" t="s">
        <v>29</v>
      </c>
    </row>
    <row r="271" spans="1:41" ht="13.5" customHeight="1">
      <c r="A271" s="953" t="s">
        <v>3989</v>
      </c>
      <c r="B271" s="260">
        <f>AVERAGE(B272:B283)</f>
        <v>1.7000000000000004</v>
      </c>
      <c r="C271" s="260">
        <f>AVERAGE(C272:C283)</f>
        <v>1.8399965470893587</v>
      </c>
      <c r="D271" s="260">
        <f>AVERAGE(D272:D283)</f>
        <v>1.1221604715115563</v>
      </c>
      <c r="E271" s="260">
        <f t="shared" ref="E271:I271" si="28">AVERAGE(E272:E283)</f>
        <v>0.46282016252626351</v>
      </c>
      <c r="F271" s="260">
        <f t="shared" si="28"/>
        <v>0.23628006056111728</v>
      </c>
      <c r="G271" s="260">
        <f t="shared" si="28"/>
        <v>0.24669367908787546</v>
      </c>
      <c r="H271" s="260">
        <f t="shared" si="28"/>
        <v>0.21788072611543688</v>
      </c>
      <c r="I271" s="260">
        <f t="shared" si="28"/>
        <v>2.1730429393770856</v>
      </c>
      <c r="J271" s="260">
        <v>0.3098208333333336</v>
      </c>
      <c r="K271" s="260">
        <f t="shared" ref="K271:V271" si="29">AVERAGE(K272:K283)</f>
        <v>0.16097331417624519</v>
      </c>
      <c r="L271" s="260">
        <f t="shared" si="29"/>
        <v>1.9322944228154739</v>
      </c>
      <c r="M271" s="260">
        <f t="shared" si="29"/>
        <v>0.45949849060684711</v>
      </c>
      <c r="N271" s="260">
        <f t="shared" si="29"/>
        <v>1.2417423952539857</v>
      </c>
      <c r="O271" s="260">
        <f t="shared" si="29"/>
        <v>5.5392897951427509</v>
      </c>
      <c r="P271" s="260">
        <f t="shared" si="29"/>
        <v>0.15824125015449264</v>
      </c>
      <c r="Q271" s="260">
        <f t="shared" si="29"/>
        <v>0.42728986126560375</v>
      </c>
      <c r="R271" s="260">
        <f t="shared" si="29"/>
        <v>1.272619306637004</v>
      </c>
      <c r="S271" s="260">
        <f t="shared" si="29"/>
        <v>5.1832986342850079E-2</v>
      </c>
      <c r="T271" s="260">
        <f t="shared" si="29"/>
        <v>1.1241922487949574</v>
      </c>
      <c r="U271" s="260">
        <f t="shared" si="29"/>
        <v>0.51657847670250934</v>
      </c>
      <c r="V271" s="260">
        <f t="shared" si="29"/>
        <v>0.6252694793597825</v>
      </c>
      <c r="W271" s="260">
        <v>0.36308365776789026</v>
      </c>
      <c r="X271" s="260">
        <f t="shared" ref="X271:Z271" si="30">AVERAGE(X272:X283)</f>
        <v>1.9527351378074407E-2</v>
      </c>
      <c r="Y271" s="260">
        <f t="shared" si="30"/>
        <v>9.5912459831911989E-2</v>
      </c>
      <c r="Z271" s="260">
        <f t="shared" si="30"/>
        <v>1.3442748115189718E-2</v>
      </c>
      <c r="AA271" s="260">
        <v>1.839138337350142</v>
      </c>
      <c r="AB271" s="260">
        <f t="shared" ref="AB271:AH271" si="31">AVERAGE(AB272:AB283)</f>
        <v>0.48569999999999963</v>
      </c>
      <c r="AC271" s="260">
        <f t="shared" si="31"/>
        <v>4.237767117785194E-2</v>
      </c>
      <c r="AD271" s="260">
        <f t="shared" si="31"/>
        <v>2.0323646953405012E-2</v>
      </c>
      <c r="AE271" s="260">
        <f t="shared" si="31"/>
        <v>0.45305418458781355</v>
      </c>
      <c r="AF271" s="260">
        <f t="shared" si="31"/>
        <v>0.12477699697194415</v>
      </c>
      <c r="AG271" s="260">
        <f t="shared" si="31"/>
        <v>1.0291815214435796</v>
      </c>
      <c r="AH271" s="260">
        <f t="shared" si="31"/>
        <v>7.3263929365962169E-2</v>
      </c>
      <c r="AI271" s="260"/>
      <c r="AJ271" s="260"/>
      <c r="AK271" s="260"/>
      <c r="AL271" s="260"/>
      <c r="AM271" s="260"/>
      <c r="AN271" s="260"/>
      <c r="AO271" s="953" t="s">
        <v>3989</v>
      </c>
    </row>
    <row r="272" spans="1:41" ht="13.15" customHeight="1">
      <c r="A272" s="953" t="s">
        <v>18</v>
      </c>
      <c r="B272" s="245">
        <v>1.7000000000000008</v>
      </c>
      <c r="C272" s="245">
        <v>1.8577516129032261</v>
      </c>
      <c r="D272" s="245">
        <v>1.1328387096774195</v>
      </c>
      <c r="E272" s="245">
        <v>0.46285483870967731</v>
      </c>
      <c r="F272" s="245">
        <v>0.23737741935483869</v>
      </c>
      <c r="G272" s="245">
        <v>0.24914193548387098</v>
      </c>
      <c r="H272" s="245">
        <v>0.21748064516129031</v>
      </c>
      <c r="I272" s="245">
        <v>2.1621161290322584</v>
      </c>
      <c r="J272" s="245">
        <v>4.0000000000000027E-3</v>
      </c>
      <c r="K272" s="245">
        <v>0.16478709677419356</v>
      </c>
      <c r="L272" s="245">
        <v>1.9847451612903229</v>
      </c>
      <c r="M272" s="245">
        <v>0.45886451612903223</v>
      </c>
      <c r="N272" s="245">
        <v>1.2689193548387097</v>
      </c>
      <c r="O272" s="245">
        <v>5.527996774193551</v>
      </c>
      <c r="P272" s="245">
        <v>0.16399999999999995</v>
      </c>
      <c r="Q272" s="245">
        <v>0.42592580645161293</v>
      </c>
      <c r="R272" s="245">
        <v>1.2745870967741937</v>
      </c>
      <c r="S272" s="245">
        <v>5.6629032258064524E-2</v>
      </c>
      <c r="T272" s="245">
        <v>1.1679225806451612</v>
      </c>
      <c r="U272" s="245">
        <v>0.51830645161290356</v>
      </c>
      <c r="V272" s="245">
        <v>0.63597419354838702</v>
      </c>
      <c r="W272" s="245">
        <v>3.7677419354838703E-3</v>
      </c>
      <c r="X272" s="245">
        <v>1.9048387096774203E-2</v>
      </c>
      <c r="Y272" s="245">
        <v>9.6719354838709665E-2</v>
      </c>
      <c r="Z272" s="245">
        <v>1.3725806451612898E-2</v>
      </c>
      <c r="AA272" s="245">
        <v>1.902258064516129E-2</v>
      </c>
      <c r="AB272" s="245">
        <v>0.48569999999999969</v>
      </c>
      <c r="AC272" s="245">
        <v>4.4877419354838688E-2</v>
      </c>
      <c r="AD272" s="245">
        <v>2.0451612903225801E-2</v>
      </c>
      <c r="AE272" s="245">
        <v>0.45330000000000009</v>
      </c>
      <c r="AF272" s="245">
        <v>0.12863548387096779</v>
      </c>
      <c r="AG272" s="245">
        <v>1.0524096774193548</v>
      </c>
      <c r="AH272" s="245">
        <v>7.5164516129032258E-2</v>
      </c>
      <c r="AI272" s="245"/>
      <c r="AJ272" s="245"/>
      <c r="AK272" s="245"/>
      <c r="AL272" s="245"/>
      <c r="AM272" s="245"/>
      <c r="AN272" s="245"/>
      <c r="AO272" s="952" t="s">
        <v>18</v>
      </c>
    </row>
    <row r="273" spans="1:41" ht="13.15" customHeight="1">
      <c r="A273" s="953" t="s">
        <v>19</v>
      </c>
      <c r="B273" s="245">
        <v>1.7000000000000006</v>
      </c>
      <c r="C273" s="245">
        <v>1.8352827586206895</v>
      </c>
      <c r="D273" s="245">
        <v>1.1105310344827588</v>
      </c>
      <c r="E273" s="245">
        <v>0.46280689655172397</v>
      </c>
      <c r="F273" s="245">
        <v>0.23633793103448281</v>
      </c>
      <c r="G273" s="245">
        <v>0.2461793103448276</v>
      </c>
      <c r="H273" s="245">
        <v>0.21735172413793097</v>
      </c>
      <c r="I273" s="245">
        <v>2.1479517241379313</v>
      </c>
      <c r="J273" s="245">
        <v>4.0000000000000027E-3</v>
      </c>
      <c r="K273" s="245">
        <v>0.16309310344827585</v>
      </c>
      <c r="L273" s="245">
        <v>1.9418793103448271</v>
      </c>
      <c r="M273" s="245">
        <v>0.46612758620689654</v>
      </c>
      <c r="N273" s="245">
        <v>1.2610655172413792</v>
      </c>
      <c r="O273" s="245">
        <v>5.5227068965517221</v>
      </c>
      <c r="P273" s="245">
        <v>0.1611758620689655</v>
      </c>
      <c r="Q273" s="245">
        <v>0.4241758620689654</v>
      </c>
      <c r="R273" s="245">
        <v>1.2646310344827587</v>
      </c>
      <c r="S273" s="245">
        <v>5.5213793103448268E-2</v>
      </c>
      <c r="T273" s="245">
        <v>1.1381482758620691</v>
      </c>
      <c r="U273" s="245">
        <v>0.51950000000000029</v>
      </c>
      <c r="V273" s="245">
        <v>0.6407448275862071</v>
      </c>
      <c r="W273" s="245">
        <v>3.7931034482758608E-3</v>
      </c>
      <c r="X273" s="245">
        <v>1.902068965517242E-2</v>
      </c>
      <c r="Y273" s="245">
        <v>9.5575862068965498E-2</v>
      </c>
      <c r="Z273" s="245">
        <v>1.363448275862069E-2</v>
      </c>
      <c r="AA273" s="245">
        <v>1.8551724137931019E-2</v>
      </c>
      <c r="AB273" s="245">
        <v>0.48569999999999969</v>
      </c>
      <c r="AC273" s="245">
        <v>4.4755172413793107E-2</v>
      </c>
      <c r="AD273" s="245">
        <v>2.0500000000000001E-2</v>
      </c>
      <c r="AE273" s="245">
        <v>0.45330000000000004</v>
      </c>
      <c r="AF273" s="245">
        <v>0.12769310344827584</v>
      </c>
      <c r="AG273" s="245">
        <v>1.0419896551724142</v>
      </c>
      <c r="AH273" s="245">
        <v>7.2775862068965538E-2</v>
      </c>
      <c r="AI273" s="245"/>
      <c r="AJ273" s="245"/>
      <c r="AK273" s="245"/>
      <c r="AL273" s="245"/>
      <c r="AM273" s="245"/>
      <c r="AN273" s="245"/>
      <c r="AO273" s="952" t="s">
        <v>19</v>
      </c>
    </row>
    <row r="274" spans="1:41" ht="13.15" customHeight="1">
      <c r="A274" s="953" t="s">
        <v>20</v>
      </c>
      <c r="B274" s="245">
        <v>1.7000000000000008</v>
      </c>
      <c r="C274" s="245">
        <v>1.8468806451612914</v>
      </c>
      <c r="D274" s="245">
        <v>1.1127193548387098</v>
      </c>
      <c r="E274" s="245">
        <v>0.4628548387096772</v>
      </c>
      <c r="F274" s="245">
        <v>0.236083870967742</v>
      </c>
      <c r="G274" s="245">
        <v>0.24770322580645152</v>
      </c>
      <c r="H274" s="245">
        <v>0.21732580645161279</v>
      </c>
      <c r="I274" s="245">
        <v>2.1603483870967737</v>
      </c>
      <c r="J274" s="245">
        <v>4.0000000000000027E-3</v>
      </c>
      <c r="K274" s="245">
        <v>0.16342258064516121</v>
      </c>
      <c r="L274" s="245">
        <v>1.9161774193548387</v>
      </c>
      <c r="M274" s="245">
        <v>0.4684838709677418</v>
      </c>
      <c r="N274" s="245">
        <v>1.2554161290322576</v>
      </c>
      <c r="O274" s="245">
        <v>5.528332258064518</v>
      </c>
      <c r="P274" s="245">
        <v>0.16010322580645156</v>
      </c>
      <c r="Q274" s="245">
        <v>0.42862258064516129</v>
      </c>
      <c r="R274" s="245">
        <v>1.2678677419354836</v>
      </c>
      <c r="S274" s="245">
        <v>5.3038709677419353E-2</v>
      </c>
      <c r="T274" s="245">
        <v>1.1363258064516133</v>
      </c>
      <c r="U274" s="245">
        <v>0.51950000000000029</v>
      </c>
      <c r="V274" s="245">
        <v>0.6336709677419351</v>
      </c>
      <c r="W274" s="245">
        <v>3.7999999999999987E-3</v>
      </c>
      <c r="X274" s="245">
        <v>1.9012903225806461E-2</v>
      </c>
      <c r="Y274" s="245">
        <v>9.6358064516129036E-2</v>
      </c>
      <c r="Z274" s="245">
        <v>1.3554838709677424E-2</v>
      </c>
      <c r="AA274" s="245">
        <v>1.8535483870967741E-2</v>
      </c>
      <c r="AB274" s="245">
        <v>0.48569999999999969</v>
      </c>
      <c r="AC274" s="245">
        <v>4.395483870967741E-2</v>
      </c>
      <c r="AD274" s="245">
        <v>2.0487096774193549E-2</v>
      </c>
      <c r="AE274" s="245">
        <v>0.45330000000000009</v>
      </c>
      <c r="AF274" s="245">
        <v>0.12741935483870961</v>
      </c>
      <c r="AG274" s="245">
        <v>1.034251612903226</v>
      </c>
      <c r="AH274" s="245">
        <v>7.303225806451609E-2</v>
      </c>
      <c r="AI274" s="245"/>
      <c r="AJ274" s="245"/>
      <c r="AK274" s="245"/>
      <c r="AL274" s="245"/>
      <c r="AM274" s="245"/>
      <c r="AN274" s="245"/>
      <c r="AO274" s="952" t="s">
        <v>20</v>
      </c>
    </row>
    <row r="275" spans="1:41" ht="13.15" customHeight="1">
      <c r="A275" s="953" t="s">
        <v>21</v>
      </c>
      <c r="B275" s="245">
        <v>1.7000000000000006</v>
      </c>
      <c r="C275" s="245">
        <v>1.8270299999999997</v>
      </c>
      <c r="D275" s="245">
        <v>1.1087</v>
      </c>
      <c r="E275" s="245">
        <v>0.4628833333333332</v>
      </c>
      <c r="F275" s="245">
        <v>0.23486000000000001</v>
      </c>
      <c r="G275" s="245">
        <v>0.24493333333333336</v>
      </c>
      <c r="H275" s="245">
        <v>0.21711333333333335</v>
      </c>
      <c r="I275" s="245">
        <v>2.1316366666666666</v>
      </c>
      <c r="J275" s="245">
        <v>4.0000000000000027E-3</v>
      </c>
      <c r="K275" s="245">
        <v>0.15772666666666668</v>
      </c>
      <c r="L275" s="245">
        <v>1.87198</v>
      </c>
      <c r="M275" s="245">
        <v>0.45319333333333339</v>
      </c>
      <c r="N275" s="245">
        <v>1.2453633333333334</v>
      </c>
      <c r="O275" s="245">
        <v>5.5224566666666659</v>
      </c>
      <c r="P275" s="245">
        <v>0.15640000000000004</v>
      </c>
      <c r="Q275" s="245">
        <v>0.42463666666666644</v>
      </c>
      <c r="R275" s="245">
        <v>1.2541600000000004</v>
      </c>
      <c r="S275" s="245">
        <v>5.2543333333333338E-2</v>
      </c>
      <c r="T275" s="245">
        <v>1.1075533333333332</v>
      </c>
      <c r="U275" s="245">
        <v>0.51950000000000029</v>
      </c>
      <c r="V275" s="245">
        <v>0.63521333333333319</v>
      </c>
      <c r="W275" s="245">
        <v>3.7999999999999987E-3</v>
      </c>
      <c r="X275" s="245">
        <v>1.9090000000000003E-2</v>
      </c>
      <c r="Y275" s="245">
        <v>9.5810000000000006E-2</v>
      </c>
      <c r="Z275" s="245">
        <v>1.341333333333334E-2</v>
      </c>
      <c r="AA275" s="245">
        <v>1.828666666666667E-2</v>
      </c>
      <c r="AB275" s="245">
        <v>0.48569999999999969</v>
      </c>
      <c r="AC275" s="245">
        <v>4.3229999999999991E-2</v>
      </c>
      <c r="AD275" s="245">
        <v>2.0396666666666653E-2</v>
      </c>
      <c r="AE275" s="245">
        <v>0.45322000000000018</v>
      </c>
      <c r="AF275" s="245">
        <v>0.12436333333333337</v>
      </c>
      <c r="AG275" s="245">
        <v>1.0145533333333332</v>
      </c>
      <c r="AH275" s="245">
        <v>7.2293333333333321E-2</v>
      </c>
      <c r="AI275" s="245"/>
      <c r="AJ275" s="245"/>
      <c r="AK275" s="245"/>
      <c r="AL275" s="245"/>
      <c r="AM275" s="245"/>
      <c r="AN275" s="245"/>
      <c r="AO275" s="952" t="s">
        <v>21</v>
      </c>
    </row>
    <row r="276" spans="1:41" ht="13.15" customHeight="1">
      <c r="A276" s="953" t="s">
        <v>22</v>
      </c>
      <c r="B276" s="245">
        <v>1.7000000000000008</v>
      </c>
      <c r="C276" s="245">
        <v>1.8356677419354839</v>
      </c>
      <c r="D276" s="245">
        <v>1.1244645161290321</v>
      </c>
      <c r="E276" s="245">
        <v>0.46281612903225783</v>
      </c>
      <c r="F276" s="245">
        <v>0.23498387096774195</v>
      </c>
      <c r="G276" s="245">
        <v>0.24608387096774192</v>
      </c>
      <c r="H276" s="245">
        <v>0.21764516129032258</v>
      </c>
      <c r="I276" s="245">
        <v>2.1451645161290323</v>
      </c>
      <c r="J276" s="245">
        <v>4.0000000000000027E-3</v>
      </c>
      <c r="K276" s="245">
        <v>0.15775483870967738</v>
      </c>
      <c r="L276" s="245">
        <v>1.8680064516129036</v>
      </c>
      <c r="M276" s="245">
        <v>0.45932258064516124</v>
      </c>
      <c r="N276" s="245">
        <v>1.2426935483870967</v>
      </c>
      <c r="O276" s="245">
        <v>5.5318129032258074</v>
      </c>
      <c r="P276" s="245">
        <v>0.15770967741935485</v>
      </c>
      <c r="Q276" s="245">
        <v>0.42835483870967728</v>
      </c>
      <c r="R276" s="245">
        <v>1.2575870967741942</v>
      </c>
      <c r="S276" s="245">
        <v>5.2680645161290292E-2</v>
      </c>
      <c r="T276" s="245">
        <v>1.0912967741935484</v>
      </c>
      <c r="U276" s="245">
        <v>0.51950000000000029</v>
      </c>
      <c r="V276" s="245">
        <v>0.62539354838709682</v>
      </c>
      <c r="W276" s="245">
        <v>3.8258064516129022E-3</v>
      </c>
      <c r="X276" s="245">
        <v>1.9238709677419349E-2</v>
      </c>
      <c r="Y276" s="245">
        <v>9.6232258064516116E-2</v>
      </c>
      <c r="Z276" s="245">
        <v>1.3406451612903233E-2</v>
      </c>
      <c r="AA276" s="245">
        <v>1.8680645161290324E-2</v>
      </c>
      <c r="AB276" s="245">
        <v>0.48569999999999969</v>
      </c>
      <c r="AC276" s="245">
        <v>4.2819354838709689E-2</v>
      </c>
      <c r="AD276" s="245">
        <v>2.040645161290321E-2</v>
      </c>
      <c r="AE276" s="245">
        <v>0.45329354838709685</v>
      </c>
      <c r="AF276" s="245">
        <v>0.12449032258064516</v>
      </c>
      <c r="AG276" s="245">
        <v>1.0292806451612906</v>
      </c>
      <c r="AH276" s="245">
        <v>7.3935483870967753E-2</v>
      </c>
      <c r="AI276" s="245"/>
      <c r="AJ276" s="245"/>
      <c r="AK276" s="245"/>
      <c r="AL276" s="245"/>
      <c r="AM276" s="245"/>
      <c r="AN276" s="245"/>
      <c r="AO276" s="952" t="s">
        <v>22</v>
      </c>
    </row>
    <row r="277" spans="1:41" ht="13.15" customHeight="1">
      <c r="A277" s="953" t="s">
        <v>23</v>
      </c>
      <c r="B277" s="245">
        <v>1.7000000000000006</v>
      </c>
      <c r="C277" s="245">
        <v>1.8312666666666664</v>
      </c>
      <c r="D277" s="245">
        <v>1.1294933333333335</v>
      </c>
      <c r="E277" s="245">
        <v>0.46279999999999977</v>
      </c>
      <c r="F277" s="245">
        <v>0.23434000000000005</v>
      </c>
      <c r="G277" s="245">
        <v>0.24550666666666657</v>
      </c>
      <c r="H277" s="245">
        <v>0.21770666666666666</v>
      </c>
      <c r="I277" s="245">
        <v>2.1626499999999993</v>
      </c>
      <c r="J277" s="245">
        <v>4.0000000000000027E-3</v>
      </c>
      <c r="K277" s="245">
        <v>0.16199666666666668</v>
      </c>
      <c r="L277" s="245">
        <v>1.9001933333333336</v>
      </c>
      <c r="M277" s="245">
        <v>0.45644999999999997</v>
      </c>
      <c r="N277" s="245">
        <v>1.2406900000000005</v>
      </c>
      <c r="O277" s="245">
        <v>5.5436866666666678</v>
      </c>
      <c r="P277" s="245">
        <v>0.16044666666666665</v>
      </c>
      <c r="Q277" s="245">
        <v>0.42442666666666651</v>
      </c>
      <c r="R277" s="245">
        <v>1.2576166666666666</v>
      </c>
      <c r="S277" s="245">
        <v>5.2193333333333355E-2</v>
      </c>
      <c r="T277" s="245">
        <v>1.0764333333333331</v>
      </c>
      <c r="U277" s="245">
        <v>0.51950000000000029</v>
      </c>
      <c r="V277" s="245">
        <v>0.60179999999999978</v>
      </c>
      <c r="W277" s="245">
        <v>3.7433333333333333E-3</v>
      </c>
      <c r="X277" s="245">
        <v>1.9493333333333328E-2</v>
      </c>
      <c r="Y277" s="245">
        <v>9.5956666666666635E-2</v>
      </c>
      <c r="Z277" s="245">
        <v>1.3470000000000008E-2</v>
      </c>
      <c r="AA277" s="245">
        <v>1.929666666666667E-2</v>
      </c>
      <c r="AB277" s="245">
        <v>0.48569999999999969</v>
      </c>
      <c r="AC277" s="245">
        <v>4.1973333333333335E-2</v>
      </c>
      <c r="AD277" s="245">
        <v>2.0363333333333324E-2</v>
      </c>
      <c r="AE277" s="245">
        <v>0.45318333333333316</v>
      </c>
      <c r="AF277" s="245">
        <v>0.12328666666666667</v>
      </c>
      <c r="AG277" s="245">
        <v>1.0434866666666669</v>
      </c>
      <c r="AH277" s="245">
        <v>7.3903333333333307E-2</v>
      </c>
      <c r="AI277" s="245"/>
      <c r="AJ277" s="245"/>
      <c r="AK277" s="245"/>
      <c r="AL277" s="245"/>
      <c r="AM277" s="245"/>
      <c r="AN277" s="245"/>
      <c r="AO277" s="952" t="s">
        <v>23</v>
      </c>
    </row>
    <row r="278" spans="1:41" ht="13.15" customHeight="1">
      <c r="A278" s="953" t="s">
        <v>24</v>
      </c>
      <c r="B278" s="245">
        <v>1.7000000000000008</v>
      </c>
      <c r="C278" s="245">
        <v>1.8438838709677416</v>
      </c>
      <c r="D278" s="245">
        <v>1.135045161290323</v>
      </c>
      <c r="E278" s="245">
        <v>0.46279999999999977</v>
      </c>
      <c r="F278" s="245">
        <v>0.23402258064516135</v>
      </c>
      <c r="G278" s="245">
        <v>0.24713870967741941</v>
      </c>
      <c r="H278" s="245">
        <v>0.2177</v>
      </c>
      <c r="I278" s="245">
        <v>2.185612903225806</v>
      </c>
      <c r="J278" s="245">
        <v>4.0000000000000027E-3</v>
      </c>
      <c r="K278" s="245">
        <v>0.15998709677419351</v>
      </c>
      <c r="L278" s="245">
        <v>1.9049838709677409</v>
      </c>
      <c r="M278" s="245">
        <v>0.4618741935483871</v>
      </c>
      <c r="N278" s="245">
        <v>1.2405354838709681</v>
      </c>
      <c r="O278" s="245">
        <v>5.5575903225806442</v>
      </c>
      <c r="P278" s="245">
        <v>0.15761290322580643</v>
      </c>
      <c r="Q278" s="245">
        <v>0.43046774193548376</v>
      </c>
      <c r="R278" s="245">
        <v>1.2626096774193551</v>
      </c>
      <c r="S278" s="245">
        <v>5.1648387096774183E-2</v>
      </c>
      <c r="T278" s="245">
        <v>1.0766451612903227</v>
      </c>
      <c r="U278" s="245">
        <v>0.51950000000000029</v>
      </c>
      <c r="V278" s="245">
        <v>0.62235806451612907</v>
      </c>
      <c r="W278" s="245">
        <v>3.5806451612903248E-3</v>
      </c>
      <c r="X278" s="245">
        <v>1.9893548387096786E-2</v>
      </c>
      <c r="Y278" s="245">
        <v>9.5890322580645143E-2</v>
      </c>
      <c r="Z278" s="245">
        <v>1.3500000000000009E-2</v>
      </c>
      <c r="AA278" s="245">
        <v>1.9425806451612907E-2</v>
      </c>
      <c r="AB278" s="245">
        <v>0.48569999999999969</v>
      </c>
      <c r="AC278" s="245">
        <v>4.144838709677421E-2</v>
      </c>
      <c r="AD278" s="245">
        <v>2.0341935483870959E-2</v>
      </c>
      <c r="AE278" s="245">
        <v>0.45318064516129025</v>
      </c>
      <c r="AF278" s="245">
        <v>0.12289677419354834</v>
      </c>
      <c r="AG278" s="245">
        <v>1.0252967741935484</v>
      </c>
      <c r="AH278" s="245">
        <v>7.2932258064516114E-2</v>
      </c>
      <c r="AI278" s="245"/>
      <c r="AJ278" s="245"/>
      <c r="AK278" s="245"/>
      <c r="AL278" s="245"/>
      <c r="AM278" s="245"/>
      <c r="AN278" s="245"/>
      <c r="AO278" s="952" t="s">
        <v>24</v>
      </c>
    </row>
    <row r="279" spans="1:41" ht="13.15" customHeight="1">
      <c r="A279" s="953" t="s">
        <v>25</v>
      </c>
      <c r="B279" s="245">
        <v>1.7000000000000008</v>
      </c>
      <c r="C279" s="245">
        <v>1.8703903225806457</v>
      </c>
      <c r="D279" s="245">
        <v>1.1300129032258068</v>
      </c>
      <c r="E279" s="245">
        <v>0.46282258064516102</v>
      </c>
      <c r="F279" s="245">
        <v>0.23756451612903226</v>
      </c>
      <c r="G279" s="245">
        <v>0.25066774193548386</v>
      </c>
      <c r="H279" s="245">
        <v>0.21805806451612905</v>
      </c>
      <c r="I279" s="245">
        <v>2.1971451612903228</v>
      </c>
      <c r="J279" s="245">
        <v>4.0000000000000027E-3</v>
      </c>
      <c r="K279" s="245">
        <v>0.16317419354838705</v>
      </c>
      <c r="L279" s="245">
        <v>1.977712903225807</v>
      </c>
      <c r="M279" s="245">
        <v>0.45559354838709687</v>
      </c>
      <c r="N279" s="245">
        <v>1.242870967741935</v>
      </c>
      <c r="O279" s="245">
        <v>5.5612580645161289</v>
      </c>
      <c r="P279" s="245">
        <v>0.15871935483870969</v>
      </c>
      <c r="Q279" s="245">
        <v>0.43564193548387081</v>
      </c>
      <c r="R279" s="245">
        <v>1.2908451612903225</v>
      </c>
      <c r="S279" s="245">
        <v>5.0503225806451627E-2</v>
      </c>
      <c r="T279" s="245">
        <v>1.1596741935483867</v>
      </c>
      <c r="U279" s="245">
        <v>0.51950000000000029</v>
      </c>
      <c r="V279" s="245">
        <v>0.62966774193548414</v>
      </c>
      <c r="W279" s="245">
        <v>3.5451612903225822E-3</v>
      </c>
      <c r="X279" s="245">
        <v>2.002580645161291E-2</v>
      </c>
      <c r="Y279" s="245">
        <v>9.7025806451612892E-2</v>
      </c>
      <c r="Z279" s="245">
        <v>1.3451612903225819E-2</v>
      </c>
      <c r="AA279" s="245">
        <v>1.9125806451612899E-2</v>
      </c>
      <c r="AB279" s="245">
        <v>0.48569999999999969</v>
      </c>
      <c r="AC279" s="245">
        <v>4.12741935483871E-2</v>
      </c>
      <c r="AD279" s="245">
        <v>2.0277419354838701E-2</v>
      </c>
      <c r="AE279" s="245">
        <v>0.4530032258064513</v>
      </c>
      <c r="AF279" s="245">
        <v>0.12568709677419354</v>
      </c>
      <c r="AG279" s="245">
        <v>1.0327483870967742</v>
      </c>
      <c r="AH279" s="245">
        <v>7.4261290322580636E-2</v>
      </c>
      <c r="AI279" s="245"/>
      <c r="AJ279" s="245"/>
      <c r="AK279" s="245"/>
      <c r="AL279" s="245"/>
      <c r="AM279" s="245"/>
      <c r="AN279" s="245"/>
      <c r="AO279" s="952" t="s">
        <v>25</v>
      </c>
    </row>
    <row r="280" spans="1:41" ht="13.15" customHeight="1">
      <c r="A280" s="953" t="s">
        <v>26</v>
      </c>
      <c r="B280" s="245">
        <v>1.7000000000000006</v>
      </c>
      <c r="C280" s="245">
        <v>1.8888199999999999</v>
      </c>
      <c r="D280" s="245">
        <v>1.1517500000000003</v>
      </c>
      <c r="E280" s="245">
        <v>0.46280333333333312</v>
      </c>
      <c r="F280" s="245">
        <v>0.24029999999999996</v>
      </c>
      <c r="G280" s="245">
        <v>0.25319333333333344</v>
      </c>
      <c r="H280" s="245">
        <v>0.21818333333333334</v>
      </c>
      <c r="I280" s="245">
        <v>2.2473699999999996</v>
      </c>
      <c r="J280" s="245">
        <v>4.0000000000000027E-3</v>
      </c>
      <c r="K280" s="245">
        <v>0.16631666666666661</v>
      </c>
      <c r="L280" s="245">
        <v>2.0068066666666664</v>
      </c>
      <c r="M280" s="245">
        <v>0.45639333333333332</v>
      </c>
      <c r="N280" s="245">
        <v>1.2559899999999995</v>
      </c>
      <c r="O280" s="245">
        <v>5.569893333333332</v>
      </c>
      <c r="P280" s="245">
        <v>0.1602733333333333</v>
      </c>
      <c r="Q280" s="245">
        <v>0.44154999999999983</v>
      </c>
      <c r="R280" s="245">
        <v>1.3119866666666666</v>
      </c>
      <c r="S280" s="245">
        <v>4.9906666666666696E-2</v>
      </c>
      <c r="T280" s="245">
        <v>1.1874033333333334</v>
      </c>
      <c r="U280" s="245">
        <v>0.51950000000000029</v>
      </c>
      <c r="V280" s="245">
        <v>0.62805333333333357</v>
      </c>
      <c r="W280" s="245">
        <v>3.5133333333333353E-3</v>
      </c>
      <c r="X280" s="245">
        <v>2.0079999999999997E-2</v>
      </c>
      <c r="Y280" s="245">
        <v>9.7863333333333344E-2</v>
      </c>
      <c r="Z280" s="245">
        <v>1.3369999999999998E-2</v>
      </c>
      <c r="AA280" s="245">
        <v>1.8730000000000004E-2</v>
      </c>
      <c r="AB280" s="245">
        <v>0.48569999999999969</v>
      </c>
      <c r="AC280" s="245">
        <v>4.1206666666666676E-2</v>
      </c>
      <c r="AD280" s="245">
        <v>2.0286666666666658E-2</v>
      </c>
      <c r="AE280" s="245">
        <v>0.45302000000000003</v>
      </c>
      <c r="AF280" s="245">
        <v>0.12779000000000001</v>
      </c>
      <c r="AG280" s="245">
        <v>1.0585133333333332</v>
      </c>
      <c r="AH280" s="245">
        <v>7.5273333333333317E-2</v>
      </c>
      <c r="AI280" s="245"/>
      <c r="AJ280" s="245"/>
      <c r="AK280" s="245"/>
      <c r="AL280" s="245"/>
      <c r="AM280" s="245"/>
      <c r="AN280" s="245"/>
      <c r="AO280" s="952" t="s">
        <v>26</v>
      </c>
    </row>
    <row r="281" spans="1:41" ht="13.15" customHeight="1">
      <c r="A281" s="953" t="s">
        <v>27</v>
      </c>
      <c r="B281" s="245">
        <v>1.7000000000000008</v>
      </c>
      <c r="C281" s="245">
        <v>1.8539322580645161</v>
      </c>
      <c r="D281" s="245">
        <v>1.1419451612903226</v>
      </c>
      <c r="E281" s="245">
        <v>0.46279999999999977</v>
      </c>
      <c r="F281" s="245">
        <v>0.23988709677419359</v>
      </c>
      <c r="G281" s="245">
        <v>0.24855161290322583</v>
      </c>
      <c r="H281" s="245">
        <v>0.21879032258064515</v>
      </c>
      <c r="I281" s="245">
        <v>2.2195354838709678</v>
      </c>
      <c r="J281" s="245">
        <v>3.999999999999998E-4</v>
      </c>
      <c r="K281" s="245">
        <v>0.16259354838709678</v>
      </c>
      <c r="L281" s="245">
        <v>1.9759032258064517</v>
      </c>
      <c r="M281" s="245">
        <v>0.45167096774193538</v>
      </c>
      <c r="N281" s="245">
        <v>1.2371612903225806</v>
      </c>
      <c r="O281" s="245">
        <v>5.5488967741935475</v>
      </c>
      <c r="P281" s="245">
        <v>0.15729999999999997</v>
      </c>
      <c r="Q281" s="245">
        <v>0.42966129032258077</v>
      </c>
      <c r="R281" s="245">
        <v>1.2982903225806453</v>
      </c>
      <c r="S281" s="245">
        <v>4.9635483870967764E-2</v>
      </c>
      <c r="T281" s="245">
        <v>1.1375483870967744</v>
      </c>
      <c r="U281" s="245">
        <v>0.51950000000000029</v>
      </c>
      <c r="V281" s="245">
        <v>0.62262258064516141</v>
      </c>
      <c r="W281" s="245">
        <v>3.4903225806451632E-3</v>
      </c>
      <c r="X281" s="245">
        <v>2.0048387096774204E-2</v>
      </c>
      <c r="Y281" s="245">
        <v>9.6296774193548415E-2</v>
      </c>
      <c r="Z281" s="245">
        <v>1.3303225806451607E-2</v>
      </c>
      <c r="AA281" s="245">
        <v>1.7677419354838707E-2</v>
      </c>
      <c r="AB281" s="245">
        <v>0.48569999999999969</v>
      </c>
      <c r="AC281" s="245">
        <v>4.1216129032258055E-2</v>
      </c>
      <c r="AD281" s="245">
        <v>2.0212903225806451E-2</v>
      </c>
      <c r="AE281" s="245">
        <v>0.45271612903225816</v>
      </c>
      <c r="AF281" s="245">
        <v>0.12495806451612899</v>
      </c>
      <c r="AG281" s="245">
        <v>1.0352806451612904</v>
      </c>
      <c r="AH281" s="245">
        <v>7.3299999999999976E-2</v>
      </c>
      <c r="AI281" s="245"/>
      <c r="AJ281" s="245"/>
      <c r="AK281" s="245"/>
      <c r="AL281" s="245"/>
      <c r="AM281" s="245"/>
      <c r="AN281" s="245"/>
      <c r="AO281" s="952" t="s">
        <v>27</v>
      </c>
    </row>
    <row r="282" spans="1:41" ht="13.15" customHeight="1">
      <c r="A282" s="953" t="s">
        <v>28</v>
      </c>
      <c r="B282" s="245">
        <v>1.7000000000000006</v>
      </c>
      <c r="C282" s="245">
        <v>1.8090333333333326</v>
      </c>
      <c r="D282" s="245">
        <v>1.11199</v>
      </c>
      <c r="E282" s="245">
        <v>0.46279999999999977</v>
      </c>
      <c r="F282" s="245">
        <v>0.23610666666666674</v>
      </c>
      <c r="G282" s="245">
        <v>0.24255666666666667</v>
      </c>
      <c r="H282" s="245">
        <v>0.21852333333333329</v>
      </c>
      <c r="I282" s="245">
        <v>2.1687133333333337</v>
      </c>
      <c r="J282" s="245">
        <v>3.9349999999999996E-2</v>
      </c>
      <c r="K282" s="245">
        <v>0.15614666666666668</v>
      </c>
      <c r="L282" s="245">
        <v>1.9322866666666667</v>
      </c>
      <c r="M282" s="245">
        <v>0.4571466666666667</v>
      </c>
      <c r="N282" s="245">
        <v>1.2169966666666667</v>
      </c>
      <c r="O282" s="245">
        <v>5.5335533333333338</v>
      </c>
      <c r="P282" s="245">
        <v>0.15377333333333335</v>
      </c>
      <c r="Q282" s="245">
        <v>0.41716333333333339</v>
      </c>
      <c r="R282" s="245">
        <v>1.272456666666667</v>
      </c>
      <c r="S282" s="245">
        <v>4.9399999999999979E-2</v>
      </c>
      <c r="T282" s="245">
        <v>1.10623</v>
      </c>
      <c r="U282" s="245">
        <v>0.51369333333333356</v>
      </c>
      <c r="V282" s="245">
        <v>0.62188999999999994</v>
      </c>
      <c r="W282" s="245">
        <v>0.3445333333333333</v>
      </c>
      <c r="X282" s="245">
        <v>1.9769999999999999E-2</v>
      </c>
      <c r="Y282" s="245">
        <v>9.4353333333333331E-2</v>
      </c>
      <c r="Z282" s="245">
        <v>1.3279999999999997E-2</v>
      </c>
      <c r="AA282" s="245">
        <v>1.691383333333333</v>
      </c>
      <c r="AB282" s="245">
        <v>0.48569999999999969</v>
      </c>
      <c r="AC282" s="245">
        <v>4.1073333333333337E-2</v>
      </c>
      <c r="AD282" s="245">
        <v>2.0150000000000005E-2</v>
      </c>
      <c r="AE282" s="245">
        <v>0.45263333333333333</v>
      </c>
      <c r="AF282" s="245">
        <v>0.12191666666666665</v>
      </c>
      <c r="AG282" s="245">
        <v>1.0058933333333333</v>
      </c>
      <c r="AH282" s="245">
        <v>7.1459999999999996E-2</v>
      </c>
      <c r="AI282" s="245">
        <v>0.91381538461538436</v>
      </c>
      <c r="AJ282" s="245">
        <v>0.35924615384615383</v>
      </c>
      <c r="AK282" s="245">
        <v>0.43539999999999995</v>
      </c>
      <c r="AL282" s="245">
        <v>0.61175384615384609</v>
      </c>
      <c r="AM282" s="245">
        <v>1.5269230769230769E-2</v>
      </c>
      <c r="AN282" s="245">
        <v>0.46624615384615403</v>
      </c>
      <c r="AO282" s="952" t="s">
        <v>28</v>
      </c>
    </row>
    <row r="283" spans="1:41" ht="13.15" customHeight="1">
      <c r="A283" s="953" t="s">
        <v>29</v>
      </c>
      <c r="B283" s="245">
        <v>1.7000000000000008</v>
      </c>
      <c r="C283" s="245">
        <v>1.7800193548387091</v>
      </c>
      <c r="D283" s="245">
        <v>1.0764354838709678</v>
      </c>
      <c r="E283" s="245">
        <v>0.46279999999999977</v>
      </c>
      <c r="F283" s="245">
        <v>0.23349677419354831</v>
      </c>
      <c r="G283" s="245">
        <v>0.23866774193548398</v>
      </c>
      <c r="H283" s="245">
        <v>0.21869032258064514</v>
      </c>
      <c r="I283" s="245">
        <v>2.1482709677419352</v>
      </c>
      <c r="J283" s="245">
        <v>3.8499999999999986E-2</v>
      </c>
      <c r="K283" s="245">
        <v>0.15468064516129026</v>
      </c>
      <c r="L283" s="245">
        <v>1.9068580645161288</v>
      </c>
      <c r="M283" s="245">
        <v>0.46886129032258078</v>
      </c>
      <c r="N283" s="245">
        <v>1.1932064516129031</v>
      </c>
      <c r="O283" s="245">
        <v>5.5232935483870964</v>
      </c>
      <c r="P283" s="245">
        <v>0.15138064516129035</v>
      </c>
      <c r="Q283" s="245">
        <v>0.41685161290322592</v>
      </c>
      <c r="R283" s="245">
        <v>1.2587935483870965</v>
      </c>
      <c r="S283" s="245">
        <v>4.8603225806451607E-2</v>
      </c>
      <c r="T283" s="245">
        <v>1.1051258064516127</v>
      </c>
      <c r="U283" s="245">
        <v>0.49144193548387111</v>
      </c>
      <c r="V283" s="245">
        <v>0.60584516129032284</v>
      </c>
      <c r="W283" s="245">
        <v>0.326525806451613</v>
      </c>
      <c r="X283" s="245">
        <v>1.9606451612903222E-2</v>
      </c>
      <c r="Y283" s="245">
        <v>9.2867741935483805E-2</v>
      </c>
      <c r="Z283" s="245">
        <v>1.3203225806451606E-2</v>
      </c>
      <c r="AA283" s="245">
        <v>1.6449967741935485</v>
      </c>
      <c r="AB283" s="245">
        <v>0.48569999999999969</v>
      </c>
      <c r="AC283" s="245">
        <v>4.0703225806451596E-2</v>
      </c>
      <c r="AD283" s="245">
        <v>2.0009677419354853E-2</v>
      </c>
      <c r="AE283" s="245">
        <v>0.45250000000000007</v>
      </c>
      <c r="AF283" s="245">
        <v>0.11818709677419358</v>
      </c>
      <c r="AG283" s="245">
        <v>0.97647419354838683</v>
      </c>
      <c r="AH283" s="245">
        <v>7.0835483870967747E-2</v>
      </c>
      <c r="AI283" s="245">
        <v>0.91031290322580627</v>
      </c>
      <c r="AJ283" s="245">
        <v>0.35781935483870975</v>
      </c>
      <c r="AK283" s="245">
        <v>0.43207419354838694</v>
      </c>
      <c r="AL283" s="245">
        <v>0.61121612903225819</v>
      </c>
      <c r="AM283" s="245">
        <v>1.5238709677419353E-2</v>
      </c>
      <c r="AN283" s="245">
        <v>0.46629354838709702</v>
      </c>
      <c r="AO283" s="952" t="s">
        <v>29</v>
      </c>
    </row>
    <row r="284" spans="1:41" ht="13.15" customHeight="1">
      <c r="A284" s="953" t="s">
        <v>4222</v>
      </c>
      <c r="B284" s="245"/>
      <c r="C284" s="245"/>
      <c r="D284" s="245"/>
      <c r="E284" s="245"/>
      <c r="F284" s="245"/>
      <c r="G284" s="245"/>
      <c r="H284" s="245"/>
      <c r="I284" s="245"/>
      <c r="J284" s="245"/>
      <c r="K284" s="245"/>
      <c r="L284" s="245"/>
      <c r="M284" s="245"/>
      <c r="N284" s="245"/>
      <c r="O284" s="245"/>
      <c r="P284" s="245"/>
      <c r="Q284" s="245"/>
      <c r="R284" s="245"/>
      <c r="S284" s="245"/>
      <c r="T284" s="245"/>
      <c r="U284" s="245"/>
      <c r="V284" s="245"/>
      <c r="W284" s="245"/>
      <c r="X284" s="245"/>
      <c r="Y284" s="245"/>
      <c r="Z284" s="245"/>
      <c r="AA284" s="245"/>
      <c r="AB284" s="245"/>
      <c r="AC284" s="245"/>
      <c r="AD284" s="245"/>
      <c r="AE284" s="245"/>
      <c r="AF284" s="245"/>
      <c r="AG284" s="245"/>
      <c r="AH284" s="245"/>
      <c r="AI284" s="245"/>
      <c r="AJ284" s="245"/>
      <c r="AK284" s="245"/>
      <c r="AL284" s="245"/>
      <c r="AM284" s="245"/>
      <c r="AN284" s="245"/>
      <c r="AO284" s="953" t="s">
        <v>4222</v>
      </c>
    </row>
    <row r="285" spans="1:41" ht="13.15" customHeight="1">
      <c r="A285" s="953" t="s">
        <v>18</v>
      </c>
      <c r="B285" s="245">
        <v>1.7000000000000008</v>
      </c>
      <c r="C285" s="245">
        <v>1.7620709677419355</v>
      </c>
      <c r="D285" s="245">
        <v>1.0588096774193545</v>
      </c>
      <c r="E285" s="245">
        <v>0.46279999999999977</v>
      </c>
      <c r="F285" s="245">
        <v>0.23294838709677423</v>
      </c>
      <c r="G285" s="245">
        <v>0.23620000000000008</v>
      </c>
      <c r="H285" s="245">
        <v>0.21846774193548396</v>
      </c>
      <c r="I285" s="245">
        <v>2.1034451612903222</v>
      </c>
      <c r="J285" s="245">
        <v>3.1145161290322573E-2</v>
      </c>
      <c r="K285" s="245">
        <v>0.15350645161290324</v>
      </c>
      <c r="L285" s="245">
        <v>1.8716774193548387</v>
      </c>
      <c r="M285" s="245">
        <v>0.46871935483870969</v>
      </c>
      <c r="N285" s="245">
        <v>1.181316129032258</v>
      </c>
      <c r="O285" s="245">
        <v>5.5127741935483874</v>
      </c>
      <c r="P285" s="245">
        <v>0.14990322580645168</v>
      </c>
      <c r="Q285" s="245">
        <v>0.41466451612903227</v>
      </c>
      <c r="R285" s="245">
        <v>1.2491903225806453</v>
      </c>
      <c r="S285" s="245">
        <v>4.7922580645161313E-2</v>
      </c>
      <c r="T285" s="245">
        <v>1.0852193548387097</v>
      </c>
      <c r="U285" s="245">
        <v>0.48893225806451629</v>
      </c>
      <c r="V285" s="245">
        <v>0.59910967741935506</v>
      </c>
      <c r="W285" s="245">
        <v>0.32410645161290325</v>
      </c>
      <c r="X285" s="245">
        <v>1.9512903225806448E-2</v>
      </c>
      <c r="Y285" s="245">
        <v>9.164838709677417E-2</v>
      </c>
      <c r="Z285" s="245">
        <v>1.3122580645161292E-2</v>
      </c>
      <c r="AA285" s="245">
        <v>1.6639322580645166</v>
      </c>
      <c r="AB285" s="245">
        <v>0.48569999999999969</v>
      </c>
      <c r="AC285" s="245">
        <v>4.036451612903226E-2</v>
      </c>
      <c r="AD285" s="245">
        <v>1.9719354838709676E-2</v>
      </c>
      <c r="AE285" s="245">
        <v>0.45298387096774195</v>
      </c>
      <c r="AF285" s="245">
        <v>0.11690645161290321</v>
      </c>
      <c r="AG285" s="245">
        <v>0.95753225806451592</v>
      </c>
      <c r="AH285" s="245">
        <v>7.0025806451612882E-2</v>
      </c>
      <c r="AI285" s="245">
        <v>0.90107741935483865</v>
      </c>
      <c r="AJ285" s="245">
        <v>0.35414193548387091</v>
      </c>
      <c r="AK285" s="245">
        <v>0.42808709677419349</v>
      </c>
      <c r="AL285" s="245">
        <v>0.61006774193548385</v>
      </c>
      <c r="AM285" s="245">
        <v>1.5058064516129035E-2</v>
      </c>
      <c r="AN285" s="245">
        <v>0.46632580645161309</v>
      </c>
      <c r="AO285" s="953" t="s">
        <v>18</v>
      </c>
    </row>
    <row r="286" spans="1:41" ht="13.15" customHeight="1">
      <c r="A286" s="953" t="s">
        <v>19</v>
      </c>
      <c r="B286" s="245">
        <v>1.7000000000000006</v>
      </c>
      <c r="C286" s="245">
        <v>1.7707892857142853</v>
      </c>
      <c r="D286" s="245">
        <v>1.0710428571428572</v>
      </c>
      <c r="E286" s="245">
        <v>0.46281071428571402</v>
      </c>
      <c r="F286" s="245">
        <v>0.23383571428571431</v>
      </c>
      <c r="G286" s="245">
        <v>0.23737500000000003</v>
      </c>
      <c r="H286" s="245">
        <v>0.21841785714285716</v>
      </c>
      <c r="I286" s="245">
        <v>2.1292285714285715</v>
      </c>
      <c r="J286" s="245">
        <v>2.667857142857143E-2</v>
      </c>
      <c r="K286" s="245">
        <v>0.15716785714285716</v>
      </c>
      <c r="L286" s="245">
        <v>1.8799107142857141</v>
      </c>
      <c r="M286" s="245">
        <v>0.47678571428571442</v>
      </c>
      <c r="N286" s="245">
        <v>1.1885607142857142</v>
      </c>
      <c r="O286" s="245">
        <v>5.5080928571428567</v>
      </c>
      <c r="P286" s="245">
        <v>0.15178571428571433</v>
      </c>
      <c r="Q286" s="245">
        <v>0.42382500000000001</v>
      </c>
      <c r="R286" s="245">
        <v>1.262332142857143</v>
      </c>
      <c r="S286" s="245">
        <v>4.6996428571428564E-2</v>
      </c>
      <c r="T286" s="245">
        <v>1.1190285714285715</v>
      </c>
      <c r="U286" s="245">
        <v>0.49950714285714293</v>
      </c>
      <c r="V286" s="245">
        <v>0.60336071428571436</v>
      </c>
      <c r="W286" s="245">
        <v>0.33562142857142857</v>
      </c>
      <c r="X286" s="245">
        <v>1.9439285714285711E-2</v>
      </c>
      <c r="Y286" s="245">
        <v>9.1185714285714287E-2</v>
      </c>
      <c r="Z286" s="245">
        <v>1.3117857142857141E-2</v>
      </c>
      <c r="AA286" s="245">
        <v>1.8320928571428574</v>
      </c>
      <c r="AB286" s="245">
        <v>0.48569999999999969</v>
      </c>
      <c r="AC286" s="245">
        <v>4.0803571428571404E-2</v>
      </c>
      <c r="AD286" s="245">
        <v>1.9539285714285714E-2</v>
      </c>
      <c r="AE286" s="245">
        <v>0.45328928571428578</v>
      </c>
      <c r="AF286" s="245">
        <v>0.11764285714285712</v>
      </c>
      <c r="AG286" s="245">
        <v>0.96601428571428571</v>
      </c>
      <c r="AH286" s="245">
        <v>7.0617857142857107E-2</v>
      </c>
      <c r="AI286" s="245">
        <v>0.90588214285714297</v>
      </c>
      <c r="AJ286" s="245">
        <v>0.35580714285714282</v>
      </c>
      <c r="AK286" s="245">
        <v>0.43870357142857147</v>
      </c>
      <c r="AL286" s="245">
        <v>0.60885714285714276</v>
      </c>
      <c r="AM286" s="245">
        <v>1.5128571428571425E-2</v>
      </c>
      <c r="AN286" s="245">
        <v>0.46636428571428584</v>
      </c>
      <c r="AO286" s="953" t="s">
        <v>19</v>
      </c>
    </row>
    <row r="287" spans="1:41" ht="13.15" customHeight="1">
      <c r="A287" s="953" t="s">
        <v>20</v>
      </c>
      <c r="B287" s="245">
        <v>1.7000000000000008</v>
      </c>
      <c r="C287" s="245">
        <v>1.8394322580645148</v>
      </c>
      <c r="D287" s="245">
        <v>1.0734935483870969</v>
      </c>
      <c r="E287" s="245">
        <v>0.46289999999999981</v>
      </c>
      <c r="F287" s="245">
        <v>0.23460645161290306</v>
      </c>
      <c r="G287" s="245">
        <v>0.24658064516129044</v>
      </c>
      <c r="H287" s="245">
        <v>0.21874838709677413</v>
      </c>
      <c r="I287" s="245">
        <v>2.1939741935483865</v>
      </c>
      <c r="J287" s="245">
        <v>2.8819354838709677E-2</v>
      </c>
      <c r="K287" s="245">
        <v>0.16687096774193544</v>
      </c>
      <c r="L287" s="245">
        <v>1.9256741935483868</v>
      </c>
      <c r="M287" s="245">
        <v>0.46634838709677418</v>
      </c>
      <c r="N287" s="245">
        <v>1.1838741935483867</v>
      </c>
      <c r="O287" s="245">
        <v>5.5168225806451625</v>
      </c>
      <c r="P287" s="245">
        <v>0.15821612903225807</v>
      </c>
      <c r="Q287" s="245">
        <v>0.43977741935483866</v>
      </c>
      <c r="R287" s="245">
        <v>1.2734935483870966</v>
      </c>
      <c r="S287" s="245">
        <v>4.6419354838709681E-2</v>
      </c>
      <c r="T287" s="245">
        <v>1.1408096774193552</v>
      </c>
      <c r="U287" s="245">
        <v>0.52854516129032247</v>
      </c>
      <c r="V287" s="245">
        <v>0.61087419354838723</v>
      </c>
      <c r="W287" s="245">
        <v>0.34164516129032246</v>
      </c>
      <c r="X287" s="245">
        <v>1.9445161290322577E-2</v>
      </c>
      <c r="Y287" s="245">
        <v>9.4361290322580671E-2</v>
      </c>
      <c r="Z287" s="245">
        <v>1.3148387096774192E-2</v>
      </c>
      <c r="AA287" s="245">
        <v>1.9977903225806439</v>
      </c>
      <c r="AB287" s="245">
        <v>0.48569999999999969</v>
      </c>
      <c r="AC287" s="245">
        <v>4.0961290322580647E-2</v>
      </c>
      <c r="AD287" s="245">
        <v>1.9548387096774186E-2</v>
      </c>
      <c r="AE287" s="245">
        <v>0.45327741935483878</v>
      </c>
      <c r="AF287" s="245">
        <v>0.11700322580645162</v>
      </c>
      <c r="AG287" s="245">
        <v>0.97619032258064531</v>
      </c>
      <c r="AH287" s="245">
        <v>7.3477419354838702E-2</v>
      </c>
      <c r="AI287" s="245">
        <v>0.94025161290322534</v>
      </c>
      <c r="AJ287" s="245">
        <v>0.36958709677419371</v>
      </c>
      <c r="AK287" s="245">
        <v>0.46126451612903219</v>
      </c>
      <c r="AL287" s="245">
        <v>0.60717419354838698</v>
      </c>
      <c r="AM287" s="245">
        <v>1.5712903225806461E-2</v>
      </c>
      <c r="AN287" s="245">
        <v>0.46635161290322602</v>
      </c>
      <c r="AO287" s="953" t="s">
        <v>20</v>
      </c>
    </row>
    <row r="288" spans="1:41" ht="13.15" customHeight="1">
      <c r="A288" s="953" t="s">
        <v>21</v>
      </c>
      <c r="B288" s="245">
        <v>1.7000000000000006</v>
      </c>
      <c r="C288" s="245">
        <v>1.9108033333333336</v>
      </c>
      <c r="D288" s="245">
        <v>1.0704933333333337</v>
      </c>
      <c r="E288" s="245">
        <v>0.46279999999999977</v>
      </c>
      <c r="F288" s="245">
        <v>0.23287333333333324</v>
      </c>
      <c r="G288" s="245">
        <v>0.25597666666666663</v>
      </c>
      <c r="H288" s="245">
        <v>0.21895333333333336</v>
      </c>
      <c r="I288" s="245">
        <v>2.2360733333333322</v>
      </c>
      <c r="J288" s="245">
        <v>2.9876666666666652E-2</v>
      </c>
      <c r="K288" s="245">
        <v>0.17432333333333327</v>
      </c>
      <c r="L288" s="245">
        <v>2.0396666666666667</v>
      </c>
      <c r="M288" s="245">
        <v>0.46058666666666676</v>
      </c>
      <c r="N288" s="245">
        <v>1.21604</v>
      </c>
      <c r="O288" s="245">
        <v>5.5374133333333315</v>
      </c>
      <c r="P288" s="245">
        <v>0.16150000000000009</v>
      </c>
      <c r="Q288" s="245">
        <v>0.44819000000000003</v>
      </c>
      <c r="R288" s="245">
        <v>1.2849666666666668</v>
      </c>
      <c r="S288" s="245">
        <v>4.4576666666666667E-2</v>
      </c>
      <c r="T288" s="245">
        <v>1.1806533333333333</v>
      </c>
      <c r="U288" s="245">
        <v>0.54166666666666663</v>
      </c>
      <c r="V288" s="245">
        <v>0.61799333333333317</v>
      </c>
      <c r="W288" s="245">
        <v>0.33014333333333334</v>
      </c>
      <c r="X288" s="245">
        <v>1.9519999999999992E-2</v>
      </c>
      <c r="Y288" s="245">
        <v>9.7256666666666672E-2</v>
      </c>
      <c r="Z288" s="245">
        <v>1.3123333333333332E-2</v>
      </c>
      <c r="AA288" s="245">
        <v>2.0405466666666667</v>
      </c>
      <c r="AB288" s="245">
        <v>0.48569999999999969</v>
      </c>
      <c r="AC288" s="245">
        <v>4.1046666666666669E-2</v>
      </c>
      <c r="AD288" s="245">
        <v>1.9876666666666678E-2</v>
      </c>
      <c r="AE288" s="245">
        <v>0.45306333333333337</v>
      </c>
      <c r="AF288" s="245">
        <v>0.11806333333333333</v>
      </c>
      <c r="AG288" s="245">
        <v>0.99264000000000008</v>
      </c>
      <c r="AH288" s="245">
        <v>7.6293333333333324E-2</v>
      </c>
      <c r="AI288" s="245">
        <v>0.97615333333333332</v>
      </c>
      <c r="AJ288" s="245">
        <v>0.38386666666666669</v>
      </c>
      <c r="AK288" s="245">
        <v>0.47030333333333324</v>
      </c>
      <c r="AL288" s="245">
        <v>0.60552666666666677</v>
      </c>
      <c r="AM288" s="245">
        <v>1.6290000000000009E-2</v>
      </c>
      <c r="AN288" s="245">
        <v>0.46634000000000014</v>
      </c>
      <c r="AO288" s="953" t="s">
        <v>21</v>
      </c>
    </row>
    <row r="289" spans="1:44" ht="13.15" customHeight="1">
      <c r="A289" s="953" t="s">
        <v>22</v>
      </c>
      <c r="B289" s="245">
        <v>1.7000000000000008</v>
      </c>
      <c r="C289" s="245">
        <v>1.9192322580645167</v>
      </c>
      <c r="D289" s="245">
        <v>1.0950129032258067</v>
      </c>
      <c r="E289" s="245">
        <v>0.46279999999999977</v>
      </c>
      <c r="F289" s="245">
        <v>0.23551612903225813</v>
      </c>
      <c r="G289" s="245">
        <v>0.25725483870967752</v>
      </c>
      <c r="H289" s="245">
        <v>0.21793225806451613</v>
      </c>
      <c r="I289" s="245">
        <v>2.2728741935483883</v>
      </c>
      <c r="J289" s="245">
        <v>3.0167741935483879E-2</v>
      </c>
      <c r="K289" s="245">
        <v>0.1761354838709677</v>
      </c>
      <c r="L289" s="245">
        <v>2.052070967741936</v>
      </c>
      <c r="M289" s="245">
        <v>0.47628064516129037</v>
      </c>
      <c r="N289" s="245">
        <v>1.2271935483870966</v>
      </c>
      <c r="O289" s="245">
        <v>5.539538709677422</v>
      </c>
      <c r="P289" s="245">
        <v>0.16518387096774192</v>
      </c>
      <c r="Q289" s="245">
        <v>0.45087741935483866</v>
      </c>
      <c r="R289" s="245">
        <v>1.3130258064516129</v>
      </c>
      <c r="S289" s="245">
        <v>4.3809677419354834E-2</v>
      </c>
      <c r="T289" s="245">
        <v>1.1769258064516126</v>
      </c>
      <c r="U289" s="245">
        <v>0.560441935483871</v>
      </c>
      <c r="V289" s="245">
        <v>0.62040967741935493</v>
      </c>
      <c r="W289" s="245">
        <v>0.3321354838709677</v>
      </c>
      <c r="X289" s="245">
        <v>1.9525806451612903E-2</v>
      </c>
      <c r="Y289" s="245">
        <v>9.8619354838709677E-2</v>
      </c>
      <c r="Z289" s="245">
        <v>1.3190322580645156E-2</v>
      </c>
      <c r="AA289" s="245">
        <v>2.1134193548387095</v>
      </c>
      <c r="AB289" s="245">
        <v>0.48569999999999969</v>
      </c>
      <c r="AC289" s="245">
        <v>4.0938709677419353E-2</v>
      </c>
      <c r="AD289" s="245">
        <v>1.9974193548387104E-2</v>
      </c>
      <c r="AE289" s="245">
        <v>0.45322258064516158</v>
      </c>
      <c r="AF289" s="245">
        <v>0.12209999999999999</v>
      </c>
      <c r="AG289" s="245">
        <v>1.0102709677419355</v>
      </c>
      <c r="AH289" s="245">
        <v>7.7041935483870977E-2</v>
      </c>
      <c r="AI289" s="245">
        <v>0.98098064516129013</v>
      </c>
      <c r="AJ289" s="245">
        <v>0.37914193548387104</v>
      </c>
      <c r="AK289" s="245">
        <v>0.47543225806451622</v>
      </c>
      <c r="AL289" s="245">
        <v>0.6033032258064519</v>
      </c>
      <c r="AM289" s="245">
        <v>1.6361290322580647E-2</v>
      </c>
      <c r="AN289" s="245">
        <v>0.46636451612903235</v>
      </c>
      <c r="AO289" s="953" t="s">
        <v>22</v>
      </c>
    </row>
    <row r="290" spans="1:44" s="799" customFormat="1" ht="18.75" customHeight="1">
      <c r="A290" s="2618" t="s">
        <v>4167</v>
      </c>
      <c r="B290" s="2618"/>
      <c r="C290" s="2618"/>
      <c r="D290" s="2618"/>
      <c r="E290" s="2618"/>
      <c r="F290" s="2618"/>
      <c r="G290" s="2618"/>
      <c r="H290" s="2618"/>
      <c r="I290" s="2618"/>
      <c r="J290" s="2618"/>
      <c r="K290" s="2618"/>
      <c r="L290" s="2618"/>
      <c r="M290" s="2618"/>
      <c r="N290" s="2618"/>
      <c r="O290" s="2618"/>
      <c r="P290" s="2618"/>
      <c r="Q290" s="2618"/>
      <c r="R290" s="2618"/>
      <c r="S290" s="2618"/>
      <c r="T290" s="2618"/>
      <c r="U290" s="2618"/>
      <c r="V290" s="2618"/>
      <c r="W290" s="2618"/>
      <c r="X290" s="2618"/>
      <c r="Y290" s="2618"/>
      <c r="Z290" s="2618"/>
      <c r="AA290" s="2618"/>
      <c r="AB290" s="2618"/>
      <c r="AC290" s="2618"/>
      <c r="AD290" s="2618"/>
      <c r="AE290" s="2618"/>
      <c r="AF290" s="2618"/>
      <c r="AG290" s="2619"/>
      <c r="AH290" s="2619"/>
      <c r="AI290" s="2619"/>
      <c r="AJ290" s="2618"/>
      <c r="AK290" s="2618"/>
      <c r="AL290" s="2618"/>
      <c r="AM290" s="2618"/>
      <c r="AN290" s="2618"/>
      <c r="AO290" s="2620"/>
    </row>
    <row r="291" spans="1:44" s="799" customFormat="1" ht="18.75" customHeight="1">
      <c r="A291" s="2621" t="s">
        <v>4166</v>
      </c>
      <c r="B291" s="2621"/>
      <c r="C291" s="2621"/>
      <c r="D291" s="2621"/>
      <c r="E291" s="2621"/>
      <c r="F291" s="2621"/>
      <c r="G291" s="2621"/>
      <c r="H291" s="2621"/>
      <c r="I291" s="2621"/>
      <c r="J291" s="2621"/>
      <c r="K291" s="2621"/>
      <c r="L291" s="2621"/>
      <c r="M291" s="2621"/>
      <c r="N291" s="2621"/>
      <c r="O291" s="2621"/>
      <c r="P291" s="2621"/>
      <c r="Q291" s="2621"/>
      <c r="R291" s="2621"/>
      <c r="S291" s="2621"/>
      <c r="T291" s="2621"/>
      <c r="U291" s="2621"/>
      <c r="V291" s="2621"/>
      <c r="W291" s="2621"/>
      <c r="X291" s="2621"/>
      <c r="Y291" s="2621"/>
      <c r="Z291" s="2621"/>
      <c r="AA291" s="2621"/>
      <c r="AB291" s="2621"/>
      <c r="AC291" s="2621"/>
      <c r="AD291" s="2621"/>
      <c r="AE291" s="2621"/>
      <c r="AF291" s="2621"/>
      <c r="AG291" s="2621"/>
      <c r="AH291" s="2621"/>
      <c r="AI291" s="2621"/>
      <c r="AJ291" s="2621"/>
      <c r="AK291" s="2621"/>
      <c r="AL291" s="2621"/>
      <c r="AM291" s="2621"/>
      <c r="AN291" s="2621"/>
      <c r="AO291" s="2621"/>
    </row>
    <row r="292" spans="1:44" s="799" customFormat="1" ht="18.75" customHeight="1">
      <c r="A292" s="2621" t="s">
        <v>4165</v>
      </c>
      <c r="B292" s="2621"/>
      <c r="C292" s="2621"/>
      <c r="D292" s="2621"/>
      <c r="E292" s="2621"/>
      <c r="F292" s="2621"/>
      <c r="G292" s="2621"/>
      <c r="H292" s="2621"/>
      <c r="I292" s="2621"/>
      <c r="J292" s="2621"/>
      <c r="K292" s="2621"/>
      <c r="L292" s="2621"/>
      <c r="M292" s="2621"/>
      <c r="N292" s="2621"/>
      <c r="O292" s="2621"/>
      <c r="P292" s="2621"/>
      <c r="Q292" s="2621"/>
      <c r="R292" s="2621"/>
      <c r="S292" s="2621"/>
      <c r="T292" s="2621"/>
      <c r="U292" s="2621"/>
      <c r="V292" s="2621"/>
      <c r="W292" s="2621"/>
      <c r="X292" s="2621"/>
      <c r="Y292" s="2621"/>
      <c r="Z292" s="2621"/>
      <c r="AA292" s="2621"/>
      <c r="AB292" s="2621"/>
      <c r="AC292" s="2621"/>
      <c r="AD292" s="2621"/>
      <c r="AE292" s="2621"/>
      <c r="AF292" s="2621"/>
      <c r="AG292" s="2621"/>
      <c r="AH292" s="2621"/>
      <c r="AI292" s="2621"/>
      <c r="AJ292" s="2621"/>
      <c r="AK292" s="2621"/>
      <c r="AL292" s="2621"/>
      <c r="AM292" s="2621"/>
      <c r="AN292" s="2621"/>
      <c r="AO292" s="2621"/>
    </row>
    <row r="293" spans="1:44" s="799" customFormat="1" ht="16.5" customHeight="1">
      <c r="A293" s="2621" t="s">
        <v>4164</v>
      </c>
      <c r="B293" s="2621"/>
      <c r="C293" s="2621"/>
      <c r="D293" s="2621"/>
      <c r="E293" s="2621"/>
      <c r="F293" s="2621"/>
      <c r="G293" s="2621"/>
      <c r="H293" s="2621"/>
      <c r="I293" s="2621"/>
      <c r="J293" s="2621"/>
      <c r="K293" s="2621"/>
      <c r="L293" s="2621"/>
      <c r="M293" s="2621"/>
      <c r="N293" s="2621"/>
      <c r="O293" s="2621"/>
      <c r="P293" s="2621"/>
      <c r="Q293" s="2621"/>
      <c r="R293" s="2621"/>
      <c r="S293" s="2621"/>
      <c r="T293" s="2621"/>
      <c r="U293" s="2621"/>
      <c r="V293" s="2621"/>
      <c r="W293" s="2621"/>
      <c r="X293" s="2621"/>
      <c r="Y293" s="2621"/>
      <c r="Z293" s="2621"/>
      <c r="AA293" s="2621"/>
      <c r="AB293" s="2621"/>
      <c r="AC293" s="2621"/>
      <c r="AD293" s="2621"/>
      <c r="AE293" s="2621"/>
      <c r="AF293" s="2621"/>
      <c r="AG293" s="2621"/>
      <c r="AH293" s="2621"/>
      <c r="AI293" s="2621"/>
      <c r="AJ293" s="2621"/>
      <c r="AK293" s="2621"/>
      <c r="AL293" s="2621"/>
      <c r="AM293" s="2621"/>
      <c r="AN293" s="2621"/>
      <c r="AO293" s="2621"/>
    </row>
    <row r="294" spans="1:44" s="799" customFormat="1" ht="18.75" customHeight="1">
      <c r="A294" s="2622" t="s">
        <v>2695</v>
      </c>
      <c r="B294" s="2622"/>
      <c r="C294" s="2622"/>
      <c r="D294" s="2622"/>
      <c r="E294" s="2622"/>
      <c r="F294" s="2622"/>
      <c r="G294" s="2622"/>
      <c r="H294" s="2622"/>
      <c r="I294" s="2622"/>
      <c r="J294" s="2622"/>
      <c r="K294" s="2622"/>
      <c r="L294" s="2622"/>
      <c r="M294" s="2622"/>
      <c r="N294" s="2622"/>
      <c r="O294" s="2622"/>
      <c r="P294" s="2622"/>
      <c r="Q294" s="2622"/>
      <c r="R294" s="2622"/>
      <c r="S294" s="2622"/>
      <c r="T294" s="2622"/>
      <c r="U294" s="2622"/>
      <c r="V294" s="2622"/>
      <c r="W294" s="2622"/>
      <c r="X294" s="2622"/>
      <c r="Y294" s="2622"/>
      <c r="Z294" s="2622"/>
      <c r="AA294" s="2622"/>
      <c r="AB294" s="2622"/>
      <c r="AC294" s="2622"/>
      <c r="AD294" s="2622"/>
      <c r="AE294" s="2622"/>
      <c r="AF294" s="2622"/>
      <c r="AG294" s="2622"/>
      <c r="AH294" s="2622"/>
      <c r="AI294" s="2622"/>
      <c r="AJ294" s="2622"/>
      <c r="AK294" s="2622"/>
      <c r="AL294" s="2622"/>
      <c r="AM294" s="2622"/>
      <c r="AN294" s="2622"/>
      <c r="AO294" s="2622"/>
    </row>
    <row r="295" spans="1:44" ht="14.1" customHeight="1">
      <c r="B295" s="156"/>
      <c r="C295" s="1857"/>
      <c r="D295" s="156"/>
      <c r="E295" s="156"/>
      <c r="F295" s="156"/>
      <c r="G295" s="156"/>
      <c r="H295" s="156"/>
      <c r="I295" s="156"/>
      <c r="J295" s="156"/>
      <c r="K295" s="156"/>
      <c r="L295" s="156"/>
      <c r="M295" s="156"/>
      <c r="N295" s="156"/>
      <c r="O295" s="156"/>
      <c r="P295" s="156"/>
      <c r="Q295" s="156"/>
      <c r="R295" s="156"/>
      <c r="S295" s="156"/>
      <c r="T295" s="156"/>
      <c r="U295" s="156"/>
      <c r="V295" s="156"/>
      <c r="W295" s="156"/>
      <c r="X295" s="156"/>
      <c r="Y295" s="156"/>
      <c r="Z295" s="156"/>
      <c r="AA295" s="156"/>
      <c r="AB295" s="156"/>
      <c r="AC295" s="156"/>
      <c r="AD295" s="156"/>
      <c r="AE295" s="156"/>
      <c r="AF295" s="156"/>
      <c r="AG295" s="156"/>
      <c r="AH295" s="156"/>
      <c r="AI295" s="156"/>
      <c r="AJ295" s="156"/>
      <c r="AK295" s="156"/>
      <c r="AL295" s="156"/>
      <c r="AM295" s="156"/>
      <c r="AN295" s="156"/>
      <c r="AO295" s="156"/>
      <c r="AP295" s="156"/>
      <c r="AQ295" s="156"/>
      <c r="AR295" s="156"/>
    </row>
    <row r="296" spans="1:44" ht="14.1" customHeight="1">
      <c r="C296" s="1857"/>
      <c r="AN296" s="154"/>
    </row>
    <row r="297" spans="1:44" ht="14.1" customHeight="1">
      <c r="AO297" s="152"/>
    </row>
  </sheetData>
  <mergeCells count="7">
    <mergeCell ref="A290:AO290"/>
    <mergeCell ref="A292:AO292"/>
    <mergeCell ref="A294:AO294"/>
    <mergeCell ref="A2:AO2"/>
    <mergeCell ref="A3:AO3"/>
    <mergeCell ref="A291:AO291"/>
    <mergeCell ref="A293:AO293"/>
  </mergeCells>
  <pageMargins left="0.17" right="0.17" top="0.33" bottom="0.75" header="0.17" footer="0.3"/>
  <pageSetup scale="24" orientation="landscape" r:id="rId1"/>
  <ignoredErrors>
    <ignoredError sqref="A21:A229 AO21:AO192 AO220:AO229 AO194:AO218" numberStoredAsText="1"/>
  </ignoredError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42">
    <tabColor rgb="FF92D050"/>
  </sheetPr>
  <dimension ref="A1:XFB97"/>
  <sheetViews>
    <sheetView showGridLines="0" view="pageBreakPreview" zoomScaleSheetLayoutView="100" workbookViewId="0">
      <pane ySplit="7" topLeftCell="A58" activePane="bottomLeft" state="frozen"/>
      <selection activeCell="B39" sqref="B39"/>
      <selection pane="bottomLeft" activeCell="S84" sqref="S84"/>
    </sheetView>
  </sheetViews>
  <sheetFormatPr defaultColWidth="8.85546875" defaultRowHeight="12.75"/>
  <cols>
    <col min="1" max="1" width="8.5703125" style="87" customWidth="1"/>
    <col min="2" max="15" width="10.7109375" style="125" customWidth="1"/>
    <col min="16" max="16384" width="8.85546875" style="125"/>
  </cols>
  <sheetData>
    <row r="1" spans="1:15" ht="8.25" customHeight="1"/>
    <row r="2" spans="1:15" s="514" customFormat="1" ht="18.75" customHeight="1">
      <c r="A2" s="2625" t="s">
        <v>4216</v>
      </c>
      <c r="B2" s="2625"/>
      <c r="C2" s="2625"/>
      <c r="D2" s="2625"/>
      <c r="E2" s="2625"/>
      <c r="F2" s="2625"/>
      <c r="G2" s="2625"/>
      <c r="H2" s="2625"/>
      <c r="I2" s="2625"/>
      <c r="J2" s="2625"/>
      <c r="K2" s="2625"/>
      <c r="L2" s="2625"/>
      <c r="M2" s="2625"/>
      <c r="N2" s="2625"/>
      <c r="O2" s="2625"/>
    </row>
    <row r="3" spans="1:15" s="514" customFormat="1" ht="24" customHeight="1">
      <c r="A3" s="2626" t="s">
        <v>4217</v>
      </c>
      <c r="B3" s="2626"/>
      <c r="C3" s="2626"/>
      <c r="D3" s="2626"/>
      <c r="E3" s="2626"/>
      <c r="F3" s="2626"/>
      <c r="G3" s="2626"/>
      <c r="H3" s="2626"/>
      <c r="I3" s="2626"/>
      <c r="J3" s="2626"/>
      <c r="K3" s="2626"/>
      <c r="L3" s="2626"/>
      <c r="M3" s="2626"/>
      <c r="N3" s="2626"/>
      <c r="O3" s="2626"/>
    </row>
    <row r="4" spans="1:15" s="514" customFormat="1" ht="11.25" customHeight="1">
      <c r="A4" s="533"/>
      <c r="B4" s="533"/>
      <c r="C4" s="533"/>
      <c r="D4" s="533"/>
      <c r="E4" s="533"/>
      <c r="F4" s="533"/>
      <c r="G4" s="533"/>
      <c r="H4" s="533"/>
      <c r="I4" s="533"/>
      <c r="J4" s="533"/>
      <c r="K4" s="533"/>
      <c r="L4" s="533"/>
      <c r="M4" s="533"/>
      <c r="N4" s="533"/>
      <c r="O4" s="533"/>
    </row>
    <row r="5" spans="1:15" ht="11.25" customHeight="1">
      <c r="A5" s="515"/>
      <c r="B5" s="516"/>
      <c r="C5" s="516"/>
      <c r="D5" s="516"/>
      <c r="E5" s="516"/>
      <c r="F5" s="516"/>
      <c r="G5" s="516"/>
      <c r="H5" s="516"/>
      <c r="I5" s="516"/>
      <c r="J5" s="516"/>
      <c r="K5" s="516"/>
      <c r="L5" s="516"/>
      <c r="M5" s="516"/>
      <c r="N5" s="516"/>
      <c r="O5" s="516"/>
    </row>
    <row r="6" spans="1:15" s="87" customFormat="1" ht="43.5" customHeight="1">
      <c r="A6" s="1327" t="s">
        <v>182</v>
      </c>
      <c r="B6" s="1309" t="s">
        <v>242</v>
      </c>
      <c r="C6" s="1309" t="s">
        <v>3480</v>
      </c>
      <c r="D6" s="1309" t="s">
        <v>3481</v>
      </c>
      <c r="E6" s="1309" t="s">
        <v>3482</v>
      </c>
      <c r="F6" s="1309" t="s">
        <v>264</v>
      </c>
      <c r="G6" s="1309" t="s">
        <v>265</v>
      </c>
      <c r="H6" s="1309" t="s">
        <v>3483</v>
      </c>
      <c r="I6" s="1309" t="s">
        <v>3484</v>
      </c>
      <c r="J6" s="1309" t="s">
        <v>3485</v>
      </c>
      <c r="K6" s="1309" t="s">
        <v>3486</v>
      </c>
      <c r="L6" s="1309" t="s">
        <v>246</v>
      </c>
      <c r="M6" s="1309" t="s">
        <v>3505</v>
      </c>
      <c r="N6" s="1309" t="s">
        <v>3506</v>
      </c>
      <c r="O6" s="1309" t="s">
        <v>251</v>
      </c>
    </row>
    <row r="7" spans="1:15" ht="39" customHeight="1">
      <c r="A7" s="1328" t="s">
        <v>289</v>
      </c>
      <c r="B7" s="1329" t="s">
        <v>3490</v>
      </c>
      <c r="C7" s="1329" t="s">
        <v>3491</v>
      </c>
      <c r="D7" s="1329" t="s">
        <v>3507</v>
      </c>
      <c r="E7" s="1329" t="s">
        <v>3493</v>
      </c>
      <c r="F7" s="1329" t="s">
        <v>3494</v>
      </c>
      <c r="G7" s="1329" t="s">
        <v>3495</v>
      </c>
      <c r="H7" s="1329" t="s">
        <v>3496</v>
      </c>
      <c r="I7" s="1329" t="s">
        <v>3497</v>
      </c>
      <c r="J7" s="1329" t="s">
        <v>3498</v>
      </c>
      <c r="K7" s="1329" t="s">
        <v>3499</v>
      </c>
      <c r="L7" s="1329" t="s">
        <v>3500</v>
      </c>
      <c r="M7" s="1329" t="s">
        <v>3501</v>
      </c>
      <c r="N7" s="1329" t="s">
        <v>3502</v>
      </c>
      <c r="O7" s="1329" t="s">
        <v>3503</v>
      </c>
    </row>
    <row r="8" spans="1:15" s="94" customFormat="1">
      <c r="A8" s="331" t="s">
        <v>2375</v>
      </c>
      <c r="B8" s="632"/>
      <c r="C8" s="1330"/>
      <c r="D8" s="1330"/>
      <c r="E8" s="1330"/>
      <c r="F8" s="1330"/>
      <c r="G8" s="1330"/>
      <c r="H8" s="1330"/>
      <c r="I8" s="1330"/>
      <c r="J8" s="1330"/>
      <c r="K8" s="1330"/>
      <c r="L8" s="1330"/>
      <c r="M8" s="1330"/>
      <c r="N8" s="1330"/>
      <c r="O8" s="632"/>
    </row>
    <row r="9" spans="1:15">
      <c r="A9" s="40" t="s">
        <v>18</v>
      </c>
      <c r="B9" s="501">
        <v>0</v>
      </c>
      <c r="C9" s="501">
        <v>-8.8768861249093334E-3</v>
      </c>
      <c r="D9" s="501">
        <v>-0.26997972981772023</v>
      </c>
      <c r="E9" s="501">
        <v>-1.1742508324084469</v>
      </c>
      <c r="F9" s="501">
        <v>1.6825775656324566</v>
      </c>
      <c r="G9" s="501">
        <v>-2.2568511552928641</v>
      </c>
      <c r="H9" s="501">
        <v>0.61029536977532928</v>
      </c>
      <c r="I9" s="501">
        <v>1.7505470459518762</v>
      </c>
      <c r="J9" s="501">
        <v>-0.23290751043832358</v>
      </c>
      <c r="K9" s="501">
        <v>0.45362537664748004</v>
      </c>
      <c r="L9" s="501">
        <v>1.3136704244473236</v>
      </c>
      <c r="M9" s="501">
        <v>-0.42382877317564294</v>
      </c>
      <c r="N9" s="501">
        <v>0.81490882372588658</v>
      </c>
      <c r="O9" s="501">
        <v>1.3710697927903652</v>
      </c>
    </row>
    <row r="10" spans="1:15">
      <c r="A10" s="40" t="s">
        <v>19</v>
      </c>
      <c r="B10" s="501">
        <v>0</v>
      </c>
      <c r="C10" s="501">
        <v>-1.8428957156015287</v>
      </c>
      <c r="D10" s="501">
        <v>-1.0788961553906518</v>
      </c>
      <c r="E10" s="501">
        <v>-3.4075165524896107</v>
      </c>
      <c r="F10" s="501">
        <v>-1.6118014978191155</v>
      </c>
      <c r="G10" s="501">
        <v>-3.8543731895471325</v>
      </c>
      <c r="H10" s="501">
        <v>1.6986134575631695</v>
      </c>
      <c r="I10" s="501">
        <v>1.7505470459518762</v>
      </c>
      <c r="J10" s="501">
        <v>-0.74886809850913494</v>
      </c>
      <c r="K10" s="501">
        <v>1.2425588454561165</v>
      </c>
      <c r="L10" s="501">
        <v>0.3105756825711552</v>
      </c>
      <c r="M10" s="501">
        <v>-3.7460452184214006</v>
      </c>
      <c r="N10" s="501">
        <v>-1.7788413922088466</v>
      </c>
      <c r="O10" s="501">
        <v>0.74614839146404677</v>
      </c>
    </row>
    <row r="11" spans="1:15">
      <c r="A11" s="40" t="s">
        <v>20</v>
      </c>
      <c r="B11" s="501">
        <v>0</v>
      </c>
      <c r="C11" s="501">
        <v>-0.2681843865815523</v>
      </c>
      <c r="D11" s="501">
        <v>-5.6859235809786952</v>
      </c>
      <c r="E11" s="501">
        <v>-7.5937846836848593</v>
      </c>
      <c r="F11" s="501">
        <v>-15.441527446300682</v>
      </c>
      <c r="G11" s="501">
        <v>-10.303600214938186</v>
      </c>
      <c r="H11" s="501">
        <v>-4.9576199029899328</v>
      </c>
      <c r="I11" s="501">
        <v>-7.2939460247994532</v>
      </c>
      <c r="J11" s="501">
        <v>1.3435696598597531</v>
      </c>
      <c r="K11" s="501">
        <v>-3.0144988692332788</v>
      </c>
      <c r="L11" s="501">
        <v>-0.11180173825081852</v>
      </c>
      <c r="M11" s="501">
        <v>-12.334616814806836</v>
      </c>
      <c r="N11" s="501">
        <v>-3.8006813172132894</v>
      </c>
      <c r="O11" s="501">
        <v>2.615783167159961</v>
      </c>
    </row>
    <row r="12" spans="1:15">
      <c r="A12" s="40" t="s">
        <v>21</v>
      </c>
      <c r="B12" s="501">
        <v>0</v>
      </c>
      <c r="C12" s="501">
        <v>-2.2236087614866307</v>
      </c>
      <c r="D12" s="501">
        <v>-5.3399849239614525</v>
      </c>
      <c r="E12" s="501">
        <v>-14.387014428412897</v>
      </c>
      <c r="F12" s="501">
        <v>-16.211217183770842</v>
      </c>
      <c r="G12" s="501">
        <v>-13.259597587915721</v>
      </c>
      <c r="H12" s="501">
        <v>-8.8247648449358849</v>
      </c>
      <c r="I12" s="501">
        <v>-11.439338682227074</v>
      </c>
      <c r="J12" s="501">
        <v>1.277137143982003</v>
      </c>
      <c r="K12" s="501">
        <v>-2.7024555989987391</v>
      </c>
      <c r="L12" s="501">
        <v>-0.85044742878183399</v>
      </c>
      <c r="M12" s="501">
        <v>-15.745039004242273</v>
      </c>
      <c r="N12" s="501">
        <v>-4.1164770407973776</v>
      </c>
      <c r="O12" s="501">
        <v>1.3520510054386961</v>
      </c>
    </row>
    <row r="13" spans="1:15">
      <c r="A13" s="40" t="s">
        <v>22</v>
      </c>
      <c r="B13" s="501">
        <v>0</v>
      </c>
      <c r="C13" s="501">
        <v>-2.0080540670649469</v>
      </c>
      <c r="D13" s="501">
        <v>-6.2025889696063103</v>
      </c>
      <c r="E13" s="501">
        <v>-15.560488346281971</v>
      </c>
      <c r="F13" s="501">
        <v>-13.77088305489255</v>
      </c>
      <c r="G13" s="501">
        <v>-11.808167651800076</v>
      </c>
      <c r="H13" s="501">
        <v>-9.5345605159220241</v>
      </c>
      <c r="I13" s="501">
        <v>-8.5339168490152417</v>
      </c>
      <c r="J13" s="501">
        <v>1.9422082698743282</v>
      </c>
      <c r="K13" s="501">
        <v>-1.2415357328885221</v>
      </c>
      <c r="L13" s="501">
        <v>-1.1832350631547257</v>
      </c>
      <c r="M13" s="501">
        <v>-12.997948828673245</v>
      </c>
      <c r="N13" s="501">
        <v>-4.5087168525816423</v>
      </c>
      <c r="O13" s="501">
        <v>1.3652839006618649</v>
      </c>
    </row>
    <row r="14" spans="1:15">
      <c r="A14" s="40" t="s">
        <v>23</v>
      </c>
      <c r="B14" s="501">
        <v>0</v>
      </c>
      <c r="C14" s="501">
        <v>1.341075571321511</v>
      </c>
      <c r="D14" s="501">
        <v>-4.5054398648846927</v>
      </c>
      <c r="E14" s="501">
        <v>-14.205808361080301</v>
      </c>
      <c r="F14" s="501">
        <v>-9.3922036595067908</v>
      </c>
      <c r="G14" s="501">
        <v>-11.533673652158299</v>
      </c>
      <c r="H14" s="501">
        <v>-4.8030959718307997</v>
      </c>
      <c r="I14" s="501">
        <v>-4.5805981035740899</v>
      </c>
      <c r="J14" s="501">
        <v>1.523589483245118</v>
      </c>
      <c r="K14" s="501">
        <v>0.53720761053270394</v>
      </c>
      <c r="L14" s="501">
        <v>-1.0209894453835204</v>
      </c>
      <c r="M14" s="501">
        <v>-11.553052566763014</v>
      </c>
      <c r="N14" s="501">
        <v>-2.8763758080437469</v>
      </c>
      <c r="O14" s="501">
        <v>3.3817419641424067</v>
      </c>
    </row>
    <row r="15" spans="1:15">
      <c r="A15" s="40" t="s">
        <v>24</v>
      </c>
      <c r="B15" s="501">
        <v>0</v>
      </c>
      <c r="C15" s="501">
        <v>2.8300195803622614</v>
      </c>
      <c r="D15" s="501">
        <v>-3.6772801784817375</v>
      </c>
      <c r="E15" s="501">
        <v>-14.811320754717016</v>
      </c>
      <c r="F15" s="501">
        <v>-11.789976133651521</v>
      </c>
      <c r="G15" s="501">
        <v>-13.567974207415375</v>
      </c>
      <c r="H15" s="501">
        <v>-5.5701125558247355</v>
      </c>
      <c r="I15" s="501">
        <v>-6.7833698030634082</v>
      </c>
      <c r="J15" s="501">
        <v>2.2010174162600009</v>
      </c>
      <c r="K15" s="501">
        <v>1.1577996531875385</v>
      </c>
      <c r="L15" s="501">
        <v>-2.6619461488195384E-3</v>
      </c>
      <c r="M15" s="501">
        <v>-12.582916501733308</v>
      </c>
      <c r="N15" s="501">
        <v>-2.2376594749849801</v>
      </c>
      <c r="O15" s="501">
        <v>5.0882255228766695</v>
      </c>
    </row>
    <row r="16" spans="1:15">
      <c r="A16" s="40" t="s">
        <v>25</v>
      </c>
      <c r="B16" s="501">
        <v>0</v>
      </c>
      <c r="C16" s="501">
        <v>6.4217442739816732</v>
      </c>
      <c r="D16" s="501">
        <v>9.0571977956017236E-2</v>
      </c>
      <c r="E16" s="501">
        <v>-19.375138734739181</v>
      </c>
      <c r="F16" s="501">
        <v>-14.618138424820955</v>
      </c>
      <c r="G16" s="501">
        <v>-14.203833064660543</v>
      </c>
      <c r="H16" s="501">
        <v>-5.8629005235026739</v>
      </c>
      <c r="I16" s="501">
        <v>-7.7315827862873334</v>
      </c>
      <c r="J16" s="501">
        <v>3.0284192749614505</v>
      </c>
      <c r="K16" s="501">
        <v>2.198236926951779</v>
      </c>
      <c r="L16" s="501">
        <v>1.1539536555175545</v>
      </c>
      <c r="M16" s="501">
        <v>-15.597698529793973</v>
      </c>
      <c r="N16" s="501">
        <v>-1.1377552156390891</v>
      </c>
      <c r="O16" s="501">
        <v>8.0500423676617316</v>
      </c>
    </row>
    <row r="17" spans="1:15">
      <c r="A17" s="40" t="s">
        <v>26</v>
      </c>
      <c r="B17" s="501">
        <v>0</v>
      </c>
      <c r="C17" s="501">
        <v>6.1320903416633712</v>
      </c>
      <c r="D17" s="501">
        <v>-1.1189690420349336</v>
      </c>
      <c r="E17" s="501">
        <v>-22.291268960414371</v>
      </c>
      <c r="F17" s="501">
        <v>-17.012728719172614</v>
      </c>
      <c r="G17" s="501">
        <v>-15.679592811511128</v>
      </c>
      <c r="H17" s="501">
        <v>-8.6879656637900382</v>
      </c>
      <c r="I17" s="501">
        <v>-9.5550692924871896</v>
      </c>
      <c r="J17" s="501">
        <v>3.4138425249605291</v>
      </c>
      <c r="K17" s="501">
        <v>1.5952931971578153</v>
      </c>
      <c r="L17" s="501">
        <v>2.9509891348231179</v>
      </c>
      <c r="M17" s="501">
        <v>-19.319341652638983</v>
      </c>
      <c r="N17" s="501">
        <v>-0.35245919889564448</v>
      </c>
      <c r="O17" s="501">
        <v>7.5903998984668988</v>
      </c>
    </row>
    <row r="18" spans="1:15">
      <c r="A18" s="40" t="s">
        <v>27</v>
      </c>
      <c r="B18" s="501">
        <v>0</v>
      </c>
      <c r="C18" s="501">
        <v>5.8095805500596498</v>
      </c>
      <c r="D18" s="501">
        <v>-1.1392392243219263</v>
      </c>
      <c r="E18" s="501">
        <v>-26.250832408435102</v>
      </c>
      <c r="F18" s="501">
        <v>-18.914081145584731</v>
      </c>
      <c r="G18" s="501">
        <v>-16.689056063048497</v>
      </c>
      <c r="H18" s="501">
        <v>-10.079486714677273</v>
      </c>
      <c r="I18" s="501">
        <v>-9.7738876732311724</v>
      </c>
      <c r="J18" s="501">
        <v>3.7909634372507384</v>
      </c>
      <c r="K18" s="501">
        <v>2.278016971391267</v>
      </c>
      <c r="L18" s="501">
        <v>4.2977120572851248</v>
      </c>
      <c r="M18" s="501">
        <v>-18.463740648777886</v>
      </c>
      <c r="N18" s="501">
        <v>2.5070692227194371</v>
      </c>
      <c r="O18" s="501">
        <v>7.708861373757415</v>
      </c>
    </row>
    <row r="19" spans="1:15">
      <c r="A19" s="40" t="s">
        <v>28</v>
      </c>
      <c r="B19" s="501">
        <v>0</v>
      </c>
      <c r="C19" s="501">
        <v>6.4134477996418298</v>
      </c>
      <c r="D19" s="501">
        <v>0.60723254379458069</v>
      </c>
      <c r="E19" s="501">
        <v>-26.589752127265996</v>
      </c>
      <c r="F19" s="501">
        <v>-18.258154335719979</v>
      </c>
      <c r="G19" s="501">
        <v>-16.665174040241183</v>
      </c>
      <c r="H19" s="501">
        <v>-12.579646933233718</v>
      </c>
      <c r="I19" s="501">
        <v>-10.459518599562344</v>
      </c>
      <c r="J19" s="501">
        <v>4.7379617829995482</v>
      </c>
      <c r="K19" s="501">
        <v>3.3394651879885942</v>
      </c>
      <c r="L19" s="501">
        <v>6.1610299956965235</v>
      </c>
      <c r="M19" s="501">
        <v>-18.321131596168456</v>
      </c>
      <c r="N19" s="501">
        <v>5.1417184334157326</v>
      </c>
      <c r="O19" s="501">
        <v>8.0249203973227878</v>
      </c>
    </row>
    <row r="20" spans="1:15">
      <c r="A20" s="40" t="s">
        <v>29</v>
      </c>
      <c r="B20" s="501">
        <v>0</v>
      </c>
      <c r="C20" s="501">
        <v>9.5126077389375894</v>
      </c>
      <c r="D20" s="501">
        <v>2.5076573832800761</v>
      </c>
      <c r="E20" s="501">
        <v>-24.280799112097668</v>
      </c>
      <c r="F20" s="501">
        <v>-15.059665871121709</v>
      </c>
      <c r="G20" s="501">
        <v>-16.138276912054465</v>
      </c>
      <c r="H20" s="501">
        <v>-11.829073350801721</v>
      </c>
      <c r="I20" s="501">
        <v>-8.3150984682713016</v>
      </c>
      <c r="J20" s="501">
        <v>5.2172111190542836</v>
      </c>
      <c r="K20" s="501">
        <v>6.9850395933195557</v>
      </c>
      <c r="L20" s="501">
        <v>7.2591271478577681</v>
      </c>
      <c r="M20" s="501">
        <v>-17.646070987321153</v>
      </c>
      <c r="N20" s="501">
        <v>7.2317591788569047</v>
      </c>
      <c r="O20" s="501">
        <v>10.684676344659948</v>
      </c>
    </row>
    <row r="21" spans="1:15" s="94" customFormat="1">
      <c r="A21" s="631" t="s">
        <v>2537</v>
      </c>
      <c r="B21" s="455"/>
      <c r="C21" s="455"/>
      <c r="D21" s="455"/>
      <c r="E21" s="455"/>
      <c r="F21" s="455"/>
      <c r="G21" s="455"/>
      <c r="H21" s="455"/>
      <c r="I21" s="455"/>
      <c r="J21" s="455"/>
      <c r="K21" s="455"/>
      <c r="L21" s="455"/>
      <c r="M21" s="455"/>
      <c r="N21" s="455"/>
      <c r="O21" s="455"/>
    </row>
    <row r="22" spans="1:15">
      <c r="A22" s="40" t="s">
        <v>18</v>
      </c>
      <c r="B22" s="501">
        <v>0</v>
      </c>
      <c r="C22" s="501">
        <v>9.1190385260134121E-2</v>
      </c>
      <c r="D22" s="501">
        <v>1.3825079922934407</v>
      </c>
      <c r="E22" s="501">
        <v>4.5116749483313612</v>
      </c>
      <c r="F22" s="501">
        <v>-0.29502669289115602</v>
      </c>
      <c r="G22" s="501">
        <v>-0.17086715079032899</v>
      </c>
      <c r="H22" s="501">
        <v>-0.3370527509360528</v>
      </c>
      <c r="I22" s="501">
        <v>-0.15910898965806552</v>
      </c>
      <c r="J22" s="501">
        <v>4.3917262241293997E-2</v>
      </c>
      <c r="K22" s="501">
        <v>0.76604975933834396</v>
      </c>
      <c r="L22" s="501">
        <v>0.97410252273934361</v>
      </c>
      <c r="M22" s="501">
        <v>-0.28645226442938565</v>
      </c>
      <c r="N22" s="501">
        <v>-0.45887751500215757</v>
      </c>
      <c r="O22" s="501">
        <v>0.25833301013626908</v>
      </c>
    </row>
    <row r="23" spans="1:15">
      <c r="A23" s="40" t="s">
        <v>19</v>
      </c>
      <c r="B23" s="501">
        <v>0</v>
      </c>
      <c r="C23" s="501">
        <v>-0.6511372075700308</v>
      </c>
      <c r="D23" s="501">
        <v>3.0956514462749993</v>
      </c>
      <c r="E23" s="501">
        <v>8.7409252430579443</v>
      </c>
      <c r="F23" s="501">
        <v>-0.42247019628302951</v>
      </c>
      <c r="G23" s="501">
        <v>1.0427472996887417</v>
      </c>
      <c r="H23" s="501">
        <v>-0.71658198071669688</v>
      </c>
      <c r="I23" s="501">
        <v>0.49721559268101601</v>
      </c>
      <c r="J23" s="501">
        <v>-1.4985112863987808</v>
      </c>
      <c r="K23" s="501">
        <v>-0.73235184583565172</v>
      </c>
      <c r="L23" s="501">
        <v>1.1976408814608419</v>
      </c>
      <c r="M23" s="501">
        <v>-1.6983914283494244</v>
      </c>
      <c r="N23" s="501">
        <v>-1.6327674733853854</v>
      </c>
      <c r="O23" s="501">
        <v>-0.99575884839943285</v>
      </c>
    </row>
    <row r="24" spans="1:15">
      <c r="A24" s="40" t="s">
        <v>20</v>
      </c>
      <c r="B24" s="501">
        <v>0</v>
      </c>
      <c r="C24" s="501">
        <v>-2.001200283703426</v>
      </c>
      <c r="D24" s="501">
        <v>3.4299465768989421</v>
      </c>
      <c r="E24" s="501">
        <v>2.8612051654133523</v>
      </c>
      <c r="F24" s="501">
        <v>-0.16858668165214397</v>
      </c>
      <c r="G24" s="501">
        <v>1.4149935924817783</v>
      </c>
      <c r="H24" s="501">
        <v>-1.4080207340398232</v>
      </c>
      <c r="I24" s="501">
        <v>-0.15910898965793763</v>
      </c>
      <c r="J24" s="501">
        <v>-4.4641995537375863</v>
      </c>
      <c r="K24" s="501">
        <v>-1.7761507694393828</v>
      </c>
      <c r="L24" s="501">
        <v>0.5819797237768114</v>
      </c>
      <c r="M24" s="501">
        <v>-1.7245397343276352</v>
      </c>
      <c r="N24" s="501">
        <v>-3.2349826623201352</v>
      </c>
      <c r="O24" s="501">
        <v>-4.1736294607551514</v>
      </c>
    </row>
    <row r="25" spans="1:15">
      <c r="A25" s="40" t="s">
        <v>21</v>
      </c>
      <c r="B25" s="501">
        <v>0</v>
      </c>
      <c r="C25" s="501">
        <v>-1.8773476328171341</v>
      </c>
      <c r="D25" s="501">
        <v>2.8809095335887918</v>
      </c>
      <c r="E25" s="501">
        <v>-5.4712731288080079</v>
      </c>
      <c r="F25" s="501">
        <v>-2.778402172894971</v>
      </c>
      <c r="G25" s="501">
        <v>0.80076178271389153</v>
      </c>
      <c r="H25" s="501">
        <v>-4.3257802781567705</v>
      </c>
      <c r="I25" s="501">
        <v>-2.7499337045876757</v>
      </c>
      <c r="J25" s="501">
        <v>-4.868244930969837</v>
      </c>
      <c r="K25" s="501">
        <v>-1.0391694040259836</v>
      </c>
      <c r="L25" s="501">
        <v>0.2007768002283683</v>
      </c>
      <c r="M25" s="501">
        <v>-1.97962790336355</v>
      </c>
      <c r="N25" s="501">
        <v>-2.2108483350982624</v>
      </c>
      <c r="O25" s="501">
        <v>-3.8433161954449844</v>
      </c>
    </row>
    <row r="26" spans="1:15">
      <c r="A26" s="40" t="s">
        <v>22</v>
      </c>
      <c r="B26" s="501">
        <v>0</v>
      </c>
      <c r="C26" s="501">
        <v>-0.12034013234294605</v>
      </c>
      <c r="D26" s="501">
        <v>4.5118173028745048</v>
      </c>
      <c r="E26" s="501">
        <v>-7.4256482417953151</v>
      </c>
      <c r="F26" s="501">
        <v>9.8342230963794464E-2</v>
      </c>
      <c r="G26" s="501">
        <v>1.9169158479283084</v>
      </c>
      <c r="H26" s="501">
        <v>-2.7500015575450334</v>
      </c>
      <c r="I26" s="501">
        <v>-1.3524264120922851</v>
      </c>
      <c r="J26" s="501">
        <v>-4.7442459524236256</v>
      </c>
      <c r="K26" s="501">
        <v>-0.1707126173263589</v>
      </c>
      <c r="L26" s="501">
        <v>1.6826535297256555</v>
      </c>
      <c r="M26" s="501">
        <v>1.1691136487221598</v>
      </c>
      <c r="N26" s="501">
        <v>-2.4771080334710973</v>
      </c>
      <c r="O26" s="501">
        <v>-1.4690582142983288</v>
      </c>
    </row>
    <row r="27" spans="1:15">
      <c r="A27" s="40" t="s">
        <v>23</v>
      </c>
      <c r="B27" s="501">
        <v>0</v>
      </c>
      <c r="C27" s="501">
        <v>-1.0073705733043283</v>
      </c>
      <c r="D27" s="501">
        <v>4.3945311305419779</v>
      </c>
      <c r="E27" s="501">
        <v>-10.455955713859993</v>
      </c>
      <c r="F27" s="501">
        <v>2.0413037370047533</v>
      </c>
      <c r="G27" s="501">
        <v>3.2284992168589071</v>
      </c>
      <c r="H27" s="501">
        <v>3.8805508310022248</v>
      </c>
      <c r="I27" s="501">
        <v>-1.3524264120922851</v>
      </c>
      <c r="J27" s="501">
        <v>-5.7317081976920008</v>
      </c>
      <c r="K27" s="501">
        <v>-0.13104401756019968</v>
      </c>
      <c r="L27" s="501">
        <v>1.801034906374511</v>
      </c>
      <c r="M27" s="501">
        <v>1.5809090085191428</v>
      </c>
      <c r="N27" s="501">
        <v>-2.4575901663171749</v>
      </c>
      <c r="O27" s="501">
        <v>-2.0742016042951548</v>
      </c>
    </row>
    <row r="28" spans="1:15">
      <c r="A28" s="40" t="s">
        <v>24</v>
      </c>
      <c r="B28" s="501">
        <v>0</v>
      </c>
      <c r="C28" s="501">
        <v>-2.8640016211623589</v>
      </c>
      <c r="D28" s="501">
        <v>2.7290241991828168</v>
      </c>
      <c r="E28" s="501">
        <v>-10.198906527124308</v>
      </c>
      <c r="F28" s="501">
        <v>0.19668446192748945</v>
      </c>
      <c r="G28" s="501">
        <v>3.460059803502773</v>
      </c>
      <c r="H28" s="501">
        <v>5.0047037860805119</v>
      </c>
      <c r="I28" s="501">
        <v>-1.3524264120922851</v>
      </c>
      <c r="J28" s="501">
        <v>-5.9219375587123011</v>
      </c>
      <c r="K28" s="501">
        <v>-0.72229309569151212</v>
      </c>
      <c r="L28" s="501">
        <v>1.0088475808753827</v>
      </c>
      <c r="M28" s="501">
        <v>0.86615396566460845</v>
      </c>
      <c r="N28" s="501">
        <v>-4.3063889869396519</v>
      </c>
      <c r="O28" s="501">
        <v>-3.2340527424274654</v>
      </c>
    </row>
    <row r="29" spans="1:15">
      <c r="A29" s="40" t="s">
        <v>25</v>
      </c>
      <c r="B29" s="501">
        <v>0</v>
      </c>
      <c r="C29" s="501">
        <v>-3.3124712594405707</v>
      </c>
      <c r="D29" s="501">
        <v>2.626835757485992</v>
      </c>
      <c r="E29" s="501">
        <v>-8.9925684886328838</v>
      </c>
      <c r="F29" s="501">
        <v>0.54790671536950697</v>
      </c>
      <c r="G29" s="501">
        <v>5.1366937206322092</v>
      </c>
      <c r="H29" s="501">
        <v>5.458883925511941</v>
      </c>
      <c r="I29" s="501">
        <v>-1.3524264120922851</v>
      </c>
      <c r="J29" s="501">
        <v>-5.5400740094490999</v>
      </c>
      <c r="K29" s="501">
        <v>0.68531563345474922</v>
      </c>
      <c r="L29" s="501">
        <v>0.9517664139377473</v>
      </c>
      <c r="M29" s="501">
        <v>1.9891439446904684</v>
      </c>
      <c r="N29" s="501">
        <v>-5.8055272938684794</v>
      </c>
      <c r="O29" s="501">
        <v>-2.8256437668729859</v>
      </c>
    </row>
    <row r="30" spans="1:15">
      <c r="A30" s="40" t="s">
        <v>26</v>
      </c>
      <c r="B30" s="501">
        <v>0</v>
      </c>
      <c r="C30" s="501">
        <v>-3.1944745381375981</v>
      </c>
      <c r="D30" s="501">
        <v>2.3396636532367836</v>
      </c>
      <c r="E30" s="501">
        <v>-9.4411464364413007</v>
      </c>
      <c r="F30" s="501">
        <v>1.6057881427366567</v>
      </c>
      <c r="G30" s="501">
        <v>5.3196639612701517</v>
      </c>
      <c r="H30" s="501">
        <v>5.4565372242886099</v>
      </c>
      <c r="I30" s="501">
        <v>-1.3524264120922851</v>
      </c>
      <c r="J30" s="501">
        <v>-5.7492094564565832</v>
      </c>
      <c r="K30" s="501">
        <v>1.2884591286055525</v>
      </c>
      <c r="L30" s="501">
        <v>1.2791558605399729</v>
      </c>
      <c r="M30" s="501">
        <v>2.2883004479660656</v>
      </c>
      <c r="N30" s="501">
        <v>-6.5985617685125675</v>
      </c>
      <c r="O30" s="501">
        <v>-3.6023346649062233</v>
      </c>
    </row>
    <row r="31" spans="1:15">
      <c r="A31" s="40" t="s">
        <v>27</v>
      </c>
      <c r="B31" s="501">
        <v>0</v>
      </c>
      <c r="C31" s="501">
        <v>-4.6681683203043178</v>
      </c>
      <c r="D31" s="501">
        <v>1.7511767902385316</v>
      </c>
      <c r="E31" s="501">
        <v>-15.971153423332368</v>
      </c>
      <c r="F31" s="501">
        <v>3.6808092160719212</v>
      </c>
      <c r="G31" s="501">
        <v>6.6958564715933164</v>
      </c>
      <c r="H31" s="501">
        <v>4.6601748188574987</v>
      </c>
      <c r="I31" s="501">
        <v>-1.3524264120922851</v>
      </c>
      <c r="J31" s="501">
        <v>-8.1831842181447172</v>
      </c>
      <c r="K31" s="501">
        <v>1.0698812407171232</v>
      </c>
      <c r="L31" s="501">
        <v>1.8265973420030832</v>
      </c>
      <c r="M31" s="501">
        <v>3.983143012506801</v>
      </c>
      <c r="N31" s="501">
        <v>-7.4562405265670861</v>
      </c>
      <c r="O31" s="501">
        <v>-3.7657263592413557</v>
      </c>
    </row>
    <row r="32" spans="1:15">
      <c r="A32" s="40" t="s">
        <v>28</v>
      </c>
      <c r="B32" s="501">
        <v>0</v>
      </c>
      <c r="C32" s="501">
        <v>-6.2955295927089168</v>
      </c>
      <c r="D32" s="501">
        <v>4.2978426100390266E-2</v>
      </c>
      <c r="E32" s="501">
        <v>-26.886778163766891</v>
      </c>
      <c r="F32" s="501">
        <v>1.6928912615903329</v>
      </c>
      <c r="G32" s="501">
        <v>6.3238644453936956</v>
      </c>
      <c r="H32" s="501">
        <v>4.7026646480882874</v>
      </c>
      <c r="I32" s="501">
        <v>-2.4211084592946293</v>
      </c>
      <c r="J32" s="501">
        <v>-9.0893043413756089</v>
      </c>
      <c r="K32" s="501">
        <v>4.1287390890807529</v>
      </c>
      <c r="L32" s="501">
        <v>2.3190671779154144</v>
      </c>
      <c r="M32" s="501">
        <v>3.2967095212201656</v>
      </c>
      <c r="N32" s="501">
        <v>-7.6498965276191768</v>
      </c>
      <c r="O32" s="501">
        <v>-3.6594871898640235</v>
      </c>
    </row>
    <row r="33" spans="1:15">
      <c r="A33" s="40" t="s">
        <v>29</v>
      </c>
      <c r="B33" s="501">
        <v>0</v>
      </c>
      <c r="C33" s="501">
        <v>-7.1111353592667115</v>
      </c>
      <c r="D33" s="501">
        <v>-1.0114397419882408</v>
      </c>
      <c r="E33" s="501">
        <v>-42.089911027073001</v>
      </c>
      <c r="F33" s="501">
        <v>0.33717336330431635</v>
      </c>
      <c r="G33" s="501">
        <v>3.4760785988893588</v>
      </c>
      <c r="H33" s="501">
        <v>5.9915643359562409</v>
      </c>
      <c r="I33" s="501">
        <v>-3.8186157517900199</v>
      </c>
      <c r="J33" s="501">
        <v>-8.8212646202141372</v>
      </c>
      <c r="K33" s="501">
        <v>3.6632339255889974</v>
      </c>
      <c r="L33" s="501">
        <v>2.6939829004678302</v>
      </c>
      <c r="M33" s="501">
        <v>1.1239610036510896</v>
      </c>
      <c r="N33" s="501">
        <v>-7.5206079607981593</v>
      </c>
      <c r="O33" s="501">
        <v>-3.4770409066611734</v>
      </c>
    </row>
    <row r="34" spans="1:15">
      <c r="A34" s="40" t="s">
        <v>2827</v>
      </c>
      <c r="B34" s="501"/>
      <c r="C34" s="501"/>
      <c r="D34" s="501"/>
      <c r="E34" s="501"/>
      <c r="F34" s="501"/>
      <c r="G34" s="501"/>
      <c r="H34" s="501"/>
      <c r="I34" s="501"/>
      <c r="J34" s="501"/>
      <c r="K34" s="501"/>
      <c r="L34" s="501"/>
      <c r="M34" s="501"/>
      <c r="N34" s="501"/>
      <c r="O34" s="501"/>
    </row>
    <row r="35" spans="1:15">
      <c r="A35" s="40" t="s">
        <v>18</v>
      </c>
      <c r="B35" s="501">
        <v>0</v>
      </c>
      <c r="C35" s="501">
        <v>0.12871373528263064</v>
      </c>
      <c r="D35" s="501">
        <v>1.8693081278543957</v>
      </c>
      <c r="E35" s="501">
        <v>-1.0478890351321013</v>
      </c>
      <c r="F35" s="501">
        <v>-3.3183982077849521</v>
      </c>
      <c r="G35" s="501">
        <v>-2.8587646421383965</v>
      </c>
      <c r="H35" s="501">
        <v>0.58897523012358022</v>
      </c>
      <c r="I35" s="501">
        <v>0</v>
      </c>
      <c r="J35" s="501">
        <v>-0.86245439877660601</v>
      </c>
      <c r="K35" s="501">
        <v>-5.1722600398264262E-2</v>
      </c>
      <c r="L35" s="501">
        <v>0.16312622344669592</v>
      </c>
      <c r="M35" s="501">
        <v>-1.9348674639793302</v>
      </c>
      <c r="N35" s="501">
        <v>-0.99463391634299114</v>
      </c>
      <c r="O35" s="501">
        <v>0.22029548595160975</v>
      </c>
    </row>
    <row r="36" spans="1:15">
      <c r="A36" s="40" t="s">
        <v>19</v>
      </c>
      <c r="B36" s="501">
        <v>0</v>
      </c>
      <c r="C36" s="501">
        <v>0.30588391262904224</v>
      </c>
      <c r="D36" s="501">
        <v>1.7220621746101017</v>
      </c>
      <c r="E36" s="501">
        <v>-2.0699243552843143</v>
      </c>
      <c r="F36" s="501">
        <v>-5.6711805416650094</v>
      </c>
      <c r="G36" s="501">
        <v>-4.8596418803859933</v>
      </c>
      <c r="H36" s="501">
        <v>2.9804380282849081</v>
      </c>
      <c r="I36" s="501">
        <v>-0.18315018315013276</v>
      </c>
      <c r="J36" s="501">
        <v>-1.2297172330737709</v>
      </c>
      <c r="K36" s="501">
        <v>-2.5098200749934847</v>
      </c>
      <c r="L36" s="501">
        <v>0.35430325251249428</v>
      </c>
      <c r="M36" s="501">
        <v>-2.9228090077991595</v>
      </c>
      <c r="N36" s="501">
        <v>-1.319389427564289</v>
      </c>
      <c r="O36" s="501">
        <v>-0.23349150251404183</v>
      </c>
    </row>
    <row r="37" spans="1:15">
      <c r="A37" s="40" t="s">
        <v>20</v>
      </c>
      <c r="B37" s="501">
        <v>0</v>
      </c>
      <c r="C37" s="501">
        <v>-2.4222347523728729</v>
      </c>
      <c r="D37" s="501">
        <v>-1.0498639012503759</v>
      </c>
      <c r="E37" s="501">
        <v>-8.4109547433431402</v>
      </c>
      <c r="F37" s="501">
        <v>-32.525903108373015</v>
      </c>
      <c r="G37" s="501">
        <v>-9.6547809484493285</v>
      </c>
      <c r="H37" s="501">
        <v>-4.3168004890492711</v>
      </c>
      <c r="I37" s="501">
        <v>-12.90322580645163</v>
      </c>
      <c r="J37" s="501">
        <v>-3.3787563636520872</v>
      </c>
      <c r="K37" s="501">
        <v>-3.367319639725352</v>
      </c>
      <c r="L37" s="501">
        <v>0.40237801783517568</v>
      </c>
      <c r="M37" s="501">
        <v>-7.9300759063389279</v>
      </c>
      <c r="N37" s="501">
        <v>-2.900828487393099</v>
      </c>
      <c r="O37" s="501">
        <v>-0.99788090067835356</v>
      </c>
    </row>
    <row r="38" spans="1:15">
      <c r="A38" s="40" t="s">
        <v>21</v>
      </c>
      <c r="B38" s="501">
        <v>0</v>
      </c>
      <c r="C38" s="501">
        <v>-4.1984842992737157</v>
      </c>
      <c r="D38" s="501">
        <v>-2.5117645688875996</v>
      </c>
      <c r="E38" s="501">
        <v>-9.2603185852654093</v>
      </c>
      <c r="F38" s="501">
        <v>-8.2269205638010163</v>
      </c>
      <c r="G38" s="501">
        <v>-8.1629599050518777</v>
      </c>
      <c r="H38" s="501">
        <v>1.1849844624964589</v>
      </c>
      <c r="I38" s="501">
        <v>-4.1880341880342229</v>
      </c>
      <c r="J38" s="501">
        <v>-9.725813082322361</v>
      </c>
      <c r="K38" s="501">
        <v>-3.1533743547060453</v>
      </c>
      <c r="L38" s="501">
        <v>-0.83206457381760401</v>
      </c>
      <c r="M38" s="501">
        <v>-7.9300759063389279</v>
      </c>
      <c r="N38" s="501">
        <v>-4.0885516064572585</v>
      </c>
      <c r="O38" s="501">
        <v>-2.3926547207464637</v>
      </c>
    </row>
    <row r="39" spans="1:15">
      <c r="A39" s="40" t="s">
        <v>22</v>
      </c>
      <c r="B39" s="501">
        <v>0</v>
      </c>
      <c r="C39" s="501">
        <v>-6.52529971672908</v>
      </c>
      <c r="D39" s="501">
        <v>-6.4786997258063366</v>
      </c>
      <c r="E39" s="501">
        <v>-14.197124632985734</v>
      </c>
      <c r="F39" s="501">
        <v>14.015681881825785</v>
      </c>
      <c r="G39" s="501">
        <v>-8.2305588523659168</v>
      </c>
      <c r="H39" s="501">
        <v>4.6718314660898272</v>
      </c>
      <c r="I39" s="501">
        <v>0.99255583126556246</v>
      </c>
      <c r="J39" s="501">
        <v>-11.65857778180964</v>
      </c>
      <c r="K39" s="501">
        <v>-7.1377188549686394</v>
      </c>
      <c r="L39" s="501">
        <v>-5.0629546388263975</v>
      </c>
      <c r="M39" s="501">
        <v>-7.9300759063389279</v>
      </c>
      <c r="N39" s="501">
        <v>-6.6840297267562931</v>
      </c>
      <c r="O39" s="501">
        <v>-5.9490263149159262</v>
      </c>
    </row>
    <row r="40" spans="1:15">
      <c r="A40" s="40" t="s">
        <v>23</v>
      </c>
      <c r="B40" s="501">
        <v>0</v>
      </c>
      <c r="C40" s="501">
        <v>-6.4059724068182078</v>
      </c>
      <c r="D40" s="501">
        <v>-7.1323254373720317</v>
      </c>
      <c r="E40" s="501">
        <v>-21.610728628800913</v>
      </c>
      <c r="F40" s="501">
        <v>27.770465789228012</v>
      </c>
      <c r="G40" s="501">
        <v>-7.7683747011369491</v>
      </c>
      <c r="H40" s="501">
        <v>5.1403273652077814</v>
      </c>
      <c r="I40" s="501">
        <v>-2.1367521367521363</v>
      </c>
      <c r="J40" s="501">
        <v>-14.853186919837611</v>
      </c>
      <c r="K40" s="501">
        <v>-7.9531325862290885</v>
      </c>
      <c r="L40" s="501">
        <v>-4.865108710537541</v>
      </c>
      <c r="M40" s="501">
        <v>-7.9300759063389279</v>
      </c>
      <c r="N40" s="501">
        <v>-7.3041603987516623</v>
      </c>
      <c r="O40" s="501">
        <v>-5.0042713914603496</v>
      </c>
    </row>
    <row r="41" spans="1:15">
      <c r="A41" s="40" t="s">
        <v>24</v>
      </c>
      <c r="B41" s="501">
        <v>0</v>
      </c>
      <c r="C41" s="501">
        <v>-9.775531300763916</v>
      </c>
      <c r="D41" s="501">
        <v>-9.7520564528203124</v>
      </c>
      <c r="E41" s="501">
        <v>-23.36235699098917</v>
      </c>
      <c r="F41" s="501">
        <v>24.488938672640685</v>
      </c>
      <c r="G41" s="501">
        <v>-13.638474637494184</v>
      </c>
      <c r="H41" s="501">
        <v>8.9780515617836016</v>
      </c>
      <c r="I41" s="501">
        <v>-8.6021505376343725</v>
      </c>
      <c r="J41" s="501">
        <v>-16.537611694648419</v>
      </c>
      <c r="K41" s="501">
        <v>-9.5377664159804993</v>
      </c>
      <c r="L41" s="501">
        <v>-5.4266656999927392</v>
      </c>
      <c r="M41" s="501">
        <v>-4.5063687386872147</v>
      </c>
      <c r="N41" s="501">
        <v>-9.450144816902025</v>
      </c>
      <c r="O41" s="501">
        <v>-4.8922718386898936</v>
      </c>
    </row>
    <row r="42" spans="1:15">
      <c r="A42" s="40" t="s">
        <v>25</v>
      </c>
      <c r="B42" s="501">
        <v>0</v>
      </c>
      <c r="C42" s="501">
        <v>-10.381509525152026</v>
      </c>
      <c r="D42" s="501">
        <v>-9.8361824478953963</v>
      </c>
      <c r="E42" s="501">
        <v>-25.979548445884348</v>
      </c>
      <c r="F42" s="501">
        <v>21.492579109493064</v>
      </c>
      <c r="G42" s="501">
        <v>-25.749522679188814</v>
      </c>
      <c r="H42" s="501">
        <v>11.630791295863062</v>
      </c>
      <c r="I42" s="501">
        <v>-7.6095947063688669</v>
      </c>
      <c r="J42" s="501">
        <v>-15.69222063108424</v>
      </c>
      <c r="K42" s="501">
        <v>-4.8286317291400138</v>
      </c>
      <c r="L42" s="501">
        <v>-6.3135890185842811</v>
      </c>
      <c r="M42" s="501">
        <v>0.24341880998450449</v>
      </c>
      <c r="N42" s="501">
        <v>-10.229237297649249</v>
      </c>
      <c r="O42" s="501">
        <v>-3.7272039593789827</v>
      </c>
    </row>
    <row r="43" spans="1:15">
      <c r="A43" s="40" t="s">
        <v>26</v>
      </c>
      <c r="B43" s="501">
        <v>0</v>
      </c>
      <c r="C43" s="501">
        <v>-12.264052787734798</v>
      </c>
      <c r="D43" s="501">
        <v>-14.647219778449212</v>
      </c>
      <c r="E43" s="501">
        <v>-27.095440585872922</v>
      </c>
      <c r="F43" s="501">
        <v>22.706524782973929</v>
      </c>
      <c r="G43" s="501">
        <v>-26.143247845606041</v>
      </c>
      <c r="H43" s="501">
        <v>8.8047290439635049</v>
      </c>
      <c r="I43" s="501">
        <v>-8.1196581196580837</v>
      </c>
      <c r="J43" s="501">
        <v>-20.312223035790538</v>
      </c>
      <c r="K43" s="501">
        <v>-8.9624763433508576</v>
      </c>
      <c r="L43" s="501">
        <v>-9.1616117676438193</v>
      </c>
      <c r="M43" s="501">
        <v>0.23655315124138099</v>
      </c>
      <c r="N43" s="501">
        <v>-15.018373410569026</v>
      </c>
      <c r="O43" s="501">
        <v>-5.3573730855169117</v>
      </c>
    </row>
    <row r="44" spans="1:15">
      <c r="A44" s="40" t="s">
        <v>27</v>
      </c>
      <c r="B44" s="501">
        <v>0</v>
      </c>
      <c r="C44" s="501">
        <v>-13.021064078295552</v>
      </c>
      <c r="D44" s="501">
        <v>-15.191301086936406</v>
      </c>
      <c r="E44" s="501">
        <v>-28.204414295838802</v>
      </c>
      <c r="F44" s="501">
        <v>19.686362363483553</v>
      </c>
      <c r="G44" s="501">
        <v>-26.286186077712955</v>
      </c>
      <c r="H44" s="501">
        <v>11.379800853485065</v>
      </c>
      <c r="I44" s="501">
        <v>-7.8577336641852185</v>
      </c>
      <c r="J44" s="501">
        <v>-22.525330413127122</v>
      </c>
      <c r="K44" s="501">
        <v>-11.459231295145784</v>
      </c>
      <c r="L44" s="501">
        <v>-11.397085478141051</v>
      </c>
      <c r="M44" s="501">
        <v>-0.16612013462456332</v>
      </c>
      <c r="N44" s="501">
        <v>-17.038999528503112</v>
      </c>
      <c r="O44" s="501">
        <v>-7.3544800694602941</v>
      </c>
    </row>
    <row r="45" spans="1:15">
      <c r="A45" s="40" t="s">
        <v>28</v>
      </c>
      <c r="B45" s="501">
        <v>0</v>
      </c>
      <c r="C45" s="501">
        <v>-9.8183016275770427</v>
      </c>
      <c r="D45" s="501">
        <v>-11.824935230113155</v>
      </c>
      <c r="E45" s="501">
        <v>-28.267186392629341</v>
      </c>
      <c r="F45" s="501">
        <v>20.652011574722337</v>
      </c>
      <c r="G45" s="501">
        <v>-26.233895797856761</v>
      </c>
      <c r="H45" s="501">
        <v>13.683916626500391</v>
      </c>
      <c r="I45" s="501">
        <v>-5.6410256410256494</v>
      </c>
      <c r="J45" s="501">
        <v>-19.937484835590837</v>
      </c>
      <c r="K45" s="501">
        <v>-9.9460182515382769</v>
      </c>
      <c r="L45" s="501">
        <v>-11.183128317906821</v>
      </c>
      <c r="M45" s="501">
        <v>0.18842952457316642</v>
      </c>
      <c r="N45" s="501">
        <v>-12.921035496980167</v>
      </c>
      <c r="O45" s="501">
        <v>-4.6632646940816045</v>
      </c>
    </row>
    <row r="46" spans="1:15">
      <c r="A46" s="40" t="s">
        <v>29</v>
      </c>
      <c r="B46" s="501">
        <v>0</v>
      </c>
      <c r="C46" s="501">
        <v>-6.376448239290113</v>
      </c>
      <c r="D46" s="501">
        <v>-8.5152617387845453</v>
      </c>
      <c r="E46" s="501">
        <v>-28.495494583375489</v>
      </c>
      <c r="F46" s="501">
        <v>12.251470176421094</v>
      </c>
      <c r="G46" s="501">
        <v>-26.399711027400755</v>
      </c>
      <c r="H46" s="501">
        <v>15.412694120828107</v>
      </c>
      <c r="I46" s="501">
        <v>-6.947890818858582</v>
      </c>
      <c r="J46" s="501">
        <v>-15.633038936803018</v>
      </c>
      <c r="K46" s="501">
        <v>-9.1905710293986544</v>
      </c>
      <c r="L46" s="501">
        <v>-8.8112327509122821</v>
      </c>
      <c r="M46" s="501">
        <v>0.22661475012368726</v>
      </c>
      <c r="N46" s="501">
        <v>-8.4959249197332554</v>
      </c>
      <c r="O46" s="501">
        <v>-1.2527667960021773</v>
      </c>
    </row>
    <row r="47" spans="1:15">
      <c r="A47" s="40" t="s">
        <v>3518</v>
      </c>
      <c r="B47" s="501"/>
      <c r="C47" s="501"/>
      <c r="D47" s="501"/>
      <c r="E47" s="501"/>
      <c r="F47" s="501"/>
      <c r="G47" s="501"/>
      <c r="H47" s="501"/>
      <c r="I47" s="501"/>
      <c r="J47" s="501"/>
      <c r="K47" s="501"/>
      <c r="L47" s="501"/>
      <c r="M47" s="501"/>
      <c r="N47" s="501"/>
      <c r="O47" s="501"/>
    </row>
    <row r="48" spans="1:15">
      <c r="A48" s="40" t="s">
        <v>18</v>
      </c>
      <c r="B48" s="501">
        <v>0</v>
      </c>
      <c r="C48" s="501">
        <v>1.7037133961523807</v>
      </c>
      <c r="D48" s="501">
        <v>0.32543184400466885</v>
      </c>
      <c r="E48" s="501">
        <v>-0.65132743362839562</v>
      </c>
      <c r="F48" s="501">
        <v>-6.2866408881127569</v>
      </c>
      <c r="G48" s="501">
        <v>0.20332328402157884</v>
      </c>
      <c r="H48" s="501">
        <v>0.45175123633158876</v>
      </c>
      <c r="I48" s="501">
        <v>1.8666666666666458</v>
      </c>
      <c r="J48" s="501">
        <v>3.311546506299166</v>
      </c>
      <c r="K48" s="501">
        <v>0.20295130478056933</v>
      </c>
      <c r="L48" s="501">
        <v>2.6422494898365159</v>
      </c>
      <c r="M48" s="501">
        <v>1.0059639290062705E-2</v>
      </c>
      <c r="N48" s="501">
        <v>3.9798797693534311</v>
      </c>
      <c r="O48" s="501">
        <v>0.88475378687358841</v>
      </c>
    </row>
    <row r="49" spans="1:15">
      <c r="A49" s="40" t="s">
        <v>19</v>
      </c>
      <c r="B49" s="501">
        <v>0</v>
      </c>
      <c r="C49" s="501">
        <v>1.2210991595253233</v>
      </c>
      <c r="D49" s="501">
        <v>-0.73040144832313558</v>
      </c>
      <c r="E49" s="501">
        <v>-1.0194690265486486</v>
      </c>
      <c r="F49" s="501">
        <v>-10.276822466544289</v>
      </c>
      <c r="G49" s="501">
        <v>0.23512384691657928</v>
      </c>
      <c r="H49" s="501">
        <v>1.49782200462883</v>
      </c>
      <c r="I49" s="501">
        <v>3.8253968253968225</v>
      </c>
      <c r="J49" s="501">
        <v>1.6979150551473197</v>
      </c>
      <c r="K49" s="501">
        <v>-2.1564511392395218</v>
      </c>
      <c r="L49" s="501">
        <v>2.1583040233823567</v>
      </c>
      <c r="M49" s="501">
        <v>1.1188782475684889E-2</v>
      </c>
      <c r="N49" s="501">
        <v>1.4425924952240479</v>
      </c>
      <c r="O49" s="501">
        <v>0.84103673420284508</v>
      </c>
    </row>
    <row r="50" spans="1:15">
      <c r="A50" s="40" t="s">
        <v>20</v>
      </c>
      <c r="B50" s="501">
        <v>0</v>
      </c>
      <c r="C50" s="501">
        <v>0.81394661040800997</v>
      </c>
      <c r="D50" s="501">
        <v>-0.55999837907515371</v>
      </c>
      <c r="E50" s="501">
        <v>-1.7274336283186358</v>
      </c>
      <c r="F50" s="501">
        <v>-13.608581763752014</v>
      </c>
      <c r="G50" s="501">
        <v>7.011147724881539E-3</v>
      </c>
      <c r="H50" s="501">
        <v>3.8126378299642596</v>
      </c>
      <c r="I50" s="501">
        <v>4.2666666666666231</v>
      </c>
      <c r="J50" s="501">
        <v>0.5258536160756222</v>
      </c>
      <c r="K50" s="501">
        <v>-4.9984942322548136</v>
      </c>
      <c r="L50" s="501">
        <v>1.2866721437468414</v>
      </c>
      <c r="M50" s="501">
        <v>1.2454791501980367E-2</v>
      </c>
      <c r="N50" s="501">
        <v>-0.90541037909464706</v>
      </c>
      <c r="O50" s="501">
        <v>0.52437716942472434</v>
      </c>
    </row>
    <row r="51" spans="1:15">
      <c r="A51" s="40" t="s">
        <v>21</v>
      </c>
      <c r="B51" s="501">
        <v>0</v>
      </c>
      <c r="C51" s="501">
        <v>3.5331843218933727</v>
      </c>
      <c r="D51" s="501">
        <v>2.2086971972026959</v>
      </c>
      <c r="E51" s="501">
        <v>-3.5177581120943984</v>
      </c>
      <c r="F51" s="501">
        <v>-18.823333749116443</v>
      </c>
      <c r="G51" s="501">
        <v>6.5904788613920573E-2</v>
      </c>
      <c r="H51" s="501">
        <v>6.3725954560039071</v>
      </c>
      <c r="I51" s="501">
        <v>3.608888888888842</v>
      </c>
      <c r="J51" s="501">
        <v>1.1285883620965507</v>
      </c>
      <c r="K51" s="501">
        <v>-4.9842876409201864</v>
      </c>
      <c r="L51" s="501">
        <v>1.4519562893664926</v>
      </c>
      <c r="M51" s="501">
        <v>8.9259339097509383E-3</v>
      </c>
      <c r="N51" s="501">
        <v>-2.0520181572813385</v>
      </c>
      <c r="O51" s="501">
        <v>3.6453943620608555</v>
      </c>
    </row>
    <row r="52" spans="1:15">
      <c r="A52" s="40" t="s">
        <v>22</v>
      </c>
      <c r="B52" s="501">
        <v>0</v>
      </c>
      <c r="C52" s="501">
        <v>2.768780729128423</v>
      </c>
      <c r="D52" s="501">
        <v>2.5286428338754661</v>
      </c>
      <c r="E52" s="501">
        <v>-5.4548672566371863</v>
      </c>
      <c r="F52" s="501">
        <v>-17.101160034925769</v>
      </c>
      <c r="G52" s="501">
        <v>0</v>
      </c>
      <c r="H52" s="501">
        <v>5.9990730696165286</v>
      </c>
      <c r="I52" s="501">
        <v>4.7999999999999829</v>
      </c>
      <c r="J52" s="501">
        <v>-1.4370089323431046</v>
      </c>
      <c r="K52" s="501">
        <v>-5.8089900881201402</v>
      </c>
      <c r="L52" s="501">
        <v>-4.6378501576853637E-2</v>
      </c>
      <c r="M52" s="501">
        <v>1.437091327152018E-2</v>
      </c>
      <c r="N52" s="501">
        <v>-2.5542878174457258</v>
      </c>
      <c r="O52" s="501">
        <v>4.0097869585062824</v>
      </c>
    </row>
    <row r="53" spans="1:15">
      <c r="A53" s="40" t="s">
        <v>23</v>
      </c>
      <c r="B53" s="501">
        <v>0</v>
      </c>
      <c r="C53" s="501">
        <v>2.33370795311221</v>
      </c>
      <c r="D53" s="501">
        <v>3.7424090580607583</v>
      </c>
      <c r="E53" s="501">
        <v>-20.186430678466081</v>
      </c>
      <c r="F53" s="501">
        <v>-20.859839507712749</v>
      </c>
      <c r="G53" s="501">
        <v>-1.3788590525606992E-2</v>
      </c>
      <c r="H53" s="501">
        <v>2.6112783320685793</v>
      </c>
      <c r="I53" s="501">
        <v>4.7111111111110944</v>
      </c>
      <c r="J53" s="501">
        <v>-4.2949149562770117</v>
      </c>
      <c r="K53" s="501">
        <v>-5.1777678848109474</v>
      </c>
      <c r="L53" s="501">
        <v>-2.2532884566118412</v>
      </c>
      <c r="M53" s="501">
        <v>1.2390920776340408E-2</v>
      </c>
      <c r="N53" s="501">
        <v>-0.19351408825090743</v>
      </c>
      <c r="O53" s="501">
        <v>3.5523427723583154</v>
      </c>
    </row>
    <row r="54" spans="1:15">
      <c r="A54" s="40" t="s">
        <v>24</v>
      </c>
      <c r="B54" s="501">
        <v>0</v>
      </c>
      <c r="C54" s="501">
        <v>4.350787508133223</v>
      </c>
      <c r="D54" s="501">
        <v>5.7237351720440302</v>
      </c>
      <c r="E54" s="501">
        <v>-29.292035398230126</v>
      </c>
      <c r="F54" s="501">
        <v>-27.117375576899079</v>
      </c>
      <c r="G54" s="501">
        <v>1.4022295449763078E-2</v>
      </c>
      <c r="H54" s="501">
        <v>3.4199656730176713</v>
      </c>
      <c r="I54" s="501">
        <v>4.8888888888888715</v>
      </c>
      <c r="J54" s="501">
        <v>-4.2477912356024206</v>
      </c>
      <c r="K54" s="501">
        <v>-5.7919683657837311</v>
      </c>
      <c r="L54" s="501">
        <v>-2.7972861951077448</v>
      </c>
      <c r="M54" s="501">
        <v>4.5507892026535046E-2</v>
      </c>
      <c r="N54" s="501">
        <v>0.6870322659796102</v>
      </c>
      <c r="O54" s="501">
        <v>6.554360787061114</v>
      </c>
    </row>
    <row r="55" spans="1:15">
      <c r="A55" s="40" t="s">
        <v>25</v>
      </c>
      <c r="B55" s="501">
        <v>0</v>
      </c>
      <c r="C55" s="501">
        <v>3.0611275517611745</v>
      </c>
      <c r="D55" s="501">
        <v>4.3398705442099299</v>
      </c>
      <c r="E55" s="501">
        <v>-30.633628318584087</v>
      </c>
      <c r="F55" s="501">
        <v>-30.89684420606207</v>
      </c>
      <c r="G55" s="501">
        <v>4.9078034074170773E-2</v>
      </c>
      <c r="H55" s="501">
        <v>2.5128980834950596</v>
      </c>
      <c r="I55" s="501">
        <v>3.3777777777777231</v>
      </c>
      <c r="J55" s="501">
        <v>-6.7813099233748915</v>
      </c>
      <c r="K55" s="501">
        <v>-7.7979128749688869</v>
      </c>
      <c r="L55" s="501">
        <v>-3.6758275249781605</v>
      </c>
      <c r="M55" s="501">
        <v>8.1435175205371024E-3</v>
      </c>
      <c r="N55" s="501">
        <v>-2.2132253711201599</v>
      </c>
      <c r="O55" s="501">
        <v>6.1495784106631106</v>
      </c>
    </row>
    <row r="56" spans="1:15">
      <c r="A56" s="40" t="s">
        <v>26</v>
      </c>
      <c r="B56" s="501">
        <v>0</v>
      </c>
      <c r="C56" s="501">
        <v>0.99031664632249772</v>
      </c>
      <c r="D56" s="501">
        <v>2.0157551821540238</v>
      </c>
      <c r="E56" s="501">
        <v>-30.867256637168168</v>
      </c>
      <c r="F56" s="501">
        <v>-32.009064072179939</v>
      </c>
      <c r="G56" s="501">
        <v>2.9680525368675603E-2</v>
      </c>
      <c r="H56" s="501">
        <v>1.5913493288243217</v>
      </c>
      <c r="I56" s="501">
        <v>-6.5185185185100636E-2</v>
      </c>
      <c r="J56" s="501">
        <v>-8.5432950250424824</v>
      </c>
      <c r="K56" s="501">
        <v>-9.6345785377903752</v>
      </c>
      <c r="L56" s="501">
        <v>-4.2633768849548233</v>
      </c>
      <c r="M56" s="501">
        <v>1.2885918900138904E-2</v>
      </c>
      <c r="N56" s="501">
        <v>-2.9242219768535591</v>
      </c>
      <c r="O56" s="501">
        <v>3.9325928835201296</v>
      </c>
    </row>
    <row r="57" spans="1:15">
      <c r="A57" s="40" t="s">
        <v>27</v>
      </c>
      <c r="B57" s="501">
        <v>0</v>
      </c>
      <c r="C57" s="501">
        <v>-0.23731894124199471</v>
      </c>
      <c r="D57" s="501">
        <v>-3.3665363172872276E-2</v>
      </c>
      <c r="E57" s="501">
        <v>-33.058407079646031</v>
      </c>
      <c r="F57" s="501">
        <v>-32.393663465136569</v>
      </c>
      <c r="G57" s="501">
        <v>0.92547149968442</v>
      </c>
      <c r="H57" s="501">
        <v>-0.11713955395293851</v>
      </c>
      <c r="I57" s="501">
        <v>-1.5999999999999375</v>
      </c>
      <c r="J57" s="501">
        <v>-9.7792387667273886</v>
      </c>
      <c r="K57" s="501">
        <v>-13.098215337881129</v>
      </c>
      <c r="L57" s="501">
        <v>-4.4324596507035778</v>
      </c>
      <c r="M57" s="501">
        <v>-21.850015568489439</v>
      </c>
      <c r="N57" s="501">
        <v>-4.3135811556864212</v>
      </c>
      <c r="O57" s="501">
        <v>3.1429016244369734</v>
      </c>
    </row>
    <row r="58" spans="1:15">
      <c r="A58" s="40" t="s">
        <v>28</v>
      </c>
      <c r="B58" s="501">
        <v>0</v>
      </c>
      <c r="C58" s="501">
        <v>2.0679191036370383</v>
      </c>
      <c r="D58" s="501">
        <v>1.9985224646163147</v>
      </c>
      <c r="E58" s="501">
        <v>-34.865250737463171</v>
      </c>
      <c r="F58" s="501">
        <v>-27.459149307721077</v>
      </c>
      <c r="G58" s="501">
        <v>2.1089532356445773</v>
      </c>
      <c r="H58" s="501">
        <v>-0.62428591558142443</v>
      </c>
      <c r="I58" s="501">
        <v>1.5881481481481217</v>
      </c>
      <c r="J58" s="501">
        <v>-9.8948719458547174</v>
      </c>
      <c r="K58" s="501">
        <v>-9.5513685028303996</v>
      </c>
      <c r="L58" s="501">
        <v>-3.3884133252060451</v>
      </c>
      <c r="M58" s="501">
        <v>-23.366370466176519</v>
      </c>
      <c r="N58" s="501">
        <v>-1.0428986218460068</v>
      </c>
      <c r="O58" s="501">
        <v>4.5260024319967016</v>
      </c>
    </row>
    <row r="59" spans="1:15">
      <c r="A59" s="40" t="s">
        <v>29</v>
      </c>
      <c r="B59" s="501">
        <v>0</v>
      </c>
      <c r="C59" s="501">
        <v>3.1814002176021745</v>
      </c>
      <c r="D59" s="501">
        <v>4.0435841766558838</v>
      </c>
      <c r="E59" s="501">
        <v>-35.886725663716817</v>
      </c>
      <c r="F59" s="501">
        <v>-27.691156292877579</v>
      </c>
      <c r="G59" s="501">
        <v>-0.42768001121791599</v>
      </c>
      <c r="H59" s="501">
        <v>1.1204652986791075E-2</v>
      </c>
      <c r="I59" s="501">
        <v>1.9555555555555344</v>
      </c>
      <c r="J59" s="501">
        <v>-6.160218943530964</v>
      </c>
      <c r="K59" s="501">
        <v>-6.0139054377855814</v>
      </c>
      <c r="L59" s="501">
        <v>-2.1917154745183467</v>
      </c>
      <c r="M59" s="501">
        <v>-23.398241958276486</v>
      </c>
      <c r="N59" s="501">
        <v>-0.73365231259967345</v>
      </c>
      <c r="O59" s="501">
        <v>7.8398278967238895</v>
      </c>
    </row>
    <row r="60" spans="1:15">
      <c r="A60" s="40" t="s">
        <v>3989</v>
      </c>
      <c r="B60" s="501"/>
      <c r="C60" s="501"/>
      <c r="D60" s="501"/>
      <c r="E60" s="501"/>
      <c r="F60" s="501"/>
      <c r="G60" s="501"/>
      <c r="H60" s="501"/>
      <c r="I60" s="501"/>
      <c r="J60" s="501"/>
      <c r="K60" s="501"/>
      <c r="L60" s="501"/>
      <c r="M60" s="501"/>
      <c r="N60" s="501"/>
      <c r="O60" s="501"/>
    </row>
    <row r="61" spans="1:15">
      <c r="A61" s="40" t="s">
        <v>18</v>
      </c>
      <c r="B61" s="501">
        <v>0</v>
      </c>
      <c r="C61" s="501">
        <v>4.4297904274827715E-2</v>
      </c>
      <c r="D61" s="501">
        <v>0.40491166993481897</v>
      </c>
      <c r="E61" s="501">
        <v>-3.0753091872791742</v>
      </c>
      <c r="F61" s="501">
        <v>1.7250301880282279</v>
      </c>
      <c r="G61" s="501">
        <v>-2.0419659202929381</v>
      </c>
      <c r="H61" s="501">
        <v>0.39873910851508754</v>
      </c>
      <c r="I61" s="501">
        <v>1.8308631211857289</v>
      </c>
      <c r="J61" s="501">
        <v>-1.2236011796770043</v>
      </c>
      <c r="K61" s="501">
        <v>-0.91390359431595414</v>
      </c>
      <c r="L61" s="501">
        <v>-0.30482848317345201</v>
      </c>
      <c r="M61" s="501">
        <v>0.47839409667945176</v>
      </c>
      <c r="N61" s="501">
        <v>-1.4311844967371741</v>
      </c>
      <c r="O61" s="501">
        <v>0.9375676722073365</v>
      </c>
    </row>
    <row r="62" spans="1:15">
      <c r="A62" s="40" t="s">
        <v>19</v>
      </c>
      <c r="B62" s="501">
        <v>0</v>
      </c>
      <c r="C62" s="501">
        <v>-1.1657027953865082</v>
      </c>
      <c r="D62" s="501">
        <v>-0.25285865200835644</v>
      </c>
      <c r="E62" s="501">
        <v>-5.4975935177288164</v>
      </c>
      <c r="F62" s="501">
        <v>-0.79291904849726791</v>
      </c>
      <c r="G62" s="501">
        <v>-2.3088054620767053</v>
      </c>
      <c r="H62" s="501">
        <v>1.1518602996013669</v>
      </c>
      <c r="I62" s="501">
        <v>2.5163094128611334</v>
      </c>
      <c r="J62" s="501">
        <v>-3.7417463483644156</v>
      </c>
      <c r="K62" s="501">
        <v>0.65446623303004969</v>
      </c>
      <c r="L62" s="501">
        <v>-0.74139893148853275</v>
      </c>
      <c r="M62" s="501">
        <v>0.70977424801455413</v>
      </c>
      <c r="N62" s="501">
        <v>-2.1532972390609473</v>
      </c>
      <c r="O62" s="501">
        <v>-1.2424475836680386</v>
      </c>
    </row>
    <row r="63" spans="1:15">
      <c r="A63" s="40" t="s">
        <v>20</v>
      </c>
      <c r="B63" s="501">
        <v>0</v>
      </c>
      <c r="C63" s="501">
        <v>-0.54112930123963565</v>
      </c>
      <c r="D63" s="501">
        <v>0.32282080973342886</v>
      </c>
      <c r="E63" s="501">
        <v>-9.2204063604240645</v>
      </c>
      <c r="F63" s="501">
        <v>-0.87976539589448066</v>
      </c>
      <c r="G63" s="501">
        <v>-4.0557667934093615</v>
      </c>
      <c r="H63" s="501">
        <v>3.5137929102816656E-2</v>
      </c>
      <c r="I63" s="501">
        <v>2.7027027027027231</v>
      </c>
      <c r="J63" s="501">
        <v>-3.895880679105403</v>
      </c>
      <c r="K63" s="501">
        <v>1.163276678740587</v>
      </c>
      <c r="L63" s="501">
        <v>-0.8481005798514758</v>
      </c>
      <c r="M63" s="501">
        <v>0.70977424801455413</v>
      </c>
      <c r="N63" s="501">
        <v>-2.3630611034210602</v>
      </c>
      <c r="O63" s="501">
        <v>-2.5495606638274353</v>
      </c>
    </row>
    <row r="64" spans="1:15">
      <c r="A64" s="40" t="s">
        <v>21</v>
      </c>
      <c r="B64" s="501">
        <v>0</v>
      </c>
      <c r="C64" s="501">
        <v>-1.610133275890874</v>
      </c>
      <c r="D64" s="501">
        <v>-1.0105015382049771</v>
      </c>
      <c r="E64" s="501">
        <v>-10.068278857479413</v>
      </c>
      <c r="F64" s="501">
        <v>-2.2103386809269381</v>
      </c>
      <c r="G64" s="501">
        <v>-5.6379383185466736</v>
      </c>
      <c r="H64" s="501">
        <v>0.27862510545621433</v>
      </c>
      <c r="I64" s="501">
        <v>2.7027027027027231</v>
      </c>
      <c r="J64" s="501">
        <v>-6.3292964952533453</v>
      </c>
      <c r="K64" s="501">
        <v>-2.1385251230611857</v>
      </c>
      <c r="L64" s="501">
        <v>-1.3621091421448881</v>
      </c>
      <c r="M64" s="501">
        <v>0.70977424801455413</v>
      </c>
      <c r="N64" s="501">
        <v>-4.7047821501548839</v>
      </c>
      <c r="O64" s="501">
        <v>-4.7972950803535639</v>
      </c>
    </row>
    <row r="65" spans="1:16382">
      <c r="A65" s="40" t="s">
        <v>22</v>
      </c>
      <c r="B65" s="501">
        <v>0</v>
      </c>
      <c r="C65" s="501">
        <v>-1.1449705375507619</v>
      </c>
      <c r="D65" s="501">
        <v>-0.38229174312752434</v>
      </c>
      <c r="E65" s="501">
        <v>-9.8332597173145757</v>
      </c>
      <c r="F65" s="501">
        <v>-0.10350181128173119</v>
      </c>
      <c r="G65" s="501">
        <v>-6.5342909449372826</v>
      </c>
      <c r="H65" s="501">
        <v>-1.2715856372441436</v>
      </c>
      <c r="I65" s="501">
        <v>3.400174367916307</v>
      </c>
      <c r="J65" s="501">
        <v>-7.7041858891637958</v>
      </c>
      <c r="K65" s="501">
        <v>-0.81499024797993513</v>
      </c>
      <c r="L65" s="501">
        <v>-1.3100850810166094</v>
      </c>
      <c r="M65" s="501">
        <v>0.70977424801455413</v>
      </c>
      <c r="N65" s="501">
        <v>-4.607474787423385</v>
      </c>
      <c r="O65" s="501">
        <v>-4.9993765954235272</v>
      </c>
    </row>
    <row r="66" spans="1:16382">
      <c r="A66" s="40" t="s">
        <v>23</v>
      </c>
      <c r="B66" s="501">
        <v>0</v>
      </c>
      <c r="C66" s="501">
        <v>-1.3819788018604555</v>
      </c>
      <c r="D66" s="501">
        <v>0.42970370891895016</v>
      </c>
      <c r="E66" s="501">
        <v>-10.667329210836272</v>
      </c>
      <c r="F66" s="501">
        <v>3.1907308377896442</v>
      </c>
      <c r="G66" s="501">
        <v>-8.3809792048068061</v>
      </c>
      <c r="H66" s="501">
        <v>-4.9962061221476119</v>
      </c>
      <c r="I66" s="501">
        <v>1.1711711711712098</v>
      </c>
      <c r="J66" s="501">
        <v>-8.9612530840115028</v>
      </c>
      <c r="K66" s="501">
        <v>-1.4352883811646677</v>
      </c>
      <c r="L66" s="501">
        <v>-1.5805018154229344</v>
      </c>
      <c r="M66" s="501">
        <v>0.70977424801455413</v>
      </c>
      <c r="N66" s="501">
        <v>-5.5297936853206835</v>
      </c>
      <c r="O66" s="501">
        <v>-3.3624583576679612</v>
      </c>
    </row>
    <row r="67" spans="1:16382">
      <c r="A67" s="40" t="s">
        <v>24</v>
      </c>
      <c r="B67" s="501">
        <v>0</v>
      </c>
      <c r="C67" s="501">
        <v>-0.70251264661742141</v>
      </c>
      <c r="D67" s="501">
        <v>1.4960609869178541</v>
      </c>
      <c r="E67" s="501">
        <v>-11.600044169611351</v>
      </c>
      <c r="F67" s="501">
        <v>3.8813179230636337</v>
      </c>
      <c r="G67" s="501">
        <v>-9.5268272074355025</v>
      </c>
      <c r="H67" s="501">
        <v>-1.7507855109513031</v>
      </c>
      <c r="I67" s="501">
        <v>-3.2258064516127973</v>
      </c>
      <c r="J67" s="501">
        <v>-8.9433378530641363</v>
      </c>
      <c r="K67" s="501">
        <v>-0.26400111451656016</v>
      </c>
      <c r="L67" s="501">
        <v>-1.7138134720641176</v>
      </c>
      <c r="M67" s="501">
        <v>0.70977424801455413</v>
      </c>
      <c r="N67" s="501">
        <v>-5.8285544789401342</v>
      </c>
      <c r="O67" s="501">
        <v>-3.1188274744240516</v>
      </c>
    </row>
    <row r="68" spans="1:16382">
      <c r="A68" s="40" t="s">
        <v>25</v>
      </c>
      <c r="B68" s="501">
        <v>0</v>
      </c>
      <c r="C68" s="501">
        <v>0.72492217466229647</v>
      </c>
      <c r="D68" s="501">
        <v>2.0315989891439301</v>
      </c>
      <c r="E68" s="501">
        <v>-13.560070671378099</v>
      </c>
      <c r="F68" s="501">
        <v>2.2770398481972762</v>
      </c>
      <c r="G68" s="501">
        <v>-9.9070553443176692</v>
      </c>
      <c r="H68" s="501">
        <v>-0.5968355493992874</v>
      </c>
      <c r="I68" s="501">
        <v>-4.1848299912815179</v>
      </c>
      <c r="J68" s="501">
        <v>-1.921203903519654</v>
      </c>
      <c r="K68" s="501">
        <v>-1.6202284758985428</v>
      </c>
      <c r="L68" s="501">
        <v>-0.22625047417761834</v>
      </c>
      <c r="M68" s="501">
        <v>0.70977424801455413</v>
      </c>
      <c r="N68" s="501">
        <v>-3.6904291081669101</v>
      </c>
      <c r="O68" s="501">
        <v>0.57993030993053196</v>
      </c>
    </row>
    <row r="69" spans="1:16382">
      <c r="A69" s="40" t="s">
        <v>26</v>
      </c>
      <c r="B69" s="501">
        <v>0</v>
      </c>
      <c r="C69" s="501">
        <v>1.717403691144554</v>
      </c>
      <c r="D69" s="501">
        <v>4.3639531243211849</v>
      </c>
      <c r="E69" s="501">
        <v>-14.581124852767942</v>
      </c>
      <c r="F69" s="501">
        <v>0.16042780748659879</v>
      </c>
      <c r="G69" s="501">
        <v>-10.054452424541097</v>
      </c>
      <c r="H69" s="501">
        <v>-0.8516958718873866</v>
      </c>
      <c r="I69" s="501">
        <v>-5.0450450450449438</v>
      </c>
      <c r="J69" s="501">
        <v>0.42397257969327029</v>
      </c>
      <c r="K69" s="501">
        <v>-1.4475248444320528</v>
      </c>
      <c r="L69" s="501">
        <v>0.92261420907169622</v>
      </c>
      <c r="M69" s="501">
        <v>0.70977424801455413</v>
      </c>
      <c r="N69" s="501">
        <v>-2.0790488431876639</v>
      </c>
      <c r="O69" s="501">
        <v>2.059542792896238</v>
      </c>
    </row>
    <row r="70" spans="1:16382">
      <c r="A70" s="40" t="s">
        <v>27</v>
      </c>
      <c r="B70" s="501">
        <v>0</v>
      </c>
      <c r="C70" s="501">
        <v>-0.16138334537775734</v>
      </c>
      <c r="D70" s="501">
        <v>3.0713666180812567</v>
      </c>
      <c r="E70" s="501">
        <v>-15.045273851590096</v>
      </c>
      <c r="F70" s="501">
        <v>-5.4683456960497381</v>
      </c>
      <c r="G70" s="501">
        <v>-10.033798056611744</v>
      </c>
      <c r="H70" s="501">
        <v>-1.7090273923073056</v>
      </c>
      <c r="I70" s="501">
        <v>-5.6669572798604122</v>
      </c>
      <c r="J70" s="501">
        <v>-3.7924816050591232</v>
      </c>
      <c r="K70" s="501">
        <v>-2.4672610755085032</v>
      </c>
      <c r="L70" s="501">
        <v>0.74920067197750484</v>
      </c>
      <c r="M70" s="501">
        <v>0.70977424801455413</v>
      </c>
      <c r="N70" s="501">
        <v>-4.2490607079296439</v>
      </c>
      <c r="O70" s="501">
        <v>0.48789610798681338</v>
      </c>
    </row>
    <row r="71" spans="1:16382">
      <c r="A71" s="40" t="s">
        <v>28</v>
      </c>
      <c r="B71" s="501">
        <v>0</v>
      </c>
      <c r="C71" s="501">
        <v>-2.5792961439398852</v>
      </c>
      <c r="D71" s="501">
        <v>0.71127436073740569</v>
      </c>
      <c r="E71" s="501">
        <v>-15.448321554770388</v>
      </c>
      <c r="F71" s="501">
        <v>-9.5516934046346478</v>
      </c>
      <c r="G71" s="501">
        <v>-10.345491245364471</v>
      </c>
      <c r="H71" s="501">
        <v>-1.8246770111371831</v>
      </c>
      <c r="I71" s="501">
        <v>-6.8828828828828392</v>
      </c>
      <c r="J71" s="501">
        <v>-6.4412166715319188</v>
      </c>
      <c r="K71" s="501">
        <v>-1.2848518621714362</v>
      </c>
      <c r="L71" s="501">
        <v>-0.83852670749105584</v>
      </c>
      <c r="M71" s="501">
        <v>-0.41590061076018969</v>
      </c>
      <c r="N71" s="501">
        <v>-6.5795761650517761</v>
      </c>
      <c r="O71" s="501">
        <v>-1.7302976811537008</v>
      </c>
    </row>
    <row r="72" spans="1:16382">
      <c r="A72" s="40" t="s">
        <v>29</v>
      </c>
      <c r="B72" s="501">
        <v>0</v>
      </c>
      <c r="C72" s="501">
        <v>-4.1417671910612626</v>
      </c>
      <c r="D72" s="501">
        <v>-0.23803353441603292</v>
      </c>
      <c r="E72" s="501">
        <v>-16.812058303886971</v>
      </c>
      <c r="F72" s="501">
        <v>-12.032258064516171</v>
      </c>
      <c r="G72" s="501">
        <v>-11.153358681875801</v>
      </c>
      <c r="H72" s="501">
        <v>-4.3576124541042134</v>
      </c>
      <c r="I72" s="501">
        <v>-11.749782040104563</v>
      </c>
      <c r="J72" s="501">
        <v>-6.5346032231046252</v>
      </c>
      <c r="K72" s="501">
        <v>1.2447757035386218</v>
      </c>
      <c r="L72" s="501">
        <v>-1.9346447732076228</v>
      </c>
      <c r="M72" s="501">
        <v>-4.7295353636420288</v>
      </c>
      <c r="N72" s="501">
        <v>-9.4374134862566592</v>
      </c>
      <c r="O72" s="501">
        <v>-3.0235121957621658</v>
      </c>
    </row>
    <row r="73" spans="1:16382">
      <c r="A73" s="40" t="s">
        <v>4222</v>
      </c>
      <c r="B73" s="501"/>
      <c r="C73" s="501"/>
      <c r="D73" s="501"/>
      <c r="E73" s="501"/>
      <c r="F73" s="501"/>
      <c r="G73" s="501"/>
      <c r="H73" s="501"/>
      <c r="I73" s="501"/>
      <c r="J73" s="501"/>
      <c r="K73" s="501"/>
      <c r="L73" s="501"/>
      <c r="M73" s="501"/>
      <c r="N73" s="501"/>
      <c r="O73" s="501"/>
    </row>
    <row r="74" spans="1:16382">
      <c r="A74" s="40" t="s">
        <v>18</v>
      </c>
      <c r="B74" s="501">
        <v>0</v>
      </c>
      <c r="C74" s="501">
        <v>-1.0083253897202695</v>
      </c>
      <c r="D74" s="501">
        <v>-2.0865992756365301</v>
      </c>
      <c r="E74" s="501">
        <v>-1.4004114953208386</v>
      </c>
      <c r="F74" s="501">
        <v>1.1510955017070472</v>
      </c>
      <c r="G74" s="501">
        <v>-0.83214455539700793</v>
      </c>
      <c r="H74" s="501">
        <v>-1.1117500479202675</v>
      </c>
      <c r="I74" s="501">
        <v>-0.74093832429390716</v>
      </c>
      <c r="J74" s="501">
        <v>-1.801283754002597</v>
      </c>
      <c r="K74" s="501">
        <v>-3.0272382642948514E-2</v>
      </c>
      <c r="L74" s="501">
        <v>-0.23485853227226983</v>
      </c>
      <c r="M74" s="501">
        <v>-0.51067628505975904</v>
      </c>
      <c r="N74" s="501">
        <v>-1.0835744309187589</v>
      </c>
      <c r="O74" s="501">
        <v>-1.8449535293659807</v>
      </c>
    </row>
    <row r="75" spans="1:16382">
      <c r="A75" s="40" t="s">
        <v>19</v>
      </c>
      <c r="B75" s="501">
        <v>0</v>
      </c>
      <c r="C75" s="501">
        <v>-0.51853757091647878</v>
      </c>
      <c r="D75" s="501">
        <v>-0.88640570017940945</v>
      </c>
      <c r="E75" s="501">
        <v>-3.3059477192350357</v>
      </c>
      <c r="F75" s="501">
        <v>11.373644367237844</v>
      </c>
      <c r="G75" s="501">
        <v>0.24652990059550461</v>
      </c>
      <c r="H75" s="501">
        <v>-0.41007953241999928</v>
      </c>
      <c r="I75" s="501">
        <v>2.7855752715715028</v>
      </c>
      <c r="J75" s="501">
        <v>1.2580255474802726</v>
      </c>
      <c r="K75" s="501">
        <v>1.6901425062584252</v>
      </c>
      <c r="L75" s="501">
        <v>0.14515836175323216</v>
      </c>
      <c r="M75" s="501">
        <v>1.6411312895654504</v>
      </c>
      <c r="N75" s="501">
        <v>-0.46048988949806358</v>
      </c>
      <c r="O75" s="501">
        <v>-1.4131807045246916</v>
      </c>
    </row>
    <row r="76" spans="1:16382">
      <c r="A76" s="40" t="s">
        <v>20</v>
      </c>
      <c r="B76" s="501">
        <v>0</v>
      </c>
      <c r="C76" s="501">
        <v>3.3377672587829466</v>
      </c>
      <c r="D76" s="501">
        <v>2.12744232420971</v>
      </c>
      <c r="E76" s="501">
        <v>-4.4932634233755664</v>
      </c>
      <c r="F76" s="501">
        <v>21.446458371327239</v>
      </c>
      <c r="G76" s="501">
        <v>0.63401489935017707</v>
      </c>
      <c r="H76" s="501">
        <v>0.83008540455347202</v>
      </c>
      <c r="I76" s="501">
        <v>4.6303705679538609</v>
      </c>
      <c r="J76" s="501">
        <v>3.2289419683644667</v>
      </c>
      <c r="K76" s="501">
        <v>-0.5359587745189458</v>
      </c>
      <c r="L76" s="501">
        <v>0.47524314765689724</v>
      </c>
      <c r="M76" s="501">
        <v>7.549869705343653</v>
      </c>
      <c r="N76" s="501">
        <v>-1.0016922321087662</v>
      </c>
      <c r="O76" s="501">
        <v>0.98676085978284789</v>
      </c>
    </row>
    <row r="77" spans="1:16382">
      <c r="A77" s="40" t="s">
        <v>21</v>
      </c>
      <c r="B77" s="501">
        <v>0</v>
      </c>
      <c r="C77" s="501">
        <v>7.347334630890856</v>
      </c>
      <c r="D77" s="501">
        <v>4.0871178221845383</v>
      </c>
      <c r="E77" s="501">
        <v>-8.2845512267427495</v>
      </c>
      <c r="F77" s="501">
        <v>24.045633321502066</v>
      </c>
      <c r="G77" s="501">
        <v>0.84376816188517978</v>
      </c>
      <c r="H77" s="501">
        <v>2.0051611895582937</v>
      </c>
      <c r="I77" s="501">
        <v>1.1078839130763924</v>
      </c>
      <c r="J77" s="501">
        <v>6.8342922082534443</v>
      </c>
      <c r="K77" s="501">
        <v>-1.7648340408356233</v>
      </c>
      <c r="L77" s="501">
        <v>-0.26700191570881771</v>
      </c>
      <c r="M77" s="501">
        <v>10.219870864977068</v>
      </c>
      <c r="N77" s="501">
        <v>-0.10471823425591253</v>
      </c>
      <c r="O77" s="501">
        <v>6.9647869771701352</v>
      </c>
    </row>
    <row r="78" spans="1:16382" ht="12.6" customHeight="1">
      <c r="A78" s="625" t="s">
        <v>22</v>
      </c>
      <c r="B78" s="1244">
        <v>0</v>
      </c>
      <c r="C78" s="1244">
        <v>7.8208645792181386</v>
      </c>
      <c r="D78" s="1244">
        <v>5.800163372194362</v>
      </c>
      <c r="E78" s="1244">
        <v>-9.8626136589898437</v>
      </c>
      <c r="F78" s="1244">
        <v>28.475592657304929</v>
      </c>
      <c r="G78" s="1244">
        <v>0.57853859565703658</v>
      </c>
      <c r="H78" s="1244">
        <v>2.4039997444252492</v>
      </c>
      <c r="I78" s="1244">
        <v>1.7179889945960554</v>
      </c>
      <c r="J78" s="1244">
        <v>6.4969978604099765</v>
      </c>
      <c r="K78" s="1244">
        <v>1.5824200017888046</v>
      </c>
      <c r="L78" s="1244">
        <v>0.86483200707345986</v>
      </c>
      <c r="M78" s="1244">
        <v>14.040315857877061</v>
      </c>
      <c r="N78" s="1244">
        <v>3.3107702385501057</v>
      </c>
      <c r="O78" s="1244">
        <v>7.6152969079350612</v>
      </c>
    </row>
    <row r="79" spans="1:16382" s="1331" customFormat="1" ht="16.5" customHeight="1">
      <c r="A79" s="2332" t="s">
        <v>3508</v>
      </c>
      <c r="B79" s="2333"/>
      <c r="C79" s="2333"/>
      <c r="D79" s="2333"/>
      <c r="E79" s="2333"/>
      <c r="F79" s="2333"/>
      <c r="G79" s="2333"/>
      <c r="H79" s="2333"/>
      <c r="I79" s="2333"/>
      <c r="J79" s="2333"/>
      <c r="K79" s="2333"/>
      <c r="L79" s="2333"/>
      <c r="M79" s="2333"/>
      <c r="N79" s="2333"/>
      <c r="O79" s="2333"/>
    </row>
    <row r="80" spans="1:16382" ht="16.5" customHeight="1">
      <c r="A80" s="2328" t="s">
        <v>3504</v>
      </c>
      <c r="B80" s="2329"/>
      <c r="C80" s="2329"/>
      <c r="D80" s="2329"/>
      <c r="E80" s="2329"/>
      <c r="F80" s="2329"/>
      <c r="G80" s="2329"/>
      <c r="H80" s="2329"/>
      <c r="I80" s="2329"/>
      <c r="J80" s="2329"/>
      <c r="K80" s="2329"/>
      <c r="L80" s="2329"/>
      <c r="M80" s="2329"/>
      <c r="N80" s="2329"/>
      <c r="O80" s="2329"/>
      <c r="P80" s="2329"/>
      <c r="Q80" s="2329"/>
      <c r="R80" s="2329"/>
      <c r="S80" s="2329"/>
      <c r="T80" s="2329"/>
      <c r="U80" s="2329"/>
      <c r="V80" s="2329"/>
      <c r="W80" s="2329"/>
      <c r="X80" s="2329"/>
      <c r="Y80" s="2329"/>
      <c r="Z80" s="2329"/>
      <c r="AA80" s="2329"/>
      <c r="AB80" s="2329"/>
      <c r="AC80" s="2329"/>
      <c r="AD80" s="2329"/>
      <c r="AE80" s="2328"/>
      <c r="AF80" s="2329"/>
      <c r="AG80" s="2329"/>
      <c r="AH80" s="2329"/>
      <c r="AI80" s="2329"/>
      <c r="AJ80" s="2329"/>
      <c r="AK80" s="2329"/>
      <c r="AL80" s="2329"/>
      <c r="AM80" s="2329"/>
      <c r="AN80" s="2329"/>
      <c r="AO80" s="2329"/>
      <c r="AP80" s="2329"/>
      <c r="AQ80" s="2329"/>
      <c r="AR80" s="2329"/>
      <c r="AS80" s="2329"/>
      <c r="AT80" s="2329"/>
      <c r="AU80" s="2328"/>
      <c r="AV80" s="2329"/>
      <c r="AW80" s="2329"/>
      <c r="AX80" s="2329"/>
      <c r="AY80" s="2329"/>
      <c r="AZ80" s="2329"/>
      <c r="BA80" s="2329"/>
      <c r="BB80" s="2329"/>
      <c r="BC80" s="2329"/>
      <c r="BD80" s="2329"/>
      <c r="BE80" s="2329"/>
      <c r="BF80" s="2329"/>
      <c r="BG80" s="2329"/>
      <c r="BH80" s="2329"/>
      <c r="BI80" s="2329"/>
      <c r="BJ80" s="2329"/>
      <c r="BK80" s="2328"/>
      <c r="BL80" s="2329"/>
      <c r="BM80" s="2329"/>
      <c r="BN80" s="2329"/>
      <c r="BO80" s="2329"/>
      <c r="BP80" s="2329"/>
      <c r="BQ80" s="2329"/>
      <c r="BR80" s="2329"/>
      <c r="BS80" s="2329"/>
      <c r="BT80" s="2329"/>
      <c r="BU80" s="2329"/>
      <c r="BV80" s="2329"/>
      <c r="BW80" s="2329"/>
      <c r="BX80" s="2329"/>
      <c r="BY80" s="2329"/>
      <c r="BZ80" s="2329"/>
      <c r="CA80" s="2328"/>
      <c r="CB80" s="2329"/>
      <c r="CC80" s="2329"/>
      <c r="CD80" s="2329"/>
      <c r="CE80" s="2329"/>
      <c r="CF80" s="2329"/>
      <c r="CG80" s="2329"/>
      <c r="CH80" s="2329"/>
      <c r="CI80" s="2329"/>
      <c r="CJ80" s="2329"/>
      <c r="CK80" s="2329"/>
      <c r="CL80" s="2329"/>
      <c r="CM80" s="2329"/>
      <c r="CN80" s="2329"/>
      <c r="CO80" s="2329"/>
      <c r="CP80" s="2329"/>
      <c r="CQ80" s="2328"/>
      <c r="CR80" s="2329"/>
      <c r="CS80" s="2329"/>
      <c r="CT80" s="2329"/>
      <c r="CU80" s="2329"/>
      <c r="CV80" s="2329"/>
      <c r="CW80" s="2329"/>
      <c r="CX80" s="2329"/>
      <c r="CY80" s="2329"/>
      <c r="CZ80" s="2329"/>
      <c r="DA80" s="2329"/>
      <c r="DB80" s="2329"/>
      <c r="DC80" s="2329"/>
      <c r="DD80" s="2329"/>
      <c r="DE80" s="2329"/>
      <c r="DF80" s="2329"/>
      <c r="DG80" s="2328"/>
      <c r="DH80" s="2329"/>
      <c r="DI80" s="2329"/>
      <c r="DJ80" s="2329"/>
      <c r="DK80" s="2329"/>
      <c r="DL80" s="2329"/>
      <c r="DM80" s="2329"/>
      <c r="DN80" s="2329"/>
      <c r="DO80" s="2329"/>
      <c r="DP80" s="2329"/>
      <c r="DQ80" s="2329"/>
      <c r="DR80" s="2329"/>
      <c r="DS80" s="2329"/>
      <c r="DT80" s="2329"/>
      <c r="DU80" s="2329"/>
      <c r="DV80" s="2329"/>
      <c r="DW80" s="2328"/>
      <c r="DX80" s="2329"/>
      <c r="DY80" s="2329"/>
      <c r="DZ80" s="2329"/>
      <c r="EA80" s="2329"/>
      <c r="EB80" s="2329"/>
      <c r="EC80" s="2329"/>
      <c r="ED80" s="2329"/>
      <c r="EE80" s="2329"/>
      <c r="EF80" s="2329"/>
      <c r="EG80" s="2329"/>
      <c r="EH80" s="2329"/>
      <c r="EI80" s="2329"/>
      <c r="EJ80" s="2329"/>
      <c r="EK80" s="2329"/>
      <c r="EL80" s="2329"/>
      <c r="EM80" s="2328"/>
      <c r="EN80" s="2329"/>
      <c r="EO80" s="2329"/>
      <c r="EP80" s="2329"/>
      <c r="EQ80" s="2329"/>
      <c r="ER80" s="2329"/>
      <c r="ES80" s="2329"/>
      <c r="ET80" s="2329"/>
      <c r="EU80" s="2329"/>
      <c r="EV80" s="2329"/>
      <c r="EW80" s="2329"/>
      <c r="EX80" s="2329"/>
      <c r="EY80" s="2329"/>
      <c r="EZ80" s="2329"/>
      <c r="FA80" s="2329"/>
      <c r="FB80" s="2329"/>
      <c r="FC80" s="2328"/>
      <c r="FD80" s="2329"/>
      <c r="FE80" s="2329"/>
      <c r="FF80" s="2329"/>
      <c r="FG80" s="2329"/>
      <c r="FH80" s="2329"/>
      <c r="FI80" s="2329"/>
      <c r="FJ80" s="2329"/>
      <c r="FK80" s="2329"/>
      <c r="FL80" s="2329"/>
      <c r="FM80" s="2329"/>
      <c r="FN80" s="2329"/>
      <c r="FO80" s="2329"/>
      <c r="FP80" s="2329"/>
      <c r="FQ80" s="2329"/>
      <c r="FR80" s="2329"/>
      <c r="FS80" s="2328"/>
      <c r="FT80" s="2329"/>
      <c r="FU80" s="2329"/>
      <c r="FV80" s="2329"/>
      <c r="FW80" s="2329"/>
      <c r="FX80" s="2329"/>
      <c r="FY80" s="2329"/>
      <c r="FZ80" s="2329"/>
      <c r="GA80" s="2329"/>
      <c r="GB80" s="2329"/>
      <c r="GC80" s="2329"/>
      <c r="GD80" s="2329"/>
      <c r="GE80" s="2329"/>
      <c r="GF80" s="2329"/>
      <c r="GG80" s="2329"/>
      <c r="GH80" s="2329"/>
      <c r="GI80" s="2328"/>
      <c r="GJ80" s="2329"/>
      <c r="GK80" s="2329"/>
      <c r="GL80" s="2329"/>
      <c r="GM80" s="2329"/>
      <c r="GN80" s="2329"/>
      <c r="GO80" s="2329"/>
      <c r="GP80" s="2329"/>
      <c r="GQ80" s="2329"/>
      <c r="GR80" s="2329"/>
      <c r="GS80" s="2329"/>
      <c r="GT80" s="2329"/>
      <c r="GU80" s="2329"/>
      <c r="GV80" s="2329"/>
      <c r="GW80" s="2329"/>
      <c r="GX80" s="2329"/>
      <c r="GY80" s="2328"/>
      <c r="GZ80" s="2329"/>
      <c r="HA80" s="2329"/>
      <c r="HB80" s="2329"/>
      <c r="HC80" s="2329"/>
      <c r="HD80" s="2329"/>
      <c r="HE80" s="2329"/>
      <c r="HF80" s="2329"/>
      <c r="HG80" s="2329"/>
      <c r="HH80" s="2329"/>
      <c r="HI80" s="2329"/>
      <c r="HJ80" s="2329"/>
      <c r="HK80" s="2329"/>
      <c r="HL80" s="2329"/>
      <c r="HM80" s="2329"/>
      <c r="HN80" s="2329"/>
      <c r="HO80" s="2328"/>
      <c r="HP80" s="2329"/>
      <c r="HQ80" s="2329"/>
      <c r="HR80" s="2329"/>
      <c r="HS80" s="2329"/>
      <c r="HT80" s="2329"/>
      <c r="HU80" s="2329"/>
      <c r="HV80" s="2329"/>
      <c r="HW80" s="2329"/>
      <c r="HX80" s="2329"/>
      <c r="HY80" s="2329"/>
      <c r="HZ80" s="2329"/>
      <c r="IA80" s="2329"/>
      <c r="IB80" s="2329"/>
      <c r="IC80" s="2329"/>
      <c r="ID80" s="2329"/>
      <c r="IE80" s="2328"/>
      <c r="IF80" s="2329"/>
      <c r="IG80" s="2329"/>
      <c r="IH80" s="2329"/>
      <c r="II80" s="2329"/>
      <c r="IJ80" s="2329"/>
      <c r="IK80" s="2329"/>
      <c r="IL80" s="2329"/>
      <c r="IM80" s="2329"/>
      <c r="IN80" s="2329"/>
      <c r="IO80" s="2329"/>
      <c r="IP80" s="2329"/>
      <c r="IQ80" s="2329"/>
      <c r="IR80" s="2329"/>
      <c r="IS80" s="2329"/>
      <c r="IT80" s="2329"/>
      <c r="IU80" s="2328"/>
      <c r="IV80" s="2329"/>
      <c r="IW80" s="2329"/>
      <c r="IX80" s="2329"/>
      <c r="IY80" s="2329"/>
      <c r="IZ80" s="2329"/>
      <c r="JA80" s="2329"/>
      <c r="JB80" s="2329"/>
      <c r="JC80" s="2329"/>
      <c r="JD80" s="2329"/>
      <c r="JE80" s="2329"/>
      <c r="JF80" s="2329"/>
      <c r="JG80" s="2329"/>
      <c r="JH80" s="2329"/>
      <c r="JI80" s="2329"/>
      <c r="JJ80" s="2329"/>
      <c r="JK80" s="2328"/>
      <c r="JL80" s="2329"/>
      <c r="JM80" s="2329"/>
      <c r="JN80" s="2329"/>
      <c r="JO80" s="2329"/>
      <c r="JP80" s="2329"/>
      <c r="JQ80" s="2329"/>
      <c r="JR80" s="2329"/>
      <c r="JS80" s="2329"/>
      <c r="JT80" s="2329"/>
      <c r="JU80" s="2329"/>
      <c r="JV80" s="2329"/>
      <c r="JW80" s="2329"/>
      <c r="JX80" s="2329"/>
      <c r="JY80" s="2329"/>
      <c r="JZ80" s="2329"/>
      <c r="KA80" s="2328"/>
      <c r="KB80" s="2329"/>
      <c r="KC80" s="2329"/>
      <c r="KD80" s="2329"/>
      <c r="KE80" s="2329"/>
      <c r="KF80" s="2329"/>
      <c r="KG80" s="2329"/>
      <c r="KH80" s="2329"/>
      <c r="KI80" s="2329"/>
      <c r="KJ80" s="2329"/>
      <c r="KK80" s="2329"/>
      <c r="KL80" s="2329"/>
      <c r="KM80" s="2329"/>
      <c r="KN80" s="2329"/>
      <c r="KO80" s="2329"/>
      <c r="KP80" s="2329"/>
      <c r="KQ80" s="2328"/>
      <c r="KR80" s="2329"/>
      <c r="KS80" s="2329"/>
      <c r="KT80" s="2329"/>
      <c r="KU80" s="2329"/>
      <c r="KV80" s="2329"/>
      <c r="KW80" s="2329"/>
      <c r="KX80" s="2329"/>
      <c r="KY80" s="2329"/>
      <c r="KZ80" s="2329"/>
      <c r="LA80" s="2329"/>
      <c r="LB80" s="2329"/>
      <c r="LC80" s="2329"/>
      <c r="LD80" s="2329"/>
      <c r="LE80" s="2329"/>
      <c r="LF80" s="2329"/>
      <c r="LG80" s="2328"/>
      <c r="LH80" s="2329"/>
      <c r="LI80" s="2329"/>
      <c r="LJ80" s="2329"/>
      <c r="LK80" s="2329"/>
      <c r="LL80" s="2329"/>
      <c r="LM80" s="2329"/>
      <c r="LN80" s="2329"/>
      <c r="LO80" s="2329"/>
      <c r="LP80" s="2329"/>
      <c r="LQ80" s="2329"/>
      <c r="LR80" s="2329"/>
      <c r="LS80" s="2329"/>
      <c r="LT80" s="2329"/>
      <c r="LU80" s="2329"/>
      <c r="LV80" s="2329"/>
      <c r="LW80" s="2328"/>
      <c r="LX80" s="2329"/>
      <c r="LY80" s="2329"/>
      <c r="LZ80" s="2329"/>
      <c r="MA80" s="2329"/>
      <c r="MB80" s="2329"/>
      <c r="MC80" s="2329"/>
      <c r="MD80" s="2329"/>
      <c r="ME80" s="2329"/>
      <c r="MF80" s="2329"/>
      <c r="MG80" s="2329"/>
      <c r="MH80" s="2329"/>
      <c r="MI80" s="2329"/>
      <c r="MJ80" s="2329"/>
      <c r="MK80" s="2329"/>
      <c r="ML80" s="2329"/>
      <c r="MM80" s="2328"/>
      <c r="MN80" s="2329"/>
      <c r="MO80" s="2329"/>
      <c r="MP80" s="2329"/>
      <c r="MQ80" s="2329"/>
      <c r="MR80" s="2329"/>
      <c r="MS80" s="2329"/>
      <c r="MT80" s="2329"/>
      <c r="MU80" s="2329"/>
      <c r="MV80" s="2329"/>
      <c r="MW80" s="2329"/>
      <c r="MX80" s="2329"/>
      <c r="MY80" s="2329"/>
      <c r="MZ80" s="2329"/>
      <c r="NA80" s="2329"/>
      <c r="NB80" s="2329"/>
      <c r="NC80" s="2328"/>
      <c r="ND80" s="2329"/>
      <c r="NE80" s="2329"/>
      <c r="NF80" s="2329"/>
      <c r="NG80" s="2329"/>
      <c r="NH80" s="2329"/>
      <c r="NI80" s="2329"/>
      <c r="NJ80" s="2329"/>
      <c r="NK80" s="2329"/>
      <c r="NL80" s="2329"/>
      <c r="NM80" s="2329"/>
      <c r="NN80" s="2329"/>
      <c r="NO80" s="2329"/>
      <c r="NP80" s="2329"/>
      <c r="NQ80" s="2329"/>
      <c r="NR80" s="2329"/>
      <c r="NS80" s="2328"/>
      <c r="NT80" s="2329"/>
      <c r="NU80" s="2329"/>
      <c r="NV80" s="2329"/>
      <c r="NW80" s="2329"/>
      <c r="NX80" s="2329"/>
      <c r="NY80" s="2329"/>
      <c r="NZ80" s="2329"/>
      <c r="OA80" s="2329"/>
      <c r="OB80" s="2329"/>
      <c r="OC80" s="2329"/>
      <c r="OD80" s="2329"/>
      <c r="OE80" s="2329"/>
      <c r="OF80" s="2329"/>
      <c r="OG80" s="2329"/>
      <c r="OH80" s="2329"/>
      <c r="OI80" s="2328"/>
      <c r="OJ80" s="2329"/>
      <c r="OK80" s="2329"/>
      <c r="OL80" s="2329"/>
      <c r="OM80" s="2329"/>
      <c r="ON80" s="2329"/>
      <c r="OO80" s="2329"/>
      <c r="OP80" s="2329"/>
      <c r="OQ80" s="2329"/>
      <c r="OR80" s="2329"/>
      <c r="OS80" s="2329"/>
      <c r="OT80" s="2329"/>
      <c r="OU80" s="2329"/>
      <c r="OV80" s="2329"/>
      <c r="OW80" s="2329"/>
      <c r="OX80" s="2329"/>
      <c r="OY80" s="2328"/>
      <c r="OZ80" s="2329"/>
      <c r="PA80" s="2329"/>
      <c r="PB80" s="2329"/>
      <c r="PC80" s="2329"/>
      <c r="PD80" s="2329"/>
      <c r="PE80" s="2329"/>
      <c r="PF80" s="2329"/>
      <c r="PG80" s="2329"/>
      <c r="PH80" s="2329"/>
      <c r="PI80" s="2329"/>
      <c r="PJ80" s="2329"/>
      <c r="PK80" s="2329"/>
      <c r="PL80" s="2329"/>
      <c r="PM80" s="2329"/>
      <c r="PN80" s="2329"/>
      <c r="PO80" s="2328"/>
      <c r="PP80" s="2329"/>
      <c r="PQ80" s="2329"/>
      <c r="PR80" s="2329"/>
      <c r="PS80" s="2329"/>
      <c r="PT80" s="2329"/>
      <c r="PU80" s="2329"/>
      <c r="PV80" s="2329"/>
      <c r="PW80" s="2329"/>
      <c r="PX80" s="2329"/>
      <c r="PY80" s="2329"/>
      <c r="PZ80" s="2329"/>
      <c r="QA80" s="2329"/>
      <c r="QB80" s="2329"/>
      <c r="QC80" s="2329"/>
      <c r="QD80" s="2329"/>
      <c r="QE80" s="2328"/>
      <c r="QF80" s="2329"/>
      <c r="QG80" s="2329"/>
      <c r="QH80" s="2329"/>
      <c r="QI80" s="2329"/>
      <c r="QJ80" s="2329"/>
      <c r="QK80" s="2329"/>
      <c r="QL80" s="2329"/>
      <c r="QM80" s="2329"/>
      <c r="QN80" s="2329"/>
      <c r="QO80" s="2329"/>
      <c r="QP80" s="2329"/>
      <c r="QQ80" s="2329"/>
      <c r="QR80" s="2329"/>
      <c r="QS80" s="2329"/>
      <c r="QT80" s="2329"/>
      <c r="QU80" s="2328"/>
      <c r="QV80" s="2329"/>
      <c r="QW80" s="2329"/>
      <c r="QX80" s="2329"/>
      <c r="QY80" s="2329"/>
      <c r="QZ80" s="2329"/>
      <c r="RA80" s="2329"/>
      <c r="RB80" s="2329"/>
      <c r="RC80" s="2329"/>
      <c r="RD80" s="2329"/>
      <c r="RE80" s="2329"/>
      <c r="RF80" s="2329"/>
      <c r="RG80" s="2329"/>
      <c r="RH80" s="2329"/>
      <c r="RI80" s="2329"/>
      <c r="RJ80" s="2329"/>
      <c r="RK80" s="2328"/>
      <c r="RL80" s="2329"/>
      <c r="RM80" s="2329"/>
      <c r="RN80" s="2329"/>
      <c r="RO80" s="2329"/>
      <c r="RP80" s="2329"/>
      <c r="RQ80" s="2329"/>
      <c r="RR80" s="2329"/>
      <c r="RS80" s="2329"/>
      <c r="RT80" s="2329"/>
      <c r="RU80" s="2329"/>
      <c r="RV80" s="2329"/>
      <c r="RW80" s="2329"/>
      <c r="RX80" s="2329"/>
      <c r="RY80" s="2329"/>
      <c r="RZ80" s="2329"/>
      <c r="SA80" s="2328"/>
      <c r="SB80" s="2329"/>
      <c r="SC80" s="2329"/>
      <c r="SD80" s="2329"/>
      <c r="SE80" s="2329"/>
      <c r="SF80" s="2329"/>
      <c r="SG80" s="2329"/>
      <c r="SH80" s="2329"/>
      <c r="SI80" s="2329"/>
      <c r="SJ80" s="2329"/>
      <c r="SK80" s="2329"/>
      <c r="SL80" s="2329"/>
      <c r="SM80" s="2329"/>
      <c r="SN80" s="2329"/>
      <c r="SO80" s="2329"/>
      <c r="SP80" s="2329"/>
      <c r="SQ80" s="2328"/>
      <c r="SR80" s="2329"/>
      <c r="SS80" s="2329"/>
      <c r="ST80" s="2329"/>
      <c r="SU80" s="2329"/>
      <c r="SV80" s="2329"/>
      <c r="SW80" s="2329"/>
      <c r="SX80" s="2329"/>
      <c r="SY80" s="2329"/>
      <c r="SZ80" s="2329"/>
      <c r="TA80" s="2329"/>
      <c r="TB80" s="2329"/>
      <c r="TC80" s="2329"/>
      <c r="TD80" s="2329"/>
      <c r="TE80" s="2329"/>
      <c r="TF80" s="2329"/>
      <c r="TG80" s="2328"/>
      <c r="TH80" s="2329"/>
      <c r="TI80" s="2329"/>
      <c r="TJ80" s="2329"/>
      <c r="TK80" s="2329"/>
      <c r="TL80" s="2329"/>
      <c r="TM80" s="2329"/>
      <c r="TN80" s="2329"/>
      <c r="TO80" s="2329"/>
      <c r="TP80" s="2329"/>
      <c r="TQ80" s="2329"/>
      <c r="TR80" s="2329"/>
      <c r="TS80" s="2329"/>
      <c r="TT80" s="2329"/>
      <c r="TU80" s="2329"/>
      <c r="TV80" s="2329"/>
      <c r="TW80" s="2328"/>
      <c r="TX80" s="2329"/>
      <c r="TY80" s="2329"/>
      <c r="TZ80" s="2329"/>
      <c r="UA80" s="2329"/>
      <c r="UB80" s="2329"/>
      <c r="UC80" s="2329"/>
      <c r="UD80" s="2329"/>
      <c r="UE80" s="2329"/>
      <c r="UF80" s="2329"/>
      <c r="UG80" s="2329"/>
      <c r="UH80" s="2329"/>
      <c r="UI80" s="2329"/>
      <c r="UJ80" s="2329"/>
      <c r="UK80" s="2329"/>
      <c r="UL80" s="2329"/>
      <c r="UM80" s="2328"/>
      <c r="UN80" s="2329"/>
      <c r="UO80" s="2329"/>
      <c r="UP80" s="2329"/>
      <c r="UQ80" s="2329"/>
      <c r="UR80" s="2329"/>
      <c r="US80" s="2329"/>
      <c r="UT80" s="2329"/>
      <c r="UU80" s="2329"/>
      <c r="UV80" s="2329"/>
      <c r="UW80" s="2329"/>
      <c r="UX80" s="2329"/>
      <c r="UY80" s="2329"/>
      <c r="UZ80" s="2329"/>
      <c r="VA80" s="2329"/>
      <c r="VB80" s="2329"/>
      <c r="VC80" s="2328"/>
      <c r="VD80" s="2329"/>
      <c r="VE80" s="2329"/>
      <c r="VF80" s="2329"/>
      <c r="VG80" s="2329"/>
      <c r="VH80" s="2329"/>
      <c r="VI80" s="2329"/>
      <c r="VJ80" s="2329"/>
      <c r="VK80" s="2329"/>
      <c r="VL80" s="2329"/>
      <c r="VM80" s="2329"/>
      <c r="VN80" s="2329"/>
      <c r="VO80" s="2329"/>
      <c r="VP80" s="2329"/>
      <c r="VQ80" s="2329"/>
      <c r="VR80" s="2329"/>
      <c r="VS80" s="2328"/>
      <c r="VT80" s="2329"/>
      <c r="VU80" s="2329"/>
      <c r="VV80" s="2329"/>
      <c r="VW80" s="2329"/>
      <c r="VX80" s="2329"/>
      <c r="VY80" s="2329"/>
      <c r="VZ80" s="2329"/>
      <c r="WA80" s="2329"/>
      <c r="WB80" s="2329"/>
      <c r="WC80" s="2329"/>
      <c r="WD80" s="2329"/>
      <c r="WE80" s="2329"/>
      <c r="WF80" s="2329"/>
      <c r="WG80" s="2329"/>
      <c r="WH80" s="2329"/>
      <c r="WI80" s="2328"/>
      <c r="WJ80" s="2329"/>
      <c r="WK80" s="2329"/>
      <c r="WL80" s="2329"/>
      <c r="WM80" s="2329"/>
      <c r="WN80" s="2329"/>
      <c r="WO80" s="2329"/>
      <c r="WP80" s="2329"/>
      <c r="WQ80" s="2329"/>
      <c r="WR80" s="2329"/>
      <c r="WS80" s="2329"/>
      <c r="WT80" s="2329"/>
      <c r="WU80" s="2329"/>
      <c r="WV80" s="2329"/>
      <c r="WW80" s="2329"/>
      <c r="WX80" s="2329"/>
      <c r="WY80" s="2328"/>
      <c r="WZ80" s="2329"/>
      <c r="XA80" s="2329"/>
      <c r="XB80" s="2329"/>
      <c r="XC80" s="2329"/>
      <c r="XD80" s="2329"/>
      <c r="XE80" s="2329"/>
      <c r="XF80" s="2329"/>
      <c r="XG80" s="2329"/>
      <c r="XH80" s="2329"/>
      <c r="XI80" s="2329"/>
      <c r="XJ80" s="2329"/>
      <c r="XK80" s="2329"/>
      <c r="XL80" s="2329"/>
      <c r="XM80" s="2329"/>
      <c r="XN80" s="2329"/>
      <c r="XO80" s="2328"/>
      <c r="XP80" s="2329"/>
      <c r="XQ80" s="2329"/>
      <c r="XR80" s="2329"/>
      <c r="XS80" s="2329"/>
      <c r="XT80" s="2329"/>
      <c r="XU80" s="2329"/>
      <c r="XV80" s="2329"/>
      <c r="XW80" s="2329"/>
      <c r="XX80" s="2329"/>
      <c r="XY80" s="2329"/>
      <c r="XZ80" s="2329"/>
      <c r="YA80" s="2329"/>
      <c r="YB80" s="2329"/>
      <c r="YC80" s="2329"/>
      <c r="YD80" s="2329"/>
      <c r="YE80" s="2328"/>
      <c r="YF80" s="2329"/>
      <c r="YG80" s="2329"/>
      <c r="YH80" s="2329"/>
      <c r="YI80" s="2329"/>
      <c r="YJ80" s="2329"/>
      <c r="YK80" s="2329"/>
      <c r="YL80" s="2329"/>
      <c r="YM80" s="2329"/>
      <c r="YN80" s="2329"/>
      <c r="YO80" s="2329"/>
      <c r="YP80" s="2329"/>
      <c r="YQ80" s="2329"/>
      <c r="YR80" s="2329"/>
      <c r="YS80" s="2329"/>
      <c r="YT80" s="2329"/>
      <c r="YU80" s="2328"/>
      <c r="YV80" s="2329"/>
      <c r="YW80" s="2329"/>
      <c r="YX80" s="2329"/>
      <c r="YY80" s="2329"/>
      <c r="YZ80" s="2329"/>
      <c r="ZA80" s="2329"/>
      <c r="ZB80" s="2329"/>
      <c r="ZC80" s="2329"/>
      <c r="ZD80" s="2329"/>
      <c r="ZE80" s="2329"/>
      <c r="ZF80" s="2329"/>
      <c r="ZG80" s="2329"/>
      <c r="ZH80" s="2329"/>
      <c r="ZI80" s="2329"/>
      <c r="ZJ80" s="2329"/>
      <c r="ZK80" s="2328"/>
      <c r="ZL80" s="2329"/>
      <c r="ZM80" s="2329"/>
      <c r="ZN80" s="2329"/>
      <c r="ZO80" s="2329"/>
      <c r="ZP80" s="2329"/>
      <c r="ZQ80" s="2329"/>
      <c r="ZR80" s="2329"/>
      <c r="ZS80" s="2329"/>
      <c r="ZT80" s="2329"/>
      <c r="ZU80" s="2329"/>
      <c r="ZV80" s="2329"/>
      <c r="ZW80" s="2329"/>
      <c r="ZX80" s="2329"/>
      <c r="ZY80" s="2329"/>
      <c r="ZZ80" s="2329"/>
      <c r="AAA80" s="2328"/>
      <c r="AAB80" s="2329"/>
      <c r="AAC80" s="2329"/>
      <c r="AAD80" s="2329"/>
      <c r="AAE80" s="2329"/>
      <c r="AAF80" s="2329"/>
      <c r="AAG80" s="2329"/>
      <c r="AAH80" s="2329"/>
      <c r="AAI80" s="2329"/>
      <c r="AAJ80" s="2329"/>
      <c r="AAK80" s="2329"/>
      <c r="AAL80" s="2329"/>
      <c r="AAM80" s="2329"/>
      <c r="AAN80" s="2329"/>
      <c r="AAO80" s="2329"/>
      <c r="AAP80" s="2329"/>
      <c r="AAQ80" s="2328"/>
      <c r="AAR80" s="2329"/>
      <c r="AAS80" s="2329"/>
      <c r="AAT80" s="2329"/>
      <c r="AAU80" s="2329"/>
      <c r="AAV80" s="2329"/>
      <c r="AAW80" s="2329"/>
      <c r="AAX80" s="2329"/>
      <c r="AAY80" s="2329"/>
      <c r="AAZ80" s="2329"/>
      <c r="ABA80" s="2329"/>
      <c r="ABB80" s="2329"/>
      <c r="ABC80" s="2329"/>
      <c r="ABD80" s="2329"/>
      <c r="ABE80" s="2329"/>
      <c r="ABF80" s="2329"/>
      <c r="ABG80" s="2328"/>
      <c r="ABH80" s="2329"/>
      <c r="ABI80" s="2329"/>
      <c r="ABJ80" s="2329"/>
      <c r="ABK80" s="2329"/>
      <c r="ABL80" s="2329"/>
      <c r="ABM80" s="2329"/>
      <c r="ABN80" s="2329"/>
      <c r="ABO80" s="2329"/>
      <c r="ABP80" s="2329"/>
      <c r="ABQ80" s="2329"/>
      <c r="ABR80" s="2329"/>
      <c r="ABS80" s="2329"/>
      <c r="ABT80" s="2329"/>
      <c r="ABU80" s="2329"/>
      <c r="ABV80" s="2329"/>
      <c r="ABW80" s="2328"/>
      <c r="ABX80" s="2329"/>
      <c r="ABY80" s="2329"/>
      <c r="ABZ80" s="2329"/>
      <c r="ACA80" s="2329"/>
      <c r="ACB80" s="2329"/>
      <c r="ACC80" s="2329"/>
      <c r="ACD80" s="2329"/>
      <c r="ACE80" s="2329"/>
      <c r="ACF80" s="2329"/>
      <c r="ACG80" s="2329"/>
      <c r="ACH80" s="2329"/>
      <c r="ACI80" s="2329"/>
      <c r="ACJ80" s="2329"/>
      <c r="ACK80" s="2329"/>
      <c r="ACL80" s="2329"/>
      <c r="ACM80" s="2328"/>
      <c r="ACN80" s="2329"/>
      <c r="ACO80" s="2329"/>
      <c r="ACP80" s="2329"/>
      <c r="ACQ80" s="2329"/>
      <c r="ACR80" s="2329"/>
      <c r="ACS80" s="2329"/>
      <c r="ACT80" s="2329"/>
      <c r="ACU80" s="2329"/>
      <c r="ACV80" s="2329"/>
      <c r="ACW80" s="2329"/>
      <c r="ACX80" s="2329"/>
      <c r="ACY80" s="2329"/>
      <c r="ACZ80" s="2329"/>
      <c r="ADA80" s="2329"/>
      <c r="ADB80" s="2329"/>
      <c r="ADC80" s="2328"/>
      <c r="ADD80" s="2329"/>
      <c r="ADE80" s="2329"/>
      <c r="ADF80" s="2329"/>
      <c r="ADG80" s="2329"/>
      <c r="ADH80" s="2329"/>
      <c r="ADI80" s="2329"/>
      <c r="ADJ80" s="2329"/>
      <c r="ADK80" s="2329"/>
      <c r="ADL80" s="2329"/>
      <c r="ADM80" s="2329"/>
      <c r="ADN80" s="2329"/>
      <c r="ADO80" s="2329"/>
      <c r="ADP80" s="2329"/>
      <c r="ADQ80" s="2329"/>
      <c r="ADR80" s="2329"/>
      <c r="ADS80" s="2328"/>
      <c r="ADT80" s="2329"/>
      <c r="ADU80" s="2329"/>
      <c r="ADV80" s="2329"/>
      <c r="ADW80" s="2329"/>
      <c r="ADX80" s="2329"/>
      <c r="ADY80" s="2329"/>
      <c r="ADZ80" s="2329"/>
      <c r="AEA80" s="2329"/>
      <c r="AEB80" s="2329"/>
      <c r="AEC80" s="2329"/>
      <c r="AED80" s="2329"/>
      <c r="AEE80" s="2329"/>
      <c r="AEF80" s="2329"/>
      <c r="AEG80" s="2329"/>
      <c r="AEH80" s="2329"/>
      <c r="AEI80" s="2328"/>
      <c r="AEJ80" s="2329"/>
      <c r="AEK80" s="2329"/>
      <c r="AEL80" s="2329"/>
      <c r="AEM80" s="2329"/>
      <c r="AEN80" s="2329"/>
      <c r="AEO80" s="2329"/>
      <c r="AEP80" s="2329"/>
      <c r="AEQ80" s="2329"/>
      <c r="AER80" s="2329"/>
      <c r="AES80" s="2329"/>
      <c r="AET80" s="2329"/>
      <c r="AEU80" s="2329"/>
      <c r="AEV80" s="2329"/>
      <c r="AEW80" s="2329"/>
      <c r="AEX80" s="2329"/>
      <c r="AEY80" s="2328"/>
      <c r="AEZ80" s="2329"/>
      <c r="AFA80" s="2329"/>
      <c r="AFB80" s="2329"/>
      <c r="AFC80" s="2329"/>
      <c r="AFD80" s="2329"/>
      <c r="AFE80" s="2329"/>
      <c r="AFF80" s="2329"/>
      <c r="AFG80" s="2329"/>
      <c r="AFH80" s="2329"/>
      <c r="AFI80" s="2329"/>
      <c r="AFJ80" s="2329"/>
      <c r="AFK80" s="2329"/>
      <c r="AFL80" s="2329"/>
      <c r="AFM80" s="2329"/>
      <c r="AFN80" s="2329"/>
      <c r="AFO80" s="2328"/>
      <c r="AFP80" s="2329"/>
      <c r="AFQ80" s="2329"/>
      <c r="AFR80" s="2329"/>
      <c r="AFS80" s="2329"/>
      <c r="AFT80" s="2329"/>
      <c r="AFU80" s="2329"/>
      <c r="AFV80" s="2329"/>
      <c r="AFW80" s="2329"/>
      <c r="AFX80" s="2329"/>
      <c r="AFY80" s="2329"/>
      <c r="AFZ80" s="2329"/>
      <c r="AGA80" s="2329"/>
      <c r="AGB80" s="2329"/>
      <c r="AGC80" s="2329"/>
      <c r="AGD80" s="2329"/>
      <c r="AGE80" s="2328"/>
      <c r="AGF80" s="2329"/>
      <c r="AGG80" s="2329"/>
      <c r="AGH80" s="2329"/>
      <c r="AGI80" s="2329"/>
      <c r="AGJ80" s="2329"/>
      <c r="AGK80" s="2329"/>
      <c r="AGL80" s="2329"/>
      <c r="AGM80" s="2329"/>
      <c r="AGN80" s="2329"/>
      <c r="AGO80" s="2329"/>
      <c r="AGP80" s="2329"/>
      <c r="AGQ80" s="2329"/>
      <c r="AGR80" s="2329"/>
      <c r="AGS80" s="2329"/>
      <c r="AGT80" s="2329"/>
      <c r="AGU80" s="2328"/>
      <c r="AGV80" s="2329"/>
      <c r="AGW80" s="2329"/>
      <c r="AGX80" s="2329"/>
      <c r="AGY80" s="2329"/>
      <c r="AGZ80" s="2329"/>
      <c r="AHA80" s="2329"/>
      <c r="AHB80" s="2329"/>
      <c r="AHC80" s="2329"/>
      <c r="AHD80" s="2329"/>
      <c r="AHE80" s="2329"/>
      <c r="AHF80" s="2329"/>
      <c r="AHG80" s="2329"/>
      <c r="AHH80" s="2329"/>
      <c r="AHI80" s="2329"/>
      <c r="AHJ80" s="2329"/>
      <c r="AHK80" s="2328"/>
      <c r="AHL80" s="2329"/>
      <c r="AHM80" s="2329"/>
      <c r="AHN80" s="2329"/>
      <c r="AHO80" s="2329"/>
      <c r="AHP80" s="2329"/>
      <c r="AHQ80" s="2329"/>
      <c r="AHR80" s="2329"/>
      <c r="AHS80" s="2329"/>
      <c r="AHT80" s="2329"/>
      <c r="AHU80" s="2329"/>
      <c r="AHV80" s="2329"/>
      <c r="AHW80" s="2329"/>
      <c r="AHX80" s="2329"/>
      <c r="AHY80" s="2329"/>
      <c r="AHZ80" s="2329"/>
      <c r="AIA80" s="2328"/>
      <c r="AIB80" s="2329"/>
      <c r="AIC80" s="2329"/>
      <c r="AID80" s="2329"/>
      <c r="AIE80" s="2329"/>
      <c r="AIF80" s="2329"/>
      <c r="AIG80" s="2329"/>
      <c r="AIH80" s="2329"/>
      <c r="AII80" s="2329"/>
      <c r="AIJ80" s="2329"/>
      <c r="AIK80" s="2329"/>
      <c r="AIL80" s="2329"/>
      <c r="AIM80" s="2329"/>
      <c r="AIN80" s="2329"/>
      <c r="AIO80" s="2329"/>
      <c r="AIP80" s="2329"/>
      <c r="AIQ80" s="2328"/>
      <c r="AIR80" s="2329"/>
      <c r="AIS80" s="2329"/>
      <c r="AIT80" s="2329"/>
      <c r="AIU80" s="2329"/>
      <c r="AIV80" s="2329"/>
      <c r="AIW80" s="2329"/>
      <c r="AIX80" s="2329"/>
      <c r="AIY80" s="2329"/>
      <c r="AIZ80" s="2329"/>
      <c r="AJA80" s="2329"/>
      <c r="AJB80" s="2329"/>
      <c r="AJC80" s="2329"/>
      <c r="AJD80" s="2329"/>
      <c r="AJE80" s="2329"/>
      <c r="AJF80" s="2329"/>
      <c r="AJG80" s="2328"/>
      <c r="AJH80" s="2329"/>
      <c r="AJI80" s="2329"/>
      <c r="AJJ80" s="2329"/>
      <c r="AJK80" s="2329"/>
      <c r="AJL80" s="2329"/>
      <c r="AJM80" s="2329"/>
      <c r="AJN80" s="2329"/>
      <c r="AJO80" s="2329"/>
      <c r="AJP80" s="2329"/>
      <c r="AJQ80" s="2329"/>
      <c r="AJR80" s="2329"/>
      <c r="AJS80" s="2329"/>
      <c r="AJT80" s="2329"/>
      <c r="AJU80" s="2329"/>
      <c r="AJV80" s="2329"/>
      <c r="AJW80" s="2328"/>
      <c r="AJX80" s="2329"/>
      <c r="AJY80" s="2329"/>
      <c r="AJZ80" s="2329"/>
      <c r="AKA80" s="2329"/>
      <c r="AKB80" s="2329"/>
      <c r="AKC80" s="2329"/>
      <c r="AKD80" s="2329"/>
      <c r="AKE80" s="2329"/>
      <c r="AKF80" s="2329"/>
      <c r="AKG80" s="2329"/>
      <c r="AKH80" s="2329"/>
      <c r="AKI80" s="2329"/>
      <c r="AKJ80" s="2329"/>
      <c r="AKK80" s="2329"/>
      <c r="AKL80" s="2329"/>
      <c r="AKM80" s="2328"/>
      <c r="AKN80" s="2329"/>
      <c r="AKO80" s="2329"/>
      <c r="AKP80" s="2329"/>
      <c r="AKQ80" s="2329"/>
      <c r="AKR80" s="2329"/>
      <c r="AKS80" s="2329"/>
      <c r="AKT80" s="2329"/>
      <c r="AKU80" s="2329"/>
      <c r="AKV80" s="2329"/>
      <c r="AKW80" s="2329"/>
      <c r="AKX80" s="2329"/>
      <c r="AKY80" s="2329"/>
      <c r="AKZ80" s="2329"/>
      <c r="ALA80" s="2329"/>
      <c r="ALB80" s="2329"/>
      <c r="ALC80" s="2328"/>
      <c r="ALD80" s="2329"/>
      <c r="ALE80" s="2329"/>
      <c r="ALF80" s="2329"/>
      <c r="ALG80" s="2329"/>
      <c r="ALH80" s="2329"/>
      <c r="ALI80" s="2329"/>
      <c r="ALJ80" s="2329"/>
      <c r="ALK80" s="2329"/>
      <c r="ALL80" s="2329"/>
      <c r="ALM80" s="2329"/>
      <c r="ALN80" s="2329"/>
      <c r="ALO80" s="2329"/>
      <c r="ALP80" s="2329"/>
      <c r="ALQ80" s="2329"/>
      <c r="ALR80" s="2329"/>
      <c r="ALS80" s="2328"/>
      <c r="ALT80" s="2329"/>
      <c r="ALU80" s="2329"/>
      <c r="ALV80" s="2329"/>
      <c r="ALW80" s="2329"/>
      <c r="ALX80" s="2329"/>
      <c r="ALY80" s="2329"/>
      <c r="ALZ80" s="2329"/>
      <c r="AMA80" s="2329"/>
      <c r="AMB80" s="2329"/>
      <c r="AMC80" s="2329"/>
      <c r="AMD80" s="2329"/>
      <c r="AME80" s="2329"/>
      <c r="AMF80" s="2329"/>
      <c r="AMG80" s="2329"/>
      <c r="AMH80" s="2329"/>
      <c r="AMI80" s="2328"/>
      <c r="AMJ80" s="2329"/>
      <c r="AMK80" s="2329"/>
      <c r="AML80" s="2329"/>
      <c r="AMM80" s="2329"/>
      <c r="AMN80" s="2329"/>
      <c r="AMO80" s="2329"/>
      <c r="AMP80" s="2329"/>
      <c r="AMQ80" s="2329"/>
      <c r="AMR80" s="2329"/>
      <c r="AMS80" s="2329"/>
      <c r="AMT80" s="2329"/>
      <c r="AMU80" s="2329"/>
      <c r="AMV80" s="2329"/>
      <c r="AMW80" s="2329"/>
      <c r="AMX80" s="2329"/>
      <c r="AMY80" s="2328"/>
      <c r="AMZ80" s="2329"/>
      <c r="ANA80" s="2329"/>
      <c r="ANB80" s="2329"/>
      <c r="ANC80" s="2329"/>
      <c r="AND80" s="2329"/>
      <c r="ANE80" s="2329"/>
      <c r="ANF80" s="2329"/>
      <c r="ANG80" s="2329"/>
      <c r="ANH80" s="2329"/>
      <c r="ANI80" s="2329"/>
      <c r="ANJ80" s="2329"/>
      <c r="ANK80" s="2329"/>
      <c r="ANL80" s="2329"/>
      <c r="ANM80" s="2329"/>
      <c r="ANN80" s="2329"/>
      <c r="ANO80" s="2328"/>
      <c r="ANP80" s="2329"/>
      <c r="ANQ80" s="2329"/>
      <c r="ANR80" s="2329"/>
      <c r="ANS80" s="2329"/>
      <c r="ANT80" s="2329"/>
      <c r="ANU80" s="2329"/>
      <c r="ANV80" s="2329"/>
      <c r="ANW80" s="2329"/>
      <c r="ANX80" s="2329"/>
      <c r="ANY80" s="2329"/>
      <c r="ANZ80" s="2329"/>
      <c r="AOA80" s="2329"/>
      <c r="AOB80" s="2329"/>
      <c r="AOC80" s="2329"/>
      <c r="AOD80" s="2329"/>
      <c r="AOE80" s="2328"/>
      <c r="AOF80" s="2329"/>
      <c r="AOG80" s="2329"/>
      <c r="AOH80" s="2329"/>
      <c r="AOI80" s="2329"/>
      <c r="AOJ80" s="2329"/>
      <c r="AOK80" s="2329"/>
      <c r="AOL80" s="2329"/>
      <c r="AOM80" s="2329"/>
      <c r="AON80" s="2329"/>
      <c r="AOO80" s="2329"/>
      <c r="AOP80" s="2329"/>
      <c r="AOQ80" s="2329"/>
      <c r="AOR80" s="2329"/>
      <c r="AOS80" s="2329"/>
      <c r="AOT80" s="2329"/>
      <c r="AOU80" s="2328"/>
      <c r="AOV80" s="2329"/>
      <c r="AOW80" s="2329"/>
      <c r="AOX80" s="2329"/>
      <c r="AOY80" s="2329"/>
      <c r="AOZ80" s="2329"/>
      <c r="APA80" s="2329"/>
      <c r="APB80" s="2329"/>
      <c r="APC80" s="2329"/>
      <c r="APD80" s="2329"/>
      <c r="APE80" s="2329"/>
      <c r="APF80" s="2329"/>
      <c r="APG80" s="2329"/>
      <c r="APH80" s="2329"/>
      <c r="API80" s="2329"/>
      <c r="APJ80" s="2329"/>
      <c r="APK80" s="2328"/>
      <c r="APL80" s="2329"/>
      <c r="APM80" s="2329"/>
      <c r="APN80" s="2329"/>
      <c r="APO80" s="2329"/>
      <c r="APP80" s="2329"/>
      <c r="APQ80" s="2329"/>
      <c r="APR80" s="2329"/>
      <c r="APS80" s="2329"/>
      <c r="APT80" s="2329"/>
      <c r="APU80" s="2329"/>
      <c r="APV80" s="2329"/>
      <c r="APW80" s="2329"/>
      <c r="APX80" s="2329"/>
      <c r="APY80" s="2329"/>
      <c r="APZ80" s="2329"/>
      <c r="AQA80" s="2328"/>
      <c r="AQB80" s="2329"/>
      <c r="AQC80" s="2329"/>
      <c r="AQD80" s="2329"/>
      <c r="AQE80" s="2329"/>
      <c r="AQF80" s="2329"/>
      <c r="AQG80" s="2329"/>
      <c r="AQH80" s="2329"/>
      <c r="AQI80" s="2329"/>
      <c r="AQJ80" s="2329"/>
      <c r="AQK80" s="2329"/>
      <c r="AQL80" s="2329"/>
      <c r="AQM80" s="2329"/>
      <c r="AQN80" s="2329"/>
      <c r="AQO80" s="2329"/>
      <c r="AQP80" s="2329"/>
      <c r="AQQ80" s="2328"/>
      <c r="AQR80" s="2329"/>
      <c r="AQS80" s="2329"/>
      <c r="AQT80" s="2329"/>
      <c r="AQU80" s="2329"/>
      <c r="AQV80" s="2329"/>
      <c r="AQW80" s="2329"/>
      <c r="AQX80" s="2329"/>
      <c r="AQY80" s="2329"/>
      <c r="AQZ80" s="2329"/>
      <c r="ARA80" s="2329"/>
      <c r="ARB80" s="2329"/>
      <c r="ARC80" s="2329"/>
      <c r="ARD80" s="2329"/>
      <c r="ARE80" s="2329"/>
      <c r="ARF80" s="2329"/>
      <c r="ARG80" s="2328"/>
      <c r="ARH80" s="2329"/>
      <c r="ARI80" s="2329"/>
      <c r="ARJ80" s="2329"/>
      <c r="ARK80" s="2329"/>
      <c r="ARL80" s="2329"/>
      <c r="ARM80" s="2329"/>
      <c r="ARN80" s="2329"/>
      <c r="ARO80" s="2329"/>
      <c r="ARP80" s="2329"/>
      <c r="ARQ80" s="2329"/>
      <c r="ARR80" s="2329"/>
      <c r="ARS80" s="2329"/>
      <c r="ART80" s="2329"/>
      <c r="ARU80" s="2329"/>
      <c r="ARV80" s="2329"/>
      <c r="ARW80" s="2328"/>
      <c r="ARX80" s="2329"/>
      <c r="ARY80" s="2329"/>
      <c r="ARZ80" s="2329"/>
      <c r="ASA80" s="2329"/>
      <c r="ASB80" s="2329"/>
      <c r="ASC80" s="2329"/>
      <c r="ASD80" s="2329"/>
      <c r="ASE80" s="2329"/>
      <c r="ASF80" s="2329"/>
      <c r="ASG80" s="2329"/>
      <c r="ASH80" s="2329"/>
      <c r="ASI80" s="2329"/>
      <c r="ASJ80" s="2329"/>
      <c r="ASK80" s="2329"/>
      <c r="ASL80" s="2329"/>
      <c r="ASM80" s="2328"/>
      <c r="ASN80" s="2329"/>
      <c r="ASO80" s="2329"/>
      <c r="ASP80" s="2329"/>
      <c r="ASQ80" s="2329"/>
      <c r="ASR80" s="2329"/>
      <c r="ASS80" s="2329"/>
      <c r="AST80" s="2329"/>
      <c r="ASU80" s="2329"/>
      <c r="ASV80" s="2329"/>
      <c r="ASW80" s="2329"/>
      <c r="ASX80" s="2329"/>
      <c r="ASY80" s="2329"/>
      <c r="ASZ80" s="2329"/>
      <c r="ATA80" s="2329"/>
      <c r="ATB80" s="2329"/>
      <c r="ATC80" s="2328"/>
      <c r="ATD80" s="2329"/>
      <c r="ATE80" s="2329"/>
      <c r="ATF80" s="2329"/>
      <c r="ATG80" s="2329"/>
      <c r="ATH80" s="2329"/>
      <c r="ATI80" s="2329"/>
      <c r="ATJ80" s="2329"/>
      <c r="ATK80" s="2329"/>
      <c r="ATL80" s="2329"/>
      <c r="ATM80" s="2329"/>
      <c r="ATN80" s="2329"/>
      <c r="ATO80" s="2329"/>
      <c r="ATP80" s="2329"/>
      <c r="ATQ80" s="2329"/>
      <c r="ATR80" s="2329"/>
      <c r="ATS80" s="2328"/>
      <c r="ATT80" s="2329"/>
      <c r="ATU80" s="2329"/>
      <c r="ATV80" s="2329"/>
      <c r="ATW80" s="2329"/>
      <c r="ATX80" s="2329"/>
      <c r="ATY80" s="2329"/>
      <c r="ATZ80" s="2329"/>
      <c r="AUA80" s="2329"/>
      <c r="AUB80" s="2329"/>
      <c r="AUC80" s="2329"/>
      <c r="AUD80" s="2329"/>
      <c r="AUE80" s="2329"/>
      <c r="AUF80" s="2329"/>
      <c r="AUG80" s="2329"/>
      <c r="AUH80" s="2329"/>
      <c r="AUI80" s="2328"/>
      <c r="AUJ80" s="2329"/>
      <c r="AUK80" s="2329"/>
      <c r="AUL80" s="2329"/>
      <c r="AUM80" s="2329"/>
      <c r="AUN80" s="2329"/>
      <c r="AUO80" s="2329"/>
      <c r="AUP80" s="2329"/>
      <c r="AUQ80" s="2329"/>
      <c r="AUR80" s="2329"/>
      <c r="AUS80" s="2329"/>
      <c r="AUT80" s="2329"/>
      <c r="AUU80" s="2329"/>
      <c r="AUV80" s="2329"/>
      <c r="AUW80" s="2329"/>
      <c r="AUX80" s="2329"/>
      <c r="AUY80" s="2328"/>
      <c r="AUZ80" s="2329"/>
      <c r="AVA80" s="2329"/>
      <c r="AVB80" s="2329"/>
      <c r="AVC80" s="2329"/>
      <c r="AVD80" s="2329"/>
      <c r="AVE80" s="2329"/>
      <c r="AVF80" s="2329"/>
      <c r="AVG80" s="2329"/>
      <c r="AVH80" s="2329"/>
      <c r="AVI80" s="2329"/>
      <c r="AVJ80" s="2329"/>
      <c r="AVK80" s="2329"/>
      <c r="AVL80" s="2329"/>
      <c r="AVM80" s="2329"/>
      <c r="AVN80" s="2329"/>
      <c r="AVO80" s="2328"/>
      <c r="AVP80" s="2329"/>
      <c r="AVQ80" s="2329"/>
      <c r="AVR80" s="2329"/>
      <c r="AVS80" s="2329"/>
      <c r="AVT80" s="2329"/>
      <c r="AVU80" s="2329"/>
      <c r="AVV80" s="2329"/>
      <c r="AVW80" s="2329"/>
      <c r="AVX80" s="2329"/>
      <c r="AVY80" s="2329"/>
      <c r="AVZ80" s="2329"/>
      <c r="AWA80" s="2329"/>
      <c r="AWB80" s="2329"/>
      <c r="AWC80" s="2329"/>
      <c r="AWD80" s="2329"/>
      <c r="AWE80" s="2328"/>
      <c r="AWF80" s="2329"/>
      <c r="AWG80" s="2329"/>
      <c r="AWH80" s="2329"/>
      <c r="AWI80" s="2329"/>
      <c r="AWJ80" s="2329"/>
      <c r="AWK80" s="2329"/>
      <c r="AWL80" s="2329"/>
      <c r="AWM80" s="2329"/>
      <c r="AWN80" s="2329"/>
      <c r="AWO80" s="2329"/>
      <c r="AWP80" s="2329"/>
      <c r="AWQ80" s="2329"/>
      <c r="AWR80" s="2329"/>
      <c r="AWS80" s="2329"/>
      <c r="AWT80" s="2329"/>
      <c r="AWU80" s="2328"/>
      <c r="AWV80" s="2329"/>
      <c r="AWW80" s="2329"/>
      <c r="AWX80" s="2329"/>
      <c r="AWY80" s="2329"/>
      <c r="AWZ80" s="2329"/>
      <c r="AXA80" s="2329"/>
      <c r="AXB80" s="2329"/>
      <c r="AXC80" s="2329"/>
      <c r="AXD80" s="2329"/>
      <c r="AXE80" s="2329"/>
      <c r="AXF80" s="2329"/>
      <c r="AXG80" s="2329"/>
      <c r="AXH80" s="2329"/>
      <c r="AXI80" s="2329"/>
      <c r="AXJ80" s="2329"/>
      <c r="AXK80" s="2328"/>
      <c r="AXL80" s="2329"/>
      <c r="AXM80" s="2329"/>
      <c r="AXN80" s="2329"/>
      <c r="AXO80" s="2329"/>
      <c r="AXP80" s="2329"/>
      <c r="AXQ80" s="2329"/>
      <c r="AXR80" s="2329"/>
      <c r="AXS80" s="2329"/>
      <c r="AXT80" s="2329"/>
      <c r="AXU80" s="2329"/>
      <c r="AXV80" s="2329"/>
      <c r="AXW80" s="2329"/>
      <c r="AXX80" s="2329"/>
      <c r="AXY80" s="2329"/>
      <c r="AXZ80" s="2329"/>
      <c r="AYA80" s="2328"/>
      <c r="AYB80" s="2329"/>
      <c r="AYC80" s="2329"/>
      <c r="AYD80" s="2329"/>
      <c r="AYE80" s="2329"/>
      <c r="AYF80" s="2329"/>
      <c r="AYG80" s="2329"/>
      <c r="AYH80" s="2329"/>
      <c r="AYI80" s="2329"/>
      <c r="AYJ80" s="2329"/>
      <c r="AYK80" s="2329"/>
      <c r="AYL80" s="2329"/>
      <c r="AYM80" s="2329"/>
      <c r="AYN80" s="2329"/>
      <c r="AYO80" s="2329"/>
      <c r="AYP80" s="2329"/>
      <c r="AYQ80" s="2328"/>
      <c r="AYR80" s="2329"/>
      <c r="AYS80" s="2329"/>
      <c r="AYT80" s="2329"/>
      <c r="AYU80" s="2329"/>
      <c r="AYV80" s="2329"/>
      <c r="AYW80" s="2329"/>
      <c r="AYX80" s="2329"/>
      <c r="AYY80" s="2329"/>
      <c r="AYZ80" s="2329"/>
      <c r="AZA80" s="2329"/>
      <c r="AZB80" s="2329"/>
      <c r="AZC80" s="2329"/>
      <c r="AZD80" s="2329"/>
      <c r="AZE80" s="2329"/>
      <c r="AZF80" s="2329"/>
      <c r="AZG80" s="2328"/>
      <c r="AZH80" s="2329"/>
      <c r="AZI80" s="2329"/>
      <c r="AZJ80" s="2329"/>
      <c r="AZK80" s="2329"/>
      <c r="AZL80" s="2329"/>
      <c r="AZM80" s="2329"/>
      <c r="AZN80" s="2329"/>
      <c r="AZO80" s="2329"/>
      <c r="AZP80" s="2329"/>
      <c r="AZQ80" s="2329"/>
      <c r="AZR80" s="2329"/>
      <c r="AZS80" s="2329"/>
      <c r="AZT80" s="2329"/>
      <c r="AZU80" s="2329"/>
      <c r="AZV80" s="2329"/>
      <c r="AZW80" s="2328"/>
      <c r="AZX80" s="2329"/>
      <c r="AZY80" s="2329"/>
      <c r="AZZ80" s="2329"/>
      <c r="BAA80" s="2329"/>
      <c r="BAB80" s="2329"/>
      <c r="BAC80" s="2329"/>
      <c r="BAD80" s="2329"/>
      <c r="BAE80" s="2329"/>
      <c r="BAF80" s="2329"/>
      <c r="BAG80" s="2329"/>
      <c r="BAH80" s="2329"/>
      <c r="BAI80" s="2329"/>
      <c r="BAJ80" s="2329"/>
      <c r="BAK80" s="2329"/>
      <c r="BAL80" s="2329"/>
      <c r="BAM80" s="2328"/>
      <c r="BAN80" s="2329"/>
      <c r="BAO80" s="2329"/>
      <c r="BAP80" s="2329"/>
      <c r="BAQ80" s="2329"/>
      <c r="BAR80" s="2329"/>
      <c r="BAS80" s="2329"/>
      <c r="BAT80" s="2329"/>
      <c r="BAU80" s="2329"/>
      <c r="BAV80" s="2329"/>
      <c r="BAW80" s="2329"/>
      <c r="BAX80" s="2329"/>
      <c r="BAY80" s="2329"/>
      <c r="BAZ80" s="2329"/>
      <c r="BBA80" s="2329"/>
      <c r="BBB80" s="2329"/>
      <c r="BBC80" s="2328"/>
      <c r="BBD80" s="2329"/>
      <c r="BBE80" s="2329"/>
      <c r="BBF80" s="2329"/>
      <c r="BBG80" s="2329"/>
      <c r="BBH80" s="2329"/>
      <c r="BBI80" s="2329"/>
      <c r="BBJ80" s="2329"/>
      <c r="BBK80" s="2329"/>
      <c r="BBL80" s="2329"/>
      <c r="BBM80" s="2329"/>
      <c r="BBN80" s="2329"/>
      <c r="BBO80" s="2329"/>
      <c r="BBP80" s="2329"/>
      <c r="BBQ80" s="2329"/>
      <c r="BBR80" s="2329"/>
      <c r="BBS80" s="2328"/>
      <c r="BBT80" s="2329"/>
      <c r="BBU80" s="2329"/>
      <c r="BBV80" s="2329"/>
      <c r="BBW80" s="2329"/>
      <c r="BBX80" s="2329"/>
      <c r="BBY80" s="2329"/>
      <c r="BBZ80" s="2329"/>
      <c r="BCA80" s="2329"/>
      <c r="BCB80" s="2329"/>
      <c r="BCC80" s="2329"/>
      <c r="BCD80" s="2329"/>
      <c r="BCE80" s="2329"/>
      <c r="BCF80" s="2329"/>
      <c r="BCG80" s="2329"/>
      <c r="BCH80" s="2329"/>
      <c r="BCI80" s="2328"/>
      <c r="BCJ80" s="2329"/>
      <c r="BCK80" s="2329"/>
      <c r="BCL80" s="2329"/>
      <c r="BCM80" s="2329"/>
      <c r="BCN80" s="2329"/>
      <c r="BCO80" s="2329"/>
      <c r="BCP80" s="2329"/>
      <c r="BCQ80" s="2329"/>
      <c r="BCR80" s="2329"/>
      <c r="BCS80" s="2329"/>
      <c r="BCT80" s="2329"/>
      <c r="BCU80" s="2329"/>
      <c r="BCV80" s="2329"/>
      <c r="BCW80" s="2329"/>
      <c r="BCX80" s="2329"/>
      <c r="BCY80" s="2328"/>
      <c r="BCZ80" s="2329"/>
      <c r="BDA80" s="2329"/>
      <c r="BDB80" s="2329"/>
      <c r="BDC80" s="2329"/>
      <c r="BDD80" s="2329"/>
      <c r="BDE80" s="2329"/>
      <c r="BDF80" s="2329"/>
      <c r="BDG80" s="2329"/>
      <c r="BDH80" s="2329"/>
      <c r="BDI80" s="2329"/>
      <c r="BDJ80" s="2329"/>
      <c r="BDK80" s="2329"/>
      <c r="BDL80" s="2329"/>
      <c r="BDM80" s="2329"/>
      <c r="BDN80" s="2329"/>
      <c r="BDO80" s="2328"/>
      <c r="BDP80" s="2329"/>
      <c r="BDQ80" s="2329"/>
      <c r="BDR80" s="2329"/>
      <c r="BDS80" s="2329"/>
      <c r="BDT80" s="2329"/>
      <c r="BDU80" s="2329"/>
      <c r="BDV80" s="2329"/>
      <c r="BDW80" s="2329"/>
      <c r="BDX80" s="2329"/>
      <c r="BDY80" s="2329"/>
      <c r="BDZ80" s="2329"/>
      <c r="BEA80" s="2329"/>
      <c r="BEB80" s="2329"/>
      <c r="BEC80" s="2329"/>
      <c r="BED80" s="2329"/>
      <c r="BEE80" s="2328"/>
      <c r="BEF80" s="2329"/>
      <c r="BEG80" s="2329"/>
      <c r="BEH80" s="2329"/>
      <c r="BEI80" s="2329"/>
      <c r="BEJ80" s="2329"/>
      <c r="BEK80" s="2329"/>
      <c r="BEL80" s="2329"/>
      <c r="BEM80" s="2329"/>
      <c r="BEN80" s="2329"/>
      <c r="BEO80" s="2329"/>
      <c r="BEP80" s="2329"/>
      <c r="BEQ80" s="2329"/>
      <c r="BER80" s="2329"/>
      <c r="BES80" s="2329"/>
      <c r="BET80" s="2329"/>
      <c r="BEU80" s="2328"/>
      <c r="BEV80" s="2329"/>
      <c r="BEW80" s="2329"/>
      <c r="BEX80" s="2329"/>
      <c r="BEY80" s="2329"/>
      <c r="BEZ80" s="2329"/>
      <c r="BFA80" s="2329"/>
      <c r="BFB80" s="2329"/>
      <c r="BFC80" s="2329"/>
      <c r="BFD80" s="2329"/>
      <c r="BFE80" s="2329"/>
      <c r="BFF80" s="2329"/>
      <c r="BFG80" s="2329"/>
      <c r="BFH80" s="2329"/>
      <c r="BFI80" s="2329"/>
      <c r="BFJ80" s="2329"/>
      <c r="BFK80" s="2328"/>
      <c r="BFL80" s="2329"/>
      <c r="BFM80" s="2329"/>
      <c r="BFN80" s="2329"/>
      <c r="BFO80" s="2329"/>
      <c r="BFP80" s="2329"/>
      <c r="BFQ80" s="2329"/>
      <c r="BFR80" s="2329"/>
      <c r="BFS80" s="2329"/>
      <c r="BFT80" s="2329"/>
      <c r="BFU80" s="2329"/>
      <c r="BFV80" s="2329"/>
      <c r="BFW80" s="2329"/>
      <c r="BFX80" s="2329"/>
      <c r="BFY80" s="2329"/>
      <c r="BFZ80" s="2329"/>
      <c r="BGA80" s="2328"/>
      <c r="BGB80" s="2329"/>
      <c r="BGC80" s="2329"/>
      <c r="BGD80" s="2329"/>
      <c r="BGE80" s="2329"/>
      <c r="BGF80" s="2329"/>
      <c r="BGG80" s="2329"/>
      <c r="BGH80" s="2329"/>
      <c r="BGI80" s="2329"/>
      <c r="BGJ80" s="2329"/>
      <c r="BGK80" s="2329"/>
      <c r="BGL80" s="2329"/>
      <c r="BGM80" s="2329"/>
      <c r="BGN80" s="2329"/>
      <c r="BGO80" s="2329"/>
      <c r="BGP80" s="2329"/>
      <c r="BGQ80" s="2328"/>
      <c r="BGR80" s="2329"/>
      <c r="BGS80" s="2329"/>
      <c r="BGT80" s="2329"/>
      <c r="BGU80" s="2329"/>
      <c r="BGV80" s="2329"/>
      <c r="BGW80" s="2329"/>
      <c r="BGX80" s="2329"/>
      <c r="BGY80" s="2329"/>
      <c r="BGZ80" s="2329"/>
      <c r="BHA80" s="2329"/>
      <c r="BHB80" s="2329"/>
      <c r="BHC80" s="2329"/>
      <c r="BHD80" s="2329"/>
      <c r="BHE80" s="2329"/>
      <c r="BHF80" s="2329"/>
      <c r="BHG80" s="2328"/>
      <c r="BHH80" s="2329"/>
      <c r="BHI80" s="2329"/>
      <c r="BHJ80" s="2329"/>
      <c r="BHK80" s="2329"/>
      <c r="BHL80" s="2329"/>
      <c r="BHM80" s="2329"/>
      <c r="BHN80" s="2329"/>
      <c r="BHO80" s="2329"/>
      <c r="BHP80" s="2329"/>
      <c r="BHQ80" s="2329"/>
      <c r="BHR80" s="2329"/>
      <c r="BHS80" s="2329"/>
      <c r="BHT80" s="2329"/>
      <c r="BHU80" s="2329"/>
      <c r="BHV80" s="2329"/>
      <c r="BHW80" s="2328"/>
      <c r="BHX80" s="2329"/>
      <c r="BHY80" s="2329"/>
      <c r="BHZ80" s="2329"/>
      <c r="BIA80" s="2329"/>
      <c r="BIB80" s="2329"/>
      <c r="BIC80" s="2329"/>
      <c r="BID80" s="2329"/>
      <c r="BIE80" s="2329"/>
      <c r="BIF80" s="2329"/>
      <c r="BIG80" s="2329"/>
      <c r="BIH80" s="2329"/>
      <c r="BII80" s="2329"/>
      <c r="BIJ80" s="2329"/>
      <c r="BIK80" s="2329"/>
      <c r="BIL80" s="2329"/>
      <c r="BIM80" s="2328"/>
      <c r="BIN80" s="2329"/>
      <c r="BIO80" s="2329"/>
      <c r="BIP80" s="2329"/>
      <c r="BIQ80" s="2329"/>
      <c r="BIR80" s="2329"/>
      <c r="BIS80" s="2329"/>
      <c r="BIT80" s="2329"/>
      <c r="BIU80" s="2329"/>
      <c r="BIV80" s="2329"/>
      <c r="BIW80" s="2329"/>
      <c r="BIX80" s="2329"/>
      <c r="BIY80" s="2329"/>
      <c r="BIZ80" s="2329"/>
      <c r="BJA80" s="2329"/>
      <c r="BJB80" s="2329"/>
      <c r="BJC80" s="2328"/>
      <c r="BJD80" s="2329"/>
      <c r="BJE80" s="2329"/>
      <c r="BJF80" s="2329"/>
      <c r="BJG80" s="2329"/>
      <c r="BJH80" s="2329"/>
      <c r="BJI80" s="2329"/>
      <c r="BJJ80" s="2329"/>
      <c r="BJK80" s="2329"/>
      <c r="BJL80" s="2329"/>
      <c r="BJM80" s="2329"/>
      <c r="BJN80" s="2329"/>
      <c r="BJO80" s="2329"/>
      <c r="BJP80" s="2329"/>
      <c r="BJQ80" s="2329"/>
      <c r="BJR80" s="2329"/>
      <c r="BJS80" s="2328"/>
      <c r="BJT80" s="2329"/>
      <c r="BJU80" s="2329"/>
      <c r="BJV80" s="2329"/>
      <c r="BJW80" s="2329"/>
      <c r="BJX80" s="2329"/>
      <c r="BJY80" s="2329"/>
      <c r="BJZ80" s="2329"/>
      <c r="BKA80" s="2329"/>
      <c r="BKB80" s="2329"/>
      <c r="BKC80" s="2329"/>
      <c r="BKD80" s="2329"/>
      <c r="BKE80" s="2329"/>
      <c r="BKF80" s="2329"/>
      <c r="BKG80" s="2329"/>
      <c r="BKH80" s="2329"/>
      <c r="BKI80" s="2328"/>
      <c r="BKJ80" s="2329"/>
      <c r="BKK80" s="2329"/>
      <c r="BKL80" s="2329"/>
      <c r="BKM80" s="2329"/>
      <c r="BKN80" s="2329"/>
      <c r="BKO80" s="2329"/>
      <c r="BKP80" s="2329"/>
      <c r="BKQ80" s="2329"/>
      <c r="BKR80" s="2329"/>
      <c r="BKS80" s="2329"/>
      <c r="BKT80" s="2329"/>
      <c r="BKU80" s="2329"/>
      <c r="BKV80" s="2329"/>
      <c r="BKW80" s="2329"/>
      <c r="BKX80" s="2329"/>
      <c r="BKY80" s="2328"/>
      <c r="BKZ80" s="2329"/>
      <c r="BLA80" s="2329"/>
      <c r="BLB80" s="2329"/>
      <c r="BLC80" s="2329"/>
      <c r="BLD80" s="2329"/>
      <c r="BLE80" s="2329"/>
      <c r="BLF80" s="2329"/>
      <c r="BLG80" s="2329"/>
      <c r="BLH80" s="2329"/>
      <c r="BLI80" s="2329"/>
      <c r="BLJ80" s="2329"/>
      <c r="BLK80" s="2329"/>
      <c r="BLL80" s="2329"/>
      <c r="BLM80" s="2329"/>
      <c r="BLN80" s="2329"/>
      <c r="BLO80" s="2328"/>
      <c r="BLP80" s="2329"/>
      <c r="BLQ80" s="2329"/>
      <c r="BLR80" s="2329"/>
      <c r="BLS80" s="2329"/>
      <c r="BLT80" s="2329"/>
      <c r="BLU80" s="2329"/>
      <c r="BLV80" s="2329"/>
      <c r="BLW80" s="2329"/>
      <c r="BLX80" s="2329"/>
      <c r="BLY80" s="2329"/>
      <c r="BLZ80" s="2329"/>
      <c r="BMA80" s="2329"/>
      <c r="BMB80" s="2329"/>
      <c r="BMC80" s="2329"/>
      <c r="BMD80" s="2329"/>
      <c r="BME80" s="2328"/>
      <c r="BMF80" s="2329"/>
      <c r="BMG80" s="2329"/>
      <c r="BMH80" s="2329"/>
      <c r="BMI80" s="2329"/>
      <c r="BMJ80" s="2329"/>
      <c r="BMK80" s="2329"/>
      <c r="BML80" s="2329"/>
      <c r="BMM80" s="2329"/>
      <c r="BMN80" s="2329"/>
      <c r="BMO80" s="2329"/>
      <c r="BMP80" s="2329"/>
      <c r="BMQ80" s="2329"/>
      <c r="BMR80" s="2329"/>
      <c r="BMS80" s="2329"/>
      <c r="BMT80" s="2329"/>
      <c r="BMU80" s="2328"/>
      <c r="BMV80" s="2329"/>
      <c r="BMW80" s="2329"/>
      <c r="BMX80" s="2329"/>
      <c r="BMY80" s="2329"/>
      <c r="BMZ80" s="2329"/>
      <c r="BNA80" s="2329"/>
      <c r="BNB80" s="2329"/>
      <c r="BNC80" s="2329"/>
      <c r="BND80" s="2329"/>
      <c r="BNE80" s="2329"/>
      <c r="BNF80" s="2329"/>
      <c r="BNG80" s="2329"/>
      <c r="BNH80" s="2329"/>
      <c r="BNI80" s="2329"/>
      <c r="BNJ80" s="2329"/>
      <c r="BNK80" s="2328"/>
      <c r="BNL80" s="2329"/>
      <c r="BNM80" s="2329"/>
      <c r="BNN80" s="2329"/>
      <c r="BNO80" s="2329"/>
      <c r="BNP80" s="2329"/>
      <c r="BNQ80" s="2329"/>
      <c r="BNR80" s="2329"/>
      <c r="BNS80" s="2329"/>
      <c r="BNT80" s="2329"/>
      <c r="BNU80" s="2329"/>
      <c r="BNV80" s="2329"/>
      <c r="BNW80" s="2329"/>
      <c r="BNX80" s="2329"/>
      <c r="BNY80" s="2329"/>
      <c r="BNZ80" s="2329"/>
      <c r="BOA80" s="2328"/>
      <c r="BOB80" s="2329"/>
      <c r="BOC80" s="2329"/>
      <c r="BOD80" s="2329"/>
      <c r="BOE80" s="2329"/>
      <c r="BOF80" s="2329"/>
      <c r="BOG80" s="2329"/>
      <c r="BOH80" s="2329"/>
      <c r="BOI80" s="2329"/>
      <c r="BOJ80" s="2329"/>
      <c r="BOK80" s="2329"/>
      <c r="BOL80" s="2329"/>
      <c r="BOM80" s="2329"/>
      <c r="BON80" s="2329"/>
      <c r="BOO80" s="2329"/>
      <c r="BOP80" s="2329"/>
      <c r="BOQ80" s="2328"/>
      <c r="BOR80" s="2329"/>
      <c r="BOS80" s="2329"/>
      <c r="BOT80" s="2329"/>
      <c r="BOU80" s="2329"/>
      <c r="BOV80" s="2329"/>
      <c r="BOW80" s="2329"/>
      <c r="BOX80" s="2329"/>
      <c r="BOY80" s="2329"/>
      <c r="BOZ80" s="2329"/>
      <c r="BPA80" s="2329"/>
      <c r="BPB80" s="2329"/>
      <c r="BPC80" s="2329"/>
      <c r="BPD80" s="2329"/>
      <c r="BPE80" s="2329"/>
      <c r="BPF80" s="2329"/>
      <c r="BPG80" s="2328"/>
      <c r="BPH80" s="2329"/>
      <c r="BPI80" s="2329"/>
      <c r="BPJ80" s="2329"/>
      <c r="BPK80" s="2329"/>
      <c r="BPL80" s="2329"/>
      <c r="BPM80" s="2329"/>
      <c r="BPN80" s="2329"/>
      <c r="BPO80" s="2329"/>
      <c r="BPP80" s="2329"/>
      <c r="BPQ80" s="2329"/>
      <c r="BPR80" s="2329"/>
      <c r="BPS80" s="2329"/>
      <c r="BPT80" s="2329"/>
      <c r="BPU80" s="2329"/>
      <c r="BPV80" s="2329"/>
      <c r="BPW80" s="2328"/>
      <c r="BPX80" s="2329"/>
      <c r="BPY80" s="2329"/>
      <c r="BPZ80" s="2329"/>
      <c r="BQA80" s="2329"/>
      <c r="BQB80" s="2329"/>
      <c r="BQC80" s="2329"/>
      <c r="BQD80" s="2329"/>
      <c r="BQE80" s="2329"/>
      <c r="BQF80" s="2329"/>
      <c r="BQG80" s="2329"/>
      <c r="BQH80" s="2329"/>
      <c r="BQI80" s="2329"/>
      <c r="BQJ80" s="2329"/>
      <c r="BQK80" s="2329"/>
      <c r="BQL80" s="2329"/>
      <c r="BQM80" s="2328"/>
      <c r="BQN80" s="2329"/>
      <c r="BQO80" s="2329"/>
      <c r="BQP80" s="2329"/>
      <c r="BQQ80" s="2329"/>
      <c r="BQR80" s="2329"/>
      <c r="BQS80" s="2329"/>
      <c r="BQT80" s="2329"/>
      <c r="BQU80" s="2329"/>
      <c r="BQV80" s="2329"/>
      <c r="BQW80" s="2329"/>
      <c r="BQX80" s="2329"/>
      <c r="BQY80" s="2329"/>
      <c r="BQZ80" s="2329"/>
      <c r="BRA80" s="2329"/>
      <c r="BRB80" s="2329"/>
      <c r="BRC80" s="2328"/>
      <c r="BRD80" s="2329"/>
      <c r="BRE80" s="2329"/>
      <c r="BRF80" s="2329"/>
      <c r="BRG80" s="2329"/>
      <c r="BRH80" s="2329"/>
      <c r="BRI80" s="2329"/>
      <c r="BRJ80" s="2329"/>
      <c r="BRK80" s="2329"/>
      <c r="BRL80" s="2329"/>
      <c r="BRM80" s="2329"/>
      <c r="BRN80" s="2329"/>
      <c r="BRO80" s="2329"/>
      <c r="BRP80" s="2329"/>
      <c r="BRQ80" s="2329"/>
      <c r="BRR80" s="2329"/>
      <c r="BRS80" s="2328"/>
      <c r="BRT80" s="2329"/>
      <c r="BRU80" s="2329"/>
      <c r="BRV80" s="2329"/>
      <c r="BRW80" s="2329"/>
      <c r="BRX80" s="2329"/>
      <c r="BRY80" s="2329"/>
      <c r="BRZ80" s="2329"/>
      <c r="BSA80" s="2329"/>
      <c r="BSB80" s="2329"/>
      <c r="BSC80" s="2329"/>
      <c r="BSD80" s="2329"/>
      <c r="BSE80" s="2329"/>
      <c r="BSF80" s="2329"/>
      <c r="BSG80" s="2329"/>
      <c r="BSH80" s="2329"/>
      <c r="BSI80" s="2328"/>
      <c r="BSJ80" s="2329"/>
      <c r="BSK80" s="2329"/>
      <c r="BSL80" s="2329"/>
      <c r="BSM80" s="2329"/>
      <c r="BSN80" s="2329"/>
      <c r="BSO80" s="2329"/>
      <c r="BSP80" s="2329"/>
      <c r="BSQ80" s="2329"/>
      <c r="BSR80" s="2329"/>
      <c r="BSS80" s="2329"/>
      <c r="BST80" s="2329"/>
      <c r="BSU80" s="2329"/>
      <c r="BSV80" s="2329"/>
      <c r="BSW80" s="2329"/>
      <c r="BSX80" s="2329"/>
      <c r="BSY80" s="2328"/>
      <c r="BSZ80" s="2329"/>
      <c r="BTA80" s="2329"/>
      <c r="BTB80" s="2329"/>
      <c r="BTC80" s="2329"/>
      <c r="BTD80" s="2329"/>
      <c r="BTE80" s="2329"/>
      <c r="BTF80" s="2329"/>
      <c r="BTG80" s="2329"/>
      <c r="BTH80" s="2329"/>
      <c r="BTI80" s="2329"/>
      <c r="BTJ80" s="2329"/>
      <c r="BTK80" s="2329"/>
      <c r="BTL80" s="2329"/>
      <c r="BTM80" s="2329"/>
      <c r="BTN80" s="2329"/>
      <c r="BTO80" s="2328"/>
      <c r="BTP80" s="2329"/>
      <c r="BTQ80" s="2329"/>
      <c r="BTR80" s="2329"/>
      <c r="BTS80" s="2329"/>
      <c r="BTT80" s="2329"/>
      <c r="BTU80" s="2329"/>
      <c r="BTV80" s="2329"/>
      <c r="BTW80" s="2329"/>
      <c r="BTX80" s="2329"/>
      <c r="BTY80" s="2329"/>
      <c r="BTZ80" s="2329"/>
      <c r="BUA80" s="2329"/>
      <c r="BUB80" s="2329"/>
      <c r="BUC80" s="2329"/>
      <c r="BUD80" s="2329"/>
      <c r="BUE80" s="2328"/>
      <c r="BUF80" s="2329"/>
      <c r="BUG80" s="2329"/>
      <c r="BUH80" s="2329"/>
      <c r="BUI80" s="2329"/>
      <c r="BUJ80" s="2329"/>
      <c r="BUK80" s="2329"/>
      <c r="BUL80" s="2329"/>
      <c r="BUM80" s="2329"/>
      <c r="BUN80" s="2329"/>
      <c r="BUO80" s="2329"/>
      <c r="BUP80" s="2329"/>
      <c r="BUQ80" s="2329"/>
      <c r="BUR80" s="2329"/>
      <c r="BUS80" s="2329"/>
      <c r="BUT80" s="2329"/>
      <c r="BUU80" s="2328"/>
      <c r="BUV80" s="2329"/>
      <c r="BUW80" s="2329"/>
      <c r="BUX80" s="2329"/>
      <c r="BUY80" s="2329"/>
      <c r="BUZ80" s="2329"/>
      <c r="BVA80" s="2329"/>
      <c r="BVB80" s="2329"/>
      <c r="BVC80" s="2329"/>
      <c r="BVD80" s="2329"/>
      <c r="BVE80" s="2329"/>
      <c r="BVF80" s="2329"/>
      <c r="BVG80" s="2329"/>
      <c r="BVH80" s="2329"/>
      <c r="BVI80" s="2329"/>
      <c r="BVJ80" s="2329"/>
      <c r="BVK80" s="2328"/>
      <c r="BVL80" s="2329"/>
      <c r="BVM80" s="2329"/>
      <c r="BVN80" s="2329"/>
      <c r="BVO80" s="2329"/>
      <c r="BVP80" s="2329"/>
      <c r="BVQ80" s="2329"/>
      <c r="BVR80" s="2329"/>
      <c r="BVS80" s="2329"/>
      <c r="BVT80" s="2329"/>
      <c r="BVU80" s="2329"/>
      <c r="BVV80" s="2329"/>
      <c r="BVW80" s="2329"/>
      <c r="BVX80" s="2329"/>
      <c r="BVY80" s="2329"/>
      <c r="BVZ80" s="2329"/>
      <c r="BWA80" s="2328"/>
      <c r="BWB80" s="2329"/>
      <c r="BWC80" s="2329"/>
      <c r="BWD80" s="2329"/>
      <c r="BWE80" s="2329"/>
      <c r="BWF80" s="2329"/>
      <c r="BWG80" s="2329"/>
      <c r="BWH80" s="2329"/>
      <c r="BWI80" s="2329"/>
      <c r="BWJ80" s="2329"/>
      <c r="BWK80" s="2329"/>
      <c r="BWL80" s="2329"/>
      <c r="BWM80" s="2329"/>
      <c r="BWN80" s="2329"/>
      <c r="BWO80" s="2329"/>
      <c r="BWP80" s="2329"/>
      <c r="BWQ80" s="2328"/>
      <c r="BWR80" s="2329"/>
      <c r="BWS80" s="2329"/>
      <c r="BWT80" s="2329"/>
      <c r="BWU80" s="2329"/>
      <c r="BWV80" s="2329"/>
      <c r="BWW80" s="2329"/>
      <c r="BWX80" s="2329"/>
      <c r="BWY80" s="2329"/>
      <c r="BWZ80" s="2329"/>
      <c r="BXA80" s="2329"/>
      <c r="BXB80" s="2329"/>
      <c r="BXC80" s="2329"/>
      <c r="BXD80" s="2329"/>
      <c r="BXE80" s="2329"/>
      <c r="BXF80" s="2329"/>
      <c r="BXG80" s="2328"/>
      <c r="BXH80" s="2329"/>
      <c r="BXI80" s="2329"/>
      <c r="BXJ80" s="2329"/>
      <c r="BXK80" s="2329"/>
      <c r="BXL80" s="2329"/>
      <c r="BXM80" s="2329"/>
      <c r="BXN80" s="2329"/>
      <c r="BXO80" s="2329"/>
      <c r="BXP80" s="2329"/>
      <c r="BXQ80" s="2329"/>
      <c r="BXR80" s="2329"/>
      <c r="BXS80" s="2329"/>
      <c r="BXT80" s="2329"/>
      <c r="BXU80" s="2329"/>
      <c r="BXV80" s="2329"/>
      <c r="BXW80" s="2328"/>
      <c r="BXX80" s="2329"/>
      <c r="BXY80" s="2329"/>
      <c r="BXZ80" s="2329"/>
      <c r="BYA80" s="2329"/>
      <c r="BYB80" s="2329"/>
      <c r="BYC80" s="2329"/>
      <c r="BYD80" s="2329"/>
      <c r="BYE80" s="2329"/>
      <c r="BYF80" s="2329"/>
      <c r="BYG80" s="2329"/>
      <c r="BYH80" s="2329"/>
      <c r="BYI80" s="2329"/>
      <c r="BYJ80" s="2329"/>
      <c r="BYK80" s="2329"/>
      <c r="BYL80" s="2329"/>
      <c r="BYM80" s="2328"/>
      <c r="BYN80" s="2329"/>
      <c r="BYO80" s="2329"/>
      <c r="BYP80" s="2329"/>
      <c r="BYQ80" s="2329"/>
      <c r="BYR80" s="2329"/>
      <c r="BYS80" s="2329"/>
      <c r="BYT80" s="2329"/>
      <c r="BYU80" s="2329"/>
      <c r="BYV80" s="2329"/>
      <c r="BYW80" s="2329"/>
      <c r="BYX80" s="2329"/>
      <c r="BYY80" s="2329"/>
      <c r="BYZ80" s="2329"/>
      <c r="BZA80" s="2329"/>
      <c r="BZB80" s="2329"/>
      <c r="BZC80" s="2328"/>
      <c r="BZD80" s="2329"/>
      <c r="BZE80" s="2329"/>
      <c r="BZF80" s="2329"/>
      <c r="BZG80" s="2329"/>
      <c r="BZH80" s="2329"/>
      <c r="BZI80" s="2329"/>
      <c r="BZJ80" s="2329"/>
      <c r="BZK80" s="2329"/>
      <c r="BZL80" s="2329"/>
      <c r="BZM80" s="2329"/>
      <c r="BZN80" s="2329"/>
      <c r="BZO80" s="2329"/>
      <c r="BZP80" s="2329"/>
      <c r="BZQ80" s="2329"/>
      <c r="BZR80" s="2329"/>
      <c r="BZS80" s="2328"/>
      <c r="BZT80" s="2329"/>
      <c r="BZU80" s="2329"/>
      <c r="BZV80" s="2329"/>
      <c r="BZW80" s="2329"/>
      <c r="BZX80" s="2329"/>
      <c r="BZY80" s="2329"/>
      <c r="BZZ80" s="2329"/>
      <c r="CAA80" s="2329"/>
      <c r="CAB80" s="2329"/>
      <c r="CAC80" s="2329"/>
      <c r="CAD80" s="2329"/>
      <c r="CAE80" s="2329"/>
      <c r="CAF80" s="2329"/>
      <c r="CAG80" s="2329"/>
      <c r="CAH80" s="2329"/>
      <c r="CAI80" s="2328"/>
      <c r="CAJ80" s="2329"/>
      <c r="CAK80" s="2329"/>
      <c r="CAL80" s="2329"/>
      <c r="CAM80" s="2329"/>
      <c r="CAN80" s="2329"/>
      <c r="CAO80" s="2329"/>
      <c r="CAP80" s="2329"/>
      <c r="CAQ80" s="2329"/>
      <c r="CAR80" s="2329"/>
      <c r="CAS80" s="2329"/>
      <c r="CAT80" s="2329"/>
      <c r="CAU80" s="2329"/>
      <c r="CAV80" s="2329"/>
      <c r="CAW80" s="2329"/>
      <c r="CAX80" s="2329"/>
      <c r="CAY80" s="2328"/>
      <c r="CAZ80" s="2329"/>
      <c r="CBA80" s="2329"/>
      <c r="CBB80" s="2329"/>
      <c r="CBC80" s="2329"/>
      <c r="CBD80" s="2329"/>
      <c r="CBE80" s="2329"/>
      <c r="CBF80" s="2329"/>
      <c r="CBG80" s="2329"/>
      <c r="CBH80" s="2329"/>
      <c r="CBI80" s="2329"/>
      <c r="CBJ80" s="2329"/>
      <c r="CBK80" s="2329"/>
      <c r="CBL80" s="2329"/>
      <c r="CBM80" s="2329"/>
      <c r="CBN80" s="2329"/>
      <c r="CBO80" s="2328"/>
      <c r="CBP80" s="2329"/>
      <c r="CBQ80" s="2329"/>
      <c r="CBR80" s="2329"/>
      <c r="CBS80" s="2329"/>
      <c r="CBT80" s="2329"/>
      <c r="CBU80" s="2329"/>
      <c r="CBV80" s="2329"/>
      <c r="CBW80" s="2329"/>
      <c r="CBX80" s="2329"/>
      <c r="CBY80" s="2329"/>
      <c r="CBZ80" s="2329"/>
      <c r="CCA80" s="2329"/>
      <c r="CCB80" s="2329"/>
      <c r="CCC80" s="2329"/>
      <c r="CCD80" s="2329"/>
      <c r="CCE80" s="2328"/>
      <c r="CCF80" s="2329"/>
      <c r="CCG80" s="2329"/>
      <c r="CCH80" s="2329"/>
      <c r="CCI80" s="2329"/>
      <c r="CCJ80" s="2329"/>
      <c r="CCK80" s="2329"/>
      <c r="CCL80" s="2329"/>
      <c r="CCM80" s="2329"/>
      <c r="CCN80" s="2329"/>
      <c r="CCO80" s="2329"/>
      <c r="CCP80" s="2329"/>
      <c r="CCQ80" s="2329"/>
      <c r="CCR80" s="2329"/>
      <c r="CCS80" s="2329"/>
      <c r="CCT80" s="2329"/>
      <c r="CCU80" s="2328"/>
      <c r="CCV80" s="2329"/>
      <c r="CCW80" s="2329"/>
      <c r="CCX80" s="2329"/>
      <c r="CCY80" s="2329"/>
      <c r="CCZ80" s="2329"/>
      <c r="CDA80" s="2329"/>
      <c r="CDB80" s="2329"/>
      <c r="CDC80" s="2329"/>
      <c r="CDD80" s="2329"/>
      <c r="CDE80" s="2329"/>
      <c r="CDF80" s="2329"/>
      <c r="CDG80" s="2329"/>
      <c r="CDH80" s="2329"/>
      <c r="CDI80" s="2329"/>
      <c r="CDJ80" s="2329"/>
      <c r="CDK80" s="2328"/>
      <c r="CDL80" s="2329"/>
      <c r="CDM80" s="2329"/>
      <c r="CDN80" s="2329"/>
      <c r="CDO80" s="2329"/>
      <c r="CDP80" s="2329"/>
      <c r="CDQ80" s="2329"/>
      <c r="CDR80" s="2329"/>
      <c r="CDS80" s="2329"/>
      <c r="CDT80" s="2329"/>
      <c r="CDU80" s="2329"/>
      <c r="CDV80" s="2329"/>
      <c r="CDW80" s="2329"/>
      <c r="CDX80" s="2329"/>
      <c r="CDY80" s="2329"/>
      <c r="CDZ80" s="2329"/>
      <c r="CEA80" s="2328"/>
      <c r="CEB80" s="2329"/>
      <c r="CEC80" s="2329"/>
      <c r="CED80" s="2329"/>
      <c r="CEE80" s="2329"/>
      <c r="CEF80" s="2329"/>
      <c r="CEG80" s="2329"/>
      <c r="CEH80" s="2329"/>
      <c r="CEI80" s="2329"/>
      <c r="CEJ80" s="2329"/>
      <c r="CEK80" s="2329"/>
      <c r="CEL80" s="2329"/>
      <c r="CEM80" s="2329"/>
      <c r="CEN80" s="2329"/>
      <c r="CEO80" s="2329"/>
      <c r="CEP80" s="2329"/>
      <c r="CEQ80" s="2328"/>
      <c r="CER80" s="2329"/>
      <c r="CES80" s="2329"/>
      <c r="CET80" s="2329"/>
      <c r="CEU80" s="2329"/>
      <c r="CEV80" s="2329"/>
      <c r="CEW80" s="2329"/>
      <c r="CEX80" s="2329"/>
      <c r="CEY80" s="2329"/>
      <c r="CEZ80" s="2329"/>
      <c r="CFA80" s="2329"/>
      <c r="CFB80" s="2329"/>
      <c r="CFC80" s="2329"/>
      <c r="CFD80" s="2329"/>
      <c r="CFE80" s="2329"/>
      <c r="CFF80" s="2329"/>
      <c r="CFG80" s="2328"/>
      <c r="CFH80" s="2329"/>
      <c r="CFI80" s="2329"/>
      <c r="CFJ80" s="2329"/>
      <c r="CFK80" s="2329"/>
      <c r="CFL80" s="2329"/>
      <c r="CFM80" s="2329"/>
      <c r="CFN80" s="2329"/>
      <c r="CFO80" s="2329"/>
      <c r="CFP80" s="2329"/>
      <c r="CFQ80" s="2329"/>
      <c r="CFR80" s="2329"/>
      <c r="CFS80" s="2329"/>
      <c r="CFT80" s="2329"/>
      <c r="CFU80" s="2329"/>
      <c r="CFV80" s="2329"/>
      <c r="CFW80" s="2328"/>
      <c r="CFX80" s="2329"/>
      <c r="CFY80" s="2329"/>
      <c r="CFZ80" s="2329"/>
      <c r="CGA80" s="2329"/>
      <c r="CGB80" s="2329"/>
      <c r="CGC80" s="2329"/>
      <c r="CGD80" s="2329"/>
      <c r="CGE80" s="2329"/>
      <c r="CGF80" s="2329"/>
      <c r="CGG80" s="2329"/>
      <c r="CGH80" s="2329"/>
      <c r="CGI80" s="2329"/>
      <c r="CGJ80" s="2329"/>
      <c r="CGK80" s="2329"/>
      <c r="CGL80" s="2329"/>
      <c r="CGM80" s="2328"/>
      <c r="CGN80" s="2329"/>
      <c r="CGO80" s="2329"/>
      <c r="CGP80" s="2329"/>
      <c r="CGQ80" s="2329"/>
      <c r="CGR80" s="2329"/>
      <c r="CGS80" s="2329"/>
      <c r="CGT80" s="2329"/>
      <c r="CGU80" s="2329"/>
      <c r="CGV80" s="2329"/>
      <c r="CGW80" s="2329"/>
      <c r="CGX80" s="2329"/>
      <c r="CGY80" s="2329"/>
      <c r="CGZ80" s="2329"/>
      <c r="CHA80" s="2329"/>
      <c r="CHB80" s="2329"/>
      <c r="CHC80" s="2328"/>
      <c r="CHD80" s="2329"/>
      <c r="CHE80" s="2329"/>
      <c r="CHF80" s="2329"/>
      <c r="CHG80" s="2329"/>
      <c r="CHH80" s="2329"/>
      <c r="CHI80" s="2329"/>
      <c r="CHJ80" s="2329"/>
      <c r="CHK80" s="2329"/>
      <c r="CHL80" s="2329"/>
      <c r="CHM80" s="2329"/>
      <c r="CHN80" s="2329"/>
      <c r="CHO80" s="2329"/>
      <c r="CHP80" s="2329"/>
      <c r="CHQ80" s="2329"/>
      <c r="CHR80" s="2329"/>
      <c r="CHS80" s="2328"/>
      <c r="CHT80" s="2329"/>
      <c r="CHU80" s="2329"/>
      <c r="CHV80" s="2329"/>
      <c r="CHW80" s="2329"/>
      <c r="CHX80" s="2329"/>
      <c r="CHY80" s="2329"/>
      <c r="CHZ80" s="2329"/>
      <c r="CIA80" s="2329"/>
      <c r="CIB80" s="2329"/>
      <c r="CIC80" s="2329"/>
      <c r="CID80" s="2329"/>
      <c r="CIE80" s="2329"/>
      <c r="CIF80" s="2329"/>
      <c r="CIG80" s="2329"/>
      <c r="CIH80" s="2329"/>
      <c r="CII80" s="2328"/>
      <c r="CIJ80" s="2329"/>
      <c r="CIK80" s="2329"/>
      <c r="CIL80" s="2329"/>
      <c r="CIM80" s="2329"/>
      <c r="CIN80" s="2329"/>
      <c r="CIO80" s="2329"/>
      <c r="CIP80" s="2329"/>
      <c r="CIQ80" s="2329"/>
      <c r="CIR80" s="2329"/>
      <c r="CIS80" s="2329"/>
      <c r="CIT80" s="2329"/>
      <c r="CIU80" s="2329"/>
      <c r="CIV80" s="2329"/>
      <c r="CIW80" s="2329"/>
      <c r="CIX80" s="2329"/>
      <c r="CIY80" s="2328"/>
      <c r="CIZ80" s="2329"/>
      <c r="CJA80" s="2329"/>
      <c r="CJB80" s="2329"/>
      <c r="CJC80" s="2329"/>
      <c r="CJD80" s="2329"/>
      <c r="CJE80" s="2329"/>
      <c r="CJF80" s="2329"/>
      <c r="CJG80" s="2329"/>
      <c r="CJH80" s="2329"/>
      <c r="CJI80" s="2329"/>
      <c r="CJJ80" s="2329"/>
      <c r="CJK80" s="2329"/>
      <c r="CJL80" s="2329"/>
      <c r="CJM80" s="2329"/>
      <c r="CJN80" s="2329"/>
      <c r="CJO80" s="2328"/>
      <c r="CJP80" s="2329"/>
      <c r="CJQ80" s="2329"/>
      <c r="CJR80" s="2329"/>
      <c r="CJS80" s="2329"/>
      <c r="CJT80" s="2329"/>
      <c r="CJU80" s="2329"/>
      <c r="CJV80" s="2329"/>
      <c r="CJW80" s="2329"/>
      <c r="CJX80" s="2329"/>
      <c r="CJY80" s="2329"/>
      <c r="CJZ80" s="2329"/>
      <c r="CKA80" s="2329"/>
      <c r="CKB80" s="2329"/>
      <c r="CKC80" s="2329"/>
      <c r="CKD80" s="2329"/>
      <c r="CKE80" s="2328"/>
      <c r="CKF80" s="2329"/>
      <c r="CKG80" s="2329"/>
      <c r="CKH80" s="2329"/>
      <c r="CKI80" s="2329"/>
      <c r="CKJ80" s="2329"/>
      <c r="CKK80" s="2329"/>
      <c r="CKL80" s="2329"/>
      <c r="CKM80" s="2329"/>
      <c r="CKN80" s="2329"/>
      <c r="CKO80" s="2329"/>
      <c r="CKP80" s="2329"/>
      <c r="CKQ80" s="2329"/>
      <c r="CKR80" s="2329"/>
      <c r="CKS80" s="2329"/>
      <c r="CKT80" s="2329"/>
      <c r="CKU80" s="2328"/>
      <c r="CKV80" s="2329"/>
      <c r="CKW80" s="2329"/>
      <c r="CKX80" s="2329"/>
      <c r="CKY80" s="2329"/>
      <c r="CKZ80" s="2329"/>
      <c r="CLA80" s="2329"/>
      <c r="CLB80" s="2329"/>
      <c r="CLC80" s="2329"/>
      <c r="CLD80" s="2329"/>
      <c r="CLE80" s="2329"/>
      <c r="CLF80" s="2329"/>
      <c r="CLG80" s="2329"/>
      <c r="CLH80" s="2329"/>
      <c r="CLI80" s="2329"/>
      <c r="CLJ80" s="2329"/>
      <c r="CLK80" s="2328"/>
      <c r="CLL80" s="2329"/>
      <c r="CLM80" s="2329"/>
      <c r="CLN80" s="2329"/>
      <c r="CLO80" s="2329"/>
      <c r="CLP80" s="2329"/>
      <c r="CLQ80" s="2329"/>
      <c r="CLR80" s="2329"/>
      <c r="CLS80" s="2329"/>
      <c r="CLT80" s="2329"/>
      <c r="CLU80" s="2329"/>
      <c r="CLV80" s="2329"/>
      <c r="CLW80" s="2329"/>
      <c r="CLX80" s="2329"/>
      <c r="CLY80" s="2329"/>
      <c r="CLZ80" s="2329"/>
      <c r="CMA80" s="2328"/>
      <c r="CMB80" s="2329"/>
      <c r="CMC80" s="2329"/>
      <c r="CMD80" s="2329"/>
      <c r="CME80" s="2329"/>
      <c r="CMF80" s="2329"/>
      <c r="CMG80" s="2329"/>
      <c r="CMH80" s="2329"/>
      <c r="CMI80" s="2329"/>
      <c r="CMJ80" s="2329"/>
      <c r="CMK80" s="2329"/>
      <c r="CML80" s="2329"/>
      <c r="CMM80" s="2329"/>
      <c r="CMN80" s="2329"/>
      <c r="CMO80" s="2329"/>
      <c r="CMP80" s="2329"/>
      <c r="CMQ80" s="2328"/>
      <c r="CMR80" s="2329"/>
      <c r="CMS80" s="2329"/>
      <c r="CMT80" s="2329"/>
      <c r="CMU80" s="2329"/>
      <c r="CMV80" s="2329"/>
      <c r="CMW80" s="2329"/>
      <c r="CMX80" s="2329"/>
      <c r="CMY80" s="2329"/>
      <c r="CMZ80" s="2329"/>
      <c r="CNA80" s="2329"/>
      <c r="CNB80" s="2329"/>
      <c r="CNC80" s="2329"/>
      <c r="CND80" s="2329"/>
      <c r="CNE80" s="2329"/>
      <c r="CNF80" s="2329"/>
      <c r="CNG80" s="2328"/>
      <c r="CNH80" s="2329"/>
      <c r="CNI80" s="2329"/>
      <c r="CNJ80" s="2329"/>
      <c r="CNK80" s="2329"/>
      <c r="CNL80" s="2329"/>
      <c r="CNM80" s="2329"/>
      <c r="CNN80" s="2329"/>
      <c r="CNO80" s="2329"/>
      <c r="CNP80" s="2329"/>
      <c r="CNQ80" s="2329"/>
      <c r="CNR80" s="2329"/>
      <c r="CNS80" s="2329"/>
      <c r="CNT80" s="2329"/>
      <c r="CNU80" s="2329"/>
      <c r="CNV80" s="2329"/>
      <c r="CNW80" s="2328"/>
      <c r="CNX80" s="2329"/>
      <c r="CNY80" s="2329"/>
      <c r="CNZ80" s="2329"/>
      <c r="COA80" s="2329"/>
      <c r="COB80" s="2329"/>
      <c r="COC80" s="2329"/>
      <c r="COD80" s="2329"/>
      <c r="COE80" s="2329"/>
      <c r="COF80" s="2329"/>
      <c r="COG80" s="2329"/>
      <c r="COH80" s="2329"/>
      <c r="COI80" s="2329"/>
      <c r="COJ80" s="2329"/>
      <c r="COK80" s="2329"/>
      <c r="COL80" s="2329"/>
      <c r="COM80" s="2328"/>
      <c r="CON80" s="2329"/>
      <c r="COO80" s="2329"/>
      <c r="COP80" s="2329"/>
      <c r="COQ80" s="2329"/>
      <c r="COR80" s="2329"/>
      <c r="COS80" s="2329"/>
      <c r="COT80" s="2329"/>
      <c r="COU80" s="2329"/>
      <c r="COV80" s="2329"/>
      <c r="COW80" s="2329"/>
      <c r="COX80" s="2329"/>
      <c r="COY80" s="2329"/>
      <c r="COZ80" s="2329"/>
      <c r="CPA80" s="2329"/>
      <c r="CPB80" s="2329"/>
      <c r="CPC80" s="2328"/>
      <c r="CPD80" s="2329"/>
      <c r="CPE80" s="2329"/>
      <c r="CPF80" s="2329"/>
      <c r="CPG80" s="2329"/>
      <c r="CPH80" s="2329"/>
      <c r="CPI80" s="2329"/>
      <c r="CPJ80" s="2329"/>
      <c r="CPK80" s="2329"/>
      <c r="CPL80" s="2329"/>
      <c r="CPM80" s="2329"/>
      <c r="CPN80" s="2329"/>
      <c r="CPO80" s="2329"/>
      <c r="CPP80" s="2329"/>
      <c r="CPQ80" s="2329"/>
      <c r="CPR80" s="2329"/>
      <c r="CPS80" s="2328"/>
      <c r="CPT80" s="2329"/>
      <c r="CPU80" s="2329"/>
      <c r="CPV80" s="2329"/>
      <c r="CPW80" s="2329"/>
      <c r="CPX80" s="2329"/>
      <c r="CPY80" s="2329"/>
      <c r="CPZ80" s="2329"/>
      <c r="CQA80" s="2329"/>
      <c r="CQB80" s="2329"/>
      <c r="CQC80" s="2329"/>
      <c r="CQD80" s="2329"/>
      <c r="CQE80" s="2329"/>
      <c r="CQF80" s="2329"/>
      <c r="CQG80" s="2329"/>
      <c r="CQH80" s="2329"/>
      <c r="CQI80" s="2328"/>
      <c r="CQJ80" s="2329"/>
      <c r="CQK80" s="2329"/>
      <c r="CQL80" s="2329"/>
      <c r="CQM80" s="2329"/>
      <c r="CQN80" s="2329"/>
      <c r="CQO80" s="2329"/>
      <c r="CQP80" s="2329"/>
      <c r="CQQ80" s="2329"/>
      <c r="CQR80" s="2329"/>
      <c r="CQS80" s="2329"/>
      <c r="CQT80" s="2329"/>
      <c r="CQU80" s="2329"/>
      <c r="CQV80" s="2329"/>
      <c r="CQW80" s="2329"/>
      <c r="CQX80" s="2329"/>
      <c r="CQY80" s="2328"/>
      <c r="CQZ80" s="2329"/>
      <c r="CRA80" s="2329"/>
      <c r="CRB80" s="2329"/>
      <c r="CRC80" s="2329"/>
      <c r="CRD80" s="2329"/>
      <c r="CRE80" s="2329"/>
      <c r="CRF80" s="2329"/>
      <c r="CRG80" s="2329"/>
      <c r="CRH80" s="2329"/>
      <c r="CRI80" s="2329"/>
      <c r="CRJ80" s="2329"/>
      <c r="CRK80" s="2329"/>
      <c r="CRL80" s="2329"/>
      <c r="CRM80" s="2329"/>
      <c r="CRN80" s="2329"/>
      <c r="CRO80" s="2328"/>
      <c r="CRP80" s="2329"/>
      <c r="CRQ80" s="2329"/>
      <c r="CRR80" s="2329"/>
      <c r="CRS80" s="2329"/>
      <c r="CRT80" s="2329"/>
      <c r="CRU80" s="2329"/>
      <c r="CRV80" s="2329"/>
      <c r="CRW80" s="2329"/>
      <c r="CRX80" s="2329"/>
      <c r="CRY80" s="2329"/>
      <c r="CRZ80" s="2329"/>
      <c r="CSA80" s="2329"/>
      <c r="CSB80" s="2329"/>
      <c r="CSC80" s="2329"/>
      <c r="CSD80" s="2329"/>
      <c r="CSE80" s="2328"/>
      <c r="CSF80" s="2329"/>
      <c r="CSG80" s="2329"/>
      <c r="CSH80" s="2329"/>
      <c r="CSI80" s="2329"/>
      <c r="CSJ80" s="2329"/>
      <c r="CSK80" s="2329"/>
      <c r="CSL80" s="2329"/>
      <c r="CSM80" s="2329"/>
      <c r="CSN80" s="2329"/>
      <c r="CSO80" s="2329"/>
      <c r="CSP80" s="2329"/>
      <c r="CSQ80" s="2329"/>
      <c r="CSR80" s="2329"/>
      <c r="CSS80" s="2329"/>
      <c r="CST80" s="2329"/>
      <c r="CSU80" s="2328"/>
      <c r="CSV80" s="2329"/>
      <c r="CSW80" s="2329"/>
      <c r="CSX80" s="2329"/>
      <c r="CSY80" s="2329"/>
      <c r="CSZ80" s="2329"/>
      <c r="CTA80" s="2329"/>
      <c r="CTB80" s="2329"/>
      <c r="CTC80" s="2329"/>
      <c r="CTD80" s="2329"/>
      <c r="CTE80" s="2329"/>
      <c r="CTF80" s="2329"/>
      <c r="CTG80" s="2329"/>
      <c r="CTH80" s="2329"/>
      <c r="CTI80" s="2329"/>
      <c r="CTJ80" s="2329"/>
      <c r="CTK80" s="2328"/>
      <c r="CTL80" s="2329"/>
      <c r="CTM80" s="2329"/>
      <c r="CTN80" s="2329"/>
      <c r="CTO80" s="2329"/>
      <c r="CTP80" s="2329"/>
      <c r="CTQ80" s="2329"/>
      <c r="CTR80" s="2329"/>
      <c r="CTS80" s="2329"/>
      <c r="CTT80" s="2329"/>
      <c r="CTU80" s="2329"/>
      <c r="CTV80" s="2329"/>
      <c r="CTW80" s="2329"/>
      <c r="CTX80" s="2329"/>
      <c r="CTY80" s="2329"/>
      <c r="CTZ80" s="2329"/>
      <c r="CUA80" s="2328"/>
      <c r="CUB80" s="2329"/>
      <c r="CUC80" s="2329"/>
      <c r="CUD80" s="2329"/>
      <c r="CUE80" s="2329"/>
      <c r="CUF80" s="2329"/>
      <c r="CUG80" s="2329"/>
      <c r="CUH80" s="2329"/>
      <c r="CUI80" s="2329"/>
      <c r="CUJ80" s="2329"/>
      <c r="CUK80" s="2329"/>
      <c r="CUL80" s="2329"/>
      <c r="CUM80" s="2329"/>
      <c r="CUN80" s="2329"/>
      <c r="CUO80" s="2329"/>
      <c r="CUP80" s="2329"/>
      <c r="CUQ80" s="2328"/>
      <c r="CUR80" s="2329"/>
      <c r="CUS80" s="2329"/>
      <c r="CUT80" s="2329"/>
      <c r="CUU80" s="2329"/>
      <c r="CUV80" s="2329"/>
      <c r="CUW80" s="2329"/>
      <c r="CUX80" s="2329"/>
      <c r="CUY80" s="2329"/>
      <c r="CUZ80" s="2329"/>
      <c r="CVA80" s="2329"/>
      <c r="CVB80" s="2329"/>
      <c r="CVC80" s="2329"/>
      <c r="CVD80" s="2329"/>
      <c r="CVE80" s="2329"/>
      <c r="CVF80" s="2329"/>
      <c r="CVG80" s="2328"/>
      <c r="CVH80" s="2329"/>
      <c r="CVI80" s="2329"/>
      <c r="CVJ80" s="2329"/>
      <c r="CVK80" s="2329"/>
      <c r="CVL80" s="2329"/>
      <c r="CVM80" s="2329"/>
      <c r="CVN80" s="2329"/>
      <c r="CVO80" s="2329"/>
      <c r="CVP80" s="2329"/>
      <c r="CVQ80" s="2329"/>
      <c r="CVR80" s="2329"/>
      <c r="CVS80" s="2329"/>
      <c r="CVT80" s="2329"/>
      <c r="CVU80" s="2329"/>
      <c r="CVV80" s="2329"/>
      <c r="CVW80" s="2328"/>
      <c r="CVX80" s="2329"/>
      <c r="CVY80" s="2329"/>
      <c r="CVZ80" s="2329"/>
      <c r="CWA80" s="2329"/>
      <c r="CWB80" s="2329"/>
      <c r="CWC80" s="2329"/>
      <c r="CWD80" s="2329"/>
      <c r="CWE80" s="2329"/>
      <c r="CWF80" s="2329"/>
      <c r="CWG80" s="2329"/>
      <c r="CWH80" s="2329"/>
      <c r="CWI80" s="2329"/>
      <c r="CWJ80" s="2329"/>
      <c r="CWK80" s="2329"/>
      <c r="CWL80" s="2329"/>
      <c r="CWM80" s="2328"/>
      <c r="CWN80" s="2329"/>
      <c r="CWO80" s="2329"/>
      <c r="CWP80" s="2329"/>
      <c r="CWQ80" s="2329"/>
      <c r="CWR80" s="2329"/>
      <c r="CWS80" s="2329"/>
      <c r="CWT80" s="2329"/>
      <c r="CWU80" s="2329"/>
      <c r="CWV80" s="2329"/>
      <c r="CWW80" s="2329"/>
      <c r="CWX80" s="2329"/>
      <c r="CWY80" s="2329"/>
      <c r="CWZ80" s="2329"/>
      <c r="CXA80" s="2329"/>
      <c r="CXB80" s="2329"/>
      <c r="CXC80" s="2328"/>
      <c r="CXD80" s="2329"/>
      <c r="CXE80" s="2329"/>
      <c r="CXF80" s="2329"/>
      <c r="CXG80" s="2329"/>
      <c r="CXH80" s="2329"/>
      <c r="CXI80" s="2329"/>
      <c r="CXJ80" s="2329"/>
      <c r="CXK80" s="2329"/>
      <c r="CXL80" s="2329"/>
      <c r="CXM80" s="2329"/>
      <c r="CXN80" s="2329"/>
      <c r="CXO80" s="2329"/>
      <c r="CXP80" s="2329"/>
      <c r="CXQ80" s="2329"/>
      <c r="CXR80" s="2329"/>
      <c r="CXS80" s="2328"/>
      <c r="CXT80" s="2329"/>
      <c r="CXU80" s="2329"/>
      <c r="CXV80" s="2329"/>
      <c r="CXW80" s="2329"/>
      <c r="CXX80" s="2329"/>
      <c r="CXY80" s="2329"/>
      <c r="CXZ80" s="2329"/>
      <c r="CYA80" s="2329"/>
      <c r="CYB80" s="2329"/>
      <c r="CYC80" s="2329"/>
      <c r="CYD80" s="2329"/>
      <c r="CYE80" s="2329"/>
      <c r="CYF80" s="2329"/>
      <c r="CYG80" s="2329"/>
      <c r="CYH80" s="2329"/>
      <c r="CYI80" s="2328"/>
      <c r="CYJ80" s="2329"/>
      <c r="CYK80" s="2329"/>
      <c r="CYL80" s="2329"/>
      <c r="CYM80" s="2329"/>
      <c r="CYN80" s="2329"/>
      <c r="CYO80" s="2329"/>
      <c r="CYP80" s="2329"/>
      <c r="CYQ80" s="2329"/>
      <c r="CYR80" s="2329"/>
      <c r="CYS80" s="2329"/>
      <c r="CYT80" s="2329"/>
      <c r="CYU80" s="2329"/>
      <c r="CYV80" s="2329"/>
      <c r="CYW80" s="2329"/>
      <c r="CYX80" s="2329"/>
      <c r="CYY80" s="2328"/>
      <c r="CYZ80" s="2329"/>
      <c r="CZA80" s="2329"/>
      <c r="CZB80" s="2329"/>
      <c r="CZC80" s="2329"/>
      <c r="CZD80" s="2329"/>
      <c r="CZE80" s="2329"/>
      <c r="CZF80" s="2329"/>
      <c r="CZG80" s="2329"/>
      <c r="CZH80" s="2329"/>
      <c r="CZI80" s="2329"/>
      <c r="CZJ80" s="2329"/>
      <c r="CZK80" s="2329"/>
      <c r="CZL80" s="2329"/>
      <c r="CZM80" s="2329"/>
      <c r="CZN80" s="2329"/>
      <c r="CZO80" s="2328"/>
      <c r="CZP80" s="2329"/>
      <c r="CZQ80" s="2329"/>
      <c r="CZR80" s="2329"/>
      <c r="CZS80" s="2329"/>
      <c r="CZT80" s="2329"/>
      <c r="CZU80" s="2329"/>
      <c r="CZV80" s="2329"/>
      <c r="CZW80" s="2329"/>
      <c r="CZX80" s="2329"/>
      <c r="CZY80" s="2329"/>
      <c r="CZZ80" s="2329"/>
      <c r="DAA80" s="2329"/>
      <c r="DAB80" s="2329"/>
      <c r="DAC80" s="2329"/>
      <c r="DAD80" s="2329"/>
      <c r="DAE80" s="2328"/>
      <c r="DAF80" s="2329"/>
      <c r="DAG80" s="2329"/>
      <c r="DAH80" s="2329"/>
      <c r="DAI80" s="2329"/>
      <c r="DAJ80" s="2329"/>
      <c r="DAK80" s="2329"/>
      <c r="DAL80" s="2329"/>
      <c r="DAM80" s="2329"/>
      <c r="DAN80" s="2329"/>
      <c r="DAO80" s="2329"/>
      <c r="DAP80" s="2329"/>
      <c r="DAQ80" s="2329"/>
      <c r="DAR80" s="2329"/>
      <c r="DAS80" s="2329"/>
      <c r="DAT80" s="2329"/>
      <c r="DAU80" s="2328"/>
      <c r="DAV80" s="2329"/>
      <c r="DAW80" s="2329"/>
      <c r="DAX80" s="2329"/>
      <c r="DAY80" s="2329"/>
      <c r="DAZ80" s="2329"/>
      <c r="DBA80" s="2329"/>
      <c r="DBB80" s="2329"/>
      <c r="DBC80" s="2329"/>
      <c r="DBD80" s="2329"/>
      <c r="DBE80" s="2329"/>
      <c r="DBF80" s="2329"/>
      <c r="DBG80" s="2329"/>
      <c r="DBH80" s="2329"/>
      <c r="DBI80" s="2329"/>
      <c r="DBJ80" s="2329"/>
      <c r="DBK80" s="2328"/>
      <c r="DBL80" s="2329"/>
      <c r="DBM80" s="2329"/>
      <c r="DBN80" s="2329"/>
      <c r="DBO80" s="2329"/>
      <c r="DBP80" s="2329"/>
      <c r="DBQ80" s="2329"/>
      <c r="DBR80" s="2329"/>
      <c r="DBS80" s="2329"/>
      <c r="DBT80" s="2329"/>
      <c r="DBU80" s="2329"/>
      <c r="DBV80" s="2329"/>
      <c r="DBW80" s="2329"/>
      <c r="DBX80" s="2329"/>
      <c r="DBY80" s="2329"/>
      <c r="DBZ80" s="2329"/>
      <c r="DCA80" s="2328"/>
      <c r="DCB80" s="2329"/>
      <c r="DCC80" s="2329"/>
      <c r="DCD80" s="2329"/>
      <c r="DCE80" s="2329"/>
      <c r="DCF80" s="2329"/>
      <c r="DCG80" s="2329"/>
      <c r="DCH80" s="2329"/>
      <c r="DCI80" s="2329"/>
      <c r="DCJ80" s="2329"/>
      <c r="DCK80" s="2329"/>
      <c r="DCL80" s="2329"/>
      <c r="DCM80" s="2329"/>
      <c r="DCN80" s="2329"/>
      <c r="DCO80" s="2329"/>
      <c r="DCP80" s="2329"/>
      <c r="DCQ80" s="2328"/>
      <c r="DCR80" s="2329"/>
      <c r="DCS80" s="2329"/>
      <c r="DCT80" s="2329"/>
      <c r="DCU80" s="2329"/>
      <c r="DCV80" s="2329"/>
      <c r="DCW80" s="2329"/>
      <c r="DCX80" s="2329"/>
      <c r="DCY80" s="2329"/>
      <c r="DCZ80" s="2329"/>
      <c r="DDA80" s="2329"/>
      <c r="DDB80" s="2329"/>
      <c r="DDC80" s="2329"/>
      <c r="DDD80" s="2329"/>
      <c r="DDE80" s="2329"/>
      <c r="DDF80" s="2329"/>
      <c r="DDG80" s="2328"/>
      <c r="DDH80" s="2329"/>
      <c r="DDI80" s="2329"/>
      <c r="DDJ80" s="2329"/>
      <c r="DDK80" s="2329"/>
      <c r="DDL80" s="2329"/>
      <c r="DDM80" s="2329"/>
      <c r="DDN80" s="2329"/>
      <c r="DDO80" s="2329"/>
      <c r="DDP80" s="2329"/>
      <c r="DDQ80" s="2329"/>
      <c r="DDR80" s="2329"/>
      <c r="DDS80" s="2329"/>
      <c r="DDT80" s="2329"/>
      <c r="DDU80" s="2329"/>
      <c r="DDV80" s="2329"/>
      <c r="DDW80" s="2328"/>
      <c r="DDX80" s="2329"/>
      <c r="DDY80" s="2329"/>
      <c r="DDZ80" s="2329"/>
      <c r="DEA80" s="2329"/>
      <c r="DEB80" s="2329"/>
      <c r="DEC80" s="2329"/>
      <c r="DED80" s="2329"/>
      <c r="DEE80" s="2329"/>
      <c r="DEF80" s="2329"/>
      <c r="DEG80" s="2329"/>
      <c r="DEH80" s="2329"/>
      <c r="DEI80" s="2329"/>
      <c r="DEJ80" s="2329"/>
      <c r="DEK80" s="2329"/>
      <c r="DEL80" s="2329"/>
      <c r="DEM80" s="2328"/>
      <c r="DEN80" s="2329"/>
      <c r="DEO80" s="2329"/>
      <c r="DEP80" s="2329"/>
      <c r="DEQ80" s="2329"/>
      <c r="DER80" s="2329"/>
      <c r="DES80" s="2329"/>
      <c r="DET80" s="2329"/>
      <c r="DEU80" s="2329"/>
      <c r="DEV80" s="2329"/>
      <c r="DEW80" s="2329"/>
      <c r="DEX80" s="2329"/>
      <c r="DEY80" s="2329"/>
      <c r="DEZ80" s="2329"/>
      <c r="DFA80" s="2329"/>
      <c r="DFB80" s="2329"/>
      <c r="DFC80" s="2328"/>
      <c r="DFD80" s="2329"/>
      <c r="DFE80" s="2329"/>
      <c r="DFF80" s="2329"/>
      <c r="DFG80" s="2329"/>
      <c r="DFH80" s="2329"/>
      <c r="DFI80" s="2329"/>
      <c r="DFJ80" s="2329"/>
      <c r="DFK80" s="2329"/>
      <c r="DFL80" s="2329"/>
      <c r="DFM80" s="2329"/>
      <c r="DFN80" s="2329"/>
      <c r="DFO80" s="2329"/>
      <c r="DFP80" s="2329"/>
      <c r="DFQ80" s="2329"/>
      <c r="DFR80" s="2329"/>
      <c r="DFS80" s="2328"/>
      <c r="DFT80" s="2329"/>
      <c r="DFU80" s="2329"/>
      <c r="DFV80" s="2329"/>
      <c r="DFW80" s="2329"/>
      <c r="DFX80" s="2329"/>
      <c r="DFY80" s="2329"/>
      <c r="DFZ80" s="2329"/>
      <c r="DGA80" s="2329"/>
      <c r="DGB80" s="2329"/>
      <c r="DGC80" s="2329"/>
      <c r="DGD80" s="2329"/>
      <c r="DGE80" s="2329"/>
      <c r="DGF80" s="2329"/>
      <c r="DGG80" s="2329"/>
      <c r="DGH80" s="2329"/>
      <c r="DGI80" s="2328"/>
      <c r="DGJ80" s="2329"/>
      <c r="DGK80" s="2329"/>
      <c r="DGL80" s="2329"/>
      <c r="DGM80" s="2329"/>
      <c r="DGN80" s="2329"/>
      <c r="DGO80" s="2329"/>
      <c r="DGP80" s="2329"/>
      <c r="DGQ80" s="2329"/>
      <c r="DGR80" s="2329"/>
      <c r="DGS80" s="2329"/>
      <c r="DGT80" s="2329"/>
      <c r="DGU80" s="2329"/>
      <c r="DGV80" s="2329"/>
      <c r="DGW80" s="2329"/>
      <c r="DGX80" s="2329"/>
      <c r="DGY80" s="2328"/>
      <c r="DGZ80" s="2329"/>
      <c r="DHA80" s="2329"/>
      <c r="DHB80" s="2329"/>
      <c r="DHC80" s="2329"/>
      <c r="DHD80" s="2329"/>
      <c r="DHE80" s="2329"/>
      <c r="DHF80" s="2329"/>
      <c r="DHG80" s="2329"/>
      <c r="DHH80" s="2329"/>
      <c r="DHI80" s="2329"/>
      <c r="DHJ80" s="2329"/>
      <c r="DHK80" s="2329"/>
      <c r="DHL80" s="2329"/>
      <c r="DHM80" s="2329"/>
      <c r="DHN80" s="2329"/>
      <c r="DHO80" s="2328"/>
      <c r="DHP80" s="2329"/>
      <c r="DHQ80" s="2329"/>
      <c r="DHR80" s="2329"/>
      <c r="DHS80" s="2329"/>
      <c r="DHT80" s="2329"/>
      <c r="DHU80" s="2329"/>
      <c r="DHV80" s="2329"/>
      <c r="DHW80" s="2329"/>
      <c r="DHX80" s="2329"/>
      <c r="DHY80" s="2329"/>
      <c r="DHZ80" s="2329"/>
      <c r="DIA80" s="2329"/>
      <c r="DIB80" s="2329"/>
      <c r="DIC80" s="2329"/>
      <c r="DID80" s="2329"/>
      <c r="DIE80" s="2328"/>
      <c r="DIF80" s="2329"/>
      <c r="DIG80" s="2329"/>
      <c r="DIH80" s="2329"/>
      <c r="DII80" s="2329"/>
      <c r="DIJ80" s="2329"/>
      <c r="DIK80" s="2329"/>
      <c r="DIL80" s="2329"/>
      <c r="DIM80" s="2329"/>
      <c r="DIN80" s="2329"/>
      <c r="DIO80" s="2329"/>
      <c r="DIP80" s="2329"/>
      <c r="DIQ80" s="2329"/>
      <c r="DIR80" s="2329"/>
      <c r="DIS80" s="2329"/>
      <c r="DIT80" s="2329"/>
      <c r="DIU80" s="2328"/>
      <c r="DIV80" s="2329"/>
      <c r="DIW80" s="2329"/>
      <c r="DIX80" s="2329"/>
      <c r="DIY80" s="2329"/>
      <c r="DIZ80" s="2329"/>
      <c r="DJA80" s="2329"/>
      <c r="DJB80" s="2329"/>
      <c r="DJC80" s="2329"/>
      <c r="DJD80" s="2329"/>
      <c r="DJE80" s="2329"/>
      <c r="DJF80" s="2329"/>
      <c r="DJG80" s="2329"/>
      <c r="DJH80" s="2329"/>
      <c r="DJI80" s="2329"/>
      <c r="DJJ80" s="2329"/>
      <c r="DJK80" s="2328"/>
      <c r="DJL80" s="2329"/>
      <c r="DJM80" s="2329"/>
      <c r="DJN80" s="2329"/>
      <c r="DJO80" s="2329"/>
      <c r="DJP80" s="2329"/>
      <c r="DJQ80" s="2329"/>
      <c r="DJR80" s="2329"/>
      <c r="DJS80" s="2329"/>
      <c r="DJT80" s="2329"/>
      <c r="DJU80" s="2329"/>
      <c r="DJV80" s="2329"/>
      <c r="DJW80" s="2329"/>
      <c r="DJX80" s="2329"/>
      <c r="DJY80" s="2329"/>
      <c r="DJZ80" s="2329"/>
      <c r="DKA80" s="2328"/>
      <c r="DKB80" s="2329"/>
      <c r="DKC80" s="2329"/>
      <c r="DKD80" s="2329"/>
      <c r="DKE80" s="2329"/>
      <c r="DKF80" s="2329"/>
      <c r="DKG80" s="2329"/>
      <c r="DKH80" s="2329"/>
      <c r="DKI80" s="2329"/>
      <c r="DKJ80" s="2329"/>
      <c r="DKK80" s="2329"/>
      <c r="DKL80" s="2329"/>
      <c r="DKM80" s="2329"/>
      <c r="DKN80" s="2329"/>
      <c r="DKO80" s="2329"/>
      <c r="DKP80" s="2329"/>
      <c r="DKQ80" s="2328"/>
      <c r="DKR80" s="2329"/>
      <c r="DKS80" s="2329"/>
      <c r="DKT80" s="2329"/>
      <c r="DKU80" s="2329"/>
      <c r="DKV80" s="2329"/>
      <c r="DKW80" s="2329"/>
      <c r="DKX80" s="2329"/>
      <c r="DKY80" s="2329"/>
      <c r="DKZ80" s="2329"/>
      <c r="DLA80" s="2329"/>
      <c r="DLB80" s="2329"/>
      <c r="DLC80" s="2329"/>
      <c r="DLD80" s="2329"/>
      <c r="DLE80" s="2329"/>
      <c r="DLF80" s="2329"/>
      <c r="DLG80" s="2328"/>
      <c r="DLH80" s="2329"/>
      <c r="DLI80" s="2329"/>
      <c r="DLJ80" s="2329"/>
      <c r="DLK80" s="2329"/>
      <c r="DLL80" s="2329"/>
      <c r="DLM80" s="2329"/>
      <c r="DLN80" s="2329"/>
      <c r="DLO80" s="2329"/>
      <c r="DLP80" s="2329"/>
      <c r="DLQ80" s="2329"/>
      <c r="DLR80" s="2329"/>
      <c r="DLS80" s="2329"/>
      <c r="DLT80" s="2329"/>
      <c r="DLU80" s="2329"/>
      <c r="DLV80" s="2329"/>
      <c r="DLW80" s="2328"/>
      <c r="DLX80" s="2329"/>
      <c r="DLY80" s="2329"/>
      <c r="DLZ80" s="2329"/>
      <c r="DMA80" s="2329"/>
      <c r="DMB80" s="2329"/>
      <c r="DMC80" s="2329"/>
      <c r="DMD80" s="2329"/>
      <c r="DME80" s="2329"/>
      <c r="DMF80" s="2329"/>
      <c r="DMG80" s="2329"/>
      <c r="DMH80" s="2329"/>
      <c r="DMI80" s="2329"/>
      <c r="DMJ80" s="2329"/>
      <c r="DMK80" s="2329"/>
      <c r="DML80" s="2329"/>
      <c r="DMM80" s="2328"/>
      <c r="DMN80" s="2329"/>
      <c r="DMO80" s="2329"/>
      <c r="DMP80" s="2329"/>
      <c r="DMQ80" s="2329"/>
      <c r="DMR80" s="2329"/>
      <c r="DMS80" s="2329"/>
      <c r="DMT80" s="2329"/>
      <c r="DMU80" s="2329"/>
      <c r="DMV80" s="2329"/>
      <c r="DMW80" s="2329"/>
      <c r="DMX80" s="2329"/>
      <c r="DMY80" s="2329"/>
      <c r="DMZ80" s="2329"/>
      <c r="DNA80" s="2329"/>
      <c r="DNB80" s="2329"/>
      <c r="DNC80" s="2328"/>
      <c r="DND80" s="2329"/>
      <c r="DNE80" s="2329"/>
      <c r="DNF80" s="2329"/>
      <c r="DNG80" s="2329"/>
      <c r="DNH80" s="2329"/>
      <c r="DNI80" s="2329"/>
      <c r="DNJ80" s="2329"/>
      <c r="DNK80" s="2329"/>
      <c r="DNL80" s="2329"/>
      <c r="DNM80" s="2329"/>
      <c r="DNN80" s="2329"/>
      <c r="DNO80" s="2329"/>
      <c r="DNP80" s="2329"/>
      <c r="DNQ80" s="2329"/>
      <c r="DNR80" s="2329"/>
      <c r="DNS80" s="2328"/>
      <c r="DNT80" s="2329"/>
      <c r="DNU80" s="2329"/>
      <c r="DNV80" s="2329"/>
      <c r="DNW80" s="2329"/>
      <c r="DNX80" s="2329"/>
      <c r="DNY80" s="2329"/>
      <c r="DNZ80" s="2329"/>
      <c r="DOA80" s="2329"/>
      <c r="DOB80" s="2329"/>
      <c r="DOC80" s="2329"/>
      <c r="DOD80" s="2329"/>
      <c r="DOE80" s="2329"/>
      <c r="DOF80" s="2329"/>
      <c r="DOG80" s="2329"/>
      <c r="DOH80" s="2329"/>
      <c r="DOI80" s="2328"/>
      <c r="DOJ80" s="2329"/>
      <c r="DOK80" s="2329"/>
      <c r="DOL80" s="2329"/>
      <c r="DOM80" s="2329"/>
      <c r="DON80" s="2329"/>
      <c r="DOO80" s="2329"/>
      <c r="DOP80" s="2329"/>
      <c r="DOQ80" s="2329"/>
      <c r="DOR80" s="2329"/>
      <c r="DOS80" s="2329"/>
      <c r="DOT80" s="2329"/>
      <c r="DOU80" s="2329"/>
      <c r="DOV80" s="2329"/>
      <c r="DOW80" s="2329"/>
      <c r="DOX80" s="2329"/>
      <c r="DOY80" s="2328"/>
      <c r="DOZ80" s="2329"/>
      <c r="DPA80" s="2329"/>
      <c r="DPB80" s="2329"/>
      <c r="DPC80" s="2329"/>
      <c r="DPD80" s="2329"/>
      <c r="DPE80" s="2329"/>
      <c r="DPF80" s="2329"/>
      <c r="DPG80" s="2329"/>
      <c r="DPH80" s="2329"/>
      <c r="DPI80" s="2329"/>
      <c r="DPJ80" s="2329"/>
      <c r="DPK80" s="2329"/>
      <c r="DPL80" s="2329"/>
      <c r="DPM80" s="2329"/>
      <c r="DPN80" s="2329"/>
      <c r="DPO80" s="2328"/>
      <c r="DPP80" s="2329"/>
      <c r="DPQ80" s="2329"/>
      <c r="DPR80" s="2329"/>
      <c r="DPS80" s="2329"/>
      <c r="DPT80" s="2329"/>
      <c r="DPU80" s="2329"/>
      <c r="DPV80" s="2329"/>
      <c r="DPW80" s="2329"/>
      <c r="DPX80" s="2329"/>
      <c r="DPY80" s="2329"/>
      <c r="DPZ80" s="2329"/>
      <c r="DQA80" s="2329"/>
      <c r="DQB80" s="2329"/>
      <c r="DQC80" s="2329"/>
      <c r="DQD80" s="2329"/>
      <c r="DQE80" s="2328"/>
      <c r="DQF80" s="2329"/>
      <c r="DQG80" s="2329"/>
      <c r="DQH80" s="2329"/>
      <c r="DQI80" s="2329"/>
      <c r="DQJ80" s="2329"/>
      <c r="DQK80" s="2329"/>
      <c r="DQL80" s="2329"/>
      <c r="DQM80" s="2329"/>
      <c r="DQN80" s="2329"/>
      <c r="DQO80" s="2329"/>
      <c r="DQP80" s="2329"/>
      <c r="DQQ80" s="2329"/>
      <c r="DQR80" s="2329"/>
      <c r="DQS80" s="2329"/>
      <c r="DQT80" s="2329"/>
      <c r="DQU80" s="2328"/>
      <c r="DQV80" s="2329"/>
      <c r="DQW80" s="2329"/>
      <c r="DQX80" s="2329"/>
      <c r="DQY80" s="2329"/>
      <c r="DQZ80" s="2329"/>
      <c r="DRA80" s="2329"/>
      <c r="DRB80" s="2329"/>
      <c r="DRC80" s="2329"/>
      <c r="DRD80" s="2329"/>
      <c r="DRE80" s="2329"/>
      <c r="DRF80" s="2329"/>
      <c r="DRG80" s="2329"/>
      <c r="DRH80" s="2329"/>
      <c r="DRI80" s="2329"/>
      <c r="DRJ80" s="2329"/>
      <c r="DRK80" s="2328"/>
      <c r="DRL80" s="2329"/>
      <c r="DRM80" s="2329"/>
      <c r="DRN80" s="2329"/>
      <c r="DRO80" s="2329"/>
      <c r="DRP80" s="2329"/>
      <c r="DRQ80" s="2329"/>
      <c r="DRR80" s="2329"/>
      <c r="DRS80" s="2329"/>
      <c r="DRT80" s="2329"/>
      <c r="DRU80" s="2329"/>
      <c r="DRV80" s="2329"/>
      <c r="DRW80" s="2329"/>
      <c r="DRX80" s="2329"/>
      <c r="DRY80" s="2329"/>
      <c r="DRZ80" s="2329"/>
      <c r="DSA80" s="2328"/>
      <c r="DSB80" s="2329"/>
      <c r="DSC80" s="2329"/>
      <c r="DSD80" s="2329"/>
      <c r="DSE80" s="2329"/>
      <c r="DSF80" s="2329"/>
      <c r="DSG80" s="2329"/>
      <c r="DSH80" s="2329"/>
      <c r="DSI80" s="2329"/>
      <c r="DSJ80" s="2329"/>
      <c r="DSK80" s="2329"/>
      <c r="DSL80" s="2329"/>
      <c r="DSM80" s="2329"/>
      <c r="DSN80" s="2329"/>
      <c r="DSO80" s="2329"/>
      <c r="DSP80" s="2329"/>
      <c r="DSQ80" s="2328"/>
      <c r="DSR80" s="2329"/>
      <c r="DSS80" s="2329"/>
      <c r="DST80" s="2329"/>
      <c r="DSU80" s="2329"/>
      <c r="DSV80" s="2329"/>
      <c r="DSW80" s="2329"/>
      <c r="DSX80" s="2329"/>
      <c r="DSY80" s="2329"/>
      <c r="DSZ80" s="2329"/>
      <c r="DTA80" s="2329"/>
      <c r="DTB80" s="2329"/>
      <c r="DTC80" s="2329"/>
      <c r="DTD80" s="2329"/>
      <c r="DTE80" s="2329"/>
      <c r="DTF80" s="2329"/>
      <c r="DTG80" s="2328"/>
      <c r="DTH80" s="2329"/>
      <c r="DTI80" s="2329"/>
      <c r="DTJ80" s="2329"/>
      <c r="DTK80" s="2329"/>
      <c r="DTL80" s="2329"/>
      <c r="DTM80" s="2329"/>
      <c r="DTN80" s="2329"/>
      <c r="DTO80" s="2329"/>
      <c r="DTP80" s="2329"/>
      <c r="DTQ80" s="2329"/>
      <c r="DTR80" s="2329"/>
      <c r="DTS80" s="2329"/>
      <c r="DTT80" s="2329"/>
      <c r="DTU80" s="2329"/>
      <c r="DTV80" s="2329"/>
      <c r="DTW80" s="2328"/>
      <c r="DTX80" s="2329"/>
      <c r="DTY80" s="2329"/>
      <c r="DTZ80" s="2329"/>
      <c r="DUA80" s="2329"/>
      <c r="DUB80" s="2329"/>
      <c r="DUC80" s="2329"/>
      <c r="DUD80" s="2329"/>
      <c r="DUE80" s="2329"/>
      <c r="DUF80" s="2329"/>
      <c r="DUG80" s="2329"/>
      <c r="DUH80" s="2329"/>
      <c r="DUI80" s="2329"/>
      <c r="DUJ80" s="2329"/>
      <c r="DUK80" s="2329"/>
      <c r="DUL80" s="2329"/>
      <c r="DUM80" s="2328"/>
      <c r="DUN80" s="2329"/>
      <c r="DUO80" s="2329"/>
      <c r="DUP80" s="2329"/>
      <c r="DUQ80" s="2329"/>
      <c r="DUR80" s="2329"/>
      <c r="DUS80" s="2329"/>
      <c r="DUT80" s="2329"/>
      <c r="DUU80" s="2329"/>
      <c r="DUV80" s="2329"/>
      <c r="DUW80" s="2329"/>
      <c r="DUX80" s="2329"/>
      <c r="DUY80" s="2329"/>
      <c r="DUZ80" s="2329"/>
      <c r="DVA80" s="2329"/>
      <c r="DVB80" s="2329"/>
      <c r="DVC80" s="2328"/>
      <c r="DVD80" s="2329"/>
      <c r="DVE80" s="2329"/>
      <c r="DVF80" s="2329"/>
      <c r="DVG80" s="2329"/>
      <c r="DVH80" s="2329"/>
      <c r="DVI80" s="2329"/>
      <c r="DVJ80" s="2329"/>
      <c r="DVK80" s="2329"/>
      <c r="DVL80" s="2329"/>
      <c r="DVM80" s="2329"/>
      <c r="DVN80" s="2329"/>
      <c r="DVO80" s="2329"/>
      <c r="DVP80" s="2329"/>
      <c r="DVQ80" s="2329"/>
      <c r="DVR80" s="2329"/>
      <c r="DVS80" s="2328"/>
      <c r="DVT80" s="2329"/>
      <c r="DVU80" s="2329"/>
      <c r="DVV80" s="2329"/>
      <c r="DVW80" s="2329"/>
      <c r="DVX80" s="2329"/>
      <c r="DVY80" s="2329"/>
      <c r="DVZ80" s="2329"/>
      <c r="DWA80" s="2329"/>
      <c r="DWB80" s="2329"/>
      <c r="DWC80" s="2329"/>
      <c r="DWD80" s="2329"/>
      <c r="DWE80" s="2329"/>
      <c r="DWF80" s="2329"/>
      <c r="DWG80" s="2329"/>
      <c r="DWH80" s="2329"/>
      <c r="DWI80" s="2328"/>
      <c r="DWJ80" s="2329"/>
      <c r="DWK80" s="2329"/>
      <c r="DWL80" s="2329"/>
      <c r="DWM80" s="2329"/>
      <c r="DWN80" s="2329"/>
      <c r="DWO80" s="2329"/>
      <c r="DWP80" s="2329"/>
      <c r="DWQ80" s="2329"/>
      <c r="DWR80" s="2329"/>
      <c r="DWS80" s="2329"/>
      <c r="DWT80" s="2329"/>
      <c r="DWU80" s="2329"/>
      <c r="DWV80" s="2329"/>
      <c r="DWW80" s="2329"/>
      <c r="DWX80" s="2329"/>
      <c r="DWY80" s="2328"/>
      <c r="DWZ80" s="2329"/>
      <c r="DXA80" s="2329"/>
      <c r="DXB80" s="2329"/>
      <c r="DXC80" s="2329"/>
      <c r="DXD80" s="2329"/>
      <c r="DXE80" s="2329"/>
      <c r="DXF80" s="2329"/>
      <c r="DXG80" s="2329"/>
      <c r="DXH80" s="2329"/>
      <c r="DXI80" s="2329"/>
      <c r="DXJ80" s="2329"/>
      <c r="DXK80" s="2329"/>
      <c r="DXL80" s="2329"/>
      <c r="DXM80" s="2329"/>
      <c r="DXN80" s="2329"/>
      <c r="DXO80" s="2328"/>
      <c r="DXP80" s="2329"/>
      <c r="DXQ80" s="2329"/>
      <c r="DXR80" s="2329"/>
      <c r="DXS80" s="2329"/>
      <c r="DXT80" s="2329"/>
      <c r="DXU80" s="2329"/>
      <c r="DXV80" s="2329"/>
      <c r="DXW80" s="2329"/>
      <c r="DXX80" s="2329"/>
      <c r="DXY80" s="2329"/>
      <c r="DXZ80" s="2329"/>
      <c r="DYA80" s="2329"/>
      <c r="DYB80" s="2329"/>
      <c r="DYC80" s="2329"/>
      <c r="DYD80" s="2329"/>
      <c r="DYE80" s="2328"/>
      <c r="DYF80" s="2329"/>
      <c r="DYG80" s="2329"/>
      <c r="DYH80" s="2329"/>
      <c r="DYI80" s="2329"/>
      <c r="DYJ80" s="2329"/>
      <c r="DYK80" s="2329"/>
      <c r="DYL80" s="2329"/>
      <c r="DYM80" s="2329"/>
      <c r="DYN80" s="2329"/>
      <c r="DYO80" s="2329"/>
      <c r="DYP80" s="2329"/>
      <c r="DYQ80" s="2329"/>
      <c r="DYR80" s="2329"/>
      <c r="DYS80" s="2329"/>
      <c r="DYT80" s="2329"/>
      <c r="DYU80" s="2328"/>
      <c r="DYV80" s="2329"/>
      <c r="DYW80" s="2329"/>
      <c r="DYX80" s="2329"/>
      <c r="DYY80" s="2329"/>
      <c r="DYZ80" s="2329"/>
      <c r="DZA80" s="2329"/>
      <c r="DZB80" s="2329"/>
      <c r="DZC80" s="2329"/>
      <c r="DZD80" s="2329"/>
      <c r="DZE80" s="2329"/>
      <c r="DZF80" s="2329"/>
      <c r="DZG80" s="2329"/>
      <c r="DZH80" s="2329"/>
      <c r="DZI80" s="2329"/>
      <c r="DZJ80" s="2329"/>
      <c r="DZK80" s="2328"/>
      <c r="DZL80" s="2329"/>
      <c r="DZM80" s="2329"/>
      <c r="DZN80" s="2329"/>
      <c r="DZO80" s="2329"/>
      <c r="DZP80" s="2329"/>
      <c r="DZQ80" s="2329"/>
      <c r="DZR80" s="2329"/>
      <c r="DZS80" s="2329"/>
      <c r="DZT80" s="2329"/>
      <c r="DZU80" s="2329"/>
      <c r="DZV80" s="2329"/>
      <c r="DZW80" s="2329"/>
      <c r="DZX80" s="2329"/>
      <c r="DZY80" s="2329"/>
      <c r="DZZ80" s="2329"/>
      <c r="EAA80" s="2328"/>
      <c r="EAB80" s="2329"/>
      <c r="EAC80" s="2329"/>
      <c r="EAD80" s="2329"/>
      <c r="EAE80" s="2329"/>
      <c r="EAF80" s="2329"/>
      <c r="EAG80" s="2329"/>
      <c r="EAH80" s="2329"/>
      <c r="EAI80" s="2329"/>
      <c r="EAJ80" s="2329"/>
      <c r="EAK80" s="2329"/>
      <c r="EAL80" s="2329"/>
      <c r="EAM80" s="2329"/>
      <c r="EAN80" s="2329"/>
      <c r="EAO80" s="2329"/>
      <c r="EAP80" s="2329"/>
      <c r="EAQ80" s="2328"/>
      <c r="EAR80" s="2329"/>
      <c r="EAS80" s="2329"/>
      <c r="EAT80" s="2329"/>
      <c r="EAU80" s="2329"/>
      <c r="EAV80" s="2329"/>
      <c r="EAW80" s="2329"/>
      <c r="EAX80" s="2329"/>
      <c r="EAY80" s="2329"/>
      <c r="EAZ80" s="2329"/>
      <c r="EBA80" s="2329"/>
      <c r="EBB80" s="2329"/>
      <c r="EBC80" s="2329"/>
      <c r="EBD80" s="2329"/>
      <c r="EBE80" s="2329"/>
      <c r="EBF80" s="2329"/>
      <c r="EBG80" s="2328"/>
      <c r="EBH80" s="2329"/>
      <c r="EBI80" s="2329"/>
      <c r="EBJ80" s="2329"/>
      <c r="EBK80" s="2329"/>
      <c r="EBL80" s="2329"/>
      <c r="EBM80" s="2329"/>
      <c r="EBN80" s="2329"/>
      <c r="EBO80" s="2329"/>
      <c r="EBP80" s="2329"/>
      <c r="EBQ80" s="2329"/>
      <c r="EBR80" s="2329"/>
      <c r="EBS80" s="2329"/>
      <c r="EBT80" s="2329"/>
      <c r="EBU80" s="2329"/>
      <c r="EBV80" s="2329"/>
      <c r="EBW80" s="2328"/>
      <c r="EBX80" s="2329"/>
      <c r="EBY80" s="2329"/>
      <c r="EBZ80" s="2329"/>
      <c r="ECA80" s="2329"/>
      <c r="ECB80" s="2329"/>
      <c r="ECC80" s="2329"/>
      <c r="ECD80" s="2329"/>
      <c r="ECE80" s="2329"/>
      <c r="ECF80" s="2329"/>
      <c r="ECG80" s="2329"/>
      <c r="ECH80" s="2329"/>
      <c r="ECI80" s="2329"/>
      <c r="ECJ80" s="2329"/>
      <c r="ECK80" s="2329"/>
      <c r="ECL80" s="2329"/>
      <c r="ECM80" s="2328"/>
      <c r="ECN80" s="2329"/>
      <c r="ECO80" s="2329"/>
      <c r="ECP80" s="2329"/>
      <c r="ECQ80" s="2329"/>
      <c r="ECR80" s="2329"/>
      <c r="ECS80" s="2329"/>
      <c r="ECT80" s="2329"/>
      <c r="ECU80" s="2329"/>
      <c r="ECV80" s="2329"/>
      <c r="ECW80" s="2329"/>
      <c r="ECX80" s="2329"/>
      <c r="ECY80" s="2329"/>
      <c r="ECZ80" s="2329"/>
      <c r="EDA80" s="2329"/>
      <c r="EDB80" s="2329"/>
      <c r="EDC80" s="2328"/>
      <c r="EDD80" s="2329"/>
      <c r="EDE80" s="2329"/>
      <c r="EDF80" s="2329"/>
      <c r="EDG80" s="2329"/>
      <c r="EDH80" s="2329"/>
      <c r="EDI80" s="2329"/>
      <c r="EDJ80" s="2329"/>
      <c r="EDK80" s="2329"/>
      <c r="EDL80" s="2329"/>
      <c r="EDM80" s="2329"/>
      <c r="EDN80" s="2329"/>
      <c r="EDO80" s="2329"/>
      <c r="EDP80" s="2329"/>
      <c r="EDQ80" s="2329"/>
      <c r="EDR80" s="2329"/>
      <c r="EDS80" s="2328"/>
      <c r="EDT80" s="2329"/>
      <c r="EDU80" s="2329"/>
      <c r="EDV80" s="2329"/>
      <c r="EDW80" s="2329"/>
      <c r="EDX80" s="2329"/>
      <c r="EDY80" s="2329"/>
      <c r="EDZ80" s="2329"/>
      <c r="EEA80" s="2329"/>
      <c r="EEB80" s="2329"/>
      <c r="EEC80" s="2329"/>
      <c r="EED80" s="2329"/>
      <c r="EEE80" s="2329"/>
      <c r="EEF80" s="2329"/>
      <c r="EEG80" s="2329"/>
      <c r="EEH80" s="2329"/>
      <c r="EEI80" s="2328"/>
      <c r="EEJ80" s="2329"/>
      <c r="EEK80" s="2329"/>
      <c r="EEL80" s="2329"/>
      <c r="EEM80" s="2329"/>
      <c r="EEN80" s="2329"/>
      <c r="EEO80" s="2329"/>
      <c r="EEP80" s="2329"/>
      <c r="EEQ80" s="2329"/>
      <c r="EER80" s="2329"/>
      <c r="EES80" s="2329"/>
      <c r="EET80" s="2329"/>
      <c r="EEU80" s="2329"/>
      <c r="EEV80" s="2329"/>
      <c r="EEW80" s="2329"/>
      <c r="EEX80" s="2329"/>
      <c r="EEY80" s="2328"/>
      <c r="EEZ80" s="2329"/>
      <c r="EFA80" s="2329"/>
      <c r="EFB80" s="2329"/>
      <c r="EFC80" s="2329"/>
      <c r="EFD80" s="2329"/>
      <c r="EFE80" s="2329"/>
      <c r="EFF80" s="2329"/>
      <c r="EFG80" s="2329"/>
      <c r="EFH80" s="2329"/>
      <c r="EFI80" s="2329"/>
      <c r="EFJ80" s="2329"/>
      <c r="EFK80" s="2329"/>
      <c r="EFL80" s="2329"/>
      <c r="EFM80" s="2329"/>
      <c r="EFN80" s="2329"/>
      <c r="EFO80" s="2328"/>
      <c r="EFP80" s="2329"/>
      <c r="EFQ80" s="2329"/>
      <c r="EFR80" s="2329"/>
      <c r="EFS80" s="2329"/>
      <c r="EFT80" s="2329"/>
      <c r="EFU80" s="2329"/>
      <c r="EFV80" s="2329"/>
      <c r="EFW80" s="2329"/>
      <c r="EFX80" s="2329"/>
      <c r="EFY80" s="2329"/>
      <c r="EFZ80" s="2329"/>
      <c r="EGA80" s="2329"/>
      <c r="EGB80" s="2329"/>
      <c r="EGC80" s="2329"/>
      <c r="EGD80" s="2329"/>
      <c r="EGE80" s="2328"/>
      <c r="EGF80" s="2329"/>
      <c r="EGG80" s="2329"/>
      <c r="EGH80" s="2329"/>
      <c r="EGI80" s="2329"/>
      <c r="EGJ80" s="2329"/>
      <c r="EGK80" s="2329"/>
      <c r="EGL80" s="2329"/>
      <c r="EGM80" s="2329"/>
      <c r="EGN80" s="2329"/>
      <c r="EGO80" s="2329"/>
      <c r="EGP80" s="2329"/>
      <c r="EGQ80" s="2329"/>
      <c r="EGR80" s="2329"/>
      <c r="EGS80" s="2329"/>
      <c r="EGT80" s="2329"/>
      <c r="EGU80" s="2328"/>
      <c r="EGV80" s="2329"/>
      <c r="EGW80" s="2329"/>
      <c r="EGX80" s="2329"/>
      <c r="EGY80" s="2329"/>
      <c r="EGZ80" s="2329"/>
      <c r="EHA80" s="2329"/>
      <c r="EHB80" s="2329"/>
      <c r="EHC80" s="2329"/>
      <c r="EHD80" s="2329"/>
      <c r="EHE80" s="2329"/>
      <c r="EHF80" s="2329"/>
      <c r="EHG80" s="2329"/>
      <c r="EHH80" s="2329"/>
      <c r="EHI80" s="2329"/>
      <c r="EHJ80" s="2329"/>
      <c r="EHK80" s="2328"/>
      <c r="EHL80" s="2329"/>
      <c r="EHM80" s="2329"/>
      <c r="EHN80" s="2329"/>
      <c r="EHO80" s="2329"/>
      <c r="EHP80" s="2329"/>
      <c r="EHQ80" s="2329"/>
      <c r="EHR80" s="2329"/>
      <c r="EHS80" s="2329"/>
      <c r="EHT80" s="2329"/>
      <c r="EHU80" s="2329"/>
      <c r="EHV80" s="2329"/>
      <c r="EHW80" s="2329"/>
      <c r="EHX80" s="2329"/>
      <c r="EHY80" s="2329"/>
      <c r="EHZ80" s="2329"/>
      <c r="EIA80" s="2328"/>
      <c r="EIB80" s="2329"/>
      <c r="EIC80" s="2329"/>
      <c r="EID80" s="2329"/>
      <c r="EIE80" s="2329"/>
      <c r="EIF80" s="2329"/>
      <c r="EIG80" s="2329"/>
      <c r="EIH80" s="2329"/>
      <c r="EII80" s="2329"/>
      <c r="EIJ80" s="2329"/>
      <c r="EIK80" s="2329"/>
      <c r="EIL80" s="2329"/>
      <c r="EIM80" s="2329"/>
      <c r="EIN80" s="2329"/>
      <c r="EIO80" s="2329"/>
      <c r="EIP80" s="2329"/>
      <c r="EIQ80" s="2328"/>
      <c r="EIR80" s="2329"/>
      <c r="EIS80" s="2329"/>
      <c r="EIT80" s="2329"/>
      <c r="EIU80" s="2329"/>
      <c r="EIV80" s="2329"/>
      <c r="EIW80" s="2329"/>
      <c r="EIX80" s="2329"/>
      <c r="EIY80" s="2329"/>
      <c r="EIZ80" s="2329"/>
      <c r="EJA80" s="2329"/>
      <c r="EJB80" s="2329"/>
      <c r="EJC80" s="2329"/>
      <c r="EJD80" s="2329"/>
      <c r="EJE80" s="2329"/>
      <c r="EJF80" s="2329"/>
      <c r="EJG80" s="2328"/>
      <c r="EJH80" s="2329"/>
      <c r="EJI80" s="2329"/>
      <c r="EJJ80" s="2329"/>
      <c r="EJK80" s="2329"/>
      <c r="EJL80" s="2329"/>
      <c r="EJM80" s="2329"/>
      <c r="EJN80" s="2329"/>
      <c r="EJO80" s="2329"/>
      <c r="EJP80" s="2329"/>
      <c r="EJQ80" s="2329"/>
      <c r="EJR80" s="2329"/>
      <c r="EJS80" s="2329"/>
      <c r="EJT80" s="2329"/>
      <c r="EJU80" s="2329"/>
      <c r="EJV80" s="2329"/>
      <c r="EJW80" s="2328"/>
      <c r="EJX80" s="2329"/>
      <c r="EJY80" s="2329"/>
      <c r="EJZ80" s="2329"/>
      <c r="EKA80" s="2329"/>
      <c r="EKB80" s="2329"/>
      <c r="EKC80" s="2329"/>
      <c r="EKD80" s="2329"/>
      <c r="EKE80" s="2329"/>
      <c r="EKF80" s="2329"/>
      <c r="EKG80" s="2329"/>
      <c r="EKH80" s="2329"/>
      <c r="EKI80" s="2329"/>
      <c r="EKJ80" s="2329"/>
      <c r="EKK80" s="2329"/>
      <c r="EKL80" s="2329"/>
      <c r="EKM80" s="2328"/>
      <c r="EKN80" s="2329"/>
      <c r="EKO80" s="2329"/>
      <c r="EKP80" s="2329"/>
      <c r="EKQ80" s="2329"/>
      <c r="EKR80" s="2329"/>
      <c r="EKS80" s="2329"/>
      <c r="EKT80" s="2329"/>
      <c r="EKU80" s="2329"/>
      <c r="EKV80" s="2329"/>
      <c r="EKW80" s="2329"/>
      <c r="EKX80" s="2329"/>
      <c r="EKY80" s="2329"/>
      <c r="EKZ80" s="2329"/>
      <c r="ELA80" s="2329"/>
      <c r="ELB80" s="2329"/>
      <c r="ELC80" s="2328"/>
      <c r="ELD80" s="2329"/>
      <c r="ELE80" s="2329"/>
      <c r="ELF80" s="2329"/>
      <c r="ELG80" s="2329"/>
      <c r="ELH80" s="2329"/>
      <c r="ELI80" s="2329"/>
      <c r="ELJ80" s="2329"/>
      <c r="ELK80" s="2329"/>
      <c r="ELL80" s="2329"/>
      <c r="ELM80" s="2329"/>
      <c r="ELN80" s="2329"/>
      <c r="ELO80" s="2329"/>
      <c r="ELP80" s="2329"/>
      <c r="ELQ80" s="2329"/>
      <c r="ELR80" s="2329"/>
      <c r="ELS80" s="2328"/>
      <c r="ELT80" s="2329"/>
      <c r="ELU80" s="2329"/>
      <c r="ELV80" s="2329"/>
      <c r="ELW80" s="2329"/>
      <c r="ELX80" s="2329"/>
      <c r="ELY80" s="2329"/>
      <c r="ELZ80" s="2329"/>
      <c r="EMA80" s="2329"/>
      <c r="EMB80" s="2329"/>
      <c r="EMC80" s="2329"/>
      <c r="EMD80" s="2329"/>
      <c r="EME80" s="2329"/>
      <c r="EMF80" s="2329"/>
      <c r="EMG80" s="2329"/>
      <c r="EMH80" s="2329"/>
      <c r="EMI80" s="2328"/>
      <c r="EMJ80" s="2329"/>
      <c r="EMK80" s="2329"/>
      <c r="EML80" s="2329"/>
      <c r="EMM80" s="2329"/>
      <c r="EMN80" s="2329"/>
      <c r="EMO80" s="2329"/>
      <c r="EMP80" s="2329"/>
      <c r="EMQ80" s="2329"/>
      <c r="EMR80" s="2329"/>
      <c r="EMS80" s="2329"/>
      <c r="EMT80" s="2329"/>
      <c r="EMU80" s="2329"/>
      <c r="EMV80" s="2329"/>
      <c r="EMW80" s="2329"/>
      <c r="EMX80" s="2329"/>
      <c r="EMY80" s="2328"/>
      <c r="EMZ80" s="2329"/>
      <c r="ENA80" s="2329"/>
      <c r="ENB80" s="2329"/>
      <c r="ENC80" s="2329"/>
      <c r="END80" s="2329"/>
      <c r="ENE80" s="2329"/>
      <c r="ENF80" s="2329"/>
      <c r="ENG80" s="2329"/>
      <c r="ENH80" s="2329"/>
      <c r="ENI80" s="2329"/>
      <c r="ENJ80" s="2329"/>
      <c r="ENK80" s="2329"/>
      <c r="ENL80" s="2329"/>
      <c r="ENM80" s="2329"/>
      <c r="ENN80" s="2329"/>
      <c r="ENO80" s="2328"/>
      <c r="ENP80" s="2329"/>
      <c r="ENQ80" s="2329"/>
      <c r="ENR80" s="2329"/>
      <c r="ENS80" s="2329"/>
      <c r="ENT80" s="2329"/>
      <c r="ENU80" s="2329"/>
      <c r="ENV80" s="2329"/>
      <c r="ENW80" s="2329"/>
      <c r="ENX80" s="2329"/>
      <c r="ENY80" s="2329"/>
      <c r="ENZ80" s="2329"/>
      <c r="EOA80" s="2329"/>
      <c r="EOB80" s="2329"/>
      <c r="EOC80" s="2329"/>
      <c r="EOD80" s="2329"/>
      <c r="EOE80" s="2328"/>
      <c r="EOF80" s="2329"/>
      <c r="EOG80" s="2329"/>
      <c r="EOH80" s="2329"/>
      <c r="EOI80" s="2329"/>
      <c r="EOJ80" s="2329"/>
      <c r="EOK80" s="2329"/>
      <c r="EOL80" s="2329"/>
      <c r="EOM80" s="2329"/>
      <c r="EON80" s="2329"/>
      <c r="EOO80" s="2329"/>
      <c r="EOP80" s="2329"/>
      <c r="EOQ80" s="2329"/>
      <c r="EOR80" s="2329"/>
      <c r="EOS80" s="2329"/>
      <c r="EOT80" s="2329"/>
      <c r="EOU80" s="2328"/>
      <c r="EOV80" s="2329"/>
      <c r="EOW80" s="2329"/>
      <c r="EOX80" s="2329"/>
      <c r="EOY80" s="2329"/>
      <c r="EOZ80" s="2329"/>
      <c r="EPA80" s="2329"/>
      <c r="EPB80" s="2329"/>
      <c r="EPC80" s="2329"/>
      <c r="EPD80" s="2329"/>
      <c r="EPE80" s="2329"/>
      <c r="EPF80" s="2329"/>
      <c r="EPG80" s="2329"/>
      <c r="EPH80" s="2329"/>
      <c r="EPI80" s="2329"/>
      <c r="EPJ80" s="2329"/>
      <c r="EPK80" s="2328"/>
      <c r="EPL80" s="2329"/>
      <c r="EPM80" s="2329"/>
      <c r="EPN80" s="2329"/>
      <c r="EPO80" s="2329"/>
      <c r="EPP80" s="2329"/>
      <c r="EPQ80" s="2329"/>
      <c r="EPR80" s="2329"/>
      <c r="EPS80" s="2329"/>
      <c r="EPT80" s="2329"/>
      <c r="EPU80" s="2329"/>
      <c r="EPV80" s="2329"/>
      <c r="EPW80" s="2329"/>
      <c r="EPX80" s="2329"/>
      <c r="EPY80" s="2329"/>
      <c r="EPZ80" s="2329"/>
      <c r="EQA80" s="2328"/>
      <c r="EQB80" s="2329"/>
      <c r="EQC80" s="2329"/>
      <c r="EQD80" s="2329"/>
      <c r="EQE80" s="2329"/>
      <c r="EQF80" s="2329"/>
      <c r="EQG80" s="2329"/>
      <c r="EQH80" s="2329"/>
      <c r="EQI80" s="2329"/>
      <c r="EQJ80" s="2329"/>
      <c r="EQK80" s="2329"/>
      <c r="EQL80" s="2329"/>
      <c r="EQM80" s="2329"/>
      <c r="EQN80" s="2329"/>
      <c r="EQO80" s="2329"/>
      <c r="EQP80" s="2329"/>
      <c r="EQQ80" s="2328"/>
      <c r="EQR80" s="2329"/>
      <c r="EQS80" s="2329"/>
      <c r="EQT80" s="2329"/>
      <c r="EQU80" s="2329"/>
      <c r="EQV80" s="2329"/>
      <c r="EQW80" s="2329"/>
      <c r="EQX80" s="2329"/>
      <c r="EQY80" s="2329"/>
      <c r="EQZ80" s="2329"/>
      <c r="ERA80" s="2329"/>
      <c r="ERB80" s="2329"/>
      <c r="ERC80" s="2329"/>
      <c r="ERD80" s="2329"/>
      <c r="ERE80" s="2329"/>
      <c r="ERF80" s="2329"/>
      <c r="ERG80" s="2328"/>
      <c r="ERH80" s="2329"/>
      <c r="ERI80" s="2329"/>
      <c r="ERJ80" s="2329"/>
      <c r="ERK80" s="2329"/>
      <c r="ERL80" s="2329"/>
      <c r="ERM80" s="2329"/>
      <c r="ERN80" s="2329"/>
      <c r="ERO80" s="2329"/>
      <c r="ERP80" s="2329"/>
      <c r="ERQ80" s="2329"/>
      <c r="ERR80" s="2329"/>
      <c r="ERS80" s="2329"/>
      <c r="ERT80" s="2329"/>
      <c r="ERU80" s="2329"/>
      <c r="ERV80" s="2329"/>
      <c r="ERW80" s="2328"/>
      <c r="ERX80" s="2329"/>
      <c r="ERY80" s="2329"/>
      <c r="ERZ80" s="2329"/>
      <c r="ESA80" s="2329"/>
      <c r="ESB80" s="2329"/>
      <c r="ESC80" s="2329"/>
      <c r="ESD80" s="2329"/>
      <c r="ESE80" s="2329"/>
      <c r="ESF80" s="2329"/>
      <c r="ESG80" s="2329"/>
      <c r="ESH80" s="2329"/>
      <c r="ESI80" s="2329"/>
      <c r="ESJ80" s="2329"/>
      <c r="ESK80" s="2329"/>
      <c r="ESL80" s="2329"/>
      <c r="ESM80" s="2328"/>
      <c r="ESN80" s="2329"/>
      <c r="ESO80" s="2329"/>
      <c r="ESP80" s="2329"/>
      <c r="ESQ80" s="2329"/>
      <c r="ESR80" s="2329"/>
      <c r="ESS80" s="2329"/>
      <c r="EST80" s="2329"/>
      <c r="ESU80" s="2329"/>
      <c r="ESV80" s="2329"/>
      <c r="ESW80" s="2329"/>
      <c r="ESX80" s="2329"/>
      <c r="ESY80" s="2329"/>
      <c r="ESZ80" s="2329"/>
      <c r="ETA80" s="2329"/>
      <c r="ETB80" s="2329"/>
      <c r="ETC80" s="2328"/>
      <c r="ETD80" s="2329"/>
      <c r="ETE80" s="2329"/>
      <c r="ETF80" s="2329"/>
      <c r="ETG80" s="2329"/>
      <c r="ETH80" s="2329"/>
      <c r="ETI80" s="2329"/>
      <c r="ETJ80" s="2329"/>
      <c r="ETK80" s="2329"/>
      <c r="ETL80" s="2329"/>
      <c r="ETM80" s="2329"/>
      <c r="ETN80" s="2329"/>
      <c r="ETO80" s="2329"/>
      <c r="ETP80" s="2329"/>
      <c r="ETQ80" s="2329"/>
      <c r="ETR80" s="2329"/>
      <c r="ETS80" s="2328"/>
      <c r="ETT80" s="2329"/>
      <c r="ETU80" s="2329"/>
      <c r="ETV80" s="2329"/>
      <c r="ETW80" s="2329"/>
      <c r="ETX80" s="2329"/>
      <c r="ETY80" s="2329"/>
      <c r="ETZ80" s="2329"/>
      <c r="EUA80" s="2329"/>
      <c r="EUB80" s="2329"/>
      <c r="EUC80" s="2329"/>
      <c r="EUD80" s="2329"/>
      <c r="EUE80" s="2329"/>
      <c r="EUF80" s="2329"/>
      <c r="EUG80" s="2329"/>
      <c r="EUH80" s="2329"/>
      <c r="EUI80" s="2328"/>
      <c r="EUJ80" s="2329"/>
      <c r="EUK80" s="2329"/>
      <c r="EUL80" s="2329"/>
      <c r="EUM80" s="2329"/>
      <c r="EUN80" s="2329"/>
      <c r="EUO80" s="2329"/>
      <c r="EUP80" s="2329"/>
      <c r="EUQ80" s="2329"/>
      <c r="EUR80" s="2329"/>
      <c r="EUS80" s="2329"/>
      <c r="EUT80" s="2329"/>
      <c r="EUU80" s="2329"/>
      <c r="EUV80" s="2329"/>
      <c r="EUW80" s="2329"/>
      <c r="EUX80" s="2329"/>
      <c r="EUY80" s="2328"/>
      <c r="EUZ80" s="2329"/>
      <c r="EVA80" s="2329"/>
      <c r="EVB80" s="2329"/>
      <c r="EVC80" s="2329"/>
      <c r="EVD80" s="2329"/>
      <c r="EVE80" s="2329"/>
      <c r="EVF80" s="2329"/>
      <c r="EVG80" s="2329"/>
      <c r="EVH80" s="2329"/>
      <c r="EVI80" s="2329"/>
      <c r="EVJ80" s="2329"/>
      <c r="EVK80" s="2329"/>
      <c r="EVL80" s="2329"/>
      <c r="EVM80" s="2329"/>
      <c r="EVN80" s="2329"/>
      <c r="EVO80" s="2328"/>
      <c r="EVP80" s="2329"/>
      <c r="EVQ80" s="2329"/>
      <c r="EVR80" s="2329"/>
      <c r="EVS80" s="2329"/>
      <c r="EVT80" s="2329"/>
      <c r="EVU80" s="2329"/>
      <c r="EVV80" s="2329"/>
      <c r="EVW80" s="2329"/>
      <c r="EVX80" s="2329"/>
      <c r="EVY80" s="2329"/>
      <c r="EVZ80" s="2329"/>
      <c r="EWA80" s="2329"/>
      <c r="EWB80" s="2329"/>
      <c r="EWC80" s="2329"/>
      <c r="EWD80" s="2329"/>
      <c r="EWE80" s="2328"/>
      <c r="EWF80" s="2329"/>
      <c r="EWG80" s="2329"/>
      <c r="EWH80" s="2329"/>
      <c r="EWI80" s="2329"/>
      <c r="EWJ80" s="2329"/>
      <c r="EWK80" s="2329"/>
      <c r="EWL80" s="2329"/>
      <c r="EWM80" s="2329"/>
      <c r="EWN80" s="2329"/>
      <c r="EWO80" s="2329"/>
      <c r="EWP80" s="2329"/>
      <c r="EWQ80" s="2329"/>
      <c r="EWR80" s="2329"/>
      <c r="EWS80" s="2329"/>
      <c r="EWT80" s="2329"/>
      <c r="EWU80" s="2328"/>
      <c r="EWV80" s="2329"/>
      <c r="EWW80" s="2329"/>
      <c r="EWX80" s="2329"/>
      <c r="EWY80" s="2329"/>
      <c r="EWZ80" s="2329"/>
      <c r="EXA80" s="2329"/>
      <c r="EXB80" s="2329"/>
      <c r="EXC80" s="2329"/>
      <c r="EXD80" s="2329"/>
      <c r="EXE80" s="2329"/>
      <c r="EXF80" s="2329"/>
      <c r="EXG80" s="2329"/>
      <c r="EXH80" s="2329"/>
      <c r="EXI80" s="2329"/>
      <c r="EXJ80" s="2329"/>
      <c r="EXK80" s="2328"/>
      <c r="EXL80" s="2329"/>
      <c r="EXM80" s="2329"/>
      <c r="EXN80" s="2329"/>
      <c r="EXO80" s="2329"/>
      <c r="EXP80" s="2329"/>
      <c r="EXQ80" s="2329"/>
      <c r="EXR80" s="2329"/>
      <c r="EXS80" s="2329"/>
      <c r="EXT80" s="2329"/>
      <c r="EXU80" s="2329"/>
      <c r="EXV80" s="2329"/>
      <c r="EXW80" s="2329"/>
      <c r="EXX80" s="2329"/>
      <c r="EXY80" s="2329"/>
      <c r="EXZ80" s="2329"/>
      <c r="EYA80" s="2328"/>
      <c r="EYB80" s="2329"/>
      <c r="EYC80" s="2329"/>
      <c r="EYD80" s="2329"/>
      <c r="EYE80" s="2329"/>
      <c r="EYF80" s="2329"/>
      <c r="EYG80" s="2329"/>
      <c r="EYH80" s="2329"/>
      <c r="EYI80" s="2329"/>
      <c r="EYJ80" s="2329"/>
      <c r="EYK80" s="2329"/>
      <c r="EYL80" s="2329"/>
      <c r="EYM80" s="2329"/>
      <c r="EYN80" s="2329"/>
      <c r="EYO80" s="2329"/>
      <c r="EYP80" s="2329"/>
      <c r="EYQ80" s="2328"/>
      <c r="EYR80" s="2329"/>
      <c r="EYS80" s="2329"/>
      <c r="EYT80" s="2329"/>
      <c r="EYU80" s="2329"/>
      <c r="EYV80" s="2329"/>
      <c r="EYW80" s="2329"/>
      <c r="EYX80" s="2329"/>
      <c r="EYY80" s="2329"/>
      <c r="EYZ80" s="2329"/>
      <c r="EZA80" s="2329"/>
      <c r="EZB80" s="2329"/>
      <c r="EZC80" s="2329"/>
      <c r="EZD80" s="2329"/>
      <c r="EZE80" s="2329"/>
      <c r="EZF80" s="2329"/>
      <c r="EZG80" s="2328"/>
      <c r="EZH80" s="2329"/>
      <c r="EZI80" s="2329"/>
      <c r="EZJ80" s="2329"/>
      <c r="EZK80" s="2329"/>
      <c r="EZL80" s="2329"/>
      <c r="EZM80" s="2329"/>
      <c r="EZN80" s="2329"/>
      <c r="EZO80" s="2329"/>
      <c r="EZP80" s="2329"/>
      <c r="EZQ80" s="2329"/>
      <c r="EZR80" s="2329"/>
      <c r="EZS80" s="2329"/>
      <c r="EZT80" s="2329"/>
      <c r="EZU80" s="2329"/>
      <c r="EZV80" s="2329"/>
      <c r="EZW80" s="2328"/>
      <c r="EZX80" s="2329"/>
      <c r="EZY80" s="2329"/>
      <c r="EZZ80" s="2329"/>
      <c r="FAA80" s="2329"/>
      <c r="FAB80" s="2329"/>
      <c r="FAC80" s="2329"/>
      <c r="FAD80" s="2329"/>
      <c r="FAE80" s="2329"/>
      <c r="FAF80" s="2329"/>
      <c r="FAG80" s="2329"/>
      <c r="FAH80" s="2329"/>
      <c r="FAI80" s="2329"/>
      <c r="FAJ80" s="2329"/>
      <c r="FAK80" s="2329"/>
      <c r="FAL80" s="2329"/>
      <c r="FAM80" s="2328"/>
      <c r="FAN80" s="2329"/>
      <c r="FAO80" s="2329"/>
      <c r="FAP80" s="2329"/>
      <c r="FAQ80" s="2329"/>
      <c r="FAR80" s="2329"/>
      <c r="FAS80" s="2329"/>
      <c r="FAT80" s="2329"/>
      <c r="FAU80" s="2329"/>
      <c r="FAV80" s="2329"/>
      <c r="FAW80" s="2329"/>
      <c r="FAX80" s="2329"/>
      <c r="FAY80" s="2329"/>
      <c r="FAZ80" s="2329"/>
      <c r="FBA80" s="2329"/>
      <c r="FBB80" s="2329"/>
      <c r="FBC80" s="2328"/>
      <c r="FBD80" s="2329"/>
      <c r="FBE80" s="2329"/>
      <c r="FBF80" s="2329"/>
      <c r="FBG80" s="2329"/>
      <c r="FBH80" s="2329"/>
      <c r="FBI80" s="2329"/>
      <c r="FBJ80" s="2329"/>
      <c r="FBK80" s="2329"/>
      <c r="FBL80" s="2329"/>
      <c r="FBM80" s="2329"/>
      <c r="FBN80" s="2329"/>
      <c r="FBO80" s="2329"/>
      <c r="FBP80" s="2329"/>
      <c r="FBQ80" s="2329"/>
      <c r="FBR80" s="2329"/>
      <c r="FBS80" s="2328"/>
      <c r="FBT80" s="2329"/>
      <c r="FBU80" s="2329"/>
      <c r="FBV80" s="2329"/>
      <c r="FBW80" s="2329"/>
      <c r="FBX80" s="2329"/>
      <c r="FBY80" s="2329"/>
      <c r="FBZ80" s="2329"/>
      <c r="FCA80" s="2329"/>
      <c r="FCB80" s="2329"/>
      <c r="FCC80" s="2329"/>
      <c r="FCD80" s="2329"/>
      <c r="FCE80" s="2329"/>
      <c r="FCF80" s="2329"/>
      <c r="FCG80" s="2329"/>
      <c r="FCH80" s="2329"/>
      <c r="FCI80" s="2328"/>
      <c r="FCJ80" s="2329"/>
      <c r="FCK80" s="2329"/>
      <c r="FCL80" s="2329"/>
      <c r="FCM80" s="2329"/>
      <c r="FCN80" s="2329"/>
      <c r="FCO80" s="2329"/>
      <c r="FCP80" s="2329"/>
      <c r="FCQ80" s="2329"/>
      <c r="FCR80" s="2329"/>
      <c r="FCS80" s="2329"/>
      <c r="FCT80" s="2329"/>
      <c r="FCU80" s="2329"/>
      <c r="FCV80" s="2329"/>
      <c r="FCW80" s="2329"/>
      <c r="FCX80" s="2329"/>
      <c r="FCY80" s="2328"/>
      <c r="FCZ80" s="2329"/>
      <c r="FDA80" s="2329"/>
      <c r="FDB80" s="2329"/>
      <c r="FDC80" s="2329"/>
      <c r="FDD80" s="2329"/>
      <c r="FDE80" s="2329"/>
      <c r="FDF80" s="2329"/>
      <c r="FDG80" s="2329"/>
      <c r="FDH80" s="2329"/>
      <c r="FDI80" s="2329"/>
      <c r="FDJ80" s="2329"/>
      <c r="FDK80" s="2329"/>
      <c r="FDL80" s="2329"/>
      <c r="FDM80" s="2329"/>
      <c r="FDN80" s="2329"/>
      <c r="FDO80" s="2328"/>
      <c r="FDP80" s="2329"/>
      <c r="FDQ80" s="2329"/>
      <c r="FDR80" s="2329"/>
      <c r="FDS80" s="2329"/>
      <c r="FDT80" s="2329"/>
      <c r="FDU80" s="2329"/>
      <c r="FDV80" s="2329"/>
      <c r="FDW80" s="2329"/>
      <c r="FDX80" s="2329"/>
      <c r="FDY80" s="2329"/>
      <c r="FDZ80" s="2329"/>
      <c r="FEA80" s="2329"/>
      <c r="FEB80" s="2329"/>
      <c r="FEC80" s="2329"/>
      <c r="FED80" s="2329"/>
      <c r="FEE80" s="2328"/>
      <c r="FEF80" s="2329"/>
      <c r="FEG80" s="2329"/>
      <c r="FEH80" s="2329"/>
      <c r="FEI80" s="2329"/>
      <c r="FEJ80" s="2329"/>
      <c r="FEK80" s="2329"/>
      <c r="FEL80" s="2329"/>
      <c r="FEM80" s="2329"/>
      <c r="FEN80" s="2329"/>
      <c r="FEO80" s="2329"/>
      <c r="FEP80" s="2329"/>
      <c r="FEQ80" s="2329"/>
      <c r="FER80" s="2329"/>
      <c r="FES80" s="2329"/>
      <c r="FET80" s="2329"/>
      <c r="FEU80" s="2328"/>
      <c r="FEV80" s="2329"/>
      <c r="FEW80" s="2329"/>
      <c r="FEX80" s="2329"/>
      <c r="FEY80" s="2329"/>
      <c r="FEZ80" s="2329"/>
      <c r="FFA80" s="2329"/>
      <c r="FFB80" s="2329"/>
      <c r="FFC80" s="2329"/>
      <c r="FFD80" s="2329"/>
      <c r="FFE80" s="2329"/>
      <c r="FFF80" s="2329"/>
      <c r="FFG80" s="2329"/>
      <c r="FFH80" s="2329"/>
      <c r="FFI80" s="2329"/>
      <c r="FFJ80" s="2329"/>
      <c r="FFK80" s="2328"/>
      <c r="FFL80" s="2329"/>
      <c r="FFM80" s="2329"/>
      <c r="FFN80" s="2329"/>
      <c r="FFO80" s="2329"/>
      <c r="FFP80" s="2329"/>
      <c r="FFQ80" s="2329"/>
      <c r="FFR80" s="2329"/>
      <c r="FFS80" s="2329"/>
      <c r="FFT80" s="2329"/>
      <c r="FFU80" s="2329"/>
      <c r="FFV80" s="2329"/>
      <c r="FFW80" s="2329"/>
      <c r="FFX80" s="2329"/>
      <c r="FFY80" s="2329"/>
      <c r="FFZ80" s="2329"/>
      <c r="FGA80" s="2328"/>
      <c r="FGB80" s="2329"/>
      <c r="FGC80" s="2329"/>
      <c r="FGD80" s="2329"/>
      <c r="FGE80" s="2329"/>
      <c r="FGF80" s="2329"/>
      <c r="FGG80" s="2329"/>
      <c r="FGH80" s="2329"/>
      <c r="FGI80" s="2329"/>
      <c r="FGJ80" s="2329"/>
      <c r="FGK80" s="2329"/>
      <c r="FGL80" s="2329"/>
      <c r="FGM80" s="2329"/>
      <c r="FGN80" s="2329"/>
      <c r="FGO80" s="2329"/>
      <c r="FGP80" s="2329"/>
      <c r="FGQ80" s="2328"/>
      <c r="FGR80" s="2329"/>
      <c r="FGS80" s="2329"/>
      <c r="FGT80" s="2329"/>
      <c r="FGU80" s="2329"/>
      <c r="FGV80" s="2329"/>
      <c r="FGW80" s="2329"/>
      <c r="FGX80" s="2329"/>
      <c r="FGY80" s="2329"/>
      <c r="FGZ80" s="2329"/>
      <c r="FHA80" s="2329"/>
      <c r="FHB80" s="2329"/>
      <c r="FHC80" s="2329"/>
      <c r="FHD80" s="2329"/>
      <c r="FHE80" s="2329"/>
      <c r="FHF80" s="2329"/>
      <c r="FHG80" s="2328"/>
      <c r="FHH80" s="2329"/>
      <c r="FHI80" s="2329"/>
      <c r="FHJ80" s="2329"/>
      <c r="FHK80" s="2329"/>
      <c r="FHL80" s="2329"/>
      <c r="FHM80" s="2329"/>
      <c r="FHN80" s="2329"/>
      <c r="FHO80" s="2329"/>
      <c r="FHP80" s="2329"/>
      <c r="FHQ80" s="2329"/>
      <c r="FHR80" s="2329"/>
      <c r="FHS80" s="2329"/>
      <c r="FHT80" s="2329"/>
      <c r="FHU80" s="2329"/>
      <c r="FHV80" s="2329"/>
      <c r="FHW80" s="2328"/>
      <c r="FHX80" s="2329"/>
      <c r="FHY80" s="2329"/>
      <c r="FHZ80" s="2329"/>
      <c r="FIA80" s="2329"/>
      <c r="FIB80" s="2329"/>
      <c r="FIC80" s="2329"/>
      <c r="FID80" s="2329"/>
      <c r="FIE80" s="2329"/>
      <c r="FIF80" s="2329"/>
      <c r="FIG80" s="2329"/>
      <c r="FIH80" s="2329"/>
      <c r="FII80" s="2329"/>
      <c r="FIJ80" s="2329"/>
      <c r="FIK80" s="2329"/>
      <c r="FIL80" s="2329"/>
      <c r="FIM80" s="2328"/>
      <c r="FIN80" s="2329"/>
      <c r="FIO80" s="2329"/>
      <c r="FIP80" s="2329"/>
      <c r="FIQ80" s="2329"/>
      <c r="FIR80" s="2329"/>
      <c r="FIS80" s="2329"/>
      <c r="FIT80" s="2329"/>
      <c r="FIU80" s="2329"/>
      <c r="FIV80" s="2329"/>
      <c r="FIW80" s="2329"/>
      <c r="FIX80" s="2329"/>
      <c r="FIY80" s="2329"/>
      <c r="FIZ80" s="2329"/>
      <c r="FJA80" s="2329"/>
      <c r="FJB80" s="2329"/>
      <c r="FJC80" s="2328"/>
      <c r="FJD80" s="2329"/>
      <c r="FJE80" s="2329"/>
      <c r="FJF80" s="2329"/>
      <c r="FJG80" s="2329"/>
      <c r="FJH80" s="2329"/>
      <c r="FJI80" s="2329"/>
      <c r="FJJ80" s="2329"/>
      <c r="FJK80" s="2329"/>
      <c r="FJL80" s="2329"/>
      <c r="FJM80" s="2329"/>
      <c r="FJN80" s="2329"/>
      <c r="FJO80" s="2329"/>
      <c r="FJP80" s="2329"/>
      <c r="FJQ80" s="2329"/>
      <c r="FJR80" s="2329"/>
      <c r="FJS80" s="2328"/>
      <c r="FJT80" s="2329"/>
      <c r="FJU80" s="2329"/>
      <c r="FJV80" s="2329"/>
      <c r="FJW80" s="2329"/>
      <c r="FJX80" s="2329"/>
      <c r="FJY80" s="2329"/>
      <c r="FJZ80" s="2329"/>
      <c r="FKA80" s="2329"/>
      <c r="FKB80" s="2329"/>
      <c r="FKC80" s="2329"/>
      <c r="FKD80" s="2329"/>
      <c r="FKE80" s="2329"/>
      <c r="FKF80" s="2329"/>
      <c r="FKG80" s="2329"/>
      <c r="FKH80" s="2329"/>
      <c r="FKI80" s="2328"/>
      <c r="FKJ80" s="2329"/>
      <c r="FKK80" s="2329"/>
      <c r="FKL80" s="2329"/>
      <c r="FKM80" s="2329"/>
      <c r="FKN80" s="2329"/>
      <c r="FKO80" s="2329"/>
      <c r="FKP80" s="2329"/>
      <c r="FKQ80" s="2329"/>
      <c r="FKR80" s="2329"/>
      <c r="FKS80" s="2329"/>
      <c r="FKT80" s="2329"/>
      <c r="FKU80" s="2329"/>
      <c r="FKV80" s="2329"/>
      <c r="FKW80" s="2329"/>
      <c r="FKX80" s="2329"/>
      <c r="FKY80" s="2328"/>
      <c r="FKZ80" s="2329"/>
      <c r="FLA80" s="2329"/>
      <c r="FLB80" s="2329"/>
      <c r="FLC80" s="2329"/>
      <c r="FLD80" s="2329"/>
      <c r="FLE80" s="2329"/>
      <c r="FLF80" s="2329"/>
      <c r="FLG80" s="2329"/>
      <c r="FLH80" s="2329"/>
      <c r="FLI80" s="2329"/>
      <c r="FLJ80" s="2329"/>
      <c r="FLK80" s="2329"/>
      <c r="FLL80" s="2329"/>
      <c r="FLM80" s="2329"/>
      <c r="FLN80" s="2329"/>
      <c r="FLO80" s="2328"/>
      <c r="FLP80" s="2329"/>
      <c r="FLQ80" s="2329"/>
      <c r="FLR80" s="2329"/>
      <c r="FLS80" s="2329"/>
      <c r="FLT80" s="2329"/>
      <c r="FLU80" s="2329"/>
      <c r="FLV80" s="2329"/>
      <c r="FLW80" s="2329"/>
      <c r="FLX80" s="2329"/>
      <c r="FLY80" s="2329"/>
      <c r="FLZ80" s="2329"/>
      <c r="FMA80" s="2329"/>
      <c r="FMB80" s="2329"/>
      <c r="FMC80" s="2329"/>
      <c r="FMD80" s="2329"/>
      <c r="FME80" s="2328"/>
      <c r="FMF80" s="2329"/>
      <c r="FMG80" s="2329"/>
      <c r="FMH80" s="2329"/>
      <c r="FMI80" s="2329"/>
      <c r="FMJ80" s="2329"/>
      <c r="FMK80" s="2329"/>
      <c r="FML80" s="2329"/>
      <c r="FMM80" s="2329"/>
      <c r="FMN80" s="2329"/>
      <c r="FMO80" s="2329"/>
      <c r="FMP80" s="2329"/>
      <c r="FMQ80" s="2329"/>
      <c r="FMR80" s="2329"/>
      <c r="FMS80" s="2329"/>
      <c r="FMT80" s="2329"/>
      <c r="FMU80" s="2328"/>
      <c r="FMV80" s="2329"/>
      <c r="FMW80" s="2329"/>
      <c r="FMX80" s="2329"/>
      <c r="FMY80" s="2329"/>
      <c r="FMZ80" s="2329"/>
      <c r="FNA80" s="2329"/>
      <c r="FNB80" s="2329"/>
      <c r="FNC80" s="2329"/>
      <c r="FND80" s="2329"/>
      <c r="FNE80" s="2329"/>
      <c r="FNF80" s="2329"/>
      <c r="FNG80" s="2329"/>
      <c r="FNH80" s="2329"/>
      <c r="FNI80" s="2329"/>
      <c r="FNJ80" s="2329"/>
      <c r="FNK80" s="2328"/>
      <c r="FNL80" s="2329"/>
      <c r="FNM80" s="2329"/>
      <c r="FNN80" s="2329"/>
      <c r="FNO80" s="2329"/>
      <c r="FNP80" s="2329"/>
      <c r="FNQ80" s="2329"/>
      <c r="FNR80" s="2329"/>
      <c r="FNS80" s="2329"/>
      <c r="FNT80" s="2329"/>
      <c r="FNU80" s="2329"/>
      <c r="FNV80" s="2329"/>
      <c r="FNW80" s="2329"/>
      <c r="FNX80" s="2329"/>
      <c r="FNY80" s="2329"/>
      <c r="FNZ80" s="2329"/>
      <c r="FOA80" s="2328"/>
      <c r="FOB80" s="2329"/>
      <c r="FOC80" s="2329"/>
      <c r="FOD80" s="2329"/>
      <c r="FOE80" s="2329"/>
      <c r="FOF80" s="2329"/>
      <c r="FOG80" s="2329"/>
      <c r="FOH80" s="2329"/>
      <c r="FOI80" s="2329"/>
      <c r="FOJ80" s="2329"/>
      <c r="FOK80" s="2329"/>
      <c r="FOL80" s="2329"/>
      <c r="FOM80" s="2329"/>
      <c r="FON80" s="2329"/>
      <c r="FOO80" s="2329"/>
      <c r="FOP80" s="2329"/>
      <c r="FOQ80" s="2328"/>
      <c r="FOR80" s="2329"/>
      <c r="FOS80" s="2329"/>
      <c r="FOT80" s="2329"/>
      <c r="FOU80" s="2329"/>
      <c r="FOV80" s="2329"/>
      <c r="FOW80" s="2329"/>
      <c r="FOX80" s="2329"/>
      <c r="FOY80" s="2329"/>
      <c r="FOZ80" s="2329"/>
      <c r="FPA80" s="2329"/>
      <c r="FPB80" s="2329"/>
      <c r="FPC80" s="2329"/>
      <c r="FPD80" s="2329"/>
      <c r="FPE80" s="2329"/>
      <c r="FPF80" s="2329"/>
      <c r="FPG80" s="2328"/>
      <c r="FPH80" s="2329"/>
      <c r="FPI80" s="2329"/>
      <c r="FPJ80" s="2329"/>
      <c r="FPK80" s="2329"/>
      <c r="FPL80" s="2329"/>
      <c r="FPM80" s="2329"/>
      <c r="FPN80" s="2329"/>
      <c r="FPO80" s="2329"/>
      <c r="FPP80" s="2329"/>
      <c r="FPQ80" s="2329"/>
      <c r="FPR80" s="2329"/>
      <c r="FPS80" s="2329"/>
      <c r="FPT80" s="2329"/>
      <c r="FPU80" s="2329"/>
      <c r="FPV80" s="2329"/>
      <c r="FPW80" s="2328"/>
      <c r="FPX80" s="2329"/>
      <c r="FPY80" s="2329"/>
      <c r="FPZ80" s="2329"/>
      <c r="FQA80" s="2329"/>
      <c r="FQB80" s="2329"/>
      <c r="FQC80" s="2329"/>
      <c r="FQD80" s="2329"/>
      <c r="FQE80" s="2329"/>
      <c r="FQF80" s="2329"/>
      <c r="FQG80" s="2329"/>
      <c r="FQH80" s="2329"/>
      <c r="FQI80" s="2329"/>
      <c r="FQJ80" s="2329"/>
      <c r="FQK80" s="2329"/>
      <c r="FQL80" s="2329"/>
      <c r="FQM80" s="2328"/>
      <c r="FQN80" s="2329"/>
      <c r="FQO80" s="2329"/>
      <c r="FQP80" s="2329"/>
      <c r="FQQ80" s="2329"/>
      <c r="FQR80" s="2329"/>
      <c r="FQS80" s="2329"/>
      <c r="FQT80" s="2329"/>
      <c r="FQU80" s="2329"/>
      <c r="FQV80" s="2329"/>
      <c r="FQW80" s="2329"/>
      <c r="FQX80" s="2329"/>
      <c r="FQY80" s="2329"/>
      <c r="FQZ80" s="2329"/>
      <c r="FRA80" s="2329"/>
      <c r="FRB80" s="2329"/>
      <c r="FRC80" s="2328"/>
      <c r="FRD80" s="2329"/>
      <c r="FRE80" s="2329"/>
      <c r="FRF80" s="2329"/>
      <c r="FRG80" s="2329"/>
      <c r="FRH80" s="2329"/>
      <c r="FRI80" s="2329"/>
      <c r="FRJ80" s="2329"/>
      <c r="FRK80" s="2329"/>
      <c r="FRL80" s="2329"/>
      <c r="FRM80" s="2329"/>
      <c r="FRN80" s="2329"/>
      <c r="FRO80" s="2329"/>
      <c r="FRP80" s="2329"/>
      <c r="FRQ80" s="2329"/>
      <c r="FRR80" s="2329"/>
      <c r="FRS80" s="2328"/>
      <c r="FRT80" s="2329"/>
      <c r="FRU80" s="2329"/>
      <c r="FRV80" s="2329"/>
      <c r="FRW80" s="2329"/>
      <c r="FRX80" s="2329"/>
      <c r="FRY80" s="2329"/>
      <c r="FRZ80" s="2329"/>
      <c r="FSA80" s="2329"/>
      <c r="FSB80" s="2329"/>
      <c r="FSC80" s="2329"/>
      <c r="FSD80" s="2329"/>
      <c r="FSE80" s="2329"/>
      <c r="FSF80" s="2329"/>
      <c r="FSG80" s="2329"/>
      <c r="FSH80" s="2329"/>
      <c r="FSI80" s="2328"/>
      <c r="FSJ80" s="2329"/>
      <c r="FSK80" s="2329"/>
      <c r="FSL80" s="2329"/>
      <c r="FSM80" s="2329"/>
      <c r="FSN80" s="2329"/>
      <c r="FSO80" s="2329"/>
      <c r="FSP80" s="2329"/>
      <c r="FSQ80" s="2329"/>
      <c r="FSR80" s="2329"/>
      <c r="FSS80" s="2329"/>
      <c r="FST80" s="2329"/>
      <c r="FSU80" s="2329"/>
      <c r="FSV80" s="2329"/>
      <c r="FSW80" s="2329"/>
      <c r="FSX80" s="2329"/>
      <c r="FSY80" s="2328"/>
      <c r="FSZ80" s="2329"/>
      <c r="FTA80" s="2329"/>
      <c r="FTB80" s="2329"/>
      <c r="FTC80" s="2329"/>
      <c r="FTD80" s="2329"/>
      <c r="FTE80" s="2329"/>
      <c r="FTF80" s="2329"/>
      <c r="FTG80" s="2329"/>
      <c r="FTH80" s="2329"/>
      <c r="FTI80" s="2329"/>
      <c r="FTJ80" s="2329"/>
      <c r="FTK80" s="2329"/>
      <c r="FTL80" s="2329"/>
      <c r="FTM80" s="2329"/>
      <c r="FTN80" s="2329"/>
      <c r="FTO80" s="2328"/>
      <c r="FTP80" s="2329"/>
      <c r="FTQ80" s="2329"/>
      <c r="FTR80" s="2329"/>
      <c r="FTS80" s="2329"/>
      <c r="FTT80" s="2329"/>
      <c r="FTU80" s="2329"/>
      <c r="FTV80" s="2329"/>
      <c r="FTW80" s="2329"/>
      <c r="FTX80" s="2329"/>
      <c r="FTY80" s="2329"/>
      <c r="FTZ80" s="2329"/>
      <c r="FUA80" s="2329"/>
      <c r="FUB80" s="2329"/>
      <c r="FUC80" s="2329"/>
      <c r="FUD80" s="2329"/>
      <c r="FUE80" s="2328"/>
      <c r="FUF80" s="2329"/>
      <c r="FUG80" s="2329"/>
      <c r="FUH80" s="2329"/>
      <c r="FUI80" s="2329"/>
      <c r="FUJ80" s="2329"/>
      <c r="FUK80" s="2329"/>
      <c r="FUL80" s="2329"/>
      <c r="FUM80" s="2329"/>
      <c r="FUN80" s="2329"/>
      <c r="FUO80" s="2329"/>
      <c r="FUP80" s="2329"/>
      <c r="FUQ80" s="2329"/>
      <c r="FUR80" s="2329"/>
      <c r="FUS80" s="2329"/>
      <c r="FUT80" s="2329"/>
      <c r="FUU80" s="2328"/>
      <c r="FUV80" s="2329"/>
      <c r="FUW80" s="2329"/>
      <c r="FUX80" s="2329"/>
      <c r="FUY80" s="2329"/>
      <c r="FUZ80" s="2329"/>
      <c r="FVA80" s="2329"/>
      <c r="FVB80" s="2329"/>
      <c r="FVC80" s="2329"/>
      <c r="FVD80" s="2329"/>
      <c r="FVE80" s="2329"/>
      <c r="FVF80" s="2329"/>
      <c r="FVG80" s="2329"/>
      <c r="FVH80" s="2329"/>
      <c r="FVI80" s="2329"/>
      <c r="FVJ80" s="2329"/>
      <c r="FVK80" s="2328"/>
      <c r="FVL80" s="2329"/>
      <c r="FVM80" s="2329"/>
      <c r="FVN80" s="2329"/>
      <c r="FVO80" s="2329"/>
      <c r="FVP80" s="2329"/>
      <c r="FVQ80" s="2329"/>
      <c r="FVR80" s="2329"/>
      <c r="FVS80" s="2329"/>
      <c r="FVT80" s="2329"/>
      <c r="FVU80" s="2329"/>
      <c r="FVV80" s="2329"/>
      <c r="FVW80" s="2329"/>
      <c r="FVX80" s="2329"/>
      <c r="FVY80" s="2329"/>
      <c r="FVZ80" s="2329"/>
      <c r="FWA80" s="2328"/>
      <c r="FWB80" s="2329"/>
      <c r="FWC80" s="2329"/>
      <c r="FWD80" s="2329"/>
      <c r="FWE80" s="2329"/>
      <c r="FWF80" s="2329"/>
      <c r="FWG80" s="2329"/>
      <c r="FWH80" s="2329"/>
      <c r="FWI80" s="2329"/>
      <c r="FWJ80" s="2329"/>
      <c r="FWK80" s="2329"/>
      <c r="FWL80" s="2329"/>
      <c r="FWM80" s="2329"/>
      <c r="FWN80" s="2329"/>
      <c r="FWO80" s="2329"/>
      <c r="FWP80" s="2329"/>
      <c r="FWQ80" s="2328"/>
      <c r="FWR80" s="2329"/>
      <c r="FWS80" s="2329"/>
      <c r="FWT80" s="2329"/>
      <c r="FWU80" s="2329"/>
      <c r="FWV80" s="2329"/>
      <c r="FWW80" s="2329"/>
      <c r="FWX80" s="2329"/>
      <c r="FWY80" s="2329"/>
      <c r="FWZ80" s="2329"/>
      <c r="FXA80" s="2329"/>
      <c r="FXB80" s="2329"/>
      <c r="FXC80" s="2329"/>
      <c r="FXD80" s="2329"/>
      <c r="FXE80" s="2329"/>
      <c r="FXF80" s="2329"/>
      <c r="FXG80" s="2328"/>
      <c r="FXH80" s="2329"/>
      <c r="FXI80" s="2329"/>
      <c r="FXJ80" s="2329"/>
      <c r="FXK80" s="2329"/>
      <c r="FXL80" s="2329"/>
      <c r="FXM80" s="2329"/>
      <c r="FXN80" s="2329"/>
      <c r="FXO80" s="2329"/>
      <c r="FXP80" s="2329"/>
      <c r="FXQ80" s="2329"/>
      <c r="FXR80" s="2329"/>
      <c r="FXS80" s="2329"/>
      <c r="FXT80" s="2329"/>
      <c r="FXU80" s="2329"/>
      <c r="FXV80" s="2329"/>
      <c r="FXW80" s="2328"/>
      <c r="FXX80" s="2329"/>
      <c r="FXY80" s="2329"/>
      <c r="FXZ80" s="2329"/>
      <c r="FYA80" s="2329"/>
      <c r="FYB80" s="2329"/>
      <c r="FYC80" s="2329"/>
      <c r="FYD80" s="2329"/>
      <c r="FYE80" s="2329"/>
      <c r="FYF80" s="2329"/>
      <c r="FYG80" s="2329"/>
      <c r="FYH80" s="2329"/>
      <c r="FYI80" s="2329"/>
      <c r="FYJ80" s="2329"/>
      <c r="FYK80" s="2329"/>
      <c r="FYL80" s="2329"/>
      <c r="FYM80" s="2328"/>
      <c r="FYN80" s="2329"/>
      <c r="FYO80" s="2329"/>
      <c r="FYP80" s="2329"/>
      <c r="FYQ80" s="2329"/>
      <c r="FYR80" s="2329"/>
      <c r="FYS80" s="2329"/>
      <c r="FYT80" s="2329"/>
      <c r="FYU80" s="2329"/>
      <c r="FYV80" s="2329"/>
      <c r="FYW80" s="2329"/>
      <c r="FYX80" s="2329"/>
      <c r="FYY80" s="2329"/>
      <c r="FYZ80" s="2329"/>
      <c r="FZA80" s="2329"/>
      <c r="FZB80" s="2329"/>
      <c r="FZC80" s="2328"/>
      <c r="FZD80" s="2329"/>
      <c r="FZE80" s="2329"/>
      <c r="FZF80" s="2329"/>
      <c r="FZG80" s="2329"/>
      <c r="FZH80" s="2329"/>
      <c r="FZI80" s="2329"/>
      <c r="FZJ80" s="2329"/>
      <c r="FZK80" s="2329"/>
      <c r="FZL80" s="2329"/>
      <c r="FZM80" s="2329"/>
      <c r="FZN80" s="2329"/>
      <c r="FZO80" s="2329"/>
      <c r="FZP80" s="2329"/>
      <c r="FZQ80" s="2329"/>
      <c r="FZR80" s="2329"/>
      <c r="FZS80" s="2328"/>
      <c r="FZT80" s="2329"/>
      <c r="FZU80" s="2329"/>
      <c r="FZV80" s="2329"/>
      <c r="FZW80" s="2329"/>
      <c r="FZX80" s="2329"/>
      <c r="FZY80" s="2329"/>
      <c r="FZZ80" s="2329"/>
      <c r="GAA80" s="2329"/>
      <c r="GAB80" s="2329"/>
      <c r="GAC80" s="2329"/>
      <c r="GAD80" s="2329"/>
      <c r="GAE80" s="2329"/>
      <c r="GAF80" s="2329"/>
      <c r="GAG80" s="2329"/>
      <c r="GAH80" s="2329"/>
      <c r="GAI80" s="2328"/>
      <c r="GAJ80" s="2329"/>
      <c r="GAK80" s="2329"/>
      <c r="GAL80" s="2329"/>
      <c r="GAM80" s="2329"/>
      <c r="GAN80" s="2329"/>
      <c r="GAO80" s="2329"/>
      <c r="GAP80" s="2329"/>
      <c r="GAQ80" s="2329"/>
      <c r="GAR80" s="2329"/>
      <c r="GAS80" s="2329"/>
      <c r="GAT80" s="2329"/>
      <c r="GAU80" s="2329"/>
      <c r="GAV80" s="2329"/>
      <c r="GAW80" s="2329"/>
      <c r="GAX80" s="2329"/>
      <c r="GAY80" s="2328"/>
      <c r="GAZ80" s="2329"/>
      <c r="GBA80" s="2329"/>
      <c r="GBB80" s="2329"/>
      <c r="GBC80" s="2329"/>
      <c r="GBD80" s="2329"/>
      <c r="GBE80" s="2329"/>
      <c r="GBF80" s="2329"/>
      <c r="GBG80" s="2329"/>
      <c r="GBH80" s="2329"/>
      <c r="GBI80" s="2329"/>
      <c r="GBJ80" s="2329"/>
      <c r="GBK80" s="2329"/>
      <c r="GBL80" s="2329"/>
      <c r="GBM80" s="2329"/>
      <c r="GBN80" s="2329"/>
      <c r="GBO80" s="2328"/>
      <c r="GBP80" s="2329"/>
      <c r="GBQ80" s="2329"/>
      <c r="GBR80" s="2329"/>
      <c r="GBS80" s="2329"/>
      <c r="GBT80" s="2329"/>
      <c r="GBU80" s="2329"/>
      <c r="GBV80" s="2329"/>
      <c r="GBW80" s="2329"/>
      <c r="GBX80" s="2329"/>
      <c r="GBY80" s="2329"/>
      <c r="GBZ80" s="2329"/>
      <c r="GCA80" s="2329"/>
      <c r="GCB80" s="2329"/>
      <c r="GCC80" s="2329"/>
      <c r="GCD80" s="2329"/>
      <c r="GCE80" s="2328"/>
      <c r="GCF80" s="2329"/>
      <c r="GCG80" s="2329"/>
      <c r="GCH80" s="2329"/>
      <c r="GCI80" s="2329"/>
      <c r="GCJ80" s="2329"/>
      <c r="GCK80" s="2329"/>
      <c r="GCL80" s="2329"/>
      <c r="GCM80" s="2329"/>
      <c r="GCN80" s="2329"/>
      <c r="GCO80" s="2329"/>
      <c r="GCP80" s="2329"/>
      <c r="GCQ80" s="2329"/>
      <c r="GCR80" s="2329"/>
      <c r="GCS80" s="2329"/>
      <c r="GCT80" s="2329"/>
      <c r="GCU80" s="2328"/>
      <c r="GCV80" s="2329"/>
      <c r="GCW80" s="2329"/>
      <c r="GCX80" s="2329"/>
      <c r="GCY80" s="2329"/>
      <c r="GCZ80" s="2329"/>
      <c r="GDA80" s="2329"/>
      <c r="GDB80" s="2329"/>
      <c r="GDC80" s="2329"/>
      <c r="GDD80" s="2329"/>
      <c r="GDE80" s="2329"/>
      <c r="GDF80" s="2329"/>
      <c r="GDG80" s="2329"/>
      <c r="GDH80" s="2329"/>
      <c r="GDI80" s="2329"/>
      <c r="GDJ80" s="2329"/>
      <c r="GDK80" s="2328"/>
      <c r="GDL80" s="2329"/>
      <c r="GDM80" s="2329"/>
      <c r="GDN80" s="2329"/>
      <c r="GDO80" s="2329"/>
      <c r="GDP80" s="2329"/>
      <c r="GDQ80" s="2329"/>
      <c r="GDR80" s="2329"/>
      <c r="GDS80" s="2329"/>
      <c r="GDT80" s="2329"/>
      <c r="GDU80" s="2329"/>
      <c r="GDV80" s="2329"/>
      <c r="GDW80" s="2329"/>
      <c r="GDX80" s="2329"/>
      <c r="GDY80" s="2329"/>
      <c r="GDZ80" s="2329"/>
      <c r="GEA80" s="2328"/>
      <c r="GEB80" s="2329"/>
      <c r="GEC80" s="2329"/>
      <c r="GED80" s="2329"/>
      <c r="GEE80" s="2329"/>
      <c r="GEF80" s="2329"/>
      <c r="GEG80" s="2329"/>
      <c r="GEH80" s="2329"/>
      <c r="GEI80" s="2329"/>
      <c r="GEJ80" s="2329"/>
      <c r="GEK80" s="2329"/>
      <c r="GEL80" s="2329"/>
      <c r="GEM80" s="2329"/>
      <c r="GEN80" s="2329"/>
      <c r="GEO80" s="2329"/>
      <c r="GEP80" s="2329"/>
      <c r="GEQ80" s="2328"/>
      <c r="GER80" s="2329"/>
      <c r="GES80" s="2329"/>
      <c r="GET80" s="2329"/>
      <c r="GEU80" s="2329"/>
      <c r="GEV80" s="2329"/>
      <c r="GEW80" s="2329"/>
      <c r="GEX80" s="2329"/>
      <c r="GEY80" s="2329"/>
      <c r="GEZ80" s="2329"/>
      <c r="GFA80" s="2329"/>
      <c r="GFB80" s="2329"/>
      <c r="GFC80" s="2329"/>
      <c r="GFD80" s="2329"/>
      <c r="GFE80" s="2329"/>
      <c r="GFF80" s="2329"/>
      <c r="GFG80" s="2328"/>
      <c r="GFH80" s="2329"/>
      <c r="GFI80" s="2329"/>
      <c r="GFJ80" s="2329"/>
      <c r="GFK80" s="2329"/>
      <c r="GFL80" s="2329"/>
      <c r="GFM80" s="2329"/>
      <c r="GFN80" s="2329"/>
      <c r="GFO80" s="2329"/>
      <c r="GFP80" s="2329"/>
      <c r="GFQ80" s="2329"/>
      <c r="GFR80" s="2329"/>
      <c r="GFS80" s="2329"/>
      <c r="GFT80" s="2329"/>
      <c r="GFU80" s="2329"/>
      <c r="GFV80" s="2329"/>
      <c r="GFW80" s="2328"/>
      <c r="GFX80" s="2329"/>
      <c r="GFY80" s="2329"/>
      <c r="GFZ80" s="2329"/>
      <c r="GGA80" s="2329"/>
      <c r="GGB80" s="2329"/>
      <c r="GGC80" s="2329"/>
      <c r="GGD80" s="2329"/>
      <c r="GGE80" s="2329"/>
      <c r="GGF80" s="2329"/>
      <c r="GGG80" s="2329"/>
      <c r="GGH80" s="2329"/>
      <c r="GGI80" s="2329"/>
      <c r="GGJ80" s="2329"/>
      <c r="GGK80" s="2329"/>
      <c r="GGL80" s="2329"/>
      <c r="GGM80" s="2328"/>
      <c r="GGN80" s="2329"/>
      <c r="GGO80" s="2329"/>
      <c r="GGP80" s="2329"/>
      <c r="GGQ80" s="2329"/>
      <c r="GGR80" s="2329"/>
      <c r="GGS80" s="2329"/>
      <c r="GGT80" s="2329"/>
      <c r="GGU80" s="2329"/>
      <c r="GGV80" s="2329"/>
      <c r="GGW80" s="2329"/>
      <c r="GGX80" s="2329"/>
      <c r="GGY80" s="2329"/>
      <c r="GGZ80" s="2329"/>
      <c r="GHA80" s="2329"/>
      <c r="GHB80" s="2329"/>
      <c r="GHC80" s="2328"/>
      <c r="GHD80" s="2329"/>
      <c r="GHE80" s="2329"/>
      <c r="GHF80" s="2329"/>
      <c r="GHG80" s="2329"/>
      <c r="GHH80" s="2329"/>
      <c r="GHI80" s="2329"/>
      <c r="GHJ80" s="2329"/>
      <c r="GHK80" s="2329"/>
      <c r="GHL80" s="2329"/>
      <c r="GHM80" s="2329"/>
      <c r="GHN80" s="2329"/>
      <c r="GHO80" s="2329"/>
      <c r="GHP80" s="2329"/>
      <c r="GHQ80" s="2329"/>
      <c r="GHR80" s="2329"/>
      <c r="GHS80" s="2328"/>
      <c r="GHT80" s="2329"/>
      <c r="GHU80" s="2329"/>
      <c r="GHV80" s="2329"/>
      <c r="GHW80" s="2329"/>
      <c r="GHX80" s="2329"/>
      <c r="GHY80" s="2329"/>
      <c r="GHZ80" s="2329"/>
      <c r="GIA80" s="2329"/>
      <c r="GIB80" s="2329"/>
      <c r="GIC80" s="2329"/>
      <c r="GID80" s="2329"/>
      <c r="GIE80" s="2329"/>
      <c r="GIF80" s="2329"/>
      <c r="GIG80" s="2329"/>
      <c r="GIH80" s="2329"/>
      <c r="GII80" s="2328"/>
      <c r="GIJ80" s="2329"/>
      <c r="GIK80" s="2329"/>
      <c r="GIL80" s="2329"/>
      <c r="GIM80" s="2329"/>
      <c r="GIN80" s="2329"/>
      <c r="GIO80" s="2329"/>
      <c r="GIP80" s="2329"/>
      <c r="GIQ80" s="2329"/>
      <c r="GIR80" s="2329"/>
      <c r="GIS80" s="2329"/>
      <c r="GIT80" s="2329"/>
      <c r="GIU80" s="2329"/>
      <c r="GIV80" s="2329"/>
      <c r="GIW80" s="2329"/>
      <c r="GIX80" s="2329"/>
      <c r="GIY80" s="2328"/>
      <c r="GIZ80" s="2329"/>
      <c r="GJA80" s="2329"/>
      <c r="GJB80" s="2329"/>
      <c r="GJC80" s="2329"/>
      <c r="GJD80" s="2329"/>
      <c r="GJE80" s="2329"/>
      <c r="GJF80" s="2329"/>
      <c r="GJG80" s="2329"/>
      <c r="GJH80" s="2329"/>
      <c r="GJI80" s="2329"/>
      <c r="GJJ80" s="2329"/>
      <c r="GJK80" s="2329"/>
      <c r="GJL80" s="2329"/>
      <c r="GJM80" s="2329"/>
      <c r="GJN80" s="2329"/>
      <c r="GJO80" s="2328"/>
      <c r="GJP80" s="2329"/>
      <c r="GJQ80" s="2329"/>
      <c r="GJR80" s="2329"/>
      <c r="GJS80" s="2329"/>
      <c r="GJT80" s="2329"/>
      <c r="GJU80" s="2329"/>
      <c r="GJV80" s="2329"/>
      <c r="GJW80" s="2329"/>
      <c r="GJX80" s="2329"/>
      <c r="GJY80" s="2329"/>
      <c r="GJZ80" s="2329"/>
      <c r="GKA80" s="2329"/>
      <c r="GKB80" s="2329"/>
      <c r="GKC80" s="2329"/>
      <c r="GKD80" s="2329"/>
      <c r="GKE80" s="2328"/>
      <c r="GKF80" s="2329"/>
      <c r="GKG80" s="2329"/>
      <c r="GKH80" s="2329"/>
      <c r="GKI80" s="2329"/>
      <c r="GKJ80" s="2329"/>
      <c r="GKK80" s="2329"/>
      <c r="GKL80" s="2329"/>
      <c r="GKM80" s="2329"/>
      <c r="GKN80" s="2329"/>
      <c r="GKO80" s="2329"/>
      <c r="GKP80" s="2329"/>
      <c r="GKQ80" s="2329"/>
      <c r="GKR80" s="2329"/>
      <c r="GKS80" s="2329"/>
      <c r="GKT80" s="2329"/>
      <c r="GKU80" s="2328"/>
      <c r="GKV80" s="2329"/>
      <c r="GKW80" s="2329"/>
      <c r="GKX80" s="2329"/>
      <c r="GKY80" s="2329"/>
      <c r="GKZ80" s="2329"/>
      <c r="GLA80" s="2329"/>
      <c r="GLB80" s="2329"/>
      <c r="GLC80" s="2329"/>
      <c r="GLD80" s="2329"/>
      <c r="GLE80" s="2329"/>
      <c r="GLF80" s="2329"/>
      <c r="GLG80" s="2329"/>
      <c r="GLH80" s="2329"/>
      <c r="GLI80" s="2329"/>
      <c r="GLJ80" s="2329"/>
      <c r="GLK80" s="2328"/>
      <c r="GLL80" s="2329"/>
      <c r="GLM80" s="2329"/>
      <c r="GLN80" s="2329"/>
      <c r="GLO80" s="2329"/>
      <c r="GLP80" s="2329"/>
      <c r="GLQ80" s="2329"/>
      <c r="GLR80" s="2329"/>
      <c r="GLS80" s="2329"/>
      <c r="GLT80" s="2329"/>
      <c r="GLU80" s="2329"/>
      <c r="GLV80" s="2329"/>
      <c r="GLW80" s="2329"/>
      <c r="GLX80" s="2329"/>
      <c r="GLY80" s="2329"/>
      <c r="GLZ80" s="2329"/>
      <c r="GMA80" s="2328"/>
      <c r="GMB80" s="2329"/>
      <c r="GMC80" s="2329"/>
      <c r="GMD80" s="2329"/>
      <c r="GME80" s="2329"/>
      <c r="GMF80" s="2329"/>
      <c r="GMG80" s="2329"/>
      <c r="GMH80" s="2329"/>
      <c r="GMI80" s="2329"/>
      <c r="GMJ80" s="2329"/>
      <c r="GMK80" s="2329"/>
      <c r="GML80" s="2329"/>
      <c r="GMM80" s="2329"/>
      <c r="GMN80" s="2329"/>
      <c r="GMO80" s="2329"/>
      <c r="GMP80" s="2329"/>
      <c r="GMQ80" s="2328"/>
      <c r="GMR80" s="2329"/>
      <c r="GMS80" s="2329"/>
      <c r="GMT80" s="2329"/>
      <c r="GMU80" s="2329"/>
      <c r="GMV80" s="2329"/>
      <c r="GMW80" s="2329"/>
      <c r="GMX80" s="2329"/>
      <c r="GMY80" s="2329"/>
      <c r="GMZ80" s="2329"/>
      <c r="GNA80" s="2329"/>
      <c r="GNB80" s="2329"/>
      <c r="GNC80" s="2329"/>
      <c r="GND80" s="2329"/>
      <c r="GNE80" s="2329"/>
      <c r="GNF80" s="2329"/>
      <c r="GNG80" s="2328"/>
      <c r="GNH80" s="2329"/>
      <c r="GNI80" s="2329"/>
      <c r="GNJ80" s="2329"/>
      <c r="GNK80" s="2329"/>
      <c r="GNL80" s="2329"/>
      <c r="GNM80" s="2329"/>
      <c r="GNN80" s="2329"/>
      <c r="GNO80" s="2329"/>
      <c r="GNP80" s="2329"/>
      <c r="GNQ80" s="2329"/>
      <c r="GNR80" s="2329"/>
      <c r="GNS80" s="2329"/>
      <c r="GNT80" s="2329"/>
      <c r="GNU80" s="2329"/>
      <c r="GNV80" s="2329"/>
      <c r="GNW80" s="2328"/>
      <c r="GNX80" s="2329"/>
      <c r="GNY80" s="2329"/>
      <c r="GNZ80" s="2329"/>
      <c r="GOA80" s="2329"/>
      <c r="GOB80" s="2329"/>
      <c r="GOC80" s="2329"/>
      <c r="GOD80" s="2329"/>
      <c r="GOE80" s="2329"/>
      <c r="GOF80" s="2329"/>
      <c r="GOG80" s="2329"/>
      <c r="GOH80" s="2329"/>
      <c r="GOI80" s="2329"/>
      <c r="GOJ80" s="2329"/>
      <c r="GOK80" s="2329"/>
      <c r="GOL80" s="2329"/>
      <c r="GOM80" s="2328"/>
      <c r="GON80" s="2329"/>
      <c r="GOO80" s="2329"/>
      <c r="GOP80" s="2329"/>
      <c r="GOQ80" s="2329"/>
      <c r="GOR80" s="2329"/>
      <c r="GOS80" s="2329"/>
      <c r="GOT80" s="2329"/>
      <c r="GOU80" s="2329"/>
      <c r="GOV80" s="2329"/>
      <c r="GOW80" s="2329"/>
      <c r="GOX80" s="2329"/>
      <c r="GOY80" s="2329"/>
      <c r="GOZ80" s="2329"/>
      <c r="GPA80" s="2329"/>
      <c r="GPB80" s="2329"/>
      <c r="GPC80" s="2328"/>
      <c r="GPD80" s="2329"/>
      <c r="GPE80" s="2329"/>
      <c r="GPF80" s="2329"/>
      <c r="GPG80" s="2329"/>
      <c r="GPH80" s="2329"/>
      <c r="GPI80" s="2329"/>
      <c r="GPJ80" s="2329"/>
      <c r="GPK80" s="2329"/>
      <c r="GPL80" s="2329"/>
      <c r="GPM80" s="2329"/>
      <c r="GPN80" s="2329"/>
      <c r="GPO80" s="2329"/>
      <c r="GPP80" s="2329"/>
      <c r="GPQ80" s="2329"/>
      <c r="GPR80" s="2329"/>
      <c r="GPS80" s="2328"/>
      <c r="GPT80" s="2329"/>
      <c r="GPU80" s="2329"/>
      <c r="GPV80" s="2329"/>
      <c r="GPW80" s="2329"/>
      <c r="GPX80" s="2329"/>
      <c r="GPY80" s="2329"/>
      <c r="GPZ80" s="2329"/>
      <c r="GQA80" s="2329"/>
      <c r="GQB80" s="2329"/>
      <c r="GQC80" s="2329"/>
      <c r="GQD80" s="2329"/>
      <c r="GQE80" s="2329"/>
      <c r="GQF80" s="2329"/>
      <c r="GQG80" s="2329"/>
      <c r="GQH80" s="2329"/>
      <c r="GQI80" s="2328"/>
      <c r="GQJ80" s="2329"/>
      <c r="GQK80" s="2329"/>
      <c r="GQL80" s="2329"/>
      <c r="GQM80" s="2329"/>
      <c r="GQN80" s="2329"/>
      <c r="GQO80" s="2329"/>
      <c r="GQP80" s="2329"/>
      <c r="GQQ80" s="2329"/>
      <c r="GQR80" s="2329"/>
      <c r="GQS80" s="2329"/>
      <c r="GQT80" s="2329"/>
      <c r="GQU80" s="2329"/>
      <c r="GQV80" s="2329"/>
      <c r="GQW80" s="2329"/>
      <c r="GQX80" s="2329"/>
      <c r="GQY80" s="2328"/>
      <c r="GQZ80" s="2329"/>
      <c r="GRA80" s="2329"/>
      <c r="GRB80" s="2329"/>
      <c r="GRC80" s="2329"/>
      <c r="GRD80" s="2329"/>
      <c r="GRE80" s="2329"/>
      <c r="GRF80" s="2329"/>
      <c r="GRG80" s="2329"/>
      <c r="GRH80" s="2329"/>
      <c r="GRI80" s="2329"/>
      <c r="GRJ80" s="2329"/>
      <c r="GRK80" s="2329"/>
      <c r="GRL80" s="2329"/>
      <c r="GRM80" s="2329"/>
      <c r="GRN80" s="2329"/>
      <c r="GRO80" s="2328"/>
      <c r="GRP80" s="2329"/>
      <c r="GRQ80" s="2329"/>
      <c r="GRR80" s="2329"/>
      <c r="GRS80" s="2329"/>
      <c r="GRT80" s="2329"/>
      <c r="GRU80" s="2329"/>
      <c r="GRV80" s="2329"/>
      <c r="GRW80" s="2329"/>
      <c r="GRX80" s="2329"/>
      <c r="GRY80" s="2329"/>
      <c r="GRZ80" s="2329"/>
      <c r="GSA80" s="2329"/>
      <c r="GSB80" s="2329"/>
      <c r="GSC80" s="2329"/>
      <c r="GSD80" s="2329"/>
      <c r="GSE80" s="2328"/>
      <c r="GSF80" s="2329"/>
      <c r="GSG80" s="2329"/>
      <c r="GSH80" s="2329"/>
      <c r="GSI80" s="2329"/>
      <c r="GSJ80" s="2329"/>
      <c r="GSK80" s="2329"/>
      <c r="GSL80" s="2329"/>
      <c r="GSM80" s="2329"/>
      <c r="GSN80" s="2329"/>
      <c r="GSO80" s="2329"/>
      <c r="GSP80" s="2329"/>
      <c r="GSQ80" s="2329"/>
      <c r="GSR80" s="2329"/>
      <c r="GSS80" s="2329"/>
      <c r="GST80" s="2329"/>
      <c r="GSU80" s="2328"/>
      <c r="GSV80" s="2329"/>
      <c r="GSW80" s="2329"/>
      <c r="GSX80" s="2329"/>
      <c r="GSY80" s="2329"/>
      <c r="GSZ80" s="2329"/>
      <c r="GTA80" s="2329"/>
      <c r="GTB80" s="2329"/>
      <c r="GTC80" s="2329"/>
      <c r="GTD80" s="2329"/>
      <c r="GTE80" s="2329"/>
      <c r="GTF80" s="2329"/>
      <c r="GTG80" s="2329"/>
      <c r="GTH80" s="2329"/>
      <c r="GTI80" s="2329"/>
      <c r="GTJ80" s="2329"/>
      <c r="GTK80" s="2328"/>
      <c r="GTL80" s="2329"/>
      <c r="GTM80" s="2329"/>
      <c r="GTN80" s="2329"/>
      <c r="GTO80" s="2329"/>
      <c r="GTP80" s="2329"/>
      <c r="GTQ80" s="2329"/>
      <c r="GTR80" s="2329"/>
      <c r="GTS80" s="2329"/>
      <c r="GTT80" s="2329"/>
      <c r="GTU80" s="2329"/>
      <c r="GTV80" s="2329"/>
      <c r="GTW80" s="2329"/>
      <c r="GTX80" s="2329"/>
      <c r="GTY80" s="2329"/>
      <c r="GTZ80" s="2329"/>
      <c r="GUA80" s="2328"/>
      <c r="GUB80" s="2329"/>
      <c r="GUC80" s="2329"/>
      <c r="GUD80" s="2329"/>
      <c r="GUE80" s="2329"/>
      <c r="GUF80" s="2329"/>
      <c r="GUG80" s="2329"/>
      <c r="GUH80" s="2329"/>
      <c r="GUI80" s="2329"/>
      <c r="GUJ80" s="2329"/>
      <c r="GUK80" s="2329"/>
      <c r="GUL80" s="2329"/>
      <c r="GUM80" s="2329"/>
      <c r="GUN80" s="2329"/>
      <c r="GUO80" s="2329"/>
      <c r="GUP80" s="2329"/>
      <c r="GUQ80" s="2328"/>
      <c r="GUR80" s="2329"/>
      <c r="GUS80" s="2329"/>
      <c r="GUT80" s="2329"/>
      <c r="GUU80" s="2329"/>
      <c r="GUV80" s="2329"/>
      <c r="GUW80" s="2329"/>
      <c r="GUX80" s="2329"/>
      <c r="GUY80" s="2329"/>
      <c r="GUZ80" s="2329"/>
      <c r="GVA80" s="2329"/>
      <c r="GVB80" s="2329"/>
      <c r="GVC80" s="2329"/>
      <c r="GVD80" s="2329"/>
      <c r="GVE80" s="2329"/>
      <c r="GVF80" s="2329"/>
      <c r="GVG80" s="2328"/>
      <c r="GVH80" s="2329"/>
      <c r="GVI80" s="2329"/>
      <c r="GVJ80" s="2329"/>
      <c r="GVK80" s="2329"/>
      <c r="GVL80" s="2329"/>
      <c r="GVM80" s="2329"/>
      <c r="GVN80" s="2329"/>
      <c r="GVO80" s="2329"/>
      <c r="GVP80" s="2329"/>
      <c r="GVQ80" s="2329"/>
      <c r="GVR80" s="2329"/>
      <c r="GVS80" s="2329"/>
      <c r="GVT80" s="2329"/>
      <c r="GVU80" s="2329"/>
      <c r="GVV80" s="2329"/>
      <c r="GVW80" s="2328"/>
      <c r="GVX80" s="2329"/>
      <c r="GVY80" s="2329"/>
      <c r="GVZ80" s="2329"/>
      <c r="GWA80" s="2329"/>
      <c r="GWB80" s="2329"/>
      <c r="GWC80" s="2329"/>
      <c r="GWD80" s="2329"/>
      <c r="GWE80" s="2329"/>
      <c r="GWF80" s="2329"/>
      <c r="GWG80" s="2329"/>
      <c r="GWH80" s="2329"/>
      <c r="GWI80" s="2329"/>
      <c r="GWJ80" s="2329"/>
      <c r="GWK80" s="2329"/>
      <c r="GWL80" s="2329"/>
      <c r="GWM80" s="2328"/>
      <c r="GWN80" s="2329"/>
      <c r="GWO80" s="2329"/>
      <c r="GWP80" s="2329"/>
      <c r="GWQ80" s="2329"/>
      <c r="GWR80" s="2329"/>
      <c r="GWS80" s="2329"/>
      <c r="GWT80" s="2329"/>
      <c r="GWU80" s="2329"/>
      <c r="GWV80" s="2329"/>
      <c r="GWW80" s="2329"/>
      <c r="GWX80" s="2329"/>
      <c r="GWY80" s="2329"/>
      <c r="GWZ80" s="2329"/>
      <c r="GXA80" s="2329"/>
      <c r="GXB80" s="2329"/>
      <c r="GXC80" s="2328"/>
      <c r="GXD80" s="2329"/>
      <c r="GXE80" s="2329"/>
      <c r="GXF80" s="2329"/>
      <c r="GXG80" s="2329"/>
      <c r="GXH80" s="2329"/>
      <c r="GXI80" s="2329"/>
      <c r="GXJ80" s="2329"/>
      <c r="GXK80" s="2329"/>
      <c r="GXL80" s="2329"/>
      <c r="GXM80" s="2329"/>
      <c r="GXN80" s="2329"/>
      <c r="GXO80" s="2329"/>
      <c r="GXP80" s="2329"/>
      <c r="GXQ80" s="2329"/>
      <c r="GXR80" s="2329"/>
      <c r="GXS80" s="2328"/>
      <c r="GXT80" s="2329"/>
      <c r="GXU80" s="2329"/>
      <c r="GXV80" s="2329"/>
      <c r="GXW80" s="2329"/>
      <c r="GXX80" s="2329"/>
      <c r="GXY80" s="2329"/>
      <c r="GXZ80" s="2329"/>
      <c r="GYA80" s="2329"/>
      <c r="GYB80" s="2329"/>
      <c r="GYC80" s="2329"/>
      <c r="GYD80" s="2329"/>
      <c r="GYE80" s="2329"/>
      <c r="GYF80" s="2329"/>
      <c r="GYG80" s="2329"/>
      <c r="GYH80" s="2329"/>
      <c r="GYI80" s="2328"/>
      <c r="GYJ80" s="2329"/>
      <c r="GYK80" s="2329"/>
      <c r="GYL80" s="2329"/>
      <c r="GYM80" s="2329"/>
      <c r="GYN80" s="2329"/>
      <c r="GYO80" s="2329"/>
      <c r="GYP80" s="2329"/>
      <c r="GYQ80" s="2329"/>
      <c r="GYR80" s="2329"/>
      <c r="GYS80" s="2329"/>
      <c r="GYT80" s="2329"/>
      <c r="GYU80" s="2329"/>
      <c r="GYV80" s="2329"/>
      <c r="GYW80" s="2329"/>
      <c r="GYX80" s="2329"/>
      <c r="GYY80" s="2328"/>
      <c r="GYZ80" s="2329"/>
      <c r="GZA80" s="2329"/>
      <c r="GZB80" s="2329"/>
      <c r="GZC80" s="2329"/>
      <c r="GZD80" s="2329"/>
      <c r="GZE80" s="2329"/>
      <c r="GZF80" s="2329"/>
      <c r="GZG80" s="2329"/>
      <c r="GZH80" s="2329"/>
      <c r="GZI80" s="2329"/>
      <c r="GZJ80" s="2329"/>
      <c r="GZK80" s="2329"/>
      <c r="GZL80" s="2329"/>
      <c r="GZM80" s="2329"/>
      <c r="GZN80" s="2329"/>
      <c r="GZO80" s="2328"/>
      <c r="GZP80" s="2329"/>
      <c r="GZQ80" s="2329"/>
      <c r="GZR80" s="2329"/>
      <c r="GZS80" s="2329"/>
      <c r="GZT80" s="2329"/>
      <c r="GZU80" s="2329"/>
      <c r="GZV80" s="2329"/>
      <c r="GZW80" s="2329"/>
      <c r="GZX80" s="2329"/>
      <c r="GZY80" s="2329"/>
      <c r="GZZ80" s="2329"/>
      <c r="HAA80" s="2329"/>
      <c r="HAB80" s="2329"/>
      <c r="HAC80" s="2329"/>
      <c r="HAD80" s="2329"/>
      <c r="HAE80" s="2328"/>
      <c r="HAF80" s="2329"/>
      <c r="HAG80" s="2329"/>
      <c r="HAH80" s="2329"/>
      <c r="HAI80" s="2329"/>
      <c r="HAJ80" s="2329"/>
      <c r="HAK80" s="2329"/>
      <c r="HAL80" s="2329"/>
      <c r="HAM80" s="2329"/>
      <c r="HAN80" s="2329"/>
      <c r="HAO80" s="2329"/>
      <c r="HAP80" s="2329"/>
      <c r="HAQ80" s="2329"/>
      <c r="HAR80" s="2329"/>
      <c r="HAS80" s="2329"/>
      <c r="HAT80" s="2329"/>
      <c r="HAU80" s="2328"/>
      <c r="HAV80" s="2329"/>
      <c r="HAW80" s="2329"/>
      <c r="HAX80" s="2329"/>
      <c r="HAY80" s="2329"/>
      <c r="HAZ80" s="2329"/>
      <c r="HBA80" s="2329"/>
      <c r="HBB80" s="2329"/>
      <c r="HBC80" s="2329"/>
      <c r="HBD80" s="2329"/>
      <c r="HBE80" s="2329"/>
      <c r="HBF80" s="2329"/>
      <c r="HBG80" s="2329"/>
      <c r="HBH80" s="2329"/>
      <c r="HBI80" s="2329"/>
      <c r="HBJ80" s="2329"/>
      <c r="HBK80" s="2328"/>
      <c r="HBL80" s="2329"/>
      <c r="HBM80" s="2329"/>
      <c r="HBN80" s="2329"/>
      <c r="HBO80" s="2329"/>
      <c r="HBP80" s="2329"/>
      <c r="HBQ80" s="2329"/>
      <c r="HBR80" s="2329"/>
      <c r="HBS80" s="2329"/>
      <c r="HBT80" s="2329"/>
      <c r="HBU80" s="2329"/>
      <c r="HBV80" s="2329"/>
      <c r="HBW80" s="2329"/>
      <c r="HBX80" s="2329"/>
      <c r="HBY80" s="2329"/>
      <c r="HBZ80" s="2329"/>
      <c r="HCA80" s="2328"/>
      <c r="HCB80" s="2329"/>
      <c r="HCC80" s="2329"/>
      <c r="HCD80" s="2329"/>
      <c r="HCE80" s="2329"/>
      <c r="HCF80" s="2329"/>
      <c r="HCG80" s="2329"/>
      <c r="HCH80" s="2329"/>
      <c r="HCI80" s="2329"/>
      <c r="HCJ80" s="2329"/>
      <c r="HCK80" s="2329"/>
      <c r="HCL80" s="2329"/>
      <c r="HCM80" s="2329"/>
      <c r="HCN80" s="2329"/>
      <c r="HCO80" s="2329"/>
      <c r="HCP80" s="2329"/>
      <c r="HCQ80" s="2328"/>
      <c r="HCR80" s="2329"/>
      <c r="HCS80" s="2329"/>
      <c r="HCT80" s="2329"/>
      <c r="HCU80" s="2329"/>
      <c r="HCV80" s="2329"/>
      <c r="HCW80" s="2329"/>
      <c r="HCX80" s="2329"/>
      <c r="HCY80" s="2329"/>
      <c r="HCZ80" s="2329"/>
      <c r="HDA80" s="2329"/>
      <c r="HDB80" s="2329"/>
      <c r="HDC80" s="2329"/>
      <c r="HDD80" s="2329"/>
      <c r="HDE80" s="2329"/>
      <c r="HDF80" s="2329"/>
      <c r="HDG80" s="2328"/>
      <c r="HDH80" s="2329"/>
      <c r="HDI80" s="2329"/>
      <c r="HDJ80" s="2329"/>
      <c r="HDK80" s="2329"/>
      <c r="HDL80" s="2329"/>
      <c r="HDM80" s="2329"/>
      <c r="HDN80" s="2329"/>
      <c r="HDO80" s="2329"/>
      <c r="HDP80" s="2329"/>
      <c r="HDQ80" s="2329"/>
      <c r="HDR80" s="2329"/>
      <c r="HDS80" s="2329"/>
      <c r="HDT80" s="2329"/>
      <c r="HDU80" s="2329"/>
      <c r="HDV80" s="2329"/>
      <c r="HDW80" s="2328"/>
      <c r="HDX80" s="2329"/>
      <c r="HDY80" s="2329"/>
      <c r="HDZ80" s="2329"/>
      <c r="HEA80" s="2329"/>
      <c r="HEB80" s="2329"/>
      <c r="HEC80" s="2329"/>
      <c r="HED80" s="2329"/>
      <c r="HEE80" s="2329"/>
      <c r="HEF80" s="2329"/>
      <c r="HEG80" s="2329"/>
      <c r="HEH80" s="2329"/>
      <c r="HEI80" s="2329"/>
      <c r="HEJ80" s="2329"/>
      <c r="HEK80" s="2329"/>
      <c r="HEL80" s="2329"/>
      <c r="HEM80" s="2328"/>
      <c r="HEN80" s="2329"/>
      <c r="HEO80" s="2329"/>
      <c r="HEP80" s="2329"/>
      <c r="HEQ80" s="2329"/>
      <c r="HER80" s="2329"/>
      <c r="HES80" s="2329"/>
      <c r="HET80" s="2329"/>
      <c r="HEU80" s="2329"/>
      <c r="HEV80" s="2329"/>
      <c r="HEW80" s="2329"/>
      <c r="HEX80" s="2329"/>
      <c r="HEY80" s="2329"/>
      <c r="HEZ80" s="2329"/>
      <c r="HFA80" s="2329"/>
      <c r="HFB80" s="2329"/>
      <c r="HFC80" s="2328"/>
      <c r="HFD80" s="2329"/>
      <c r="HFE80" s="2329"/>
      <c r="HFF80" s="2329"/>
      <c r="HFG80" s="2329"/>
      <c r="HFH80" s="2329"/>
      <c r="HFI80" s="2329"/>
      <c r="HFJ80" s="2329"/>
      <c r="HFK80" s="2329"/>
      <c r="HFL80" s="2329"/>
      <c r="HFM80" s="2329"/>
      <c r="HFN80" s="2329"/>
      <c r="HFO80" s="2329"/>
      <c r="HFP80" s="2329"/>
      <c r="HFQ80" s="2329"/>
      <c r="HFR80" s="2329"/>
      <c r="HFS80" s="2328"/>
      <c r="HFT80" s="2329"/>
      <c r="HFU80" s="2329"/>
      <c r="HFV80" s="2329"/>
      <c r="HFW80" s="2329"/>
      <c r="HFX80" s="2329"/>
      <c r="HFY80" s="2329"/>
      <c r="HFZ80" s="2329"/>
      <c r="HGA80" s="2329"/>
      <c r="HGB80" s="2329"/>
      <c r="HGC80" s="2329"/>
      <c r="HGD80" s="2329"/>
      <c r="HGE80" s="2329"/>
      <c r="HGF80" s="2329"/>
      <c r="HGG80" s="2329"/>
      <c r="HGH80" s="2329"/>
      <c r="HGI80" s="2328"/>
      <c r="HGJ80" s="2329"/>
      <c r="HGK80" s="2329"/>
      <c r="HGL80" s="2329"/>
      <c r="HGM80" s="2329"/>
      <c r="HGN80" s="2329"/>
      <c r="HGO80" s="2329"/>
      <c r="HGP80" s="2329"/>
      <c r="HGQ80" s="2329"/>
      <c r="HGR80" s="2329"/>
      <c r="HGS80" s="2329"/>
      <c r="HGT80" s="2329"/>
      <c r="HGU80" s="2329"/>
      <c r="HGV80" s="2329"/>
      <c r="HGW80" s="2329"/>
      <c r="HGX80" s="2329"/>
      <c r="HGY80" s="2328"/>
      <c r="HGZ80" s="2329"/>
      <c r="HHA80" s="2329"/>
      <c r="HHB80" s="2329"/>
      <c r="HHC80" s="2329"/>
      <c r="HHD80" s="2329"/>
      <c r="HHE80" s="2329"/>
      <c r="HHF80" s="2329"/>
      <c r="HHG80" s="2329"/>
      <c r="HHH80" s="2329"/>
      <c r="HHI80" s="2329"/>
      <c r="HHJ80" s="2329"/>
      <c r="HHK80" s="2329"/>
      <c r="HHL80" s="2329"/>
      <c r="HHM80" s="2329"/>
      <c r="HHN80" s="2329"/>
      <c r="HHO80" s="2328"/>
      <c r="HHP80" s="2329"/>
      <c r="HHQ80" s="2329"/>
      <c r="HHR80" s="2329"/>
      <c r="HHS80" s="2329"/>
      <c r="HHT80" s="2329"/>
      <c r="HHU80" s="2329"/>
      <c r="HHV80" s="2329"/>
      <c r="HHW80" s="2329"/>
      <c r="HHX80" s="2329"/>
      <c r="HHY80" s="2329"/>
      <c r="HHZ80" s="2329"/>
      <c r="HIA80" s="2329"/>
      <c r="HIB80" s="2329"/>
      <c r="HIC80" s="2329"/>
      <c r="HID80" s="2329"/>
      <c r="HIE80" s="2328"/>
      <c r="HIF80" s="2329"/>
      <c r="HIG80" s="2329"/>
      <c r="HIH80" s="2329"/>
      <c r="HII80" s="2329"/>
      <c r="HIJ80" s="2329"/>
      <c r="HIK80" s="2329"/>
      <c r="HIL80" s="2329"/>
      <c r="HIM80" s="2329"/>
      <c r="HIN80" s="2329"/>
      <c r="HIO80" s="2329"/>
      <c r="HIP80" s="2329"/>
      <c r="HIQ80" s="2329"/>
      <c r="HIR80" s="2329"/>
      <c r="HIS80" s="2329"/>
      <c r="HIT80" s="2329"/>
      <c r="HIU80" s="2328"/>
      <c r="HIV80" s="2329"/>
      <c r="HIW80" s="2329"/>
      <c r="HIX80" s="2329"/>
      <c r="HIY80" s="2329"/>
      <c r="HIZ80" s="2329"/>
      <c r="HJA80" s="2329"/>
      <c r="HJB80" s="2329"/>
      <c r="HJC80" s="2329"/>
      <c r="HJD80" s="2329"/>
      <c r="HJE80" s="2329"/>
      <c r="HJF80" s="2329"/>
      <c r="HJG80" s="2329"/>
      <c r="HJH80" s="2329"/>
      <c r="HJI80" s="2329"/>
      <c r="HJJ80" s="2329"/>
      <c r="HJK80" s="2328"/>
      <c r="HJL80" s="2329"/>
      <c r="HJM80" s="2329"/>
      <c r="HJN80" s="2329"/>
      <c r="HJO80" s="2329"/>
      <c r="HJP80" s="2329"/>
      <c r="HJQ80" s="2329"/>
      <c r="HJR80" s="2329"/>
      <c r="HJS80" s="2329"/>
      <c r="HJT80" s="2329"/>
      <c r="HJU80" s="2329"/>
      <c r="HJV80" s="2329"/>
      <c r="HJW80" s="2329"/>
      <c r="HJX80" s="2329"/>
      <c r="HJY80" s="2329"/>
      <c r="HJZ80" s="2329"/>
      <c r="HKA80" s="2328"/>
      <c r="HKB80" s="2329"/>
      <c r="HKC80" s="2329"/>
      <c r="HKD80" s="2329"/>
      <c r="HKE80" s="2329"/>
      <c r="HKF80" s="2329"/>
      <c r="HKG80" s="2329"/>
      <c r="HKH80" s="2329"/>
      <c r="HKI80" s="2329"/>
      <c r="HKJ80" s="2329"/>
      <c r="HKK80" s="2329"/>
      <c r="HKL80" s="2329"/>
      <c r="HKM80" s="2329"/>
      <c r="HKN80" s="2329"/>
      <c r="HKO80" s="2329"/>
      <c r="HKP80" s="2329"/>
      <c r="HKQ80" s="2328"/>
      <c r="HKR80" s="2329"/>
      <c r="HKS80" s="2329"/>
      <c r="HKT80" s="2329"/>
      <c r="HKU80" s="2329"/>
      <c r="HKV80" s="2329"/>
      <c r="HKW80" s="2329"/>
      <c r="HKX80" s="2329"/>
      <c r="HKY80" s="2329"/>
      <c r="HKZ80" s="2329"/>
      <c r="HLA80" s="2329"/>
      <c r="HLB80" s="2329"/>
      <c r="HLC80" s="2329"/>
      <c r="HLD80" s="2329"/>
      <c r="HLE80" s="2329"/>
      <c r="HLF80" s="2329"/>
      <c r="HLG80" s="2328"/>
      <c r="HLH80" s="2329"/>
      <c r="HLI80" s="2329"/>
      <c r="HLJ80" s="2329"/>
      <c r="HLK80" s="2329"/>
      <c r="HLL80" s="2329"/>
      <c r="HLM80" s="2329"/>
      <c r="HLN80" s="2329"/>
      <c r="HLO80" s="2329"/>
      <c r="HLP80" s="2329"/>
      <c r="HLQ80" s="2329"/>
      <c r="HLR80" s="2329"/>
      <c r="HLS80" s="2329"/>
      <c r="HLT80" s="2329"/>
      <c r="HLU80" s="2329"/>
      <c r="HLV80" s="2329"/>
      <c r="HLW80" s="2328"/>
      <c r="HLX80" s="2329"/>
      <c r="HLY80" s="2329"/>
      <c r="HLZ80" s="2329"/>
      <c r="HMA80" s="2329"/>
      <c r="HMB80" s="2329"/>
      <c r="HMC80" s="2329"/>
      <c r="HMD80" s="2329"/>
      <c r="HME80" s="2329"/>
      <c r="HMF80" s="2329"/>
      <c r="HMG80" s="2329"/>
      <c r="HMH80" s="2329"/>
      <c r="HMI80" s="2329"/>
      <c r="HMJ80" s="2329"/>
      <c r="HMK80" s="2329"/>
      <c r="HML80" s="2329"/>
      <c r="HMM80" s="2328"/>
      <c r="HMN80" s="2329"/>
      <c r="HMO80" s="2329"/>
      <c r="HMP80" s="2329"/>
      <c r="HMQ80" s="2329"/>
      <c r="HMR80" s="2329"/>
      <c r="HMS80" s="2329"/>
      <c r="HMT80" s="2329"/>
      <c r="HMU80" s="2329"/>
      <c r="HMV80" s="2329"/>
      <c r="HMW80" s="2329"/>
      <c r="HMX80" s="2329"/>
      <c r="HMY80" s="2329"/>
      <c r="HMZ80" s="2329"/>
      <c r="HNA80" s="2329"/>
      <c r="HNB80" s="2329"/>
      <c r="HNC80" s="2328"/>
      <c r="HND80" s="2329"/>
      <c r="HNE80" s="2329"/>
      <c r="HNF80" s="2329"/>
      <c r="HNG80" s="2329"/>
      <c r="HNH80" s="2329"/>
      <c r="HNI80" s="2329"/>
      <c r="HNJ80" s="2329"/>
      <c r="HNK80" s="2329"/>
      <c r="HNL80" s="2329"/>
      <c r="HNM80" s="2329"/>
      <c r="HNN80" s="2329"/>
      <c r="HNO80" s="2329"/>
      <c r="HNP80" s="2329"/>
      <c r="HNQ80" s="2329"/>
      <c r="HNR80" s="2329"/>
      <c r="HNS80" s="2328"/>
      <c r="HNT80" s="2329"/>
      <c r="HNU80" s="2329"/>
      <c r="HNV80" s="2329"/>
      <c r="HNW80" s="2329"/>
      <c r="HNX80" s="2329"/>
      <c r="HNY80" s="2329"/>
      <c r="HNZ80" s="2329"/>
      <c r="HOA80" s="2329"/>
      <c r="HOB80" s="2329"/>
      <c r="HOC80" s="2329"/>
      <c r="HOD80" s="2329"/>
      <c r="HOE80" s="2329"/>
      <c r="HOF80" s="2329"/>
      <c r="HOG80" s="2329"/>
      <c r="HOH80" s="2329"/>
      <c r="HOI80" s="2328"/>
      <c r="HOJ80" s="2329"/>
      <c r="HOK80" s="2329"/>
      <c r="HOL80" s="2329"/>
      <c r="HOM80" s="2329"/>
      <c r="HON80" s="2329"/>
      <c r="HOO80" s="2329"/>
      <c r="HOP80" s="2329"/>
      <c r="HOQ80" s="2329"/>
      <c r="HOR80" s="2329"/>
      <c r="HOS80" s="2329"/>
      <c r="HOT80" s="2329"/>
      <c r="HOU80" s="2329"/>
      <c r="HOV80" s="2329"/>
      <c r="HOW80" s="2329"/>
      <c r="HOX80" s="2329"/>
      <c r="HOY80" s="2328"/>
      <c r="HOZ80" s="2329"/>
      <c r="HPA80" s="2329"/>
      <c r="HPB80" s="2329"/>
      <c r="HPC80" s="2329"/>
      <c r="HPD80" s="2329"/>
      <c r="HPE80" s="2329"/>
      <c r="HPF80" s="2329"/>
      <c r="HPG80" s="2329"/>
      <c r="HPH80" s="2329"/>
      <c r="HPI80" s="2329"/>
      <c r="HPJ80" s="2329"/>
      <c r="HPK80" s="2329"/>
      <c r="HPL80" s="2329"/>
      <c r="HPM80" s="2329"/>
      <c r="HPN80" s="2329"/>
      <c r="HPO80" s="2328"/>
      <c r="HPP80" s="2329"/>
      <c r="HPQ80" s="2329"/>
      <c r="HPR80" s="2329"/>
      <c r="HPS80" s="2329"/>
      <c r="HPT80" s="2329"/>
      <c r="HPU80" s="2329"/>
      <c r="HPV80" s="2329"/>
      <c r="HPW80" s="2329"/>
      <c r="HPX80" s="2329"/>
      <c r="HPY80" s="2329"/>
      <c r="HPZ80" s="2329"/>
      <c r="HQA80" s="2329"/>
      <c r="HQB80" s="2329"/>
      <c r="HQC80" s="2329"/>
      <c r="HQD80" s="2329"/>
      <c r="HQE80" s="2328"/>
      <c r="HQF80" s="2329"/>
      <c r="HQG80" s="2329"/>
      <c r="HQH80" s="2329"/>
      <c r="HQI80" s="2329"/>
      <c r="HQJ80" s="2329"/>
      <c r="HQK80" s="2329"/>
      <c r="HQL80" s="2329"/>
      <c r="HQM80" s="2329"/>
      <c r="HQN80" s="2329"/>
      <c r="HQO80" s="2329"/>
      <c r="HQP80" s="2329"/>
      <c r="HQQ80" s="2329"/>
      <c r="HQR80" s="2329"/>
      <c r="HQS80" s="2329"/>
      <c r="HQT80" s="2329"/>
      <c r="HQU80" s="2328"/>
      <c r="HQV80" s="2329"/>
      <c r="HQW80" s="2329"/>
      <c r="HQX80" s="2329"/>
      <c r="HQY80" s="2329"/>
      <c r="HQZ80" s="2329"/>
      <c r="HRA80" s="2329"/>
      <c r="HRB80" s="2329"/>
      <c r="HRC80" s="2329"/>
      <c r="HRD80" s="2329"/>
      <c r="HRE80" s="2329"/>
      <c r="HRF80" s="2329"/>
      <c r="HRG80" s="2329"/>
      <c r="HRH80" s="2329"/>
      <c r="HRI80" s="2329"/>
      <c r="HRJ80" s="2329"/>
      <c r="HRK80" s="2328"/>
      <c r="HRL80" s="2329"/>
      <c r="HRM80" s="2329"/>
      <c r="HRN80" s="2329"/>
      <c r="HRO80" s="2329"/>
      <c r="HRP80" s="2329"/>
      <c r="HRQ80" s="2329"/>
      <c r="HRR80" s="2329"/>
      <c r="HRS80" s="2329"/>
      <c r="HRT80" s="2329"/>
      <c r="HRU80" s="2329"/>
      <c r="HRV80" s="2329"/>
      <c r="HRW80" s="2329"/>
      <c r="HRX80" s="2329"/>
      <c r="HRY80" s="2329"/>
      <c r="HRZ80" s="2329"/>
      <c r="HSA80" s="2328"/>
      <c r="HSB80" s="2329"/>
      <c r="HSC80" s="2329"/>
      <c r="HSD80" s="2329"/>
      <c r="HSE80" s="2329"/>
      <c r="HSF80" s="2329"/>
      <c r="HSG80" s="2329"/>
      <c r="HSH80" s="2329"/>
      <c r="HSI80" s="2329"/>
      <c r="HSJ80" s="2329"/>
      <c r="HSK80" s="2329"/>
      <c r="HSL80" s="2329"/>
      <c r="HSM80" s="2329"/>
      <c r="HSN80" s="2329"/>
      <c r="HSO80" s="2329"/>
      <c r="HSP80" s="2329"/>
      <c r="HSQ80" s="2328"/>
      <c r="HSR80" s="2329"/>
      <c r="HSS80" s="2329"/>
      <c r="HST80" s="2329"/>
      <c r="HSU80" s="2329"/>
      <c r="HSV80" s="2329"/>
      <c r="HSW80" s="2329"/>
      <c r="HSX80" s="2329"/>
      <c r="HSY80" s="2329"/>
      <c r="HSZ80" s="2329"/>
      <c r="HTA80" s="2329"/>
      <c r="HTB80" s="2329"/>
      <c r="HTC80" s="2329"/>
      <c r="HTD80" s="2329"/>
      <c r="HTE80" s="2329"/>
      <c r="HTF80" s="2329"/>
      <c r="HTG80" s="2328"/>
      <c r="HTH80" s="2329"/>
      <c r="HTI80" s="2329"/>
      <c r="HTJ80" s="2329"/>
      <c r="HTK80" s="2329"/>
      <c r="HTL80" s="2329"/>
      <c r="HTM80" s="2329"/>
      <c r="HTN80" s="2329"/>
      <c r="HTO80" s="2329"/>
      <c r="HTP80" s="2329"/>
      <c r="HTQ80" s="2329"/>
      <c r="HTR80" s="2329"/>
      <c r="HTS80" s="2329"/>
      <c r="HTT80" s="2329"/>
      <c r="HTU80" s="2329"/>
      <c r="HTV80" s="2329"/>
      <c r="HTW80" s="2328"/>
      <c r="HTX80" s="2329"/>
      <c r="HTY80" s="2329"/>
      <c r="HTZ80" s="2329"/>
      <c r="HUA80" s="2329"/>
      <c r="HUB80" s="2329"/>
      <c r="HUC80" s="2329"/>
      <c r="HUD80" s="2329"/>
      <c r="HUE80" s="2329"/>
      <c r="HUF80" s="2329"/>
      <c r="HUG80" s="2329"/>
      <c r="HUH80" s="2329"/>
      <c r="HUI80" s="2329"/>
      <c r="HUJ80" s="2329"/>
      <c r="HUK80" s="2329"/>
      <c r="HUL80" s="2329"/>
      <c r="HUM80" s="2328"/>
      <c r="HUN80" s="2329"/>
      <c r="HUO80" s="2329"/>
      <c r="HUP80" s="2329"/>
      <c r="HUQ80" s="2329"/>
      <c r="HUR80" s="2329"/>
      <c r="HUS80" s="2329"/>
      <c r="HUT80" s="2329"/>
      <c r="HUU80" s="2329"/>
      <c r="HUV80" s="2329"/>
      <c r="HUW80" s="2329"/>
      <c r="HUX80" s="2329"/>
      <c r="HUY80" s="2329"/>
      <c r="HUZ80" s="2329"/>
      <c r="HVA80" s="2329"/>
      <c r="HVB80" s="2329"/>
      <c r="HVC80" s="2328"/>
      <c r="HVD80" s="2329"/>
      <c r="HVE80" s="2329"/>
      <c r="HVF80" s="2329"/>
      <c r="HVG80" s="2329"/>
      <c r="HVH80" s="2329"/>
      <c r="HVI80" s="2329"/>
      <c r="HVJ80" s="2329"/>
      <c r="HVK80" s="2329"/>
      <c r="HVL80" s="2329"/>
      <c r="HVM80" s="2329"/>
      <c r="HVN80" s="2329"/>
      <c r="HVO80" s="2329"/>
      <c r="HVP80" s="2329"/>
      <c r="HVQ80" s="2329"/>
      <c r="HVR80" s="2329"/>
      <c r="HVS80" s="2328"/>
      <c r="HVT80" s="2329"/>
      <c r="HVU80" s="2329"/>
      <c r="HVV80" s="2329"/>
      <c r="HVW80" s="2329"/>
      <c r="HVX80" s="2329"/>
      <c r="HVY80" s="2329"/>
      <c r="HVZ80" s="2329"/>
      <c r="HWA80" s="2329"/>
      <c r="HWB80" s="2329"/>
      <c r="HWC80" s="2329"/>
      <c r="HWD80" s="2329"/>
      <c r="HWE80" s="2329"/>
      <c r="HWF80" s="2329"/>
      <c r="HWG80" s="2329"/>
      <c r="HWH80" s="2329"/>
      <c r="HWI80" s="2328"/>
      <c r="HWJ80" s="2329"/>
      <c r="HWK80" s="2329"/>
      <c r="HWL80" s="2329"/>
      <c r="HWM80" s="2329"/>
      <c r="HWN80" s="2329"/>
      <c r="HWO80" s="2329"/>
      <c r="HWP80" s="2329"/>
      <c r="HWQ80" s="2329"/>
      <c r="HWR80" s="2329"/>
      <c r="HWS80" s="2329"/>
      <c r="HWT80" s="2329"/>
      <c r="HWU80" s="2329"/>
      <c r="HWV80" s="2329"/>
      <c r="HWW80" s="2329"/>
      <c r="HWX80" s="2329"/>
      <c r="HWY80" s="2328"/>
      <c r="HWZ80" s="2329"/>
      <c r="HXA80" s="2329"/>
      <c r="HXB80" s="2329"/>
      <c r="HXC80" s="2329"/>
      <c r="HXD80" s="2329"/>
      <c r="HXE80" s="2329"/>
      <c r="HXF80" s="2329"/>
      <c r="HXG80" s="2329"/>
      <c r="HXH80" s="2329"/>
      <c r="HXI80" s="2329"/>
      <c r="HXJ80" s="2329"/>
      <c r="HXK80" s="2329"/>
      <c r="HXL80" s="2329"/>
      <c r="HXM80" s="2329"/>
      <c r="HXN80" s="2329"/>
      <c r="HXO80" s="2328"/>
      <c r="HXP80" s="2329"/>
      <c r="HXQ80" s="2329"/>
      <c r="HXR80" s="2329"/>
      <c r="HXS80" s="2329"/>
      <c r="HXT80" s="2329"/>
      <c r="HXU80" s="2329"/>
      <c r="HXV80" s="2329"/>
      <c r="HXW80" s="2329"/>
      <c r="HXX80" s="2329"/>
      <c r="HXY80" s="2329"/>
      <c r="HXZ80" s="2329"/>
      <c r="HYA80" s="2329"/>
      <c r="HYB80" s="2329"/>
      <c r="HYC80" s="2329"/>
      <c r="HYD80" s="2329"/>
      <c r="HYE80" s="2328"/>
      <c r="HYF80" s="2329"/>
      <c r="HYG80" s="2329"/>
      <c r="HYH80" s="2329"/>
      <c r="HYI80" s="2329"/>
      <c r="HYJ80" s="2329"/>
      <c r="HYK80" s="2329"/>
      <c r="HYL80" s="2329"/>
      <c r="HYM80" s="2329"/>
      <c r="HYN80" s="2329"/>
      <c r="HYO80" s="2329"/>
      <c r="HYP80" s="2329"/>
      <c r="HYQ80" s="2329"/>
      <c r="HYR80" s="2329"/>
      <c r="HYS80" s="2329"/>
      <c r="HYT80" s="2329"/>
      <c r="HYU80" s="2328"/>
      <c r="HYV80" s="2329"/>
      <c r="HYW80" s="2329"/>
      <c r="HYX80" s="2329"/>
      <c r="HYY80" s="2329"/>
      <c r="HYZ80" s="2329"/>
      <c r="HZA80" s="2329"/>
      <c r="HZB80" s="2329"/>
      <c r="HZC80" s="2329"/>
      <c r="HZD80" s="2329"/>
      <c r="HZE80" s="2329"/>
      <c r="HZF80" s="2329"/>
      <c r="HZG80" s="2329"/>
      <c r="HZH80" s="2329"/>
      <c r="HZI80" s="2329"/>
      <c r="HZJ80" s="2329"/>
      <c r="HZK80" s="2328"/>
      <c r="HZL80" s="2329"/>
      <c r="HZM80" s="2329"/>
      <c r="HZN80" s="2329"/>
      <c r="HZO80" s="2329"/>
      <c r="HZP80" s="2329"/>
      <c r="HZQ80" s="2329"/>
      <c r="HZR80" s="2329"/>
      <c r="HZS80" s="2329"/>
      <c r="HZT80" s="2329"/>
      <c r="HZU80" s="2329"/>
      <c r="HZV80" s="2329"/>
      <c r="HZW80" s="2329"/>
      <c r="HZX80" s="2329"/>
      <c r="HZY80" s="2329"/>
      <c r="HZZ80" s="2329"/>
      <c r="IAA80" s="2328"/>
      <c r="IAB80" s="2329"/>
      <c r="IAC80" s="2329"/>
      <c r="IAD80" s="2329"/>
      <c r="IAE80" s="2329"/>
      <c r="IAF80" s="2329"/>
      <c r="IAG80" s="2329"/>
      <c r="IAH80" s="2329"/>
      <c r="IAI80" s="2329"/>
      <c r="IAJ80" s="2329"/>
      <c r="IAK80" s="2329"/>
      <c r="IAL80" s="2329"/>
      <c r="IAM80" s="2329"/>
      <c r="IAN80" s="2329"/>
      <c r="IAO80" s="2329"/>
      <c r="IAP80" s="2329"/>
      <c r="IAQ80" s="2328"/>
      <c r="IAR80" s="2329"/>
      <c r="IAS80" s="2329"/>
      <c r="IAT80" s="2329"/>
      <c r="IAU80" s="2329"/>
      <c r="IAV80" s="2329"/>
      <c r="IAW80" s="2329"/>
      <c r="IAX80" s="2329"/>
      <c r="IAY80" s="2329"/>
      <c r="IAZ80" s="2329"/>
      <c r="IBA80" s="2329"/>
      <c r="IBB80" s="2329"/>
      <c r="IBC80" s="2329"/>
      <c r="IBD80" s="2329"/>
      <c r="IBE80" s="2329"/>
      <c r="IBF80" s="2329"/>
      <c r="IBG80" s="2328"/>
      <c r="IBH80" s="2329"/>
      <c r="IBI80" s="2329"/>
      <c r="IBJ80" s="2329"/>
      <c r="IBK80" s="2329"/>
      <c r="IBL80" s="2329"/>
      <c r="IBM80" s="2329"/>
      <c r="IBN80" s="2329"/>
      <c r="IBO80" s="2329"/>
      <c r="IBP80" s="2329"/>
      <c r="IBQ80" s="2329"/>
      <c r="IBR80" s="2329"/>
      <c r="IBS80" s="2329"/>
      <c r="IBT80" s="2329"/>
      <c r="IBU80" s="2329"/>
      <c r="IBV80" s="2329"/>
      <c r="IBW80" s="2328"/>
      <c r="IBX80" s="2329"/>
      <c r="IBY80" s="2329"/>
      <c r="IBZ80" s="2329"/>
      <c r="ICA80" s="2329"/>
      <c r="ICB80" s="2329"/>
      <c r="ICC80" s="2329"/>
      <c r="ICD80" s="2329"/>
      <c r="ICE80" s="2329"/>
      <c r="ICF80" s="2329"/>
      <c r="ICG80" s="2329"/>
      <c r="ICH80" s="2329"/>
      <c r="ICI80" s="2329"/>
      <c r="ICJ80" s="2329"/>
      <c r="ICK80" s="2329"/>
      <c r="ICL80" s="2329"/>
      <c r="ICM80" s="2328"/>
      <c r="ICN80" s="2329"/>
      <c r="ICO80" s="2329"/>
      <c r="ICP80" s="2329"/>
      <c r="ICQ80" s="2329"/>
      <c r="ICR80" s="2329"/>
      <c r="ICS80" s="2329"/>
      <c r="ICT80" s="2329"/>
      <c r="ICU80" s="2329"/>
      <c r="ICV80" s="2329"/>
      <c r="ICW80" s="2329"/>
      <c r="ICX80" s="2329"/>
      <c r="ICY80" s="2329"/>
      <c r="ICZ80" s="2329"/>
      <c r="IDA80" s="2329"/>
      <c r="IDB80" s="2329"/>
      <c r="IDC80" s="2328"/>
      <c r="IDD80" s="2329"/>
      <c r="IDE80" s="2329"/>
      <c r="IDF80" s="2329"/>
      <c r="IDG80" s="2329"/>
      <c r="IDH80" s="2329"/>
      <c r="IDI80" s="2329"/>
      <c r="IDJ80" s="2329"/>
      <c r="IDK80" s="2329"/>
      <c r="IDL80" s="2329"/>
      <c r="IDM80" s="2329"/>
      <c r="IDN80" s="2329"/>
      <c r="IDO80" s="2329"/>
      <c r="IDP80" s="2329"/>
      <c r="IDQ80" s="2329"/>
      <c r="IDR80" s="2329"/>
      <c r="IDS80" s="2328"/>
      <c r="IDT80" s="2329"/>
      <c r="IDU80" s="2329"/>
      <c r="IDV80" s="2329"/>
      <c r="IDW80" s="2329"/>
      <c r="IDX80" s="2329"/>
      <c r="IDY80" s="2329"/>
      <c r="IDZ80" s="2329"/>
      <c r="IEA80" s="2329"/>
      <c r="IEB80" s="2329"/>
      <c r="IEC80" s="2329"/>
      <c r="IED80" s="2329"/>
      <c r="IEE80" s="2329"/>
      <c r="IEF80" s="2329"/>
      <c r="IEG80" s="2329"/>
      <c r="IEH80" s="2329"/>
      <c r="IEI80" s="2328"/>
      <c r="IEJ80" s="2329"/>
      <c r="IEK80" s="2329"/>
      <c r="IEL80" s="2329"/>
      <c r="IEM80" s="2329"/>
      <c r="IEN80" s="2329"/>
      <c r="IEO80" s="2329"/>
      <c r="IEP80" s="2329"/>
      <c r="IEQ80" s="2329"/>
      <c r="IER80" s="2329"/>
      <c r="IES80" s="2329"/>
      <c r="IET80" s="2329"/>
      <c r="IEU80" s="2329"/>
      <c r="IEV80" s="2329"/>
      <c r="IEW80" s="2329"/>
      <c r="IEX80" s="2329"/>
      <c r="IEY80" s="2328"/>
      <c r="IEZ80" s="2329"/>
      <c r="IFA80" s="2329"/>
      <c r="IFB80" s="2329"/>
      <c r="IFC80" s="2329"/>
      <c r="IFD80" s="2329"/>
      <c r="IFE80" s="2329"/>
      <c r="IFF80" s="2329"/>
      <c r="IFG80" s="2329"/>
      <c r="IFH80" s="2329"/>
      <c r="IFI80" s="2329"/>
      <c r="IFJ80" s="2329"/>
      <c r="IFK80" s="2329"/>
      <c r="IFL80" s="2329"/>
      <c r="IFM80" s="2329"/>
      <c r="IFN80" s="2329"/>
      <c r="IFO80" s="2328"/>
      <c r="IFP80" s="2329"/>
      <c r="IFQ80" s="2329"/>
      <c r="IFR80" s="2329"/>
      <c r="IFS80" s="2329"/>
      <c r="IFT80" s="2329"/>
      <c r="IFU80" s="2329"/>
      <c r="IFV80" s="2329"/>
      <c r="IFW80" s="2329"/>
      <c r="IFX80" s="2329"/>
      <c r="IFY80" s="2329"/>
      <c r="IFZ80" s="2329"/>
      <c r="IGA80" s="2329"/>
      <c r="IGB80" s="2329"/>
      <c r="IGC80" s="2329"/>
      <c r="IGD80" s="2329"/>
      <c r="IGE80" s="2328"/>
      <c r="IGF80" s="2329"/>
      <c r="IGG80" s="2329"/>
      <c r="IGH80" s="2329"/>
      <c r="IGI80" s="2329"/>
      <c r="IGJ80" s="2329"/>
      <c r="IGK80" s="2329"/>
      <c r="IGL80" s="2329"/>
      <c r="IGM80" s="2329"/>
      <c r="IGN80" s="2329"/>
      <c r="IGO80" s="2329"/>
      <c r="IGP80" s="2329"/>
      <c r="IGQ80" s="2329"/>
      <c r="IGR80" s="2329"/>
      <c r="IGS80" s="2329"/>
      <c r="IGT80" s="2329"/>
      <c r="IGU80" s="2328"/>
      <c r="IGV80" s="2329"/>
      <c r="IGW80" s="2329"/>
      <c r="IGX80" s="2329"/>
      <c r="IGY80" s="2329"/>
      <c r="IGZ80" s="2329"/>
      <c r="IHA80" s="2329"/>
      <c r="IHB80" s="2329"/>
      <c r="IHC80" s="2329"/>
      <c r="IHD80" s="2329"/>
      <c r="IHE80" s="2329"/>
      <c r="IHF80" s="2329"/>
      <c r="IHG80" s="2329"/>
      <c r="IHH80" s="2329"/>
      <c r="IHI80" s="2329"/>
      <c r="IHJ80" s="2329"/>
      <c r="IHK80" s="2328"/>
      <c r="IHL80" s="2329"/>
      <c r="IHM80" s="2329"/>
      <c r="IHN80" s="2329"/>
      <c r="IHO80" s="2329"/>
      <c r="IHP80" s="2329"/>
      <c r="IHQ80" s="2329"/>
      <c r="IHR80" s="2329"/>
      <c r="IHS80" s="2329"/>
      <c r="IHT80" s="2329"/>
      <c r="IHU80" s="2329"/>
      <c r="IHV80" s="2329"/>
      <c r="IHW80" s="2329"/>
      <c r="IHX80" s="2329"/>
      <c r="IHY80" s="2329"/>
      <c r="IHZ80" s="2329"/>
      <c r="IIA80" s="2328"/>
      <c r="IIB80" s="2329"/>
      <c r="IIC80" s="2329"/>
      <c r="IID80" s="2329"/>
      <c r="IIE80" s="2329"/>
      <c r="IIF80" s="2329"/>
      <c r="IIG80" s="2329"/>
      <c r="IIH80" s="2329"/>
      <c r="III80" s="2329"/>
      <c r="IIJ80" s="2329"/>
      <c r="IIK80" s="2329"/>
      <c r="IIL80" s="2329"/>
      <c r="IIM80" s="2329"/>
      <c r="IIN80" s="2329"/>
      <c r="IIO80" s="2329"/>
      <c r="IIP80" s="2329"/>
      <c r="IIQ80" s="2328"/>
      <c r="IIR80" s="2329"/>
      <c r="IIS80" s="2329"/>
      <c r="IIT80" s="2329"/>
      <c r="IIU80" s="2329"/>
      <c r="IIV80" s="2329"/>
      <c r="IIW80" s="2329"/>
      <c r="IIX80" s="2329"/>
      <c r="IIY80" s="2329"/>
      <c r="IIZ80" s="2329"/>
      <c r="IJA80" s="2329"/>
      <c r="IJB80" s="2329"/>
      <c r="IJC80" s="2329"/>
      <c r="IJD80" s="2329"/>
      <c r="IJE80" s="2329"/>
      <c r="IJF80" s="2329"/>
      <c r="IJG80" s="2328"/>
      <c r="IJH80" s="2329"/>
      <c r="IJI80" s="2329"/>
      <c r="IJJ80" s="2329"/>
      <c r="IJK80" s="2329"/>
      <c r="IJL80" s="2329"/>
      <c r="IJM80" s="2329"/>
      <c r="IJN80" s="2329"/>
      <c r="IJO80" s="2329"/>
      <c r="IJP80" s="2329"/>
      <c r="IJQ80" s="2329"/>
      <c r="IJR80" s="2329"/>
      <c r="IJS80" s="2329"/>
      <c r="IJT80" s="2329"/>
      <c r="IJU80" s="2329"/>
      <c r="IJV80" s="2329"/>
      <c r="IJW80" s="2328"/>
      <c r="IJX80" s="2329"/>
      <c r="IJY80" s="2329"/>
      <c r="IJZ80" s="2329"/>
      <c r="IKA80" s="2329"/>
      <c r="IKB80" s="2329"/>
      <c r="IKC80" s="2329"/>
      <c r="IKD80" s="2329"/>
      <c r="IKE80" s="2329"/>
      <c r="IKF80" s="2329"/>
      <c r="IKG80" s="2329"/>
      <c r="IKH80" s="2329"/>
      <c r="IKI80" s="2329"/>
      <c r="IKJ80" s="2329"/>
      <c r="IKK80" s="2329"/>
      <c r="IKL80" s="2329"/>
      <c r="IKM80" s="2328"/>
      <c r="IKN80" s="2329"/>
      <c r="IKO80" s="2329"/>
      <c r="IKP80" s="2329"/>
      <c r="IKQ80" s="2329"/>
      <c r="IKR80" s="2329"/>
      <c r="IKS80" s="2329"/>
      <c r="IKT80" s="2329"/>
      <c r="IKU80" s="2329"/>
      <c r="IKV80" s="2329"/>
      <c r="IKW80" s="2329"/>
      <c r="IKX80" s="2329"/>
      <c r="IKY80" s="2329"/>
      <c r="IKZ80" s="2329"/>
      <c r="ILA80" s="2329"/>
      <c r="ILB80" s="2329"/>
      <c r="ILC80" s="2328"/>
      <c r="ILD80" s="2329"/>
      <c r="ILE80" s="2329"/>
      <c r="ILF80" s="2329"/>
      <c r="ILG80" s="2329"/>
      <c r="ILH80" s="2329"/>
      <c r="ILI80" s="2329"/>
      <c r="ILJ80" s="2329"/>
      <c r="ILK80" s="2329"/>
      <c r="ILL80" s="2329"/>
      <c r="ILM80" s="2329"/>
      <c r="ILN80" s="2329"/>
      <c r="ILO80" s="2329"/>
      <c r="ILP80" s="2329"/>
      <c r="ILQ80" s="2329"/>
      <c r="ILR80" s="2329"/>
      <c r="ILS80" s="2328"/>
      <c r="ILT80" s="2329"/>
      <c r="ILU80" s="2329"/>
      <c r="ILV80" s="2329"/>
      <c r="ILW80" s="2329"/>
      <c r="ILX80" s="2329"/>
      <c r="ILY80" s="2329"/>
      <c r="ILZ80" s="2329"/>
      <c r="IMA80" s="2329"/>
      <c r="IMB80" s="2329"/>
      <c r="IMC80" s="2329"/>
      <c r="IMD80" s="2329"/>
      <c r="IME80" s="2329"/>
      <c r="IMF80" s="2329"/>
      <c r="IMG80" s="2329"/>
      <c r="IMH80" s="2329"/>
      <c r="IMI80" s="2328"/>
      <c r="IMJ80" s="2329"/>
      <c r="IMK80" s="2329"/>
      <c r="IML80" s="2329"/>
      <c r="IMM80" s="2329"/>
      <c r="IMN80" s="2329"/>
      <c r="IMO80" s="2329"/>
      <c r="IMP80" s="2329"/>
      <c r="IMQ80" s="2329"/>
      <c r="IMR80" s="2329"/>
      <c r="IMS80" s="2329"/>
      <c r="IMT80" s="2329"/>
      <c r="IMU80" s="2329"/>
      <c r="IMV80" s="2329"/>
      <c r="IMW80" s="2329"/>
      <c r="IMX80" s="2329"/>
      <c r="IMY80" s="2328"/>
      <c r="IMZ80" s="2329"/>
      <c r="INA80" s="2329"/>
      <c r="INB80" s="2329"/>
      <c r="INC80" s="2329"/>
      <c r="IND80" s="2329"/>
      <c r="INE80" s="2329"/>
      <c r="INF80" s="2329"/>
      <c r="ING80" s="2329"/>
      <c r="INH80" s="2329"/>
      <c r="INI80" s="2329"/>
      <c r="INJ80" s="2329"/>
      <c r="INK80" s="2329"/>
      <c r="INL80" s="2329"/>
      <c r="INM80" s="2329"/>
      <c r="INN80" s="2329"/>
      <c r="INO80" s="2328"/>
      <c r="INP80" s="2329"/>
      <c r="INQ80" s="2329"/>
      <c r="INR80" s="2329"/>
      <c r="INS80" s="2329"/>
      <c r="INT80" s="2329"/>
      <c r="INU80" s="2329"/>
      <c r="INV80" s="2329"/>
      <c r="INW80" s="2329"/>
      <c r="INX80" s="2329"/>
      <c r="INY80" s="2329"/>
      <c r="INZ80" s="2329"/>
      <c r="IOA80" s="2329"/>
      <c r="IOB80" s="2329"/>
      <c r="IOC80" s="2329"/>
      <c r="IOD80" s="2329"/>
      <c r="IOE80" s="2328"/>
      <c r="IOF80" s="2329"/>
      <c r="IOG80" s="2329"/>
      <c r="IOH80" s="2329"/>
      <c r="IOI80" s="2329"/>
      <c r="IOJ80" s="2329"/>
      <c r="IOK80" s="2329"/>
      <c r="IOL80" s="2329"/>
      <c r="IOM80" s="2329"/>
      <c r="ION80" s="2329"/>
      <c r="IOO80" s="2329"/>
      <c r="IOP80" s="2329"/>
      <c r="IOQ80" s="2329"/>
      <c r="IOR80" s="2329"/>
      <c r="IOS80" s="2329"/>
      <c r="IOT80" s="2329"/>
      <c r="IOU80" s="2328"/>
      <c r="IOV80" s="2329"/>
      <c r="IOW80" s="2329"/>
      <c r="IOX80" s="2329"/>
      <c r="IOY80" s="2329"/>
      <c r="IOZ80" s="2329"/>
      <c r="IPA80" s="2329"/>
      <c r="IPB80" s="2329"/>
      <c r="IPC80" s="2329"/>
      <c r="IPD80" s="2329"/>
      <c r="IPE80" s="2329"/>
      <c r="IPF80" s="2329"/>
      <c r="IPG80" s="2329"/>
      <c r="IPH80" s="2329"/>
      <c r="IPI80" s="2329"/>
      <c r="IPJ80" s="2329"/>
      <c r="IPK80" s="2328"/>
      <c r="IPL80" s="2329"/>
      <c r="IPM80" s="2329"/>
      <c r="IPN80" s="2329"/>
      <c r="IPO80" s="2329"/>
      <c r="IPP80" s="2329"/>
      <c r="IPQ80" s="2329"/>
      <c r="IPR80" s="2329"/>
      <c r="IPS80" s="2329"/>
      <c r="IPT80" s="2329"/>
      <c r="IPU80" s="2329"/>
      <c r="IPV80" s="2329"/>
      <c r="IPW80" s="2329"/>
      <c r="IPX80" s="2329"/>
      <c r="IPY80" s="2329"/>
      <c r="IPZ80" s="2329"/>
      <c r="IQA80" s="2328"/>
      <c r="IQB80" s="2329"/>
      <c r="IQC80" s="2329"/>
      <c r="IQD80" s="2329"/>
      <c r="IQE80" s="2329"/>
      <c r="IQF80" s="2329"/>
      <c r="IQG80" s="2329"/>
      <c r="IQH80" s="2329"/>
      <c r="IQI80" s="2329"/>
      <c r="IQJ80" s="2329"/>
      <c r="IQK80" s="2329"/>
      <c r="IQL80" s="2329"/>
      <c r="IQM80" s="2329"/>
      <c r="IQN80" s="2329"/>
      <c r="IQO80" s="2329"/>
      <c r="IQP80" s="2329"/>
      <c r="IQQ80" s="2328"/>
      <c r="IQR80" s="2329"/>
      <c r="IQS80" s="2329"/>
      <c r="IQT80" s="2329"/>
      <c r="IQU80" s="2329"/>
      <c r="IQV80" s="2329"/>
      <c r="IQW80" s="2329"/>
      <c r="IQX80" s="2329"/>
      <c r="IQY80" s="2329"/>
      <c r="IQZ80" s="2329"/>
      <c r="IRA80" s="2329"/>
      <c r="IRB80" s="2329"/>
      <c r="IRC80" s="2329"/>
      <c r="IRD80" s="2329"/>
      <c r="IRE80" s="2329"/>
      <c r="IRF80" s="2329"/>
      <c r="IRG80" s="2328"/>
      <c r="IRH80" s="2329"/>
      <c r="IRI80" s="2329"/>
      <c r="IRJ80" s="2329"/>
      <c r="IRK80" s="2329"/>
      <c r="IRL80" s="2329"/>
      <c r="IRM80" s="2329"/>
      <c r="IRN80" s="2329"/>
      <c r="IRO80" s="2329"/>
      <c r="IRP80" s="2329"/>
      <c r="IRQ80" s="2329"/>
      <c r="IRR80" s="2329"/>
      <c r="IRS80" s="2329"/>
      <c r="IRT80" s="2329"/>
      <c r="IRU80" s="2329"/>
      <c r="IRV80" s="2329"/>
      <c r="IRW80" s="2328"/>
      <c r="IRX80" s="2329"/>
      <c r="IRY80" s="2329"/>
      <c r="IRZ80" s="2329"/>
      <c r="ISA80" s="2329"/>
      <c r="ISB80" s="2329"/>
      <c r="ISC80" s="2329"/>
      <c r="ISD80" s="2329"/>
      <c r="ISE80" s="2329"/>
      <c r="ISF80" s="2329"/>
      <c r="ISG80" s="2329"/>
      <c r="ISH80" s="2329"/>
      <c r="ISI80" s="2329"/>
      <c r="ISJ80" s="2329"/>
      <c r="ISK80" s="2329"/>
      <c r="ISL80" s="2329"/>
      <c r="ISM80" s="2328"/>
      <c r="ISN80" s="2329"/>
      <c r="ISO80" s="2329"/>
      <c r="ISP80" s="2329"/>
      <c r="ISQ80" s="2329"/>
      <c r="ISR80" s="2329"/>
      <c r="ISS80" s="2329"/>
      <c r="IST80" s="2329"/>
      <c r="ISU80" s="2329"/>
      <c r="ISV80" s="2329"/>
      <c r="ISW80" s="2329"/>
      <c r="ISX80" s="2329"/>
      <c r="ISY80" s="2329"/>
      <c r="ISZ80" s="2329"/>
      <c r="ITA80" s="2329"/>
      <c r="ITB80" s="2329"/>
      <c r="ITC80" s="2328"/>
      <c r="ITD80" s="2329"/>
      <c r="ITE80" s="2329"/>
      <c r="ITF80" s="2329"/>
      <c r="ITG80" s="2329"/>
      <c r="ITH80" s="2329"/>
      <c r="ITI80" s="2329"/>
      <c r="ITJ80" s="2329"/>
      <c r="ITK80" s="2329"/>
      <c r="ITL80" s="2329"/>
      <c r="ITM80" s="2329"/>
      <c r="ITN80" s="2329"/>
      <c r="ITO80" s="2329"/>
      <c r="ITP80" s="2329"/>
      <c r="ITQ80" s="2329"/>
      <c r="ITR80" s="2329"/>
      <c r="ITS80" s="2328"/>
      <c r="ITT80" s="2329"/>
      <c r="ITU80" s="2329"/>
      <c r="ITV80" s="2329"/>
      <c r="ITW80" s="2329"/>
      <c r="ITX80" s="2329"/>
      <c r="ITY80" s="2329"/>
      <c r="ITZ80" s="2329"/>
      <c r="IUA80" s="2329"/>
      <c r="IUB80" s="2329"/>
      <c r="IUC80" s="2329"/>
      <c r="IUD80" s="2329"/>
      <c r="IUE80" s="2329"/>
      <c r="IUF80" s="2329"/>
      <c r="IUG80" s="2329"/>
      <c r="IUH80" s="2329"/>
      <c r="IUI80" s="2328"/>
      <c r="IUJ80" s="2329"/>
      <c r="IUK80" s="2329"/>
      <c r="IUL80" s="2329"/>
      <c r="IUM80" s="2329"/>
      <c r="IUN80" s="2329"/>
      <c r="IUO80" s="2329"/>
      <c r="IUP80" s="2329"/>
      <c r="IUQ80" s="2329"/>
      <c r="IUR80" s="2329"/>
      <c r="IUS80" s="2329"/>
      <c r="IUT80" s="2329"/>
      <c r="IUU80" s="2329"/>
      <c r="IUV80" s="2329"/>
      <c r="IUW80" s="2329"/>
      <c r="IUX80" s="2329"/>
      <c r="IUY80" s="2328"/>
      <c r="IUZ80" s="2329"/>
      <c r="IVA80" s="2329"/>
      <c r="IVB80" s="2329"/>
      <c r="IVC80" s="2329"/>
      <c r="IVD80" s="2329"/>
      <c r="IVE80" s="2329"/>
      <c r="IVF80" s="2329"/>
      <c r="IVG80" s="2329"/>
      <c r="IVH80" s="2329"/>
      <c r="IVI80" s="2329"/>
      <c r="IVJ80" s="2329"/>
      <c r="IVK80" s="2329"/>
      <c r="IVL80" s="2329"/>
      <c r="IVM80" s="2329"/>
      <c r="IVN80" s="2329"/>
      <c r="IVO80" s="2328"/>
      <c r="IVP80" s="2329"/>
      <c r="IVQ80" s="2329"/>
      <c r="IVR80" s="2329"/>
      <c r="IVS80" s="2329"/>
      <c r="IVT80" s="2329"/>
      <c r="IVU80" s="2329"/>
      <c r="IVV80" s="2329"/>
      <c r="IVW80" s="2329"/>
      <c r="IVX80" s="2329"/>
      <c r="IVY80" s="2329"/>
      <c r="IVZ80" s="2329"/>
      <c r="IWA80" s="2329"/>
      <c r="IWB80" s="2329"/>
      <c r="IWC80" s="2329"/>
      <c r="IWD80" s="2329"/>
      <c r="IWE80" s="2328"/>
      <c r="IWF80" s="2329"/>
      <c r="IWG80" s="2329"/>
      <c r="IWH80" s="2329"/>
      <c r="IWI80" s="2329"/>
      <c r="IWJ80" s="2329"/>
      <c r="IWK80" s="2329"/>
      <c r="IWL80" s="2329"/>
      <c r="IWM80" s="2329"/>
      <c r="IWN80" s="2329"/>
      <c r="IWO80" s="2329"/>
      <c r="IWP80" s="2329"/>
      <c r="IWQ80" s="2329"/>
      <c r="IWR80" s="2329"/>
      <c r="IWS80" s="2329"/>
      <c r="IWT80" s="2329"/>
      <c r="IWU80" s="2328"/>
      <c r="IWV80" s="2329"/>
      <c r="IWW80" s="2329"/>
      <c r="IWX80" s="2329"/>
      <c r="IWY80" s="2329"/>
      <c r="IWZ80" s="2329"/>
      <c r="IXA80" s="2329"/>
      <c r="IXB80" s="2329"/>
      <c r="IXC80" s="2329"/>
      <c r="IXD80" s="2329"/>
      <c r="IXE80" s="2329"/>
      <c r="IXF80" s="2329"/>
      <c r="IXG80" s="2329"/>
      <c r="IXH80" s="2329"/>
      <c r="IXI80" s="2329"/>
      <c r="IXJ80" s="2329"/>
      <c r="IXK80" s="2328"/>
      <c r="IXL80" s="2329"/>
      <c r="IXM80" s="2329"/>
      <c r="IXN80" s="2329"/>
      <c r="IXO80" s="2329"/>
      <c r="IXP80" s="2329"/>
      <c r="IXQ80" s="2329"/>
      <c r="IXR80" s="2329"/>
      <c r="IXS80" s="2329"/>
      <c r="IXT80" s="2329"/>
      <c r="IXU80" s="2329"/>
      <c r="IXV80" s="2329"/>
      <c r="IXW80" s="2329"/>
      <c r="IXX80" s="2329"/>
      <c r="IXY80" s="2329"/>
      <c r="IXZ80" s="2329"/>
      <c r="IYA80" s="2328"/>
      <c r="IYB80" s="2329"/>
      <c r="IYC80" s="2329"/>
      <c r="IYD80" s="2329"/>
      <c r="IYE80" s="2329"/>
      <c r="IYF80" s="2329"/>
      <c r="IYG80" s="2329"/>
      <c r="IYH80" s="2329"/>
      <c r="IYI80" s="2329"/>
      <c r="IYJ80" s="2329"/>
      <c r="IYK80" s="2329"/>
      <c r="IYL80" s="2329"/>
      <c r="IYM80" s="2329"/>
      <c r="IYN80" s="2329"/>
      <c r="IYO80" s="2329"/>
      <c r="IYP80" s="2329"/>
      <c r="IYQ80" s="2328"/>
      <c r="IYR80" s="2329"/>
      <c r="IYS80" s="2329"/>
      <c r="IYT80" s="2329"/>
      <c r="IYU80" s="2329"/>
      <c r="IYV80" s="2329"/>
      <c r="IYW80" s="2329"/>
      <c r="IYX80" s="2329"/>
      <c r="IYY80" s="2329"/>
      <c r="IYZ80" s="2329"/>
      <c r="IZA80" s="2329"/>
      <c r="IZB80" s="2329"/>
      <c r="IZC80" s="2329"/>
      <c r="IZD80" s="2329"/>
      <c r="IZE80" s="2329"/>
      <c r="IZF80" s="2329"/>
      <c r="IZG80" s="2328"/>
      <c r="IZH80" s="2329"/>
      <c r="IZI80" s="2329"/>
      <c r="IZJ80" s="2329"/>
      <c r="IZK80" s="2329"/>
      <c r="IZL80" s="2329"/>
      <c r="IZM80" s="2329"/>
      <c r="IZN80" s="2329"/>
      <c r="IZO80" s="2329"/>
      <c r="IZP80" s="2329"/>
      <c r="IZQ80" s="2329"/>
      <c r="IZR80" s="2329"/>
      <c r="IZS80" s="2329"/>
      <c r="IZT80" s="2329"/>
      <c r="IZU80" s="2329"/>
      <c r="IZV80" s="2329"/>
      <c r="IZW80" s="2328"/>
      <c r="IZX80" s="2329"/>
      <c r="IZY80" s="2329"/>
      <c r="IZZ80" s="2329"/>
      <c r="JAA80" s="2329"/>
      <c r="JAB80" s="2329"/>
      <c r="JAC80" s="2329"/>
      <c r="JAD80" s="2329"/>
      <c r="JAE80" s="2329"/>
      <c r="JAF80" s="2329"/>
      <c r="JAG80" s="2329"/>
      <c r="JAH80" s="2329"/>
      <c r="JAI80" s="2329"/>
      <c r="JAJ80" s="2329"/>
      <c r="JAK80" s="2329"/>
      <c r="JAL80" s="2329"/>
      <c r="JAM80" s="2328"/>
      <c r="JAN80" s="2329"/>
      <c r="JAO80" s="2329"/>
      <c r="JAP80" s="2329"/>
      <c r="JAQ80" s="2329"/>
      <c r="JAR80" s="2329"/>
      <c r="JAS80" s="2329"/>
      <c r="JAT80" s="2329"/>
      <c r="JAU80" s="2329"/>
      <c r="JAV80" s="2329"/>
      <c r="JAW80" s="2329"/>
      <c r="JAX80" s="2329"/>
      <c r="JAY80" s="2329"/>
      <c r="JAZ80" s="2329"/>
      <c r="JBA80" s="2329"/>
      <c r="JBB80" s="2329"/>
      <c r="JBC80" s="2328"/>
      <c r="JBD80" s="2329"/>
      <c r="JBE80" s="2329"/>
      <c r="JBF80" s="2329"/>
      <c r="JBG80" s="2329"/>
      <c r="JBH80" s="2329"/>
      <c r="JBI80" s="2329"/>
      <c r="JBJ80" s="2329"/>
      <c r="JBK80" s="2329"/>
      <c r="JBL80" s="2329"/>
      <c r="JBM80" s="2329"/>
      <c r="JBN80" s="2329"/>
      <c r="JBO80" s="2329"/>
      <c r="JBP80" s="2329"/>
      <c r="JBQ80" s="2329"/>
      <c r="JBR80" s="2329"/>
      <c r="JBS80" s="2328"/>
      <c r="JBT80" s="2329"/>
      <c r="JBU80" s="2329"/>
      <c r="JBV80" s="2329"/>
      <c r="JBW80" s="2329"/>
      <c r="JBX80" s="2329"/>
      <c r="JBY80" s="2329"/>
      <c r="JBZ80" s="2329"/>
      <c r="JCA80" s="2329"/>
      <c r="JCB80" s="2329"/>
      <c r="JCC80" s="2329"/>
      <c r="JCD80" s="2329"/>
      <c r="JCE80" s="2329"/>
      <c r="JCF80" s="2329"/>
      <c r="JCG80" s="2329"/>
      <c r="JCH80" s="2329"/>
      <c r="JCI80" s="2328"/>
      <c r="JCJ80" s="2329"/>
      <c r="JCK80" s="2329"/>
      <c r="JCL80" s="2329"/>
      <c r="JCM80" s="2329"/>
      <c r="JCN80" s="2329"/>
      <c r="JCO80" s="2329"/>
      <c r="JCP80" s="2329"/>
      <c r="JCQ80" s="2329"/>
      <c r="JCR80" s="2329"/>
      <c r="JCS80" s="2329"/>
      <c r="JCT80" s="2329"/>
      <c r="JCU80" s="2329"/>
      <c r="JCV80" s="2329"/>
      <c r="JCW80" s="2329"/>
      <c r="JCX80" s="2329"/>
      <c r="JCY80" s="2328"/>
      <c r="JCZ80" s="2329"/>
      <c r="JDA80" s="2329"/>
      <c r="JDB80" s="2329"/>
      <c r="JDC80" s="2329"/>
      <c r="JDD80" s="2329"/>
      <c r="JDE80" s="2329"/>
      <c r="JDF80" s="2329"/>
      <c r="JDG80" s="2329"/>
      <c r="JDH80" s="2329"/>
      <c r="JDI80" s="2329"/>
      <c r="JDJ80" s="2329"/>
      <c r="JDK80" s="2329"/>
      <c r="JDL80" s="2329"/>
      <c r="JDM80" s="2329"/>
      <c r="JDN80" s="2329"/>
      <c r="JDO80" s="2328"/>
      <c r="JDP80" s="2329"/>
      <c r="JDQ80" s="2329"/>
      <c r="JDR80" s="2329"/>
      <c r="JDS80" s="2329"/>
      <c r="JDT80" s="2329"/>
      <c r="JDU80" s="2329"/>
      <c r="JDV80" s="2329"/>
      <c r="JDW80" s="2329"/>
      <c r="JDX80" s="2329"/>
      <c r="JDY80" s="2329"/>
      <c r="JDZ80" s="2329"/>
      <c r="JEA80" s="2329"/>
      <c r="JEB80" s="2329"/>
      <c r="JEC80" s="2329"/>
      <c r="JED80" s="2329"/>
      <c r="JEE80" s="2328"/>
      <c r="JEF80" s="2329"/>
      <c r="JEG80" s="2329"/>
      <c r="JEH80" s="2329"/>
      <c r="JEI80" s="2329"/>
      <c r="JEJ80" s="2329"/>
      <c r="JEK80" s="2329"/>
      <c r="JEL80" s="2329"/>
      <c r="JEM80" s="2329"/>
      <c r="JEN80" s="2329"/>
      <c r="JEO80" s="2329"/>
      <c r="JEP80" s="2329"/>
      <c r="JEQ80" s="2329"/>
      <c r="JER80" s="2329"/>
      <c r="JES80" s="2329"/>
      <c r="JET80" s="2329"/>
      <c r="JEU80" s="2328"/>
      <c r="JEV80" s="2329"/>
      <c r="JEW80" s="2329"/>
      <c r="JEX80" s="2329"/>
      <c r="JEY80" s="2329"/>
      <c r="JEZ80" s="2329"/>
      <c r="JFA80" s="2329"/>
      <c r="JFB80" s="2329"/>
      <c r="JFC80" s="2329"/>
      <c r="JFD80" s="2329"/>
      <c r="JFE80" s="2329"/>
      <c r="JFF80" s="2329"/>
      <c r="JFG80" s="2329"/>
      <c r="JFH80" s="2329"/>
      <c r="JFI80" s="2329"/>
      <c r="JFJ80" s="2329"/>
      <c r="JFK80" s="2328"/>
      <c r="JFL80" s="2329"/>
      <c r="JFM80" s="2329"/>
      <c r="JFN80" s="2329"/>
      <c r="JFO80" s="2329"/>
      <c r="JFP80" s="2329"/>
      <c r="JFQ80" s="2329"/>
      <c r="JFR80" s="2329"/>
      <c r="JFS80" s="2329"/>
      <c r="JFT80" s="2329"/>
      <c r="JFU80" s="2329"/>
      <c r="JFV80" s="2329"/>
      <c r="JFW80" s="2329"/>
      <c r="JFX80" s="2329"/>
      <c r="JFY80" s="2329"/>
      <c r="JFZ80" s="2329"/>
      <c r="JGA80" s="2328"/>
      <c r="JGB80" s="2329"/>
      <c r="JGC80" s="2329"/>
      <c r="JGD80" s="2329"/>
      <c r="JGE80" s="2329"/>
      <c r="JGF80" s="2329"/>
      <c r="JGG80" s="2329"/>
      <c r="JGH80" s="2329"/>
      <c r="JGI80" s="2329"/>
      <c r="JGJ80" s="2329"/>
      <c r="JGK80" s="2329"/>
      <c r="JGL80" s="2329"/>
      <c r="JGM80" s="2329"/>
      <c r="JGN80" s="2329"/>
      <c r="JGO80" s="2329"/>
      <c r="JGP80" s="2329"/>
      <c r="JGQ80" s="2328"/>
      <c r="JGR80" s="2329"/>
      <c r="JGS80" s="2329"/>
      <c r="JGT80" s="2329"/>
      <c r="JGU80" s="2329"/>
      <c r="JGV80" s="2329"/>
      <c r="JGW80" s="2329"/>
      <c r="JGX80" s="2329"/>
      <c r="JGY80" s="2329"/>
      <c r="JGZ80" s="2329"/>
      <c r="JHA80" s="2329"/>
      <c r="JHB80" s="2329"/>
      <c r="JHC80" s="2329"/>
      <c r="JHD80" s="2329"/>
      <c r="JHE80" s="2329"/>
      <c r="JHF80" s="2329"/>
      <c r="JHG80" s="2328"/>
      <c r="JHH80" s="2329"/>
      <c r="JHI80" s="2329"/>
      <c r="JHJ80" s="2329"/>
      <c r="JHK80" s="2329"/>
      <c r="JHL80" s="2329"/>
      <c r="JHM80" s="2329"/>
      <c r="JHN80" s="2329"/>
      <c r="JHO80" s="2329"/>
      <c r="JHP80" s="2329"/>
      <c r="JHQ80" s="2329"/>
      <c r="JHR80" s="2329"/>
      <c r="JHS80" s="2329"/>
      <c r="JHT80" s="2329"/>
      <c r="JHU80" s="2329"/>
      <c r="JHV80" s="2329"/>
      <c r="JHW80" s="2328"/>
      <c r="JHX80" s="2329"/>
      <c r="JHY80" s="2329"/>
      <c r="JHZ80" s="2329"/>
      <c r="JIA80" s="2329"/>
      <c r="JIB80" s="2329"/>
      <c r="JIC80" s="2329"/>
      <c r="JID80" s="2329"/>
      <c r="JIE80" s="2329"/>
      <c r="JIF80" s="2329"/>
      <c r="JIG80" s="2329"/>
      <c r="JIH80" s="2329"/>
      <c r="JII80" s="2329"/>
      <c r="JIJ80" s="2329"/>
      <c r="JIK80" s="2329"/>
      <c r="JIL80" s="2329"/>
      <c r="JIM80" s="2328"/>
      <c r="JIN80" s="2329"/>
      <c r="JIO80" s="2329"/>
      <c r="JIP80" s="2329"/>
      <c r="JIQ80" s="2329"/>
      <c r="JIR80" s="2329"/>
      <c r="JIS80" s="2329"/>
      <c r="JIT80" s="2329"/>
      <c r="JIU80" s="2329"/>
      <c r="JIV80" s="2329"/>
      <c r="JIW80" s="2329"/>
      <c r="JIX80" s="2329"/>
      <c r="JIY80" s="2329"/>
      <c r="JIZ80" s="2329"/>
      <c r="JJA80" s="2329"/>
      <c r="JJB80" s="2329"/>
      <c r="JJC80" s="2328"/>
      <c r="JJD80" s="2329"/>
      <c r="JJE80" s="2329"/>
      <c r="JJF80" s="2329"/>
      <c r="JJG80" s="2329"/>
      <c r="JJH80" s="2329"/>
      <c r="JJI80" s="2329"/>
      <c r="JJJ80" s="2329"/>
      <c r="JJK80" s="2329"/>
      <c r="JJL80" s="2329"/>
      <c r="JJM80" s="2329"/>
      <c r="JJN80" s="2329"/>
      <c r="JJO80" s="2329"/>
      <c r="JJP80" s="2329"/>
      <c r="JJQ80" s="2329"/>
      <c r="JJR80" s="2329"/>
      <c r="JJS80" s="2328"/>
      <c r="JJT80" s="2329"/>
      <c r="JJU80" s="2329"/>
      <c r="JJV80" s="2329"/>
      <c r="JJW80" s="2329"/>
      <c r="JJX80" s="2329"/>
      <c r="JJY80" s="2329"/>
      <c r="JJZ80" s="2329"/>
      <c r="JKA80" s="2329"/>
      <c r="JKB80" s="2329"/>
      <c r="JKC80" s="2329"/>
      <c r="JKD80" s="2329"/>
      <c r="JKE80" s="2329"/>
      <c r="JKF80" s="2329"/>
      <c r="JKG80" s="2329"/>
      <c r="JKH80" s="2329"/>
      <c r="JKI80" s="2328"/>
      <c r="JKJ80" s="2329"/>
      <c r="JKK80" s="2329"/>
      <c r="JKL80" s="2329"/>
      <c r="JKM80" s="2329"/>
      <c r="JKN80" s="2329"/>
      <c r="JKO80" s="2329"/>
      <c r="JKP80" s="2329"/>
      <c r="JKQ80" s="2329"/>
      <c r="JKR80" s="2329"/>
      <c r="JKS80" s="2329"/>
      <c r="JKT80" s="2329"/>
      <c r="JKU80" s="2329"/>
      <c r="JKV80" s="2329"/>
      <c r="JKW80" s="2329"/>
      <c r="JKX80" s="2329"/>
      <c r="JKY80" s="2328"/>
      <c r="JKZ80" s="2329"/>
      <c r="JLA80" s="2329"/>
      <c r="JLB80" s="2329"/>
      <c r="JLC80" s="2329"/>
      <c r="JLD80" s="2329"/>
      <c r="JLE80" s="2329"/>
      <c r="JLF80" s="2329"/>
      <c r="JLG80" s="2329"/>
      <c r="JLH80" s="2329"/>
      <c r="JLI80" s="2329"/>
      <c r="JLJ80" s="2329"/>
      <c r="JLK80" s="2329"/>
      <c r="JLL80" s="2329"/>
      <c r="JLM80" s="2329"/>
      <c r="JLN80" s="2329"/>
      <c r="JLO80" s="2328"/>
      <c r="JLP80" s="2329"/>
      <c r="JLQ80" s="2329"/>
      <c r="JLR80" s="2329"/>
      <c r="JLS80" s="2329"/>
      <c r="JLT80" s="2329"/>
      <c r="JLU80" s="2329"/>
      <c r="JLV80" s="2329"/>
      <c r="JLW80" s="2329"/>
      <c r="JLX80" s="2329"/>
      <c r="JLY80" s="2329"/>
      <c r="JLZ80" s="2329"/>
      <c r="JMA80" s="2329"/>
      <c r="JMB80" s="2329"/>
      <c r="JMC80" s="2329"/>
      <c r="JMD80" s="2329"/>
      <c r="JME80" s="2328"/>
      <c r="JMF80" s="2329"/>
      <c r="JMG80" s="2329"/>
      <c r="JMH80" s="2329"/>
      <c r="JMI80" s="2329"/>
      <c r="JMJ80" s="2329"/>
      <c r="JMK80" s="2329"/>
      <c r="JML80" s="2329"/>
      <c r="JMM80" s="2329"/>
      <c r="JMN80" s="2329"/>
      <c r="JMO80" s="2329"/>
      <c r="JMP80" s="2329"/>
      <c r="JMQ80" s="2329"/>
      <c r="JMR80" s="2329"/>
      <c r="JMS80" s="2329"/>
      <c r="JMT80" s="2329"/>
      <c r="JMU80" s="2328"/>
      <c r="JMV80" s="2329"/>
      <c r="JMW80" s="2329"/>
      <c r="JMX80" s="2329"/>
      <c r="JMY80" s="2329"/>
      <c r="JMZ80" s="2329"/>
      <c r="JNA80" s="2329"/>
      <c r="JNB80" s="2329"/>
      <c r="JNC80" s="2329"/>
      <c r="JND80" s="2329"/>
      <c r="JNE80" s="2329"/>
      <c r="JNF80" s="2329"/>
      <c r="JNG80" s="2329"/>
      <c r="JNH80" s="2329"/>
      <c r="JNI80" s="2329"/>
      <c r="JNJ80" s="2329"/>
      <c r="JNK80" s="2328"/>
      <c r="JNL80" s="2329"/>
      <c r="JNM80" s="2329"/>
      <c r="JNN80" s="2329"/>
      <c r="JNO80" s="2329"/>
      <c r="JNP80" s="2329"/>
      <c r="JNQ80" s="2329"/>
      <c r="JNR80" s="2329"/>
      <c r="JNS80" s="2329"/>
      <c r="JNT80" s="2329"/>
      <c r="JNU80" s="2329"/>
      <c r="JNV80" s="2329"/>
      <c r="JNW80" s="2329"/>
      <c r="JNX80" s="2329"/>
      <c r="JNY80" s="2329"/>
      <c r="JNZ80" s="2329"/>
      <c r="JOA80" s="2328"/>
      <c r="JOB80" s="2329"/>
      <c r="JOC80" s="2329"/>
      <c r="JOD80" s="2329"/>
      <c r="JOE80" s="2329"/>
      <c r="JOF80" s="2329"/>
      <c r="JOG80" s="2329"/>
      <c r="JOH80" s="2329"/>
      <c r="JOI80" s="2329"/>
      <c r="JOJ80" s="2329"/>
      <c r="JOK80" s="2329"/>
      <c r="JOL80" s="2329"/>
      <c r="JOM80" s="2329"/>
      <c r="JON80" s="2329"/>
      <c r="JOO80" s="2329"/>
      <c r="JOP80" s="2329"/>
      <c r="JOQ80" s="2328"/>
      <c r="JOR80" s="2329"/>
      <c r="JOS80" s="2329"/>
      <c r="JOT80" s="2329"/>
      <c r="JOU80" s="2329"/>
      <c r="JOV80" s="2329"/>
      <c r="JOW80" s="2329"/>
      <c r="JOX80" s="2329"/>
      <c r="JOY80" s="2329"/>
      <c r="JOZ80" s="2329"/>
      <c r="JPA80" s="2329"/>
      <c r="JPB80" s="2329"/>
      <c r="JPC80" s="2329"/>
      <c r="JPD80" s="2329"/>
      <c r="JPE80" s="2329"/>
      <c r="JPF80" s="2329"/>
      <c r="JPG80" s="2328"/>
      <c r="JPH80" s="2329"/>
      <c r="JPI80" s="2329"/>
      <c r="JPJ80" s="2329"/>
      <c r="JPK80" s="2329"/>
      <c r="JPL80" s="2329"/>
      <c r="JPM80" s="2329"/>
      <c r="JPN80" s="2329"/>
      <c r="JPO80" s="2329"/>
      <c r="JPP80" s="2329"/>
      <c r="JPQ80" s="2329"/>
      <c r="JPR80" s="2329"/>
      <c r="JPS80" s="2329"/>
      <c r="JPT80" s="2329"/>
      <c r="JPU80" s="2329"/>
      <c r="JPV80" s="2329"/>
      <c r="JPW80" s="2328"/>
      <c r="JPX80" s="2329"/>
      <c r="JPY80" s="2329"/>
      <c r="JPZ80" s="2329"/>
      <c r="JQA80" s="2329"/>
      <c r="JQB80" s="2329"/>
      <c r="JQC80" s="2329"/>
      <c r="JQD80" s="2329"/>
      <c r="JQE80" s="2329"/>
      <c r="JQF80" s="2329"/>
      <c r="JQG80" s="2329"/>
      <c r="JQH80" s="2329"/>
      <c r="JQI80" s="2329"/>
      <c r="JQJ80" s="2329"/>
      <c r="JQK80" s="2329"/>
      <c r="JQL80" s="2329"/>
      <c r="JQM80" s="2328"/>
      <c r="JQN80" s="2329"/>
      <c r="JQO80" s="2329"/>
      <c r="JQP80" s="2329"/>
      <c r="JQQ80" s="2329"/>
      <c r="JQR80" s="2329"/>
      <c r="JQS80" s="2329"/>
      <c r="JQT80" s="2329"/>
      <c r="JQU80" s="2329"/>
      <c r="JQV80" s="2329"/>
      <c r="JQW80" s="2329"/>
      <c r="JQX80" s="2329"/>
      <c r="JQY80" s="2329"/>
      <c r="JQZ80" s="2329"/>
      <c r="JRA80" s="2329"/>
      <c r="JRB80" s="2329"/>
      <c r="JRC80" s="2328"/>
      <c r="JRD80" s="2329"/>
      <c r="JRE80" s="2329"/>
      <c r="JRF80" s="2329"/>
      <c r="JRG80" s="2329"/>
      <c r="JRH80" s="2329"/>
      <c r="JRI80" s="2329"/>
      <c r="JRJ80" s="2329"/>
      <c r="JRK80" s="2329"/>
      <c r="JRL80" s="2329"/>
      <c r="JRM80" s="2329"/>
      <c r="JRN80" s="2329"/>
      <c r="JRO80" s="2329"/>
      <c r="JRP80" s="2329"/>
      <c r="JRQ80" s="2329"/>
      <c r="JRR80" s="2329"/>
      <c r="JRS80" s="2328"/>
      <c r="JRT80" s="2329"/>
      <c r="JRU80" s="2329"/>
      <c r="JRV80" s="2329"/>
      <c r="JRW80" s="2329"/>
      <c r="JRX80" s="2329"/>
      <c r="JRY80" s="2329"/>
      <c r="JRZ80" s="2329"/>
      <c r="JSA80" s="2329"/>
      <c r="JSB80" s="2329"/>
      <c r="JSC80" s="2329"/>
      <c r="JSD80" s="2329"/>
      <c r="JSE80" s="2329"/>
      <c r="JSF80" s="2329"/>
      <c r="JSG80" s="2329"/>
      <c r="JSH80" s="2329"/>
      <c r="JSI80" s="2328"/>
      <c r="JSJ80" s="2329"/>
      <c r="JSK80" s="2329"/>
      <c r="JSL80" s="2329"/>
      <c r="JSM80" s="2329"/>
      <c r="JSN80" s="2329"/>
      <c r="JSO80" s="2329"/>
      <c r="JSP80" s="2329"/>
      <c r="JSQ80" s="2329"/>
      <c r="JSR80" s="2329"/>
      <c r="JSS80" s="2329"/>
      <c r="JST80" s="2329"/>
      <c r="JSU80" s="2329"/>
      <c r="JSV80" s="2329"/>
      <c r="JSW80" s="2329"/>
      <c r="JSX80" s="2329"/>
      <c r="JSY80" s="2328"/>
      <c r="JSZ80" s="2329"/>
      <c r="JTA80" s="2329"/>
      <c r="JTB80" s="2329"/>
      <c r="JTC80" s="2329"/>
      <c r="JTD80" s="2329"/>
      <c r="JTE80" s="2329"/>
      <c r="JTF80" s="2329"/>
      <c r="JTG80" s="2329"/>
      <c r="JTH80" s="2329"/>
      <c r="JTI80" s="2329"/>
      <c r="JTJ80" s="2329"/>
      <c r="JTK80" s="2329"/>
      <c r="JTL80" s="2329"/>
      <c r="JTM80" s="2329"/>
      <c r="JTN80" s="2329"/>
      <c r="JTO80" s="2328"/>
      <c r="JTP80" s="2329"/>
      <c r="JTQ80" s="2329"/>
      <c r="JTR80" s="2329"/>
      <c r="JTS80" s="2329"/>
      <c r="JTT80" s="2329"/>
      <c r="JTU80" s="2329"/>
      <c r="JTV80" s="2329"/>
      <c r="JTW80" s="2329"/>
      <c r="JTX80" s="2329"/>
      <c r="JTY80" s="2329"/>
      <c r="JTZ80" s="2329"/>
      <c r="JUA80" s="2329"/>
      <c r="JUB80" s="2329"/>
      <c r="JUC80" s="2329"/>
      <c r="JUD80" s="2329"/>
      <c r="JUE80" s="2328"/>
      <c r="JUF80" s="2329"/>
      <c r="JUG80" s="2329"/>
      <c r="JUH80" s="2329"/>
      <c r="JUI80" s="2329"/>
      <c r="JUJ80" s="2329"/>
      <c r="JUK80" s="2329"/>
      <c r="JUL80" s="2329"/>
      <c r="JUM80" s="2329"/>
      <c r="JUN80" s="2329"/>
      <c r="JUO80" s="2329"/>
      <c r="JUP80" s="2329"/>
      <c r="JUQ80" s="2329"/>
      <c r="JUR80" s="2329"/>
      <c r="JUS80" s="2329"/>
      <c r="JUT80" s="2329"/>
      <c r="JUU80" s="2328"/>
      <c r="JUV80" s="2329"/>
      <c r="JUW80" s="2329"/>
      <c r="JUX80" s="2329"/>
      <c r="JUY80" s="2329"/>
      <c r="JUZ80" s="2329"/>
      <c r="JVA80" s="2329"/>
      <c r="JVB80" s="2329"/>
      <c r="JVC80" s="2329"/>
      <c r="JVD80" s="2329"/>
      <c r="JVE80" s="2329"/>
      <c r="JVF80" s="2329"/>
      <c r="JVG80" s="2329"/>
      <c r="JVH80" s="2329"/>
      <c r="JVI80" s="2329"/>
      <c r="JVJ80" s="2329"/>
      <c r="JVK80" s="2328"/>
      <c r="JVL80" s="2329"/>
      <c r="JVM80" s="2329"/>
      <c r="JVN80" s="2329"/>
      <c r="JVO80" s="2329"/>
      <c r="JVP80" s="2329"/>
      <c r="JVQ80" s="2329"/>
      <c r="JVR80" s="2329"/>
      <c r="JVS80" s="2329"/>
      <c r="JVT80" s="2329"/>
      <c r="JVU80" s="2329"/>
      <c r="JVV80" s="2329"/>
      <c r="JVW80" s="2329"/>
      <c r="JVX80" s="2329"/>
      <c r="JVY80" s="2329"/>
      <c r="JVZ80" s="2329"/>
      <c r="JWA80" s="2328"/>
      <c r="JWB80" s="2329"/>
      <c r="JWC80" s="2329"/>
      <c r="JWD80" s="2329"/>
      <c r="JWE80" s="2329"/>
      <c r="JWF80" s="2329"/>
      <c r="JWG80" s="2329"/>
      <c r="JWH80" s="2329"/>
      <c r="JWI80" s="2329"/>
      <c r="JWJ80" s="2329"/>
      <c r="JWK80" s="2329"/>
      <c r="JWL80" s="2329"/>
      <c r="JWM80" s="2329"/>
      <c r="JWN80" s="2329"/>
      <c r="JWO80" s="2329"/>
      <c r="JWP80" s="2329"/>
      <c r="JWQ80" s="2328"/>
      <c r="JWR80" s="2329"/>
      <c r="JWS80" s="2329"/>
      <c r="JWT80" s="2329"/>
      <c r="JWU80" s="2329"/>
      <c r="JWV80" s="2329"/>
      <c r="JWW80" s="2329"/>
      <c r="JWX80" s="2329"/>
      <c r="JWY80" s="2329"/>
      <c r="JWZ80" s="2329"/>
      <c r="JXA80" s="2329"/>
      <c r="JXB80" s="2329"/>
      <c r="JXC80" s="2329"/>
      <c r="JXD80" s="2329"/>
      <c r="JXE80" s="2329"/>
      <c r="JXF80" s="2329"/>
      <c r="JXG80" s="2328"/>
      <c r="JXH80" s="2329"/>
      <c r="JXI80" s="2329"/>
      <c r="JXJ80" s="2329"/>
      <c r="JXK80" s="2329"/>
      <c r="JXL80" s="2329"/>
      <c r="JXM80" s="2329"/>
      <c r="JXN80" s="2329"/>
      <c r="JXO80" s="2329"/>
      <c r="JXP80" s="2329"/>
      <c r="JXQ80" s="2329"/>
      <c r="JXR80" s="2329"/>
      <c r="JXS80" s="2329"/>
      <c r="JXT80" s="2329"/>
      <c r="JXU80" s="2329"/>
      <c r="JXV80" s="2329"/>
      <c r="JXW80" s="2328"/>
      <c r="JXX80" s="2329"/>
      <c r="JXY80" s="2329"/>
      <c r="JXZ80" s="2329"/>
      <c r="JYA80" s="2329"/>
      <c r="JYB80" s="2329"/>
      <c r="JYC80" s="2329"/>
      <c r="JYD80" s="2329"/>
      <c r="JYE80" s="2329"/>
      <c r="JYF80" s="2329"/>
      <c r="JYG80" s="2329"/>
      <c r="JYH80" s="2329"/>
      <c r="JYI80" s="2329"/>
      <c r="JYJ80" s="2329"/>
      <c r="JYK80" s="2329"/>
      <c r="JYL80" s="2329"/>
      <c r="JYM80" s="2328"/>
      <c r="JYN80" s="2329"/>
      <c r="JYO80" s="2329"/>
      <c r="JYP80" s="2329"/>
      <c r="JYQ80" s="2329"/>
      <c r="JYR80" s="2329"/>
      <c r="JYS80" s="2329"/>
      <c r="JYT80" s="2329"/>
      <c r="JYU80" s="2329"/>
      <c r="JYV80" s="2329"/>
      <c r="JYW80" s="2329"/>
      <c r="JYX80" s="2329"/>
      <c r="JYY80" s="2329"/>
      <c r="JYZ80" s="2329"/>
      <c r="JZA80" s="2329"/>
      <c r="JZB80" s="2329"/>
      <c r="JZC80" s="2328"/>
      <c r="JZD80" s="2329"/>
      <c r="JZE80" s="2329"/>
      <c r="JZF80" s="2329"/>
      <c r="JZG80" s="2329"/>
      <c r="JZH80" s="2329"/>
      <c r="JZI80" s="2329"/>
      <c r="JZJ80" s="2329"/>
      <c r="JZK80" s="2329"/>
      <c r="JZL80" s="2329"/>
      <c r="JZM80" s="2329"/>
      <c r="JZN80" s="2329"/>
      <c r="JZO80" s="2329"/>
      <c r="JZP80" s="2329"/>
      <c r="JZQ80" s="2329"/>
      <c r="JZR80" s="2329"/>
      <c r="JZS80" s="2328"/>
      <c r="JZT80" s="2329"/>
      <c r="JZU80" s="2329"/>
      <c r="JZV80" s="2329"/>
      <c r="JZW80" s="2329"/>
      <c r="JZX80" s="2329"/>
      <c r="JZY80" s="2329"/>
      <c r="JZZ80" s="2329"/>
      <c r="KAA80" s="2329"/>
      <c r="KAB80" s="2329"/>
      <c r="KAC80" s="2329"/>
      <c r="KAD80" s="2329"/>
      <c r="KAE80" s="2329"/>
      <c r="KAF80" s="2329"/>
      <c r="KAG80" s="2329"/>
      <c r="KAH80" s="2329"/>
      <c r="KAI80" s="2328"/>
      <c r="KAJ80" s="2329"/>
      <c r="KAK80" s="2329"/>
      <c r="KAL80" s="2329"/>
      <c r="KAM80" s="2329"/>
      <c r="KAN80" s="2329"/>
      <c r="KAO80" s="2329"/>
      <c r="KAP80" s="2329"/>
      <c r="KAQ80" s="2329"/>
      <c r="KAR80" s="2329"/>
      <c r="KAS80" s="2329"/>
      <c r="KAT80" s="2329"/>
      <c r="KAU80" s="2329"/>
      <c r="KAV80" s="2329"/>
      <c r="KAW80" s="2329"/>
      <c r="KAX80" s="2329"/>
      <c r="KAY80" s="2328"/>
      <c r="KAZ80" s="2329"/>
      <c r="KBA80" s="2329"/>
      <c r="KBB80" s="2329"/>
      <c r="KBC80" s="2329"/>
      <c r="KBD80" s="2329"/>
      <c r="KBE80" s="2329"/>
      <c r="KBF80" s="2329"/>
      <c r="KBG80" s="2329"/>
      <c r="KBH80" s="2329"/>
      <c r="KBI80" s="2329"/>
      <c r="KBJ80" s="2329"/>
      <c r="KBK80" s="2329"/>
      <c r="KBL80" s="2329"/>
      <c r="KBM80" s="2329"/>
      <c r="KBN80" s="2329"/>
      <c r="KBO80" s="2328"/>
      <c r="KBP80" s="2329"/>
      <c r="KBQ80" s="2329"/>
      <c r="KBR80" s="2329"/>
      <c r="KBS80" s="2329"/>
      <c r="KBT80" s="2329"/>
      <c r="KBU80" s="2329"/>
      <c r="KBV80" s="2329"/>
      <c r="KBW80" s="2329"/>
      <c r="KBX80" s="2329"/>
      <c r="KBY80" s="2329"/>
      <c r="KBZ80" s="2329"/>
      <c r="KCA80" s="2329"/>
      <c r="KCB80" s="2329"/>
      <c r="KCC80" s="2329"/>
      <c r="KCD80" s="2329"/>
      <c r="KCE80" s="2328"/>
      <c r="KCF80" s="2329"/>
      <c r="KCG80" s="2329"/>
      <c r="KCH80" s="2329"/>
      <c r="KCI80" s="2329"/>
      <c r="KCJ80" s="2329"/>
      <c r="KCK80" s="2329"/>
      <c r="KCL80" s="2329"/>
      <c r="KCM80" s="2329"/>
      <c r="KCN80" s="2329"/>
      <c r="KCO80" s="2329"/>
      <c r="KCP80" s="2329"/>
      <c r="KCQ80" s="2329"/>
      <c r="KCR80" s="2329"/>
      <c r="KCS80" s="2329"/>
      <c r="KCT80" s="2329"/>
      <c r="KCU80" s="2328"/>
      <c r="KCV80" s="2329"/>
      <c r="KCW80" s="2329"/>
      <c r="KCX80" s="2329"/>
      <c r="KCY80" s="2329"/>
      <c r="KCZ80" s="2329"/>
      <c r="KDA80" s="2329"/>
      <c r="KDB80" s="2329"/>
      <c r="KDC80" s="2329"/>
      <c r="KDD80" s="2329"/>
      <c r="KDE80" s="2329"/>
      <c r="KDF80" s="2329"/>
      <c r="KDG80" s="2329"/>
      <c r="KDH80" s="2329"/>
      <c r="KDI80" s="2329"/>
      <c r="KDJ80" s="2329"/>
      <c r="KDK80" s="2328"/>
      <c r="KDL80" s="2329"/>
      <c r="KDM80" s="2329"/>
      <c r="KDN80" s="2329"/>
      <c r="KDO80" s="2329"/>
      <c r="KDP80" s="2329"/>
      <c r="KDQ80" s="2329"/>
      <c r="KDR80" s="2329"/>
      <c r="KDS80" s="2329"/>
      <c r="KDT80" s="2329"/>
      <c r="KDU80" s="2329"/>
      <c r="KDV80" s="2329"/>
      <c r="KDW80" s="2329"/>
      <c r="KDX80" s="2329"/>
      <c r="KDY80" s="2329"/>
      <c r="KDZ80" s="2329"/>
      <c r="KEA80" s="2328"/>
      <c r="KEB80" s="2329"/>
      <c r="KEC80" s="2329"/>
      <c r="KED80" s="2329"/>
      <c r="KEE80" s="2329"/>
      <c r="KEF80" s="2329"/>
      <c r="KEG80" s="2329"/>
      <c r="KEH80" s="2329"/>
      <c r="KEI80" s="2329"/>
      <c r="KEJ80" s="2329"/>
      <c r="KEK80" s="2329"/>
      <c r="KEL80" s="2329"/>
      <c r="KEM80" s="2329"/>
      <c r="KEN80" s="2329"/>
      <c r="KEO80" s="2329"/>
      <c r="KEP80" s="2329"/>
      <c r="KEQ80" s="2328"/>
      <c r="KER80" s="2329"/>
      <c r="KES80" s="2329"/>
      <c r="KET80" s="2329"/>
      <c r="KEU80" s="2329"/>
      <c r="KEV80" s="2329"/>
      <c r="KEW80" s="2329"/>
      <c r="KEX80" s="2329"/>
      <c r="KEY80" s="2329"/>
      <c r="KEZ80" s="2329"/>
      <c r="KFA80" s="2329"/>
      <c r="KFB80" s="2329"/>
      <c r="KFC80" s="2329"/>
      <c r="KFD80" s="2329"/>
      <c r="KFE80" s="2329"/>
      <c r="KFF80" s="2329"/>
      <c r="KFG80" s="2328"/>
      <c r="KFH80" s="2329"/>
      <c r="KFI80" s="2329"/>
      <c r="KFJ80" s="2329"/>
      <c r="KFK80" s="2329"/>
      <c r="KFL80" s="2329"/>
      <c r="KFM80" s="2329"/>
      <c r="KFN80" s="2329"/>
      <c r="KFO80" s="2329"/>
      <c r="KFP80" s="2329"/>
      <c r="KFQ80" s="2329"/>
      <c r="KFR80" s="2329"/>
      <c r="KFS80" s="2329"/>
      <c r="KFT80" s="2329"/>
      <c r="KFU80" s="2329"/>
      <c r="KFV80" s="2329"/>
      <c r="KFW80" s="2328"/>
      <c r="KFX80" s="2329"/>
      <c r="KFY80" s="2329"/>
      <c r="KFZ80" s="2329"/>
      <c r="KGA80" s="2329"/>
      <c r="KGB80" s="2329"/>
      <c r="KGC80" s="2329"/>
      <c r="KGD80" s="2329"/>
      <c r="KGE80" s="2329"/>
      <c r="KGF80" s="2329"/>
      <c r="KGG80" s="2329"/>
      <c r="KGH80" s="2329"/>
      <c r="KGI80" s="2329"/>
      <c r="KGJ80" s="2329"/>
      <c r="KGK80" s="2329"/>
      <c r="KGL80" s="2329"/>
      <c r="KGM80" s="2328"/>
      <c r="KGN80" s="2329"/>
      <c r="KGO80" s="2329"/>
      <c r="KGP80" s="2329"/>
      <c r="KGQ80" s="2329"/>
      <c r="KGR80" s="2329"/>
      <c r="KGS80" s="2329"/>
      <c r="KGT80" s="2329"/>
      <c r="KGU80" s="2329"/>
      <c r="KGV80" s="2329"/>
      <c r="KGW80" s="2329"/>
      <c r="KGX80" s="2329"/>
      <c r="KGY80" s="2329"/>
      <c r="KGZ80" s="2329"/>
      <c r="KHA80" s="2329"/>
      <c r="KHB80" s="2329"/>
      <c r="KHC80" s="2328"/>
      <c r="KHD80" s="2329"/>
      <c r="KHE80" s="2329"/>
      <c r="KHF80" s="2329"/>
      <c r="KHG80" s="2329"/>
      <c r="KHH80" s="2329"/>
      <c r="KHI80" s="2329"/>
      <c r="KHJ80" s="2329"/>
      <c r="KHK80" s="2329"/>
      <c r="KHL80" s="2329"/>
      <c r="KHM80" s="2329"/>
      <c r="KHN80" s="2329"/>
      <c r="KHO80" s="2329"/>
      <c r="KHP80" s="2329"/>
      <c r="KHQ80" s="2329"/>
      <c r="KHR80" s="2329"/>
      <c r="KHS80" s="2328"/>
      <c r="KHT80" s="2329"/>
      <c r="KHU80" s="2329"/>
      <c r="KHV80" s="2329"/>
      <c r="KHW80" s="2329"/>
      <c r="KHX80" s="2329"/>
      <c r="KHY80" s="2329"/>
      <c r="KHZ80" s="2329"/>
      <c r="KIA80" s="2329"/>
      <c r="KIB80" s="2329"/>
      <c r="KIC80" s="2329"/>
      <c r="KID80" s="2329"/>
      <c r="KIE80" s="2329"/>
      <c r="KIF80" s="2329"/>
      <c r="KIG80" s="2329"/>
      <c r="KIH80" s="2329"/>
      <c r="KII80" s="2328"/>
      <c r="KIJ80" s="2329"/>
      <c r="KIK80" s="2329"/>
      <c r="KIL80" s="2329"/>
      <c r="KIM80" s="2329"/>
      <c r="KIN80" s="2329"/>
      <c r="KIO80" s="2329"/>
      <c r="KIP80" s="2329"/>
      <c r="KIQ80" s="2329"/>
      <c r="KIR80" s="2329"/>
      <c r="KIS80" s="2329"/>
      <c r="KIT80" s="2329"/>
      <c r="KIU80" s="2329"/>
      <c r="KIV80" s="2329"/>
      <c r="KIW80" s="2329"/>
      <c r="KIX80" s="2329"/>
      <c r="KIY80" s="2328"/>
      <c r="KIZ80" s="2329"/>
      <c r="KJA80" s="2329"/>
      <c r="KJB80" s="2329"/>
      <c r="KJC80" s="2329"/>
      <c r="KJD80" s="2329"/>
      <c r="KJE80" s="2329"/>
      <c r="KJF80" s="2329"/>
      <c r="KJG80" s="2329"/>
      <c r="KJH80" s="2329"/>
      <c r="KJI80" s="2329"/>
      <c r="KJJ80" s="2329"/>
      <c r="KJK80" s="2329"/>
      <c r="KJL80" s="2329"/>
      <c r="KJM80" s="2329"/>
      <c r="KJN80" s="2329"/>
      <c r="KJO80" s="2328"/>
      <c r="KJP80" s="2329"/>
      <c r="KJQ80" s="2329"/>
      <c r="KJR80" s="2329"/>
      <c r="KJS80" s="2329"/>
      <c r="KJT80" s="2329"/>
      <c r="KJU80" s="2329"/>
      <c r="KJV80" s="2329"/>
      <c r="KJW80" s="2329"/>
      <c r="KJX80" s="2329"/>
      <c r="KJY80" s="2329"/>
      <c r="KJZ80" s="2329"/>
      <c r="KKA80" s="2329"/>
      <c r="KKB80" s="2329"/>
      <c r="KKC80" s="2329"/>
      <c r="KKD80" s="2329"/>
      <c r="KKE80" s="2328"/>
      <c r="KKF80" s="2329"/>
      <c r="KKG80" s="2329"/>
      <c r="KKH80" s="2329"/>
      <c r="KKI80" s="2329"/>
      <c r="KKJ80" s="2329"/>
      <c r="KKK80" s="2329"/>
      <c r="KKL80" s="2329"/>
      <c r="KKM80" s="2329"/>
      <c r="KKN80" s="2329"/>
      <c r="KKO80" s="2329"/>
      <c r="KKP80" s="2329"/>
      <c r="KKQ80" s="2329"/>
      <c r="KKR80" s="2329"/>
      <c r="KKS80" s="2329"/>
      <c r="KKT80" s="2329"/>
      <c r="KKU80" s="2328"/>
      <c r="KKV80" s="2329"/>
      <c r="KKW80" s="2329"/>
      <c r="KKX80" s="2329"/>
      <c r="KKY80" s="2329"/>
      <c r="KKZ80" s="2329"/>
      <c r="KLA80" s="2329"/>
      <c r="KLB80" s="2329"/>
      <c r="KLC80" s="2329"/>
      <c r="KLD80" s="2329"/>
      <c r="KLE80" s="2329"/>
      <c r="KLF80" s="2329"/>
      <c r="KLG80" s="2329"/>
      <c r="KLH80" s="2329"/>
      <c r="KLI80" s="2329"/>
      <c r="KLJ80" s="2329"/>
      <c r="KLK80" s="2328"/>
      <c r="KLL80" s="2329"/>
      <c r="KLM80" s="2329"/>
      <c r="KLN80" s="2329"/>
      <c r="KLO80" s="2329"/>
      <c r="KLP80" s="2329"/>
      <c r="KLQ80" s="2329"/>
      <c r="KLR80" s="2329"/>
      <c r="KLS80" s="2329"/>
      <c r="KLT80" s="2329"/>
      <c r="KLU80" s="2329"/>
      <c r="KLV80" s="2329"/>
      <c r="KLW80" s="2329"/>
      <c r="KLX80" s="2329"/>
      <c r="KLY80" s="2329"/>
      <c r="KLZ80" s="2329"/>
      <c r="KMA80" s="2328"/>
      <c r="KMB80" s="2329"/>
      <c r="KMC80" s="2329"/>
      <c r="KMD80" s="2329"/>
      <c r="KME80" s="2329"/>
      <c r="KMF80" s="2329"/>
      <c r="KMG80" s="2329"/>
      <c r="KMH80" s="2329"/>
      <c r="KMI80" s="2329"/>
      <c r="KMJ80" s="2329"/>
      <c r="KMK80" s="2329"/>
      <c r="KML80" s="2329"/>
      <c r="KMM80" s="2329"/>
      <c r="KMN80" s="2329"/>
      <c r="KMO80" s="2329"/>
      <c r="KMP80" s="2329"/>
      <c r="KMQ80" s="2328"/>
      <c r="KMR80" s="2329"/>
      <c r="KMS80" s="2329"/>
      <c r="KMT80" s="2329"/>
      <c r="KMU80" s="2329"/>
      <c r="KMV80" s="2329"/>
      <c r="KMW80" s="2329"/>
      <c r="KMX80" s="2329"/>
      <c r="KMY80" s="2329"/>
      <c r="KMZ80" s="2329"/>
      <c r="KNA80" s="2329"/>
      <c r="KNB80" s="2329"/>
      <c r="KNC80" s="2329"/>
      <c r="KND80" s="2329"/>
      <c r="KNE80" s="2329"/>
      <c r="KNF80" s="2329"/>
      <c r="KNG80" s="2328"/>
      <c r="KNH80" s="2329"/>
      <c r="KNI80" s="2329"/>
      <c r="KNJ80" s="2329"/>
      <c r="KNK80" s="2329"/>
      <c r="KNL80" s="2329"/>
      <c r="KNM80" s="2329"/>
      <c r="KNN80" s="2329"/>
      <c r="KNO80" s="2329"/>
      <c r="KNP80" s="2329"/>
      <c r="KNQ80" s="2329"/>
      <c r="KNR80" s="2329"/>
      <c r="KNS80" s="2329"/>
      <c r="KNT80" s="2329"/>
      <c r="KNU80" s="2329"/>
      <c r="KNV80" s="2329"/>
      <c r="KNW80" s="2328"/>
      <c r="KNX80" s="2329"/>
      <c r="KNY80" s="2329"/>
      <c r="KNZ80" s="2329"/>
      <c r="KOA80" s="2329"/>
      <c r="KOB80" s="2329"/>
      <c r="KOC80" s="2329"/>
      <c r="KOD80" s="2329"/>
      <c r="KOE80" s="2329"/>
      <c r="KOF80" s="2329"/>
      <c r="KOG80" s="2329"/>
      <c r="KOH80" s="2329"/>
      <c r="KOI80" s="2329"/>
      <c r="KOJ80" s="2329"/>
      <c r="KOK80" s="2329"/>
      <c r="KOL80" s="2329"/>
      <c r="KOM80" s="2328"/>
      <c r="KON80" s="2329"/>
      <c r="KOO80" s="2329"/>
      <c r="KOP80" s="2329"/>
      <c r="KOQ80" s="2329"/>
      <c r="KOR80" s="2329"/>
      <c r="KOS80" s="2329"/>
      <c r="KOT80" s="2329"/>
      <c r="KOU80" s="2329"/>
      <c r="KOV80" s="2329"/>
      <c r="KOW80" s="2329"/>
      <c r="KOX80" s="2329"/>
      <c r="KOY80" s="2329"/>
      <c r="KOZ80" s="2329"/>
      <c r="KPA80" s="2329"/>
      <c r="KPB80" s="2329"/>
      <c r="KPC80" s="2328"/>
      <c r="KPD80" s="2329"/>
      <c r="KPE80" s="2329"/>
      <c r="KPF80" s="2329"/>
      <c r="KPG80" s="2329"/>
      <c r="KPH80" s="2329"/>
      <c r="KPI80" s="2329"/>
      <c r="KPJ80" s="2329"/>
      <c r="KPK80" s="2329"/>
      <c r="KPL80" s="2329"/>
      <c r="KPM80" s="2329"/>
      <c r="KPN80" s="2329"/>
      <c r="KPO80" s="2329"/>
      <c r="KPP80" s="2329"/>
      <c r="KPQ80" s="2329"/>
      <c r="KPR80" s="2329"/>
      <c r="KPS80" s="2328"/>
      <c r="KPT80" s="2329"/>
      <c r="KPU80" s="2329"/>
      <c r="KPV80" s="2329"/>
      <c r="KPW80" s="2329"/>
      <c r="KPX80" s="2329"/>
      <c r="KPY80" s="2329"/>
      <c r="KPZ80" s="2329"/>
      <c r="KQA80" s="2329"/>
      <c r="KQB80" s="2329"/>
      <c r="KQC80" s="2329"/>
      <c r="KQD80" s="2329"/>
      <c r="KQE80" s="2329"/>
      <c r="KQF80" s="2329"/>
      <c r="KQG80" s="2329"/>
      <c r="KQH80" s="2329"/>
      <c r="KQI80" s="2328"/>
      <c r="KQJ80" s="2329"/>
      <c r="KQK80" s="2329"/>
      <c r="KQL80" s="2329"/>
      <c r="KQM80" s="2329"/>
      <c r="KQN80" s="2329"/>
      <c r="KQO80" s="2329"/>
      <c r="KQP80" s="2329"/>
      <c r="KQQ80" s="2329"/>
      <c r="KQR80" s="2329"/>
      <c r="KQS80" s="2329"/>
      <c r="KQT80" s="2329"/>
      <c r="KQU80" s="2329"/>
      <c r="KQV80" s="2329"/>
      <c r="KQW80" s="2329"/>
      <c r="KQX80" s="2329"/>
      <c r="KQY80" s="2328"/>
      <c r="KQZ80" s="2329"/>
      <c r="KRA80" s="2329"/>
      <c r="KRB80" s="2329"/>
      <c r="KRC80" s="2329"/>
      <c r="KRD80" s="2329"/>
      <c r="KRE80" s="2329"/>
      <c r="KRF80" s="2329"/>
      <c r="KRG80" s="2329"/>
      <c r="KRH80" s="2329"/>
      <c r="KRI80" s="2329"/>
      <c r="KRJ80" s="2329"/>
      <c r="KRK80" s="2329"/>
      <c r="KRL80" s="2329"/>
      <c r="KRM80" s="2329"/>
      <c r="KRN80" s="2329"/>
      <c r="KRO80" s="2328"/>
      <c r="KRP80" s="2329"/>
      <c r="KRQ80" s="2329"/>
      <c r="KRR80" s="2329"/>
      <c r="KRS80" s="2329"/>
      <c r="KRT80" s="2329"/>
      <c r="KRU80" s="2329"/>
      <c r="KRV80" s="2329"/>
      <c r="KRW80" s="2329"/>
      <c r="KRX80" s="2329"/>
      <c r="KRY80" s="2329"/>
      <c r="KRZ80" s="2329"/>
      <c r="KSA80" s="2329"/>
      <c r="KSB80" s="2329"/>
      <c r="KSC80" s="2329"/>
      <c r="KSD80" s="2329"/>
      <c r="KSE80" s="2328"/>
      <c r="KSF80" s="2329"/>
      <c r="KSG80" s="2329"/>
      <c r="KSH80" s="2329"/>
      <c r="KSI80" s="2329"/>
      <c r="KSJ80" s="2329"/>
      <c r="KSK80" s="2329"/>
      <c r="KSL80" s="2329"/>
      <c r="KSM80" s="2329"/>
      <c r="KSN80" s="2329"/>
      <c r="KSO80" s="2329"/>
      <c r="KSP80" s="2329"/>
      <c r="KSQ80" s="2329"/>
      <c r="KSR80" s="2329"/>
      <c r="KSS80" s="2329"/>
      <c r="KST80" s="2329"/>
      <c r="KSU80" s="2328"/>
      <c r="KSV80" s="2329"/>
      <c r="KSW80" s="2329"/>
      <c r="KSX80" s="2329"/>
      <c r="KSY80" s="2329"/>
      <c r="KSZ80" s="2329"/>
      <c r="KTA80" s="2329"/>
      <c r="KTB80" s="2329"/>
      <c r="KTC80" s="2329"/>
      <c r="KTD80" s="2329"/>
      <c r="KTE80" s="2329"/>
      <c r="KTF80" s="2329"/>
      <c r="KTG80" s="2329"/>
      <c r="KTH80" s="2329"/>
      <c r="KTI80" s="2329"/>
      <c r="KTJ80" s="2329"/>
      <c r="KTK80" s="2328"/>
      <c r="KTL80" s="2329"/>
      <c r="KTM80" s="2329"/>
      <c r="KTN80" s="2329"/>
      <c r="KTO80" s="2329"/>
      <c r="KTP80" s="2329"/>
      <c r="KTQ80" s="2329"/>
      <c r="KTR80" s="2329"/>
      <c r="KTS80" s="2329"/>
      <c r="KTT80" s="2329"/>
      <c r="KTU80" s="2329"/>
      <c r="KTV80" s="2329"/>
      <c r="KTW80" s="2329"/>
      <c r="KTX80" s="2329"/>
      <c r="KTY80" s="2329"/>
      <c r="KTZ80" s="2329"/>
      <c r="KUA80" s="2328"/>
      <c r="KUB80" s="2329"/>
      <c r="KUC80" s="2329"/>
      <c r="KUD80" s="2329"/>
      <c r="KUE80" s="2329"/>
      <c r="KUF80" s="2329"/>
      <c r="KUG80" s="2329"/>
      <c r="KUH80" s="2329"/>
      <c r="KUI80" s="2329"/>
      <c r="KUJ80" s="2329"/>
      <c r="KUK80" s="2329"/>
      <c r="KUL80" s="2329"/>
      <c r="KUM80" s="2329"/>
      <c r="KUN80" s="2329"/>
      <c r="KUO80" s="2329"/>
      <c r="KUP80" s="2329"/>
      <c r="KUQ80" s="2328"/>
      <c r="KUR80" s="2329"/>
      <c r="KUS80" s="2329"/>
      <c r="KUT80" s="2329"/>
      <c r="KUU80" s="2329"/>
      <c r="KUV80" s="2329"/>
      <c r="KUW80" s="2329"/>
      <c r="KUX80" s="2329"/>
      <c r="KUY80" s="2329"/>
      <c r="KUZ80" s="2329"/>
      <c r="KVA80" s="2329"/>
      <c r="KVB80" s="2329"/>
      <c r="KVC80" s="2329"/>
      <c r="KVD80" s="2329"/>
      <c r="KVE80" s="2329"/>
      <c r="KVF80" s="2329"/>
      <c r="KVG80" s="2328"/>
      <c r="KVH80" s="2329"/>
      <c r="KVI80" s="2329"/>
      <c r="KVJ80" s="2329"/>
      <c r="KVK80" s="2329"/>
      <c r="KVL80" s="2329"/>
      <c r="KVM80" s="2329"/>
      <c r="KVN80" s="2329"/>
      <c r="KVO80" s="2329"/>
      <c r="KVP80" s="2329"/>
      <c r="KVQ80" s="2329"/>
      <c r="KVR80" s="2329"/>
      <c r="KVS80" s="2329"/>
      <c r="KVT80" s="2329"/>
      <c r="KVU80" s="2329"/>
      <c r="KVV80" s="2329"/>
      <c r="KVW80" s="2328"/>
      <c r="KVX80" s="2329"/>
      <c r="KVY80" s="2329"/>
      <c r="KVZ80" s="2329"/>
      <c r="KWA80" s="2329"/>
      <c r="KWB80" s="2329"/>
      <c r="KWC80" s="2329"/>
      <c r="KWD80" s="2329"/>
      <c r="KWE80" s="2329"/>
      <c r="KWF80" s="2329"/>
      <c r="KWG80" s="2329"/>
      <c r="KWH80" s="2329"/>
      <c r="KWI80" s="2329"/>
      <c r="KWJ80" s="2329"/>
      <c r="KWK80" s="2329"/>
      <c r="KWL80" s="2329"/>
      <c r="KWM80" s="2328"/>
      <c r="KWN80" s="2329"/>
      <c r="KWO80" s="2329"/>
      <c r="KWP80" s="2329"/>
      <c r="KWQ80" s="2329"/>
      <c r="KWR80" s="2329"/>
      <c r="KWS80" s="2329"/>
      <c r="KWT80" s="2329"/>
      <c r="KWU80" s="2329"/>
      <c r="KWV80" s="2329"/>
      <c r="KWW80" s="2329"/>
      <c r="KWX80" s="2329"/>
      <c r="KWY80" s="2329"/>
      <c r="KWZ80" s="2329"/>
      <c r="KXA80" s="2329"/>
      <c r="KXB80" s="2329"/>
      <c r="KXC80" s="2328"/>
      <c r="KXD80" s="2329"/>
      <c r="KXE80" s="2329"/>
      <c r="KXF80" s="2329"/>
      <c r="KXG80" s="2329"/>
      <c r="KXH80" s="2329"/>
      <c r="KXI80" s="2329"/>
      <c r="KXJ80" s="2329"/>
      <c r="KXK80" s="2329"/>
      <c r="KXL80" s="2329"/>
      <c r="KXM80" s="2329"/>
      <c r="KXN80" s="2329"/>
      <c r="KXO80" s="2329"/>
      <c r="KXP80" s="2329"/>
      <c r="KXQ80" s="2329"/>
      <c r="KXR80" s="2329"/>
      <c r="KXS80" s="2328"/>
      <c r="KXT80" s="2329"/>
      <c r="KXU80" s="2329"/>
      <c r="KXV80" s="2329"/>
      <c r="KXW80" s="2329"/>
      <c r="KXX80" s="2329"/>
      <c r="KXY80" s="2329"/>
      <c r="KXZ80" s="2329"/>
      <c r="KYA80" s="2329"/>
      <c r="KYB80" s="2329"/>
      <c r="KYC80" s="2329"/>
      <c r="KYD80" s="2329"/>
      <c r="KYE80" s="2329"/>
      <c r="KYF80" s="2329"/>
      <c r="KYG80" s="2329"/>
      <c r="KYH80" s="2329"/>
      <c r="KYI80" s="2328"/>
      <c r="KYJ80" s="2329"/>
      <c r="KYK80" s="2329"/>
      <c r="KYL80" s="2329"/>
      <c r="KYM80" s="2329"/>
      <c r="KYN80" s="2329"/>
      <c r="KYO80" s="2329"/>
      <c r="KYP80" s="2329"/>
      <c r="KYQ80" s="2329"/>
      <c r="KYR80" s="2329"/>
      <c r="KYS80" s="2329"/>
      <c r="KYT80" s="2329"/>
      <c r="KYU80" s="2329"/>
      <c r="KYV80" s="2329"/>
      <c r="KYW80" s="2329"/>
      <c r="KYX80" s="2329"/>
      <c r="KYY80" s="2328"/>
      <c r="KYZ80" s="2329"/>
      <c r="KZA80" s="2329"/>
      <c r="KZB80" s="2329"/>
      <c r="KZC80" s="2329"/>
      <c r="KZD80" s="2329"/>
      <c r="KZE80" s="2329"/>
      <c r="KZF80" s="2329"/>
      <c r="KZG80" s="2329"/>
      <c r="KZH80" s="2329"/>
      <c r="KZI80" s="2329"/>
      <c r="KZJ80" s="2329"/>
      <c r="KZK80" s="2329"/>
      <c r="KZL80" s="2329"/>
      <c r="KZM80" s="2329"/>
      <c r="KZN80" s="2329"/>
      <c r="KZO80" s="2328"/>
      <c r="KZP80" s="2329"/>
      <c r="KZQ80" s="2329"/>
      <c r="KZR80" s="2329"/>
      <c r="KZS80" s="2329"/>
      <c r="KZT80" s="2329"/>
      <c r="KZU80" s="2329"/>
      <c r="KZV80" s="2329"/>
      <c r="KZW80" s="2329"/>
      <c r="KZX80" s="2329"/>
      <c r="KZY80" s="2329"/>
      <c r="KZZ80" s="2329"/>
      <c r="LAA80" s="2329"/>
      <c r="LAB80" s="2329"/>
      <c r="LAC80" s="2329"/>
      <c r="LAD80" s="2329"/>
      <c r="LAE80" s="2328"/>
      <c r="LAF80" s="2329"/>
      <c r="LAG80" s="2329"/>
      <c r="LAH80" s="2329"/>
      <c r="LAI80" s="2329"/>
      <c r="LAJ80" s="2329"/>
      <c r="LAK80" s="2329"/>
      <c r="LAL80" s="2329"/>
      <c r="LAM80" s="2329"/>
      <c r="LAN80" s="2329"/>
      <c r="LAO80" s="2329"/>
      <c r="LAP80" s="2329"/>
      <c r="LAQ80" s="2329"/>
      <c r="LAR80" s="2329"/>
      <c r="LAS80" s="2329"/>
      <c r="LAT80" s="2329"/>
      <c r="LAU80" s="2328"/>
      <c r="LAV80" s="2329"/>
      <c r="LAW80" s="2329"/>
      <c r="LAX80" s="2329"/>
      <c r="LAY80" s="2329"/>
      <c r="LAZ80" s="2329"/>
      <c r="LBA80" s="2329"/>
      <c r="LBB80" s="2329"/>
      <c r="LBC80" s="2329"/>
      <c r="LBD80" s="2329"/>
      <c r="LBE80" s="2329"/>
      <c r="LBF80" s="2329"/>
      <c r="LBG80" s="2329"/>
      <c r="LBH80" s="2329"/>
      <c r="LBI80" s="2329"/>
      <c r="LBJ80" s="2329"/>
      <c r="LBK80" s="2328"/>
      <c r="LBL80" s="2329"/>
      <c r="LBM80" s="2329"/>
      <c r="LBN80" s="2329"/>
      <c r="LBO80" s="2329"/>
      <c r="LBP80" s="2329"/>
      <c r="LBQ80" s="2329"/>
      <c r="LBR80" s="2329"/>
      <c r="LBS80" s="2329"/>
      <c r="LBT80" s="2329"/>
      <c r="LBU80" s="2329"/>
      <c r="LBV80" s="2329"/>
      <c r="LBW80" s="2329"/>
      <c r="LBX80" s="2329"/>
      <c r="LBY80" s="2329"/>
      <c r="LBZ80" s="2329"/>
      <c r="LCA80" s="2328"/>
      <c r="LCB80" s="2329"/>
      <c r="LCC80" s="2329"/>
      <c r="LCD80" s="2329"/>
      <c r="LCE80" s="2329"/>
      <c r="LCF80" s="2329"/>
      <c r="LCG80" s="2329"/>
      <c r="LCH80" s="2329"/>
      <c r="LCI80" s="2329"/>
      <c r="LCJ80" s="2329"/>
      <c r="LCK80" s="2329"/>
      <c r="LCL80" s="2329"/>
      <c r="LCM80" s="2329"/>
      <c r="LCN80" s="2329"/>
      <c r="LCO80" s="2329"/>
      <c r="LCP80" s="2329"/>
      <c r="LCQ80" s="2328"/>
      <c r="LCR80" s="2329"/>
      <c r="LCS80" s="2329"/>
      <c r="LCT80" s="2329"/>
      <c r="LCU80" s="2329"/>
      <c r="LCV80" s="2329"/>
      <c r="LCW80" s="2329"/>
      <c r="LCX80" s="2329"/>
      <c r="LCY80" s="2329"/>
      <c r="LCZ80" s="2329"/>
      <c r="LDA80" s="2329"/>
      <c r="LDB80" s="2329"/>
      <c r="LDC80" s="2329"/>
      <c r="LDD80" s="2329"/>
      <c r="LDE80" s="2329"/>
      <c r="LDF80" s="2329"/>
      <c r="LDG80" s="2328"/>
      <c r="LDH80" s="2329"/>
      <c r="LDI80" s="2329"/>
      <c r="LDJ80" s="2329"/>
      <c r="LDK80" s="2329"/>
      <c r="LDL80" s="2329"/>
      <c r="LDM80" s="2329"/>
      <c r="LDN80" s="2329"/>
      <c r="LDO80" s="2329"/>
      <c r="LDP80" s="2329"/>
      <c r="LDQ80" s="2329"/>
      <c r="LDR80" s="2329"/>
      <c r="LDS80" s="2329"/>
      <c r="LDT80" s="2329"/>
      <c r="LDU80" s="2329"/>
      <c r="LDV80" s="2329"/>
      <c r="LDW80" s="2328"/>
      <c r="LDX80" s="2329"/>
      <c r="LDY80" s="2329"/>
      <c r="LDZ80" s="2329"/>
      <c r="LEA80" s="2329"/>
      <c r="LEB80" s="2329"/>
      <c r="LEC80" s="2329"/>
      <c r="LED80" s="2329"/>
      <c r="LEE80" s="2329"/>
      <c r="LEF80" s="2329"/>
      <c r="LEG80" s="2329"/>
      <c r="LEH80" s="2329"/>
      <c r="LEI80" s="2329"/>
      <c r="LEJ80" s="2329"/>
      <c r="LEK80" s="2329"/>
      <c r="LEL80" s="2329"/>
      <c r="LEM80" s="2328"/>
      <c r="LEN80" s="2329"/>
      <c r="LEO80" s="2329"/>
      <c r="LEP80" s="2329"/>
      <c r="LEQ80" s="2329"/>
      <c r="LER80" s="2329"/>
      <c r="LES80" s="2329"/>
      <c r="LET80" s="2329"/>
      <c r="LEU80" s="2329"/>
      <c r="LEV80" s="2329"/>
      <c r="LEW80" s="2329"/>
      <c r="LEX80" s="2329"/>
      <c r="LEY80" s="2329"/>
      <c r="LEZ80" s="2329"/>
      <c r="LFA80" s="2329"/>
      <c r="LFB80" s="2329"/>
      <c r="LFC80" s="2328"/>
      <c r="LFD80" s="2329"/>
      <c r="LFE80" s="2329"/>
      <c r="LFF80" s="2329"/>
      <c r="LFG80" s="2329"/>
      <c r="LFH80" s="2329"/>
      <c r="LFI80" s="2329"/>
      <c r="LFJ80" s="2329"/>
      <c r="LFK80" s="2329"/>
      <c r="LFL80" s="2329"/>
      <c r="LFM80" s="2329"/>
      <c r="LFN80" s="2329"/>
      <c r="LFO80" s="2329"/>
      <c r="LFP80" s="2329"/>
      <c r="LFQ80" s="2329"/>
      <c r="LFR80" s="2329"/>
      <c r="LFS80" s="2328"/>
      <c r="LFT80" s="2329"/>
      <c r="LFU80" s="2329"/>
      <c r="LFV80" s="2329"/>
      <c r="LFW80" s="2329"/>
      <c r="LFX80" s="2329"/>
      <c r="LFY80" s="2329"/>
      <c r="LFZ80" s="2329"/>
      <c r="LGA80" s="2329"/>
      <c r="LGB80" s="2329"/>
      <c r="LGC80" s="2329"/>
      <c r="LGD80" s="2329"/>
      <c r="LGE80" s="2329"/>
      <c r="LGF80" s="2329"/>
      <c r="LGG80" s="2329"/>
      <c r="LGH80" s="2329"/>
      <c r="LGI80" s="2328"/>
      <c r="LGJ80" s="2329"/>
      <c r="LGK80" s="2329"/>
      <c r="LGL80" s="2329"/>
      <c r="LGM80" s="2329"/>
      <c r="LGN80" s="2329"/>
      <c r="LGO80" s="2329"/>
      <c r="LGP80" s="2329"/>
      <c r="LGQ80" s="2329"/>
      <c r="LGR80" s="2329"/>
      <c r="LGS80" s="2329"/>
      <c r="LGT80" s="2329"/>
      <c r="LGU80" s="2329"/>
      <c r="LGV80" s="2329"/>
      <c r="LGW80" s="2329"/>
      <c r="LGX80" s="2329"/>
      <c r="LGY80" s="2328"/>
      <c r="LGZ80" s="2329"/>
      <c r="LHA80" s="2329"/>
      <c r="LHB80" s="2329"/>
      <c r="LHC80" s="2329"/>
      <c r="LHD80" s="2329"/>
      <c r="LHE80" s="2329"/>
      <c r="LHF80" s="2329"/>
      <c r="LHG80" s="2329"/>
      <c r="LHH80" s="2329"/>
      <c r="LHI80" s="2329"/>
      <c r="LHJ80" s="2329"/>
      <c r="LHK80" s="2329"/>
      <c r="LHL80" s="2329"/>
      <c r="LHM80" s="2329"/>
      <c r="LHN80" s="2329"/>
      <c r="LHO80" s="2328"/>
      <c r="LHP80" s="2329"/>
      <c r="LHQ80" s="2329"/>
      <c r="LHR80" s="2329"/>
      <c r="LHS80" s="2329"/>
      <c r="LHT80" s="2329"/>
      <c r="LHU80" s="2329"/>
      <c r="LHV80" s="2329"/>
      <c r="LHW80" s="2329"/>
      <c r="LHX80" s="2329"/>
      <c r="LHY80" s="2329"/>
      <c r="LHZ80" s="2329"/>
      <c r="LIA80" s="2329"/>
      <c r="LIB80" s="2329"/>
      <c r="LIC80" s="2329"/>
      <c r="LID80" s="2329"/>
      <c r="LIE80" s="2328"/>
      <c r="LIF80" s="2329"/>
      <c r="LIG80" s="2329"/>
      <c r="LIH80" s="2329"/>
      <c r="LII80" s="2329"/>
      <c r="LIJ80" s="2329"/>
      <c r="LIK80" s="2329"/>
      <c r="LIL80" s="2329"/>
      <c r="LIM80" s="2329"/>
      <c r="LIN80" s="2329"/>
      <c r="LIO80" s="2329"/>
      <c r="LIP80" s="2329"/>
      <c r="LIQ80" s="2329"/>
      <c r="LIR80" s="2329"/>
      <c r="LIS80" s="2329"/>
      <c r="LIT80" s="2329"/>
      <c r="LIU80" s="2328"/>
      <c r="LIV80" s="2329"/>
      <c r="LIW80" s="2329"/>
      <c r="LIX80" s="2329"/>
      <c r="LIY80" s="2329"/>
      <c r="LIZ80" s="2329"/>
      <c r="LJA80" s="2329"/>
      <c r="LJB80" s="2329"/>
      <c r="LJC80" s="2329"/>
      <c r="LJD80" s="2329"/>
      <c r="LJE80" s="2329"/>
      <c r="LJF80" s="2329"/>
      <c r="LJG80" s="2329"/>
      <c r="LJH80" s="2329"/>
      <c r="LJI80" s="2329"/>
      <c r="LJJ80" s="2329"/>
      <c r="LJK80" s="2328"/>
      <c r="LJL80" s="2329"/>
      <c r="LJM80" s="2329"/>
      <c r="LJN80" s="2329"/>
      <c r="LJO80" s="2329"/>
      <c r="LJP80" s="2329"/>
      <c r="LJQ80" s="2329"/>
      <c r="LJR80" s="2329"/>
      <c r="LJS80" s="2329"/>
      <c r="LJT80" s="2329"/>
      <c r="LJU80" s="2329"/>
      <c r="LJV80" s="2329"/>
      <c r="LJW80" s="2329"/>
      <c r="LJX80" s="2329"/>
      <c r="LJY80" s="2329"/>
      <c r="LJZ80" s="2329"/>
      <c r="LKA80" s="2328"/>
      <c r="LKB80" s="2329"/>
      <c r="LKC80" s="2329"/>
      <c r="LKD80" s="2329"/>
      <c r="LKE80" s="2329"/>
      <c r="LKF80" s="2329"/>
      <c r="LKG80" s="2329"/>
      <c r="LKH80" s="2329"/>
      <c r="LKI80" s="2329"/>
      <c r="LKJ80" s="2329"/>
      <c r="LKK80" s="2329"/>
      <c r="LKL80" s="2329"/>
      <c r="LKM80" s="2329"/>
      <c r="LKN80" s="2329"/>
      <c r="LKO80" s="2329"/>
      <c r="LKP80" s="2329"/>
      <c r="LKQ80" s="2328"/>
      <c r="LKR80" s="2329"/>
      <c r="LKS80" s="2329"/>
      <c r="LKT80" s="2329"/>
      <c r="LKU80" s="2329"/>
      <c r="LKV80" s="2329"/>
      <c r="LKW80" s="2329"/>
      <c r="LKX80" s="2329"/>
      <c r="LKY80" s="2329"/>
      <c r="LKZ80" s="2329"/>
      <c r="LLA80" s="2329"/>
      <c r="LLB80" s="2329"/>
      <c r="LLC80" s="2329"/>
      <c r="LLD80" s="2329"/>
      <c r="LLE80" s="2329"/>
      <c r="LLF80" s="2329"/>
      <c r="LLG80" s="2328"/>
      <c r="LLH80" s="2329"/>
      <c r="LLI80" s="2329"/>
      <c r="LLJ80" s="2329"/>
      <c r="LLK80" s="2329"/>
      <c r="LLL80" s="2329"/>
      <c r="LLM80" s="2329"/>
      <c r="LLN80" s="2329"/>
      <c r="LLO80" s="2329"/>
      <c r="LLP80" s="2329"/>
      <c r="LLQ80" s="2329"/>
      <c r="LLR80" s="2329"/>
      <c r="LLS80" s="2329"/>
      <c r="LLT80" s="2329"/>
      <c r="LLU80" s="2329"/>
      <c r="LLV80" s="2329"/>
      <c r="LLW80" s="2328"/>
      <c r="LLX80" s="2329"/>
      <c r="LLY80" s="2329"/>
      <c r="LLZ80" s="2329"/>
      <c r="LMA80" s="2329"/>
      <c r="LMB80" s="2329"/>
      <c r="LMC80" s="2329"/>
      <c r="LMD80" s="2329"/>
      <c r="LME80" s="2329"/>
      <c r="LMF80" s="2329"/>
      <c r="LMG80" s="2329"/>
      <c r="LMH80" s="2329"/>
      <c r="LMI80" s="2329"/>
      <c r="LMJ80" s="2329"/>
      <c r="LMK80" s="2329"/>
      <c r="LML80" s="2329"/>
      <c r="LMM80" s="2328"/>
      <c r="LMN80" s="2329"/>
      <c r="LMO80" s="2329"/>
      <c r="LMP80" s="2329"/>
      <c r="LMQ80" s="2329"/>
      <c r="LMR80" s="2329"/>
      <c r="LMS80" s="2329"/>
      <c r="LMT80" s="2329"/>
      <c r="LMU80" s="2329"/>
      <c r="LMV80" s="2329"/>
      <c r="LMW80" s="2329"/>
      <c r="LMX80" s="2329"/>
      <c r="LMY80" s="2329"/>
      <c r="LMZ80" s="2329"/>
      <c r="LNA80" s="2329"/>
      <c r="LNB80" s="2329"/>
      <c r="LNC80" s="2328"/>
      <c r="LND80" s="2329"/>
      <c r="LNE80" s="2329"/>
      <c r="LNF80" s="2329"/>
      <c r="LNG80" s="2329"/>
      <c r="LNH80" s="2329"/>
      <c r="LNI80" s="2329"/>
      <c r="LNJ80" s="2329"/>
      <c r="LNK80" s="2329"/>
      <c r="LNL80" s="2329"/>
      <c r="LNM80" s="2329"/>
      <c r="LNN80" s="2329"/>
      <c r="LNO80" s="2329"/>
      <c r="LNP80" s="2329"/>
      <c r="LNQ80" s="2329"/>
      <c r="LNR80" s="2329"/>
      <c r="LNS80" s="2328"/>
      <c r="LNT80" s="2329"/>
      <c r="LNU80" s="2329"/>
      <c r="LNV80" s="2329"/>
      <c r="LNW80" s="2329"/>
      <c r="LNX80" s="2329"/>
      <c r="LNY80" s="2329"/>
      <c r="LNZ80" s="2329"/>
      <c r="LOA80" s="2329"/>
      <c r="LOB80" s="2329"/>
      <c r="LOC80" s="2329"/>
      <c r="LOD80" s="2329"/>
      <c r="LOE80" s="2329"/>
      <c r="LOF80" s="2329"/>
      <c r="LOG80" s="2329"/>
      <c r="LOH80" s="2329"/>
      <c r="LOI80" s="2328"/>
      <c r="LOJ80" s="2329"/>
      <c r="LOK80" s="2329"/>
      <c r="LOL80" s="2329"/>
      <c r="LOM80" s="2329"/>
      <c r="LON80" s="2329"/>
      <c r="LOO80" s="2329"/>
      <c r="LOP80" s="2329"/>
      <c r="LOQ80" s="2329"/>
      <c r="LOR80" s="2329"/>
      <c r="LOS80" s="2329"/>
      <c r="LOT80" s="2329"/>
      <c r="LOU80" s="2329"/>
      <c r="LOV80" s="2329"/>
      <c r="LOW80" s="2329"/>
      <c r="LOX80" s="2329"/>
      <c r="LOY80" s="2328"/>
      <c r="LOZ80" s="2329"/>
      <c r="LPA80" s="2329"/>
      <c r="LPB80" s="2329"/>
      <c r="LPC80" s="2329"/>
      <c r="LPD80" s="2329"/>
      <c r="LPE80" s="2329"/>
      <c r="LPF80" s="2329"/>
      <c r="LPG80" s="2329"/>
      <c r="LPH80" s="2329"/>
      <c r="LPI80" s="2329"/>
      <c r="LPJ80" s="2329"/>
      <c r="LPK80" s="2329"/>
      <c r="LPL80" s="2329"/>
      <c r="LPM80" s="2329"/>
      <c r="LPN80" s="2329"/>
      <c r="LPO80" s="2328"/>
      <c r="LPP80" s="2329"/>
      <c r="LPQ80" s="2329"/>
      <c r="LPR80" s="2329"/>
      <c r="LPS80" s="2329"/>
      <c r="LPT80" s="2329"/>
      <c r="LPU80" s="2329"/>
      <c r="LPV80" s="2329"/>
      <c r="LPW80" s="2329"/>
      <c r="LPX80" s="2329"/>
      <c r="LPY80" s="2329"/>
      <c r="LPZ80" s="2329"/>
      <c r="LQA80" s="2329"/>
      <c r="LQB80" s="2329"/>
      <c r="LQC80" s="2329"/>
      <c r="LQD80" s="2329"/>
      <c r="LQE80" s="2328"/>
      <c r="LQF80" s="2329"/>
      <c r="LQG80" s="2329"/>
      <c r="LQH80" s="2329"/>
      <c r="LQI80" s="2329"/>
      <c r="LQJ80" s="2329"/>
      <c r="LQK80" s="2329"/>
      <c r="LQL80" s="2329"/>
      <c r="LQM80" s="2329"/>
      <c r="LQN80" s="2329"/>
      <c r="LQO80" s="2329"/>
      <c r="LQP80" s="2329"/>
      <c r="LQQ80" s="2329"/>
      <c r="LQR80" s="2329"/>
      <c r="LQS80" s="2329"/>
      <c r="LQT80" s="2329"/>
      <c r="LQU80" s="2328"/>
      <c r="LQV80" s="2329"/>
      <c r="LQW80" s="2329"/>
      <c r="LQX80" s="2329"/>
      <c r="LQY80" s="2329"/>
      <c r="LQZ80" s="2329"/>
      <c r="LRA80" s="2329"/>
      <c r="LRB80" s="2329"/>
      <c r="LRC80" s="2329"/>
      <c r="LRD80" s="2329"/>
      <c r="LRE80" s="2329"/>
      <c r="LRF80" s="2329"/>
      <c r="LRG80" s="2329"/>
      <c r="LRH80" s="2329"/>
      <c r="LRI80" s="2329"/>
      <c r="LRJ80" s="2329"/>
      <c r="LRK80" s="2328"/>
      <c r="LRL80" s="2329"/>
      <c r="LRM80" s="2329"/>
      <c r="LRN80" s="2329"/>
      <c r="LRO80" s="2329"/>
      <c r="LRP80" s="2329"/>
      <c r="LRQ80" s="2329"/>
      <c r="LRR80" s="2329"/>
      <c r="LRS80" s="2329"/>
      <c r="LRT80" s="2329"/>
      <c r="LRU80" s="2329"/>
      <c r="LRV80" s="2329"/>
      <c r="LRW80" s="2329"/>
      <c r="LRX80" s="2329"/>
      <c r="LRY80" s="2329"/>
      <c r="LRZ80" s="2329"/>
      <c r="LSA80" s="2328"/>
      <c r="LSB80" s="2329"/>
      <c r="LSC80" s="2329"/>
      <c r="LSD80" s="2329"/>
      <c r="LSE80" s="2329"/>
      <c r="LSF80" s="2329"/>
      <c r="LSG80" s="2329"/>
      <c r="LSH80" s="2329"/>
      <c r="LSI80" s="2329"/>
      <c r="LSJ80" s="2329"/>
      <c r="LSK80" s="2329"/>
      <c r="LSL80" s="2329"/>
      <c r="LSM80" s="2329"/>
      <c r="LSN80" s="2329"/>
      <c r="LSO80" s="2329"/>
      <c r="LSP80" s="2329"/>
      <c r="LSQ80" s="2328"/>
      <c r="LSR80" s="2329"/>
      <c r="LSS80" s="2329"/>
      <c r="LST80" s="2329"/>
      <c r="LSU80" s="2329"/>
      <c r="LSV80" s="2329"/>
      <c r="LSW80" s="2329"/>
      <c r="LSX80" s="2329"/>
      <c r="LSY80" s="2329"/>
      <c r="LSZ80" s="2329"/>
      <c r="LTA80" s="2329"/>
      <c r="LTB80" s="2329"/>
      <c r="LTC80" s="2329"/>
      <c r="LTD80" s="2329"/>
      <c r="LTE80" s="2329"/>
      <c r="LTF80" s="2329"/>
      <c r="LTG80" s="2328"/>
      <c r="LTH80" s="2329"/>
      <c r="LTI80" s="2329"/>
      <c r="LTJ80" s="2329"/>
      <c r="LTK80" s="2329"/>
      <c r="LTL80" s="2329"/>
      <c r="LTM80" s="2329"/>
      <c r="LTN80" s="2329"/>
      <c r="LTO80" s="2329"/>
      <c r="LTP80" s="2329"/>
      <c r="LTQ80" s="2329"/>
      <c r="LTR80" s="2329"/>
      <c r="LTS80" s="2329"/>
      <c r="LTT80" s="2329"/>
      <c r="LTU80" s="2329"/>
      <c r="LTV80" s="2329"/>
      <c r="LTW80" s="2328"/>
      <c r="LTX80" s="2329"/>
      <c r="LTY80" s="2329"/>
      <c r="LTZ80" s="2329"/>
      <c r="LUA80" s="2329"/>
      <c r="LUB80" s="2329"/>
      <c r="LUC80" s="2329"/>
      <c r="LUD80" s="2329"/>
      <c r="LUE80" s="2329"/>
      <c r="LUF80" s="2329"/>
      <c r="LUG80" s="2329"/>
      <c r="LUH80" s="2329"/>
      <c r="LUI80" s="2329"/>
      <c r="LUJ80" s="2329"/>
      <c r="LUK80" s="2329"/>
      <c r="LUL80" s="2329"/>
      <c r="LUM80" s="2328"/>
      <c r="LUN80" s="2329"/>
      <c r="LUO80" s="2329"/>
      <c r="LUP80" s="2329"/>
      <c r="LUQ80" s="2329"/>
      <c r="LUR80" s="2329"/>
      <c r="LUS80" s="2329"/>
      <c r="LUT80" s="2329"/>
      <c r="LUU80" s="2329"/>
      <c r="LUV80" s="2329"/>
      <c r="LUW80" s="2329"/>
      <c r="LUX80" s="2329"/>
      <c r="LUY80" s="2329"/>
      <c r="LUZ80" s="2329"/>
      <c r="LVA80" s="2329"/>
      <c r="LVB80" s="2329"/>
      <c r="LVC80" s="2328"/>
      <c r="LVD80" s="2329"/>
      <c r="LVE80" s="2329"/>
      <c r="LVF80" s="2329"/>
      <c r="LVG80" s="2329"/>
      <c r="LVH80" s="2329"/>
      <c r="LVI80" s="2329"/>
      <c r="LVJ80" s="2329"/>
      <c r="LVK80" s="2329"/>
      <c r="LVL80" s="2329"/>
      <c r="LVM80" s="2329"/>
      <c r="LVN80" s="2329"/>
      <c r="LVO80" s="2329"/>
      <c r="LVP80" s="2329"/>
      <c r="LVQ80" s="2329"/>
      <c r="LVR80" s="2329"/>
      <c r="LVS80" s="2328"/>
      <c r="LVT80" s="2329"/>
      <c r="LVU80" s="2329"/>
      <c r="LVV80" s="2329"/>
      <c r="LVW80" s="2329"/>
      <c r="LVX80" s="2329"/>
      <c r="LVY80" s="2329"/>
      <c r="LVZ80" s="2329"/>
      <c r="LWA80" s="2329"/>
      <c r="LWB80" s="2329"/>
      <c r="LWC80" s="2329"/>
      <c r="LWD80" s="2329"/>
      <c r="LWE80" s="2329"/>
      <c r="LWF80" s="2329"/>
      <c r="LWG80" s="2329"/>
      <c r="LWH80" s="2329"/>
      <c r="LWI80" s="2328"/>
      <c r="LWJ80" s="2329"/>
      <c r="LWK80" s="2329"/>
      <c r="LWL80" s="2329"/>
      <c r="LWM80" s="2329"/>
      <c r="LWN80" s="2329"/>
      <c r="LWO80" s="2329"/>
      <c r="LWP80" s="2329"/>
      <c r="LWQ80" s="2329"/>
      <c r="LWR80" s="2329"/>
      <c r="LWS80" s="2329"/>
      <c r="LWT80" s="2329"/>
      <c r="LWU80" s="2329"/>
      <c r="LWV80" s="2329"/>
      <c r="LWW80" s="2329"/>
      <c r="LWX80" s="2329"/>
      <c r="LWY80" s="2328"/>
      <c r="LWZ80" s="2329"/>
      <c r="LXA80" s="2329"/>
      <c r="LXB80" s="2329"/>
      <c r="LXC80" s="2329"/>
      <c r="LXD80" s="2329"/>
      <c r="LXE80" s="2329"/>
      <c r="LXF80" s="2329"/>
      <c r="LXG80" s="2329"/>
      <c r="LXH80" s="2329"/>
      <c r="LXI80" s="2329"/>
      <c r="LXJ80" s="2329"/>
      <c r="LXK80" s="2329"/>
      <c r="LXL80" s="2329"/>
      <c r="LXM80" s="2329"/>
      <c r="LXN80" s="2329"/>
      <c r="LXO80" s="2328"/>
      <c r="LXP80" s="2329"/>
      <c r="LXQ80" s="2329"/>
      <c r="LXR80" s="2329"/>
      <c r="LXS80" s="2329"/>
      <c r="LXT80" s="2329"/>
      <c r="LXU80" s="2329"/>
      <c r="LXV80" s="2329"/>
      <c r="LXW80" s="2329"/>
      <c r="LXX80" s="2329"/>
      <c r="LXY80" s="2329"/>
      <c r="LXZ80" s="2329"/>
      <c r="LYA80" s="2329"/>
      <c r="LYB80" s="2329"/>
      <c r="LYC80" s="2329"/>
      <c r="LYD80" s="2329"/>
      <c r="LYE80" s="2328"/>
      <c r="LYF80" s="2329"/>
      <c r="LYG80" s="2329"/>
      <c r="LYH80" s="2329"/>
      <c r="LYI80" s="2329"/>
      <c r="LYJ80" s="2329"/>
      <c r="LYK80" s="2329"/>
      <c r="LYL80" s="2329"/>
      <c r="LYM80" s="2329"/>
      <c r="LYN80" s="2329"/>
      <c r="LYO80" s="2329"/>
      <c r="LYP80" s="2329"/>
      <c r="LYQ80" s="2329"/>
      <c r="LYR80" s="2329"/>
      <c r="LYS80" s="2329"/>
      <c r="LYT80" s="2329"/>
      <c r="LYU80" s="2328"/>
      <c r="LYV80" s="2329"/>
      <c r="LYW80" s="2329"/>
      <c r="LYX80" s="2329"/>
      <c r="LYY80" s="2329"/>
      <c r="LYZ80" s="2329"/>
      <c r="LZA80" s="2329"/>
      <c r="LZB80" s="2329"/>
      <c r="LZC80" s="2329"/>
      <c r="LZD80" s="2329"/>
      <c r="LZE80" s="2329"/>
      <c r="LZF80" s="2329"/>
      <c r="LZG80" s="2329"/>
      <c r="LZH80" s="2329"/>
      <c r="LZI80" s="2329"/>
      <c r="LZJ80" s="2329"/>
      <c r="LZK80" s="2328"/>
      <c r="LZL80" s="2329"/>
      <c r="LZM80" s="2329"/>
      <c r="LZN80" s="2329"/>
      <c r="LZO80" s="2329"/>
      <c r="LZP80" s="2329"/>
      <c r="LZQ80" s="2329"/>
      <c r="LZR80" s="2329"/>
      <c r="LZS80" s="2329"/>
      <c r="LZT80" s="2329"/>
      <c r="LZU80" s="2329"/>
      <c r="LZV80" s="2329"/>
      <c r="LZW80" s="2329"/>
      <c r="LZX80" s="2329"/>
      <c r="LZY80" s="2329"/>
      <c r="LZZ80" s="2329"/>
      <c r="MAA80" s="2328"/>
      <c r="MAB80" s="2329"/>
      <c r="MAC80" s="2329"/>
      <c r="MAD80" s="2329"/>
      <c r="MAE80" s="2329"/>
      <c r="MAF80" s="2329"/>
      <c r="MAG80" s="2329"/>
      <c r="MAH80" s="2329"/>
      <c r="MAI80" s="2329"/>
      <c r="MAJ80" s="2329"/>
      <c r="MAK80" s="2329"/>
      <c r="MAL80" s="2329"/>
      <c r="MAM80" s="2329"/>
      <c r="MAN80" s="2329"/>
      <c r="MAO80" s="2329"/>
      <c r="MAP80" s="2329"/>
      <c r="MAQ80" s="2328"/>
      <c r="MAR80" s="2329"/>
      <c r="MAS80" s="2329"/>
      <c r="MAT80" s="2329"/>
      <c r="MAU80" s="2329"/>
      <c r="MAV80" s="2329"/>
      <c r="MAW80" s="2329"/>
      <c r="MAX80" s="2329"/>
      <c r="MAY80" s="2329"/>
      <c r="MAZ80" s="2329"/>
      <c r="MBA80" s="2329"/>
      <c r="MBB80" s="2329"/>
      <c r="MBC80" s="2329"/>
      <c r="MBD80" s="2329"/>
      <c r="MBE80" s="2329"/>
      <c r="MBF80" s="2329"/>
      <c r="MBG80" s="2328"/>
      <c r="MBH80" s="2329"/>
      <c r="MBI80" s="2329"/>
      <c r="MBJ80" s="2329"/>
      <c r="MBK80" s="2329"/>
      <c r="MBL80" s="2329"/>
      <c r="MBM80" s="2329"/>
      <c r="MBN80" s="2329"/>
      <c r="MBO80" s="2329"/>
      <c r="MBP80" s="2329"/>
      <c r="MBQ80" s="2329"/>
      <c r="MBR80" s="2329"/>
      <c r="MBS80" s="2329"/>
      <c r="MBT80" s="2329"/>
      <c r="MBU80" s="2329"/>
      <c r="MBV80" s="2329"/>
      <c r="MBW80" s="2328"/>
      <c r="MBX80" s="2329"/>
      <c r="MBY80" s="2329"/>
      <c r="MBZ80" s="2329"/>
      <c r="MCA80" s="2329"/>
      <c r="MCB80" s="2329"/>
      <c r="MCC80" s="2329"/>
      <c r="MCD80" s="2329"/>
      <c r="MCE80" s="2329"/>
      <c r="MCF80" s="2329"/>
      <c r="MCG80" s="2329"/>
      <c r="MCH80" s="2329"/>
      <c r="MCI80" s="2329"/>
      <c r="MCJ80" s="2329"/>
      <c r="MCK80" s="2329"/>
      <c r="MCL80" s="2329"/>
      <c r="MCM80" s="2328"/>
      <c r="MCN80" s="2329"/>
      <c r="MCO80" s="2329"/>
      <c r="MCP80" s="2329"/>
      <c r="MCQ80" s="2329"/>
      <c r="MCR80" s="2329"/>
      <c r="MCS80" s="2329"/>
      <c r="MCT80" s="2329"/>
      <c r="MCU80" s="2329"/>
      <c r="MCV80" s="2329"/>
      <c r="MCW80" s="2329"/>
      <c r="MCX80" s="2329"/>
      <c r="MCY80" s="2329"/>
      <c r="MCZ80" s="2329"/>
      <c r="MDA80" s="2329"/>
      <c r="MDB80" s="2329"/>
      <c r="MDC80" s="2328"/>
      <c r="MDD80" s="2329"/>
      <c r="MDE80" s="2329"/>
      <c r="MDF80" s="2329"/>
      <c r="MDG80" s="2329"/>
      <c r="MDH80" s="2329"/>
      <c r="MDI80" s="2329"/>
      <c r="MDJ80" s="2329"/>
      <c r="MDK80" s="2329"/>
      <c r="MDL80" s="2329"/>
      <c r="MDM80" s="2329"/>
      <c r="MDN80" s="2329"/>
      <c r="MDO80" s="2329"/>
      <c r="MDP80" s="2329"/>
      <c r="MDQ80" s="2329"/>
      <c r="MDR80" s="2329"/>
      <c r="MDS80" s="2328"/>
      <c r="MDT80" s="2329"/>
      <c r="MDU80" s="2329"/>
      <c r="MDV80" s="2329"/>
      <c r="MDW80" s="2329"/>
      <c r="MDX80" s="2329"/>
      <c r="MDY80" s="2329"/>
      <c r="MDZ80" s="2329"/>
      <c r="MEA80" s="2329"/>
      <c r="MEB80" s="2329"/>
      <c r="MEC80" s="2329"/>
      <c r="MED80" s="2329"/>
      <c r="MEE80" s="2329"/>
      <c r="MEF80" s="2329"/>
      <c r="MEG80" s="2329"/>
      <c r="MEH80" s="2329"/>
      <c r="MEI80" s="2328"/>
      <c r="MEJ80" s="2329"/>
      <c r="MEK80" s="2329"/>
      <c r="MEL80" s="2329"/>
      <c r="MEM80" s="2329"/>
      <c r="MEN80" s="2329"/>
      <c r="MEO80" s="2329"/>
      <c r="MEP80" s="2329"/>
      <c r="MEQ80" s="2329"/>
      <c r="MER80" s="2329"/>
      <c r="MES80" s="2329"/>
      <c r="MET80" s="2329"/>
      <c r="MEU80" s="2329"/>
      <c r="MEV80" s="2329"/>
      <c r="MEW80" s="2329"/>
      <c r="MEX80" s="2329"/>
      <c r="MEY80" s="2328"/>
      <c r="MEZ80" s="2329"/>
      <c r="MFA80" s="2329"/>
      <c r="MFB80" s="2329"/>
      <c r="MFC80" s="2329"/>
      <c r="MFD80" s="2329"/>
      <c r="MFE80" s="2329"/>
      <c r="MFF80" s="2329"/>
      <c r="MFG80" s="2329"/>
      <c r="MFH80" s="2329"/>
      <c r="MFI80" s="2329"/>
      <c r="MFJ80" s="2329"/>
      <c r="MFK80" s="2329"/>
      <c r="MFL80" s="2329"/>
      <c r="MFM80" s="2329"/>
      <c r="MFN80" s="2329"/>
      <c r="MFO80" s="2328"/>
      <c r="MFP80" s="2329"/>
      <c r="MFQ80" s="2329"/>
      <c r="MFR80" s="2329"/>
      <c r="MFS80" s="2329"/>
      <c r="MFT80" s="2329"/>
      <c r="MFU80" s="2329"/>
      <c r="MFV80" s="2329"/>
      <c r="MFW80" s="2329"/>
      <c r="MFX80" s="2329"/>
      <c r="MFY80" s="2329"/>
      <c r="MFZ80" s="2329"/>
      <c r="MGA80" s="2329"/>
      <c r="MGB80" s="2329"/>
      <c r="MGC80" s="2329"/>
      <c r="MGD80" s="2329"/>
      <c r="MGE80" s="2328"/>
      <c r="MGF80" s="2329"/>
      <c r="MGG80" s="2329"/>
      <c r="MGH80" s="2329"/>
      <c r="MGI80" s="2329"/>
      <c r="MGJ80" s="2329"/>
      <c r="MGK80" s="2329"/>
      <c r="MGL80" s="2329"/>
      <c r="MGM80" s="2329"/>
      <c r="MGN80" s="2329"/>
      <c r="MGO80" s="2329"/>
      <c r="MGP80" s="2329"/>
      <c r="MGQ80" s="2329"/>
      <c r="MGR80" s="2329"/>
      <c r="MGS80" s="2329"/>
      <c r="MGT80" s="2329"/>
      <c r="MGU80" s="2328"/>
      <c r="MGV80" s="2329"/>
      <c r="MGW80" s="2329"/>
      <c r="MGX80" s="2329"/>
      <c r="MGY80" s="2329"/>
      <c r="MGZ80" s="2329"/>
      <c r="MHA80" s="2329"/>
      <c r="MHB80" s="2329"/>
      <c r="MHC80" s="2329"/>
      <c r="MHD80" s="2329"/>
      <c r="MHE80" s="2329"/>
      <c r="MHF80" s="2329"/>
      <c r="MHG80" s="2329"/>
      <c r="MHH80" s="2329"/>
      <c r="MHI80" s="2329"/>
      <c r="MHJ80" s="2329"/>
      <c r="MHK80" s="2328"/>
      <c r="MHL80" s="2329"/>
      <c r="MHM80" s="2329"/>
      <c r="MHN80" s="2329"/>
      <c r="MHO80" s="2329"/>
      <c r="MHP80" s="2329"/>
      <c r="MHQ80" s="2329"/>
      <c r="MHR80" s="2329"/>
      <c r="MHS80" s="2329"/>
      <c r="MHT80" s="2329"/>
      <c r="MHU80" s="2329"/>
      <c r="MHV80" s="2329"/>
      <c r="MHW80" s="2329"/>
      <c r="MHX80" s="2329"/>
      <c r="MHY80" s="2329"/>
      <c r="MHZ80" s="2329"/>
      <c r="MIA80" s="2328"/>
      <c r="MIB80" s="2329"/>
      <c r="MIC80" s="2329"/>
      <c r="MID80" s="2329"/>
      <c r="MIE80" s="2329"/>
      <c r="MIF80" s="2329"/>
      <c r="MIG80" s="2329"/>
      <c r="MIH80" s="2329"/>
      <c r="MII80" s="2329"/>
      <c r="MIJ80" s="2329"/>
      <c r="MIK80" s="2329"/>
      <c r="MIL80" s="2329"/>
      <c r="MIM80" s="2329"/>
      <c r="MIN80" s="2329"/>
      <c r="MIO80" s="2329"/>
      <c r="MIP80" s="2329"/>
      <c r="MIQ80" s="2328"/>
      <c r="MIR80" s="2329"/>
      <c r="MIS80" s="2329"/>
      <c r="MIT80" s="2329"/>
      <c r="MIU80" s="2329"/>
      <c r="MIV80" s="2329"/>
      <c r="MIW80" s="2329"/>
      <c r="MIX80" s="2329"/>
      <c r="MIY80" s="2329"/>
      <c r="MIZ80" s="2329"/>
      <c r="MJA80" s="2329"/>
      <c r="MJB80" s="2329"/>
      <c r="MJC80" s="2329"/>
      <c r="MJD80" s="2329"/>
      <c r="MJE80" s="2329"/>
      <c r="MJF80" s="2329"/>
      <c r="MJG80" s="2328"/>
      <c r="MJH80" s="2329"/>
      <c r="MJI80" s="2329"/>
      <c r="MJJ80" s="2329"/>
      <c r="MJK80" s="2329"/>
      <c r="MJL80" s="2329"/>
      <c r="MJM80" s="2329"/>
      <c r="MJN80" s="2329"/>
      <c r="MJO80" s="2329"/>
      <c r="MJP80" s="2329"/>
      <c r="MJQ80" s="2329"/>
      <c r="MJR80" s="2329"/>
      <c r="MJS80" s="2329"/>
      <c r="MJT80" s="2329"/>
      <c r="MJU80" s="2329"/>
      <c r="MJV80" s="2329"/>
      <c r="MJW80" s="2328"/>
      <c r="MJX80" s="2329"/>
      <c r="MJY80" s="2329"/>
      <c r="MJZ80" s="2329"/>
      <c r="MKA80" s="2329"/>
      <c r="MKB80" s="2329"/>
      <c r="MKC80" s="2329"/>
      <c r="MKD80" s="2329"/>
      <c r="MKE80" s="2329"/>
      <c r="MKF80" s="2329"/>
      <c r="MKG80" s="2329"/>
      <c r="MKH80" s="2329"/>
      <c r="MKI80" s="2329"/>
      <c r="MKJ80" s="2329"/>
      <c r="MKK80" s="2329"/>
      <c r="MKL80" s="2329"/>
      <c r="MKM80" s="2328"/>
      <c r="MKN80" s="2329"/>
      <c r="MKO80" s="2329"/>
      <c r="MKP80" s="2329"/>
      <c r="MKQ80" s="2329"/>
      <c r="MKR80" s="2329"/>
      <c r="MKS80" s="2329"/>
      <c r="MKT80" s="2329"/>
      <c r="MKU80" s="2329"/>
      <c r="MKV80" s="2329"/>
      <c r="MKW80" s="2329"/>
      <c r="MKX80" s="2329"/>
      <c r="MKY80" s="2329"/>
      <c r="MKZ80" s="2329"/>
      <c r="MLA80" s="2329"/>
      <c r="MLB80" s="2329"/>
      <c r="MLC80" s="2328"/>
      <c r="MLD80" s="2329"/>
      <c r="MLE80" s="2329"/>
      <c r="MLF80" s="2329"/>
      <c r="MLG80" s="2329"/>
      <c r="MLH80" s="2329"/>
      <c r="MLI80" s="2329"/>
      <c r="MLJ80" s="2329"/>
      <c r="MLK80" s="2329"/>
      <c r="MLL80" s="2329"/>
      <c r="MLM80" s="2329"/>
      <c r="MLN80" s="2329"/>
      <c r="MLO80" s="2329"/>
      <c r="MLP80" s="2329"/>
      <c r="MLQ80" s="2329"/>
      <c r="MLR80" s="2329"/>
      <c r="MLS80" s="2328"/>
      <c r="MLT80" s="2329"/>
      <c r="MLU80" s="2329"/>
      <c r="MLV80" s="2329"/>
      <c r="MLW80" s="2329"/>
      <c r="MLX80" s="2329"/>
      <c r="MLY80" s="2329"/>
      <c r="MLZ80" s="2329"/>
      <c r="MMA80" s="2329"/>
      <c r="MMB80" s="2329"/>
      <c r="MMC80" s="2329"/>
      <c r="MMD80" s="2329"/>
      <c r="MME80" s="2329"/>
      <c r="MMF80" s="2329"/>
      <c r="MMG80" s="2329"/>
      <c r="MMH80" s="2329"/>
      <c r="MMI80" s="2328"/>
      <c r="MMJ80" s="2329"/>
      <c r="MMK80" s="2329"/>
      <c r="MML80" s="2329"/>
      <c r="MMM80" s="2329"/>
      <c r="MMN80" s="2329"/>
      <c r="MMO80" s="2329"/>
      <c r="MMP80" s="2329"/>
      <c r="MMQ80" s="2329"/>
      <c r="MMR80" s="2329"/>
      <c r="MMS80" s="2329"/>
      <c r="MMT80" s="2329"/>
      <c r="MMU80" s="2329"/>
      <c r="MMV80" s="2329"/>
      <c r="MMW80" s="2329"/>
      <c r="MMX80" s="2329"/>
      <c r="MMY80" s="2328"/>
      <c r="MMZ80" s="2329"/>
      <c r="MNA80" s="2329"/>
      <c r="MNB80" s="2329"/>
      <c r="MNC80" s="2329"/>
      <c r="MND80" s="2329"/>
      <c r="MNE80" s="2329"/>
      <c r="MNF80" s="2329"/>
      <c r="MNG80" s="2329"/>
      <c r="MNH80" s="2329"/>
      <c r="MNI80" s="2329"/>
      <c r="MNJ80" s="2329"/>
      <c r="MNK80" s="2329"/>
      <c r="MNL80" s="2329"/>
      <c r="MNM80" s="2329"/>
      <c r="MNN80" s="2329"/>
      <c r="MNO80" s="2328"/>
      <c r="MNP80" s="2329"/>
      <c r="MNQ80" s="2329"/>
      <c r="MNR80" s="2329"/>
      <c r="MNS80" s="2329"/>
      <c r="MNT80" s="2329"/>
      <c r="MNU80" s="2329"/>
      <c r="MNV80" s="2329"/>
      <c r="MNW80" s="2329"/>
      <c r="MNX80" s="2329"/>
      <c r="MNY80" s="2329"/>
      <c r="MNZ80" s="2329"/>
      <c r="MOA80" s="2329"/>
      <c r="MOB80" s="2329"/>
      <c r="MOC80" s="2329"/>
      <c r="MOD80" s="2329"/>
      <c r="MOE80" s="2328"/>
      <c r="MOF80" s="2329"/>
      <c r="MOG80" s="2329"/>
      <c r="MOH80" s="2329"/>
      <c r="MOI80" s="2329"/>
      <c r="MOJ80" s="2329"/>
      <c r="MOK80" s="2329"/>
      <c r="MOL80" s="2329"/>
      <c r="MOM80" s="2329"/>
      <c r="MON80" s="2329"/>
      <c r="MOO80" s="2329"/>
      <c r="MOP80" s="2329"/>
      <c r="MOQ80" s="2329"/>
      <c r="MOR80" s="2329"/>
      <c r="MOS80" s="2329"/>
      <c r="MOT80" s="2329"/>
      <c r="MOU80" s="2328"/>
      <c r="MOV80" s="2329"/>
      <c r="MOW80" s="2329"/>
      <c r="MOX80" s="2329"/>
      <c r="MOY80" s="2329"/>
      <c r="MOZ80" s="2329"/>
      <c r="MPA80" s="2329"/>
      <c r="MPB80" s="2329"/>
      <c r="MPC80" s="2329"/>
      <c r="MPD80" s="2329"/>
      <c r="MPE80" s="2329"/>
      <c r="MPF80" s="2329"/>
      <c r="MPG80" s="2329"/>
      <c r="MPH80" s="2329"/>
      <c r="MPI80" s="2329"/>
      <c r="MPJ80" s="2329"/>
      <c r="MPK80" s="2328"/>
      <c r="MPL80" s="2329"/>
      <c r="MPM80" s="2329"/>
      <c r="MPN80" s="2329"/>
      <c r="MPO80" s="2329"/>
      <c r="MPP80" s="2329"/>
      <c r="MPQ80" s="2329"/>
      <c r="MPR80" s="2329"/>
      <c r="MPS80" s="2329"/>
      <c r="MPT80" s="2329"/>
      <c r="MPU80" s="2329"/>
      <c r="MPV80" s="2329"/>
      <c r="MPW80" s="2329"/>
      <c r="MPX80" s="2329"/>
      <c r="MPY80" s="2329"/>
      <c r="MPZ80" s="2329"/>
      <c r="MQA80" s="2328"/>
      <c r="MQB80" s="2329"/>
      <c r="MQC80" s="2329"/>
      <c r="MQD80" s="2329"/>
      <c r="MQE80" s="2329"/>
      <c r="MQF80" s="2329"/>
      <c r="MQG80" s="2329"/>
      <c r="MQH80" s="2329"/>
      <c r="MQI80" s="2329"/>
      <c r="MQJ80" s="2329"/>
      <c r="MQK80" s="2329"/>
      <c r="MQL80" s="2329"/>
      <c r="MQM80" s="2329"/>
      <c r="MQN80" s="2329"/>
      <c r="MQO80" s="2329"/>
      <c r="MQP80" s="2329"/>
      <c r="MQQ80" s="2328"/>
      <c r="MQR80" s="2329"/>
      <c r="MQS80" s="2329"/>
      <c r="MQT80" s="2329"/>
      <c r="MQU80" s="2329"/>
      <c r="MQV80" s="2329"/>
      <c r="MQW80" s="2329"/>
      <c r="MQX80" s="2329"/>
      <c r="MQY80" s="2329"/>
      <c r="MQZ80" s="2329"/>
      <c r="MRA80" s="2329"/>
      <c r="MRB80" s="2329"/>
      <c r="MRC80" s="2329"/>
      <c r="MRD80" s="2329"/>
      <c r="MRE80" s="2329"/>
      <c r="MRF80" s="2329"/>
      <c r="MRG80" s="2328"/>
      <c r="MRH80" s="2329"/>
      <c r="MRI80" s="2329"/>
      <c r="MRJ80" s="2329"/>
      <c r="MRK80" s="2329"/>
      <c r="MRL80" s="2329"/>
      <c r="MRM80" s="2329"/>
      <c r="MRN80" s="2329"/>
      <c r="MRO80" s="2329"/>
      <c r="MRP80" s="2329"/>
      <c r="MRQ80" s="2329"/>
      <c r="MRR80" s="2329"/>
      <c r="MRS80" s="2329"/>
      <c r="MRT80" s="2329"/>
      <c r="MRU80" s="2329"/>
      <c r="MRV80" s="2329"/>
      <c r="MRW80" s="2328"/>
      <c r="MRX80" s="2329"/>
      <c r="MRY80" s="2329"/>
      <c r="MRZ80" s="2329"/>
      <c r="MSA80" s="2329"/>
      <c r="MSB80" s="2329"/>
      <c r="MSC80" s="2329"/>
      <c r="MSD80" s="2329"/>
      <c r="MSE80" s="2329"/>
      <c r="MSF80" s="2329"/>
      <c r="MSG80" s="2329"/>
      <c r="MSH80" s="2329"/>
      <c r="MSI80" s="2329"/>
      <c r="MSJ80" s="2329"/>
      <c r="MSK80" s="2329"/>
      <c r="MSL80" s="2329"/>
      <c r="MSM80" s="2328"/>
      <c r="MSN80" s="2329"/>
      <c r="MSO80" s="2329"/>
      <c r="MSP80" s="2329"/>
      <c r="MSQ80" s="2329"/>
      <c r="MSR80" s="2329"/>
      <c r="MSS80" s="2329"/>
      <c r="MST80" s="2329"/>
      <c r="MSU80" s="2329"/>
      <c r="MSV80" s="2329"/>
      <c r="MSW80" s="2329"/>
      <c r="MSX80" s="2329"/>
      <c r="MSY80" s="2329"/>
      <c r="MSZ80" s="2329"/>
      <c r="MTA80" s="2329"/>
      <c r="MTB80" s="2329"/>
      <c r="MTC80" s="2328"/>
      <c r="MTD80" s="2329"/>
      <c r="MTE80" s="2329"/>
      <c r="MTF80" s="2329"/>
      <c r="MTG80" s="2329"/>
      <c r="MTH80" s="2329"/>
      <c r="MTI80" s="2329"/>
      <c r="MTJ80" s="2329"/>
      <c r="MTK80" s="2329"/>
      <c r="MTL80" s="2329"/>
      <c r="MTM80" s="2329"/>
      <c r="MTN80" s="2329"/>
      <c r="MTO80" s="2329"/>
      <c r="MTP80" s="2329"/>
      <c r="MTQ80" s="2329"/>
      <c r="MTR80" s="2329"/>
      <c r="MTS80" s="2328"/>
      <c r="MTT80" s="2329"/>
      <c r="MTU80" s="2329"/>
      <c r="MTV80" s="2329"/>
      <c r="MTW80" s="2329"/>
      <c r="MTX80" s="2329"/>
      <c r="MTY80" s="2329"/>
      <c r="MTZ80" s="2329"/>
      <c r="MUA80" s="2329"/>
      <c r="MUB80" s="2329"/>
      <c r="MUC80" s="2329"/>
      <c r="MUD80" s="2329"/>
      <c r="MUE80" s="2329"/>
      <c r="MUF80" s="2329"/>
      <c r="MUG80" s="2329"/>
      <c r="MUH80" s="2329"/>
      <c r="MUI80" s="2328"/>
      <c r="MUJ80" s="2329"/>
      <c r="MUK80" s="2329"/>
      <c r="MUL80" s="2329"/>
      <c r="MUM80" s="2329"/>
      <c r="MUN80" s="2329"/>
      <c r="MUO80" s="2329"/>
      <c r="MUP80" s="2329"/>
      <c r="MUQ80" s="2329"/>
      <c r="MUR80" s="2329"/>
      <c r="MUS80" s="2329"/>
      <c r="MUT80" s="2329"/>
      <c r="MUU80" s="2329"/>
      <c r="MUV80" s="2329"/>
      <c r="MUW80" s="2329"/>
      <c r="MUX80" s="2329"/>
      <c r="MUY80" s="2328"/>
      <c r="MUZ80" s="2329"/>
      <c r="MVA80" s="2329"/>
      <c r="MVB80" s="2329"/>
      <c r="MVC80" s="2329"/>
      <c r="MVD80" s="2329"/>
      <c r="MVE80" s="2329"/>
      <c r="MVF80" s="2329"/>
      <c r="MVG80" s="2329"/>
      <c r="MVH80" s="2329"/>
      <c r="MVI80" s="2329"/>
      <c r="MVJ80" s="2329"/>
      <c r="MVK80" s="2329"/>
      <c r="MVL80" s="2329"/>
      <c r="MVM80" s="2329"/>
      <c r="MVN80" s="2329"/>
      <c r="MVO80" s="2328"/>
      <c r="MVP80" s="2329"/>
      <c r="MVQ80" s="2329"/>
      <c r="MVR80" s="2329"/>
      <c r="MVS80" s="2329"/>
      <c r="MVT80" s="2329"/>
      <c r="MVU80" s="2329"/>
      <c r="MVV80" s="2329"/>
      <c r="MVW80" s="2329"/>
      <c r="MVX80" s="2329"/>
      <c r="MVY80" s="2329"/>
      <c r="MVZ80" s="2329"/>
      <c r="MWA80" s="2329"/>
      <c r="MWB80" s="2329"/>
      <c r="MWC80" s="2329"/>
      <c r="MWD80" s="2329"/>
      <c r="MWE80" s="2328"/>
      <c r="MWF80" s="2329"/>
      <c r="MWG80" s="2329"/>
      <c r="MWH80" s="2329"/>
      <c r="MWI80" s="2329"/>
      <c r="MWJ80" s="2329"/>
      <c r="MWK80" s="2329"/>
      <c r="MWL80" s="2329"/>
      <c r="MWM80" s="2329"/>
      <c r="MWN80" s="2329"/>
      <c r="MWO80" s="2329"/>
      <c r="MWP80" s="2329"/>
      <c r="MWQ80" s="2329"/>
      <c r="MWR80" s="2329"/>
      <c r="MWS80" s="2329"/>
      <c r="MWT80" s="2329"/>
      <c r="MWU80" s="2328"/>
      <c r="MWV80" s="2329"/>
      <c r="MWW80" s="2329"/>
      <c r="MWX80" s="2329"/>
      <c r="MWY80" s="2329"/>
      <c r="MWZ80" s="2329"/>
      <c r="MXA80" s="2329"/>
      <c r="MXB80" s="2329"/>
      <c r="MXC80" s="2329"/>
      <c r="MXD80" s="2329"/>
      <c r="MXE80" s="2329"/>
      <c r="MXF80" s="2329"/>
      <c r="MXG80" s="2329"/>
      <c r="MXH80" s="2329"/>
      <c r="MXI80" s="2329"/>
      <c r="MXJ80" s="2329"/>
      <c r="MXK80" s="2328"/>
      <c r="MXL80" s="2329"/>
      <c r="MXM80" s="2329"/>
      <c r="MXN80" s="2329"/>
      <c r="MXO80" s="2329"/>
      <c r="MXP80" s="2329"/>
      <c r="MXQ80" s="2329"/>
      <c r="MXR80" s="2329"/>
      <c r="MXS80" s="2329"/>
      <c r="MXT80" s="2329"/>
      <c r="MXU80" s="2329"/>
      <c r="MXV80" s="2329"/>
      <c r="MXW80" s="2329"/>
      <c r="MXX80" s="2329"/>
      <c r="MXY80" s="2329"/>
      <c r="MXZ80" s="2329"/>
      <c r="MYA80" s="2328"/>
      <c r="MYB80" s="2329"/>
      <c r="MYC80" s="2329"/>
      <c r="MYD80" s="2329"/>
      <c r="MYE80" s="2329"/>
      <c r="MYF80" s="2329"/>
      <c r="MYG80" s="2329"/>
      <c r="MYH80" s="2329"/>
      <c r="MYI80" s="2329"/>
      <c r="MYJ80" s="2329"/>
      <c r="MYK80" s="2329"/>
      <c r="MYL80" s="2329"/>
      <c r="MYM80" s="2329"/>
      <c r="MYN80" s="2329"/>
      <c r="MYO80" s="2329"/>
      <c r="MYP80" s="2329"/>
      <c r="MYQ80" s="2328"/>
      <c r="MYR80" s="2329"/>
      <c r="MYS80" s="2329"/>
      <c r="MYT80" s="2329"/>
      <c r="MYU80" s="2329"/>
      <c r="MYV80" s="2329"/>
      <c r="MYW80" s="2329"/>
      <c r="MYX80" s="2329"/>
      <c r="MYY80" s="2329"/>
      <c r="MYZ80" s="2329"/>
      <c r="MZA80" s="2329"/>
      <c r="MZB80" s="2329"/>
      <c r="MZC80" s="2329"/>
      <c r="MZD80" s="2329"/>
      <c r="MZE80" s="2329"/>
      <c r="MZF80" s="2329"/>
      <c r="MZG80" s="2328"/>
      <c r="MZH80" s="2329"/>
      <c r="MZI80" s="2329"/>
      <c r="MZJ80" s="2329"/>
      <c r="MZK80" s="2329"/>
      <c r="MZL80" s="2329"/>
      <c r="MZM80" s="2329"/>
      <c r="MZN80" s="2329"/>
      <c r="MZO80" s="2329"/>
      <c r="MZP80" s="2329"/>
      <c r="MZQ80" s="2329"/>
      <c r="MZR80" s="2329"/>
      <c r="MZS80" s="2329"/>
      <c r="MZT80" s="2329"/>
      <c r="MZU80" s="2329"/>
      <c r="MZV80" s="2329"/>
      <c r="MZW80" s="2328"/>
      <c r="MZX80" s="2329"/>
      <c r="MZY80" s="2329"/>
      <c r="MZZ80" s="2329"/>
      <c r="NAA80" s="2329"/>
      <c r="NAB80" s="2329"/>
      <c r="NAC80" s="2329"/>
      <c r="NAD80" s="2329"/>
      <c r="NAE80" s="2329"/>
      <c r="NAF80" s="2329"/>
      <c r="NAG80" s="2329"/>
      <c r="NAH80" s="2329"/>
      <c r="NAI80" s="2329"/>
      <c r="NAJ80" s="2329"/>
      <c r="NAK80" s="2329"/>
      <c r="NAL80" s="2329"/>
      <c r="NAM80" s="2328"/>
      <c r="NAN80" s="2329"/>
      <c r="NAO80" s="2329"/>
      <c r="NAP80" s="2329"/>
      <c r="NAQ80" s="2329"/>
      <c r="NAR80" s="2329"/>
      <c r="NAS80" s="2329"/>
      <c r="NAT80" s="2329"/>
      <c r="NAU80" s="2329"/>
      <c r="NAV80" s="2329"/>
      <c r="NAW80" s="2329"/>
      <c r="NAX80" s="2329"/>
      <c r="NAY80" s="2329"/>
      <c r="NAZ80" s="2329"/>
      <c r="NBA80" s="2329"/>
      <c r="NBB80" s="2329"/>
      <c r="NBC80" s="2328"/>
      <c r="NBD80" s="2329"/>
      <c r="NBE80" s="2329"/>
      <c r="NBF80" s="2329"/>
      <c r="NBG80" s="2329"/>
      <c r="NBH80" s="2329"/>
      <c r="NBI80" s="2329"/>
      <c r="NBJ80" s="2329"/>
      <c r="NBK80" s="2329"/>
      <c r="NBL80" s="2329"/>
      <c r="NBM80" s="2329"/>
      <c r="NBN80" s="2329"/>
      <c r="NBO80" s="2329"/>
      <c r="NBP80" s="2329"/>
      <c r="NBQ80" s="2329"/>
      <c r="NBR80" s="2329"/>
      <c r="NBS80" s="2328"/>
      <c r="NBT80" s="2329"/>
      <c r="NBU80" s="2329"/>
      <c r="NBV80" s="2329"/>
      <c r="NBW80" s="2329"/>
      <c r="NBX80" s="2329"/>
      <c r="NBY80" s="2329"/>
      <c r="NBZ80" s="2329"/>
      <c r="NCA80" s="2329"/>
      <c r="NCB80" s="2329"/>
      <c r="NCC80" s="2329"/>
      <c r="NCD80" s="2329"/>
      <c r="NCE80" s="2329"/>
      <c r="NCF80" s="2329"/>
      <c r="NCG80" s="2329"/>
      <c r="NCH80" s="2329"/>
      <c r="NCI80" s="2328"/>
      <c r="NCJ80" s="2329"/>
      <c r="NCK80" s="2329"/>
      <c r="NCL80" s="2329"/>
      <c r="NCM80" s="2329"/>
      <c r="NCN80" s="2329"/>
      <c r="NCO80" s="2329"/>
      <c r="NCP80" s="2329"/>
      <c r="NCQ80" s="2329"/>
      <c r="NCR80" s="2329"/>
      <c r="NCS80" s="2329"/>
      <c r="NCT80" s="2329"/>
      <c r="NCU80" s="2329"/>
      <c r="NCV80" s="2329"/>
      <c r="NCW80" s="2329"/>
      <c r="NCX80" s="2329"/>
      <c r="NCY80" s="2328"/>
      <c r="NCZ80" s="2329"/>
      <c r="NDA80" s="2329"/>
      <c r="NDB80" s="2329"/>
      <c r="NDC80" s="2329"/>
      <c r="NDD80" s="2329"/>
      <c r="NDE80" s="2329"/>
      <c r="NDF80" s="2329"/>
      <c r="NDG80" s="2329"/>
      <c r="NDH80" s="2329"/>
      <c r="NDI80" s="2329"/>
      <c r="NDJ80" s="2329"/>
      <c r="NDK80" s="2329"/>
      <c r="NDL80" s="2329"/>
      <c r="NDM80" s="2329"/>
      <c r="NDN80" s="2329"/>
      <c r="NDO80" s="2328"/>
      <c r="NDP80" s="2329"/>
      <c r="NDQ80" s="2329"/>
      <c r="NDR80" s="2329"/>
      <c r="NDS80" s="2329"/>
      <c r="NDT80" s="2329"/>
      <c r="NDU80" s="2329"/>
      <c r="NDV80" s="2329"/>
      <c r="NDW80" s="2329"/>
      <c r="NDX80" s="2329"/>
      <c r="NDY80" s="2329"/>
      <c r="NDZ80" s="2329"/>
      <c r="NEA80" s="2329"/>
      <c r="NEB80" s="2329"/>
      <c r="NEC80" s="2329"/>
      <c r="NED80" s="2329"/>
      <c r="NEE80" s="2328"/>
      <c r="NEF80" s="2329"/>
      <c r="NEG80" s="2329"/>
      <c r="NEH80" s="2329"/>
      <c r="NEI80" s="2329"/>
      <c r="NEJ80" s="2329"/>
      <c r="NEK80" s="2329"/>
      <c r="NEL80" s="2329"/>
      <c r="NEM80" s="2329"/>
      <c r="NEN80" s="2329"/>
      <c r="NEO80" s="2329"/>
      <c r="NEP80" s="2329"/>
      <c r="NEQ80" s="2329"/>
      <c r="NER80" s="2329"/>
      <c r="NES80" s="2329"/>
      <c r="NET80" s="2329"/>
      <c r="NEU80" s="2328"/>
      <c r="NEV80" s="2329"/>
      <c r="NEW80" s="2329"/>
      <c r="NEX80" s="2329"/>
      <c r="NEY80" s="2329"/>
      <c r="NEZ80" s="2329"/>
      <c r="NFA80" s="2329"/>
      <c r="NFB80" s="2329"/>
      <c r="NFC80" s="2329"/>
      <c r="NFD80" s="2329"/>
      <c r="NFE80" s="2329"/>
      <c r="NFF80" s="2329"/>
      <c r="NFG80" s="2329"/>
      <c r="NFH80" s="2329"/>
      <c r="NFI80" s="2329"/>
      <c r="NFJ80" s="2329"/>
      <c r="NFK80" s="2328"/>
      <c r="NFL80" s="2329"/>
      <c r="NFM80" s="2329"/>
      <c r="NFN80" s="2329"/>
      <c r="NFO80" s="2329"/>
      <c r="NFP80" s="2329"/>
      <c r="NFQ80" s="2329"/>
      <c r="NFR80" s="2329"/>
      <c r="NFS80" s="2329"/>
      <c r="NFT80" s="2329"/>
      <c r="NFU80" s="2329"/>
      <c r="NFV80" s="2329"/>
      <c r="NFW80" s="2329"/>
      <c r="NFX80" s="2329"/>
      <c r="NFY80" s="2329"/>
      <c r="NFZ80" s="2329"/>
      <c r="NGA80" s="2328"/>
      <c r="NGB80" s="2329"/>
      <c r="NGC80" s="2329"/>
      <c r="NGD80" s="2329"/>
      <c r="NGE80" s="2329"/>
      <c r="NGF80" s="2329"/>
      <c r="NGG80" s="2329"/>
      <c r="NGH80" s="2329"/>
      <c r="NGI80" s="2329"/>
      <c r="NGJ80" s="2329"/>
      <c r="NGK80" s="2329"/>
      <c r="NGL80" s="2329"/>
      <c r="NGM80" s="2329"/>
      <c r="NGN80" s="2329"/>
      <c r="NGO80" s="2329"/>
      <c r="NGP80" s="2329"/>
      <c r="NGQ80" s="2328"/>
      <c r="NGR80" s="2329"/>
      <c r="NGS80" s="2329"/>
      <c r="NGT80" s="2329"/>
      <c r="NGU80" s="2329"/>
      <c r="NGV80" s="2329"/>
      <c r="NGW80" s="2329"/>
      <c r="NGX80" s="2329"/>
      <c r="NGY80" s="2329"/>
      <c r="NGZ80" s="2329"/>
      <c r="NHA80" s="2329"/>
      <c r="NHB80" s="2329"/>
      <c r="NHC80" s="2329"/>
      <c r="NHD80" s="2329"/>
      <c r="NHE80" s="2329"/>
      <c r="NHF80" s="2329"/>
      <c r="NHG80" s="2328"/>
      <c r="NHH80" s="2329"/>
      <c r="NHI80" s="2329"/>
      <c r="NHJ80" s="2329"/>
      <c r="NHK80" s="2329"/>
      <c r="NHL80" s="2329"/>
      <c r="NHM80" s="2329"/>
      <c r="NHN80" s="2329"/>
      <c r="NHO80" s="2329"/>
      <c r="NHP80" s="2329"/>
      <c r="NHQ80" s="2329"/>
      <c r="NHR80" s="2329"/>
      <c r="NHS80" s="2329"/>
      <c r="NHT80" s="2329"/>
      <c r="NHU80" s="2329"/>
      <c r="NHV80" s="2329"/>
      <c r="NHW80" s="2328"/>
      <c r="NHX80" s="2329"/>
      <c r="NHY80" s="2329"/>
      <c r="NHZ80" s="2329"/>
      <c r="NIA80" s="2329"/>
      <c r="NIB80" s="2329"/>
      <c r="NIC80" s="2329"/>
      <c r="NID80" s="2329"/>
      <c r="NIE80" s="2329"/>
      <c r="NIF80" s="2329"/>
      <c r="NIG80" s="2329"/>
      <c r="NIH80" s="2329"/>
      <c r="NII80" s="2329"/>
      <c r="NIJ80" s="2329"/>
      <c r="NIK80" s="2329"/>
      <c r="NIL80" s="2329"/>
      <c r="NIM80" s="2328"/>
      <c r="NIN80" s="2329"/>
      <c r="NIO80" s="2329"/>
      <c r="NIP80" s="2329"/>
      <c r="NIQ80" s="2329"/>
      <c r="NIR80" s="2329"/>
      <c r="NIS80" s="2329"/>
      <c r="NIT80" s="2329"/>
      <c r="NIU80" s="2329"/>
      <c r="NIV80" s="2329"/>
      <c r="NIW80" s="2329"/>
      <c r="NIX80" s="2329"/>
      <c r="NIY80" s="2329"/>
      <c r="NIZ80" s="2329"/>
      <c r="NJA80" s="2329"/>
      <c r="NJB80" s="2329"/>
      <c r="NJC80" s="2328"/>
      <c r="NJD80" s="2329"/>
      <c r="NJE80" s="2329"/>
      <c r="NJF80" s="2329"/>
      <c r="NJG80" s="2329"/>
      <c r="NJH80" s="2329"/>
      <c r="NJI80" s="2329"/>
      <c r="NJJ80" s="2329"/>
      <c r="NJK80" s="2329"/>
      <c r="NJL80" s="2329"/>
      <c r="NJM80" s="2329"/>
      <c r="NJN80" s="2329"/>
      <c r="NJO80" s="2329"/>
      <c r="NJP80" s="2329"/>
      <c r="NJQ80" s="2329"/>
      <c r="NJR80" s="2329"/>
      <c r="NJS80" s="2328"/>
      <c r="NJT80" s="2329"/>
      <c r="NJU80" s="2329"/>
      <c r="NJV80" s="2329"/>
      <c r="NJW80" s="2329"/>
      <c r="NJX80" s="2329"/>
      <c r="NJY80" s="2329"/>
      <c r="NJZ80" s="2329"/>
      <c r="NKA80" s="2329"/>
      <c r="NKB80" s="2329"/>
      <c r="NKC80" s="2329"/>
      <c r="NKD80" s="2329"/>
      <c r="NKE80" s="2329"/>
      <c r="NKF80" s="2329"/>
      <c r="NKG80" s="2329"/>
      <c r="NKH80" s="2329"/>
      <c r="NKI80" s="2328"/>
      <c r="NKJ80" s="2329"/>
      <c r="NKK80" s="2329"/>
      <c r="NKL80" s="2329"/>
      <c r="NKM80" s="2329"/>
      <c r="NKN80" s="2329"/>
      <c r="NKO80" s="2329"/>
      <c r="NKP80" s="2329"/>
      <c r="NKQ80" s="2329"/>
      <c r="NKR80" s="2329"/>
      <c r="NKS80" s="2329"/>
      <c r="NKT80" s="2329"/>
      <c r="NKU80" s="2329"/>
      <c r="NKV80" s="2329"/>
      <c r="NKW80" s="2329"/>
      <c r="NKX80" s="2329"/>
      <c r="NKY80" s="2328"/>
      <c r="NKZ80" s="2329"/>
      <c r="NLA80" s="2329"/>
      <c r="NLB80" s="2329"/>
      <c r="NLC80" s="2329"/>
      <c r="NLD80" s="2329"/>
      <c r="NLE80" s="2329"/>
      <c r="NLF80" s="2329"/>
      <c r="NLG80" s="2329"/>
      <c r="NLH80" s="2329"/>
      <c r="NLI80" s="2329"/>
      <c r="NLJ80" s="2329"/>
      <c r="NLK80" s="2329"/>
      <c r="NLL80" s="2329"/>
      <c r="NLM80" s="2329"/>
      <c r="NLN80" s="2329"/>
      <c r="NLO80" s="2328"/>
      <c r="NLP80" s="2329"/>
      <c r="NLQ80" s="2329"/>
      <c r="NLR80" s="2329"/>
      <c r="NLS80" s="2329"/>
      <c r="NLT80" s="2329"/>
      <c r="NLU80" s="2329"/>
      <c r="NLV80" s="2329"/>
      <c r="NLW80" s="2329"/>
      <c r="NLX80" s="2329"/>
      <c r="NLY80" s="2329"/>
      <c r="NLZ80" s="2329"/>
      <c r="NMA80" s="2329"/>
      <c r="NMB80" s="2329"/>
      <c r="NMC80" s="2329"/>
      <c r="NMD80" s="2329"/>
      <c r="NME80" s="2328"/>
      <c r="NMF80" s="2329"/>
      <c r="NMG80" s="2329"/>
      <c r="NMH80" s="2329"/>
      <c r="NMI80" s="2329"/>
      <c r="NMJ80" s="2329"/>
      <c r="NMK80" s="2329"/>
      <c r="NML80" s="2329"/>
      <c r="NMM80" s="2329"/>
      <c r="NMN80" s="2329"/>
      <c r="NMO80" s="2329"/>
      <c r="NMP80" s="2329"/>
      <c r="NMQ80" s="2329"/>
      <c r="NMR80" s="2329"/>
      <c r="NMS80" s="2329"/>
      <c r="NMT80" s="2329"/>
      <c r="NMU80" s="2328"/>
      <c r="NMV80" s="2329"/>
      <c r="NMW80" s="2329"/>
      <c r="NMX80" s="2329"/>
      <c r="NMY80" s="2329"/>
      <c r="NMZ80" s="2329"/>
      <c r="NNA80" s="2329"/>
      <c r="NNB80" s="2329"/>
      <c r="NNC80" s="2329"/>
      <c r="NND80" s="2329"/>
      <c r="NNE80" s="2329"/>
      <c r="NNF80" s="2329"/>
      <c r="NNG80" s="2329"/>
      <c r="NNH80" s="2329"/>
      <c r="NNI80" s="2329"/>
      <c r="NNJ80" s="2329"/>
      <c r="NNK80" s="2328"/>
      <c r="NNL80" s="2329"/>
      <c r="NNM80" s="2329"/>
      <c r="NNN80" s="2329"/>
      <c r="NNO80" s="2329"/>
      <c r="NNP80" s="2329"/>
      <c r="NNQ80" s="2329"/>
      <c r="NNR80" s="2329"/>
      <c r="NNS80" s="2329"/>
      <c r="NNT80" s="2329"/>
      <c r="NNU80" s="2329"/>
      <c r="NNV80" s="2329"/>
      <c r="NNW80" s="2329"/>
      <c r="NNX80" s="2329"/>
      <c r="NNY80" s="2329"/>
      <c r="NNZ80" s="2329"/>
      <c r="NOA80" s="2328"/>
      <c r="NOB80" s="2329"/>
      <c r="NOC80" s="2329"/>
      <c r="NOD80" s="2329"/>
      <c r="NOE80" s="2329"/>
      <c r="NOF80" s="2329"/>
      <c r="NOG80" s="2329"/>
      <c r="NOH80" s="2329"/>
      <c r="NOI80" s="2329"/>
      <c r="NOJ80" s="2329"/>
      <c r="NOK80" s="2329"/>
      <c r="NOL80" s="2329"/>
      <c r="NOM80" s="2329"/>
      <c r="NON80" s="2329"/>
      <c r="NOO80" s="2329"/>
      <c r="NOP80" s="2329"/>
      <c r="NOQ80" s="2328"/>
      <c r="NOR80" s="2329"/>
      <c r="NOS80" s="2329"/>
      <c r="NOT80" s="2329"/>
      <c r="NOU80" s="2329"/>
      <c r="NOV80" s="2329"/>
      <c r="NOW80" s="2329"/>
      <c r="NOX80" s="2329"/>
      <c r="NOY80" s="2329"/>
      <c r="NOZ80" s="2329"/>
      <c r="NPA80" s="2329"/>
      <c r="NPB80" s="2329"/>
      <c r="NPC80" s="2329"/>
      <c r="NPD80" s="2329"/>
      <c r="NPE80" s="2329"/>
      <c r="NPF80" s="2329"/>
      <c r="NPG80" s="2328"/>
      <c r="NPH80" s="2329"/>
      <c r="NPI80" s="2329"/>
      <c r="NPJ80" s="2329"/>
      <c r="NPK80" s="2329"/>
      <c r="NPL80" s="2329"/>
      <c r="NPM80" s="2329"/>
      <c r="NPN80" s="2329"/>
      <c r="NPO80" s="2329"/>
      <c r="NPP80" s="2329"/>
      <c r="NPQ80" s="2329"/>
      <c r="NPR80" s="2329"/>
      <c r="NPS80" s="2329"/>
      <c r="NPT80" s="2329"/>
      <c r="NPU80" s="2329"/>
      <c r="NPV80" s="2329"/>
      <c r="NPW80" s="2328"/>
      <c r="NPX80" s="2329"/>
      <c r="NPY80" s="2329"/>
      <c r="NPZ80" s="2329"/>
      <c r="NQA80" s="2329"/>
      <c r="NQB80" s="2329"/>
      <c r="NQC80" s="2329"/>
      <c r="NQD80" s="2329"/>
      <c r="NQE80" s="2329"/>
      <c r="NQF80" s="2329"/>
      <c r="NQG80" s="2329"/>
      <c r="NQH80" s="2329"/>
      <c r="NQI80" s="2329"/>
      <c r="NQJ80" s="2329"/>
      <c r="NQK80" s="2329"/>
      <c r="NQL80" s="2329"/>
      <c r="NQM80" s="2328"/>
      <c r="NQN80" s="2329"/>
      <c r="NQO80" s="2329"/>
      <c r="NQP80" s="2329"/>
      <c r="NQQ80" s="2329"/>
      <c r="NQR80" s="2329"/>
      <c r="NQS80" s="2329"/>
      <c r="NQT80" s="2329"/>
      <c r="NQU80" s="2329"/>
      <c r="NQV80" s="2329"/>
      <c r="NQW80" s="2329"/>
      <c r="NQX80" s="2329"/>
      <c r="NQY80" s="2329"/>
      <c r="NQZ80" s="2329"/>
      <c r="NRA80" s="2329"/>
      <c r="NRB80" s="2329"/>
      <c r="NRC80" s="2328"/>
      <c r="NRD80" s="2329"/>
      <c r="NRE80" s="2329"/>
      <c r="NRF80" s="2329"/>
      <c r="NRG80" s="2329"/>
      <c r="NRH80" s="2329"/>
      <c r="NRI80" s="2329"/>
      <c r="NRJ80" s="2329"/>
      <c r="NRK80" s="2329"/>
      <c r="NRL80" s="2329"/>
      <c r="NRM80" s="2329"/>
      <c r="NRN80" s="2329"/>
      <c r="NRO80" s="2329"/>
      <c r="NRP80" s="2329"/>
      <c r="NRQ80" s="2329"/>
      <c r="NRR80" s="2329"/>
      <c r="NRS80" s="2328"/>
      <c r="NRT80" s="2329"/>
      <c r="NRU80" s="2329"/>
      <c r="NRV80" s="2329"/>
      <c r="NRW80" s="2329"/>
      <c r="NRX80" s="2329"/>
      <c r="NRY80" s="2329"/>
      <c r="NRZ80" s="2329"/>
      <c r="NSA80" s="2329"/>
      <c r="NSB80" s="2329"/>
      <c r="NSC80" s="2329"/>
      <c r="NSD80" s="2329"/>
      <c r="NSE80" s="2329"/>
      <c r="NSF80" s="2329"/>
      <c r="NSG80" s="2329"/>
      <c r="NSH80" s="2329"/>
      <c r="NSI80" s="2328"/>
      <c r="NSJ80" s="2329"/>
      <c r="NSK80" s="2329"/>
      <c r="NSL80" s="2329"/>
      <c r="NSM80" s="2329"/>
      <c r="NSN80" s="2329"/>
      <c r="NSO80" s="2329"/>
      <c r="NSP80" s="2329"/>
      <c r="NSQ80" s="2329"/>
      <c r="NSR80" s="2329"/>
      <c r="NSS80" s="2329"/>
      <c r="NST80" s="2329"/>
      <c r="NSU80" s="2329"/>
      <c r="NSV80" s="2329"/>
      <c r="NSW80" s="2329"/>
      <c r="NSX80" s="2329"/>
      <c r="NSY80" s="2328"/>
      <c r="NSZ80" s="2329"/>
      <c r="NTA80" s="2329"/>
      <c r="NTB80" s="2329"/>
      <c r="NTC80" s="2329"/>
      <c r="NTD80" s="2329"/>
      <c r="NTE80" s="2329"/>
      <c r="NTF80" s="2329"/>
      <c r="NTG80" s="2329"/>
      <c r="NTH80" s="2329"/>
      <c r="NTI80" s="2329"/>
      <c r="NTJ80" s="2329"/>
      <c r="NTK80" s="2329"/>
      <c r="NTL80" s="2329"/>
      <c r="NTM80" s="2329"/>
      <c r="NTN80" s="2329"/>
      <c r="NTO80" s="2328"/>
      <c r="NTP80" s="2329"/>
      <c r="NTQ80" s="2329"/>
      <c r="NTR80" s="2329"/>
      <c r="NTS80" s="2329"/>
      <c r="NTT80" s="2329"/>
      <c r="NTU80" s="2329"/>
      <c r="NTV80" s="2329"/>
      <c r="NTW80" s="2329"/>
      <c r="NTX80" s="2329"/>
      <c r="NTY80" s="2329"/>
      <c r="NTZ80" s="2329"/>
      <c r="NUA80" s="2329"/>
      <c r="NUB80" s="2329"/>
      <c r="NUC80" s="2329"/>
      <c r="NUD80" s="2329"/>
      <c r="NUE80" s="2328"/>
      <c r="NUF80" s="2329"/>
      <c r="NUG80" s="2329"/>
      <c r="NUH80" s="2329"/>
      <c r="NUI80" s="2329"/>
      <c r="NUJ80" s="2329"/>
      <c r="NUK80" s="2329"/>
      <c r="NUL80" s="2329"/>
      <c r="NUM80" s="2329"/>
      <c r="NUN80" s="2329"/>
      <c r="NUO80" s="2329"/>
      <c r="NUP80" s="2329"/>
      <c r="NUQ80" s="2329"/>
      <c r="NUR80" s="2329"/>
      <c r="NUS80" s="2329"/>
      <c r="NUT80" s="2329"/>
      <c r="NUU80" s="2328"/>
      <c r="NUV80" s="2329"/>
      <c r="NUW80" s="2329"/>
      <c r="NUX80" s="2329"/>
      <c r="NUY80" s="2329"/>
      <c r="NUZ80" s="2329"/>
      <c r="NVA80" s="2329"/>
      <c r="NVB80" s="2329"/>
      <c r="NVC80" s="2329"/>
      <c r="NVD80" s="2329"/>
      <c r="NVE80" s="2329"/>
      <c r="NVF80" s="2329"/>
      <c r="NVG80" s="2329"/>
      <c r="NVH80" s="2329"/>
      <c r="NVI80" s="2329"/>
      <c r="NVJ80" s="2329"/>
      <c r="NVK80" s="2328"/>
      <c r="NVL80" s="2329"/>
      <c r="NVM80" s="2329"/>
      <c r="NVN80" s="2329"/>
      <c r="NVO80" s="2329"/>
      <c r="NVP80" s="2329"/>
      <c r="NVQ80" s="2329"/>
      <c r="NVR80" s="2329"/>
      <c r="NVS80" s="2329"/>
      <c r="NVT80" s="2329"/>
      <c r="NVU80" s="2329"/>
      <c r="NVV80" s="2329"/>
      <c r="NVW80" s="2329"/>
      <c r="NVX80" s="2329"/>
      <c r="NVY80" s="2329"/>
      <c r="NVZ80" s="2329"/>
      <c r="NWA80" s="2328"/>
      <c r="NWB80" s="2329"/>
      <c r="NWC80" s="2329"/>
      <c r="NWD80" s="2329"/>
      <c r="NWE80" s="2329"/>
      <c r="NWF80" s="2329"/>
      <c r="NWG80" s="2329"/>
      <c r="NWH80" s="2329"/>
      <c r="NWI80" s="2329"/>
      <c r="NWJ80" s="2329"/>
      <c r="NWK80" s="2329"/>
      <c r="NWL80" s="2329"/>
      <c r="NWM80" s="2329"/>
      <c r="NWN80" s="2329"/>
      <c r="NWO80" s="2329"/>
      <c r="NWP80" s="2329"/>
      <c r="NWQ80" s="2328"/>
      <c r="NWR80" s="2329"/>
      <c r="NWS80" s="2329"/>
      <c r="NWT80" s="2329"/>
      <c r="NWU80" s="2329"/>
      <c r="NWV80" s="2329"/>
      <c r="NWW80" s="2329"/>
      <c r="NWX80" s="2329"/>
      <c r="NWY80" s="2329"/>
      <c r="NWZ80" s="2329"/>
      <c r="NXA80" s="2329"/>
      <c r="NXB80" s="2329"/>
      <c r="NXC80" s="2329"/>
      <c r="NXD80" s="2329"/>
      <c r="NXE80" s="2329"/>
      <c r="NXF80" s="2329"/>
      <c r="NXG80" s="2328"/>
      <c r="NXH80" s="2329"/>
      <c r="NXI80" s="2329"/>
      <c r="NXJ80" s="2329"/>
      <c r="NXK80" s="2329"/>
      <c r="NXL80" s="2329"/>
      <c r="NXM80" s="2329"/>
      <c r="NXN80" s="2329"/>
      <c r="NXO80" s="2329"/>
      <c r="NXP80" s="2329"/>
      <c r="NXQ80" s="2329"/>
      <c r="NXR80" s="2329"/>
      <c r="NXS80" s="2329"/>
      <c r="NXT80" s="2329"/>
      <c r="NXU80" s="2329"/>
      <c r="NXV80" s="2329"/>
      <c r="NXW80" s="2328"/>
      <c r="NXX80" s="2329"/>
      <c r="NXY80" s="2329"/>
      <c r="NXZ80" s="2329"/>
      <c r="NYA80" s="2329"/>
      <c r="NYB80" s="2329"/>
      <c r="NYC80" s="2329"/>
      <c r="NYD80" s="2329"/>
      <c r="NYE80" s="2329"/>
      <c r="NYF80" s="2329"/>
      <c r="NYG80" s="2329"/>
      <c r="NYH80" s="2329"/>
      <c r="NYI80" s="2329"/>
      <c r="NYJ80" s="2329"/>
      <c r="NYK80" s="2329"/>
      <c r="NYL80" s="2329"/>
      <c r="NYM80" s="2328"/>
      <c r="NYN80" s="2329"/>
      <c r="NYO80" s="2329"/>
      <c r="NYP80" s="2329"/>
      <c r="NYQ80" s="2329"/>
      <c r="NYR80" s="2329"/>
      <c r="NYS80" s="2329"/>
      <c r="NYT80" s="2329"/>
      <c r="NYU80" s="2329"/>
      <c r="NYV80" s="2329"/>
      <c r="NYW80" s="2329"/>
      <c r="NYX80" s="2329"/>
      <c r="NYY80" s="2329"/>
      <c r="NYZ80" s="2329"/>
      <c r="NZA80" s="2329"/>
      <c r="NZB80" s="2329"/>
      <c r="NZC80" s="2328"/>
      <c r="NZD80" s="2329"/>
      <c r="NZE80" s="2329"/>
      <c r="NZF80" s="2329"/>
      <c r="NZG80" s="2329"/>
      <c r="NZH80" s="2329"/>
      <c r="NZI80" s="2329"/>
      <c r="NZJ80" s="2329"/>
      <c r="NZK80" s="2329"/>
      <c r="NZL80" s="2329"/>
      <c r="NZM80" s="2329"/>
      <c r="NZN80" s="2329"/>
      <c r="NZO80" s="2329"/>
      <c r="NZP80" s="2329"/>
      <c r="NZQ80" s="2329"/>
      <c r="NZR80" s="2329"/>
      <c r="NZS80" s="2328"/>
      <c r="NZT80" s="2329"/>
      <c r="NZU80" s="2329"/>
      <c r="NZV80" s="2329"/>
      <c r="NZW80" s="2329"/>
      <c r="NZX80" s="2329"/>
      <c r="NZY80" s="2329"/>
      <c r="NZZ80" s="2329"/>
      <c r="OAA80" s="2329"/>
      <c r="OAB80" s="2329"/>
      <c r="OAC80" s="2329"/>
      <c r="OAD80" s="2329"/>
      <c r="OAE80" s="2329"/>
      <c r="OAF80" s="2329"/>
      <c r="OAG80" s="2329"/>
      <c r="OAH80" s="2329"/>
      <c r="OAI80" s="2328"/>
      <c r="OAJ80" s="2329"/>
      <c r="OAK80" s="2329"/>
      <c r="OAL80" s="2329"/>
      <c r="OAM80" s="2329"/>
      <c r="OAN80" s="2329"/>
      <c r="OAO80" s="2329"/>
      <c r="OAP80" s="2329"/>
      <c r="OAQ80" s="2329"/>
      <c r="OAR80" s="2329"/>
      <c r="OAS80" s="2329"/>
      <c r="OAT80" s="2329"/>
      <c r="OAU80" s="2329"/>
      <c r="OAV80" s="2329"/>
      <c r="OAW80" s="2329"/>
      <c r="OAX80" s="2329"/>
      <c r="OAY80" s="2328"/>
      <c r="OAZ80" s="2329"/>
      <c r="OBA80" s="2329"/>
      <c r="OBB80" s="2329"/>
      <c r="OBC80" s="2329"/>
      <c r="OBD80" s="2329"/>
      <c r="OBE80" s="2329"/>
      <c r="OBF80" s="2329"/>
      <c r="OBG80" s="2329"/>
      <c r="OBH80" s="2329"/>
      <c r="OBI80" s="2329"/>
      <c r="OBJ80" s="2329"/>
      <c r="OBK80" s="2329"/>
      <c r="OBL80" s="2329"/>
      <c r="OBM80" s="2329"/>
      <c r="OBN80" s="2329"/>
      <c r="OBO80" s="2328"/>
      <c r="OBP80" s="2329"/>
      <c r="OBQ80" s="2329"/>
      <c r="OBR80" s="2329"/>
      <c r="OBS80" s="2329"/>
      <c r="OBT80" s="2329"/>
      <c r="OBU80" s="2329"/>
      <c r="OBV80" s="2329"/>
      <c r="OBW80" s="2329"/>
      <c r="OBX80" s="2329"/>
      <c r="OBY80" s="2329"/>
      <c r="OBZ80" s="2329"/>
      <c r="OCA80" s="2329"/>
      <c r="OCB80" s="2329"/>
      <c r="OCC80" s="2329"/>
      <c r="OCD80" s="2329"/>
      <c r="OCE80" s="2328"/>
      <c r="OCF80" s="2329"/>
      <c r="OCG80" s="2329"/>
      <c r="OCH80" s="2329"/>
      <c r="OCI80" s="2329"/>
      <c r="OCJ80" s="2329"/>
      <c r="OCK80" s="2329"/>
      <c r="OCL80" s="2329"/>
      <c r="OCM80" s="2329"/>
      <c r="OCN80" s="2329"/>
      <c r="OCO80" s="2329"/>
      <c r="OCP80" s="2329"/>
      <c r="OCQ80" s="2329"/>
      <c r="OCR80" s="2329"/>
      <c r="OCS80" s="2329"/>
      <c r="OCT80" s="2329"/>
      <c r="OCU80" s="2328"/>
      <c r="OCV80" s="2329"/>
      <c r="OCW80" s="2329"/>
      <c r="OCX80" s="2329"/>
      <c r="OCY80" s="2329"/>
      <c r="OCZ80" s="2329"/>
      <c r="ODA80" s="2329"/>
      <c r="ODB80" s="2329"/>
      <c r="ODC80" s="2329"/>
      <c r="ODD80" s="2329"/>
      <c r="ODE80" s="2329"/>
      <c r="ODF80" s="2329"/>
      <c r="ODG80" s="2329"/>
      <c r="ODH80" s="2329"/>
      <c r="ODI80" s="2329"/>
      <c r="ODJ80" s="2329"/>
      <c r="ODK80" s="2328"/>
      <c r="ODL80" s="2329"/>
      <c r="ODM80" s="2329"/>
      <c r="ODN80" s="2329"/>
      <c r="ODO80" s="2329"/>
      <c r="ODP80" s="2329"/>
      <c r="ODQ80" s="2329"/>
      <c r="ODR80" s="2329"/>
      <c r="ODS80" s="2329"/>
      <c r="ODT80" s="2329"/>
      <c r="ODU80" s="2329"/>
      <c r="ODV80" s="2329"/>
      <c r="ODW80" s="2329"/>
      <c r="ODX80" s="2329"/>
      <c r="ODY80" s="2329"/>
      <c r="ODZ80" s="2329"/>
      <c r="OEA80" s="2328"/>
      <c r="OEB80" s="2329"/>
      <c r="OEC80" s="2329"/>
      <c r="OED80" s="2329"/>
      <c r="OEE80" s="2329"/>
      <c r="OEF80" s="2329"/>
      <c r="OEG80" s="2329"/>
      <c r="OEH80" s="2329"/>
      <c r="OEI80" s="2329"/>
      <c r="OEJ80" s="2329"/>
      <c r="OEK80" s="2329"/>
      <c r="OEL80" s="2329"/>
      <c r="OEM80" s="2329"/>
      <c r="OEN80" s="2329"/>
      <c r="OEO80" s="2329"/>
      <c r="OEP80" s="2329"/>
      <c r="OEQ80" s="2328"/>
      <c r="OER80" s="2329"/>
      <c r="OES80" s="2329"/>
      <c r="OET80" s="2329"/>
      <c r="OEU80" s="2329"/>
      <c r="OEV80" s="2329"/>
      <c r="OEW80" s="2329"/>
      <c r="OEX80" s="2329"/>
      <c r="OEY80" s="2329"/>
      <c r="OEZ80" s="2329"/>
      <c r="OFA80" s="2329"/>
      <c r="OFB80" s="2329"/>
      <c r="OFC80" s="2329"/>
      <c r="OFD80" s="2329"/>
      <c r="OFE80" s="2329"/>
      <c r="OFF80" s="2329"/>
      <c r="OFG80" s="2328"/>
      <c r="OFH80" s="2329"/>
      <c r="OFI80" s="2329"/>
      <c r="OFJ80" s="2329"/>
      <c r="OFK80" s="2329"/>
      <c r="OFL80" s="2329"/>
      <c r="OFM80" s="2329"/>
      <c r="OFN80" s="2329"/>
      <c r="OFO80" s="2329"/>
      <c r="OFP80" s="2329"/>
      <c r="OFQ80" s="2329"/>
      <c r="OFR80" s="2329"/>
      <c r="OFS80" s="2329"/>
      <c r="OFT80" s="2329"/>
      <c r="OFU80" s="2329"/>
      <c r="OFV80" s="2329"/>
      <c r="OFW80" s="2328"/>
      <c r="OFX80" s="2329"/>
      <c r="OFY80" s="2329"/>
      <c r="OFZ80" s="2329"/>
      <c r="OGA80" s="2329"/>
      <c r="OGB80" s="2329"/>
      <c r="OGC80" s="2329"/>
      <c r="OGD80" s="2329"/>
      <c r="OGE80" s="2329"/>
      <c r="OGF80" s="2329"/>
      <c r="OGG80" s="2329"/>
      <c r="OGH80" s="2329"/>
      <c r="OGI80" s="2329"/>
      <c r="OGJ80" s="2329"/>
      <c r="OGK80" s="2329"/>
      <c r="OGL80" s="2329"/>
      <c r="OGM80" s="2328"/>
      <c r="OGN80" s="2329"/>
      <c r="OGO80" s="2329"/>
      <c r="OGP80" s="2329"/>
      <c r="OGQ80" s="2329"/>
      <c r="OGR80" s="2329"/>
      <c r="OGS80" s="2329"/>
      <c r="OGT80" s="2329"/>
      <c r="OGU80" s="2329"/>
      <c r="OGV80" s="2329"/>
      <c r="OGW80" s="2329"/>
      <c r="OGX80" s="2329"/>
      <c r="OGY80" s="2329"/>
      <c r="OGZ80" s="2329"/>
      <c r="OHA80" s="2329"/>
      <c r="OHB80" s="2329"/>
      <c r="OHC80" s="2328"/>
      <c r="OHD80" s="2329"/>
      <c r="OHE80" s="2329"/>
      <c r="OHF80" s="2329"/>
      <c r="OHG80" s="2329"/>
      <c r="OHH80" s="2329"/>
      <c r="OHI80" s="2329"/>
      <c r="OHJ80" s="2329"/>
      <c r="OHK80" s="2329"/>
      <c r="OHL80" s="2329"/>
      <c r="OHM80" s="2329"/>
      <c r="OHN80" s="2329"/>
      <c r="OHO80" s="2329"/>
      <c r="OHP80" s="2329"/>
      <c r="OHQ80" s="2329"/>
      <c r="OHR80" s="2329"/>
      <c r="OHS80" s="2328"/>
      <c r="OHT80" s="2329"/>
      <c r="OHU80" s="2329"/>
      <c r="OHV80" s="2329"/>
      <c r="OHW80" s="2329"/>
      <c r="OHX80" s="2329"/>
      <c r="OHY80" s="2329"/>
      <c r="OHZ80" s="2329"/>
      <c r="OIA80" s="2329"/>
      <c r="OIB80" s="2329"/>
      <c r="OIC80" s="2329"/>
      <c r="OID80" s="2329"/>
      <c r="OIE80" s="2329"/>
      <c r="OIF80" s="2329"/>
      <c r="OIG80" s="2329"/>
      <c r="OIH80" s="2329"/>
      <c r="OII80" s="2328"/>
      <c r="OIJ80" s="2329"/>
      <c r="OIK80" s="2329"/>
      <c r="OIL80" s="2329"/>
      <c r="OIM80" s="2329"/>
      <c r="OIN80" s="2329"/>
      <c r="OIO80" s="2329"/>
      <c r="OIP80" s="2329"/>
      <c r="OIQ80" s="2329"/>
      <c r="OIR80" s="2329"/>
      <c r="OIS80" s="2329"/>
      <c r="OIT80" s="2329"/>
      <c r="OIU80" s="2329"/>
      <c r="OIV80" s="2329"/>
      <c r="OIW80" s="2329"/>
      <c r="OIX80" s="2329"/>
      <c r="OIY80" s="2328"/>
      <c r="OIZ80" s="2329"/>
      <c r="OJA80" s="2329"/>
      <c r="OJB80" s="2329"/>
      <c r="OJC80" s="2329"/>
      <c r="OJD80" s="2329"/>
      <c r="OJE80" s="2329"/>
      <c r="OJF80" s="2329"/>
      <c r="OJG80" s="2329"/>
      <c r="OJH80" s="2329"/>
      <c r="OJI80" s="2329"/>
      <c r="OJJ80" s="2329"/>
      <c r="OJK80" s="2329"/>
      <c r="OJL80" s="2329"/>
      <c r="OJM80" s="2329"/>
      <c r="OJN80" s="2329"/>
      <c r="OJO80" s="2328"/>
      <c r="OJP80" s="2329"/>
      <c r="OJQ80" s="2329"/>
      <c r="OJR80" s="2329"/>
      <c r="OJS80" s="2329"/>
      <c r="OJT80" s="2329"/>
      <c r="OJU80" s="2329"/>
      <c r="OJV80" s="2329"/>
      <c r="OJW80" s="2329"/>
      <c r="OJX80" s="2329"/>
      <c r="OJY80" s="2329"/>
      <c r="OJZ80" s="2329"/>
      <c r="OKA80" s="2329"/>
      <c r="OKB80" s="2329"/>
      <c r="OKC80" s="2329"/>
      <c r="OKD80" s="2329"/>
      <c r="OKE80" s="2328"/>
      <c r="OKF80" s="2329"/>
      <c r="OKG80" s="2329"/>
      <c r="OKH80" s="2329"/>
      <c r="OKI80" s="2329"/>
      <c r="OKJ80" s="2329"/>
      <c r="OKK80" s="2329"/>
      <c r="OKL80" s="2329"/>
      <c r="OKM80" s="2329"/>
      <c r="OKN80" s="2329"/>
      <c r="OKO80" s="2329"/>
      <c r="OKP80" s="2329"/>
      <c r="OKQ80" s="2329"/>
      <c r="OKR80" s="2329"/>
      <c r="OKS80" s="2329"/>
      <c r="OKT80" s="2329"/>
      <c r="OKU80" s="2328"/>
      <c r="OKV80" s="2329"/>
      <c r="OKW80" s="2329"/>
      <c r="OKX80" s="2329"/>
      <c r="OKY80" s="2329"/>
      <c r="OKZ80" s="2329"/>
      <c r="OLA80" s="2329"/>
      <c r="OLB80" s="2329"/>
      <c r="OLC80" s="2329"/>
      <c r="OLD80" s="2329"/>
      <c r="OLE80" s="2329"/>
      <c r="OLF80" s="2329"/>
      <c r="OLG80" s="2329"/>
      <c r="OLH80" s="2329"/>
      <c r="OLI80" s="2329"/>
      <c r="OLJ80" s="2329"/>
      <c r="OLK80" s="2328"/>
      <c r="OLL80" s="2329"/>
      <c r="OLM80" s="2329"/>
      <c r="OLN80" s="2329"/>
      <c r="OLO80" s="2329"/>
      <c r="OLP80" s="2329"/>
      <c r="OLQ80" s="2329"/>
      <c r="OLR80" s="2329"/>
      <c r="OLS80" s="2329"/>
      <c r="OLT80" s="2329"/>
      <c r="OLU80" s="2329"/>
      <c r="OLV80" s="2329"/>
      <c r="OLW80" s="2329"/>
      <c r="OLX80" s="2329"/>
      <c r="OLY80" s="2329"/>
      <c r="OLZ80" s="2329"/>
      <c r="OMA80" s="2328"/>
      <c r="OMB80" s="2329"/>
      <c r="OMC80" s="2329"/>
      <c r="OMD80" s="2329"/>
      <c r="OME80" s="2329"/>
      <c r="OMF80" s="2329"/>
      <c r="OMG80" s="2329"/>
      <c r="OMH80" s="2329"/>
      <c r="OMI80" s="2329"/>
      <c r="OMJ80" s="2329"/>
      <c r="OMK80" s="2329"/>
      <c r="OML80" s="2329"/>
      <c r="OMM80" s="2329"/>
      <c r="OMN80" s="2329"/>
      <c r="OMO80" s="2329"/>
      <c r="OMP80" s="2329"/>
      <c r="OMQ80" s="2328"/>
      <c r="OMR80" s="2329"/>
      <c r="OMS80" s="2329"/>
      <c r="OMT80" s="2329"/>
      <c r="OMU80" s="2329"/>
      <c r="OMV80" s="2329"/>
      <c r="OMW80" s="2329"/>
      <c r="OMX80" s="2329"/>
      <c r="OMY80" s="2329"/>
      <c r="OMZ80" s="2329"/>
      <c r="ONA80" s="2329"/>
      <c r="ONB80" s="2329"/>
      <c r="ONC80" s="2329"/>
      <c r="OND80" s="2329"/>
      <c r="ONE80" s="2329"/>
      <c r="ONF80" s="2329"/>
      <c r="ONG80" s="2328"/>
      <c r="ONH80" s="2329"/>
      <c r="ONI80" s="2329"/>
      <c r="ONJ80" s="2329"/>
      <c r="ONK80" s="2329"/>
      <c r="ONL80" s="2329"/>
      <c r="ONM80" s="2329"/>
      <c r="ONN80" s="2329"/>
      <c r="ONO80" s="2329"/>
      <c r="ONP80" s="2329"/>
      <c r="ONQ80" s="2329"/>
      <c r="ONR80" s="2329"/>
      <c r="ONS80" s="2329"/>
      <c r="ONT80" s="2329"/>
      <c r="ONU80" s="2329"/>
      <c r="ONV80" s="2329"/>
      <c r="ONW80" s="2328"/>
      <c r="ONX80" s="2329"/>
      <c r="ONY80" s="2329"/>
      <c r="ONZ80" s="2329"/>
      <c r="OOA80" s="2329"/>
      <c r="OOB80" s="2329"/>
      <c r="OOC80" s="2329"/>
      <c r="OOD80" s="2329"/>
      <c r="OOE80" s="2329"/>
      <c r="OOF80" s="2329"/>
      <c r="OOG80" s="2329"/>
      <c r="OOH80" s="2329"/>
      <c r="OOI80" s="2329"/>
      <c r="OOJ80" s="2329"/>
      <c r="OOK80" s="2329"/>
      <c r="OOL80" s="2329"/>
      <c r="OOM80" s="2328"/>
      <c r="OON80" s="2329"/>
      <c r="OOO80" s="2329"/>
      <c r="OOP80" s="2329"/>
      <c r="OOQ80" s="2329"/>
      <c r="OOR80" s="2329"/>
      <c r="OOS80" s="2329"/>
      <c r="OOT80" s="2329"/>
      <c r="OOU80" s="2329"/>
      <c r="OOV80" s="2329"/>
      <c r="OOW80" s="2329"/>
      <c r="OOX80" s="2329"/>
      <c r="OOY80" s="2329"/>
      <c r="OOZ80" s="2329"/>
      <c r="OPA80" s="2329"/>
      <c r="OPB80" s="2329"/>
      <c r="OPC80" s="2328"/>
      <c r="OPD80" s="2329"/>
      <c r="OPE80" s="2329"/>
      <c r="OPF80" s="2329"/>
      <c r="OPG80" s="2329"/>
      <c r="OPH80" s="2329"/>
      <c r="OPI80" s="2329"/>
      <c r="OPJ80" s="2329"/>
      <c r="OPK80" s="2329"/>
      <c r="OPL80" s="2329"/>
      <c r="OPM80" s="2329"/>
      <c r="OPN80" s="2329"/>
      <c r="OPO80" s="2329"/>
      <c r="OPP80" s="2329"/>
      <c r="OPQ80" s="2329"/>
      <c r="OPR80" s="2329"/>
      <c r="OPS80" s="2328"/>
      <c r="OPT80" s="2329"/>
      <c r="OPU80" s="2329"/>
      <c r="OPV80" s="2329"/>
      <c r="OPW80" s="2329"/>
      <c r="OPX80" s="2329"/>
      <c r="OPY80" s="2329"/>
      <c r="OPZ80" s="2329"/>
      <c r="OQA80" s="2329"/>
      <c r="OQB80" s="2329"/>
      <c r="OQC80" s="2329"/>
      <c r="OQD80" s="2329"/>
      <c r="OQE80" s="2329"/>
      <c r="OQF80" s="2329"/>
      <c r="OQG80" s="2329"/>
      <c r="OQH80" s="2329"/>
      <c r="OQI80" s="2328"/>
      <c r="OQJ80" s="2329"/>
      <c r="OQK80" s="2329"/>
      <c r="OQL80" s="2329"/>
      <c r="OQM80" s="2329"/>
      <c r="OQN80" s="2329"/>
      <c r="OQO80" s="2329"/>
      <c r="OQP80" s="2329"/>
      <c r="OQQ80" s="2329"/>
      <c r="OQR80" s="2329"/>
      <c r="OQS80" s="2329"/>
      <c r="OQT80" s="2329"/>
      <c r="OQU80" s="2329"/>
      <c r="OQV80" s="2329"/>
      <c r="OQW80" s="2329"/>
      <c r="OQX80" s="2329"/>
      <c r="OQY80" s="2328"/>
      <c r="OQZ80" s="2329"/>
      <c r="ORA80" s="2329"/>
      <c r="ORB80" s="2329"/>
      <c r="ORC80" s="2329"/>
      <c r="ORD80" s="2329"/>
      <c r="ORE80" s="2329"/>
      <c r="ORF80" s="2329"/>
      <c r="ORG80" s="2329"/>
      <c r="ORH80" s="2329"/>
      <c r="ORI80" s="2329"/>
      <c r="ORJ80" s="2329"/>
      <c r="ORK80" s="2329"/>
      <c r="ORL80" s="2329"/>
      <c r="ORM80" s="2329"/>
      <c r="ORN80" s="2329"/>
      <c r="ORO80" s="2328"/>
      <c r="ORP80" s="2329"/>
      <c r="ORQ80" s="2329"/>
      <c r="ORR80" s="2329"/>
      <c r="ORS80" s="2329"/>
      <c r="ORT80" s="2329"/>
      <c r="ORU80" s="2329"/>
      <c r="ORV80" s="2329"/>
      <c r="ORW80" s="2329"/>
      <c r="ORX80" s="2329"/>
      <c r="ORY80" s="2329"/>
      <c r="ORZ80" s="2329"/>
      <c r="OSA80" s="2329"/>
      <c r="OSB80" s="2329"/>
      <c r="OSC80" s="2329"/>
      <c r="OSD80" s="2329"/>
      <c r="OSE80" s="2328"/>
      <c r="OSF80" s="2329"/>
      <c r="OSG80" s="2329"/>
      <c r="OSH80" s="2329"/>
      <c r="OSI80" s="2329"/>
      <c r="OSJ80" s="2329"/>
      <c r="OSK80" s="2329"/>
      <c r="OSL80" s="2329"/>
      <c r="OSM80" s="2329"/>
      <c r="OSN80" s="2329"/>
      <c r="OSO80" s="2329"/>
      <c r="OSP80" s="2329"/>
      <c r="OSQ80" s="2329"/>
      <c r="OSR80" s="2329"/>
      <c r="OSS80" s="2329"/>
      <c r="OST80" s="2329"/>
      <c r="OSU80" s="2328"/>
      <c r="OSV80" s="2329"/>
      <c r="OSW80" s="2329"/>
      <c r="OSX80" s="2329"/>
      <c r="OSY80" s="2329"/>
      <c r="OSZ80" s="2329"/>
      <c r="OTA80" s="2329"/>
      <c r="OTB80" s="2329"/>
      <c r="OTC80" s="2329"/>
      <c r="OTD80" s="2329"/>
      <c r="OTE80" s="2329"/>
      <c r="OTF80" s="2329"/>
      <c r="OTG80" s="2329"/>
      <c r="OTH80" s="2329"/>
      <c r="OTI80" s="2329"/>
      <c r="OTJ80" s="2329"/>
      <c r="OTK80" s="2328"/>
      <c r="OTL80" s="2329"/>
      <c r="OTM80" s="2329"/>
      <c r="OTN80" s="2329"/>
      <c r="OTO80" s="2329"/>
      <c r="OTP80" s="2329"/>
      <c r="OTQ80" s="2329"/>
      <c r="OTR80" s="2329"/>
      <c r="OTS80" s="2329"/>
      <c r="OTT80" s="2329"/>
      <c r="OTU80" s="2329"/>
      <c r="OTV80" s="2329"/>
      <c r="OTW80" s="2329"/>
      <c r="OTX80" s="2329"/>
      <c r="OTY80" s="2329"/>
      <c r="OTZ80" s="2329"/>
      <c r="OUA80" s="2328"/>
      <c r="OUB80" s="2329"/>
      <c r="OUC80" s="2329"/>
      <c r="OUD80" s="2329"/>
      <c r="OUE80" s="2329"/>
      <c r="OUF80" s="2329"/>
      <c r="OUG80" s="2329"/>
      <c r="OUH80" s="2329"/>
      <c r="OUI80" s="2329"/>
      <c r="OUJ80" s="2329"/>
      <c r="OUK80" s="2329"/>
      <c r="OUL80" s="2329"/>
      <c r="OUM80" s="2329"/>
      <c r="OUN80" s="2329"/>
      <c r="OUO80" s="2329"/>
      <c r="OUP80" s="2329"/>
      <c r="OUQ80" s="2328"/>
      <c r="OUR80" s="2329"/>
      <c r="OUS80" s="2329"/>
      <c r="OUT80" s="2329"/>
      <c r="OUU80" s="2329"/>
      <c r="OUV80" s="2329"/>
      <c r="OUW80" s="2329"/>
      <c r="OUX80" s="2329"/>
      <c r="OUY80" s="2329"/>
      <c r="OUZ80" s="2329"/>
      <c r="OVA80" s="2329"/>
      <c r="OVB80" s="2329"/>
      <c r="OVC80" s="2329"/>
      <c r="OVD80" s="2329"/>
      <c r="OVE80" s="2329"/>
      <c r="OVF80" s="2329"/>
      <c r="OVG80" s="2328"/>
      <c r="OVH80" s="2329"/>
      <c r="OVI80" s="2329"/>
      <c r="OVJ80" s="2329"/>
      <c r="OVK80" s="2329"/>
      <c r="OVL80" s="2329"/>
      <c r="OVM80" s="2329"/>
      <c r="OVN80" s="2329"/>
      <c r="OVO80" s="2329"/>
      <c r="OVP80" s="2329"/>
      <c r="OVQ80" s="2329"/>
      <c r="OVR80" s="2329"/>
      <c r="OVS80" s="2329"/>
      <c r="OVT80" s="2329"/>
      <c r="OVU80" s="2329"/>
      <c r="OVV80" s="2329"/>
      <c r="OVW80" s="2328"/>
      <c r="OVX80" s="2329"/>
      <c r="OVY80" s="2329"/>
      <c r="OVZ80" s="2329"/>
      <c r="OWA80" s="2329"/>
      <c r="OWB80" s="2329"/>
      <c r="OWC80" s="2329"/>
      <c r="OWD80" s="2329"/>
      <c r="OWE80" s="2329"/>
      <c r="OWF80" s="2329"/>
      <c r="OWG80" s="2329"/>
      <c r="OWH80" s="2329"/>
      <c r="OWI80" s="2329"/>
      <c r="OWJ80" s="2329"/>
      <c r="OWK80" s="2329"/>
      <c r="OWL80" s="2329"/>
      <c r="OWM80" s="2328"/>
      <c r="OWN80" s="2329"/>
      <c r="OWO80" s="2329"/>
      <c r="OWP80" s="2329"/>
      <c r="OWQ80" s="2329"/>
      <c r="OWR80" s="2329"/>
      <c r="OWS80" s="2329"/>
      <c r="OWT80" s="2329"/>
      <c r="OWU80" s="2329"/>
      <c r="OWV80" s="2329"/>
      <c r="OWW80" s="2329"/>
      <c r="OWX80" s="2329"/>
      <c r="OWY80" s="2329"/>
      <c r="OWZ80" s="2329"/>
      <c r="OXA80" s="2329"/>
      <c r="OXB80" s="2329"/>
      <c r="OXC80" s="2328"/>
      <c r="OXD80" s="2329"/>
      <c r="OXE80" s="2329"/>
      <c r="OXF80" s="2329"/>
      <c r="OXG80" s="2329"/>
      <c r="OXH80" s="2329"/>
      <c r="OXI80" s="2329"/>
      <c r="OXJ80" s="2329"/>
      <c r="OXK80" s="2329"/>
      <c r="OXL80" s="2329"/>
      <c r="OXM80" s="2329"/>
      <c r="OXN80" s="2329"/>
      <c r="OXO80" s="2329"/>
      <c r="OXP80" s="2329"/>
      <c r="OXQ80" s="2329"/>
      <c r="OXR80" s="2329"/>
      <c r="OXS80" s="2328"/>
      <c r="OXT80" s="2329"/>
      <c r="OXU80" s="2329"/>
      <c r="OXV80" s="2329"/>
      <c r="OXW80" s="2329"/>
      <c r="OXX80" s="2329"/>
      <c r="OXY80" s="2329"/>
      <c r="OXZ80" s="2329"/>
      <c r="OYA80" s="2329"/>
      <c r="OYB80" s="2329"/>
      <c r="OYC80" s="2329"/>
      <c r="OYD80" s="2329"/>
      <c r="OYE80" s="2329"/>
      <c r="OYF80" s="2329"/>
      <c r="OYG80" s="2329"/>
      <c r="OYH80" s="2329"/>
      <c r="OYI80" s="2328"/>
      <c r="OYJ80" s="2329"/>
      <c r="OYK80" s="2329"/>
      <c r="OYL80" s="2329"/>
      <c r="OYM80" s="2329"/>
      <c r="OYN80" s="2329"/>
      <c r="OYO80" s="2329"/>
      <c r="OYP80" s="2329"/>
      <c r="OYQ80" s="2329"/>
      <c r="OYR80" s="2329"/>
      <c r="OYS80" s="2329"/>
      <c r="OYT80" s="2329"/>
      <c r="OYU80" s="2329"/>
      <c r="OYV80" s="2329"/>
      <c r="OYW80" s="2329"/>
      <c r="OYX80" s="2329"/>
      <c r="OYY80" s="2328"/>
      <c r="OYZ80" s="2329"/>
      <c r="OZA80" s="2329"/>
      <c r="OZB80" s="2329"/>
      <c r="OZC80" s="2329"/>
      <c r="OZD80" s="2329"/>
      <c r="OZE80" s="2329"/>
      <c r="OZF80" s="2329"/>
      <c r="OZG80" s="2329"/>
      <c r="OZH80" s="2329"/>
      <c r="OZI80" s="2329"/>
      <c r="OZJ80" s="2329"/>
      <c r="OZK80" s="2329"/>
      <c r="OZL80" s="2329"/>
      <c r="OZM80" s="2329"/>
      <c r="OZN80" s="2329"/>
      <c r="OZO80" s="2328"/>
      <c r="OZP80" s="2329"/>
      <c r="OZQ80" s="2329"/>
      <c r="OZR80" s="2329"/>
      <c r="OZS80" s="2329"/>
      <c r="OZT80" s="2329"/>
      <c r="OZU80" s="2329"/>
      <c r="OZV80" s="2329"/>
      <c r="OZW80" s="2329"/>
      <c r="OZX80" s="2329"/>
      <c r="OZY80" s="2329"/>
      <c r="OZZ80" s="2329"/>
      <c r="PAA80" s="2329"/>
      <c r="PAB80" s="2329"/>
      <c r="PAC80" s="2329"/>
      <c r="PAD80" s="2329"/>
      <c r="PAE80" s="2328"/>
      <c r="PAF80" s="2329"/>
      <c r="PAG80" s="2329"/>
      <c r="PAH80" s="2329"/>
      <c r="PAI80" s="2329"/>
      <c r="PAJ80" s="2329"/>
      <c r="PAK80" s="2329"/>
      <c r="PAL80" s="2329"/>
      <c r="PAM80" s="2329"/>
      <c r="PAN80" s="2329"/>
      <c r="PAO80" s="2329"/>
      <c r="PAP80" s="2329"/>
      <c r="PAQ80" s="2329"/>
      <c r="PAR80" s="2329"/>
      <c r="PAS80" s="2329"/>
      <c r="PAT80" s="2329"/>
      <c r="PAU80" s="2328"/>
      <c r="PAV80" s="2329"/>
      <c r="PAW80" s="2329"/>
      <c r="PAX80" s="2329"/>
      <c r="PAY80" s="2329"/>
      <c r="PAZ80" s="2329"/>
      <c r="PBA80" s="2329"/>
      <c r="PBB80" s="2329"/>
      <c r="PBC80" s="2329"/>
      <c r="PBD80" s="2329"/>
      <c r="PBE80" s="2329"/>
      <c r="PBF80" s="2329"/>
      <c r="PBG80" s="2329"/>
      <c r="PBH80" s="2329"/>
      <c r="PBI80" s="2329"/>
      <c r="PBJ80" s="2329"/>
      <c r="PBK80" s="2328"/>
      <c r="PBL80" s="2329"/>
      <c r="PBM80" s="2329"/>
      <c r="PBN80" s="2329"/>
      <c r="PBO80" s="2329"/>
      <c r="PBP80" s="2329"/>
      <c r="PBQ80" s="2329"/>
      <c r="PBR80" s="2329"/>
      <c r="PBS80" s="2329"/>
      <c r="PBT80" s="2329"/>
      <c r="PBU80" s="2329"/>
      <c r="PBV80" s="2329"/>
      <c r="PBW80" s="2329"/>
      <c r="PBX80" s="2329"/>
      <c r="PBY80" s="2329"/>
      <c r="PBZ80" s="2329"/>
      <c r="PCA80" s="2328"/>
      <c r="PCB80" s="2329"/>
      <c r="PCC80" s="2329"/>
      <c r="PCD80" s="2329"/>
      <c r="PCE80" s="2329"/>
      <c r="PCF80" s="2329"/>
      <c r="PCG80" s="2329"/>
      <c r="PCH80" s="2329"/>
      <c r="PCI80" s="2329"/>
      <c r="PCJ80" s="2329"/>
      <c r="PCK80" s="2329"/>
      <c r="PCL80" s="2329"/>
      <c r="PCM80" s="2329"/>
      <c r="PCN80" s="2329"/>
      <c r="PCO80" s="2329"/>
      <c r="PCP80" s="2329"/>
      <c r="PCQ80" s="2328"/>
      <c r="PCR80" s="2329"/>
      <c r="PCS80" s="2329"/>
      <c r="PCT80" s="2329"/>
      <c r="PCU80" s="2329"/>
      <c r="PCV80" s="2329"/>
      <c r="PCW80" s="2329"/>
      <c r="PCX80" s="2329"/>
      <c r="PCY80" s="2329"/>
      <c r="PCZ80" s="2329"/>
      <c r="PDA80" s="2329"/>
      <c r="PDB80" s="2329"/>
      <c r="PDC80" s="2329"/>
      <c r="PDD80" s="2329"/>
      <c r="PDE80" s="2329"/>
      <c r="PDF80" s="2329"/>
      <c r="PDG80" s="2328"/>
      <c r="PDH80" s="2329"/>
      <c r="PDI80" s="2329"/>
      <c r="PDJ80" s="2329"/>
      <c r="PDK80" s="2329"/>
      <c r="PDL80" s="2329"/>
      <c r="PDM80" s="2329"/>
      <c r="PDN80" s="2329"/>
      <c r="PDO80" s="2329"/>
      <c r="PDP80" s="2329"/>
      <c r="PDQ80" s="2329"/>
      <c r="PDR80" s="2329"/>
      <c r="PDS80" s="2329"/>
      <c r="PDT80" s="2329"/>
      <c r="PDU80" s="2329"/>
      <c r="PDV80" s="2329"/>
      <c r="PDW80" s="2328"/>
      <c r="PDX80" s="2329"/>
      <c r="PDY80" s="2329"/>
      <c r="PDZ80" s="2329"/>
      <c r="PEA80" s="2329"/>
      <c r="PEB80" s="2329"/>
      <c r="PEC80" s="2329"/>
      <c r="PED80" s="2329"/>
      <c r="PEE80" s="2329"/>
      <c r="PEF80" s="2329"/>
      <c r="PEG80" s="2329"/>
      <c r="PEH80" s="2329"/>
      <c r="PEI80" s="2329"/>
      <c r="PEJ80" s="2329"/>
      <c r="PEK80" s="2329"/>
      <c r="PEL80" s="2329"/>
      <c r="PEM80" s="2328"/>
      <c r="PEN80" s="2329"/>
      <c r="PEO80" s="2329"/>
      <c r="PEP80" s="2329"/>
      <c r="PEQ80" s="2329"/>
      <c r="PER80" s="2329"/>
      <c r="PES80" s="2329"/>
      <c r="PET80" s="2329"/>
      <c r="PEU80" s="2329"/>
      <c r="PEV80" s="2329"/>
      <c r="PEW80" s="2329"/>
      <c r="PEX80" s="2329"/>
      <c r="PEY80" s="2329"/>
      <c r="PEZ80" s="2329"/>
      <c r="PFA80" s="2329"/>
      <c r="PFB80" s="2329"/>
      <c r="PFC80" s="2328"/>
      <c r="PFD80" s="2329"/>
      <c r="PFE80" s="2329"/>
      <c r="PFF80" s="2329"/>
      <c r="PFG80" s="2329"/>
      <c r="PFH80" s="2329"/>
      <c r="PFI80" s="2329"/>
      <c r="PFJ80" s="2329"/>
      <c r="PFK80" s="2329"/>
      <c r="PFL80" s="2329"/>
      <c r="PFM80" s="2329"/>
      <c r="PFN80" s="2329"/>
      <c r="PFO80" s="2329"/>
      <c r="PFP80" s="2329"/>
      <c r="PFQ80" s="2329"/>
      <c r="PFR80" s="2329"/>
      <c r="PFS80" s="2328"/>
      <c r="PFT80" s="2329"/>
      <c r="PFU80" s="2329"/>
      <c r="PFV80" s="2329"/>
      <c r="PFW80" s="2329"/>
      <c r="PFX80" s="2329"/>
      <c r="PFY80" s="2329"/>
      <c r="PFZ80" s="2329"/>
      <c r="PGA80" s="2329"/>
      <c r="PGB80" s="2329"/>
      <c r="PGC80" s="2329"/>
      <c r="PGD80" s="2329"/>
      <c r="PGE80" s="2329"/>
      <c r="PGF80" s="2329"/>
      <c r="PGG80" s="2329"/>
      <c r="PGH80" s="2329"/>
      <c r="PGI80" s="2328"/>
      <c r="PGJ80" s="2329"/>
      <c r="PGK80" s="2329"/>
      <c r="PGL80" s="2329"/>
      <c r="PGM80" s="2329"/>
      <c r="PGN80" s="2329"/>
      <c r="PGO80" s="2329"/>
      <c r="PGP80" s="2329"/>
      <c r="PGQ80" s="2329"/>
      <c r="PGR80" s="2329"/>
      <c r="PGS80" s="2329"/>
      <c r="PGT80" s="2329"/>
      <c r="PGU80" s="2329"/>
      <c r="PGV80" s="2329"/>
      <c r="PGW80" s="2329"/>
      <c r="PGX80" s="2329"/>
      <c r="PGY80" s="2328"/>
      <c r="PGZ80" s="2329"/>
      <c r="PHA80" s="2329"/>
      <c r="PHB80" s="2329"/>
      <c r="PHC80" s="2329"/>
      <c r="PHD80" s="2329"/>
      <c r="PHE80" s="2329"/>
      <c r="PHF80" s="2329"/>
      <c r="PHG80" s="2329"/>
      <c r="PHH80" s="2329"/>
      <c r="PHI80" s="2329"/>
      <c r="PHJ80" s="2329"/>
      <c r="PHK80" s="2329"/>
      <c r="PHL80" s="2329"/>
      <c r="PHM80" s="2329"/>
      <c r="PHN80" s="2329"/>
      <c r="PHO80" s="2328"/>
      <c r="PHP80" s="2329"/>
      <c r="PHQ80" s="2329"/>
      <c r="PHR80" s="2329"/>
      <c r="PHS80" s="2329"/>
      <c r="PHT80" s="2329"/>
      <c r="PHU80" s="2329"/>
      <c r="PHV80" s="2329"/>
      <c r="PHW80" s="2329"/>
      <c r="PHX80" s="2329"/>
      <c r="PHY80" s="2329"/>
      <c r="PHZ80" s="2329"/>
      <c r="PIA80" s="2329"/>
      <c r="PIB80" s="2329"/>
      <c r="PIC80" s="2329"/>
      <c r="PID80" s="2329"/>
      <c r="PIE80" s="2328"/>
      <c r="PIF80" s="2329"/>
      <c r="PIG80" s="2329"/>
      <c r="PIH80" s="2329"/>
      <c r="PII80" s="2329"/>
      <c r="PIJ80" s="2329"/>
      <c r="PIK80" s="2329"/>
      <c r="PIL80" s="2329"/>
      <c r="PIM80" s="2329"/>
      <c r="PIN80" s="2329"/>
      <c r="PIO80" s="2329"/>
      <c r="PIP80" s="2329"/>
      <c r="PIQ80" s="2329"/>
      <c r="PIR80" s="2329"/>
      <c r="PIS80" s="2329"/>
      <c r="PIT80" s="2329"/>
      <c r="PIU80" s="2328"/>
      <c r="PIV80" s="2329"/>
      <c r="PIW80" s="2329"/>
      <c r="PIX80" s="2329"/>
      <c r="PIY80" s="2329"/>
      <c r="PIZ80" s="2329"/>
      <c r="PJA80" s="2329"/>
      <c r="PJB80" s="2329"/>
      <c r="PJC80" s="2329"/>
      <c r="PJD80" s="2329"/>
      <c r="PJE80" s="2329"/>
      <c r="PJF80" s="2329"/>
      <c r="PJG80" s="2329"/>
      <c r="PJH80" s="2329"/>
      <c r="PJI80" s="2329"/>
      <c r="PJJ80" s="2329"/>
      <c r="PJK80" s="2328"/>
      <c r="PJL80" s="2329"/>
      <c r="PJM80" s="2329"/>
      <c r="PJN80" s="2329"/>
      <c r="PJO80" s="2329"/>
      <c r="PJP80" s="2329"/>
      <c r="PJQ80" s="2329"/>
      <c r="PJR80" s="2329"/>
      <c r="PJS80" s="2329"/>
      <c r="PJT80" s="2329"/>
      <c r="PJU80" s="2329"/>
      <c r="PJV80" s="2329"/>
      <c r="PJW80" s="2329"/>
      <c r="PJX80" s="2329"/>
      <c r="PJY80" s="2329"/>
      <c r="PJZ80" s="2329"/>
      <c r="PKA80" s="2328"/>
      <c r="PKB80" s="2329"/>
      <c r="PKC80" s="2329"/>
      <c r="PKD80" s="2329"/>
      <c r="PKE80" s="2329"/>
      <c r="PKF80" s="2329"/>
      <c r="PKG80" s="2329"/>
      <c r="PKH80" s="2329"/>
      <c r="PKI80" s="2329"/>
      <c r="PKJ80" s="2329"/>
      <c r="PKK80" s="2329"/>
      <c r="PKL80" s="2329"/>
      <c r="PKM80" s="2329"/>
      <c r="PKN80" s="2329"/>
      <c r="PKO80" s="2329"/>
      <c r="PKP80" s="2329"/>
      <c r="PKQ80" s="2328"/>
      <c r="PKR80" s="2329"/>
      <c r="PKS80" s="2329"/>
      <c r="PKT80" s="2329"/>
      <c r="PKU80" s="2329"/>
      <c r="PKV80" s="2329"/>
      <c r="PKW80" s="2329"/>
      <c r="PKX80" s="2329"/>
      <c r="PKY80" s="2329"/>
      <c r="PKZ80" s="2329"/>
      <c r="PLA80" s="2329"/>
      <c r="PLB80" s="2329"/>
      <c r="PLC80" s="2329"/>
      <c r="PLD80" s="2329"/>
      <c r="PLE80" s="2329"/>
      <c r="PLF80" s="2329"/>
      <c r="PLG80" s="2328"/>
      <c r="PLH80" s="2329"/>
      <c r="PLI80" s="2329"/>
      <c r="PLJ80" s="2329"/>
      <c r="PLK80" s="2329"/>
      <c r="PLL80" s="2329"/>
      <c r="PLM80" s="2329"/>
      <c r="PLN80" s="2329"/>
      <c r="PLO80" s="2329"/>
      <c r="PLP80" s="2329"/>
      <c r="PLQ80" s="2329"/>
      <c r="PLR80" s="2329"/>
      <c r="PLS80" s="2329"/>
      <c r="PLT80" s="2329"/>
      <c r="PLU80" s="2329"/>
      <c r="PLV80" s="2329"/>
      <c r="PLW80" s="2328"/>
      <c r="PLX80" s="2329"/>
      <c r="PLY80" s="2329"/>
      <c r="PLZ80" s="2329"/>
      <c r="PMA80" s="2329"/>
      <c r="PMB80" s="2329"/>
      <c r="PMC80" s="2329"/>
      <c r="PMD80" s="2329"/>
      <c r="PME80" s="2329"/>
      <c r="PMF80" s="2329"/>
      <c r="PMG80" s="2329"/>
      <c r="PMH80" s="2329"/>
      <c r="PMI80" s="2329"/>
      <c r="PMJ80" s="2329"/>
      <c r="PMK80" s="2329"/>
      <c r="PML80" s="2329"/>
      <c r="PMM80" s="2328"/>
      <c r="PMN80" s="2329"/>
      <c r="PMO80" s="2329"/>
      <c r="PMP80" s="2329"/>
      <c r="PMQ80" s="2329"/>
      <c r="PMR80" s="2329"/>
      <c r="PMS80" s="2329"/>
      <c r="PMT80" s="2329"/>
      <c r="PMU80" s="2329"/>
      <c r="PMV80" s="2329"/>
      <c r="PMW80" s="2329"/>
      <c r="PMX80" s="2329"/>
      <c r="PMY80" s="2329"/>
      <c r="PMZ80" s="2329"/>
      <c r="PNA80" s="2329"/>
      <c r="PNB80" s="2329"/>
      <c r="PNC80" s="2328"/>
      <c r="PND80" s="2329"/>
      <c r="PNE80" s="2329"/>
      <c r="PNF80" s="2329"/>
      <c r="PNG80" s="2329"/>
      <c r="PNH80" s="2329"/>
      <c r="PNI80" s="2329"/>
      <c r="PNJ80" s="2329"/>
      <c r="PNK80" s="2329"/>
      <c r="PNL80" s="2329"/>
      <c r="PNM80" s="2329"/>
      <c r="PNN80" s="2329"/>
      <c r="PNO80" s="2329"/>
      <c r="PNP80" s="2329"/>
      <c r="PNQ80" s="2329"/>
      <c r="PNR80" s="2329"/>
      <c r="PNS80" s="2328"/>
      <c r="PNT80" s="2329"/>
      <c r="PNU80" s="2329"/>
      <c r="PNV80" s="2329"/>
      <c r="PNW80" s="2329"/>
      <c r="PNX80" s="2329"/>
      <c r="PNY80" s="2329"/>
      <c r="PNZ80" s="2329"/>
      <c r="POA80" s="2329"/>
      <c r="POB80" s="2329"/>
      <c r="POC80" s="2329"/>
      <c r="POD80" s="2329"/>
      <c r="POE80" s="2329"/>
      <c r="POF80" s="2329"/>
      <c r="POG80" s="2329"/>
      <c r="POH80" s="2329"/>
      <c r="POI80" s="2328"/>
      <c r="POJ80" s="2329"/>
      <c r="POK80" s="2329"/>
      <c r="POL80" s="2329"/>
      <c r="POM80" s="2329"/>
      <c r="PON80" s="2329"/>
      <c r="POO80" s="2329"/>
      <c r="POP80" s="2329"/>
      <c r="POQ80" s="2329"/>
      <c r="POR80" s="2329"/>
      <c r="POS80" s="2329"/>
      <c r="POT80" s="2329"/>
      <c r="POU80" s="2329"/>
      <c r="POV80" s="2329"/>
      <c r="POW80" s="2329"/>
      <c r="POX80" s="2329"/>
      <c r="POY80" s="2328"/>
      <c r="POZ80" s="2329"/>
      <c r="PPA80" s="2329"/>
      <c r="PPB80" s="2329"/>
      <c r="PPC80" s="2329"/>
      <c r="PPD80" s="2329"/>
      <c r="PPE80" s="2329"/>
      <c r="PPF80" s="2329"/>
      <c r="PPG80" s="2329"/>
      <c r="PPH80" s="2329"/>
      <c r="PPI80" s="2329"/>
      <c r="PPJ80" s="2329"/>
      <c r="PPK80" s="2329"/>
      <c r="PPL80" s="2329"/>
      <c r="PPM80" s="2329"/>
      <c r="PPN80" s="2329"/>
      <c r="PPO80" s="2328"/>
      <c r="PPP80" s="2329"/>
      <c r="PPQ80" s="2329"/>
      <c r="PPR80" s="2329"/>
      <c r="PPS80" s="2329"/>
      <c r="PPT80" s="2329"/>
      <c r="PPU80" s="2329"/>
      <c r="PPV80" s="2329"/>
      <c r="PPW80" s="2329"/>
      <c r="PPX80" s="2329"/>
      <c r="PPY80" s="2329"/>
      <c r="PPZ80" s="2329"/>
      <c r="PQA80" s="2329"/>
      <c r="PQB80" s="2329"/>
      <c r="PQC80" s="2329"/>
      <c r="PQD80" s="2329"/>
      <c r="PQE80" s="2328"/>
      <c r="PQF80" s="2329"/>
      <c r="PQG80" s="2329"/>
      <c r="PQH80" s="2329"/>
      <c r="PQI80" s="2329"/>
      <c r="PQJ80" s="2329"/>
      <c r="PQK80" s="2329"/>
      <c r="PQL80" s="2329"/>
      <c r="PQM80" s="2329"/>
      <c r="PQN80" s="2329"/>
      <c r="PQO80" s="2329"/>
      <c r="PQP80" s="2329"/>
      <c r="PQQ80" s="2329"/>
      <c r="PQR80" s="2329"/>
      <c r="PQS80" s="2329"/>
      <c r="PQT80" s="2329"/>
      <c r="PQU80" s="2328"/>
      <c r="PQV80" s="2329"/>
      <c r="PQW80" s="2329"/>
      <c r="PQX80" s="2329"/>
      <c r="PQY80" s="2329"/>
      <c r="PQZ80" s="2329"/>
      <c r="PRA80" s="2329"/>
      <c r="PRB80" s="2329"/>
      <c r="PRC80" s="2329"/>
      <c r="PRD80" s="2329"/>
      <c r="PRE80" s="2329"/>
      <c r="PRF80" s="2329"/>
      <c r="PRG80" s="2329"/>
      <c r="PRH80" s="2329"/>
      <c r="PRI80" s="2329"/>
      <c r="PRJ80" s="2329"/>
      <c r="PRK80" s="2328"/>
      <c r="PRL80" s="2329"/>
      <c r="PRM80" s="2329"/>
      <c r="PRN80" s="2329"/>
      <c r="PRO80" s="2329"/>
      <c r="PRP80" s="2329"/>
      <c r="PRQ80" s="2329"/>
      <c r="PRR80" s="2329"/>
      <c r="PRS80" s="2329"/>
      <c r="PRT80" s="2329"/>
      <c r="PRU80" s="2329"/>
      <c r="PRV80" s="2329"/>
      <c r="PRW80" s="2329"/>
      <c r="PRX80" s="2329"/>
      <c r="PRY80" s="2329"/>
      <c r="PRZ80" s="2329"/>
      <c r="PSA80" s="2328"/>
      <c r="PSB80" s="2329"/>
      <c r="PSC80" s="2329"/>
      <c r="PSD80" s="2329"/>
      <c r="PSE80" s="2329"/>
      <c r="PSF80" s="2329"/>
      <c r="PSG80" s="2329"/>
      <c r="PSH80" s="2329"/>
      <c r="PSI80" s="2329"/>
      <c r="PSJ80" s="2329"/>
      <c r="PSK80" s="2329"/>
      <c r="PSL80" s="2329"/>
      <c r="PSM80" s="2329"/>
      <c r="PSN80" s="2329"/>
      <c r="PSO80" s="2329"/>
      <c r="PSP80" s="2329"/>
      <c r="PSQ80" s="2328"/>
      <c r="PSR80" s="2329"/>
      <c r="PSS80" s="2329"/>
      <c r="PST80" s="2329"/>
      <c r="PSU80" s="2329"/>
      <c r="PSV80" s="2329"/>
      <c r="PSW80" s="2329"/>
      <c r="PSX80" s="2329"/>
      <c r="PSY80" s="2329"/>
      <c r="PSZ80" s="2329"/>
      <c r="PTA80" s="2329"/>
      <c r="PTB80" s="2329"/>
      <c r="PTC80" s="2329"/>
      <c r="PTD80" s="2329"/>
      <c r="PTE80" s="2329"/>
      <c r="PTF80" s="2329"/>
      <c r="PTG80" s="2328"/>
      <c r="PTH80" s="2329"/>
      <c r="PTI80" s="2329"/>
      <c r="PTJ80" s="2329"/>
      <c r="PTK80" s="2329"/>
      <c r="PTL80" s="2329"/>
      <c r="PTM80" s="2329"/>
      <c r="PTN80" s="2329"/>
      <c r="PTO80" s="2329"/>
      <c r="PTP80" s="2329"/>
      <c r="PTQ80" s="2329"/>
      <c r="PTR80" s="2329"/>
      <c r="PTS80" s="2329"/>
      <c r="PTT80" s="2329"/>
      <c r="PTU80" s="2329"/>
      <c r="PTV80" s="2329"/>
      <c r="PTW80" s="2328"/>
      <c r="PTX80" s="2329"/>
      <c r="PTY80" s="2329"/>
      <c r="PTZ80" s="2329"/>
      <c r="PUA80" s="2329"/>
      <c r="PUB80" s="2329"/>
      <c r="PUC80" s="2329"/>
      <c r="PUD80" s="2329"/>
      <c r="PUE80" s="2329"/>
      <c r="PUF80" s="2329"/>
      <c r="PUG80" s="2329"/>
      <c r="PUH80" s="2329"/>
      <c r="PUI80" s="2329"/>
      <c r="PUJ80" s="2329"/>
      <c r="PUK80" s="2329"/>
      <c r="PUL80" s="2329"/>
      <c r="PUM80" s="2328"/>
      <c r="PUN80" s="2329"/>
      <c r="PUO80" s="2329"/>
      <c r="PUP80" s="2329"/>
      <c r="PUQ80" s="2329"/>
      <c r="PUR80" s="2329"/>
      <c r="PUS80" s="2329"/>
      <c r="PUT80" s="2329"/>
      <c r="PUU80" s="2329"/>
      <c r="PUV80" s="2329"/>
      <c r="PUW80" s="2329"/>
      <c r="PUX80" s="2329"/>
      <c r="PUY80" s="2329"/>
      <c r="PUZ80" s="2329"/>
      <c r="PVA80" s="2329"/>
      <c r="PVB80" s="2329"/>
      <c r="PVC80" s="2328"/>
      <c r="PVD80" s="2329"/>
      <c r="PVE80" s="2329"/>
      <c r="PVF80" s="2329"/>
      <c r="PVG80" s="2329"/>
      <c r="PVH80" s="2329"/>
      <c r="PVI80" s="2329"/>
      <c r="PVJ80" s="2329"/>
      <c r="PVK80" s="2329"/>
      <c r="PVL80" s="2329"/>
      <c r="PVM80" s="2329"/>
      <c r="PVN80" s="2329"/>
      <c r="PVO80" s="2329"/>
      <c r="PVP80" s="2329"/>
      <c r="PVQ80" s="2329"/>
      <c r="PVR80" s="2329"/>
      <c r="PVS80" s="2328"/>
      <c r="PVT80" s="2329"/>
      <c r="PVU80" s="2329"/>
      <c r="PVV80" s="2329"/>
      <c r="PVW80" s="2329"/>
      <c r="PVX80" s="2329"/>
      <c r="PVY80" s="2329"/>
      <c r="PVZ80" s="2329"/>
      <c r="PWA80" s="2329"/>
      <c r="PWB80" s="2329"/>
      <c r="PWC80" s="2329"/>
      <c r="PWD80" s="2329"/>
      <c r="PWE80" s="2329"/>
      <c r="PWF80" s="2329"/>
      <c r="PWG80" s="2329"/>
      <c r="PWH80" s="2329"/>
      <c r="PWI80" s="2328"/>
      <c r="PWJ80" s="2329"/>
      <c r="PWK80" s="2329"/>
      <c r="PWL80" s="2329"/>
      <c r="PWM80" s="2329"/>
      <c r="PWN80" s="2329"/>
      <c r="PWO80" s="2329"/>
      <c r="PWP80" s="2329"/>
      <c r="PWQ80" s="2329"/>
      <c r="PWR80" s="2329"/>
      <c r="PWS80" s="2329"/>
      <c r="PWT80" s="2329"/>
      <c r="PWU80" s="2329"/>
      <c r="PWV80" s="2329"/>
      <c r="PWW80" s="2329"/>
      <c r="PWX80" s="2329"/>
      <c r="PWY80" s="2328"/>
      <c r="PWZ80" s="2329"/>
      <c r="PXA80" s="2329"/>
      <c r="PXB80" s="2329"/>
      <c r="PXC80" s="2329"/>
      <c r="PXD80" s="2329"/>
      <c r="PXE80" s="2329"/>
      <c r="PXF80" s="2329"/>
      <c r="PXG80" s="2329"/>
      <c r="PXH80" s="2329"/>
      <c r="PXI80" s="2329"/>
      <c r="PXJ80" s="2329"/>
      <c r="PXK80" s="2329"/>
      <c r="PXL80" s="2329"/>
      <c r="PXM80" s="2329"/>
      <c r="PXN80" s="2329"/>
      <c r="PXO80" s="2328"/>
      <c r="PXP80" s="2329"/>
      <c r="PXQ80" s="2329"/>
      <c r="PXR80" s="2329"/>
      <c r="PXS80" s="2329"/>
      <c r="PXT80" s="2329"/>
      <c r="PXU80" s="2329"/>
      <c r="PXV80" s="2329"/>
      <c r="PXW80" s="2329"/>
      <c r="PXX80" s="2329"/>
      <c r="PXY80" s="2329"/>
      <c r="PXZ80" s="2329"/>
      <c r="PYA80" s="2329"/>
      <c r="PYB80" s="2329"/>
      <c r="PYC80" s="2329"/>
      <c r="PYD80" s="2329"/>
      <c r="PYE80" s="2328"/>
      <c r="PYF80" s="2329"/>
      <c r="PYG80" s="2329"/>
      <c r="PYH80" s="2329"/>
      <c r="PYI80" s="2329"/>
      <c r="PYJ80" s="2329"/>
      <c r="PYK80" s="2329"/>
      <c r="PYL80" s="2329"/>
      <c r="PYM80" s="2329"/>
      <c r="PYN80" s="2329"/>
      <c r="PYO80" s="2329"/>
      <c r="PYP80" s="2329"/>
      <c r="PYQ80" s="2329"/>
      <c r="PYR80" s="2329"/>
      <c r="PYS80" s="2329"/>
      <c r="PYT80" s="2329"/>
      <c r="PYU80" s="2328"/>
      <c r="PYV80" s="2329"/>
      <c r="PYW80" s="2329"/>
      <c r="PYX80" s="2329"/>
      <c r="PYY80" s="2329"/>
      <c r="PYZ80" s="2329"/>
      <c r="PZA80" s="2329"/>
      <c r="PZB80" s="2329"/>
      <c r="PZC80" s="2329"/>
      <c r="PZD80" s="2329"/>
      <c r="PZE80" s="2329"/>
      <c r="PZF80" s="2329"/>
      <c r="PZG80" s="2329"/>
      <c r="PZH80" s="2329"/>
      <c r="PZI80" s="2329"/>
      <c r="PZJ80" s="2329"/>
      <c r="PZK80" s="2328"/>
      <c r="PZL80" s="2329"/>
      <c r="PZM80" s="2329"/>
      <c r="PZN80" s="2329"/>
      <c r="PZO80" s="2329"/>
      <c r="PZP80" s="2329"/>
      <c r="PZQ80" s="2329"/>
      <c r="PZR80" s="2329"/>
      <c r="PZS80" s="2329"/>
      <c r="PZT80" s="2329"/>
      <c r="PZU80" s="2329"/>
      <c r="PZV80" s="2329"/>
      <c r="PZW80" s="2329"/>
      <c r="PZX80" s="2329"/>
      <c r="PZY80" s="2329"/>
      <c r="PZZ80" s="2329"/>
      <c r="QAA80" s="2328"/>
      <c r="QAB80" s="2329"/>
      <c r="QAC80" s="2329"/>
      <c r="QAD80" s="2329"/>
      <c r="QAE80" s="2329"/>
      <c r="QAF80" s="2329"/>
      <c r="QAG80" s="2329"/>
      <c r="QAH80" s="2329"/>
      <c r="QAI80" s="2329"/>
      <c r="QAJ80" s="2329"/>
      <c r="QAK80" s="2329"/>
      <c r="QAL80" s="2329"/>
      <c r="QAM80" s="2329"/>
      <c r="QAN80" s="2329"/>
      <c r="QAO80" s="2329"/>
      <c r="QAP80" s="2329"/>
      <c r="QAQ80" s="2328"/>
      <c r="QAR80" s="2329"/>
      <c r="QAS80" s="2329"/>
      <c r="QAT80" s="2329"/>
      <c r="QAU80" s="2329"/>
      <c r="QAV80" s="2329"/>
      <c r="QAW80" s="2329"/>
      <c r="QAX80" s="2329"/>
      <c r="QAY80" s="2329"/>
      <c r="QAZ80" s="2329"/>
      <c r="QBA80" s="2329"/>
      <c r="QBB80" s="2329"/>
      <c r="QBC80" s="2329"/>
      <c r="QBD80" s="2329"/>
      <c r="QBE80" s="2329"/>
      <c r="QBF80" s="2329"/>
      <c r="QBG80" s="2328"/>
      <c r="QBH80" s="2329"/>
      <c r="QBI80" s="2329"/>
      <c r="QBJ80" s="2329"/>
      <c r="QBK80" s="2329"/>
      <c r="QBL80" s="2329"/>
      <c r="QBM80" s="2329"/>
      <c r="QBN80" s="2329"/>
      <c r="QBO80" s="2329"/>
      <c r="QBP80" s="2329"/>
      <c r="QBQ80" s="2329"/>
      <c r="QBR80" s="2329"/>
      <c r="QBS80" s="2329"/>
      <c r="QBT80" s="2329"/>
      <c r="QBU80" s="2329"/>
      <c r="QBV80" s="2329"/>
      <c r="QBW80" s="2328"/>
      <c r="QBX80" s="2329"/>
      <c r="QBY80" s="2329"/>
      <c r="QBZ80" s="2329"/>
      <c r="QCA80" s="2329"/>
      <c r="QCB80" s="2329"/>
      <c r="QCC80" s="2329"/>
      <c r="QCD80" s="2329"/>
      <c r="QCE80" s="2329"/>
      <c r="QCF80" s="2329"/>
      <c r="QCG80" s="2329"/>
      <c r="QCH80" s="2329"/>
      <c r="QCI80" s="2329"/>
      <c r="QCJ80" s="2329"/>
      <c r="QCK80" s="2329"/>
      <c r="QCL80" s="2329"/>
      <c r="QCM80" s="2328"/>
      <c r="QCN80" s="2329"/>
      <c r="QCO80" s="2329"/>
      <c r="QCP80" s="2329"/>
      <c r="QCQ80" s="2329"/>
      <c r="QCR80" s="2329"/>
      <c r="QCS80" s="2329"/>
      <c r="QCT80" s="2329"/>
      <c r="QCU80" s="2329"/>
      <c r="QCV80" s="2329"/>
      <c r="QCW80" s="2329"/>
      <c r="QCX80" s="2329"/>
      <c r="QCY80" s="2329"/>
      <c r="QCZ80" s="2329"/>
      <c r="QDA80" s="2329"/>
      <c r="QDB80" s="2329"/>
      <c r="QDC80" s="2328"/>
      <c r="QDD80" s="2329"/>
      <c r="QDE80" s="2329"/>
      <c r="QDF80" s="2329"/>
      <c r="QDG80" s="2329"/>
      <c r="QDH80" s="2329"/>
      <c r="QDI80" s="2329"/>
      <c r="QDJ80" s="2329"/>
      <c r="QDK80" s="2329"/>
      <c r="QDL80" s="2329"/>
      <c r="QDM80" s="2329"/>
      <c r="QDN80" s="2329"/>
      <c r="QDO80" s="2329"/>
      <c r="QDP80" s="2329"/>
      <c r="QDQ80" s="2329"/>
      <c r="QDR80" s="2329"/>
      <c r="QDS80" s="2328"/>
      <c r="QDT80" s="2329"/>
      <c r="QDU80" s="2329"/>
      <c r="QDV80" s="2329"/>
      <c r="QDW80" s="2329"/>
      <c r="QDX80" s="2329"/>
      <c r="QDY80" s="2329"/>
      <c r="QDZ80" s="2329"/>
      <c r="QEA80" s="2329"/>
      <c r="QEB80" s="2329"/>
      <c r="QEC80" s="2329"/>
      <c r="QED80" s="2329"/>
      <c r="QEE80" s="2329"/>
      <c r="QEF80" s="2329"/>
      <c r="QEG80" s="2329"/>
      <c r="QEH80" s="2329"/>
      <c r="QEI80" s="2328"/>
      <c r="QEJ80" s="2329"/>
      <c r="QEK80" s="2329"/>
      <c r="QEL80" s="2329"/>
      <c r="QEM80" s="2329"/>
      <c r="QEN80" s="2329"/>
      <c r="QEO80" s="2329"/>
      <c r="QEP80" s="2329"/>
      <c r="QEQ80" s="2329"/>
      <c r="QER80" s="2329"/>
      <c r="QES80" s="2329"/>
      <c r="QET80" s="2329"/>
      <c r="QEU80" s="2329"/>
      <c r="QEV80" s="2329"/>
      <c r="QEW80" s="2329"/>
      <c r="QEX80" s="2329"/>
      <c r="QEY80" s="2328"/>
      <c r="QEZ80" s="2329"/>
      <c r="QFA80" s="2329"/>
      <c r="QFB80" s="2329"/>
      <c r="QFC80" s="2329"/>
      <c r="QFD80" s="2329"/>
      <c r="QFE80" s="2329"/>
      <c r="QFF80" s="2329"/>
      <c r="QFG80" s="2329"/>
      <c r="QFH80" s="2329"/>
      <c r="QFI80" s="2329"/>
      <c r="QFJ80" s="2329"/>
      <c r="QFK80" s="2329"/>
      <c r="QFL80" s="2329"/>
      <c r="QFM80" s="2329"/>
      <c r="QFN80" s="2329"/>
      <c r="QFO80" s="2328"/>
      <c r="QFP80" s="2329"/>
      <c r="QFQ80" s="2329"/>
      <c r="QFR80" s="2329"/>
      <c r="QFS80" s="2329"/>
      <c r="QFT80" s="2329"/>
      <c r="QFU80" s="2329"/>
      <c r="QFV80" s="2329"/>
      <c r="QFW80" s="2329"/>
      <c r="QFX80" s="2329"/>
      <c r="QFY80" s="2329"/>
      <c r="QFZ80" s="2329"/>
      <c r="QGA80" s="2329"/>
      <c r="QGB80" s="2329"/>
      <c r="QGC80" s="2329"/>
      <c r="QGD80" s="2329"/>
      <c r="QGE80" s="2328"/>
      <c r="QGF80" s="2329"/>
      <c r="QGG80" s="2329"/>
      <c r="QGH80" s="2329"/>
      <c r="QGI80" s="2329"/>
      <c r="QGJ80" s="2329"/>
      <c r="QGK80" s="2329"/>
      <c r="QGL80" s="2329"/>
      <c r="QGM80" s="2329"/>
      <c r="QGN80" s="2329"/>
      <c r="QGO80" s="2329"/>
      <c r="QGP80" s="2329"/>
      <c r="QGQ80" s="2329"/>
      <c r="QGR80" s="2329"/>
      <c r="QGS80" s="2329"/>
      <c r="QGT80" s="2329"/>
      <c r="QGU80" s="2328"/>
      <c r="QGV80" s="2329"/>
      <c r="QGW80" s="2329"/>
      <c r="QGX80" s="2329"/>
      <c r="QGY80" s="2329"/>
      <c r="QGZ80" s="2329"/>
      <c r="QHA80" s="2329"/>
      <c r="QHB80" s="2329"/>
      <c r="QHC80" s="2329"/>
      <c r="QHD80" s="2329"/>
      <c r="QHE80" s="2329"/>
      <c r="QHF80" s="2329"/>
      <c r="QHG80" s="2329"/>
      <c r="QHH80" s="2329"/>
      <c r="QHI80" s="2329"/>
      <c r="QHJ80" s="2329"/>
      <c r="QHK80" s="2328"/>
      <c r="QHL80" s="2329"/>
      <c r="QHM80" s="2329"/>
      <c r="QHN80" s="2329"/>
      <c r="QHO80" s="2329"/>
      <c r="QHP80" s="2329"/>
      <c r="QHQ80" s="2329"/>
      <c r="QHR80" s="2329"/>
      <c r="QHS80" s="2329"/>
      <c r="QHT80" s="2329"/>
      <c r="QHU80" s="2329"/>
      <c r="QHV80" s="2329"/>
      <c r="QHW80" s="2329"/>
      <c r="QHX80" s="2329"/>
      <c r="QHY80" s="2329"/>
      <c r="QHZ80" s="2329"/>
      <c r="QIA80" s="2328"/>
      <c r="QIB80" s="2329"/>
      <c r="QIC80" s="2329"/>
      <c r="QID80" s="2329"/>
      <c r="QIE80" s="2329"/>
      <c r="QIF80" s="2329"/>
      <c r="QIG80" s="2329"/>
      <c r="QIH80" s="2329"/>
      <c r="QII80" s="2329"/>
      <c r="QIJ80" s="2329"/>
      <c r="QIK80" s="2329"/>
      <c r="QIL80" s="2329"/>
      <c r="QIM80" s="2329"/>
      <c r="QIN80" s="2329"/>
      <c r="QIO80" s="2329"/>
      <c r="QIP80" s="2329"/>
      <c r="QIQ80" s="2328"/>
      <c r="QIR80" s="2329"/>
      <c r="QIS80" s="2329"/>
      <c r="QIT80" s="2329"/>
      <c r="QIU80" s="2329"/>
      <c r="QIV80" s="2329"/>
      <c r="QIW80" s="2329"/>
      <c r="QIX80" s="2329"/>
      <c r="QIY80" s="2329"/>
      <c r="QIZ80" s="2329"/>
      <c r="QJA80" s="2329"/>
      <c r="QJB80" s="2329"/>
      <c r="QJC80" s="2329"/>
      <c r="QJD80" s="2329"/>
      <c r="QJE80" s="2329"/>
      <c r="QJF80" s="2329"/>
      <c r="QJG80" s="2328"/>
      <c r="QJH80" s="2329"/>
      <c r="QJI80" s="2329"/>
      <c r="QJJ80" s="2329"/>
      <c r="QJK80" s="2329"/>
      <c r="QJL80" s="2329"/>
      <c r="QJM80" s="2329"/>
      <c r="QJN80" s="2329"/>
      <c r="QJO80" s="2329"/>
      <c r="QJP80" s="2329"/>
      <c r="QJQ80" s="2329"/>
      <c r="QJR80" s="2329"/>
      <c r="QJS80" s="2329"/>
      <c r="QJT80" s="2329"/>
      <c r="QJU80" s="2329"/>
      <c r="QJV80" s="2329"/>
      <c r="QJW80" s="2328"/>
      <c r="QJX80" s="2329"/>
      <c r="QJY80" s="2329"/>
      <c r="QJZ80" s="2329"/>
      <c r="QKA80" s="2329"/>
      <c r="QKB80" s="2329"/>
      <c r="QKC80" s="2329"/>
      <c r="QKD80" s="2329"/>
      <c r="QKE80" s="2329"/>
      <c r="QKF80" s="2329"/>
      <c r="QKG80" s="2329"/>
      <c r="QKH80" s="2329"/>
      <c r="QKI80" s="2329"/>
      <c r="QKJ80" s="2329"/>
      <c r="QKK80" s="2329"/>
      <c r="QKL80" s="2329"/>
      <c r="QKM80" s="2328"/>
      <c r="QKN80" s="2329"/>
      <c r="QKO80" s="2329"/>
      <c r="QKP80" s="2329"/>
      <c r="QKQ80" s="2329"/>
      <c r="QKR80" s="2329"/>
      <c r="QKS80" s="2329"/>
      <c r="QKT80" s="2329"/>
      <c r="QKU80" s="2329"/>
      <c r="QKV80" s="2329"/>
      <c r="QKW80" s="2329"/>
      <c r="QKX80" s="2329"/>
      <c r="QKY80" s="2329"/>
      <c r="QKZ80" s="2329"/>
      <c r="QLA80" s="2329"/>
      <c r="QLB80" s="2329"/>
      <c r="QLC80" s="2328"/>
      <c r="QLD80" s="2329"/>
      <c r="QLE80" s="2329"/>
      <c r="QLF80" s="2329"/>
      <c r="QLG80" s="2329"/>
      <c r="QLH80" s="2329"/>
      <c r="QLI80" s="2329"/>
      <c r="QLJ80" s="2329"/>
      <c r="QLK80" s="2329"/>
      <c r="QLL80" s="2329"/>
      <c r="QLM80" s="2329"/>
      <c r="QLN80" s="2329"/>
      <c r="QLO80" s="2329"/>
      <c r="QLP80" s="2329"/>
      <c r="QLQ80" s="2329"/>
      <c r="QLR80" s="2329"/>
      <c r="QLS80" s="2328"/>
      <c r="QLT80" s="2329"/>
      <c r="QLU80" s="2329"/>
      <c r="QLV80" s="2329"/>
      <c r="QLW80" s="2329"/>
      <c r="QLX80" s="2329"/>
      <c r="QLY80" s="2329"/>
      <c r="QLZ80" s="2329"/>
      <c r="QMA80" s="2329"/>
      <c r="QMB80" s="2329"/>
      <c r="QMC80" s="2329"/>
      <c r="QMD80" s="2329"/>
      <c r="QME80" s="2329"/>
      <c r="QMF80" s="2329"/>
      <c r="QMG80" s="2329"/>
      <c r="QMH80" s="2329"/>
      <c r="QMI80" s="2328"/>
      <c r="QMJ80" s="2329"/>
      <c r="QMK80" s="2329"/>
      <c r="QML80" s="2329"/>
      <c r="QMM80" s="2329"/>
      <c r="QMN80" s="2329"/>
      <c r="QMO80" s="2329"/>
      <c r="QMP80" s="2329"/>
      <c r="QMQ80" s="2329"/>
      <c r="QMR80" s="2329"/>
      <c r="QMS80" s="2329"/>
      <c r="QMT80" s="2329"/>
      <c r="QMU80" s="2329"/>
      <c r="QMV80" s="2329"/>
      <c r="QMW80" s="2329"/>
      <c r="QMX80" s="2329"/>
      <c r="QMY80" s="2328"/>
      <c r="QMZ80" s="2329"/>
      <c r="QNA80" s="2329"/>
      <c r="QNB80" s="2329"/>
      <c r="QNC80" s="2329"/>
      <c r="QND80" s="2329"/>
      <c r="QNE80" s="2329"/>
      <c r="QNF80" s="2329"/>
      <c r="QNG80" s="2329"/>
      <c r="QNH80" s="2329"/>
      <c r="QNI80" s="2329"/>
      <c r="QNJ80" s="2329"/>
      <c r="QNK80" s="2329"/>
      <c r="QNL80" s="2329"/>
      <c r="QNM80" s="2329"/>
      <c r="QNN80" s="2329"/>
      <c r="QNO80" s="2328"/>
      <c r="QNP80" s="2329"/>
      <c r="QNQ80" s="2329"/>
      <c r="QNR80" s="2329"/>
      <c r="QNS80" s="2329"/>
      <c r="QNT80" s="2329"/>
      <c r="QNU80" s="2329"/>
      <c r="QNV80" s="2329"/>
      <c r="QNW80" s="2329"/>
      <c r="QNX80" s="2329"/>
      <c r="QNY80" s="2329"/>
      <c r="QNZ80" s="2329"/>
      <c r="QOA80" s="2329"/>
      <c r="QOB80" s="2329"/>
      <c r="QOC80" s="2329"/>
      <c r="QOD80" s="2329"/>
      <c r="QOE80" s="2328"/>
      <c r="QOF80" s="2329"/>
      <c r="QOG80" s="2329"/>
      <c r="QOH80" s="2329"/>
      <c r="QOI80" s="2329"/>
      <c r="QOJ80" s="2329"/>
      <c r="QOK80" s="2329"/>
      <c r="QOL80" s="2329"/>
      <c r="QOM80" s="2329"/>
      <c r="QON80" s="2329"/>
      <c r="QOO80" s="2329"/>
      <c r="QOP80" s="2329"/>
      <c r="QOQ80" s="2329"/>
      <c r="QOR80" s="2329"/>
      <c r="QOS80" s="2329"/>
      <c r="QOT80" s="2329"/>
      <c r="QOU80" s="2328"/>
      <c r="QOV80" s="2329"/>
      <c r="QOW80" s="2329"/>
      <c r="QOX80" s="2329"/>
      <c r="QOY80" s="2329"/>
      <c r="QOZ80" s="2329"/>
      <c r="QPA80" s="2329"/>
      <c r="QPB80" s="2329"/>
      <c r="QPC80" s="2329"/>
      <c r="QPD80" s="2329"/>
      <c r="QPE80" s="2329"/>
      <c r="QPF80" s="2329"/>
      <c r="QPG80" s="2329"/>
      <c r="QPH80" s="2329"/>
      <c r="QPI80" s="2329"/>
      <c r="QPJ80" s="2329"/>
      <c r="QPK80" s="2328"/>
      <c r="QPL80" s="2329"/>
      <c r="QPM80" s="2329"/>
      <c r="QPN80" s="2329"/>
      <c r="QPO80" s="2329"/>
      <c r="QPP80" s="2329"/>
      <c r="QPQ80" s="2329"/>
      <c r="QPR80" s="2329"/>
      <c r="QPS80" s="2329"/>
      <c r="QPT80" s="2329"/>
      <c r="QPU80" s="2329"/>
      <c r="QPV80" s="2329"/>
      <c r="QPW80" s="2329"/>
      <c r="QPX80" s="2329"/>
      <c r="QPY80" s="2329"/>
      <c r="QPZ80" s="2329"/>
      <c r="QQA80" s="2328"/>
      <c r="QQB80" s="2329"/>
      <c r="QQC80" s="2329"/>
      <c r="QQD80" s="2329"/>
      <c r="QQE80" s="2329"/>
      <c r="QQF80" s="2329"/>
      <c r="QQG80" s="2329"/>
      <c r="QQH80" s="2329"/>
      <c r="QQI80" s="2329"/>
      <c r="QQJ80" s="2329"/>
      <c r="QQK80" s="2329"/>
      <c r="QQL80" s="2329"/>
      <c r="QQM80" s="2329"/>
      <c r="QQN80" s="2329"/>
      <c r="QQO80" s="2329"/>
      <c r="QQP80" s="2329"/>
      <c r="QQQ80" s="2328"/>
      <c r="QQR80" s="2329"/>
      <c r="QQS80" s="2329"/>
      <c r="QQT80" s="2329"/>
      <c r="QQU80" s="2329"/>
      <c r="QQV80" s="2329"/>
      <c r="QQW80" s="2329"/>
      <c r="QQX80" s="2329"/>
      <c r="QQY80" s="2329"/>
      <c r="QQZ80" s="2329"/>
      <c r="QRA80" s="2329"/>
      <c r="QRB80" s="2329"/>
      <c r="QRC80" s="2329"/>
      <c r="QRD80" s="2329"/>
      <c r="QRE80" s="2329"/>
      <c r="QRF80" s="2329"/>
      <c r="QRG80" s="2328"/>
      <c r="QRH80" s="2329"/>
      <c r="QRI80" s="2329"/>
      <c r="QRJ80" s="2329"/>
      <c r="QRK80" s="2329"/>
      <c r="QRL80" s="2329"/>
      <c r="QRM80" s="2329"/>
      <c r="QRN80" s="2329"/>
      <c r="QRO80" s="2329"/>
      <c r="QRP80" s="2329"/>
      <c r="QRQ80" s="2329"/>
      <c r="QRR80" s="2329"/>
      <c r="QRS80" s="2329"/>
      <c r="QRT80" s="2329"/>
      <c r="QRU80" s="2329"/>
      <c r="QRV80" s="2329"/>
      <c r="QRW80" s="2328"/>
      <c r="QRX80" s="2329"/>
      <c r="QRY80" s="2329"/>
      <c r="QRZ80" s="2329"/>
      <c r="QSA80" s="2329"/>
      <c r="QSB80" s="2329"/>
      <c r="QSC80" s="2329"/>
      <c r="QSD80" s="2329"/>
      <c r="QSE80" s="2329"/>
      <c r="QSF80" s="2329"/>
      <c r="QSG80" s="2329"/>
      <c r="QSH80" s="2329"/>
      <c r="QSI80" s="2329"/>
      <c r="QSJ80" s="2329"/>
      <c r="QSK80" s="2329"/>
      <c r="QSL80" s="2329"/>
      <c r="QSM80" s="2328"/>
      <c r="QSN80" s="2329"/>
      <c r="QSO80" s="2329"/>
      <c r="QSP80" s="2329"/>
      <c r="QSQ80" s="2329"/>
      <c r="QSR80" s="2329"/>
      <c r="QSS80" s="2329"/>
      <c r="QST80" s="2329"/>
      <c r="QSU80" s="2329"/>
      <c r="QSV80" s="2329"/>
      <c r="QSW80" s="2329"/>
      <c r="QSX80" s="2329"/>
      <c r="QSY80" s="2329"/>
      <c r="QSZ80" s="2329"/>
      <c r="QTA80" s="2329"/>
      <c r="QTB80" s="2329"/>
      <c r="QTC80" s="2328"/>
      <c r="QTD80" s="2329"/>
      <c r="QTE80" s="2329"/>
      <c r="QTF80" s="2329"/>
      <c r="QTG80" s="2329"/>
      <c r="QTH80" s="2329"/>
      <c r="QTI80" s="2329"/>
      <c r="QTJ80" s="2329"/>
      <c r="QTK80" s="2329"/>
      <c r="QTL80" s="2329"/>
      <c r="QTM80" s="2329"/>
      <c r="QTN80" s="2329"/>
      <c r="QTO80" s="2329"/>
      <c r="QTP80" s="2329"/>
      <c r="QTQ80" s="2329"/>
      <c r="QTR80" s="2329"/>
      <c r="QTS80" s="2328"/>
      <c r="QTT80" s="2329"/>
      <c r="QTU80" s="2329"/>
      <c r="QTV80" s="2329"/>
      <c r="QTW80" s="2329"/>
      <c r="QTX80" s="2329"/>
      <c r="QTY80" s="2329"/>
      <c r="QTZ80" s="2329"/>
      <c r="QUA80" s="2329"/>
      <c r="QUB80" s="2329"/>
      <c r="QUC80" s="2329"/>
      <c r="QUD80" s="2329"/>
      <c r="QUE80" s="2329"/>
      <c r="QUF80" s="2329"/>
      <c r="QUG80" s="2329"/>
      <c r="QUH80" s="2329"/>
      <c r="QUI80" s="2328"/>
      <c r="QUJ80" s="2329"/>
      <c r="QUK80" s="2329"/>
      <c r="QUL80" s="2329"/>
      <c r="QUM80" s="2329"/>
      <c r="QUN80" s="2329"/>
      <c r="QUO80" s="2329"/>
      <c r="QUP80" s="2329"/>
      <c r="QUQ80" s="2329"/>
      <c r="QUR80" s="2329"/>
      <c r="QUS80" s="2329"/>
      <c r="QUT80" s="2329"/>
      <c r="QUU80" s="2329"/>
      <c r="QUV80" s="2329"/>
      <c r="QUW80" s="2329"/>
      <c r="QUX80" s="2329"/>
      <c r="QUY80" s="2328"/>
      <c r="QUZ80" s="2329"/>
      <c r="QVA80" s="2329"/>
      <c r="QVB80" s="2329"/>
      <c r="QVC80" s="2329"/>
      <c r="QVD80" s="2329"/>
      <c r="QVE80" s="2329"/>
      <c r="QVF80" s="2329"/>
      <c r="QVG80" s="2329"/>
      <c r="QVH80" s="2329"/>
      <c r="QVI80" s="2329"/>
      <c r="QVJ80" s="2329"/>
      <c r="QVK80" s="2329"/>
      <c r="QVL80" s="2329"/>
      <c r="QVM80" s="2329"/>
      <c r="QVN80" s="2329"/>
      <c r="QVO80" s="2328"/>
      <c r="QVP80" s="2329"/>
      <c r="QVQ80" s="2329"/>
      <c r="QVR80" s="2329"/>
      <c r="QVS80" s="2329"/>
      <c r="QVT80" s="2329"/>
      <c r="QVU80" s="2329"/>
      <c r="QVV80" s="2329"/>
      <c r="QVW80" s="2329"/>
      <c r="QVX80" s="2329"/>
      <c r="QVY80" s="2329"/>
      <c r="QVZ80" s="2329"/>
      <c r="QWA80" s="2329"/>
      <c r="QWB80" s="2329"/>
      <c r="QWC80" s="2329"/>
      <c r="QWD80" s="2329"/>
      <c r="QWE80" s="2328"/>
      <c r="QWF80" s="2329"/>
      <c r="QWG80" s="2329"/>
      <c r="QWH80" s="2329"/>
      <c r="QWI80" s="2329"/>
      <c r="QWJ80" s="2329"/>
      <c r="QWK80" s="2329"/>
      <c r="QWL80" s="2329"/>
      <c r="QWM80" s="2329"/>
      <c r="QWN80" s="2329"/>
      <c r="QWO80" s="2329"/>
      <c r="QWP80" s="2329"/>
      <c r="QWQ80" s="2329"/>
      <c r="QWR80" s="2329"/>
      <c r="QWS80" s="2329"/>
      <c r="QWT80" s="2329"/>
      <c r="QWU80" s="2328"/>
      <c r="QWV80" s="2329"/>
      <c r="QWW80" s="2329"/>
      <c r="QWX80" s="2329"/>
      <c r="QWY80" s="2329"/>
      <c r="QWZ80" s="2329"/>
      <c r="QXA80" s="2329"/>
      <c r="QXB80" s="2329"/>
      <c r="QXC80" s="2329"/>
      <c r="QXD80" s="2329"/>
      <c r="QXE80" s="2329"/>
      <c r="QXF80" s="2329"/>
      <c r="QXG80" s="2329"/>
      <c r="QXH80" s="2329"/>
      <c r="QXI80" s="2329"/>
      <c r="QXJ80" s="2329"/>
      <c r="QXK80" s="2328"/>
      <c r="QXL80" s="2329"/>
      <c r="QXM80" s="2329"/>
      <c r="QXN80" s="2329"/>
      <c r="QXO80" s="2329"/>
      <c r="QXP80" s="2329"/>
      <c r="QXQ80" s="2329"/>
      <c r="QXR80" s="2329"/>
      <c r="QXS80" s="2329"/>
      <c r="QXT80" s="2329"/>
      <c r="QXU80" s="2329"/>
      <c r="QXV80" s="2329"/>
      <c r="QXW80" s="2329"/>
      <c r="QXX80" s="2329"/>
      <c r="QXY80" s="2329"/>
      <c r="QXZ80" s="2329"/>
      <c r="QYA80" s="2328"/>
      <c r="QYB80" s="2329"/>
      <c r="QYC80" s="2329"/>
      <c r="QYD80" s="2329"/>
      <c r="QYE80" s="2329"/>
      <c r="QYF80" s="2329"/>
      <c r="QYG80" s="2329"/>
      <c r="QYH80" s="2329"/>
      <c r="QYI80" s="2329"/>
      <c r="QYJ80" s="2329"/>
      <c r="QYK80" s="2329"/>
      <c r="QYL80" s="2329"/>
      <c r="QYM80" s="2329"/>
      <c r="QYN80" s="2329"/>
      <c r="QYO80" s="2329"/>
      <c r="QYP80" s="2329"/>
      <c r="QYQ80" s="2328"/>
      <c r="QYR80" s="2329"/>
      <c r="QYS80" s="2329"/>
      <c r="QYT80" s="2329"/>
      <c r="QYU80" s="2329"/>
      <c r="QYV80" s="2329"/>
      <c r="QYW80" s="2329"/>
      <c r="QYX80" s="2329"/>
      <c r="QYY80" s="2329"/>
      <c r="QYZ80" s="2329"/>
      <c r="QZA80" s="2329"/>
      <c r="QZB80" s="2329"/>
      <c r="QZC80" s="2329"/>
      <c r="QZD80" s="2329"/>
      <c r="QZE80" s="2329"/>
      <c r="QZF80" s="2329"/>
      <c r="QZG80" s="2328"/>
      <c r="QZH80" s="2329"/>
      <c r="QZI80" s="2329"/>
      <c r="QZJ80" s="2329"/>
      <c r="QZK80" s="2329"/>
      <c r="QZL80" s="2329"/>
      <c r="QZM80" s="2329"/>
      <c r="QZN80" s="2329"/>
      <c r="QZO80" s="2329"/>
      <c r="QZP80" s="2329"/>
      <c r="QZQ80" s="2329"/>
      <c r="QZR80" s="2329"/>
      <c r="QZS80" s="2329"/>
      <c r="QZT80" s="2329"/>
      <c r="QZU80" s="2329"/>
      <c r="QZV80" s="2329"/>
      <c r="QZW80" s="2328"/>
      <c r="QZX80" s="2329"/>
      <c r="QZY80" s="2329"/>
      <c r="QZZ80" s="2329"/>
      <c r="RAA80" s="2329"/>
      <c r="RAB80" s="2329"/>
      <c r="RAC80" s="2329"/>
      <c r="RAD80" s="2329"/>
      <c r="RAE80" s="2329"/>
      <c r="RAF80" s="2329"/>
      <c r="RAG80" s="2329"/>
      <c r="RAH80" s="2329"/>
      <c r="RAI80" s="2329"/>
      <c r="RAJ80" s="2329"/>
      <c r="RAK80" s="2329"/>
      <c r="RAL80" s="2329"/>
      <c r="RAM80" s="2328"/>
      <c r="RAN80" s="2329"/>
      <c r="RAO80" s="2329"/>
      <c r="RAP80" s="2329"/>
      <c r="RAQ80" s="2329"/>
      <c r="RAR80" s="2329"/>
      <c r="RAS80" s="2329"/>
      <c r="RAT80" s="2329"/>
      <c r="RAU80" s="2329"/>
      <c r="RAV80" s="2329"/>
      <c r="RAW80" s="2329"/>
      <c r="RAX80" s="2329"/>
      <c r="RAY80" s="2329"/>
      <c r="RAZ80" s="2329"/>
      <c r="RBA80" s="2329"/>
      <c r="RBB80" s="2329"/>
      <c r="RBC80" s="2328"/>
      <c r="RBD80" s="2329"/>
      <c r="RBE80" s="2329"/>
      <c r="RBF80" s="2329"/>
      <c r="RBG80" s="2329"/>
      <c r="RBH80" s="2329"/>
      <c r="RBI80" s="2329"/>
      <c r="RBJ80" s="2329"/>
      <c r="RBK80" s="2329"/>
      <c r="RBL80" s="2329"/>
      <c r="RBM80" s="2329"/>
      <c r="RBN80" s="2329"/>
      <c r="RBO80" s="2329"/>
      <c r="RBP80" s="2329"/>
      <c r="RBQ80" s="2329"/>
      <c r="RBR80" s="2329"/>
      <c r="RBS80" s="2328"/>
      <c r="RBT80" s="2329"/>
      <c r="RBU80" s="2329"/>
      <c r="RBV80" s="2329"/>
      <c r="RBW80" s="2329"/>
      <c r="RBX80" s="2329"/>
      <c r="RBY80" s="2329"/>
      <c r="RBZ80" s="2329"/>
      <c r="RCA80" s="2329"/>
      <c r="RCB80" s="2329"/>
      <c r="RCC80" s="2329"/>
      <c r="RCD80" s="2329"/>
      <c r="RCE80" s="2329"/>
      <c r="RCF80" s="2329"/>
      <c r="RCG80" s="2329"/>
      <c r="RCH80" s="2329"/>
      <c r="RCI80" s="2328"/>
      <c r="RCJ80" s="2329"/>
      <c r="RCK80" s="2329"/>
      <c r="RCL80" s="2329"/>
      <c r="RCM80" s="2329"/>
      <c r="RCN80" s="2329"/>
      <c r="RCO80" s="2329"/>
      <c r="RCP80" s="2329"/>
      <c r="RCQ80" s="2329"/>
      <c r="RCR80" s="2329"/>
      <c r="RCS80" s="2329"/>
      <c r="RCT80" s="2329"/>
      <c r="RCU80" s="2329"/>
      <c r="RCV80" s="2329"/>
      <c r="RCW80" s="2329"/>
      <c r="RCX80" s="2329"/>
      <c r="RCY80" s="2328"/>
      <c r="RCZ80" s="2329"/>
      <c r="RDA80" s="2329"/>
      <c r="RDB80" s="2329"/>
      <c r="RDC80" s="2329"/>
      <c r="RDD80" s="2329"/>
      <c r="RDE80" s="2329"/>
      <c r="RDF80" s="2329"/>
      <c r="RDG80" s="2329"/>
      <c r="RDH80" s="2329"/>
      <c r="RDI80" s="2329"/>
      <c r="RDJ80" s="2329"/>
      <c r="RDK80" s="2329"/>
      <c r="RDL80" s="2329"/>
      <c r="RDM80" s="2329"/>
      <c r="RDN80" s="2329"/>
      <c r="RDO80" s="2328"/>
      <c r="RDP80" s="2329"/>
      <c r="RDQ80" s="2329"/>
      <c r="RDR80" s="2329"/>
      <c r="RDS80" s="2329"/>
      <c r="RDT80" s="2329"/>
      <c r="RDU80" s="2329"/>
      <c r="RDV80" s="2329"/>
      <c r="RDW80" s="2329"/>
      <c r="RDX80" s="2329"/>
      <c r="RDY80" s="2329"/>
      <c r="RDZ80" s="2329"/>
      <c r="REA80" s="2329"/>
      <c r="REB80" s="2329"/>
      <c r="REC80" s="2329"/>
      <c r="RED80" s="2329"/>
      <c r="REE80" s="2328"/>
      <c r="REF80" s="2329"/>
      <c r="REG80" s="2329"/>
      <c r="REH80" s="2329"/>
      <c r="REI80" s="2329"/>
      <c r="REJ80" s="2329"/>
      <c r="REK80" s="2329"/>
      <c r="REL80" s="2329"/>
      <c r="REM80" s="2329"/>
      <c r="REN80" s="2329"/>
      <c r="REO80" s="2329"/>
      <c r="REP80" s="2329"/>
      <c r="REQ80" s="2329"/>
      <c r="RER80" s="2329"/>
      <c r="RES80" s="2329"/>
      <c r="RET80" s="2329"/>
      <c r="REU80" s="2328"/>
      <c r="REV80" s="2329"/>
      <c r="REW80" s="2329"/>
      <c r="REX80" s="2329"/>
      <c r="REY80" s="2329"/>
      <c r="REZ80" s="2329"/>
      <c r="RFA80" s="2329"/>
      <c r="RFB80" s="2329"/>
      <c r="RFC80" s="2329"/>
      <c r="RFD80" s="2329"/>
      <c r="RFE80" s="2329"/>
      <c r="RFF80" s="2329"/>
      <c r="RFG80" s="2329"/>
      <c r="RFH80" s="2329"/>
      <c r="RFI80" s="2329"/>
      <c r="RFJ80" s="2329"/>
      <c r="RFK80" s="2328"/>
      <c r="RFL80" s="2329"/>
      <c r="RFM80" s="2329"/>
      <c r="RFN80" s="2329"/>
      <c r="RFO80" s="2329"/>
      <c r="RFP80" s="2329"/>
      <c r="RFQ80" s="2329"/>
      <c r="RFR80" s="2329"/>
      <c r="RFS80" s="2329"/>
      <c r="RFT80" s="2329"/>
      <c r="RFU80" s="2329"/>
      <c r="RFV80" s="2329"/>
      <c r="RFW80" s="2329"/>
      <c r="RFX80" s="2329"/>
      <c r="RFY80" s="2329"/>
      <c r="RFZ80" s="2329"/>
      <c r="RGA80" s="2328"/>
      <c r="RGB80" s="2329"/>
      <c r="RGC80" s="2329"/>
      <c r="RGD80" s="2329"/>
      <c r="RGE80" s="2329"/>
      <c r="RGF80" s="2329"/>
      <c r="RGG80" s="2329"/>
      <c r="RGH80" s="2329"/>
      <c r="RGI80" s="2329"/>
      <c r="RGJ80" s="2329"/>
      <c r="RGK80" s="2329"/>
      <c r="RGL80" s="2329"/>
      <c r="RGM80" s="2329"/>
      <c r="RGN80" s="2329"/>
      <c r="RGO80" s="2329"/>
      <c r="RGP80" s="2329"/>
      <c r="RGQ80" s="2328"/>
      <c r="RGR80" s="2329"/>
      <c r="RGS80" s="2329"/>
      <c r="RGT80" s="2329"/>
      <c r="RGU80" s="2329"/>
      <c r="RGV80" s="2329"/>
      <c r="RGW80" s="2329"/>
      <c r="RGX80" s="2329"/>
      <c r="RGY80" s="2329"/>
      <c r="RGZ80" s="2329"/>
      <c r="RHA80" s="2329"/>
      <c r="RHB80" s="2329"/>
      <c r="RHC80" s="2329"/>
      <c r="RHD80" s="2329"/>
      <c r="RHE80" s="2329"/>
      <c r="RHF80" s="2329"/>
      <c r="RHG80" s="2328"/>
      <c r="RHH80" s="2329"/>
      <c r="RHI80" s="2329"/>
      <c r="RHJ80" s="2329"/>
      <c r="RHK80" s="2329"/>
      <c r="RHL80" s="2329"/>
      <c r="RHM80" s="2329"/>
      <c r="RHN80" s="2329"/>
      <c r="RHO80" s="2329"/>
      <c r="RHP80" s="2329"/>
      <c r="RHQ80" s="2329"/>
      <c r="RHR80" s="2329"/>
      <c r="RHS80" s="2329"/>
      <c r="RHT80" s="2329"/>
      <c r="RHU80" s="2329"/>
      <c r="RHV80" s="2329"/>
      <c r="RHW80" s="2328"/>
      <c r="RHX80" s="2329"/>
      <c r="RHY80" s="2329"/>
      <c r="RHZ80" s="2329"/>
      <c r="RIA80" s="2329"/>
      <c r="RIB80" s="2329"/>
      <c r="RIC80" s="2329"/>
      <c r="RID80" s="2329"/>
      <c r="RIE80" s="2329"/>
      <c r="RIF80" s="2329"/>
      <c r="RIG80" s="2329"/>
      <c r="RIH80" s="2329"/>
      <c r="RII80" s="2329"/>
      <c r="RIJ80" s="2329"/>
      <c r="RIK80" s="2329"/>
      <c r="RIL80" s="2329"/>
      <c r="RIM80" s="2328"/>
      <c r="RIN80" s="2329"/>
      <c r="RIO80" s="2329"/>
      <c r="RIP80" s="2329"/>
      <c r="RIQ80" s="2329"/>
      <c r="RIR80" s="2329"/>
      <c r="RIS80" s="2329"/>
      <c r="RIT80" s="2329"/>
      <c r="RIU80" s="2329"/>
      <c r="RIV80" s="2329"/>
      <c r="RIW80" s="2329"/>
      <c r="RIX80" s="2329"/>
      <c r="RIY80" s="2329"/>
      <c r="RIZ80" s="2329"/>
      <c r="RJA80" s="2329"/>
      <c r="RJB80" s="2329"/>
      <c r="RJC80" s="2328"/>
      <c r="RJD80" s="2329"/>
      <c r="RJE80" s="2329"/>
      <c r="RJF80" s="2329"/>
      <c r="RJG80" s="2329"/>
      <c r="RJH80" s="2329"/>
      <c r="RJI80" s="2329"/>
      <c r="RJJ80" s="2329"/>
      <c r="RJK80" s="2329"/>
      <c r="RJL80" s="2329"/>
      <c r="RJM80" s="2329"/>
      <c r="RJN80" s="2329"/>
      <c r="RJO80" s="2329"/>
      <c r="RJP80" s="2329"/>
      <c r="RJQ80" s="2329"/>
      <c r="RJR80" s="2329"/>
      <c r="RJS80" s="2328"/>
      <c r="RJT80" s="2329"/>
      <c r="RJU80" s="2329"/>
      <c r="RJV80" s="2329"/>
      <c r="RJW80" s="2329"/>
      <c r="RJX80" s="2329"/>
      <c r="RJY80" s="2329"/>
      <c r="RJZ80" s="2329"/>
      <c r="RKA80" s="2329"/>
      <c r="RKB80" s="2329"/>
      <c r="RKC80" s="2329"/>
      <c r="RKD80" s="2329"/>
      <c r="RKE80" s="2329"/>
      <c r="RKF80" s="2329"/>
      <c r="RKG80" s="2329"/>
      <c r="RKH80" s="2329"/>
      <c r="RKI80" s="2328"/>
      <c r="RKJ80" s="2329"/>
      <c r="RKK80" s="2329"/>
      <c r="RKL80" s="2329"/>
      <c r="RKM80" s="2329"/>
      <c r="RKN80" s="2329"/>
      <c r="RKO80" s="2329"/>
      <c r="RKP80" s="2329"/>
      <c r="RKQ80" s="2329"/>
      <c r="RKR80" s="2329"/>
      <c r="RKS80" s="2329"/>
      <c r="RKT80" s="2329"/>
      <c r="RKU80" s="2329"/>
      <c r="RKV80" s="2329"/>
      <c r="RKW80" s="2329"/>
      <c r="RKX80" s="2329"/>
      <c r="RKY80" s="2328"/>
      <c r="RKZ80" s="2329"/>
      <c r="RLA80" s="2329"/>
      <c r="RLB80" s="2329"/>
      <c r="RLC80" s="2329"/>
      <c r="RLD80" s="2329"/>
      <c r="RLE80" s="2329"/>
      <c r="RLF80" s="2329"/>
      <c r="RLG80" s="2329"/>
      <c r="RLH80" s="2329"/>
      <c r="RLI80" s="2329"/>
      <c r="RLJ80" s="2329"/>
      <c r="RLK80" s="2329"/>
      <c r="RLL80" s="2329"/>
      <c r="RLM80" s="2329"/>
      <c r="RLN80" s="2329"/>
      <c r="RLO80" s="2328"/>
      <c r="RLP80" s="2329"/>
      <c r="RLQ80" s="2329"/>
      <c r="RLR80" s="2329"/>
      <c r="RLS80" s="2329"/>
      <c r="RLT80" s="2329"/>
      <c r="RLU80" s="2329"/>
      <c r="RLV80" s="2329"/>
      <c r="RLW80" s="2329"/>
      <c r="RLX80" s="2329"/>
      <c r="RLY80" s="2329"/>
      <c r="RLZ80" s="2329"/>
      <c r="RMA80" s="2329"/>
      <c r="RMB80" s="2329"/>
      <c r="RMC80" s="2329"/>
      <c r="RMD80" s="2329"/>
      <c r="RME80" s="2328"/>
      <c r="RMF80" s="2329"/>
      <c r="RMG80" s="2329"/>
      <c r="RMH80" s="2329"/>
      <c r="RMI80" s="2329"/>
      <c r="RMJ80" s="2329"/>
      <c r="RMK80" s="2329"/>
      <c r="RML80" s="2329"/>
      <c r="RMM80" s="2329"/>
      <c r="RMN80" s="2329"/>
      <c r="RMO80" s="2329"/>
      <c r="RMP80" s="2329"/>
      <c r="RMQ80" s="2329"/>
      <c r="RMR80" s="2329"/>
      <c r="RMS80" s="2329"/>
      <c r="RMT80" s="2329"/>
      <c r="RMU80" s="2328"/>
      <c r="RMV80" s="2329"/>
      <c r="RMW80" s="2329"/>
      <c r="RMX80" s="2329"/>
      <c r="RMY80" s="2329"/>
      <c r="RMZ80" s="2329"/>
      <c r="RNA80" s="2329"/>
      <c r="RNB80" s="2329"/>
      <c r="RNC80" s="2329"/>
      <c r="RND80" s="2329"/>
      <c r="RNE80" s="2329"/>
      <c r="RNF80" s="2329"/>
      <c r="RNG80" s="2329"/>
      <c r="RNH80" s="2329"/>
      <c r="RNI80" s="2329"/>
      <c r="RNJ80" s="2329"/>
      <c r="RNK80" s="2328"/>
      <c r="RNL80" s="2329"/>
      <c r="RNM80" s="2329"/>
      <c r="RNN80" s="2329"/>
      <c r="RNO80" s="2329"/>
      <c r="RNP80" s="2329"/>
      <c r="RNQ80" s="2329"/>
      <c r="RNR80" s="2329"/>
      <c r="RNS80" s="2329"/>
      <c r="RNT80" s="2329"/>
      <c r="RNU80" s="2329"/>
      <c r="RNV80" s="2329"/>
      <c r="RNW80" s="2329"/>
      <c r="RNX80" s="2329"/>
      <c r="RNY80" s="2329"/>
      <c r="RNZ80" s="2329"/>
      <c r="ROA80" s="2328"/>
      <c r="ROB80" s="2329"/>
      <c r="ROC80" s="2329"/>
      <c r="ROD80" s="2329"/>
      <c r="ROE80" s="2329"/>
      <c r="ROF80" s="2329"/>
      <c r="ROG80" s="2329"/>
      <c r="ROH80" s="2329"/>
      <c r="ROI80" s="2329"/>
      <c r="ROJ80" s="2329"/>
      <c r="ROK80" s="2329"/>
      <c r="ROL80" s="2329"/>
      <c r="ROM80" s="2329"/>
      <c r="RON80" s="2329"/>
      <c r="ROO80" s="2329"/>
      <c r="ROP80" s="2329"/>
      <c r="ROQ80" s="2328"/>
      <c r="ROR80" s="2329"/>
      <c r="ROS80" s="2329"/>
      <c r="ROT80" s="2329"/>
      <c r="ROU80" s="2329"/>
      <c r="ROV80" s="2329"/>
      <c r="ROW80" s="2329"/>
      <c r="ROX80" s="2329"/>
      <c r="ROY80" s="2329"/>
      <c r="ROZ80" s="2329"/>
      <c r="RPA80" s="2329"/>
      <c r="RPB80" s="2329"/>
      <c r="RPC80" s="2329"/>
      <c r="RPD80" s="2329"/>
      <c r="RPE80" s="2329"/>
      <c r="RPF80" s="2329"/>
      <c r="RPG80" s="2328"/>
      <c r="RPH80" s="2329"/>
      <c r="RPI80" s="2329"/>
      <c r="RPJ80" s="2329"/>
      <c r="RPK80" s="2329"/>
      <c r="RPL80" s="2329"/>
      <c r="RPM80" s="2329"/>
      <c r="RPN80" s="2329"/>
      <c r="RPO80" s="2329"/>
      <c r="RPP80" s="2329"/>
      <c r="RPQ80" s="2329"/>
      <c r="RPR80" s="2329"/>
      <c r="RPS80" s="2329"/>
      <c r="RPT80" s="2329"/>
      <c r="RPU80" s="2329"/>
      <c r="RPV80" s="2329"/>
      <c r="RPW80" s="2328"/>
      <c r="RPX80" s="2329"/>
      <c r="RPY80" s="2329"/>
      <c r="RPZ80" s="2329"/>
      <c r="RQA80" s="2329"/>
      <c r="RQB80" s="2329"/>
      <c r="RQC80" s="2329"/>
      <c r="RQD80" s="2329"/>
      <c r="RQE80" s="2329"/>
      <c r="RQF80" s="2329"/>
      <c r="RQG80" s="2329"/>
      <c r="RQH80" s="2329"/>
      <c r="RQI80" s="2329"/>
      <c r="RQJ80" s="2329"/>
      <c r="RQK80" s="2329"/>
      <c r="RQL80" s="2329"/>
      <c r="RQM80" s="2328"/>
      <c r="RQN80" s="2329"/>
      <c r="RQO80" s="2329"/>
      <c r="RQP80" s="2329"/>
      <c r="RQQ80" s="2329"/>
      <c r="RQR80" s="2329"/>
      <c r="RQS80" s="2329"/>
      <c r="RQT80" s="2329"/>
      <c r="RQU80" s="2329"/>
      <c r="RQV80" s="2329"/>
      <c r="RQW80" s="2329"/>
      <c r="RQX80" s="2329"/>
      <c r="RQY80" s="2329"/>
      <c r="RQZ80" s="2329"/>
      <c r="RRA80" s="2329"/>
      <c r="RRB80" s="2329"/>
      <c r="RRC80" s="2328"/>
      <c r="RRD80" s="2329"/>
      <c r="RRE80" s="2329"/>
      <c r="RRF80" s="2329"/>
      <c r="RRG80" s="2329"/>
      <c r="RRH80" s="2329"/>
      <c r="RRI80" s="2329"/>
      <c r="RRJ80" s="2329"/>
      <c r="RRK80" s="2329"/>
      <c r="RRL80" s="2329"/>
      <c r="RRM80" s="2329"/>
      <c r="RRN80" s="2329"/>
      <c r="RRO80" s="2329"/>
      <c r="RRP80" s="2329"/>
      <c r="RRQ80" s="2329"/>
      <c r="RRR80" s="2329"/>
      <c r="RRS80" s="2328"/>
      <c r="RRT80" s="2329"/>
      <c r="RRU80" s="2329"/>
      <c r="RRV80" s="2329"/>
      <c r="RRW80" s="2329"/>
      <c r="RRX80" s="2329"/>
      <c r="RRY80" s="2329"/>
      <c r="RRZ80" s="2329"/>
      <c r="RSA80" s="2329"/>
      <c r="RSB80" s="2329"/>
      <c r="RSC80" s="2329"/>
      <c r="RSD80" s="2329"/>
      <c r="RSE80" s="2329"/>
      <c r="RSF80" s="2329"/>
      <c r="RSG80" s="2329"/>
      <c r="RSH80" s="2329"/>
      <c r="RSI80" s="2328"/>
      <c r="RSJ80" s="2329"/>
      <c r="RSK80" s="2329"/>
      <c r="RSL80" s="2329"/>
      <c r="RSM80" s="2329"/>
      <c r="RSN80" s="2329"/>
      <c r="RSO80" s="2329"/>
      <c r="RSP80" s="2329"/>
      <c r="RSQ80" s="2329"/>
      <c r="RSR80" s="2329"/>
      <c r="RSS80" s="2329"/>
      <c r="RST80" s="2329"/>
      <c r="RSU80" s="2329"/>
      <c r="RSV80" s="2329"/>
      <c r="RSW80" s="2329"/>
      <c r="RSX80" s="2329"/>
      <c r="RSY80" s="2328"/>
      <c r="RSZ80" s="2329"/>
      <c r="RTA80" s="2329"/>
      <c r="RTB80" s="2329"/>
      <c r="RTC80" s="2329"/>
      <c r="RTD80" s="2329"/>
      <c r="RTE80" s="2329"/>
      <c r="RTF80" s="2329"/>
      <c r="RTG80" s="2329"/>
      <c r="RTH80" s="2329"/>
      <c r="RTI80" s="2329"/>
      <c r="RTJ80" s="2329"/>
      <c r="RTK80" s="2329"/>
      <c r="RTL80" s="2329"/>
      <c r="RTM80" s="2329"/>
      <c r="RTN80" s="2329"/>
      <c r="RTO80" s="2328"/>
      <c r="RTP80" s="2329"/>
      <c r="RTQ80" s="2329"/>
      <c r="RTR80" s="2329"/>
      <c r="RTS80" s="2329"/>
      <c r="RTT80" s="2329"/>
      <c r="RTU80" s="2329"/>
      <c r="RTV80" s="2329"/>
      <c r="RTW80" s="2329"/>
      <c r="RTX80" s="2329"/>
      <c r="RTY80" s="2329"/>
      <c r="RTZ80" s="2329"/>
      <c r="RUA80" s="2329"/>
      <c r="RUB80" s="2329"/>
      <c r="RUC80" s="2329"/>
      <c r="RUD80" s="2329"/>
      <c r="RUE80" s="2328"/>
      <c r="RUF80" s="2329"/>
      <c r="RUG80" s="2329"/>
      <c r="RUH80" s="2329"/>
      <c r="RUI80" s="2329"/>
      <c r="RUJ80" s="2329"/>
      <c r="RUK80" s="2329"/>
      <c r="RUL80" s="2329"/>
      <c r="RUM80" s="2329"/>
      <c r="RUN80" s="2329"/>
      <c r="RUO80" s="2329"/>
      <c r="RUP80" s="2329"/>
      <c r="RUQ80" s="2329"/>
      <c r="RUR80" s="2329"/>
      <c r="RUS80" s="2329"/>
      <c r="RUT80" s="2329"/>
      <c r="RUU80" s="2328"/>
      <c r="RUV80" s="2329"/>
      <c r="RUW80" s="2329"/>
      <c r="RUX80" s="2329"/>
      <c r="RUY80" s="2329"/>
      <c r="RUZ80" s="2329"/>
      <c r="RVA80" s="2329"/>
      <c r="RVB80" s="2329"/>
      <c r="RVC80" s="2329"/>
      <c r="RVD80" s="2329"/>
      <c r="RVE80" s="2329"/>
      <c r="RVF80" s="2329"/>
      <c r="RVG80" s="2329"/>
      <c r="RVH80" s="2329"/>
      <c r="RVI80" s="2329"/>
      <c r="RVJ80" s="2329"/>
      <c r="RVK80" s="2328"/>
      <c r="RVL80" s="2329"/>
      <c r="RVM80" s="2329"/>
      <c r="RVN80" s="2329"/>
      <c r="RVO80" s="2329"/>
      <c r="RVP80" s="2329"/>
      <c r="RVQ80" s="2329"/>
      <c r="RVR80" s="2329"/>
      <c r="RVS80" s="2329"/>
      <c r="RVT80" s="2329"/>
      <c r="RVU80" s="2329"/>
      <c r="RVV80" s="2329"/>
      <c r="RVW80" s="2329"/>
      <c r="RVX80" s="2329"/>
      <c r="RVY80" s="2329"/>
      <c r="RVZ80" s="2329"/>
      <c r="RWA80" s="2328"/>
      <c r="RWB80" s="2329"/>
      <c r="RWC80" s="2329"/>
      <c r="RWD80" s="2329"/>
      <c r="RWE80" s="2329"/>
      <c r="RWF80" s="2329"/>
      <c r="RWG80" s="2329"/>
      <c r="RWH80" s="2329"/>
      <c r="RWI80" s="2329"/>
      <c r="RWJ80" s="2329"/>
      <c r="RWK80" s="2329"/>
      <c r="RWL80" s="2329"/>
      <c r="RWM80" s="2329"/>
      <c r="RWN80" s="2329"/>
      <c r="RWO80" s="2329"/>
      <c r="RWP80" s="2329"/>
      <c r="RWQ80" s="2328"/>
      <c r="RWR80" s="2329"/>
      <c r="RWS80" s="2329"/>
      <c r="RWT80" s="2329"/>
      <c r="RWU80" s="2329"/>
      <c r="RWV80" s="2329"/>
      <c r="RWW80" s="2329"/>
      <c r="RWX80" s="2329"/>
      <c r="RWY80" s="2329"/>
      <c r="RWZ80" s="2329"/>
      <c r="RXA80" s="2329"/>
      <c r="RXB80" s="2329"/>
      <c r="RXC80" s="2329"/>
      <c r="RXD80" s="2329"/>
      <c r="RXE80" s="2329"/>
      <c r="RXF80" s="2329"/>
      <c r="RXG80" s="2328"/>
      <c r="RXH80" s="2329"/>
      <c r="RXI80" s="2329"/>
      <c r="RXJ80" s="2329"/>
      <c r="RXK80" s="2329"/>
      <c r="RXL80" s="2329"/>
      <c r="RXM80" s="2329"/>
      <c r="RXN80" s="2329"/>
      <c r="RXO80" s="2329"/>
      <c r="RXP80" s="2329"/>
      <c r="RXQ80" s="2329"/>
      <c r="RXR80" s="2329"/>
      <c r="RXS80" s="2329"/>
      <c r="RXT80" s="2329"/>
      <c r="RXU80" s="2329"/>
      <c r="RXV80" s="2329"/>
      <c r="RXW80" s="2328"/>
      <c r="RXX80" s="2329"/>
      <c r="RXY80" s="2329"/>
      <c r="RXZ80" s="2329"/>
      <c r="RYA80" s="2329"/>
      <c r="RYB80" s="2329"/>
      <c r="RYC80" s="2329"/>
      <c r="RYD80" s="2329"/>
      <c r="RYE80" s="2329"/>
      <c r="RYF80" s="2329"/>
      <c r="RYG80" s="2329"/>
      <c r="RYH80" s="2329"/>
      <c r="RYI80" s="2329"/>
      <c r="RYJ80" s="2329"/>
      <c r="RYK80" s="2329"/>
      <c r="RYL80" s="2329"/>
      <c r="RYM80" s="2328"/>
      <c r="RYN80" s="2329"/>
      <c r="RYO80" s="2329"/>
      <c r="RYP80" s="2329"/>
      <c r="RYQ80" s="2329"/>
      <c r="RYR80" s="2329"/>
      <c r="RYS80" s="2329"/>
      <c r="RYT80" s="2329"/>
      <c r="RYU80" s="2329"/>
      <c r="RYV80" s="2329"/>
      <c r="RYW80" s="2329"/>
      <c r="RYX80" s="2329"/>
      <c r="RYY80" s="2329"/>
      <c r="RYZ80" s="2329"/>
      <c r="RZA80" s="2329"/>
      <c r="RZB80" s="2329"/>
      <c r="RZC80" s="2328"/>
      <c r="RZD80" s="2329"/>
      <c r="RZE80" s="2329"/>
      <c r="RZF80" s="2329"/>
      <c r="RZG80" s="2329"/>
      <c r="RZH80" s="2329"/>
      <c r="RZI80" s="2329"/>
      <c r="RZJ80" s="2329"/>
      <c r="RZK80" s="2329"/>
      <c r="RZL80" s="2329"/>
      <c r="RZM80" s="2329"/>
      <c r="RZN80" s="2329"/>
      <c r="RZO80" s="2329"/>
      <c r="RZP80" s="2329"/>
      <c r="RZQ80" s="2329"/>
      <c r="RZR80" s="2329"/>
      <c r="RZS80" s="2328"/>
      <c r="RZT80" s="2329"/>
      <c r="RZU80" s="2329"/>
      <c r="RZV80" s="2329"/>
      <c r="RZW80" s="2329"/>
      <c r="RZX80" s="2329"/>
      <c r="RZY80" s="2329"/>
      <c r="RZZ80" s="2329"/>
      <c r="SAA80" s="2329"/>
      <c r="SAB80" s="2329"/>
      <c r="SAC80" s="2329"/>
      <c r="SAD80" s="2329"/>
      <c r="SAE80" s="2329"/>
      <c r="SAF80" s="2329"/>
      <c r="SAG80" s="2329"/>
      <c r="SAH80" s="2329"/>
      <c r="SAI80" s="2328"/>
      <c r="SAJ80" s="2329"/>
      <c r="SAK80" s="2329"/>
      <c r="SAL80" s="2329"/>
      <c r="SAM80" s="2329"/>
      <c r="SAN80" s="2329"/>
      <c r="SAO80" s="2329"/>
      <c r="SAP80" s="2329"/>
      <c r="SAQ80" s="2329"/>
      <c r="SAR80" s="2329"/>
      <c r="SAS80" s="2329"/>
      <c r="SAT80" s="2329"/>
      <c r="SAU80" s="2329"/>
      <c r="SAV80" s="2329"/>
      <c r="SAW80" s="2329"/>
      <c r="SAX80" s="2329"/>
      <c r="SAY80" s="2328"/>
      <c r="SAZ80" s="2329"/>
      <c r="SBA80" s="2329"/>
      <c r="SBB80" s="2329"/>
      <c r="SBC80" s="2329"/>
      <c r="SBD80" s="2329"/>
      <c r="SBE80" s="2329"/>
      <c r="SBF80" s="2329"/>
      <c r="SBG80" s="2329"/>
      <c r="SBH80" s="2329"/>
      <c r="SBI80" s="2329"/>
      <c r="SBJ80" s="2329"/>
      <c r="SBK80" s="2329"/>
      <c r="SBL80" s="2329"/>
      <c r="SBM80" s="2329"/>
      <c r="SBN80" s="2329"/>
      <c r="SBO80" s="2328"/>
      <c r="SBP80" s="2329"/>
      <c r="SBQ80" s="2329"/>
      <c r="SBR80" s="2329"/>
      <c r="SBS80" s="2329"/>
      <c r="SBT80" s="2329"/>
      <c r="SBU80" s="2329"/>
      <c r="SBV80" s="2329"/>
      <c r="SBW80" s="2329"/>
      <c r="SBX80" s="2329"/>
      <c r="SBY80" s="2329"/>
      <c r="SBZ80" s="2329"/>
      <c r="SCA80" s="2329"/>
      <c r="SCB80" s="2329"/>
      <c r="SCC80" s="2329"/>
      <c r="SCD80" s="2329"/>
      <c r="SCE80" s="2328"/>
      <c r="SCF80" s="2329"/>
      <c r="SCG80" s="2329"/>
      <c r="SCH80" s="2329"/>
      <c r="SCI80" s="2329"/>
      <c r="SCJ80" s="2329"/>
      <c r="SCK80" s="2329"/>
      <c r="SCL80" s="2329"/>
      <c r="SCM80" s="2329"/>
      <c r="SCN80" s="2329"/>
      <c r="SCO80" s="2329"/>
      <c r="SCP80" s="2329"/>
      <c r="SCQ80" s="2329"/>
      <c r="SCR80" s="2329"/>
      <c r="SCS80" s="2329"/>
      <c r="SCT80" s="2329"/>
      <c r="SCU80" s="2328"/>
      <c r="SCV80" s="2329"/>
      <c r="SCW80" s="2329"/>
      <c r="SCX80" s="2329"/>
      <c r="SCY80" s="2329"/>
      <c r="SCZ80" s="2329"/>
      <c r="SDA80" s="2329"/>
      <c r="SDB80" s="2329"/>
      <c r="SDC80" s="2329"/>
      <c r="SDD80" s="2329"/>
      <c r="SDE80" s="2329"/>
      <c r="SDF80" s="2329"/>
      <c r="SDG80" s="2329"/>
      <c r="SDH80" s="2329"/>
      <c r="SDI80" s="2329"/>
      <c r="SDJ80" s="2329"/>
      <c r="SDK80" s="2328"/>
      <c r="SDL80" s="2329"/>
      <c r="SDM80" s="2329"/>
      <c r="SDN80" s="2329"/>
      <c r="SDO80" s="2329"/>
      <c r="SDP80" s="2329"/>
      <c r="SDQ80" s="2329"/>
      <c r="SDR80" s="2329"/>
      <c r="SDS80" s="2329"/>
      <c r="SDT80" s="2329"/>
      <c r="SDU80" s="2329"/>
      <c r="SDV80" s="2329"/>
      <c r="SDW80" s="2329"/>
      <c r="SDX80" s="2329"/>
      <c r="SDY80" s="2329"/>
      <c r="SDZ80" s="2329"/>
      <c r="SEA80" s="2328"/>
      <c r="SEB80" s="2329"/>
      <c r="SEC80" s="2329"/>
      <c r="SED80" s="2329"/>
      <c r="SEE80" s="2329"/>
      <c r="SEF80" s="2329"/>
      <c r="SEG80" s="2329"/>
      <c r="SEH80" s="2329"/>
      <c r="SEI80" s="2329"/>
      <c r="SEJ80" s="2329"/>
      <c r="SEK80" s="2329"/>
      <c r="SEL80" s="2329"/>
      <c r="SEM80" s="2329"/>
      <c r="SEN80" s="2329"/>
      <c r="SEO80" s="2329"/>
      <c r="SEP80" s="2329"/>
      <c r="SEQ80" s="2328"/>
      <c r="SER80" s="2329"/>
      <c r="SES80" s="2329"/>
      <c r="SET80" s="2329"/>
      <c r="SEU80" s="2329"/>
      <c r="SEV80" s="2329"/>
      <c r="SEW80" s="2329"/>
      <c r="SEX80" s="2329"/>
      <c r="SEY80" s="2329"/>
      <c r="SEZ80" s="2329"/>
      <c r="SFA80" s="2329"/>
      <c r="SFB80" s="2329"/>
      <c r="SFC80" s="2329"/>
      <c r="SFD80" s="2329"/>
      <c r="SFE80" s="2329"/>
      <c r="SFF80" s="2329"/>
      <c r="SFG80" s="2328"/>
      <c r="SFH80" s="2329"/>
      <c r="SFI80" s="2329"/>
      <c r="SFJ80" s="2329"/>
      <c r="SFK80" s="2329"/>
      <c r="SFL80" s="2329"/>
      <c r="SFM80" s="2329"/>
      <c r="SFN80" s="2329"/>
      <c r="SFO80" s="2329"/>
      <c r="SFP80" s="2329"/>
      <c r="SFQ80" s="2329"/>
      <c r="SFR80" s="2329"/>
      <c r="SFS80" s="2329"/>
      <c r="SFT80" s="2329"/>
      <c r="SFU80" s="2329"/>
      <c r="SFV80" s="2329"/>
      <c r="SFW80" s="2328"/>
      <c r="SFX80" s="2329"/>
      <c r="SFY80" s="2329"/>
      <c r="SFZ80" s="2329"/>
      <c r="SGA80" s="2329"/>
      <c r="SGB80" s="2329"/>
      <c r="SGC80" s="2329"/>
      <c r="SGD80" s="2329"/>
      <c r="SGE80" s="2329"/>
      <c r="SGF80" s="2329"/>
      <c r="SGG80" s="2329"/>
      <c r="SGH80" s="2329"/>
      <c r="SGI80" s="2329"/>
      <c r="SGJ80" s="2329"/>
      <c r="SGK80" s="2329"/>
      <c r="SGL80" s="2329"/>
      <c r="SGM80" s="2328"/>
      <c r="SGN80" s="2329"/>
      <c r="SGO80" s="2329"/>
      <c r="SGP80" s="2329"/>
      <c r="SGQ80" s="2329"/>
      <c r="SGR80" s="2329"/>
      <c r="SGS80" s="2329"/>
      <c r="SGT80" s="2329"/>
      <c r="SGU80" s="2329"/>
      <c r="SGV80" s="2329"/>
      <c r="SGW80" s="2329"/>
      <c r="SGX80" s="2329"/>
      <c r="SGY80" s="2329"/>
      <c r="SGZ80" s="2329"/>
      <c r="SHA80" s="2329"/>
      <c r="SHB80" s="2329"/>
      <c r="SHC80" s="2328"/>
      <c r="SHD80" s="2329"/>
      <c r="SHE80" s="2329"/>
      <c r="SHF80" s="2329"/>
      <c r="SHG80" s="2329"/>
      <c r="SHH80" s="2329"/>
      <c r="SHI80" s="2329"/>
      <c r="SHJ80" s="2329"/>
      <c r="SHK80" s="2329"/>
      <c r="SHL80" s="2329"/>
      <c r="SHM80" s="2329"/>
      <c r="SHN80" s="2329"/>
      <c r="SHO80" s="2329"/>
      <c r="SHP80" s="2329"/>
      <c r="SHQ80" s="2329"/>
      <c r="SHR80" s="2329"/>
      <c r="SHS80" s="2328"/>
      <c r="SHT80" s="2329"/>
      <c r="SHU80" s="2329"/>
      <c r="SHV80" s="2329"/>
      <c r="SHW80" s="2329"/>
      <c r="SHX80" s="2329"/>
      <c r="SHY80" s="2329"/>
      <c r="SHZ80" s="2329"/>
      <c r="SIA80" s="2329"/>
      <c r="SIB80" s="2329"/>
      <c r="SIC80" s="2329"/>
      <c r="SID80" s="2329"/>
      <c r="SIE80" s="2329"/>
      <c r="SIF80" s="2329"/>
      <c r="SIG80" s="2329"/>
      <c r="SIH80" s="2329"/>
      <c r="SII80" s="2328"/>
      <c r="SIJ80" s="2329"/>
      <c r="SIK80" s="2329"/>
      <c r="SIL80" s="2329"/>
      <c r="SIM80" s="2329"/>
      <c r="SIN80" s="2329"/>
      <c r="SIO80" s="2329"/>
      <c r="SIP80" s="2329"/>
      <c r="SIQ80" s="2329"/>
      <c r="SIR80" s="2329"/>
      <c r="SIS80" s="2329"/>
      <c r="SIT80" s="2329"/>
      <c r="SIU80" s="2329"/>
      <c r="SIV80" s="2329"/>
      <c r="SIW80" s="2329"/>
      <c r="SIX80" s="2329"/>
      <c r="SIY80" s="2328"/>
      <c r="SIZ80" s="2329"/>
      <c r="SJA80" s="2329"/>
      <c r="SJB80" s="2329"/>
      <c r="SJC80" s="2329"/>
      <c r="SJD80" s="2329"/>
      <c r="SJE80" s="2329"/>
      <c r="SJF80" s="2329"/>
      <c r="SJG80" s="2329"/>
      <c r="SJH80" s="2329"/>
      <c r="SJI80" s="2329"/>
      <c r="SJJ80" s="2329"/>
      <c r="SJK80" s="2329"/>
      <c r="SJL80" s="2329"/>
      <c r="SJM80" s="2329"/>
      <c r="SJN80" s="2329"/>
      <c r="SJO80" s="2328"/>
      <c r="SJP80" s="2329"/>
      <c r="SJQ80" s="2329"/>
      <c r="SJR80" s="2329"/>
      <c r="SJS80" s="2329"/>
      <c r="SJT80" s="2329"/>
      <c r="SJU80" s="2329"/>
      <c r="SJV80" s="2329"/>
      <c r="SJW80" s="2329"/>
      <c r="SJX80" s="2329"/>
      <c r="SJY80" s="2329"/>
      <c r="SJZ80" s="2329"/>
      <c r="SKA80" s="2329"/>
      <c r="SKB80" s="2329"/>
      <c r="SKC80" s="2329"/>
      <c r="SKD80" s="2329"/>
      <c r="SKE80" s="2328"/>
      <c r="SKF80" s="2329"/>
      <c r="SKG80" s="2329"/>
      <c r="SKH80" s="2329"/>
      <c r="SKI80" s="2329"/>
      <c r="SKJ80" s="2329"/>
      <c r="SKK80" s="2329"/>
      <c r="SKL80" s="2329"/>
      <c r="SKM80" s="2329"/>
      <c r="SKN80" s="2329"/>
      <c r="SKO80" s="2329"/>
      <c r="SKP80" s="2329"/>
      <c r="SKQ80" s="2329"/>
      <c r="SKR80" s="2329"/>
      <c r="SKS80" s="2329"/>
      <c r="SKT80" s="2329"/>
      <c r="SKU80" s="2328"/>
      <c r="SKV80" s="2329"/>
      <c r="SKW80" s="2329"/>
      <c r="SKX80" s="2329"/>
      <c r="SKY80" s="2329"/>
      <c r="SKZ80" s="2329"/>
      <c r="SLA80" s="2329"/>
      <c r="SLB80" s="2329"/>
      <c r="SLC80" s="2329"/>
      <c r="SLD80" s="2329"/>
      <c r="SLE80" s="2329"/>
      <c r="SLF80" s="2329"/>
      <c r="SLG80" s="2329"/>
      <c r="SLH80" s="2329"/>
      <c r="SLI80" s="2329"/>
      <c r="SLJ80" s="2329"/>
      <c r="SLK80" s="2328"/>
      <c r="SLL80" s="2329"/>
      <c r="SLM80" s="2329"/>
      <c r="SLN80" s="2329"/>
      <c r="SLO80" s="2329"/>
      <c r="SLP80" s="2329"/>
      <c r="SLQ80" s="2329"/>
      <c r="SLR80" s="2329"/>
      <c r="SLS80" s="2329"/>
      <c r="SLT80" s="2329"/>
      <c r="SLU80" s="2329"/>
      <c r="SLV80" s="2329"/>
      <c r="SLW80" s="2329"/>
      <c r="SLX80" s="2329"/>
      <c r="SLY80" s="2329"/>
      <c r="SLZ80" s="2329"/>
      <c r="SMA80" s="2328"/>
      <c r="SMB80" s="2329"/>
      <c r="SMC80" s="2329"/>
      <c r="SMD80" s="2329"/>
      <c r="SME80" s="2329"/>
      <c r="SMF80" s="2329"/>
      <c r="SMG80" s="2329"/>
      <c r="SMH80" s="2329"/>
      <c r="SMI80" s="2329"/>
      <c r="SMJ80" s="2329"/>
      <c r="SMK80" s="2329"/>
      <c r="SML80" s="2329"/>
      <c r="SMM80" s="2329"/>
      <c r="SMN80" s="2329"/>
      <c r="SMO80" s="2329"/>
      <c r="SMP80" s="2329"/>
      <c r="SMQ80" s="2328"/>
      <c r="SMR80" s="2329"/>
      <c r="SMS80" s="2329"/>
      <c r="SMT80" s="2329"/>
      <c r="SMU80" s="2329"/>
      <c r="SMV80" s="2329"/>
      <c r="SMW80" s="2329"/>
      <c r="SMX80" s="2329"/>
      <c r="SMY80" s="2329"/>
      <c r="SMZ80" s="2329"/>
      <c r="SNA80" s="2329"/>
      <c r="SNB80" s="2329"/>
      <c r="SNC80" s="2329"/>
      <c r="SND80" s="2329"/>
      <c r="SNE80" s="2329"/>
      <c r="SNF80" s="2329"/>
      <c r="SNG80" s="2328"/>
      <c r="SNH80" s="2329"/>
      <c r="SNI80" s="2329"/>
      <c r="SNJ80" s="2329"/>
      <c r="SNK80" s="2329"/>
      <c r="SNL80" s="2329"/>
      <c r="SNM80" s="2329"/>
      <c r="SNN80" s="2329"/>
      <c r="SNO80" s="2329"/>
      <c r="SNP80" s="2329"/>
      <c r="SNQ80" s="2329"/>
      <c r="SNR80" s="2329"/>
      <c r="SNS80" s="2329"/>
      <c r="SNT80" s="2329"/>
      <c r="SNU80" s="2329"/>
      <c r="SNV80" s="2329"/>
      <c r="SNW80" s="2328"/>
      <c r="SNX80" s="2329"/>
      <c r="SNY80" s="2329"/>
      <c r="SNZ80" s="2329"/>
      <c r="SOA80" s="2329"/>
      <c r="SOB80" s="2329"/>
      <c r="SOC80" s="2329"/>
      <c r="SOD80" s="2329"/>
      <c r="SOE80" s="2329"/>
      <c r="SOF80" s="2329"/>
      <c r="SOG80" s="2329"/>
      <c r="SOH80" s="2329"/>
      <c r="SOI80" s="2329"/>
      <c r="SOJ80" s="2329"/>
      <c r="SOK80" s="2329"/>
      <c r="SOL80" s="2329"/>
      <c r="SOM80" s="2328"/>
      <c r="SON80" s="2329"/>
      <c r="SOO80" s="2329"/>
      <c r="SOP80" s="2329"/>
      <c r="SOQ80" s="2329"/>
      <c r="SOR80" s="2329"/>
      <c r="SOS80" s="2329"/>
      <c r="SOT80" s="2329"/>
      <c r="SOU80" s="2329"/>
      <c r="SOV80" s="2329"/>
      <c r="SOW80" s="2329"/>
      <c r="SOX80" s="2329"/>
      <c r="SOY80" s="2329"/>
      <c r="SOZ80" s="2329"/>
      <c r="SPA80" s="2329"/>
      <c r="SPB80" s="2329"/>
      <c r="SPC80" s="2328"/>
      <c r="SPD80" s="2329"/>
      <c r="SPE80" s="2329"/>
      <c r="SPF80" s="2329"/>
      <c r="SPG80" s="2329"/>
      <c r="SPH80" s="2329"/>
      <c r="SPI80" s="2329"/>
      <c r="SPJ80" s="2329"/>
      <c r="SPK80" s="2329"/>
      <c r="SPL80" s="2329"/>
      <c r="SPM80" s="2329"/>
      <c r="SPN80" s="2329"/>
      <c r="SPO80" s="2329"/>
      <c r="SPP80" s="2329"/>
      <c r="SPQ80" s="2329"/>
      <c r="SPR80" s="2329"/>
      <c r="SPS80" s="2328"/>
      <c r="SPT80" s="2329"/>
      <c r="SPU80" s="2329"/>
      <c r="SPV80" s="2329"/>
      <c r="SPW80" s="2329"/>
      <c r="SPX80" s="2329"/>
      <c r="SPY80" s="2329"/>
      <c r="SPZ80" s="2329"/>
      <c r="SQA80" s="2329"/>
      <c r="SQB80" s="2329"/>
      <c r="SQC80" s="2329"/>
      <c r="SQD80" s="2329"/>
      <c r="SQE80" s="2329"/>
      <c r="SQF80" s="2329"/>
      <c r="SQG80" s="2329"/>
      <c r="SQH80" s="2329"/>
      <c r="SQI80" s="2328"/>
      <c r="SQJ80" s="2329"/>
      <c r="SQK80" s="2329"/>
      <c r="SQL80" s="2329"/>
      <c r="SQM80" s="2329"/>
      <c r="SQN80" s="2329"/>
      <c r="SQO80" s="2329"/>
      <c r="SQP80" s="2329"/>
      <c r="SQQ80" s="2329"/>
      <c r="SQR80" s="2329"/>
      <c r="SQS80" s="2329"/>
      <c r="SQT80" s="2329"/>
      <c r="SQU80" s="2329"/>
      <c r="SQV80" s="2329"/>
      <c r="SQW80" s="2329"/>
      <c r="SQX80" s="2329"/>
      <c r="SQY80" s="2328"/>
      <c r="SQZ80" s="2329"/>
      <c r="SRA80" s="2329"/>
      <c r="SRB80" s="2329"/>
      <c r="SRC80" s="2329"/>
      <c r="SRD80" s="2329"/>
      <c r="SRE80" s="2329"/>
      <c r="SRF80" s="2329"/>
      <c r="SRG80" s="2329"/>
      <c r="SRH80" s="2329"/>
      <c r="SRI80" s="2329"/>
      <c r="SRJ80" s="2329"/>
      <c r="SRK80" s="2329"/>
      <c r="SRL80" s="2329"/>
      <c r="SRM80" s="2329"/>
      <c r="SRN80" s="2329"/>
      <c r="SRO80" s="2328"/>
      <c r="SRP80" s="2329"/>
      <c r="SRQ80" s="2329"/>
      <c r="SRR80" s="2329"/>
      <c r="SRS80" s="2329"/>
      <c r="SRT80" s="2329"/>
      <c r="SRU80" s="2329"/>
      <c r="SRV80" s="2329"/>
      <c r="SRW80" s="2329"/>
      <c r="SRX80" s="2329"/>
      <c r="SRY80" s="2329"/>
      <c r="SRZ80" s="2329"/>
      <c r="SSA80" s="2329"/>
      <c r="SSB80" s="2329"/>
      <c r="SSC80" s="2329"/>
      <c r="SSD80" s="2329"/>
      <c r="SSE80" s="2328"/>
      <c r="SSF80" s="2329"/>
      <c r="SSG80" s="2329"/>
      <c r="SSH80" s="2329"/>
      <c r="SSI80" s="2329"/>
      <c r="SSJ80" s="2329"/>
      <c r="SSK80" s="2329"/>
      <c r="SSL80" s="2329"/>
      <c r="SSM80" s="2329"/>
      <c r="SSN80" s="2329"/>
      <c r="SSO80" s="2329"/>
      <c r="SSP80" s="2329"/>
      <c r="SSQ80" s="2329"/>
      <c r="SSR80" s="2329"/>
      <c r="SSS80" s="2329"/>
      <c r="SST80" s="2329"/>
      <c r="SSU80" s="2328"/>
      <c r="SSV80" s="2329"/>
      <c r="SSW80" s="2329"/>
      <c r="SSX80" s="2329"/>
      <c r="SSY80" s="2329"/>
      <c r="SSZ80" s="2329"/>
      <c r="STA80" s="2329"/>
      <c r="STB80" s="2329"/>
      <c r="STC80" s="2329"/>
      <c r="STD80" s="2329"/>
      <c r="STE80" s="2329"/>
      <c r="STF80" s="2329"/>
      <c r="STG80" s="2329"/>
      <c r="STH80" s="2329"/>
      <c r="STI80" s="2329"/>
      <c r="STJ80" s="2329"/>
      <c r="STK80" s="2328"/>
      <c r="STL80" s="2329"/>
      <c r="STM80" s="2329"/>
      <c r="STN80" s="2329"/>
      <c r="STO80" s="2329"/>
      <c r="STP80" s="2329"/>
      <c r="STQ80" s="2329"/>
      <c r="STR80" s="2329"/>
      <c r="STS80" s="2329"/>
      <c r="STT80" s="2329"/>
      <c r="STU80" s="2329"/>
      <c r="STV80" s="2329"/>
      <c r="STW80" s="2329"/>
      <c r="STX80" s="2329"/>
      <c r="STY80" s="2329"/>
      <c r="STZ80" s="2329"/>
      <c r="SUA80" s="2328"/>
      <c r="SUB80" s="2329"/>
      <c r="SUC80" s="2329"/>
      <c r="SUD80" s="2329"/>
      <c r="SUE80" s="2329"/>
      <c r="SUF80" s="2329"/>
      <c r="SUG80" s="2329"/>
      <c r="SUH80" s="2329"/>
      <c r="SUI80" s="2329"/>
      <c r="SUJ80" s="2329"/>
      <c r="SUK80" s="2329"/>
      <c r="SUL80" s="2329"/>
      <c r="SUM80" s="2329"/>
      <c r="SUN80" s="2329"/>
      <c r="SUO80" s="2329"/>
      <c r="SUP80" s="2329"/>
      <c r="SUQ80" s="2328"/>
      <c r="SUR80" s="2329"/>
      <c r="SUS80" s="2329"/>
      <c r="SUT80" s="2329"/>
      <c r="SUU80" s="2329"/>
      <c r="SUV80" s="2329"/>
      <c r="SUW80" s="2329"/>
      <c r="SUX80" s="2329"/>
      <c r="SUY80" s="2329"/>
      <c r="SUZ80" s="2329"/>
      <c r="SVA80" s="2329"/>
      <c r="SVB80" s="2329"/>
      <c r="SVC80" s="2329"/>
      <c r="SVD80" s="2329"/>
      <c r="SVE80" s="2329"/>
      <c r="SVF80" s="2329"/>
      <c r="SVG80" s="2328"/>
      <c r="SVH80" s="2329"/>
      <c r="SVI80" s="2329"/>
      <c r="SVJ80" s="2329"/>
      <c r="SVK80" s="2329"/>
      <c r="SVL80" s="2329"/>
      <c r="SVM80" s="2329"/>
      <c r="SVN80" s="2329"/>
      <c r="SVO80" s="2329"/>
      <c r="SVP80" s="2329"/>
      <c r="SVQ80" s="2329"/>
      <c r="SVR80" s="2329"/>
      <c r="SVS80" s="2329"/>
      <c r="SVT80" s="2329"/>
      <c r="SVU80" s="2329"/>
      <c r="SVV80" s="2329"/>
      <c r="SVW80" s="2328"/>
      <c r="SVX80" s="2329"/>
      <c r="SVY80" s="2329"/>
      <c r="SVZ80" s="2329"/>
      <c r="SWA80" s="2329"/>
      <c r="SWB80" s="2329"/>
      <c r="SWC80" s="2329"/>
      <c r="SWD80" s="2329"/>
      <c r="SWE80" s="2329"/>
      <c r="SWF80" s="2329"/>
      <c r="SWG80" s="2329"/>
      <c r="SWH80" s="2329"/>
      <c r="SWI80" s="2329"/>
      <c r="SWJ80" s="2329"/>
      <c r="SWK80" s="2329"/>
      <c r="SWL80" s="2329"/>
      <c r="SWM80" s="2328"/>
      <c r="SWN80" s="2329"/>
      <c r="SWO80" s="2329"/>
      <c r="SWP80" s="2329"/>
      <c r="SWQ80" s="2329"/>
      <c r="SWR80" s="2329"/>
      <c r="SWS80" s="2329"/>
      <c r="SWT80" s="2329"/>
      <c r="SWU80" s="2329"/>
      <c r="SWV80" s="2329"/>
      <c r="SWW80" s="2329"/>
      <c r="SWX80" s="2329"/>
      <c r="SWY80" s="2329"/>
      <c r="SWZ80" s="2329"/>
      <c r="SXA80" s="2329"/>
      <c r="SXB80" s="2329"/>
      <c r="SXC80" s="2328"/>
      <c r="SXD80" s="2329"/>
      <c r="SXE80" s="2329"/>
      <c r="SXF80" s="2329"/>
      <c r="SXG80" s="2329"/>
      <c r="SXH80" s="2329"/>
      <c r="SXI80" s="2329"/>
      <c r="SXJ80" s="2329"/>
      <c r="SXK80" s="2329"/>
      <c r="SXL80" s="2329"/>
      <c r="SXM80" s="2329"/>
      <c r="SXN80" s="2329"/>
      <c r="SXO80" s="2329"/>
      <c r="SXP80" s="2329"/>
      <c r="SXQ80" s="2329"/>
      <c r="SXR80" s="2329"/>
      <c r="SXS80" s="2328"/>
      <c r="SXT80" s="2329"/>
      <c r="SXU80" s="2329"/>
      <c r="SXV80" s="2329"/>
      <c r="SXW80" s="2329"/>
      <c r="SXX80" s="2329"/>
      <c r="SXY80" s="2329"/>
      <c r="SXZ80" s="2329"/>
      <c r="SYA80" s="2329"/>
      <c r="SYB80" s="2329"/>
      <c r="SYC80" s="2329"/>
      <c r="SYD80" s="2329"/>
      <c r="SYE80" s="2329"/>
      <c r="SYF80" s="2329"/>
      <c r="SYG80" s="2329"/>
      <c r="SYH80" s="2329"/>
      <c r="SYI80" s="2328"/>
      <c r="SYJ80" s="2329"/>
      <c r="SYK80" s="2329"/>
      <c r="SYL80" s="2329"/>
      <c r="SYM80" s="2329"/>
      <c r="SYN80" s="2329"/>
      <c r="SYO80" s="2329"/>
      <c r="SYP80" s="2329"/>
      <c r="SYQ80" s="2329"/>
      <c r="SYR80" s="2329"/>
      <c r="SYS80" s="2329"/>
      <c r="SYT80" s="2329"/>
      <c r="SYU80" s="2329"/>
      <c r="SYV80" s="2329"/>
      <c r="SYW80" s="2329"/>
      <c r="SYX80" s="2329"/>
      <c r="SYY80" s="2328"/>
      <c r="SYZ80" s="2329"/>
      <c r="SZA80" s="2329"/>
      <c r="SZB80" s="2329"/>
      <c r="SZC80" s="2329"/>
      <c r="SZD80" s="2329"/>
      <c r="SZE80" s="2329"/>
      <c r="SZF80" s="2329"/>
      <c r="SZG80" s="2329"/>
      <c r="SZH80" s="2329"/>
      <c r="SZI80" s="2329"/>
      <c r="SZJ80" s="2329"/>
      <c r="SZK80" s="2329"/>
      <c r="SZL80" s="2329"/>
      <c r="SZM80" s="2329"/>
      <c r="SZN80" s="2329"/>
      <c r="SZO80" s="2328"/>
      <c r="SZP80" s="2329"/>
      <c r="SZQ80" s="2329"/>
      <c r="SZR80" s="2329"/>
      <c r="SZS80" s="2329"/>
      <c r="SZT80" s="2329"/>
      <c r="SZU80" s="2329"/>
      <c r="SZV80" s="2329"/>
      <c r="SZW80" s="2329"/>
      <c r="SZX80" s="2329"/>
      <c r="SZY80" s="2329"/>
      <c r="SZZ80" s="2329"/>
      <c r="TAA80" s="2329"/>
      <c r="TAB80" s="2329"/>
      <c r="TAC80" s="2329"/>
      <c r="TAD80" s="2329"/>
      <c r="TAE80" s="2328"/>
      <c r="TAF80" s="2329"/>
      <c r="TAG80" s="2329"/>
      <c r="TAH80" s="2329"/>
      <c r="TAI80" s="2329"/>
      <c r="TAJ80" s="2329"/>
      <c r="TAK80" s="2329"/>
      <c r="TAL80" s="2329"/>
      <c r="TAM80" s="2329"/>
      <c r="TAN80" s="2329"/>
      <c r="TAO80" s="2329"/>
      <c r="TAP80" s="2329"/>
      <c r="TAQ80" s="2329"/>
      <c r="TAR80" s="2329"/>
      <c r="TAS80" s="2329"/>
      <c r="TAT80" s="2329"/>
      <c r="TAU80" s="2328"/>
      <c r="TAV80" s="2329"/>
      <c r="TAW80" s="2329"/>
      <c r="TAX80" s="2329"/>
      <c r="TAY80" s="2329"/>
      <c r="TAZ80" s="2329"/>
      <c r="TBA80" s="2329"/>
      <c r="TBB80" s="2329"/>
      <c r="TBC80" s="2329"/>
      <c r="TBD80" s="2329"/>
      <c r="TBE80" s="2329"/>
      <c r="TBF80" s="2329"/>
      <c r="TBG80" s="2329"/>
      <c r="TBH80" s="2329"/>
      <c r="TBI80" s="2329"/>
      <c r="TBJ80" s="2329"/>
      <c r="TBK80" s="2328"/>
      <c r="TBL80" s="2329"/>
      <c r="TBM80" s="2329"/>
      <c r="TBN80" s="2329"/>
      <c r="TBO80" s="2329"/>
      <c r="TBP80" s="2329"/>
      <c r="TBQ80" s="2329"/>
      <c r="TBR80" s="2329"/>
      <c r="TBS80" s="2329"/>
      <c r="TBT80" s="2329"/>
      <c r="TBU80" s="2329"/>
      <c r="TBV80" s="2329"/>
      <c r="TBW80" s="2329"/>
      <c r="TBX80" s="2329"/>
      <c r="TBY80" s="2329"/>
      <c r="TBZ80" s="2329"/>
      <c r="TCA80" s="2328"/>
      <c r="TCB80" s="2329"/>
      <c r="TCC80" s="2329"/>
      <c r="TCD80" s="2329"/>
      <c r="TCE80" s="2329"/>
      <c r="TCF80" s="2329"/>
      <c r="TCG80" s="2329"/>
      <c r="TCH80" s="2329"/>
      <c r="TCI80" s="2329"/>
      <c r="TCJ80" s="2329"/>
      <c r="TCK80" s="2329"/>
      <c r="TCL80" s="2329"/>
      <c r="TCM80" s="2329"/>
      <c r="TCN80" s="2329"/>
      <c r="TCO80" s="2329"/>
      <c r="TCP80" s="2329"/>
      <c r="TCQ80" s="2328"/>
      <c r="TCR80" s="2329"/>
      <c r="TCS80" s="2329"/>
      <c r="TCT80" s="2329"/>
      <c r="TCU80" s="2329"/>
      <c r="TCV80" s="2329"/>
      <c r="TCW80" s="2329"/>
      <c r="TCX80" s="2329"/>
      <c r="TCY80" s="2329"/>
      <c r="TCZ80" s="2329"/>
      <c r="TDA80" s="2329"/>
      <c r="TDB80" s="2329"/>
      <c r="TDC80" s="2329"/>
      <c r="TDD80" s="2329"/>
      <c r="TDE80" s="2329"/>
      <c r="TDF80" s="2329"/>
      <c r="TDG80" s="2328"/>
      <c r="TDH80" s="2329"/>
      <c r="TDI80" s="2329"/>
      <c r="TDJ80" s="2329"/>
      <c r="TDK80" s="2329"/>
      <c r="TDL80" s="2329"/>
      <c r="TDM80" s="2329"/>
      <c r="TDN80" s="2329"/>
      <c r="TDO80" s="2329"/>
      <c r="TDP80" s="2329"/>
      <c r="TDQ80" s="2329"/>
      <c r="TDR80" s="2329"/>
      <c r="TDS80" s="2329"/>
      <c r="TDT80" s="2329"/>
      <c r="TDU80" s="2329"/>
      <c r="TDV80" s="2329"/>
      <c r="TDW80" s="2328"/>
      <c r="TDX80" s="2329"/>
      <c r="TDY80" s="2329"/>
      <c r="TDZ80" s="2329"/>
      <c r="TEA80" s="2329"/>
      <c r="TEB80" s="2329"/>
      <c r="TEC80" s="2329"/>
      <c r="TED80" s="2329"/>
      <c r="TEE80" s="2329"/>
      <c r="TEF80" s="2329"/>
      <c r="TEG80" s="2329"/>
      <c r="TEH80" s="2329"/>
      <c r="TEI80" s="2329"/>
      <c r="TEJ80" s="2329"/>
      <c r="TEK80" s="2329"/>
      <c r="TEL80" s="2329"/>
      <c r="TEM80" s="2328"/>
      <c r="TEN80" s="2329"/>
      <c r="TEO80" s="2329"/>
      <c r="TEP80" s="2329"/>
      <c r="TEQ80" s="2329"/>
      <c r="TER80" s="2329"/>
      <c r="TES80" s="2329"/>
      <c r="TET80" s="2329"/>
      <c r="TEU80" s="2329"/>
      <c r="TEV80" s="2329"/>
      <c r="TEW80" s="2329"/>
      <c r="TEX80" s="2329"/>
      <c r="TEY80" s="2329"/>
      <c r="TEZ80" s="2329"/>
      <c r="TFA80" s="2329"/>
      <c r="TFB80" s="2329"/>
      <c r="TFC80" s="2328"/>
      <c r="TFD80" s="2329"/>
      <c r="TFE80" s="2329"/>
      <c r="TFF80" s="2329"/>
      <c r="TFG80" s="2329"/>
      <c r="TFH80" s="2329"/>
      <c r="TFI80" s="2329"/>
      <c r="TFJ80" s="2329"/>
      <c r="TFK80" s="2329"/>
      <c r="TFL80" s="2329"/>
      <c r="TFM80" s="2329"/>
      <c r="TFN80" s="2329"/>
      <c r="TFO80" s="2329"/>
      <c r="TFP80" s="2329"/>
      <c r="TFQ80" s="2329"/>
      <c r="TFR80" s="2329"/>
      <c r="TFS80" s="2328"/>
      <c r="TFT80" s="2329"/>
      <c r="TFU80" s="2329"/>
      <c r="TFV80" s="2329"/>
      <c r="TFW80" s="2329"/>
      <c r="TFX80" s="2329"/>
      <c r="TFY80" s="2329"/>
      <c r="TFZ80" s="2329"/>
      <c r="TGA80" s="2329"/>
      <c r="TGB80" s="2329"/>
      <c r="TGC80" s="2329"/>
      <c r="TGD80" s="2329"/>
      <c r="TGE80" s="2329"/>
      <c r="TGF80" s="2329"/>
      <c r="TGG80" s="2329"/>
      <c r="TGH80" s="2329"/>
      <c r="TGI80" s="2328"/>
      <c r="TGJ80" s="2329"/>
      <c r="TGK80" s="2329"/>
      <c r="TGL80" s="2329"/>
      <c r="TGM80" s="2329"/>
      <c r="TGN80" s="2329"/>
      <c r="TGO80" s="2329"/>
      <c r="TGP80" s="2329"/>
      <c r="TGQ80" s="2329"/>
      <c r="TGR80" s="2329"/>
      <c r="TGS80" s="2329"/>
      <c r="TGT80" s="2329"/>
      <c r="TGU80" s="2329"/>
      <c r="TGV80" s="2329"/>
      <c r="TGW80" s="2329"/>
      <c r="TGX80" s="2329"/>
      <c r="TGY80" s="2328"/>
      <c r="TGZ80" s="2329"/>
      <c r="THA80" s="2329"/>
      <c r="THB80" s="2329"/>
      <c r="THC80" s="2329"/>
      <c r="THD80" s="2329"/>
      <c r="THE80" s="2329"/>
      <c r="THF80" s="2329"/>
      <c r="THG80" s="2329"/>
      <c r="THH80" s="2329"/>
      <c r="THI80" s="2329"/>
      <c r="THJ80" s="2329"/>
      <c r="THK80" s="2329"/>
      <c r="THL80" s="2329"/>
      <c r="THM80" s="2329"/>
      <c r="THN80" s="2329"/>
      <c r="THO80" s="2328"/>
      <c r="THP80" s="2329"/>
      <c r="THQ80" s="2329"/>
      <c r="THR80" s="2329"/>
      <c r="THS80" s="2329"/>
      <c r="THT80" s="2329"/>
      <c r="THU80" s="2329"/>
      <c r="THV80" s="2329"/>
      <c r="THW80" s="2329"/>
      <c r="THX80" s="2329"/>
      <c r="THY80" s="2329"/>
      <c r="THZ80" s="2329"/>
      <c r="TIA80" s="2329"/>
      <c r="TIB80" s="2329"/>
      <c r="TIC80" s="2329"/>
      <c r="TID80" s="2329"/>
      <c r="TIE80" s="2328"/>
      <c r="TIF80" s="2329"/>
      <c r="TIG80" s="2329"/>
      <c r="TIH80" s="2329"/>
      <c r="TII80" s="2329"/>
      <c r="TIJ80" s="2329"/>
      <c r="TIK80" s="2329"/>
      <c r="TIL80" s="2329"/>
      <c r="TIM80" s="2329"/>
      <c r="TIN80" s="2329"/>
      <c r="TIO80" s="2329"/>
      <c r="TIP80" s="2329"/>
      <c r="TIQ80" s="2329"/>
      <c r="TIR80" s="2329"/>
      <c r="TIS80" s="2329"/>
      <c r="TIT80" s="2329"/>
      <c r="TIU80" s="2328"/>
      <c r="TIV80" s="2329"/>
      <c r="TIW80" s="2329"/>
      <c r="TIX80" s="2329"/>
      <c r="TIY80" s="2329"/>
      <c r="TIZ80" s="2329"/>
      <c r="TJA80" s="2329"/>
      <c r="TJB80" s="2329"/>
      <c r="TJC80" s="2329"/>
      <c r="TJD80" s="2329"/>
      <c r="TJE80" s="2329"/>
      <c r="TJF80" s="2329"/>
      <c r="TJG80" s="2329"/>
      <c r="TJH80" s="2329"/>
      <c r="TJI80" s="2329"/>
      <c r="TJJ80" s="2329"/>
      <c r="TJK80" s="2328"/>
      <c r="TJL80" s="2329"/>
      <c r="TJM80" s="2329"/>
      <c r="TJN80" s="2329"/>
      <c r="TJO80" s="2329"/>
      <c r="TJP80" s="2329"/>
      <c r="TJQ80" s="2329"/>
      <c r="TJR80" s="2329"/>
      <c r="TJS80" s="2329"/>
      <c r="TJT80" s="2329"/>
      <c r="TJU80" s="2329"/>
      <c r="TJV80" s="2329"/>
      <c r="TJW80" s="2329"/>
      <c r="TJX80" s="2329"/>
      <c r="TJY80" s="2329"/>
      <c r="TJZ80" s="2329"/>
      <c r="TKA80" s="2328"/>
      <c r="TKB80" s="2329"/>
      <c r="TKC80" s="2329"/>
      <c r="TKD80" s="2329"/>
      <c r="TKE80" s="2329"/>
      <c r="TKF80" s="2329"/>
      <c r="TKG80" s="2329"/>
      <c r="TKH80" s="2329"/>
      <c r="TKI80" s="2329"/>
      <c r="TKJ80" s="2329"/>
      <c r="TKK80" s="2329"/>
      <c r="TKL80" s="2329"/>
      <c r="TKM80" s="2329"/>
      <c r="TKN80" s="2329"/>
      <c r="TKO80" s="2329"/>
      <c r="TKP80" s="2329"/>
      <c r="TKQ80" s="2328"/>
      <c r="TKR80" s="2329"/>
      <c r="TKS80" s="2329"/>
      <c r="TKT80" s="2329"/>
      <c r="TKU80" s="2329"/>
      <c r="TKV80" s="2329"/>
      <c r="TKW80" s="2329"/>
      <c r="TKX80" s="2329"/>
      <c r="TKY80" s="2329"/>
      <c r="TKZ80" s="2329"/>
      <c r="TLA80" s="2329"/>
      <c r="TLB80" s="2329"/>
      <c r="TLC80" s="2329"/>
      <c r="TLD80" s="2329"/>
      <c r="TLE80" s="2329"/>
      <c r="TLF80" s="2329"/>
      <c r="TLG80" s="2328"/>
      <c r="TLH80" s="2329"/>
      <c r="TLI80" s="2329"/>
      <c r="TLJ80" s="2329"/>
      <c r="TLK80" s="2329"/>
      <c r="TLL80" s="2329"/>
      <c r="TLM80" s="2329"/>
      <c r="TLN80" s="2329"/>
      <c r="TLO80" s="2329"/>
      <c r="TLP80" s="2329"/>
      <c r="TLQ80" s="2329"/>
      <c r="TLR80" s="2329"/>
      <c r="TLS80" s="2329"/>
      <c r="TLT80" s="2329"/>
      <c r="TLU80" s="2329"/>
      <c r="TLV80" s="2329"/>
      <c r="TLW80" s="2328"/>
      <c r="TLX80" s="2329"/>
      <c r="TLY80" s="2329"/>
      <c r="TLZ80" s="2329"/>
      <c r="TMA80" s="2329"/>
      <c r="TMB80" s="2329"/>
      <c r="TMC80" s="2329"/>
      <c r="TMD80" s="2329"/>
      <c r="TME80" s="2329"/>
      <c r="TMF80" s="2329"/>
      <c r="TMG80" s="2329"/>
      <c r="TMH80" s="2329"/>
      <c r="TMI80" s="2329"/>
      <c r="TMJ80" s="2329"/>
      <c r="TMK80" s="2329"/>
      <c r="TML80" s="2329"/>
      <c r="TMM80" s="2328"/>
      <c r="TMN80" s="2329"/>
      <c r="TMO80" s="2329"/>
      <c r="TMP80" s="2329"/>
      <c r="TMQ80" s="2329"/>
      <c r="TMR80" s="2329"/>
      <c r="TMS80" s="2329"/>
      <c r="TMT80" s="2329"/>
      <c r="TMU80" s="2329"/>
      <c r="TMV80" s="2329"/>
      <c r="TMW80" s="2329"/>
      <c r="TMX80" s="2329"/>
      <c r="TMY80" s="2329"/>
      <c r="TMZ80" s="2329"/>
      <c r="TNA80" s="2329"/>
      <c r="TNB80" s="2329"/>
      <c r="TNC80" s="2328"/>
      <c r="TND80" s="2329"/>
      <c r="TNE80" s="2329"/>
      <c r="TNF80" s="2329"/>
      <c r="TNG80" s="2329"/>
      <c r="TNH80" s="2329"/>
      <c r="TNI80" s="2329"/>
      <c r="TNJ80" s="2329"/>
      <c r="TNK80" s="2329"/>
      <c r="TNL80" s="2329"/>
      <c r="TNM80" s="2329"/>
      <c r="TNN80" s="2329"/>
      <c r="TNO80" s="2329"/>
      <c r="TNP80" s="2329"/>
      <c r="TNQ80" s="2329"/>
      <c r="TNR80" s="2329"/>
      <c r="TNS80" s="2328"/>
      <c r="TNT80" s="2329"/>
      <c r="TNU80" s="2329"/>
      <c r="TNV80" s="2329"/>
      <c r="TNW80" s="2329"/>
      <c r="TNX80" s="2329"/>
      <c r="TNY80" s="2329"/>
      <c r="TNZ80" s="2329"/>
      <c r="TOA80" s="2329"/>
      <c r="TOB80" s="2329"/>
      <c r="TOC80" s="2329"/>
      <c r="TOD80" s="2329"/>
      <c r="TOE80" s="2329"/>
      <c r="TOF80" s="2329"/>
      <c r="TOG80" s="2329"/>
      <c r="TOH80" s="2329"/>
      <c r="TOI80" s="2328"/>
      <c r="TOJ80" s="2329"/>
      <c r="TOK80" s="2329"/>
      <c r="TOL80" s="2329"/>
      <c r="TOM80" s="2329"/>
      <c r="TON80" s="2329"/>
      <c r="TOO80" s="2329"/>
      <c r="TOP80" s="2329"/>
      <c r="TOQ80" s="2329"/>
      <c r="TOR80" s="2329"/>
      <c r="TOS80" s="2329"/>
      <c r="TOT80" s="2329"/>
      <c r="TOU80" s="2329"/>
      <c r="TOV80" s="2329"/>
      <c r="TOW80" s="2329"/>
      <c r="TOX80" s="2329"/>
      <c r="TOY80" s="2328"/>
      <c r="TOZ80" s="2329"/>
      <c r="TPA80" s="2329"/>
      <c r="TPB80" s="2329"/>
      <c r="TPC80" s="2329"/>
      <c r="TPD80" s="2329"/>
      <c r="TPE80" s="2329"/>
      <c r="TPF80" s="2329"/>
      <c r="TPG80" s="2329"/>
      <c r="TPH80" s="2329"/>
      <c r="TPI80" s="2329"/>
      <c r="TPJ80" s="2329"/>
      <c r="TPK80" s="2329"/>
      <c r="TPL80" s="2329"/>
      <c r="TPM80" s="2329"/>
      <c r="TPN80" s="2329"/>
      <c r="TPO80" s="2328"/>
      <c r="TPP80" s="2329"/>
      <c r="TPQ80" s="2329"/>
      <c r="TPR80" s="2329"/>
      <c r="TPS80" s="2329"/>
      <c r="TPT80" s="2329"/>
      <c r="TPU80" s="2329"/>
      <c r="TPV80" s="2329"/>
      <c r="TPW80" s="2329"/>
      <c r="TPX80" s="2329"/>
      <c r="TPY80" s="2329"/>
      <c r="TPZ80" s="2329"/>
      <c r="TQA80" s="2329"/>
      <c r="TQB80" s="2329"/>
      <c r="TQC80" s="2329"/>
      <c r="TQD80" s="2329"/>
      <c r="TQE80" s="2328"/>
      <c r="TQF80" s="2329"/>
      <c r="TQG80" s="2329"/>
      <c r="TQH80" s="2329"/>
      <c r="TQI80" s="2329"/>
      <c r="TQJ80" s="2329"/>
      <c r="TQK80" s="2329"/>
      <c r="TQL80" s="2329"/>
      <c r="TQM80" s="2329"/>
      <c r="TQN80" s="2329"/>
      <c r="TQO80" s="2329"/>
      <c r="TQP80" s="2329"/>
      <c r="TQQ80" s="2329"/>
      <c r="TQR80" s="2329"/>
      <c r="TQS80" s="2329"/>
      <c r="TQT80" s="2329"/>
      <c r="TQU80" s="2328"/>
      <c r="TQV80" s="2329"/>
      <c r="TQW80" s="2329"/>
      <c r="TQX80" s="2329"/>
      <c r="TQY80" s="2329"/>
      <c r="TQZ80" s="2329"/>
      <c r="TRA80" s="2329"/>
      <c r="TRB80" s="2329"/>
      <c r="TRC80" s="2329"/>
      <c r="TRD80" s="2329"/>
      <c r="TRE80" s="2329"/>
      <c r="TRF80" s="2329"/>
      <c r="TRG80" s="2329"/>
      <c r="TRH80" s="2329"/>
      <c r="TRI80" s="2329"/>
      <c r="TRJ80" s="2329"/>
      <c r="TRK80" s="2328"/>
      <c r="TRL80" s="2329"/>
      <c r="TRM80" s="2329"/>
      <c r="TRN80" s="2329"/>
      <c r="TRO80" s="2329"/>
      <c r="TRP80" s="2329"/>
      <c r="TRQ80" s="2329"/>
      <c r="TRR80" s="2329"/>
      <c r="TRS80" s="2329"/>
      <c r="TRT80" s="2329"/>
      <c r="TRU80" s="2329"/>
      <c r="TRV80" s="2329"/>
      <c r="TRW80" s="2329"/>
      <c r="TRX80" s="2329"/>
      <c r="TRY80" s="2329"/>
      <c r="TRZ80" s="2329"/>
      <c r="TSA80" s="2328"/>
      <c r="TSB80" s="2329"/>
      <c r="TSC80" s="2329"/>
      <c r="TSD80" s="2329"/>
      <c r="TSE80" s="2329"/>
      <c r="TSF80" s="2329"/>
      <c r="TSG80" s="2329"/>
      <c r="TSH80" s="2329"/>
      <c r="TSI80" s="2329"/>
      <c r="TSJ80" s="2329"/>
      <c r="TSK80" s="2329"/>
      <c r="TSL80" s="2329"/>
      <c r="TSM80" s="2329"/>
      <c r="TSN80" s="2329"/>
      <c r="TSO80" s="2329"/>
      <c r="TSP80" s="2329"/>
      <c r="TSQ80" s="2328"/>
      <c r="TSR80" s="2329"/>
      <c r="TSS80" s="2329"/>
      <c r="TST80" s="2329"/>
      <c r="TSU80" s="2329"/>
      <c r="TSV80" s="2329"/>
      <c r="TSW80" s="2329"/>
      <c r="TSX80" s="2329"/>
      <c r="TSY80" s="2329"/>
      <c r="TSZ80" s="2329"/>
      <c r="TTA80" s="2329"/>
      <c r="TTB80" s="2329"/>
      <c r="TTC80" s="2329"/>
      <c r="TTD80" s="2329"/>
      <c r="TTE80" s="2329"/>
      <c r="TTF80" s="2329"/>
      <c r="TTG80" s="2328"/>
      <c r="TTH80" s="2329"/>
      <c r="TTI80" s="2329"/>
      <c r="TTJ80" s="2329"/>
      <c r="TTK80" s="2329"/>
      <c r="TTL80" s="2329"/>
      <c r="TTM80" s="2329"/>
      <c r="TTN80" s="2329"/>
      <c r="TTO80" s="2329"/>
      <c r="TTP80" s="2329"/>
      <c r="TTQ80" s="2329"/>
      <c r="TTR80" s="2329"/>
      <c r="TTS80" s="2329"/>
      <c r="TTT80" s="2329"/>
      <c r="TTU80" s="2329"/>
      <c r="TTV80" s="2329"/>
      <c r="TTW80" s="2328"/>
      <c r="TTX80" s="2329"/>
      <c r="TTY80" s="2329"/>
      <c r="TTZ80" s="2329"/>
      <c r="TUA80" s="2329"/>
      <c r="TUB80" s="2329"/>
      <c r="TUC80" s="2329"/>
      <c r="TUD80" s="2329"/>
      <c r="TUE80" s="2329"/>
      <c r="TUF80" s="2329"/>
      <c r="TUG80" s="2329"/>
      <c r="TUH80" s="2329"/>
      <c r="TUI80" s="2329"/>
      <c r="TUJ80" s="2329"/>
      <c r="TUK80" s="2329"/>
      <c r="TUL80" s="2329"/>
      <c r="TUM80" s="2328"/>
      <c r="TUN80" s="2329"/>
      <c r="TUO80" s="2329"/>
      <c r="TUP80" s="2329"/>
      <c r="TUQ80" s="2329"/>
      <c r="TUR80" s="2329"/>
      <c r="TUS80" s="2329"/>
      <c r="TUT80" s="2329"/>
      <c r="TUU80" s="2329"/>
      <c r="TUV80" s="2329"/>
      <c r="TUW80" s="2329"/>
      <c r="TUX80" s="2329"/>
      <c r="TUY80" s="2329"/>
      <c r="TUZ80" s="2329"/>
      <c r="TVA80" s="2329"/>
      <c r="TVB80" s="2329"/>
      <c r="TVC80" s="2328"/>
      <c r="TVD80" s="2329"/>
      <c r="TVE80" s="2329"/>
      <c r="TVF80" s="2329"/>
      <c r="TVG80" s="2329"/>
      <c r="TVH80" s="2329"/>
      <c r="TVI80" s="2329"/>
      <c r="TVJ80" s="2329"/>
      <c r="TVK80" s="2329"/>
      <c r="TVL80" s="2329"/>
      <c r="TVM80" s="2329"/>
      <c r="TVN80" s="2329"/>
      <c r="TVO80" s="2329"/>
      <c r="TVP80" s="2329"/>
      <c r="TVQ80" s="2329"/>
      <c r="TVR80" s="2329"/>
      <c r="TVS80" s="2328"/>
      <c r="TVT80" s="2329"/>
      <c r="TVU80" s="2329"/>
      <c r="TVV80" s="2329"/>
      <c r="TVW80" s="2329"/>
      <c r="TVX80" s="2329"/>
      <c r="TVY80" s="2329"/>
      <c r="TVZ80" s="2329"/>
      <c r="TWA80" s="2329"/>
      <c r="TWB80" s="2329"/>
      <c r="TWC80" s="2329"/>
      <c r="TWD80" s="2329"/>
      <c r="TWE80" s="2329"/>
      <c r="TWF80" s="2329"/>
      <c r="TWG80" s="2329"/>
      <c r="TWH80" s="2329"/>
      <c r="TWI80" s="2328"/>
      <c r="TWJ80" s="2329"/>
      <c r="TWK80" s="2329"/>
      <c r="TWL80" s="2329"/>
      <c r="TWM80" s="2329"/>
      <c r="TWN80" s="2329"/>
      <c r="TWO80" s="2329"/>
      <c r="TWP80" s="2329"/>
      <c r="TWQ80" s="2329"/>
      <c r="TWR80" s="2329"/>
      <c r="TWS80" s="2329"/>
      <c r="TWT80" s="2329"/>
      <c r="TWU80" s="2329"/>
      <c r="TWV80" s="2329"/>
      <c r="TWW80" s="2329"/>
      <c r="TWX80" s="2329"/>
      <c r="TWY80" s="2328"/>
      <c r="TWZ80" s="2329"/>
      <c r="TXA80" s="2329"/>
      <c r="TXB80" s="2329"/>
      <c r="TXC80" s="2329"/>
      <c r="TXD80" s="2329"/>
      <c r="TXE80" s="2329"/>
      <c r="TXF80" s="2329"/>
      <c r="TXG80" s="2329"/>
      <c r="TXH80" s="2329"/>
      <c r="TXI80" s="2329"/>
      <c r="TXJ80" s="2329"/>
      <c r="TXK80" s="2329"/>
      <c r="TXL80" s="2329"/>
      <c r="TXM80" s="2329"/>
      <c r="TXN80" s="2329"/>
      <c r="TXO80" s="2328"/>
      <c r="TXP80" s="2329"/>
      <c r="TXQ80" s="2329"/>
      <c r="TXR80" s="2329"/>
      <c r="TXS80" s="2329"/>
      <c r="TXT80" s="2329"/>
      <c r="TXU80" s="2329"/>
      <c r="TXV80" s="2329"/>
      <c r="TXW80" s="2329"/>
      <c r="TXX80" s="2329"/>
      <c r="TXY80" s="2329"/>
      <c r="TXZ80" s="2329"/>
      <c r="TYA80" s="2329"/>
      <c r="TYB80" s="2329"/>
      <c r="TYC80" s="2329"/>
      <c r="TYD80" s="2329"/>
      <c r="TYE80" s="2328"/>
      <c r="TYF80" s="2329"/>
      <c r="TYG80" s="2329"/>
      <c r="TYH80" s="2329"/>
      <c r="TYI80" s="2329"/>
      <c r="TYJ80" s="2329"/>
      <c r="TYK80" s="2329"/>
      <c r="TYL80" s="2329"/>
      <c r="TYM80" s="2329"/>
      <c r="TYN80" s="2329"/>
      <c r="TYO80" s="2329"/>
      <c r="TYP80" s="2329"/>
      <c r="TYQ80" s="2329"/>
      <c r="TYR80" s="2329"/>
      <c r="TYS80" s="2329"/>
      <c r="TYT80" s="2329"/>
      <c r="TYU80" s="2328"/>
      <c r="TYV80" s="2329"/>
      <c r="TYW80" s="2329"/>
      <c r="TYX80" s="2329"/>
      <c r="TYY80" s="2329"/>
      <c r="TYZ80" s="2329"/>
      <c r="TZA80" s="2329"/>
      <c r="TZB80" s="2329"/>
      <c r="TZC80" s="2329"/>
      <c r="TZD80" s="2329"/>
      <c r="TZE80" s="2329"/>
      <c r="TZF80" s="2329"/>
      <c r="TZG80" s="2329"/>
      <c r="TZH80" s="2329"/>
      <c r="TZI80" s="2329"/>
      <c r="TZJ80" s="2329"/>
      <c r="TZK80" s="2328"/>
      <c r="TZL80" s="2329"/>
      <c r="TZM80" s="2329"/>
      <c r="TZN80" s="2329"/>
      <c r="TZO80" s="2329"/>
      <c r="TZP80" s="2329"/>
      <c r="TZQ80" s="2329"/>
      <c r="TZR80" s="2329"/>
      <c r="TZS80" s="2329"/>
      <c r="TZT80" s="2329"/>
      <c r="TZU80" s="2329"/>
      <c r="TZV80" s="2329"/>
      <c r="TZW80" s="2329"/>
      <c r="TZX80" s="2329"/>
      <c r="TZY80" s="2329"/>
      <c r="TZZ80" s="2329"/>
      <c r="UAA80" s="2328"/>
      <c r="UAB80" s="2329"/>
      <c r="UAC80" s="2329"/>
      <c r="UAD80" s="2329"/>
      <c r="UAE80" s="2329"/>
      <c r="UAF80" s="2329"/>
      <c r="UAG80" s="2329"/>
      <c r="UAH80" s="2329"/>
      <c r="UAI80" s="2329"/>
      <c r="UAJ80" s="2329"/>
      <c r="UAK80" s="2329"/>
      <c r="UAL80" s="2329"/>
      <c r="UAM80" s="2329"/>
      <c r="UAN80" s="2329"/>
      <c r="UAO80" s="2329"/>
      <c r="UAP80" s="2329"/>
      <c r="UAQ80" s="2328"/>
      <c r="UAR80" s="2329"/>
      <c r="UAS80" s="2329"/>
      <c r="UAT80" s="2329"/>
      <c r="UAU80" s="2329"/>
      <c r="UAV80" s="2329"/>
      <c r="UAW80" s="2329"/>
      <c r="UAX80" s="2329"/>
      <c r="UAY80" s="2329"/>
      <c r="UAZ80" s="2329"/>
      <c r="UBA80" s="2329"/>
      <c r="UBB80" s="2329"/>
      <c r="UBC80" s="2329"/>
      <c r="UBD80" s="2329"/>
      <c r="UBE80" s="2329"/>
      <c r="UBF80" s="2329"/>
      <c r="UBG80" s="2328"/>
      <c r="UBH80" s="2329"/>
      <c r="UBI80" s="2329"/>
      <c r="UBJ80" s="2329"/>
      <c r="UBK80" s="2329"/>
      <c r="UBL80" s="2329"/>
      <c r="UBM80" s="2329"/>
      <c r="UBN80" s="2329"/>
      <c r="UBO80" s="2329"/>
      <c r="UBP80" s="2329"/>
      <c r="UBQ80" s="2329"/>
      <c r="UBR80" s="2329"/>
      <c r="UBS80" s="2329"/>
      <c r="UBT80" s="2329"/>
      <c r="UBU80" s="2329"/>
      <c r="UBV80" s="2329"/>
      <c r="UBW80" s="2328"/>
      <c r="UBX80" s="2329"/>
      <c r="UBY80" s="2329"/>
      <c r="UBZ80" s="2329"/>
      <c r="UCA80" s="2329"/>
      <c r="UCB80" s="2329"/>
      <c r="UCC80" s="2329"/>
      <c r="UCD80" s="2329"/>
      <c r="UCE80" s="2329"/>
      <c r="UCF80" s="2329"/>
      <c r="UCG80" s="2329"/>
      <c r="UCH80" s="2329"/>
      <c r="UCI80" s="2329"/>
      <c r="UCJ80" s="2329"/>
      <c r="UCK80" s="2329"/>
      <c r="UCL80" s="2329"/>
      <c r="UCM80" s="2328"/>
      <c r="UCN80" s="2329"/>
      <c r="UCO80" s="2329"/>
      <c r="UCP80" s="2329"/>
      <c r="UCQ80" s="2329"/>
      <c r="UCR80" s="2329"/>
      <c r="UCS80" s="2329"/>
      <c r="UCT80" s="2329"/>
      <c r="UCU80" s="2329"/>
      <c r="UCV80" s="2329"/>
      <c r="UCW80" s="2329"/>
      <c r="UCX80" s="2329"/>
      <c r="UCY80" s="2329"/>
      <c r="UCZ80" s="2329"/>
      <c r="UDA80" s="2329"/>
      <c r="UDB80" s="2329"/>
      <c r="UDC80" s="2328"/>
      <c r="UDD80" s="2329"/>
      <c r="UDE80" s="2329"/>
      <c r="UDF80" s="2329"/>
      <c r="UDG80" s="2329"/>
      <c r="UDH80" s="2329"/>
      <c r="UDI80" s="2329"/>
      <c r="UDJ80" s="2329"/>
      <c r="UDK80" s="2329"/>
      <c r="UDL80" s="2329"/>
      <c r="UDM80" s="2329"/>
      <c r="UDN80" s="2329"/>
      <c r="UDO80" s="2329"/>
      <c r="UDP80" s="2329"/>
      <c r="UDQ80" s="2329"/>
      <c r="UDR80" s="2329"/>
      <c r="UDS80" s="2328"/>
      <c r="UDT80" s="2329"/>
      <c r="UDU80" s="2329"/>
      <c r="UDV80" s="2329"/>
      <c r="UDW80" s="2329"/>
      <c r="UDX80" s="2329"/>
      <c r="UDY80" s="2329"/>
      <c r="UDZ80" s="2329"/>
      <c r="UEA80" s="2329"/>
      <c r="UEB80" s="2329"/>
      <c r="UEC80" s="2329"/>
      <c r="UED80" s="2329"/>
      <c r="UEE80" s="2329"/>
      <c r="UEF80" s="2329"/>
      <c r="UEG80" s="2329"/>
      <c r="UEH80" s="2329"/>
      <c r="UEI80" s="2328"/>
      <c r="UEJ80" s="2329"/>
      <c r="UEK80" s="2329"/>
      <c r="UEL80" s="2329"/>
      <c r="UEM80" s="2329"/>
      <c r="UEN80" s="2329"/>
      <c r="UEO80" s="2329"/>
      <c r="UEP80" s="2329"/>
      <c r="UEQ80" s="2329"/>
      <c r="UER80" s="2329"/>
      <c r="UES80" s="2329"/>
      <c r="UET80" s="2329"/>
      <c r="UEU80" s="2329"/>
      <c r="UEV80" s="2329"/>
      <c r="UEW80" s="2329"/>
      <c r="UEX80" s="2329"/>
      <c r="UEY80" s="2328"/>
      <c r="UEZ80" s="2329"/>
      <c r="UFA80" s="2329"/>
      <c r="UFB80" s="2329"/>
      <c r="UFC80" s="2329"/>
      <c r="UFD80" s="2329"/>
      <c r="UFE80" s="2329"/>
      <c r="UFF80" s="2329"/>
      <c r="UFG80" s="2329"/>
      <c r="UFH80" s="2329"/>
      <c r="UFI80" s="2329"/>
      <c r="UFJ80" s="2329"/>
      <c r="UFK80" s="2329"/>
      <c r="UFL80" s="2329"/>
      <c r="UFM80" s="2329"/>
      <c r="UFN80" s="2329"/>
      <c r="UFO80" s="2328"/>
      <c r="UFP80" s="2329"/>
      <c r="UFQ80" s="2329"/>
      <c r="UFR80" s="2329"/>
      <c r="UFS80" s="2329"/>
      <c r="UFT80" s="2329"/>
      <c r="UFU80" s="2329"/>
      <c r="UFV80" s="2329"/>
      <c r="UFW80" s="2329"/>
      <c r="UFX80" s="2329"/>
      <c r="UFY80" s="2329"/>
      <c r="UFZ80" s="2329"/>
      <c r="UGA80" s="2329"/>
      <c r="UGB80" s="2329"/>
      <c r="UGC80" s="2329"/>
      <c r="UGD80" s="2329"/>
      <c r="UGE80" s="2328"/>
      <c r="UGF80" s="2329"/>
      <c r="UGG80" s="2329"/>
      <c r="UGH80" s="2329"/>
      <c r="UGI80" s="2329"/>
      <c r="UGJ80" s="2329"/>
      <c r="UGK80" s="2329"/>
      <c r="UGL80" s="2329"/>
      <c r="UGM80" s="2329"/>
      <c r="UGN80" s="2329"/>
      <c r="UGO80" s="2329"/>
      <c r="UGP80" s="2329"/>
      <c r="UGQ80" s="2329"/>
      <c r="UGR80" s="2329"/>
      <c r="UGS80" s="2329"/>
      <c r="UGT80" s="2329"/>
      <c r="UGU80" s="2328"/>
      <c r="UGV80" s="2329"/>
      <c r="UGW80" s="2329"/>
      <c r="UGX80" s="2329"/>
      <c r="UGY80" s="2329"/>
      <c r="UGZ80" s="2329"/>
      <c r="UHA80" s="2329"/>
      <c r="UHB80" s="2329"/>
      <c r="UHC80" s="2329"/>
      <c r="UHD80" s="2329"/>
      <c r="UHE80" s="2329"/>
      <c r="UHF80" s="2329"/>
      <c r="UHG80" s="2329"/>
      <c r="UHH80" s="2329"/>
      <c r="UHI80" s="2329"/>
      <c r="UHJ80" s="2329"/>
      <c r="UHK80" s="2328"/>
      <c r="UHL80" s="2329"/>
      <c r="UHM80" s="2329"/>
      <c r="UHN80" s="2329"/>
      <c r="UHO80" s="2329"/>
      <c r="UHP80" s="2329"/>
      <c r="UHQ80" s="2329"/>
      <c r="UHR80" s="2329"/>
      <c r="UHS80" s="2329"/>
      <c r="UHT80" s="2329"/>
      <c r="UHU80" s="2329"/>
      <c r="UHV80" s="2329"/>
      <c r="UHW80" s="2329"/>
      <c r="UHX80" s="2329"/>
      <c r="UHY80" s="2329"/>
      <c r="UHZ80" s="2329"/>
      <c r="UIA80" s="2328"/>
      <c r="UIB80" s="2329"/>
      <c r="UIC80" s="2329"/>
      <c r="UID80" s="2329"/>
      <c r="UIE80" s="2329"/>
      <c r="UIF80" s="2329"/>
      <c r="UIG80" s="2329"/>
      <c r="UIH80" s="2329"/>
      <c r="UII80" s="2329"/>
      <c r="UIJ80" s="2329"/>
      <c r="UIK80" s="2329"/>
      <c r="UIL80" s="2329"/>
      <c r="UIM80" s="2329"/>
      <c r="UIN80" s="2329"/>
      <c r="UIO80" s="2329"/>
      <c r="UIP80" s="2329"/>
      <c r="UIQ80" s="2328"/>
      <c r="UIR80" s="2329"/>
      <c r="UIS80" s="2329"/>
      <c r="UIT80" s="2329"/>
      <c r="UIU80" s="2329"/>
      <c r="UIV80" s="2329"/>
      <c r="UIW80" s="2329"/>
      <c r="UIX80" s="2329"/>
      <c r="UIY80" s="2329"/>
      <c r="UIZ80" s="2329"/>
      <c r="UJA80" s="2329"/>
      <c r="UJB80" s="2329"/>
      <c r="UJC80" s="2329"/>
      <c r="UJD80" s="2329"/>
      <c r="UJE80" s="2329"/>
      <c r="UJF80" s="2329"/>
      <c r="UJG80" s="2328"/>
      <c r="UJH80" s="2329"/>
      <c r="UJI80" s="2329"/>
      <c r="UJJ80" s="2329"/>
      <c r="UJK80" s="2329"/>
      <c r="UJL80" s="2329"/>
      <c r="UJM80" s="2329"/>
      <c r="UJN80" s="2329"/>
      <c r="UJO80" s="2329"/>
      <c r="UJP80" s="2329"/>
      <c r="UJQ80" s="2329"/>
      <c r="UJR80" s="2329"/>
      <c r="UJS80" s="2329"/>
      <c r="UJT80" s="2329"/>
      <c r="UJU80" s="2329"/>
      <c r="UJV80" s="2329"/>
      <c r="UJW80" s="2328"/>
      <c r="UJX80" s="2329"/>
      <c r="UJY80" s="2329"/>
      <c r="UJZ80" s="2329"/>
      <c r="UKA80" s="2329"/>
      <c r="UKB80" s="2329"/>
      <c r="UKC80" s="2329"/>
      <c r="UKD80" s="2329"/>
      <c r="UKE80" s="2329"/>
      <c r="UKF80" s="2329"/>
      <c r="UKG80" s="2329"/>
      <c r="UKH80" s="2329"/>
      <c r="UKI80" s="2329"/>
      <c r="UKJ80" s="2329"/>
      <c r="UKK80" s="2329"/>
      <c r="UKL80" s="2329"/>
      <c r="UKM80" s="2328"/>
      <c r="UKN80" s="2329"/>
      <c r="UKO80" s="2329"/>
      <c r="UKP80" s="2329"/>
      <c r="UKQ80" s="2329"/>
      <c r="UKR80" s="2329"/>
      <c r="UKS80" s="2329"/>
      <c r="UKT80" s="2329"/>
      <c r="UKU80" s="2329"/>
      <c r="UKV80" s="2329"/>
      <c r="UKW80" s="2329"/>
      <c r="UKX80" s="2329"/>
      <c r="UKY80" s="2329"/>
      <c r="UKZ80" s="2329"/>
      <c r="ULA80" s="2329"/>
      <c r="ULB80" s="2329"/>
      <c r="ULC80" s="2328"/>
      <c r="ULD80" s="2329"/>
      <c r="ULE80" s="2329"/>
      <c r="ULF80" s="2329"/>
      <c r="ULG80" s="2329"/>
      <c r="ULH80" s="2329"/>
      <c r="ULI80" s="2329"/>
      <c r="ULJ80" s="2329"/>
      <c r="ULK80" s="2329"/>
      <c r="ULL80" s="2329"/>
      <c r="ULM80" s="2329"/>
      <c r="ULN80" s="2329"/>
      <c r="ULO80" s="2329"/>
      <c r="ULP80" s="2329"/>
      <c r="ULQ80" s="2329"/>
      <c r="ULR80" s="2329"/>
      <c r="ULS80" s="2328"/>
      <c r="ULT80" s="2329"/>
      <c r="ULU80" s="2329"/>
      <c r="ULV80" s="2329"/>
      <c r="ULW80" s="2329"/>
      <c r="ULX80" s="2329"/>
      <c r="ULY80" s="2329"/>
      <c r="ULZ80" s="2329"/>
      <c r="UMA80" s="2329"/>
      <c r="UMB80" s="2329"/>
      <c r="UMC80" s="2329"/>
      <c r="UMD80" s="2329"/>
      <c r="UME80" s="2329"/>
      <c r="UMF80" s="2329"/>
      <c r="UMG80" s="2329"/>
      <c r="UMH80" s="2329"/>
      <c r="UMI80" s="2328"/>
      <c r="UMJ80" s="2329"/>
      <c r="UMK80" s="2329"/>
      <c r="UML80" s="2329"/>
      <c r="UMM80" s="2329"/>
      <c r="UMN80" s="2329"/>
      <c r="UMO80" s="2329"/>
      <c r="UMP80" s="2329"/>
      <c r="UMQ80" s="2329"/>
      <c r="UMR80" s="2329"/>
      <c r="UMS80" s="2329"/>
      <c r="UMT80" s="2329"/>
      <c r="UMU80" s="2329"/>
      <c r="UMV80" s="2329"/>
      <c r="UMW80" s="2329"/>
      <c r="UMX80" s="2329"/>
      <c r="UMY80" s="2328"/>
      <c r="UMZ80" s="2329"/>
      <c r="UNA80" s="2329"/>
      <c r="UNB80" s="2329"/>
      <c r="UNC80" s="2329"/>
      <c r="UND80" s="2329"/>
      <c r="UNE80" s="2329"/>
      <c r="UNF80" s="2329"/>
      <c r="UNG80" s="2329"/>
      <c r="UNH80" s="2329"/>
      <c r="UNI80" s="2329"/>
      <c r="UNJ80" s="2329"/>
      <c r="UNK80" s="2329"/>
      <c r="UNL80" s="2329"/>
      <c r="UNM80" s="2329"/>
      <c r="UNN80" s="2329"/>
      <c r="UNO80" s="2328"/>
      <c r="UNP80" s="2329"/>
      <c r="UNQ80" s="2329"/>
      <c r="UNR80" s="2329"/>
      <c r="UNS80" s="2329"/>
      <c r="UNT80" s="2329"/>
      <c r="UNU80" s="2329"/>
      <c r="UNV80" s="2329"/>
      <c r="UNW80" s="2329"/>
      <c r="UNX80" s="2329"/>
      <c r="UNY80" s="2329"/>
      <c r="UNZ80" s="2329"/>
      <c r="UOA80" s="2329"/>
      <c r="UOB80" s="2329"/>
      <c r="UOC80" s="2329"/>
      <c r="UOD80" s="2329"/>
      <c r="UOE80" s="2328"/>
      <c r="UOF80" s="2329"/>
      <c r="UOG80" s="2329"/>
      <c r="UOH80" s="2329"/>
      <c r="UOI80" s="2329"/>
      <c r="UOJ80" s="2329"/>
      <c r="UOK80" s="2329"/>
      <c r="UOL80" s="2329"/>
      <c r="UOM80" s="2329"/>
      <c r="UON80" s="2329"/>
      <c r="UOO80" s="2329"/>
      <c r="UOP80" s="2329"/>
      <c r="UOQ80" s="2329"/>
      <c r="UOR80" s="2329"/>
      <c r="UOS80" s="2329"/>
      <c r="UOT80" s="2329"/>
      <c r="UOU80" s="2328"/>
      <c r="UOV80" s="2329"/>
      <c r="UOW80" s="2329"/>
      <c r="UOX80" s="2329"/>
      <c r="UOY80" s="2329"/>
      <c r="UOZ80" s="2329"/>
      <c r="UPA80" s="2329"/>
      <c r="UPB80" s="2329"/>
      <c r="UPC80" s="2329"/>
      <c r="UPD80" s="2329"/>
      <c r="UPE80" s="2329"/>
      <c r="UPF80" s="2329"/>
      <c r="UPG80" s="2329"/>
      <c r="UPH80" s="2329"/>
      <c r="UPI80" s="2329"/>
      <c r="UPJ80" s="2329"/>
      <c r="UPK80" s="2328"/>
      <c r="UPL80" s="2329"/>
      <c r="UPM80" s="2329"/>
      <c r="UPN80" s="2329"/>
      <c r="UPO80" s="2329"/>
      <c r="UPP80" s="2329"/>
      <c r="UPQ80" s="2329"/>
      <c r="UPR80" s="2329"/>
      <c r="UPS80" s="2329"/>
      <c r="UPT80" s="2329"/>
      <c r="UPU80" s="2329"/>
      <c r="UPV80" s="2329"/>
      <c r="UPW80" s="2329"/>
      <c r="UPX80" s="2329"/>
      <c r="UPY80" s="2329"/>
      <c r="UPZ80" s="2329"/>
      <c r="UQA80" s="2328"/>
      <c r="UQB80" s="2329"/>
      <c r="UQC80" s="2329"/>
      <c r="UQD80" s="2329"/>
      <c r="UQE80" s="2329"/>
      <c r="UQF80" s="2329"/>
      <c r="UQG80" s="2329"/>
      <c r="UQH80" s="2329"/>
      <c r="UQI80" s="2329"/>
      <c r="UQJ80" s="2329"/>
      <c r="UQK80" s="2329"/>
      <c r="UQL80" s="2329"/>
      <c r="UQM80" s="2329"/>
      <c r="UQN80" s="2329"/>
      <c r="UQO80" s="2329"/>
      <c r="UQP80" s="2329"/>
      <c r="UQQ80" s="2328"/>
      <c r="UQR80" s="2329"/>
      <c r="UQS80" s="2329"/>
      <c r="UQT80" s="2329"/>
      <c r="UQU80" s="2329"/>
      <c r="UQV80" s="2329"/>
      <c r="UQW80" s="2329"/>
      <c r="UQX80" s="2329"/>
      <c r="UQY80" s="2329"/>
      <c r="UQZ80" s="2329"/>
      <c r="URA80" s="2329"/>
      <c r="URB80" s="2329"/>
      <c r="URC80" s="2329"/>
      <c r="URD80" s="2329"/>
      <c r="URE80" s="2329"/>
      <c r="URF80" s="2329"/>
      <c r="URG80" s="2328"/>
      <c r="URH80" s="2329"/>
      <c r="URI80" s="2329"/>
      <c r="URJ80" s="2329"/>
      <c r="URK80" s="2329"/>
      <c r="URL80" s="2329"/>
      <c r="URM80" s="2329"/>
      <c r="URN80" s="2329"/>
      <c r="URO80" s="2329"/>
      <c r="URP80" s="2329"/>
      <c r="URQ80" s="2329"/>
      <c r="URR80" s="2329"/>
      <c r="URS80" s="2329"/>
      <c r="URT80" s="2329"/>
      <c r="URU80" s="2329"/>
      <c r="URV80" s="2329"/>
      <c r="URW80" s="2328"/>
      <c r="URX80" s="2329"/>
      <c r="URY80" s="2329"/>
      <c r="URZ80" s="2329"/>
      <c r="USA80" s="2329"/>
      <c r="USB80" s="2329"/>
      <c r="USC80" s="2329"/>
      <c r="USD80" s="2329"/>
      <c r="USE80" s="2329"/>
      <c r="USF80" s="2329"/>
      <c r="USG80" s="2329"/>
      <c r="USH80" s="2329"/>
      <c r="USI80" s="2329"/>
      <c r="USJ80" s="2329"/>
      <c r="USK80" s="2329"/>
      <c r="USL80" s="2329"/>
      <c r="USM80" s="2328"/>
      <c r="USN80" s="2329"/>
      <c r="USO80" s="2329"/>
      <c r="USP80" s="2329"/>
      <c r="USQ80" s="2329"/>
      <c r="USR80" s="2329"/>
      <c r="USS80" s="2329"/>
      <c r="UST80" s="2329"/>
      <c r="USU80" s="2329"/>
      <c r="USV80" s="2329"/>
      <c r="USW80" s="2329"/>
      <c r="USX80" s="2329"/>
      <c r="USY80" s="2329"/>
      <c r="USZ80" s="2329"/>
      <c r="UTA80" s="2329"/>
      <c r="UTB80" s="2329"/>
      <c r="UTC80" s="2328"/>
      <c r="UTD80" s="2329"/>
      <c r="UTE80" s="2329"/>
      <c r="UTF80" s="2329"/>
      <c r="UTG80" s="2329"/>
      <c r="UTH80" s="2329"/>
      <c r="UTI80" s="2329"/>
      <c r="UTJ80" s="2329"/>
      <c r="UTK80" s="2329"/>
      <c r="UTL80" s="2329"/>
      <c r="UTM80" s="2329"/>
      <c r="UTN80" s="2329"/>
      <c r="UTO80" s="2329"/>
      <c r="UTP80" s="2329"/>
      <c r="UTQ80" s="2329"/>
      <c r="UTR80" s="2329"/>
      <c r="UTS80" s="2328"/>
      <c r="UTT80" s="2329"/>
      <c r="UTU80" s="2329"/>
      <c r="UTV80" s="2329"/>
      <c r="UTW80" s="2329"/>
      <c r="UTX80" s="2329"/>
      <c r="UTY80" s="2329"/>
      <c r="UTZ80" s="2329"/>
      <c r="UUA80" s="2329"/>
      <c r="UUB80" s="2329"/>
      <c r="UUC80" s="2329"/>
      <c r="UUD80" s="2329"/>
      <c r="UUE80" s="2329"/>
      <c r="UUF80" s="2329"/>
      <c r="UUG80" s="2329"/>
      <c r="UUH80" s="2329"/>
      <c r="UUI80" s="2328"/>
      <c r="UUJ80" s="2329"/>
      <c r="UUK80" s="2329"/>
      <c r="UUL80" s="2329"/>
      <c r="UUM80" s="2329"/>
      <c r="UUN80" s="2329"/>
      <c r="UUO80" s="2329"/>
      <c r="UUP80" s="2329"/>
      <c r="UUQ80" s="2329"/>
      <c r="UUR80" s="2329"/>
      <c r="UUS80" s="2329"/>
      <c r="UUT80" s="2329"/>
      <c r="UUU80" s="2329"/>
      <c r="UUV80" s="2329"/>
      <c r="UUW80" s="2329"/>
      <c r="UUX80" s="2329"/>
      <c r="UUY80" s="2328"/>
      <c r="UUZ80" s="2329"/>
      <c r="UVA80" s="2329"/>
      <c r="UVB80" s="2329"/>
      <c r="UVC80" s="2329"/>
      <c r="UVD80" s="2329"/>
      <c r="UVE80" s="2329"/>
      <c r="UVF80" s="2329"/>
      <c r="UVG80" s="2329"/>
      <c r="UVH80" s="2329"/>
      <c r="UVI80" s="2329"/>
      <c r="UVJ80" s="2329"/>
      <c r="UVK80" s="2329"/>
      <c r="UVL80" s="2329"/>
      <c r="UVM80" s="2329"/>
      <c r="UVN80" s="2329"/>
      <c r="UVO80" s="2328"/>
      <c r="UVP80" s="2329"/>
      <c r="UVQ80" s="2329"/>
      <c r="UVR80" s="2329"/>
      <c r="UVS80" s="2329"/>
      <c r="UVT80" s="2329"/>
      <c r="UVU80" s="2329"/>
      <c r="UVV80" s="2329"/>
      <c r="UVW80" s="2329"/>
      <c r="UVX80" s="2329"/>
      <c r="UVY80" s="2329"/>
      <c r="UVZ80" s="2329"/>
      <c r="UWA80" s="2329"/>
      <c r="UWB80" s="2329"/>
      <c r="UWC80" s="2329"/>
      <c r="UWD80" s="2329"/>
      <c r="UWE80" s="2328"/>
      <c r="UWF80" s="2329"/>
      <c r="UWG80" s="2329"/>
      <c r="UWH80" s="2329"/>
      <c r="UWI80" s="2329"/>
      <c r="UWJ80" s="2329"/>
      <c r="UWK80" s="2329"/>
      <c r="UWL80" s="2329"/>
      <c r="UWM80" s="2329"/>
      <c r="UWN80" s="2329"/>
      <c r="UWO80" s="2329"/>
      <c r="UWP80" s="2329"/>
      <c r="UWQ80" s="2329"/>
      <c r="UWR80" s="2329"/>
      <c r="UWS80" s="2329"/>
      <c r="UWT80" s="2329"/>
      <c r="UWU80" s="2328"/>
      <c r="UWV80" s="2329"/>
      <c r="UWW80" s="2329"/>
      <c r="UWX80" s="2329"/>
      <c r="UWY80" s="2329"/>
      <c r="UWZ80" s="2329"/>
      <c r="UXA80" s="2329"/>
      <c r="UXB80" s="2329"/>
      <c r="UXC80" s="2329"/>
      <c r="UXD80" s="2329"/>
      <c r="UXE80" s="2329"/>
      <c r="UXF80" s="2329"/>
      <c r="UXG80" s="2329"/>
      <c r="UXH80" s="2329"/>
      <c r="UXI80" s="2329"/>
      <c r="UXJ80" s="2329"/>
      <c r="UXK80" s="2328"/>
      <c r="UXL80" s="2329"/>
      <c r="UXM80" s="2329"/>
      <c r="UXN80" s="2329"/>
      <c r="UXO80" s="2329"/>
      <c r="UXP80" s="2329"/>
      <c r="UXQ80" s="2329"/>
      <c r="UXR80" s="2329"/>
      <c r="UXS80" s="2329"/>
      <c r="UXT80" s="2329"/>
      <c r="UXU80" s="2329"/>
      <c r="UXV80" s="2329"/>
      <c r="UXW80" s="2329"/>
      <c r="UXX80" s="2329"/>
      <c r="UXY80" s="2329"/>
      <c r="UXZ80" s="2329"/>
      <c r="UYA80" s="2328"/>
      <c r="UYB80" s="2329"/>
      <c r="UYC80" s="2329"/>
      <c r="UYD80" s="2329"/>
      <c r="UYE80" s="2329"/>
      <c r="UYF80" s="2329"/>
      <c r="UYG80" s="2329"/>
      <c r="UYH80" s="2329"/>
      <c r="UYI80" s="2329"/>
      <c r="UYJ80" s="2329"/>
      <c r="UYK80" s="2329"/>
      <c r="UYL80" s="2329"/>
      <c r="UYM80" s="2329"/>
      <c r="UYN80" s="2329"/>
      <c r="UYO80" s="2329"/>
      <c r="UYP80" s="2329"/>
      <c r="UYQ80" s="2328"/>
      <c r="UYR80" s="2329"/>
      <c r="UYS80" s="2329"/>
      <c r="UYT80" s="2329"/>
      <c r="UYU80" s="2329"/>
      <c r="UYV80" s="2329"/>
      <c r="UYW80" s="2329"/>
      <c r="UYX80" s="2329"/>
      <c r="UYY80" s="2329"/>
      <c r="UYZ80" s="2329"/>
      <c r="UZA80" s="2329"/>
      <c r="UZB80" s="2329"/>
      <c r="UZC80" s="2329"/>
      <c r="UZD80" s="2329"/>
      <c r="UZE80" s="2329"/>
      <c r="UZF80" s="2329"/>
      <c r="UZG80" s="2328"/>
      <c r="UZH80" s="2329"/>
      <c r="UZI80" s="2329"/>
      <c r="UZJ80" s="2329"/>
      <c r="UZK80" s="2329"/>
      <c r="UZL80" s="2329"/>
      <c r="UZM80" s="2329"/>
      <c r="UZN80" s="2329"/>
      <c r="UZO80" s="2329"/>
      <c r="UZP80" s="2329"/>
      <c r="UZQ80" s="2329"/>
      <c r="UZR80" s="2329"/>
      <c r="UZS80" s="2329"/>
      <c r="UZT80" s="2329"/>
      <c r="UZU80" s="2329"/>
      <c r="UZV80" s="2329"/>
      <c r="UZW80" s="2328"/>
      <c r="UZX80" s="2329"/>
      <c r="UZY80" s="2329"/>
      <c r="UZZ80" s="2329"/>
      <c r="VAA80" s="2329"/>
      <c r="VAB80" s="2329"/>
      <c r="VAC80" s="2329"/>
      <c r="VAD80" s="2329"/>
      <c r="VAE80" s="2329"/>
      <c r="VAF80" s="2329"/>
      <c r="VAG80" s="2329"/>
      <c r="VAH80" s="2329"/>
      <c r="VAI80" s="2329"/>
      <c r="VAJ80" s="2329"/>
      <c r="VAK80" s="2329"/>
      <c r="VAL80" s="2329"/>
      <c r="VAM80" s="2328"/>
      <c r="VAN80" s="2329"/>
      <c r="VAO80" s="2329"/>
      <c r="VAP80" s="2329"/>
      <c r="VAQ80" s="2329"/>
      <c r="VAR80" s="2329"/>
      <c r="VAS80" s="2329"/>
      <c r="VAT80" s="2329"/>
      <c r="VAU80" s="2329"/>
      <c r="VAV80" s="2329"/>
      <c r="VAW80" s="2329"/>
      <c r="VAX80" s="2329"/>
      <c r="VAY80" s="2329"/>
      <c r="VAZ80" s="2329"/>
      <c r="VBA80" s="2329"/>
      <c r="VBB80" s="2329"/>
      <c r="VBC80" s="2328"/>
      <c r="VBD80" s="2329"/>
      <c r="VBE80" s="2329"/>
      <c r="VBF80" s="2329"/>
      <c r="VBG80" s="2329"/>
      <c r="VBH80" s="2329"/>
      <c r="VBI80" s="2329"/>
      <c r="VBJ80" s="2329"/>
      <c r="VBK80" s="2329"/>
      <c r="VBL80" s="2329"/>
      <c r="VBM80" s="2329"/>
      <c r="VBN80" s="2329"/>
      <c r="VBO80" s="2329"/>
      <c r="VBP80" s="2329"/>
      <c r="VBQ80" s="2329"/>
      <c r="VBR80" s="2329"/>
      <c r="VBS80" s="2328"/>
      <c r="VBT80" s="2329"/>
      <c r="VBU80" s="2329"/>
      <c r="VBV80" s="2329"/>
      <c r="VBW80" s="2329"/>
      <c r="VBX80" s="2329"/>
      <c r="VBY80" s="2329"/>
      <c r="VBZ80" s="2329"/>
      <c r="VCA80" s="2329"/>
      <c r="VCB80" s="2329"/>
      <c r="VCC80" s="2329"/>
      <c r="VCD80" s="2329"/>
      <c r="VCE80" s="2329"/>
      <c r="VCF80" s="2329"/>
      <c r="VCG80" s="2329"/>
      <c r="VCH80" s="2329"/>
      <c r="VCI80" s="2328"/>
      <c r="VCJ80" s="2329"/>
      <c r="VCK80" s="2329"/>
      <c r="VCL80" s="2329"/>
      <c r="VCM80" s="2329"/>
      <c r="VCN80" s="2329"/>
      <c r="VCO80" s="2329"/>
      <c r="VCP80" s="2329"/>
      <c r="VCQ80" s="2329"/>
      <c r="VCR80" s="2329"/>
      <c r="VCS80" s="2329"/>
      <c r="VCT80" s="2329"/>
      <c r="VCU80" s="2329"/>
      <c r="VCV80" s="2329"/>
      <c r="VCW80" s="2329"/>
      <c r="VCX80" s="2329"/>
      <c r="VCY80" s="2328"/>
      <c r="VCZ80" s="2329"/>
      <c r="VDA80" s="2329"/>
      <c r="VDB80" s="2329"/>
      <c r="VDC80" s="2329"/>
      <c r="VDD80" s="2329"/>
      <c r="VDE80" s="2329"/>
      <c r="VDF80" s="2329"/>
      <c r="VDG80" s="2329"/>
      <c r="VDH80" s="2329"/>
      <c r="VDI80" s="2329"/>
      <c r="VDJ80" s="2329"/>
      <c r="VDK80" s="2329"/>
      <c r="VDL80" s="2329"/>
      <c r="VDM80" s="2329"/>
      <c r="VDN80" s="2329"/>
      <c r="VDO80" s="2328"/>
      <c r="VDP80" s="2329"/>
      <c r="VDQ80" s="2329"/>
      <c r="VDR80" s="2329"/>
      <c r="VDS80" s="2329"/>
      <c r="VDT80" s="2329"/>
      <c r="VDU80" s="2329"/>
      <c r="VDV80" s="2329"/>
      <c r="VDW80" s="2329"/>
      <c r="VDX80" s="2329"/>
      <c r="VDY80" s="2329"/>
      <c r="VDZ80" s="2329"/>
      <c r="VEA80" s="2329"/>
      <c r="VEB80" s="2329"/>
      <c r="VEC80" s="2329"/>
      <c r="VED80" s="2329"/>
      <c r="VEE80" s="2328"/>
      <c r="VEF80" s="2329"/>
      <c r="VEG80" s="2329"/>
      <c r="VEH80" s="2329"/>
      <c r="VEI80" s="2329"/>
      <c r="VEJ80" s="2329"/>
      <c r="VEK80" s="2329"/>
      <c r="VEL80" s="2329"/>
      <c r="VEM80" s="2329"/>
      <c r="VEN80" s="2329"/>
      <c r="VEO80" s="2329"/>
      <c r="VEP80" s="2329"/>
      <c r="VEQ80" s="2329"/>
      <c r="VER80" s="2329"/>
      <c r="VES80" s="2329"/>
      <c r="VET80" s="2329"/>
      <c r="VEU80" s="2328"/>
      <c r="VEV80" s="2329"/>
      <c r="VEW80" s="2329"/>
      <c r="VEX80" s="2329"/>
      <c r="VEY80" s="2329"/>
      <c r="VEZ80" s="2329"/>
      <c r="VFA80" s="2329"/>
      <c r="VFB80" s="2329"/>
      <c r="VFC80" s="2329"/>
      <c r="VFD80" s="2329"/>
      <c r="VFE80" s="2329"/>
      <c r="VFF80" s="2329"/>
      <c r="VFG80" s="2329"/>
      <c r="VFH80" s="2329"/>
      <c r="VFI80" s="2329"/>
      <c r="VFJ80" s="2329"/>
      <c r="VFK80" s="2328"/>
      <c r="VFL80" s="2329"/>
      <c r="VFM80" s="2329"/>
      <c r="VFN80" s="2329"/>
      <c r="VFO80" s="2329"/>
      <c r="VFP80" s="2329"/>
      <c r="VFQ80" s="2329"/>
      <c r="VFR80" s="2329"/>
      <c r="VFS80" s="2329"/>
      <c r="VFT80" s="2329"/>
      <c r="VFU80" s="2329"/>
      <c r="VFV80" s="2329"/>
      <c r="VFW80" s="2329"/>
      <c r="VFX80" s="2329"/>
      <c r="VFY80" s="2329"/>
      <c r="VFZ80" s="2329"/>
      <c r="VGA80" s="2328"/>
      <c r="VGB80" s="2329"/>
      <c r="VGC80" s="2329"/>
      <c r="VGD80" s="2329"/>
      <c r="VGE80" s="2329"/>
      <c r="VGF80" s="2329"/>
      <c r="VGG80" s="2329"/>
      <c r="VGH80" s="2329"/>
      <c r="VGI80" s="2329"/>
      <c r="VGJ80" s="2329"/>
      <c r="VGK80" s="2329"/>
      <c r="VGL80" s="2329"/>
      <c r="VGM80" s="2329"/>
      <c r="VGN80" s="2329"/>
      <c r="VGO80" s="2329"/>
      <c r="VGP80" s="2329"/>
      <c r="VGQ80" s="2328"/>
      <c r="VGR80" s="2329"/>
      <c r="VGS80" s="2329"/>
      <c r="VGT80" s="2329"/>
      <c r="VGU80" s="2329"/>
      <c r="VGV80" s="2329"/>
      <c r="VGW80" s="2329"/>
      <c r="VGX80" s="2329"/>
      <c r="VGY80" s="2329"/>
      <c r="VGZ80" s="2329"/>
      <c r="VHA80" s="2329"/>
      <c r="VHB80" s="2329"/>
      <c r="VHC80" s="2329"/>
      <c r="VHD80" s="2329"/>
      <c r="VHE80" s="2329"/>
      <c r="VHF80" s="2329"/>
      <c r="VHG80" s="2328"/>
      <c r="VHH80" s="2329"/>
      <c r="VHI80" s="2329"/>
      <c r="VHJ80" s="2329"/>
      <c r="VHK80" s="2329"/>
      <c r="VHL80" s="2329"/>
      <c r="VHM80" s="2329"/>
      <c r="VHN80" s="2329"/>
      <c r="VHO80" s="2329"/>
      <c r="VHP80" s="2329"/>
      <c r="VHQ80" s="2329"/>
      <c r="VHR80" s="2329"/>
      <c r="VHS80" s="2329"/>
      <c r="VHT80" s="2329"/>
      <c r="VHU80" s="2329"/>
      <c r="VHV80" s="2329"/>
      <c r="VHW80" s="2328"/>
      <c r="VHX80" s="2329"/>
      <c r="VHY80" s="2329"/>
      <c r="VHZ80" s="2329"/>
      <c r="VIA80" s="2329"/>
      <c r="VIB80" s="2329"/>
      <c r="VIC80" s="2329"/>
      <c r="VID80" s="2329"/>
      <c r="VIE80" s="2329"/>
      <c r="VIF80" s="2329"/>
      <c r="VIG80" s="2329"/>
      <c r="VIH80" s="2329"/>
      <c r="VII80" s="2329"/>
      <c r="VIJ80" s="2329"/>
      <c r="VIK80" s="2329"/>
      <c r="VIL80" s="2329"/>
      <c r="VIM80" s="2328"/>
      <c r="VIN80" s="2329"/>
      <c r="VIO80" s="2329"/>
      <c r="VIP80" s="2329"/>
      <c r="VIQ80" s="2329"/>
      <c r="VIR80" s="2329"/>
      <c r="VIS80" s="2329"/>
      <c r="VIT80" s="2329"/>
      <c r="VIU80" s="2329"/>
      <c r="VIV80" s="2329"/>
      <c r="VIW80" s="2329"/>
      <c r="VIX80" s="2329"/>
      <c r="VIY80" s="2329"/>
      <c r="VIZ80" s="2329"/>
      <c r="VJA80" s="2329"/>
      <c r="VJB80" s="2329"/>
      <c r="VJC80" s="2328"/>
      <c r="VJD80" s="2329"/>
      <c r="VJE80" s="2329"/>
      <c r="VJF80" s="2329"/>
      <c r="VJG80" s="2329"/>
      <c r="VJH80" s="2329"/>
      <c r="VJI80" s="2329"/>
      <c r="VJJ80" s="2329"/>
      <c r="VJK80" s="2329"/>
      <c r="VJL80" s="2329"/>
      <c r="VJM80" s="2329"/>
      <c r="VJN80" s="2329"/>
      <c r="VJO80" s="2329"/>
      <c r="VJP80" s="2329"/>
      <c r="VJQ80" s="2329"/>
      <c r="VJR80" s="2329"/>
      <c r="VJS80" s="2328"/>
      <c r="VJT80" s="2329"/>
      <c r="VJU80" s="2329"/>
      <c r="VJV80" s="2329"/>
      <c r="VJW80" s="2329"/>
      <c r="VJX80" s="2329"/>
      <c r="VJY80" s="2329"/>
      <c r="VJZ80" s="2329"/>
      <c r="VKA80" s="2329"/>
      <c r="VKB80" s="2329"/>
      <c r="VKC80" s="2329"/>
      <c r="VKD80" s="2329"/>
      <c r="VKE80" s="2329"/>
      <c r="VKF80" s="2329"/>
      <c r="VKG80" s="2329"/>
      <c r="VKH80" s="2329"/>
      <c r="VKI80" s="2328"/>
      <c r="VKJ80" s="2329"/>
      <c r="VKK80" s="2329"/>
      <c r="VKL80" s="2329"/>
      <c r="VKM80" s="2329"/>
      <c r="VKN80" s="2329"/>
      <c r="VKO80" s="2329"/>
      <c r="VKP80" s="2329"/>
      <c r="VKQ80" s="2329"/>
      <c r="VKR80" s="2329"/>
      <c r="VKS80" s="2329"/>
      <c r="VKT80" s="2329"/>
      <c r="VKU80" s="2329"/>
      <c r="VKV80" s="2329"/>
      <c r="VKW80" s="2329"/>
      <c r="VKX80" s="2329"/>
      <c r="VKY80" s="2328"/>
      <c r="VKZ80" s="2329"/>
      <c r="VLA80" s="2329"/>
      <c r="VLB80" s="2329"/>
      <c r="VLC80" s="2329"/>
      <c r="VLD80" s="2329"/>
      <c r="VLE80" s="2329"/>
      <c r="VLF80" s="2329"/>
      <c r="VLG80" s="2329"/>
      <c r="VLH80" s="2329"/>
      <c r="VLI80" s="2329"/>
      <c r="VLJ80" s="2329"/>
      <c r="VLK80" s="2329"/>
      <c r="VLL80" s="2329"/>
      <c r="VLM80" s="2329"/>
      <c r="VLN80" s="2329"/>
      <c r="VLO80" s="2328"/>
      <c r="VLP80" s="2329"/>
      <c r="VLQ80" s="2329"/>
      <c r="VLR80" s="2329"/>
      <c r="VLS80" s="2329"/>
      <c r="VLT80" s="2329"/>
      <c r="VLU80" s="2329"/>
      <c r="VLV80" s="2329"/>
      <c r="VLW80" s="2329"/>
      <c r="VLX80" s="2329"/>
      <c r="VLY80" s="2329"/>
      <c r="VLZ80" s="2329"/>
      <c r="VMA80" s="2329"/>
      <c r="VMB80" s="2329"/>
      <c r="VMC80" s="2329"/>
      <c r="VMD80" s="2329"/>
      <c r="VME80" s="2328"/>
      <c r="VMF80" s="2329"/>
      <c r="VMG80" s="2329"/>
      <c r="VMH80" s="2329"/>
      <c r="VMI80" s="2329"/>
      <c r="VMJ80" s="2329"/>
      <c r="VMK80" s="2329"/>
      <c r="VML80" s="2329"/>
      <c r="VMM80" s="2329"/>
      <c r="VMN80" s="2329"/>
      <c r="VMO80" s="2329"/>
      <c r="VMP80" s="2329"/>
      <c r="VMQ80" s="2329"/>
      <c r="VMR80" s="2329"/>
      <c r="VMS80" s="2329"/>
      <c r="VMT80" s="2329"/>
      <c r="VMU80" s="2328"/>
      <c r="VMV80" s="2329"/>
      <c r="VMW80" s="2329"/>
      <c r="VMX80" s="2329"/>
      <c r="VMY80" s="2329"/>
      <c r="VMZ80" s="2329"/>
      <c r="VNA80" s="2329"/>
      <c r="VNB80" s="2329"/>
      <c r="VNC80" s="2329"/>
      <c r="VND80" s="2329"/>
      <c r="VNE80" s="2329"/>
      <c r="VNF80" s="2329"/>
      <c r="VNG80" s="2329"/>
      <c r="VNH80" s="2329"/>
      <c r="VNI80" s="2329"/>
      <c r="VNJ80" s="2329"/>
      <c r="VNK80" s="2328"/>
      <c r="VNL80" s="2329"/>
      <c r="VNM80" s="2329"/>
      <c r="VNN80" s="2329"/>
      <c r="VNO80" s="2329"/>
      <c r="VNP80" s="2329"/>
      <c r="VNQ80" s="2329"/>
      <c r="VNR80" s="2329"/>
      <c r="VNS80" s="2329"/>
      <c r="VNT80" s="2329"/>
      <c r="VNU80" s="2329"/>
      <c r="VNV80" s="2329"/>
      <c r="VNW80" s="2329"/>
      <c r="VNX80" s="2329"/>
      <c r="VNY80" s="2329"/>
      <c r="VNZ80" s="2329"/>
      <c r="VOA80" s="2328"/>
      <c r="VOB80" s="2329"/>
      <c r="VOC80" s="2329"/>
      <c r="VOD80" s="2329"/>
      <c r="VOE80" s="2329"/>
      <c r="VOF80" s="2329"/>
      <c r="VOG80" s="2329"/>
      <c r="VOH80" s="2329"/>
      <c r="VOI80" s="2329"/>
      <c r="VOJ80" s="2329"/>
      <c r="VOK80" s="2329"/>
      <c r="VOL80" s="2329"/>
      <c r="VOM80" s="2329"/>
      <c r="VON80" s="2329"/>
      <c r="VOO80" s="2329"/>
      <c r="VOP80" s="2329"/>
      <c r="VOQ80" s="2328"/>
      <c r="VOR80" s="2329"/>
      <c r="VOS80" s="2329"/>
      <c r="VOT80" s="2329"/>
      <c r="VOU80" s="2329"/>
      <c r="VOV80" s="2329"/>
      <c r="VOW80" s="2329"/>
      <c r="VOX80" s="2329"/>
      <c r="VOY80" s="2329"/>
      <c r="VOZ80" s="2329"/>
      <c r="VPA80" s="2329"/>
      <c r="VPB80" s="2329"/>
      <c r="VPC80" s="2329"/>
      <c r="VPD80" s="2329"/>
      <c r="VPE80" s="2329"/>
      <c r="VPF80" s="2329"/>
      <c r="VPG80" s="2328"/>
      <c r="VPH80" s="2329"/>
      <c r="VPI80" s="2329"/>
      <c r="VPJ80" s="2329"/>
      <c r="VPK80" s="2329"/>
      <c r="VPL80" s="2329"/>
      <c r="VPM80" s="2329"/>
      <c r="VPN80" s="2329"/>
      <c r="VPO80" s="2329"/>
      <c r="VPP80" s="2329"/>
      <c r="VPQ80" s="2329"/>
      <c r="VPR80" s="2329"/>
      <c r="VPS80" s="2329"/>
      <c r="VPT80" s="2329"/>
      <c r="VPU80" s="2329"/>
      <c r="VPV80" s="2329"/>
      <c r="VPW80" s="2328"/>
      <c r="VPX80" s="2329"/>
      <c r="VPY80" s="2329"/>
      <c r="VPZ80" s="2329"/>
      <c r="VQA80" s="2329"/>
      <c r="VQB80" s="2329"/>
      <c r="VQC80" s="2329"/>
      <c r="VQD80" s="2329"/>
      <c r="VQE80" s="2329"/>
      <c r="VQF80" s="2329"/>
      <c r="VQG80" s="2329"/>
      <c r="VQH80" s="2329"/>
      <c r="VQI80" s="2329"/>
      <c r="VQJ80" s="2329"/>
      <c r="VQK80" s="2329"/>
      <c r="VQL80" s="2329"/>
      <c r="VQM80" s="2328"/>
      <c r="VQN80" s="2329"/>
      <c r="VQO80" s="2329"/>
      <c r="VQP80" s="2329"/>
      <c r="VQQ80" s="2329"/>
      <c r="VQR80" s="2329"/>
      <c r="VQS80" s="2329"/>
      <c r="VQT80" s="2329"/>
      <c r="VQU80" s="2329"/>
      <c r="VQV80" s="2329"/>
      <c r="VQW80" s="2329"/>
      <c r="VQX80" s="2329"/>
      <c r="VQY80" s="2329"/>
      <c r="VQZ80" s="2329"/>
      <c r="VRA80" s="2329"/>
      <c r="VRB80" s="2329"/>
      <c r="VRC80" s="2328"/>
      <c r="VRD80" s="2329"/>
      <c r="VRE80" s="2329"/>
      <c r="VRF80" s="2329"/>
      <c r="VRG80" s="2329"/>
      <c r="VRH80" s="2329"/>
      <c r="VRI80" s="2329"/>
      <c r="VRJ80" s="2329"/>
      <c r="VRK80" s="2329"/>
      <c r="VRL80" s="2329"/>
      <c r="VRM80" s="2329"/>
      <c r="VRN80" s="2329"/>
      <c r="VRO80" s="2329"/>
      <c r="VRP80" s="2329"/>
      <c r="VRQ80" s="2329"/>
      <c r="VRR80" s="2329"/>
      <c r="VRS80" s="2328"/>
      <c r="VRT80" s="2329"/>
      <c r="VRU80" s="2329"/>
      <c r="VRV80" s="2329"/>
      <c r="VRW80" s="2329"/>
      <c r="VRX80" s="2329"/>
      <c r="VRY80" s="2329"/>
      <c r="VRZ80" s="2329"/>
      <c r="VSA80" s="2329"/>
      <c r="VSB80" s="2329"/>
      <c r="VSC80" s="2329"/>
      <c r="VSD80" s="2329"/>
      <c r="VSE80" s="2329"/>
      <c r="VSF80" s="2329"/>
      <c r="VSG80" s="2329"/>
      <c r="VSH80" s="2329"/>
      <c r="VSI80" s="2328"/>
      <c r="VSJ80" s="2329"/>
      <c r="VSK80" s="2329"/>
      <c r="VSL80" s="2329"/>
      <c r="VSM80" s="2329"/>
      <c r="VSN80" s="2329"/>
      <c r="VSO80" s="2329"/>
      <c r="VSP80" s="2329"/>
      <c r="VSQ80" s="2329"/>
      <c r="VSR80" s="2329"/>
      <c r="VSS80" s="2329"/>
      <c r="VST80" s="2329"/>
      <c r="VSU80" s="2329"/>
      <c r="VSV80" s="2329"/>
      <c r="VSW80" s="2329"/>
      <c r="VSX80" s="2329"/>
      <c r="VSY80" s="2328"/>
      <c r="VSZ80" s="2329"/>
      <c r="VTA80" s="2329"/>
      <c r="VTB80" s="2329"/>
      <c r="VTC80" s="2329"/>
      <c r="VTD80" s="2329"/>
      <c r="VTE80" s="2329"/>
      <c r="VTF80" s="2329"/>
      <c r="VTG80" s="2329"/>
      <c r="VTH80" s="2329"/>
      <c r="VTI80" s="2329"/>
      <c r="VTJ80" s="2329"/>
      <c r="VTK80" s="2329"/>
      <c r="VTL80" s="2329"/>
      <c r="VTM80" s="2329"/>
      <c r="VTN80" s="2329"/>
      <c r="VTO80" s="2328"/>
      <c r="VTP80" s="2329"/>
      <c r="VTQ80" s="2329"/>
      <c r="VTR80" s="2329"/>
      <c r="VTS80" s="2329"/>
      <c r="VTT80" s="2329"/>
      <c r="VTU80" s="2329"/>
      <c r="VTV80" s="2329"/>
      <c r="VTW80" s="2329"/>
      <c r="VTX80" s="2329"/>
      <c r="VTY80" s="2329"/>
      <c r="VTZ80" s="2329"/>
      <c r="VUA80" s="2329"/>
      <c r="VUB80" s="2329"/>
      <c r="VUC80" s="2329"/>
      <c r="VUD80" s="2329"/>
      <c r="VUE80" s="2328"/>
      <c r="VUF80" s="2329"/>
      <c r="VUG80" s="2329"/>
      <c r="VUH80" s="2329"/>
      <c r="VUI80" s="2329"/>
      <c r="VUJ80" s="2329"/>
      <c r="VUK80" s="2329"/>
      <c r="VUL80" s="2329"/>
      <c r="VUM80" s="2329"/>
      <c r="VUN80" s="2329"/>
      <c r="VUO80" s="2329"/>
      <c r="VUP80" s="2329"/>
      <c r="VUQ80" s="2329"/>
      <c r="VUR80" s="2329"/>
      <c r="VUS80" s="2329"/>
      <c r="VUT80" s="2329"/>
      <c r="VUU80" s="2328"/>
      <c r="VUV80" s="2329"/>
      <c r="VUW80" s="2329"/>
      <c r="VUX80" s="2329"/>
      <c r="VUY80" s="2329"/>
      <c r="VUZ80" s="2329"/>
      <c r="VVA80" s="2329"/>
      <c r="VVB80" s="2329"/>
      <c r="VVC80" s="2329"/>
      <c r="VVD80" s="2329"/>
      <c r="VVE80" s="2329"/>
      <c r="VVF80" s="2329"/>
      <c r="VVG80" s="2329"/>
      <c r="VVH80" s="2329"/>
      <c r="VVI80" s="2329"/>
      <c r="VVJ80" s="2329"/>
      <c r="VVK80" s="2328"/>
      <c r="VVL80" s="2329"/>
      <c r="VVM80" s="2329"/>
      <c r="VVN80" s="2329"/>
      <c r="VVO80" s="2329"/>
      <c r="VVP80" s="2329"/>
      <c r="VVQ80" s="2329"/>
      <c r="VVR80" s="2329"/>
      <c r="VVS80" s="2329"/>
      <c r="VVT80" s="2329"/>
      <c r="VVU80" s="2329"/>
      <c r="VVV80" s="2329"/>
      <c r="VVW80" s="2329"/>
      <c r="VVX80" s="2329"/>
      <c r="VVY80" s="2329"/>
      <c r="VVZ80" s="2329"/>
      <c r="VWA80" s="2328"/>
      <c r="VWB80" s="2329"/>
      <c r="VWC80" s="2329"/>
      <c r="VWD80" s="2329"/>
      <c r="VWE80" s="2329"/>
      <c r="VWF80" s="2329"/>
      <c r="VWG80" s="2329"/>
      <c r="VWH80" s="2329"/>
      <c r="VWI80" s="2329"/>
      <c r="VWJ80" s="2329"/>
      <c r="VWK80" s="2329"/>
      <c r="VWL80" s="2329"/>
      <c r="VWM80" s="2329"/>
      <c r="VWN80" s="2329"/>
      <c r="VWO80" s="2329"/>
      <c r="VWP80" s="2329"/>
      <c r="VWQ80" s="2328"/>
      <c r="VWR80" s="2329"/>
      <c r="VWS80" s="2329"/>
      <c r="VWT80" s="2329"/>
      <c r="VWU80" s="2329"/>
      <c r="VWV80" s="2329"/>
      <c r="VWW80" s="2329"/>
      <c r="VWX80" s="2329"/>
      <c r="VWY80" s="2329"/>
      <c r="VWZ80" s="2329"/>
      <c r="VXA80" s="2329"/>
      <c r="VXB80" s="2329"/>
      <c r="VXC80" s="2329"/>
      <c r="VXD80" s="2329"/>
      <c r="VXE80" s="2329"/>
      <c r="VXF80" s="2329"/>
      <c r="VXG80" s="2328"/>
      <c r="VXH80" s="2329"/>
      <c r="VXI80" s="2329"/>
      <c r="VXJ80" s="2329"/>
      <c r="VXK80" s="2329"/>
      <c r="VXL80" s="2329"/>
      <c r="VXM80" s="2329"/>
      <c r="VXN80" s="2329"/>
      <c r="VXO80" s="2329"/>
      <c r="VXP80" s="2329"/>
      <c r="VXQ80" s="2329"/>
      <c r="VXR80" s="2329"/>
      <c r="VXS80" s="2329"/>
      <c r="VXT80" s="2329"/>
      <c r="VXU80" s="2329"/>
      <c r="VXV80" s="2329"/>
      <c r="VXW80" s="2328"/>
      <c r="VXX80" s="2329"/>
      <c r="VXY80" s="2329"/>
      <c r="VXZ80" s="2329"/>
      <c r="VYA80" s="2329"/>
      <c r="VYB80" s="2329"/>
      <c r="VYC80" s="2329"/>
      <c r="VYD80" s="2329"/>
      <c r="VYE80" s="2329"/>
      <c r="VYF80" s="2329"/>
      <c r="VYG80" s="2329"/>
      <c r="VYH80" s="2329"/>
      <c r="VYI80" s="2329"/>
      <c r="VYJ80" s="2329"/>
      <c r="VYK80" s="2329"/>
      <c r="VYL80" s="2329"/>
      <c r="VYM80" s="2328"/>
      <c r="VYN80" s="2329"/>
      <c r="VYO80" s="2329"/>
      <c r="VYP80" s="2329"/>
      <c r="VYQ80" s="2329"/>
      <c r="VYR80" s="2329"/>
      <c r="VYS80" s="2329"/>
      <c r="VYT80" s="2329"/>
      <c r="VYU80" s="2329"/>
      <c r="VYV80" s="2329"/>
      <c r="VYW80" s="2329"/>
      <c r="VYX80" s="2329"/>
      <c r="VYY80" s="2329"/>
      <c r="VYZ80" s="2329"/>
      <c r="VZA80" s="2329"/>
      <c r="VZB80" s="2329"/>
      <c r="VZC80" s="2328"/>
      <c r="VZD80" s="2329"/>
      <c r="VZE80" s="2329"/>
      <c r="VZF80" s="2329"/>
      <c r="VZG80" s="2329"/>
      <c r="VZH80" s="2329"/>
      <c r="VZI80" s="2329"/>
      <c r="VZJ80" s="2329"/>
      <c r="VZK80" s="2329"/>
      <c r="VZL80" s="2329"/>
      <c r="VZM80" s="2329"/>
      <c r="VZN80" s="2329"/>
      <c r="VZO80" s="2329"/>
      <c r="VZP80" s="2329"/>
      <c r="VZQ80" s="2329"/>
      <c r="VZR80" s="2329"/>
      <c r="VZS80" s="2328"/>
      <c r="VZT80" s="2329"/>
      <c r="VZU80" s="2329"/>
      <c r="VZV80" s="2329"/>
      <c r="VZW80" s="2329"/>
      <c r="VZX80" s="2329"/>
      <c r="VZY80" s="2329"/>
      <c r="VZZ80" s="2329"/>
      <c r="WAA80" s="2329"/>
      <c r="WAB80" s="2329"/>
      <c r="WAC80" s="2329"/>
      <c r="WAD80" s="2329"/>
      <c r="WAE80" s="2329"/>
      <c r="WAF80" s="2329"/>
      <c r="WAG80" s="2329"/>
      <c r="WAH80" s="2329"/>
      <c r="WAI80" s="2328"/>
      <c r="WAJ80" s="2329"/>
      <c r="WAK80" s="2329"/>
      <c r="WAL80" s="2329"/>
      <c r="WAM80" s="2329"/>
      <c r="WAN80" s="2329"/>
      <c r="WAO80" s="2329"/>
      <c r="WAP80" s="2329"/>
      <c r="WAQ80" s="2329"/>
      <c r="WAR80" s="2329"/>
      <c r="WAS80" s="2329"/>
      <c r="WAT80" s="2329"/>
      <c r="WAU80" s="2329"/>
      <c r="WAV80" s="2329"/>
      <c r="WAW80" s="2329"/>
      <c r="WAX80" s="2329"/>
      <c r="WAY80" s="2328"/>
      <c r="WAZ80" s="2329"/>
      <c r="WBA80" s="2329"/>
      <c r="WBB80" s="2329"/>
      <c r="WBC80" s="2329"/>
      <c r="WBD80" s="2329"/>
      <c r="WBE80" s="2329"/>
      <c r="WBF80" s="2329"/>
      <c r="WBG80" s="2329"/>
      <c r="WBH80" s="2329"/>
      <c r="WBI80" s="2329"/>
      <c r="WBJ80" s="2329"/>
      <c r="WBK80" s="2329"/>
      <c r="WBL80" s="2329"/>
      <c r="WBM80" s="2329"/>
      <c r="WBN80" s="2329"/>
      <c r="WBO80" s="2328"/>
      <c r="WBP80" s="2329"/>
      <c r="WBQ80" s="2329"/>
      <c r="WBR80" s="2329"/>
      <c r="WBS80" s="2329"/>
      <c r="WBT80" s="2329"/>
      <c r="WBU80" s="2329"/>
      <c r="WBV80" s="2329"/>
      <c r="WBW80" s="2329"/>
      <c r="WBX80" s="2329"/>
      <c r="WBY80" s="2329"/>
      <c r="WBZ80" s="2329"/>
      <c r="WCA80" s="2329"/>
      <c r="WCB80" s="2329"/>
      <c r="WCC80" s="2329"/>
      <c r="WCD80" s="2329"/>
      <c r="WCE80" s="2328"/>
      <c r="WCF80" s="2329"/>
      <c r="WCG80" s="2329"/>
      <c r="WCH80" s="2329"/>
      <c r="WCI80" s="2329"/>
      <c r="WCJ80" s="2329"/>
      <c r="WCK80" s="2329"/>
      <c r="WCL80" s="2329"/>
      <c r="WCM80" s="2329"/>
      <c r="WCN80" s="2329"/>
      <c r="WCO80" s="2329"/>
      <c r="WCP80" s="2329"/>
      <c r="WCQ80" s="2329"/>
      <c r="WCR80" s="2329"/>
      <c r="WCS80" s="2329"/>
      <c r="WCT80" s="2329"/>
      <c r="WCU80" s="2328"/>
      <c r="WCV80" s="2329"/>
      <c r="WCW80" s="2329"/>
      <c r="WCX80" s="2329"/>
      <c r="WCY80" s="2329"/>
      <c r="WCZ80" s="2329"/>
      <c r="WDA80" s="2329"/>
      <c r="WDB80" s="2329"/>
      <c r="WDC80" s="2329"/>
      <c r="WDD80" s="2329"/>
      <c r="WDE80" s="2329"/>
      <c r="WDF80" s="2329"/>
      <c r="WDG80" s="2329"/>
      <c r="WDH80" s="2329"/>
      <c r="WDI80" s="2329"/>
      <c r="WDJ80" s="2329"/>
      <c r="WDK80" s="2328"/>
      <c r="WDL80" s="2329"/>
      <c r="WDM80" s="2329"/>
      <c r="WDN80" s="2329"/>
      <c r="WDO80" s="2329"/>
      <c r="WDP80" s="2329"/>
      <c r="WDQ80" s="2329"/>
      <c r="WDR80" s="2329"/>
      <c r="WDS80" s="2329"/>
      <c r="WDT80" s="2329"/>
      <c r="WDU80" s="2329"/>
      <c r="WDV80" s="2329"/>
      <c r="WDW80" s="2329"/>
      <c r="WDX80" s="2329"/>
      <c r="WDY80" s="2329"/>
      <c r="WDZ80" s="2329"/>
      <c r="WEA80" s="2328"/>
      <c r="WEB80" s="2329"/>
      <c r="WEC80" s="2329"/>
      <c r="WED80" s="2329"/>
      <c r="WEE80" s="2329"/>
      <c r="WEF80" s="2329"/>
      <c r="WEG80" s="2329"/>
      <c r="WEH80" s="2329"/>
      <c r="WEI80" s="2329"/>
      <c r="WEJ80" s="2329"/>
      <c r="WEK80" s="2329"/>
      <c r="WEL80" s="2329"/>
      <c r="WEM80" s="2329"/>
      <c r="WEN80" s="2329"/>
      <c r="WEO80" s="2329"/>
      <c r="WEP80" s="2329"/>
      <c r="WEQ80" s="2328"/>
      <c r="WER80" s="2329"/>
      <c r="WES80" s="2329"/>
      <c r="WET80" s="2329"/>
      <c r="WEU80" s="2329"/>
      <c r="WEV80" s="2329"/>
      <c r="WEW80" s="2329"/>
      <c r="WEX80" s="2329"/>
      <c r="WEY80" s="2329"/>
      <c r="WEZ80" s="2329"/>
      <c r="WFA80" s="2329"/>
      <c r="WFB80" s="2329"/>
      <c r="WFC80" s="2329"/>
      <c r="WFD80" s="2329"/>
      <c r="WFE80" s="2329"/>
      <c r="WFF80" s="2329"/>
      <c r="WFG80" s="2328"/>
      <c r="WFH80" s="2329"/>
      <c r="WFI80" s="2329"/>
      <c r="WFJ80" s="2329"/>
      <c r="WFK80" s="2329"/>
      <c r="WFL80" s="2329"/>
      <c r="WFM80" s="2329"/>
      <c r="WFN80" s="2329"/>
      <c r="WFO80" s="2329"/>
      <c r="WFP80" s="2329"/>
      <c r="WFQ80" s="2329"/>
      <c r="WFR80" s="2329"/>
      <c r="WFS80" s="2329"/>
      <c r="WFT80" s="2329"/>
      <c r="WFU80" s="2329"/>
      <c r="WFV80" s="2329"/>
      <c r="WFW80" s="2328"/>
      <c r="WFX80" s="2329"/>
      <c r="WFY80" s="2329"/>
      <c r="WFZ80" s="2329"/>
      <c r="WGA80" s="2329"/>
      <c r="WGB80" s="2329"/>
      <c r="WGC80" s="2329"/>
      <c r="WGD80" s="2329"/>
      <c r="WGE80" s="2329"/>
      <c r="WGF80" s="2329"/>
      <c r="WGG80" s="2329"/>
      <c r="WGH80" s="2329"/>
      <c r="WGI80" s="2329"/>
      <c r="WGJ80" s="2329"/>
      <c r="WGK80" s="2329"/>
      <c r="WGL80" s="2329"/>
      <c r="WGM80" s="2328"/>
      <c r="WGN80" s="2329"/>
      <c r="WGO80" s="2329"/>
      <c r="WGP80" s="2329"/>
      <c r="WGQ80" s="2329"/>
      <c r="WGR80" s="2329"/>
      <c r="WGS80" s="2329"/>
      <c r="WGT80" s="2329"/>
      <c r="WGU80" s="2329"/>
      <c r="WGV80" s="2329"/>
      <c r="WGW80" s="2329"/>
      <c r="WGX80" s="2329"/>
      <c r="WGY80" s="2329"/>
      <c r="WGZ80" s="2329"/>
      <c r="WHA80" s="2329"/>
      <c r="WHB80" s="2329"/>
      <c r="WHC80" s="2328"/>
      <c r="WHD80" s="2329"/>
      <c r="WHE80" s="2329"/>
      <c r="WHF80" s="2329"/>
      <c r="WHG80" s="2329"/>
      <c r="WHH80" s="2329"/>
      <c r="WHI80" s="2329"/>
      <c r="WHJ80" s="2329"/>
      <c r="WHK80" s="2329"/>
      <c r="WHL80" s="2329"/>
      <c r="WHM80" s="2329"/>
      <c r="WHN80" s="2329"/>
      <c r="WHO80" s="2329"/>
      <c r="WHP80" s="2329"/>
      <c r="WHQ80" s="2329"/>
      <c r="WHR80" s="2329"/>
      <c r="WHS80" s="2328"/>
      <c r="WHT80" s="2329"/>
      <c r="WHU80" s="2329"/>
      <c r="WHV80" s="2329"/>
      <c r="WHW80" s="2329"/>
      <c r="WHX80" s="2329"/>
      <c r="WHY80" s="2329"/>
      <c r="WHZ80" s="2329"/>
      <c r="WIA80" s="2329"/>
      <c r="WIB80" s="2329"/>
      <c r="WIC80" s="2329"/>
      <c r="WID80" s="2329"/>
      <c r="WIE80" s="2329"/>
      <c r="WIF80" s="2329"/>
      <c r="WIG80" s="2329"/>
      <c r="WIH80" s="2329"/>
      <c r="WII80" s="2328"/>
      <c r="WIJ80" s="2329"/>
      <c r="WIK80" s="2329"/>
      <c r="WIL80" s="2329"/>
      <c r="WIM80" s="2329"/>
      <c r="WIN80" s="2329"/>
      <c r="WIO80" s="2329"/>
      <c r="WIP80" s="2329"/>
      <c r="WIQ80" s="2329"/>
      <c r="WIR80" s="2329"/>
      <c r="WIS80" s="2329"/>
      <c r="WIT80" s="2329"/>
      <c r="WIU80" s="2329"/>
      <c r="WIV80" s="2329"/>
      <c r="WIW80" s="2329"/>
      <c r="WIX80" s="2329"/>
      <c r="WIY80" s="2328"/>
      <c r="WIZ80" s="2329"/>
      <c r="WJA80" s="2329"/>
      <c r="WJB80" s="2329"/>
      <c r="WJC80" s="2329"/>
      <c r="WJD80" s="2329"/>
      <c r="WJE80" s="2329"/>
      <c r="WJF80" s="2329"/>
      <c r="WJG80" s="2329"/>
      <c r="WJH80" s="2329"/>
      <c r="WJI80" s="2329"/>
      <c r="WJJ80" s="2329"/>
      <c r="WJK80" s="2329"/>
      <c r="WJL80" s="2329"/>
      <c r="WJM80" s="2329"/>
      <c r="WJN80" s="2329"/>
      <c r="WJO80" s="2328"/>
      <c r="WJP80" s="2329"/>
      <c r="WJQ80" s="2329"/>
      <c r="WJR80" s="2329"/>
      <c r="WJS80" s="2329"/>
      <c r="WJT80" s="2329"/>
      <c r="WJU80" s="2329"/>
      <c r="WJV80" s="2329"/>
      <c r="WJW80" s="2329"/>
      <c r="WJX80" s="2329"/>
      <c r="WJY80" s="2329"/>
      <c r="WJZ80" s="2329"/>
      <c r="WKA80" s="2329"/>
      <c r="WKB80" s="2329"/>
      <c r="WKC80" s="2329"/>
      <c r="WKD80" s="2329"/>
      <c r="WKE80" s="2328"/>
      <c r="WKF80" s="2329"/>
      <c r="WKG80" s="2329"/>
      <c r="WKH80" s="2329"/>
      <c r="WKI80" s="2329"/>
      <c r="WKJ80" s="2329"/>
      <c r="WKK80" s="2329"/>
      <c r="WKL80" s="2329"/>
      <c r="WKM80" s="2329"/>
      <c r="WKN80" s="2329"/>
      <c r="WKO80" s="2329"/>
      <c r="WKP80" s="2329"/>
      <c r="WKQ80" s="2329"/>
      <c r="WKR80" s="2329"/>
      <c r="WKS80" s="2329"/>
      <c r="WKT80" s="2329"/>
      <c r="WKU80" s="2328"/>
      <c r="WKV80" s="2329"/>
      <c r="WKW80" s="2329"/>
      <c r="WKX80" s="2329"/>
      <c r="WKY80" s="2329"/>
      <c r="WKZ80" s="2329"/>
      <c r="WLA80" s="2329"/>
      <c r="WLB80" s="2329"/>
      <c r="WLC80" s="2329"/>
      <c r="WLD80" s="2329"/>
      <c r="WLE80" s="2329"/>
      <c r="WLF80" s="2329"/>
      <c r="WLG80" s="2329"/>
      <c r="WLH80" s="2329"/>
      <c r="WLI80" s="2329"/>
      <c r="WLJ80" s="2329"/>
      <c r="WLK80" s="2328"/>
      <c r="WLL80" s="2329"/>
      <c r="WLM80" s="2329"/>
      <c r="WLN80" s="2329"/>
      <c r="WLO80" s="2329"/>
      <c r="WLP80" s="2329"/>
      <c r="WLQ80" s="2329"/>
      <c r="WLR80" s="2329"/>
      <c r="WLS80" s="2329"/>
      <c r="WLT80" s="2329"/>
      <c r="WLU80" s="2329"/>
      <c r="WLV80" s="2329"/>
      <c r="WLW80" s="2329"/>
      <c r="WLX80" s="2329"/>
      <c r="WLY80" s="2329"/>
      <c r="WLZ80" s="2329"/>
      <c r="WMA80" s="2328"/>
      <c r="WMB80" s="2329"/>
      <c r="WMC80" s="2329"/>
      <c r="WMD80" s="2329"/>
      <c r="WME80" s="2329"/>
      <c r="WMF80" s="2329"/>
      <c r="WMG80" s="2329"/>
      <c r="WMH80" s="2329"/>
      <c r="WMI80" s="2329"/>
      <c r="WMJ80" s="2329"/>
      <c r="WMK80" s="2329"/>
      <c r="WML80" s="2329"/>
      <c r="WMM80" s="2329"/>
      <c r="WMN80" s="2329"/>
      <c r="WMO80" s="2329"/>
      <c r="WMP80" s="2329"/>
      <c r="WMQ80" s="2328"/>
      <c r="WMR80" s="2329"/>
      <c r="WMS80" s="2329"/>
      <c r="WMT80" s="2329"/>
      <c r="WMU80" s="2329"/>
      <c r="WMV80" s="2329"/>
      <c r="WMW80" s="2329"/>
      <c r="WMX80" s="2329"/>
      <c r="WMY80" s="2329"/>
      <c r="WMZ80" s="2329"/>
      <c r="WNA80" s="2329"/>
      <c r="WNB80" s="2329"/>
      <c r="WNC80" s="2329"/>
      <c r="WND80" s="2329"/>
      <c r="WNE80" s="2329"/>
      <c r="WNF80" s="2329"/>
      <c r="WNG80" s="2328"/>
      <c r="WNH80" s="2329"/>
      <c r="WNI80" s="2329"/>
      <c r="WNJ80" s="2329"/>
      <c r="WNK80" s="2329"/>
      <c r="WNL80" s="2329"/>
      <c r="WNM80" s="2329"/>
      <c r="WNN80" s="2329"/>
      <c r="WNO80" s="2329"/>
      <c r="WNP80" s="2329"/>
      <c r="WNQ80" s="2329"/>
      <c r="WNR80" s="2329"/>
      <c r="WNS80" s="2329"/>
      <c r="WNT80" s="2329"/>
      <c r="WNU80" s="2329"/>
      <c r="WNV80" s="2329"/>
      <c r="WNW80" s="2328"/>
      <c r="WNX80" s="2329"/>
      <c r="WNY80" s="2329"/>
      <c r="WNZ80" s="2329"/>
      <c r="WOA80" s="2329"/>
      <c r="WOB80" s="2329"/>
      <c r="WOC80" s="2329"/>
      <c r="WOD80" s="2329"/>
      <c r="WOE80" s="2329"/>
      <c r="WOF80" s="2329"/>
      <c r="WOG80" s="2329"/>
      <c r="WOH80" s="2329"/>
      <c r="WOI80" s="2329"/>
      <c r="WOJ80" s="2329"/>
      <c r="WOK80" s="2329"/>
      <c r="WOL80" s="2329"/>
      <c r="WOM80" s="2328"/>
      <c r="WON80" s="2329"/>
      <c r="WOO80" s="2329"/>
      <c r="WOP80" s="2329"/>
      <c r="WOQ80" s="2329"/>
      <c r="WOR80" s="2329"/>
      <c r="WOS80" s="2329"/>
      <c r="WOT80" s="2329"/>
      <c r="WOU80" s="2329"/>
      <c r="WOV80" s="2329"/>
      <c r="WOW80" s="2329"/>
      <c r="WOX80" s="2329"/>
      <c r="WOY80" s="2329"/>
      <c r="WOZ80" s="2329"/>
      <c r="WPA80" s="2329"/>
      <c r="WPB80" s="2329"/>
      <c r="WPC80" s="2328"/>
      <c r="WPD80" s="2329"/>
      <c r="WPE80" s="2329"/>
      <c r="WPF80" s="2329"/>
      <c r="WPG80" s="2329"/>
      <c r="WPH80" s="2329"/>
      <c r="WPI80" s="2329"/>
      <c r="WPJ80" s="2329"/>
      <c r="WPK80" s="2329"/>
      <c r="WPL80" s="2329"/>
      <c r="WPM80" s="2329"/>
      <c r="WPN80" s="2329"/>
      <c r="WPO80" s="2329"/>
      <c r="WPP80" s="2329"/>
      <c r="WPQ80" s="2329"/>
      <c r="WPR80" s="2329"/>
      <c r="WPS80" s="2328"/>
      <c r="WPT80" s="2329"/>
      <c r="WPU80" s="2329"/>
      <c r="WPV80" s="2329"/>
      <c r="WPW80" s="2329"/>
      <c r="WPX80" s="2329"/>
      <c r="WPY80" s="2329"/>
      <c r="WPZ80" s="2329"/>
      <c r="WQA80" s="2329"/>
      <c r="WQB80" s="2329"/>
      <c r="WQC80" s="2329"/>
      <c r="WQD80" s="2329"/>
      <c r="WQE80" s="2329"/>
      <c r="WQF80" s="2329"/>
      <c r="WQG80" s="2329"/>
      <c r="WQH80" s="2329"/>
      <c r="WQI80" s="2328"/>
      <c r="WQJ80" s="2329"/>
      <c r="WQK80" s="2329"/>
      <c r="WQL80" s="2329"/>
      <c r="WQM80" s="2329"/>
      <c r="WQN80" s="2329"/>
      <c r="WQO80" s="2329"/>
      <c r="WQP80" s="2329"/>
      <c r="WQQ80" s="2329"/>
      <c r="WQR80" s="2329"/>
      <c r="WQS80" s="2329"/>
      <c r="WQT80" s="2329"/>
      <c r="WQU80" s="2329"/>
      <c r="WQV80" s="2329"/>
      <c r="WQW80" s="2329"/>
      <c r="WQX80" s="2329"/>
      <c r="WQY80" s="2328"/>
      <c r="WQZ80" s="2329"/>
      <c r="WRA80" s="2329"/>
      <c r="WRB80" s="2329"/>
      <c r="WRC80" s="2329"/>
      <c r="WRD80" s="2329"/>
      <c r="WRE80" s="2329"/>
      <c r="WRF80" s="2329"/>
      <c r="WRG80" s="2329"/>
      <c r="WRH80" s="2329"/>
      <c r="WRI80" s="2329"/>
      <c r="WRJ80" s="2329"/>
      <c r="WRK80" s="2329"/>
      <c r="WRL80" s="2329"/>
      <c r="WRM80" s="2329"/>
      <c r="WRN80" s="2329"/>
      <c r="WRO80" s="2328"/>
      <c r="WRP80" s="2329"/>
      <c r="WRQ80" s="2329"/>
      <c r="WRR80" s="2329"/>
      <c r="WRS80" s="2329"/>
      <c r="WRT80" s="2329"/>
      <c r="WRU80" s="2329"/>
      <c r="WRV80" s="2329"/>
      <c r="WRW80" s="2329"/>
      <c r="WRX80" s="2329"/>
      <c r="WRY80" s="2329"/>
      <c r="WRZ80" s="2329"/>
      <c r="WSA80" s="2329"/>
      <c r="WSB80" s="2329"/>
      <c r="WSC80" s="2329"/>
      <c r="WSD80" s="2329"/>
      <c r="WSE80" s="2328"/>
      <c r="WSF80" s="2329"/>
      <c r="WSG80" s="2329"/>
      <c r="WSH80" s="2329"/>
      <c r="WSI80" s="2329"/>
      <c r="WSJ80" s="2329"/>
      <c r="WSK80" s="2329"/>
      <c r="WSL80" s="2329"/>
      <c r="WSM80" s="2329"/>
      <c r="WSN80" s="2329"/>
      <c r="WSO80" s="2329"/>
      <c r="WSP80" s="2329"/>
      <c r="WSQ80" s="2329"/>
      <c r="WSR80" s="2329"/>
      <c r="WSS80" s="2329"/>
      <c r="WST80" s="2329"/>
      <c r="WSU80" s="2328"/>
      <c r="WSV80" s="2329"/>
      <c r="WSW80" s="2329"/>
      <c r="WSX80" s="2329"/>
      <c r="WSY80" s="2329"/>
      <c r="WSZ80" s="2329"/>
      <c r="WTA80" s="2329"/>
      <c r="WTB80" s="2329"/>
      <c r="WTC80" s="2329"/>
      <c r="WTD80" s="2329"/>
      <c r="WTE80" s="2329"/>
      <c r="WTF80" s="2329"/>
      <c r="WTG80" s="2329"/>
      <c r="WTH80" s="2329"/>
      <c r="WTI80" s="2329"/>
      <c r="WTJ80" s="2329"/>
      <c r="WTK80" s="2328"/>
      <c r="WTL80" s="2329"/>
      <c r="WTM80" s="2329"/>
      <c r="WTN80" s="2329"/>
      <c r="WTO80" s="2329"/>
      <c r="WTP80" s="2329"/>
      <c r="WTQ80" s="2329"/>
      <c r="WTR80" s="2329"/>
      <c r="WTS80" s="2329"/>
      <c r="WTT80" s="2329"/>
      <c r="WTU80" s="2329"/>
      <c r="WTV80" s="2329"/>
      <c r="WTW80" s="2329"/>
      <c r="WTX80" s="2329"/>
      <c r="WTY80" s="2329"/>
      <c r="WTZ80" s="2329"/>
      <c r="WUA80" s="2328"/>
      <c r="WUB80" s="2329"/>
      <c r="WUC80" s="2329"/>
      <c r="WUD80" s="2329"/>
      <c r="WUE80" s="2329"/>
      <c r="WUF80" s="2329"/>
      <c r="WUG80" s="2329"/>
      <c r="WUH80" s="2329"/>
      <c r="WUI80" s="2329"/>
      <c r="WUJ80" s="2329"/>
      <c r="WUK80" s="2329"/>
      <c r="WUL80" s="2329"/>
      <c r="WUM80" s="2329"/>
      <c r="WUN80" s="2329"/>
      <c r="WUO80" s="2329"/>
      <c r="WUP80" s="2329"/>
      <c r="WUQ80" s="2328"/>
      <c r="WUR80" s="2329"/>
      <c r="WUS80" s="2329"/>
      <c r="WUT80" s="2329"/>
      <c r="WUU80" s="2329"/>
      <c r="WUV80" s="2329"/>
      <c r="WUW80" s="2329"/>
      <c r="WUX80" s="2329"/>
      <c r="WUY80" s="2329"/>
      <c r="WUZ80" s="2329"/>
      <c r="WVA80" s="2329"/>
      <c r="WVB80" s="2329"/>
      <c r="WVC80" s="2329"/>
      <c r="WVD80" s="2329"/>
      <c r="WVE80" s="2329"/>
      <c r="WVF80" s="2329"/>
      <c r="WVG80" s="2328"/>
      <c r="WVH80" s="2329"/>
      <c r="WVI80" s="2329"/>
      <c r="WVJ80" s="2329"/>
      <c r="WVK80" s="2329"/>
      <c r="WVL80" s="2329"/>
      <c r="WVM80" s="2329"/>
      <c r="WVN80" s="2329"/>
      <c r="WVO80" s="2329"/>
      <c r="WVP80" s="2329"/>
      <c r="WVQ80" s="2329"/>
      <c r="WVR80" s="2329"/>
      <c r="WVS80" s="2329"/>
      <c r="WVT80" s="2329"/>
      <c r="WVU80" s="2329"/>
      <c r="WVV80" s="2329"/>
      <c r="WVW80" s="2328"/>
      <c r="WVX80" s="2329"/>
      <c r="WVY80" s="2329"/>
      <c r="WVZ80" s="2329"/>
      <c r="WWA80" s="2329"/>
      <c r="WWB80" s="2329"/>
      <c r="WWC80" s="2329"/>
      <c r="WWD80" s="2329"/>
      <c r="WWE80" s="2329"/>
      <c r="WWF80" s="2329"/>
      <c r="WWG80" s="2329"/>
      <c r="WWH80" s="2329"/>
      <c r="WWI80" s="2329"/>
      <c r="WWJ80" s="2329"/>
      <c r="WWK80" s="2329"/>
      <c r="WWL80" s="2329"/>
      <c r="WWM80" s="2328"/>
      <c r="WWN80" s="2329"/>
      <c r="WWO80" s="2329"/>
      <c r="WWP80" s="2329"/>
      <c r="WWQ80" s="2329"/>
      <c r="WWR80" s="2329"/>
      <c r="WWS80" s="2329"/>
      <c r="WWT80" s="2329"/>
      <c r="WWU80" s="2329"/>
      <c r="WWV80" s="2329"/>
      <c r="WWW80" s="2329"/>
      <c r="WWX80" s="2329"/>
      <c r="WWY80" s="2329"/>
      <c r="WWZ80" s="2329"/>
      <c r="WXA80" s="2329"/>
      <c r="WXB80" s="2329"/>
      <c r="WXC80" s="2328"/>
      <c r="WXD80" s="2329"/>
      <c r="WXE80" s="2329"/>
      <c r="WXF80" s="2329"/>
      <c r="WXG80" s="2329"/>
      <c r="WXH80" s="2329"/>
      <c r="WXI80" s="2329"/>
      <c r="WXJ80" s="2329"/>
      <c r="WXK80" s="2329"/>
      <c r="WXL80" s="2329"/>
      <c r="WXM80" s="2329"/>
      <c r="WXN80" s="2329"/>
      <c r="WXO80" s="2329"/>
      <c r="WXP80" s="2329"/>
      <c r="WXQ80" s="2329"/>
      <c r="WXR80" s="2329"/>
      <c r="WXS80" s="2328"/>
      <c r="WXT80" s="2329"/>
      <c r="WXU80" s="2329"/>
      <c r="WXV80" s="2329"/>
      <c r="WXW80" s="2329"/>
      <c r="WXX80" s="2329"/>
      <c r="WXY80" s="2329"/>
      <c r="WXZ80" s="2329"/>
      <c r="WYA80" s="2329"/>
      <c r="WYB80" s="2329"/>
      <c r="WYC80" s="2329"/>
      <c r="WYD80" s="2329"/>
      <c r="WYE80" s="2329"/>
      <c r="WYF80" s="2329"/>
      <c r="WYG80" s="2329"/>
      <c r="WYH80" s="2329"/>
      <c r="WYI80" s="2328"/>
      <c r="WYJ80" s="2329"/>
      <c r="WYK80" s="2329"/>
      <c r="WYL80" s="2329"/>
      <c r="WYM80" s="2329"/>
      <c r="WYN80" s="2329"/>
      <c r="WYO80" s="2329"/>
      <c r="WYP80" s="2329"/>
      <c r="WYQ80" s="2329"/>
      <c r="WYR80" s="2329"/>
      <c r="WYS80" s="2329"/>
      <c r="WYT80" s="2329"/>
      <c r="WYU80" s="2329"/>
      <c r="WYV80" s="2329"/>
      <c r="WYW80" s="2329"/>
      <c r="WYX80" s="2329"/>
      <c r="WYY80" s="2328"/>
      <c r="WYZ80" s="2329"/>
      <c r="WZA80" s="2329"/>
      <c r="WZB80" s="2329"/>
      <c r="WZC80" s="2329"/>
      <c r="WZD80" s="2329"/>
      <c r="WZE80" s="2329"/>
      <c r="WZF80" s="2329"/>
      <c r="WZG80" s="2329"/>
      <c r="WZH80" s="2329"/>
      <c r="WZI80" s="2329"/>
      <c r="WZJ80" s="2329"/>
      <c r="WZK80" s="2329"/>
      <c r="WZL80" s="2329"/>
      <c r="WZM80" s="2329"/>
      <c r="WZN80" s="2329"/>
      <c r="WZO80" s="2328"/>
      <c r="WZP80" s="2329"/>
      <c r="WZQ80" s="2329"/>
      <c r="WZR80" s="2329"/>
      <c r="WZS80" s="2329"/>
      <c r="WZT80" s="2329"/>
      <c r="WZU80" s="2329"/>
      <c r="WZV80" s="2329"/>
      <c r="WZW80" s="2329"/>
      <c r="WZX80" s="2329"/>
      <c r="WZY80" s="2329"/>
      <c r="WZZ80" s="2329"/>
      <c r="XAA80" s="2329"/>
      <c r="XAB80" s="2329"/>
      <c r="XAC80" s="2329"/>
      <c r="XAD80" s="2329"/>
      <c r="XAE80" s="2328"/>
      <c r="XAF80" s="2329"/>
      <c r="XAG80" s="2329"/>
      <c r="XAH80" s="2329"/>
      <c r="XAI80" s="2329"/>
      <c r="XAJ80" s="2329"/>
      <c r="XAK80" s="2329"/>
      <c r="XAL80" s="2329"/>
      <c r="XAM80" s="2329"/>
      <c r="XAN80" s="2329"/>
      <c r="XAO80" s="2329"/>
      <c r="XAP80" s="2329"/>
      <c r="XAQ80" s="2329"/>
      <c r="XAR80" s="2329"/>
      <c r="XAS80" s="2329"/>
      <c r="XAT80" s="2329"/>
      <c r="XAU80" s="2328"/>
      <c r="XAV80" s="2329"/>
      <c r="XAW80" s="2329"/>
      <c r="XAX80" s="2329"/>
      <c r="XAY80" s="2329"/>
      <c r="XAZ80" s="2329"/>
      <c r="XBA80" s="2329"/>
      <c r="XBB80" s="2329"/>
      <c r="XBC80" s="2329"/>
      <c r="XBD80" s="2329"/>
      <c r="XBE80" s="2329"/>
      <c r="XBF80" s="2329"/>
      <c r="XBG80" s="2329"/>
      <c r="XBH80" s="2329"/>
      <c r="XBI80" s="2329"/>
      <c r="XBJ80" s="2329"/>
      <c r="XBK80" s="2328"/>
      <c r="XBL80" s="2329"/>
      <c r="XBM80" s="2329"/>
      <c r="XBN80" s="2329"/>
      <c r="XBO80" s="2329"/>
      <c r="XBP80" s="2329"/>
      <c r="XBQ80" s="2329"/>
      <c r="XBR80" s="2329"/>
      <c r="XBS80" s="2329"/>
      <c r="XBT80" s="2329"/>
      <c r="XBU80" s="2329"/>
      <c r="XBV80" s="2329"/>
      <c r="XBW80" s="2329"/>
      <c r="XBX80" s="2329"/>
      <c r="XBY80" s="2329"/>
      <c r="XBZ80" s="2329"/>
      <c r="XCA80" s="2328"/>
      <c r="XCB80" s="2329"/>
      <c r="XCC80" s="2329"/>
      <c r="XCD80" s="2329"/>
      <c r="XCE80" s="2329"/>
      <c r="XCF80" s="2329"/>
      <c r="XCG80" s="2329"/>
      <c r="XCH80" s="2329"/>
      <c r="XCI80" s="2329"/>
      <c r="XCJ80" s="2329"/>
      <c r="XCK80" s="2329"/>
      <c r="XCL80" s="2329"/>
      <c r="XCM80" s="2329"/>
      <c r="XCN80" s="2329"/>
      <c r="XCO80" s="2329"/>
      <c r="XCP80" s="2329"/>
      <c r="XCQ80" s="2328"/>
      <c r="XCR80" s="2329"/>
      <c r="XCS80" s="2329"/>
      <c r="XCT80" s="2329"/>
      <c r="XCU80" s="2329"/>
      <c r="XCV80" s="2329"/>
      <c r="XCW80" s="2329"/>
      <c r="XCX80" s="2329"/>
      <c r="XCY80" s="2329"/>
      <c r="XCZ80" s="2329"/>
      <c r="XDA80" s="2329"/>
      <c r="XDB80" s="2329"/>
      <c r="XDC80" s="2329"/>
      <c r="XDD80" s="2329"/>
      <c r="XDE80" s="2329"/>
      <c r="XDF80" s="2329"/>
      <c r="XDG80" s="2328"/>
      <c r="XDH80" s="2329"/>
      <c r="XDI80" s="2329"/>
      <c r="XDJ80" s="2329"/>
      <c r="XDK80" s="2329"/>
      <c r="XDL80" s="2329"/>
      <c r="XDM80" s="2329"/>
      <c r="XDN80" s="2329"/>
      <c r="XDO80" s="2329"/>
      <c r="XDP80" s="2329"/>
      <c r="XDQ80" s="2329"/>
      <c r="XDR80" s="2329"/>
      <c r="XDS80" s="2329"/>
      <c r="XDT80" s="2329"/>
      <c r="XDU80" s="2329"/>
      <c r="XDV80" s="2329"/>
      <c r="XDW80" s="2328"/>
      <c r="XDX80" s="2329"/>
      <c r="XDY80" s="2329"/>
      <c r="XDZ80" s="2329"/>
      <c r="XEA80" s="2329"/>
      <c r="XEB80" s="2329"/>
      <c r="XEC80" s="2329"/>
      <c r="XED80" s="2329"/>
      <c r="XEE80" s="2329"/>
      <c r="XEF80" s="2329"/>
      <c r="XEG80" s="2329"/>
      <c r="XEH80" s="2329"/>
      <c r="XEI80" s="2329"/>
      <c r="XEJ80" s="2329"/>
      <c r="XEK80" s="2329"/>
      <c r="XEL80" s="2329"/>
      <c r="XEM80" s="2328"/>
      <c r="XEN80" s="2329"/>
      <c r="XEO80" s="2329"/>
      <c r="XEP80" s="2329"/>
      <c r="XEQ80" s="2329"/>
      <c r="XER80" s="2329"/>
      <c r="XES80" s="2329"/>
      <c r="XET80" s="2329"/>
      <c r="XEU80" s="2329"/>
      <c r="XEV80" s="2329"/>
      <c r="XEW80" s="2329"/>
      <c r="XEX80" s="2329"/>
      <c r="XEY80" s="2329"/>
      <c r="XEZ80" s="2329"/>
      <c r="XFA80" s="2329"/>
      <c r="XFB80" s="2329"/>
    </row>
    <row r="81" spans="1:15">
      <c r="A81" s="125"/>
      <c r="B81" s="14"/>
      <c r="C81" s="14"/>
      <c r="D81" s="14"/>
      <c r="E81" s="14"/>
      <c r="F81" s="14"/>
      <c r="G81" s="14"/>
      <c r="H81" s="14"/>
      <c r="I81" s="14"/>
      <c r="J81" s="14"/>
      <c r="K81" s="14"/>
      <c r="L81" s="14"/>
      <c r="M81" s="14"/>
      <c r="N81" s="14"/>
      <c r="O81" s="14"/>
    </row>
    <row r="82" spans="1:15">
      <c r="A82" s="125"/>
      <c r="B82" s="14"/>
      <c r="C82" s="14"/>
      <c r="D82" s="14"/>
      <c r="E82" s="14"/>
      <c r="F82" s="14"/>
      <c r="G82" s="14"/>
      <c r="H82" s="14"/>
      <c r="I82" s="14"/>
      <c r="J82" s="14"/>
      <c r="K82" s="14"/>
      <c r="L82" s="14"/>
      <c r="M82" s="14"/>
      <c r="N82" s="14"/>
      <c r="O82" s="14"/>
    </row>
    <row r="83" spans="1:15">
      <c r="A83" s="125"/>
      <c r="B83" s="14"/>
      <c r="C83" s="14"/>
      <c r="D83" s="14"/>
      <c r="E83" s="14"/>
      <c r="F83" s="14"/>
      <c r="G83" s="14"/>
      <c r="H83" s="14"/>
      <c r="I83" s="14"/>
      <c r="J83" s="14"/>
      <c r="K83" s="14"/>
      <c r="L83" s="14"/>
      <c r="M83" s="14"/>
      <c r="N83" s="14"/>
      <c r="O83" s="14"/>
    </row>
    <row r="84" spans="1:15">
      <c r="A84" s="125"/>
      <c r="B84" s="1332"/>
      <c r="C84" s="1332"/>
      <c r="D84" s="1332"/>
      <c r="E84" s="1332"/>
      <c r="F84" s="1332"/>
      <c r="G84" s="1332"/>
      <c r="H84" s="1332"/>
      <c r="I84" s="1332"/>
      <c r="J84" s="1332"/>
      <c r="K84" s="1332"/>
      <c r="L84" s="1332"/>
      <c r="M84" s="1332"/>
      <c r="N84" s="1332"/>
      <c r="O84" s="1332"/>
    </row>
    <row r="85" spans="1:15">
      <c r="A85" s="125"/>
      <c r="B85" s="14"/>
      <c r="C85" s="14"/>
      <c r="D85" s="14"/>
      <c r="E85" s="14"/>
      <c r="F85" s="14"/>
      <c r="G85" s="14"/>
      <c r="H85" s="14"/>
      <c r="I85" s="14"/>
      <c r="J85" s="14"/>
      <c r="K85" s="14"/>
      <c r="L85" s="14"/>
      <c r="M85" s="14"/>
      <c r="N85" s="14"/>
      <c r="O85" s="14"/>
    </row>
    <row r="86" spans="1:15">
      <c r="A86" s="125"/>
      <c r="B86" s="14"/>
      <c r="C86" s="14"/>
      <c r="D86" s="14"/>
      <c r="E86" s="14"/>
      <c r="F86" s="14"/>
      <c r="G86" s="14"/>
      <c r="H86" s="14"/>
      <c r="I86" s="14"/>
      <c r="J86" s="14"/>
      <c r="K86" s="14"/>
      <c r="L86" s="14"/>
      <c r="M86" s="14"/>
      <c r="N86" s="14"/>
      <c r="O86" s="14"/>
    </row>
    <row r="87" spans="1:15">
      <c r="A87" s="125"/>
      <c r="B87" s="14"/>
      <c r="C87" s="14"/>
      <c r="D87" s="14"/>
      <c r="E87" s="14"/>
      <c r="F87" s="14"/>
      <c r="G87" s="14"/>
      <c r="H87" s="14"/>
      <c r="I87" s="14"/>
      <c r="J87" s="14"/>
      <c r="K87" s="14"/>
      <c r="L87" s="14"/>
      <c r="M87" s="14"/>
      <c r="N87" s="14"/>
      <c r="O87" s="14"/>
    </row>
    <row r="88" spans="1:15">
      <c r="A88" s="125"/>
      <c r="B88" s="14"/>
      <c r="C88" s="14"/>
      <c r="D88" s="14"/>
      <c r="E88" s="14"/>
      <c r="F88" s="14"/>
      <c r="G88" s="14"/>
      <c r="H88" s="14"/>
      <c r="I88" s="14"/>
      <c r="J88" s="14"/>
      <c r="K88" s="14"/>
      <c r="L88" s="14"/>
      <c r="M88" s="14"/>
      <c r="N88" s="14"/>
      <c r="O88" s="14"/>
    </row>
    <row r="89" spans="1:15">
      <c r="A89" s="125"/>
      <c r="B89" s="14"/>
      <c r="C89" s="14"/>
      <c r="D89" s="14"/>
      <c r="E89" s="14"/>
      <c r="F89" s="14"/>
      <c r="G89" s="14"/>
      <c r="H89" s="14"/>
      <c r="I89" s="14"/>
      <c r="J89" s="14"/>
      <c r="K89" s="14"/>
      <c r="L89" s="14"/>
      <c r="M89" s="14"/>
      <c r="N89" s="14"/>
      <c r="O89" s="14"/>
    </row>
    <row r="90" spans="1:15">
      <c r="A90" s="125"/>
      <c r="B90" s="14"/>
      <c r="C90" s="14"/>
      <c r="D90" s="14"/>
      <c r="E90" s="14"/>
      <c r="F90" s="14"/>
      <c r="G90" s="14"/>
      <c r="H90" s="14"/>
      <c r="I90" s="14"/>
      <c r="J90" s="14"/>
      <c r="K90" s="14"/>
      <c r="L90" s="14"/>
      <c r="M90" s="14"/>
      <c r="N90" s="14"/>
      <c r="O90" s="14"/>
    </row>
    <row r="91" spans="1:15">
      <c r="A91" s="125"/>
    </row>
    <row r="92" spans="1:15">
      <c r="A92" s="125"/>
    </row>
    <row r="93" spans="1:15">
      <c r="A93" s="125"/>
    </row>
    <row r="94" spans="1:15">
      <c r="A94" s="125"/>
    </row>
    <row r="95" spans="1:15">
      <c r="A95" s="125"/>
    </row>
    <row r="96" spans="1:15">
      <c r="A96" s="125"/>
    </row>
    <row r="97" spans="1:16">
      <c r="A97" s="125"/>
      <c r="P97" s="240"/>
    </row>
  </sheetData>
  <mergeCells count="1027">
    <mergeCell ref="EM80:FB80"/>
    <mergeCell ref="FC80:FR80"/>
    <mergeCell ref="FS80:GH80"/>
    <mergeCell ref="GI80:GX80"/>
    <mergeCell ref="GY80:HN80"/>
    <mergeCell ref="HO80:ID80"/>
    <mergeCell ref="AU80:BJ80"/>
    <mergeCell ref="BK80:BZ80"/>
    <mergeCell ref="CA80:CP80"/>
    <mergeCell ref="CQ80:DF80"/>
    <mergeCell ref="DG80:DV80"/>
    <mergeCell ref="DW80:EL80"/>
    <mergeCell ref="A2:O2"/>
    <mergeCell ref="A3:O3"/>
    <mergeCell ref="A79:O79"/>
    <mergeCell ref="A80:O80"/>
    <mergeCell ref="P80:AD80"/>
    <mergeCell ref="AE80:AT80"/>
    <mergeCell ref="PO80:QD80"/>
    <mergeCell ref="QE80:QT80"/>
    <mergeCell ref="QU80:RJ80"/>
    <mergeCell ref="RK80:RZ80"/>
    <mergeCell ref="SA80:SP80"/>
    <mergeCell ref="SQ80:TF80"/>
    <mergeCell ref="LW80:ML80"/>
    <mergeCell ref="MM80:NB80"/>
    <mergeCell ref="NC80:NR80"/>
    <mergeCell ref="NS80:OH80"/>
    <mergeCell ref="OI80:OX80"/>
    <mergeCell ref="OY80:PN80"/>
    <mergeCell ref="IE80:IT80"/>
    <mergeCell ref="IU80:JJ80"/>
    <mergeCell ref="JK80:JZ80"/>
    <mergeCell ref="KA80:KP80"/>
    <mergeCell ref="KQ80:LF80"/>
    <mergeCell ref="LG80:LV80"/>
    <mergeCell ref="AAQ80:ABF80"/>
    <mergeCell ref="ABG80:ABV80"/>
    <mergeCell ref="ABW80:ACL80"/>
    <mergeCell ref="ACM80:ADB80"/>
    <mergeCell ref="ADC80:ADR80"/>
    <mergeCell ref="ADS80:AEH80"/>
    <mergeCell ref="WY80:XN80"/>
    <mergeCell ref="XO80:YD80"/>
    <mergeCell ref="YE80:YT80"/>
    <mergeCell ref="YU80:ZJ80"/>
    <mergeCell ref="ZK80:ZZ80"/>
    <mergeCell ref="AAA80:AAP80"/>
    <mergeCell ref="TG80:TV80"/>
    <mergeCell ref="TW80:UL80"/>
    <mergeCell ref="UM80:VB80"/>
    <mergeCell ref="VC80:VR80"/>
    <mergeCell ref="VS80:WH80"/>
    <mergeCell ref="WI80:WX80"/>
    <mergeCell ref="ALS80:AMH80"/>
    <mergeCell ref="AMI80:AMX80"/>
    <mergeCell ref="AMY80:ANN80"/>
    <mergeCell ref="ANO80:AOD80"/>
    <mergeCell ref="AOE80:AOT80"/>
    <mergeCell ref="AOU80:APJ80"/>
    <mergeCell ref="AIA80:AIP80"/>
    <mergeCell ref="AIQ80:AJF80"/>
    <mergeCell ref="AJG80:AJV80"/>
    <mergeCell ref="AJW80:AKL80"/>
    <mergeCell ref="AKM80:ALB80"/>
    <mergeCell ref="ALC80:ALR80"/>
    <mergeCell ref="AEI80:AEX80"/>
    <mergeCell ref="AEY80:AFN80"/>
    <mergeCell ref="AFO80:AGD80"/>
    <mergeCell ref="AGE80:AGT80"/>
    <mergeCell ref="AGU80:AHJ80"/>
    <mergeCell ref="AHK80:AHZ80"/>
    <mergeCell ref="AWU80:AXJ80"/>
    <mergeCell ref="AXK80:AXZ80"/>
    <mergeCell ref="AYA80:AYP80"/>
    <mergeCell ref="AYQ80:AZF80"/>
    <mergeCell ref="AZG80:AZV80"/>
    <mergeCell ref="AZW80:BAL80"/>
    <mergeCell ref="ATC80:ATR80"/>
    <mergeCell ref="ATS80:AUH80"/>
    <mergeCell ref="AUI80:AUX80"/>
    <mergeCell ref="AUY80:AVN80"/>
    <mergeCell ref="AVO80:AWD80"/>
    <mergeCell ref="AWE80:AWT80"/>
    <mergeCell ref="APK80:APZ80"/>
    <mergeCell ref="AQA80:AQP80"/>
    <mergeCell ref="AQQ80:ARF80"/>
    <mergeCell ref="ARG80:ARV80"/>
    <mergeCell ref="ARW80:ASL80"/>
    <mergeCell ref="ASM80:ATB80"/>
    <mergeCell ref="BHW80:BIL80"/>
    <mergeCell ref="BIM80:BJB80"/>
    <mergeCell ref="BJC80:BJR80"/>
    <mergeCell ref="BJS80:BKH80"/>
    <mergeCell ref="BKI80:BKX80"/>
    <mergeCell ref="BKY80:BLN80"/>
    <mergeCell ref="BEE80:BET80"/>
    <mergeCell ref="BEU80:BFJ80"/>
    <mergeCell ref="BFK80:BFZ80"/>
    <mergeCell ref="BGA80:BGP80"/>
    <mergeCell ref="BGQ80:BHF80"/>
    <mergeCell ref="BHG80:BHV80"/>
    <mergeCell ref="BAM80:BBB80"/>
    <mergeCell ref="BBC80:BBR80"/>
    <mergeCell ref="BBS80:BCH80"/>
    <mergeCell ref="BCI80:BCX80"/>
    <mergeCell ref="BCY80:BDN80"/>
    <mergeCell ref="BDO80:BED80"/>
    <mergeCell ref="BSY80:BTN80"/>
    <mergeCell ref="BTO80:BUD80"/>
    <mergeCell ref="BUE80:BUT80"/>
    <mergeCell ref="BUU80:BVJ80"/>
    <mergeCell ref="BVK80:BVZ80"/>
    <mergeCell ref="BWA80:BWP80"/>
    <mergeCell ref="BPG80:BPV80"/>
    <mergeCell ref="BPW80:BQL80"/>
    <mergeCell ref="BQM80:BRB80"/>
    <mergeCell ref="BRC80:BRR80"/>
    <mergeCell ref="BRS80:BSH80"/>
    <mergeCell ref="BSI80:BSX80"/>
    <mergeCell ref="BLO80:BMD80"/>
    <mergeCell ref="BME80:BMT80"/>
    <mergeCell ref="BMU80:BNJ80"/>
    <mergeCell ref="BNK80:BNZ80"/>
    <mergeCell ref="BOA80:BOP80"/>
    <mergeCell ref="BOQ80:BPF80"/>
    <mergeCell ref="CEA80:CEP80"/>
    <mergeCell ref="CEQ80:CFF80"/>
    <mergeCell ref="CFG80:CFV80"/>
    <mergeCell ref="CFW80:CGL80"/>
    <mergeCell ref="CGM80:CHB80"/>
    <mergeCell ref="CHC80:CHR80"/>
    <mergeCell ref="CAI80:CAX80"/>
    <mergeCell ref="CAY80:CBN80"/>
    <mergeCell ref="CBO80:CCD80"/>
    <mergeCell ref="CCE80:CCT80"/>
    <mergeCell ref="CCU80:CDJ80"/>
    <mergeCell ref="CDK80:CDZ80"/>
    <mergeCell ref="BWQ80:BXF80"/>
    <mergeCell ref="BXG80:BXV80"/>
    <mergeCell ref="BXW80:BYL80"/>
    <mergeCell ref="BYM80:BZB80"/>
    <mergeCell ref="BZC80:BZR80"/>
    <mergeCell ref="BZS80:CAH80"/>
    <mergeCell ref="CPC80:CPR80"/>
    <mergeCell ref="CPS80:CQH80"/>
    <mergeCell ref="CQI80:CQX80"/>
    <mergeCell ref="CQY80:CRN80"/>
    <mergeCell ref="CRO80:CSD80"/>
    <mergeCell ref="CSE80:CST80"/>
    <mergeCell ref="CLK80:CLZ80"/>
    <mergeCell ref="CMA80:CMP80"/>
    <mergeCell ref="CMQ80:CNF80"/>
    <mergeCell ref="CNG80:CNV80"/>
    <mergeCell ref="CNW80:COL80"/>
    <mergeCell ref="COM80:CPB80"/>
    <mergeCell ref="CHS80:CIH80"/>
    <mergeCell ref="CII80:CIX80"/>
    <mergeCell ref="CIY80:CJN80"/>
    <mergeCell ref="CJO80:CKD80"/>
    <mergeCell ref="CKE80:CKT80"/>
    <mergeCell ref="CKU80:CLJ80"/>
    <mergeCell ref="DAE80:DAT80"/>
    <mergeCell ref="DAU80:DBJ80"/>
    <mergeCell ref="DBK80:DBZ80"/>
    <mergeCell ref="DCA80:DCP80"/>
    <mergeCell ref="DCQ80:DDF80"/>
    <mergeCell ref="DDG80:DDV80"/>
    <mergeCell ref="CWM80:CXB80"/>
    <mergeCell ref="CXC80:CXR80"/>
    <mergeCell ref="CXS80:CYH80"/>
    <mergeCell ref="CYI80:CYX80"/>
    <mergeCell ref="CYY80:CZN80"/>
    <mergeCell ref="CZO80:DAD80"/>
    <mergeCell ref="CSU80:CTJ80"/>
    <mergeCell ref="CTK80:CTZ80"/>
    <mergeCell ref="CUA80:CUP80"/>
    <mergeCell ref="CUQ80:CVF80"/>
    <mergeCell ref="CVG80:CVV80"/>
    <mergeCell ref="CVW80:CWL80"/>
    <mergeCell ref="DLG80:DLV80"/>
    <mergeCell ref="DLW80:DML80"/>
    <mergeCell ref="DMM80:DNB80"/>
    <mergeCell ref="DNC80:DNR80"/>
    <mergeCell ref="DNS80:DOH80"/>
    <mergeCell ref="DOI80:DOX80"/>
    <mergeCell ref="DHO80:DID80"/>
    <mergeCell ref="DIE80:DIT80"/>
    <mergeCell ref="DIU80:DJJ80"/>
    <mergeCell ref="DJK80:DJZ80"/>
    <mergeCell ref="DKA80:DKP80"/>
    <mergeCell ref="DKQ80:DLF80"/>
    <mergeCell ref="DDW80:DEL80"/>
    <mergeCell ref="DEM80:DFB80"/>
    <mergeCell ref="DFC80:DFR80"/>
    <mergeCell ref="DFS80:DGH80"/>
    <mergeCell ref="DGI80:DGX80"/>
    <mergeCell ref="DGY80:DHN80"/>
    <mergeCell ref="DWI80:DWX80"/>
    <mergeCell ref="DWY80:DXN80"/>
    <mergeCell ref="DXO80:DYD80"/>
    <mergeCell ref="DYE80:DYT80"/>
    <mergeCell ref="DYU80:DZJ80"/>
    <mergeCell ref="DZK80:DZZ80"/>
    <mergeCell ref="DSQ80:DTF80"/>
    <mergeCell ref="DTG80:DTV80"/>
    <mergeCell ref="DTW80:DUL80"/>
    <mergeCell ref="DUM80:DVB80"/>
    <mergeCell ref="DVC80:DVR80"/>
    <mergeCell ref="DVS80:DWH80"/>
    <mergeCell ref="DOY80:DPN80"/>
    <mergeCell ref="DPO80:DQD80"/>
    <mergeCell ref="DQE80:DQT80"/>
    <mergeCell ref="DQU80:DRJ80"/>
    <mergeCell ref="DRK80:DRZ80"/>
    <mergeCell ref="DSA80:DSP80"/>
    <mergeCell ref="EHK80:EHZ80"/>
    <mergeCell ref="EIA80:EIP80"/>
    <mergeCell ref="EIQ80:EJF80"/>
    <mergeCell ref="EJG80:EJV80"/>
    <mergeCell ref="EJW80:EKL80"/>
    <mergeCell ref="EKM80:ELB80"/>
    <mergeCell ref="EDS80:EEH80"/>
    <mergeCell ref="EEI80:EEX80"/>
    <mergeCell ref="EEY80:EFN80"/>
    <mergeCell ref="EFO80:EGD80"/>
    <mergeCell ref="EGE80:EGT80"/>
    <mergeCell ref="EGU80:EHJ80"/>
    <mergeCell ref="EAA80:EAP80"/>
    <mergeCell ref="EAQ80:EBF80"/>
    <mergeCell ref="EBG80:EBV80"/>
    <mergeCell ref="EBW80:ECL80"/>
    <mergeCell ref="ECM80:EDB80"/>
    <mergeCell ref="EDC80:EDR80"/>
    <mergeCell ref="ESM80:ETB80"/>
    <mergeCell ref="ETC80:ETR80"/>
    <mergeCell ref="ETS80:EUH80"/>
    <mergeCell ref="EUI80:EUX80"/>
    <mergeCell ref="EUY80:EVN80"/>
    <mergeCell ref="EVO80:EWD80"/>
    <mergeCell ref="EOU80:EPJ80"/>
    <mergeCell ref="EPK80:EPZ80"/>
    <mergeCell ref="EQA80:EQP80"/>
    <mergeCell ref="EQQ80:ERF80"/>
    <mergeCell ref="ERG80:ERV80"/>
    <mergeCell ref="ERW80:ESL80"/>
    <mergeCell ref="ELC80:ELR80"/>
    <mergeCell ref="ELS80:EMH80"/>
    <mergeCell ref="EMI80:EMX80"/>
    <mergeCell ref="EMY80:ENN80"/>
    <mergeCell ref="ENO80:EOD80"/>
    <mergeCell ref="EOE80:EOT80"/>
    <mergeCell ref="FDO80:FED80"/>
    <mergeCell ref="FEE80:FET80"/>
    <mergeCell ref="FEU80:FFJ80"/>
    <mergeCell ref="FFK80:FFZ80"/>
    <mergeCell ref="FGA80:FGP80"/>
    <mergeCell ref="FGQ80:FHF80"/>
    <mergeCell ref="EZW80:FAL80"/>
    <mergeCell ref="FAM80:FBB80"/>
    <mergeCell ref="FBC80:FBR80"/>
    <mergeCell ref="FBS80:FCH80"/>
    <mergeCell ref="FCI80:FCX80"/>
    <mergeCell ref="FCY80:FDN80"/>
    <mergeCell ref="EWE80:EWT80"/>
    <mergeCell ref="EWU80:EXJ80"/>
    <mergeCell ref="EXK80:EXZ80"/>
    <mergeCell ref="EYA80:EYP80"/>
    <mergeCell ref="EYQ80:EZF80"/>
    <mergeCell ref="EZG80:EZV80"/>
    <mergeCell ref="FOQ80:FPF80"/>
    <mergeCell ref="FPG80:FPV80"/>
    <mergeCell ref="FPW80:FQL80"/>
    <mergeCell ref="FQM80:FRB80"/>
    <mergeCell ref="FRC80:FRR80"/>
    <mergeCell ref="FRS80:FSH80"/>
    <mergeCell ref="FKY80:FLN80"/>
    <mergeCell ref="FLO80:FMD80"/>
    <mergeCell ref="FME80:FMT80"/>
    <mergeCell ref="FMU80:FNJ80"/>
    <mergeCell ref="FNK80:FNZ80"/>
    <mergeCell ref="FOA80:FOP80"/>
    <mergeCell ref="FHG80:FHV80"/>
    <mergeCell ref="FHW80:FIL80"/>
    <mergeCell ref="FIM80:FJB80"/>
    <mergeCell ref="FJC80:FJR80"/>
    <mergeCell ref="FJS80:FKH80"/>
    <mergeCell ref="FKI80:FKX80"/>
    <mergeCell ref="FZS80:GAH80"/>
    <mergeCell ref="GAI80:GAX80"/>
    <mergeCell ref="GAY80:GBN80"/>
    <mergeCell ref="GBO80:GCD80"/>
    <mergeCell ref="GCE80:GCT80"/>
    <mergeCell ref="GCU80:GDJ80"/>
    <mergeCell ref="FWA80:FWP80"/>
    <mergeCell ref="FWQ80:FXF80"/>
    <mergeCell ref="FXG80:FXV80"/>
    <mergeCell ref="FXW80:FYL80"/>
    <mergeCell ref="FYM80:FZB80"/>
    <mergeCell ref="FZC80:FZR80"/>
    <mergeCell ref="FSI80:FSX80"/>
    <mergeCell ref="FSY80:FTN80"/>
    <mergeCell ref="FTO80:FUD80"/>
    <mergeCell ref="FUE80:FUT80"/>
    <mergeCell ref="FUU80:FVJ80"/>
    <mergeCell ref="FVK80:FVZ80"/>
    <mergeCell ref="GKU80:GLJ80"/>
    <mergeCell ref="GLK80:GLZ80"/>
    <mergeCell ref="GMA80:GMP80"/>
    <mergeCell ref="GMQ80:GNF80"/>
    <mergeCell ref="GNG80:GNV80"/>
    <mergeCell ref="GNW80:GOL80"/>
    <mergeCell ref="GHC80:GHR80"/>
    <mergeCell ref="GHS80:GIH80"/>
    <mergeCell ref="GII80:GIX80"/>
    <mergeCell ref="GIY80:GJN80"/>
    <mergeCell ref="GJO80:GKD80"/>
    <mergeCell ref="GKE80:GKT80"/>
    <mergeCell ref="GDK80:GDZ80"/>
    <mergeCell ref="GEA80:GEP80"/>
    <mergeCell ref="GEQ80:GFF80"/>
    <mergeCell ref="GFG80:GFV80"/>
    <mergeCell ref="GFW80:GGL80"/>
    <mergeCell ref="GGM80:GHB80"/>
    <mergeCell ref="GVW80:GWL80"/>
    <mergeCell ref="GWM80:GXB80"/>
    <mergeCell ref="GXC80:GXR80"/>
    <mergeCell ref="GXS80:GYH80"/>
    <mergeCell ref="GYI80:GYX80"/>
    <mergeCell ref="GYY80:GZN80"/>
    <mergeCell ref="GSE80:GST80"/>
    <mergeCell ref="GSU80:GTJ80"/>
    <mergeCell ref="GTK80:GTZ80"/>
    <mergeCell ref="GUA80:GUP80"/>
    <mergeCell ref="GUQ80:GVF80"/>
    <mergeCell ref="GVG80:GVV80"/>
    <mergeCell ref="GOM80:GPB80"/>
    <mergeCell ref="GPC80:GPR80"/>
    <mergeCell ref="GPS80:GQH80"/>
    <mergeCell ref="GQI80:GQX80"/>
    <mergeCell ref="GQY80:GRN80"/>
    <mergeCell ref="GRO80:GSD80"/>
    <mergeCell ref="HGY80:HHN80"/>
    <mergeCell ref="HHO80:HID80"/>
    <mergeCell ref="HIE80:HIT80"/>
    <mergeCell ref="HIU80:HJJ80"/>
    <mergeCell ref="HJK80:HJZ80"/>
    <mergeCell ref="HKA80:HKP80"/>
    <mergeCell ref="HDG80:HDV80"/>
    <mergeCell ref="HDW80:HEL80"/>
    <mergeCell ref="HEM80:HFB80"/>
    <mergeCell ref="HFC80:HFR80"/>
    <mergeCell ref="HFS80:HGH80"/>
    <mergeCell ref="HGI80:HGX80"/>
    <mergeCell ref="GZO80:HAD80"/>
    <mergeCell ref="HAE80:HAT80"/>
    <mergeCell ref="HAU80:HBJ80"/>
    <mergeCell ref="HBK80:HBZ80"/>
    <mergeCell ref="HCA80:HCP80"/>
    <mergeCell ref="HCQ80:HDF80"/>
    <mergeCell ref="HSA80:HSP80"/>
    <mergeCell ref="HSQ80:HTF80"/>
    <mergeCell ref="HTG80:HTV80"/>
    <mergeCell ref="HTW80:HUL80"/>
    <mergeCell ref="HUM80:HVB80"/>
    <mergeCell ref="HVC80:HVR80"/>
    <mergeCell ref="HOI80:HOX80"/>
    <mergeCell ref="HOY80:HPN80"/>
    <mergeCell ref="HPO80:HQD80"/>
    <mergeCell ref="HQE80:HQT80"/>
    <mergeCell ref="HQU80:HRJ80"/>
    <mergeCell ref="HRK80:HRZ80"/>
    <mergeCell ref="HKQ80:HLF80"/>
    <mergeCell ref="HLG80:HLV80"/>
    <mergeCell ref="HLW80:HML80"/>
    <mergeCell ref="HMM80:HNB80"/>
    <mergeCell ref="HNC80:HNR80"/>
    <mergeCell ref="HNS80:HOH80"/>
    <mergeCell ref="IDC80:IDR80"/>
    <mergeCell ref="IDS80:IEH80"/>
    <mergeCell ref="IEI80:IEX80"/>
    <mergeCell ref="IEY80:IFN80"/>
    <mergeCell ref="IFO80:IGD80"/>
    <mergeCell ref="IGE80:IGT80"/>
    <mergeCell ref="HZK80:HZZ80"/>
    <mergeCell ref="IAA80:IAP80"/>
    <mergeCell ref="IAQ80:IBF80"/>
    <mergeCell ref="IBG80:IBV80"/>
    <mergeCell ref="IBW80:ICL80"/>
    <mergeCell ref="ICM80:IDB80"/>
    <mergeCell ref="HVS80:HWH80"/>
    <mergeCell ref="HWI80:HWX80"/>
    <mergeCell ref="HWY80:HXN80"/>
    <mergeCell ref="HXO80:HYD80"/>
    <mergeCell ref="HYE80:HYT80"/>
    <mergeCell ref="HYU80:HZJ80"/>
    <mergeCell ref="IOE80:IOT80"/>
    <mergeCell ref="IOU80:IPJ80"/>
    <mergeCell ref="IPK80:IPZ80"/>
    <mergeCell ref="IQA80:IQP80"/>
    <mergeCell ref="IQQ80:IRF80"/>
    <mergeCell ref="IRG80:IRV80"/>
    <mergeCell ref="IKM80:ILB80"/>
    <mergeCell ref="ILC80:ILR80"/>
    <mergeCell ref="ILS80:IMH80"/>
    <mergeCell ref="IMI80:IMX80"/>
    <mergeCell ref="IMY80:INN80"/>
    <mergeCell ref="INO80:IOD80"/>
    <mergeCell ref="IGU80:IHJ80"/>
    <mergeCell ref="IHK80:IHZ80"/>
    <mergeCell ref="IIA80:IIP80"/>
    <mergeCell ref="IIQ80:IJF80"/>
    <mergeCell ref="IJG80:IJV80"/>
    <mergeCell ref="IJW80:IKL80"/>
    <mergeCell ref="IZG80:IZV80"/>
    <mergeCell ref="IZW80:JAL80"/>
    <mergeCell ref="JAM80:JBB80"/>
    <mergeCell ref="JBC80:JBR80"/>
    <mergeCell ref="JBS80:JCH80"/>
    <mergeCell ref="JCI80:JCX80"/>
    <mergeCell ref="IVO80:IWD80"/>
    <mergeCell ref="IWE80:IWT80"/>
    <mergeCell ref="IWU80:IXJ80"/>
    <mergeCell ref="IXK80:IXZ80"/>
    <mergeCell ref="IYA80:IYP80"/>
    <mergeCell ref="IYQ80:IZF80"/>
    <mergeCell ref="IRW80:ISL80"/>
    <mergeCell ref="ISM80:ITB80"/>
    <mergeCell ref="ITC80:ITR80"/>
    <mergeCell ref="ITS80:IUH80"/>
    <mergeCell ref="IUI80:IUX80"/>
    <mergeCell ref="IUY80:IVN80"/>
    <mergeCell ref="JKI80:JKX80"/>
    <mergeCell ref="JKY80:JLN80"/>
    <mergeCell ref="JLO80:JMD80"/>
    <mergeCell ref="JME80:JMT80"/>
    <mergeCell ref="JMU80:JNJ80"/>
    <mergeCell ref="JNK80:JNZ80"/>
    <mergeCell ref="JGQ80:JHF80"/>
    <mergeCell ref="JHG80:JHV80"/>
    <mergeCell ref="JHW80:JIL80"/>
    <mergeCell ref="JIM80:JJB80"/>
    <mergeCell ref="JJC80:JJR80"/>
    <mergeCell ref="JJS80:JKH80"/>
    <mergeCell ref="JCY80:JDN80"/>
    <mergeCell ref="JDO80:JED80"/>
    <mergeCell ref="JEE80:JET80"/>
    <mergeCell ref="JEU80:JFJ80"/>
    <mergeCell ref="JFK80:JFZ80"/>
    <mergeCell ref="JGA80:JGP80"/>
    <mergeCell ref="JVK80:JVZ80"/>
    <mergeCell ref="JWA80:JWP80"/>
    <mergeCell ref="JWQ80:JXF80"/>
    <mergeCell ref="JXG80:JXV80"/>
    <mergeCell ref="JXW80:JYL80"/>
    <mergeCell ref="JYM80:JZB80"/>
    <mergeCell ref="JRS80:JSH80"/>
    <mergeCell ref="JSI80:JSX80"/>
    <mergeCell ref="JSY80:JTN80"/>
    <mergeCell ref="JTO80:JUD80"/>
    <mergeCell ref="JUE80:JUT80"/>
    <mergeCell ref="JUU80:JVJ80"/>
    <mergeCell ref="JOA80:JOP80"/>
    <mergeCell ref="JOQ80:JPF80"/>
    <mergeCell ref="JPG80:JPV80"/>
    <mergeCell ref="JPW80:JQL80"/>
    <mergeCell ref="JQM80:JRB80"/>
    <mergeCell ref="JRC80:JRR80"/>
    <mergeCell ref="KGM80:KHB80"/>
    <mergeCell ref="KHC80:KHR80"/>
    <mergeCell ref="KHS80:KIH80"/>
    <mergeCell ref="KII80:KIX80"/>
    <mergeCell ref="KIY80:KJN80"/>
    <mergeCell ref="KJO80:KKD80"/>
    <mergeCell ref="KCU80:KDJ80"/>
    <mergeCell ref="KDK80:KDZ80"/>
    <mergeCell ref="KEA80:KEP80"/>
    <mergeCell ref="KEQ80:KFF80"/>
    <mergeCell ref="KFG80:KFV80"/>
    <mergeCell ref="KFW80:KGL80"/>
    <mergeCell ref="JZC80:JZR80"/>
    <mergeCell ref="JZS80:KAH80"/>
    <mergeCell ref="KAI80:KAX80"/>
    <mergeCell ref="KAY80:KBN80"/>
    <mergeCell ref="KBO80:KCD80"/>
    <mergeCell ref="KCE80:KCT80"/>
    <mergeCell ref="KRO80:KSD80"/>
    <mergeCell ref="KSE80:KST80"/>
    <mergeCell ref="KSU80:KTJ80"/>
    <mergeCell ref="KTK80:KTZ80"/>
    <mergeCell ref="KUA80:KUP80"/>
    <mergeCell ref="KUQ80:KVF80"/>
    <mergeCell ref="KNW80:KOL80"/>
    <mergeCell ref="KOM80:KPB80"/>
    <mergeCell ref="KPC80:KPR80"/>
    <mergeCell ref="KPS80:KQH80"/>
    <mergeCell ref="KQI80:KQX80"/>
    <mergeCell ref="KQY80:KRN80"/>
    <mergeCell ref="KKE80:KKT80"/>
    <mergeCell ref="KKU80:KLJ80"/>
    <mergeCell ref="KLK80:KLZ80"/>
    <mergeCell ref="KMA80:KMP80"/>
    <mergeCell ref="KMQ80:KNF80"/>
    <mergeCell ref="KNG80:KNV80"/>
    <mergeCell ref="LCQ80:LDF80"/>
    <mergeCell ref="LDG80:LDV80"/>
    <mergeCell ref="LDW80:LEL80"/>
    <mergeCell ref="LEM80:LFB80"/>
    <mergeCell ref="LFC80:LFR80"/>
    <mergeCell ref="LFS80:LGH80"/>
    <mergeCell ref="KYY80:KZN80"/>
    <mergeCell ref="KZO80:LAD80"/>
    <mergeCell ref="LAE80:LAT80"/>
    <mergeCell ref="LAU80:LBJ80"/>
    <mergeCell ref="LBK80:LBZ80"/>
    <mergeCell ref="LCA80:LCP80"/>
    <mergeCell ref="KVG80:KVV80"/>
    <mergeCell ref="KVW80:KWL80"/>
    <mergeCell ref="KWM80:KXB80"/>
    <mergeCell ref="KXC80:KXR80"/>
    <mergeCell ref="KXS80:KYH80"/>
    <mergeCell ref="KYI80:KYX80"/>
    <mergeCell ref="LNS80:LOH80"/>
    <mergeCell ref="LOI80:LOX80"/>
    <mergeCell ref="LOY80:LPN80"/>
    <mergeCell ref="LPO80:LQD80"/>
    <mergeCell ref="LQE80:LQT80"/>
    <mergeCell ref="LQU80:LRJ80"/>
    <mergeCell ref="LKA80:LKP80"/>
    <mergeCell ref="LKQ80:LLF80"/>
    <mergeCell ref="LLG80:LLV80"/>
    <mergeCell ref="LLW80:LML80"/>
    <mergeCell ref="LMM80:LNB80"/>
    <mergeCell ref="LNC80:LNR80"/>
    <mergeCell ref="LGI80:LGX80"/>
    <mergeCell ref="LGY80:LHN80"/>
    <mergeCell ref="LHO80:LID80"/>
    <mergeCell ref="LIE80:LIT80"/>
    <mergeCell ref="LIU80:LJJ80"/>
    <mergeCell ref="LJK80:LJZ80"/>
    <mergeCell ref="LYU80:LZJ80"/>
    <mergeCell ref="LZK80:LZZ80"/>
    <mergeCell ref="MAA80:MAP80"/>
    <mergeCell ref="MAQ80:MBF80"/>
    <mergeCell ref="MBG80:MBV80"/>
    <mergeCell ref="MBW80:MCL80"/>
    <mergeCell ref="LVC80:LVR80"/>
    <mergeCell ref="LVS80:LWH80"/>
    <mergeCell ref="LWI80:LWX80"/>
    <mergeCell ref="LWY80:LXN80"/>
    <mergeCell ref="LXO80:LYD80"/>
    <mergeCell ref="LYE80:LYT80"/>
    <mergeCell ref="LRK80:LRZ80"/>
    <mergeCell ref="LSA80:LSP80"/>
    <mergeCell ref="LSQ80:LTF80"/>
    <mergeCell ref="LTG80:LTV80"/>
    <mergeCell ref="LTW80:LUL80"/>
    <mergeCell ref="LUM80:LVB80"/>
    <mergeCell ref="MJW80:MKL80"/>
    <mergeCell ref="MKM80:MLB80"/>
    <mergeCell ref="MLC80:MLR80"/>
    <mergeCell ref="MLS80:MMH80"/>
    <mergeCell ref="MMI80:MMX80"/>
    <mergeCell ref="MMY80:MNN80"/>
    <mergeCell ref="MGE80:MGT80"/>
    <mergeCell ref="MGU80:MHJ80"/>
    <mergeCell ref="MHK80:MHZ80"/>
    <mergeCell ref="MIA80:MIP80"/>
    <mergeCell ref="MIQ80:MJF80"/>
    <mergeCell ref="MJG80:MJV80"/>
    <mergeCell ref="MCM80:MDB80"/>
    <mergeCell ref="MDC80:MDR80"/>
    <mergeCell ref="MDS80:MEH80"/>
    <mergeCell ref="MEI80:MEX80"/>
    <mergeCell ref="MEY80:MFN80"/>
    <mergeCell ref="MFO80:MGD80"/>
    <mergeCell ref="MUY80:MVN80"/>
    <mergeCell ref="MVO80:MWD80"/>
    <mergeCell ref="MWE80:MWT80"/>
    <mergeCell ref="MWU80:MXJ80"/>
    <mergeCell ref="MXK80:MXZ80"/>
    <mergeCell ref="MYA80:MYP80"/>
    <mergeCell ref="MRG80:MRV80"/>
    <mergeCell ref="MRW80:MSL80"/>
    <mergeCell ref="MSM80:MTB80"/>
    <mergeCell ref="MTC80:MTR80"/>
    <mergeCell ref="MTS80:MUH80"/>
    <mergeCell ref="MUI80:MUX80"/>
    <mergeCell ref="MNO80:MOD80"/>
    <mergeCell ref="MOE80:MOT80"/>
    <mergeCell ref="MOU80:MPJ80"/>
    <mergeCell ref="MPK80:MPZ80"/>
    <mergeCell ref="MQA80:MQP80"/>
    <mergeCell ref="MQQ80:MRF80"/>
    <mergeCell ref="NGA80:NGP80"/>
    <mergeCell ref="NGQ80:NHF80"/>
    <mergeCell ref="NHG80:NHV80"/>
    <mergeCell ref="NHW80:NIL80"/>
    <mergeCell ref="NIM80:NJB80"/>
    <mergeCell ref="NJC80:NJR80"/>
    <mergeCell ref="NCI80:NCX80"/>
    <mergeCell ref="NCY80:NDN80"/>
    <mergeCell ref="NDO80:NED80"/>
    <mergeCell ref="NEE80:NET80"/>
    <mergeCell ref="NEU80:NFJ80"/>
    <mergeCell ref="NFK80:NFZ80"/>
    <mergeCell ref="MYQ80:MZF80"/>
    <mergeCell ref="MZG80:MZV80"/>
    <mergeCell ref="MZW80:NAL80"/>
    <mergeCell ref="NAM80:NBB80"/>
    <mergeCell ref="NBC80:NBR80"/>
    <mergeCell ref="NBS80:NCH80"/>
    <mergeCell ref="NRC80:NRR80"/>
    <mergeCell ref="NRS80:NSH80"/>
    <mergeCell ref="NSI80:NSX80"/>
    <mergeCell ref="NSY80:NTN80"/>
    <mergeCell ref="NTO80:NUD80"/>
    <mergeCell ref="NUE80:NUT80"/>
    <mergeCell ref="NNK80:NNZ80"/>
    <mergeCell ref="NOA80:NOP80"/>
    <mergeCell ref="NOQ80:NPF80"/>
    <mergeCell ref="NPG80:NPV80"/>
    <mergeCell ref="NPW80:NQL80"/>
    <mergeCell ref="NQM80:NRB80"/>
    <mergeCell ref="NJS80:NKH80"/>
    <mergeCell ref="NKI80:NKX80"/>
    <mergeCell ref="NKY80:NLN80"/>
    <mergeCell ref="NLO80:NMD80"/>
    <mergeCell ref="NME80:NMT80"/>
    <mergeCell ref="NMU80:NNJ80"/>
    <mergeCell ref="OCE80:OCT80"/>
    <mergeCell ref="OCU80:ODJ80"/>
    <mergeCell ref="ODK80:ODZ80"/>
    <mergeCell ref="OEA80:OEP80"/>
    <mergeCell ref="OEQ80:OFF80"/>
    <mergeCell ref="OFG80:OFV80"/>
    <mergeCell ref="NYM80:NZB80"/>
    <mergeCell ref="NZC80:NZR80"/>
    <mergeCell ref="NZS80:OAH80"/>
    <mergeCell ref="OAI80:OAX80"/>
    <mergeCell ref="OAY80:OBN80"/>
    <mergeCell ref="OBO80:OCD80"/>
    <mergeCell ref="NUU80:NVJ80"/>
    <mergeCell ref="NVK80:NVZ80"/>
    <mergeCell ref="NWA80:NWP80"/>
    <mergeCell ref="NWQ80:NXF80"/>
    <mergeCell ref="NXG80:NXV80"/>
    <mergeCell ref="NXW80:NYL80"/>
    <mergeCell ref="ONG80:ONV80"/>
    <mergeCell ref="ONW80:OOL80"/>
    <mergeCell ref="OOM80:OPB80"/>
    <mergeCell ref="OPC80:OPR80"/>
    <mergeCell ref="OPS80:OQH80"/>
    <mergeCell ref="OQI80:OQX80"/>
    <mergeCell ref="OJO80:OKD80"/>
    <mergeCell ref="OKE80:OKT80"/>
    <mergeCell ref="OKU80:OLJ80"/>
    <mergeCell ref="OLK80:OLZ80"/>
    <mergeCell ref="OMA80:OMP80"/>
    <mergeCell ref="OMQ80:ONF80"/>
    <mergeCell ref="OFW80:OGL80"/>
    <mergeCell ref="OGM80:OHB80"/>
    <mergeCell ref="OHC80:OHR80"/>
    <mergeCell ref="OHS80:OIH80"/>
    <mergeCell ref="OII80:OIX80"/>
    <mergeCell ref="OIY80:OJN80"/>
    <mergeCell ref="OYI80:OYX80"/>
    <mergeCell ref="OYY80:OZN80"/>
    <mergeCell ref="OZO80:PAD80"/>
    <mergeCell ref="PAE80:PAT80"/>
    <mergeCell ref="PAU80:PBJ80"/>
    <mergeCell ref="PBK80:PBZ80"/>
    <mergeCell ref="OUQ80:OVF80"/>
    <mergeCell ref="OVG80:OVV80"/>
    <mergeCell ref="OVW80:OWL80"/>
    <mergeCell ref="OWM80:OXB80"/>
    <mergeCell ref="OXC80:OXR80"/>
    <mergeCell ref="OXS80:OYH80"/>
    <mergeCell ref="OQY80:ORN80"/>
    <mergeCell ref="ORO80:OSD80"/>
    <mergeCell ref="OSE80:OST80"/>
    <mergeCell ref="OSU80:OTJ80"/>
    <mergeCell ref="OTK80:OTZ80"/>
    <mergeCell ref="OUA80:OUP80"/>
    <mergeCell ref="PJK80:PJZ80"/>
    <mergeCell ref="PKA80:PKP80"/>
    <mergeCell ref="PKQ80:PLF80"/>
    <mergeCell ref="PLG80:PLV80"/>
    <mergeCell ref="PLW80:PML80"/>
    <mergeCell ref="PMM80:PNB80"/>
    <mergeCell ref="PFS80:PGH80"/>
    <mergeCell ref="PGI80:PGX80"/>
    <mergeCell ref="PGY80:PHN80"/>
    <mergeCell ref="PHO80:PID80"/>
    <mergeCell ref="PIE80:PIT80"/>
    <mergeCell ref="PIU80:PJJ80"/>
    <mergeCell ref="PCA80:PCP80"/>
    <mergeCell ref="PCQ80:PDF80"/>
    <mergeCell ref="PDG80:PDV80"/>
    <mergeCell ref="PDW80:PEL80"/>
    <mergeCell ref="PEM80:PFB80"/>
    <mergeCell ref="PFC80:PFR80"/>
    <mergeCell ref="PUM80:PVB80"/>
    <mergeCell ref="PVC80:PVR80"/>
    <mergeCell ref="PVS80:PWH80"/>
    <mergeCell ref="PWI80:PWX80"/>
    <mergeCell ref="PWY80:PXN80"/>
    <mergeCell ref="PXO80:PYD80"/>
    <mergeCell ref="PQU80:PRJ80"/>
    <mergeCell ref="PRK80:PRZ80"/>
    <mergeCell ref="PSA80:PSP80"/>
    <mergeCell ref="PSQ80:PTF80"/>
    <mergeCell ref="PTG80:PTV80"/>
    <mergeCell ref="PTW80:PUL80"/>
    <mergeCell ref="PNC80:PNR80"/>
    <mergeCell ref="PNS80:POH80"/>
    <mergeCell ref="POI80:POX80"/>
    <mergeCell ref="POY80:PPN80"/>
    <mergeCell ref="PPO80:PQD80"/>
    <mergeCell ref="PQE80:PQT80"/>
    <mergeCell ref="QFO80:QGD80"/>
    <mergeCell ref="QGE80:QGT80"/>
    <mergeCell ref="QGU80:QHJ80"/>
    <mergeCell ref="QHK80:QHZ80"/>
    <mergeCell ref="QIA80:QIP80"/>
    <mergeCell ref="QIQ80:QJF80"/>
    <mergeCell ref="QBW80:QCL80"/>
    <mergeCell ref="QCM80:QDB80"/>
    <mergeCell ref="QDC80:QDR80"/>
    <mergeCell ref="QDS80:QEH80"/>
    <mergeCell ref="QEI80:QEX80"/>
    <mergeCell ref="QEY80:QFN80"/>
    <mergeCell ref="PYE80:PYT80"/>
    <mergeCell ref="PYU80:PZJ80"/>
    <mergeCell ref="PZK80:PZZ80"/>
    <mergeCell ref="QAA80:QAP80"/>
    <mergeCell ref="QAQ80:QBF80"/>
    <mergeCell ref="QBG80:QBV80"/>
    <mergeCell ref="QQQ80:QRF80"/>
    <mergeCell ref="QRG80:QRV80"/>
    <mergeCell ref="QRW80:QSL80"/>
    <mergeCell ref="QSM80:QTB80"/>
    <mergeCell ref="QTC80:QTR80"/>
    <mergeCell ref="QTS80:QUH80"/>
    <mergeCell ref="QMY80:QNN80"/>
    <mergeCell ref="QNO80:QOD80"/>
    <mergeCell ref="QOE80:QOT80"/>
    <mergeCell ref="QOU80:QPJ80"/>
    <mergeCell ref="QPK80:QPZ80"/>
    <mergeCell ref="QQA80:QQP80"/>
    <mergeCell ref="QJG80:QJV80"/>
    <mergeCell ref="QJW80:QKL80"/>
    <mergeCell ref="QKM80:QLB80"/>
    <mergeCell ref="QLC80:QLR80"/>
    <mergeCell ref="QLS80:QMH80"/>
    <mergeCell ref="QMI80:QMX80"/>
    <mergeCell ref="RBS80:RCH80"/>
    <mergeCell ref="RCI80:RCX80"/>
    <mergeCell ref="RCY80:RDN80"/>
    <mergeCell ref="RDO80:RED80"/>
    <mergeCell ref="REE80:RET80"/>
    <mergeCell ref="REU80:RFJ80"/>
    <mergeCell ref="QYA80:QYP80"/>
    <mergeCell ref="QYQ80:QZF80"/>
    <mergeCell ref="QZG80:QZV80"/>
    <mergeCell ref="QZW80:RAL80"/>
    <mergeCell ref="RAM80:RBB80"/>
    <mergeCell ref="RBC80:RBR80"/>
    <mergeCell ref="QUI80:QUX80"/>
    <mergeCell ref="QUY80:QVN80"/>
    <mergeCell ref="QVO80:QWD80"/>
    <mergeCell ref="QWE80:QWT80"/>
    <mergeCell ref="QWU80:QXJ80"/>
    <mergeCell ref="QXK80:QXZ80"/>
    <mergeCell ref="RMU80:RNJ80"/>
    <mergeCell ref="RNK80:RNZ80"/>
    <mergeCell ref="ROA80:ROP80"/>
    <mergeCell ref="ROQ80:RPF80"/>
    <mergeCell ref="RPG80:RPV80"/>
    <mergeCell ref="RPW80:RQL80"/>
    <mergeCell ref="RJC80:RJR80"/>
    <mergeCell ref="RJS80:RKH80"/>
    <mergeCell ref="RKI80:RKX80"/>
    <mergeCell ref="RKY80:RLN80"/>
    <mergeCell ref="RLO80:RMD80"/>
    <mergeCell ref="RME80:RMT80"/>
    <mergeCell ref="RFK80:RFZ80"/>
    <mergeCell ref="RGA80:RGP80"/>
    <mergeCell ref="RGQ80:RHF80"/>
    <mergeCell ref="RHG80:RHV80"/>
    <mergeCell ref="RHW80:RIL80"/>
    <mergeCell ref="RIM80:RJB80"/>
    <mergeCell ref="RXW80:RYL80"/>
    <mergeCell ref="RYM80:RZB80"/>
    <mergeCell ref="RZC80:RZR80"/>
    <mergeCell ref="RZS80:SAH80"/>
    <mergeCell ref="SAI80:SAX80"/>
    <mergeCell ref="SAY80:SBN80"/>
    <mergeCell ref="RUE80:RUT80"/>
    <mergeCell ref="RUU80:RVJ80"/>
    <mergeCell ref="RVK80:RVZ80"/>
    <mergeCell ref="RWA80:RWP80"/>
    <mergeCell ref="RWQ80:RXF80"/>
    <mergeCell ref="RXG80:RXV80"/>
    <mergeCell ref="RQM80:RRB80"/>
    <mergeCell ref="RRC80:RRR80"/>
    <mergeCell ref="RRS80:RSH80"/>
    <mergeCell ref="RSI80:RSX80"/>
    <mergeCell ref="RSY80:RTN80"/>
    <mergeCell ref="RTO80:RUD80"/>
    <mergeCell ref="SIY80:SJN80"/>
    <mergeCell ref="SJO80:SKD80"/>
    <mergeCell ref="SKE80:SKT80"/>
    <mergeCell ref="SKU80:SLJ80"/>
    <mergeCell ref="SLK80:SLZ80"/>
    <mergeCell ref="SMA80:SMP80"/>
    <mergeCell ref="SFG80:SFV80"/>
    <mergeCell ref="SFW80:SGL80"/>
    <mergeCell ref="SGM80:SHB80"/>
    <mergeCell ref="SHC80:SHR80"/>
    <mergeCell ref="SHS80:SIH80"/>
    <mergeCell ref="SII80:SIX80"/>
    <mergeCell ref="SBO80:SCD80"/>
    <mergeCell ref="SCE80:SCT80"/>
    <mergeCell ref="SCU80:SDJ80"/>
    <mergeCell ref="SDK80:SDZ80"/>
    <mergeCell ref="SEA80:SEP80"/>
    <mergeCell ref="SEQ80:SFF80"/>
    <mergeCell ref="SUA80:SUP80"/>
    <mergeCell ref="SUQ80:SVF80"/>
    <mergeCell ref="SVG80:SVV80"/>
    <mergeCell ref="SVW80:SWL80"/>
    <mergeCell ref="SWM80:SXB80"/>
    <mergeCell ref="SXC80:SXR80"/>
    <mergeCell ref="SQI80:SQX80"/>
    <mergeCell ref="SQY80:SRN80"/>
    <mergeCell ref="SRO80:SSD80"/>
    <mergeCell ref="SSE80:SST80"/>
    <mergeCell ref="SSU80:STJ80"/>
    <mergeCell ref="STK80:STZ80"/>
    <mergeCell ref="SMQ80:SNF80"/>
    <mergeCell ref="SNG80:SNV80"/>
    <mergeCell ref="SNW80:SOL80"/>
    <mergeCell ref="SOM80:SPB80"/>
    <mergeCell ref="SPC80:SPR80"/>
    <mergeCell ref="SPS80:SQH80"/>
    <mergeCell ref="TFC80:TFR80"/>
    <mergeCell ref="TFS80:TGH80"/>
    <mergeCell ref="TGI80:TGX80"/>
    <mergeCell ref="TGY80:THN80"/>
    <mergeCell ref="THO80:TID80"/>
    <mergeCell ref="TIE80:TIT80"/>
    <mergeCell ref="TBK80:TBZ80"/>
    <mergeCell ref="TCA80:TCP80"/>
    <mergeCell ref="TCQ80:TDF80"/>
    <mergeCell ref="TDG80:TDV80"/>
    <mergeCell ref="TDW80:TEL80"/>
    <mergeCell ref="TEM80:TFB80"/>
    <mergeCell ref="SXS80:SYH80"/>
    <mergeCell ref="SYI80:SYX80"/>
    <mergeCell ref="SYY80:SZN80"/>
    <mergeCell ref="SZO80:TAD80"/>
    <mergeCell ref="TAE80:TAT80"/>
    <mergeCell ref="TAU80:TBJ80"/>
    <mergeCell ref="TQE80:TQT80"/>
    <mergeCell ref="TQU80:TRJ80"/>
    <mergeCell ref="TRK80:TRZ80"/>
    <mergeCell ref="TSA80:TSP80"/>
    <mergeCell ref="TSQ80:TTF80"/>
    <mergeCell ref="TTG80:TTV80"/>
    <mergeCell ref="TMM80:TNB80"/>
    <mergeCell ref="TNC80:TNR80"/>
    <mergeCell ref="TNS80:TOH80"/>
    <mergeCell ref="TOI80:TOX80"/>
    <mergeCell ref="TOY80:TPN80"/>
    <mergeCell ref="TPO80:TQD80"/>
    <mergeCell ref="TIU80:TJJ80"/>
    <mergeCell ref="TJK80:TJZ80"/>
    <mergeCell ref="TKA80:TKP80"/>
    <mergeCell ref="TKQ80:TLF80"/>
    <mergeCell ref="TLG80:TLV80"/>
    <mergeCell ref="TLW80:TML80"/>
    <mergeCell ref="UBG80:UBV80"/>
    <mergeCell ref="UBW80:UCL80"/>
    <mergeCell ref="UCM80:UDB80"/>
    <mergeCell ref="UDC80:UDR80"/>
    <mergeCell ref="UDS80:UEH80"/>
    <mergeCell ref="UEI80:UEX80"/>
    <mergeCell ref="TXO80:TYD80"/>
    <mergeCell ref="TYE80:TYT80"/>
    <mergeCell ref="TYU80:TZJ80"/>
    <mergeCell ref="TZK80:TZZ80"/>
    <mergeCell ref="UAA80:UAP80"/>
    <mergeCell ref="UAQ80:UBF80"/>
    <mergeCell ref="TTW80:TUL80"/>
    <mergeCell ref="TUM80:TVB80"/>
    <mergeCell ref="TVC80:TVR80"/>
    <mergeCell ref="TVS80:TWH80"/>
    <mergeCell ref="TWI80:TWX80"/>
    <mergeCell ref="TWY80:TXN80"/>
    <mergeCell ref="UMI80:UMX80"/>
    <mergeCell ref="UMY80:UNN80"/>
    <mergeCell ref="UNO80:UOD80"/>
    <mergeCell ref="UOE80:UOT80"/>
    <mergeCell ref="UOU80:UPJ80"/>
    <mergeCell ref="UPK80:UPZ80"/>
    <mergeCell ref="UIQ80:UJF80"/>
    <mergeCell ref="UJG80:UJV80"/>
    <mergeCell ref="UJW80:UKL80"/>
    <mergeCell ref="UKM80:ULB80"/>
    <mergeCell ref="ULC80:ULR80"/>
    <mergeCell ref="ULS80:UMH80"/>
    <mergeCell ref="UEY80:UFN80"/>
    <mergeCell ref="UFO80:UGD80"/>
    <mergeCell ref="UGE80:UGT80"/>
    <mergeCell ref="UGU80:UHJ80"/>
    <mergeCell ref="UHK80:UHZ80"/>
    <mergeCell ref="UIA80:UIP80"/>
    <mergeCell ref="UXK80:UXZ80"/>
    <mergeCell ref="UYA80:UYP80"/>
    <mergeCell ref="UYQ80:UZF80"/>
    <mergeCell ref="UZG80:UZV80"/>
    <mergeCell ref="UZW80:VAL80"/>
    <mergeCell ref="VAM80:VBB80"/>
    <mergeCell ref="UTS80:UUH80"/>
    <mergeCell ref="UUI80:UUX80"/>
    <mergeCell ref="UUY80:UVN80"/>
    <mergeCell ref="UVO80:UWD80"/>
    <mergeCell ref="UWE80:UWT80"/>
    <mergeCell ref="UWU80:UXJ80"/>
    <mergeCell ref="UQA80:UQP80"/>
    <mergeCell ref="UQQ80:URF80"/>
    <mergeCell ref="URG80:URV80"/>
    <mergeCell ref="URW80:USL80"/>
    <mergeCell ref="USM80:UTB80"/>
    <mergeCell ref="UTC80:UTR80"/>
    <mergeCell ref="VIM80:VJB80"/>
    <mergeCell ref="VJC80:VJR80"/>
    <mergeCell ref="VJS80:VKH80"/>
    <mergeCell ref="VKI80:VKX80"/>
    <mergeCell ref="VKY80:VLN80"/>
    <mergeCell ref="VLO80:VMD80"/>
    <mergeCell ref="VEU80:VFJ80"/>
    <mergeCell ref="VFK80:VFZ80"/>
    <mergeCell ref="VGA80:VGP80"/>
    <mergeCell ref="VGQ80:VHF80"/>
    <mergeCell ref="VHG80:VHV80"/>
    <mergeCell ref="VHW80:VIL80"/>
    <mergeCell ref="VBC80:VBR80"/>
    <mergeCell ref="VBS80:VCH80"/>
    <mergeCell ref="VCI80:VCX80"/>
    <mergeCell ref="VCY80:VDN80"/>
    <mergeCell ref="VDO80:VED80"/>
    <mergeCell ref="VEE80:VET80"/>
    <mergeCell ref="VTO80:VUD80"/>
    <mergeCell ref="VUE80:VUT80"/>
    <mergeCell ref="VUU80:VVJ80"/>
    <mergeCell ref="VVK80:VVZ80"/>
    <mergeCell ref="VWA80:VWP80"/>
    <mergeCell ref="VWQ80:VXF80"/>
    <mergeCell ref="VPW80:VQL80"/>
    <mergeCell ref="VQM80:VRB80"/>
    <mergeCell ref="VRC80:VRR80"/>
    <mergeCell ref="VRS80:VSH80"/>
    <mergeCell ref="VSI80:VSX80"/>
    <mergeCell ref="VSY80:VTN80"/>
    <mergeCell ref="VME80:VMT80"/>
    <mergeCell ref="VMU80:VNJ80"/>
    <mergeCell ref="VNK80:VNZ80"/>
    <mergeCell ref="VOA80:VOP80"/>
    <mergeCell ref="VOQ80:VPF80"/>
    <mergeCell ref="VPG80:VPV80"/>
    <mergeCell ref="WEQ80:WFF80"/>
    <mergeCell ref="WFG80:WFV80"/>
    <mergeCell ref="WFW80:WGL80"/>
    <mergeCell ref="WGM80:WHB80"/>
    <mergeCell ref="WHC80:WHR80"/>
    <mergeCell ref="WHS80:WIH80"/>
    <mergeCell ref="WAY80:WBN80"/>
    <mergeCell ref="WBO80:WCD80"/>
    <mergeCell ref="WCE80:WCT80"/>
    <mergeCell ref="WCU80:WDJ80"/>
    <mergeCell ref="WDK80:WDZ80"/>
    <mergeCell ref="WEA80:WEP80"/>
    <mergeCell ref="VXG80:VXV80"/>
    <mergeCell ref="VXW80:VYL80"/>
    <mergeCell ref="VYM80:VZB80"/>
    <mergeCell ref="VZC80:VZR80"/>
    <mergeCell ref="VZS80:WAH80"/>
    <mergeCell ref="WAI80:WAX80"/>
    <mergeCell ref="WPS80:WQH80"/>
    <mergeCell ref="WQI80:WQX80"/>
    <mergeCell ref="WQY80:WRN80"/>
    <mergeCell ref="WRO80:WSD80"/>
    <mergeCell ref="WSE80:WST80"/>
    <mergeCell ref="WSU80:WTJ80"/>
    <mergeCell ref="WMA80:WMP80"/>
    <mergeCell ref="WMQ80:WNF80"/>
    <mergeCell ref="WNG80:WNV80"/>
    <mergeCell ref="WNW80:WOL80"/>
    <mergeCell ref="WOM80:WPB80"/>
    <mergeCell ref="WPC80:WPR80"/>
    <mergeCell ref="WII80:WIX80"/>
    <mergeCell ref="WIY80:WJN80"/>
    <mergeCell ref="WJO80:WKD80"/>
    <mergeCell ref="WKE80:WKT80"/>
    <mergeCell ref="WKU80:WLJ80"/>
    <mergeCell ref="WLK80:WLZ80"/>
    <mergeCell ref="XEM80:XFB80"/>
    <mergeCell ref="XAU80:XBJ80"/>
    <mergeCell ref="XBK80:XBZ80"/>
    <mergeCell ref="XCA80:XCP80"/>
    <mergeCell ref="XCQ80:XDF80"/>
    <mergeCell ref="XDG80:XDV80"/>
    <mergeCell ref="XDW80:XEL80"/>
    <mergeCell ref="WXC80:WXR80"/>
    <mergeCell ref="WXS80:WYH80"/>
    <mergeCell ref="WYI80:WYX80"/>
    <mergeCell ref="WYY80:WZN80"/>
    <mergeCell ref="WZO80:XAD80"/>
    <mergeCell ref="XAE80:XAT80"/>
    <mergeCell ref="WTK80:WTZ80"/>
    <mergeCell ref="WUA80:WUP80"/>
    <mergeCell ref="WUQ80:WVF80"/>
    <mergeCell ref="WVG80:WVV80"/>
    <mergeCell ref="WVW80:WWL80"/>
    <mergeCell ref="WWM80:WXB80"/>
  </mergeCells>
  <pageMargins left="0.28000000000000003" right="0.17" top="0.75" bottom="0.75" header="0.3" footer="0.3"/>
  <pageSetup scale="23"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3">
    <tabColor rgb="FF92D050"/>
    <pageSetUpPr fitToPage="1"/>
  </sheetPr>
  <dimension ref="A1:AJ294"/>
  <sheetViews>
    <sheetView showGridLines="0" view="pageBreakPreview" zoomScale="115" zoomScaleNormal="145" zoomScaleSheetLayoutView="115" workbookViewId="0">
      <pane ySplit="13" topLeftCell="A281" activePane="bottomLeft" state="frozen"/>
      <selection activeCell="B39" sqref="B39"/>
      <selection pane="bottomLeft" activeCell="I301" sqref="I301"/>
    </sheetView>
  </sheetViews>
  <sheetFormatPr defaultColWidth="9.140625" defaultRowHeight="12.75"/>
  <cols>
    <col min="1" max="1" width="5.7109375" style="834" customWidth="1"/>
    <col min="2" max="2" width="11.7109375" style="966" customWidth="1"/>
    <col min="3" max="3" width="12.28515625" style="966" customWidth="1"/>
    <col min="4" max="5" width="13" style="966" customWidth="1"/>
    <col min="6" max="6" width="10.28515625" style="966" customWidth="1"/>
    <col min="7" max="7" width="12.85546875" style="510" customWidth="1"/>
    <col min="8" max="8" width="10.5703125" style="966" customWidth="1"/>
    <col min="9" max="9" width="14.140625" style="966" customWidth="1"/>
    <col min="10" max="10" width="10.28515625" style="966" customWidth="1"/>
    <col min="11" max="11" width="14.140625" style="966" customWidth="1"/>
    <col min="12" max="12" width="10.28515625" style="966" customWidth="1"/>
    <col min="13" max="13" width="14.140625" style="510" customWidth="1"/>
    <col min="14" max="14" width="10.28515625" style="966" customWidth="1"/>
    <col min="15" max="15" width="11.7109375" style="510" customWidth="1"/>
    <col min="16" max="16" width="10.28515625" style="966" customWidth="1"/>
    <col min="17" max="36" width="9.140625" style="967"/>
    <col min="37" max="16384" width="9.140625" style="966"/>
  </cols>
  <sheetData>
    <row r="1" spans="1:36" ht="7.5" customHeight="1"/>
    <row r="2" spans="1:36" s="465" customFormat="1" ht="21.75" customHeight="1">
      <c r="A2" s="2638" t="s">
        <v>3267</v>
      </c>
      <c r="B2" s="2638"/>
      <c r="C2" s="2638"/>
      <c r="D2" s="2638"/>
      <c r="E2" s="2638"/>
      <c r="F2" s="2638"/>
      <c r="G2" s="2638"/>
      <c r="H2" s="2638"/>
      <c r="I2" s="2638"/>
      <c r="J2" s="2638"/>
      <c r="K2" s="2638"/>
      <c r="L2" s="2638"/>
      <c r="M2" s="2638"/>
      <c r="N2" s="2638"/>
      <c r="O2" s="2638"/>
      <c r="P2" s="2638"/>
      <c r="Q2" s="466"/>
      <c r="R2" s="466"/>
      <c r="S2" s="466"/>
      <c r="T2" s="466"/>
      <c r="U2" s="466"/>
      <c r="V2" s="466"/>
      <c r="W2" s="466"/>
      <c r="X2" s="466"/>
      <c r="Y2" s="466"/>
      <c r="Z2" s="466"/>
      <c r="AA2" s="466"/>
      <c r="AB2" s="466"/>
      <c r="AC2" s="466"/>
      <c r="AD2" s="466"/>
      <c r="AE2" s="466"/>
      <c r="AF2" s="466"/>
      <c r="AG2" s="466"/>
      <c r="AH2" s="466"/>
      <c r="AI2" s="466"/>
      <c r="AJ2" s="466"/>
    </row>
    <row r="3" spans="1:36" ht="21.75" customHeight="1">
      <c r="A3" s="2639" t="s">
        <v>3270</v>
      </c>
      <c r="B3" s="2639"/>
      <c r="C3" s="2639"/>
      <c r="D3" s="2639"/>
      <c r="E3" s="2639"/>
      <c r="F3" s="2639"/>
      <c r="G3" s="2639"/>
      <c r="H3" s="2639"/>
      <c r="I3" s="2639"/>
      <c r="J3" s="2639"/>
      <c r="K3" s="2639"/>
      <c r="L3" s="2639"/>
      <c r="M3" s="2639"/>
      <c r="N3" s="2639"/>
      <c r="O3" s="2639"/>
      <c r="P3" s="2639"/>
    </row>
    <row r="4" spans="1:36" ht="9.75" customHeight="1">
      <c r="A4" s="835"/>
      <c r="B4" s="544"/>
      <c r="C4" s="544"/>
      <c r="D4" s="544"/>
      <c r="E4" s="544"/>
      <c r="F4" s="544"/>
      <c r="G4" s="544"/>
      <c r="H4" s="544"/>
      <c r="I4" s="544"/>
      <c r="J4" s="544"/>
      <c r="K4" s="544"/>
      <c r="L4" s="544"/>
      <c r="M4" s="544"/>
      <c r="N4" s="544"/>
      <c r="O4" s="544"/>
      <c r="P4" s="544"/>
    </row>
    <row r="5" spans="1:36" ht="9.75" customHeight="1">
      <c r="A5" s="836"/>
      <c r="B5" s="521"/>
      <c r="C5" s="521"/>
      <c r="D5" s="521"/>
      <c r="E5" s="521"/>
      <c r="F5" s="521"/>
      <c r="G5" s="520"/>
      <c r="H5" s="521"/>
      <c r="I5" s="522"/>
      <c r="J5" s="744"/>
      <c r="K5" s="522"/>
      <c r="L5" s="744"/>
      <c r="M5" s="520"/>
      <c r="N5" s="521"/>
      <c r="O5" s="520"/>
      <c r="P5" s="521"/>
    </row>
    <row r="6" spans="1:36" s="468" customFormat="1" ht="12" customHeight="1">
      <c r="A6" s="2640" t="s">
        <v>182</v>
      </c>
      <c r="B6" s="2641" t="s">
        <v>2485</v>
      </c>
      <c r="C6" s="2641"/>
      <c r="D6" s="2641"/>
      <c r="E6" s="2641"/>
      <c r="F6" s="2641" t="s">
        <v>2484</v>
      </c>
      <c r="G6" s="2642" t="s">
        <v>3254</v>
      </c>
      <c r="H6" s="2643"/>
      <c r="I6" s="2642" t="s">
        <v>3255</v>
      </c>
      <c r="J6" s="2643"/>
      <c r="K6" s="2642" t="s">
        <v>2486</v>
      </c>
      <c r="L6" s="2643"/>
      <c r="M6" s="2642" t="s">
        <v>3256</v>
      </c>
      <c r="N6" s="2643"/>
      <c r="O6" s="2641" t="s">
        <v>2483</v>
      </c>
      <c r="P6" s="2641"/>
      <c r="Q6" s="967"/>
      <c r="R6" s="967"/>
      <c r="S6" s="967"/>
      <c r="T6" s="967"/>
      <c r="U6" s="467"/>
      <c r="V6" s="467"/>
      <c r="W6" s="467"/>
      <c r="X6" s="467"/>
      <c r="Y6" s="467"/>
      <c r="Z6" s="467"/>
      <c r="AA6" s="467"/>
      <c r="AB6" s="467"/>
      <c r="AC6" s="467"/>
      <c r="AD6" s="467"/>
      <c r="AE6" s="467"/>
      <c r="AF6" s="467"/>
      <c r="AG6" s="467"/>
      <c r="AH6" s="467"/>
      <c r="AI6" s="467"/>
      <c r="AJ6" s="467"/>
    </row>
    <row r="7" spans="1:36" s="468" customFormat="1" ht="12" customHeight="1">
      <c r="A7" s="2640"/>
      <c r="B7" s="2641"/>
      <c r="C7" s="2641"/>
      <c r="D7" s="2641"/>
      <c r="E7" s="2641"/>
      <c r="F7" s="2641"/>
      <c r="G7" s="2641" t="s">
        <v>3257</v>
      </c>
      <c r="H7" s="2641"/>
      <c r="I7" s="2641" t="s">
        <v>3257</v>
      </c>
      <c r="J7" s="2641"/>
      <c r="K7" s="2641" t="s">
        <v>3258</v>
      </c>
      <c r="L7" s="2641"/>
      <c r="M7" s="2641" t="s">
        <v>3258</v>
      </c>
      <c r="N7" s="2641"/>
      <c r="O7" s="2641"/>
      <c r="P7" s="2641"/>
      <c r="Q7" s="967"/>
      <c r="R7" s="967"/>
      <c r="S7" s="967"/>
      <c r="T7" s="967"/>
      <c r="U7" s="467"/>
      <c r="V7" s="467"/>
      <c r="W7" s="467"/>
      <c r="X7" s="467"/>
      <c r="Y7" s="467"/>
      <c r="Z7" s="467"/>
      <c r="AA7" s="467"/>
      <c r="AB7" s="467"/>
      <c r="AC7" s="467"/>
      <c r="AD7" s="467"/>
      <c r="AE7" s="467"/>
      <c r="AF7" s="467"/>
      <c r="AG7" s="467"/>
      <c r="AH7" s="467"/>
      <c r="AI7" s="467"/>
      <c r="AJ7" s="467"/>
    </row>
    <row r="8" spans="1:36" s="468" customFormat="1" ht="12" customHeight="1">
      <c r="A8" s="2640"/>
      <c r="B8" s="2630" t="s">
        <v>2620</v>
      </c>
      <c r="C8" s="2630" t="s">
        <v>2621</v>
      </c>
      <c r="D8" s="2630" t="s">
        <v>2622</v>
      </c>
      <c r="E8" s="2630" t="s">
        <v>2623</v>
      </c>
      <c r="F8" s="2630" t="s">
        <v>3927</v>
      </c>
      <c r="G8" s="2630" t="s">
        <v>1005</v>
      </c>
      <c r="H8" s="2630" t="s">
        <v>3928</v>
      </c>
      <c r="I8" s="2630" t="s">
        <v>1005</v>
      </c>
      <c r="J8" s="2630" t="s">
        <v>3928</v>
      </c>
      <c r="K8" s="2630" t="s">
        <v>2625</v>
      </c>
      <c r="L8" s="2630" t="s">
        <v>3928</v>
      </c>
      <c r="M8" s="2630" t="s">
        <v>2624</v>
      </c>
      <c r="N8" s="2630" t="s">
        <v>3928</v>
      </c>
      <c r="O8" s="2637" t="s">
        <v>2619</v>
      </c>
      <c r="P8" s="2630" t="s">
        <v>3928</v>
      </c>
      <c r="Q8" s="967"/>
      <c r="R8" s="967"/>
      <c r="S8" s="967"/>
      <c r="T8" s="967"/>
      <c r="U8" s="467"/>
      <c r="V8" s="467"/>
      <c r="W8" s="467"/>
      <c r="X8" s="467"/>
      <c r="Y8" s="467"/>
      <c r="Z8" s="467"/>
      <c r="AA8" s="467"/>
      <c r="AB8" s="467"/>
      <c r="AC8" s="467"/>
      <c r="AD8" s="467"/>
      <c r="AE8" s="467"/>
      <c r="AF8" s="467"/>
      <c r="AG8" s="467"/>
      <c r="AH8" s="467"/>
      <c r="AI8" s="467"/>
      <c r="AJ8" s="467"/>
    </row>
    <row r="9" spans="1:36" s="468" customFormat="1" ht="31.5" customHeight="1">
      <c r="A9" s="2640"/>
      <c r="B9" s="2630"/>
      <c r="C9" s="2630"/>
      <c r="D9" s="2630"/>
      <c r="E9" s="2630"/>
      <c r="F9" s="2630"/>
      <c r="G9" s="2630"/>
      <c r="H9" s="2630"/>
      <c r="I9" s="2630"/>
      <c r="J9" s="2630"/>
      <c r="K9" s="2630"/>
      <c r="L9" s="2630"/>
      <c r="M9" s="2630"/>
      <c r="N9" s="2630"/>
      <c r="O9" s="2637"/>
      <c r="P9" s="2630"/>
      <c r="Q9" s="967"/>
      <c r="R9" s="967"/>
      <c r="S9" s="967"/>
      <c r="T9" s="967"/>
      <c r="U9" s="467"/>
      <c r="V9" s="467"/>
      <c r="W9" s="467"/>
      <c r="X9" s="467"/>
      <c r="Y9" s="467"/>
      <c r="Z9" s="467"/>
      <c r="AA9" s="467"/>
      <c r="AB9" s="467"/>
      <c r="AC9" s="467"/>
      <c r="AD9" s="467"/>
      <c r="AE9" s="467"/>
      <c r="AF9" s="467"/>
      <c r="AG9" s="467"/>
      <c r="AH9" s="467"/>
      <c r="AI9" s="467"/>
      <c r="AJ9" s="467"/>
    </row>
    <row r="10" spans="1:36" s="470" customFormat="1" ht="12" customHeight="1">
      <c r="A10" s="2631" t="s">
        <v>289</v>
      </c>
      <c r="B10" s="2629" t="s">
        <v>2489</v>
      </c>
      <c r="C10" s="2629"/>
      <c r="D10" s="2629"/>
      <c r="E10" s="2629"/>
      <c r="F10" s="2629"/>
      <c r="G10" s="2634" t="s">
        <v>3259</v>
      </c>
      <c r="H10" s="2634"/>
      <c r="I10" s="2635" t="s">
        <v>3260</v>
      </c>
      <c r="J10" s="2636"/>
      <c r="K10" s="2635" t="s">
        <v>3261</v>
      </c>
      <c r="L10" s="2636"/>
      <c r="M10" s="2635" t="s">
        <v>3262</v>
      </c>
      <c r="N10" s="2636"/>
      <c r="O10" s="2629" t="s">
        <v>2487</v>
      </c>
      <c r="P10" s="2629" t="s">
        <v>2488</v>
      </c>
      <c r="Q10" s="967"/>
      <c r="R10" s="967"/>
      <c r="S10" s="967"/>
      <c r="T10" s="967"/>
      <c r="U10" s="469"/>
      <c r="V10" s="469"/>
      <c r="W10" s="469"/>
      <c r="X10" s="469"/>
      <c r="Y10" s="469"/>
      <c r="Z10" s="469"/>
      <c r="AA10" s="469"/>
      <c r="AB10" s="469"/>
      <c r="AC10" s="469"/>
      <c r="AD10" s="469"/>
      <c r="AE10" s="469"/>
      <c r="AF10" s="469"/>
      <c r="AG10" s="469"/>
      <c r="AH10" s="469"/>
      <c r="AI10" s="469"/>
      <c r="AJ10" s="469"/>
    </row>
    <row r="11" spans="1:36" s="470" customFormat="1" ht="12" customHeight="1">
      <c r="A11" s="2632"/>
      <c r="B11" s="2629"/>
      <c r="C11" s="2629"/>
      <c r="D11" s="2629"/>
      <c r="E11" s="2629"/>
      <c r="F11" s="2629"/>
      <c r="G11" s="2629" t="s">
        <v>3263</v>
      </c>
      <c r="H11" s="2629" t="s">
        <v>2490</v>
      </c>
      <c r="I11" s="2629" t="s">
        <v>3263</v>
      </c>
      <c r="J11" s="2629" t="s">
        <v>2490</v>
      </c>
      <c r="K11" s="2629" t="s">
        <v>2800</v>
      </c>
      <c r="L11" s="2629" t="s">
        <v>2490</v>
      </c>
      <c r="M11" s="2629" t="s">
        <v>2800</v>
      </c>
      <c r="N11" s="2629" t="s">
        <v>2490</v>
      </c>
      <c r="O11" s="2629"/>
      <c r="P11" s="2629"/>
      <c r="Q11" s="967"/>
      <c r="R11" s="967"/>
      <c r="S11" s="967"/>
      <c r="T11" s="967"/>
      <c r="U11" s="469"/>
      <c r="V11" s="469"/>
      <c r="W11" s="469"/>
      <c r="X11" s="469"/>
      <c r="Y11" s="469"/>
      <c r="Z11" s="469"/>
      <c r="AA11" s="469"/>
      <c r="AB11" s="469"/>
      <c r="AC11" s="469"/>
      <c r="AD11" s="469"/>
      <c r="AE11" s="469"/>
      <c r="AF11" s="469"/>
      <c r="AG11" s="469"/>
      <c r="AH11" s="469"/>
      <c r="AI11" s="469"/>
      <c r="AJ11" s="469"/>
    </row>
    <row r="12" spans="1:36" s="470" customFormat="1" ht="12" customHeight="1">
      <c r="A12" s="2632"/>
      <c r="B12" s="2627" t="s">
        <v>2826</v>
      </c>
      <c r="C12" s="2627" t="s">
        <v>3264</v>
      </c>
      <c r="D12" s="2627" t="s">
        <v>3265</v>
      </c>
      <c r="E12" s="2627" t="s">
        <v>3266</v>
      </c>
      <c r="F12" s="2627" t="s">
        <v>3929</v>
      </c>
      <c r="G12" s="2627" t="s">
        <v>2825</v>
      </c>
      <c r="H12" s="2627" t="s">
        <v>3929</v>
      </c>
      <c r="I12" s="2627" t="s">
        <v>2825</v>
      </c>
      <c r="J12" s="2627" t="s">
        <v>3929</v>
      </c>
      <c r="K12" s="2627" t="s">
        <v>2802</v>
      </c>
      <c r="L12" s="2627" t="s">
        <v>3929</v>
      </c>
      <c r="M12" s="2627" t="s">
        <v>2801</v>
      </c>
      <c r="N12" s="2627" t="s">
        <v>3929</v>
      </c>
      <c r="O12" s="2627" t="s">
        <v>2825</v>
      </c>
      <c r="P12" s="2627" t="s">
        <v>3929</v>
      </c>
      <c r="Q12" s="967"/>
      <c r="R12" s="967"/>
      <c r="S12" s="967"/>
      <c r="T12" s="967"/>
      <c r="U12" s="469"/>
      <c r="V12" s="469"/>
      <c r="W12" s="469"/>
      <c r="X12" s="469"/>
      <c r="Y12" s="469"/>
      <c r="Z12" s="469"/>
      <c r="AA12" s="469"/>
      <c r="AB12" s="469"/>
      <c r="AC12" s="469"/>
      <c r="AD12" s="469"/>
      <c r="AE12" s="469"/>
      <c r="AF12" s="469"/>
      <c r="AG12" s="469"/>
      <c r="AH12" s="469"/>
      <c r="AI12" s="469"/>
      <c r="AJ12" s="469"/>
    </row>
    <row r="13" spans="1:36" s="470" customFormat="1" ht="12" customHeight="1">
      <c r="A13" s="2633"/>
      <c r="B13" s="2627"/>
      <c r="C13" s="2627"/>
      <c r="D13" s="2627"/>
      <c r="E13" s="2627"/>
      <c r="F13" s="2627"/>
      <c r="G13" s="2627"/>
      <c r="H13" s="2627"/>
      <c r="I13" s="2627"/>
      <c r="J13" s="2627"/>
      <c r="K13" s="2627"/>
      <c r="L13" s="2627"/>
      <c r="M13" s="2627"/>
      <c r="N13" s="2627"/>
      <c r="O13" s="2627"/>
      <c r="P13" s="2627"/>
      <c r="Q13" s="967"/>
      <c r="R13" s="967"/>
      <c r="S13" s="967"/>
      <c r="T13" s="967"/>
      <c r="U13" s="469"/>
      <c r="V13" s="469"/>
      <c r="W13" s="469"/>
      <c r="X13" s="469"/>
      <c r="Y13" s="469"/>
      <c r="Z13" s="469"/>
      <c r="AA13" s="469"/>
      <c r="AB13" s="469"/>
      <c r="AC13" s="469"/>
      <c r="AD13" s="469"/>
      <c r="AE13" s="469"/>
      <c r="AF13" s="469"/>
      <c r="AG13" s="469"/>
      <c r="AH13" s="469"/>
      <c r="AI13" s="469"/>
      <c r="AJ13" s="469"/>
    </row>
    <row r="14" spans="1:36" s="1253" customFormat="1" ht="12.75" hidden="1" customHeight="1">
      <c r="A14" s="1251">
        <v>1995</v>
      </c>
      <c r="B14" s="1252"/>
      <c r="C14" s="1252"/>
      <c r="D14" s="1252"/>
      <c r="E14" s="1252"/>
      <c r="F14" s="1252"/>
      <c r="G14" s="1252"/>
      <c r="H14" s="1252"/>
      <c r="I14" s="1252"/>
      <c r="J14" s="1252"/>
      <c r="K14" s="1252"/>
      <c r="L14" s="1252"/>
      <c r="M14" s="1252"/>
      <c r="N14" s="1252"/>
      <c r="O14" s="1252">
        <v>100</v>
      </c>
      <c r="P14" s="1252"/>
    </row>
    <row r="15" spans="1:36" s="1253" customFormat="1" ht="12.75" hidden="1" customHeight="1">
      <c r="A15" s="742">
        <v>1996</v>
      </c>
      <c r="B15" s="1254"/>
      <c r="C15" s="1254"/>
      <c r="D15" s="1254"/>
      <c r="E15" s="1254"/>
      <c r="F15" s="1254"/>
      <c r="G15" s="1254"/>
      <c r="H15" s="1254"/>
      <c r="I15" s="1254"/>
      <c r="J15" s="1254"/>
      <c r="K15" s="1254"/>
      <c r="L15" s="1254"/>
      <c r="M15" s="1254"/>
      <c r="N15" s="1254"/>
      <c r="O15" s="1254">
        <v>20</v>
      </c>
      <c r="P15" s="1254"/>
    </row>
    <row r="16" spans="1:36" s="1253" customFormat="1" ht="12.75" hidden="1" customHeight="1">
      <c r="A16" s="742">
        <v>1997</v>
      </c>
      <c r="B16" s="1254"/>
      <c r="C16" s="1254"/>
      <c r="D16" s="1254"/>
      <c r="E16" s="1254"/>
      <c r="F16" s="1254"/>
      <c r="G16" s="1254"/>
      <c r="H16" s="1254"/>
      <c r="I16" s="1254"/>
      <c r="J16" s="1254"/>
      <c r="K16" s="1254"/>
      <c r="L16" s="1254"/>
      <c r="M16" s="1254"/>
      <c r="N16" s="1254"/>
      <c r="O16" s="1254">
        <v>15</v>
      </c>
      <c r="P16" s="1254"/>
    </row>
    <row r="17" spans="1:16" s="1253" customFormat="1" ht="12.75" hidden="1" customHeight="1">
      <c r="A17" s="742">
        <v>1998</v>
      </c>
      <c r="B17" s="1254"/>
      <c r="C17" s="1254"/>
      <c r="D17" s="1254"/>
      <c r="E17" s="1254"/>
      <c r="F17" s="1254"/>
      <c r="G17" s="1254"/>
      <c r="H17" s="1254"/>
      <c r="I17" s="1254"/>
      <c r="J17" s="1254"/>
      <c r="K17" s="1254"/>
      <c r="L17" s="1254"/>
      <c r="M17" s="1254"/>
      <c r="N17" s="1254"/>
      <c r="O17" s="1254">
        <v>12</v>
      </c>
      <c r="P17" s="1254"/>
    </row>
    <row r="18" spans="1:16" s="1253" customFormat="1" ht="12.75" hidden="1" customHeight="1">
      <c r="A18" s="742">
        <v>1999</v>
      </c>
      <c r="B18" s="1254"/>
      <c r="C18" s="1254"/>
      <c r="D18" s="1254"/>
      <c r="E18" s="1254"/>
      <c r="F18" s="1254"/>
      <c r="G18" s="1254"/>
      <c r="H18" s="1254"/>
      <c r="I18" s="1254"/>
      <c r="J18" s="1254"/>
      <c r="K18" s="1254"/>
      <c r="L18" s="1254"/>
      <c r="M18" s="1254"/>
      <c r="N18" s="1254"/>
      <c r="O18" s="1254">
        <v>14</v>
      </c>
      <c r="P18" s="1254"/>
    </row>
    <row r="19" spans="1:16" s="1253" customFormat="1" ht="12.75" hidden="1" customHeight="1">
      <c r="A19" s="742">
        <v>2000</v>
      </c>
      <c r="B19" s="1254"/>
      <c r="C19" s="1254"/>
      <c r="D19" s="1254"/>
      <c r="E19" s="1254"/>
      <c r="F19" s="1254"/>
      <c r="G19" s="1254"/>
      <c r="H19" s="1254"/>
      <c r="I19" s="1254"/>
      <c r="J19" s="1254"/>
      <c r="K19" s="1254"/>
      <c r="L19" s="1254"/>
      <c r="M19" s="1254"/>
      <c r="N19" s="1254"/>
      <c r="O19" s="1254">
        <v>10</v>
      </c>
      <c r="P19" s="1254"/>
    </row>
    <row r="20" spans="1:16" s="1253" customFormat="1" ht="12.75" hidden="1" customHeight="1">
      <c r="A20" s="742">
        <v>2001</v>
      </c>
      <c r="B20" s="1254"/>
      <c r="C20" s="1254"/>
      <c r="D20" s="1254"/>
      <c r="E20" s="1254"/>
      <c r="F20" s="1254"/>
      <c r="G20" s="1254"/>
      <c r="H20" s="1254"/>
      <c r="I20" s="1254"/>
      <c r="J20" s="1254"/>
      <c r="K20" s="1254"/>
      <c r="L20" s="1254"/>
      <c r="M20" s="1254"/>
      <c r="N20" s="1254"/>
      <c r="O20" s="1254">
        <v>10</v>
      </c>
      <c r="P20" s="1254"/>
    </row>
    <row r="21" spans="1:16" s="1253" customFormat="1" ht="12.75" hidden="1" customHeight="1">
      <c r="A21" s="742">
        <v>2002</v>
      </c>
      <c r="B21" s="1254"/>
      <c r="C21" s="1254"/>
      <c r="D21" s="1254"/>
      <c r="E21" s="1254"/>
      <c r="F21" s="1254"/>
      <c r="G21" s="1254"/>
      <c r="H21" s="1254"/>
      <c r="I21" s="1254"/>
      <c r="J21" s="1254"/>
      <c r="K21" s="1254"/>
      <c r="L21" s="1254"/>
      <c r="M21" s="1254"/>
      <c r="N21" s="1254"/>
      <c r="O21" s="1254">
        <v>7</v>
      </c>
      <c r="P21" s="1254">
        <v>6.4989999999999988</v>
      </c>
    </row>
    <row r="22" spans="1:16" s="1253" customFormat="1" ht="12.75" hidden="1" customHeight="1">
      <c r="A22" s="742">
        <v>2003</v>
      </c>
      <c r="B22" s="1254"/>
      <c r="C22" s="1254"/>
      <c r="D22" s="1254"/>
      <c r="E22" s="1254"/>
      <c r="F22" s="1254"/>
      <c r="G22" s="1254"/>
      <c r="H22" s="1254"/>
      <c r="I22" s="1254"/>
      <c r="J22" s="1254"/>
      <c r="K22" s="1254"/>
      <c r="L22" s="1254"/>
      <c r="M22" s="1254"/>
      <c r="N22" s="1254"/>
      <c r="O22" s="1254">
        <v>7</v>
      </c>
      <c r="P22" s="1254">
        <v>47.3163776982</v>
      </c>
    </row>
    <row r="23" spans="1:16" s="1253" customFormat="1" ht="12.75" hidden="1" customHeight="1">
      <c r="A23" s="742">
        <v>2004</v>
      </c>
      <c r="B23" s="1254"/>
      <c r="C23" s="1254"/>
      <c r="D23" s="1254"/>
      <c r="E23" s="1254"/>
      <c r="F23" s="1254"/>
      <c r="G23" s="1254"/>
      <c r="H23" s="1254"/>
      <c r="I23" s="1254"/>
      <c r="J23" s="1254"/>
      <c r="K23" s="1254"/>
      <c r="L23" s="1254"/>
      <c r="M23" s="1254"/>
      <c r="N23" s="1254"/>
      <c r="O23" s="1254">
        <v>7</v>
      </c>
      <c r="P23" s="1254">
        <v>62.925204903999997</v>
      </c>
    </row>
    <row r="24" spans="1:16" s="1253" customFormat="1" ht="12.75" hidden="1" customHeight="1">
      <c r="A24" s="742">
        <v>2005</v>
      </c>
      <c r="B24" s="1254">
        <v>11.41</v>
      </c>
      <c r="C24" s="1254"/>
      <c r="D24" s="1254"/>
      <c r="E24" s="1254"/>
      <c r="F24" s="1254">
        <v>31.525399999999987</v>
      </c>
      <c r="G24" s="1254"/>
      <c r="H24" s="1254"/>
      <c r="I24" s="1254"/>
      <c r="J24" s="1254"/>
      <c r="K24" s="1254"/>
      <c r="L24" s="1254"/>
      <c r="M24" s="1254"/>
      <c r="N24" s="1254"/>
      <c r="O24" s="1254"/>
      <c r="P24" s="1254"/>
    </row>
    <row r="25" spans="1:16" s="1253" customFormat="1" ht="12.75" hidden="1" customHeight="1">
      <c r="A25" s="742" t="s">
        <v>18</v>
      </c>
      <c r="B25" s="1254"/>
      <c r="C25" s="1254"/>
      <c r="D25" s="1254"/>
      <c r="E25" s="1254"/>
      <c r="F25" s="1254"/>
      <c r="G25" s="1254">
        <v>4.18</v>
      </c>
      <c r="H25" s="1254">
        <v>1.2911999999999999</v>
      </c>
      <c r="I25" s="1254"/>
      <c r="J25" s="1254"/>
      <c r="K25" s="1254"/>
      <c r="L25" s="1254"/>
      <c r="M25" s="1254"/>
      <c r="N25" s="1254"/>
      <c r="O25" s="1254" t="s">
        <v>292</v>
      </c>
      <c r="P25" s="1254">
        <v>59.638204903999998</v>
      </c>
    </row>
    <row r="26" spans="1:16" s="1253" customFormat="1" ht="12.75" hidden="1" customHeight="1">
      <c r="A26" s="742" t="s">
        <v>19</v>
      </c>
      <c r="B26" s="1255"/>
      <c r="C26" s="1255"/>
      <c r="D26" s="1255"/>
      <c r="E26" s="1255"/>
      <c r="F26" s="1255"/>
      <c r="G26" s="1254">
        <v>4.18</v>
      </c>
      <c r="H26" s="1254">
        <v>0.70479999999999998</v>
      </c>
      <c r="I26" s="1254"/>
      <c r="J26" s="1254"/>
      <c r="K26" s="1254"/>
      <c r="L26" s="1254"/>
      <c r="M26" s="1254"/>
      <c r="N26" s="1254"/>
      <c r="O26" s="1254" t="s">
        <v>292</v>
      </c>
      <c r="P26" s="1254">
        <v>59.938166064000001</v>
      </c>
    </row>
    <row r="27" spans="1:16" s="1253" customFormat="1" ht="12.75" hidden="1" customHeight="1">
      <c r="A27" s="742" t="s">
        <v>20</v>
      </c>
      <c r="B27" s="1254"/>
      <c r="C27" s="1254"/>
      <c r="D27" s="1254"/>
      <c r="E27" s="1254"/>
      <c r="F27" s="1254"/>
      <c r="G27" s="1254">
        <v>4.18</v>
      </c>
      <c r="H27" s="1254">
        <v>3.0095999999999998</v>
      </c>
      <c r="I27" s="1254"/>
      <c r="J27" s="1254"/>
      <c r="K27" s="1254"/>
      <c r="L27" s="1254"/>
      <c r="M27" s="1254"/>
      <c r="N27" s="1254"/>
      <c r="O27" s="1254" t="s">
        <v>292</v>
      </c>
      <c r="P27" s="1254">
        <v>66.468166064000002</v>
      </c>
    </row>
    <row r="28" spans="1:16" s="1253" customFormat="1" ht="12.75" hidden="1" customHeight="1">
      <c r="A28" s="742" t="s">
        <v>21</v>
      </c>
      <c r="B28" s="1254"/>
      <c r="C28" s="1254"/>
      <c r="D28" s="1254"/>
      <c r="E28" s="1254"/>
      <c r="F28" s="1254"/>
      <c r="G28" s="1254">
        <v>4.18</v>
      </c>
      <c r="H28" s="1254">
        <v>1.9176</v>
      </c>
      <c r="I28" s="1254"/>
      <c r="J28" s="1254"/>
      <c r="K28" s="1254"/>
      <c r="L28" s="1254"/>
      <c r="M28" s="1254"/>
      <c r="N28" s="1254"/>
      <c r="O28" s="1254" t="s">
        <v>292</v>
      </c>
      <c r="P28" s="1254">
        <v>68.433166063999991</v>
      </c>
    </row>
    <row r="29" spans="1:16" s="1253" customFormat="1" ht="12.75" hidden="1" customHeight="1">
      <c r="A29" s="742" t="s">
        <v>22</v>
      </c>
      <c r="B29" s="1254"/>
      <c r="C29" s="1254"/>
      <c r="D29" s="1254"/>
      <c r="E29" s="1254"/>
      <c r="F29" s="1254"/>
      <c r="G29" s="1254">
        <v>4.18</v>
      </c>
      <c r="H29" s="1254">
        <v>0.40500000000000003</v>
      </c>
      <c r="I29" s="1254"/>
      <c r="J29" s="1254"/>
      <c r="K29" s="1254"/>
      <c r="L29" s="1254"/>
      <c r="M29" s="1254"/>
      <c r="N29" s="1254"/>
      <c r="O29" s="1254" t="s">
        <v>2626</v>
      </c>
      <c r="P29" s="1254">
        <v>67.379592055999993</v>
      </c>
    </row>
    <row r="30" spans="1:16" s="1253" customFormat="1" ht="12.75" hidden="1" customHeight="1">
      <c r="A30" s="742" t="s">
        <v>23</v>
      </c>
      <c r="B30" s="1254"/>
      <c r="C30" s="1254"/>
      <c r="D30" s="1254"/>
      <c r="E30" s="1254"/>
      <c r="F30" s="1254"/>
      <c r="G30" s="1254">
        <v>10.5</v>
      </c>
      <c r="H30" s="1254">
        <v>10.166399999999999</v>
      </c>
      <c r="I30" s="1254"/>
      <c r="J30" s="1254"/>
      <c r="K30" s="1254"/>
      <c r="L30" s="1254"/>
      <c r="M30" s="1254"/>
      <c r="N30" s="1254"/>
      <c r="O30" s="1254" t="s">
        <v>293</v>
      </c>
      <c r="P30" s="1254">
        <v>69.062677055999998</v>
      </c>
    </row>
    <row r="31" spans="1:16" s="1253" customFormat="1" ht="12.75" hidden="1" customHeight="1">
      <c r="A31" s="742" t="s">
        <v>24</v>
      </c>
      <c r="B31" s="1254"/>
      <c r="C31" s="1254"/>
      <c r="D31" s="1254"/>
      <c r="E31" s="1254"/>
      <c r="F31" s="1254"/>
      <c r="G31" s="1255">
        <v>9.6999999999999993</v>
      </c>
      <c r="H31" s="1254">
        <v>6.9771999999999998</v>
      </c>
      <c r="I31" s="1254"/>
      <c r="J31" s="1254"/>
      <c r="K31" s="1254"/>
      <c r="L31" s="1254"/>
      <c r="M31" s="1254"/>
      <c r="N31" s="1254"/>
      <c r="O31" s="1254" t="s">
        <v>293</v>
      </c>
      <c r="P31" s="1254">
        <v>72.826577055999991</v>
      </c>
    </row>
    <row r="32" spans="1:16" s="1253" customFormat="1" ht="12.75" hidden="1" customHeight="1">
      <c r="A32" s="742" t="s">
        <v>25</v>
      </c>
      <c r="B32" s="1254"/>
      <c r="C32" s="1254"/>
      <c r="D32" s="1254"/>
      <c r="E32" s="1254"/>
      <c r="F32" s="1254"/>
      <c r="G32" s="1254">
        <v>9.6999999999999993</v>
      </c>
      <c r="H32" s="1254">
        <v>11.7942</v>
      </c>
      <c r="I32" s="1254"/>
      <c r="J32" s="1254"/>
      <c r="K32" s="1254"/>
      <c r="L32" s="1254"/>
      <c r="M32" s="1254"/>
      <c r="N32" s="1254"/>
      <c r="O32" s="1254" t="s">
        <v>293</v>
      </c>
      <c r="P32" s="1254">
        <v>74.688377055999993</v>
      </c>
    </row>
    <row r="33" spans="1:16" s="1253" customFormat="1" ht="12.75" hidden="1" customHeight="1">
      <c r="A33" s="742" t="s">
        <v>26</v>
      </c>
      <c r="B33" s="1254"/>
      <c r="C33" s="1254"/>
      <c r="D33" s="1254"/>
      <c r="E33" s="1254"/>
      <c r="F33" s="1254"/>
      <c r="G33" s="1254">
        <v>9.5</v>
      </c>
      <c r="H33" s="1254">
        <v>15.056199999999997</v>
      </c>
      <c r="I33" s="1254"/>
      <c r="J33" s="1254"/>
      <c r="K33" s="1254"/>
      <c r="L33" s="1254"/>
      <c r="M33" s="1254"/>
      <c r="N33" s="1254"/>
      <c r="O33" s="1254" t="s">
        <v>293</v>
      </c>
      <c r="P33" s="1254">
        <v>74.789350406799997</v>
      </c>
    </row>
    <row r="34" spans="1:16" s="1253" customFormat="1" ht="12.75" hidden="1" customHeight="1">
      <c r="A34" s="742" t="s">
        <v>27</v>
      </c>
      <c r="B34" s="1254"/>
      <c r="C34" s="1254"/>
      <c r="D34" s="1254"/>
      <c r="E34" s="1254"/>
      <c r="F34" s="1254"/>
      <c r="G34" s="1254">
        <v>9.3000000000000007</v>
      </c>
      <c r="H34" s="1254">
        <v>18.270399999999995</v>
      </c>
      <c r="I34" s="1254"/>
      <c r="J34" s="1254"/>
      <c r="K34" s="1254"/>
      <c r="L34" s="1254"/>
      <c r="M34" s="1254"/>
      <c r="N34" s="1254"/>
      <c r="O34" s="1254" t="s">
        <v>291</v>
      </c>
      <c r="P34" s="1254">
        <v>74.079181251200012</v>
      </c>
    </row>
    <row r="35" spans="1:16" s="1253" customFormat="1" ht="12.75" hidden="1" customHeight="1">
      <c r="A35" s="742" t="s">
        <v>28</v>
      </c>
      <c r="B35" s="1254"/>
      <c r="C35" s="1254"/>
      <c r="D35" s="1254"/>
      <c r="E35" s="1254"/>
      <c r="F35" s="1254"/>
      <c r="G35" s="1254">
        <v>9.18</v>
      </c>
      <c r="H35" s="1254">
        <v>13.3058</v>
      </c>
      <c r="I35" s="1254"/>
      <c r="J35" s="1254"/>
      <c r="K35" s="1254"/>
      <c r="L35" s="1254"/>
      <c r="M35" s="1254"/>
      <c r="N35" s="1254"/>
      <c r="O35" s="1254" t="s">
        <v>291</v>
      </c>
      <c r="P35" s="1254">
        <v>72.873405055999996</v>
      </c>
    </row>
    <row r="36" spans="1:16" s="1253" customFormat="1" ht="12.75" hidden="1" customHeight="1">
      <c r="A36" s="742" t="s">
        <v>29</v>
      </c>
      <c r="B36" s="1254"/>
      <c r="C36" s="1254"/>
      <c r="D36" s="1254"/>
      <c r="E36" s="1254"/>
      <c r="F36" s="1254"/>
      <c r="G36" s="1254">
        <v>9.17</v>
      </c>
      <c r="H36" s="1254">
        <v>0.97799999999999998</v>
      </c>
      <c r="I36" s="1254"/>
      <c r="J36" s="1254"/>
      <c r="K36" s="1254"/>
      <c r="L36" s="1254"/>
      <c r="M36" s="1254"/>
      <c r="N36" s="1254"/>
      <c r="O36" s="1254" t="s">
        <v>291</v>
      </c>
      <c r="P36" s="1254">
        <v>72.195504455999995</v>
      </c>
    </row>
    <row r="37" spans="1:16" s="1253" customFormat="1" ht="12.75" hidden="1" customHeight="1">
      <c r="A37" s="742"/>
      <c r="B37" s="1254"/>
      <c r="C37" s="1254"/>
      <c r="D37" s="1254"/>
      <c r="E37" s="1254"/>
      <c r="F37" s="1254"/>
      <c r="G37" s="1254"/>
      <c r="H37" s="1254"/>
      <c r="I37" s="1254"/>
      <c r="J37" s="1254"/>
      <c r="K37" s="1254"/>
      <c r="L37" s="1254"/>
      <c r="M37" s="1254"/>
      <c r="N37" s="1254"/>
      <c r="O37" s="1254"/>
      <c r="P37" s="1254"/>
    </row>
    <row r="38" spans="1:16" s="1253" customFormat="1" ht="12.75" hidden="1" customHeight="1">
      <c r="A38" s="742">
        <v>2006</v>
      </c>
      <c r="B38" s="1254">
        <v>14.17</v>
      </c>
      <c r="C38" s="1254"/>
      <c r="D38" s="1254"/>
      <c r="E38" s="1254"/>
      <c r="F38" s="1254">
        <v>113.63639999999999</v>
      </c>
      <c r="G38" s="1254"/>
      <c r="H38" s="1254"/>
      <c r="I38" s="1254"/>
      <c r="J38" s="1254"/>
      <c r="K38" s="1254"/>
      <c r="L38" s="1254"/>
      <c r="M38" s="1254"/>
      <c r="N38" s="1254"/>
      <c r="O38" s="1254"/>
      <c r="P38" s="1254"/>
    </row>
    <row r="39" spans="1:16" s="1253" customFormat="1" ht="12.75" hidden="1" customHeight="1">
      <c r="A39" s="742" t="s">
        <v>18</v>
      </c>
      <c r="B39" s="1254"/>
      <c r="C39" s="1254"/>
      <c r="D39" s="1254"/>
      <c r="E39" s="1254"/>
      <c r="F39" s="1254"/>
      <c r="G39" s="1254">
        <v>7</v>
      </c>
      <c r="H39" s="1254">
        <v>0.19400000000000001</v>
      </c>
      <c r="I39" s="1254"/>
      <c r="J39" s="1254"/>
      <c r="K39" s="1254">
        <v>13</v>
      </c>
      <c r="L39" s="1254">
        <v>2.0339999999999998</v>
      </c>
      <c r="M39" s="1254"/>
      <c r="N39" s="1254"/>
      <c r="O39" s="1254" t="s">
        <v>291</v>
      </c>
      <c r="P39" s="1254">
        <v>73.966476</v>
      </c>
    </row>
    <row r="40" spans="1:16" s="1253" customFormat="1" ht="12.75" hidden="1" customHeight="1">
      <c r="A40" s="742" t="s">
        <v>19</v>
      </c>
      <c r="B40" s="1254"/>
      <c r="C40" s="1254"/>
      <c r="D40" s="1254"/>
      <c r="E40" s="1254"/>
      <c r="F40" s="1254"/>
      <c r="G40" s="1254"/>
      <c r="H40" s="1254"/>
      <c r="I40" s="1254"/>
      <c r="J40" s="1254"/>
      <c r="K40" s="1254">
        <v>13</v>
      </c>
      <c r="L40" s="1254">
        <v>5.8540000000000001</v>
      </c>
      <c r="M40" s="1254"/>
      <c r="N40" s="1254"/>
      <c r="O40" s="1254" t="s">
        <v>291</v>
      </c>
      <c r="P40" s="1254">
        <v>75.980560999999994</v>
      </c>
    </row>
    <row r="41" spans="1:16" s="1253" customFormat="1" ht="12.75" hidden="1" customHeight="1">
      <c r="A41" s="742" t="s">
        <v>20</v>
      </c>
      <c r="B41" s="1254"/>
      <c r="C41" s="1254"/>
      <c r="D41" s="1254"/>
      <c r="E41" s="1254"/>
      <c r="F41" s="1254"/>
      <c r="G41" s="1254">
        <v>4</v>
      </c>
      <c r="H41" s="1254">
        <v>0.30099999999999999</v>
      </c>
      <c r="I41" s="1254"/>
      <c r="J41" s="1254"/>
      <c r="K41" s="1254">
        <v>13</v>
      </c>
      <c r="L41" s="1254">
        <v>5.9005999999999998</v>
      </c>
      <c r="M41" s="1254"/>
      <c r="N41" s="1254"/>
      <c r="O41" s="1254" t="s">
        <v>291</v>
      </c>
      <c r="P41" s="1254">
        <v>77.579561999999996</v>
      </c>
    </row>
    <row r="42" spans="1:16" s="1253" customFormat="1" ht="12.75" hidden="1" customHeight="1">
      <c r="A42" s="742" t="s">
        <v>21</v>
      </c>
      <c r="B42" s="1254"/>
      <c r="C42" s="1254"/>
      <c r="D42" s="1254"/>
      <c r="E42" s="1254"/>
      <c r="F42" s="1254"/>
      <c r="G42" s="1254">
        <v>4</v>
      </c>
      <c r="H42" s="1254">
        <v>2.306</v>
      </c>
      <c r="I42" s="1254"/>
      <c r="J42" s="1254"/>
      <c r="K42" s="1254"/>
      <c r="L42" s="1254"/>
      <c r="M42" s="1254"/>
      <c r="N42" s="1254"/>
      <c r="O42" s="1254" t="s">
        <v>291</v>
      </c>
      <c r="P42" s="1254">
        <v>76.391778000000002</v>
      </c>
    </row>
    <row r="43" spans="1:16" s="1253" customFormat="1" ht="12.75" hidden="1" customHeight="1">
      <c r="A43" s="742" t="s">
        <v>22</v>
      </c>
      <c r="B43" s="1254"/>
      <c r="C43" s="1254"/>
      <c r="D43" s="1254"/>
      <c r="E43" s="1254"/>
      <c r="F43" s="1254"/>
      <c r="G43" s="1254">
        <v>4</v>
      </c>
      <c r="H43" s="1254">
        <v>0.3</v>
      </c>
      <c r="I43" s="1254"/>
      <c r="J43" s="1254"/>
      <c r="K43" s="1254"/>
      <c r="L43" s="1254"/>
      <c r="M43" s="1254"/>
      <c r="N43" s="1254"/>
      <c r="O43" s="1254" t="s">
        <v>291</v>
      </c>
      <c r="P43" s="1254">
        <v>80.27</v>
      </c>
    </row>
    <row r="44" spans="1:16" s="1253" customFormat="1" ht="12.75" hidden="1" customHeight="1">
      <c r="A44" s="742" t="s">
        <v>23</v>
      </c>
      <c r="B44" s="1254"/>
      <c r="C44" s="1254"/>
      <c r="D44" s="1254"/>
      <c r="E44" s="1254"/>
      <c r="F44" s="1254"/>
      <c r="G44" s="1254">
        <v>8</v>
      </c>
      <c r="H44" s="1254">
        <v>13.61</v>
      </c>
      <c r="I44" s="1254"/>
      <c r="J44" s="1254"/>
      <c r="K44" s="1254">
        <v>13</v>
      </c>
      <c r="L44" s="1254">
        <v>0.80300000000000005</v>
      </c>
      <c r="M44" s="1254"/>
      <c r="N44" s="1254"/>
      <c r="O44" s="1254" t="s">
        <v>291</v>
      </c>
      <c r="P44" s="1254">
        <v>81.23</v>
      </c>
    </row>
    <row r="45" spans="1:16" s="1253" customFormat="1" ht="12.75" hidden="1" customHeight="1">
      <c r="A45" s="742" t="s">
        <v>24</v>
      </c>
      <c r="B45" s="1254"/>
      <c r="C45" s="1254"/>
      <c r="D45" s="1254"/>
      <c r="E45" s="1254"/>
      <c r="F45" s="1254"/>
      <c r="G45" s="1254">
        <v>8</v>
      </c>
      <c r="H45" s="1254">
        <v>3.7303999999999999</v>
      </c>
      <c r="I45" s="1254"/>
      <c r="J45" s="1254"/>
      <c r="K45" s="1254"/>
      <c r="L45" s="1254"/>
      <c r="M45" s="1254"/>
      <c r="N45" s="1254"/>
      <c r="O45" s="1254" t="s">
        <v>2627</v>
      </c>
      <c r="P45" s="1254">
        <v>87.028000000000006</v>
      </c>
    </row>
    <row r="46" spans="1:16" s="1253" customFormat="1" ht="12.75" hidden="1" customHeight="1">
      <c r="A46" s="742" t="s">
        <v>25</v>
      </c>
      <c r="B46" s="1254"/>
      <c r="C46" s="1254"/>
      <c r="D46" s="1254"/>
      <c r="E46" s="1254"/>
      <c r="F46" s="1254"/>
      <c r="G46" s="1254">
        <v>8</v>
      </c>
      <c r="H46" s="1254"/>
      <c r="I46" s="1254"/>
      <c r="J46" s="1254"/>
      <c r="K46" s="1254">
        <v>16</v>
      </c>
      <c r="L46" s="1254">
        <v>2.3222</v>
      </c>
      <c r="M46" s="1254"/>
      <c r="N46" s="1254"/>
      <c r="O46" s="1254" t="s">
        <v>2627</v>
      </c>
      <c r="P46" s="1254">
        <v>84.776977000000002</v>
      </c>
    </row>
    <row r="47" spans="1:16" s="1253" customFormat="1" ht="12.75" hidden="1" customHeight="1">
      <c r="A47" s="742" t="s">
        <v>26</v>
      </c>
      <c r="B47" s="1254"/>
      <c r="C47" s="1254"/>
      <c r="D47" s="1254"/>
      <c r="E47" s="1254"/>
      <c r="F47" s="1254"/>
      <c r="G47" s="1254">
        <v>8</v>
      </c>
      <c r="H47" s="1254"/>
      <c r="I47" s="1254"/>
      <c r="J47" s="1254"/>
      <c r="K47" s="1254">
        <v>16</v>
      </c>
      <c r="L47" s="1254">
        <v>13.5314</v>
      </c>
      <c r="M47" s="1254"/>
      <c r="N47" s="1254"/>
      <c r="O47" s="1254" t="s">
        <v>2627</v>
      </c>
      <c r="P47" s="1254">
        <v>86.276977000000002</v>
      </c>
    </row>
    <row r="48" spans="1:16" s="1253" customFormat="1" ht="12.75" hidden="1" customHeight="1">
      <c r="A48" s="742" t="s">
        <v>27</v>
      </c>
      <c r="B48" s="1254"/>
      <c r="C48" s="1254"/>
      <c r="D48" s="1254"/>
      <c r="E48" s="1254"/>
      <c r="F48" s="1254"/>
      <c r="G48" s="1254">
        <v>8</v>
      </c>
      <c r="H48" s="1254">
        <v>1.2134</v>
      </c>
      <c r="I48" s="1254"/>
      <c r="J48" s="1254"/>
      <c r="K48" s="1254">
        <v>16</v>
      </c>
      <c r="L48" s="1254"/>
      <c r="M48" s="1254"/>
      <c r="N48" s="1254"/>
      <c r="O48" s="1254" t="s">
        <v>2627</v>
      </c>
      <c r="P48" s="1254">
        <v>87.225476999999998</v>
      </c>
    </row>
    <row r="49" spans="1:16" s="1253" customFormat="1" ht="12.75" hidden="1" customHeight="1">
      <c r="A49" s="742" t="s">
        <v>28</v>
      </c>
      <c r="B49" s="1254"/>
      <c r="C49" s="1254"/>
      <c r="D49" s="1254"/>
      <c r="E49" s="1254"/>
      <c r="F49" s="1254"/>
      <c r="G49" s="1254">
        <v>8</v>
      </c>
      <c r="H49" s="1254"/>
      <c r="I49" s="1254"/>
      <c r="J49" s="1254"/>
      <c r="K49" s="1254">
        <v>16</v>
      </c>
      <c r="L49" s="1254"/>
      <c r="M49" s="1254"/>
      <c r="N49" s="1254"/>
      <c r="O49" s="1254" t="s">
        <v>2627</v>
      </c>
      <c r="P49" s="1254">
        <v>91.025999999999996</v>
      </c>
    </row>
    <row r="50" spans="1:16" s="1253" customFormat="1" ht="12.75" hidden="1" customHeight="1">
      <c r="A50" s="742" t="s">
        <v>29</v>
      </c>
      <c r="B50" s="1254"/>
      <c r="C50" s="1254"/>
      <c r="D50" s="1254"/>
      <c r="E50" s="1254"/>
      <c r="F50" s="1254"/>
      <c r="G50" s="1254">
        <v>8</v>
      </c>
      <c r="H50" s="1254"/>
      <c r="I50" s="1256"/>
      <c r="J50" s="1254"/>
      <c r="K50" s="1256">
        <v>16</v>
      </c>
      <c r="L50" s="1254">
        <v>9.0250000000000004</v>
      </c>
      <c r="M50" s="1256"/>
      <c r="N50" s="1254"/>
      <c r="O50" s="1254" t="s">
        <v>2627</v>
      </c>
      <c r="P50" s="1254">
        <v>92.86</v>
      </c>
    </row>
    <row r="51" spans="1:16" s="1253" customFormat="1" ht="12.75" hidden="1" customHeight="1">
      <c r="A51" s="1257"/>
      <c r="B51" s="1254"/>
      <c r="C51" s="1254"/>
      <c r="D51" s="1254"/>
      <c r="E51" s="1254"/>
      <c r="F51" s="1254"/>
      <c r="G51" s="1254"/>
      <c r="H51" s="1254"/>
      <c r="I51" s="1256"/>
      <c r="J51" s="1254"/>
      <c r="K51" s="1256"/>
      <c r="L51" s="1254"/>
      <c r="M51" s="1256"/>
      <c r="N51" s="1254"/>
      <c r="O51" s="1254"/>
      <c r="P51" s="1254"/>
    </row>
    <row r="52" spans="1:16" s="1253" customFormat="1" ht="12.75" hidden="1" customHeight="1">
      <c r="A52" s="1257">
        <v>2007</v>
      </c>
      <c r="B52" s="1254">
        <v>10.56</v>
      </c>
      <c r="C52" s="1254"/>
      <c r="D52" s="1254"/>
      <c r="E52" s="1254"/>
      <c r="F52" s="1254">
        <v>253.16360000000014</v>
      </c>
      <c r="G52" s="1254"/>
      <c r="H52" s="1254"/>
      <c r="I52" s="1256"/>
      <c r="J52" s="1254"/>
      <c r="K52" s="1256"/>
      <c r="L52" s="1254"/>
      <c r="M52" s="1256"/>
      <c r="N52" s="1254"/>
      <c r="O52" s="1254"/>
      <c r="P52" s="1254"/>
    </row>
    <row r="53" spans="1:16" s="1253" customFormat="1" ht="12.75" hidden="1" customHeight="1">
      <c r="A53" s="742" t="s">
        <v>18</v>
      </c>
      <c r="B53" s="1254">
        <v>11.02</v>
      </c>
      <c r="C53" s="1254"/>
      <c r="D53" s="1254"/>
      <c r="E53" s="1254"/>
      <c r="F53" s="1254">
        <v>106.9374</v>
      </c>
      <c r="G53" s="1254">
        <v>8</v>
      </c>
      <c r="H53" s="1254">
        <v>3.0131999999999999</v>
      </c>
      <c r="I53" s="1256"/>
      <c r="J53" s="1254"/>
      <c r="K53" s="1256">
        <v>16</v>
      </c>
      <c r="L53" s="1254">
        <v>10.247400000000001</v>
      </c>
      <c r="M53" s="1256"/>
      <c r="N53" s="1254"/>
      <c r="O53" s="1254">
        <v>9.5</v>
      </c>
      <c r="P53" s="1254">
        <v>94.697299999999998</v>
      </c>
    </row>
    <row r="54" spans="1:16" s="1253" customFormat="1" ht="12.75" hidden="1" customHeight="1">
      <c r="A54" s="742" t="s">
        <v>19</v>
      </c>
      <c r="B54" s="1254">
        <v>10.63</v>
      </c>
      <c r="C54" s="1254"/>
      <c r="D54" s="1254"/>
      <c r="E54" s="1254"/>
      <c r="F54" s="1254">
        <v>88.1858</v>
      </c>
      <c r="G54" s="1254">
        <v>8</v>
      </c>
      <c r="H54" s="1254"/>
      <c r="I54" s="1256"/>
      <c r="J54" s="1254"/>
      <c r="K54" s="1256">
        <v>16</v>
      </c>
      <c r="L54" s="1254">
        <v>16.167200000000001</v>
      </c>
      <c r="M54" s="1256"/>
      <c r="N54" s="1254"/>
      <c r="O54" s="1254" t="s">
        <v>2627</v>
      </c>
      <c r="P54" s="1254">
        <v>89.359256999999999</v>
      </c>
    </row>
    <row r="55" spans="1:16" s="1253" customFormat="1" ht="12.75" hidden="1" customHeight="1">
      <c r="A55" s="1257" t="s">
        <v>20</v>
      </c>
      <c r="B55" s="1254">
        <v>10.5</v>
      </c>
      <c r="C55" s="1254"/>
      <c r="D55" s="1254"/>
      <c r="E55" s="1254"/>
      <c r="F55" s="1254">
        <v>85.466800000000006</v>
      </c>
      <c r="G55" s="1254">
        <v>8</v>
      </c>
      <c r="H55" s="1254"/>
      <c r="I55" s="1256"/>
      <c r="J55" s="1254"/>
      <c r="K55" s="1256">
        <v>16</v>
      </c>
      <c r="L55" s="1254">
        <v>11.039400000000001</v>
      </c>
      <c r="M55" s="1256"/>
      <c r="N55" s="1254"/>
      <c r="O55" s="1254" t="s">
        <v>2627</v>
      </c>
      <c r="P55" s="1254">
        <v>96.775000000000006</v>
      </c>
    </row>
    <row r="56" spans="1:16" s="1253" customFormat="1" ht="12.75" hidden="1" customHeight="1">
      <c r="A56" s="1257" t="s">
        <v>21</v>
      </c>
      <c r="B56" s="1254">
        <v>11.02</v>
      </c>
      <c r="C56" s="1254"/>
      <c r="D56" s="1254"/>
      <c r="E56" s="1254"/>
      <c r="F56" s="1254">
        <v>103.29060000000001</v>
      </c>
      <c r="G56" s="1254"/>
      <c r="H56" s="1254"/>
      <c r="I56" s="1256"/>
      <c r="J56" s="1254"/>
      <c r="K56" s="1256">
        <v>19</v>
      </c>
      <c r="L56" s="1254"/>
      <c r="M56" s="1256"/>
      <c r="N56" s="1254"/>
      <c r="O56" s="1254" t="s">
        <v>29</v>
      </c>
      <c r="P56" s="1254">
        <v>99.6</v>
      </c>
    </row>
    <row r="57" spans="1:16" s="1253" customFormat="1" ht="12.75" hidden="1" customHeight="1">
      <c r="A57" s="1257" t="s">
        <v>22</v>
      </c>
      <c r="B57" s="1254">
        <v>11.41</v>
      </c>
      <c r="C57" s="1254"/>
      <c r="D57" s="1254"/>
      <c r="E57" s="1254"/>
      <c r="F57" s="1254">
        <v>154.28440000000006</v>
      </c>
      <c r="G57" s="1254"/>
      <c r="H57" s="1254"/>
      <c r="I57" s="1256"/>
      <c r="J57" s="1254"/>
      <c r="K57" s="1256">
        <v>19</v>
      </c>
      <c r="L57" s="1254"/>
      <c r="M57" s="1256"/>
      <c r="N57" s="1254"/>
      <c r="O57" s="1254" t="s">
        <v>29</v>
      </c>
      <c r="P57" s="1254">
        <v>103.13</v>
      </c>
    </row>
    <row r="58" spans="1:16" s="1253" customFormat="1" ht="12.75" hidden="1" customHeight="1">
      <c r="A58" s="1257" t="s">
        <v>23</v>
      </c>
      <c r="B58" s="1254">
        <v>11.68</v>
      </c>
      <c r="C58" s="1254"/>
      <c r="D58" s="1254"/>
      <c r="E58" s="1254"/>
      <c r="F58" s="1254">
        <v>125.74420000000008</v>
      </c>
      <c r="G58" s="1254"/>
      <c r="H58" s="1254"/>
      <c r="I58" s="1256"/>
      <c r="J58" s="1254"/>
      <c r="K58" s="1256">
        <v>19</v>
      </c>
      <c r="L58" s="1254"/>
      <c r="M58" s="1256"/>
      <c r="N58" s="1254"/>
      <c r="O58" s="1254" t="s">
        <v>2628</v>
      </c>
      <c r="P58" s="1254">
        <v>100.58199999999999</v>
      </c>
    </row>
    <row r="59" spans="1:16" s="1253" customFormat="1" ht="12.75" hidden="1" customHeight="1">
      <c r="A59" s="1257" t="s">
        <v>24</v>
      </c>
      <c r="B59" s="1254">
        <v>11.15</v>
      </c>
      <c r="C59" s="1254"/>
      <c r="D59" s="1254"/>
      <c r="E59" s="1254"/>
      <c r="F59" s="1254">
        <v>180.47440000000009</v>
      </c>
      <c r="G59" s="1254"/>
      <c r="H59" s="1254"/>
      <c r="I59" s="1256"/>
      <c r="J59" s="1254"/>
      <c r="K59" s="1256">
        <v>19</v>
      </c>
      <c r="L59" s="1254"/>
      <c r="M59" s="1256"/>
      <c r="N59" s="1254"/>
      <c r="O59" s="1254" t="s">
        <v>2628</v>
      </c>
      <c r="P59" s="1254">
        <v>90.66</v>
      </c>
    </row>
    <row r="60" spans="1:16" s="1253" customFormat="1" ht="12.75" hidden="1" customHeight="1">
      <c r="A60" s="1257" t="s">
        <v>25</v>
      </c>
      <c r="B60" s="1254">
        <v>6.33</v>
      </c>
      <c r="C60" s="1254"/>
      <c r="D60" s="1254"/>
      <c r="E60" s="1254"/>
      <c r="F60" s="1254">
        <v>162.07280000000009</v>
      </c>
      <c r="G60" s="1254"/>
      <c r="H60" s="1254"/>
      <c r="I60" s="1256"/>
      <c r="J60" s="1254"/>
      <c r="K60" s="1256">
        <v>19</v>
      </c>
      <c r="L60" s="1254"/>
      <c r="M60" s="1256"/>
      <c r="N60" s="1254"/>
      <c r="O60" s="1254" t="s">
        <v>2628</v>
      </c>
      <c r="P60" s="1254">
        <v>91.88</v>
      </c>
    </row>
    <row r="61" spans="1:16" s="1253" customFormat="1" ht="12.75" hidden="1" customHeight="1">
      <c r="A61" s="1257" t="s">
        <v>26</v>
      </c>
      <c r="B61" s="1254">
        <v>6.2</v>
      </c>
      <c r="C61" s="1254"/>
      <c r="D61" s="1254"/>
      <c r="E61" s="1254"/>
      <c r="F61" s="1254">
        <v>176.3386000000001</v>
      </c>
      <c r="G61" s="1254"/>
      <c r="H61" s="1254"/>
      <c r="I61" s="1256"/>
      <c r="J61" s="1254"/>
      <c r="K61" s="1256">
        <v>19</v>
      </c>
      <c r="L61" s="1254"/>
      <c r="M61" s="1256"/>
      <c r="N61" s="1254"/>
      <c r="O61" s="1254" t="s">
        <v>2628</v>
      </c>
      <c r="P61" s="1254">
        <v>92.88</v>
      </c>
    </row>
    <row r="62" spans="1:16" s="1253" customFormat="1" ht="12.75" hidden="1" customHeight="1">
      <c r="A62" s="1257" t="s">
        <v>27</v>
      </c>
      <c r="B62" s="1254">
        <v>6.59</v>
      </c>
      <c r="C62" s="1254"/>
      <c r="D62" s="1254"/>
      <c r="E62" s="1254"/>
      <c r="F62" s="1254">
        <v>187.70280000000011</v>
      </c>
      <c r="G62" s="1254"/>
      <c r="H62" s="1254"/>
      <c r="I62" s="1256"/>
      <c r="J62" s="1254"/>
      <c r="K62" s="1256">
        <v>19</v>
      </c>
      <c r="L62" s="1254"/>
      <c r="M62" s="1256"/>
      <c r="N62" s="1254"/>
      <c r="O62" s="1254" t="s">
        <v>2628</v>
      </c>
      <c r="P62" s="1254">
        <v>92.14</v>
      </c>
    </row>
    <row r="63" spans="1:16" s="1253" customFormat="1" ht="12.75" hidden="1" customHeight="1">
      <c r="A63" s="1257" t="s">
        <v>28</v>
      </c>
      <c r="B63" s="1254">
        <v>10.5</v>
      </c>
      <c r="C63" s="1254"/>
      <c r="D63" s="1254"/>
      <c r="E63" s="1254"/>
      <c r="F63" s="1254">
        <v>165.92480000000015</v>
      </c>
      <c r="G63" s="1254"/>
      <c r="H63" s="1254"/>
      <c r="I63" s="1256"/>
      <c r="J63" s="1254"/>
      <c r="K63" s="1256">
        <v>19</v>
      </c>
      <c r="L63" s="1254"/>
      <c r="M63" s="1256"/>
      <c r="N63" s="1254"/>
      <c r="O63" s="1254" t="s">
        <v>2628</v>
      </c>
      <c r="P63" s="1254">
        <v>90.65</v>
      </c>
    </row>
    <row r="64" spans="1:16" s="1253" customFormat="1" ht="12.75" hidden="1" customHeight="1">
      <c r="A64" s="1257" t="s">
        <v>29</v>
      </c>
      <c r="B64" s="1254">
        <v>10.56</v>
      </c>
      <c r="C64" s="1254"/>
      <c r="D64" s="1254"/>
      <c r="E64" s="1254"/>
      <c r="F64" s="1254">
        <v>253.16360000000014</v>
      </c>
      <c r="G64" s="1254"/>
      <c r="H64" s="1254"/>
      <c r="I64" s="1256"/>
      <c r="J64" s="1254"/>
      <c r="K64" s="1256">
        <v>19</v>
      </c>
      <c r="L64" s="1254"/>
      <c r="M64" s="1256"/>
      <c r="N64" s="1254"/>
      <c r="O64" s="1254" t="s">
        <v>2628</v>
      </c>
      <c r="P64" s="1254">
        <v>95.27</v>
      </c>
    </row>
    <row r="65" spans="1:20" s="1253" customFormat="1" ht="12.75" hidden="1" customHeight="1">
      <c r="A65" s="1257"/>
      <c r="B65" s="1254"/>
      <c r="C65" s="1254"/>
      <c r="D65" s="1254"/>
      <c r="E65" s="1254"/>
      <c r="F65" s="1254"/>
      <c r="G65" s="1254"/>
      <c r="H65" s="1254"/>
      <c r="I65" s="1256"/>
      <c r="J65" s="1254"/>
      <c r="K65" s="1256"/>
      <c r="L65" s="1254"/>
      <c r="M65" s="1256"/>
      <c r="N65" s="1254"/>
      <c r="O65" s="1254"/>
      <c r="P65" s="1254"/>
    </row>
    <row r="66" spans="1:20" s="1253" customFormat="1" ht="12.75" hidden="1" customHeight="1">
      <c r="A66" s="1257" t="s">
        <v>114</v>
      </c>
      <c r="B66" s="1254"/>
      <c r="C66" s="1254"/>
      <c r="D66" s="1254"/>
      <c r="E66" s="1254"/>
      <c r="F66" s="1254"/>
      <c r="G66" s="1254"/>
      <c r="H66" s="1254"/>
      <c r="I66" s="1256"/>
      <c r="J66" s="1254"/>
      <c r="K66" s="1256"/>
      <c r="L66" s="1254"/>
      <c r="M66" s="1256"/>
      <c r="N66" s="1254"/>
      <c r="O66" s="1254"/>
      <c r="P66" s="1254"/>
    </row>
    <row r="67" spans="1:20" s="1253" customFormat="1" ht="12.75" hidden="1" customHeight="1">
      <c r="A67" s="1257" t="s">
        <v>18</v>
      </c>
      <c r="B67" s="1254">
        <v>10.76</v>
      </c>
      <c r="C67" s="1254"/>
      <c r="D67" s="1254"/>
      <c r="E67" s="1254"/>
      <c r="F67" s="1254">
        <v>212.74760000000018</v>
      </c>
      <c r="G67" s="1254"/>
      <c r="H67" s="1254"/>
      <c r="I67" s="1256"/>
      <c r="J67" s="1254"/>
      <c r="K67" s="1256">
        <v>19</v>
      </c>
      <c r="L67" s="1254"/>
      <c r="M67" s="1256"/>
      <c r="N67" s="1254"/>
      <c r="O67" s="1254" t="s">
        <v>2628</v>
      </c>
      <c r="P67" s="1254">
        <v>95.27</v>
      </c>
    </row>
    <row r="68" spans="1:20" s="1253" customFormat="1" ht="12.75" hidden="1" customHeight="1">
      <c r="A68" s="1257" t="s">
        <v>19</v>
      </c>
      <c r="B68" s="1254">
        <v>9.32</v>
      </c>
      <c r="C68" s="1254"/>
      <c r="D68" s="1254"/>
      <c r="E68" s="1254"/>
      <c r="F68" s="1254">
        <v>150.67300000000023</v>
      </c>
      <c r="G68" s="1254"/>
      <c r="H68" s="1254"/>
      <c r="I68" s="1256"/>
      <c r="J68" s="1254"/>
      <c r="K68" s="1256">
        <v>19</v>
      </c>
      <c r="L68" s="1254"/>
      <c r="M68" s="1256"/>
      <c r="N68" s="1254"/>
      <c r="O68" s="1254" t="s">
        <v>2628</v>
      </c>
      <c r="P68" s="1254">
        <v>95.47</v>
      </c>
    </row>
    <row r="69" spans="1:20" s="1253" customFormat="1" ht="12.75" hidden="1" customHeight="1">
      <c r="A69" s="1257" t="s">
        <v>20</v>
      </c>
      <c r="B69" s="1254">
        <v>9.2799999999999994</v>
      </c>
      <c r="C69" s="1254"/>
      <c r="D69" s="1254"/>
      <c r="E69" s="1254"/>
      <c r="F69" s="1254">
        <v>168.13980000000004</v>
      </c>
      <c r="G69" s="1254"/>
      <c r="H69" s="1254"/>
      <c r="I69" s="1256"/>
      <c r="J69" s="1254"/>
      <c r="K69" s="1256">
        <v>19</v>
      </c>
      <c r="L69" s="1254"/>
      <c r="M69" s="1256"/>
      <c r="N69" s="1254"/>
      <c r="O69" s="1254" t="s">
        <v>2628</v>
      </c>
      <c r="P69" s="1254">
        <v>95.07</v>
      </c>
    </row>
    <row r="70" spans="1:20" s="1253" customFormat="1" ht="12.75" hidden="1" customHeight="1">
      <c r="A70" s="1257" t="s">
        <v>21</v>
      </c>
      <c r="B70" s="1254">
        <v>10.26</v>
      </c>
      <c r="C70" s="1254"/>
      <c r="D70" s="1254"/>
      <c r="E70" s="1254"/>
      <c r="F70" s="1254">
        <v>142.84739999999999</v>
      </c>
      <c r="G70" s="1254"/>
      <c r="H70" s="1254"/>
      <c r="I70" s="1256"/>
      <c r="J70" s="1254"/>
      <c r="K70" s="1256">
        <v>20</v>
      </c>
      <c r="L70" s="1254"/>
      <c r="M70" s="1256"/>
      <c r="N70" s="1254"/>
      <c r="O70" s="1254" t="s">
        <v>2629</v>
      </c>
      <c r="P70" s="1254">
        <v>96.06</v>
      </c>
    </row>
    <row r="71" spans="1:20" s="1253" customFormat="1" ht="12.75" hidden="1" customHeight="1">
      <c r="A71" s="1257" t="s">
        <v>22</v>
      </c>
      <c r="B71" s="1254">
        <v>10.08</v>
      </c>
      <c r="C71" s="1254"/>
      <c r="D71" s="1254"/>
      <c r="E71" s="1254"/>
      <c r="F71" s="1254">
        <v>96.531000000000034</v>
      </c>
      <c r="G71" s="1254"/>
      <c r="H71" s="1254"/>
      <c r="I71" s="1256"/>
      <c r="J71" s="1254"/>
      <c r="K71" s="1256">
        <v>20</v>
      </c>
      <c r="L71" s="1254"/>
      <c r="M71" s="1256"/>
      <c r="N71" s="1254"/>
      <c r="O71" s="1254" t="s">
        <v>2629</v>
      </c>
      <c r="P71" s="1254">
        <v>97.165000000000006</v>
      </c>
    </row>
    <row r="72" spans="1:20" s="1255" customFormat="1" ht="12.75" hidden="1" customHeight="1">
      <c r="A72" s="1257" t="s">
        <v>23</v>
      </c>
      <c r="B72" s="1254">
        <v>9.4499999999999993</v>
      </c>
      <c r="C72" s="1254"/>
      <c r="D72" s="1254"/>
      <c r="E72" s="1254"/>
      <c r="F72" s="1254">
        <v>100.17520000000003</v>
      </c>
      <c r="G72" s="1254"/>
      <c r="H72" s="1254"/>
      <c r="I72" s="1256"/>
      <c r="J72" s="1254"/>
      <c r="K72" s="1256">
        <v>20</v>
      </c>
      <c r="L72" s="1254"/>
      <c r="M72" s="1256"/>
      <c r="N72" s="1254"/>
      <c r="O72" s="1254" t="s">
        <v>2630</v>
      </c>
      <c r="P72" s="1254">
        <v>100.9</v>
      </c>
      <c r="Q72" s="1253"/>
      <c r="R72" s="1253"/>
      <c r="S72" s="1253"/>
      <c r="T72" s="1253"/>
    </row>
    <row r="73" spans="1:20" s="1253" customFormat="1" ht="12.75" hidden="1" customHeight="1">
      <c r="A73" s="1257" t="s">
        <v>24</v>
      </c>
      <c r="B73" s="1254">
        <v>10.89</v>
      </c>
      <c r="C73" s="1254"/>
      <c r="D73" s="1254"/>
      <c r="E73" s="1254"/>
      <c r="F73" s="1254">
        <v>95.363200000000049</v>
      </c>
      <c r="G73" s="1254"/>
      <c r="H73" s="1254"/>
      <c r="I73" s="1256"/>
      <c r="J73" s="1254"/>
      <c r="K73" s="1256">
        <v>20</v>
      </c>
      <c r="L73" s="1254"/>
      <c r="M73" s="1256"/>
      <c r="N73" s="1254"/>
      <c r="O73" s="1254" t="s">
        <v>2630</v>
      </c>
      <c r="P73" s="1254">
        <v>106.676</v>
      </c>
    </row>
    <row r="74" spans="1:20" s="1255" customFormat="1" ht="12.75" hidden="1" customHeight="1">
      <c r="A74" s="1257" t="s">
        <v>25</v>
      </c>
      <c r="B74" s="1254">
        <v>11.41</v>
      </c>
      <c r="C74" s="1254"/>
      <c r="D74" s="1254"/>
      <c r="E74" s="1254"/>
      <c r="F74" s="1254">
        <v>35.766600000000061</v>
      </c>
      <c r="G74" s="1254"/>
      <c r="H74" s="1254"/>
      <c r="I74" s="1256"/>
      <c r="J74" s="1254"/>
      <c r="K74" s="1256">
        <v>20</v>
      </c>
      <c r="L74" s="1254"/>
      <c r="M74" s="1256"/>
      <c r="N74" s="1254"/>
      <c r="O74" s="1254" t="s">
        <v>2630</v>
      </c>
      <c r="P74" s="1254">
        <v>114.6</v>
      </c>
      <c r="Q74" s="1253"/>
      <c r="R74" s="1253"/>
      <c r="S74" s="1253"/>
      <c r="T74" s="1253"/>
    </row>
    <row r="75" spans="1:20" s="1253" customFormat="1" ht="12.75" hidden="1" customHeight="1">
      <c r="A75" s="1257" t="s">
        <v>26</v>
      </c>
      <c r="B75" s="1254">
        <v>9.4499999999999993</v>
      </c>
      <c r="C75" s="1254"/>
      <c r="D75" s="1254"/>
      <c r="E75" s="1254"/>
      <c r="F75" s="1254">
        <v>80.504000000000005</v>
      </c>
      <c r="G75" s="1254"/>
      <c r="H75" s="1254"/>
      <c r="I75" s="1256"/>
      <c r="J75" s="1254"/>
      <c r="K75" s="1256">
        <v>20</v>
      </c>
      <c r="L75" s="1254"/>
      <c r="M75" s="1256"/>
      <c r="N75" s="1254"/>
      <c r="O75" s="1254" t="s">
        <v>2630</v>
      </c>
      <c r="P75" s="1254">
        <v>118.58</v>
      </c>
    </row>
    <row r="76" spans="1:20" s="1255" customFormat="1" ht="12.75" hidden="1" customHeight="1">
      <c r="A76" s="1257" t="s">
        <v>27</v>
      </c>
      <c r="B76" s="1254">
        <v>6.33</v>
      </c>
      <c r="C76" s="1254"/>
      <c r="D76" s="1254"/>
      <c r="E76" s="1254"/>
      <c r="F76" s="1254">
        <v>100</v>
      </c>
      <c r="G76" s="1254"/>
      <c r="H76" s="1254"/>
      <c r="I76" s="1256"/>
      <c r="J76" s="1254"/>
      <c r="K76" s="1256">
        <v>20</v>
      </c>
      <c r="L76" s="1254"/>
      <c r="M76" s="1256"/>
      <c r="N76" s="1254"/>
      <c r="O76" s="1254" t="s">
        <v>29</v>
      </c>
      <c r="P76" s="1254">
        <v>124.2</v>
      </c>
      <c r="Q76" s="1253"/>
      <c r="R76" s="1253"/>
      <c r="S76" s="1253"/>
      <c r="T76" s="1253"/>
    </row>
    <row r="77" spans="1:20" s="1253" customFormat="1" ht="12.75" hidden="1" customHeight="1">
      <c r="A77" s="1257" t="s">
        <v>28</v>
      </c>
      <c r="B77" s="1254">
        <v>5.42</v>
      </c>
      <c r="C77" s="1254"/>
      <c r="D77" s="1254"/>
      <c r="E77" s="1254"/>
      <c r="F77" s="1254">
        <v>125</v>
      </c>
      <c r="G77" s="1254"/>
      <c r="H77" s="1254"/>
      <c r="I77" s="1256"/>
      <c r="J77" s="1254"/>
      <c r="K77" s="1256">
        <v>15</v>
      </c>
      <c r="L77" s="1254"/>
      <c r="M77" s="1256"/>
      <c r="N77" s="1254"/>
      <c r="O77" s="1254" t="s">
        <v>27</v>
      </c>
      <c r="P77" s="1254">
        <v>178.4</v>
      </c>
    </row>
    <row r="78" spans="1:20" s="1255" customFormat="1" ht="12.75" hidden="1" customHeight="1">
      <c r="A78" s="1257" t="s">
        <v>29</v>
      </c>
      <c r="B78" s="1254">
        <v>4.74</v>
      </c>
      <c r="C78" s="1254"/>
      <c r="D78" s="1254"/>
      <c r="E78" s="1254"/>
      <c r="F78" s="1254">
        <v>180.01</v>
      </c>
      <c r="G78" s="1254"/>
      <c r="H78" s="1254"/>
      <c r="I78" s="1256"/>
      <c r="J78" s="1254"/>
      <c r="K78" s="1256">
        <v>13</v>
      </c>
      <c r="L78" s="1254"/>
      <c r="M78" s="1256"/>
      <c r="N78" s="1254"/>
      <c r="O78" s="1254" t="s">
        <v>293</v>
      </c>
      <c r="P78" s="1254">
        <v>229</v>
      </c>
      <c r="Q78" s="1253"/>
      <c r="R78" s="1253"/>
      <c r="S78" s="1253"/>
      <c r="T78" s="1253"/>
    </row>
    <row r="79" spans="1:20" s="1253" customFormat="1" ht="12.75" hidden="1" customHeight="1">
      <c r="A79" s="1257" t="s">
        <v>43</v>
      </c>
      <c r="B79" s="1254"/>
      <c r="C79" s="1254"/>
      <c r="D79" s="1254"/>
      <c r="E79" s="1254"/>
      <c r="F79" s="1254"/>
      <c r="G79" s="1254"/>
      <c r="H79" s="1254"/>
      <c r="I79" s="1256"/>
      <c r="J79" s="1254"/>
      <c r="K79" s="1256"/>
      <c r="L79" s="1254"/>
      <c r="M79" s="1256"/>
      <c r="N79" s="1254"/>
      <c r="O79" s="1254"/>
      <c r="P79" s="1254"/>
    </row>
    <row r="80" spans="1:20" s="1255" customFormat="1" ht="12.75" hidden="1" customHeight="1">
      <c r="A80" s="1257" t="s">
        <v>18</v>
      </c>
      <c r="B80" s="1254">
        <v>3.87</v>
      </c>
      <c r="C80" s="1254"/>
      <c r="D80" s="1254"/>
      <c r="E80" s="1254"/>
      <c r="F80" s="1254">
        <v>133.57</v>
      </c>
      <c r="G80" s="1254"/>
      <c r="H80" s="1254"/>
      <c r="I80" s="1256"/>
      <c r="J80" s="1254"/>
      <c r="K80" s="1256">
        <v>10</v>
      </c>
      <c r="L80" s="1254"/>
      <c r="M80" s="1256"/>
      <c r="N80" s="1254"/>
      <c r="O80" s="1254" t="s">
        <v>293</v>
      </c>
      <c r="P80" s="1254">
        <v>228.15</v>
      </c>
      <c r="Q80" s="1253"/>
      <c r="R80" s="1253"/>
      <c r="S80" s="1253"/>
      <c r="T80" s="1253"/>
    </row>
    <row r="81" spans="1:20" s="1253" customFormat="1" ht="12.75" hidden="1" customHeight="1">
      <c r="A81" s="1257" t="s">
        <v>19</v>
      </c>
      <c r="B81" s="1254">
        <v>4.5199999999999996</v>
      </c>
      <c r="C81" s="1254"/>
      <c r="D81" s="1254"/>
      <c r="E81" s="1254"/>
      <c r="F81" s="1254">
        <v>42.058</v>
      </c>
      <c r="G81" s="1254"/>
      <c r="H81" s="1254"/>
      <c r="I81" s="1256"/>
      <c r="J81" s="1254"/>
      <c r="K81" s="1256">
        <v>8</v>
      </c>
      <c r="L81" s="1254"/>
      <c r="M81" s="1256"/>
      <c r="N81" s="1254"/>
      <c r="O81" s="1254" t="s">
        <v>294</v>
      </c>
      <c r="P81" s="1254">
        <v>238.74</v>
      </c>
    </row>
    <row r="82" spans="1:20" s="1255" customFormat="1" ht="12.75" hidden="1" customHeight="1">
      <c r="A82" s="1257" t="s">
        <v>20</v>
      </c>
      <c r="B82" s="1254">
        <v>2.61</v>
      </c>
      <c r="C82" s="1254"/>
      <c r="D82" s="1254"/>
      <c r="E82" s="1254"/>
      <c r="F82" s="1254">
        <v>31.81</v>
      </c>
      <c r="G82" s="1254"/>
      <c r="H82" s="1254"/>
      <c r="I82" s="1256"/>
      <c r="J82" s="1254"/>
      <c r="K82" s="1256">
        <v>8</v>
      </c>
      <c r="L82" s="1254"/>
      <c r="M82" s="1256"/>
      <c r="N82" s="1254"/>
      <c r="O82" s="1254" t="s">
        <v>295</v>
      </c>
      <c r="P82" s="1254">
        <v>249.96</v>
      </c>
      <c r="Q82" s="1253"/>
      <c r="R82" s="1253"/>
      <c r="S82" s="1253"/>
      <c r="T82" s="1253"/>
    </row>
    <row r="83" spans="1:20" s="1253" customFormat="1" ht="12.75" hidden="1" customHeight="1">
      <c r="A83" s="1257" t="s">
        <v>21</v>
      </c>
      <c r="B83" s="1254">
        <v>2.3199999999999998</v>
      </c>
      <c r="C83" s="1254"/>
      <c r="D83" s="1254"/>
      <c r="E83" s="1254"/>
      <c r="F83" s="1254">
        <v>19</v>
      </c>
      <c r="G83" s="1254"/>
      <c r="H83" s="1254"/>
      <c r="I83" s="1256"/>
      <c r="J83" s="1254"/>
      <c r="K83" s="1256">
        <v>8</v>
      </c>
      <c r="L83" s="1254"/>
      <c r="M83" s="1256"/>
      <c r="N83" s="1254"/>
      <c r="O83" s="1254" t="s">
        <v>295</v>
      </c>
      <c r="P83" s="1254">
        <v>347.09</v>
      </c>
    </row>
    <row r="84" spans="1:20" s="1255" customFormat="1" ht="12.75" hidden="1" customHeight="1">
      <c r="A84" s="1257" t="s">
        <v>22</v>
      </c>
      <c r="B84" s="1254">
        <v>1.29</v>
      </c>
      <c r="C84" s="1254"/>
      <c r="D84" s="1254"/>
      <c r="E84" s="1254"/>
      <c r="F84" s="1254">
        <v>16</v>
      </c>
      <c r="G84" s="1254"/>
      <c r="H84" s="1254"/>
      <c r="I84" s="1256"/>
      <c r="J84" s="1254"/>
      <c r="K84" s="1256">
        <v>7</v>
      </c>
      <c r="L84" s="1254"/>
      <c r="M84" s="1256"/>
      <c r="N84" s="1254"/>
      <c r="O84" s="1254" t="s">
        <v>296</v>
      </c>
      <c r="P84" s="1254">
        <v>372.97</v>
      </c>
      <c r="Q84" s="1253"/>
      <c r="R84" s="1253"/>
      <c r="S84" s="1253"/>
      <c r="T84" s="1253"/>
    </row>
    <row r="85" spans="1:20" s="1253" customFormat="1" ht="12.75" hidden="1" customHeight="1">
      <c r="A85" s="1257" t="s">
        <v>23</v>
      </c>
      <c r="B85" s="1254">
        <v>1.1599999999999999</v>
      </c>
      <c r="C85" s="1254"/>
      <c r="D85" s="1254"/>
      <c r="E85" s="1254"/>
      <c r="F85" s="1254">
        <v>16</v>
      </c>
      <c r="G85" s="1254"/>
      <c r="H85" s="1254"/>
      <c r="I85" s="1256"/>
      <c r="J85" s="1254"/>
      <c r="K85" s="1256">
        <v>7</v>
      </c>
      <c r="L85" s="1254"/>
      <c r="M85" s="1256"/>
      <c r="N85" s="1254"/>
      <c r="O85" s="1254" t="s">
        <v>296</v>
      </c>
      <c r="P85" s="1254">
        <v>399.47</v>
      </c>
    </row>
    <row r="86" spans="1:20" s="1255" customFormat="1" ht="12.75" hidden="1" customHeight="1">
      <c r="A86" s="1257" t="s">
        <v>24</v>
      </c>
      <c r="B86" s="1254">
        <v>1.03</v>
      </c>
      <c r="C86" s="1254"/>
      <c r="D86" s="1254"/>
      <c r="E86" s="1254"/>
      <c r="F86" s="1254">
        <v>14</v>
      </c>
      <c r="G86" s="1254"/>
      <c r="H86" s="1254"/>
      <c r="I86" s="1256"/>
      <c r="J86" s="1254"/>
      <c r="K86" s="1256">
        <v>7</v>
      </c>
      <c r="L86" s="1254"/>
      <c r="M86" s="1256"/>
      <c r="N86" s="1254"/>
      <c r="O86" s="1254" t="s">
        <v>296</v>
      </c>
      <c r="P86" s="1254">
        <v>780.66</v>
      </c>
      <c r="Q86" s="1253"/>
      <c r="R86" s="1253"/>
      <c r="S86" s="1253"/>
      <c r="T86" s="1253"/>
    </row>
    <row r="87" spans="1:20" s="1253" customFormat="1" ht="12.75" hidden="1" customHeight="1">
      <c r="A87" s="1257" t="s">
        <v>25</v>
      </c>
      <c r="B87" s="1254">
        <v>1</v>
      </c>
      <c r="C87" s="1254"/>
      <c r="D87" s="1254"/>
      <c r="E87" s="1254"/>
      <c r="F87" s="1254">
        <v>14</v>
      </c>
      <c r="G87" s="1254"/>
      <c r="H87" s="1254"/>
      <c r="I87" s="1256"/>
      <c r="J87" s="1254"/>
      <c r="K87" s="1256">
        <v>7</v>
      </c>
      <c r="L87" s="1254"/>
      <c r="M87" s="1256"/>
      <c r="N87" s="1254"/>
      <c r="O87" s="1254" t="s">
        <v>296</v>
      </c>
      <c r="P87" s="1254">
        <v>1128.51</v>
      </c>
    </row>
    <row r="88" spans="1:20" s="1255" customFormat="1" ht="12.75" hidden="1" customHeight="1">
      <c r="A88" s="1257" t="s">
        <v>26</v>
      </c>
      <c r="B88" s="1254">
        <v>1</v>
      </c>
      <c r="C88" s="1254"/>
      <c r="D88" s="1254"/>
      <c r="E88" s="1254"/>
      <c r="F88" s="1254">
        <v>15</v>
      </c>
      <c r="G88" s="1254"/>
      <c r="H88" s="1254"/>
      <c r="I88" s="1256"/>
      <c r="J88" s="1254"/>
      <c r="K88" s="1256">
        <v>7</v>
      </c>
      <c r="L88" s="1254"/>
      <c r="M88" s="1256"/>
      <c r="N88" s="1254"/>
      <c r="O88" s="1254" t="s">
        <v>296</v>
      </c>
      <c r="P88" s="1254">
        <v>1139.7</v>
      </c>
      <c r="Q88" s="1253"/>
      <c r="R88" s="1253"/>
      <c r="S88" s="1253"/>
      <c r="T88" s="1253"/>
    </row>
    <row r="89" spans="1:20" s="1253" customFormat="1" ht="12.75" hidden="1" customHeight="1">
      <c r="A89" s="1257" t="s">
        <v>27</v>
      </c>
      <c r="B89" s="1254">
        <v>1</v>
      </c>
      <c r="C89" s="1254"/>
      <c r="D89" s="1254"/>
      <c r="E89" s="1254"/>
      <c r="F89" s="1254">
        <v>6</v>
      </c>
      <c r="G89" s="1254"/>
      <c r="H89" s="1254"/>
      <c r="I89" s="1256"/>
      <c r="J89" s="1254"/>
      <c r="K89" s="1256">
        <v>7</v>
      </c>
      <c r="L89" s="1254"/>
      <c r="M89" s="1256"/>
      <c r="N89" s="1254"/>
      <c r="O89" s="1254" t="s">
        <v>296</v>
      </c>
      <c r="P89" s="1254">
        <v>1156.9000000000001</v>
      </c>
    </row>
    <row r="90" spans="1:20" s="1255" customFormat="1" ht="12.75" hidden="1" customHeight="1">
      <c r="A90" s="1257" t="s">
        <v>28</v>
      </c>
      <c r="B90" s="1254">
        <v>1</v>
      </c>
      <c r="C90" s="1254"/>
      <c r="D90" s="1254"/>
      <c r="E90" s="1254"/>
      <c r="F90" s="1254">
        <v>8.5</v>
      </c>
      <c r="G90" s="1254"/>
      <c r="H90" s="1254"/>
      <c r="I90" s="1256"/>
      <c r="J90" s="1254"/>
      <c r="K90" s="1256">
        <v>7</v>
      </c>
      <c r="L90" s="1254"/>
      <c r="M90" s="1256"/>
      <c r="N90" s="1254"/>
      <c r="O90" s="1254" t="s">
        <v>296</v>
      </c>
      <c r="P90" s="1254">
        <v>1147.67</v>
      </c>
      <c r="Q90" s="1253"/>
      <c r="R90" s="1253"/>
      <c r="S90" s="1253"/>
      <c r="T90" s="1253"/>
    </row>
    <row r="91" spans="1:20" s="1253" customFormat="1" ht="12.75" hidden="1" customHeight="1">
      <c r="A91" s="1257" t="s">
        <v>29</v>
      </c>
      <c r="B91" s="1254">
        <v>1</v>
      </c>
      <c r="C91" s="1254"/>
      <c r="D91" s="1254"/>
      <c r="E91" s="1254"/>
      <c r="F91" s="1254">
        <v>9</v>
      </c>
      <c r="G91" s="1254"/>
      <c r="H91" s="1254"/>
      <c r="I91" s="1256"/>
      <c r="J91" s="1254"/>
      <c r="K91" s="1256">
        <v>7</v>
      </c>
      <c r="L91" s="1254"/>
      <c r="M91" s="1256"/>
      <c r="N91" s="1254"/>
      <c r="O91" s="1254" t="s">
        <v>296</v>
      </c>
      <c r="P91" s="1254">
        <v>1315.42</v>
      </c>
    </row>
    <row r="92" spans="1:20" s="1255" customFormat="1" ht="12.75" hidden="1" customHeight="1">
      <c r="A92" s="1257" t="s">
        <v>48</v>
      </c>
      <c r="B92" s="1254"/>
      <c r="C92" s="1254"/>
      <c r="D92" s="1254"/>
      <c r="E92" s="1254"/>
      <c r="F92" s="1254"/>
      <c r="G92" s="1254"/>
      <c r="H92" s="1254"/>
      <c r="I92" s="1256"/>
      <c r="J92" s="1254"/>
      <c r="K92" s="1256"/>
      <c r="L92" s="1254"/>
      <c r="M92" s="1256"/>
      <c r="N92" s="1254"/>
      <c r="O92" s="1254"/>
      <c r="P92" s="1254"/>
      <c r="Q92" s="1253"/>
      <c r="R92" s="1253"/>
      <c r="S92" s="1253"/>
      <c r="T92" s="1253"/>
    </row>
    <row r="93" spans="1:20" s="1253" customFormat="1" ht="12.75" hidden="1" customHeight="1">
      <c r="A93" s="1257" t="s">
        <v>18</v>
      </c>
      <c r="B93" s="1254">
        <v>1</v>
      </c>
      <c r="C93" s="1254" t="s">
        <v>93</v>
      </c>
      <c r="D93" s="1254" t="s">
        <v>93</v>
      </c>
      <c r="E93" s="1254" t="s">
        <v>93</v>
      </c>
      <c r="F93" s="1254">
        <v>13.6</v>
      </c>
      <c r="G93" s="1254"/>
      <c r="H93" s="1254"/>
      <c r="I93" s="1256"/>
      <c r="J93" s="1254"/>
      <c r="K93" s="1256">
        <v>7</v>
      </c>
      <c r="L93" s="1254"/>
      <c r="M93" s="1256"/>
      <c r="N93" s="1254"/>
      <c r="O93" s="1254" t="s">
        <v>296</v>
      </c>
      <c r="P93" s="1254">
        <v>1313.02</v>
      </c>
    </row>
    <row r="94" spans="1:20" s="1255" customFormat="1" ht="12.75" hidden="1" customHeight="1">
      <c r="A94" s="1257" t="s">
        <v>19</v>
      </c>
      <c r="B94" s="1254">
        <v>1</v>
      </c>
      <c r="C94" s="1254" t="s">
        <v>93</v>
      </c>
      <c r="D94" s="1254" t="s">
        <v>93</v>
      </c>
      <c r="E94" s="1254" t="s">
        <v>93</v>
      </c>
      <c r="F94" s="1254">
        <v>16</v>
      </c>
      <c r="G94" s="1254"/>
      <c r="H94" s="1254"/>
      <c r="I94" s="1256"/>
      <c r="J94" s="1254"/>
      <c r="K94" s="1256">
        <v>7</v>
      </c>
      <c r="L94" s="1254"/>
      <c r="M94" s="1256"/>
      <c r="N94" s="1254"/>
      <c r="O94" s="1254" t="s">
        <v>296</v>
      </c>
      <c r="P94" s="1254">
        <v>1344.79</v>
      </c>
      <c r="Q94" s="1253"/>
      <c r="R94" s="1253"/>
      <c r="S94" s="1253"/>
      <c r="T94" s="1253"/>
    </row>
    <row r="95" spans="1:20" s="1253" customFormat="1" ht="12.75" hidden="1" customHeight="1">
      <c r="A95" s="1257" t="s">
        <v>20</v>
      </c>
      <c r="B95" s="1254">
        <v>1</v>
      </c>
      <c r="C95" s="1254" t="s">
        <v>93</v>
      </c>
      <c r="D95" s="1254" t="s">
        <v>93</v>
      </c>
      <c r="E95" s="1254" t="s">
        <v>93</v>
      </c>
      <c r="F95" s="1254">
        <v>15</v>
      </c>
      <c r="G95" s="1254"/>
      <c r="H95" s="1254"/>
      <c r="I95" s="1256"/>
      <c r="J95" s="1254"/>
      <c r="K95" s="1256">
        <v>7</v>
      </c>
      <c r="L95" s="1254"/>
      <c r="M95" s="1256"/>
      <c r="N95" s="1254"/>
      <c r="O95" s="1254" t="s">
        <v>296</v>
      </c>
      <c r="P95" s="1254">
        <v>1362.02</v>
      </c>
    </row>
    <row r="96" spans="1:20" s="1255" customFormat="1" ht="12.75" hidden="1" customHeight="1">
      <c r="A96" s="1257" t="s">
        <v>21</v>
      </c>
      <c r="B96" s="1254">
        <v>1</v>
      </c>
      <c r="C96" s="1254" t="s">
        <v>93</v>
      </c>
      <c r="D96" s="1254" t="s">
        <v>93</v>
      </c>
      <c r="E96" s="1254" t="s">
        <v>93</v>
      </c>
      <c r="F96" s="1254">
        <v>19</v>
      </c>
      <c r="G96" s="1254"/>
      <c r="H96" s="1254"/>
      <c r="I96" s="1256"/>
      <c r="J96" s="1254"/>
      <c r="K96" s="1256">
        <v>7</v>
      </c>
      <c r="L96" s="1254"/>
      <c r="M96" s="1256"/>
      <c r="N96" s="1254"/>
      <c r="O96" s="1254" t="s">
        <v>296</v>
      </c>
      <c r="P96" s="1254">
        <v>1338.4</v>
      </c>
      <c r="Q96" s="1253"/>
      <c r="R96" s="1253"/>
      <c r="S96" s="1253"/>
      <c r="T96" s="1253"/>
    </row>
    <row r="97" spans="1:20" s="1253" customFormat="1" ht="12.75" hidden="1" customHeight="1">
      <c r="A97" s="1257" t="s">
        <v>22</v>
      </c>
      <c r="B97" s="1254">
        <v>1</v>
      </c>
      <c r="C97" s="1254" t="s">
        <v>93</v>
      </c>
      <c r="D97" s="1254" t="s">
        <v>93</v>
      </c>
      <c r="E97" s="1254" t="s">
        <v>93</v>
      </c>
      <c r="F97" s="1254">
        <v>19</v>
      </c>
      <c r="G97" s="1254"/>
      <c r="H97" s="1254"/>
      <c r="I97" s="1256"/>
      <c r="J97" s="1254"/>
      <c r="K97" s="1256">
        <v>7</v>
      </c>
      <c r="L97" s="1254"/>
      <c r="M97" s="1256"/>
      <c r="N97" s="1254"/>
      <c r="O97" s="1254" t="s">
        <v>296</v>
      </c>
      <c r="P97" s="1254">
        <v>1321.3</v>
      </c>
    </row>
    <row r="98" spans="1:20" s="1255" customFormat="1" ht="12.75" hidden="1" customHeight="1">
      <c r="A98" s="1257" t="s">
        <v>23</v>
      </c>
      <c r="B98" s="1254">
        <v>1</v>
      </c>
      <c r="C98" s="1254" t="s">
        <v>93</v>
      </c>
      <c r="D98" s="1254" t="s">
        <v>93</v>
      </c>
      <c r="E98" s="1254" t="s">
        <v>93</v>
      </c>
      <c r="F98" s="1254">
        <v>26</v>
      </c>
      <c r="G98" s="1254"/>
      <c r="H98" s="1254"/>
      <c r="I98" s="1256"/>
      <c r="J98" s="1254"/>
      <c r="K98" s="1256">
        <v>7</v>
      </c>
      <c r="L98" s="1254"/>
      <c r="M98" s="1256"/>
      <c r="N98" s="1254"/>
      <c r="O98" s="1254" t="s">
        <v>296</v>
      </c>
      <c r="P98" s="1254">
        <v>1377.3</v>
      </c>
      <c r="Q98" s="1253"/>
      <c r="R98" s="1253"/>
      <c r="S98" s="1253"/>
      <c r="T98" s="1253"/>
    </row>
    <row r="99" spans="1:20" s="1253" customFormat="1" ht="12.75" hidden="1" customHeight="1">
      <c r="A99" s="1257" t="s">
        <v>24</v>
      </c>
      <c r="B99" s="1254">
        <v>1</v>
      </c>
      <c r="C99" s="1254" t="s">
        <v>93</v>
      </c>
      <c r="D99" s="1254" t="s">
        <v>93</v>
      </c>
      <c r="E99" s="1254" t="s">
        <v>93</v>
      </c>
      <c r="F99" s="1254">
        <v>11.8</v>
      </c>
      <c r="G99" s="1254"/>
      <c r="H99" s="1254"/>
      <c r="I99" s="1256"/>
      <c r="J99" s="1254"/>
      <c r="K99" s="1256">
        <v>7</v>
      </c>
      <c r="L99" s="1254"/>
      <c r="M99" s="1256"/>
      <c r="N99" s="1254"/>
      <c r="O99" s="1254" t="s">
        <v>296</v>
      </c>
      <c r="P99" s="1254">
        <v>1378.35</v>
      </c>
    </row>
    <row r="100" spans="1:20" s="1255" customFormat="1" ht="12.75" hidden="1" customHeight="1">
      <c r="A100" s="1257" t="s">
        <v>25</v>
      </c>
      <c r="B100" s="1254">
        <v>1</v>
      </c>
      <c r="C100" s="1254" t="s">
        <v>93</v>
      </c>
      <c r="D100" s="1254" t="s">
        <v>93</v>
      </c>
      <c r="E100" s="1254" t="s">
        <v>93</v>
      </c>
      <c r="F100" s="1254">
        <v>20</v>
      </c>
      <c r="G100" s="1254"/>
      <c r="H100" s="1254"/>
      <c r="I100" s="1256"/>
      <c r="J100" s="1254"/>
      <c r="K100" s="1256">
        <v>7</v>
      </c>
      <c r="L100" s="1254"/>
      <c r="M100" s="1256"/>
      <c r="N100" s="1254"/>
      <c r="O100" s="1254" t="s">
        <v>296</v>
      </c>
      <c r="P100" s="1254">
        <v>1502.05</v>
      </c>
      <c r="Q100" s="1253"/>
      <c r="R100" s="1253"/>
      <c r="S100" s="1253"/>
      <c r="T100" s="1253"/>
    </row>
    <row r="101" spans="1:20" s="1253" customFormat="1" ht="12.75" hidden="1" customHeight="1">
      <c r="A101" s="1257" t="s">
        <v>26</v>
      </c>
      <c r="B101" s="1254">
        <v>1</v>
      </c>
      <c r="C101" s="1254" t="s">
        <v>93</v>
      </c>
      <c r="D101" s="1254" t="s">
        <v>93</v>
      </c>
      <c r="E101" s="1254" t="s">
        <v>93</v>
      </c>
      <c r="F101" s="1254">
        <v>24</v>
      </c>
      <c r="G101" s="1254"/>
      <c r="H101" s="1254"/>
      <c r="I101" s="1256"/>
      <c r="J101" s="1254"/>
      <c r="K101" s="1256">
        <v>7</v>
      </c>
      <c r="L101" s="1254"/>
      <c r="M101" s="1256"/>
      <c r="N101" s="1254"/>
      <c r="O101" s="1254" t="s">
        <v>296</v>
      </c>
      <c r="P101" s="1254">
        <v>1568.43</v>
      </c>
    </row>
    <row r="102" spans="1:20" s="1255" customFormat="1" ht="12.75" hidden="1" customHeight="1">
      <c r="A102" s="1257" t="s">
        <v>27</v>
      </c>
      <c r="B102" s="1254">
        <v>1</v>
      </c>
      <c r="C102" s="1254" t="s">
        <v>93</v>
      </c>
      <c r="D102" s="1254" t="s">
        <v>93</v>
      </c>
      <c r="E102" s="1254" t="s">
        <v>93</v>
      </c>
      <c r="F102" s="1254">
        <v>15</v>
      </c>
      <c r="G102" s="1254"/>
      <c r="H102" s="1254"/>
      <c r="I102" s="1256"/>
      <c r="J102" s="1254"/>
      <c r="K102" s="1256">
        <v>7</v>
      </c>
      <c r="L102" s="1254"/>
      <c r="M102" s="1256"/>
      <c r="N102" s="1254"/>
      <c r="O102" s="1254" t="s">
        <v>295</v>
      </c>
      <c r="P102" s="1254">
        <v>1657.5</v>
      </c>
      <c r="Q102" s="1253"/>
      <c r="R102" s="1253"/>
      <c r="S102" s="1253"/>
      <c r="T102" s="1253"/>
    </row>
    <row r="103" spans="1:20" s="1253" customFormat="1" ht="12.75" hidden="1" customHeight="1">
      <c r="A103" s="1257" t="s">
        <v>28</v>
      </c>
      <c r="B103" s="1254">
        <v>1.29</v>
      </c>
      <c r="C103" s="1254" t="s">
        <v>93</v>
      </c>
      <c r="D103" s="1254" t="s">
        <v>93</v>
      </c>
      <c r="E103" s="1254" t="s">
        <v>93</v>
      </c>
      <c r="F103" s="1254">
        <v>27.61</v>
      </c>
      <c r="G103" s="1254"/>
      <c r="H103" s="1254"/>
      <c r="I103" s="1256"/>
      <c r="J103" s="1254"/>
      <c r="K103" s="1256">
        <v>7</v>
      </c>
      <c r="L103" s="1254"/>
      <c r="M103" s="1256"/>
      <c r="N103" s="1254"/>
      <c r="O103" s="1254" t="s">
        <v>295</v>
      </c>
      <c r="P103" s="1254">
        <v>1665.95</v>
      </c>
    </row>
    <row r="104" spans="1:20" s="1255" customFormat="1" ht="12.75" hidden="1" customHeight="1">
      <c r="A104" s="1257" t="s">
        <v>29</v>
      </c>
      <c r="B104" s="1254">
        <v>2.08</v>
      </c>
      <c r="C104" s="1254" t="s">
        <v>93</v>
      </c>
      <c r="D104" s="1254" t="s">
        <v>93</v>
      </c>
      <c r="E104" s="1254" t="s">
        <v>93</v>
      </c>
      <c r="F104" s="1254">
        <v>40</v>
      </c>
      <c r="G104" s="1254"/>
      <c r="H104" s="1254"/>
      <c r="I104" s="1256"/>
      <c r="J104" s="1254"/>
      <c r="K104" s="1256">
        <v>7</v>
      </c>
      <c r="L104" s="1254"/>
      <c r="M104" s="1256"/>
      <c r="N104" s="1254"/>
      <c r="O104" s="1254" t="s">
        <v>295</v>
      </c>
      <c r="P104" s="1254">
        <v>1861.79</v>
      </c>
      <c r="Q104" s="1253"/>
      <c r="R104" s="1253"/>
      <c r="S104" s="1253"/>
      <c r="T104" s="1253"/>
    </row>
    <row r="105" spans="1:20" s="1253" customFormat="1" ht="12.75" hidden="1" customHeight="1">
      <c r="A105" s="1257" t="s">
        <v>1030</v>
      </c>
      <c r="B105" s="1254"/>
      <c r="C105" s="1254"/>
      <c r="D105" s="1254"/>
      <c r="E105" s="1254"/>
      <c r="F105" s="1254"/>
      <c r="G105" s="1254"/>
      <c r="H105" s="1254"/>
      <c r="I105" s="1256"/>
      <c r="J105" s="1254"/>
      <c r="K105" s="1256"/>
      <c r="L105" s="1254"/>
      <c r="M105" s="1256"/>
      <c r="N105" s="1254"/>
      <c r="O105" s="1254"/>
      <c r="P105" s="1254"/>
    </row>
    <row r="106" spans="1:20" s="1255" customFormat="1" ht="12.75" hidden="1" customHeight="1">
      <c r="A106" s="1257" t="s">
        <v>18</v>
      </c>
      <c r="B106" s="1254">
        <v>1.65</v>
      </c>
      <c r="C106" s="1254" t="s">
        <v>93</v>
      </c>
      <c r="D106" s="1254" t="s">
        <v>93</v>
      </c>
      <c r="E106" s="1254" t="s">
        <v>93</v>
      </c>
      <c r="F106" s="1254">
        <v>57</v>
      </c>
      <c r="G106" s="1254"/>
      <c r="H106" s="1254"/>
      <c r="I106" s="1256"/>
      <c r="J106" s="1254"/>
      <c r="K106" s="1256">
        <v>7</v>
      </c>
      <c r="L106" s="1254"/>
      <c r="M106" s="1256"/>
      <c r="N106" s="1254"/>
      <c r="O106" s="1254" t="s">
        <v>295</v>
      </c>
      <c r="P106" s="1254">
        <v>1863.69</v>
      </c>
      <c r="Q106" s="1253"/>
      <c r="R106" s="1253"/>
      <c r="S106" s="1253"/>
      <c r="T106" s="1253"/>
    </row>
    <row r="107" spans="1:20" s="1253" customFormat="1" ht="12.75" hidden="1" customHeight="1">
      <c r="A107" s="1257" t="s">
        <v>19</v>
      </c>
      <c r="B107" s="1254">
        <v>1.1599999999999999</v>
      </c>
      <c r="C107" s="1254" t="s">
        <v>93</v>
      </c>
      <c r="D107" s="1254" t="s">
        <v>93</v>
      </c>
      <c r="E107" s="1254" t="s">
        <v>93</v>
      </c>
      <c r="F107" s="1254">
        <v>100</v>
      </c>
      <c r="G107" s="1254"/>
      <c r="H107" s="1254"/>
      <c r="I107" s="1256"/>
      <c r="J107" s="1254"/>
      <c r="K107" s="1256">
        <v>7</v>
      </c>
      <c r="L107" s="1254"/>
      <c r="M107" s="1256"/>
      <c r="N107" s="1254"/>
      <c r="O107" s="1254" t="s">
        <v>294</v>
      </c>
      <c r="P107" s="1254">
        <v>1878.96</v>
      </c>
    </row>
    <row r="108" spans="1:20" s="1255" customFormat="1" ht="12.75" hidden="1" customHeight="1">
      <c r="A108" s="1257" t="s">
        <v>20</v>
      </c>
      <c r="B108" s="1254">
        <v>1.21</v>
      </c>
      <c r="C108" s="1254" t="s">
        <v>93</v>
      </c>
      <c r="D108" s="1254" t="s">
        <v>93</v>
      </c>
      <c r="E108" s="1254" t="s">
        <v>93</v>
      </c>
      <c r="F108" s="1254">
        <v>110</v>
      </c>
      <c r="G108" s="1254"/>
      <c r="H108" s="1254"/>
      <c r="I108" s="1256"/>
      <c r="J108" s="1254"/>
      <c r="K108" s="1256">
        <v>7</v>
      </c>
      <c r="L108" s="1254"/>
      <c r="M108" s="1256"/>
      <c r="N108" s="1254"/>
      <c r="O108" s="1254" t="s">
        <v>294</v>
      </c>
      <c r="P108" s="1254">
        <v>1940.12</v>
      </c>
      <c r="Q108" s="1253"/>
      <c r="R108" s="1253"/>
      <c r="S108" s="1253"/>
      <c r="T108" s="1253"/>
    </row>
    <row r="109" spans="1:20" s="1253" customFormat="1" ht="12.75" hidden="1" customHeight="1">
      <c r="A109" s="1257" t="s">
        <v>21</v>
      </c>
      <c r="B109" s="1254">
        <v>1.51</v>
      </c>
      <c r="C109" s="1254" t="s">
        <v>93</v>
      </c>
      <c r="D109" s="1254" t="s">
        <v>93</v>
      </c>
      <c r="E109" s="1254" t="s">
        <v>93</v>
      </c>
      <c r="F109" s="1254">
        <v>120.6</v>
      </c>
      <c r="G109" s="1254"/>
      <c r="H109" s="1254"/>
      <c r="I109" s="1256"/>
      <c r="J109" s="1254"/>
      <c r="K109" s="1256">
        <v>7</v>
      </c>
      <c r="L109" s="1254"/>
      <c r="M109" s="1256"/>
      <c r="N109" s="1254"/>
      <c r="O109" s="1254" t="s">
        <v>294</v>
      </c>
      <c r="P109" s="1254">
        <v>1947.84</v>
      </c>
    </row>
    <row r="110" spans="1:20" s="1255" customFormat="1" ht="12.75" hidden="1" customHeight="1">
      <c r="A110" s="1257" t="s">
        <v>22</v>
      </c>
      <c r="B110" s="1254">
        <v>2.17</v>
      </c>
      <c r="C110" s="1254" t="s">
        <v>93</v>
      </c>
      <c r="D110" s="1254" t="s">
        <v>93</v>
      </c>
      <c r="E110" s="1254" t="s">
        <v>93</v>
      </c>
      <c r="F110" s="1254">
        <v>135</v>
      </c>
      <c r="G110" s="1254"/>
      <c r="H110" s="1254"/>
      <c r="I110" s="1256"/>
      <c r="J110" s="1254"/>
      <c r="K110" s="1256">
        <v>7</v>
      </c>
      <c r="L110" s="1254"/>
      <c r="M110" s="1256"/>
      <c r="N110" s="1254"/>
      <c r="O110" s="1254" t="s">
        <v>294</v>
      </c>
      <c r="P110" s="1254">
        <v>1996.75</v>
      </c>
      <c r="Q110" s="1253"/>
      <c r="R110" s="1253"/>
      <c r="S110" s="1253"/>
      <c r="T110" s="1253"/>
    </row>
    <row r="111" spans="1:20" s="1253" customFormat="1" ht="12.75" hidden="1" customHeight="1">
      <c r="A111" s="1257" t="s">
        <v>23</v>
      </c>
      <c r="B111" s="1254">
        <v>2.5</v>
      </c>
      <c r="C111" s="1254" t="s">
        <v>93</v>
      </c>
      <c r="D111" s="1254" t="s">
        <v>93</v>
      </c>
      <c r="E111" s="1254" t="s">
        <v>93</v>
      </c>
      <c r="F111" s="1254">
        <v>74.069999999999993</v>
      </c>
      <c r="G111" s="1254"/>
      <c r="H111" s="1254"/>
      <c r="I111" s="1256"/>
      <c r="J111" s="1254"/>
      <c r="K111" s="1256">
        <v>7</v>
      </c>
      <c r="L111" s="1254"/>
      <c r="M111" s="1256"/>
      <c r="N111" s="1254"/>
      <c r="O111" s="1254" t="s">
        <v>2631</v>
      </c>
      <c r="P111" s="1254">
        <v>1984.7</v>
      </c>
    </row>
    <row r="112" spans="1:20" s="1255" customFormat="1" ht="12.75" hidden="1" customHeight="1">
      <c r="A112" s="1257" t="s">
        <v>24</v>
      </c>
      <c r="B112" s="1254">
        <v>2.82</v>
      </c>
      <c r="C112" s="1254" t="s">
        <v>93</v>
      </c>
      <c r="D112" s="1254" t="s">
        <v>93</v>
      </c>
      <c r="E112" s="1254" t="s">
        <v>93</v>
      </c>
      <c r="F112" s="1254">
        <v>64.099999999999994</v>
      </c>
      <c r="G112" s="1254"/>
      <c r="H112" s="1254"/>
      <c r="I112" s="1256"/>
      <c r="J112" s="1254"/>
      <c r="K112" s="1256">
        <v>7</v>
      </c>
      <c r="L112" s="1254"/>
      <c r="M112" s="1256"/>
      <c r="N112" s="1254"/>
      <c r="O112" s="1254" t="s">
        <v>2631</v>
      </c>
      <c r="P112" s="1254">
        <v>1986.74</v>
      </c>
      <c r="Q112" s="1253"/>
      <c r="R112" s="1253"/>
      <c r="S112" s="1253"/>
      <c r="T112" s="1253"/>
    </row>
    <row r="113" spans="1:20" s="1253" customFormat="1" ht="12.75" hidden="1" customHeight="1">
      <c r="A113" s="1257" t="s">
        <v>25</v>
      </c>
      <c r="B113" s="1254">
        <v>2.13</v>
      </c>
      <c r="C113" s="1254" t="s">
        <v>93</v>
      </c>
      <c r="D113" s="1254" t="s">
        <v>93</v>
      </c>
      <c r="E113" s="1254" t="s">
        <v>93</v>
      </c>
      <c r="F113" s="1254">
        <v>50</v>
      </c>
      <c r="G113" s="1254"/>
      <c r="H113" s="1254"/>
      <c r="I113" s="1256"/>
      <c r="J113" s="1254"/>
      <c r="K113" s="1256">
        <v>7</v>
      </c>
      <c r="L113" s="1254"/>
      <c r="M113" s="1256"/>
      <c r="N113" s="1254"/>
      <c r="O113" s="1254" t="s">
        <v>2631</v>
      </c>
      <c r="P113" s="1254">
        <v>1986.239</v>
      </c>
    </row>
    <row r="114" spans="1:20" s="1255" customFormat="1" ht="12.75" hidden="1" customHeight="1">
      <c r="A114" s="1257" t="s">
        <v>26</v>
      </c>
      <c r="B114" s="1254">
        <v>2.72</v>
      </c>
      <c r="C114" s="1254" t="s">
        <v>93</v>
      </c>
      <c r="D114" s="1254" t="s">
        <v>93</v>
      </c>
      <c r="E114" s="1254" t="s">
        <v>93</v>
      </c>
      <c r="F114" s="1254">
        <v>21.82</v>
      </c>
      <c r="G114" s="1254"/>
      <c r="H114" s="1254"/>
      <c r="I114" s="1256"/>
      <c r="J114" s="1254"/>
      <c r="K114" s="1256">
        <v>7</v>
      </c>
      <c r="L114" s="1254"/>
      <c r="M114" s="1256"/>
      <c r="N114" s="1254"/>
      <c r="O114" s="1254" t="s">
        <v>2631</v>
      </c>
      <c r="P114" s="1254">
        <v>1991.3679999999999</v>
      </c>
      <c r="Q114" s="1253"/>
      <c r="R114" s="1253"/>
      <c r="S114" s="1253"/>
      <c r="T114" s="1253"/>
    </row>
    <row r="115" spans="1:20" s="1253" customFormat="1" ht="12.75" hidden="1" customHeight="1">
      <c r="A115" s="1257" t="s">
        <v>27</v>
      </c>
      <c r="B115" s="1254">
        <v>2.88</v>
      </c>
      <c r="C115" s="1254" t="s">
        <v>93</v>
      </c>
      <c r="D115" s="1254" t="s">
        <v>93</v>
      </c>
      <c r="E115" s="1254" t="s">
        <v>93</v>
      </c>
      <c r="F115" s="1254">
        <v>40.755000000000003</v>
      </c>
      <c r="G115" s="1254"/>
      <c r="H115" s="1254"/>
      <c r="I115" s="1256"/>
      <c r="J115" s="1254"/>
      <c r="K115" s="1256">
        <v>7</v>
      </c>
      <c r="L115" s="1254"/>
      <c r="M115" s="1256"/>
      <c r="N115" s="1254"/>
      <c r="O115" s="1254" t="s">
        <v>2631</v>
      </c>
      <c r="P115" s="1254">
        <v>1996.09</v>
      </c>
    </row>
    <row r="116" spans="1:20" s="1255" customFormat="1" ht="12.75" hidden="1" customHeight="1">
      <c r="A116" s="1257" t="s">
        <v>28</v>
      </c>
      <c r="B116" s="1254">
        <v>2.84</v>
      </c>
      <c r="C116" s="1254" t="s">
        <v>93</v>
      </c>
      <c r="D116" s="1254" t="s">
        <v>93</v>
      </c>
      <c r="E116" s="1254" t="s">
        <v>93</v>
      </c>
      <c r="F116" s="1254">
        <v>34.840000000000003</v>
      </c>
      <c r="G116" s="1254"/>
      <c r="H116" s="1254"/>
      <c r="I116" s="1256"/>
      <c r="J116" s="1254"/>
      <c r="K116" s="1256">
        <v>7</v>
      </c>
      <c r="L116" s="1254"/>
      <c r="M116" s="1256"/>
      <c r="N116" s="1254"/>
      <c r="O116" s="1254" t="s">
        <v>2631</v>
      </c>
      <c r="P116" s="1254">
        <v>1996.39</v>
      </c>
      <c r="Q116" s="1253"/>
      <c r="R116" s="1253"/>
      <c r="S116" s="1253"/>
      <c r="T116" s="1253"/>
    </row>
    <row r="117" spans="1:20" s="1253" customFormat="1" ht="12.75" hidden="1" customHeight="1">
      <c r="A117" s="1257" t="s">
        <v>29</v>
      </c>
      <c r="B117" s="1254">
        <v>2.77</v>
      </c>
      <c r="C117" s="1254" t="s">
        <v>93</v>
      </c>
      <c r="D117" s="1254" t="s">
        <v>93</v>
      </c>
      <c r="E117" s="1254" t="s">
        <v>93</v>
      </c>
      <c r="F117" s="1254">
        <v>91.23</v>
      </c>
      <c r="G117" s="1254"/>
      <c r="H117" s="1254"/>
      <c r="I117" s="1256"/>
      <c r="J117" s="1254"/>
      <c r="K117" s="1256">
        <v>7</v>
      </c>
      <c r="L117" s="1254"/>
      <c r="M117" s="1256"/>
      <c r="N117" s="1254"/>
      <c r="O117" s="1254" t="s">
        <v>2631</v>
      </c>
      <c r="P117" s="1254">
        <v>2032.6</v>
      </c>
    </row>
    <row r="118" spans="1:20" s="1255" customFormat="1" ht="12.75" hidden="1" customHeight="1">
      <c r="A118" s="1257" t="s">
        <v>1301</v>
      </c>
      <c r="B118" s="1254"/>
      <c r="C118" s="1254"/>
      <c r="D118" s="1254"/>
      <c r="E118" s="1254"/>
      <c r="F118" s="1254"/>
      <c r="G118" s="1254"/>
      <c r="H118" s="1254"/>
      <c r="I118" s="1256"/>
      <c r="J118" s="1254"/>
      <c r="K118" s="1256"/>
      <c r="L118" s="1254"/>
      <c r="M118" s="1256"/>
      <c r="N118" s="1254"/>
      <c r="O118" s="1254"/>
      <c r="P118" s="1254"/>
      <c r="Q118" s="1253"/>
      <c r="R118" s="1253"/>
      <c r="S118" s="1253"/>
      <c r="T118" s="1253"/>
    </row>
    <row r="119" spans="1:20" s="1253" customFormat="1" ht="12.75" hidden="1" customHeight="1">
      <c r="A119" s="1257" t="s">
        <v>18</v>
      </c>
      <c r="B119" s="1254">
        <v>2.02</v>
      </c>
      <c r="C119" s="1254" t="s">
        <v>93</v>
      </c>
      <c r="D119" s="1254" t="s">
        <v>93</v>
      </c>
      <c r="E119" s="1254" t="s">
        <v>93</v>
      </c>
      <c r="F119" s="1254">
        <v>125</v>
      </c>
      <c r="G119" s="1254"/>
      <c r="H119" s="1254"/>
      <c r="I119" s="1256"/>
      <c r="J119" s="1254"/>
      <c r="K119" s="1256">
        <v>7</v>
      </c>
      <c r="L119" s="1254"/>
      <c r="M119" s="1256"/>
      <c r="N119" s="1254"/>
      <c r="O119" s="1254" t="s">
        <v>2631</v>
      </c>
      <c r="P119" s="1254">
        <v>2016.2</v>
      </c>
    </row>
    <row r="120" spans="1:20" s="1255" customFormat="1" ht="12.75" hidden="1" customHeight="1">
      <c r="A120" s="1257" t="s">
        <v>19</v>
      </c>
      <c r="B120" s="1254">
        <v>1.66</v>
      </c>
      <c r="C120" s="1254" t="s">
        <v>93</v>
      </c>
      <c r="D120" s="1254" t="s">
        <v>93</v>
      </c>
      <c r="E120" s="1254" t="s">
        <v>93</v>
      </c>
      <c r="F120" s="1254">
        <v>145</v>
      </c>
      <c r="G120" s="1254"/>
      <c r="H120" s="1254"/>
      <c r="I120" s="1256"/>
      <c r="J120" s="1254"/>
      <c r="K120" s="1256">
        <v>7</v>
      </c>
      <c r="L120" s="1254"/>
      <c r="M120" s="1256"/>
      <c r="N120" s="1254"/>
      <c r="O120" s="1254" t="s">
        <v>2631</v>
      </c>
      <c r="P120" s="1254">
        <v>2181.4</v>
      </c>
      <c r="Q120" s="1253"/>
      <c r="R120" s="1253"/>
      <c r="S120" s="1253"/>
      <c r="T120" s="1253"/>
    </row>
    <row r="121" spans="1:20" s="1253" customFormat="1" ht="12.75" hidden="1" customHeight="1">
      <c r="A121" s="1257" t="s">
        <v>20</v>
      </c>
      <c r="B121" s="1254">
        <v>1.28</v>
      </c>
      <c r="C121" s="1254" t="s">
        <v>93</v>
      </c>
      <c r="D121" s="1254" t="s">
        <v>93</v>
      </c>
      <c r="E121" s="1254" t="s">
        <v>93</v>
      </c>
      <c r="F121" s="1254">
        <v>140</v>
      </c>
      <c r="G121" s="1254"/>
      <c r="H121" s="1254"/>
      <c r="I121" s="1256"/>
      <c r="J121" s="1254"/>
      <c r="K121" s="1256">
        <v>7</v>
      </c>
      <c r="L121" s="1254"/>
      <c r="M121" s="1256"/>
      <c r="N121" s="1254"/>
      <c r="O121" s="1254" t="s">
        <v>2631</v>
      </c>
      <c r="P121" s="1254">
        <v>2192.6</v>
      </c>
    </row>
    <row r="122" spans="1:20" s="1255" customFormat="1" ht="12.75" hidden="1" customHeight="1">
      <c r="A122" s="1257" t="s">
        <v>21</v>
      </c>
      <c r="B122" s="1254">
        <v>1.34</v>
      </c>
      <c r="C122" s="1254" t="s">
        <v>93</v>
      </c>
      <c r="D122" s="1254" t="s">
        <v>93</v>
      </c>
      <c r="E122" s="1254" t="s">
        <v>93</v>
      </c>
      <c r="F122" s="1254">
        <v>139.99600000000001</v>
      </c>
      <c r="G122" s="1254"/>
      <c r="H122" s="1254"/>
      <c r="I122" s="1256"/>
      <c r="J122" s="1254"/>
      <c r="K122" s="1256">
        <v>7</v>
      </c>
      <c r="L122" s="1254"/>
      <c r="M122" s="1256"/>
      <c r="N122" s="1254"/>
      <c r="O122" s="1254" t="s">
        <v>2631</v>
      </c>
      <c r="P122" s="1254">
        <v>2129.6999999999998</v>
      </c>
      <c r="Q122" s="1253"/>
      <c r="R122" s="1253"/>
      <c r="S122" s="1253"/>
      <c r="T122" s="1253"/>
    </row>
    <row r="123" spans="1:20" s="1253" customFormat="1" ht="12.75" hidden="1" customHeight="1">
      <c r="A123" s="1257" t="s">
        <v>22</v>
      </c>
      <c r="B123" s="1254">
        <v>1.36</v>
      </c>
      <c r="C123" s="1254" t="s">
        <v>93</v>
      </c>
      <c r="D123" s="1254" t="s">
        <v>93</v>
      </c>
      <c r="E123" s="1254" t="s">
        <v>93</v>
      </c>
      <c r="F123" s="1254">
        <v>143.51</v>
      </c>
      <c r="G123" s="1254"/>
      <c r="H123" s="1254"/>
      <c r="I123" s="1256"/>
      <c r="J123" s="1254"/>
      <c r="K123" s="1256">
        <v>7</v>
      </c>
      <c r="L123" s="1254"/>
      <c r="M123" s="1256"/>
      <c r="N123" s="1254"/>
      <c r="O123" s="1254" t="s">
        <v>2631</v>
      </c>
      <c r="P123" s="1254">
        <v>2135.6999999999998</v>
      </c>
    </row>
    <row r="124" spans="1:20" s="1255" customFormat="1" ht="12.75" hidden="1" customHeight="1">
      <c r="A124" s="1257" t="s">
        <v>23</v>
      </c>
      <c r="B124" s="1254">
        <v>1.38</v>
      </c>
      <c r="C124" s="1254" t="s">
        <v>93</v>
      </c>
      <c r="D124" s="1254" t="s">
        <v>93</v>
      </c>
      <c r="E124" s="1254" t="s">
        <v>93</v>
      </c>
      <c r="F124" s="1254">
        <v>127.59</v>
      </c>
      <c r="G124" s="1254"/>
      <c r="H124" s="1254"/>
      <c r="I124" s="1256"/>
      <c r="J124" s="1254"/>
      <c r="K124" s="1256">
        <v>7</v>
      </c>
      <c r="L124" s="1254"/>
      <c r="M124" s="1256"/>
      <c r="N124" s="1254"/>
      <c r="O124" s="1254" t="s">
        <v>2631</v>
      </c>
      <c r="P124" s="1254">
        <v>2263</v>
      </c>
      <c r="Q124" s="1253"/>
      <c r="R124" s="1253"/>
      <c r="S124" s="1253"/>
      <c r="T124" s="1253"/>
    </row>
    <row r="125" spans="1:20" s="1253" customFormat="1" ht="12.75" hidden="1" customHeight="1">
      <c r="A125" s="1257" t="s">
        <v>24</v>
      </c>
      <c r="B125" s="1254">
        <v>1.45</v>
      </c>
      <c r="C125" s="1254" t="s">
        <v>93</v>
      </c>
      <c r="D125" s="1254" t="s">
        <v>93</v>
      </c>
      <c r="E125" s="1254" t="s">
        <v>93</v>
      </c>
      <c r="F125" s="1254">
        <v>130</v>
      </c>
      <c r="G125" s="1254"/>
      <c r="H125" s="1254"/>
      <c r="I125" s="1256"/>
      <c r="J125" s="1254"/>
      <c r="K125" s="1256">
        <v>7</v>
      </c>
      <c r="L125" s="1254"/>
      <c r="M125" s="1256"/>
      <c r="N125" s="1254"/>
      <c r="O125" s="1254" t="s">
        <v>2631</v>
      </c>
      <c r="P125" s="1254">
        <v>2280</v>
      </c>
    </row>
    <row r="126" spans="1:20" s="1255" customFormat="1" ht="12.75" hidden="1" customHeight="1">
      <c r="A126" s="1257" t="s">
        <v>25</v>
      </c>
      <c r="B126" s="1254">
        <v>1.57</v>
      </c>
      <c r="C126" s="1254" t="s">
        <v>93</v>
      </c>
      <c r="D126" s="1254" t="s">
        <v>93</v>
      </c>
      <c r="E126" s="1254" t="s">
        <v>93</v>
      </c>
      <c r="F126" s="1254">
        <v>20</v>
      </c>
      <c r="G126" s="1254"/>
      <c r="H126" s="1254"/>
      <c r="I126" s="1256"/>
      <c r="J126" s="1254"/>
      <c r="K126" s="1256">
        <v>7</v>
      </c>
      <c r="L126" s="1254"/>
      <c r="M126" s="1256"/>
      <c r="N126" s="1254"/>
      <c r="O126" s="1254" t="s">
        <v>2631</v>
      </c>
      <c r="P126" s="1254">
        <v>2268.1</v>
      </c>
      <c r="Q126" s="1253"/>
      <c r="R126" s="1253"/>
      <c r="S126" s="1253"/>
      <c r="T126" s="1253"/>
    </row>
    <row r="127" spans="1:20" s="1253" customFormat="1" ht="12.75" hidden="1" customHeight="1">
      <c r="A127" s="1257" t="s">
        <v>26</v>
      </c>
      <c r="B127" s="1254">
        <v>2.84</v>
      </c>
      <c r="C127" s="1254" t="s">
        <v>93</v>
      </c>
      <c r="D127" s="1254" t="s">
        <v>93</v>
      </c>
      <c r="E127" s="1254" t="s">
        <v>93</v>
      </c>
      <c r="F127" s="1254">
        <v>11.8</v>
      </c>
      <c r="G127" s="1254"/>
      <c r="H127" s="1254"/>
      <c r="I127" s="1256"/>
      <c r="J127" s="1254"/>
      <c r="K127" s="1256">
        <v>7</v>
      </c>
      <c r="L127" s="1254"/>
      <c r="M127" s="1256"/>
      <c r="N127" s="1254"/>
      <c r="O127" s="1254" t="s">
        <v>2631</v>
      </c>
      <c r="P127" s="1254">
        <v>2415.3000000000002</v>
      </c>
    </row>
    <row r="128" spans="1:20" s="1255" customFormat="1" ht="12.75" hidden="1" customHeight="1">
      <c r="A128" s="1257" t="s">
        <v>27</v>
      </c>
      <c r="B128" s="1254">
        <v>2.71</v>
      </c>
      <c r="C128" s="1254" t="s">
        <v>93</v>
      </c>
      <c r="D128" s="1254" t="s">
        <v>93</v>
      </c>
      <c r="E128" s="1254" t="s">
        <v>93</v>
      </c>
      <c r="F128" s="1254">
        <v>48.52</v>
      </c>
      <c r="G128" s="1254"/>
      <c r="H128" s="1254"/>
      <c r="I128" s="1256"/>
      <c r="J128" s="1254"/>
      <c r="K128" s="1256">
        <v>7</v>
      </c>
      <c r="L128" s="1254"/>
      <c r="M128" s="1256"/>
      <c r="N128" s="1254"/>
      <c r="O128" s="1254" t="s">
        <v>2631</v>
      </c>
      <c r="P128" s="1254">
        <v>2451.1999999999998</v>
      </c>
      <c r="Q128" s="1253"/>
      <c r="R128" s="1253"/>
      <c r="S128" s="1253"/>
      <c r="T128" s="1253"/>
    </row>
    <row r="129" spans="1:36" s="1253" customFormat="1" ht="12.75" hidden="1" customHeight="1">
      <c r="A129" s="1257" t="s">
        <v>28</v>
      </c>
      <c r="B129" s="1254">
        <v>3.17</v>
      </c>
      <c r="C129" s="1254" t="s">
        <v>93</v>
      </c>
      <c r="D129" s="1254" t="s">
        <v>93</v>
      </c>
      <c r="E129" s="1254" t="s">
        <v>93</v>
      </c>
      <c r="F129" s="1254">
        <v>136.49</v>
      </c>
      <c r="G129" s="1254"/>
      <c r="H129" s="1254"/>
      <c r="I129" s="1256"/>
      <c r="J129" s="1254"/>
      <c r="K129" s="1256">
        <v>7</v>
      </c>
      <c r="L129" s="1254"/>
      <c r="M129" s="1256"/>
      <c r="N129" s="1254"/>
      <c r="O129" s="1254" t="s">
        <v>2631</v>
      </c>
      <c r="P129" s="1254">
        <v>2667.2</v>
      </c>
    </row>
    <row r="130" spans="1:36" s="1255" customFormat="1" ht="12.75" hidden="1" customHeight="1">
      <c r="A130" s="1257" t="s">
        <v>29</v>
      </c>
      <c r="B130" s="1254">
        <v>1.87</v>
      </c>
      <c r="C130" s="1254" t="s">
        <v>93</v>
      </c>
      <c r="D130" s="1254" t="s">
        <v>93</v>
      </c>
      <c r="E130" s="1254" t="s">
        <v>93</v>
      </c>
      <c r="F130" s="1254">
        <v>120</v>
      </c>
      <c r="G130" s="1254"/>
      <c r="H130" s="1254"/>
      <c r="I130" s="1256"/>
      <c r="J130" s="1254"/>
      <c r="K130" s="1256">
        <v>7</v>
      </c>
      <c r="L130" s="1254"/>
      <c r="M130" s="1256"/>
      <c r="N130" s="1254"/>
      <c r="O130" s="1254" t="s">
        <v>294</v>
      </c>
      <c r="P130" s="1254">
        <v>3287.9</v>
      </c>
      <c r="Q130" s="1253"/>
      <c r="R130" s="1253"/>
      <c r="S130" s="1253"/>
      <c r="T130" s="1253"/>
    </row>
    <row r="131" spans="1:36" s="1253" customFormat="1" ht="12.75" hidden="1" customHeight="1">
      <c r="A131" s="1257" t="s">
        <v>1423</v>
      </c>
      <c r="B131" s="1254"/>
      <c r="C131" s="1254"/>
      <c r="D131" s="1254"/>
      <c r="E131" s="1254"/>
      <c r="F131" s="1254"/>
      <c r="G131" s="1254"/>
      <c r="H131" s="1254"/>
      <c r="I131" s="1256"/>
      <c r="J131" s="1254"/>
      <c r="K131" s="1256"/>
      <c r="L131" s="1254"/>
      <c r="M131" s="1256"/>
      <c r="N131" s="1254"/>
      <c r="O131" s="1254"/>
      <c r="P131" s="1254"/>
    </row>
    <row r="132" spans="1:36" s="1255" customFormat="1" ht="12.75" hidden="1" customHeight="1">
      <c r="A132" s="1257" t="s">
        <v>18</v>
      </c>
      <c r="B132" s="1254">
        <v>1.46</v>
      </c>
      <c r="C132" s="1254" t="s">
        <v>93</v>
      </c>
      <c r="D132" s="1254" t="s">
        <v>93</v>
      </c>
      <c r="E132" s="1254" t="s">
        <v>93</v>
      </c>
      <c r="F132" s="1254">
        <v>103.002</v>
      </c>
      <c r="G132" s="1254"/>
      <c r="H132" s="1254"/>
      <c r="I132" s="1256"/>
      <c r="J132" s="1254"/>
      <c r="K132" s="1256">
        <v>7</v>
      </c>
      <c r="L132" s="1254"/>
      <c r="M132" s="1256"/>
      <c r="N132" s="1254"/>
      <c r="O132" s="1254" t="s">
        <v>294</v>
      </c>
      <c r="P132" s="1254">
        <v>3293.2</v>
      </c>
      <c r="Q132" s="1253"/>
      <c r="R132" s="1253"/>
      <c r="S132" s="1253"/>
      <c r="T132" s="1253"/>
    </row>
    <row r="133" spans="1:36" s="1255" customFormat="1" ht="12.75" hidden="1" customHeight="1">
      <c r="A133" s="1257" t="s">
        <v>19</v>
      </c>
      <c r="B133" s="1254">
        <v>1.25</v>
      </c>
      <c r="C133" s="1254" t="s">
        <v>93</v>
      </c>
      <c r="D133" s="1254" t="s">
        <v>93</v>
      </c>
      <c r="E133" s="1254" t="s">
        <v>93</v>
      </c>
      <c r="F133" s="1254">
        <v>80.512</v>
      </c>
      <c r="G133" s="1254"/>
      <c r="H133" s="1254"/>
      <c r="I133" s="1256"/>
      <c r="J133" s="1254"/>
      <c r="K133" s="1256">
        <v>7</v>
      </c>
      <c r="L133" s="1254"/>
      <c r="M133" s="1256"/>
      <c r="N133" s="1254"/>
      <c r="O133" s="1254" t="s">
        <v>2491</v>
      </c>
      <c r="P133" s="1254">
        <v>2849.2</v>
      </c>
      <c r="Q133" s="1253"/>
      <c r="R133" s="1253"/>
      <c r="S133" s="1253"/>
      <c r="T133" s="1253"/>
    </row>
    <row r="134" spans="1:36" s="1255" customFormat="1" ht="12.75" hidden="1" customHeight="1">
      <c r="A134" s="1257" t="s">
        <v>20</v>
      </c>
      <c r="B134" s="1254">
        <v>1.2</v>
      </c>
      <c r="C134" s="1254" t="s">
        <v>93</v>
      </c>
      <c r="D134" s="1254" t="s">
        <v>93</v>
      </c>
      <c r="E134" s="1254" t="s">
        <v>93</v>
      </c>
      <c r="F134" s="1254">
        <v>44.01</v>
      </c>
      <c r="G134" s="1254"/>
      <c r="H134" s="1254"/>
      <c r="I134" s="1256"/>
      <c r="J134" s="1254"/>
      <c r="K134" s="1256">
        <v>7</v>
      </c>
      <c r="L134" s="1254"/>
      <c r="M134" s="1256"/>
      <c r="N134" s="1254"/>
      <c r="O134" s="1254" t="s">
        <v>2491</v>
      </c>
      <c r="P134" s="1254">
        <v>2743.9</v>
      </c>
      <c r="Q134" s="1253"/>
      <c r="R134" s="1253"/>
      <c r="S134" s="1253"/>
      <c r="T134" s="1253"/>
    </row>
    <row r="135" spans="1:36" s="1255" customFormat="1" ht="12.75" hidden="1" customHeight="1">
      <c r="A135" s="1257" t="s">
        <v>21</v>
      </c>
      <c r="B135" s="1254">
        <v>1.24</v>
      </c>
      <c r="C135" s="1254" t="s">
        <v>93</v>
      </c>
      <c r="D135" s="1254" t="s">
        <v>93</v>
      </c>
      <c r="E135" s="1254" t="s">
        <v>93</v>
      </c>
      <c r="F135" s="1254">
        <v>58.118000000000002</v>
      </c>
      <c r="G135" s="1254"/>
      <c r="H135" s="1254"/>
      <c r="I135" s="1256"/>
      <c r="J135" s="1254"/>
      <c r="K135" s="1256">
        <v>7</v>
      </c>
      <c r="L135" s="1254"/>
      <c r="M135" s="1256"/>
      <c r="N135" s="1254"/>
      <c r="O135" s="1254" t="s">
        <v>2491</v>
      </c>
      <c r="P135" s="1254">
        <v>2900.2</v>
      </c>
      <c r="Q135" s="1253"/>
      <c r="R135" s="1253"/>
      <c r="S135" s="1253"/>
      <c r="T135" s="1253"/>
    </row>
    <row r="136" spans="1:36" s="1255" customFormat="1" ht="12.75" hidden="1" customHeight="1">
      <c r="A136" s="1257" t="s">
        <v>22</v>
      </c>
      <c r="B136" s="1254">
        <v>1.2</v>
      </c>
      <c r="C136" s="1254" t="s">
        <v>93</v>
      </c>
      <c r="D136" s="1254" t="s">
        <v>93</v>
      </c>
      <c r="E136" s="1254" t="s">
        <v>93</v>
      </c>
      <c r="F136" s="1254">
        <v>21.51</v>
      </c>
      <c r="G136" s="1254"/>
      <c r="H136" s="1254"/>
      <c r="I136" s="1256"/>
      <c r="J136" s="1254"/>
      <c r="K136" s="1256">
        <v>7</v>
      </c>
      <c r="L136" s="1254"/>
      <c r="M136" s="1256"/>
      <c r="N136" s="1254"/>
      <c r="O136" s="1254" t="s">
        <v>2491</v>
      </c>
      <c r="P136" s="1254">
        <v>2887.8</v>
      </c>
      <c r="Q136" s="1253"/>
      <c r="R136" s="1253"/>
      <c r="S136" s="1253"/>
      <c r="T136" s="1253"/>
    </row>
    <row r="137" spans="1:36" s="1255" customFormat="1" ht="12.75" hidden="1" customHeight="1">
      <c r="A137" s="1257" t="s">
        <v>23</v>
      </c>
      <c r="B137" s="1254">
        <v>1.2</v>
      </c>
      <c r="C137" s="1254" t="s">
        <v>93</v>
      </c>
      <c r="D137" s="1254" t="s">
        <v>93</v>
      </c>
      <c r="E137" s="1254" t="s">
        <v>93</v>
      </c>
      <c r="F137" s="1254">
        <v>15</v>
      </c>
      <c r="G137" s="1254"/>
      <c r="H137" s="1254"/>
      <c r="I137" s="1256"/>
      <c r="J137" s="1254"/>
      <c r="K137" s="1256">
        <v>7</v>
      </c>
      <c r="L137" s="1254"/>
      <c r="M137" s="1256"/>
      <c r="N137" s="1254"/>
      <c r="O137" s="1254" t="s">
        <v>2491</v>
      </c>
      <c r="P137" s="1254">
        <v>3001.2</v>
      </c>
      <c r="Q137" s="1253"/>
      <c r="R137" s="1253"/>
      <c r="S137" s="1253"/>
      <c r="T137" s="1253"/>
    </row>
    <row r="138" spans="1:36" s="1255" customFormat="1" ht="12.75" hidden="1" customHeight="1">
      <c r="A138" s="1257" t="s">
        <v>24</v>
      </c>
      <c r="B138" s="1254">
        <v>1.2</v>
      </c>
      <c r="C138" s="1254" t="s">
        <v>93</v>
      </c>
      <c r="D138" s="1254" t="s">
        <v>93</v>
      </c>
      <c r="E138" s="1254" t="s">
        <v>93</v>
      </c>
      <c r="F138" s="1254">
        <v>15</v>
      </c>
      <c r="G138" s="1254"/>
      <c r="H138" s="1254"/>
      <c r="I138" s="1256"/>
      <c r="J138" s="1254"/>
      <c r="K138" s="1256">
        <v>7</v>
      </c>
      <c r="L138" s="1254"/>
      <c r="M138" s="1256"/>
      <c r="N138" s="1254"/>
      <c r="O138" s="1254" t="s">
        <v>2491</v>
      </c>
      <c r="P138" s="1254">
        <v>3043.98</v>
      </c>
      <c r="Q138" s="1253"/>
      <c r="R138" s="1253"/>
      <c r="S138" s="1253"/>
      <c r="T138" s="1253"/>
    </row>
    <row r="139" spans="1:36" s="1255" customFormat="1" ht="12.75" hidden="1" customHeight="1">
      <c r="A139" s="1257" t="s">
        <v>25</v>
      </c>
      <c r="B139" s="1254">
        <v>1.1499999999999999</v>
      </c>
      <c r="C139" s="1254" t="s">
        <v>93</v>
      </c>
      <c r="D139" s="1254" t="s">
        <v>93</v>
      </c>
      <c r="E139" s="1254" t="s">
        <v>93</v>
      </c>
      <c r="F139" s="1254">
        <v>20</v>
      </c>
      <c r="G139" s="1254"/>
      <c r="H139" s="1254"/>
      <c r="I139" s="1256"/>
      <c r="J139" s="1254"/>
      <c r="K139" s="1256">
        <v>7</v>
      </c>
      <c r="L139" s="1254"/>
      <c r="M139" s="1256"/>
      <c r="N139" s="1254"/>
      <c r="O139" s="1254" t="s">
        <v>2491</v>
      </c>
      <c r="P139" s="1254">
        <v>3085.56</v>
      </c>
      <c r="Q139" s="1253"/>
      <c r="R139" s="1253"/>
      <c r="S139" s="1253"/>
      <c r="T139" s="1253"/>
    </row>
    <row r="140" spans="1:36" s="1255" customFormat="1" ht="12.75" hidden="1" customHeight="1">
      <c r="A140" s="1257" t="s">
        <v>26</v>
      </c>
      <c r="B140" s="1254">
        <v>1.1299999999999999</v>
      </c>
      <c r="C140" s="1254" t="s">
        <v>93</v>
      </c>
      <c r="D140" s="1254" t="s">
        <v>93</v>
      </c>
      <c r="E140" s="1254" t="s">
        <v>93</v>
      </c>
      <c r="F140" s="1254">
        <v>57.027000000000001</v>
      </c>
      <c r="G140" s="1254"/>
      <c r="H140" s="1254"/>
      <c r="I140" s="1256"/>
      <c r="J140" s="1254"/>
      <c r="K140" s="1256">
        <v>7</v>
      </c>
      <c r="L140" s="1254"/>
      <c r="M140" s="1256"/>
      <c r="N140" s="1254"/>
      <c r="O140" s="1254" t="s">
        <v>2491</v>
      </c>
      <c r="P140" s="1254">
        <v>3157.11</v>
      </c>
      <c r="Q140" s="1253"/>
      <c r="R140" s="1253"/>
      <c r="S140" s="1253"/>
      <c r="T140" s="1253"/>
    </row>
    <row r="141" spans="1:36" s="1255" customFormat="1" ht="12.75" hidden="1" customHeight="1">
      <c r="A141" s="1257" t="s">
        <v>27</v>
      </c>
      <c r="B141" s="1254">
        <v>1.0900000000000001</v>
      </c>
      <c r="C141" s="1254" t="s">
        <v>93</v>
      </c>
      <c r="D141" s="1254" t="s">
        <v>93</v>
      </c>
      <c r="E141" s="1254" t="s">
        <v>93</v>
      </c>
      <c r="F141" s="1254">
        <v>53.024999999999999</v>
      </c>
      <c r="G141" s="1254"/>
      <c r="H141" s="1254"/>
      <c r="I141" s="1256"/>
      <c r="J141" s="1254"/>
      <c r="K141" s="1256">
        <v>7</v>
      </c>
      <c r="L141" s="1254"/>
      <c r="M141" s="1256"/>
      <c r="N141" s="1254"/>
      <c r="O141" s="1254" t="s">
        <v>2491</v>
      </c>
      <c r="P141" s="1254">
        <v>3160.5</v>
      </c>
      <c r="Q141" s="1253"/>
      <c r="R141" s="1253"/>
      <c r="S141" s="1253"/>
      <c r="T141" s="1253"/>
    </row>
    <row r="142" spans="1:36" s="1255" customFormat="1" ht="12.75" hidden="1" customHeight="1">
      <c r="A142" s="1257" t="s">
        <v>28</v>
      </c>
      <c r="B142" s="1254">
        <v>1.08</v>
      </c>
      <c r="C142" s="1254" t="s">
        <v>93</v>
      </c>
      <c r="D142" s="1254" t="s">
        <v>93</v>
      </c>
      <c r="E142" s="1254" t="s">
        <v>93</v>
      </c>
      <c r="F142" s="1254">
        <v>88.507000000000005</v>
      </c>
      <c r="G142" s="1254"/>
      <c r="H142" s="1254"/>
      <c r="I142" s="1256"/>
      <c r="J142" s="1254"/>
      <c r="K142" s="1256">
        <v>7</v>
      </c>
      <c r="L142" s="1254"/>
      <c r="M142" s="1256"/>
      <c r="N142" s="1254"/>
      <c r="O142" s="1254" t="s">
        <v>2491</v>
      </c>
      <c r="P142" s="1254">
        <v>3165.35</v>
      </c>
      <c r="Q142" s="1253"/>
      <c r="R142" s="1253"/>
      <c r="S142" s="1253"/>
      <c r="T142" s="1253"/>
    </row>
    <row r="143" spans="1:36" s="1255" customFormat="1" ht="12.75" hidden="1" customHeight="1">
      <c r="A143" s="1257" t="s">
        <v>29</v>
      </c>
      <c r="B143" s="1254">
        <v>1.06</v>
      </c>
      <c r="C143" s="1254" t="s">
        <v>93</v>
      </c>
      <c r="D143" s="1254" t="s">
        <v>93</v>
      </c>
      <c r="E143" s="1254" t="s">
        <v>93</v>
      </c>
      <c r="F143" s="1254">
        <v>69.004000000000005</v>
      </c>
      <c r="G143" s="1254"/>
      <c r="H143" s="1254"/>
      <c r="I143" s="1256"/>
      <c r="J143" s="1254"/>
      <c r="K143" s="1256">
        <v>7</v>
      </c>
      <c r="L143" s="1254"/>
      <c r="M143" s="1256"/>
      <c r="N143" s="1254"/>
      <c r="O143" s="1254" t="s">
        <v>2491</v>
      </c>
      <c r="P143" s="1254">
        <v>3149.29</v>
      </c>
      <c r="Q143" s="1253"/>
      <c r="R143" s="1253"/>
      <c r="S143" s="1253"/>
      <c r="T143" s="1253"/>
    </row>
    <row r="144" spans="1:36" s="476" customFormat="1" ht="12.75" hidden="1" customHeight="1">
      <c r="A144" s="1251" t="s">
        <v>1634</v>
      </c>
      <c r="B144" s="1258">
        <f t="shared" ref="B144:H144" si="0">B156</f>
        <v>0.91</v>
      </c>
      <c r="C144" s="1259" t="str">
        <f t="shared" si="0"/>
        <v>-</v>
      </c>
      <c r="D144" s="1259" t="str">
        <f t="shared" si="0"/>
        <v>-</v>
      </c>
      <c r="E144" s="1259" t="str">
        <f t="shared" si="0"/>
        <v>-</v>
      </c>
      <c r="F144" s="1259">
        <f t="shared" si="0"/>
        <v>27</v>
      </c>
      <c r="G144" s="1259" t="str">
        <f t="shared" si="0"/>
        <v>-</v>
      </c>
      <c r="H144" s="1259" t="str">
        <f t="shared" si="0"/>
        <v>-</v>
      </c>
      <c r="I144" s="1258"/>
      <c r="J144" s="1259"/>
      <c r="K144" s="1258">
        <v>5</v>
      </c>
      <c r="L144" s="1259" t="s">
        <v>93</v>
      </c>
      <c r="M144" s="1258"/>
      <c r="N144" s="1259"/>
      <c r="O144" s="1258">
        <f>O156</f>
        <v>3.5</v>
      </c>
      <c r="P144" s="1259">
        <f t="shared" ref="P144" si="1">P156</f>
        <v>3220.42</v>
      </c>
      <c r="Q144" s="1253"/>
      <c r="R144" s="1253"/>
      <c r="S144" s="1253"/>
      <c r="T144" s="1253"/>
      <c r="U144" s="475"/>
      <c r="V144" s="475"/>
      <c r="W144" s="475"/>
      <c r="X144" s="475"/>
      <c r="Y144" s="475"/>
      <c r="Z144" s="475"/>
      <c r="AA144" s="475"/>
      <c r="AB144" s="475"/>
      <c r="AC144" s="475"/>
      <c r="AD144" s="475"/>
      <c r="AE144" s="475"/>
      <c r="AF144" s="475"/>
      <c r="AG144" s="475"/>
      <c r="AH144" s="475"/>
      <c r="AI144" s="475"/>
      <c r="AJ144" s="475"/>
    </row>
    <row r="145" spans="1:36" s="1261" customFormat="1" ht="12.75" hidden="1" customHeight="1">
      <c r="A145" s="743" t="s">
        <v>18</v>
      </c>
      <c r="B145" s="1260">
        <v>1.07</v>
      </c>
      <c r="C145" s="478" t="s">
        <v>93</v>
      </c>
      <c r="D145" s="478" t="s">
        <v>93</v>
      </c>
      <c r="E145" s="478" t="s">
        <v>93</v>
      </c>
      <c r="F145" s="478">
        <v>94.995000000000005</v>
      </c>
      <c r="G145" s="478" t="s">
        <v>93</v>
      </c>
      <c r="H145" s="478" t="s">
        <v>93</v>
      </c>
      <c r="I145" s="1260"/>
      <c r="J145" s="478"/>
      <c r="K145" s="1260">
        <v>7</v>
      </c>
      <c r="L145" s="478" t="s">
        <v>93</v>
      </c>
      <c r="M145" s="1260"/>
      <c r="N145" s="478"/>
      <c r="O145" s="1260">
        <v>4.75</v>
      </c>
      <c r="P145" s="478">
        <v>3166.69</v>
      </c>
      <c r="Q145" s="1253"/>
      <c r="R145" s="1253"/>
      <c r="S145" s="1253"/>
      <c r="T145" s="1253"/>
      <c r="U145" s="1255"/>
      <c r="V145" s="1255"/>
      <c r="W145" s="1255"/>
      <c r="X145" s="1255"/>
      <c r="Y145" s="1255"/>
      <c r="Z145" s="1255"/>
      <c r="AA145" s="1255"/>
      <c r="AB145" s="1255"/>
      <c r="AC145" s="1255"/>
      <c r="AD145" s="1255"/>
      <c r="AE145" s="1255"/>
      <c r="AF145" s="1255"/>
      <c r="AG145" s="1255"/>
      <c r="AH145" s="1255"/>
      <c r="AI145" s="1255"/>
      <c r="AJ145" s="1255"/>
    </row>
    <row r="146" spans="1:36" s="1262" customFormat="1" ht="12.75" hidden="1" customHeight="1">
      <c r="A146" s="743" t="s">
        <v>19</v>
      </c>
      <c r="B146" s="1260">
        <v>1</v>
      </c>
      <c r="C146" s="478" t="s">
        <v>93</v>
      </c>
      <c r="D146" s="478" t="s">
        <v>93</v>
      </c>
      <c r="E146" s="478" t="s">
        <v>93</v>
      </c>
      <c r="F146" s="478">
        <v>94.995000000000005</v>
      </c>
      <c r="G146" s="478" t="s">
        <v>93</v>
      </c>
      <c r="H146" s="478" t="s">
        <v>93</v>
      </c>
      <c r="I146" s="1260"/>
      <c r="J146" s="478"/>
      <c r="K146" s="1260">
        <v>7</v>
      </c>
      <c r="L146" s="478" t="s">
        <v>93</v>
      </c>
      <c r="M146" s="1260"/>
      <c r="N146" s="478"/>
      <c r="O146" s="1260">
        <v>4.75</v>
      </c>
      <c r="P146" s="478">
        <v>3155.05</v>
      </c>
      <c r="Q146" s="1253"/>
      <c r="R146" s="1253"/>
      <c r="S146" s="1253"/>
      <c r="T146" s="1253"/>
      <c r="U146" s="1255"/>
      <c r="V146" s="1255"/>
      <c r="W146" s="1255"/>
      <c r="X146" s="1255"/>
      <c r="Y146" s="1255"/>
      <c r="Z146" s="1255"/>
      <c r="AA146" s="1255"/>
      <c r="AB146" s="1255"/>
      <c r="AC146" s="1255"/>
      <c r="AD146" s="1255"/>
      <c r="AE146" s="1255"/>
      <c r="AF146" s="1255"/>
      <c r="AG146" s="1255"/>
      <c r="AH146" s="1255"/>
      <c r="AI146" s="1255"/>
      <c r="AJ146" s="1255"/>
    </row>
    <row r="147" spans="1:36" s="1261" customFormat="1" ht="12.75" hidden="1" customHeight="1">
      <c r="A147" s="743" t="s">
        <v>20</v>
      </c>
      <c r="B147" s="1260">
        <v>1</v>
      </c>
      <c r="C147" s="478" t="s">
        <v>93</v>
      </c>
      <c r="D147" s="478" t="s">
        <v>93</v>
      </c>
      <c r="E147" s="478" t="s">
        <v>93</v>
      </c>
      <c r="F147" s="478">
        <v>90</v>
      </c>
      <c r="G147" s="478" t="s">
        <v>93</v>
      </c>
      <c r="H147" s="478" t="s">
        <v>93</v>
      </c>
      <c r="I147" s="1260"/>
      <c r="J147" s="478"/>
      <c r="K147" s="1260">
        <v>7</v>
      </c>
      <c r="L147" s="478" t="s">
        <v>93</v>
      </c>
      <c r="M147" s="1260"/>
      <c r="N147" s="478"/>
      <c r="O147" s="1260">
        <v>4.75</v>
      </c>
      <c r="P147" s="478">
        <v>3128.09</v>
      </c>
      <c r="Q147" s="1253"/>
      <c r="R147" s="1253"/>
      <c r="S147" s="1253"/>
      <c r="T147" s="1253"/>
      <c r="U147" s="1255"/>
      <c r="V147" s="1255"/>
      <c r="W147" s="1255"/>
      <c r="X147" s="1255"/>
      <c r="Y147" s="1255"/>
      <c r="Z147" s="1255"/>
      <c r="AA147" s="1255"/>
      <c r="AB147" s="1255"/>
      <c r="AC147" s="1255"/>
      <c r="AD147" s="1255"/>
      <c r="AE147" s="1255"/>
      <c r="AF147" s="1255"/>
      <c r="AG147" s="1255"/>
      <c r="AH147" s="1255"/>
      <c r="AI147" s="1255"/>
      <c r="AJ147" s="1255"/>
    </row>
    <row r="148" spans="1:36" s="1262" customFormat="1" ht="12.75" hidden="1" customHeight="1">
      <c r="A148" s="743" t="s">
        <v>21</v>
      </c>
      <c r="B148" s="1260">
        <v>1</v>
      </c>
      <c r="C148" s="478" t="s">
        <v>93</v>
      </c>
      <c r="D148" s="478" t="s">
        <v>93</v>
      </c>
      <c r="E148" s="478" t="s">
        <v>93</v>
      </c>
      <c r="F148" s="478">
        <v>120</v>
      </c>
      <c r="G148" s="478" t="s">
        <v>93</v>
      </c>
      <c r="H148" s="478" t="s">
        <v>93</v>
      </c>
      <c r="I148" s="1260"/>
      <c r="J148" s="478"/>
      <c r="K148" s="1260">
        <v>7</v>
      </c>
      <c r="L148" s="478" t="s">
        <v>93</v>
      </c>
      <c r="M148" s="1260"/>
      <c r="N148" s="478"/>
      <c r="O148" s="1260">
        <v>4.75</v>
      </c>
      <c r="P148" s="478">
        <v>3124.03</v>
      </c>
      <c r="Q148" s="1253"/>
      <c r="R148" s="1253"/>
      <c r="S148" s="1253"/>
      <c r="T148" s="1253"/>
      <c r="U148" s="1255"/>
      <c r="V148" s="1255"/>
      <c r="W148" s="1255"/>
      <c r="X148" s="1255"/>
      <c r="Y148" s="1255"/>
      <c r="Z148" s="1255"/>
      <c r="AA148" s="1255"/>
      <c r="AB148" s="1255"/>
      <c r="AC148" s="1255"/>
      <c r="AD148" s="1255"/>
      <c r="AE148" s="1255"/>
      <c r="AF148" s="1255"/>
      <c r="AG148" s="1255"/>
      <c r="AH148" s="1255"/>
      <c r="AI148" s="1255"/>
      <c r="AJ148" s="1255"/>
    </row>
    <row r="149" spans="1:36" s="1261" customFormat="1" ht="12.75" hidden="1" customHeight="1">
      <c r="A149" s="743" t="s">
        <v>22</v>
      </c>
      <c r="B149" s="1260">
        <v>0.99</v>
      </c>
      <c r="C149" s="478" t="s">
        <v>93</v>
      </c>
      <c r="D149" s="478" t="s">
        <v>93</v>
      </c>
      <c r="E149" s="478" t="s">
        <v>93</v>
      </c>
      <c r="F149" s="478">
        <v>90</v>
      </c>
      <c r="G149" s="478" t="s">
        <v>93</v>
      </c>
      <c r="H149" s="478" t="s">
        <v>93</v>
      </c>
      <c r="I149" s="1260"/>
      <c r="J149" s="478"/>
      <c r="K149" s="1260">
        <v>6</v>
      </c>
      <c r="L149" s="478" t="s">
        <v>93</v>
      </c>
      <c r="M149" s="1260"/>
      <c r="N149" s="478"/>
      <c r="O149" s="1260">
        <v>4.25</v>
      </c>
      <c r="P149" s="478">
        <v>3139.1030000000001</v>
      </c>
      <c r="Q149" s="1253"/>
      <c r="R149" s="1253"/>
      <c r="S149" s="1253"/>
      <c r="T149" s="1253"/>
      <c r="U149" s="1255"/>
      <c r="V149" s="1255"/>
      <c r="W149" s="1255"/>
      <c r="X149" s="1255"/>
      <c r="Y149" s="1255"/>
      <c r="Z149" s="1255"/>
      <c r="AA149" s="1255"/>
      <c r="AB149" s="1255"/>
      <c r="AC149" s="1255"/>
      <c r="AD149" s="1255"/>
      <c r="AE149" s="1255"/>
      <c r="AF149" s="1255"/>
      <c r="AG149" s="1255"/>
      <c r="AH149" s="1255"/>
      <c r="AI149" s="1255"/>
      <c r="AJ149" s="1255"/>
    </row>
    <row r="150" spans="1:36" s="1262" customFormat="1" ht="12.75" hidden="1" customHeight="1">
      <c r="A150" s="743" t="s">
        <v>23</v>
      </c>
      <c r="B150" s="1260">
        <v>0.99</v>
      </c>
      <c r="C150" s="478" t="s">
        <v>93</v>
      </c>
      <c r="D150" s="478" t="s">
        <v>93</v>
      </c>
      <c r="E150" s="478" t="s">
        <v>93</v>
      </c>
      <c r="F150" s="478">
        <v>10</v>
      </c>
      <c r="G150" s="478" t="s">
        <v>93</v>
      </c>
      <c r="H150" s="478" t="s">
        <v>93</v>
      </c>
      <c r="I150" s="1260"/>
      <c r="J150" s="478"/>
      <c r="K150" s="1260">
        <v>6</v>
      </c>
      <c r="L150" s="478" t="s">
        <v>93</v>
      </c>
      <c r="M150" s="1260"/>
      <c r="N150" s="478"/>
      <c r="O150" s="1260">
        <v>4.25</v>
      </c>
      <c r="P150" s="478">
        <v>3123.22</v>
      </c>
      <c r="Q150" s="1253"/>
      <c r="R150" s="1253"/>
      <c r="S150" s="1253"/>
      <c r="T150" s="1253"/>
      <c r="U150" s="1255"/>
      <c r="V150" s="1255"/>
      <c r="W150" s="1255"/>
      <c r="X150" s="1255"/>
      <c r="Y150" s="1255"/>
      <c r="Z150" s="1255"/>
      <c r="AA150" s="1255"/>
      <c r="AB150" s="1255"/>
      <c r="AC150" s="1255"/>
      <c r="AD150" s="1255"/>
      <c r="AE150" s="1255"/>
      <c r="AF150" s="1255"/>
      <c r="AG150" s="1255"/>
      <c r="AH150" s="1255"/>
      <c r="AI150" s="1255"/>
      <c r="AJ150" s="1255"/>
    </row>
    <row r="151" spans="1:36" s="1261" customFormat="1" ht="12.75" hidden="1" customHeight="1">
      <c r="A151" s="743" t="s">
        <v>24</v>
      </c>
      <c r="B151" s="1260">
        <v>0.99</v>
      </c>
      <c r="C151" s="478" t="s">
        <v>93</v>
      </c>
      <c r="D151" s="478" t="s">
        <v>93</v>
      </c>
      <c r="E151" s="478" t="s">
        <v>93</v>
      </c>
      <c r="F151" s="478">
        <v>0</v>
      </c>
      <c r="G151" s="478" t="s">
        <v>93</v>
      </c>
      <c r="H151" s="478" t="s">
        <v>93</v>
      </c>
      <c r="I151" s="1260"/>
      <c r="J151" s="478"/>
      <c r="K151" s="1260">
        <v>6</v>
      </c>
      <c r="L151" s="478" t="s">
        <v>93</v>
      </c>
      <c r="M151" s="1260"/>
      <c r="N151" s="478"/>
      <c r="O151" s="1260">
        <v>4.25</v>
      </c>
      <c r="P151" s="478">
        <v>3102.63</v>
      </c>
      <c r="Q151" s="1253"/>
      <c r="R151" s="1253"/>
      <c r="S151" s="1253"/>
      <c r="T151" s="1253"/>
      <c r="U151" s="1255"/>
      <c r="V151" s="1255"/>
      <c r="W151" s="1255"/>
      <c r="X151" s="1255"/>
      <c r="Y151" s="1255"/>
      <c r="Z151" s="1255"/>
      <c r="AA151" s="1255"/>
      <c r="AB151" s="1255"/>
      <c r="AC151" s="1255"/>
      <c r="AD151" s="1255"/>
      <c r="AE151" s="1255"/>
      <c r="AF151" s="1255"/>
      <c r="AG151" s="1255"/>
      <c r="AH151" s="1255"/>
      <c r="AI151" s="1255"/>
      <c r="AJ151" s="1255"/>
    </row>
    <row r="152" spans="1:36" s="1262" customFormat="1" ht="12.75" hidden="1" customHeight="1">
      <c r="A152" s="743" t="s">
        <v>25</v>
      </c>
      <c r="B152" s="1260">
        <v>1.1000000000000001</v>
      </c>
      <c r="C152" s="478" t="s">
        <v>93</v>
      </c>
      <c r="D152" s="478" t="s">
        <v>93</v>
      </c>
      <c r="E152" s="478" t="s">
        <v>93</v>
      </c>
      <c r="F152" s="478">
        <v>9</v>
      </c>
      <c r="G152" s="478" t="s">
        <v>93</v>
      </c>
      <c r="H152" s="478" t="s">
        <v>93</v>
      </c>
      <c r="I152" s="1260"/>
      <c r="J152" s="478"/>
      <c r="K152" s="1260">
        <v>5</v>
      </c>
      <c r="L152" s="478" t="s">
        <v>93</v>
      </c>
      <c r="M152" s="1260"/>
      <c r="N152" s="478"/>
      <c r="O152" s="1260">
        <v>3.5</v>
      </c>
      <c r="P152" s="478">
        <v>3098.27</v>
      </c>
      <c r="Q152" s="1253"/>
      <c r="R152" s="1253"/>
      <c r="S152" s="1253"/>
      <c r="T152" s="1253"/>
      <c r="U152" s="1255"/>
      <c r="V152" s="1255"/>
      <c r="W152" s="1255"/>
      <c r="X152" s="1255"/>
      <c r="Y152" s="1255"/>
      <c r="Z152" s="1255"/>
      <c r="AA152" s="1255"/>
      <c r="AB152" s="1255"/>
      <c r="AC152" s="1255"/>
      <c r="AD152" s="1255"/>
      <c r="AE152" s="1255"/>
      <c r="AF152" s="1255"/>
      <c r="AG152" s="1255"/>
      <c r="AH152" s="1255"/>
      <c r="AI152" s="1255"/>
      <c r="AJ152" s="1255"/>
    </row>
    <row r="153" spans="1:36" s="1261" customFormat="1" ht="12.75" hidden="1" customHeight="1">
      <c r="A153" s="743" t="s">
        <v>26</v>
      </c>
      <c r="B153" s="1260">
        <v>1.05</v>
      </c>
      <c r="C153" s="478" t="s">
        <v>93</v>
      </c>
      <c r="D153" s="478" t="s">
        <v>93</v>
      </c>
      <c r="E153" s="478" t="s">
        <v>93</v>
      </c>
      <c r="F153" s="478">
        <v>15</v>
      </c>
      <c r="G153" s="478" t="s">
        <v>93</v>
      </c>
      <c r="H153" s="478" t="s">
        <v>93</v>
      </c>
      <c r="I153" s="1260"/>
      <c r="J153" s="478"/>
      <c r="K153" s="1260">
        <v>5</v>
      </c>
      <c r="L153" s="478" t="s">
        <v>93</v>
      </c>
      <c r="M153" s="1260"/>
      <c r="N153" s="478"/>
      <c r="O153" s="1260">
        <v>3.5</v>
      </c>
      <c r="P153" s="478">
        <v>3076.12</v>
      </c>
      <c r="Q153" s="1253"/>
      <c r="R153" s="1253"/>
      <c r="S153" s="1253"/>
      <c r="T153" s="1253"/>
      <c r="U153" s="1255"/>
      <c r="V153" s="1255"/>
      <c r="W153" s="1255"/>
      <c r="X153" s="1255"/>
      <c r="Y153" s="1255"/>
      <c r="Z153" s="1255"/>
      <c r="AA153" s="1255"/>
      <c r="AB153" s="1255"/>
      <c r="AC153" s="1255"/>
      <c r="AD153" s="1255"/>
      <c r="AE153" s="1255"/>
      <c r="AF153" s="1255"/>
      <c r="AG153" s="1255"/>
      <c r="AH153" s="1255"/>
      <c r="AI153" s="1255"/>
      <c r="AJ153" s="1255"/>
    </row>
    <row r="154" spans="1:36" s="1262" customFormat="1" ht="12.75" hidden="1" customHeight="1">
      <c r="A154" s="743" t="s">
        <v>27</v>
      </c>
      <c r="B154" s="1260">
        <v>0.97</v>
      </c>
      <c r="C154" s="478" t="s">
        <v>93</v>
      </c>
      <c r="D154" s="478" t="s">
        <v>93</v>
      </c>
      <c r="E154" s="478" t="s">
        <v>93</v>
      </c>
      <c r="F154" s="478">
        <v>10</v>
      </c>
      <c r="G154" s="478" t="s">
        <v>93</v>
      </c>
      <c r="H154" s="478" t="s">
        <v>93</v>
      </c>
      <c r="I154" s="1260"/>
      <c r="J154" s="478"/>
      <c r="K154" s="1260">
        <v>5</v>
      </c>
      <c r="L154" s="478" t="s">
        <v>93</v>
      </c>
      <c r="M154" s="1260"/>
      <c r="N154" s="478"/>
      <c r="O154" s="1260">
        <v>3.5</v>
      </c>
      <c r="P154" s="478">
        <v>3071.1</v>
      </c>
      <c r="Q154" s="1253"/>
      <c r="R154" s="1253"/>
      <c r="S154" s="1253"/>
      <c r="T154" s="1253"/>
      <c r="U154" s="1255"/>
      <c r="V154" s="1255"/>
      <c r="W154" s="1255"/>
      <c r="X154" s="1255"/>
      <c r="Y154" s="1255"/>
      <c r="Z154" s="1255"/>
      <c r="AA154" s="1255"/>
      <c r="AB154" s="1255"/>
      <c r="AC154" s="1255"/>
      <c r="AD154" s="1255"/>
      <c r="AE154" s="1255"/>
      <c r="AF154" s="1255"/>
      <c r="AG154" s="1255"/>
      <c r="AH154" s="1255"/>
      <c r="AI154" s="1255"/>
      <c r="AJ154" s="1255"/>
    </row>
    <row r="155" spans="1:36" s="1261" customFormat="1" ht="12.75" hidden="1" customHeight="1">
      <c r="A155" s="743" t="s">
        <v>28</v>
      </c>
      <c r="B155" s="1260">
        <v>0.96</v>
      </c>
      <c r="C155" s="478" t="s">
        <v>93</v>
      </c>
      <c r="D155" s="478" t="s">
        <v>93</v>
      </c>
      <c r="E155" s="478" t="s">
        <v>93</v>
      </c>
      <c r="F155" s="478">
        <v>30</v>
      </c>
      <c r="G155" s="478" t="s">
        <v>93</v>
      </c>
      <c r="H155" s="478" t="s">
        <v>93</v>
      </c>
      <c r="I155" s="1260"/>
      <c r="J155" s="478"/>
      <c r="K155" s="1260">
        <v>5</v>
      </c>
      <c r="L155" s="478" t="s">
        <v>93</v>
      </c>
      <c r="M155" s="1260"/>
      <c r="N155" s="478"/>
      <c r="O155" s="1260">
        <v>3.5</v>
      </c>
      <c r="P155" s="478">
        <v>3200.31</v>
      </c>
      <c r="Q155" s="1253"/>
      <c r="R155" s="1253"/>
      <c r="S155" s="1253"/>
      <c r="T155" s="1253"/>
      <c r="U155" s="1255"/>
      <c r="V155" s="1255"/>
      <c r="W155" s="1255"/>
      <c r="X155" s="1255"/>
      <c r="Y155" s="1255"/>
      <c r="Z155" s="1255"/>
      <c r="AA155" s="1255"/>
      <c r="AB155" s="1255"/>
      <c r="AC155" s="1255"/>
      <c r="AD155" s="1255"/>
      <c r="AE155" s="1255"/>
      <c r="AF155" s="1255"/>
      <c r="AG155" s="1255"/>
      <c r="AH155" s="1255"/>
      <c r="AI155" s="1255"/>
      <c r="AJ155" s="1255"/>
    </row>
    <row r="156" spans="1:36" s="1262" customFormat="1" ht="12.75" hidden="1" customHeight="1">
      <c r="A156" s="743" t="s">
        <v>29</v>
      </c>
      <c r="B156" s="1260">
        <v>0.91</v>
      </c>
      <c r="C156" s="478" t="s">
        <v>93</v>
      </c>
      <c r="D156" s="478" t="s">
        <v>93</v>
      </c>
      <c r="E156" s="478" t="s">
        <v>93</v>
      </c>
      <c r="F156" s="478">
        <v>27</v>
      </c>
      <c r="G156" s="478" t="s">
        <v>93</v>
      </c>
      <c r="H156" s="478" t="s">
        <v>93</v>
      </c>
      <c r="I156" s="1260"/>
      <c r="J156" s="478"/>
      <c r="K156" s="1260">
        <v>5</v>
      </c>
      <c r="L156" s="478" t="s">
        <v>93</v>
      </c>
      <c r="M156" s="1260"/>
      <c r="N156" s="478"/>
      <c r="O156" s="1260">
        <v>3.5</v>
      </c>
      <c r="P156" s="478">
        <v>3220.42</v>
      </c>
      <c r="Q156" s="1253"/>
      <c r="R156" s="1253"/>
      <c r="S156" s="1253"/>
      <c r="T156" s="1253"/>
      <c r="U156" s="1255"/>
      <c r="V156" s="1255"/>
      <c r="W156" s="1255"/>
      <c r="X156" s="1255"/>
      <c r="Y156" s="1255"/>
      <c r="Z156" s="1255"/>
      <c r="AA156" s="1255"/>
      <c r="AB156" s="1255"/>
      <c r="AC156" s="1255"/>
      <c r="AD156" s="1255"/>
      <c r="AE156" s="1255"/>
      <c r="AF156" s="1255"/>
      <c r="AG156" s="1255"/>
      <c r="AH156" s="1255"/>
      <c r="AI156" s="1255"/>
      <c r="AJ156" s="1255"/>
    </row>
    <row r="157" spans="1:36" s="472" customFormat="1" ht="12.75" hidden="1" customHeight="1">
      <c r="A157" s="742" t="s">
        <v>1829</v>
      </c>
      <c r="B157" s="473">
        <f t="shared" ref="B157:H157" si="2">B169</f>
        <v>0.91</v>
      </c>
      <c r="C157" s="474" t="str">
        <f t="shared" si="2"/>
        <v>-</v>
      </c>
      <c r="D157" s="474" t="str">
        <f t="shared" si="2"/>
        <v>-</v>
      </c>
      <c r="E157" s="474" t="str">
        <f t="shared" si="2"/>
        <v>-</v>
      </c>
      <c r="F157" s="474" t="str">
        <f t="shared" si="2"/>
        <v>-</v>
      </c>
      <c r="G157" s="474" t="str">
        <f t="shared" si="2"/>
        <v>-</v>
      </c>
      <c r="H157" s="474" t="str">
        <f t="shared" si="2"/>
        <v>-</v>
      </c>
      <c r="I157" s="473"/>
      <c r="J157" s="474"/>
      <c r="K157" s="473">
        <v>5</v>
      </c>
      <c r="L157" s="474" t="s">
        <v>93</v>
      </c>
      <c r="M157" s="473"/>
      <c r="N157" s="474"/>
      <c r="O157" s="473">
        <f>O169</f>
        <v>3</v>
      </c>
      <c r="P157" s="474">
        <f t="shared" ref="P157" si="3">P169</f>
        <v>6157.71</v>
      </c>
      <c r="Q157" s="1253"/>
      <c r="R157" s="1253"/>
      <c r="S157" s="1253"/>
      <c r="T157" s="1253"/>
      <c r="U157" s="471"/>
      <c r="V157" s="471"/>
      <c r="W157" s="471"/>
      <c r="X157" s="471"/>
      <c r="Y157" s="471"/>
      <c r="Z157" s="471"/>
      <c r="AA157" s="471"/>
      <c r="AB157" s="471"/>
      <c r="AC157" s="471"/>
      <c r="AD157" s="471"/>
      <c r="AE157" s="471"/>
      <c r="AF157" s="471"/>
      <c r="AG157" s="471"/>
      <c r="AH157" s="471"/>
      <c r="AI157" s="471"/>
      <c r="AJ157" s="471"/>
    </row>
    <row r="158" spans="1:36" s="1262" customFormat="1" ht="12.75" hidden="1" customHeight="1">
      <c r="A158" s="743" t="s">
        <v>18</v>
      </c>
      <c r="B158" s="1260">
        <v>0.91</v>
      </c>
      <c r="C158" s="478" t="s">
        <v>93</v>
      </c>
      <c r="D158" s="478" t="s">
        <v>93</v>
      </c>
      <c r="E158" s="478" t="s">
        <v>93</v>
      </c>
      <c r="F158" s="478" t="s">
        <v>93</v>
      </c>
      <c r="G158" s="478" t="s">
        <v>93</v>
      </c>
      <c r="H158" s="478" t="s">
        <v>93</v>
      </c>
      <c r="I158" s="1260"/>
      <c r="J158" s="478"/>
      <c r="K158" s="1260">
        <v>5</v>
      </c>
      <c r="L158" s="478" t="s">
        <v>93</v>
      </c>
      <c r="M158" s="1260"/>
      <c r="N158" s="478"/>
      <c r="O158" s="1260" t="s">
        <v>2632</v>
      </c>
      <c r="P158" s="478">
        <v>3214.2</v>
      </c>
      <c r="Q158" s="1253"/>
      <c r="R158" s="1253"/>
      <c r="S158" s="1253"/>
      <c r="T158" s="1253"/>
      <c r="U158" s="1255"/>
      <c r="V158" s="1255"/>
      <c r="W158" s="1255"/>
      <c r="X158" s="1255"/>
      <c r="Y158" s="1255"/>
      <c r="Z158" s="1255"/>
      <c r="AA158" s="1255"/>
      <c r="AB158" s="1255"/>
      <c r="AC158" s="1255"/>
      <c r="AD158" s="1255"/>
      <c r="AE158" s="1255"/>
      <c r="AF158" s="1255"/>
      <c r="AG158" s="1255"/>
      <c r="AH158" s="1255"/>
      <c r="AI158" s="1255"/>
      <c r="AJ158" s="1255"/>
    </row>
    <row r="159" spans="1:36" s="1261" customFormat="1" ht="12.75" hidden="1" customHeight="1">
      <c r="A159" s="743" t="s">
        <v>19</v>
      </c>
      <c r="B159" s="1260">
        <v>0.91</v>
      </c>
      <c r="C159" s="478" t="s">
        <v>93</v>
      </c>
      <c r="D159" s="478" t="s">
        <v>93</v>
      </c>
      <c r="E159" s="478" t="s">
        <v>93</v>
      </c>
      <c r="F159" s="478" t="s">
        <v>93</v>
      </c>
      <c r="G159" s="478" t="s">
        <v>93</v>
      </c>
      <c r="H159" s="478" t="s">
        <v>93</v>
      </c>
      <c r="I159" s="1260"/>
      <c r="J159" s="478"/>
      <c r="K159" s="1260">
        <v>5</v>
      </c>
      <c r="L159" s="478" t="s">
        <v>93</v>
      </c>
      <c r="M159" s="1260"/>
      <c r="N159" s="478"/>
      <c r="O159" s="1260" t="s">
        <v>2632</v>
      </c>
      <c r="P159" s="478">
        <v>3229.21</v>
      </c>
      <c r="Q159" s="1253"/>
      <c r="R159" s="1253"/>
      <c r="S159" s="1253"/>
      <c r="T159" s="1253"/>
      <c r="U159" s="1255"/>
      <c r="V159" s="1255"/>
      <c r="W159" s="1255"/>
      <c r="X159" s="1255"/>
      <c r="Y159" s="1255"/>
      <c r="Z159" s="1255"/>
      <c r="AA159" s="1255"/>
      <c r="AB159" s="1255"/>
      <c r="AC159" s="1255"/>
      <c r="AD159" s="1255"/>
      <c r="AE159" s="1255"/>
      <c r="AF159" s="1255"/>
      <c r="AG159" s="1255"/>
      <c r="AH159" s="1255"/>
      <c r="AI159" s="1255"/>
      <c r="AJ159" s="1255"/>
    </row>
    <row r="160" spans="1:36" s="1262" customFormat="1" ht="12.75" hidden="1" customHeight="1">
      <c r="A160" s="743" t="s">
        <v>20</v>
      </c>
      <c r="B160" s="1260">
        <v>0.91</v>
      </c>
      <c r="C160" s="478" t="s">
        <v>93</v>
      </c>
      <c r="D160" s="478" t="s">
        <v>93</v>
      </c>
      <c r="E160" s="478" t="s">
        <v>93</v>
      </c>
      <c r="F160" s="478" t="s">
        <v>93</v>
      </c>
      <c r="G160" s="478" t="s">
        <v>93</v>
      </c>
      <c r="H160" s="478" t="s">
        <v>93</v>
      </c>
      <c r="I160" s="1260"/>
      <c r="J160" s="478"/>
      <c r="K160" s="1260">
        <v>5</v>
      </c>
      <c r="L160" s="478" t="s">
        <v>93</v>
      </c>
      <c r="M160" s="1260"/>
      <c r="N160" s="478"/>
      <c r="O160" s="1260" t="s">
        <v>2632</v>
      </c>
      <c r="P160" s="478">
        <v>3883.37</v>
      </c>
      <c r="Q160" s="1253"/>
      <c r="R160" s="1253"/>
      <c r="S160" s="1253"/>
      <c r="T160" s="1253"/>
      <c r="U160" s="1255"/>
      <c r="V160" s="1255"/>
      <c r="W160" s="1255"/>
      <c r="X160" s="1255"/>
      <c r="Y160" s="1255"/>
      <c r="Z160" s="1255"/>
      <c r="AA160" s="1255"/>
      <c r="AB160" s="1255"/>
      <c r="AC160" s="1255"/>
      <c r="AD160" s="1255"/>
      <c r="AE160" s="1255"/>
      <c r="AF160" s="1255"/>
      <c r="AG160" s="1255"/>
      <c r="AH160" s="1255"/>
      <c r="AI160" s="1255"/>
      <c r="AJ160" s="1255"/>
    </row>
    <row r="161" spans="1:36" s="1261" customFormat="1" ht="12.75" hidden="1" customHeight="1">
      <c r="A161" s="743" t="s">
        <v>21</v>
      </c>
      <c r="B161" s="1260">
        <v>0.91</v>
      </c>
      <c r="C161" s="478" t="s">
        <v>93</v>
      </c>
      <c r="D161" s="478" t="s">
        <v>93</v>
      </c>
      <c r="E161" s="478" t="s">
        <v>93</v>
      </c>
      <c r="F161" s="478" t="s">
        <v>93</v>
      </c>
      <c r="G161" s="478" t="s">
        <v>93</v>
      </c>
      <c r="H161" s="478" t="s">
        <v>93</v>
      </c>
      <c r="I161" s="1260"/>
      <c r="J161" s="478"/>
      <c r="K161" s="1260">
        <v>5</v>
      </c>
      <c r="L161" s="478" t="s">
        <v>93</v>
      </c>
      <c r="M161" s="1260"/>
      <c r="N161" s="478"/>
      <c r="O161" s="1260" t="s">
        <v>2632</v>
      </c>
      <c r="P161" s="478">
        <v>4063.12</v>
      </c>
      <c r="Q161" s="1253"/>
      <c r="R161" s="1253"/>
      <c r="S161" s="1253"/>
      <c r="T161" s="1253"/>
      <c r="U161" s="1255"/>
      <c r="V161" s="1255"/>
      <c r="W161" s="1255"/>
      <c r="X161" s="1255"/>
      <c r="Y161" s="1255"/>
      <c r="Z161" s="1255"/>
      <c r="AA161" s="1255"/>
      <c r="AB161" s="1255"/>
      <c r="AC161" s="1255"/>
      <c r="AD161" s="1255"/>
      <c r="AE161" s="1255"/>
      <c r="AF161" s="1255"/>
      <c r="AG161" s="1255"/>
      <c r="AH161" s="1255"/>
      <c r="AI161" s="1255"/>
      <c r="AJ161" s="1255"/>
    </row>
    <row r="162" spans="1:36" s="1262" customFormat="1" ht="12.75" hidden="1" customHeight="1">
      <c r="A162" s="743" t="s">
        <v>22</v>
      </c>
      <c r="B162" s="1260">
        <v>0.91</v>
      </c>
      <c r="C162" s="478" t="s">
        <v>93</v>
      </c>
      <c r="D162" s="478" t="s">
        <v>93</v>
      </c>
      <c r="E162" s="478" t="s">
        <v>93</v>
      </c>
      <c r="F162" s="478" t="s">
        <v>93</v>
      </c>
      <c r="G162" s="478" t="s">
        <v>93</v>
      </c>
      <c r="H162" s="478" t="s">
        <v>93</v>
      </c>
      <c r="I162" s="1260"/>
      <c r="J162" s="478"/>
      <c r="K162" s="1260">
        <v>5</v>
      </c>
      <c r="L162" s="478" t="s">
        <v>93</v>
      </c>
      <c r="M162" s="1260"/>
      <c r="N162" s="478"/>
      <c r="O162" s="1260" t="s">
        <v>2632</v>
      </c>
      <c r="P162" s="478">
        <v>4116.53</v>
      </c>
      <c r="Q162" s="1253"/>
      <c r="R162" s="1253"/>
      <c r="S162" s="1253"/>
      <c r="T162" s="1253"/>
      <c r="U162" s="1255"/>
      <c r="V162" s="1255"/>
      <c r="W162" s="1255"/>
      <c r="X162" s="1255"/>
      <c r="Y162" s="1255"/>
      <c r="Z162" s="1255"/>
      <c r="AA162" s="1255"/>
      <c r="AB162" s="1255"/>
      <c r="AC162" s="1255"/>
      <c r="AD162" s="1255"/>
      <c r="AE162" s="1255"/>
      <c r="AF162" s="1255"/>
      <c r="AG162" s="1255"/>
      <c r="AH162" s="1255"/>
      <c r="AI162" s="1255"/>
      <c r="AJ162" s="1255"/>
    </row>
    <row r="163" spans="1:36" s="1263" customFormat="1" ht="12.75" hidden="1" customHeight="1">
      <c r="A163" s="743" t="s">
        <v>23</v>
      </c>
      <c r="B163" s="1260">
        <v>0.91</v>
      </c>
      <c r="C163" s="478" t="s">
        <v>93</v>
      </c>
      <c r="D163" s="478" t="s">
        <v>93</v>
      </c>
      <c r="E163" s="478" t="s">
        <v>93</v>
      </c>
      <c r="F163" s="478" t="s">
        <v>93</v>
      </c>
      <c r="G163" s="478" t="s">
        <v>93</v>
      </c>
      <c r="H163" s="478" t="s">
        <v>93</v>
      </c>
      <c r="I163" s="1260"/>
      <c r="J163" s="478"/>
      <c r="K163" s="1260">
        <v>5</v>
      </c>
      <c r="L163" s="478" t="s">
        <v>93</v>
      </c>
      <c r="M163" s="1260"/>
      <c r="N163" s="478"/>
      <c r="O163" s="1260" t="s">
        <v>2632</v>
      </c>
      <c r="P163" s="478">
        <v>4230.6400000000003</v>
      </c>
      <c r="Q163" s="1253"/>
      <c r="R163" s="1253"/>
      <c r="S163" s="1253"/>
      <c r="T163" s="1253"/>
      <c r="U163" s="1253"/>
      <c r="V163" s="1253"/>
      <c r="W163" s="1253"/>
      <c r="X163" s="1253"/>
      <c r="Y163" s="1253"/>
      <c r="Z163" s="1253"/>
      <c r="AA163" s="1253"/>
      <c r="AB163" s="1253"/>
      <c r="AC163" s="1253"/>
      <c r="AD163" s="1253"/>
      <c r="AE163" s="1253"/>
      <c r="AF163" s="1253"/>
      <c r="AG163" s="1253"/>
      <c r="AH163" s="1253"/>
      <c r="AI163" s="1253"/>
      <c r="AJ163" s="1253"/>
    </row>
    <row r="164" spans="1:36" s="1262" customFormat="1" ht="12.75" hidden="1" customHeight="1">
      <c r="A164" s="743" t="s">
        <v>24</v>
      </c>
      <c r="B164" s="1260">
        <v>0.91</v>
      </c>
      <c r="C164" s="478" t="s">
        <v>93</v>
      </c>
      <c r="D164" s="478" t="s">
        <v>93</v>
      </c>
      <c r="E164" s="478" t="s">
        <v>93</v>
      </c>
      <c r="F164" s="478" t="s">
        <v>93</v>
      </c>
      <c r="G164" s="478" t="s">
        <v>93</v>
      </c>
      <c r="H164" s="478" t="s">
        <v>93</v>
      </c>
      <c r="I164" s="1260"/>
      <c r="J164" s="478"/>
      <c r="K164" s="1260">
        <v>5</v>
      </c>
      <c r="L164" s="478" t="s">
        <v>93</v>
      </c>
      <c r="M164" s="1260"/>
      <c r="N164" s="478"/>
      <c r="O164" s="1260">
        <v>3</v>
      </c>
      <c r="P164" s="478">
        <v>4380.8999999999996</v>
      </c>
      <c r="Q164" s="1253"/>
      <c r="R164" s="1253"/>
      <c r="S164" s="1253"/>
      <c r="T164" s="1253"/>
      <c r="U164" s="1255"/>
      <c r="V164" s="1255"/>
      <c r="W164" s="1255"/>
      <c r="X164" s="1255"/>
      <c r="Y164" s="1255"/>
      <c r="Z164" s="1255"/>
      <c r="AA164" s="1255"/>
      <c r="AB164" s="1255"/>
      <c r="AC164" s="1255"/>
      <c r="AD164" s="1255"/>
      <c r="AE164" s="1255"/>
      <c r="AF164" s="1255"/>
      <c r="AG164" s="1255"/>
      <c r="AH164" s="1255"/>
      <c r="AI164" s="1255"/>
      <c r="AJ164" s="1255"/>
    </row>
    <row r="165" spans="1:36" s="1262" customFormat="1" ht="12.75" hidden="1" customHeight="1">
      <c r="A165" s="743" t="s">
        <v>25</v>
      </c>
      <c r="B165" s="1260">
        <v>0.91</v>
      </c>
      <c r="C165" s="478" t="s">
        <v>93</v>
      </c>
      <c r="D165" s="478" t="s">
        <v>93</v>
      </c>
      <c r="E165" s="478" t="s">
        <v>93</v>
      </c>
      <c r="F165" s="478" t="s">
        <v>93</v>
      </c>
      <c r="G165" s="478" t="s">
        <v>93</v>
      </c>
      <c r="H165" s="478" t="s">
        <v>93</v>
      </c>
      <c r="I165" s="1260"/>
      <c r="J165" s="478"/>
      <c r="K165" s="1260">
        <v>5</v>
      </c>
      <c r="L165" s="478" t="s">
        <v>93</v>
      </c>
      <c r="M165" s="1260"/>
      <c r="N165" s="478"/>
      <c r="O165" s="1260">
        <v>3</v>
      </c>
      <c r="P165" s="478">
        <v>4944.76</v>
      </c>
      <c r="Q165" s="1253"/>
      <c r="R165" s="1253"/>
      <c r="S165" s="1253"/>
      <c r="T165" s="1253"/>
      <c r="U165" s="1255"/>
      <c r="V165" s="1255"/>
      <c r="W165" s="1255"/>
      <c r="X165" s="1255"/>
      <c r="Y165" s="1255"/>
      <c r="Z165" s="1255"/>
      <c r="AA165" s="1255"/>
      <c r="AB165" s="1255"/>
      <c r="AC165" s="1255"/>
      <c r="AD165" s="1255"/>
      <c r="AE165" s="1255"/>
      <c r="AF165" s="1255"/>
      <c r="AG165" s="1255"/>
      <c r="AH165" s="1255"/>
      <c r="AI165" s="1255"/>
      <c r="AJ165" s="1255"/>
    </row>
    <row r="166" spans="1:36" s="1262" customFormat="1" ht="12.75" hidden="1" customHeight="1">
      <c r="A166" s="743" t="s">
        <v>26</v>
      </c>
      <c r="B166" s="1260">
        <v>0.91</v>
      </c>
      <c r="C166" s="478" t="s">
        <v>93</v>
      </c>
      <c r="D166" s="478" t="s">
        <v>93</v>
      </c>
      <c r="E166" s="478" t="s">
        <v>93</v>
      </c>
      <c r="F166" s="478" t="s">
        <v>93</v>
      </c>
      <c r="G166" s="478" t="s">
        <v>93</v>
      </c>
      <c r="H166" s="478" t="s">
        <v>93</v>
      </c>
      <c r="I166" s="1260"/>
      <c r="J166" s="478"/>
      <c r="K166" s="1260">
        <v>5</v>
      </c>
      <c r="L166" s="478" t="s">
        <v>93</v>
      </c>
      <c r="M166" s="1260"/>
      <c r="N166" s="478"/>
      <c r="O166" s="1260">
        <v>3</v>
      </c>
      <c r="P166" s="478">
        <v>5082.58</v>
      </c>
      <c r="Q166" s="1253"/>
      <c r="R166" s="1253"/>
      <c r="S166" s="1253"/>
      <c r="T166" s="1253"/>
      <c r="U166" s="1255"/>
      <c r="V166" s="1255"/>
      <c r="W166" s="1255"/>
      <c r="X166" s="1255"/>
      <c r="Y166" s="1255"/>
      <c r="Z166" s="1255"/>
      <c r="AA166" s="1255"/>
      <c r="AB166" s="1255"/>
      <c r="AC166" s="1255"/>
      <c r="AD166" s="1255"/>
      <c r="AE166" s="1255"/>
      <c r="AF166" s="1255"/>
      <c r="AG166" s="1255"/>
      <c r="AH166" s="1255"/>
      <c r="AI166" s="1255"/>
      <c r="AJ166" s="1255"/>
    </row>
    <row r="167" spans="1:36" s="1262" customFormat="1" ht="12.75" hidden="1" customHeight="1">
      <c r="A167" s="743" t="s">
        <v>27</v>
      </c>
      <c r="B167" s="1260">
        <v>0.91</v>
      </c>
      <c r="C167" s="478" t="s">
        <v>93</v>
      </c>
      <c r="D167" s="478" t="s">
        <v>93</v>
      </c>
      <c r="E167" s="478" t="s">
        <v>93</v>
      </c>
      <c r="F167" s="478" t="s">
        <v>93</v>
      </c>
      <c r="G167" s="478" t="s">
        <v>93</v>
      </c>
      <c r="H167" s="478" t="s">
        <v>93</v>
      </c>
      <c r="I167" s="1260"/>
      <c r="J167" s="478"/>
      <c r="K167" s="1260">
        <v>5</v>
      </c>
      <c r="L167" s="478" t="s">
        <v>93</v>
      </c>
      <c r="M167" s="1260"/>
      <c r="N167" s="478"/>
      <c r="O167" s="1260">
        <v>3</v>
      </c>
      <c r="P167" s="478">
        <v>5219.3</v>
      </c>
      <c r="Q167" s="1253"/>
      <c r="R167" s="1253"/>
      <c r="S167" s="1253"/>
      <c r="T167" s="1253"/>
      <c r="U167" s="1255"/>
      <c r="V167" s="1255"/>
      <c r="W167" s="1255"/>
      <c r="X167" s="1255"/>
      <c r="Y167" s="1255"/>
      <c r="Z167" s="1255"/>
      <c r="AA167" s="1255"/>
      <c r="AB167" s="1255"/>
      <c r="AC167" s="1255"/>
      <c r="AD167" s="1255"/>
      <c r="AE167" s="1255"/>
      <c r="AF167" s="1255"/>
      <c r="AG167" s="1255"/>
      <c r="AH167" s="1255"/>
      <c r="AI167" s="1255"/>
      <c r="AJ167" s="1255"/>
    </row>
    <row r="168" spans="1:36" s="1262" customFormat="1" ht="12.75" hidden="1" customHeight="1">
      <c r="A168" s="743" t="s">
        <v>28</v>
      </c>
      <c r="B168" s="1260">
        <v>0.91</v>
      </c>
      <c r="C168" s="478" t="s">
        <v>93</v>
      </c>
      <c r="D168" s="478" t="s">
        <v>93</v>
      </c>
      <c r="E168" s="478" t="s">
        <v>93</v>
      </c>
      <c r="F168" s="478" t="s">
        <v>93</v>
      </c>
      <c r="G168" s="478" t="s">
        <v>93</v>
      </c>
      <c r="H168" s="478" t="s">
        <v>93</v>
      </c>
      <c r="I168" s="1260"/>
      <c r="J168" s="478"/>
      <c r="K168" s="1260">
        <v>5</v>
      </c>
      <c r="L168" s="478" t="s">
        <v>93</v>
      </c>
      <c r="M168" s="1260"/>
      <c r="N168" s="478"/>
      <c r="O168" s="1260">
        <v>3</v>
      </c>
      <c r="P168" s="478">
        <v>5390.16</v>
      </c>
      <c r="Q168" s="1253"/>
      <c r="R168" s="1253"/>
      <c r="S168" s="1253"/>
      <c r="T168" s="1253"/>
      <c r="U168" s="1255"/>
      <c r="V168" s="1255"/>
      <c r="W168" s="1255"/>
      <c r="X168" s="1255"/>
      <c r="Y168" s="1255"/>
      <c r="Z168" s="1255"/>
      <c r="AA168" s="1255"/>
      <c r="AB168" s="1255"/>
      <c r="AC168" s="1255"/>
      <c r="AD168" s="1255"/>
      <c r="AE168" s="1255"/>
      <c r="AF168" s="1255"/>
      <c r="AG168" s="1255"/>
      <c r="AH168" s="1255"/>
      <c r="AI168" s="1255"/>
      <c r="AJ168" s="1255"/>
    </row>
    <row r="169" spans="1:36" s="1262" customFormat="1" ht="12.75" hidden="1" customHeight="1">
      <c r="A169" s="743" t="s">
        <v>29</v>
      </c>
      <c r="B169" s="1260">
        <v>0.91</v>
      </c>
      <c r="C169" s="478" t="s">
        <v>93</v>
      </c>
      <c r="D169" s="478" t="s">
        <v>93</v>
      </c>
      <c r="E169" s="478" t="s">
        <v>93</v>
      </c>
      <c r="F169" s="478" t="s">
        <v>93</v>
      </c>
      <c r="G169" s="478" t="s">
        <v>93</v>
      </c>
      <c r="H169" s="478" t="s">
        <v>93</v>
      </c>
      <c r="I169" s="1260"/>
      <c r="J169" s="478"/>
      <c r="K169" s="1260">
        <v>5</v>
      </c>
      <c r="L169" s="478" t="s">
        <v>93</v>
      </c>
      <c r="M169" s="1260"/>
      <c r="N169" s="478"/>
      <c r="O169" s="1260">
        <v>3</v>
      </c>
      <c r="P169" s="478">
        <v>6157.71</v>
      </c>
      <c r="Q169" s="1253"/>
      <c r="R169" s="1253"/>
      <c r="S169" s="1253"/>
      <c r="T169" s="1253"/>
      <c r="U169" s="1255"/>
      <c r="V169" s="1255"/>
      <c r="W169" s="1255"/>
      <c r="X169" s="1255"/>
      <c r="Y169" s="1255"/>
      <c r="Z169" s="1255"/>
      <c r="AA169" s="1255"/>
      <c r="AB169" s="1255"/>
      <c r="AC169" s="1255"/>
      <c r="AD169" s="1255"/>
      <c r="AE169" s="1255"/>
      <c r="AF169" s="1255"/>
      <c r="AG169" s="1255"/>
      <c r="AH169" s="1255"/>
      <c r="AI169" s="1255"/>
      <c r="AJ169" s="1255"/>
    </row>
    <row r="170" spans="1:36" s="476" customFormat="1" ht="12.75" hidden="1" customHeight="1">
      <c r="A170" s="742">
        <v>2016</v>
      </c>
      <c r="B170" s="473">
        <f t="shared" ref="B170:H170" si="4">B182</f>
        <v>14.99</v>
      </c>
      <c r="C170" s="474">
        <f t="shared" si="4"/>
        <v>0</v>
      </c>
      <c r="D170" s="474">
        <f t="shared" si="4"/>
        <v>0</v>
      </c>
      <c r="E170" s="474">
        <f t="shared" si="4"/>
        <v>0</v>
      </c>
      <c r="F170" s="474">
        <f t="shared" si="4"/>
        <v>109.62050000000001</v>
      </c>
      <c r="G170" s="474" t="str">
        <f t="shared" si="4"/>
        <v>-</v>
      </c>
      <c r="H170" s="474" t="str">
        <f t="shared" si="4"/>
        <v>-</v>
      </c>
      <c r="I170" s="473"/>
      <c r="J170" s="474"/>
      <c r="K170" s="473">
        <v>18</v>
      </c>
      <c r="L170" s="474" t="s">
        <v>93</v>
      </c>
      <c r="M170" s="473"/>
      <c r="N170" s="474"/>
      <c r="O170" s="473">
        <f>O182</f>
        <v>15</v>
      </c>
      <c r="P170" s="474">
        <f t="shared" ref="P170" si="5">P182</f>
        <v>4478.2821970499999</v>
      </c>
      <c r="Q170" s="1253"/>
      <c r="R170" s="1253"/>
      <c r="S170" s="1253"/>
      <c r="T170" s="1253"/>
      <c r="U170" s="475"/>
      <c r="V170" s="475"/>
      <c r="W170" s="475"/>
      <c r="X170" s="475"/>
      <c r="Y170" s="475"/>
      <c r="Z170" s="475"/>
      <c r="AA170" s="475"/>
      <c r="AB170" s="475"/>
      <c r="AC170" s="475"/>
      <c r="AD170" s="475"/>
      <c r="AE170" s="475"/>
      <c r="AF170" s="475"/>
      <c r="AG170" s="475"/>
      <c r="AH170" s="475"/>
      <c r="AI170" s="475"/>
      <c r="AJ170" s="475"/>
    </row>
    <row r="171" spans="1:36" s="1262" customFormat="1" ht="12.75" hidden="1" customHeight="1">
      <c r="A171" s="743" t="s">
        <v>18</v>
      </c>
      <c r="B171" s="1260">
        <v>0.91</v>
      </c>
      <c r="C171" s="478" t="s">
        <v>93</v>
      </c>
      <c r="D171" s="478" t="s">
        <v>93</v>
      </c>
      <c r="E171" s="478" t="s">
        <v>93</v>
      </c>
      <c r="F171" s="478" t="s">
        <v>93</v>
      </c>
      <c r="G171" s="478" t="s">
        <v>93</v>
      </c>
      <c r="H171" s="478" t="s">
        <v>93</v>
      </c>
      <c r="I171" s="1260"/>
      <c r="J171" s="478"/>
      <c r="K171" s="1260">
        <v>5</v>
      </c>
      <c r="L171" s="478" t="s">
        <v>93</v>
      </c>
      <c r="M171" s="1260"/>
      <c r="N171" s="478"/>
      <c r="O171" s="1260">
        <v>3</v>
      </c>
      <c r="P171" s="478">
        <v>6209.18</v>
      </c>
      <c r="Q171" s="1253"/>
      <c r="R171" s="1253"/>
      <c r="S171" s="1253"/>
      <c r="T171" s="1253"/>
      <c r="U171" s="1255"/>
      <c r="V171" s="1255"/>
      <c r="W171" s="1255"/>
      <c r="X171" s="1255"/>
      <c r="Y171" s="1255"/>
      <c r="Z171" s="1255"/>
      <c r="AA171" s="1255"/>
      <c r="AB171" s="1255"/>
      <c r="AC171" s="1255"/>
      <c r="AD171" s="1255"/>
      <c r="AE171" s="1255"/>
      <c r="AF171" s="1255"/>
      <c r="AG171" s="1255"/>
      <c r="AH171" s="1255"/>
      <c r="AI171" s="1255"/>
      <c r="AJ171" s="1255"/>
    </row>
    <row r="172" spans="1:36" s="1262" customFormat="1" ht="12.75" hidden="1" customHeight="1">
      <c r="A172" s="743" t="s">
        <v>19</v>
      </c>
      <c r="B172" s="1260">
        <v>0.91</v>
      </c>
      <c r="C172" s="478" t="s">
        <v>93</v>
      </c>
      <c r="D172" s="478" t="s">
        <v>93</v>
      </c>
      <c r="E172" s="478" t="s">
        <v>93</v>
      </c>
      <c r="F172" s="478" t="s">
        <v>93</v>
      </c>
      <c r="G172" s="478" t="s">
        <v>93</v>
      </c>
      <c r="H172" s="478" t="s">
        <v>93</v>
      </c>
      <c r="I172" s="1260"/>
      <c r="J172" s="478"/>
      <c r="K172" s="1260">
        <v>10</v>
      </c>
      <c r="L172" s="478" t="s">
        <v>93</v>
      </c>
      <c r="M172" s="1260"/>
      <c r="N172" s="478"/>
      <c r="O172" s="1260">
        <v>5</v>
      </c>
      <c r="P172" s="478">
        <v>6277.7</v>
      </c>
      <c r="Q172" s="1253"/>
      <c r="R172" s="1253"/>
      <c r="S172" s="1253"/>
      <c r="T172" s="1253"/>
      <c r="U172" s="1255"/>
      <c r="V172" s="1255"/>
      <c r="W172" s="1255"/>
      <c r="X172" s="1255"/>
      <c r="Y172" s="1255"/>
      <c r="Z172" s="1255"/>
      <c r="AA172" s="1255"/>
      <c r="AB172" s="1255"/>
      <c r="AC172" s="1255"/>
      <c r="AD172" s="1255"/>
      <c r="AE172" s="1255"/>
      <c r="AF172" s="1255"/>
      <c r="AG172" s="1255"/>
      <c r="AH172" s="1255"/>
      <c r="AI172" s="1255"/>
      <c r="AJ172" s="1255"/>
    </row>
    <row r="173" spans="1:36" s="1262" customFormat="1" ht="12.75" hidden="1" customHeight="1">
      <c r="A173" s="743" t="s">
        <v>20</v>
      </c>
      <c r="B173" s="1260">
        <v>0.91</v>
      </c>
      <c r="C173" s="478" t="s">
        <v>93</v>
      </c>
      <c r="D173" s="478" t="s">
        <v>93</v>
      </c>
      <c r="E173" s="478" t="s">
        <v>93</v>
      </c>
      <c r="F173" s="478" t="s">
        <v>93</v>
      </c>
      <c r="G173" s="478" t="s">
        <v>93</v>
      </c>
      <c r="H173" s="478" t="s">
        <v>93</v>
      </c>
      <c r="I173" s="1260"/>
      <c r="J173" s="478"/>
      <c r="K173" s="1260">
        <v>17</v>
      </c>
      <c r="L173" s="478" t="s">
        <v>93</v>
      </c>
      <c r="M173" s="1260"/>
      <c r="N173" s="478"/>
      <c r="O173" s="1260">
        <v>7</v>
      </c>
      <c r="P173" s="478">
        <v>6293.32</v>
      </c>
      <c r="Q173" s="1253"/>
      <c r="R173" s="1253"/>
      <c r="S173" s="1253"/>
      <c r="T173" s="1253"/>
      <c r="U173" s="1255"/>
      <c r="V173" s="1255"/>
      <c r="W173" s="1255"/>
      <c r="X173" s="1255"/>
      <c r="Y173" s="1255"/>
      <c r="Z173" s="1255"/>
      <c r="AA173" s="1255"/>
      <c r="AB173" s="1255"/>
      <c r="AC173" s="1255"/>
      <c r="AD173" s="1255"/>
      <c r="AE173" s="1255"/>
      <c r="AF173" s="1255"/>
      <c r="AG173" s="1255"/>
      <c r="AH173" s="1255"/>
      <c r="AI173" s="1255"/>
      <c r="AJ173" s="1255"/>
    </row>
    <row r="174" spans="1:36" s="1262" customFormat="1" ht="12.75" hidden="1" customHeight="1">
      <c r="A174" s="743" t="s">
        <v>21</v>
      </c>
      <c r="B174" s="1260">
        <v>0.91</v>
      </c>
      <c r="C174" s="478" t="s">
        <v>93</v>
      </c>
      <c r="D174" s="478" t="s">
        <v>93</v>
      </c>
      <c r="E174" s="478" t="s">
        <v>93</v>
      </c>
      <c r="F174" s="478" t="s">
        <v>93</v>
      </c>
      <c r="G174" s="478" t="s">
        <v>93</v>
      </c>
      <c r="H174" s="478" t="s">
        <v>93</v>
      </c>
      <c r="I174" s="1260"/>
      <c r="J174" s="478"/>
      <c r="K174" s="1260">
        <v>17</v>
      </c>
      <c r="L174" s="478" t="s">
        <v>93</v>
      </c>
      <c r="M174" s="1260"/>
      <c r="N174" s="478"/>
      <c r="O174" s="1260">
        <v>7</v>
      </c>
      <c r="P174" s="478">
        <v>6165.45</v>
      </c>
      <c r="Q174" s="1253"/>
      <c r="R174" s="1253"/>
      <c r="S174" s="1253"/>
      <c r="T174" s="1253"/>
      <c r="U174" s="1255"/>
      <c r="V174" s="1255"/>
      <c r="W174" s="1255"/>
      <c r="X174" s="1255"/>
      <c r="Y174" s="1255"/>
      <c r="Z174" s="1255"/>
      <c r="AA174" s="1255"/>
      <c r="AB174" s="1255"/>
      <c r="AC174" s="1255"/>
      <c r="AD174" s="1255"/>
      <c r="AE174" s="1255"/>
      <c r="AF174" s="1255"/>
      <c r="AG174" s="1255"/>
      <c r="AH174" s="1255"/>
      <c r="AI174" s="1255"/>
      <c r="AJ174" s="1255"/>
    </row>
    <row r="175" spans="1:36" s="1262" customFormat="1" ht="12.75" hidden="1" customHeight="1">
      <c r="A175" s="743" t="s">
        <v>22</v>
      </c>
      <c r="B175" s="1260">
        <v>0.91</v>
      </c>
      <c r="C175" s="478" t="s">
        <v>93</v>
      </c>
      <c r="D175" s="478" t="s">
        <v>93</v>
      </c>
      <c r="E175" s="478" t="s">
        <v>93</v>
      </c>
      <c r="F175" s="478" t="s">
        <v>93</v>
      </c>
      <c r="G175" s="478" t="s">
        <v>93</v>
      </c>
      <c r="H175" s="478" t="s">
        <v>93</v>
      </c>
      <c r="I175" s="1260"/>
      <c r="J175" s="478"/>
      <c r="K175" s="1260">
        <v>15</v>
      </c>
      <c r="L175" s="478" t="s">
        <v>93</v>
      </c>
      <c r="M175" s="1260"/>
      <c r="N175" s="478"/>
      <c r="O175" s="1260">
        <v>7</v>
      </c>
      <c r="P175" s="478">
        <v>6347.9</v>
      </c>
      <c r="Q175" s="1253"/>
      <c r="R175" s="1253"/>
      <c r="S175" s="1253"/>
      <c r="T175" s="1253"/>
      <c r="U175" s="1255"/>
      <c r="V175" s="1255"/>
      <c r="W175" s="1255"/>
      <c r="X175" s="1255"/>
      <c r="Y175" s="1255"/>
      <c r="Z175" s="1255"/>
      <c r="AA175" s="1255"/>
      <c r="AB175" s="1255"/>
      <c r="AC175" s="1255"/>
      <c r="AD175" s="1255"/>
      <c r="AE175" s="1255"/>
      <c r="AF175" s="1255"/>
      <c r="AG175" s="1255"/>
      <c r="AH175" s="1255"/>
      <c r="AI175" s="1255"/>
      <c r="AJ175" s="1255"/>
    </row>
    <row r="176" spans="1:36" s="1262" customFormat="1" ht="12.75" hidden="1" customHeight="1">
      <c r="A176" s="743" t="s">
        <v>23</v>
      </c>
      <c r="B176" s="1260">
        <v>0.91</v>
      </c>
      <c r="C176" s="478" t="s">
        <v>93</v>
      </c>
      <c r="D176" s="478" t="s">
        <v>93</v>
      </c>
      <c r="E176" s="478" t="s">
        <v>93</v>
      </c>
      <c r="F176" s="478" t="s">
        <v>93</v>
      </c>
      <c r="G176" s="478" t="s">
        <v>93</v>
      </c>
      <c r="H176" s="478" t="s">
        <v>93</v>
      </c>
      <c r="I176" s="1260"/>
      <c r="J176" s="478"/>
      <c r="K176" s="1260">
        <v>15</v>
      </c>
      <c r="L176" s="478" t="s">
        <v>93</v>
      </c>
      <c r="M176" s="1260"/>
      <c r="N176" s="478"/>
      <c r="O176" s="1260">
        <v>7</v>
      </c>
      <c r="P176" s="478">
        <v>6360.51</v>
      </c>
      <c r="Q176" s="1253"/>
      <c r="R176" s="1253"/>
      <c r="S176" s="1253"/>
      <c r="T176" s="1253"/>
      <c r="U176" s="1255"/>
      <c r="V176" s="1255"/>
      <c r="W176" s="1255"/>
      <c r="X176" s="1255"/>
      <c r="Y176" s="1255"/>
      <c r="Z176" s="1255"/>
      <c r="AA176" s="1255"/>
      <c r="AB176" s="1255"/>
      <c r="AC176" s="1255"/>
      <c r="AD176" s="1255"/>
      <c r="AE176" s="1255"/>
      <c r="AF176" s="1255"/>
      <c r="AG176" s="1255"/>
      <c r="AH176" s="1255"/>
      <c r="AI176" s="1255"/>
      <c r="AJ176" s="1255"/>
    </row>
    <row r="177" spans="1:36" s="1262" customFormat="1" ht="12.75" hidden="1" customHeight="1">
      <c r="A177" s="743" t="s">
        <v>24</v>
      </c>
      <c r="B177" s="1260">
        <v>0.91</v>
      </c>
      <c r="C177" s="478" t="s">
        <v>93</v>
      </c>
      <c r="D177" s="478" t="s">
        <v>93</v>
      </c>
      <c r="E177" s="478" t="s">
        <v>93</v>
      </c>
      <c r="F177" s="478" t="s">
        <v>93</v>
      </c>
      <c r="G177" s="478" t="s">
        <v>93</v>
      </c>
      <c r="H177" s="478" t="s">
        <v>93</v>
      </c>
      <c r="I177" s="1260"/>
      <c r="J177" s="478"/>
      <c r="K177" s="1260">
        <v>15</v>
      </c>
      <c r="L177" s="478" t="s">
        <v>93</v>
      </c>
      <c r="M177" s="1260"/>
      <c r="N177" s="478"/>
      <c r="O177" s="1260">
        <v>7</v>
      </c>
      <c r="P177" s="478">
        <v>6413.7</v>
      </c>
      <c r="Q177" s="1253"/>
      <c r="R177" s="1253"/>
      <c r="S177" s="1253"/>
      <c r="T177" s="1253"/>
      <c r="U177" s="1255"/>
      <c r="V177" s="1255"/>
      <c r="W177" s="1255"/>
      <c r="X177" s="1255"/>
      <c r="Y177" s="1255"/>
      <c r="Z177" s="1255"/>
      <c r="AA177" s="1255"/>
      <c r="AB177" s="1255"/>
      <c r="AC177" s="1255"/>
      <c r="AD177" s="1255"/>
      <c r="AE177" s="1255"/>
      <c r="AF177" s="1255"/>
      <c r="AG177" s="1255"/>
      <c r="AH177" s="1255"/>
      <c r="AI177" s="1255"/>
      <c r="AJ177" s="1255"/>
    </row>
    <row r="178" spans="1:36" s="1262" customFormat="1" ht="12.75" hidden="1" customHeight="1">
      <c r="A178" s="743" t="s">
        <v>25</v>
      </c>
      <c r="B178" s="1260">
        <v>0.91</v>
      </c>
      <c r="C178" s="478" t="s">
        <v>93</v>
      </c>
      <c r="D178" s="478" t="s">
        <v>93</v>
      </c>
      <c r="E178" s="478" t="s">
        <v>93</v>
      </c>
      <c r="F178" s="478" t="s">
        <v>93</v>
      </c>
      <c r="G178" s="478" t="s">
        <v>93</v>
      </c>
      <c r="H178" s="478" t="s">
        <v>93</v>
      </c>
      <c r="I178" s="1260"/>
      <c r="J178" s="478"/>
      <c r="K178" s="1260">
        <v>15</v>
      </c>
      <c r="L178" s="478" t="s">
        <v>93</v>
      </c>
      <c r="M178" s="1260"/>
      <c r="N178" s="478"/>
      <c r="O178" s="1260" t="s">
        <v>2627</v>
      </c>
      <c r="P178" s="478">
        <v>6500.6</v>
      </c>
      <c r="Q178" s="1253"/>
      <c r="R178" s="1253"/>
      <c r="S178" s="1253"/>
      <c r="T178" s="1253"/>
      <c r="U178" s="1255"/>
      <c r="V178" s="1255"/>
      <c r="W178" s="1255"/>
      <c r="X178" s="1255"/>
      <c r="Y178" s="1255"/>
      <c r="Z178" s="1255"/>
      <c r="AA178" s="1255"/>
      <c r="AB178" s="1255"/>
      <c r="AC178" s="1255"/>
      <c r="AD178" s="1255"/>
      <c r="AE178" s="1255"/>
      <c r="AF178" s="1255"/>
      <c r="AG178" s="1255"/>
      <c r="AH178" s="1255"/>
      <c r="AI178" s="1255"/>
      <c r="AJ178" s="1255"/>
    </row>
    <row r="179" spans="1:36" s="1262" customFormat="1" ht="12.75" hidden="1" customHeight="1">
      <c r="A179" s="743" t="s">
        <v>26</v>
      </c>
      <c r="B179" s="1260">
        <v>0.91</v>
      </c>
      <c r="C179" s="478" t="s">
        <v>93</v>
      </c>
      <c r="D179" s="478" t="s">
        <v>93</v>
      </c>
      <c r="E179" s="478" t="s">
        <v>93</v>
      </c>
      <c r="F179" s="478" t="s">
        <v>93</v>
      </c>
      <c r="G179" s="478" t="s">
        <v>93</v>
      </c>
      <c r="H179" s="478" t="s">
        <v>93</v>
      </c>
      <c r="I179" s="1260"/>
      <c r="J179" s="478"/>
      <c r="K179" s="1260">
        <v>18</v>
      </c>
      <c r="L179" s="478" t="s">
        <v>93</v>
      </c>
      <c r="M179" s="1260"/>
      <c r="N179" s="478"/>
      <c r="O179" s="1260">
        <v>15</v>
      </c>
      <c r="P179" s="478">
        <v>6475.13</v>
      </c>
      <c r="Q179" s="1253"/>
      <c r="R179" s="1253"/>
      <c r="S179" s="1253"/>
      <c r="T179" s="1253"/>
      <c r="U179" s="1255"/>
      <c r="V179" s="1255"/>
      <c r="W179" s="1255"/>
      <c r="X179" s="1255"/>
      <c r="Y179" s="1255"/>
      <c r="Z179" s="1255"/>
      <c r="AA179" s="1255"/>
      <c r="AB179" s="1255"/>
      <c r="AC179" s="1255"/>
      <c r="AD179" s="1255"/>
      <c r="AE179" s="1255"/>
      <c r="AF179" s="1255"/>
      <c r="AG179" s="1255"/>
      <c r="AH179" s="1255"/>
      <c r="AI179" s="1255"/>
      <c r="AJ179" s="1255"/>
    </row>
    <row r="180" spans="1:36" s="1262" customFormat="1" ht="12.75" hidden="1" customHeight="1">
      <c r="A180" s="743" t="s">
        <v>27</v>
      </c>
      <c r="B180" s="1260">
        <v>0.91</v>
      </c>
      <c r="C180" s="478" t="s">
        <v>93</v>
      </c>
      <c r="D180" s="478" t="s">
        <v>93</v>
      </c>
      <c r="E180" s="478" t="s">
        <v>93</v>
      </c>
      <c r="F180" s="478" t="s">
        <v>93</v>
      </c>
      <c r="G180" s="478" t="s">
        <v>93</v>
      </c>
      <c r="H180" s="478" t="s">
        <v>93</v>
      </c>
      <c r="I180" s="1260"/>
      <c r="J180" s="478"/>
      <c r="K180" s="1260">
        <v>18</v>
      </c>
      <c r="L180" s="478" t="s">
        <v>93</v>
      </c>
      <c r="M180" s="1260"/>
      <c r="N180" s="478"/>
      <c r="O180" s="1260">
        <v>15</v>
      </c>
      <c r="P180" s="478">
        <v>6782.18</v>
      </c>
      <c r="Q180" s="1253"/>
      <c r="R180" s="1253"/>
      <c r="S180" s="1253"/>
      <c r="T180" s="1253"/>
      <c r="U180" s="1255"/>
      <c r="V180" s="1255"/>
      <c r="W180" s="1255"/>
      <c r="X180" s="1255"/>
      <c r="Y180" s="1255"/>
      <c r="Z180" s="1255"/>
      <c r="AA180" s="1255"/>
      <c r="AB180" s="1255"/>
      <c r="AC180" s="1255"/>
      <c r="AD180" s="1255"/>
      <c r="AE180" s="1255"/>
      <c r="AF180" s="1255"/>
      <c r="AG180" s="1255"/>
      <c r="AH180" s="1255"/>
      <c r="AI180" s="1255"/>
      <c r="AJ180" s="1255"/>
    </row>
    <row r="181" spans="1:36" s="1262" customFormat="1" ht="12.75" hidden="1" customHeight="1">
      <c r="A181" s="743" t="s">
        <v>28</v>
      </c>
      <c r="B181" s="1260">
        <v>14.99</v>
      </c>
      <c r="C181" s="478"/>
      <c r="D181" s="478"/>
      <c r="E181" s="478"/>
      <c r="F181" s="478">
        <v>112.23</v>
      </c>
      <c r="G181" s="478" t="s">
        <v>93</v>
      </c>
      <c r="H181" s="478" t="s">
        <v>93</v>
      </c>
      <c r="I181" s="1260"/>
      <c r="J181" s="478"/>
      <c r="K181" s="1260">
        <v>18</v>
      </c>
      <c r="L181" s="478" t="s">
        <v>93</v>
      </c>
      <c r="M181" s="1260"/>
      <c r="N181" s="478"/>
      <c r="O181" s="1260">
        <v>15</v>
      </c>
      <c r="P181" s="478">
        <v>6624.1</v>
      </c>
      <c r="Q181" s="1253"/>
      <c r="R181" s="1253"/>
      <c r="S181" s="1253"/>
      <c r="T181" s="1253"/>
      <c r="U181" s="1255"/>
      <c r="V181" s="1255"/>
      <c r="W181" s="1255"/>
      <c r="X181" s="1255"/>
      <c r="Y181" s="1255"/>
      <c r="Z181" s="1255"/>
      <c r="AA181" s="1255"/>
      <c r="AB181" s="1255"/>
      <c r="AC181" s="1255"/>
      <c r="AD181" s="1255"/>
      <c r="AE181" s="1255"/>
      <c r="AF181" s="1255"/>
      <c r="AG181" s="1255"/>
      <c r="AH181" s="1255"/>
      <c r="AI181" s="1255"/>
      <c r="AJ181" s="1255"/>
    </row>
    <row r="182" spans="1:36" s="1262" customFormat="1" ht="12.75" hidden="1" customHeight="1">
      <c r="A182" s="743" t="s">
        <v>29</v>
      </c>
      <c r="B182" s="1260">
        <v>14.99</v>
      </c>
      <c r="C182" s="478"/>
      <c r="D182" s="478"/>
      <c r="E182" s="478"/>
      <c r="F182" s="478">
        <v>109.62050000000001</v>
      </c>
      <c r="G182" s="478" t="s">
        <v>93</v>
      </c>
      <c r="H182" s="478" t="s">
        <v>93</v>
      </c>
      <c r="I182" s="1260"/>
      <c r="J182" s="478"/>
      <c r="K182" s="1260">
        <v>18</v>
      </c>
      <c r="L182" s="478" t="s">
        <v>93</v>
      </c>
      <c r="M182" s="1260"/>
      <c r="N182" s="478"/>
      <c r="O182" s="1260">
        <v>15</v>
      </c>
      <c r="P182" s="478">
        <v>4478.2821970499999</v>
      </c>
      <c r="Q182" s="1253"/>
      <c r="R182" s="1253"/>
      <c r="S182" s="1253"/>
      <c r="T182" s="1253"/>
      <c r="U182" s="1255"/>
      <c r="V182" s="1255"/>
      <c r="W182" s="1255"/>
      <c r="X182" s="1255"/>
      <c r="Y182" s="1255"/>
      <c r="Z182" s="1255"/>
      <c r="AA182" s="1255"/>
      <c r="AB182" s="1255"/>
      <c r="AC182" s="1255"/>
      <c r="AD182" s="1255"/>
      <c r="AE182" s="1255"/>
      <c r="AF182" s="1255"/>
      <c r="AG182" s="1255"/>
      <c r="AH182" s="1255"/>
      <c r="AI182" s="1255"/>
      <c r="AJ182" s="1255"/>
    </row>
    <row r="183" spans="1:36" s="472" customFormat="1" ht="12.75" customHeight="1">
      <c r="A183" s="742" t="s">
        <v>1915</v>
      </c>
      <c r="B183" s="473">
        <f t="shared" ref="B183:H183" si="6">B195</f>
        <v>14.29</v>
      </c>
      <c r="C183" s="474">
        <f t="shared" si="6"/>
        <v>0</v>
      </c>
      <c r="D183" s="474">
        <f t="shared" si="6"/>
        <v>0</v>
      </c>
      <c r="E183" s="474">
        <f t="shared" si="6"/>
        <v>0</v>
      </c>
      <c r="F183" s="474">
        <f t="shared" si="6"/>
        <v>925.61150000000009</v>
      </c>
      <c r="G183" s="474" t="str">
        <f t="shared" si="6"/>
        <v>-</v>
      </c>
      <c r="H183" s="474" t="str">
        <f t="shared" si="6"/>
        <v>-</v>
      </c>
      <c r="I183" s="473" t="s">
        <v>93</v>
      </c>
      <c r="J183" s="474" t="s">
        <v>93</v>
      </c>
      <c r="K183" s="473">
        <v>18</v>
      </c>
      <c r="L183" s="474" t="s">
        <v>93</v>
      </c>
      <c r="M183" s="473"/>
      <c r="N183" s="474"/>
      <c r="O183" s="473">
        <f>O195</f>
        <v>15</v>
      </c>
      <c r="P183" s="474">
        <f t="shared" ref="P183" si="7">P195</f>
        <v>923.68404111999996</v>
      </c>
      <c r="Q183" s="1253"/>
      <c r="R183" s="1253"/>
      <c r="S183" s="1253"/>
      <c r="T183" s="1253"/>
      <c r="U183" s="471"/>
      <c r="V183" s="471"/>
      <c r="W183" s="471"/>
      <c r="X183" s="471"/>
      <c r="Y183" s="471"/>
      <c r="Z183" s="471"/>
      <c r="AA183" s="471"/>
      <c r="AB183" s="471"/>
      <c r="AC183" s="471"/>
      <c r="AD183" s="471"/>
      <c r="AE183" s="471"/>
      <c r="AF183" s="471"/>
      <c r="AG183" s="471"/>
      <c r="AH183" s="471"/>
      <c r="AI183" s="471"/>
      <c r="AJ183" s="471"/>
    </row>
    <row r="184" spans="1:36" s="1262" customFormat="1" ht="12.75" customHeight="1">
      <c r="A184" s="743" t="s">
        <v>18</v>
      </c>
      <c r="B184" s="1260">
        <v>12.98</v>
      </c>
      <c r="C184" s="478" t="s">
        <v>93</v>
      </c>
      <c r="D184" s="478" t="s">
        <v>93</v>
      </c>
      <c r="E184" s="478" t="s">
        <v>93</v>
      </c>
      <c r="F184" s="478">
        <v>38.51</v>
      </c>
      <c r="G184" s="478" t="s">
        <v>93</v>
      </c>
      <c r="H184" s="478" t="s">
        <v>93</v>
      </c>
      <c r="I184" s="1260" t="s">
        <v>93</v>
      </c>
      <c r="J184" s="478" t="s">
        <v>93</v>
      </c>
      <c r="K184" s="1260">
        <v>18</v>
      </c>
      <c r="L184" s="478" t="s">
        <v>93</v>
      </c>
      <c r="M184" s="1260" t="s">
        <v>93</v>
      </c>
      <c r="N184" s="478" t="s">
        <v>93</v>
      </c>
      <c r="O184" s="1260">
        <v>15</v>
      </c>
      <c r="P184" s="478">
        <v>2167.0718782499998</v>
      </c>
      <c r="Q184" s="1253"/>
      <c r="R184" s="1253"/>
      <c r="S184" s="1253"/>
      <c r="T184" s="1253"/>
      <c r="U184" s="1255"/>
      <c r="V184" s="1255"/>
      <c r="W184" s="1255"/>
      <c r="X184" s="1255"/>
      <c r="Y184" s="1255"/>
      <c r="Z184" s="1255"/>
      <c r="AA184" s="1255"/>
      <c r="AB184" s="1255"/>
      <c r="AC184" s="1255"/>
      <c r="AD184" s="1255"/>
      <c r="AE184" s="1255"/>
      <c r="AF184" s="1255"/>
      <c r="AG184" s="1255"/>
      <c r="AH184" s="1255"/>
      <c r="AI184" s="1255"/>
      <c r="AJ184" s="1255"/>
    </row>
    <row r="185" spans="1:36" s="1262" customFormat="1" ht="12.75" customHeight="1">
      <c r="A185" s="743" t="s">
        <v>19</v>
      </c>
      <c r="B185" s="1260">
        <v>14.44</v>
      </c>
      <c r="C185" s="478" t="s">
        <v>93</v>
      </c>
      <c r="D185" s="478" t="s">
        <v>93</v>
      </c>
      <c r="E185" s="478" t="s">
        <v>93</v>
      </c>
      <c r="F185" s="478">
        <v>90.04</v>
      </c>
      <c r="G185" s="478" t="s">
        <v>93</v>
      </c>
      <c r="H185" s="478" t="s">
        <v>93</v>
      </c>
      <c r="I185" s="1260" t="s">
        <v>93</v>
      </c>
      <c r="J185" s="478" t="s">
        <v>93</v>
      </c>
      <c r="K185" s="1260">
        <v>18</v>
      </c>
      <c r="L185" s="478" t="s">
        <v>93</v>
      </c>
      <c r="M185" s="1260" t="s">
        <v>93</v>
      </c>
      <c r="N185" s="478" t="s">
        <v>93</v>
      </c>
      <c r="O185" s="1260">
        <v>15</v>
      </c>
      <c r="P185" s="478">
        <v>1429.0316082500001</v>
      </c>
      <c r="Q185" s="1253"/>
      <c r="R185" s="1253"/>
      <c r="S185" s="1253"/>
      <c r="T185" s="1253"/>
      <c r="U185" s="1255"/>
      <c r="V185" s="1255"/>
      <c r="W185" s="1255"/>
      <c r="X185" s="1255"/>
      <c r="Y185" s="1255"/>
      <c r="Z185" s="1255"/>
      <c r="AA185" s="1255"/>
      <c r="AB185" s="1255"/>
      <c r="AC185" s="1255"/>
      <c r="AD185" s="1255"/>
      <c r="AE185" s="1255"/>
      <c r="AF185" s="1255"/>
      <c r="AG185" s="1255"/>
      <c r="AH185" s="1255"/>
      <c r="AI185" s="1255"/>
      <c r="AJ185" s="1255"/>
    </row>
    <row r="186" spans="1:36" s="1262" customFormat="1" ht="12.75" customHeight="1">
      <c r="A186" s="743" t="s">
        <v>20</v>
      </c>
      <c r="B186" s="1260">
        <v>14.92</v>
      </c>
      <c r="C186" s="478" t="s">
        <v>93</v>
      </c>
      <c r="D186" s="478" t="s">
        <v>93</v>
      </c>
      <c r="E186" s="478" t="s">
        <v>93</v>
      </c>
      <c r="F186" s="478">
        <v>69.09</v>
      </c>
      <c r="G186" s="478" t="s">
        <v>93</v>
      </c>
      <c r="H186" s="478" t="s">
        <v>93</v>
      </c>
      <c r="I186" s="1260" t="s">
        <v>93</v>
      </c>
      <c r="J186" s="478" t="s">
        <v>93</v>
      </c>
      <c r="K186" s="1260">
        <v>18</v>
      </c>
      <c r="L186" s="478" t="s">
        <v>93</v>
      </c>
      <c r="M186" s="1260" t="s">
        <v>93</v>
      </c>
      <c r="N186" s="478" t="s">
        <v>93</v>
      </c>
      <c r="O186" s="1260">
        <v>15</v>
      </c>
      <c r="P186" s="478">
        <v>1420.8763775400002</v>
      </c>
      <c r="Q186" s="1253"/>
      <c r="R186" s="1253"/>
      <c r="S186" s="1253"/>
      <c r="T186" s="1253"/>
      <c r="U186" s="1255"/>
      <c r="V186" s="1255"/>
      <c r="W186" s="1255"/>
      <c r="X186" s="1255"/>
      <c r="Y186" s="1255"/>
      <c r="Z186" s="1255"/>
      <c r="AA186" s="1255"/>
      <c r="AB186" s="1255"/>
      <c r="AC186" s="1255"/>
      <c r="AD186" s="1255"/>
      <c r="AE186" s="1255"/>
      <c r="AF186" s="1255"/>
      <c r="AG186" s="1255"/>
      <c r="AH186" s="1255"/>
      <c r="AI186" s="1255"/>
      <c r="AJ186" s="1255"/>
    </row>
    <row r="187" spans="1:36" s="1262" customFormat="1" ht="12.75" customHeight="1">
      <c r="A187" s="743" t="s">
        <v>21</v>
      </c>
      <c r="B187" s="1260">
        <v>14.48</v>
      </c>
      <c r="C187" s="478" t="s">
        <v>93</v>
      </c>
      <c r="D187" s="478" t="s">
        <v>93</v>
      </c>
      <c r="E187" s="478" t="s">
        <v>93</v>
      </c>
      <c r="F187" s="478">
        <v>74.680000000000007</v>
      </c>
      <c r="G187" s="478" t="s">
        <v>93</v>
      </c>
      <c r="H187" s="478" t="s">
        <v>93</v>
      </c>
      <c r="I187" s="1260" t="s">
        <v>93</v>
      </c>
      <c r="J187" s="478" t="s">
        <v>93</v>
      </c>
      <c r="K187" s="1260">
        <v>18</v>
      </c>
      <c r="L187" s="478" t="s">
        <v>93</v>
      </c>
      <c r="M187" s="1260" t="s">
        <v>93</v>
      </c>
      <c r="N187" s="478" t="s">
        <v>93</v>
      </c>
      <c r="O187" s="1260">
        <v>15</v>
      </c>
      <c r="P187" s="478">
        <v>1359.2095834700001</v>
      </c>
      <c r="Q187" s="1253"/>
      <c r="R187" s="1253"/>
      <c r="S187" s="1253"/>
      <c r="T187" s="1253"/>
      <c r="U187" s="1255"/>
      <c r="V187" s="1255"/>
      <c r="W187" s="1255"/>
      <c r="X187" s="1255"/>
      <c r="Y187" s="1255"/>
      <c r="Z187" s="1255"/>
      <c r="AA187" s="1255"/>
      <c r="AB187" s="1255"/>
      <c r="AC187" s="1255"/>
      <c r="AD187" s="1255"/>
      <c r="AE187" s="1255"/>
      <c r="AF187" s="1255"/>
      <c r="AG187" s="1255"/>
      <c r="AH187" s="1255"/>
      <c r="AI187" s="1255"/>
      <c r="AJ187" s="1255"/>
    </row>
    <row r="188" spans="1:36" s="1262" customFormat="1" ht="12.75" customHeight="1">
      <c r="A188" s="743" t="s">
        <v>22</v>
      </c>
      <c r="B188" s="1260">
        <v>12.78</v>
      </c>
      <c r="C188" s="478" t="s">
        <v>93</v>
      </c>
      <c r="D188" s="478" t="s">
        <v>93</v>
      </c>
      <c r="E188" s="478" t="s">
        <v>93</v>
      </c>
      <c r="F188" s="478">
        <v>125</v>
      </c>
      <c r="G188" s="478" t="s">
        <v>93</v>
      </c>
      <c r="H188" s="478" t="s">
        <v>93</v>
      </c>
      <c r="I188" s="1260" t="s">
        <v>93</v>
      </c>
      <c r="J188" s="478" t="s">
        <v>93</v>
      </c>
      <c r="K188" s="1260">
        <v>18</v>
      </c>
      <c r="L188" s="478" t="s">
        <v>93</v>
      </c>
      <c r="M188" s="1260" t="s">
        <v>93</v>
      </c>
      <c r="N188" s="478" t="s">
        <v>93</v>
      </c>
      <c r="O188" s="1260">
        <v>15</v>
      </c>
      <c r="P188" s="478">
        <v>1121.49892086</v>
      </c>
      <c r="Q188" s="1253"/>
      <c r="R188" s="1253"/>
      <c r="S188" s="1253"/>
      <c r="T188" s="1253"/>
      <c r="U188" s="1255"/>
      <c r="V188" s="1255"/>
      <c r="W188" s="1255"/>
      <c r="X188" s="1255"/>
      <c r="Y188" s="1255"/>
      <c r="Z188" s="1255"/>
      <c r="AA188" s="1255"/>
      <c r="AB188" s="1255"/>
      <c r="AC188" s="1255"/>
      <c r="AD188" s="1255"/>
      <c r="AE188" s="1255"/>
      <c r="AF188" s="1255"/>
      <c r="AG188" s="1255"/>
      <c r="AH188" s="1255"/>
      <c r="AI188" s="1255"/>
      <c r="AJ188" s="1255"/>
    </row>
    <row r="189" spans="1:36" s="1262" customFormat="1" ht="12.75" customHeight="1">
      <c r="A189" s="743" t="s">
        <v>23</v>
      </c>
      <c r="B189" s="1260">
        <v>11.61</v>
      </c>
      <c r="C189" s="478" t="s">
        <v>93</v>
      </c>
      <c r="D189" s="478" t="s">
        <v>93</v>
      </c>
      <c r="E189" s="478" t="s">
        <v>93</v>
      </c>
      <c r="F189" s="478">
        <v>350</v>
      </c>
      <c r="G189" s="478" t="s">
        <v>93</v>
      </c>
      <c r="H189" s="478" t="s">
        <v>93</v>
      </c>
      <c r="I189" s="1260" t="s">
        <v>93</v>
      </c>
      <c r="J189" s="478" t="s">
        <v>93</v>
      </c>
      <c r="K189" s="1260">
        <v>18</v>
      </c>
      <c r="L189" s="478" t="s">
        <v>93</v>
      </c>
      <c r="M189" s="1260" t="s">
        <v>93</v>
      </c>
      <c r="N189" s="478" t="s">
        <v>93</v>
      </c>
      <c r="O189" s="1260">
        <v>15</v>
      </c>
      <c r="P189" s="478">
        <v>1085.5925731399998</v>
      </c>
      <c r="Q189" s="1253"/>
      <c r="R189" s="1253"/>
      <c r="S189" s="1253"/>
      <c r="T189" s="1253"/>
      <c r="AJ189" s="1255"/>
    </row>
    <row r="190" spans="1:36" s="1262" customFormat="1" ht="12.75" customHeight="1">
      <c r="A190" s="743" t="s">
        <v>24</v>
      </c>
      <c r="B190" s="1260">
        <v>10.01</v>
      </c>
      <c r="C190" s="478" t="s">
        <v>93</v>
      </c>
      <c r="D190" s="478" t="s">
        <v>93</v>
      </c>
      <c r="E190" s="478" t="s">
        <v>93</v>
      </c>
      <c r="F190" s="478">
        <v>450</v>
      </c>
      <c r="G190" s="478" t="s">
        <v>93</v>
      </c>
      <c r="H190" s="478" t="s">
        <v>93</v>
      </c>
      <c r="I190" s="1260" t="s">
        <v>93</v>
      </c>
      <c r="J190" s="478" t="s">
        <v>93</v>
      </c>
      <c r="K190" s="1260">
        <v>18</v>
      </c>
      <c r="L190" s="478" t="s">
        <v>93</v>
      </c>
      <c r="M190" s="1260" t="s">
        <v>93</v>
      </c>
      <c r="N190" s="478" t="s">
        <v>93</v>
      </c>
      <c r="O190" s="1260">
        <v>15</v>
      </c>
      <c r="P190" s="478">
        <v>1054.4211212</v>
      </c>
      <c r="Q190" s="1253"/>
      <c r="R190" s="1253"/>
      <c r="S190" s="1253"/>
      <c r="T190" s="1253"/>
      <c r="U190" s="1255"/>
      <c r="V190" s="1255"/>
      <c r="W190" s="1255"/>
      <c r="X190" s="1255"/>
      <c r="Y190" s="1255"/>
      <c r="Z190" s="1255"/>
      <c r="AA190" s="1255"/>
      <c r="AB190" s="1255"/>
      <c r="AC190" s="1255"/>
      <c r="AD190" s="1255"/>
      <c r="AE190" s="1255"/>
      <c r="AF190" s="1255"/>
      <c r="AG190" s="1255"/>
      <c r="AH190" s="1255"/>
      <c r="AI190" s="1255"/>
      <c r="AJ190" s="1255"/>
    </row>
    <row r="191" spans="1:36" s="1262" customFormat="1" ht="12.75" customHeight="1">
      <c r="A191" s="743" t="s">
        <v>25</v>
      </c>
      <c r="B191" s="1260">
        <v>10.01</v>
      </c>
      <c r="C191" s="478" t="s">
        <v>93</v>
      </c>
      <c r="D191" s="478" t="s">
        <v>93</v>
      </c>
      <c r="E191" s="478" t="s">
        <v>93</v>
      </c>
      <c r="F191" s="478">
        <v>550</v>
      </c>
      <c r="G191" s="478" t="s">
        <v>93</v>
      </c>
      <c r="H191" s="478" t="s">
        <v>93</v>
      </c>
      <c r="I191" s="1260" t="s">
        <v>93</v>
      </c>
      <c r="J191" s="478" t="s">
        <v>93</v>
      </c>
      <c r="K191" s="1260">
        <v>18</v>
      </c>
      <c r="L191" s="478" t="s">
        <v>93</v>
      </c>
      <c r="M191" s="1260" t="s">
        <v>93</v>
      </c>
      <c r="N191" s="478" t="s">
        <v>93</v>
      </c>
      <c r="O191" s="1260">
        <v>15</v>
      </c>
      <c r="P191" s="478">
        <v>1021.8211211999999</v>
      </c>
      <c r="Q191" s="1253"/>
      <c r="R191" s="1253"/>
      <c r="S191" s="1253"/>
      <c r="T191" s="1253"/>
      <c r="U191" s="1255"/>
      <c r="V191" s="1255"/>
      <c r="W191" s="1255"/>
      <c r="X191" s="1255"/>
      <c r="Y191" s="1255"/>
      <c r="Z191" s="1255"/>
      <c r="AA191" s="1255"/>
      <c r="AB191" s="1255"/>
      <c r="AC191" s="1255"/>
      <c r="AD191" s="1255"/>
      <c r="AE191" s="1255"/>
      <c r="AF191" s="1255"/>
      <c r="AG191" s="1255"/>
      <c r="AH191" s="1255"/>
      <c r="AI191" s="1255"/>
      <c r="AJ191" s="1255"/>
    </row>
    <row r="192" spans="1:36" s="1262" customFormat="1" ht="12.75" customHeight="1">
      <c r="A192" s="743" t="s">
        <v>26</v>
      </c>
      <c r="B192" s="1260">
        <v>10.01</v>
      </c>
      <c r="C192" s="478" t="s">
        <v>93</v>
      </c>
      <c r="D192" s="478" t="s">
        <v>93</v>
      </c>
      <c r="E192" s="478" t="s">
        <v>93</v>
      </c>
      <c r="F192" s="478">
        <v>600</v>
      </c>
      <c r="G192" s="478" t="s">
        <v>93</v>
      </c>
      <c r="H192" s="478" t="s">
        <v>93</v>
      </c>
      <c r="I192" s="1260" t="s">
        <v>93</v>
      </c>
      <c r="J192" s="478" t="s">
        <v>93</v>
      </c>
      <c r="K192" s="1260">
        <v>18</v>
      </c>
      <c r="L192" s="478" t="s">
        <v>93</v>
      </c>
      <c r="M192" s="1260" t="s">
        <v>93</v>
      </c>
      <c r="N192" s="478" t="s">
        <v>93</v>
      </c>
      <c r="O192" s="1260">
        <v>15</v>
      </c>
      <c r="P192" s="478">
        <v>980.96493977</v>
      </c>
      <c r="Q192" s="1253"/>
      <c r="R192" s="1253"/>
      <c r="S192" s="1253"/>
      <c r="T192" s="1253"/>
      <c r="U192" s="1255"/>
      <c r="V192" s="1255"/>
      <c r="W192" s="1255"/>
      <c r="X192" s="1255"/>
      <c r="Y192" s="1255"/>
      <c r="Z192" s="1255"/>
      <c r="AA192" s="1255"/>
      <c r="AB192" s="1255"/>
      <c r="AC192" s="1255"/>
      <c r="AD192" s="1255"/>
      <c r="AE192" s="1255"/>
      <c r="AF192" s="1255"/>
      <c r="AG192" s="1255"/>
      <c r="AH192" s="1255"/>
      <c r="AI192" s="1255"/>
      <c r="AJ192" s="1255"/>
    </row>
    <row r="193" spans="1:36" s="1262" customFormat="1" ht="12.75" customHeight="1">
      <c r="A193" s="743" t="s">
        <v>27</v>
      </c>
      <c r="B193" s="1260">
        <v>10.01</v>
      </c>
      <c r="C193" s="478"/>
      <c r="D193" s="478"/>
      <c r="E193" s="478"/>
      <c r="F193" s="478">
        <v>700</v>
      </c>
      <c r="G193" s="478" t="s">
        <v>93</v>
      </c>
      <c r="H193" s="478" t="s">
        <v>93</v>
      </c>
      <c r="I193" s="1260" t="s">
        <v>93</v>
      </c>
      <c r="J193" s="478" t="s">
        <v>93</v>
      </c>
      <c r="K193" s="1260">
        <v>18</v>
      </c>
      <c r="L193" s="478" t="s">
        <v>93</v>
      </c>
      <c r="M193" s="1260" t="s">
        <v>93</v>
      </c>
      <c r="N193" s="478" t="s">
        <v>93</v>
      </c>
      <c r="O193" s="1260">
        <v>15</v>
      </c>
      <c r="P193" s="478">
        <f>978440585.52/1000000</f>
        <v>978.44058552000001</v>
      </c>
      <c r="Q193" s="1253"/>
      <c r="R193" s="1253"/>
      <c r="S193" s="1253"/>
      <c r="T193" s="1253"/>
      <c r="U193" s="1255"/>
      <c r="V193" s="1255"/>
      <c r="W193" s="1255"/>
      <c r="X193" s="1255"/>
      <c r="Y193" s="1255"/>
      <c r="Z193" s="1255"/>
      <c r="AA193" s="1255"/>
      <c r="AB193" s="1255"/>
      <c r="AC193" s="1255"/>
      <c r="AD193" s="1255"/>
      <c r="AE193" s="1255"/>
      <c r="AF193" s="1255"/>
      <c r="AG193" s="1255"/>
      <c r="AH193" s="1255"/>
      <c r="AI193" s="1255"/>
      <c r="AJ193" s="1255"/>
    </row>
    <row r="194" spans="1:36" s="1262" customFormat="1" ht="12.75" customHeight="1">
      <c r="A194" s="743" t="s">
        <v>28</v>
      </c>
      <c r="B194" s="1260">
        <v>10.01</v>
      </c>
      <c r="C194" s="478"/>
      <c r="D194" s="478"/>
      <c r="E194" s="478"/>
      <c r="F194" s="478">
        <v>800</v>
      </c>
      <c r="G194" s="478" t="s">
        <v>93</v>
      </c>
      <c r="H194" s="478" t="s">
        <v>93</v>
      </c>
      <c r="I194" s="1260" t="s">
        <v>93</v>
      </c>
      <c r="J194" s="478" t="s">
        <v>93</v>
      </c>
      <c r="K194" s="1260">
        <v>18</v>
      </c>
      <c r="L194" s="478" t="s">
        <v>93</v>
      </c>
      <c r="M194" s="1260" t="s">
        <v>93</v>
      </c>
      <c r="N194" s="478" t="s">
        <v>93</v>
      </c>
      <c r="O194" s="1260" t="s">
        <v>2630</v>
      </c>
      <c r="P194" s="478">
        <f>948082966.51/1000000</f>
        <v>948.08296651000001</v>
      </c>
      <c r="Q194" s="1253"/>
      <c r="R194" s="1253"/>
      <c r="S194" s="1253"/>
      <c r="T194" s="1253"/>
      <c r="U194" s="1255"/>
      <c r="V194" s="1255"/>
      <c r="W194" s="1255"/>
      <c r="X194" s="1255"/>
      <c r="Y194" s="1255"/>
      <c r="Z194" s="1255"/>
      <c r="AA194" s="1255"/>
      <c r="AB194" s="1255"/>
      <c r="AC194" s="1255"/>
      <c r="AD194" s="1255"/>
      <c r="AE194" s="1255"/>
      <c r="AF194" s="1255"/>
      <c r="AG194" s="1255"/>
      <c r="AH194" s="1255"/>
      <c r="AI194" s="1255"/>
      <c r="AJ194" s="1255"/>
    </row>
    <row r="195" spans="1:36" s="1262" customFormat="1" ht="12.75" customHeight="1">
      <c r="A195" s="743" t="s">
        <v>29</v>
      </c>
      <c r="B195" s="1260">
        <v>14.29</v>
      </c>
      <c r="C195" s="478"/>
      <c r="D195" s="478"/>
      <c r="E195" s="478"/>
      <c r="F195" s="478">
        <v>925.61150000000009</v>
      </c>
      <c r="G195" s="478" t="s">
        <v>93</v>
      </c>
      <c r="H195" s="478" t="s">
        <v>93</v>
      </c>
      <c r="I195" s="1260" t="s">
        <v>93</v>
      </c>
      <c r="J195" s="478" t="s">
        <v>93</v>
      </c>
      <c r="K195" s="1260">
        <v>18</v>
      </c>
      <c r="L195" s="478" t="s">
        <v>93</v>
      </c>
      <c r="M195" s="1260" t="s">
        <v>93</v>
      </c>
      <c r="N195" s="478" t="s">
        <v>93</v>
      </c>
      <c r="O195" s="1260">
        <v>15</v>
      </c>
      <c r="P195" s="478">
        <f>923684041.12/1000000</f>
        <v>923.68404111999996</v>
      </c>
      <c r="Q195" s="1253"/>
      <c r="R195" s="1253"/>
      <c r="S195" s="1253"/>
      <c r="T195" s="1253"/>
      <c r="U195" s="1255"/>
      <c r="V195" s="1255"/>
      <c r="W195" s="1255"/>
      <c r="X195" s="1255"/>
      <c r="Y195" s="1255"/>
      <c r="Z195" s="1255"/>
      <c r="AA195" s="1255"/>
      <c r="AB195" s="1255"/>
      <c r="AC195" s="1255"/>
      <c r="AD195" s="1255"/>
      <c r="AE195" s="1255"/>
      <c r="AF195" s="1255"/>
      <c r="AG195" s="1255"/>
      <c r="AH195" s="1255"/>
      <c r="AI195" s="1255"/>
      <c r="AJ195" s="1255"/>
    </row>
    <row r="196" spans="1:36" s="476" customFormat="1" ht="12.75" customHeight="1">
      <c r="A196" s="742" t="s">
        <v>2051</v>
      </c>
      <c r="B196" s="473">
        <f t="shared" ref="B196:F196" si="8">B208</f>
        <v>9.34</v>
      </c>
      <c r="C196" s="474" t="str">
        <f t="shared" si="8"/>
        <v>-</v>
      </c>
      <c r="D196" s="474" t="str">
        <f t="shared" si="8"/>
        <v>-</v>
      </c>
      <c r="E196" s="474" t="str">
        <f t="shared" si="8"/>
        <v>-</v>
      </c>
      <c r="F196" s="474">
        <f t="shared" si="8"/>
        <v>1008.27</v>
      </c>
      <c r="G196" s="1270" t="s">
        <v>93</v>
      </c>
      <c r="H196" s="1270" t="s">
        <v>93</v>
      </c>
      <c r="I196" s="1270" t="s">
        <v>93</v>
      </c>
      <c r="J196" s="1270" t="s">
        <v>93</v>
      </c>
      <c r="K196" s="473">
        <v>11.75</v>
      </c>
      <c r="L196" s="474" t="s">
        <v>93</v>
      </c>
      <c r="M196" s="473" t="s">
        <v>93</v>
      </c>
      <c r="N196" s="474" t="s">
        <v>93</v>
      </c>
      <c r="O196" s="473">
        <f>O208</f>
        <v>9.75</v>
      </c>
      <c r="P196" s="474">
        <f t="shared" ref="P196" si="9">P208</f>
        <v>726.61</v>
      </c>
      <c r="Q196" s="1253"/>
      <c r="R196" s="1253"/>
      <c r="S196" s="1253"/>
      <c r="T196" s="1253"/>
      <c r="U196" s="475"/>
      <c r="V196" s="475"/>
      <c r="W196" s="475"/>
      <c r="X196" s="475"/>
      <c r="Y196" s="475"/>
      <c r="Z196" s="475"/>
      <c r="AA196" s="475"/>
      <c r="AB196" s="475"/>
      <c r="AC196" s="475"/>
      <c r="AD196" s="475"/>
      <c r="AE196" s="475"/>
      <c r="AF196" s="475"/>
      <c r="AG196" s="475"/>
      <c r="AH196" s="475"/>
      <c r="AI196" s="475"/>
      <c r="AJ196" s="475"/>
    </row>
    <row r="197" spans="1:36" s="1263" customFormat="1" ht="12.75" customHeight="1">
      <c r="A197" s="743" t="s">
        <v>18</v>
      </c>
      <c r="B197" s="1260">
        <v>10.01</v>
      </c>
      <c r="C197" s="478" t="s">
        <v>93</v>
      </c>
      <c r="D197" s="478" t="s">
        <v>93</v>
      </c>
      <c r="E197" s="478" t="s">
        <v>93</v>
      </c>
      <c r="F197" s="478">
        <v>900</v>
      </c>
      <c r="G197" s="1271" t="s">
        <v>93</v>
      </c>
      <c r="H197" s="1271" t="s">
        <v>93</v>
      </c>
      <c r="I197" s="1271" t="s">
        <v>93</v>
      </c>
      <c r="J197" s="1271" t="s">
        <v>93</v>
      </c>
      <c r="K197" s="1260">
        <v>16</v>
      </c>
      <c r="L197" s="478" t="s">
        <v>93</v>
      </c>
      <c r="M197" s="1260" t="s">
        <v>93</v>
      </c>
      <c r="N197" s="478" t="s">
        <v>93</v>
      </c>
      <c r="O197" s="1260">
        <v>15</v>
      </c>
      <c r="P197" s="478">
        <f>899684041.12/1000000</f>
        <v>899.68404111999996</v>
      </c>
      <c r="Q197" s="1253"/>
      <c r="R197" s="1253"/>
      <c r="S197" s="1253"/>
      <c r="T197" s="1253"/>
      <c r="U197" s="1253"/>
      <c r="V197" s="1253"/>
      <c r="W197" s="1253"/>
      <c r="X197" s="1253"/>
      <c r="Y197" s="1253"/>
      <c r="Z197" s="1253"/>
      <c r="AA197" s="1253"/>
      <c r="AB197" s="1253"/>
      <c r="AC197" s="1253"/>
      <c r="AD197" s="1253"/>
      <c r="AE197" s="1253"/>
      <c r="AF197" s="1253"/>
      <c r="AG197" s="1253"/>
      <c r="AH197" s="1253"/>
      <c r="AI197" s="1253"/>
      <c r="AJ197" s="1253"/>
    </row>
    <row r="198" spans="1:36" s="1263" customFormat="1" ht="13.5" customHeight="1">
      <c r="A198" s="743" t="s">
        <v>19</v>
      </c>
      <c r="B198" s="1260">
        <v>8.01</v>
      </c>
      <c r="C198" s="478" t="s">
        <v>93</v>
      </c>
      <c r="D198" s="478" t="s">
        <v>93</v>
      </c>
      <c r="E198" s="478" t="s">
        <v>93</v>
      </c>
      <c r="F198" s="478">
        <v>850</v>
      </c>
      <c r="G198" s="1271" t="s">
        <v>93</v>
      </c>
      <c r="H198" s="1271" t="s">
        <v>93</v>
      </c>
      <c r="I198" s="1271" t="s">
        <v>93</v>
      </c>
      <c r="J198" s="1271" t="s">
        <v>93</v>
      </c>
      <c r="K198" s="1260">
        <v>16</v>
      </c>
      <c r="L198" s="478" t="s">
        <v>93</v>
      </c>
      <c r="M198" s="1260" t="s">
        <v>93</v>
      </c>
      <c r="N198" s="478" t="s">
        <v>93</v>
      </c>
      <c r="O198" s="1260">
        <v>13</v>
      </c>
      <c r="P198" s="478">
        <f>871674041.12/1000000</f>
        <v>871.67404111999997</v>
      </c>
      <c r="Q198" s="1253"/>
      <c r="R198" s="1253"/>
      <c r="S198" s="1253"/>
      <c r="T198" s="1253"/>
      <c r="U198" s="1253"/>
      <c r="V198" s="1253"/>
      <c r="W198" s="1253"/>
      <c r="X198" s="1253"/>
      <c r="Y198" s="1253"/>
      <c r="Z198" s="1253"/>
      <c r="AA198" s="1253"/>
      <c r="AB198" s="1253"/>
      <c r="AC198" s="1253"/>
      <c r="AD198" s="1253"/>
      <c r="AE198" s="1253"/>
      <c r="AF198" s="1253"/>
      <c r="AG198" s="1253"/>
      <c r="AH198" s="1253"/>
      <c r="AI198" s="1253"/>
      <c r="AJ198" s="1253"/>
    </row>
    <row r="199" spans="1:36" s="1263" customFormat="1" ht="12.75" customHeight="1">
      <c r="A199" s="743" t="s">
        <v>20</v>
      </c>
      <c r="B199" s="1260">
        <v>8.01</v>
      </c>
      <c r="C199" s="478" t="s">
        <v>93</v>
      </c>
      <c r="D199" s="478" t="s">
        <v>93</v>
      </c>
      <c r="E199" s="478" t="s">
        <v>93</v>
      </c>
      <c r="F199" s="478">
        <v>600</v>
      </c>
      <c r="G199" s="1271" t="s">
        <v>93</v>
      </c>
      <c r="H199" s="1271" t="s">
        <v>93</v>
      </c>
      <c r="I199" s="1271" t="s">
        <v>93</v>
      </c>
      <c r="J199" s="1271" t="s">
        <v>93</v>
      </c>
      <c r="K199" s="1260">
        <v>16</v>
      </c>
      <c r="L199" s="478" t="s">
        <v>93</v>
      </c>
      <c r="M199" s="1260" t="s">
        <v>93</v>
      </c>
      <c r="N199" s="478" t="s">
        <v>93</v>
      </c>
      <c r="O199" s="1260">
        <v>13</v>
      </c>
      <c r="P199" s="478">
        <v>872.22</v>
      </c>
      <c r="Q199" s="1253"/>
      <c r="R199" s="1253"/>
      <c r="S199" s="1253"/>
      <c r="T199" s="1253"/>
      <c r="U199" s="1253"/>
      <c r="V199" s="1253"/>
      <c r="W199" s="1253"/>
      <c r="X199" s="1253"/>
      <c r="Y199" s="1253"/>
      <c r="Z199" s="1253"/>
      <c r="AA199" s="1253"/>
      <c r="AB199" s="1253"/>
      <c r="AC199" s="1253"/>
      <c r="AD199" s="1253"/>
      <c r="AE199" s="1253"/>
      <c r="AF199" s="1253"/>
      <c r="AG199" s="1253"/>
      <c r="AH199" s="1253"/>
      <c r="AI199" s="1253"/>
      <c r="AJ199" s="1253"/>
    </row>
    <row r="200" spans="1:36" s="1263" customFormat="1" ht="12.75" customHeight="1">
      <c r="A200" s="743" t="s">
        <v>21</v>
      </c>
      <c r="B200" s="1260">
        <v>8.01</v>
      </c>
      <c r="C200" s="478" t="s">
        <v>93</v>
      </c>
      <c r="D200" s="478" t="s">
        <v>93</v>
      </c>
      <c r="E200" s="478" t="s">
        <v>93</v>
      </c>
      <c r="F200" s="478">
        <v>900</v>
      </c>
      <c r="G200" s="1271" t="s">
        <v>93</v>
      </c>
      <c r="H200" s="1271" t="s">
        <v>93</v>
      </c>
      <c r="I200" s="1271" t="s">
        <v>93</v>
      </c>
      <c r="J200" s="1271" t="s">
        <v>93</v>
      </c>
      <c r="K200" s="1260">
        <v>14</v>
      </c>
      <c r="L200" s="478" t="s">
        <v>93</v>
      </c>
      <c r="M200" s="1260" t="s">
        <v>93</v>
      </c>
      <c r="N200" s="478" t="s">
        <v>93</v>
      </c>
      <c r="O200" s="1260">
        <v>11</v>
      </c>
      <c r="P200" s="478">
        <v>830.52</v>
      </c>
      <c r="Q200" s="1253"/>
      <c r="R200" s="1253"/>
      <c r="S200" s="1253"/>
      <c r="T200" s="1253"/>
      <c r="U200" s="1253"/>
      <c r="V200" s="1253"/>
      <c r="W200" s="1253"/>
      <c r="X200" s="1253"/>
      <c r="Y200" s="1253"/>
      <c r="Z200" s="1253"/>
      <c r="AA200" s="1253"/>
      <c r="AB200" s="1253"/>
      <c r="AC200" s="1253"/>
      <c r="AD200" s="1253"/>
      <c r="AE200" s="1253"/>
      <c r="AF200" s="1253"/>
      <c r="AG200" s="1253"/>
      <c r="AH200" s="1253"/>
      <c r="AI200" s="1253"/>
      <c r="AJ200" s="1253"/>
    </row>
    <row r="201" spans="1:36" s="1263" customFormat="1" ht="12.75" customHeight="1">
      <c r="A201" s="743" t="s">
        <v>22</v>
      </c>
      <c r="B201" s="1260">
        <v>8.01</v>
      </c>
      <c r="C201" s="478" t="s">
        <v>93</v>
      </c>
      <c r="D201" s="478" t="s">
        <v>93</v>
      </c>
      <c r="E201" s="478" t="s">
        <v>93</v>
      </c>
      <c r="F201" s="478">
        <v>1000</v>
      </c>
      <c r="G201" s="1271" t="s">
        <v>93</v>
      </c>
      <c r="H201" s="1271" t="s">
        <v>93</v>
      </c>
      <c r="I201" s="1271" t="s">
        <v>93</v>
      </c>
      <c r="J201" s="1271" t="s">
        <v>93</v>
      </c>
      <c r="K201" s="1260">
        <v>14</v>
      </c>
      <c r="L201" s="478" t="s">
        <v>93</v>
      </c>
      <c r="M201" s="1260" t="s">
        <v>93</v>
      </c>
      <c r="N201" s="478" t="s">
        <v>93</v>
      </c>
      <c r="O201" s="1260">
        <v>11</v>
      </c>
      <c r="P201" s="478">
        <v>830.05</v>
      </c>
      <c r="Q201" s="1253"/>
      <c r="R201" s="1253"/>
      <c r="S201" s="1253"/>
      <c r="T201" s="1253"/>
      <c r="U201" s="1253"/>
      <c r="V201" s="1253"/>
      <c r="W201" s="1253"/>
      <c r="X201" s="1253"/>
      <c r="Y201" s="1253"/>
      <c r="Z201" s="1253"/>
      <c r="AA201" s="1253"/>
      <c r="AB201" s="1253"/>
      <c r="AC201" s="1253"/>
      <c r="AD201" s="1253"/>
      <c r="AE201" s="1253"/>
      <c r="AF201" s="1253"/>
      <c r="AG201" s="1253"/>
      <c r="AH201" s="1253"/>
      <c r="AI201" s="1253"/>
      <c r="AJ201" s="1253"/>
    </row>
    <row r="202" spans="1:36" s="1263" customFormat="1" ht="12.75" customHeight="1">
      <c r="A202" s="743" t="s">
        <v>23</v>
      </c>
      <c r="B202" s="1260">
        <v>8.01</v>
      </c>
      <c r="C202" s="478" t="s">
        <v>93</v>
      </c>
      <c r="D202" s="478" t="s">
        <v>93</v>
      </c>
      <c r="E202" s="478" t="s">
        <v>93</v>
      </c>
      <c r="F202" s="478">
        <v>1000</v>
      </c>
      <c r="G202" s="1271" t="s">
        <v>93</v>
      </c>
      <c r="H202" s="1271" t="s">
        <v>93</v>
      </c>
      <c r="I202" s="1271" t="s">
        <v>93</v>
      </c>
      <c r="J202" s="1271" t="s">
        <v>93</v>
      </c>
      <c r="K202" s="1260">
        <v>12</v>
      </c>
      <c r="L202" s="478" t="s">
        <v>93</v>
      </c>
      <c r="M202" s="1260" t="s">
        <v>93</v>
      </c>
      <c r="N202" s="478" t="s">
        <v>93</v>
      </c>
      <c r="O202" s="1260">
        <v>10</v>
      </c>
      <c r="P202" s="478">
        <v>808.82</v>
      </c>
      <c r="Q202" s="1253"/>
      <c r="R202" s="1253"/>
      <c r="S202" s="1253"/>
      <c r="T202" s="1253"/>
      <c r="U202" s="1253"/>
      <c r="V202" s="1253"/>
      <c r="W202" s="1253"/>
      <c r="X202" s="1253"/>
      <c r="Y202" s="1253"/>
      <c r="Z202" s="1253"/>
      <c r="AA202" s="1253"/>
      <c r="AB202" s="1253"/>
      <c r="AC202" s="1253"/>
      <c r="AD202" s="1253"/>
      <c r="AE202" s="1253"/>
      <c r="AF202" s="1253"/>
      <c r="AG202" s="1253"/>
      <c r="AH202" s="1253"/>
      <c r="AI202" s="1253"/>
      <c r="AJ202" s="1253"/>
    </row>
    <row r="203" spans="1:36" s="1263" customFormat="1" ht="12.75" customHeight="1">
      <c r="A203" s="743" t="s">
        <v>24</v>
      </c>
      <c r="B203" s="1260">
        <v>8.01</v>
      </c>
      <c r="C203" s="478" t="s">
        <v>93</v>
      </c>
      <c r="D203" s="478" t="s">
        <v>93</v>
      </c>
      <c r="E203" s="478" t="s">
        <v>93</v>
      </c>
      <c r="F203" s="478">
        <v>1000</v>
      </c>
      <c r="G203" s="1271" t="s">
        <v>93</v>
      </c>
      <c r="H203" s="1271" t="s">
        <v>93</v>
      </c>
      <c r="I203" s="1271" t="s">
        <v>93</v>
      </c>
      <c r="J203" s="1271" t="s">
        <v>93</v>
      </c>
      <c r="K203" s="1260">
        <v>12</v>
      </c>
      <c r="L203" s="478" t="s">
        <v>93</v>
      </c>
      <c r="M203" s="1260" t="s">
        <v>93</v>
      </c>
      <c r="N203" s="478" t="s">
        <v>93</v>
      </c>
      <c r="O203" s="1260">
        <v>10</v>
      </c>
      <c r="P203" s="478">
        <v>788.84</v>
      </c>
      <c r="Q203" s="1253"/>
      <c r="R203" s="1253"/>
      <c r="S203" s="1253"/>
      <c r="T203" s="1253"/>
      <c r="U203" s="1253"/>
      <c r="V203" s="1253"/>
      <c r="W203" s="1253"/>
      <c r="X203" s="1253"/>
      <c r="Y203" s="1253"/>
      <c r="Z203" s="1253"/>
      <c r="AA203" s="1253"/>
      <c r="AB203" s="1253"/>
      <c r="AC203" s="1253"/>
      <c r="AD203" s="1253"/>
      <c r="AE203" s="1253"/>
      <c r="AF203" s="1253"/>
      <c r="AG203" s="1253"/>
      <c r="AH203" s="1253"/>
      <c r="AI203" s="1253"/>
      <c r="AJ203" s="1253"/>
    </row>
    <row r="204" spans="1:36" s="1263" customFormat="1" ht="12.75" customHeight="1">
      <c r="A204" s="743" t="s">
        <v>25</v>
      </c>
      <c r="B204" s="1260">
        <v>8.01</v>
      </c>
      <c r="C204" s="478" t="s">
        <v>93</v>
      </c>
      <c r="D204" s="478" t="s">
        <v>93</v>
      </c>
      <c r="E204" s="478" t="s">
        <v>93</v>
      </c>
      <c r="F204" s="478">
        <v>1050</v>
      </c>
      <c r="G204" s="1271" t="s">
        <v>93</v>
      </c>
      <c r="H204" s="1271" t="s">
        <v>93</v>
      </c>
      <c r="I204" s="1271" t="s">
        <v>93</v>
      </c>
      <c r="J204" s="1271" t="s">
        <v>93</v>
      </c>
      <c r="K204" s="1260">
        <v>12</v>
      </c>
      <c r="L204" s="478" t="s">
        <v>93</v>
      </c>
      <c r="M204" s="1260" t="s">
        <v>93</v>
      </c>
      <c r="N204" s="478" t="s">
        <v>93</v>
      </c>
      <c r="O204" s="1260">
        <v>10</v>
      </c>
      <c r="P204" s="478">
        <v>775.88</v>
      </c>
      <c r="Q204" s="1253"/>
      <c r="R204" s="1253"/>
      <c r="S204" s="1253"/>
      <c r="T204" s="1253"/>
      <c r="U204" s="1253"/>
      <c r="V204" s="1253"/>
      <c r="W204" s="1253"/>
      <c r="X204" s="1253"/>
      <c r="Y204" s="1253"/>
      <c r="Z204" s="1253"/>
      <c r="AA204" s="1253"/>
      <c r="AB204" s="1253"/>
      <c r="AC204" s="1253"/>
      <c r="AD204" s="1253"/>
      <c r="AE204" s="1253"/>
      <c r="AF204" s="1253"/>
      <c r="AG204" s="1253"/>
      <c r="AH204" s="1253"/>
      <c r="AI204" s="1253"/>
      <c r="AJ204" s="1253"/>
    </row>
    <row r="205" spans="1:36" s="1263" customFormat="1" ht="12.75" customHeight="1">
      <c r="A205" s="743" t="s">
        <v>26</v>
      </c>
      <c r="B205" s="1260">
        <v>8.01</v>
      </c>
      <c r="C205" s="478" t="s">
        <v>93</v>
      </c>
      <c r="D205" s="478" t="s">
        <v>93</v>
      </c>
      <c r="E205" s="478" t="s">
        <v>93</v>
      </c>
      <c r="F205" s="478">
        <v>1050</v>
      </c>
      <c r="G205" s="1271" t="s">
        <v>93</v>
      </c>
      <c r="H205" s="1271" t="s">
        <v>93</v>
      </c>
      <c r="I205" s="1271" t="s">
        <v>93</v>
      </c>
      <c r="J205" s="1271" t="s">
        <v>93</v>
      </c>
      <c r="K205" s="1260">
        <v>12</v>
      </c>
      <c r="L205" s="478" t="s">
        <v>93</v>
      </c>
      <c r="M205" s="1260" t="s">
        <v>93</v>
      </c>
      <c r="N205" s="478" t="s">
        <v>93</v>
      </c>
      <c r="O205" s="1260">
        <v>10</v>
      </c>
      <c r="P205" s="478">
        <v>746.26</v>
      </c>
      <c r="Q205" s="1253"/>
      <c r="R205" s="1253"/>
      <c r="S205" s="1253"/>
      <c r="T205" s="1253"/>
      <c r="U205" s="1253"/>
      <c r="V205" s="1253"/>
      <c r="W205" s="1253"/>
      <c r="X205" s="1253"/>
      <c r="Y205" s="1253"/>
      <c r="Z205" s="1253"/>
      <c r="AA205" s="1253"/>
      <c r="AB205" s="1253"/>
      <c r="AC205" s="1253"/>
      <c r="AD205" s="1253"/>
      <c r="AE205" s="1253"/>
      <c r="AF205" s="1253"/>
      <c r="AG205" s="1253"/>
      <c r="AH205" s="1253"/>
      <c r="AI205" s="1253"/>
      <c r="AJ205" s="1253"/>
    </row>
    <row r="206" spans="1:36" s="1263" customFormat="1" ht="12.75" customHeight="1">
      <c r="A206" s="743" t="s">
        <v>27</v>
      </c>
      <c r="B206" s="1260">
        <v>7.76</v>
      </c>
      <c r="C206" s="478" t="s">
        <v>93</v>
      </c>
      <c r="D206" s="478" t="s">
        <v>93</v>
      </c>
      <c r="E206" s="478" t="s">
        <v>93</v>
      </c>
      <c r="F206" s="478">
        <v>1050</v>
      </c>
      <c r="G206" s="1271" t="s">
        <v>93</v>
      </c>
      <c r="H206" s="1271" t="s">
        <v>93</v>
      </c>
      <c r="I206" s="1271" t="s">
        <v>93</v>
      </c>
      <c r="J206" s="1271" t="s">
        <v>93</v>
      </c>
      <c r="K206" s="1260">
        <v>11.75</v>
      </c>
      <c r="L206" s="478" t="s">
        <v>93</v>
      </c>
      <c r="M206" s="1260" t="s">
        <v>93</v>
      </c>
      <c r="N206" s="478" t="s">
        <v>93</v>
      </c>
      <c r="O206" s="1260">
        <v>9.75</v>
      </c>
      <c r="P206" s="478">
        <v>731.57</v>
      </c>
      <c r="Q206" s="1253"/>
      <c r="R206" s="1253"/>
      <c r="S206" s="1253"/>
      <c r="T206" s="1253"/>
      <c r="U206" s="1253"/>
      <c r="V206" s="1253"/>
      <c r="W206" s="1253"/>
      <c r="X206" s="1253"/>
      <c r="Y206" s="1253"/>
      <c r="Z206" s="1253"/>
      <c r="AA206" s="1253"/>
      <c r="AB206" s="1253"/>
      <c r="AC206" s="1253"/>
      <c r="AD206" s="1253"/>
      <c r="AE206" s="1253"/>
      <c r="AF206" s="1253"/>
      <c r="AG206" s="1253"/>
      <c r="AH206" s="1253"/>
      <c r="AI206" s="1253"/>
      <c r="AJ206" s="1253"/>
    </row>
    <row r="207" spans="1:36" s="1263" customFormat="1" ht="12.75" customHeight="1">
      <c r="A207" s="743" t="s">
        <v>28</v>
      </c>
      <c r="B207" s="1260">
        <v>7.76</v>
      </c>
      <c r="C207" s="478" t="s">
        <v>93</v>
      </c>
      <c r="D207" s="478" t="s">
        <v>93</v>
      </c>
      <c r="E207" s="478" t="s">
        <v>93</v>
      </c>
      <c r="F207" s="478">
        <v>1050</v>
      </c>
      <c r="G207" s="1271" t="s">
        <v>93</v>
      </c>
      <c r="H207" s="1271" t="s">
        <v>93</v>
      </c>
      <c r="I207" s="1271" t="s">
        <v>93</v>
      </c>
      <c r="J207" s="1271" t="s">
        <v>93</v>
      </c>
      <c r="K207" s="1260">
        <v>11.75</v>
      </c>
      <c r="L207" s="478" t="s">
        <v>93</v>
      </c>
      <c r="M207" s="1260" t="s">
        <v>93</v>
      </c>
      <c r="N207" s="478" t="s">
        <v>93</v>
      </c>
      <c r="O207" s="1260">
        <v>9.75</v>
      </c>
      <c r="P207" s="478">
        <v>739.46</v>
      </c>
      <c r="Q207" s="1253"/>
      <c r="R207" s="1253"/>
      <c r="S207" s="1253"/>
      <c r="T207" s="1253"/>
      <c r="U207" s="1253"/>
      <c r="V207" s="1253"/>
      <c r="W207" s="1253"/>
      <c r="X207" s="1253"/>
      <c r="Y207" s="1253"/>
      <c r="Z207" s="1253"/>
      <c r="AA207" s="1253"/>
      <c r="AB207" s="1253"/>
      <c r="AC207" s="1253"/>
      <c r="AD207" s="1253"/>
      <c r="AE207" s="1253"/>
      <c r="AF207" s="1253"/>
      <c r="AG207" s="1253"/>
      <c r="AH207" s="1253"/>
      <c r="AI207" s="1253"/>
      <c r="AJ207" s="1253"/>
    </row>
    <row r="208" spans="1:36" s="1263" customFormat="1" ht="12.75" customHeight="1">
      <c r="A208" s="743" t="s">
        <v>29</v>
      </c>
      <c r="B208" s="1260">
        <v>9.34</v>
      </c>
      <c r="C208" s="478" t="s">
        <v>93</v>
      </c>
      <c r="D208" s="478" t="s">
        <v>93</v>
      </c>
      <c r="E208" s="478" t="s">
        <v>93</v>
      </c>
      <c r="F208" s="478">
        <v>1008.27</v>
      </c>
      <c r="G208" s="1271" t="s">
        <v>93</v>
      </c>
      <c r="H208" s="1271" t="s">
        <v>93</v>
      </c>
      <c r="I208" s="1271" t="s">
        <v>93</v>
      </c>
      <c r="J208" s="1271" t="s">
        <v>93</v>
      </c>
      <c r="K208" s="1260">
        <v>11.75</v>
      </c>
      <c r="L208" s="478" t="s">
        <v>93</v>
      </c>
      <c r="M208" s="1260" t="s">
        <v>93</v>
      </c>
      <c r="N208" s="478" t="s">
        <v>93</v>
      </c>
      <c r="O208" s="1260">
        <v>9.75</v>
      </c>
      <c r="P208" s="478">
        <v>726.61</v>
      </c>
      <c r="Q208" s="1253"/>
      <c r="R208" s="1253"/>
      <c r="S208" s="1253"/>
      <c r="T208" s="1253"/>
      <c r="U208" s="1253"/>
      <c r="V208" s="1253"/>
      <c r="W208" s="1253"/>
      <c r="X208" s="1253"/>
      <c r="Y208" s="1253"/>
      <c r="Z208" s="1253"/>
      <c r="AA208" s="1253"/>
      <c r="AB208" s="1253"/>
      <c r="AC208" s="1253"/>
      <c r="AD208" s="1253"/>
      <c r="AE208" s="1253"/>
      <c r="AF208" s="1253"/>
      <c r="AG208" s="1253"/>
      <c r="AH208" s="1253"/>
      <c r="AI208" s="1253"/>
      <c r="AJ208" s="1253"/>
    </row>
    <row r="209" spans="1:36" s="476" customFormat="1" ht="12.75" customHeight="1">
      <c r="A209" s="743" t="s">
        <v>2144</v>
      </c>
      <c r="B209" s="473">
        <f t="shared" ref="B209:F209" si="10">B221</f>
        <v>5.76</v>
      </c>
      <c r="C209" s="474" t="str">
        <f t="shared" si="10"/>
        <v>-</v>
      </c>
      <c r="D209" s="474" t="str">
        <f t="shared" si="10"/>
        <v>-</v>
      </c>
      <c r="E209" s="474" t="str">
        <f t="shared" si="10"/>
        <v>-</v>
      </c>
      <c r="F209" s="474">
        <f t="shared" si="10"/>
        <v>700</v>
      </c>
      <c r="G209" s="1270" t="s">
        <v>93</v>
      </c>
      <c r="H209" s="1270" t="s">
        <v>93</v>
      </c>
      <c r="I209" s="1270" t="s">
        <v>93</v>
      </c>
      <c r="J209" s="1270" t="s">
        <v>93</v>
      </c>
      <c r="K209" s="473">
        <v>9.25</v>
      </c>
      <c r="L209" s="474" t="s">
        <v>93</v>
      </c>
      <c r="M209" s="473" t="s">
        <v>93</v>
      </c>
      <c r="N209" s="474" t="s">
        <v>93</v>
      </c>
      <c r="O209" s="473">
        <f>O221</f>
        <v>7.5</v>
      </c>
      <c r="P209" s="474">
        <f t="shared" ref="P209" si="11">P221</f>
        <v>681.7</v>
      </c>
      <c r="Q209" s="1253"/>
      <c r="R209" s="1253"/>
      <c r="S209" s="1253"/>
      <c r="T209" s="1253"/>
      <c r="U209" s="475"/>
      <c r="V209" s="475"/>
      <c r="W209" s="475"/>
      <c r="X209" s="475"/>
      <c r="Y209" s="475"/>
      <c r="Z209" s="475"/>
      <c r="AA209" s="475"/>
      <c r="AB209" s="475"/>
      <c r="AC209" s="475"/>
      <c r="AD209" s="475"/>
      <c r="AE209" s="475"/>
      <c r="AF209" s="475"/>
      <c r="AG209" s="475"/>
      <c r="AH209" s="475"/>
      <c r="AI209" s="475"/>
      <c r="AJ209" s="475"/>
    </row>
    <row r="210" spans="1:36" s="1262" customFormat="1" ht="12.75" customHeight="1">
      <c r="A210" s="743" t="s">
        <v>18</v>
      </c>
      <c r="B210" s="1260">
        <v>7.76</v>
      </c>
      <c r="C210" s="478" t="s">
        <v>93</v>
      </c>
      <c r="D210" s="478" t="s">
        <v>93</v>
      </c>
      <c r="E210" s="478" t="s">
        <v>93</v>
      </c>
      <c r="F210" s="478">
        <v>1050</v>
      </c>
      <c r="G210" s="1271" t="s">
        <v>93</v>
      </c>
      <c r="H210" s="1271" t="s">
        <v>93</v>
      </c>
      <c r="I210" s="1271" t="s">
        <v>93</v>
      </c>
      <c r="J210" s="1271" t="s">
        <v>93</v>
      </c>
      <c r="K210" s="1260">
        <v>11.75</v>
      </c>
      <c r="L210" s="478" t="s">
        <v>93</v>
      </c>
      <c r="M210" s="1260" t="s">
        <v>93</v>
      </c>
      <c r="N210" s="478" t="s">
        <v>93</v>
      </c>
      <c r="O210" s="1260">
        <v>9.75</v>
      </c>
      <c r="P210" s="478">
        <v>710.61</v>
      </c>
      <c r="Q210" s="1253"/>
      <c r="R210" s="1253"/>
      <c r="S210" s="1253"/>
      <c r="T210" s="1253"/>
      <c r="U210" s="1255"/>
      <c r="V210" s="1255"/>
      <c r="W210" s="1255"/>
      <c r="X210" s="1255"/>
      <c r="Y210" s="1255"/>
      <c r="Z210" s="1255"/>
      <c r="AA210" s="1255"/>
      <c r="AB210" s="1255"/>
      <c r="AC210" s="1255"/>
      <c r="AD210" s="1255"/>
      <c r="AE210" s="1255"/>
      <c r="AF210" s="1255"/>
      <c r="AG210" s="1255"/>
      <c r="AH210" s="1255"/>
      <c r="AI210" s="1255"/>
      <c r="AJ210" s="1255"/>
    </row>
    <row r="211" spans="1:36" s="1262" customFormat="1" ht="12.75" customHeight="1">
      <c r="A211" s="743" t="s">
        <v>19</v>
      </c>
      <c r="B211" s="1260">
        <v>7.26</v>
      </c>
      <c r="C211" s="478" t="s">
        <v>93</v>
      </c>
      <c r="D211" s="478" t="s">
        <v>93</v>
      </c>
      <c r="E211" s="478" t="s">
        <v>93</v>
      </c>
      <c r="F211" s="478">
        <v>1050</v>
      </c>
      <c r="G211" s="1271" t="s">
        <v>93</v>
      </c>
      <c r="H211" s="1271" t="s">
        <v>93</v>
      </c>
      <c r="I211" s="1271" t="s">
        <v>93</v>
      </c>
      <c r="J211" s="1271" t="s">
        <v>93</v>
      </c>
      <c r="K211" s="1260">
        <v>11.25</v>
      </c>
      <c r="L211" s="478" t="s">
        <v>93</v>
      </c>
      <c r="M211" s="1260" t="s">
        <v>93</v>
      </c>
      <c r="N211" s="478" t="s">
        <v>93</v>
      </c>
      <c r="O211" s="1260">
        <v>9.25</v>
      </c>
      <c r="P211" s="478">
        <v>688.67</v>
      </c>
      <c r="Q211" s="1253"/>
      <c r="R211" s="1253"/>
      <c r="S211" s="1253"/>
      <c r="T211" s="1253"/>
      <c r="U211" s="1255"/>
      <c r="V211" s="1255"/>
      <c r="W211" s="1255"/>
      <c r="X211" s="1255"/>
      <c r="Y211" s="1255"/>
      <c r="Z211" s="1255"/>
      <c r="AA211" s="1255"/>
      <c r="AB211" s="1255"/>
      <c r="AC211" s="1255"/>
      <c r="AD211" s="1255"/>
      <c r="AE211" s="1255"/>
      <c r="AF211" s="1255"/>
      <c r="AG211" s="1255"/>
      <c r="AH211" s="1255"/>
      <c r="AI211" s="1255"/>
      <c r="AJ211" s="1255"/>
    </row>
    <row r="212" spans="1:36" s="1262" customFormat="1" ht="12.75" customHeight="1">
      <c r="A212" s="743" t="s">
        <v>20</v>
      </c>
      <c r="B212" s="1260">
        <v>8.7799999999999994</v>
      </c>
      <c r="C212" s="478" t="s">
        <v>93</v>
      </c>
      <c r="D212" s="478" t="s">
        <v>93</v>
      </c>
      <c r="E212" s="478" t="s">
        <v>93</v>
      </c>
      <c r="F212" s="478">
        <v>983.33</v>
      </c>
      <c r="G212" s="1271" t="s">
        <v>93</v>
      </c>
      <c r="H212" s="1271" t="s">
        <v>93</v>
      </c>
      <c r="I212" s="1271" t="s">
        <v>93</v>
      </c>
      <c r="J212" s="1271" t="s">
        <v>93</v>
      </c>
      <c r="K212" s="1260">
        <v>9</v>
      </c>
      <c r="L212" s="478" t="s">
        <v>93</v>
      </c>
      <c r="M212" s="1260" t="s">
        <v>93</v>
      </c>
      <c r="N212" s="478" t="s">
        <v>93</v>
      </c>
      <c r="O212" s="1260">
        <v>9</v>
      </c>
      <c r="P212" s="478">
        <v>671.34</v>
      </c>
      <c r="Q212" s="1253"/>
      <c r="R212" s="1253"/>
      <c r="S212" s="1253"/>
      <c r="T212" s="1253"/>
      <c r="U212" s="1255"/>
      <c r="V212" s="1255"/>
      <c r="W212" s="1255"/>
      <c r="X212" s="1255"/>
      <c r="Y212" s="1255"/>
      <c r="Z212" s="1255"/>
      <c r="AA212" s="1255"/>
      <c r="AB212" s="1255"/>
      <c r="AC212" s="1255"/>
      <c r="AD212" s="1255"/>
      <c r="AE212" s="1255"/>
      <c r="AF212" s="1255"/>
      <c r="AG212" s="1255"/>
      <c r="AH212" s="1255"/>
      <c r="AI212" s="1255"/>
      <c r="AJ212" s="1255"/>
    </row>
    <row r="213" spans="1:36" s="1262" customFormat="1" ht="12.75" customHeight="1">
      <c r="A213" s="743" t="s">
        <v>21</v>
      </c>
      <c r="B213" s="1260">
        <v>8.91</v>
      </c>
      <c r="C213" s="478" t="s">
        <v>93</v>
      </c>
      <c r="D213" s="478" t="s">
        <v>93</v>
      </c>
      <c r="E213" s="478" t="s">
        <v>93</v>
      </c>
      <c r="F213" s="478">
        <v>874.37</v>
      </c>
      <c r="G213" s="1271" t="s">
        <v>93</v>
      </c>
      <c r="H213" s="1271" t="s">
        <v>93</v>
      </c>
      <c r="I213" s="1271" t="s">
        <v>93</v>
      </c>
      <c r="J213" s="1271" t="s">
        <v>93</v>
      </c>
      <c r="K213" s="1260">
        <v>10.75</v>
      </c>
      <c r="L213" s="478" t="s">
        <v>93</v>
      </c>
      <c r="M213" s="1260" t="s">
        <v>93</v>
      </c>
      <c r="N213" s="478" t="s">
        <v>93</v>
      </c>
      <c r="O213" s="1260">
        <v>8.75</v>
      </c>
      <c r="P213" s="478">
        <v>587.37</v>
      </c>
      <c r="Q213" s="1253"/>
      <c r="R213" s="1253"/>
      <c r="S213" s="1253"/>
      <c r="T213" s="1253"/>
      <c r="U213" s="1255"/>
      <c r="V213" s="1255"/>
      <c r="W213" s="1255"/>
      <c r="X213" s="1255"/>
      <c r="Y213" s="1255"/>
      <c r="Z213" s="1255"/>
      <c r="AA213" s="1255"/>
      <c r="AB213" s="1255"/>
      <c r="AC213" s="1255"/>
      <c r="AD213" s="1255"/>
      <c r="AE213" s="1255"/>
      <c r="AF213" s="1255"/>
      <c r="AG213" s="1255"/>
      <c r="AH213" s="1255"/>
      <c r="AI213" s="1255"/>
      <c r="AJ213" s="1255"/>
    </row>
    <row r="214" spans="1:36" s="1262" customFormat="1" ht="12.75" customHeight="1">
      <c r="A214" s="743" t="s">
        <v>22</v>
      </c>
      <c r="B214" s="1260">
        <v>6.76</v>
      </c>
      <c r="C214" s="478" t="s">
        <v>93</v>
      </c>
      <c r="D214" s="478" t="s">
        <v>93</v>
      </c>
      <c r="E214" s="478" t="s">
        <v>93</v>
      </c>
      <c r="F214" s="478">
        <v>800</v>
      </c>
      <c r="G214" s="1271" t="s">
        <v>93</v>
      </c>
      <c r="H214" s="1271" t="s">
        <v>93</v>
      </c>
      <c r="I214" s="1271" t="s">
        <v>93</v>
      </c>
      <c r="J214" s="1271" t="s">
        <v>93</v>
      </c>
      <c r="K214" s="1260">
        <v>10.75</v>
      </c>
      <c r="L214" s="478" t="s">
        <v>93</v>
      </c>
      <c r="M214" s="1260" t="s">
        <v>93</v>
      </c>
      <c r="N214" s="478" t="s">
        <v>93</v>
      </c>
      <c r="O214" s="1260">
        <v>8.75</v>
      </c>
      <c r="P214" s="478">
        <v>568.33000000000004</v>
      </c>
      <c r="Q214" s="1253"/>
      <c r="R214" s="1253"/>
      <c r="S214" s="1253"/>
      <c r="T214" s="1253"/>
      <c r="U214" s="1255"/>
      <c r="V214" s="1255"/>
      <c r="W214" s="1255"/>
      <c r="X214" s="1255"/>
      <c r="Y214" s="1255"/>
      <c r="Z214" s="1255"/>
      <c r="AA214" s="1255"/>
      <c r="AB214" s="1255"/>
      <c r="AC214" s="1255"/>
      <c r="AD214" s="1255"/>
      <c r="AE214" s="1255"/>
      <c r="AF214" s="1255"/>
      <c r="AG214" s="1255"/>
      <c r="AH214" s="1255"/>
      <c r="AI214" s="1255"/>
      <c r="AJ214" s="1255"/>
    </row>
    <row r="215" spans="1:36" s="1262" customFormat="1" ht="12.75" customHeight="1">
      <c r="A215" s="743" t="s">
        <v>23</v>
      </c>
      <c r="B215" s="1260">
        <v>6.51</v>
      </c>
      <c r="C215" s="478" t="s">
        <v>93</v>
      </c>
      <c r="D215" s="478" t="s">
        <v>93</v>
      </c>
      <c r="E215" s="478" t="s">
        <v>93</v>
      </c>
      <c r="F215" s="478">
        <v>700</v>
      </c>
      <c r="G215" s="1271" t="s">
        <v>93</v>
      </c>
      <c r="H215" s="1271" t="s">
        <v>93</v>
      </c>
      <c r="I215" s="1271" t="s">
        <v>93</v>
      </c>
      <c r="J215" s="1271" t="s">
        <v>93</v>
      </c>
      <c r="K215" s="1260">
        <v>10.5</v>
      </c>
      <c r="L215" s="478" t="s">
        <v>93</v>
      </c>
      <c r="M215" s="1260" t="s">
        <v>93</v>
      </c>
      <c r="N215" s="478" t="s">
        <v>93</v>
      </c>
      <c r="O215" s="1260">
        <v>8.5</v>
      </c>
      <c r="P215" s="478">
        <v>551.04</v>
      </c>
      <c r="Q215" s="1253"/>
      <c r="R215" s="1253"/>
      <c r="S215" s="1253"/>
      <c r="T215" s="1253"/>
      <c r="AJ215" s="1255"/>
    </row>
    <row r="216" spans="1:36" s="1262" customFormat="1" ht="12.75" customHeight="1">
      <c r="A216" s="743" t="s">
        <v>24</v>
      </c>
      <c r="B216" s="1260">
        <v>6.26</v>
      </c>
      <c r="C216" s="478" t="s">
        <v>93</v>
      </c>
      <c r="D216" s="478" t="s">
        <v>93</v>
      </c>
      <c r="E216" s="478" t="s">
        <v>93</v>
      </c>
      <c r="F216" s="478">
        <v>700</v>
      </c>
      <c r="G216" s="1271" t="s">
        <v>93</v>
      </c>
      <c r="H216" s="1271" t="s">
        <v>93</v>
      </c>
      <c r="I216" s="1271" t="s">
        <v>93</v>
      </c>
      <c r="J216" s="1271" t="s">
        <v>93</v>
      </c>
      <c r="K216" s="1260">
        <v>10.25</v>
      </c>
      <c r="L216" s="478" t="s">
        <v>93</v>
      </c>
      <c r="M216" s="1260" t="s">
        <v>93</v>
      </c>
      <c r="N216" s="478" t="s">
        <v>93</v>
      </c>
      <c r="O216" s="1260">
        <v>8.25</v>
      </c>
      <c r="P216" s="478">
        <v>499.36</v>
      </c>
      <c r="Q216" s="1253"/>
      <c r="R216" s="1253"/>
      <c r="S216" s="1253"/>
      <c r="T216" s="1253"/>
      <c r="U216" s="1255"/>
      <c r="V216" s="1255"/>
      <c r="W216" s="1255"/>
      <c r="X216" s="1255"/>
      <c r="Y216" s="1255"/>
      <c r="Z216" s="1255"/>
      <c r="AA216" s="1255"/>
      <c r="AB216" s="1255"/>
      <c r="AC216" s="1255"/>
      <c r="AD216" s="1255"/>
      <c r="AE216" s="1255"/>
      <c r="AF216" s="1255"/>
      <c r="AG216" s="1255"/>
      <c r="AH216" s="1255"/>
      <c r="AI216" s="1255"/>
      <c r="AJ216" s="1255"/>
    </row>
    <row r="217" spans="1:36" s="1262" customFormat="1" ht="12.75" customHeight="1">
      <c r="A217" s="743" t="s">
        <v>25</v>
      </c>
      <c r="B217" s="1260">
        <v>6.26</v>
      </c>
      <c r="C217" s="478" t="s">
        <v>93</v>
      </c>
      <c r="D217" s="478" t="s">
        <v>93</v>
      </c>
      <c r="E217" s="478" t="s">
        <v>93</v>
      </c>
      <c r="F217" s="478">
        <v>700</v>
      </c>
      <c r="G217" s="1271" t="s">
        <v>93</v>
      </c>
      <c r="H217" s="1271" t="s">
        <v>93</v>
      </c>
      <c r="I217" s="1271" t="s">
        <v>93</v>
      </c>
      <c r="J217" s="1271" t="s">
        <v>93</v>
      </c>
      <c r="K217" s="1260">
        <v>10.25</v>
      </c>
      <c r="L217" s="478" t="s">
        <v>93</v>
      </c>
      <c r="M217" s="1260" t="s">
        <v>93</v>
      </c>
      <c r="N217" s="478" t="s">
        <v>93</v>
      </c>
      <c r="O217" s="1260">
        <v>8.25</v>
      </c>
      <c r="P217" s="478">
        <v>497.08</v>
      </c>
      <c r="Q217" s="1253"/>
      <c r="R217" s="1253"/>
      <c r="S217" s="1253"/>
      <c r="T217" s="1253"/>
      <c r="U217" s="1255"/>
      <c r="V217" s="1255"/>
      <c r="W217" s="1255"/>
      <c r="X217" s="1255"/>
      <c r="Y217" s="1255"/>
      <c r="Z217" s="1255"/>
      <c r="AA217" s="1255"/>
      <c r="AB217" s="1255"/>
      <c r="AC217" s="1255"/>
      <c r="AD217" s="1255"/>
      <c r="AE217" s="1255"/>
      <c r="AF217" s="1255"/>
      <c r="AG217" s="1255"/>
      <c r="AH217" s="1255"/>
      <c r="AI217" s="1255"/>
      <c r="AJ217" s="1255"/>
    </row>
    <row r="218" spans="1:36" s="1262" customFormat="1" ht="12.75" customHeight="1">
      <c r="A218" s="743" t="s">
        <v>26</v>
      </c>
      <c r="B218" s="1260">
        <v>6.26</v>
      </c>
      <c r="C218" s="478" t="s">
        <v>93</v>
      </c>
      <c r="D218" s="478" t="s">
        <v>93</v>
      </c>
      <c r="E218" s="478" t="s">
        <v>93</v>
      </c>
      <c r="F218" s="478">
        <v>700</v>
      </c>
      <c r="G218" s="1271" t="s">
        <v>93</v>
      </c>
      <c r="H218" s="1271" t="s">
        <v>93</v>
      </c>
      <c r="I218" s="1271" t="s">
        <v>93</v>
      </c>
      <c r="J218" s="1271" t="s">
        <v>93</v>
      </c>
      <c r="K218" s="1260">
        <v>9.75</v>
      </c>
      <c r="L218" s="478" t="s">
        <v>93</v>
      </c>
      <c r="M218" s="1260" t="s">
        <v>93</v>
      </c>
      <c r="N218" s="478" t="s">
        <v>93</v>
      </c>
      <c r="O218" s="1260">
        <v>8</v>
      </c>
      <c r="P218" s="478">
        <v>498.01</v>
      </c>
      <c r="Q218" s="1253"/>
      <c r="R218" s="1253"/>
      <c r="S218" s="1253"/>
      <c r="T218" s="1253"/>
      <c r="U218" s="1255"/>
      <c r="V218" s="1255"/>
      <c r="W218" s="1255"/>
      <c r="X218" s="1255"/>
      <c r="Y218" s="1255"/>
      <c r="Z218" s="1255"/>
      <c r="AA218" s="1255"/>
      <c r="AB218" s="1255"/>
      <c r="AC218" s="1255"/>
      <c r="AD218" s="1255"/>
      <c r="AE218" s="1255"/>
      <c r="AF218" s="1255"/>
      <c r="AG218" s="1255"/>
      <c r="AH218" s="1255"/>
      <c r="AI218" s="1255"/>
      <c r="AJ218" s="1255"/>
    </row>
    <row r="219" spans="1:36" s="1262" customFormat="1" ht="12.75" customHeight="1">
      <c r="A219" s="743" t="s">
        <v>27</v>
      </c>
      <c r="B219" s="1260">
        <v>6.01</v>
      </c>
      <c r="C219" s="478" t="s">
        <v>93</v>
      </c>
      <c r="D219" s="478" t="s">
        <v>93</v>
      </c>
      <c r="E219" s="478" t="s">
        <v>93</v>
      </c>
      <c r="F219" s="478">
        <v>700</v>
      </c>
      <c r="G219" s="1271" t="s">
        <v>93</v>
      </c>
      <c r="H219" s="1271" t="s">
        <v>93</v>
      </c>
      <c r="I219" s="1271" t="s">
        <v>93</v>
      </c>
      <c r="J219" s="1271" t="s">
        <v>93</v>
      </c>
      <c r="K219" s="1260">
        <v>9.5</v>
      </c>
      <c r="L219" s="478" t="s">
        <v>93</v>
      </c>
      <c r="M219" s="1260" t="s">
        <v>93</v>
      </c>
      <c r="N219" s="478" t="s">
        <v>93</v>
      </c>
      <c r="O219" s="1260">
        <v>7.75</v>
      </c>
      <c r="P219" s="478">
        <v>496.23</v>
      </c>
      <c r="Q219" s="1253"/>
      <c r="R219" s="1253"/>
      <c r="S219" s="1253"/>
      <c r="T219" s="1253"/>
      <c r="U219" s="1255"/>
      <c r="V219" s="1255"/>
      <c r="W219" s="1255"/>
      <c r="X219" s="1255"/>
      <c r="Y219" s="1255"/>
      <c r="Z219" s="1255"/>
      <c r="AA219" s="1255"/>
      <c r="AB219" s="1255"/>
      <c r="AC219" s="1255"/>
      <c r="AD219" s="1255"/>
      <c r="AE219" s="1255"/>
      <c r="AF219" s="1255"/>
      <c r="AG219" s="1255"/>
      <c r="AH219" s="1255"/>
      <c r="AI219" s="1255"/>
      <c r="AJ219" s="1255"/>
    </row>
    <row r="220" spans="1:36" s="1262" customFormat="1" ht="12.75" customHeight="1">
      <c r="A220" s="743" t="s">
        <v>28</v>
      </c>
      <c r="B220" s="1260">
        <v>6.01</v>
      </c>
      <c r="C220" s="478" t="s">
        <v>93</v>
      </c>
      <c r="D220" s="478" t="s">
        <v>93</v>
      </c>
      <c r="E220" s="478" t="s">
        <v>93</v>
      </c>
      <c r="F220" s="478">
        <v>700</v>
      </c>
      <c r="G220" s="1271" t="s">
        <v>93</v>
      </c>
      <c r="H220" s="1271" t="s">
        <v>93</v>
      </c>
      <c r="I220" s="1271" t="s">
        <v>93</v>
      </c>
      <c r="J220" s="1271" t="s">
        <v>93</v>
      </c>
      <c r="K220" s="1260">
        <v>9.5</v>
      </c>
      <c r="L220" s="478" t="s">
        <v>93</v>
      </c>
      <c r="M220" s="1260" t="s">
        <v>93</v>
      </c>
      <c r="N220" s="478" t="s">
        <v>93</v>
      </c>
      <c r="O220" s="1260">
        <v>7.75</v>
      </c>
      <c r="P220" s="478">
        <f>627124666.69/1000000</f>
        <v>627.12466669000003</v>
      </c>
      <c r="Q220" s="1253"/>
      <c r="R220" s="1253"/>
      <c r="S220" s="1253"/>
      <c r="T220" s="1253"/>
      <c r="U220" s="1255"/>
      <c r="V220" s="1255"/>
      <c r="W220" s="1255"/>
      <c r="X220" s="1255"/>
      <c r="Y220" s="1255"/>
      <c r="Z220" s="1255"/>
      <c r="AA220" s="1255"/>
      <c r="AB220" s="1255"/>
      <c r="AC220" s="1255"/>
      <c r="AD220" s="1255"/>
      <c r="AE220" s="1255"/>
      <c r="AF220" s="1255"/>
      <c r="AG220" s="1255"/>
      <c r="AH220" s="1255"/>
      <c r="AI220" s="1255"/>
      <c r="AJ220" s="1255"/>
    </row>
    <row r="221" spans="1:36" s="1262" customFormat="1" ht="12.75" customHeight="1">
      <c r="A221" s="743" t="s">
        <v>29</v>
      </c>
      <c r="B221" s="1260">
        <v>5.76</v>
      </c>
      <c r="C221" s="478" t="s">
        <v>93</v>
      </c>
      <c r="D221" s="478" t="s">
        <v>93</v>
      </c>
      <c r="E221" s="478" t="s">
        <v>93</v>
      </c>
      <c r="F221" s="478">
        <v>700</v>
      </c>
      <c r="G221" s="1271" t="s">
        <v>93</v>
      </c>
      <c r="H221" s="1271" t="s">
        <v>93</v>
      </c>
      <c r="I221" s="1271" t="s">
        <v>93</v>
      </c>
      <c r="J221" s="1271" t="s">
        <v>93</v>
      </c>
      <c r="K221" s="1260">
        <v>9.25</v>
      </c>
      <c r="L221" s="478" t="s">
        <v>93</v>
      </c>
      <c r="M221" s="1260" t="s">
        <v>93</v>
      </c>
      <c r="N221" s="478" t="s">
        <v>93</v>
      </c>
      <c r="O221" s="1260">
        <v>7.5</v>
      </c>
      <c r="P221" s="478">
        <v>681.7</v>
      </c>
      <c r="Q221" s="1253"/>
      <c r="R221" s="1253"/>
      <c r="S221" s="1253"/>
      <c r="T221" s="1253"/>
      <c r="U221" s="1255"/>
      <c r="V221" s="1255"/>
      <c r="W221" s="1255"/>
      <c r="X221" s="1255"/>
      <c r="Y221" s="1255"/>
      <c r="Z221" s="1255"/>
      <c r="AA221" s="1255"/>
      <c r="AB221" s="1255"/>
      <c r="AC221" s="1255"/>
      <c r="AD221" s="1255"/>
      <c r="AE221" s="1255"/>
      <c r="AF221" s="1255"/>
      <c r="AG221" s="1255"/>
      <c r="AH221" s="1255"/>
      <c r="AI221" s="1255"/>
      <c r="AJ221" s="1255"/>
    </row>
    <row r="222" spans="1:36" s="477" customFormat="1" ht="12.75" customHeight="1">
      <c r="A222" s="743" t="s">
        <v>2375</v>
      </c>
      <c r="B222" s="473">
        <f t="shared" ref="B222:F222" si="12">B234</f>
        <v>5.76</v>
      </c>
      <c r="C222" s="474" t="str">
        <f t="shared" si="12"/>
        <v>-</v>
      </c>
      <c r="D222" s="474" t="str">
        <f t="shared" si="12"/>
        <v>-</v>
      </c>
      <c r="E222" s="474" t="str">
        <f t="shared" si="12"/>
        <v>-</v>
      </c>
      <c r="F222" s="474">
        <f t="shared" si="12"/>
        <v>650</v>
      </c>
      <c r="G222" s="1270" t="s">
        <v>93</v>
      </c>
      <c r="H222" s="1270" t="s">
        <v>93</v>
      </c>
      <c r="I222" s="1270" t="s">
        <v>93</v>
      </c>
      <c r="J222" s="1270" t="s">
        <v>93</v>
      </c>
      <c r="K222" s="473">
        <v>6.75</v>
      </c>
      <c r="L222" s="474" t="s">
        <v>93</v>
      </c>
      <c r="M222" s="473" t="s">
        <v>93</v>
      </c>
      <c r="N222" s="474" t="s">
        <v>93</v>
      </c>
      <c r="O222" s="473">
        <f>O234</f>
        <v>6.25</v>
      </c>
      <c r="P222" s="474">
        <f t="shared" ref="P222" si="13">P234</f>
        <v>1025.502</v>
      </c>
      <c r="Q222" s="1253"/>
      <c r="R222" s="1253"/>
      <c r="S222" s="1253"/>
      <c r="T222" s="1253"/>
      <c r="U222" s="471"/>
      <c r="V222" s="471"/>
      <c r="W222" s="471"/>
      <c r="X222" s="471"/>
      <c r="Y222" s="471"/>
      <c r="Z222" s="471"/>
      <c r="AA222" s="471"/>
      <c r="AB222" s="471"/>
      <c r="AC222" s="471"/>
      <c r="AD222" s="471"/>
      <c r="AE222" s="471"/>
      <c r="AF222" s="471"/>
      <c r="AG222" s="471"/>
      <c r="AH222" s="471"/>
      <c r="AI222" s="471"/>
      <c r="AJ222" s="471"/>
    </row>
    <row r="223" spans="1:36" s="1263" customFormat="1" ht="12.75" customHeight="1">
      <c r="A223" s="743" t="s">
        <v>18</v>
      </c>
      <c r="B223" s="1260" t="s">
        <v>93</v>
      </c>
      <c r="C223" s="478">
        <v>4.93</v>
      </c>
      <c r="D223" s="478">
        <v>4.4800000000000004</v>
      </c>
      <c r="E223" s="478">
        <v>4.0999999999999996</v>
      </c>
      <c r="F223" s="478">
        <v>220</v>
      </c>
      <c r="G223" s="1271" t="s">
        <v>93</v>
      </c>
      <c r="H223" s="1271" t="s">
        <v>93</v>
      </c>
      <c r="I223" s="1271" t="s">
        <v>93</v>
      </c>
      <c r="J223" s="1271" t="s">
        <v>93</v>
      </c>
      <c r="K223" s="1260">
        <v>9</v>
      </c>
      <c r="L223" s="478" t="s">
        <v>93</v>
      </c>
      <c r="M223" s="1260" t="s">
        <v>93</v>
      </c>
      <c r="N223" s="478" t="s">
        <v>93</v>
      </c>
      <c r="O223" s="1260">
        <v>7.25</v>
      </c>
      <c r="P223" s="478">
        <v>696.10299999999995</v>
      </c>
      <c r="Q223" s="1253"/>
      <c r="R223" s="1253"/>
      <c r="S223" s="1253"/>
      <c r="T223" s="1253"/>
      <c r="U223" s="1253"/>
      <c r="V223" s="1253"/>
      <c r="W223" s="1253"/>
      <c r="X223" s="1253"/>
      <c r="Y223" s="1253"/>
      <c r="Z223" s="1253"/>
      <c r="AA223" s="1253"/>
      <c r="AB223" s="1253"/>
      <c r="AC223" s="1253"/>
      <c r="AD223" s="1253"/>
      <c r="AE223" s="1253"/>
      <c r="AF223" s="1253"/>
      <c r="AG223" s="1253"/>
      <c r="AH223" s="1253"/>
      <c r="AI223" s="1253"/>
      <c r="AJ223" s="1253"/>
    </row>
    <row r="224" spans="1:36" s="1263" customFormat="1" ht="12.75" customHeight="1">
      <c r="A224" s="743" t="s">
        <v>19</v>
      </c>
      <c r="B224" s="1260" t="s">
        <v>93</v>
      </c>
      <c r="C224" s="478">
        <v>3.69</v>
      </c>
      <c r="D224" s="478">
        <v>3.79</v>
      </c>
      <c r="E224" s="478">
        <v>3.85</v>
      </c>
      <c r="F224" s="478">
        <v>350</v>
      </c>
      <c r="G224" s="1271" t="s">
        <v>93</v>
      </c>
      <c r="H224" s="1271" t="s">
        <v>93</v>
      </c>
      <c r="I224" s="1271" t="s">
        <v>93</v>
      </c>
      <c r="J224" s="1271" t="s">
        <v>93</v>
      </c>
      <c r="K224" s="1260">
        <v>9</v>
      </c>
      <c r="L224" s="478" t="s">
        <v>93</v>
      </c>
      <c r="M224" s="1260" t="s">
        <v>93</v>
      </c>
      <c r="N224" s="478" t="s">
        <v>93</v>
      </c>
      <c r="O224" s="1260">
        <v>7.25</v>
      </c>
      <c r="P224" s="478">
        <v>704.67</v>
      </c>
      <c r="Q224" s="1253"/>
      <c r="R224" s="1253"/>
      <c r="S224" s="1253"/>
      <c r="T224" s="1253"/>
      <c r="U224" s="1253"/>
      <c r="V224" s="1253"/>
      <c r="W224" s="1253"/>
      <c r="X224" s="1253"/>
      <c r="Y224" s="1253"/>
      <c r="Z224" s="1253"/>
      <c r="AA224" s="1253"/>
      <c r="AB224" s="1253"/>
      <c r="AC224" s="1253"/>
      <c r="AD224" s="1253"/>
      <c r="AE224" s="1253"/>
      <c r="AF224" s="1253"/>
      <c r="AG224" s="1253"/>
      <c r="AH224" s="1253"/>
      <c r="AI224" s="1253"/>
      <c r="AJ224" s="1253"/>
    </row>
    <row r="225" spans="1:36" s="1263" customFormat="1" ht="12.75" customHeight="1">
      <c r="A225" s="743" t="s">
        <v>20</v>
      </c>
      <c r="B225" s="1260" t="s">
        <v>93</v>
      </c>
      <c r="C225" s="478">
        <v>3.43</v>
      </c>
      <c r="D225" s="478">
        <v>3.79</v>
      </c>
      <c r="E225" s="478">
        <v>3.85</v>
      </c>
      <c r="F225" s="478">
        <v>322.60000000000002</v>
      </c>
      <c r="G225" s="1271" t="s">
        <v>93</v>
      </c>
      <c r="H225" s="1271" t="s">
        <v>93</v>
      </c>
      <c r="I225" s="1271" t="s">
        <v>93</v>
      </c>
      <c r="J225" s="1271" t="s">
        <v>93</v>
      </c>
      <c r="K225" s="1260">
        <v>9</v>
      </c>
      <c r="L225" s="478" t="s">
        <v>93</v>
      </c>
      <c r="M225" s="1260" t="s">
        <v>93</v>
      </c>
      <c r="N225" s="478" t="s">
        <v>93</v>
      </c>
      <c r="O225" s="1260">
        <v>7.25</v>
      </c>
      <c r="P225" s="478">
        <v>707.3</v>
      </c>
      <c r="Q225" s="1253"/>
      <c r="R225" s="1253"/>
      <c r="S225" s="1253"/>
      <c r="T225" s="1253"/>
      <c r="U225" s="1253"/>
      <c r="V225" s="1253"/>
      <c r="W225" s="1253"/>
      <c r="X225" s="1253"/>
      <c r="Y225" s="1253"/>
      <c r="Z225" s="1253"/>
      <c r="AA225" s="1253"/>
      <c r="AB225" s="1253"/>
      <c r="AC225" s="1253"/>
      <c r="AD225" s="1253"/>
      <c r="AE225" s="1253"/>
      <c r="AF225" s="1253"/>
      <c r="AG225" s="1253"/>
      <c r="AH225" s="1253"/>
      <c r="AI225" s="1253"/>
      <c r="AJ225" s="1253"/>
    </row>
    <row r="226" spans="1:36" s="1263" customFormat="1" ht="12.75" customHeight="1">
      <c r="A226" s="743" t="s">
        <v>21</v>
      </c>
      <c r="B226" s="1260">
        <v>6.76</v>
      </c>
      <c r="C226" s="478" t="s">
        <v>93</v>
      </c>
      <c r="D226" s="478" t="s">
        <v>93</v>
      </c>
      <c r="E226" s="478" t="s">
        <v>93</v>
      </c>
      <c r="F226" s="478">
        <v>872.26</v>
      </c>
      <c r="G226" s="1271" t="s">
        <v>93</v>
      </c>
      <c r="H226" s="1271" t="s">
        <v>93</v>
      </c>
      <c r="I226" s="1271" t="s">
        <v>93</v>
      </c>
      <c r="J226" s="1271" t="s">
        <v>93</v>
      </c>
      <c r="K226" s="1260">
        <v>9</v>
      </c>
      <c r="L226" s="478" t="s">
        <v>93</v>
      </c>
      <c r="M226" s="1260" t="s">
        <v>93</v>
      </c>
      <c r="N226" s="478" t="s">
        <v>93</v>
      </c>
      <c r="O226" s="1260">
        <v>7.25</v>
      </c>
      <c r="P226" s="478">
        <v>822.12</v>
      </c>
      <c r="Q226" s="1253"/>
      <c r="R226" s="1253"/>
      <c r="S226" s="1253"/>
      <c r="T226" s="1253"/>
      <c r="U226" s="1253"/>
      <c r="V226" s="1253"/>
      <c r="W226" s="1253"/>
      <c r="X226" s="1253"/>
      <c r="Y226" s="1253"/>
      <c r="Z226" s="1253"/>
      <c r="AA226" s="1253"/>
      <c r="AB226" s="1253"/>
      <c r="AC226" s="1253"/>
      <c r="AD226" s="1253"/>
      <c r="AE226" s="1253"/>
      <c r="AF226" s="1253"/>
      <c r="AG226" s="1253"/>
      <c r="AH226" s="1253"/>
      <c r="AI226" s="1253"/>
      <c r="AJ226" s="1253"/>
    </row>
    <row r="227" spans="1:36" s="1263" customFormat="1" ht="12.75" customHeight="1">
      <c r="A227" s="743" t="s">
        <v>22</v>
      </c>
      <c r="B227" s="1260">
        <v>6.76</v>
      </c>
      <c r="C227" s="478" t="s">
        <v>93</v>
      </c>
      <c r="D227" s="478" t="s">
        <v>93</v>
      </c>
      <c r="E227" s="478" t="s">
        <v>93</v>
      </c>
      <c r="F227" s="478">
        <v>715.42</v>
      </c>
      <c r="G227" s="1271" t="s">
        <v>93</v>
      </c>
      <c r="H227" s="1271" t="s">
        <v>93</v>
      </c>
      <c r="I227" s="1271" t="s">
        <v>93</v>
      </c>
      <c r="J227" s="1271" t="s">
        <v>93</v>
      </c>
      <c r="K227" s="1260">
        <v>8</v>
      </c>
      <c r="L227" s="478" t="s">
        <v>93</v>
      </c>
      <c r="M227" s="1260" t="s">
        <v>93</v>
      </c>
      <c r="N227" s="478" t="s">
        <v>93</v>
      </c>
      <c r="O227" s="1260">
        <v>7.25</v>
      </c>
      <c r="P227" s="478">
        <v>800.76</v>
      </c>
      <c r="Q227" s="1253"/>
      <c r="R227" s="1253"/>
      <c r="S227" s="1253"/>
      <c r="T227" s="1253"/>
      <c r="U227" s="1253"/>
      <c r="V227" s="1253"/>
      <c r="W227" s="1253"/>
      <c r="X227" s="1253"/>
      <c r="Y227" s="1253"/>
      <c r="Z227" s="1253"/>
      <c r="AA227" s="1253"/>
      <c r="AB227" s="1253"/>
      <c r="AC227" s="1253"/>
      <c r="AD227" s="1253"/>
      <c r="AE227" s="1253"/>
      <c r="AF227" s="1253"/>
      <c r="AG227" s="1253"/>
      <c r="AH227" s="1253"/>
      <c r="AI227" s="1253"/>
      <c r="AJ227" s="1253"/>
    </row>
    <row r="228" spans="1:36" s="1263" customFormat="1" ht="12.75" customHeight="1">
      <c r="A228" s="743" t="s">
        <v>23</v>
      </c>
      <c r="B228" s="1260">
        <v>6.51</v>
      </c>
      <c r="C228" s="478" t="s">
        <v>93</v>
      </c>
      <c r="D228" s="478" t="s">
        <v>93</v>
      </c>
      <c r="E228" s="478" t="s">
        <v>93</v>
      </c>
      <c r="F228" s="478">
        <v>806.22</v>
      </c>
      <c r="G228" s="1271" t="s">
        <v>93</v>
      </c>
      <c r="H228" s="1271" t="s">
        <v>93</v>
      </c>
      <c r="I228" s="1271" t="s">
        <v>93</v>
      </c>
      <c r="J228" s="1271" t="s">
        <v>93</v>
      </c>
      <c r="K228" s="1260">
        <v>7.5</v>
      </c>
      <c r="L228" s="478" t="s">
        <v>93</v>
      </c>
      <c r="M228" s="1260" t="s">
        <v>93</v>
      </c>
      <c r="N228" s="478" t="s">
        <v>93</v>
      </c>
      <c r="O228" s="1260">
        <v>7</v>
      </c>
      <c r="P228" s="478">
        <v>757.44</v>
      </c>
      <c r="Q228" s="1253"/>
      <c r="R228" s="1253"/>
      <c r="S228" s="1253"/>
      <c r="T228" s="1253"/>
      <c r="U228" s="1253"/>
      <c r="V228" s="1253"/>
      <c r="W228" s="1253"/>
      <c r="X228" s="1253"/>
      <c r="Y228" s="1253"/>
      <c r="Z228" s="1253"/>
      <c r="AA228" s="1253"/>
      <c r="AB228" s="1253"/>
      <c r="AC228" s="1253"/>
      <c r="AD228" s="1253"/>
      <c r="AE228" s="1253"/>
      <c r="AF228" s="1253"/>
      <c r="AG228" s="1253"/>
      <c r="AH228" s="1253"/>
      <c r="AI228" s="1253"/>
      <c r="AJ228" s="1253"/>
    </row>
    <row r="229" spans="1:36" s="1263" customFormat="1" ht="12.75" customHeight="1">
      <c r="A229" s="743" t="s">
        <v>24</v>
      </c>
      <c r="B229" s="1260">
        <v>6.51</v>
      </c>
      <c r="C229" s="478" t="s">
        <v>93</v>
      </c>
      <c r="D229" s="478" t="s">
        <v>93</v>
      </c>
      <c r="E229" s="478" t="s">
        <v>93</v>
      </c>
      <c r="F229" s="478">
        <v>707.95</v>
      </c>
      <c r="G229" s="1271" t="s">
        <v>93</v>
      </c>
      <c r="H229" s="1271" t="s">
        <v>93</v>
      </c>
      <c r="I229" s="1271" t="s">
        <v>93</v>
      </c>
      <c r="J229" s="1271" t="s">
        <v>93</v>
      </c>
      <c r="K229" s="1260">
        <v>7.25</v>
      </c>
      <c r="L229" s="478" t="s">
        <v>93</v>
      </c>
      <c r="M229" s="1260" t="s">
        <v>93</v>
      </c>
      <c r="N229" s="478" t="s">
        <v>93</v>
      </c>
      <c r="O229" s="1260">
        <v>6.75</v>
      </c>
      <c r="P229" s="478">
        <v>757.21</v>
      </c>
      <c r="Q229" s="1253"/>
      <c r="R229" s="1253"/>
      <c r="S229" s="1253"/>
      <c r="T229" s="1253"/>
      <c r="U229" s="1253"/>
      <c r="V229" s="1253"/>
      <c r="W229" s="1253"/>
      <c r="X229" s="1253"/>
      <c r="Y229" s="1253"/>
      <c r="Z229" s="1253"/>
      <c r="AA229" s="1253"/>
      <c r="AB229" s="1253"/>
      <c r="AC229" s="1253"/>
      <c r="AD229" s="1253"/>
      <c r="AE229" s="1253"/>
      <c r="AF229" s="1253"/>
      <c r="AG229" s="1253"/>
      <c r="AH229" s="1253"/>
      <c r="AI229" s="1253"/>
      <c r="AJ229" s="1253"/>
    </row>
    <row r="230" spans="1:36" s="1263" customFormat="1" ht="12.75" customHeight="1">
      <c r="A230" s="743" t="s">
        <v>25</v>
      </c>
      <c r="B230" s="1260">
        <v>6.26</v>
      </c>
      <c r="C230" s="478" t="s">
        <v>93</v>
      </c>
      <c r="D230" s="478" t="s">
        <v>93</v>
      </c>
      <c r="E230" s="478" t="s">
        <v>93</v>
      </c>
      <c r="F230" s="478">
        <v>708.97</v>
      </c>
      <c r="G230" s="1271" t="s">
        <v>93</v>
      </c>
      <c r="H230" s="1271" t="s">
        <v>93</v>
      </c>
      <c r="I230" s="1271" t="s">
        <v>93</v>
      </c>
      <c r="J230" s="1271" t="s">
        <v>93</v>
      </c>
      <c r="K230" s="1260">
        <v>7.25</v>
      </c>
      <c r="L230" s="478" t="s">
        <v>93</v>
      </c>
      <c r="M230" s="1260" t="s">
        <v>93</v>
      </c>
      <c r="N230" s="478" t="s">
        <v>93</v>
      </c>
      <c r="O230" s="1260">
        <v>6.75</v>
      </c>
      <c r="P230" s="478">
        <v>756.98</v>
      </c>
      <c r="Q230" s="1253"/>
      <c r="R230" s="1253"/>
      <c r="S230" s="1253"/>
      <c r="T230" s="1253"/>
      <c r="U230" s="1253"/>
      <c r="V230" s="1253"/>
      <c r="W230" s="1253"/>
      <c r="X230" s="1253"/>
      <c r="Y230" s="1253"/>
      <c r="Z230" s="1253"/>
      <c r="AA230" s="1253"/>
      <c r="AB230" s="1253"/>
      <c r="AC230" s="1253"/>
      <c r="AD230" s="1253"/>
      <c r="AE230" s="1253"/>
      <c r="AF230" s="1253"/>
      <c r="AG230" s="1253"/>
      <c r="AH230" s="1253"/>
      <c r="AI230" s="1253"/>
      <c r="AJ230" s="1253"/>
    </row>
    <row r="231" spans="1:36" s="1263" customFormat="1" ht="12.75" customHeight="1">
      <c r="A231" s="743" t="s">
        <v>26</v>
      </c>
      <c r="B231" s="1260">
        <v>6.01</v>
      </c>
      <c r="C231" s="478" t="s">
        <v>93</v>
      </c>
      <c r="D231" s="478" t="s">
        <v>93</v>
      </c>
      <c r="E231" s="478" t="s">
        <v>93</v>
      </c>
      <c r="F231" s="478">
        <v>708.97</v>
      </c>
      <c r="G231" s="1271" t="s">
        <v>93</v>
      </c>
      <c r="H231" s="1271" t="s">
        <v>93</v>
      </c>
      <c r="I231" s="1271" t="s">
        <v>93</v>
      </c>
      <c r="J231" s="1271" t="s">
        <v>93</v>
      </c>
      <c r="K231" s="1260">
        <v>7</v>
      </c>
      <c r="L231" s="478" t="s">
        <v>93</v>
      </c>
      <c r="M231" s="1260" t="s">
        <v>93</v>
      </c>
      <c r="N231" s="478" t="s">
        <v>93</v>
      </c>
      <c r="O231" s="1260">
        <v>6.5</v>
      </c>
      <c r="P231" s="478">
        <v>965.8</v>
      </c>
      <c r="Q231" s="1253"/>
      <c r="R231" s="1253"/>
      <c r="S231" s="1253"/>
      <c r="T231" s="1253"/>
      <c r="U231" s="1253"/>
      <c r="V231" s="1253"/>
      <c r="W231" s="1253"/>
      <c r="X231" s="1253"/>
      <c r="Y231" s="1253"/>
      <c r="Z231" s="1253"/>
      <c r="AA231" s="1253"/>
      <c r="AB231" s="1253"/>
      <c r="AC231" s="1253"/>
      <c r="AD231" s="1253"/>
      <c r="AE231" s="1253"/>
      <c r="AF231" s="1253"/>
      <c r="AG231" s="1253"/>
      <c r="AH231" s="1253"/>
      <c r="AI231" s="1253"/>
      <c r="AJ231" s="1253"/>
    </row>
    <row r="232" spans="1:36" s="1263" customFormat="1" ht="12.75" customHeight="1">
      <c r="A232" s="743" t="s">
        <v>27</v>
      </c>
      <c r="B232" s="1260">
        <v>6.01</v>
      </c>
      <c r="C232" s="478" t="s">
        <v>93</v>
      </c>
      <c r="D232" s="478" t="s">
        <v>93</v>
      </c>
      <c r="E232" s="478" t="s">
        <v>93</v>
      </c>
      <c r="F232" s="478">
        <v>650</v>
      </c>
      <c r="G232" s="1271" t="s">
        <v>93</v>
      </c>
      <c r="H232" s="1271" t="s">
        <v>93</v>
      </c>
      <c r="I232" s="1271" t="s">
        <v>93</v>
      </c>
      <c r="J232" s="1271" t="s">
        <v>93</v>
      </c>
      <c r="K232" s="1260">
        <v>7</v>
      </c>
      <c r="L232" s="478" t="s">
        <v>93</v>
      </c>
      <c r="M232" s="1260" t="s">
        <v>93</v>
      </c>
      <c r="N232" s="478" t="s">
        <v>93</v>
      </c>
      <c r="O232" s="1260">
        <v>6.5</v>
      </c>
      <c r="P232" s="478">
        <v>1026.8</v>
      </c>
      <c r="Q232" s="1253"/>
      <c r="R232" s="1253"/>
      <c r="S232" s="1253"/>
      <c r="T232" s="1253"/>
      <c r="U232" s="1253"/>
      <c r="V232" s="1253"/>
      <c r="W232" s="1253"/>
      <c r="X232" s="1253"/>
      <c r="Y232" s="1253"/>
      <c r="Z232" s="1253"/>
      <c r="AA232" s="1253"/>
      <c r="AB232" s="1253"/>
      <c r="AC232" s="1253"/>
      <c r="AD232" s="1253"/>
      <c r="AE232" s="1253"/>
      <c r="AF232" s="1253"/>
      <c r="AG232" s="1253"/>
      <c r="AH232" s="1253"/>
      <c r="AI232" s="1253"/>
      <c r="AJ232" s="1253"/>
    </row>
    <row r="233" spans="1:36" s="1263" customFormat="1" ht="12.75" customHeight="1">
      <c r="A233" s="743" t="s">
        <v>28</v>
      </c>
      <c r="B233" s="1260">
        <v>6.01</v>
      </c>
      <c r="C233" s="478" t="s">
        <v>93</v>
      </c>
      <c r="D233" s="478" t="s">
        <v>93</v>
      </c>
      <c r="E233" s="478" t="s">
        <v>93</v>
      </c>
      <c r="F233" s="478">
        <v>650</v>
      </c>
      <c r="G233" s="1271" t="s">
        <v>93</v>
      </c>
      <c r="H233" s="1271" t="s">
        <v>93</v>
      </c>
      <c r="I233" s="1271" t="s">
        <v>93</v>
      </c>
      <c r="J233" s="1271" t="s">
        <v>93</v>
      </c>
      <c r="K233" s="1260">
        <v>7</v>
      </c>
      <c r="L233" s="478" t="s">
        <v>93</v>
      </c>
      <c r="M233" s="1260" t="s">
        <v>93</v>
      </c>
      <c r="N233" s="478" t="s">
        <v>93</v>
      </c>
      <c r="O233" s="1260">
        <v>6.5</v>
      </c>
      <c r="P233" s="478">
        <v>1026.7</v>
      </c>
      <c r="Q233" s="1253"/>
      <c r="R233" s="1253"/>
      <c r="S233" s="1253"/>
      <c r="T233" s="1253"/>
      <c r="U233" s="1253"/>
      <c r="V233" s="1253"/>
      <c r="W233" s="1253"/>
      <c r="X233" s="1253"/>
      <c r="Y233" s="1253"/>
      <c r="Z233" s="1253"/>
      <c r="AA233" s="1253"/>
      <c r="AB233" s="1253"/>
      <c r="AC233" s="1253"/>
      <c r="AD233" s="1253"/>
      <c r="AE233" s="1253"/>
      <c r="AF233" s="1253"/>
      <c r="AG233" s="1253"/>
      <c r="AH233" s="1253"/>
      <c r="AI233" s="1253"/>
      <c r="AJ233" s="1253"/>
    </row>
    <row r="234" spans="1:36" s="1263" customFormat="1" ht="12.75" customHeight="1">
      <c r="A234" s="743" t="s">
        <v>29</v>
      </c>
      <c r="B234" s="1260">
        <v>5.76</v>
      </c>
      <c r="C234" s="478" t="s">
        <v>93</v>
      </c>
      <c r="D234" s="478" t="s">
        <v>93</v>
      </c>
      <c r="E234" s="478" t="s">
        <v>93</v>
      </c>
      <c r="F234" s="478">
        <v>650</v>
      </c>
      <c r="G234" s="1271" t="s">
        <v>93</v>
      </c>
      <c r="H234" s="1271" t="s">
        <v>93</v>
      </c>
      <c r="I234" s="1271" t="s">
        <v>93</v>
      </c>
      <c r="J234" s="1271" t="s">
        <v>93</v>
      </c>
      <c r="K234" s="1260">
        <v>6.75</v>
      </c>
      <c r="L234" s="478" t="s">
        <v>93</v>
      </c>
      <c r="M234" s="1260" t="s">
        <v>93</v>
      </c>
      <c r="N234" s="478" t="s">
        <v>93</v>
      </c>
      <c r="O234" s="1260">
        <v>6.25</v>
      </c>
      <c r="P234" s="478">
        <v>1025.502</v>
      </c>
      <c r="Q234" s="1253"/>
      <c r="R234" s="1253"/>
      <c r="S234" s="1253"/>
      <c r="T234" s="1253"/>
      <c r="U234" s="1253"/>
      <c r="V234" s="1253"/>
      <c r="W234" s="1253"/>
      <c r="X234" s="1253"/>
      <c r="Y234" s="1253"/>
      <c r="Z234" s="1253"/>
      <c r="AA234" s="1253"/>
      <c r="AB234" s="1253"/>
      <c r="AC234" s="1253"/>
      <c r="AD234" s="1253"/>
      <c r="AE234" s="1253"/>
      <c r="AF234" s="1253"/>
      <c r="AG234" s="1253"/>
      <c r="AH234" s="1253"/>
      <c r="AI234" s="1253"/>
      <c r="AJ234" s="1253"/>
    </row>
    <row r="235" spans="1:36" s="476" customFormat="1" ht="12.75" customHeight="1">
      <c r="A235" s="743" t="s">
        <v>2537</v>
      </c>
      <c r="B235" s="740">
        <v>6.01</v>
      </c>
      <c r="C235" s="741" t="s">
        <v>93</v>
      </c>
      <c r="D235" s="741" t="s">
        <v>93</v>
      </c>
      <c r="E235" s="741" t="s">
        <v>93</v>
      </c>
      <c r="F235" s="741">
        <v>200</v>
      </c>
      <c r="G235" s="1272" t="s">
        <v>93</v>
      </c>
      <c r="H235" s="1272" t="s">
        <v>93</v>
      </c>
      <c r="I235" s="1272" t="s">
        <v>93</v>
      </c>
      <c r="J235" s="1272" t="s">
        <v>93</v>
      </c>
      <c r="K235" s="740">
        <v>8.25</v>
      </c>
      <c r="L235" s="741" t="s">
        <v>93</v>
      </c>
      <c r="M235" s="740" t="s">
        <v>93</v>
      </c>
      <c r="N235" s="741" t="s">
        <v>93</v>
      </c>
      <c r="O235" s="740">
        <v>7.25</v>
      </c>
      <c r="P235" s="741">
        <v>977.04771625000001</v>
      </c>
      <c r="Q235" s="1253"/>
      <c r="R235" s="1253"/>
      <c r="S235" s="1253"/>
      <c r="T235" s="1253"/>
      <c r="U235" s="475"/>
      <c r="V235" s="475"/>
      <c r="W235" s="475"/>
      <c r="X235" s="475"/>
      <c r="Y235" s="475"/>
      <c r="Z235" s="475"/>
      <c r="AA235" s="475"/>
      <c r="AB235" s="475"/>
      <c r="AC235" s="475"/>
      <c r="AD235" s="475"/>
      <c r="AE235" s="475"/>
      <c r="AF235" s="475"/>
      <c r="AG235" s="475"/>
      <c r="AH235" s="475"/>
      <c r="AI235" s="475"/>
      <c r="AJ235" s="475"/>
    </row>
    <row r="236" spans="1:36" s="1262" customFormat="1" ht="12.75" customHeight="1">
      <c r="A236" s="743" t="s">
        <v>18</v>
      </c>
      <c r="B236" s="1260">
        <v>5.76</v>
      </c>
      <c r="C236" s="478">
        <v>5.68</v>
      </c>
      <c r="D236" s="478">
        <v>5.75</v>
      </c>
      <c r="E236" s="478">
        <v>6.21</v>
      </c>
      <c r="F236" s="478">
        <v>1020</v>
      </c>
      <c r="G236" s="1271" t="s">
        <v>93</v>
      </c>
      <c r="H236" s="1271" t="s">
        <v>93</v>
      </c>
      <c r="I236" s="1271" t="s">
        <v>93</v>
      </c>
      <c r="J236" s="1271" t="s">
        <v>93</v>
      </c>
      <c r="K236" s="1260">
        <v>6.75</v>
      </c>
      <c r="L236" s="478" t="s">
        <v>93</v>
      </c>
      <c r="M236" s="1260" t="s">
        <v>93</v>
      </c>
      <c r="N236" s="478" t="s">
        <v>93</v>
      </c>
      <c r="O236" s="1260">
        <v>6.25</v>
      </c>
      <c r="P236" s="478">
        <v>1075.0999999999999</v>
      </c>
      <c r="Q236" s="1253"/>
      <c r="R236" s="1253"/>
      <c r="S236" s="1253"/>
      <c r="T236" s="1253"/>
      <c r="U236" s="1255"/>
      <c r="V236" s="1255"/>
      <c r="W236" s="1255"/>
      <c r="X236" s="1255"/>
      <c r="Y236" s="1255"/>
      <c r="Z236" s="1255"/>
      <c r="AA236" s="1255"/>
      <c r="AB236" s="1255"/>
      <c r="AC236" s="1255"/>
      <c r="AD236" s="1255"/>
      <c r="AE236" s="1255"/>
      <c r="AF236" s="1255"/>
      <c r="AG236" s="1255"/>
      <c r="AH236" s="1255"/>
      <c r="AI236" s="1255"/>
      <c r="AJ236" s="1255"/>
    </row>
    <row r="237" spans="1:36" s="1262" customFormat="1" ht="12.75" customHeight="1">
      <c r="A237" s="743" t="s">
        <v>19</v>
      </c>
      <c r="B237" s="1260">
        <v>5.76</v>
      </c>
      <c r="C237" s="478" t="s">
        <v>93</v>
      </c>
      <c r="D237" s="478" t="s">
        <v>93</v>
      </c>
      <c r="E237" s="478" t="s">
        <v>93</v>
      </c>
      <c r="F237" s="478">
        <v>1020</v>
      </c>
      <c r="G237" s="1271" t="s">
        <v>93</v>
      </c>
      <c r="H237" s="1271" t="s">
        <v>93</v>
      </c>
      <c r="I237" s="1271" t="s">
        <v>93</v>
      </c>
      <c r="J237" s="1271" t="s">
        <v>93</v>
      </c>
      <c r="K237" s="1260">
        <v>6.75</v>
      </c>
      <c r="L237" s="478" t="s">
        <v>93</v>
      </c>
      <c r="M237" s="1260" t="s">
        <v>93</v>
      </c>
      <c r="N237" s="478" t="s">
        <v>93</v>
      </c>
      <c r="O237" s="1260">
        <v>6.25</v>
      </c>
      <c r="P237" s="478">
        <v>1074.55</v>
      </c>
      <c r="Q237" s="1253"/>
      <c r="R237" s="1253"/>
      <c r="S237" s="1253"/>
      <c r="T237" s="1253"/>
      <c r="U237" s="1255"/>
      <c r="V237" s="1255"/>
      <c r="W237" s="1255"/>
      <c r="X237" s="1255"/>
      <c r="Y237" s="1255"/>
      <c r="Z237" s="1255"/>
      <c r="AA237" s="1255"/>
      <c r="AB237" s="1255"/>
      <c r="AC237" s="1255"/>
      <c r="AD237" s="1255"/>
      <c r="AE237" s="1255"/>
      <c r="AF237" s="1255"/>
      <c r="AG237" s="1255"/>
      <c r="AH237" s="1255"/>
      <c r="AI237" s="1255"/>
      <c r="AJ237" s="1255"/>
    </row>
    <row r="238" spans="1:36" s="1262" customFormat="1" ht="12.75" customHeight="1">
      <c r="A238" s="743" t="s">
        <v>20</v>
      </c>
      <c r="B238" s="1260">
        <v>5.76</v>
      </c>
      <c r="C238" s="478" t="s">
        <v>93</v>
      </c>
      <c r="D238" s="478" t="s">
        <v>93</v>
      </c>
      <c r="E238" s="478" t="s">
        <v>93</v>
      </c>
      <c r="F238" s="478">
        <v>820</v>
      </c>
      <c r="G238" s="1271" t="s">
        <v>93</v>
      </c>
      <c r="H238" s="1271" t="s">
        <v>93</v>
      </c>
      <c r="I238" s="1271" t="s">
        <v>93</v>
      </c>
      <c r="J238" s="1271" t="s">
        <v>93</v>
      </c>
      <c r="K238" s="1260">
        <v>6.75</v>
      </c>
      <c r="L238" s="478" t="s">
        <v>93</v>
      </c>
      <c r="M238" s="1260" t="s">
        <v>93</v>
      </c>
      <c r="N238" s="478" t="s">
        <v>93</v>
      </c>
      <c r="O238" s="1260">
        <v>6.25</v>
      </c>
      <c r="P238" s="478">
        <v>1072.3699999999999</v>
      </c>
      <c r="Q238" s="1253"/>
      <c r="R238" s="1253"/>
      <c r="S238" s="1253"/>
      <c r="T238" s="1253"/>
      <c r="U238" s="1255"/>
      <c r="V238" s="1255"/>
      <c r="W238" s="1255"/>
      <c r="X238" s="1255"/>
      <c r="Y238" s="1255"/>
      <c r="Z238" s="1255"/>
      <c r="AA238" s="1255"/>
      <c r="AB238" s="1255"/>
      <c r="AC238" s="1255"/>
      <c r="AD238" s="1255"/>
      <c r="AE238" s="1255"/>
      <c r="AF238" s="1255"/>
      <c r="AG238" s="1255"/>
      <c r="AH238" s="1255"/>
      <c r="AI238" s="1255"/>
      <c r="AJ238" s="1255"/>
    </row>
    <row r="239" spans="1:36" s="1262" customFormat="1" ht="12.75" customHeight="1">
      <c r="A239" s="743" t="s">
        <v>21</v>
      </c>
      <c r="B239" s="1260">
        <v>5.76</v>
      </c>
      <c r="C239" s="478" t="s">
        <v>93</v>
      </c>
      <c r="D239" s="478" t="s">
        <v>93</v>
      </c>
      <c r="E239" s="478" t="s">
        <v>93</v>
      </c>
      <c r="F239" s="478">
        <v>670</v>
      </c>
      <c r="G239" s="1271" t="s">
        <v>93</v>
      </c>
      <c r="H239" s="1271" t="s">
        <v>93</v>
      </c>
      <c r="I239" s="1271" t="s">
        <v>93</v>
      </c>
      <c r="J239" s="1271" t="s">
        <v>93</v>
      </c>
      <c r="K239" s="1260">
        <v>6.75</v>
      </c>
      <c r="L239" s="478" t="s">
        <v>93</v>
      </c>
      <c r="M239" s="1260" t="s">
        <v>93</v>
      </c>
      <c r="N239" s="478" t="s">
        <v>93</v>
      </c>
      <c r="O239" s="1260">
        <v>6.25</v>
      </c>
      <c r="P239" s="478">
        <v>1068.3399999999999</v>
      </c>
      <c r="Q239" s="1253"/>
      <c r="R239" s="1253"/>
      <c r="S239" s="1253"/>
      <c r="T239" s="1253"/>
      <c r="U239" s="1255"/>
      <c r="V239" s="1255"/>
      <c r="W239" s="1255"/>
      <c r="X239" s="1255"/>
      <c r="Y239" s="1255"/>
      <c r="Z239" s="1255"/>
      <c r="AA239" s="1255"/>
      <c r="AB239" s="1255"/>
      <c r="AC239" s="1255"/>
      <c r="AD239" s="1255"/>
      <c r="AE239" s="1255"/>
      <c r="AF239" s="1255"/>
      <c r="AG239" s="1255"/>
      <c r="AH239" s="1255"/>
      <c r="AI239" s="1255"/>
      <c r="AJ239" s="1255"/>
    </row>
    <row r="240" spans="1:36" s="1262" customFormat="1" ht="12.75" customHeight="1">
      <c r="A240" s="743" t="s">
        <v>22</v>
      </c>
      <c r="B240" s="1260">
        <v>5.76</v>
      </c>
      <c r="C240" s="478" t="s">
        <v>93</v>
      </c>
      <c r="D240" s="478" t="s">
        <v>93</v>
      </c>
      <c r="E240" s="478" t="s">
        <v>93</v>
      </c>
      <c r="F240" s="478">
        <v>520</v>
      </c>
      <c r="G240" s="1271" t="s">
        <v>93</v>
      </c>
      <c r="H240" s="1271" t="s">
        <v>93</v>
      </c>
      <c r="I240" s="1271" t="s">
        <v>93</v>
      </c>
      <c r="J240" s="1271" t="s">
        <v>93</v>
      </c>
      <c r="K240" s="1260">
        <v>6.75</v>
      </c>
      <c r="L240" s="478" t="s">
        <v>93</v>
      </c>
      <c r="M240" s="1260" t="s">
        <v>93</v>
      </c>
      <c r="N240" s="478" t="s">
        <v>93</v>
      </c>
      <c r="O240" s="1260">
        <v>6.25</v>
      </c>
      <c r="P240" s="478">
        <v>1068.3399999999999</v>
      </c>
      <c r="Q240" s="1253"/>
      <c r="R240" s="1253"/>
      <c r="S240" s="1253"/>
      <c r="T240" s="1253"/>
      <c r="U240" s="1255"/>
      <c r="V240" s="1255"/>
      <c r="W240" s="1255"/>
      <c r="X240" s="1255"/>
      <c r="Y240" s="1255"/>
      <c r="Z240" s="1255"/>
      <c r="AA240" s="1255"/>
      <c r="AB240" s="1255"/>
      <c r="AC240" s="1255"/>
      <c r="AD240" s="1255"/>
      <c r="AE240" s="1255"/>
      <c r="AF240" s="1255"/>
      <c r="AG240" s="1255"/>
      <c r="AH240" s="1255"/>
      <c r="AI240" s="1255"/>
      <c r="AJ240" s="1255"/>
    </row>
    <row r="241" spans="1:36" s="1262" customFormat="1" ht="12.75" customHeight="1">
      <c r="A241" s="743" t="s">
        <v>23</v>
      </c>
      <c r="B241" s="1260">
        <v>5.76</v>
      </c>
      <c r="C241" s="478" t="s">
        <v>93</v>
      </c>
      <c r="D241" s="478" t="s">
        <v>93</v>
      </c>
      <c r="E241" s="478" t="s">
        <v>93</v>
      </c>
      <c r="F241" s="478">
        <v>520</v>
      </c>
      <c r="G241" s="1271" t="s">
        <v>93</v>
      </c>
      <c r="H241" s="1271" t="s">
        <v>93</v>
      </c>
      <c r="I241" s="1271" t="s">
        <v>93</v>
      </c>
      <c r="J241" s="1271" t="s">
        <v>93</v>
      </c>
      <c r="K241" s="1260">
        <v>6.75</v>
      </c>
      <c r="L241" s="478" t="s">
        <v>93</v>
      </c>
      <c r="M241" s="1260" t="s">
        <v>93</v>
      </c>
      <c r="N241" s="478" t="s">
        <v>93</v>
      </c>
      <c r="O241" s="1260">
        <v>6.25</v>
      </c>
      <c r="P241" s="478">
        <v>1078.1403639099999</v>
      </c>
      <c r="Q241" s="1253"/>
      <c r="R241" s="1253"/>
      <c r="S241" s="1253"/>
      <c r="T241" s="1253"/>
      <c r="AJ241" s="1255"/>
    </row>
    <row r="242" spans="1:36" s="1262" customFormat="1" ht="12.75" customHeight="1">
      <c r="A242" s="743" t="s">
        <v>24</v>
      </c>
      <c r="B242" s="1260">
        <v>5.76</v>
      </c>
      <c r="C242" s="478" t="s">
        <v>93</v>
      </c>
      <c r="D242" s="478" t="s">
        <v>93</v>
      </c>
      <c r="E242" s="478" t="s">
        <v>93</v>
      </c>
      <c r="F242" s="478">
        <v>300</v>
      </c>
      <c r="G242" s="1271" t="s">
        <v>93</v>
      </c>
      <c r="H242" s="1271" t="s">
        <v>93</v>
      </c>
      <c r="I242" s="1271" t="s">
        <v>93</v>
      </c>
      <c r="J242" s="1271" t="s">
        <v>93</v>
      </c>
      <c r="K242" s="1260">
        <v>6.75</v>
      </c>
      <c r="L242" s="478" t="s">
        <v>93</v>
      </c>
      <c r="M242" s="1260" t="s">
        <v>93</v>
      </c>
      <c r="N242" s="478" t="s">
        <v>93</v>
      </c>
      <c r="O242" s="1260">
        <v>6.25</v>
      </c>
      <c r="P242" s="478">
        <v>1064.21362791</v>
      </c>
      <c r="Q242" s="1253"/>
      <c r="R242" s="1253"/>
      <c r="S242" s="1253"/>
      <c r="T242" s="1253"/>
      <c r="U242" s="1255"/>
      <c r="V242" s="1255"/>
      <c r="W242" s="1255"/>
      <c r="X242" s="1255"/>
      <c r="Y242" s="1255"/>
      <c r="Z242" s="1255"/>
      <c r="AA242" s="1255"/>
      <c r="AB242" s="1255"/>
      <c r="AC242" s="1255"/>
      <c r="AD242" s="1255"/>
      <c r="AE242" s="1255"/>
      <c r="AF242" s="1255"/>
      <c r="AG242" s="1255"/>
      <c r="AH242" s="1255"/>
      <c r="AI242" s="1255"/>
      <c r="AJ242" s="1255"/>
    </row>
    <row r="243" spans="1:36" s="1262" customFormat="1" ht="12.75" customHeight="1">
      <c r="A243" s="743" t="s">
        <v>25</v>
      </c>
      <c r="B243" s="1260">
        <v>5.76</v>
      </c>
      <c r="C243" s="478" t="s">
        <v>93</v>
      </c>
      <c r="D243" s="478" t="s">
        <v>93</v>
      </c>
      <c r="E243" s="478" t="s">
        <v>93</v>
      </c>
      <c r="F243" s="478">
        <v>300</v>
      </c>
      <c r="G243" s="1271" t="s">
        <v>93</v>
      </c>
      <c r="H243" s="1271" t="s">
        <v>93</v>
      </c>
      <c r="I243" s="1271" t="s">
        <v>93</v>
      </c>
      <c r="J243" s="1271" t="s">
        <v>93</v>
      </c>
      <c r="K243" s="1260">
        <v>6.75</v>
      </c>
      <c r="L243" s="478" t="s">
        <v>93</v>
      </c>
      <c r="M243" s="1260" t="s">
        <v>93</v>
      </c>
      <c r="N243" s="478" t="s">
        <v>93</v>
      </c>
      <c r="O243" s="1260">
        <v>6.25</v>
      </c>
      <c r="P243" s="478">
        <v>1064.1136279100001</v>
      </c>
      <c r="Q243" s="1253"/>
      <c r="R243" s="1253"/>
      <c r="S243" s="1253"/>
      <c r="T243" s="1253"/>
      <c r="U243" s="1255"/>
      <c r="V243" s="1255"/>
      <c r="W243" s="1255"/>
      <c r="X243" s="1255"/>
      <c r="Y243" s="1255"/>
      <c r="Z243" s="1255"/>
      <c r="AA243" s="1255"/>
      <c r="AB243" s="1255"/>
      <c r="AC243" s="1255"/>
      <c r="AD243" s="1255"/>
      <c r="AE243" s="1255"/>
      <c r="AF243" s="1255"/>
      <c r="AG243" s="1255"/>
      <c r="AH243" s="1255"/>
      <c r="AI243" s="1255"/>
      <c r="AJ243" s="1255"/>
    </row>
    <row r="244" spans="1:36" s="1263" customFormat="1" ht="12.75" customHeight="1">
      <c r="A244" s="743" t="s">
        <v>26</v>
      </c>
      <c r="B244" s="1260">
        <v>6.01</v>
      </c>
      <c r="C244" s="478" t="s">
        <v>93</v>
      </c>
      <c r="D244" s="478" t="s">
        <v>93</v>
      </c>
      <c r="E244" s="478" t="s">
        <v>93</v>
      </c>
      <c r="F244" s="478">
        <v>300</v>
      </c>
      <c r="G244" s="1271" t="s">
        <v>93</v>
      </c>
      <c r="H244" s="1271" t="s">
        <v>93</v>
      </c>
      <c r="I244" s="1271" t="s">
        <v>93</v>
      </c>
      <c r="J244" s="1271" t="s">
        <v>93</v>
      </c>
      <c r="K244" s="1260">
        <v>7</v>
      </c>
      <c r="L244" s="478" t="s">
        <v>93</v>
      </c>
      <c r="M244" s="1260" t="s">
        <v>93</v>
      </c>
      <c r="N244" s="478" t="s">
        <v>93</v>
      </c>
      <c r="O244" s="1260">
        <v>6.5</v>
      </c>
      <c r="P244" s="478">
        <v>1054.01362791</v>
      </c>
      <c r="Q244" s="1253"/>
      <c r="R244" s="1253"/>
      <c r="S244" s="1253"/>
      <c r="T244" s="1253"/>
      <c r="U244" s="1253"/>
      <c r="V244" s="1253"/>
      <c r="W244" s="1253"/>
      <c r="X244" s="1253"/>
      <c r="Y244" s="1253"/>
      <c r="Z244" s="1253"/>
      <c r="AA244" s="1253"/>
      <c r="AB244" s="1253"/>
      <c r="AC244" s="1253"/>
      <c r="AD244" s="1253"/>
      <c r="AE244" s="1253"/>
      <c r="AF244" s="1253"/>
      <c r="AG244" s="1253"/>
      <c r="AH244" s="1253"/>
      <c r="AI244" s="1253"/>
      <c r="AJ244" s="1253"/>
    </row>
    <row r="245" spans="1:36" s="1263" customFormat="1" ht="12.75" customHeight="1">
      <c r="A245" s="743">
        <v>10</v>
      </c>
      <c r="B245" s="1260">
        <v>6.01</v>
      </c>
      <c r="C245" s="478" t="s">
        <v>93</v>
      </c>
      <c r="D245" s="478" t="s">
        <v>93</v>
      </c>
      <c r="E245" s="478" t="s">
        <v>93</v>
      </c>
      <c r="F245" s="478">
        <v>200</v>
      </c>
      <c r="G245" s="1271" t="s">
        <v>93</v>
      </c>
      <c r="H245" s="1271" t="s">
        <v>93</v>
      </c>
      <c r="I245" s="1271" t="s">
        <v>93</v>
      </c>
      <c r="J245" s="1271" t="s">
        <v>93</v>
      </c>
      <c r="K245" s="1260">
        <v>8</v>
      </c>
      <c r="L245" s="478" t="s">
        <v>93</v>
      </c>
      <c r="M245" s="1260" t="s">
        <v>93</v>
      </c>
      <c r="N245" s="478" t="s">
        <v>93</v>
      </c>
      <c r="O245" s="1260">
        <v>7</v>
      </c>
      <c r="P245" s="478">
        <v>1038.4616779099999</v>
      </c>
      <c r="Q245" s="1253"/>
      <c r="R245" s="1253"/>
      <c r="S245" s="1253"/>
      <c r="T245" s="1253"/>
      <c r="U245" s="1253"/>
      <c r="V245" s="1253"/>
      <c r="W245" s="1253"/>
      <c r="X245" s="1253"/>
      <c r="Y245" s="1253"/>
      <c r="Z245" s="1253"/>
      <c r="AA245" s="1253"/>
      <c r="AB245" s="1253"/>
      <c r="AC245" s="1253"/>
      <c r="AD245" s="1253"/>
      <c r="AE245" s="1253"/>
      <c r="AF245" s="1253"/>
      <c r="AG245" s="1253"/>
      <c r="AH245" s="1253"/>
      <c r="AI245" s="1253"/>
      <c r="AJ245" s="1253"/>
    </row>
    <row r="246" spans="1:36" s="1263" customFormat="1" ht="12.75" customHeight="1">
      <c r="A246" s="743">
        <v>11</v>
      </c>
      <c r="B246" s="1260">
        <v>6.01</v>
      </c>
      <c r="C246" s="478" t="s">
        <v>93</v>
      </c>
      <c r="D246" s="478" t="s">
        <v>93</v>
      </c>
      <c r="E246" s="478" t="s">
        <v>93</v>
      </c>
      <c r="F246" s="478">
        <v>200</v>
      </c>
      <c r="G246" s="1271" t="s">
        <v>93</v>
      </c>
      <c r="H246" s="1271" t="s">
        <v>93</v>
      </c>
      <c r="I246" s="1271" t="s">
        <v>93</v>
      </c>
      <c r="J246" s="1271" t="s">
        <v>93</v>
      </c>
      <c r="K246" s="1260">
        <v>8</v>
      </c>
      <c r="L246" s="478" t="s">
        <v>93</v>
      </c>
      <c r="M246" s="1260" t="s">
        <v>93</v>
      </c>
      <c r="N246" s="478" t="s">
        <v>93</v>
      </c>
      <c r="O246" s="1260">
        <v>7</v>
      </c>
      <c r="P246" s="478">
        <v>986.91888674999996</v>
      </c>
      <c r="Q246" s="1253"/>
      <c r="R246" s="1253"/>
      <c r="S246" s="1253"/>
      <c r="T246" s="1253"/>
      <c r="U246" s="1253"/>
      <c r="V246" s="1253"/>
      <c r="W246" s="1253"/>
      <c r="X246" s="1253"/>
      <c r="Y246" s="1253"/>
      <c r="Z246" s="1253"/>
      <c r="AA246" s="1253"/>
      <c r="AB246" s="1253"/>
      <c r="AC246" s="1253"/>
      <c r="AD246" s="1253"/>
      <c r="AE246" s="1253"/>
      <c r="AF246" s="1253"/>
      <c r="AG246" s="1253"/>
      <c r="AH246" s="1253"/>
      <c r="AI246" s="1253"/>
      <c r="AJ246" s="1253"/>
    </row>
    <row r="247" spans="1:36" s="1263" customFormat="1" ht="12.75" customHeight="1">
      <c r="A247" s="743">
        <v>12</v>
      </c>
      <c r="B247" s="1260">
        <v>6.01</v>
      </c>
      <c r="C247" s="478" t="s">
        <v>93</v>
      </c>
      <c r="D247" s="478" t="s">
        <v>93</v>
      </c>
      <c r="E247" s="478" t="s">
        <v>93</v>
      </c>
      <c r="F247" s="478">
        <v>200</v>
      </c>
      <c r="G247" s="1271" t="s">
        <v>93</v>
      </c>
      <c r="H247" s="1271" t="s">
        <v>93</v>
      </c>
      <c r="I247" s="1271" t="s">
        <v>93</v>
      </c>
      <c r="J247" s="1271" t="s">
        <v>93</v>
      </c>
      <c r="K247" s="1260">
        <v>8.25</v>
      </c>
      <c r="L247" s="478" t="s">
        <v>93</v>
      </c>
      <c r="M247" s="1260" t="s">
        <v>93</v>
      </c>
      <c r="N247" s="478" t="s">
        <v>93</v>
      </c>
      <c r="O247" s="1260">
        <v>7.25</v>
      </c>
      <c r="P247" s="478">
        <v>977.04771625000001</v>
      </c>
      <c r="Q247" s="1253"/>
      <c r="R247" s="1253"/>
      <c r="S247" s="1253"/>
      <c r="T247" s="1253"/>
      <c r="U247" s="1253"/>
      <c r="V247" s="1253"/>
      <c r="W247" s="1253"/>
      <c r="X247" s="1253"/>
      <c r="Y247" s="1253"/>
      <c r="Z247" s="1253"/>
      <c r="AA247" s="1253"/>
      <c r="AB247" s="1253"/>
      <c r="AC247" s="1253"/>
      <c r="AD247" s="1253"/>
      <c r="AE247" s="1253"/>
      <c r="AF247" s="1253"/>
      <c r="AG247" s="1253"/>
      <c r="AH247" s="1253"/>
      <c r="AI247" s="1253"/>
      <c r="AJ247" s="1253"/>
    </row>
    <row r="248" spans="1:36" s="1263" customFormat="1">
      <c r="A248" s="743">
        <v>2022</v>
      </c>
      <c r="B248" s="740">
        <v>6.17</v>
      </c>
      <c r="C248" s="741">
        <v>6.24</v>
      </c>
      <c r="D248" s="741">
        <v>8</v>
      </c>
      <c r="E248" s="741">
        <v>8.44</v>
      </c>
      <c r="F248" s="741">
        <v>1338.56</v>
      </c>
      <c r="G248" s="1272" t="s">
        <v>93</v>
      </c>
      <c r="H248" s="1272" t="s">
        <v>93</v>
      </c>
      <c r="I248" s="1272" t="s">
        <v>93</v>
      </c>
      <c r="J248" s="1272" t="s">
        <v>93</v>
      </c>
      <c r="K248" s="740">
        <v>9.25</v>
      </c>
      <c r="L248" s="741" t="s">
        <v>93</v>
      </c>
      <c r="M248" s="740">
        <v>6.25</v>
      </c>
      <c r="N248" s="741">
        <v>476.5</v>
      </c>
      <c r="O248" s="740">
        <v>8.25</v>
      </c>
      <c r="P248" s="741">
        <v>835.42</v>
      </c>
      <c r="Q248" s="1253"/>
      <c r="R248" s="1253"/>
      <c r="S248" s="1253"/>
      <c r="T248" s="1253"/>
      <c r="U248" s="1253"/>
      <c r="V248" s="1253"/>
      <c r="W248" s="1253"/>
      <c r="X248" s="1253"/>
      <c r="Y248" s="1253"/>
      <c r="Z248" s="1253"/>
      <c r="AA248" s="1253"/>
      <c r="AB248" s="1253"/>
      <c r="AC248" s="1253"/>
      <c r="AD248" s="1253"/>
      <c r="AE248" s="1253"/>
      <c r="AF248" s="1253"/>
      <c r="AG248" s="1253"/>
      <c r="AH248" s="1253"/>
      <c r="AI248" s="1253"/>
      <c r="AJ248" s="1253"/>
    </row>
    <row r="249" spans="1:36" s="1263" customFormat="1">
      <c r="A249" s="743" t="s">
        <v>18</v>
      </c>
      <c r="B249" s="1260">
        <v>6.01</v>
      </c>
      <c r="C249" s="478" t="s">
        <v>93</v>
      </c>
      <c r="D249" s="478" t="s">
        <v>93</v>
      </c>
      <c r="E249" s="478" t="s">
        <v>93</v>
      </c>
      <c r="F249" s="478">
        <v>430</v>
      </c>
      <c r="G249" s="1271" t="s">
        <v>93</v>
      </c>
      <c r="H249" s="1271" t="s">
        <v>93</v>
      </c>
      <c r="I249" s="1271" t="s">
        <v>93</v>
      </c>
      <c r="J249" s="1271" t="s">
        <v>93</v>
      </c>
      <c r="K249" s="1260">
        <v>9</v>
      </c>
      <c r="L249" s="478" t="s">
        <v>93</v>
      </c>
      <c r="M249" s="1260" t="s">
        <v>93</v>
      </c>
      <c r="N249" s="478" t="s">
        <v>93</v>
      </c>
      <c r="O249" s="1260">
        <v>7.5</v>
      </c>
      <c r="P249" s="478">
        <v>965.14257126999996</v>
      </c>
      <c r="Q249" s="1253"/>
      <c r="R249" s="1253"/>
      <c r="S249" s="1253"/>
      <c r="T249" s="1253"/>
      <c r="U249" s="1253"/>
      <c r="V249" s="1253"/>
      <c r="W249" s="1253"/>
      <c r="X249" s="1253"/>
      <c r="Y249" s="1253"/>
      <c r="Z249" s="1253"/>
      <c r="AA249" s="1253"/>
      <c r="AB249" s="1253"/>
      <c r="AC249" s="1253"/>
      <c r="AD249" s="1253"/>
      <c r="AE249" s="1253"/>
      <c r="AF249" s="1253"/>
      <c r="AG249" s="1253"/>
      <c r="AH249" s="1253"/>
      <c r="AI249" s="1253"/>
      <c r="AJ249" s="1253"/>
    </row>
    <row r="250" spans="1:36" s="1263" customFormat="1">
      <c r="A250" s="743" t="s">
        <v>19</v>
      </c>
      <c r="B250" s="1260">
        <v>6.01</v>
      </c>
      <c r="C250" s="478">
        <v>3.4</v>
      </c>
      <c r="D250" s="478">
        <v>4</v>
      </c>
      <c r="E250" s="478" t="s">
        <v>93</v>
      </c>
      <c r="F250" s="478">
        <v>850</v>
      </c>
      <c r="G250" s="1271" t="s">
        <v>93</v>
      </c>
      <c r="H250" s="1271" t="s">
        <v>93</v>
      </c>
      <c r="I250" s="1271" t="s">
        <v>93</v>
      </c>
      <c r="J250" s="1271" t="s">
        <v>93</v>
      </c>
      <c r="K250" s="1260">
        <v>9</v>
      </c>
      <c r="L250" s="478" t="s">
        <v>93</v>
      </c>
      <c r="M250" s="1260" t="s">
        <v>93</v>
      </c>
      <c r="N250" s="478" t="s">
        <v>93</v>
      </c>
      <c r="O250" s="1260">
        <v>7.5</v>
      </c>
      <c r="P250" s="478">
        <v>963.03270798000028</v>
      </c>
      <c r="Q250" s="1253"/>
      <c r="R250" s="1253"/>
      <c r="S250" s="1253"/>
      <c r="T250" s="1253"/>
      <c r="U250" s="1253"/>
      <c r="V250" s="1253"/>
      <c r="W250" s="1253"/>
      <c r="X250" s="1253"/>
      <c r="Y250" s="1253"/>
      <c r="Z250" s="1253"/>
      <c r="AA250" s="1253"/>
      <c r="AB250" s="1253"/>
      <c r="AC250" s="1253"/>
      <c r="AD250" s="1253"/>
      <c r="AE250" s="1253"/>
      <c r="AF250" s="1253"/>
      <c r="AG250" s="1253"/>
      <c r="AH250" s="1253"/>
      <c r="AI250" s="1253"/>
      <c r="AJ250" s="1253"/>
    </row>
    <row r="251" spans="1:36" s="1263" customFormat="1">
      <c r="A251" s="743" t="s">
        <v>20</v>
      </c>
      <c r="B251" s="1260">
        <v>6.26</v>
      </c>
      <c r="C251" s="478">
        <v>3.4</v>
      </c>
      <c r="D251" s="478">
        <v>4</v>
      </c>
      <c r="E251" s="478" t="s">
        <v>93</v>
      </c>
      <c r="F251" s="478">
        <v>810</v>
      </c>
      <c r="G251" s="1271" t="s">
        <v>93</v>
      </c>
      <c r="H251" s="1271" t="s">
        <v>93</v>
      </c>
      <c r="I251" s="1271" t="s">
        <v>93</v>
      </c>
      <c r="J251" s="1271" t="s">
        <v>93</v>
      </c>
      <c r="K251" s="1260">
        <v>9.25</v>
      </c>
      <c r="L251" s="478" t="s">
        <v>93</v>
      </c>
      <c r="M251" s="1260" t="s">
        <v>93</v>
      </c>
      <c r="N251" s="478" t="s">
        <v>93</v>
      </c>
      <c r="O251" s="1260">
        <v>7.75</v>
      </c>
      <c r="P251" s="478">
        <v>963.0287149200002</v>
      </c>
      <c r="Q251" s="1253"/>
      <c r="R251" s="1253"/>
      <c r="S251" s="1253"/>
      <c r="T251" s="1253"/>
      <c r="U251" s="1253"/>
      <c r="V251" s="1253"/>
      <c r="W251" s="1253"/>
      <c r="X251" s="1253"/>
      <c r="Y251" s="1253"/>
      <c r="Z251" s="1253"/>
      <c r="AA251" s="1253"/>
      <c r="AB251" s="1253"/>
      <c r="AC251" s="1253"/>
      <c r="AD251" s="1253"/>
      <c r="AE251" s="1253"/>
      <c r="AF251" s="1253"/>
      <c r="AG251" s="1253"/>
      <c r="AH251" s="1253"/>
      <c r="AI251" s="1253"/>
      <c r="AJ251" s="1253"/>
    </row>
    <row r="252" spans="1:36" s="1263" customFormat="1">
      <c r="A252" s="743" t="s">
        <v>21</v>
      </c>
      <c r="B252" s="1260">
        <v>6.26</v>
      </c>
      <c r="C252" s="478">
        <v>2.95</v>
      </c>
      <c r="D252" s="478">
        <v>2.98</v>
      </c>
      <c r="E252" s="478">
        <v>3</v>
      </c>
      <c r="F252" s="478">
        <v>710</v>
      </c>
      <c r="G252" s="1271" t="s">
        <v>93</v>
      </c>
      <c r="H252" s="1271" t="s">
        <v>93</v>
      </c>
      <c r="I252" s="1271" t="s">
        <v>93</v>
      </c>
      <c r="J252" s="1271" t="s">
        <v>93</v>
      </c>
      <c r="K252" s="1260">
        <v>9.25</v>
      </c>
      <c r="L252" s="478" t="s">
        <v>93</v>
      </c>
      <c r="M252" s="1260" t="s">
        <v>93</v>
      </c>
      <c r="N252" s="478" t="s">
        <v>93</v>
      </c>
      <c r="O252" s="1260">
        <v>7.75</v>
      </c>
      <c r="P252" s="478">
        <v>971.45</v>
      </c>
      <c r="Q252" s="1253"/>
      <c r="R252" s="1253"/>
      <c r="S252" s="1253"/>
      <c r="T252" s="1253"/>
      <c r="U252" s="1253"/>
      <c r="V252" s="1253"/>
      <c r="W252" s="1253"/>
      <c r="X252" s="1253"/>
      <c r="Y252" s="1253"/>
      <c r="Z252" s="1253"/>
      <c r="AA252" s="1253"/>
      <c r="AB252" s="1253"/>
      <c r="AC252" s="1253"/>
      <c r="AD252" s="1253"/>
      <c r="AE252" s="1253"/>
      <c r="AF252" s="1253"/>
      <c r="AG252" s="1253"/>
      <c r="AH252" s="1253"/>
      <c r="AI252" s="1253"/>
      <c r="AJ252" s="1253"/>
    </row>
    <row r="253" spans="1:36" s="1263" customFormat="1">
      <c r="A253" s="743" t="s">
        <v>22</v>
      </c>
      <c r="B253" s="1260">
        <v>6.26</v>
      </c>
      <c r="C253" s="478">
        <v>2.92</v>
      </c>
      <c r="D253" s="478">
        <v>2.98</v>
      </c>
      <c r="E253" s="478">
        <v>3.03</v>
      </c>
      <c r="F253" s="478">
        <v>780</v>
      </c>
      <c r="G253" s="1271" t="s">
        <v>93</v>
      </c>
      <c r="H253" s="1271" t="s">
        <v>93</v>
      </c>
      <c r="I253" s="1271" t="s">
        <v>93</v>
      </c>
      <c r="J253" s="1271" t="s">
        <v>93</v>
      </c>
      <c r="K253" s="1260">
        <v>9.25</v>
      </c>
      <c r="L253" s="478" t="s">
        <v>93</v>
      </c>
      <c r="M253" s="1260" t="s">
        <v>93</v>
      </c>
      <c r="N253" s="478" t="s">
        <v>93</v>
      </c>
      <c r="O253" s="1260">
        <v>7.75</v>
      </c>
      <c r="P253" s="478">
        <v>936.35</v>
      </c>
      <c r="Q253" s="1253"/>
      <c r="R253" s="1253"/>
      <c r="S253" s="1253"/>
      <c r="T253" s="1253"/>
      <c r="U253" s="1253"/>
      <c r="V253" s="1253"/>
      <c r="W253" s="1253"/>
      <c r="X253" s="1253"/>
      <c r="Y253" s="1253"/>
      <c r="Z253" s="1253"/>
      <c r="AA253" s="1253"/>
      <c r="AB253" s="1253"/>
      <c r="AC253" s="1253"/>
      <c r="AD253" s="1253"/>
      <c r="AE253" s="1253"/>
      <c r="AF253" s="1253"/>
      <c r="AG253" s="1253"/>
      <c r="AH253" s="1253"/>
      <c r="AI253" s="1253"/>
      <c r="AJ253" s="1253"/>
    </row>
    <row r="254" spans="1:36" s="1263" customFormat="1">
      <c r="A254" s="743" t="s">
        <v>23</v>
      </c>
      <c r="B254" s="1260" t="s">
        <v>93</v>
      </c>
      <c r="C254" s="478" t="s">
        <v>93</v>
      </c>
      <c r="D254" s="478">
        <v>3.5</v>
      </c>
      <c r="E254" s="478">
        <v>3.78</v>
      </c>
      <c r="F254" s="478">
        <v>750</v>
      </c>
      <c r="G254" s="1271" t="s">
        <v>93</v>
      </c>
      <c r="H254" s="1271" t="s">
        <v>93</v>
      </c>
      <c r="I254" s="1271" t="s">
        <v>93</v>
      </c>
      <c r="J254" s="1271" t="s">
        <v>93</v>
      </c>
      <c r="K254" s="1260">
        <v>9.25</v>
      </c>
      <c r="L254" s="478" t="s">
        <v>93</v>
      </c>
      <c r="M254" s="1260" t="s">
        <v>93</v>
      </c>
      <c r="N254" s="478" t="s">
        <v>93</v>
      </c>
      <c r="O254" s="1260">
        <v>7.75</v>
      </c>
      <c r="P254" s="478">
        <v>926.47400000000005</v>
      </c>
      <c r="Q254" s="1253"/>
      <c r="R254" s="1253"/>
      <c r="S254" s="1253"/>
      <c r="T254" s="1253"/>
      <c r="U254" s="1253"/>
      <c r="V254" s="1253"/>
      <c r="W254" s="1253"/>
      <c r="X254" s="1253"/>
      <c r="Y254" s="1253"/>
      <c r="Z254" s="1253"/>
      <c r="AA254" s="1253"/>
      <c r="AB254" s="1253"/>
      <c r="AC254" s="1253"/>
      <c r="AD254" s="1253"/>
      <c r="AE254" s="1253"/>
      <c r="AF254" s="1253"/>
      <c r="AG254" s="1253"/>
      <c r="AH254" s="1253"/>
      <c r="AI254" s="1253"/>
      <c r="AJ254" s="1253"/>
    </row>
    <row r="255" spans="1:36" s="1263" customFormat="1">
      <c r="A255" s="743" t="s">
        <v>24</v>
      </c>
      <c r="B255" s="1260" t="s">
        <v>93</v>
      </c>
      <c r="C255" s="478" t="s">
        <v>93</v>
      </c>
      <c r="D255" s="478" t="s">
        <v>180</v>
      </c>
      <c r="E255" s="478" t="s">
        <v>180</v>
      </c>
      <c r="F255" s="478">
        <v>630</v>
      </c>
      <c r="G255" s="1271" t="s">
        <v>93</v>
      </c>
      <c r="H255" s="1271" t="s">
        <v>93</v>
      </c>
      <c r="I255" s="1271" t="s">
        <v>93</v>
      </c>
      <c r="J255" s="1271" t="s">
        <v>93</v>
      </c>
      <c r="K255" s="1260">
        <v>9.25</v>
      </c>
      <c r="L255" s="478" t="s">
        <v>93</v>
      </c>
      <c r="M255" s="1260" t="s">
        <v>93</v>
      </c>
      <c r="N255" s="478" t="s">
        <v>93</v>
      </c>
      <c r="O255" s="1260">
        <v>7.75</v>
      </c>
      <c r="P255" s="478">
        <v>920.92</v>
      </c>
      <c r="Q255" s="1253"/>
      <c r="R255" s="1253"/>
      <c r="S255" s="1253"/>
      <c r="T255" s="1253"/>
      <c r="U255" s="1253"/>
      <c r="V255" s="1253"/>
      <c r="W255" s="1253"/>
      <c r="X255" s="1253"/>
      <c r="Y255" s="1253"/>
      <c r="Z255" s="1253"/>
      <c r="AA255" s="1253"/>
      <c r="AB255" s="1253"/>
      <c r="AC255" s="1253"/>
      <c r="AD255" s="1253"/>
      <c r="AE255" s="1253"/>
      <c r="AF255" s="1253"/>
      <c r="AG255" s="1253"/>
      <c r="AH255" s="1253"/>
      <c r="AI255" s="1253"/>
      <c r="AJ255" s="1253"/>
    </row>
    <row r="256" spans="1:36" s="1263" customFormat="1">
      <c r="A256" s="743" t="s">
        <v>25</v>
      </c>
      <c r="B256" s="1260" t="s">
        <v>93</v>
      </c>
      <c r="C256" s="478" t="s">
        <v>93</v>
      </c>
      <c r="D256" s="478" t="s">
        <v>93</v>
      </c>
      <c r="E256" s="478" t="s">
        <v>93</v>
      </c>
      <c r="F256" s="478">
        <v>570</v>
      </c>
      <c r="G256" s="1271" t="s">
        <v>93</v>
      </c>
      <c r="H256" s="1271" t="s">
        <v>93</v>
      </c>
      <c r="I256" s="1271" t="s">
        <v>93</v>
      </c>
      <c r="J256" s="1271" t="s">
        <v>93</v>
      </c>
      <c r="K256" s="1260">
        <v>9.25</v>
      </c>
      <c r="L256" s="478" t="s">
        <v>93</v>
      </c>
      <c r="M256" s="1260" t="s">
        <v>93</v>
      </c>
      <c r="N256" s="478" t="s">
        <v>93</v>
      </c>
      <c r="O256" s="1260">
        <v>7.75</v>
      </c>
      <c r="P256" s="478">
        <v>918.17</v>
      </c>
      <c r="Q256" s="1253"/>
      <c r="R256" s="1253"/>
      <c r="S256" s="1253"/>
      <c r="T256" s="1253"/>
      <c r="U256" s="1253"/>
      <c r="V256" s="1253"/>
      <c r="W256" s="1253"/>
      <c r="X256" s="1253"/>
      <c r="Y256" s="1253"/>
      <c r="Z256" s="1253"/>
      <c r="AA256" s="1253"/>
      <c r="AB256" s="1253"/>
      <c r="AC256" s="1253"/>
      <c r="AD256" s="1253"/>
      <c r="AE256" s="1253"/>
      <c r="AF256" s="1253"/>
      <c r="AG256" s="1253"/>
      <c r="AH256" s="1253"/>
      <c r="AI256" s="1253"/>
      <c r="AJ256" s="1253"/>
    </row>
    <row r="257" spans="1:36" s="1263" customFormat="1">
      <c r="A257" s="743" t="s">
        <v>26</v>
      </c>
      <c r="B257" s="1260" t="s">
        <v>93</v>
      </c>
      <c r="C257" s="478" t="s">
        <v>93</v>
      </c>
      <c r="D257" s="478" t="s">
        <v>93</v>
      </c>
      <c r="E257" s="478" t="s">
        <v>93</v>
      </c>
      <c r="F257" s="478">
        <v>510</v>
      </c>
      <c r="G257" s="1271" t="s">
        <v>93</v>
      </c>
      <c r="H257" s="1271" t="s">
        <v>93</v>
      </c>
      <c r="I257" s="1271" t="s">
        <v>93</v>
      </c>
      <c r="J257" s="1271" t="s">
        <v>93</v>
      </c>
      <c r="K257" s="1260">
        <v>9.25</v>
      </c>
      <c r="L257" s="478" t="s">
        <v>93</v>
      </c>
      <c r="M257" s="1260">
        <v>4</v>
      </c>
      <c r="N257" s="478">
        <v>424.74545499999999</v>
      </c>
      <c r="O257" s="1260">
        <v>7.75</v>
      </c>
      <c r="P257" s="478">
        <v>914.42</v>
      </c>
      <c r="Q257" s="1253"/>
      <c r="R257" s="1253"/>
      <c r="S257" s="1253"/>
      <c r="T257" s="1253"/>
      <c r="U257" s="1253"/>
      <c r="V257" s="1253"/>
      <c r="W257" s="1253"/>
      <c r="X257" s="1253"/>
      <c r="Y257" s="1253"/>
      <c r="Z257" s="1253"/>
      <c r="AA257" s="1253"/>
      <c r="AB257" s="1253"/>
      <c r="AC257" s="1253"/>
      <c r="AD257" s="1253"/>
      <c r="AE257" s="1253"/>
      <c r="AF257" s="1253"/>
      <c r="AG257" s="1253"/>
      <c r="AH257" s="1253"/>
      <c r="AI257" s="1253"/>
      <c r="AJ257" s="1253"/>
    </row>
    <row r="258" spans="1:36" s="1263" customFormat="1">
      <c r="A258" s="743">
        <v>10</v>
      </c>
      <c r="B258" s="1260">
        <v>3.39</v>
      </c>
      <c r="C258" s="478">
        <v>4.01</v>
      </c>
      <c r="D258" s="478">
        <v>4.32</v>
      </c>
      <c r="E258" s="478">
        <v>4.63</v>
      </c>
      <c r="F258" s="478">
        <v>900</v>
      </c>
      <c r="G258" s="1271" t="s">
        <v>93</v>
      </c>
      <c r="H258" s="1271" t="s">
        <v>93</v>
      </c>
      <c r="I258" s="1271" t="s">
        <v>93</v>
      </c>
      <c r="J258" s="1271" t="s">
        <v>93</v>
      </c>
      <c r="K258" s="1260">
        <v>9.25</v>
      </c>
      <c r="L258" s="478" t="s">
        <v>93</v>
      </c>
      <c r="M258" s="1260">
        <v>5</v>
      </c>
      <c r="N258" s="478">
        <v>483.3</v>
      </c>
      <c r="O258" s="1260">
        <v>8</v>
      </c>
      <c r="P258" s="478">
        <v>912.12</v>
      </c>
      <c r="Q258" s="1253"/>
      <c r="R258" s="1253"/>
      <c r="S258" s="1253"/>
      <c r="T258" s="1253"/>
      <c r="U258" s="1253"/>
      <c r="V258" s="1253"/>
      <c r="W258" s="1253"/>
      <c r="X258" s="1253"/>
      <c r="Y258" s="1253"/>
      <c r="Z258" s="1253"/>
      <c r="AA258" s="1253"/>
      <c r="AB258" s="1253"/>
      <c r="AC258" s="1253"/>
      <c r="AD258" s="1253"/>
      <c r="AE258" s="1253"/>
      <c r="AF258" s="1253"/>
      <c r="AG258" s="1253"/>
      <c r="AH258" s="1253"/>
      <c r="AI258" s="1253"/>
      <c r="AJ258" s="1253"/>
    </row>
    <row r="259" spans="1:36" s="1263" customFormat="1">
      <c r="A259" s="743">
        <v>11</v>
      </c>
      <c r="B259" s="1260">
        <v>3.42</v>
      </c>
      <c r="C259" s="478">
        <v>4.0199999999999996</v>
      </c>
      <c r="D259" s="478">
        <v>4.12</v>
      </c>
      <c r="E259" s="478">
        <v>4.57</v>
      </c>
      <c r="F259" s="478">
        <v>1170</v>
      </c>
      <c r="G259" s="1271" t="s">
        <v>93</v>
      </c>
      <c r="H259" s="1271" t="s">
        <v>93</v>
      </c>
      <c r="I259" s="1271" t="s">
        <v>93</v>
      </c>
      <c r="J259" s="1271" t="s">
        <v>93</v>
      </c>
      <c r="K259" s="1260">
        <v>9.25</v>
      </c>
      <c r="L259" s="478" t="s">
        <v>93</v>
      </c>
      <c r="M259" s="1260">
        <v>5</v>
      </c>
      <c r="N259" s="478">
        <v>486.8</v>
      </c>
      <c r="O259" s="1260">
        <v>8</v>
      </c>
      <c r="P259" s="478">
        <v>845.46</v>
      </c>
      <c r="Q259" s="1253"/>
      <c r="R259" s="1253"/>
      <c r="S259" s="1253"/>
      <c r="T259" s="1253"/>
      <c r="U259" s="1253"/>
      <c r="V259" s="1253"/>
      <c r="W259" s="1253"/>
      <c r="X259" s="1253"/>
      <c r="Y259" s="1253"/>
      <c r="Z259" s="1253"/>
      <c r="AA259" s="1253"/>
      <c r="AB259" s="1253"/>
      <c r="AC259" s="1253"/>
      <c r="AD259" s="1253"/>
      <c r="AE259" s="1253"/>
      <c r="AF259" s="1253"/>
      <c r="AG259" s="1253"/>
      <c r="AH259" s="1253"/>
      <c r="AI259" s="1253"/>
      <c r="AJ259" s="1253"/>
    </row>
    <row r="260" spans="1:36" s="1263" customFormat="1">
      <c r="A260" s="743">
        <v>12</v>
      </c>
      <c r="B260" s="1260">
        <v>6.17</v>
      </c>
      <c r="C260" s="478">
        <v>6.24</v>
      </c>
      <c r="D260" s="478">
        <v>8</v>
      </c>
      <c r="E260" s="478">
        <v>8.44</v>
      </c>
      <c r="F260" s="478">
        <v>1338.56</v>
      </c>
      <c r="G260" s="1271" t="s">
        <v>93</v>
      </c>
      <c r="H260" s="1271" t="s">
        <v>93</v>
      </c>
      <c r="I260" s="1271" t="s">
        <v>93</v>
      </c>
      <c r="J260" s="1271" t="s">
        <v>93</v>
      </c>
      <c r="K260" s="1260">
        <v>9.25</v>
      </c>
      <c r="L260" s="478" t="s">
        <v>93</v>
      </c>
      <c r="M260" s="1260">
        <v>6.25</v>
      </c>
      <c r="N260" s="478">
        <v>476.5</v>
      </c>
      <c r="O260" s="1260">
        <v>8.25</v>
      </c>
      <c r="P260" s="478">
        <v>835.42</v>
      </c>
      <c r="Q260" s="1253"/>
      <c r="R260" s="1253"/>
      <c r="S260" s="1253"/>
      <c r="T260" s="1253"/>
      <c r="U260" s="1253"/>
      <c r="V260" s="1253"/>
      <c r="W260" s="1253"/>
      <c r="X260" s="1253"/>
      <c r="Y260" s="1253"/>
      <c r="Z260" s="1253"/>
      <c r="AA260" s="1253"/>
      <c r="AB260" s="1253"/>
      <c r="AC260" s="1253"/>
      <c r="AD260" s="1253"/>
      <c r="AE260" s="1253"/>
      <c r="AF260" s="1253"/>
      <c r="AG260" s="1253"/>
      <c r="AH260" s="1253"/>
      <c r="AI260" s="1253"/>
      <c r="AJ260" s="1253"/>
    </row>
    <row r="261" spans="1:36" s="1263" customFormat="1">
      <c r="A261" s="743">
        <v>2023</v>
      </c>
      <c r="B261" s="740">
        <v>7.11</v>
      </c>
      <c r="C261" s="741">
        <v>7.23</v>
      </c>
      <c r="D261" s="741">
        <v>7.54</v>
      </c>
      <c r="E261" s="741">
        <v>7.5</v>
      </c>
      <c r="F261" s="741">
        <v>1320.13</v>
      </c>
      <c r="G261" s="1272" t="s">
        <v>93</v>
      </c>
      <c r="H261" s="1272" t="s">
        <v>93</v>
      </c>
      <c r="I261" s="1272" t="s">
        <v>93</v>
      </c>
      <c r="J261" s="1272" t="s">
        <v>93</v>
      </c>
      <c r="K261" s="740">
        <v>9</v>
      </c>
      <c r="L261" s="741" t="s">
        <v>93</v>
      </c>
      <c r="M261" s="740">
        <v>6.5</v>
      </c>
      <c r="N261" s="741">
        <v>1174.8</v>
      </c>
      <c r="O261" s="740">
        <v>8</v>
      </c>
      <c r="P261" s="741">
        <v>664.23511639000003</v>
      </c>
      <c r="Q261" s="1253"/>
      <c r="R261" s="1253"/>
      <c r="S261" s="1253"/>
      <c r="T261" s="1253"/>
      <c r="U261" s="1253"/>
      <c r="V261" s="1253"/>
      <c r="W261" s="1253"/>
      <c r="X261" s="1253"/>
      <c r="Y261" s="1253"/>
      <c r="Z261" s="1253"/>
      <c r="AA261" s="1253"/>
      <c r="AB261" s="1253"/>
      <c r="AC261" s="1253"/>
      <c r="AD261" s="1253"/>
      <c r="AE261" s="1253"/>
      <c r="AF261" s="1253"/>
      <c r="AG261" s="1253"/>
      <c r="AH261" s="1253"/>
      <c r="AI261" s="1253"/>
      <c r="AJ261" s="1253"/>
    </row>
    <row r="262" spans="1:36" s="1263" customFormat="1">
      <c r="A262" s="743" t="s">
        <v>18</v>
      </c>
      <c r="B262" s="1260">
        <v>6.71</v>
      </c>
      <c r="C262" s="478">
        <v>7.95</v>
      </c>
      <c r="D262" s="478">
        <v>8.57</v>
      </c>
      <c r="E262" s="478">
        <v>9.2899999999999991</v>
      </c>
      <c r="F262" s="478">
        <v>1401.1387</v>
      </c>
      <c r="G262" s="1271" t="s">
        <v>93</v>
      </c>
      <c r="H262" s="1271" t="s">
        <v>93</v>
      </c>
      <c r="I262" s="1271" t="s">
        <v>93</v>
      </c>
      <c r="J262" s="1271" t="s">
        <v>93</v>
      </c>
      <c r="K262" s="1260">
        <v>9.5</v>
      </c>
      <c r="L262" s="478" t="s">
        <v>93</v>
      </c>
      <c r="M262" s="1260">
        <v>6.75</v>
      </c>
      <c r="N262" s="478">
        <v>483</v>
      </c>
      <c r="O262" s="1260">
        <v>8.5</v>
      </c>
      <c r="P262" s="478">
        <v>833.26</v>
      </c>
      <c r="Q262" s="1253"/>
      <c r="R262" s="1253"/>
      <c r="S262" s="1253"/>
      <c r="T262" s="1253"/>
      <c r="U262" s="1253"/>
      <c r="V262" s="1253"/>
      <c r="W262" s="1253"/>
      <c r="X262" s="1253"/>
      <c r="Y262" s="1253"/>
      <c r="Z262" s="1253"/>
      <c r="AA262" s="1253"/>
      <c r="AB262" s="1253"/>
      <c r="AC262" s="1253"/>
      <c r="AD262" s="1253"/>
      <c r="AE262" s="1253"/>
      <c r="AF262" s="1253"/>
      <c r="AG262" s="1253"/>
      <c r="AH262" s="1253"/>
      <c r="AI262" s="1253"/>
      <c r="AJ262" s="1253"/>
    </row>
    <row r="263" spans="1:36" s="1263" customFormat="1">
      <c r="A263" s="743" t="s">
        <v>19</v>
      </c>
      <c r="B263" s="1260" t="s">
        <v>93</v>
      </c>
      <c r="C263" s="478">
        <v>7.95</v>
      </c>
      <c r="D263" s="478">
        <v>8.57</v>
      </c>
      <c r="E263" s="478">
        <v>9.2899999999999991</v>
      </c>
      <c r="F263" s="478">
        <v>1026.1386999999997</v>
      </c>
      <c r="G263" s="1271" t="s">
        <v>93</v>
      </c>
      <c r="H263" s="1271" t="s">
        <v>93</v>
      </c>
      <c r="I263" s="1271" t="s">
        <v>93</v>
      </c>
      <c r="J263" s="1271" t="s">
        <v>93</v>
      </c>
      <c r="K263" s="1260">
        <v>9.5</v>
      </c>
      <c r="L263" s="478" t="s">
        <v>93</v>
      </c>
      <c r="M263" s="1260">
        <v>6.75</v>
      </c>
      <c r="N263" s="478">
        <v>704</v>
      </c>
      <c r="O263" s="1260">
        <v>8.5</v>
      </c>
      <c r="P263" s="478">
        <v>832.38</v>
      </c>
      <c r="Q263" s="1253"/>
      <c r="R263" s="1253"/>
      <c r="S263" s="1253"/>
      <c r="T263" s="1253"/>
      <c r="U263" s="1253"/>
      <c r="V263" s="1253"/>
      <c r="W263" s="1253"/>
      <c r="X263" s="1253"/>
      <c r="Y263" s="1253"/>
      <c r="Z263" s="1253"/>
      <c r="AA263" s="1253"/>
      <c r="AB263" s="1253"/>
      <c r="AC263" s="1253"/>
      <c r="AD263" s="1253"/>
      <c r="AE263" s="1253"/>
      <c r="AF263" s="1253"/>
      <c r="AG263" s="1253"/>
      <c r="AH263" s="1253"/>
      <c r="AI263" s="1253"/>
      <c r="AJ263" s="1253"/>
    </row>
    <row r="264" spans="1:36" s="1263" customFormat="1">
      <c r="A264" s="743" t="s">
        <v>20</v>
      </c>
      <c r="B264" s="1260" t="s">
        <v>93</v>
      </c>
      <c r="C264" s="478">
        <v>7.95</v>
      </c>
      <c r="D264" s="478">
        <v>8.57</v>
      </c>
      <c r="E264" s="478">
        <v>9.2899999999999991</v>
      </c>
      <c r="F264" s="478">
        <v>884.99999999999977</v>
      </c>
      <c r="G264" s="1271" t="s">
        <v>93</v>
      </c>
      <c r="H264" s="1271" t="s">
        <v>93</v>
      </c>
      <c r="I264" s="1271" t="s">
        <v>93</v>
      </c>
      <c r="J264" s="1271" t="s">
        <v>93</v>
      </c>
      <c r="K264" s="1260">
        <v>9.75</v>
      </c>
      <c r="L264" s="478" t="s">
        <v>93</v>
      </c>
      <c r="M264" s="1260">
        <v>7</v>
      </c>
      <c r="N264" s="478">
        <v>662.3</v>
      </c>
      <c r="O264" s="1260">
        <v>8.75</v>
      </c>
      <c r="P264" s="478">
        <v>736.48125150999999</v>
      </c>
      <c r="Q264" s="1253"/>
      <c r="R264" s="1253"/>
      <c r="S264" s="1253"/>
      <c r="T264" s="1253"/>
      <c r="U264" s="1253"/>
      <c r="V264" s="1253"/>
      <c r="W264" s="1253"/>
      <c r="X264" s="1253"/>
      <c r="Y264" s="1253"/>
      <c r="Z264" s="1253"/>
      <c r="AA264" s="1253"/>
      <c r="AB264" s="1253"/>
      <c r="AC264" s="1253"/>
      <c r="AD264" s="1253"/>
      <c r="AE264" s="1253"/>
      <c r="AF264" s="1253"/>
      <c r="AG264" s="1253"/>
      <c r="AH264" s="1253"/>
      <c r="AI264" s="1253"/>
      <c r="AJ264" s="1253"/>
    </row>
    <row r="265" spans="1:36" s="1263" customFormat="1">
      <c r="A265" s="743" t="s">
        <v>21</v>
      </c>
      <c r="B265" s="1260">
        <v>6.6</v>
      </c>
      <c r="C265" s="478">
        <v>7.27</v>
      </c>
      <c r="D265" s="478">
        <v>8.07</v>
      </c>
      <c r="E265" s="478">
        <v>8.77</v>
      </c>
      <c r="F265" s="478">
        <v>870</v>
      </c>
      <c r="G265" s="1271" t="s">
        <v>93</v>
      </c>
      <c r="H265" s="1271" t="s">
        <v>93</v>
      </c>
      <c r="I265" s="1271" t="s">
        <v>93</v>
      </c>
      <c r="J265" s="1271" t="s">
        <v>93</v>
      </c>
      <c r="K265" s="1260">
        <v>9.75</v>
      </c>
      <c r="L265" s="478" t="s">
        <v>93</v>
      </c>
      <c r="M265" s="1260">
        <v>7</v>
      </c>
      <c r="N265" s="478">
        <v>669.3</v>
      </c>
      <c r="O265" s="1260">
        <v>8.75</v>
      </c>
      <c r="P265" s="478">
        <v>726.18007999999998</v>
      </c>
      <c r="Q265" s="1253"/>
      <c r="R265" s="1253"/>
      <c r="S265" s="1253"/>
      <c r="T265" s="1253"/>
      <c r="U265" s="1253"/>
      <c r="V265" s="1253"/>
      <c r="W265" s="1253"/>
      <c r="X265" s="1253"/>
      <c r="Y265" s="1253"/>
      <c r="Z265" s="1253"/>
      <c r="AA265" s="1253"/>
      <c r="AB265" s="1253"/>
      <c r="AC265" s="1253"/>
      <c r="AD265" s="1253"/>
      <c r="AE265" s="1253"/>
      <c r="AF265" s="1253"/>
      <c r="AG265" s="1253"/>
      <c r="AH265" s="1253"/>
      <c r="AI265" s="1253"/>
      <c r="AJ265" s="1253"/>
    </row>
    <row r="266" spans="1:36" s="1263" customFormat="1">
      <c r="A266" s="743" t="s">
        <v>22</v>
      </c>
      <c r="B266" s="1260">
        <v>7.93</v>
      </c>
      <c r="C266" s="478">
        <v>8.18</v>
      </c>
      <c r="D266" s="478">
        <v>8.91</v>
      </c>
      <c r="E266" s="478">
        <v>9.42</v>
      </c>
      <c r="F266" s="478">
        <v>1199.8699999999999</v>
      </c>
      <c r="G266" s="1271" t="s">
        <v>93</v>
      </c>
      <c r="H266" s="1271" t="s">
        <v>93</v>
      </c>
      <c r="I266" s="1271" t="s">
        <v>93</v>
      </c>
      <c r="J266" s="1271" t="s">
        <v>93</v>
      </c>
      <c r="K266" s="1260">
        <v>10</v>
      </c>
      <c r="L266" s="478" t="s">
        <v>93</v>
      </c>
      <c r="M266" s="1260">
        <v>7.5</v>
      </c>
      <c r="N266" s="478">
        <v>608.86</v>
      </c>
      <c r="O266" s="1260">
        <v>9</v>
      </c>
      <c r="P266" s="478">
        <v>724.9</v>
      </c>
      <c r="Q266" s="1253"/>
      <c r="R266" s="1253"/>
      <c r="S266" s="1253"/>
      <c r="T266" s="1253"/>
      <c r="U266" s="1253"/>
      <c r="V266" s="1253"/>
      <c r="W266" s="1253"/>
      <c r="X266" s="1253"/>
      <c r="Y266" s="1253"/>
      <c r="Z266" s="1253"/>
      <c r="AA266" s="1253"/>
      <c r="AB266" s="1253"/>
      <c r="AC266" s="1253"/>
      <c r="AD266" s="1253"/>
      <c r="AE266" s="1253"/>
      <c r="AF266" s="1253"/>
      <c r="AG266" s="1253"/>
      <c r="AH266" s="1253"/>
      <c r="AI266" s="1253"/>
      <c r="AJ266" s="1253"/>
    </row>
    <row r="267" spans="1:36" s="1263" customFormat="1">
      <c r="A267" s="743" t="s">
        <v>23</v>
      </c>
      <c r="B267" s="1260">
        <v>5.89</v>
      </c>
      <c r="C267" s="478">
        <v>7.34</v>
      </c>
      <c r="D267" s="478">
        <v>8.31</v>
      </c>
      <c r="E267" s="478">
        <v>8.85</v>
      </c>
      <c r="F267" s="478">
        <v>1334.87</v>
      </c>
      <c r="G267" s="1271" t="s">
        <v>93</v>
      </c>
      <c r="H267" s="1271" t="s">
        <v>93</v>
      </c>
      <c r="I267" s="1271" t="s">
        <v>93</v>
      </c>
      <c r="J267" s="1271" t="s">
        <v>93</v>
      </c>
      <c r="K267" s="1260">
        <v>10</v>
      </c>
      <c r="L267" s="478" t="s">
        <v>93</v>
      </c>
      <c r="M267" s="1260">
        <v>7.5</v>
      </c>
      <c r="N267" s="478">
        <v>57.95</v>
      </c>
      <c r="O267" s="1260">
        <v>9</v>
      </c>
      <c r="P267" s="478">
        <v>724.9</v>
      </c>
      <c r="Q267" s="1253"/>
      <c r="R267" s="1253"/>
      <c r="S267" s="1253"/>
      <c r="T267" s="1253"/>
      <c r="U267" s="1253"/>
      <c r="V267" s="1253"/>
      <c r="W267" s="1253"/>
      <c r="X267" s="1253"/>
      <c r="Y267" s="1253"/>
      <c r="Z267" s="1253"/>
      <c r="AA267" s="1253"/>
      <c r="AB267" s="1253"/>
      <c r="AC267" s="1253"/>
      <c r="AD267" s="1253"/>
      <c r="AE267" s="1253"/>
      <c r="AF267" s="1253"/>
      <c r="AG267" s="1253"/>
      <c r="AH267" s="1253"/>
      <c r="AI267" s="1253"/>
      <c r="AJ267" s="1253"/>
    </row>
    <row r="268" spans="1:36" s="1263" customFormat="1">
      <c r="A268" s="743" t="s">
        <v>24</v>
      </c>
      <c r="B268" s="1260">
        <v>6.95</v>
      </c>
      <c r="C268" s="478">
        <v>9.16</v>
      </c>
      <c r="D268" s="478">
        <v>8.69</v>
      </c>
      <c r="E268" s="478">
        <v>9.85</v>
      </c>
      <c r="F268" s="478">
        <v>1563.35</v>
      </c>
      <c r="G268" s="1271" t="s">
        <v>93</v>
      </c>
      <c r="H268" s="1271" t="s">
        <v>93</v>
      </c>
      <c r="I268" s="1271" t="s">
        <v>93</v>
      </c>
      <c r="J268" s="1271" t="s">
        <v>93</v>
      </c>
      <c r="K268" s="1260">
        <v>10</v>
      </c>
      <c r="L268" s="478" t="s">
        <v>93</v>
      </c>
      <c r="M268" s="1260">
        <v>7.5</v>
      </c>
      <c r="N268" s="478">
        <v>655</v>
      </c>
      <c r="O268" s="1260">
        <v>9</v>
      </c>
      <c r="P268" s="478">
        <v>736.75</v>
      </c>
      <c r="Q268" s="1253"/>
      <c r="R268" s="1253"/>
      <c r="S268" s="1253"/>
      <c r="T268" s="1253"/>
      <c r="U268" s="1253"/>
      <c r="V268" s="1253"/>
      <c r="W268" s="1253"/>
      <c r="X268" s="1253"/>
      <c r="Y268" s="1253"/>
      <c r="Z268" s="1253"/>
      <c r="AA268" s="1253"/>
      <c r="AB268" s="1253"/>
      <c r="AC268" s="1253"/>
      <c r="AD268" s="1253"/>
      <c r="AE268" s="1253"/>
      <c r="AF268" s="1253"/>
      <c r="AG268" s="1253"/>
      <c r="AH268" s="1253"/>
      <c r="AI268" s="1253"/>
      <c r="AJ268" s="1253"/>
    </row>
    <row r="269" spans="1:36" s="1263" customFormat="1">
      <c r="A269" s="743" t="s">
        <v>25</v>
      </c>
      <c r="B269" s="1260">
        <v>8.1999999999999993</v>
      </c>
      <c r="C269" s="478">
        <v>8</v>
      </c>
      <c r="D269" s="478">
        <v>8.4600000000000009</v>
      </c>
      <c r="E269" s="478">
        <v>9</v>
      </c>
      <c r="F269" s="478">
        <v>1543.35</v>
      </c>
      <c r="G269" s="1271" t="s">
        <v>93</v>
      </c>
      <c r="H269" s="1271" t="s">
        <v>93</v>
      </c>
      <c r="I269" s="1271" t="s">
        <v>93</v>
      </c>
      <c r="J269" s="1271" t="s">
        <v>93</v>
      </c>
      <c r="K269" s="1260">
        <v>10</v>
      </c>
      <c r="L269" s="478" t="s">
        <v>93</v>
      </c>
      <c r="M269" s="1260">
        <v>7.5</v>
      </c>
      <c r="N269" s="478">
        <v>940.4</v>
      </c>
      <c r="O269" s="1260">
        <v>9</v>
      </c>
      <c r="P269" s="478">
        <v>736.75</v>
      </c>
      <c r="Q269" s="1253"/>
      <c r="R269" s="1253"/>
      <c r="S269" s="1253"/>
      <c r="T269" s="1253"/>
      <c r="U269" s="1253"/>
      <c r="V269" s="1253"/>
      <c r="W269" s="1253"/>
      <c r="X269" s="1253"/>
      <c r="Y269" s="1253"/>
      <c r="Z269" s="1253"/>
      <c r="AA269" s="1253"/>
      <c r="AB269" s="1253"/>
      <c r="AC269" s="1253"/>
      <c r="AD269" s="1253"/>
      <c r="AE269" s="1253"/>
      <c r="AF269" s="1253"/>
      <c r="AG269" s="1253"/>
      <c r="AH269" s="1253"/>
      <c r="AI269" s="1253"/>
      <c r="AJ269" s="1253"/>
    </row>
    <row r="270" spans="1:36" s="1263" customFormat="1">
      <c r="A270" s="743" t="s">
        <v>26</v>
      </c>
      <c r="B270" s="1260">
        <v>8.0299999999999994</v>
      </c>
      <c r="C270" s="478">
        <v>8.1300000000000008</v>
      </c>
      <c r="D270" s="478">
        <v>8.0500000000000007</v>
      </c>
      <c r="E270" s="478">
        <v>8.4600000000000009</v>
      </c>
      <c r="F270" s="478">
        <v>1610.4199999999996</v>
      </c>
      <c r="G270" s="1271" t="s">
        <v>93</v>
      </c>
      <c r="H270" s="1271" t="s">
        <v>93</v>
      </c>
      <c r="I270" s="1271" t="s">
        <v>93</v>
      </c>
      <c r="J270" s="1271" t="s">
        <v>93</v>
      </c>
      <c r="K270" s="1260">
        <v>10</v>
      </c>
      <c r="L270" s="478" t="s">
        <v>93</v>
      </c>
      <c r="M270" s="1260">
        <v>7.5</v>
      </c>
      <c r="N270" s="478">
        <v>1528.5386117600001</v>
      </c>
      <c r="O270" s="1260">
        <v>9</v>
      </c>
      <c r="P270" s="478">
        <v>731.12</v>
      </c>
      <c r="Q270" s="1253"/>
      <c r="R270" s="1253"/>
      <c r="S270" s="1253"/>
      <c r="T270" s="1253"/>
      <c r="U270" s="1253"/>
      <c r="V270" s="1253"/>
      <c r="W270" s="1253"/>
      <c r="X270" s="1253"/>
      <c r="Y270" s="1253"/>
      <c r="Z270" s="1253"/>
      <c r="AA270" s="1253"/>
      <c r="AB270" s="1253"/>
      <c r="AC270" s="1253"/>
      <c r="AD270" s="1253"/>
      <c r="AE270" s="1253"/>
      <c r="AF270" s="1253"/>
      <c r="AG270" s="1253"/>
      <c r="AH270" s="1253"/>
      <c r="AI270" s="1253"/>
      <c r="AJ270" s="1253"/>
    </row>
    <row r="271" spans="1:36" s="1263" customFormat="1">
      <c r="A271" s="743">
        <v>10</v>
      </c>
      <c r="B271" s="1260" t="s">
        <v>93</v>
      </c>
      <c r="C271" s="478">
        <v>8.15</v>
      </c>
      <c r="D271" s="478">
        <v>8.09</v>
      </c>
      <c r="E271" s="478">
        <v>8.2100000000000009</v>
      </c>
      <c r="F271" s="478">
        <v>1518.35</v>
      </c>
      <c r="G271" s="1271" t="s">
        <v>93</v>
      </c>
      <c r="H271" s="1271" t="s">
        <v>93</v>
      </c>
      <c r="I271" s="1271" t="s">
        <v>93</v>
      </c>
      <c r="J271" s="1271" t="s">
        <v>93</v>
      </c>
      <c r="K271" s="1260">
        <v>10</v>
      </c>
      <c r="L271" s="478" t="s">
        <v>93</v>
      </c>
      <c r="M271" s="1260">
        <v>7.5</v>
      </c>
      <c r="N271" s="478">
        <v>1888.6</v>
      </c>
      <c r="O271" s="1260">
        <v>9</v>
      </c>
      <c r="P271" s="478">
        <v>725.49800000000005</v>
      </c>
      <c r="Q271" s="1253"/>
      <c r="R271" s="1253"/>
      <c r="S271" s="1253"/>
      <c r="T271" s="1253"/>
      <c r="U271" s="1253"/>
      <c r="V271" s="1253"/>
      <c r="W271" s="1253"/>
      <c r="X271" s="1253"/>
      <c r="Y271" s="1253"/>
      <c r="Z271" s="1253"/>
      <c r="AA271" s="1253"/>
      <c r="AB271" s="1253"/>
      <c r="AC271" s="1253"/>
      <c r="AD271" s="1253"/>
      <c r="AE271" s="1253"/>
      <c r="AF271" s="1253"/>
      <c r="AG271" s="1253"/>
      <c r="AH271" s="1253"/>
      <c r="AI271" s="1253"/>
      <c r="AJ271" s="1253"/>
    </row>
    <row r="272" spans="1:36" s="1263" customFormat="1">
      <c r="A272" s="743">
        <v>11</v>
      </c>
      <c r="B272" s="1260">
        <v>7.86</v>
      </c>
      <c r="C272" s="478">
        <v>8.15</v>
      </c>
      <c r="D272" s="478">
        <v>7.67</v>
      </c>
      <c r="E272" s="478">
        <v>7.82</v>
      </c>
      <c r="F272" s="478">
        <v>1383.48</v>
      </c>
      <c r="G272" s="1271" t="s">
        <v>93</v>
      </c>
      <c r="H272" s="1271" t="s">
        <v>93</v>
      </c>
      <c r="I272" s="1271" t="s">
        <v>93</v>
      </c>
      <c r="J272" s="1271" t="s">
        <v>93</v>
      </c>
      <c r="K272" s="1260">
        <v>9.5</v>
      </c>
      <c r="L272" s="478">
        <v>1E-4</v>
      </c>
      <c r="M272" s="1260">
        <v>7</v>
      </c>
      <c r="N272" s="478">
        <v>2314.8000000000002</v>
      </c>
      <c r="O272" s="1260">
        <v>8.5</v>
      </c>
      <c r="P272" s="478">
        <v>678.07831796000005</v>
      </c>
      <c r="Q272" s="1253"/>
      <c r="R272" s="1253"/>
      <c r="S272" s="1253"/>
      <c r="T272" s="1253"/>
      <c r="U272" s="1253"/>
      <c r="V272" s="1253"/>
      <c r="W272" s="1253"/>
      <c r="X272" s="1253"/>
      <c r="Y272" s="1253"/>
      <c r="Z272" s="1253"/>
      <c r="AA272" s="1253"/>
      <c r="AB272" s="1253"/>
      <c r="AC272" s="1253"/>
      <c r="AD272" s="1253"/>
      <c r="AE272" s="1253"/>
      <c r="AF272" s="1253"/>
      <c r="AG272" s="1253"/>
      <c r="AH272" s="1253"/>
      <c r="AI272" s="1253"/>
      <c r="AJ272" s="1253"/>
    </row>
    <row r="273" spans="1:36" s="1263" customFormat="1">
      <c r="A273" s="743">
        <v>12</v>
      </c>
      <c r="B273" s="1260">
        <v>7.11</v>
      </c>
      <c r="C273" s="478">
        <v>7.23</v>
      </c>
      <c r="D273" s="478">
        <v>7.54</v>
      </c>
      <c r="E273" s="478">
        <v>7.5</v>
      </c>
      <c r="F273" s="478">
        <v>1320.13</v>
      </c>
      <c r="G273" s="1271" t="s">
        <v>93</v>
      </c>
      <c r="H273" s="1271" t="s">
        <v>93</v>
      </c>
      <c r="I273" s="1271" t="s">
        <v>93</v>
      </c>
      <c r="J273" s="1271" t="s">
        <v>93</v>
      </c>
      <c r="K273" s="1260">
        <v>9</v>
      </c>
      <c r="L273" s="478">
        <v>0</v>
      </c>
      <c r="M273" s="1260">
        <v>6.5</v>
      </c>
      <c r="N273" s="478">
        <v>1174.8</v>
      </c>
      <c r="O273" s="1260">
        <v>8</v>
      </c>
      <c r="P273" s="478">
        <v>664.23511639000003</v>
      </c>
      <c r="Q273" s="1253"/>
      <c r="R273" s="1253"/>
      <c r="S273" s="1253"/>
      <c r="T273" s="1253"/>
      <c r="U273" s="1253"/>
      <c r="V273" s="1253"/>
      <c r="W273" s="1253"/>
      <c r="X273" s="1253"/>
      <c r="Y273" s="1253"/>
      <c r="Z273" s="1253"/>
      <c r="AA273" s="1253"/>
      <c r="AB273" s="1253"/>
      <c r="AC273" s="1253"/>
      <c r="AD273" s="1253"/>
      <c r="AE273" s="1253"/>
      <c r="AF273" s="1253"/>
      <c r="AG273" s="1253"/>
      <c r="AH273" s="1253"/>
      <c r="AI273" s="1253"/>
      <c r="AJ273" s="1253"/>
    </row>
    <row r="274" spans="1:36" s="1263" customFormat="1">
      <c r="A274" s="743">
        <v>2024</v>
      </c>
      <c r="B274" s="740" t="s">
        <v>93</v>
      </c>
      <c r="C274" s="741" t="s">
        <v>93</v>
      </c>
      <c r="D274" s="741">
        <v>7.25</v>
      </c>
      <c r="E274" s="741">
        <v>7.45</v>
      </c>
      <c r="F274" s="741">
        <v>208.2</v>
      </c>
      <c r="G274" s="1272" t="s">
        <v>93</v>
      </c>
      <c r="H274" s="1272" t="s">
        <v>93</v>
      </c>
      <c r="I274" s="1272" t="s">
        <v>93</v>
      </c>
      <c r="J274" s="1272" t="s">
        <v>93</v>
      </c>
      <c r="K274" s="740">
        <v>8.25</v>
      </c>
      <c r="L274" s="741">
        <v>0</v>
      </c>
      <c r="M274" s="740">
        <v>6.25</v>
      </c>
      <c r="N274" s="741">
        <v>1267.8</v>
      </c>
      <c r="O274" s="740">
        <v>7.25</v>
      </c>
      <c r="P274" s="741">
        <v>528.9</v>
      </c>
      <c r="Q274" s="1253"/>
      <c r="R274" s="1253"/>
      <c r="S274" s="1253"/>
      <c r="T274" s="1253"/>
      <c r="U274" s="1253"/>
      <c r="V274" s="1253"/>
      <c r="W274" s="1253"/>
      <c r="X274" s="1253"/>
      <c r="Y274" s="1253"/>
      <c r="Z274" s="1253"/>
      <c r="AA274" s="1253"/>
      <c r="AB274" s="1253"/>
      <c r="AC274" s="1253"/>
      <c r="AD274" s="1253"/>
      <c r="AE274" s="1253"/>
      <c r="AF274" s="1253"/>
      <c r="AG274" s="1253"/>
      <c r="AH274" s="1253"/>
      <c r="AI274" s="1253"/>
      <c r="AJ274" s="1253"/>
    </row>
    <row r="275" spans="1:36" s="1263" customFormat="1">
      <c r="A275" s="743" t="s">
        <v>18</v>
      </c>
      <c r="B275" s="1260">
        <v>6.6</v>
      </c>
      <c r="C275" s="478">
        <v>6.8</v>
      </c>
      <c r="D275" s="478">
        <v>6.71</v>
      </c>
      <c r="E275" s="478">
        <v>7.08</v>
      </c>
      <c r="F275" s="478">
        <v>1182.3</v>
      </c>
      <c r="G275" s="1271" t="s">
        <v>93</v>
      </c>
      <c r="H275" s="1271" t="s">
        <v>93</v>
      </c>
      <c r="I275" s="1271" t="s">
        <v>93</v>
      </c>
      <c r="J275" s="1271" t="s">
        <v>93</v>
      </c>
      <c r="K275" s="1260">
        <v>9</v>
      </c>
      <c r="L275" s="478">
        <v>0</v>
      </c>
      <c r="M275" s="1260">
        <v>6.5</v>
      </c>
      <c r="N275" s="478">
        <v>1067.8</v>
      </c>
      <c r="O275" s="1260">
        <v>8</v>
      </c>
      <c r="P275" s="478">
        <v>658.55502114000001</v>
      </c>
      <c r="Q275" s="1253"/>
      <c r="R275" s="1253"/>
      <c r="S275" s="1253"/>
      <c r="T275" s="1253"/>
      <c r="U275" s="1253"/>
      <c r="V275" s="1253"/>
      <c r="W275" s="1253"/>
      <c r="X275" s="1253"/>
      <c r="Y275" s="1253"/>
      <c r="Z275" s="1253"/>
      <c r="AA275" s="1253"/>
      <c r="AB275" s="1253"/>
      <c r="AC275" s="1253"/>
      <c r="AD275" s="1253"/>
      <c r="AE275" s="1253"/>
      <c r="AF275" s="1253"/>
      <c r="AG275" s="1253"/>
      <c r="AH275" s="1253"/>
      <c r="AI275" s="1253"/>
      <c r="AJ275" s="1253"/>
    </row>
    <row r="276" spans="1:36" s="1263" customFormat="1">
      <c r="A276" s="743" t="s">
        <v>19</v>
      </c>
      <c r="B276" s="1260">
        <v>6.39</v>
      </c>
      <c r="C276" s="478">
        <v>6.75</v>
      </c>
      <c r="D276" s="478">
        <v>6.79</v>
      </c>
      <c r="E276" s="478">
        <v>6.8</v>
      </c>
      <c r="F276" s="478">
        <v>1222.1999999999998</v>
      </c>
      <c r="G276" s="1271" t="s">
        <v>93</v>
      </c>
      <c r="H276" s="1271" t="s">
        <v>93</v>
      </c>
      <c r="I276" s="1271" t="s">
        <v>93</v>
      </c>
      <c r="J276" s="1271" t="s">
        <v>93</v>
      </c>
      <c r="K276" s="1260">
        <v>8.75</v>
      </c>
      <c r="L276" s="478">
        <v>0</v>
      </c>
      <c r="M276" s="1260">
        <v>6.25</v>
      </c>
      <c r="N276" s="478">
        <v>1077.2</v>
      </c>
      <c r="O276" s="1260">
        <v>7.75</v>
      </c>
      <c r="P276" s="478">
        <v>652.34015789</v>
      </c>
      <c r="Q276" s="1253"/>
      <c r="R276" s="1253"/>
      <c r="S276" s="1253"/>
      <c r="T276" s="1253"/>
      <c r="U276" s="1253"/>
      <c r="V276" s="1253"/>
      <c r="W276" s="1253"/>
      <c r="X276" s="1253"/>
      <c r="Y276" s="1253"/>
      <c r="Z276" s="1253"/>
      <c r="AA276" s="1253"/>
      <c r="AB276" s="1253"/>
      <c r="AC276" s="1253"/>
      <c r="AD276" s="1253"/>
      <c r="AE276" s="1253"/>
      <c r="AF276" s="1253"/>
      <c r="AG276" s="1253"/>
      <c r="AH276" s="1253"/>
      <c r="AI276" s="1253"/>
      <c r="AJ276" s="1253"/>
    </row>
    <row r="277" spans="1:36" s="1263" customFormat="1">
      <c r="A277" s="743" t="s">
        <v>20</v>
      </c>
      <c r="B277" s="1260">
        <v>6.84</v>
      </c>
      <c r="C277" s="478">
        <v>6.85</v>
      </c>
      <c r="D277" s="478">
        <v>6.85</v>
      </c>
      <c r="E277" s="478">
        <v>7.39</v>
      </c>
      <c r="F277" s="478">
        <v>1183.5</v>
      </c>
      <c r="G277" s="1271" t="s">
        <v>93</v>
      </c>
      <c r="H277" s="1271" t="s">
        <v>93</v>
      </c>
      <c r="I277" s="1271" t="s">
        <v>93</v>
      </c>
      <c r="J277" s="1271" t="s">
        <v>93</v>
      </c>
      <c r="K277" s="1260">
        <v>8.5</v>
      </c>
      <c r="L277" s="478">
        <v>0</v>
      </c>
      <c r="M277" s="1260">
        <v>6.25</v>
      </c>
      <c r="N277" s="478">
        <v>831.3</v>
      </c>
      <c r="O277" s="1260">
        <v>7.5</v>
      </c>
      <c r="P277" s="478">
        <v>646.67915789000006</v>
      </c>
      <c r="Q277" s="1253"/>
      <c r="R277" s="1253"/>
      <c r="S277" s="1253"/>
      <c r="T277" s="1253"/>
      <c r="U277" s="1253"/>
      <c r="V277" s="1253"/>
      <c r="W277" s="1253"/>
      <c r="X277" s="1253"/>
      <c r="Y277" s="1253"/>
      <c r="Z277" s="1253"/>
      <c r="AA277" s="1253"/>
      <c r="AB277" s="1253"/>
      <c r="AC277" s="1253"/>
      <c r="AD277" s="1253"/>
      <c r="AE277" s="1253"/>
      <c r="AF277" s="1253"/>
      <c r="AG277" s="1253"/>
      <c r="AH277" s="1253"/>
      <c r="AI277" s="1253"/>
      <c r="AJ277" s="1253"/>
    </row>
    <row r="278" spans="1:36" s="1263" customFormat="1">
      <c r="A278" s="743" t="s">
        <v>21</v>
      </c>
      <c r="B278" s="1260">
        <v>7.15</v>
      </c>
      <c r="C278" s="478">
        <v>7.37</v>
      </c>
      <c r="D278" s="478">
        <v>7.49</v>
      </c>
      <c r="E278" s="478">
        <v>7.79</v>
      </c>
      <c r="F278" s="478">
        <v>1117.0999999999999</v>
      </c>
      <c r="G278" s="1271">
        <v>7.22</v>
      </c>
      <c r="H278" s="1271">
        <v>26</v>
      </c>
      <c r="I278" s="1271" t="s">
        <v>93</v>
      </c>
      <c r="J278" s="1271" t="s">
        <v>93</v>
      </c>
      <c r="K278" s="1260">
        <v>8.5</v>
      </c>
      <c r="L278" s="478">
        <v>128.82457305</v>
      </c>
      <c r="M278" s="1260">
        <v>6.25</v>
      </c>
      <c r="N278" s="478">
        <v>507.25</v>
      </c>
      <c r="O278" s="1260">
        <v>7.5</v>
      </c>
      <c r="P278" s="478">
        <v>627.07326585999999</v>
      </c>
      <c r="Q278" s="1253"/>
      <c r="R278" s="1253"/>
      <c r="S278" s="1253"/>
      <c r="T278" s="1253"/>
      <c r="U278" s="1253"/>
      <c r="V278" s="1253"/>
      <c r="W278" s="1253"/>
      <c r="X278" s="1253"/>
      <c r="Y278" s="1253"/>
      <c r="Z278" s="1253"/>
      <c r="AA278" s="1253"/>
      <c r="AB278" s="1253"/>
      <c r="AC278" s="1253"/>
      <c r="AD278" s="1253"/>
      <c r="AE278" s="1253"/>
      <c r="AF278" s="1253"/>
      <c r="AG278" s="1253"/>
      <c r="AH278" s="1253"/>
      <c r="AI278" s="1253"/>
      <c r="AJ278" s="1253"/>
    </row>
    <row r="279" spans="1:36" s="1263" customFormat="1">
      <c r="A279" s="743" t="s">
        <v>22</v>
      </c>
      <c r="B279" s="1260">
        <v>7.11</v>
      </c>
      <c r="C279" s="478">
        <v>7.31</v>
      </c>
      <c r="D279" s="478">
        <v>7.48</v>
      </c>
      <c r="E279" s="478">
        <v>7.69</v>
      </c>
      <c r="F279" s="478">
        <v>977.2</v>
      </c>
      <c r="G279" s="1271">
        <v>6.98</v>
      </c>
      <c r="H279" s="1271">
        <v>15</v>
      </c>
      <c r="I279" s="1271" t="s">
        <v>93</v>
      </c>
      <c r="J279" s="1271" t="s">
        <v>93</v>
      </c>
      <c r="K279" s="1260">
        <v>8.25</v>
      </c>
      <c r="L279" s="478">
        <v>0</v>
      </c>
      <c r="M279" s="1260">
        <v>6.25</v>
      </c>
      <c r="N279" s="478">
        <v>642.1</v>
      </c>
      <c r="O279" s="1260">
        <v>7.25</v>
      </c>
      <c r="P279" s="478">
        <v>621.25254586000005</v>
      </c>
      <c r="Q279" s="1253"/>
      <c r="R279" s="1253"/>
      <c r="S279" s="1253"/>
      <c r="T279" s="1253"/>
      <c r="U279" s="1253"/>
      <c r="V279" s="1253"/>
      <c r="W279" s="1253"/>
      <c r="X279" s="1253"/>
      <c r="Y279" s="1253"/>
      <c r="Z279" s="1253"/>
      <c r="AA279" s="1253"/>
      <c r="AB279" s="1253"/>
      <c r="AC279" s="1253"/>
      <c r="AD279" s="1253"/>
      <c r="AE279" s="1253"/>
      <c r="AF279" s="1253"/>
      <c r="AG279" s="1253"/>
      <c r="AH279" s="1253"/>
      <c r="AI279" s="1253"/>
      <c r="AJ279" s="1253"/>
    </row>
    <row r="280" spans="1:36" s="1263" customFormat="1">
      <c r="A280" s="743" t="s">
        <v>23</v>
      </c>
      <c r="B280" s="1260">
        <v>6.98</v>
      </c>
      <c r="C280" s="478">
        <v>7.2</v>
      </c>
      <c r="D280" s="478">
        <v>7.4</v>
      </c>
      <c r="E280" s="478">
        <v>7.52</v>
      </c>
      <c r="F280" s="478">
        <v>948.4</v>
      </c>
      <c r="G280" s="1271">
        <v>6.93</v>
      </c>
      <c r="H280" s="1271">
        <v>15</v>
      </c>
      <c r="I280" s="1271" t="s">
        <v>93</v>
      </c>
      <c r="J280" s="1271" t="s">
        <v>93</v>
      </c>
      <c r="K280" s="1260">
        <v>8.25</v>
      </c>
      <c r="L280" s="478">
        <v>0</v>
      </c>
      <c r="M280" s="1260">
        <v>6.25</v>
      </c>
      <c r="N280" s="478">
        <v>728.6</v>
      </c>
      <c r="O280" s="1260">
        <v>7.25</v>
      </c>
      <c r="P280" s="478">
        <v>615.62754586000005</v>
      </c>
      <c r="Q280" s="1253"/>
      <c r="R280" s="1253"/>
      <c r="S280" s="1253"/>
      <c r="T280" s="1253"/>
      <c r="U280" s="1253"/>
      <c r="V280" s="1253"/>
      <c r="W280" s="1253"/>
      <c r="X280" s="1253"/>
      <c r="Y280" s="1253"/>
      <c r="Z280" s="1253"/>
      <c r="AA280" s="1253"/>
      <c r="AB280" s="1253"/>
      <c r="AC280" s="1253"/>
      <c r="AD280" s="1253"/>
      <c r="AE280" s="1253"/>
      <c r="AF280" s="1253"/>
      <c r="AG280" s="1253"/>
      <c r="AH280" s="1253"/>
      <c r="AI280" s="1253"/>
      <c r="AJ280" s="1253"/>
    </row>
    <row r="281" spans="1:36" s="1263" customFormat="1">
      <c r="A281" s="743" t="s">
        <v>24</v>
      </c>
      <c r="B281" s="1260">
        <v>7</v>
      </c>
      <c r="C281" s="478">
        <v>7.75</v>
      </c>
      <c r="D281" s="478">
        <v>8.1999999999999993</v>
      </c>
      <c r="E281" s="478">
        <v>8.0500000000000007</v>
      </c>
      <c r="F281" s="478">
        <v>933.4</v>
      </c>
      <c r="G281" s="1271">
        <v>6.99</v>
      </c>
      <c r="H281" s="1271">
        <v>10</v>
      </c>
      <c r="I281" s="1271" t="s">
        <v>93</v>
      </c>
      <c r="J281" s="1271" t="s">
        <v>93</v>
      </c>
      <c r="K281" s="1260">
        <v>8.25</v>
      </c>
      <c r="L281" s="478">
        <v>600</v>
      </c>
      <c r="M281" s="1260">
        <v>6.25</v>
      </c>
      <c r="N281" s="478">
        <v>545.9</v>
      </c>
      <c r="O281" s="1260">
        <v>7.25</v>
      </c>
      <c r="P281" s="478">
        <v>607.66565700000001</v>
      </c>
      <c r="Q281" s="1253"/>
      <c r="R281" s="1253"/>
      <c r="S281" s="1253"/>
      <c r="T281" s="1253"/>
      <c r="U281" s="1253"/>
      <c r="V281" s="1253"/>
      <c r="W281" s="1253"/>
      <c r="X281" s="1253"/>
      <c r="Y281" s="1253"/>
      <c r="Z281" s="1253"/>
      <c r="AA281" s="1253"/>
      <c r="AB281" s="1253"/>
      <c r="AC281" s="1253"/>
      <c r="AD281" s="1253"/>
      <c r="AE281" s="1253"/>
      <c r="AF281" s="1253"/>
      <c r="AG281" s="1253"/>
      <c r="AH281" s="1253"/>
      <c r="AI281" s="1253"/>
      <c r="AJ281" s="1253"/>
    </row>
    <row r="282" spans="1:36" s="1263" customFormat="1">
      <c r="A282" s="743" t="s">
        <v>25</v>
      </c>
      <c r="B282" s="1260">
        <v>6.6</v>
      </c>
      <c r="C282" s="478">
        <v>7.55</v>
      </c>
      <c r="D282" s="478">
        <v>8.0399999999999991</v>
      </c>
      <c r="E282" s="478">
        <v>8.44</v>
      </c>
      <c r="F282" s="478">
        <v>718.39999999999964</v>
      </c>
      <c r="G282" s="1271" t="s">
        <v>93</v>
      </c>
      <c r="H282" s="1271" t="s">
        <v>93</v>
      </c>
      <c r="I282" s="1271" t="s">
        <v>93</v>
      </c>
      <c r="J282" s="1271" t="s">
        <v>93</v>
      </c>
      <c r="K282" s="1260">
        <v>8.25</v>
      </c>
      <c r="L282" s="478">
        <v>80</v>
      </c>
      <c r="M282" s="1260">
        <v>6.25</v>
      </c>
      <c r="N282" s="478">
        <v>174.9</v>
      </c>
      <c r="O282" s="1260">
        <v>7.25</v>
      </c>
      <c r="P282" s="478">
        <v>602.04065700000001</v>
      </c>
      <c r="Q282" s="1253"/>
      <c r="R282" s="1253"/>
      <c r="S282" s="1253"/>
      <c r="T282" s="1253"/>
      <c r="U282" s="1253"/>
      <c r="V282" s="1253"/>
      <c r="W282" s="1253"/>
      <c r="X282" s="1253"/>
      <c r="Y282" s="1253"/>
      <c r="Z282" s="1253"/>
      <c r="AA282" s="1253"/>
      <c r="AB282" s="1253"/>
      <c r="AC282" s="1253"/>
      <c r="AD282" s="1253"/>
      <c r="AE282" s="1253"/>
      <c r="AF282" s="1253"/>
      <c r="AG282" s="1253"/>
      <c r="AH282" s="1253"/>
      <c r="AI282" s="1253"/>
      <c r="AJ282" s="1253"/>
    </row>
    <row r="283" spans="1:36" s="1263" customFormat="1">
      <c r="A283" s="743" t="s">
        <v>26</v>
      </c>
      <c r="B283" s="1260">
        <v>6.1</v>
      </c>
      <c r="C283" s="478">
        <v>7.09</v>
      </c>
      <c r="D283" s="478">
        <v>7.49</v>
      </c>
      <c r="E283" s="478">
        <v>7.45</v>
      </c>
      <c r="F283" s="478">
        <v>636.89999999999964</v>
      </c>
      <c r="G283" s="1271" t="s">
        <v>93</v>
      </c>
      <c r="H283" s="1271" t="s">
        <v>93</v>
      </c>
      <c r="I283" s="1271" t="s">
        <v>93</v>
      </c>
      <c r="J283" s="1271" t="s">
        <v>93</v>
      </c>
      <c r="K283" s="1260">
        <v>8.25</v>
      </c>
      <c r="L283" s="478">
        <v>140</v>
      </c>
      <c r="M283" s="1260">
        <v>6.25</v>
      </c>
      <c r="N283" s="478">
        <v>208.6</v>
      </c>
      <c r="O283" s="1260">
        <v>7.25</v>
      </c>
      <c r="P283" s="478">
        <v>596.4</v>
      </c>
      <c r="Q283" s="1253"/>
      <c r="R283" s="1253"/>
      <c r="S283" s="1253"/>
      <c r="T283" s="1253"/>
      <c r="U283" s="1253"/>
      <c r="V283" s="1253"/>
      <c r="W283" s="1253"/>
      <c r="X283" s="1253"/>
      <c r="Y283" s="1253"/>
      <c r="Z283" s="1253"/>
      <c r="AA283" s="1253"/>
      <c r="AB283" s="1253"/>
      <c r="AC283" s="1253"/>
      <c r="AD283" s="1253"/>
      <c r="AE283" s="1253"/>
      <c r="AF283" s="1253"/>
      <c r="AG283" s="1253"/>
      <c r="AH283" s="1253"/>
      <c r="AI283" s="1253"/>
      <c r="AJ283" s="1253"/>
    </row>
    <row r="284" spans="1:36" s="1263" customFormat="1">
      <c r="A284" s="743">
        <v>10</v>
      </c>
      <c r="B284" s="1260" t="s">
        <v>93</v>
      </c>
      <c r="C284" s="478">
        <v>7.09</v>
      </c>
      <c r="D284" s="478">
        <v>7.25</v>
      </c>
      <c r="E284" s="478">
        <v>7.45</v>
      </c>
      <c r="F284" s="478">
        <v>410.1</v>
      </c>
      <c r="G284" s="1271" t="s">
        <v>93</v>
      </c>
      <c r="H284" s="1271" t="s">
        <v>93</v>
      </c>
      <c r="I284" s="1271" t="s">
        <v>93</v>
      </c>
      <c r="J284" s="1271" t="s">
        <v>93</v>
      </c>
      <c r="K284" s="1260">
        <v>8.25</v>
      </c>
      <c r="L284" s="478">
        <v>400</v>
      </c>
      <c r="M284" s="1260">
        <v>6.25</v>
      </c>
      <c r="N284" s="478">
        <v>17.3</v>
      </c>
      <c r="O284" s="1260">
        <v>7.25</v>
      </c>
      <c r="P284" s="478">
        <v>590.79999999999995</v>
      </c>
      <c r="Q284" s="1253"/>
      <c r="R284" s="1253"/>
      <c r="S284" s="1253"/>
      <c r="T284" s="1253"/>
      <c r="U284" s="1253"/>
      <c r="V284" s="1253"/>
      <c r="W284" s="1253"/>
      <c r="X284" s="1253"/>
      <c r="Y284" s="1253"/>
      <c r="Z284" s="1253"/>
      <c r="AA284" s="1253"/>
      <c r="AB284" s="1253"/>
      <c r="AC284" s="1253"/>
      <c r="AD284" s="1253"/>
      <c r="AE284" s="1253"/>
      <c r="AF284" s="1253"/>
      <c r="AG284" s="1253"/>
      <c r="AH284" s="1253"/>
      <c r="AI284" s="1253"/>
      <c r="AJ284" s="1253"/>
    </row>
    <row r="285" spans="1:36" s="1263" customFormat="1">
      <c r="A285" s="743">
        <v>11</v>
      </c>
      <c r="B285" s="1260" t="s">
        <v>93</v>
      </c>
      <c r="C285" s="478">
        <v>7.09</v>
      </c>
      <c r="D285" s="478">
        <v>7.25</v>
      </c>
      <c r="E285" s="478">
        <v>7.45</v>
      </c>
      <c r="F285" s="478">
        <v>300.10000000000002</v>
      </c>
      <c r="G285" s="1271" t="s">
        <v>93</v>
      </c>
      <c r="H285" s="1271" t="s">
        <v>93</v>
      </c>
      <c r="I285" s="1271" t="s">
        <v>93</v>
      </c>
      <c r="J285" s="1271" t="s">
        <v>93</v>
      </c>
      <c r="K285" s="1260">
        <v>8.25</v>
      </c>
      <c r="L285" s="478">
        <v>260</v>
      </c>
      <c r="M285" s="1260">
        <v>6.25</v>
      </c>
      <c r="N285" s="478">
        <v>87.6</v>
      </c>
      <c r="O285" s="1260">
        <v>7.25</v>
      </c>
      <c r="P285" s="478">
        <v>543.29999999999995</v>
      </c>
      <c r="Q285" s="1253"/>
      <c r="R285" s="1253"/>
      <c r="S285" s="1253"/>
      <c r="T285" s="1253"/>
      <c r="U285" s="1253"/>
      <c r="V285" s="1253"/>
      <c r="W285" s="1253"/>
      <c r="X285" s="1253"/>
      <c r="Y285" s="1253"/>
      <c r="Z285" s="1253"/>
      <c r="AA285" s="1253"/>
      <c r="AB285" s="1253"/>
      <c r="AC285" s="1253"/>
      <c r="AD285" s="1253"/>
      <c r="AE285" s="1253"/>
      <c r="AF285" s="1253"/>
      <c r="AG285" s="1253"/>
      <c r="AH285" s="1253"/>
      <c r="AI285" s="1253"/>
      <c r="AJ285" s="1253"/>
    </row>
    <row r="286" spans="1:36" s="1263" customFormat="1">
      <c r="A286" s="743">
        <v>12</v>
      </c>
      <c r="B286" s="1260" t="s">
        <v>93</v>
      </c>
      <c r="C286" s="478" t="s">
        <v>93</v>
      </c>
      <c r="D286" s="478">
        <v>7.25</v>
      </c>
      <c r="E286" s="478">
        <v>7.45</v>
      </c>
      <c r="F286" s="478">
        <v>208.2</v>
      </c>
      <c r="G286" s="1271" t="s">
        <v>93</v>
      </c>
      <c r="H286" s="1271" t="s">
        <v>93</v>
      </c>
      <c r="I286" s="1271" t="s">
        <v>93</v>
      </c>
      <c r="J286" s="1271" t="s">
        <v>93</v>
      </c>
      <c r="K286" s="1260">
        <v>8.25</v>
      </c>
      <c r="L286" s="478">
        <v>0</v>
      </c>
      <c r="M286" s="1260">
        <v>6.25</v>
      </c>
      <c r="N286" s="478">
        <v>1267.8</v>
      </c>
      <c r="O286" s="1260">
        <v>7.25</v>
      </c>
      <c r="P286" s="478">
        <v>528.9</v>
      </c>
      <c r="Q286" s="1253"/>
      <c r="R286" s="1253"/>
      <c r="S286" s="1253"/>
      <c r="T286" s="1253"/>
      <c r="U286" s="1253"/>
      <c r="V286" s="1253"/>
      <c r="W286" s="1253"/>
      <c r="X286" s="1253"/>
      <c r="Y286" s="1253"/>
      <c r="Z286" s="1253"/>
      <c r="AA286" s="1253"/>
      <c r="AB286" s="1253"/>
      <c r="AC286" s="1253"/>
      <c r="AD286" s="1253"/>
      <c r="AE286" s="1253"/>
      <c r="AF286" s="1253"/>
      <c r="AG286" s="1253"/>
      <c r="AH286" s="1253"/>
      <c r="AI286" s="1253"/>
      <c r="AJ286" s="1253"/>
    </row>
    <row r="287" spans="1:36" s="1263" customFormat="1">
      <c r="A287" s="743">
        <v>2025</v>
      </c>
      <c r="B287" s="1260"/>
      <c r="C287" s="478"/>
      <c r="D287" s="478"/>
      <c r="E287" s="478"/>
      <c r="F287" s="478"/>
      <c r="G287" s="1271"/>
      <c r="H287" s="1271"/>
      <c r="I287" s="1271"/>
      <c r="J287" s="1271"/>
      <c r="K287" s="1260"/>
      <c r="L287" s="478"/>
      <c r="M287" s="1260"/>
      <c r="N287" s="478"/>
      <c r="O287" s="1260"/>
      <c r="P287" s="478"/>
      <c r="Q287" s="1253"/>
      <c r="R287" s="1253"/>
      <c r="S287" s="1253"/>
      <c r="T287" s="1253"/>
      <c r="U287" s="1253"/>
      <c r="V287" s="1253"/>
      <c r="W287" s="1253"/>
      <c r="X287" s="1253"/>
      <c r="Y287" s="1253"/>
      <c r="Z287" s="1253"/>
      <c r="AA287" s="1253"/>
      <c r="AB287" s="1253"/>
      <c r="AC287" s="1253"/>
      <c r="AD287" s="1253"/>
      <c r="AE287" s="1253"/>
      <c r="AF287" s="1253"/>
      <c r="AG287" s="1253"/>
      <c r="AH287" s="1253"/>
      <c r="AI287" s="1253"/>
      <c r="AJ287" s="1253"/>
    </row>
    <row r="288" spans="1:36" s="1263" customFormat="1">
      <c r="A288" s="743" t="s">
        <v>18</v>
      </c>
      <c r="B288" s="1260" t="s">
        <v>93</v>
      </c>
      <c r="C288" s="478" t="s">
        <v>93</v>
      </c>
      <c r="D288" s="478">
        <v>7.25</v>
      </c>
      <c r="E288" s="478">
        <v>7.45</v>
      </c>
      <c r="F288" s="478">
        <v>153.19999999999999</v>
      </c>
      <c r="G288" s="1271" t="s">
        <v>93</v>
      </c>
      <c r="H288" s="1271" t="s">
        <v>93</v>
      </c>
      <c r="I288" s="1271" t="s">
        <v>93</v>
      </c>
      <c r="J288" s="1271" t="s">
        <v>93</v>
      </c>
      <c r="K288" s="1260">
        <v>8.25</v>
      </c>
      <c r="L288" s="478" t="s">
        <v>93</v>
      </c>
      <c r="M288" s="1260">
        <v>6.25</v>
      </c>
      <c r="N288" s="478">
        <v>51</v>
      </c>
      <c r="O288" s="1260">
        <v>7.25</v>
      </c>
      <c r="P288" s="478">
        <v>523.25</v>
      </c>
      <c r="Q288" s="1253"/>
      <c r="R288" s="1253"/>
      <c r="S288" s="1253"/>
      <c r="T288" s="1253"/>
      <c r="U288" s="1253"/>
      <c r="V288" s="1253"/>
      <c r="W288" s="1253"/>
      <c r="X288" s="1253"/>
      <c r="Y288" s="1253"/>
      <c r="Z288" s="1253"/>
      <c r="AA288" s="1253"/>
      <c r="AB288" s="1253"/>
      <c r="AC288" s="1253"/>
      <c r="AD288" s="1253"/>
      <c r="AE288" s="1253"/>
      <c r="AF288" s="1253"/>
      <c r="AG288" s="1253"/>
      <c r="AH288" s="1253"/>
      <c r="AI288" s="1253"/>
      <c r="AJ288" s="1253"/>
    </row>
    <row r="289" spans="1:36" s="1263" customFormat="1">
      <c r="A289" s="743" t="s">
        <v>19</v>
      </c>
      <c r="B289" s="1260">
        <v>7.27</v>
      </c>
      <c r="C289" s="478">
        <v>7.8</v>
      </c>
      <c r="D289" s="478">
        <v>8.0399999999999991</v>
      </c>
      <c r="E289" s="478">
        <v>8.23</v>
      </c>
      <c r="F289" s="478">
        <v>101.2</v>
      </c>
      <c r="G289" s="1271">
        <v>7.05</v>
      </c>
      <c r="H289" s="1271">
        <v>105.6</v>
      </c>
      <c r="I289" s="1271" t="s">
        <v>93</v>
      </c>
      <c r="J289" s="1271" t="s">
        <v>93</v>
      </c>
      <c r="K289" s="1260">
        <v>8.25</v>
      </c>
      <c r="L289" s="478" t="s">
        <v>93</v>
      </c>
      <c r="M289" s="1260">
        <v>6.25</v>
      </c>
      <c r="N289" s="478">
        <v>1005.35</v>
      </c>
      <c r="O289" s="1260">
        <v>7.25</v>
      </c>
      <c r="P289" s="478">
        <v>517.59</v>
      </c>
      <c r="Q289" s="1253"/>
      <c r="R289" s="1253"/>
      <c r="S289" s="1253"/>
      <c r="T289" s="1253"/>
      <c r="U289" s="1253"/>
      <c r="V289" s="1253"/>
      <c r="W289" s="1253"/>
      <c r="X289" s="1253"/>
      <c r="Y289" s="1253"/>
      <c r="Z289" s="1253"/>
      <c r="AA289" s="1253"/>
      <c r="AB289" s="1253"/>
      <c r="AC289" s="1253"/>
      <c r="AD289" s="1253"/>
      <c r="AE289" s="1253"/>
      <c r="AF289" s="1253"/>
      <c r="AG289" s="1253"/>
      <c r="AH289" s="1253"/>
      <c r="AI289" s="1253"/>
      <c r="AJ289" s="1253"/>
    </row>
    <row r="290" spans="1:36" s="1263" customFormat="1">
      <c r="A290" s="743" t="s">
        <v>20</v>
      </c>
      <c r="B290" s="1260">
        <v>7</v>
      </c>
      <c r="C290" s="478">
        <v>7.16</v>
      </c>
      <c r="D290" s="478">
        <v>7.5</v>
      </c>
      <c r="E290" s="478">
        <v>7.71</v>
      </c>
      <c r="F290" s="478">
        <v>48.2</v>
      </c>
      <c r="G290" s="1271">
        <v>7.19</v>
      </c>
      <c r="H290" s="1271">
        <v>350</v>
      </c>
      <c r="I290" s="1271" t="s">
        <v>93</v>
      </c>
      <c r="J290" s="1271" t="s">
        <v>93</v>
      </c>
      <c r="K290" s="1260">
        <v>8.25</v>
      </c>
      <c r="L290" s="478">
        <v>787</v>
      </c>
      <c r="M290" s="1260">
        <v>6.25</v>
      </c>
      <c r="N290" s="478">
        <v>61.15</v>
      </c>
      <c r="O290" s="1260">
        <v>7.25</v>
      </c>
      <c r="P290" s="478">
        <v>497.97</v>
      </c>
      <c r="Q290" s="1253"/>
      <c r="R290" s="1253"/>
      <c r="S290" s="1253"/>
      <c r="T290" s="1253"/>
      <c r="U290" s="1253"/>
      <c r="V290" s="1253"/>
      <c r="W290" s="1253"/>
      <c r="X290" s="1253"/>
      <c r="Y290" s="1253"/>
      <c r="Z290" s="1253"/>
      <c r="AA290" s="1253"/>
      <c r="AB290" s="1253"/>
      <c r="AC290" s="1253"/>
      <c r="AD290" s="1253"/>
      <c r="AE290" s="1253"/>
      <c r="AF290" s="1253"/>
      <c r="AG290" s="1253"/>
      <c r="AH290" s="1253"/>
      <c r="AI290" s="1253"/>
      <c r="AJ290" s="1253"/>
    </row>
    <row r="291" spans="1:36" s="1263" customFormat="1">
      <c r="A291" s="743" t="s">
        <v>21</v>
      </c>
      <c r="B291" s="1260">
        <v>6.99</v>
      </c>
      <c r="C291" s="478">
        <v>7.1</v>
      </c>
      <c r="D291" s="478">
        <v>7.38</v>
      </c>
      <c r="E291" s="478">
        <v>7.7</v>
      </c>
      <c r="F291" s="478">
        <v>70.7</v>
      </c>
      <c r="G291" s="1271">
        <v>7.24</v>
      </c>
      <c r="H291" s="1271">
        <v>1049.01</v>
      </c>
      <c r="I291" s="1271" t="s">
        <v>93</v>
      </c>
      <c r="J291" s="1271" t="s">
        <v>93</v>
      </c>
      <c r="K291" s="1260">
        <v>8.25</v>
      </c>
      <c r="L291" s="478" t="s">
        <v>93</v>
      </c>
      <c r="M291" s="1260">
        <v>6.25</v>
      </c>
      <c r="N291" s="478">
        <v>605.09</v>
      </c>
      <c r="O291" s="1260">
        <v>7.25</v>
      </c>
      <c r="P291" s="478">
        <v>492.16155500000002</v>
      </c>
      <c r="Q291" s="1253"/>
      <c r="R291" s="1253"/>
      <c r="S291" s="1253"/>
      <c r="T291" s="1253"/>
      <c r="U291" s="1253"/>
      <c r="V291" s="1253"/>
      <c r="W291" s="1253"/>
      <c r="X291" s="1253"/>
      <c r="Y291" s="1253"/>
      <c r="Z291" s="1253"/>
      <c r="AA291" s="1253"/>
      <c r="AB291" s="1253"/>
      <c r="AC291" s="1253"/>
      <c r="AD291" s="1253"/>
      <c r="AE291" s="1253"/>
      <c r="AF291" s="1253"/>
      <c r="AG291" s="1253"/>
      <c r="AH291" s="1253"/>
      <c r="AI291" s="1253"/>
      <c r="AJ291" s="1253"/>
    </row>
    <row r="292" spans="1:36" s="1263" customFormat="1">
      <c r="A292" s="1974" t="s">
        <v>22</v>
      </c>
      <c r="B292" s="1264">
        <v>7.09</v>
      </c>
      <c r="C292" s="1265">
        <v>7.18</v>
      </c>
      <c r="D292" s="1265">
        <v>7.35</v>
      </c>
      <c r="E292" s="1265">
        <v>7.58</v>
      </c>
      <c r="F292" s="1265">
        <v>187.5</v>
      </c>
      <c r="G292" s="1273">
        <v>7.22</v>
      </c>
      <c r="H292" s="1273">
        <v>1700</v>
      </c>
      <c r="I292" s="1273" t="s">
        <v>93</v>
      </c>
      <c r="J292" s="1273" t="s">
        <v>93</v>
      </c>
      <c r="K292" s="1264">
        <v>8.25</v>
      </c>
      <c r="L292" s="1265" t="s">
        <v>93</v>
      </c>
      <c r="M292" s="1264">
        <v>6.25</v>
      </c>
      <c r="N292" s="1265">
        <v>381.6</v>
      </c>
      <c r="O292" s="1264">
        <v>7.25</v>
      </c>
      <c r="P292" s="1265">
        <v>486.33898699999997</v>
      </c>
      <c r="Q292" s="1253"/>
      <c r="R292" s="1253"/>
      <c r="S292" s="1253"/>
      <c r="T292" s="1253"/>
      <c r="U292" s="1253"/>
      <c r="V292" s="1253"/>
      <c r="W292" s="1253"/>
      <c r="X292" s="1253"/>
      <c r="Y292" s="1253"/>
      <c r="Z292" s="1253"/>
      <c r="AA292" s="1253"/>
      <c r="AB292" s="1253"/>
      <c r="AC292" s="1253"/>
      <c r="AD292" s="1253"/>
      <c r="AE292" s="1253"/>
      <c r="AF292" s="1253"/>
      <c r="AG292" s="1253"/>
      <c r="AH292" s="1253"/>
      <c r="AI292" s="1253"/>
      <c r="AJ292" s="1253"/>
    </row>
    <row r="293" spans="1:36" s="802" customFormat="1" ht="22.5" customHeight="1">
      <c r="A293" s="2628" t="s">
        <v>2706</v>
      </c>
      <c r="B293" s="2628"/>
      <c r="C293" s="2628"/>
      <c r="D293" s="2628"/>
      <c r="E293" s="2628"/>
      <c r="F293" s="2628"/>
      <c r="G293" s="2628"/>
      <c r="H293" s="2628"/>
      <c r="I293" s="2628"/>
      <c r="J293" s="2628"/>
      <c r="K293" s="800"/>
      <c r="L293" s="800"/>
      <c r="M293" s="800"/>
      <c r="N293" s="800"/>
      <c r="O293" s="801"/>
      <c r="P293" s="801"/>
      <c r="Q293" s="801"/>
      <c r="R293" s="801"/>
      <c r="S293" s="801"/>
      <c r="T293" s="801"/>
      <c r="U293" s="801"/>
      <c r="V293" s="801"/>
      <c r="W293" s="801"/>
      <c r="X293" s="801"/>
      <c r="Y293" s="801"/>
      <c r="Z293" s="801"/>
      <c r="AA293" s="801"/>
      <c r="AB293" s="801"/>
      <c r="AC293" s="801"/>
      <c r="AD293" s="801"/>
      <c r="AE293" s="801"/>
      <c r="AF293" s="801"/>
      <c r="AG293" s="801"/>
      <c r="AH293" s="801"/>
      <c r="AI293" s="801"/>
      <c r="AJ293" s="801"/>
    </row>
    <row r="294" spans="1:36">
      <c r="B294" s="801"/>
      <c r="C294" s="801"/>
      <c r="D294" s="801"/>
      <c r="E294" s="801"/>
      <c r="F294" s="801"/>
      <c r="G294" s="801"/>
      <c r="H294" s="801"/>
      <c r="I294" s="801"/>
      <c r="J294" s="801"/>
      <c r="K294" s="801"/>
      <c r="L294" s="801"/>
      <c r="M294" s="801"/>
      <c r="N294" s="801"/>
      <c r="O294" s="801"/>
      <c r="P294" s="801"/>
    </row>
  </sheetData>
  <mergeCells count="55">
    <mergeCell ref="A2:P2"/>
    <mergeCell ref="A3:P3"/>
    <mergeCell ref="A6:A9"/>
    <mergeCell ref="B6:F7"/>
    <mergeCell ref="G6:H6"/>
    <mergeCell ref="I6:J6"/>
    <mergeCell ref="K6:L6"/>
    <mergeCell ref="M6:N6"/>
    <mergeCell ref="O6:P7"/>
    <mergeCell ref="G7:H7"/>
    <mergeCell ref="I7:J7"/>
    <mergeCell ref="K7:L7"/>
    <mergeCell ref="M7:N7"/>
    <mergeCell ref="B8:B9"/>
    <mergeCell ref="C8:C9"/>
    <mergeCell ref="D8:D9"/>
    <mergeCell ref="E8:E9"/>
    <mergeCell ref="F8:F9"/>
    <mergeCell ref="G8:G9"/>
    <mergeCell ref="H8:H9"/>
    <mergeCell ref="O8:O9"/>
    <mergeCell ref="P8:P9"/>
    <mergeCell ref="A10:A13"/>
    <mergeCell ref="B10:F11"/>
    <mergeCell ref="G10:H10"/>
    <mergeCell ref="I10:J10"/>
    <mergeCell ref="K10:L10"/>
    <mergeCell ref="M10:N10"/>
    <mergeCell ref="O10:P11"/>
    <mergeCell ref="G11:H11"/>
    <mergeCell ref="I8:I9"/>
    <mergeCell ref="J8:J9"/>
    <mergeCell ref="K8:K9"/>
    <mergeCell ref="L8:L9"/>
    <mergeCell ref="M8:M9"/>
    <mergeCell ref="N8:N9"/>
    <mergeCell ref="I11:J11"/>
    <mergeCell ref="K11:L11"/>
    <mergeCell ref="M11:N11"/>
    <mergeCell ref="B12:B13"/>
    <mergeCell ref="C12:C13"/>
    <mergeCell ref="D12:D13"/>
    <mergeCell ref="E12:E13"/>
    <mergeCell ref="F12:F13"/>
    <mergeCell ref="G12:G13"/>
    <mergeCell ref="H12:H13"/>
    <mergeCell ref="O12:O13"/>
    <mergeCell ref="P12:P13"/>
    <mergeCell ref="A293:J293"/>
    <mergeCell ref="I12:I13"/>
    <mergeCell ref="J12:J13"/>
    <mergeCell ref="K12:K13"/>
    <mergeCell ref="L12:L13"/>
    <mergeCell ref="M12:M13"/>
    <mergeCell ref="N12:N13"/>
  </mergeCells>
  <phoneticPr fontId="352" type="noConversion"/>
  <printOptions horizontalCentered="1"/>
  <pageMargins left="0.23622047244094491" right="0.27559055118110237" top="0.23622047244094491" bottom="0.23622047244094491" header="0.23622047244094491" footer="0.27559055118110237"/>
  <pageSetup paperSize="9" scale="54"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6">
    <tabColor rgb="FF92D050"/>
  </sheetPr>
  <dimension ref="A2:CD763"/>
  <sheetViews>
    <sheetView view="pageBreakPreview" topLeftCell="B1" zoomScale="85" zoomScaleSheetLayoutView="85" workbookViewId="0">
      <pane ySplit="11" topLeftCell="A724" activePane="bottomLeft" state="frozen"/>
      <selection activeCell="B39" sqref="B39"/>
      <selection pane="bottomLeft" activeCell="F775" sqref="F775"/>
    </sheetView>
  </sheetViews>
  <sheetFormatPr defaultColWidth="10.85546875" defaultRowHeight="12"/>
  <cols>
    <col min="1" max="1" width="10.85546875" style="194" hidden="1" customWidth="1"/>
    <col min="2" max="2" width="14.5703125" style="221" customWidth="1"/>
    <col min="3" max="4" width="10.85546875" style="214" customWidth="1"/>
    <col min="5" max="5" width="16" style="214" customWidth="1"/>
    <col min="6" max="30" width="10.85546875" style="214" customWidth="1"/>
    <col min="31" max="31" width="14.5703125" style="221" customWidth="1"/>
    <col min="32" max="79" width="10.85546875" style="194"/>
    <col min="80" max="80" width="0" style="194" hidden="1" customWidth="1"/>
    <col min="81" max="16384" width="10.85546875" style="194"/>
  </cols>
  <sheetData>
    <row r="2" spans="2:82" s="336" customFormat="1" ht="16.5" customHeight="1">
      <c r="B2" s="2656" t="s">
        <v>3319</v>
      </c>
      <c r="C2" s="2656"/>
      <c r="D2" s="2656"/>
      <c r="E2" s="2656"/>
      <c r="F2" s="2656"/>
      <c r="G2" s="2656"/>
      <c r="H2" s="2656"/>
      <c r="I2" s="2656"/>
      <c r="J2" s="2656"/>
      <c r="K2" s="2656"/>
      <c r="L2" s="2656"/>
      <c r="M2" s="2656"/>
      <c r="N2" s="2656"/>
      <c r="O2" s="2656"/>
      <c r="P2" s="2656"/>
      <c r="Q2" s="2656"/>
      <c r="R2" s="2656"/>
      <c r="S2" s="2656"/>
      <c r="T2" s="2656"/>
      <c r="U2" s="2656"/>
      <c r="V2" s="2656"/>
      <c r="W2" s="2656"/>
      <c r="X2" s="2656"/>
      <c r="Y2" s="2656"/>
      <c r="Z2" s="2656"/>
      <c r="AA2" s="2656"/>
      <c r="AB2" s="2656"/>
      <c r="AC2" s="2656"/>
      <c r="AD2" s="2656"/>
      <c r="AE2" s="2656"/>
    </row>
    <row r="3" spans="2:82" s="336" customFormat="1" ht="24" customHeight="1">
      <c r="B3" s="2657" t="s">
        <v>3320</v>
      </c>
      <c r="C3" s="2657"/>
      <c r="D3" s="2657"/>
      <c r="E3" s="2657"/>
      <c r="F3" s="2657"/>
      <c r="G3" s="2657"/>
      <c r="H3" s="2657"/>
      <c r="I3" s="2657"/>
      <c r="J3" s="2657"/>
      <c r="K3" s="2657"/>
      <c r="L3" s="2657"/>
      <c r="M3" s="2657"/>
      <c r="N3" s="2657"/>
      <c r="O3" s="2657"/>
      <c r="P3" s="2657"/>
      <c r="Q3" s="2657"/>
      <c r="R3" s="2657"/>
      <c r="S3" s="2657"/>
      <c r="T3" s="2657"/>
      <c r="U3" s="2657"/>
      <c r="V3" s="2657"/>
      <c r="W3" s="2657"/>
      <c r="X3" s="2657"/>
      <c r="Y3" s="2657"/>
      <c r="Z3" s="2657"/>
      <c r="AA3" s="2657"/>
      <c r="AB3" s="2657"/>
      <c r="AC3" s="2657"/>
      <c r="AD3" s="2657"/>
      <c r="AE3" s="2657"/>
    </row>
    <row r="4" spans="2:82" s="336" customFormat="1" ht="11.25" customHeight="1">
      <c r="B4" s="545"/>
      <c r="C4" s="545"/>
      <c r="D4" s="545"/>
      <c r="E4" s="545"/>
      <c r="F4" s="545"/>
      <c r="G4" s="545"/>
      <c r="H4" s="545"/>
      <c r="I4" s="545"/>
      <c r="J4" s="545"/>
      <c r="K4" s="545"/>
      <c r="L4" s="545"/>
      <c r="M4" s="545"/>
      <c r="N4" s="545"/>
      <c r="O4" s="545"/>
      <c r="P4" s="545"/>
      <c r="Q4" s="545"/>
      <c r="R4" s="545"/>
      <c r="S4" s="545"/>
      <c r="T4" s="545"/>
      <c r="U4" s="545"/>
      <c r="V4" s="545"/>
      <c r="W4" s="545"/>
      <c r="X4" s="545"/>
      <c r="Y4" s="545"/>
      <c r="Z4" s="545"/>
      <c r="AA4" s="545"/>
      <c r="AB4" s="545"/>
      <c r="AC4" s="545"/>
      <c r="AD4" s="545"/>
      <c r="AE4" s="545"/>
    </row>
    <row r="5" spans="2:82" s="336" customFormat="1" ht="11.25" customHeight="1" thickBot="1">
      <c r="B5" s="523"/>
      <c r="C5" s="523"/>
      <c r="D5" s="523"/>
      <c r="E5" s="523"/>
      <c r="F5" s="523"/>
      <c r="G5" s="523"/>
      <c r="H5" s="523"/>
      <c r="I5" s="523"/>
      <c r="J5" s="523"/>
      <c r="K5" s="523"/>
      <c r="L5" s="523"/>
      <c r="M5" s="523"/>
      <c r="N5" s="523"/>
      <c r="O5" s="523"/>
      <c r="P5" s="523"/>
      <c r="Q5" s="523"/>
      <c r="R5" s="523"/>
      <c r="S5" s="523"/>
      <c r="T5" s="523"/>
      <c r="U5" s="523"/>
      <c r="V5" s="523"/>
      <c r="W5" s="523"/>
      <c r="X5" s="523"/>
      <c r="Y5" s="523"/>
      <c r="Z5" s="523"/>
      <c r="AA5" s="523"/>
      <c r="AB5" s="523"/>
      <c r="AC5" s="523"/>
      <c r="AD5" s="523"/>
      <c r="AE5" s="523"/>
    </row>
    <row r="6" spans="2:82" thickBot="1">
      <c r="B6" s="2658" t="s">
        <v>182</v>
      </c>
      <c r="C6" s="2647" t="s">
        <v>3016</v>
      </c>
      <c r="D6" s="2650"/>
      <c r="E6" s="2650"/>
      <c r="F6" s="2650"/>
      <c r="G6" s="2650"/>
      <c r="H6" s="2650"/>
      <c r="I6" s="2650"/>
      <c r="J6" s="2650"/>
      <c r="K6" s="2650"/>
      <c r="L6" s="2651"/>
      <c r="M6" s="2647" t="s">
        <v>297</v>
      </c>
      <c r="N6" s="2650"/>
      <c r="O6" s="2650"/>
      <c r="P6" s="2650"/>
      <c r="Q6" s="2650"/>
      <c r="R6" s="2650"/>
      <c r="S6" s="2650"/>
      <c r="T6" s="2650"/>
      <c r="U6" s="2650"/>
      <c r="V6" s="2650"/>
      <c r="W6" s="2650"/>
      <c r="X6" s="2651"/>
      <c r="Y6" s="2647" t="s">
        <v>298</v>
      </c>
      <c r="Z6" s="2650"/>
      <c r="AA6" s="2650"/>
      <c r="AB6" s="2650"/>
      <c r="AC6" s="2650"/>
      <c r="AD6" s="2651"/>
      <c r="AE6" s="2658" t="s">
        <v>289</v>
      </c>
    </row>
    <row r="7" spans="2:82" ht="11.25">
      <c r="B7" s="2659"/>
      <c r="C7" s="584" t="s">
        <v>299</v>
      </c>
      <c r="D7" s="585" t="s">
        <v>300</v>
      </c>
      <c r="E7" s="585" t="s">
        <v>301</v>
      </c>
      <c r="F7" s="585" t="s">
        <v>302</v>
      </c>
      <c r="G7" s="585" t="s">
        <v>303</v>
      </c>
      <c r="H7" s="585" t="s">
        <v>304</v>
      </c>
      <c r="I7" s="585" t="s">
        <v>305</v>
      </c>
      <c r="J7" s="585" t="s">
        <v>306</v>
      </c>
      <c r="K7" s="585" t="s">
        <v>307</v>
      </c>
      <c r="L7" s="586" t="s">
        <v>308</v>
      </c>
      <c r="M7" s="584" t="s">
        <v>299</v>
      </c>
      <c r="N7" s="585" t="s">
        <v>300</v>
      </c>
      <c r="O7" s="585" t="s">
        <v>301</v>
      </c>
      <c r="P7" s="585" t="s">
        <v>302</v>
      </c>
      <c r="Q7" s="585" t="s">
        <v>303</v>
      </c>
      <c r="R7" s="585" t="s">
        <v>304</v>
      </c>
      <c r="S7" s="585" t="s">
        <v>305</v>
      </c>
      <c r="T7" s="585" t="s">
        <v>306</v>
      </c>
      <c r="U7" s="585" t="s">
        <v>307</v>
      </c>
      <c r="V7" s="585" t="s">
        <v>309</v>
      </c>
      <c r="W7" s="587" t="s">
        <v>308</v>
      </c>
      <c r="X7" s="588" t="s">
        <v>310</v>
      </c>
      <c r="Y7" s="584" t="s">
        <v>299</v>
      </c>
      <c r="Z7" s="585">
        <v>30</v>
      </c>
      <c r="AA7" s="585" t="s">
        <v>311</v>
      </c>
      <c r="AB7" s="585" t="s">
        <v>312</v>
      </c>
      <c r="AC7" s="585" t="s">
        <v>313</v>
      </c>
      <c r="AD7" s="586" t="s">
        <v>314</v>
      </c>
      <c r="AE7" s="2659"/>
    </row>
    <row r="8" spans="2:82" ht="14.25" customHeight="1" thickBot="1">
      <c r="B8" s="2659"/>
      <c r="C8" s="589" t="s">
        <v>315</v>
      </c>
      <c r="D8" s="590" t="s">
        <v>316</v>
      </c>
      <c r="E8" s="590" t="s">
        <v>316</v>
      </c>
      <c r="F8" s="590" t="s">
        <v>317</v>
      </c>
      <c r="G8" s="590" t="s">
        <v>318</v>
      </c>
      <c r="H8" s="590" t="s">
        <v>319</v>
      </c>
      <c r="I8" s="590" t="s">
        <v>320</v>
      </c>
      <c r="J8" s="590" t="s">
        <v>321</v>
      </c>
      <c r="K8" s="590" t="s">
        <v>322</v>
      </c>
      <c r="L8" s="591" t="s">
        <v>323</v>
      </c>
      <c r="M8" s="589" t="s">
        <v>315</v>
      </c>
      <c r="N8" s="590" t="s">
        <v>316</v>
      </c>
      <c r="O8" s="590" t="s">
        <v>316</v>
      </c>
      <c r="P8" s="590" t="s">
        <v>317</v>
      </c>
      <c r="Q8" s="590" t="s">
        <v>318</v>
      </c>
      <c r="R8" s="590" t="s">
        <v>319</v>
      </c>
      <c r="S8" s="590" t="s">
        <v>320</v>
      </c>
      <c r="T8" s="590" t="s">
        <v>321</v>
      </c>
      <c r="U8" s="590" t="s">
        <v>324</v>
      </c>
      <c r="V8" s="590" t="s">
        <v>322</v>
      </c>
      <c r="W8" s="592" t="s">
        <v>325</v>
      </c>
      <c r="X8" s="588" t="s">
        <v>323</v>
      </c>
      <c r="Y8" s="589" t="s">
        <v>315</v>
      </c>
      <c r="Z8" s="590" t="s">
        <v>326</v>
      </c>
      <c r="AA8" s="590" t="s">
        <v>327</v>
      </c>
      <c r="AB8" s="590" t="s">
        <v>327</v>
      </c>
      <c r="AC8" s="590" t="s">
        <v>327</v>
      </c>
      <c r="AD8" s="591" t="s">
        <v>328</v>
      </c>
      <c r="AE8" s="2659"/>
      <c r="CC8" s="299"/>
      <c r="CD8" s="305"/>
    </row>
    <row r="9" spans="2:82" ht="12" customHeight="1" thickBot="1">
      <c r="B9" s="2659"/>
      <c r="C9" s="2647" t="s">
        <v>3017</v>
      </c>
      <c r="D9" s="2650"/>
      <c r="E9" s="2650"/>
      <c r="F9" s="2650"/>
      <c r="G9" s="2650"/>
      <c r="H9" s="2650"/>
      <c r="I9" s="2650"/>
      <c r="J9" s="2650"/>
      <c r="K9" s="2650"/>
      <c r="L9" s="2651"/>
      <c r="M9" s="2647" t="s">
        <v>1185</v>
      </c>
      <c r="N9" s="2648"/>
      <c r="O9" s="2648"/>
      <c r="P9" s="2648"/>
      <c r="Q9" s="2648"/>
      <c r="R9" s="2648"/>
      <c r="S9" s="2648"/>
      <c r="T9" s="2648"/>
      <c r="U9" s="2648"/>
      <c r="V9" s="2648"/>
      <c r="W9" s="2648"/>
      <c r="X9" s="2649"/>
      <c r="Y9" s="2647" t="s">
        <v>1186</v>
      </c>
      <c r="Z9" s="2650"/>
      <c r="AA9" s="2650"/>
      <c r="AB9" s="2650"/>
      <c r="AC9" s="2650"/>
      <c r="AD9" s="2651"/>
      <c r="AE9" s="2659"/>
      <c r="CD9" s="279"/>
    </row>
    <row r="10" spans="2:82" ht="17.25" customHeight="1">
      <c r="B10" s="2659"/>
      <c r="C10" s="2652" t="s">
        <v>2887</v>
      </c>
      <c r="D10" s="593" t="s">
        <v>329</v>
      </c>
      <c r="E10" s="2654" t="s">
        <v>330</v>
      </c>
      <c r="F10" s="593" t="s">
        <v>331</v>
      </c>
      <c r="G10" s="593" t="s">
        <v>332</v>
      </c>
      <c r="H10" s="593" t="s">
        <v>333</v>
      </c>
      <c r="I10" s="593" t="s">
        <v>334</v>
      </c>
      <c r="J10" s="593" t="s">
        <v>335</v>
      </c>
      <c r="K10" s="593" t="s">
        <v>336</v>
      </c>
      <c r="L10" s="594" t="s">
        <v>339</v>
      </c>
      <c r="M10" s="2652" t="s">
        <v>2887</v>
      </c>
      <c r="N10" s="593" t="s">
        <v>329</v>
      </c>
      <c r="O10" s="2654" t="s">
        <v>330</v>
      </c>
      <c r="P10" s="593" t="s">
        <v>331</v>
      </c>
      <c r="Q10" s="593" t="s">
        <v>332</v>
      </c>
      <c r="R10" s="593" t="s">
        <v>333</v>
      </c>
      <c r="S10" s="593" t="s">
        <v>334</v>
      </c>
      <c r="T10" s="593" t="s">
        <v>335</v>
      </c>
      <c r="U10" s="593" t="s">
        <v>336</v>
      </c>
      <c r="V10" s="593" t="s">
        <v>337</v>
      </c>
      <c r="W10" s="593" t="s">
        <v>338</v>
      </c>
      <c r="X10" s="595" t="s">
        <v>339</v>
      </c>
      <c r="Y10" s="2652" t="s">
        <v>2887</v>
      </c>
      <c r="Z10" s="593" t="s">
        <v>340</v>
      </c>
      <c r="AA10" s="593" t="s">
        <v>311</v>
      </c>
      <c r="AB10" s="593" t="s">
        <v>312</v>
      </c>
      <c r="AC10" s="593" t="s">
        <v>313</v>
      </c>
      <c r="AD10" s="594" t="s">
        <v>339</v>
      </c>
      <c r="AE10" s="2659"/>
      <c r="CD10" s="279"/>
    </row>
    <row r="11" spans="2:82" ht="16.899999999999999" customHeight="1" thickBot="1">
      <c r="B11" s="2660"/>
      <c r="C11" s="2653"/>
      <c r="D11" s="596" t="s">
        <v>341</v>
      </c>
      <c r="E11" s="2655"/>
      <c r="F11" s="596" t="s">
        <v>342</v>
      </c>
      <c r="G11" s="596" t="s">
        <v>343</v>
      </c>
      <c r="H11" s="596" t="s">
        <v>344</v>
      </c>
      <c r="I11" s="596" t="s">
        <v>345</v>
      </c>
      <c r="J11" s="596" t="s">
        <v>346</v>
      </c>
      <c r="K11" s="596" t="s">
        <v>347</v>
      </c>
      <c r="L11" s="597" t="s">
        <v>348</v>
      </c>
      <c r="M11" s="2653"/>
      <c r="N11" s="596" t="s">
        <v>341</v>
      </c>
      <c r="O11" s="2655"/>
      <c r="P11" s="596" t="s">
        <v>342</v>
      </c>
      <c r="Q11" s="596" t="s">
        <v>343</v>
      </c>
      <c r="R11" s="596" t="s">
        <v>344</v>
      </c>
      <c r="S11" s="596" t="s">
        <v>345</v>
      </c>
      <c r="T11" s="596" t="s">
        <v>346</v>
      </c>
      <c r="U11" s="596" t="s">
        <v>349</v>
      </c>
      <c r="V11" s="596" t="s">
        <v>347</v>
      </c>
      <c r="W11" s="596" t="s">
        <v>350</v>
      </c>
      <c r="X11" s="598" t="s">
        <v>351</v>
      </c>
      <c r="Y11" s="2653"/>
      <c r="Z11" s="596" t="s">
        <v>352</v>
      </c>
      <c r="AA11" s="596" t="s">
        <v>353</v>
      </c>
      <c r="AB11" s="596" t="s">
        <v>353</v>
      </c>
      <c r="AC11" s="596" t="s">
        <v>353</v>
      </c>
      <c r="AD11" s="597" t="s">
        <v>354</v>
      </c>
      <c r="AE11" s="2660"/>
      <c r="CD11" s="279"/>
    </row>
    <row r="12" spans="2:82" ht="3" customHeight="1">
      <c r="B12" s="197"/>
      <c r="C12" s="198"/>
      <c r="D12" s="199"/>
      <c r="E12" s="199"/>
      <c r="F12" s="199"/>
      <c r="G12" s="199"/>
      <c r="H12" s="199"/>
      <c r="I12" s="199"/>
      <c r="J12" s="199"/>
      <c r="K12" s="199"/>
      <c r="L12" s="195"/>
      <c r="M12" s="200"/>
      <c r="N12" s="201"/>
      <c r="O12" s="201"/>
      <c r="P12" s="201"/>
      <c r="Q12" s="201"/>
      <c r="R12" s="201"/>
      <c r="S12" s="201"/>
      <c r="T12" s="201"/>
      <c r="U12" s="201"/>
      <c r="V12" s="201"/>
      <c r="W12" s="201"/>
      <c r="X12" s="202"/>
      <c r="Y12" s="198"/>
      <c r="Z12" s="199"/>
      <c r="AA12" s="199"/>
      <c r="AB12" s="199"/>
      <c r="AC12" s="199"/>
      <c r="AD12" s="195"/>
      <c r="AE12" s="197"/>
      <c r="CD12" s="279"/>
    </row>
    <row r="13" spans="2:82" ht="11.1" hidden="1" customHeight="1">
      <c r="B13" s="197" t="s">
        <v>1071</v>
      </c>
      <c r="C13" s="203"/>
      <c r="D13" s="204"/>
      <c r="E13" s="204"/>
      <c r="F13" s="204"/>
      <c r="G13" s="204"/>
      <c r="H13" s="204"/>
      <c r="I13" s="204"/>
      <c r="J13" s="204"/>
      <c r="K13" s="204"/>
      <c r="L13" s="205"/>
      <c r="M13" s="206"/>
      <c r="N13" s="204"/>
      <c r="O13" s="204"/>
      <c r="P13" s="204"/>
      <c r="Q13" s="204"/>
      <c r="R13" s="204"/>
      <c r="S13" s="204"/>
      <c r="T13" s="204"/>
      <c r="U13" s="204"/>
      <c r="V13" s="204"/>
      <c r="W13" s="204"/>
      <c r="X13" s="207"/>
      <c r="Y13" s="208"/>
      <c r="Z13" s="209"/>
      <c r="AA13" s="209"/>
      <c r="AB13" s="209"/>
      <c r="AC13" s="209"/>
      <c r="AD13" s="202"/>
      <c r="AE13" s="197" t="s">
        <v>1071</v>
      </c>
      <c r="CD13" s="279"/>
    </row>
    <row r="14" spans="2:82" ht="11.1" hidden="1" customHeight="1">
      <c r="B14" s="210" t="s">
        <v>187</v>
      </c>
      <c r="C14" s="208">
        <v>8.2799999999999994</v>
      </c>
      <c r="D14" s="209">
        <v>7.6</v>
      </c>
      <c r="E14" s="209">
        <v>9.0299999999999994</v>
      </c>
      <c r="F14" s="209">
        <v>5</v>
      </c>
      <c r="G14" s="209">
        <v>7</v>
      </c>
      <c r="H14" s="209">
        <v>5.46</v>
      </c>
      <c r="I14" s="209">
        <v>8.25</v>
      </c>
      <c r="J14" s="209">
        <v>12.64</v>
      </c>
      <c r="K14" s="209">
        <v>7.53</v>
      </c>
      <c r="L14" s="202" t="s">
        <v>93</v>
      </c>
      <c r="M14" s="208">
        <v>15.59</v>
      </c>
      <c r="N14" s="209">
        <v>16.02</v>
      </c>
      <c r="O14" s="209">
        <v>14.77</v>
      </c>
      <c r="P14" s="209">
        <v>21.89</v>
      </c>
      <c r="Q14" s="209">
        <v>16.77</v>
      </c>
      <c r="R14" s="209">
        <v>15.81</v>
      </c>
      <c r="S14" s="209">
        <v>17.53</v>
      </c>
      <c r="T14" s="209">
        <v>16.3</v>
      </c>
      <c r="U14" s="209">
        <v>12.8</v>
      </c>
      <c r="V14" s="209">
        <v>12.99</v>
      </c>
      <c r="W14" s="209">
        <v>25</v>
      </c>
      <c r="X14" s="202" t="s">
        <v>355</v>
      </c>
      <c r="Y14" s="208"/>
      <c r="Z14" s="209" t="s">
        <v>93</v>
      </c>
      <c r="AA14" s="209" t="s">
        <v>93</v>
      </c>
      <c r="AB14" s="209" t="s">
        <v>93</v>
      </c>
      <c r="AC14" s="209">
        <v>18</v>
      </c>
      <c r="AD14" s="202">
        <v>20</v>
      </c>
      <c r="AE14" s="210" t="s">
        <v>356</v>
      </c>
      <c r="CD14" s="279"/>
    </row>
    <row r="15" spans="2:82" ht="11.1" hidden="1" customHeight="1">
      <c r="B15" s="210" t="s">
        <v>357</v>
      </c>
      <c r="C15" s="208">
        <v>9.34</v>
      </c>
      <c r="D15" s="209">
        <v>4.59</v>
      </c>
      <c r="E15" s="209">
        <v>11.75</v>
      </c>
      <c r="F15" s="209">
        <v>3.8</v>
      </c>
      <c r="G15" s="209">
        <v>5.0599999999999996</v>
      </c>
      <c r="H15" s="209">
        <v>6.18</v>
      </c>
      <c r="I15" s="209">
        <v>5.77</v>
      </c>
      <c r="J15" s="209">
        <v>10.050000000000001</v>
      </c>
      <c r="K15" s="209">
        <v>11.34</v>
      </c>
      <c r="L15" s="202">
        <v>9.94</v>
      </c>
      <c r="M15" s="208">
        <v>12.79</v>
      </c>
      <c r="N15" s="209">
        <v>10.97</v>
      </c>
      <c r="O15" s="209">
        <v>21.43</v>
      </c>
      <c r="P15" s="209">
        <v>3.7</v>
      </c>
      <c r="Q15" s="209">
        <v>9.44</v>
      </c>
      <c r="R15" s="209">
        <v>20.84</v>
      </c>
      <c r="S15" s="209">
        <v>22.27</v>
      </c>
      <c r="T15" s="209">
        <v>19.63</v>
      </c>
      <c r="U15" s="209">
        <v>15.73</v>
      </c>
      <c r="V15" s="209">
        <v>12.53</v>
      </c>
      <c r="W15" s="209">
        <v>8.15</v>
      </c>
      <c r="X15" s="202" t="s">
        <v>355</v>
      </c>
      <c r="Y15" s="208"/>
      <c r="Z15" s="209">
        <v>2.91</v>
      </c>
      <c r="AA15" s="209">
        <v>17.190000000000001</v>
      </c>
      <c r="AB15" s="209">
        <v>15.21</v>
      </c>
      <c r="AC15" s="209">
        <v>14.38</v>
      </c>
      <c r="AD15" s="202" t="s">
        <v>93</v>
      </c>
      <c r="AE15" s="210" t="s">
        <v>213</v>
      </c>
      <c r="CD15" s="279"/>
    </row>
    <row r="16" spans="2:82" ht="14.1" hidden="1" customHeight="1">
      <c r="B16" s="210"/>
      <c r="C16" s="208"/>
      <c r="D16" s="209"/>
      <c r="E16" s="209"/>
      <c r="F16" s="209"/>
      <c r="G16" s="209"/>
      <c r="H16" s="209"/>
      <c r="I16" s="209"/>
      <c r="J16" s="209"/>
      <c r="K16" s="209"/>
      <c r="L16" s="202"/>
      <c r="M16" s="208"/>
      <c r="N16" s="209"/>
      <c r="O16" s="209"/>
      <c r="P16" s="209"/>
      <c r="Q16" s="209"/>
      <c r="R16" s="209"/>
      <c r="S16" s="209"/>
      <c r="T16" s="209"/>
      <c r="U16" s="209"/>
      <c r="V16" s="209"/>
      <c r="W16" s="209"/>
      <c r="X16" s="202"/>
      <c r="Y16" s="208"/>
      <c r="Z16" s="209"/>
      <c r="AA16" s="209"/>
      <c r="AB16" s="209"/>
      <c r="AC16" s="209"/>
      <c r="AD16" s="202"/>
      <c r="AE16" s="210"/>
      <c r="CD16" s="279"/>
    </row>
    <row r="17" spans="2:82" ht="11.1" hidden="1" customHeight="1">
      <c r="B17" s="197" t="s">
        <v>986</v>
      </c>
      <c r="C17" s="208"/>
      <c r="D17" s="209"/>
      <c r="E17" s="209"/>
      <c r="F17" s="209"/>
      <c r="G17" s="209"/>
      <c r="H17" s="209"/>
      <c r="I17" s="209"/>
      <c r="J17" s="209"/>
      <c r="K17" s="209"/>
      <c r="L17" s="202"/>
      <c r="M17" s="208"/>
      <c r="N17" s="209"/>
      <c r="O17" s="209"/>
      <c r="P17" s="209"/>
      <c r="Q17" s="209"/>
      <c r="R17" s="209"/>
      <c r="S17" s="209"/>
      <c r="T17" s="209"/>
      <c r="U17" s="209"/>
      <c r="V17" s="209"/>
      <c r="W17" s="209"/>
      <c r="X17" s="202"/>
      <c r="Y17" s="208"/>
      <c r="Z17" s="209"/>
      <c r="AA17" s="209"/>
      <c r="AB17" s="209"/>
      <c r="AC17" s="209"/>
      <c r="AD17" s="202"/>
      <c r="AE17" s="197" t="s">
        <v>986</v>
      </c>
      <c r="CD17" s="279"/>
    </row>
    <row r="18" spans="2:82" ht="11.1" hidden="1" customHeight="1">
      <c r="B18" s="210" t="s">
        <v>187</v>
      </c>
      <c r="C18" s="208">
        <v>6.5</v>
      </c>
      <c r="D18" s="209">
        <v>5.66</v>
      </c>
      <c r="E18" s="209">
        <v>9.31</v>
      </c>
      <c r="F18" s="209">
        <v>2</v>
      </c>
      <c r="G18" s="209">
        <v>5.89</v>
      </c>
      <c r="H18" s="209">
        <v>5.46</v>
      </c>
      <c r="I18" s="209">
        <v>11</v>
      </c>
      <c r="J18" s="209">
        <v>8.5399999999999991</v>
      </c>
      <c r="K18" s="209">
        <v>6.83</v>
      </c>
      <c r="L18" s="202" t="s">
        <v>93</v>
      </c>
      <c r="M18" s="208">
        <v>14.91</v>
      </c>
      <c r="N18" s="209">
        <v>15.04</v>
      </c>
      <c r="O18" s="209">
        <v>14.63</v>
      </c>
      <c r="P18" s="209">
        <v>23.36</v>
      </c>
      <c r="Q18" s="209">
        <v>19.54</v>
      </c>
      <c r="R18" s="209">
        <v>19.170000000000002</v>
      </c>
      <c r="S18" s="209">
        <v>16.079999999999998</v>
      </c>
      <c r="T18" s="209">
        <v>15.46</v>
      </c>
      <c r="U18" s="209">
        <v>13.17</v>
      </c>
      <c r="V18" s="209">
        <v>7.81</v>
      </c>
      <c r="W18" s="209">
        <v>25</v>
      </c>
      <c r="X18" s="202" t="s">
        <v>355</v>
      </c>
      <c r="Y18" s="208">
        <v>18.62</v>
      </c>
      <c r="Z18" s="209" t="s">
        <v>93</v>
      </c>
      <c r="AA18" s="209" t="s">
        <v>93</v>
      </c>
      <c r="AB18" s="209">
        <v>8</v>
      </c>
      <c r="AC18" s="209">
        <v>18</v>
      </c>
      <c r="AD18" s="202">
        <v>20</v>
      </c>
      <c r="AE18" s="210" t="s">
        <v>356</v>
      </c>
      <c r="CD18" s="279"/>
    </row>
    <row r="19" spans="2:82" ht="11.1" hidden="1" customHeight="1">
      <c r="B19" s="210" t="s">
        <v>357</v>
      </c>
      <c r="C19" s="208">
        <v>10.08</v>
      </c>
      <c r="D19" s="209">
        <v>5.84</v>
      </c>
      <c r="E19" s="209">
        <v>11.11</v>
      </c>
      <c r="F19" s="209">
        <v>7.37</v>
      </c>
      <c r="G19" s="209">
        <v>4.59</v>
      </c>
      <c r="H19" s="209">
        <v>6.33</v>
      </c>
      <c r="I19" s="209">
        <v>6.32</v>
      </c>
      <c r="J19" s="209">
        <v>8.91</v>
      </c>
      <c r="K19" s="209">
        <v>11.84</v>
      </c>
      <c r="L19" s="202">
        <v>14.87</v>
      </c>
      <c r="M19" s="208">
        <v>18.43</v>
      </c>
      <c r="N19" s="209">
        <v>17.05</v>
      </c>
      <c r="O19" s="209">
        <v>22.24</v>
      </c>
      <c r="P19" s="209">
        <v>17.89</v>
      </c>
      <c r="Q19" s="209">
        <v>18.59</v>
      </c>
      <c r="R19" s="209">
        <v>20.61</v>
      </c>
      <c r="S19" s="209">
        <v>20.010000000000002</v>
      </c>
      <c r="T19" s="209">
        <v>19.239999999999998</v>
      </c>
      <c r="U19" s="209">
        <v>19.53</v>
      </c>
      <c r="V19" s="209">
        <v>12.89</v>
      </c>
      <c r="W19" s="209">
        <v>12.87</v>
      </c>
      <c r="X19" s="202" t="s">
        <v>355</v>
      </c>
      <c r="Y19" s="208">
        <v>16.920000000000002</v>
      </c>
      <c r="Z19" s="209" t="s">
        <v>180</v>
      </c>
      <c r="AA19" s="209">
        <v>18.18</v>
      </c>
      <c r="AB19" s="209">
        <v>18</v>
      </c>
      <c r="AC19" s="209">
        <v>15.49</v>
      </c>
      <c r="AD19" s="202" t="s">
        <v>93</v>
      </c>
      <c r="AE19" s="210" t="s">
        <v>213</v>
      </c>
      <c r="CD19" s="279"/>
    </row>
    <row r="20" spans="2:82" ht="12.6" hidden="1" customHeight="1">
      <c r="B20" s="210"/>
      <c r="C20" s="208"/>
      <c r="D20" s="209"/>
      <c r="E20" s="209"/>
      <c r="F20" s="209"/>
      <c r="G20" s="209"/>
      <c r="H20" s="209"/>
      <c r="I20" s="209"/>
      <c r="J20" s="209"/>
      <c r="K20" s="209"/>
      <c r="L20" s="202"/>
      <c r="M20" s="208"/>
      <c r="N20" s="209"/>
      <c r="O20" s="209"/>
      <c r="P20" s="209"/>
      <c r="Q20" s="209"/>
      <c r="R20" s="209"/>
      <c r="S20" s="209"/>
      <c r="T20" s="209"/>
      <c r="U20" s="209"/>
      <c r="V20" s="209"/>
      <c r="W20" s="209"/>
      <c r="X20" s="202"/>
      <c r="Y20" s="208"/>
      <c r="Z20" s="209"/>
      <c r="AA20" s="209"/>
      <c r="AB20" s="209"/>
      <c r="AC20" s="209"/>
      <c r="AD20" s="202"/>
      <c r="AE20" s="210"/>
      <c r="CD20" s="279"/>
    </row>
    <row r="21" spans="2:82" ht="11.1" hidden="1" customHeight="1">
      <c r="B21" s="197" t="s">
        <v>1072</v>
      </c>
      <c r="C21" s="208"/>
      <c r="D21" s="209"/>
      <c r="E21" s="209"/>
      <c r="F21" s="209"/>
      <c r="G21" s="209"/>
      <c r="H21" s="209"/>
      <c r="I21" s="209"/>
      <c r="J21" s="209"/>
      <c r="K21" s="209"/>
      <c r="L21" s="202"/>
      <c r="M21" s="208"/>
      <c r="N21" s="209"/>
      <c r="O21" s="209"/>
      <c r="P21" s="209"/>
      <c r="Q21" s="209"/>
      <c r="R21" s="209"/>
      <c r="S21" s="209"/>
      <c r="T21" s="209"/>
      <c r="U21" s="209"/>
      <c r="V21" s="209"/>
      <c r="W21" s="209"/>
      <c r="X21" s="202"/>
      <c r="Y21" s="208"/>
      <c r="Z21" s="209"/>
      <c r="AA21" s="209"/>
      <c r="AB21" s="209"/>
      <c r="AC21" s="209"/>
      <c r="AD21" s="202"/>
      <c r="AE21" s="197" t="s">
        <v>1072</v>
      </c>
      <c r="CD21" s="279"/>
    </row>
    <row r="22" spans="2:82" ht="11.1" hidden="1" customHeight="1">
      <c r="B22" s="210" t="s">
        <v>187</v>
      </c>
      <c r="C22" s="208">
        <v>6.93</v>
      </c>
      <c r="D22" s="209">
        <v>5.89</v>
      </c>
      <c r="E22" s="209">
        <v>9.61</v>
      </c>
      <c r="F22" s="209" t="s">
        <v>93</v>
      </c>
      <c r="G22" s="209">
        <v>5.0999999999999996</v>
      </c>
      <c r="H22" s="209">
        <v>5.26</v>
      </c>
      <c r="I22" s="209">
        <v>6.23</v>
      </c>
      <c r="J22" s="209">
        <v>8.5299999999999994</v>
      </c>
      <c r="K22" s="209">
        <v>7.28</v>
      </c>
      <c r="L22" s="202" t="s">
        <v>93</v>
      </c>
      <c r="M22" s="208">
        <v>15.55</v>
      </c>
      <c r="N22" s="209">
        <v>16.059999999999999</v>
      </c>
      <c r="O22" s="209">
        <v>14.22</v>
      </c>
      <c r="P22" s="209">
        <v>16.739999999999998</v>
      </c>
      <c r="Q22" s="209">
        <v>17.98</v>
      </c>
      <c r="R22" s="209">
        <v>17.78</v>
      </c>
      <c r="S22" s="209">
        <v>16.29</v>
      </c>
      <c r="T22" s="209">
        <v>16.98</v>
      </c>
      <c r="U22" s="209">
        <v>12.53</v>
      </c>
      <c r="V22" s="209">
        <v>8.32</v>
      </c>
      <c r="W22" s="209">
        <v>25</v>
      </c>
      <c r="X22" s="202" t="s">
        <v>355</v>
      </c>
      <c r="Y22" s="208">
        <v>12.15</v>
      </c>
      <c r="Z22" s="209">
        <v>14.5</v>
      </c>
      <c r="AA22" s="209">
        <v>14.05</v>
      </c>
      <c r="AB22" s="209">
        <v>11.99</v>
      </c>
      <c r="AC22" s="209">
        <v>10.94</v>
      </c>
      <c r="AD22" s="202">
        <v>19.97</v>
      </c>
      <c r="AE22" s="210" t="s">
        <v>356</v>
      </c>
      <c r="CD22" s="279"/>
    </row>
    <row r="23" spans="2:82" ht="11.1" hidden="1" customHeight="1">
      <c r="B23" s="210" t="s">
        <v>357</v>
      </c>
      <c r="C23" s="208">
        <v>9.43</v>
      </c>
      <c r="D23" s="209">
        <v>5.58</v>
      </c>
      <c r="E23" s="209">
        <v>10.53</v>
      </c>
      <c r="F23" s="209">
        <v>2.77</v>
      </c>
      <c r="G23" s="209">
        <v>4.2699999999999996</v>
      </c>
      <c r="H23" s="209">
        <v>5.77</v>
      </c>
      <c r="I23" s="209">
        <v>6.07</v>
      </c>
      <c r="J23" s="209">
        <v>8.7100000000000009</v>
      </c>
      <c r="K23" s="209">
        <v>11.31</v>
      </c>
      <c r="L23" s="202">
        <v>15</v>
      </c>
      <c r="M23" s="208">
        <v>18.96</v>
      </c>
      <c r="N23" s="209">
        <v>17.12</v>
      </c>
      <c r="O23" s="209">
        <v>22.89</v>
      </c>
      <c r="P23" s="209">
        <v>17.54</v>
      </c>
      <c r="Q23" s="209">
        <v>18.7</v>
      </c>
      <c r="R23" s="209">
        <v>21.69</v>
      </c>
      <c r="S23" s="209">
        <v>19.34</v>
      </c>
      <c r="T23" s="209">
        <v>19.52</v>
      </c>
      <c r="U23" s="209">
        <v>18.579999999999998</v>
      </c>
      <c r="V23" s="209">
        <v>16.07</v>
      </c>
      <c r="W23" s="209">
        <v>14.91</v>
      </c>
      <c r="X23" s="202" t="s">
        <v>355</v>
      </c>
      <c r="Y23" s="208">
        <v>12.24</v>
      </c>
      <c r="Z23" s="209">
        <v>8.69</v>
      </c>
      <c r="AA23" s="209">
        <v>16.8</v>
      </c>
      <c r="AB23" s="209">
        <v>10.33</v>
      </c>
      <c r="AC23" s="209">
        <v>13.26</v>
      </c>
      <c r="AD23" s="202">
        <v>15</v>
      </c>
      <c r="AE23" s="210" t="s">
        <v>213</v>
      </c>
      <c r="CD23" s="279"/>
    </row>
    <row r="24" spans="2:82" ht="14.1" hidden="1" customHeight="1">
      <c r="B24" s="197" t="s">
        <v>358</v>
      </c>
      <c r="C24" s="208"/>
      <c r="D24" s="209"/>
      <c r="E24" s="209"/>
      <c r="F24" s="209"/>
      <c r="G24" s="209"/>
      <c r="H24" s="209"/>
      <c r="I24" s="209"/>
      <c r="J24" s="209"/>
      <c r="K24" s="209"/>
      <c r="L24" s="202"/>
      <c r="M24" s="208"/>
      <c r="N24" s="209"/>
      <c r="O24" s="209"/>
      <c r="P24" s="209"/>
      <c r="Q24" s="209"/>
      <c r="R24" s="209"/>
      <c r="S24" s="209"/>
      <c r="T24" s="209"/>
      <c r="U24" s="209"/>
      <c r="V24" s="209"/>
      <c r="W24" s="209"/>
      <c r="X24" s="202"/>
      <c r="Y24" s="208"/>
      <c r="Z24" s="209"/>
      <c r="AA24" s="209"/>
      <c r="AB24" s="209"/>
      <c r="AC24" s="209"/>
      <c r="AD24" s="202"/>
      <c r="AE24" s="197" t="s">
        <v>358</v>
      </c>
      <c r="CD24" s="279"/>
    </row>
    <row r="25" spans="2:82" s="212" customFormat="1" ht="14.1" hidden="1" customHeight="1">
      <c r="B25" s="211" t="s">
        <v>187</v>
      </c>
      <c r="C25" s="208">
        <v>7.37</v>
      </c>
      <c r="D25" s="209">
        <v>6.29</v>
      </c>
      <c r="E25" s="209">
        <v>9.32</v>
      </c>
      <c r="F25" s="209">
        <v>2.93</v>
      </c>
      <c r="G25" s="209">
        <v>5.71</v>
      </c>
      <c r="H25" s="209">
        <v>5.17</v>
      </c>
      <c r="I25" s="209">
        <v>9.99</v>
      </c>
      <c r="J25" s="209">
        <v>8.25</v>
      </c>
      <c r="K25" s="209">
        <v>7.34</v>
      </c>
      <c r="L25" s="202" t="s">
        <v>93</v>
      </c>
      <c r="M25" s="208">
        <v>16.03</v>
      </c>
      <c r="N25" s="209">
        <v>16.32</v>
      </c>
      <c r="O25" s="209">
        <v>15.25</v>
      </c>
      <c r="P25" s="209">
        <v>17.96</v>
      </c>
      <c r="Q25" s="209">
        <v>19.739999999999998</v>
      </c>
      <c r="R25" s="209">
        <v>17.97</v>
      </c>
      <c r="S25" s="209">
        <v>16.46</v>
      </c>
      <c r="T25" s="209">
        <v>17.059999999999999</v>
      </c>
      <c r="U25" s="209">
        <v>14.04</v>
      </c>
      <c r="V25" s="209">
        <v>7.76</v>
      </c>
      <c r="W25" s="209">
        <v>25</v>
      </c>
      <c r="X25" s="202" t="s">
        <v>355</v>
      </c>
      <c r="Y25" s="208">
        <v>13.16</v>
      </c>
      <c r="Z25" s="209" t="s">
        <v>93</v>
      </c>
      <c r="AA25" s="209">
        <v>17.940000000000001</v>
      </c>
      <c r="AB25" s="209">
        <v>11.99</v>
      </c>
      <c r="AC25" s="209">
        <v>12.11</v>
      </c>
      <c r="AD25" s="202">
        <v>19.97</v>
      </c>
      <c r="AE25" s="210" t="s">
        <v>356</v>
      </c>
      <c r="CD25" s="309"/>
    </row>
    <row r="26" spans="2:82" ht="14.1" hidden="1" customHeight="1">
      <c r="B26" s="210" t="s">
        <v>357</v>
      </c>
      <c r="C26" s="208">
        <v>10.02</v>
      </c>
      <c r="D26" s="209">
        <v>6.47</v>
      </c>
      <c r="E26" s="209">
        <v>10.43</v>
      </c>
      <c r="F26" s="209">
        <v>1.9</v>
      </c>
      <c r="G26" s="209">
        <v>4.62</v>
      </c>
      <c r="H26" s="209">
        <v>6.06</v>
      </c>
      <c r="I26" s="209">
        <v>6.16</v>
      </c>
      <c r="J26" s="209">
        <v>8.98</v>
      </c>
      <c r="K26" s="209">
        <v>11.35</v>
      </c>
      <c r="L26" s="202">
        <v>15</v>
      </c>
      <c r="M26" s="208">
        <v>18.96</v>
      </c>
      <c r="N26" s="209">
        <v>17.39</v>
      </c>
      <c r="O26" s="209">
        <v>22.6</v>
      </c>
      <c r="P26" s="209">
        <v>17.989999999999998</v>
      </c>
      <c r="Q26" s="209">
        <v>18.7</v>
      </c>
      <c r="R26" s="209">
        <v>21.15</v>
      </c>
      <c r="S26" s="209">
        <v>18.89</v>
      </c>
      <c r="T26" s="209">
        <v>19.5</v>
      </c>
      <c r="U26" s="209">
        <v>18.670000000000002</v>
      </c>
      <c r="V26" s="209">
        <v>16.149999999999999</v>
      </c>
      <c r="W26" s="209">
        <v>14.66</v>
      </c>
      <c r="X26" s="202" t="s">
        <v>355</v>
      </c>
      <c r="Y26" s="208">
        <v>13.48</v>
      </c>
      <c r="Z26" s="209">
        <v>8.33</v>
      </c>
      <c r="AA26" s="209">
        <v>22.59</v>
      </c>
      <c r="AB26" s="209">
        <v>11.4</v>
      </c>
      <c r="AC26" s="209">
        <v>12.87</v>
      </c>
      <c r="AD26" s="202">
        <v>15</v>
      </c>
      <c r="AE26" s="210" t="s">
        <v>213</v>
      </c>
      <c r="CD26" s="279"/>
    </row>
    <row r="27" spans="2:82" ht="14.1" hidden="1" customHeight="1">
      <c r="B27" s="197" t="s">
        <v>359</v>
      </c>
      <c r="C27" s="208"/>
      <c r="D27" s="209"/>
      <c r="E27" s="209"/>
      <c r="F27" s="209"/>
      <c r="G27" s="209"/>
      <c r="H27" s="209"/>
      <c r="I27" s="209"/>
      <c r="J27" s="209"/>
      <c r="K27" s="209"/>
      <c r="L27" s="202"/>
      <c r="M27" s="208"/>
      <c r="N27" s="209"/>
      <c r="O27" s="209"/>
      <c r="P27" s="209"/>
      <c r="Q27" s="209"/>
      <c r="R27" s="209"/>
      <c r="S27" s="209"/>
      <c r="T27" s="209"/>
      <c r="U27" s="209"/>
      <c r="V27" s="209"/>
      <c r="W27" s="209"/>
      <c r="X27" s="202"/>
      <c r="Y27" s="208"/>
      <c r="Z27" s="209"/>
      <c r="AA27" s="209"/>
      <c r="AB27" s="209"/>
      <c r="AC27" s="209"/>
      <c r="AD27" s="202"/>
      <c r="AE27" s="197" t="s">
        <v>359</v>
      </c>
      <c r="CD27" s="279"/>
    </row>
    <row r="28" spans="2:82" ht="14.1" hidden="1" customHeight="1">
      <c r="B28" s="210" t="s">
        <v>187</v>
      </c>
      <c r="C28" s="208">
        <v>7.23</v>
      </c>
      <c r="D28" s="209">
        <v>6.29</v>
      </c>
      <c r="E28" s="209">
        <v>8.9499999999999993</v>
      </c>
      <c r="F28" s="209">
        <v>3</v>
      </c>
      <c r="G28" s="209">
        <v>4.96</v>
      </c>
      <c r="H28" s="209">
        <v>4.93</v>
      </c>
      <c r="I28" s="209">
        <v>9.74</v>
      </c>
      <c r="J28" s="209">
        <v>8.17</v>
      </c>
      <c r="K28" s="209">
        <v>7.17</v>
      </c>
      <c r="L28" s="202" t="s">
        <v>93</v>
      </c>
      <c r="M28" s="208">
        <v>15.34</v>
      </c>
      <c r="N28" s="209">
        <v>15.22</v>
      </c>
      <c r="O28" s="209">
        <v>15.6</v>
      </c>
      <c r="P28" s="209">
        <v>16.28</v>
      </c>
      <c r="Q28" s="209">
        <v>17.88</v>
      </c>
      <c r="R28" s="209">
        <v>18.47</v>
      </c>
      <c r="S28" s="209">
        <v>16.3</v>
      </c>
      <c r="T28" s="209">
        <v>15.67</v>
      </c>
      <c r="U28" s="209">
        <v>14.45</v>
      </c>
      <c r="V28" s="209">
        <v>7.53</v>
      </c>
      <c r="W28" s="209">
        <v>25</v>
      </c>
      <c r="X28" s="202" t="s">
        <v>355</v>
      </c>
      <c r="Y28" s="208">
        <v>14.82</v>
      </c>
      <c r="Z28" s="209" t="s">
        <v>93</v>
      </c>
      <c r="AA28" s="209" t="s">
        <v>93</v>
      </c>
      <c r="AB28" s="209">
        <v>11</v>
      </c>
      <c r="AC28" s="209">
        <v>14.23</v>
      </c>
      <c r="AD28" s="202">
        <v>19.97</v>
      </c>
      <c r="AE28" s="210" t="s">
        <v>356</v>
      </c>
      <c r="CD28" s="279"/>
    </row>
    <row r="29" spans="2:82" ht="14.1" hidden="1" customHeight="1">
      <c r="B29" s="210" t="s">
        <v>357</v>
      </c>
      <c r="C29" s="208">
        <v>10.01</v>
      </c>
      <c r="D29" s="209">
        <v>6.68</v>
      </c>
      <c r="E29" s="209">
        <v>10.41</v>
      </c>
      <c r="F29" s="209">
        <v>1.87</v>
      </c>
      <c r="G29" s="209">
        <v>4.6100000000000003</v>
      </c>
      <c r="H29" s="209">
        <v>5.92</v>
      </c>
      <c r="I29" s="209">
        <v>6.21</v>
      </c>
      <c r="J29" s="209">
        <v>8.94</v>
      </c>
      <c r="K29" s="209">
        <v>11.28</v>
      </c>
      <c r="L29" s="202">
        <v>14.98</v>
      </c>
      <c r="M29" s="208">
        <v>18.63</v>
      </c>
      <c r="N29" s="209">
        <v>17.239999999999998</v>
      </c>
      <c r="O29" s="209">
        <v>21.87</v>
      </c>
      <c r="P29" s="209">
        <v>17.86</v>
      </c>
      <c r="Q29" s="209">
        <v>18.670000000000002</v>
      </c>
      <c r="R29" s="209">
        <v>21.01</v>
      </c>
      <c r="S29" s="209">
        <v>18.510000000000002</v>
      </c>
      <c r="T29" s="209">
        <v>19.27</v>
      </c>
      <c r="U29" s="209">
        <v>18.25</v>
      </c>
      <c r="V29" s="209">
        <v>14.62</v>
      </c>
      <c r="W29" s="209">
        <v>14.71</v>
      </c>
      <c r="X29" s="202" t="s">
        <v>355</v>
      </c>
      <c r="Y29" s="208">
        <v>14.89</v>
      </c>
      <c r="Z29" s="209">
        <v>14.96</v>
      </c>
      <c r="AA29" s="209">
        <v>21.65</v>
      </c>
      <c r="AB29" s="209">
        <v>11.26</v>
      </c>
      <c r="AC29" s="209">
        <v>13.6</v>
      </c>
      <c r="AD29" s="202">
        <v>15</v>
      </c>
      <c r="AE29" s="210" t="s">
        <v>213</v>
      </c>
      <c r="CD29" s="279"/>
    </row>
    <row r="30" spans="2:82" ht="14.1" hidden="1" customHeight="1">
      <c r="B30" s="197" t="s">
        <v>360</v>
      </c>
      <c r="C30" s="208"/>
      <c r="D30" s="209"/>
      <c r="E30" s="209"/>
      <c r="F30" s="209"/>
      <c r="G30" s="209"/>
      <c r="H30" s="209"/>
      <c r="I30" s="209"/>
      <c r="J30" s="209"/>
      <c r="K30" s="209"/>
      <c r="L30" s="202"/>
      <c r="M30" s="208"/>
      <c r="N30" s="209"/>
      <c r="O30" s="209"/>
      <c r="P30" s="209"/>
      <c r="Q30" s="209"/>
      <c r="R30" s="209"/>
      <c r="S30" s="209"/>
      <c r="T30" s="209"/>
      <c r="U30" s="209"/>
      <c r="V30" s="209"/>
      <c r="W30" s="209"/>
      <c r="X30" s="202"/>
      <c r="Y30" s="208"/>
      <c r="Z30" s="209"/>
      <c r="AA30" s="209"/>
      <c r="AB30" s="209"/>
      <c r="AC30" s="209"/>
      <c r="AD30" s="202"/>
      <c r="AE30" s="197" t="s">
        <v>360</v>
      </c>
      <c r="CD30" s="279"/>
    </row>
    <row r="31" spans="2:82" ht="14.1" hidden="1" customHeight="1">
      <c r="B31" s="210" t="s">
        <v>187</v>
      </c>
      <c r="C31" s="208">
        <v>6.9</v>
      </c>
      <c r="D31" s="209">
        <v>6.09</v>
      </c>
      <c r="E31" s="209">
        <v>8.8800000000000008</v>
      </c>
      <c r="F31" s="209">
        <v>3</v>
      </c>
      <c r="G31" s="209">
        <v>3.77</v>
      </c>
      <c r="H31" s="209">
        <v>5.75</v>
      </c>
      <c r="I31" s="209">
        <v>8.16</v>
      </c>
      <c r="J31" s="209">
        <v>7.35</v>
      </c>
      <c r="K31" s="209">
        <v>6.83</v>
      </c>
      <c r="L31" s="202" t="s">
        <v>93</v>
      </c>
      <c r="M31" s="208">
        <v>15.69</v>
      </c>
      <c r="N31" s="209">
        <v>15.53</v>
      </c>
      <c r="O31" s="209">
        <v>16.170000000000002</v>
      </c>
      <c r="P31" s="209">
        <v>16.940000000000001</v>
      </c>
      <c r="Q31" s="209">
        <v>17.91</v>
      </c>
      <c r="R31" s="209">
        <v>19.5</v>
      </c>
      <c r="S31" s="209">
        <v>15.88</v>
      </c>
      <c r="T31" s="209">
        <v>15.85</v>
      </c>
      <c r="U31" s="209">
        <v>14.97</v>
      </c>
      <c r="V31" s="209">
        <v>7.66</v>
      </c>
      <c r="W31" s="209">
        <v>25</v>
      </c>
      <c r="X31" s="202" t="s">
        <v>355</v>
      </c>
      <c r="Y31" s="208">
        <v>14.51</v>
      </c>
      <c r="Z31" s="209" t="s">
        <v>93</v>
      </c>
      <c r="AA31" s="209">
        <v>17.760000000000002</v>
      </c>
      <c r="AB31" s="209">
        <v>11.01</v>
      </c>
      <c r="AC31" s="209">
        <v>13.72</v>
      </c>
      <c r="AD31" s="202">
        <v>19.96</v>
      </c>
      <c r="AE31" s="210" t="s">
        <v>356</v>
      </c>
      <c r="CD31" s="279"/>
    </row>
    <row r="32" spans="2:82" ht="14.1" hidden="1" customHeight="1">
      <c r="B32" s="210" t="s">
        <v>357</v>
      </c>
      <c r="C32" s="208">
        <v>9.93</v>
      </c>
      <c r="D32" s="209">
        <v>6.72</v>
      </c>
      <c r="E32" s="209">
        <v>10.35</v>
      </c>
      <c r="F32" s="209">
        <v>1.95</v>
      </c>
      <c r="G32" s="209">
        <v>4.6900000000000004</v>
      </c>
      <c r="H32" s="209">
        <v>5.87</v>
      </c>
      <c r="I32" s="209">
        <v>6.2</v>
      </c>
      <c r="J32" s="209">
        <v>8.89</v>
      </c>
      <c r="K32" s="209">
        <v>11.11</v>
      </c>
      <c r="L32" s="202">
        <v>14.96</v>
      </c>
      <c r="M32" s="208">
        <v>18.649999999999999</v>
      </c>
      <c r="N32" s="209">
        <v>17.22</v>
      </c>
      <c r="O32" s="209">
        <v>21.86</v>
      </c>
      <c r="P32" s="209">
        <v>17.760000000000002</v>
      </c>
      <c r="Q32" s="209">
        <v>18.82</v>
      </c>
      <c r="R32" s="209">
        <v>20.05</v>
      </c>
      <c r="S32" s="209">
        <v>18.64</v>
      </c>
      <c r="T32" s="209">
        <v>19.25</v>
      </c>
      <c r="U32" s="209">
        <v>18.36</v>
      </c>
      <c r="V32" s="209">
        <v>14.62</v>
      </c>
      <c r="W32" s="209">
        <v>14.73</v>
      </c>
      <c r="X32" s="202" t="s">
        <v>355</v>
      </c>
      <c r="Y32" s="208">
        <v>12</v>
      </c>
      <c r="Z32" s="209">
        <v>9.7899999999999991</v>
      </c>
      <c r="AA32" s="209">
        <v>19.98</v>
      </c>
      <c r="AB32" s="209">
        <v>11.04</v>
      </c>
      <c r="AC32" s="209">
        <v>12.59</v>
      </c>
      <c r="AD32" s="202">
        <v>6.43</v>
      </c>
      <c r="AE32" s="210" t="s">
        <v>213</v>
      </c>
      <c r="CD32" s="279"/>
    </row>
    <row r="33" spans="2:82" ht="14.1" hidden="1" customHeight="1">
      <c r="B33" s="197" t="s">
        <v>361</v>
      </c>
      <c r="C33" s="208"/>
      <c r="D33" s="209"/>
      <c r="E33" s="209"/>
      <c r="F33" s="209"/>
      <c r="G33" s="209"/>
      <c r="H33" s="209"/>
      <c r="I33" s="209"/>
      <c r="J33" s="209"/>
      <c r="K33" s="209"/>
      <c r="L33" s="202"/>
      <c r="M33" s="208"/>
      <c r="N33" s="209"/>
      <c r="O33" s="209"/>
      <c r="P33" s="209"/>
      <c r="Q33" s="209"/>
      <c r="R33" s="209"/>
      <c r="S33" s="209"/>
      <c r="T33" s="209"/>
      <c r="U33" s="209"/>
      <c r="V33" s="209"/>
      <c r="W33" s="209"/>
      <c r="X33" s="202"/>
      <c r="Y33" s="208"/>
      <c r="Z33" s="209"/>
      <c r="AA33" s="209"/>
      <c r="AB33" s="209"/>
      <c r="AC33" s="209"/>
      <c r="AD33" s="202"/>
      <c r="AE33" s="197" t="s">
        <v>361</v>
      </c>
      <c r="CD33" s="279"/>
    </row>
    <row r="34" spans="2:82" ht="14.1" hidden="1" customHeight="1">
      <c r="B34" s="210" t="s">
        <v>187</v>
      </c>
      <c r="C34" s="208">
        <v>7.31</v>
      </c>
      <c r="D34" s="209">
        <v>6.45</v>
      </c>
      <c r="E34" s="209">
        <v>9.07</v>
      </c>
      <c r="F34" s="209">
        <v>3</v>
      </c>
      <c r="G34" s="209">
        <v>5.9</v>
      </c>
      <c r="H34" s="209">
        <v>6.01</v>
      </c>
      <c r="I34" s="209">
        <v>8.27</v>
      </c>
      <c r="J34" s="209">
        <v>8</v>
      </c>
      <c r="K34" s="209">
        <v>7.16</v>
      </c>
      <c r="L34" s="202" t="s">
        <v>93</v>
      </c>
      <c r="M34" s="208">
        <v>16.190000000000001</v>
      </c>
      <c r="N34" s="209">
        <v>15.95</v>
      </c>
      <c r="O34" s="209">
        <v>16.96</v>
      </c>
      <c r="P34" s="209">
        <v>16.809999999999999</v>
      </c>
      <c r="Q34" s="209">
        <v>18.89</v>
      </c>
      <c r="R34" s="209">
        <v>19.649999999999999</v>
      </c>
      <c r="S34" s="209">
        <v>16.48</v>
      </c>
      <c r="T34" s="209">
        <v>17.28</v>
      </c>
      <c r="U34" s="209">
        <v>14.27</v>
      </c>
      <c r="V34" s="209">
        <v>8.09</v>
      </c>
      <c r="W34" s="209">
        <v>13.9</v>
      </c>
      <c r="X34" s="202" t="s">
        <v>355</v>
      </c>
      <c r="Y34" s="208">
        <v>15.86</v>
      </c>
      <c r="Z34" s="209" t="s">
        <v>93</v>
      </c>
      <c r="AA34" s="209">
        <v>16.559999999999999</v>
      </c>
      <c r="AB34" s="209">
        <v>11.83</v>
      </c>
      <c r="AC34" s="209">
        <v>15.48</v>
      </c>
      <c r="AD34" s="202">
        <v>19.97</v>
      </c>
      <c r="AE34" s="210" t="s">
        <v>356</v>
      </c>
      <c r="CD34" s="279"/>
    </row>
    <row r="35" spans="2:82" ht="14.1" hidden="1" customHeight="1">
      <c r="B35" s="210" t="s">
        <v>357</v>
      </c>
      <c r="C35" s="208">
        <v>9.77</v>
      </c>
      <c r="D35" s="209">
        <v>6.46</v>
      </c>
      <c r="E35" s="209">
        <v>10.33</v>
      </c>
      <c r="F35" s="209">
        <v>1.87</v>
      </c>
      <c r="G35" s="209">
        <v>4.3600000000000003</v>
      </c>
      <c r="H35" s="209">
        <v>5.66</v>
      </c>
      <c r="I35" s="209">
        <v>5.9</v>
      </c>
      <c r="J35" s="209">
        <v>8.99</v>
      </c>
      <c r="K35" s="209">
        <v>10.94</v>
      </c>
      <c r="L35" s="202">
        <v>14.94</v>
      </c>
      <c r="M35" s="208">
        <v>18.489999999999998</v>
      </c>
      <c r="N35" s="209">
        <v>16.87</v>
      </c>
      <c r="O35" s="209">
        <v>21.96</v>
      </c>
      <c r="P35" s="209">
        <v>17.96</v>
      </c>
      <c r="Q35" s="209">
        <v>17.809999999999999</v>
      </c>
      <c r="R35" s="209">
        <v>19.41</v>
      </c>
      <c r="S35" s="209">
        <v>17.96</v>
      </c>
      <c r="T35" s="209">
        <v>19.21</v>
      </c>
      <c r="U35" s="209">
        <v>18.399999999999999</v>
      </c>
      <c r="V35" s="209">
        <v>14.77</v>
      </c>
      <c r="W35" s="209">
        <v>14.69</v>
      </c>
      <c r="X35" s="202" t="s">
        <v>355</v>
      </c>
      <c r="Y35" s="208">
        <v>12.8</v>
      </c>
      <c r="Z35" s="209">
        <v>14.47</v>
      </c>
      <c r="AA35" s="209">
        <v>20.29</v>
      </c>
      <c r="AB35" s="209">
        <v>10.69</v>
      </c>
      <c r="AC35" s="209">
        <v>10.19</v>
      </c>
      <c r="AD35" s="202">
        <v>15</v>
      </c>
      <c r="AE35" s="210" t="s">
        <v>213</v>
      </c>
      <c r="CD35" s="279"/>
    </row>
    <row r="36" spans="2:82" ht="14.1" hidden="1" customHeight="1">
      <c r="B36" s="197" t="s">
        <v>362</v>
      </c>
      <c r="C36" s="208"/>
      <c r="D36" s="209"/>
      <c r="E36" s="209"/>
      <c r="F36" s="209"/>
      <c r="G36" s="209"/>
      <c r="H36" s="209"/>
      <c r="I36" s="209"/>
      <c r="J36" s="209"/>
      <c r="K36" s="209"/>
      <c r="L36" s="202"/>
      <c r="M36" s="208"/>
      <c r="N36" s="209"/>
      <c r="O36" s="209"/>
      <c r="P36" s="209"/>
      <c r="Q36" s="209"/>
      <c r="R36" s="209"/>
      <c r="S36" s="209"/>
      <c r="T36" s="209"/>
      <c r="U36" s="209"/>
      <c r="V36" s="209"/>
      <c r="W36" s="209"/>
      <c r="X36" s="202"/>
      <c r="Y36" s="208"/>
      <c r="Z36" s="209"/>
      <c r="AA36" s="209"/>
      <c r="AB36" s="209"/>
      <c r="AC36" s="209"/>
      <c r="AD36" s="202"/>
      <c r="AE36" s="197" t="s">
        <v>362</v>
      </c>
      <c r="CD36" s="279"/>
    </row>
    <row r="37" spans="2:82" ht="14.1" hidden="1" customHeight="1">
      <c r="B37" s="210" t="s">
        <v>187</v>
      </c>
      <c r="C37" s="208">
        <v>7.54</v>
      </c>
      <c r="D37" s="209">
        <v>6.53</v>
      </c>
      <c r="E37" s="209">
        <v>9.59</v>
      </c>
      <c r="F37" s="209">
        <v>3</v>
      </c>
      <c r="G37" s="209">
        <v>6.05</v>
      </c>
      <c r="H37" s="209">
        <v>6.12</v>
      </c>
      <c r="I37" s="209">
        <v>8</v>
      </c>
      <c r="J37" s="209">
        <v>8.3699999999999992</v>
      </c>
      <c r="K37" s="209">
        <v>7.54</v>
      </c>
      <c r="L37" s="202" t="s">
        <v>93</v>
      </c>
      <c r="M37" s="208">
        <v>15.74</v>
      </c>
      <c r="N37" s="209">
        <v>15.17</v>
      </c>
      <c r="O37" s="209">
        <v>17.27</v>
      </c>
      <c r="P37" s="209">
        <v>17.66</v>
      </c>
      <c r="Q37" s="209">
        <v>22.21</v>
      </c>
      <c r="R37" s="209">
        <v>20.2</v>
      </c>
      <c r="S37" s="209">
        <v>16.72</v>
      </c>
      <c r="T37" s="209">
        <v>16.670000000000002</v>
      </c>
      <c r="U37" s="209">
        <v>14.05</v>
      </c>
      <c r="V37" s="209">
        <v>7.99</v>
      </c>
      <c r="W37" s="209">
        <v>13.88</v>
      </c>
      <c r="X37" s="202" t="s">
        <v>355</v>
      </c>
      <c r="Y37" s="208">
        <v>16.22</v>
      </c>
      <c r="Z37" s="209">
        <v>14</v>
      </c>
      <c r="AA37" s="209">
        <v>17.760000000000002</v>
      </c>
      <c r="AB37" s="209">
        <v>14.2</v>
      </c>
      <c r="AC37" s="209">
        <v>15.6</v>
      </c>
      <c r="AD37" s="202">
        <v>20</v>
      </c>
      <c r="AE37" s="210" t="s">
        <v>356</v>
      </c>
      <c r="CD37" s="279"/>
    </row>
    <row r="38" spans="2:82" ht="14.1" hidden="1" customHeight="1">
      <c r="B38" s="210" t="s">
        <v>357</v>
      </c>
      <c r="C38" s="208">
        <v>9.8000000000000007</v>
      </c>
      <c r="D38" s="209">
        <v>6.47</v>
      </c>
      <c r="E38" s="209">
        <v>10.31</v>
      </c>
      <c r="F38" s="209">
        <v>1.53</v>
      </c>
      <c r="G38" s="209">
        <v>4.3099999999999996</v>
      </c>
      <c r="H38" s="209">
        <v>5.6</v>
      </c>
      <c r="I38" s="209">
        <v>6.51</v>
      </c>
      <c r="J38" s="209">
        <v>8.93</v>
      </c>
      <c r="K38" s="209">
        <v>10.96</v>
      </c>
      <c r="L38" s="202">
        <v>14.92</v>
      </c>
      <c r="M38" s="208">
        <v>18.43</v>
      </c>
      <c r="N38" s="209">
        <v>16.809999999999999</v>
      </c>
      <c r="O38" s="209">
        <v>21.75</v>
      </c>
      <c r="P38" s="209">
        <v>18.010000000000002</v>
      </c>
      <c r="Q38" s="209">
        <v>17.39</v>
      </c>
      <c r="R38" s="209">
        <v>19.190000000000001</v>
      </c>
      <c r="S38" s="209">
        <v>17.95</v>
      </c>
      <c r="T38" s="209">
        <v>19.02</v>
      </c>
      <c r="U38" s="209">
        <v>18.52</v>
      </c>
      <c r="V38" s="209">
        <v>14.72</v>
      </c>
      <c r="W38" s="209">
        <v>14.71</v>
      </c>
      <c r="X38" s="202" t="s">
        <v>355</v>
      </c>
      <c r="Y38" s="208">
        <v>12.74</v>
      </c>
      <c r="Z38" s="209">
        <v>13.26</v>
      </c>
      <c r="AA38" s="209">
        <v>19.8</v>
      </c>
      <c r="AB38" s="209">
        <v>13.16</v>
      </c>
      <c r="AC38" s="209">
        <v>10.54</v>
      </c>
      <c r="AD38" s="202">
        <v>15</v>
      </c>
      <c r="AE38" s="210" t="s">
        <v>213</v>
      </c>
      <c r="CD38" s="279"/>
    </row>
    <row r="39" spans="2:82" ht="14.1" hidden="1" customHeight="1">
      <c r="B39" s="197" t="s">
        <v>363</v>
      </c>
      <c r="C39" s="208"/>
      <c r="D39" s="209"/>
      <c r="E39" s="209"/>
      <c r="F39" s="209"/>
      <c r="G39" s="209"/>
      <c r="H39" s="209"/>
      <c r="I39" s="209"/>
      <c r="J39" s="209"/>
      <c r="K39" s="209"/>
      <c r="L39" s="202"/>
      <c r="M39" s="208"/>
      <c r="N39" s="209"/>
      <c r="O39" s="209"/>
      <c r="P39" s="209"/>
      <c r="Q39" s="209"/>
      <c r="R39" s="209"/>
      <c r="S39" s="209"/>
      <c r="T39" s="209"/>
      <c r="U39" s="209"/>
      <c r="V39" s="209"/>
      <c r="W39" s="209"/>
      <c r="X39" s="202"/>
      <c r="Y39" s="208"/>
      <c r="Z39" s="209"/>
      <c r="AA39" s="209"/>
      <c r="AB39" s="209"/>
      <c r="AC39" s="209"/>
      <c r="AD39" s="202"/>
      <c r="AE39" s="197" t="s">
        <v>363</v>
      </c>
      <c r="CD39" s="279"/>
    </row>
    <row r="40" spans="2:82" ht="14.1" hidden="1" customHeight="1">
      <c r="B40" s="210" t="s">
        <v>187</v>
      </c>
      <c r="C40" s="208">
        <v>7.52</v>
      </c>
      <c r="D40" s="209">
        <v>6.3</v>
      </c>
      <c r="E40" s="209">
        <v>9.66</v>
      </c>
      <c r="F40" s="209">
        <v>3.05</v>
      </c>
      <c r="G40" s="209">
        <v>4.1100000000000003</v>
      </c>
      <c r="H40" s="209">
        <v>6</v>
      </c>
      <c r="I40" s="209">
        <v>10.28</v>
      </c>
      <c r="J40" s="209">
        <v>8.3800000000000008</v>
      </c>
      <c r="K40" s="209">
        <v>7.75</v>
      </c>
      <c r="L40" s="202" t="s">
        <v>93</v>
      </c>
      <c r="M40" s="208">
        <v>16.329999999999998</v>
      </c>
      <c r="N40" s="209">
        <v>15.4</v>
      </c>
      <c r="O40" s="209">
        <v>18.649999999999999</v>
      </c>
      <c r="P40" s="209">
        <v>17.170000000000002</v>
      </c>
      <c r="Q40" s="209">
        <v>22.42</v>
      </c>
      <c r="R40" s="209">
        <v>20.36</v>
      </c>
      <c r="S40" s="209">
        <v>17.07</v>
      </c>
      <c r="T40" s="209">
        <v>18.079999999999998</v>
      </c>
      <c r="U40" s="209">
        <v>14.55</v>
      </c>
      <c r="V40" s="209">
        <v>8.07</v>
      </c>
      <c r="W40" s="209">
        <v>13.59</v>
      </c>
      <c r="X40" s="202" t="s">
        <v>355</v>
      </c>
      <c r="Y40" s="208">
        <v>16.64</v>
      </c>
      <c r="Z40" s="209" t="s">
        <v>93</v>
      </c>
      <c r="AA40" s="209">
        <v>14.99</v>
      </c>
      <c r="AB40" s="209">
        <v>10.43</v>
      </c>
      <c r="AC40" s="209">
        <v>17.36</v>
      </c>
      <c r="AD40" s="202">
        <v>20</v>
      </c>
      <c r="AE40" s="210" t="s">
        <v>356</v>
      </c>
      <c r="CD40" s="279"/>
    </row>
    <row r="41" spans="2:82" ht="14.1" hidden="1" customHeight="1">
      <c r="B41" s="210" t="s">
        <v>357</v>
      </c>
      <c r="C41" s="208">
        <v>9.99</v>
      </c>
      <c r="D41" s="209">
        <v>6.6</v>
      </c>
      <c r="E41" s="209">
        <v>10.52</v>
      </c>
      <c r="F41" s="209">
        <v>2.4300000000000002</v>
      </c>
      <c r="G41" s="209">
        <v>4.4800000000000004</v>
      </c>
      <c r="H41" s="209">
        <v>5.96</v>
      </c>
      <c r="I41" s="209">
        <v>6.53</v>
      </c>
      <c r="J41" s="209">
        <v>9.36</v>
      </c>
      <c r="K41" s="209">
        <v>11.05</v>
      </c>
      <c r="L41" s="202">
        <v>14.96</v>
      </c>
      <c r="M41" s="208">
        <v>18.28</v>
      </c>
      <c r="N41" s="209">
        <v>16.47</v>
      </c>
      <c r="O41" s="209">
        <v>21.75</v>
      </c>
      <c r="P41" s="209">
        <v>17.850000000000001</v>
      </c>
      <c r="Q41" s="209">
        <v>16.55</v>
      </c>
      <c r="R41" s="209">
        <v>19.02</v>
      </c>
      <c r="S41" s="209">
        <v>17.399999999999999</v>
      </c>
      <c r="T41" s="209">
        <v>19.27</v>
      </c>
      <c r="U41" s="209">
        <v>18.350000000000001</v>
      </c>
      <c r="V41" s="209">
        <v>14.98</v>
      </c>
      <c r="W41" s="209">
        <v>15.2</v>
      </c>
      <c r="X41" s="202" t="s">
        <v>355</v>
      </c>
      <c r="Y41" s="208">
        <v>12.71</v>
      </c>
      <c r="Z41" s="209">
        <v>14.26</v>
      </c>
      <c r="AA41" s="209">
        <v>11.73</v>
      </c>
      <c r="AB41" s="209">
        <v>13.33</v>
      </c>
      <c r="AC41" s="209">
        <v>11.95</v>
      </c>
      <c r="AD41" s="202">
        <v>15</v>
      </c>
      <c r="AE41" s="210" t="s">
        <v>213</v>
      </c>
      <c r="CD41" s="279"/>
    </row>
    <row r="42" spans="2:82" ht="14.1" hidden="1" customHeight="1">
      <c r="B42" s="197" t="s">
        <v>364</v>
      </c>
      <c r="C42" s="208"/>
      <c r="D42" s="209"/>
      <c r="E42" s="209"/>
      <c r="F42" s="209"/>
      <c r="G42" s="209"/>
      <c r="H42" s="209"/>
      <c r="I42" s="209"/>
      <c r="J42" s="209"/>
      <c r="K42" s="209"/>
      <c r="L42" s="202"/>
      <c r="M42" s="208"/>
      <c r="N42" s="209"/>
      <c r="O42" s="209"/>
      <c r="P42" s="209"/>
      <c r="Q42" s="209"/>
      <c r="R42" s="209"/>
      <c r="S42" s="209"/>
      <c r="T42" s="209"/>
      <c r="U42" s="209"/>
      <c r="V42" s="209"/>
      <c r="W42" s="209"/>
      <c r="X42" s="202"/>
      <c r="Y42" s="208"/>
      <c r="Z42" s="209"/>
      <c r="AA42" s="209"/>
      <c r="AB42" s="209"/>
      <c r="AC42" s="209"/>
      <c r="AD42" s="202"/>
      <c r="AE42" s="197" t="s">
        <v>364</v>
      </c>
      <c r="CD42" s="279"/>
    </row>
    <row r="43" spans="2:82" ht="14.1" hidden="1" customHeight="1">
      <c r="B43" s="210" t="s">
        <v>187</v>
      </c>
      <c r="C43" s="208">
        <v>8.0299999999999994</v>
      </c>
      <c r="D43" s="209">
        <v>6.54</v>
      </c>
      <c r="E43" s="209">
        <v>10.11</v>
      </c>
      <c r="F43" s="209">
        <v>3.28</v>
      </c>
      <c r="G43" s="209">
        <v>4.26</v>
      </c>
      <c r="H43" s="209">
        <v>6.9</v>
      </c>
      <c r="I43" s="209">
        <v>10.8</v>
      </c>
      <c r="J43" s="209">
        <v>8.5500000000000007</v>
      </c>
      <c r="K43" s="209">
        <v>8.4700000000000006</v>
      </c>
      <c r="L43" s="202" t="s">
        <v>93</v>
      </c>
      <c r="M43" s="208">
        <v>15.97</v>
      </c>
      <c r="N43" s="209">
        <v>14.88</v>
      </c>
      <c r="O43" s="209">
        <v>18.5</v>
      </c>
      <c r="P43" s="209">
        <v>16.78</v>
      </c>
      <c r="Q43" s="209">
        <v>21.36</v>
      </c>
      <c r="R43" s="209">
        <v>20.23</v>
      </c>
      <c r="S43" s="209">
        <v>17.39</v>
      </c>
      <c r="T43" s="209">
        <v>17.57</v>
      </c>
      <c r="U43" s="209">
        <v>14.28</v>
      </c>
      <c r="V43" s="209">
        <v>8.08</v>
      </c>
      <c r="W43" s="209">
        <v>13.57</v>
      </c>
      <c r="X43" s="202" t="s">
        <v>355</v>
      </c>
      <c r="Y43" s="208">
        <v>16.64</v>
      </c>
      <c r="Z43" s="209" t="s">
        <v>93</v>
      </c>
      <c r="AA43" s="209">
        <v>14.99</v>
      </c>
      <c r="AB43" s="209">
        <v>10.43</v>
      </c>
      <c r="AC43" s="209">
        <v>17.36</v>
      </c>
      <c r="AD43" s="202">
        <v>20</v>
      </c>
      <c r="AE43" s="210" t="s">
        <v>356</v>
      </c>
      <c r="CD43" s="279"/>
    </row>
    <row r="44" spans="2:82" ht="14.1" hidden="1" customHeight="1">
      <c r="B44" s="210" t="s">
        <v>357</v>
      </c>
      <c r="C44" s="208">
        <v>10.91</v>
      </c>
      <c r="D44" s="209">
        <v>6.66</v>
      </c>
      <c r="E44" s="209">
        <v>11.01</v>
      </c>
      <c r="F44" s="209">
        <v>6.31</v>
      </c>
      <c r="G44" s="209">
        <v>4.26</v>
      </c>
      <c r="H44" s="209">
        <v>6.49</v>
      </c>
      <c r="I44" s="209">
        <v>5.25</v>
      </c>
      <c r="J44" s="209">
        <v>9.5299999999999994</v>
      </c>
      <c r="K44" s="209">
        <v>11.11</v>
      </c>
      <c r="L44" s="202">
        <v>14.82</v>
      </c>
      <c r="M44" s="208">
        <v>18.239999999999998</v>
      </c>
      <c r="N44" s="209">
        <v>16.559999999999999</v>
      </c>
      <c r="O44" s="209">
        <v>21.56</v>
      </c>
      <c r="P44" s="209">
        <v>18.079999999999998</v>
      </c>
      <c r="Q44" s="209">
        <v>16.510000000000002</v>
      </c>
      <c r="R44" s="209">
        <v>18.989999999999998</v>
      </c>
      <c r="S44" s="209">
        <v>16.989999999999998</v>
      </c>
      <c r="T44" s="209">
        <v>19.14</v>
      </c>
      <c r="U44" s="209">
        <v>18.440000000000001</v>
      </c>
      <c r="V44" s="209">
        <v>14.686999999999999</v>
      </c>
      <c r="W44" s="209">
        <v>15.77</v>
      </c>
      <c r="X44" s="202" t="s">
        <v>355</v>
      </c>
      <c r="Y44" s="208">
        <v>12.71</v>
      </c>
      <c r="Z44" s="209">
        <v>14.26</v>
      </c>
      <c r="AA44" s="209">
        <v>11.73</v>
      </c>
      <c r="AB44" s="209">
        <v>13.33</v>
      </c>
      <c r="AC44" s="209">
        <v>11.95</v>
      </c>
      <c r="AD44" s="202">
        <v>15</v>
      </c>
      <c r="AE44" s="210" t="s">
        <v>213</v>
      </c>
      <c r="CD44" s="279"/>
    </row>
    <row r="45" spans="2:82" ht="14.1" hidden="1" customHeight="1">
      <c r="B45" s="197" t="s">
        <v>365</v>
      </c>
      <c r="C45" s="208"/>
      <c r="D45" s="209"/>
      <c r="E45" s="209"/>
      <c r="F45" s="209"/>
      <c r="G45" s="209"/>
      <c r="H45" s="209"/>
      <c r="I45" s="209"/>
      <c r="J45" s="209"/>
      <c r="K45" s="209"/>
      <c r="L45" s="202"/>
      <c r="M45" s="208"/>
      <c r="N45" s="209"/>
      <c r="O45" s="209"/>
      <c r="P45" s="209"/>
      <c r="Q45" s="209"/>
      <c r="R45" s="209"/>
      <c r="S45" s="209"/>
      <c r="T45" s="209"/>
      <c r="U45" s="209"/>
      <c r="V45" s="209"/>
      <c r="W45" s="209"/>
      <c r="X45" s="202"/>
      <c r="Y45" s="208"/>
      <c r="Z45" s="209"/>
      <c r="AA45" s="209"/>
      <c r="AB45" s="209"/>
      <c r="AC45" s="209"/>
      <c r="AD45" s="202"/>
      <c r="AE45" s="197" t="s">
        <v>365</v>
      </c>
      <c r="CD45" s="279"/>
    </row>
    <row r="46" spans="2:82" ht="14.1" hidden="1" customHeight="1">
      <c r="B46" s="210" t="s">
        <v>187</v>
      </c>
      <c r="C46" s="208">
        <v>8.1</v>
      </c>
      <c r="D46" s="209">
        <v>6.44</v>
      </c>
      <c r="E46" s="209">
        <v>9.91</v>
      </c>
      <c r="F46" s="209">
        <v>2.19</v>
      </c>
      <c r="G46" s="209">
        <v>4.37</v>
      </c>
      <c r="H46" s="209">
        <v>7.35</v>
      </c>
      <c r="I46" s="209">
        <v>10.63</v>
      </c>
      <c r="J46" s="209">
        <v>8.74</v>
      </c>
      <c r="K46" s="209">
        <v>8.42</v>
      </c>
      <c r="L46" s="202">
        <v>10.9</v>
      </c>
      <c r="M46" s="208">
        <v>15.81</v>
      </c>
      <c r="N46" s="209">
        <v>14.8</v>
      </c>
      <c r="O46" s="209">
        <v>18.28</v>
      </c>
      <c r="P46" s="209">
        <v>16.52</v>
      </c>
      <c r="Q46" s="209">
        <v>22.78</v>
      </c>
      <c r="R46" s="209">
        <v>19.670000000000002</v>
      </c>
      <c r="S46" s="209">
        <v>17.239999999999998</v>
      </c>
      <c r="T46" s="209">
        <v>17.309999999999999</v>
      </c>
      <c r="U46" s="209">
        <v>14.38</v>
      </c>
      <c r="V46" s="209">
        <v>7.92</v>
      </c>
      <c r="W46" s="209">
        <v>11.88</v>
      </c>
      <c r="X46" s="202" t="s">
        <v>355</v>
      </c>
      <c r="Y46" s="208">
        <v>17.850000000000001</v>
      </c>
      <c r="Z46" s="209" t="s">
        <v>93</v>
      </c>
      <c r="AA46" s="209">
        <v>16.88</v>
      </c>
      <c r="AB46" s="209">
        <v>12</v>
      </c>
      <c r="AC46" s="209">
        <v>18.059999999999999</v>
      </c>
      <c r="AD46" s="202">
        <v>20</v>
      </c>
      <c r="AE46" s="210" t="s">
        <v>356</v>
      </c>
      <c r="CD46" s="279"/>
    </row>
    <row r="47" spans="2:82" ht="14.1" hidden="1" customHeight="1">
      <c r="B47" s="210" t="s">
        <v>357</v>
      </c>
      <c r="C47" s="208">
        <v>10</v>
      </c>
      <c r="D47" s="209">
        <v>7.1</v>
      </c>
      <c r="E47" s="209">
        <v>10.45</v>
      </c>
      <c r="F47" s="209">
        <v>6.83</v>
      </c>
      <c r="G47" s="209">
        <v>4.32</v>
      </c>
      <c r="H47" s="209">
        <v>6.54</v>
      </c>
      <c r="I47" s="209">
        <v>5.58</v>
      </c>
      <c r="J47" s="209">
        <v>9.18</v>
      </c>
      <c r="K47" s="209">
        <v>11</v>
      </c>
      <c r="L47" s="202">
        <v>14.79</v>
      </c>
      <c r="M47" s="208">
        <v>17.63</v>
      </c>
      <c r="N47" s="209">
        <v>15.91</v>
      </c>
      <c r="O47" s="209">
        <v>21.49</v>
      </c>
      <c r="P47" s="209">
        <v>17.77</v>
      </c>
      <c r="Q47" s="209">
        <v>16.89</v>
      </c>
      <c r="R47" s="209">
        <v>18.96</v>
      </c>
      <c r="S47" s="209">
        <v>14.42</v>
      </c>
      <c r="T47" s="209">
        <v>19.170000000000002</v>
      </c>
      <c r="U47" s="209">
        <v>18.309999999999999</v>
      </c>
      <c r="V47" s="209">
        <v>14.67</v>
      </c>
      <c r="W47" s="209">
        <v>16.190000000000001</v>
      </c>
      <c r="X47" s="202" t="s">
        <v>355</v>
      </c>
      <c r="Y47" s="208">
        <v>12</v>
      </c>
      <c r="Z47" s="209">
        <v>11.14</v>
      </c>
      <c r="AA47" s="209">
        <v>15.09</v>
      </c>
      <c r="AB47" s="209">
        <v>13.08</v>
      </c>
      <c r="AC47" s="209">
        <v>10.86</v>
      </c>
      <c r="AD47" s="202">
        <v>15</v>
      </c>
      <c r="AE47" s="210" t="s">
        <v>213</v>
      </c>
      <c r="CD47" s="279"/>
    </row>
    <row r="48" spans="2:82" ht="14.1" hidden="1" customHeight="1">
      <c r="B48" s="197" t="s">
        <v>366</v>
      </c>
      <c r="C48" s="208"/>
      <c r="D48" s="209"/>
      <c r="E48" s="209"/>
      <c r="F48" s="209"/>
      <c r="G48" s="209"/>
      <c r="H48" s="209"/>
      <c r="I48" s="209"/>
      <c r="J48" s="209"/>
      <c r="K48" s="209"/>
      <c r="L48" s="202"/>
      <c r="M48" s="208"/>
      <c r="N48" s="209"/>
      <c r="O48" s="209"/>
      <c r="P48" s="209"/>
      <c r="Q48" s="209"/>
      <c r="R48" s="209"/>
      <c r="S48" s="209"/>
      <c r="T48" s="209"/>
      <c r="U48" s="209"/>
      <c r="V48" s="209"/>
      <c r="W48" s="209"/>
      <c r="X48" s="202"/>
      <c r="Y48" s="208"/>
      <c r="Z48" s="209"/>
      <c r="AA48" s="209"/>
      <c r="AB48" s="209"/>
      <c r="AC48" s="209"/>
      <c r="AD48" s="202"/>
      <c r="AE48" s="197" t="s">
        <v>366</v>
      </c>
      <c r="CD48" s="279"/>
    </row>
    <row r="49" spans="2:82" ht="14.1" hidden="1" customHeight="1">
      <c r="B49" s="210" t="s">
        <v>187</v>
      </c>
      <c r="C49" s="208">
        <v>8.0614219334928929</v>
      </c>
      <c r="D49" s="209">
        <v>6.56</v>
      </c>
      <c r="E49" s="209">
        <v>10.19</v>
      </c>
      <c r="F49" s="209">
        <v>3.106589322656983</v>
      </c>
      <c r="G49" s="209">
        <v>5.1735568091054311</v>
      </c>
      <c r="H49" s="209">
        <v>7.2317561608300913</v>
      </c>
      <c r="I49" s="209">
        <v>10.425389145022141</v>
      </c>
      <c r="J49" s="209">
        <v>8.9248480783146729</v>
      </c>
      <c r="K49" s="209">
        <v>8.5675015358495212</v>
      </c>
      <c r="L49" s="202">
        <v>10.96</v>
      </c>
      <c r="M49" s="208">
        <v>15.660094178342705</v>
      </c>
      <c r="N49" s="209">
        <v>14.960336743803863</v>
      </c>
      <c r="O49" s="209">
        <v>17.558325371205228</v>
      </c>
      <c r="P49" s="209">
        <v>17.260479646806271</v>
      </c>
      <c r="Q49" s="209">
        <v>22.036962658757318</v>
      </c>
      <c r="R49" s="209">
        <v>16.90591775741758</v>
      </c>
      <c r="S49" s="209">
        <v>16.531147670066868</v>
      </c>
      <c r="T49" s="209">
        <v>17.825813994887039</v>
      </c>
      <c r="U49" s="209">
        <v>14.470936675011711</v>
      </c>
      <c r="V49" s="209">
        <v>8.1169969857962325</v>
      </c>
      <c r="W49" s="209">
        <v>10.851742955045262</v>
      </c>
      <c r="X49" s="202" t="s">
        <v>355</v>
      </c>
      <c r="Y49" s="208">
        <v>16.809999999999999</v>
      </c>
      <c r="Z49" s="209" t="s">
        <v>93</v>
      </c>
      <c r="AA49" s="209">
        <v>20.56</v>
      </c>
      <c r="AB49" s="209">
        <v>12</v>
      </c>
      <c r="AC49" s="209">
        <v>15.93</v>
      </c>
      <c r="AD49" s="202">
        <v>20</v>
      </c>
      <c r="AE49" s="210" t="s">
        <v>356</v>
      </c>
      <c r="CD49" s="279"/>
    </row>
    <row r="50" spans="2:82" ht="14.1" hidden="1" customHeight="1">
      <c r="B50" s="210" t="s">
        <v>357</v>
      </c>
      <c r="C50" s="208">
        <v>10.220547650525372</v>
      </c>
      <c r="D50" s="209">
        <v>7.46</v>
      </c>
      <c r="E50" s="209">
        <v>10.62</v>
      </c>
      <c r="F50" s="209">
        <v>7.4726913998007891</v>
      </c>
      <c r="G50" s="209">
        <v>4.374128419365916</v>
      </c>
      <c r="H50" s="209">
        <v>6.5434332317965094</v>
      </c>
      <c r="I50" s="209">
        <v>5.3300612639956544</v>
      </c>
      <c r="J50" s="209">
        <v>9.6487498546546693</v>
      </c>
      <c r="K50" s="209">
        <v>11.021139172912003</v>
      </c>
      <c r="L50" s="202">
        <v>14.75</v>
      </c>
      <c r="M50" s="208">
        <v>17.526840711242201</v>
      </c>
      <c r="N50" s="209">
        <v>15.82628791593832</v>
      </c>
      <c r="O50" s="209">
        <v>21.223970574414952</v>
      </c>
      <c r="P50" s="209">
        <v>17.619806313510065</v>
      </c>
      <c r="Q50" s="209">
        <v>16.703942459430646</v>
      </c>
      <c r="R50" s="209">
        <v>19.436851907610265</v>
      </c>
      <c r="S50" s="209">
        <v>15.068248868828434</v>
      </c>
      <c r="T50" s="209">
        <v>18.91745194842137</v>
      </c>
      <c r="U50" s="209">
        <v>17.959993174019647</v>
      </c>
      <c r="V50" s="209">
        <v>14.524777974012169</v>
      </c>
      <c r="W50" s="209">
        <v>14.069533722992054</v>
      </c>
      <c r="X50" s="202" t="s">
        <v>355</v>
      </c>
      <c r="Y50" s="208">
        <v>12.17</v>
      </c>
      <c r="Z50" s="209">
        <v>14.71</v>
      </c>
      <c r="AA50" s="209">
        <v>12.85</v>
      </c>
      <c r="AB50" s="209">
        <v>13.65</v>
      </c>
      <c r="AC50" s="209">
        <v>10.11</v>
      </c>
      <c r="AD50" s="202">
        <v>14.7</v>
      </c>
      <c r="AE50" s="210" t="s">
        <v>213</v>
      </c>
      <c r="CD50" s="279"/>
    </row>
    <row r="51" spans="2:82" ht="14.1" hidden="1" customHeight="1">
      <c r="B51" s="197" t="s">
        <v>367</v>
      </c>
      <c r="C51" s="208"/>
      <c r="D51" s="209"/>
      <c r="E51" s="209"/>
      <c r="F51" s="209"/>
      <c r="G51" s="209"/>
      <c r="H51" s="209"/>
      <c r="I51" s="209"/>
      <c r="J51" s="209"/>
      <c r="K51" s="209"/>
      <c r="L51" s="202"/>
      <c r="M51" s="208"/>
      <c r="N51" s="209"/>
      <c r="O51" s="209"/>
      <c r="P51" s="209"/>
      <c r="Q51" s="209"/>
      <c r="R51" s="209"/>
      <c r="S51" s="209"/>
      <c r="T51" s="209"/>
      <c r="U51" s="209"/>
      <c r="V51" s="209"/>
      <c r="W51" s="209"/>
      <c r="X51" s="202"/>
      <c r="Y51" s="208"/>
      <c r="Z51" s="209"/>
      <c r="AA51" s="209"/>
      <c r="AB51" s="209"/>
      <c r="AC51" s="209"/>
      <c r="AD51" s="202"/>
      <c r="AE51" s="197" t="s">
        <v>367</v>
      </c>
      <c r="CD51" s="279"/>
    </row>
    <row r="52" spans="2:82" ht="14.1" hidden="1" customHeight="1">
      <c r="B52" s="210" t="s">
        <v>187</v>
      </c>
      <c r="C52" s="208">
        <v>8.1609564876884537</v>
      </c>
      <c r="D52" s="209">
        <v>6.6480331092979021</v>
      </c>
      <c r="E52" s="209">
        <v>10.35720870121054</v>
      </c>
      <c r="F52" s="209">
        <v>5.8354259950902732</v>
      </c>
      <c r="G52" s="209">
        <v>5.4319422498566832</v>
      </c>
      <c r="H52" s="209">
        <v>7.7923213064729255</v>
      </c>
      <c r="I52" s="209">
        <v>10.804548657254536</v>
      </c>
      <c r="J52" s="209">
        <v>9.2025741794467244</v>
      </c>
      <c r="K52" s="209">
        <v>8.4872501024748264</v>
      </c>
      <c r="L52" s="202">
        <v>10.9</v>
      </c>
      <c r="M52" s="208">
        <v>15.573715104518687</v>
      </c>
      <c r="N52" s="209">
        <v>15.078683665722473</v>
      </c>
      <c r="O52" s="209">
        <v>17.025039704052809</v>
      </c>
      <c r="P52" s="209">
        <v>18.089612101909282</v>
      </c>
      <c r="Q52" s="209">
        <v>20.057450086061447</v>
      </c>
      <c r="R52" s="209">
        <v>16.802245545914651</v>
      </c>
      <c r="S52" s="209">
        <v>16.77002866758454</v>
      </c>
      <c r="T52" s="209">
        <v>17.434841326510217</v>
      </c>
      <c r="U52" s="209">
        <v>14.717086418695715</v>
      </c>
      <c r="V52" s="209">
        <v>8.1160818961946273</v>
      </c>
      <c r="W52" s="209">
        <v>9.2887192038260302</v>
      </c>
      <c r="X52" s="202" t="s">
        <v>355</v>
      </c>
      <c r="Y52" s="208">
        <v>18.145371283021852</v>
      </c>
      <c r="Z52" s="209">
        <v>14</v>
      </c>
      <c r="AA52" s="209">
        <v>18.79</v>
      </c>
      <c r="AB52" s="209" t="s">
        <v>180</v>
      </c>
      <c r="AC52" s="209">
        <v>17.68</v>
      </c>
      <c r="AD52" s="202">
        <v>20</v>
      </c>
      <c r="AE52" s="210" t="s">
        <v>356</v>
      </c>
      <c r="CD52" s="279"/>
    </row>
    <row r="53" spans="2:82" ht="14.1" hidden="1" customHeight="1">
      <c r="B53" s="210" t="s">
        <v>357</v>
      </c>
      <c r="C53" s="208">
        <v>10.319637957820659</v>
      </c>
      <c r="D53" s="209">
        <v>7.7314486018350541</v>
      </c>
      <c r="E53" s="209">
        <v>10.664399518716349</v>
      </c>
      <c r="F53" s="209">
        <v>7.7812639454592798</v>
      </c>
      <c r="G53" s="209">
        <v>4.4654197568087106</v>
      </c>
      <c r="H53" s="209">
        <v>6.9303678372070427</v>
      </c>
      <c r="I53" s="209">
        <v>5.1556653250912152</v>
      </c>
      <c r="J53" s="209">
        <v>9.693097261443091</v>
      </c>
      <c r="K53" s="209">
        <v>11.035735881201708</v>
      </c>
      <c r="L53" s="202">
        <v>14.814964821853692</v>
      </c>
      <c r="M53" s="208">
        <v>17.280614826569646</v>
      </c>
      <c r="N53" s="209">
        <v>15.645114164613263</v>
      </c>
      <c r="O53" s="209">
        <v>20.979110790571859</v>
      </c>
      <c r="P53" s="209">
        <v>17.895303257201149</v>
      </c>
      <c r="Q53" s="209">
        <v>15.388393878987744</v>
      </c>
      <c r="R53" s="209">
        <v>18.307301232448776</v>
      </c>
      <c r="S53" s="209">
        <v>15.081987739364587</v>
      </c>
      <c r="T53" s="209">
        <v>18.444577336591831</v>
      </c>
      <c r="U53" s="209">
        <v>17.823041113775435</v>
      </c>
      <c r="V53" s="209">
        <v>15.431697514377056</v>
      </c>
      <c r="W53" s="209">
        <v>14.170734791956493</v>
      </c>
      <c r="X53" s="202" t="s">
        <v>355</v>
      </c>
      <c r="Y53" s="208">
        <v>10.510995948683323</v>
      </c>
      <c r="Z53" s="209">
        <v>9.23</v>
      </c>
      <c r="AA53" s="209">
        <v>9.73</v>
      </c>
      <c r="AB53" s="209">
        <v>12.54</v>
      </c>
      <c r="AC53" s="209">
        <v>10.41</v>
      </c>
      <c r="AD53" s="202">
        <v>14</v>
      </c>
      <c r="AE53" s="210" t="s">
        <v>213</v>
      </c>
      <c r="CD53" s="279"/>
    </row>
    <row r="54" spans="2:82" ht="14.1" hidden="1" customHeight="1">
      <c r="B54" s="197" t="s">
        <v>368</v>
      </c>
      <c r="C54" s="208"/>
      <c r="D54" s="209"/>
      <c r="E54" s="209"/>
      <c r="F54" s="209"/>
      <c r="G54" s="209"/>
      <c r="H54" s="209"/>
      <c r="I54" s="209"/>
      <c r="J54" s="209"/>
      <c r="K54" s="209"/>
      <c r="L54" s="202"/>
      <c r="M54" s="208"/>
      <c r="N54" s="209"/>
      <c r="O54" s="209"/>
      <c r="P54" s="209"/>
      <c r="Q54" s="209"/>
      <c r="R54" s="209"/>
      <c r="S54" s="209"/>
      <c r="T54" s="209"/>
      <c r="U54" s="209"/>
      <c r="V54" s="209"/>
      <c r="W54" s="209"/>
      <c r="X54" s="202"/>
      <c r="Y54" s="208"/>
      <c r="Z54" s="209"/>
      <c r="AA54" s="209"/>
      <c r="AB54" s="209"/>
      <c r="AC54" s="209"/>
      <c r="AD54" s="202"/>
      <c r="AE54" s="197" t="s">
        <v>368</v>
      </c>
      <c r="CD54" s="279"/>
    </row>
    <row r="55" spans="2:82" ht="14.1" hidden="1" customHeight="1">
      <c r="B55" s="210" t="s">
        <v>187</v>
      </c>
      <c r="C55" s="208">
        <v>8.4148178394843711</v>
      </c>
      <c r="D55" s="209">
        <v>7.05</v>
      </c>
      <c r="E55" s="209">
        <v>10.422085563422144</v>
      </c>
      <c r="F55" s="209">
        <v>5.9787814820206728</v>
      </c>
      <c r="G55" s="209">
        <v>5.5849978118486536</v>
      </c>
      <c r="H55" s="209">
        <v>7.2784480559361269</v>
      </c>
      <c r="I55" s="209">
        <v>10.759115073863367</v>
      </c>
      <c r="J55" s="209">
        <v>8.9312029714765497</v>
      </c>
      <c r="K55" s="209">
        <v>8.9195751131408443</v>
      </c>
      <c r="L55" s="202">
        <v>10.9</v>
      </c>
      <c r="M55" s="208">
        <v>15.624518162033617</v>
      </c>
      <c r="N55" s="209">
        <v>14.782822943258052</v>
      </c>
      <c r="O55" s="209">
        <v>18.005412112681796</v>
      </c>
      <c r="P55" s="209">
        <v>17.651508349893735</v>
      </c>
      <c r="Q55" s="209">
        <v>20.03432698437263</v>
      </c>
      <c r="R55" s="209">
        <v>18.749061633537544</v>
      </c>
      <c r="S55" s="209">
        <v>15.819789215674401</v>
      </c>
      <c r="T55" s="209">
        <v>16.862449557883878</v>
      </c>
      <c r="U55" s="209">
        <v>14.788964803628181</v>
      </c>
      <c r="V55" s="209">
        <v>8.1490781856731225</v>
      </c>
      <c r="W55" s="209">
        <v>9.0695018404353824</v>
      </c>
      <c r="X55" s="202" t="s">
        <v>355</v>
      </c>
      <c r="Y55" s="208">
        <v>16.38</v>
      </c>
      <c r="Z55" s="209">
        <v>8</v>
      </c>
      <c r="AA55" s="209">
        <v>21.92</v>
      </c>
      <c r="AB55" s="209" t="s">
        <v>180</v>
      </c>
      <c r="AC55" s="209">
        <v>18.41</v>
      </c>
      <c r="AD55" s="202">
        <v>20</v>
      </c>
      <c r="AE55" s="210" t="s">
        <v>356</v>
      </c>
      <c r="CD55" s="279"/>
    </row>
    <row r="56" spans="2:82" ht="14.1" hidden="1" customHeight="1">
      <c r="B56" s="210" t="s">
        <v>357</v>
      </c>
      <c r="C56" s="208">
        <v>10.178527504086118</v>
      </c>
      <c r="D56" s="209">
        <v>6.7709291470640256</v>
      </c>
      <c r="E56" s="209">
        <v>10.753455432885044</v>
      </c>
      <c r="F56" s="209">
        <v>6.0755893660395746</v>
      </c>
      <c r="G56" s="209">
        <v>4.0530555698408621</v>
      </c>
      <c r="H56" s="209">
        <v>7.0455668898174784</v>
      </c>
      <c r="I56" s="209">
        <v>5.9968978181927772</v>
      </c>
      <c r="J56" s="209">
        <v>9.7982238072140717</v>
      </c>
      <c r="K56" s="209">
        <v>11.112685931746908</v>
      </c>
      <c r="L56" s="202">
        <v>14.83</v>
      </c>
      <c r="M56" s="208">
        <v>17.438986705997205</v>
      </c>
      <c r="N56" s="209">
        <v>15.744984857192614</v>
      </c>
      <c r="O56" s="209">
        <v>21.186121510474702</v>
      </c>
      <c r="P56" s="209">
        <v>18.306354510633316</v>
      </c>
      <c r="Q56" s="209">
        <v>15.420413278435912</v>
      </c>
      <c r="R56" s="209">
        <v>18.338800473630986</v>
      </c>
      <c r="S56" s="209">
        <v>14.93710511138916</v>
      </c>
      <c r="T56" s="209">
        <v>18.884729630720226</v>
      </c>
      <c r="U56" s="209">
        <v>17.912657104647774</v>
      </c>
      <c r="V56" s="209">
        <v>14.844100425044561</v>
      </c>
      <c r="W56" s="209">
        <v>16.765940883678137</v>
      </c>
      <c r="X56" s="202" t="s">
        <v>355</v>
      </c>
      <c r="Y56" s="208">
        <v>10.89</v>
      </c>
      <c r="Z56" s="209">
        <v>5.95</v>
      </c>
      <c r="AA56" s="209">
        <v>11.93</v>
      </c>
      <c r="AB56" s="209">
        <v>9.56</v>
      </c>
      <c r="AC56" s="209">
        <v>11.21</v>
      </c>
      <c r="AD56" s="202">
        <v>14</v>
      </c>
      <c r="AE56" s="210" t="s">
        <v>213</v>
      </c>
      <c r="CD56" s="279"/>
    </row>
    <row r="57" spans="2:82" ht="14.1" hidden="1" customHeight="1">
      <c r="B57" s="382"/>
      <c r="C57" s="383"/>
      <c r="D57" s="384"/>
      <c r="E57" s="384"/>
      <c r="F57" s="384"/>
      <c r="G57" s="384"/>
      <c r="H57" s="384"/>
      <c r="I57" s="384"/>
      <c r="J57" s="384"/>
      <c r="K57" s="384"/>
      <c r="L57" s="385"/>
      <c r="M57" s="386"/>
      <c r="N57" s="387"/>
      <c r="O57" s="387"/>
      <c r="P57" s="387"/>
      <c r="Q57" s="387"/>
      <c r="R57" s="387"/>
      <c r="S57" s="387"/>
      <c r="T57" s="387"/>
      <c r="U57" s="387"/>
      <c r="V57" s="387"/>
      <c r="W57" s="387"/>
      <c r="X57" s="385"/>
      <c r="Y57" s="383"/>
      <c r="Z57" s="387"/>
      <c r="AA57" s="387"/>
      <c r="AB57" s="387"/>
      <c r="AC57" s="387"/>
      <c r="AD57" s="387"/>
      <c r="AE57" s="437"/>
      <c r="CD57" s="279"/>
    </row>
    <row r="58" spans="2:82" ht="12.75" hidden="1" customHeight="1">
      <c r="B58" s="388" t="s">
        <v>1073</v>
      </c>
      <c r="C58" s="208"/>
      <c r="D58" s="209"/>
      <c r="E58" s="209"/>
      <c r="F58" s="209"/>
      <c r="G58" s="209"/>
      <c r="H58" s="209"/>
      <c r="I58" s="209"/>
      <c r="J58" s="209"/>
      <c r="K58" s="209"/>
      <c r="L58" s="202"/>
      <c r="M58" s="208"/>
      <c r="N58" s="209"/>
      <c r="O58" s="209"/>
      <c r="P58" s="209"/>
      <c r="Q58" s="209"/>
      <c r="R58" s="209"/>
      <c r="S58" s="209"/>
      <c r="T58" s="209"/>
      <c r="U58" s="209"/>
      <c r="V58" s="209"/>
      <c r="W58" s="209"/>
      <c r="X58" s="202"/>
      <c r="Y58" s="208"/>
      <c r="Z58" s="209"/>
      <c r="AA58" s="209"/>
      <c r="AB58" s="209"/>
      <c r="AC58" s="209"/>
      <c r="AD58" s="202"/>
      <c r="AE58" s="197" t="s">
        <v>1073</v>
      </c>
      <c r="CD58" s="279"/>
    </row>
    <row r="59" spans="2:82" ht="11.1" hidden="1" customHeight="1">
      <c r="B59" s="389" t="s">
        <v>187</v>
      </c>
      <c r="C59" s="208">
        <v>8.918581315234313</v>
      </c>
      <c r="D59" s="209">
        <v>7.406485775261797</v>
      </c>
      <c r="E59" s="209">
        <v>10.7</v>
      </c>
      <c r="F59" s="209">
        <v>8.7545741499612362</v>
      </c>
      <c r="G59" s="209">
        <v>7.3719052097678954</v>
      </c>
      <c r="H59" s="209">
        <v>7.3050304363979306</v>
      </c>
      <c r="I59" s="209">
        <v>10.818557960041034</v>
      </c>
      <c r="J59" s="209">
        <v>9.3755282615259095</v>
      </c>
      <c r="K59" s="209">
        <v>9.142993998295589</v>
      </c>
      <c r="L59" s="202">
        <v>10.9</v>
      </c>
      <c r="M59" s="208">
        <v>15.144352743166559</v>
      </c>
      <c r="N59" s="209">
        <v>14.358888795352891</v>
      </c>
      <c r="O59" s="209">
        <v>17.356171419984918</v>
      </c>
      <c r="P59" s="209">
        <v>16.458396691458191</v>
      </c>
      <c r="Q59" s="209">
        <v>18.3333995799658</v>
      </c>
      <c r="R59" s="209">
        <v>17.823933207736555</v>
      </c>
      <c r="S59" s="209">
        <v>15.760469125997316</v>
      </c>
      <c r="T59" s="209">
        <v>16.215656736048935</v>
      </c>
      <c r="U59" s="209">
        <v>14.290185030212877</v>
      </c>
      <c r="V59" s="209">
        <v>8.4156761216068858</v>
      </c>
      <c r="W59" s="209">
        <v>9.2942057344918929</v>
      </c>
      <c r="X59" s="202" t="s">
        <v>355</v>
      </c>
      <c r="Y59" s="208">
        <v>16.43</v>
      </c>
      <c r="Z59" s="209">
        <v>8</v>
      </c>
      <c r="AA59" s="209">
        <v>19.850000000000001</v>
      </c>
      <c r="AB59" s="209" t="s">
        <v>180</v>
      </c>
      <c r="AC59" s="209">
        <v>18.41</v>
      </c>
      <c r="AD59" s="202">
        <v>20</v>
      </c>
      <c r="AE59" s="210" t="s">
        <v>356</v>
      </c>
      <c r="CD59" s="279"/>
    </row>
    <row r="60" spans="2:82" ht="11.1" hidden="1" customHeight="1">
      <c r="B60" s="389" t="s">
        <v>357</v>
      </c>
      <c r="C60" s="208">
        <v>10.187015327247307</v>
      </c>
      <c r="D60" s="209">
        <v>6.8273483971875217</v>
      </c>
      <c r="E60" s="209">
        <v>10.71</v>
      </c>
      <c r="F60" s="209">
        <v>6.7811774603353845</v>
      </c>
      <c r="G60" s="209">
        <v>4.0869987221467934</v>
      </c>
      <c r="H60" s="209">
        <v>7.0543025124344485</v>
      </c>
      <c r="I60" s="209">
        <v>6.1726331281276421</v>
      </c>
      <c r="J60" s="209">
        <v>9.8902250446376989</v>
      </c>
      <c r="K60" s="209">
        <v>11.077580555278269</v>
      </c>
      <c r="L60" s="202">
        <v>14.83</v>
      </c>
      <c r="M60" s="208">
        <v>17.109675437909097</v>
      </c>
      <c r="N60" s="209">
        <v>15.368755212792308</v>
      </c>
      <c r="O60" s="209">
        <v>21.305548802787708</v>
      </c>
      <c r="P60" s="209">
        <v>17.711492648976407</v>
      </c>
      <c r="Q60" s="209">
        <v>15.467090851162794</v>
      </c>
      <c r="R60" s="209">
        <v>16.306540298678435</v>
      </c>
      <c r="S60" s="209">
        <v>14.891855752225869</v>
      </c>
      <c r="T60" s="209">
        <v>19.336790448127918</v>
      </c>
      <c r="U60" s="209">
        <v>17.31078483059953</v>
      </c>
      <c r="V60" s="209">
        <v>14.899583289549028</v>
      </c>
      <c r="W60" s="209">
        <v>15.06529972798953</v>
      </c>
      <c r="X60" s="202" t="s">
        <v>355</v>
      </c>
      <c r="Y60" s="208">
        <v>10.73</v>
      </c>
      <c r="Z60" s="209">
        <v>9.98</v>
      </c>
      <c r="AA60" s="209">
        <v>14.48</v>
      </c>
      <c r="AB60" s="209">
        <v>9.7200000000000006</v>
      </c>
      <c r="AC60" s="209">
        <v>10.34</v>
      </c>
      <c r="AD60" s="202">
        <v>14</v>
      </c>
      <c r="AE60" s="210" t="s">
        <v>213</v>
      </c>
      <c r="CD60" s="279"/>
    </row>
    <row r="61" spans="2:82" ht="11.1" hidden="1" customHeight="1">
      <c r="B61" s="388" t="s">
        <v>369</v>
      </c>
      <c r="C61" s="208"/>
      <c r="D61" s="209"/>
      <c r="E61" s="209"/>
      <c r="F61" s="209"/>
      <c r="G61" s="209"/>
      <c r="H61" s="209"/>
      <c r="I61" s="209"/>
      <c r="J61" s="209"/>
      <c r="K61" s="209"/>
      <c r="L61" s="202"/>
      <c r="M61" s="208"/>
      <c r="N61" s="209"/>
      <c r="O61" s="209"/>
      <c r="P61" s="209"/>
      <c r="Q61" s="209"/>
      <c r="R61" s="209"/>
      <c r="S61" s="209"/>
      <c r="T61" s="209"/>
      <c r="U61" s="209"/>
      <c r="V61" s="209"/>
      <c r="W61" s="209"/>
      <c r="X61" s="202"/>
      <c r="Y61" s="208"/>
      <c r="Z61" s="209"/>
      <c r="AA61" s="209"/>
      <c r="AB61" s="209"/>
      <c r="AC61" s="209"/>
      <c r="AD61" s="202"/>
      <c r="AE61" s="197" t="s">
        <v>369</v>
      </c>
      <c r="CD61" s="279"/>
    </row>
    <row r="62" spans="2:82" ht="11.1" hidden="1" customHeight="1">
      <c r="B62" s="389" t="s">
        <v>187</v>
      </c>
      <c r="C62" s="208">
        <v>8.8516109446285949</v>
      </c>
      <c r="D62" s="209">
        <v>7.2133972918151423</v>
      </c>
      <c r="E62" s="209">
        <v>10.74</v>
      </c>
      <c r="F62" s="209">
        <v>8.25</v>
      </c>
      <c r="G62" s="209">
        <v>4.833141904786137</v>
      </c>
      <c r="H62" s="209">
        <v>7.4175906144765911</v>
      </c>
      <c r="I62" s="209">
        <v>10.825556353194544</v>
      </c>
      <c r="J62" s="209">
        <v>9.5113147753547622</v>
      </c>
      <c r="K62" s="209">
        <v>9.3836685552407939</v>
      </c>
      <c r="L62" s="202">
        <v>10.9</v>
      </c>
      <c r="M62" s="208">
        <v>15.540641253059201</v>
      </c>
      <c r="N62" s="209">
        <v>14.583627497138178</v>
      </c>
      <c r="O62" s="209">
        <v>18.219189184615253</v>
      </c>
      <c r="P62" s="209">
        <v>18.724064361295955</v>
      </c>
      <c r="Q62" s="209">
        <v>18.505396977416822</v>
      </c>
      <c r="R62" s="209">
        <v>18.174006334174557</v>
      </c>
      <c r="S62" s="209">
        <v>15.462178549449986</v>
      </c>
      <c r="T62" s="209">
        <v>16.362618529407566</v>
      </c>
      <c r="U62" s="209">
        <v>15.296283416866785</v>
      </c>
      <c r="V62" s="209">
        <v>8.6713869630176781</v>
      </c>
      <c r="W62" s="209">
        <v>9.8730119552641735</v>
      </c>
      <c r="X62" s="202" t="s">
        <v>355</v>
      </c>
      <c r="Y62" s="208">
        <v>19.48</v>
      </c>
      <c r="Z62" s="209">
        <v>8</v>
      </c>
      <c r="AA62" s="209" t="s">
        <v>180</v>
      </c>
      <c r="AB62" s="209" t="s">
        <v>180</v>
      </c>
      <c r="AC62" s="209">
        <v>18.41</v>
      </c>
      <c r="AD62" s="202">
        <v>20</v>
      </c>
      <c r="AE62" s="210" t="s">
        <v>356</v>
      </c>
      <c r="CD62" s="279"/>
    </row>
    <row r="63" spans="2:82" ht="11.1" hidden="1" customHeight="1">
      <c r="B63" s="389" t="s">
        <v>357</v>
      </c>
      <c r="C63" s="208">
        <v>10.371434055040151</v>
      </c>
      <c r="D63" s="209">
        <v>6.7943042147931569</v>
      </c>
      <c r="E63" s="209">
        <v>10.88</v>
      </c>
      <c r="F63" s="209">
        <v>9.2152964377124142</v>
      </c>
      <c r="G63" s="209">
        <v>5.1185795209408598</v>
      </c>
      <c r="H63" s="209">
        <v>7.4297068191660305</v>
      </c>
      <c r="I63" s="209">
        <v>7.3149209285934544</v>
      </c>
      <c r="J63" s="209">
        <v>10.070711401349181</v>
      </c>
      <c r="K63" s="209">
        <v>11.064971337316056</v>
      </c>
      <c r="L63" s="202">
        <v>14.89</v>
      </c>
      <c r="M63" s="208">
        <v>17.473877674577377</v>
      </c>
      <c r="N63" s="209">
        <v>15.856708429460477</v>
      </c>
      <c r="O63" s="209">
        <v>20.898533558302848</v>
      </c>
      <c r="P63" s="209">
        <v>18.489503442249326</v>
      </c>
      <c r="Q63" s="209">
        <v>15.518512152388681</v>
      </c>
      <c r="R63" s="209">
        <v>16.44777343608995</v>
      </c>
      <c r="S63" s="209">
        <v>16.916138187626164</v>
      </c>
      <c r="T63" s="209">
        <v>19.449647408795933</v>
      </c>
      <c r="U63" s="209">
        <v>17.123234345919723</v>
      </c>
      <c r="V63" s="209">
        <v>15.178726006854175</v>
      </c>
      <c r="W63" s="209">
        <v>15.602682030728122</v>
      </c>
      <c r="X63" s="202" t="s">
        <v>355</v>
      </c>
      <c r="Y63" s="208">
        <v>10.83</v>
      </c>
      <c r="Z63" s="209">
        <v>2.4700000000000002</v>
      </c>
      <c r="AA63" s="209">
        <v>14.03</v>
      </c>
      <c r="AB63" s="209">
        <v>9.6199999999999992</v>
      </c>
      <c r="AC63" s="209">
        <v>10.86</v>
      </c>
      <c r="AD63" s="202">
        <v>14</v>
      </c>
      <c r="AE63" s="210" t="s">
        <v>213</v>
      </c>
      <c r="CD63" s="279"/>
    </row>
    <row r="64" spans="2:82" hidden="1">
      <c r="B64" s="388" t="s">
        <v>370</v>
      </c>
      <c r="C64" s="208"/>
      <c r="D64" s="209"/>
      <c r="E64" s="209"/>
      <c r="F64" s="209"/>
      <c r="G64" s="209"/>
      <c r="H64" s="209"/>
      <c r="I64" s="209"/>
      <c r="J64" s="209"/>
      <c r="K64" s="209"/>
      <c r="L64" s="202"/>
      <c r="M64" s="208"/>
      <c r="N64" s="209"/>
      <c r="O64" s="209"/>
      <c r="P64" s="209"/>
      <c r="Q64" s="209"/>
      <c r="R64" s="209"/>
      <c r="S64" s="209"/>
      <c r="T64" s="209"/>
      <c r="U64" s="209"/>
      <c r="V64" s="209"/>
      <c r="W64" s="209"/>
      <c r="X64" s="202"/>
      <c r="Y64" s="208"/>
      <c r="Z64" s="209"/>
      <c r="AA64" s="209"/>
      <c r="AB64" s="209"/>
      <c r="AC64" s="209"/>
      <c r="AD64" s="202"/>
      <c r="AE64" s="197" t="s">
        <v>370</v>
      </c>
    </row>
    <row r="65" spans="2:31" ht="11.1" hidden="1" customHeight="1">
      <c r="B65" s="389" t="s">
        <v>187</v>
      </c>
      <c r="C65" s="208">
        <v>9.4880483052747824</v>
      </c>
      <c r="D65" s="209">
        <v>8.0534562415252147</v>
      </c>
      <c r="E65" s="209">
        <v>11.029584083069281</v>
      </c>
      <c r="F65" s="209">
        <v>11.64018993012005</v>
      </c>
      <c r="G65" s="209">
        <v>5.2032060035676899</v>
      </c>
      <c r="H65" s="209">
        <v>7.2924383103304065</v>
      </c>
      <c r="I65" s="209">
        <v>11.038693528693527</v>
      </c>
      <c r="J65" s="209">
        <v>10.147678604796013</v>
      </c>
      <c r="K65" s="209">
        <v>9.77539869981252</v>
      </c>
      <c r="L65" s="202">
        <v>10.9</v>
      </c>
      <c r="M65" s="208">
        <v>16.033045886478778</v>
      </c>
      <c r="N65" s="209">
        <v>14.990661647203023</v>
      </c>
      <c r="O65" s="209">
        <v>18.901516662972824</v>
      </c>
      <c r="P65" s="209">
        <v>16.318436095659301</v>
      </c>
      <c r="Q65" s="209">
        <v>19.431080725210169</v>
      </c>
      <c r="R65" s="209">
        <v>18.825455081224028</v>
      </c>
      <c r="S65" s="209">
        <v>15.285190614850862</v>
      </c>
      <c r="T65" s="209">
        <v>17.620480456246582</v>
      </c>
      <c r="U65" s="209">
        <v>15.480826545407524</v>
      </c>
      <c r="V65" s="209">
        <v>8.6687657437974934</v>
      </c>
      <c r="W65" s="209">
        <v>9.4314004305002932</v>
      </c>
      <c r="X65" s="202" t="s">
        <v>355</v>
      </c>
      <c r="Y65" s="208">
        <v>19.03</v>
      </c>
      <c r="Z65" s="209">
        <v>13.19</v>
      </c>
      <c r="AA65" s="209">
        <v>10</v>
      </c>
      <c r="AB65" s="209">
        <v>15</v>
      </c>
      <c r="AC65" s="209">
        <v>18.41</v>
      </c>
      <c r="AD65" s="202">
        <v>20</v>
      </c>
      <c r="AE65" s="210" t="s">
        <v>356</v>
      </c>
    </row>
    <row r="66" spans="2:31" ht="11.1" hidden="1" customHeight="1">
      <c r="B66" s="389" t="s">
        <v>357</v>
      </c>
      <c r="C66" s="208">
        <v>10.717757360098522</v>
      </c>
      <c r="D66" s="209">
        <v>8.4241047755958292</v>
      </c>
      <c r="E66" s="209">
        <v>10.938439396149164</v>
      </c>
      <c r="F66" s="209">
        <v>10.921927091340814</v>
      </c>
      <c r="G66" s="209">
        <v>7.0238592803264499</v>
      </c>
      <c r="H66" s="209">
        <v>7.9840614701347938</v>
      </c>
      <c r="I66" s="209">
        <v>7.7179708509924687</v>
      </c>
      <c r="J66" s="209">
        <v>10.173587057595599</v>
      </c>
      <c r="K66" s="209">
        <v>11.164420551792082</v>
      </c>
      <c r="L66" s="202">
        <v>14.89</v>
      </c>
      <c r="M66" s="208">
        <v>18.161524482964442</v>
      </c>
      <c r="N66" s="209">
        <v>16.117413806505262</v>
      </c>
      <c r="O66" s="209">
        <v>21.857088071315836</v>
      </c>
      <c r="P66" s="209">
        <v>18.16483951316162</v>
      </c>
      <c r="Q66" s="209">
        <v>15.620391237781181</v>
      </c>
      <c r="R66" s="209">
        <v>17.896456919858515</v>
      </c>
      <c r="S66" s="209">
        <v>18.051989551033238</v>
      </c>
      <c r="T66" s="209">
        <v>20.402674490672137</v>
      </c>
      <c r="U66" s="209">
        <v>17.524889075751542</v>
      </c>
      <c r="V66" s="209">
        <v>15.936826929883999</v>
      </c>
      <c r="W66" s="209">
        <v>12.387354158825744</v>
      </c>
      <c r="X66" s="202" t="s">
        <v>355</v>
      </c>
      <c r="Y66" s="208">
        <v>10.92</v>
      </c>
      <c r="Z66" s="209">
        <v>3.27</v>
      </c>
      <c r="AA66" s="209">
        <v>12.96</v>
      </c>
      <c r="AB66" s="209">
        <v>10.47</v>
      </c>
      <c r="AC66" s="209">
        <v>11.01</v>
      </c>
      <c r="AD66" s="202">
        <v>14</v>
      </c>
      <c r="AE66" s="210" t="s">
        <v>213</v>
      </c>
    </row>
    <row r="67" spans="2:31" ht="11.1" hidden="1" customHeight="1">
      <c r="B67" s="388" t="s">
        <v>371</v>
      </c>
      <c r="C67" s="208"/>
      <c r="D67" s="209"/>
      <c r="E67" s="209"/>
      <c r="F67" s="209"/>
      <c r="G67" s="209"/>
      <c r="H67" s="209"/>
      <c r="I67" s="209"/>
      <c r="J67" s="209"/>
      <c r="K67" s="209"/>
      <c r="L67" s="202"/>
      <c r="M67" s="208"/>
      <c r="N67" s="209"/>
      <c r="O67" s="209"/>
      <c r="P67" s="209"/>
      <c r="Q67" s="209"/>
      <c r="R67" s="209"/>
      <c r="S67" s="209"/>
      <c r="T67" s="209"/>
      <c r="U67" s="209"/>
      <c r="V67" s="209"/>
      <c r="W67" s="209"/>
      <c r="X67" s="202"/>
      <c r="Y67" s="208"/>
      <c r="Z67" s="209"/>
      <c r="AA67" s="209"/>
      <c r="AB67" s="209"/>
      <c r="AC67" s="209"/>
      <c r="AD67" s="202"/>
      <c r="AE67" s="197" t="s">
        <v>371</v>
      </c>
    </row>
    <row r="68" spans="2:31" hidden="1">
      <c r="B68" s="389" t="s">
        <v>187</v>
      </c>
      <c r="C68" s="208">
        <v>10.506228710036384</v>
      </c>
      <c r="D68" s="209">
        <v>8.8922024662071433</v>
      </c>
      <c r="E68" s="209">
        <v>11.810650391799564</v>
      </c>
      <c r="F68" s="209">
        <v>10.646318431189448</v>
      </c>
      <c r="G68" s="209">
        <v>5.4461178748278041</v>
      </c>
      <c r="H68" s="209">
        <v>6.4159808494966857</v>
      </c>
      <c r="I68" s="209">
        <v>11.206603462489696</v>
      </c>
      <c r="J68" s="209">
        <v>10.597216797068436</v>
      </c>
      <c r="K68" s="209">
        <v>11.725115370085147</v>
      </c>
      <c r="L68" s="202">
        <v>10.9</v>
      </c>
      <c r="M68" s="208">
        <v>15.74050820202392</v>
      </c>
      <c r="N68" s="209">
        <v>14.753087078779707</v>
      </c>
      <c r="O68" s="209">
        <v>18.465912303758866</v>
      </c>
      <c r="P68" s="209">
        <v>16.329616100209023</v>
      </c>
      <c r="Q68" s="209">
        <v>19.005588674012834</v>
      </c>
      <c r="R68" s="209">
        <v>19.204548221378385</v>
      </c>
      <c r="S68" s="209">
        <v>15.630264455711636</v>
      </c>
      <c r="T68" s="209">
        <v>16.99012433868025</v>
      </c>
      <c r="U68" s="209">
        <v>15.39132273204153</v>
      </c>
      <c r="V68" s="209">
        <v>8.8755754953537558</v>
      </c>
      <c r="W68" s="209">
        <v>9.5884737389495562</v>
      </c>
      <c r="X68" s="202">
        <v>12</v>
      </c>
      <c r="Y68" s="208">
        <v>19.03</v>
      </c>
      <c r="Z68" s="209">
        <v>12.51</v>
      </c>
      <c r="AA68" s="209">
        <v>12.87</v>
      </c>
      <c r="AB68" s="209">
        <v>15</v>
      </c>
      <c r="AC68" s="209">
        <v>18.41</v>
      </c>
      <c r="AD68" s="202">
        <v>20</v>
      </c>
      <c r="AE68" s="210" t="s">
        <v>356</v>
      </c>
    </row>
    <row r="69" spans="2:31" hidden="1">
      <c r="B69" s="389" t="s">
        <v>357</v>
      </c>
      <c r="C69" s="208">
        <v>10.992092862441837</v>
      </c>
      <c r="D69" s="209">
        <v>8.6479797914899734</v>
      </c>
      <c r="E69" s="209">
        <v>11.18800192334688</v>
      </c>
      <c r="F69" s="209">
        <v>10.157713186011016</v>
      </c>
      <c r="G69" s="209">
        <v>6.8208979804946592</v>
      </c>
      <c r="H69" s="209">
        <v>7.8053081391375656</v>
      </c>
      <c r="I69" s="209">
        <v>8.3376851864347312</v>
      </c>
      <c r="J69" s="209">
        <v>10.304035703645249</v>
      </c>
      <c r="K69" s="209">
        <v>11.574503705797216</v>
      </c>
      <c r="L69" s="202">
        <v>14.89</v>
      </c>
      <c r="M69" s="208">
        <v>17.923410596244537</v>
      </c>
      <c r="N69" s="209">
        <v>15.881153750105765</v>
      </c>
      <c r="O69" s="209">
        <v>21.739713816162308</v>
      </c>
      <c r="P69" s="209">
        <v>18.560351011826963</v>
      </c>
      <c r="Q69" s="209">
        <v>15.237685600806417</v>
      </c>
      <c r="R69" s="209">
        <v>17.720901979258279</v>
      </c>
      <c r="S69" s="209">
        <v>17.483531869928282</v>
      </c>
      <c r="T69" s="209">
        <v>20.128854437265478</v>
      </c>
      <c r="U69" s="209">
        <v>17.424537211708476</v>
      </c>
      <c r="V69" s="209">
        <v>15.444049326761295</v>
      </c>
      <c r="W69" s="209">
        <v>16.42137825421133</v>
      </c>
      <c r="X69" s="202" t="s">
        <v>180</v>
      </c>
      <c r="Y69" s="208">
        <v>8.1470106236927595</v>
      </c>
      <c r="Z69" s="209">
        <v>8.01</v>
      </c>
      <c r="AA69" s="209">
        <v>11.19</v>
      </c>
      <c r="AB69" s="209">
        <v>13.08</v>
      </c>
      <c r="AC69" s="209">
        <v>11.93</v>
      </c>
      <c r="AD69" s="202">
        <v>10.119999999999999</v>
      </c>
      <c r="AE69" s="210" t="s">
        <v>213</v>
      </c>
    </row>
    <row r="70" spans="2:31" hidden="1">
      <c r="B70" s="388" t="s">
        <v>372</v>
      </c>
      <c r="C70" s="203"/>
      <c r="F70" s="209"/>
      <c r="G70" s="209"/>
      <c r="H70" s="209"/>
      <c r="I70" s="209"/>
      <c r="J70" s="209"/>
      <c r="K70" s="209"/>
      <c r="L70" s="202"/>
      <c r="M70" s="215"/>
      <c r="X70" s="196"/>
      <c r="Y70" s="203"/>
      <c r="Z70" s="209"/>
      <c r="AA70" s="209"/>
      <c r="AB70" s="209"/>
      <c r="AC70" s="209"/>
      <c r="AD70" s="202"/>
      <c r="AE70" s="197" t="s">
        <v>372</v>
      </c>
    </row>
    <row r="71" spans="2:31" ht="11.1" hidden="1" customHeight="1">
      <c r="B71" s="389" t="s">
        <v>187</v>
      </c>
      <c r="C71" s="208">
        <v>10.978901970427007</v>
      </c>
      <c r="D71" s="209">
        <v>9.9559597581794819</v>
      </c>
      <c r="E71" s="209">
        <v>11.794225129843484</v>
      </c>
      <c r="F71" s="209">
        <v>11.433895965558564</v>
      </c>
      <c r="G71" s="209">
        <v>10.755280274986779</v>
      </c>
      <c r="H71" s="209">
        <v>7.1211887962369058</v>
      </c>
      <c r="I71" s="209">
        <v>11.06912629070691</v>
      </c>
      <c r="J71" s="209">
        <v>11.490435904071054</v>
      </c>
      <c r="K71" s="209">
        <v>11.094969075759799</v>
      </c>
      <c r="L71" s="202">
        <v>10.9</v>
      </c>
      <c r="M71" s="208">
        <v>15.843438145856622</v>
      </c>
      <c r="N71" s="209">
        <v>14.770511569533927</v>
      </c>
      <c r="O71" s="209">
        <v>19.022665918719085</v>
      </c>
      <c r="P71" s="209">
        <v>14.443195509246959</v>
      </c>
      <c r="Q71" s="209">
        <v>18.974259431071225</v>
      </c>
      <c r="R71" s="209">
        <v>19.460259805238575</v>
      </c>
      <c r="S71" s="209">
        <v>14.708189444417812</v>
      </c>
      <c r="T71" s="209">
        <v>17.816656230947334</v>
      </c>
      <c r="U71" s="209">
        <v>15.699299386655813</v>
      </c>
      <c r="V71" s="209">
        <v>8.2952068586052441</v>
      </c>
      <c r="W71" s="209">
        <v>8.9668765895298783</v>
      </c>
      <c r="X71" s="202">
        <v>11.56</v>
      </c>
      <c r="Y71" s="215">
        <v>19.031592540524215</v>
      </c>
      <c r="Z71" s="209">
        <v>13.33</v>
      </c>
      <c r="AA71" s="209">
        <v>12.82</v>
      </c>
      <c r="AB71" s="209">
        <v>15</v>
      </c>
      <c r="AC71" s="209">
        <v>18.41</v>
      </c>
      <c r="AD71" s="202">
        <v>20</v>
      </c>
      <c r="AE71" s="210" t="s">
        <v>356</v>
      </c>
    </row>
    <row r="72" spans="2:31" ht="11.1" hidden="1" customHeight="1">
      <c r="B72" s="389" t="s">
        <v>357</v>
      </c>
      <c r="C72" s="208">
        <v>10.744750484707557</v>
      </c>
      <c r="D72" s="209">
        <v>6.9777276532268449</v>
      </c>
      <c r="E72" s="209">
        <v>11.156915667641059</v>
      </c>
      <c r="F72" s="209">
        <v>7.3111488175350887</v>
      </c>
      <c r="G72" s="209">
        <v>6.2376801766773458</v>
      </c>
      <c r="H72" s="209">
        <v>7.9124112021857931</v>
      </c>
      <c r="I72" s="209">
        <v>7.7495499021526424</v>
      </c>
      <c r="J72" s="209">
        <v>10.661152676484667</v>
      </c>
      <c r="K72" s="209">
        <v>11.308739604376848</v>
      </c>
      <c r="L72" s="202">
        <v>14.89</v>
      </c>
      <c r="M72" s="208">
        <v>17.77529163601935</v>
      </c>
      <c r="N72" s="209">
        <v>15.802690471919322</v>
      </c>
      <c r="O72" s="209">
        <v>21.74172746739119</v>
      </c>
      <c r="P72" s="209">
        <v>18.040060068285172</v>
      </c>
      <c r="Q72" s="209">
        <v>15.93600879694959</v>
      </c>
      <c r="R72" s="209">
        <v>17.889634777154143</v>
      </c>
      <c r="S72" s="209">
        <v>17.785614283830945</v>
      </c>
      <c r="T72" s="209">
        <v>19.871561388748852</v>
      </c>
      <c r="U72" s="209">
        <v>16.951298029522963</v>
      </c>
      <c r="V72" s="209">
        <v>15.08078989605052</v>
      </c>
      <c r="W72" s="209">
        <v>14.622507150851884</v>
      </c>
      <c r="X72" s="202" t="s">
        <v>93</v>
      </c>
      <c r="Y72" s="215">
        <v>12.017461148052869</v>
      </c>
      <c r="Z72" s="209">
        <v>4.7</v>
      </c>
      <c r="AA72" s="209">
        <v>11.08</v>
      </c>
      <c r="AB72" s="209">
        <v>14.48</v>
      </c>
      <c r="AC72" s="209">
        <v>12.55</v>
      </c>
      <c r="AD72" s="202">
        <v>10.59</v>
      </c>
      <c r="AE72" s="210" t="s">
        <v>213</v>
      </c>
    </row>
    <row r="73" spans="2:31" hidden="1">
      <c r="B73" s="388" t="s">
        <v>373</v>
      </c>
      <c r="C73" s="208"/>
      <c r="D73" s="209"/>
      <c r="E73" s="209"/>
      <c r="F73" s="209"/>
      <c r="G73" s="209"/>
      <c r="H73" s="209"/>
      <c r="I73" s="209"/>
      <c r="J73" s="209"/>
      <c r="K73" s="209"/>
      <c r="L73" s="202"/>
      <c r="M73" s="208"/>
      <c r="N73" s="209"/>
      <c r="O73" s="209"/>
      <c r="P73" s="209"/>
      <c r="Q73" s="209"/>
      <c r="R73" s="209"/>
      <c r="S73" s="209"/>
      <c r="T73" s="209"/>
      <c r="U73" s="209"/>
      <c r="V73" s="209"/>
      <c r="W73" s="209"/>
      <c r="X73" s="202"/>
      <c r="Y73" s="215"/>
      <c r="Z73" s="209"/>
      <c r="AA73" s="209"/>
      <c r="AB73" s="209"/>
      <c r="AC73" s="209"/>
      <c r="AD73" s="202"/>
      <c r="AE73" s="197" t="s">
        <v>373</v>
      </c>
    </row>
    <row r="74" spans="2:31" ht="11.1" hidden="1" customHeight="1">
      <c r="B74" s="389" t="s">
        <v>187</v>
      </c>
      <c r="C74" s="208">
        <v>10.89</v>
      </c>
      <c r="D74" s="209">
        <v>9.5</v>
      </c>
      <c r="E74" s="209">
        <v>11.88</v>
      </c>
      <c r="F74" s="209">
        <v>5.4899500416319729</v>
      </c>
      <c r="G74" s="209">
        <v>6.6753835993395709</v>
      </c>
      <c r="H74" s="209">
        <v>9.2025935329986339</v>
      </c>
      <c r="I74" s="209">
        <v>11.05399416909621</v>
      </c>
      <c r="J74" s="209">
        <v>11.007072606553866</v>
      </c>
      <c r="K74" s="209">
        <v>11.306002131598138</v>
      </c>
      <c r="L74" s="202">
        <v>10.9</v>
      </c>
      <c r="M74" s="208">
        <v>15.83</v>
      </c>
      <c r="N74" s="209">
        <v>14.52</v>
      </c>
      <c r="O74" s="209">
        <v>19.239999999999998</v>
      </c>
      <c r="P74" s="209">
        <v>17.351042519770832</v>
      </c>
      <c r="Q74" s="209">
        <v>18.15188123892154</v>
      </c>
      <c r="R74" s="209">
        <v>19.436487530359379</v>
      </c>
      <c r="S74" s="209">
        <v>14.432856727127765</v>
      </c>
      <c r="T74" s="209">
        <v>17.637887546700487</v>
      </c>
      <c r="U74" s="209">
        <v>15.71967738956501</v>
      </c>
      <c r="V74" s="209">
        <v>8.3912450116597874</v>
      </c>
      <c r="W74" s="209">
        <v>7.3218415618862158</v>
      </c>
      <c r="X74" s="202">
        <v>9.0500000000000007</v>
      </c>
      <c r="Y74" s="215">
        <v>19.031592540524215</v>
      </c>
      <c r="Z74" s="209">
        <v>14</v>
      </c>
      <c r="AA74" s="209">
        <v>12.75</v>
      </c>
      <c r="AB74" s="209">
        <v>15</v>
      </c>
      <c r="AC74" s="209">
        <v>18.41</v>
      </c>
      <c r="AD74" s="202">
        <v>20</v>
      </c>
      <c r="AE74" s="210" t="s">
        <v>356</v>
      </c>
    </row>
    <row r="75" spans="2:31" hidden="1">
      <c r="B75" s="389" t="s">
        <v>357</v>
      </c>
      <c r="C75" s="208">
        <v>10.84</v>
      </c>
      <c r="D75" s="209">
        <v>7.41</v>
      </c>
      <c r="E75" s="209">
        <v>11.2</v>
      </c>
      <c r="F75" s="209">
        <v>2.8273675014560276</v>
      </c>
      <c r="G75" s="209">
        <v>5.7241371331972974</v>
      </c>
      <c r="H75" s="209">
        <v>8.4446395348837218</v>
      </c>
      <c r="I75" s="209">
        <v>7.5900623494870185</v>
      </c>
      <c r="J75" s="209">
        <v>10.827716906826231</v>
      </c>
      <c r="K75" s="209">
        <v>11.418956118494089</v>
      </c>
      <c r="L75" s="202">
        <v>14.89</v>
      </c>
      <c r="M75" s="208">
        <v>17.53</v>
      </c>
      <c r="N75" s="209">
        <v>15.47</v>
      </c>
      <c r="O75" s="209">
        <v>21.64</v>
      </c>
      <c r="P75" s="209">
        <v>18.523294012400608</v>
      </c>
      <c r="Q75" s="209">
        <v>16.01743498328824</v>
      </c>
      <c r="R75" s="209">
        <v>17.789886639035345</v>
      </c>
      <c r="S75" s="209">
        <v>17.15052632037672</v>
      </c>
      <c r="T75" s="209">
        <v>19.516280153067711</v>
      </c>
      <c r="U75" s="209">
        <v>16.604389804147736</v>
      </c>
      <c r="V75" s="209">
        <v>15.743568847289653</v>
      </c>
      <c r="W75" s="209">
        <v>14.500107890839855</v>
      </c>
      <c r="X75" s="202" t="s">
        <v>93</v>
      </c>
      <c r="Y75" s="215">
        <v>11.83</v>
      </c>
      <c r="Z75" s="209">
        <v>1.9</v>
      </c>
      <c r="AA75" s="209">
        <v>11.26</v>
      </c>
      <c r="AB75" s="209">
        <v>12.84</v>
      </c>
      <c r="AC75" s="209">
        <v>12.53</v>
      </c>
      <c r="AD75" s="202">
        <v>11.4</v>
      </c>
      <c r="AE75" s="210" t="s">
        <v>213</v>
      </c>
    </row>
    <row r="76" spans="2:31" hidden="1">
      <c r="B76" s="390">
        <v>38899</v>
      </c>
      <c r="C76" s="208"/>
      <c r="D76" s="209"/>
      <c r="E76" s="209"/>
      <c r="F76" s="209"/>
      <c r="G76" s="209"/>
      <c r="H76" s="209"/>
      <c r="I76" s="209"/>
      <c r="J76" s="209"/>
      <c r="K76" s="209"/>
      <c r="L76" s="202"/>
      <c r="M76" s="208"/>
      <c r="N76" s="209"/>
      <c r="O76" s="209"/>
      <c r="P76" s="209"/>
      <c r="Q76" s="209"/>
      <c r="R76" s="209"/>
      <c r="S76" s="209"/>
      <c r="T76" s="209"/>
      <c r="U76" s="209"/>
      <c r="V76" s="209"/>
      <c r="W76" s="209"/>
      <c r="X76" s="202"/>
      <c r="Y76" s="215"/>
      <c r="Z76" s="209"/>
      <c r="AA76" s="209"/>
      <c r="AB76" s="209"/>
      <c r="AC76" s="209"/>
      <c r="AD76" s="202"/>
      <c r="AE76" s="397">
        <v>38899</v>
      </c>
    </row>
    <row r="77" spans="2:31" hidden="1">
      <c r="B77" s="389" t="s">
        <v>187</v>
      </c>
      <c r="C77" s="208">
        <v>10.956563254378409</v>
      </c>
      <c r="D77" s="209">
        <v>8.8841619870478699</v>
      </c>
      <c r="E77" s="209">
        <v>12.285445267172477</v>
      </c>
      <c r="F77" s="209">
        <v>10.713621993127148</v>
      </c>
      <c r="G77" s="209">
        <v>5.2217960271963744</v>
      </c>
      <c r="H77" s="209">
        <v>9.8433250316104068</v>
      </c>
      <c r="I77" s="209">
        <v>10.595919416658877</v>
      </c>
      <c r="J77" s="209">
        <v>10.025015887370261</v>
      </c>
      <c r="K77" s="209">
        <v>12.058844968818326</v>
      </c>
      <c r="L77" s="202">
        <v>10.9</v>
      </c>
      <c r="M77" s="208">
        <v>15.848713303456487</v>
      </c>
      <c r="N77" s="209">
        <v>14.465544119024944</v>
      </c>
      <c r="O77" s="209">
        <v>19.529792397332631</v>
      </c>
      <c r="P77" s="209">
        <v>17.801937675695118</v>
      </c>
      <c r="Q77" s="209">
        <v>17.99952422333261</v>
      </c>
      <c r="R77" s="209">
        <v>19.899679061066799</v>
      </c>
      <c r="S77" s="209">
        <v>14.974998661280747</v>
      </c>
      <c r="T77" s="209">
        <v>17.920717910870156</v>
      </c>
      <c r="U77" s="209">
        <v>15.88329490212722</v>
      </c>
      <c r="V77" s="209">
        <v>8.1401921860465123</v>
      </c>
      <c r="W77" s="209">
        <v>8.2725441342181032</v>
      </c>
      <c r="X77" s="202">
        <v>7.33</v>
      </c>
      <c r="Y77" s="215">
        <v>17.20020018478596</v>
      </c>
      <c r="Z77" s="209">
        <v>16.59</v>
      </c>
      <c r="AA77" s="209">
        <v>16.309999999999999</v>
      </c>
      <c r="AB77" s="209">
        <v>15.35</v>
      </c>
      <c r="AC77" s="209">
        <v>18.41</v>
      </c>
      <c r="AD77" s="202">
        <v>18.84</v>
      </c>
      <c r="AE77" s="210" t="s">
        <v>356</v>
      </c>
    </row>
    <row r="78" spans="2:31" hidden="1">
      <c r="B78" s="389" t="s">
        <v>357</v>
      </c>
      <c r="C78" s="208">
        <v>11.022342188044044</v>
      </c>
      <c r="D78" s="209">
        <v>7.3618534350587428</v>
      </c>
      <c r="E78" s="209">
        <v>11.345418678018929</v>
      </c>
      <c r="F78" s="209">
        <v>10.636136106288214</v>
      </c>
      <c r="G78" s="209">
        <v>6.3723783739704798</v>
      </c>
      <c r="H78" s="209">
        <v>8.0934232597941822</v>
      </c>
      <c r="I78" s="209">
        <v>8.5019872172231086</v>
      </c>
      <c r="J78" s="209">
        <v>10.898884685826927</v>
      </c>
      <c r="K78" s="209">
        <v>11.405602200063285</v>
      </c>
      <c r="L78" s="202">
        <v>14.89</v>
      </c>
      <c r="M78" s="208">
        <v>17.504595618916124</v>
      </c>
      <c r="N78" s="209">
        <v>15.311010153917714</v>
      </c>
      <c r="O78" s="209">
        <v>21.730896741302701</v>
      </c>
      <c r="P78" s="209">
        <v>17.252186710477925</v>
      </c>
      <c r="Q78" s="209">
        <v>15.908117090042657</v>
      </c>
      <c r="R78" s="209">
        <v>17.836853478060931</v>
      </c>
      <c r="S78" s="209">
        <v>17.235832469335776</v>
      </c>
      <c r="T78" s="209">
        <v>19.64960383945963</v>
      </c>
      <c r="U78" s="209">
        <v>16.515439961840094</v>
      </c>
      <c r="V78" s="209">
        <v>16.520076891245022</v>
      </c>
      <c r="W78" s="209">
        <v>14.377937052355493</v>
      </c>
      <c r="X78" s="202">
        <v>18.309999999999999</v>
      </c>
      <c r="Y78" s="215">
        <v>11.802995507607285</v>
      </c>
      <c r="Z78" s="209">
        <v>9.4700000000000006</v>
      </c>
      <c r="AA78" s="209">
        <v>12.68</v>
      </c>
      <c r="AB78" s="209">
        <v>13.01</v>
      </c>
      <c r="AC78" s="209">
        <v>12.13</v>
      </c>
      <c r="AD78" s="202">
        <v>11.4</v>
      </c>
      <c r="AE78" s="210" t="s">
        <v>213</v>
      </c>
    </row>
    <row r="79" spans="2:31" hidden="1">
      <c r="B79" s="390">
        <v>38930</v>
      </c>
      <c r="C79" s="203"/>
      <c r="F79" s="209"/>
      <c r="G79" s="209"/>
      <c r="H79" s="209"/>
      <c r="I79" s="209"/>
      <c r="J79" s="209"/>
      <c r="K79" s="209"/>
      <c r="L79" s="202"/>
      <c r="M79" s="215"/>
      <c r="X79" s="196"/>
      <c r="Y79" s="203"/>
      <c r="Z79" s="209"/>
      <c r="AA79" s="209"/>
      <c r="AB79" s="209"/>
      <c r="AC79" s="209"/>
      <c r="AD79" s="202"/>
      <c r="AE79" s="397">
        <v>38930</v>
      </c>
    </row>
    <row r="80" spans="2:31" hidden="1">
      <c r="B80" s="389" t="s">
        <v>187</v>
      </c>
      <c r="C80" s="208">
        <v>10.857274328192288</v>
      </c>
      <c r="D80" s="209">
        <v>8.6113851777270671</v>
      </c>
      <c r="E80" s="209">
        <v>12.121279826851636</v>
      </c>
      <c r="F80" s="209">
        <v>4.9000000000000004</v>
      </c>
      <c r="G80" s="209">
        <v>5.7955040847472841</v>
      </c>
      <c r="H80" s="209">
        <v>9.0059774024326984</v>
      </c>
      <c r="I80" s="209">
        <v>9.83543303096336</v>
      </c>
      <c r="J80" s="209">
        <v>11.053810199800838</v>
      </c>
      <c r="K80" s="209">
        <v>11.991753036413503</v>
      </c>
      <c r="L80" s="202">
        <v>6.5</v>
      </c>
      <c r="M80" s="208">
        <v>16.045133774254037</v>
      </c>
      <c r="N80" s="209">
        <v>14.74296659308003</v>
      </c>
      <c r="O80" s="209">
        <v>19.594459491261173</v>
      </c>
      <c r="P80" s="209">
        <v>15.528580135336121</v>
      </c>
      <c r="Q80" s="209">
        <v>17.990014150115748</v>
      </c>
      <c r="R80" s="209">
        <v>19.477058613112579</v>
      </c>
      <c r="S80" s="209">
        <v>15.112997808714992</v>
      </c>
      <c r="T80" s="209">
        <v>18.539756799803651</v>
      </c>
      <c r="U80" s="209">
        <v>16.551559590270781</v>
      </c>
      <c r="V80" s="209">
        <v>7.9636365106087617</v>
      </c>
      <c r="W80" s="209">
        <v>7.8387961969770839</v>
      </c>
      <c r="X80" s="202">
        <v>7.31</v>
      </c>
      <c r="Y80" s="208">
        <v>17.461670181987866</v>
      </c>
      <c r="Z80" s="209">
        <v>16.59</v>
      </c>
      <c r="AA80" s="209">
        <v>16.29</v>
      </c>
      <c r="AB80" s="209">
        <v>16</v>
      </c>
      <c r="AC80" s="209">
        <v>18.18</v>
      </c>
      <c r="AD80" s="202">
        <v>18.86</v>
      </c>
      <c r="AE80" s="210" t="s">
        <v>356</v>
      </c>
    </row>
    <row r="81" spans="2:31" hidden="1">
      <c r="B81" s="389" t="s">
        <v>357</v>
      </c>
      <c r="C81" s="208">
        <v>11.148588439466153</v>
      </c>
      <c r="D81" s="209">
        <v>7.7405032637998916</v>
      </c>
      <c r="E81" s="209">
        <v>11.429867077598477</v>
      </c>
      <c r="F81" s="209">
        <v>6.5059020235955938</v>
      </c>
      <c r="G81" s="209">
        <v>8.1286328992570098</v>
      </c>
      <c r="H81" s="209">
        <v>8.3611412030299928</v>
      </c>
      <c r="I81" s="209">
        <v>9.1984651249149021</v>
      </c>
      <c r="J81" s="209">
        <v>11.281950392575045</v>
      </c>
      <c r="K81" s="209">
        <v>11.504431609033764</v>
      </c>
      <c r="L81" s="202">
        <v>14.84</v>
      </c>
      <c r="M81" s="208">
        <v>17.457490939544698</v>
      </c>
      <c r="N81" s="209">
        <v>15.329563799085761</v>
      </c>
      <c r="O81" s="209">
        <v>21.693348245793015</v>
      </c>
      <c r="P81" s="209">
        <v>17.12211573083485</v>
      </c>
      <c r="Q81" s="209">
        <v>15.587791146330332</v>
      </c>
      <c r="R81" s="209">
        <v>17.674910925976612</v>
      </c>
      <c r="S81" s="209">
        <v>16.972778815509709</v>
      </c>
      <c r="T81" s="209">
        <v>19.658158022597679</v>
      </c>
      <c r="U81" s="209">
        <v>16.512212613777667</v>
      </c>
      <c r="V81" s="209"/>
      <c r="W81" s="209">
        <v>14.466466362489077</v>
      </c>
      <c r="X81" s="202">
        <v>18.309999999999999</v>
      </c>
      <c r="Y81" s="208">
        <v>12.922794260548514</v>
      </c>
      <c r="Z81" s="209">
        <v>8.14</v>
      </c>
      <c r="AA81" s="209">
        <v>10.97</v>
      </c>
      <c r="AB81" s="209">
        <v>12.7</v>
      </c>
      <c r="AC81" s="209">
        <v>15.14</v>
      </c>
      <c r="AD81" s="202">
        <v>12.48</v>
      </c>
      <c r="AE81" s="210" t="s">
        <v>213</v>
      </c>
    </row>
    <row r="82" spans="2:31" ht="11.1" hidden="1" customHeight="1">
      <c r="B82" s="390">
        <v>38961</v>
      </c>
      <c r="C82" s="203"/>
      <c r="F82" s="209"/>
      <c r="G82" s="209"/>
      <c r="H82" s="209"/>
      <c r="I82" s="209"/>
      <c r="J82" s="209"/>
      <c r="K82" s="209"/>
      <c r="L82" s="202"/>
      <c r="M82" s="215"/>
      <c r="X82" s="196"/>
      <c r="Y82" s="203"/>
      <c r="Z82" s="209"/>
      <c r="AA82" s="209"/>
      <c r="AB82" s="209"/>
      <c r="AC82" s="209"/>
      <c r="AD82" s="202"/>
      <c r="AE82" s="397">
        <v>38961</v>
      </c>
    </row>
    <row r="83" spans="2:31" hidden="1">
      <c r="B83" s="389" t="s">
        <v>187</v>
      </c>
      <c r="C83" s="208">
        <v>11.02721339764839</v>
      </c>
      <c r="D83" s="209">
        <v>8.9877920789301839</v>
      </c>
      <c r="E83" s="209">
        <v>12.111721799915449</v>
      </c>
      <c r="F83" s="209">
        <v>6.1539248142778051</v>
      </c>
      <c r="G83" s="209">
        <v>6.6224766213323472</v>
      </c>
      <c r="H83" s="209">
        <v>8.5082192812067667</v>
      </c>
      <c r="I83" s="209">
        <v>11.153243221611413</v>
      </c>
      <c r="J83" s="209">
        <v>10.794369104246124</v>
      </c>
      <c r="K83" s="209">
        <v>12.196280672940265</v>
      </c>
      <c r="L83" s="202">
        <v>6.5</v>
      </c>
      <c r="M83" s="208">
        <v>16.308161770610234</v>
      </c>
      <c r="N83" s="209">
        <v>14.888638408100737</v>
      </c>
      <c r="O83" s="209">
        <v>19.952516606294299</v>
      </c>
      <c r="P83" s="209">
        <v>18.839413331213077</v>
      </c>
      <c r="Q83" s="209">
        <v>17.586929226627632</v>
      </c>
      <c r="R83" s="209">
        <v>19.997690044542995</v>
      </c>
      <c r="S83" s="209">
        <v>15.027924928007829</v>
      </c>
      <c r="T83" s="209">
        <v>18.600837179073729</v>
      </c>
      <c r="U83" s="209">
        <v>17.136992609435143</v>
      </c>
      <c r="V83" s="209">
        <v>8.2242964363636588</v>
      </c>
      <c r="W83" s="209">
        <v>7.6818703395207031</v>
      </c>
      <c r="X83" s="202">
        <v>7.7516935036091059</v>
      </c>
      <c r="Y83" s="208">
        <v>16.916001290166513</v>
      </c>
      <c r="Z83" s="209">
        <v>15.31</v>
      </c>
      <c r="AA83" s="209">
        <v>16.29</v>
      </c>
      <c r="AB83" s="209">
        <v>16</v>
      </c>
      <c r="AC83" s="209">
        <v>18.16</v>
      </c>
      <c r="AD83" s="202">
        <v>18.87</v>
      </c>
      <c r="AE83" s="210" t="s">
        <v>356</v>
      </c>
    </row>
    <row r="84" spans="2:31" hidden="1">
      <c r="B84" s="389" t="s">
        <v>357</v>
      </c>
      <c r="C84" s="208">
        <v>11.05920263199787</v>
      </c>
      <c r="D84" s="209">
        <v>6.7258730094161328</v>
      </c>
      <c r="E84" s="209">
        <v>11.465307921816963</v>
      </c>
      <c r="F84" s="209">
        <v>5.406047771648443</v>
      </c>
      <c r="G84" s="209">
        <v>7.7604129383651186</v>
      </c>
      <c r="H84" s="209">
        <v>8.4725113643581071</v>
      </c>
      <c r="I84" s="209">
        <v>9.3456472870553071</v>
      </c>
      <c r="J84" s="209">
        <v>11.040814046923945</v>
      </c>
      <c r="K84" s="209">
        <v>11.594182302563022</v>
      </c>
      <c r="L84" s="202">
        <v>14.837924407431135</v>
      </c>
      <c r="M84" s="208">
        <v>17.147342819669948</v>
      </c>
      <c r="N84" s="209">
        <v>15.053588671866944</v>
      </c>
      <c r="O84" s="209">
        <v>21.55685497155304</v>
      </c>
      <c r="P84" s="209">
        <v>17.159867361176254</v>
      </c>
      <c r="Q84" s="209">
        <v>15.607120667925704</v>
      </c>
      <c r="R84" s="209">
        <v>17.151755265872051</v>
      </c>
      <c r="S84" s="209">
        <v>16.905840192324735</v>
      </c>
      <c r="T84" s="209">
        <v>19.372628494000377</v>
      </c>
      <c r="U84" s="209">
        <v>16.253407670842112</v>
      </c>
      <c r="V84" s="209">
        <v>16.196796657278227</v>
      </c>
      <c r="W84" s="209">
        <v>14.954261686718141</v>
      </c>
      <c r="X84" s="202">
        <v>18.309754706217909</v>
      </c>
      <c r="Y84" s="208">
        <v>12.429885540238766</v>
      </c>
      <c r="Z84" s="209">
        <v>8.0399999999999991</v>
      </c>
      <c r="AA84" s="209">
        <v>12.43</v>
      </c>
      <c r="AB84" s="209">
        <v>12.11</v>
      </c>
      <c r="AC84" s="209">
        <v>14.44</v>
      </c>
      <c r="AD84" s="202">
        <v>11.44</v>
      </c>
      <c r="AE84" s="210" t="s">
        <v>213</v>
      </c>
    </row>
    <row r="85" spans="2:31" hidden="1">
      <c r="B85" s="390">
        <v>38991</v>
      </c>
      <c r="C85" s="203"/>
      <c r="F85" s="209"/>
      <c r="G85" s="209"/>
      <c r="H85" s="209"/>
      <c r="I85" s="209"/>
      <c r="J85" s="209"/>
      <c r="K85" s="209"/>
      <c r="L85" s="202"/>
      <c r="M85" s="215"/>
      <c r="X85" s="196"/>
      <c r="Y85" s="203"/>
      <c r="Z85" s="209"/>
      <c r="AA85" s="209"/>
      <c r="AB85" s="209"/>
      <c r="AC85" s="209"/>
      <c r="AD85" s="202"/>
      <c r="AE85" s="397">
        <v>38991</v>
      </c>
    </row>
    <row r="86" spans="2:31" hidden="1">
      <c r="B86" s="389" t="s">
        <v>187</v>
      </c>
      <c r="C86" s="208">
        <v>10.7167799559739</v>
      </c>
      <c r="D86" s="209">
        <v>8.5666638502493058</v>
      </c>
      <c r="E86" s="209">
        <v>11.96345598334665</v>
      </c>
      <c r="F86" s="209">
        <v>6.7381507572166335</v>
      </c>
      <c r="G86" s="209">
        <v>6.10449234284222</v>
      </c>
      <c r="H86" s="209">
        <v>8.5718005032988263</v>
      </c>
      <c r="I86" s="209">
        <v>11.476816455373974</v>
      </c>
      <c r="J86" s="209">
        <v>10.657713267029541</v>
      </c>
      <c r="K86" s="209">
        <v>12.161694220667608</v>
      </c>
      <c r="L86" s="202">
        <v>6.5</v>
      </c>
      <c r="M86" s="208">
        <v>16.247945830899106</v>
      </c>
      <c r="N86" s="209">
        <v>14.762258523511882</v>
      </c>
      <c r="O86" s="209">
        <v>19.918664445107115</v>
      </c>
      <c r="P86" s="209">
        <v>17.926640510054206</v>
      </c>
      <c r="Q86" s="209">
        <v>16.509660361742686</v>
      </c>
      <c r="R86" s="209">
        <v>19.267072389091535</v>
      </c>
      <c r="S86" s="209">
        <v>14.964998556542309</v>
      </c>
      <c r="T86" s="209">
        <v>18.652714084534441</v>
      </c>
      <c r="U86" s="209">
        <v>17.198369031810095</v>
      </c>
      <c r="V86" s="209">
        <v>8.3183032564978809</v>
      </c>
      <c r="W86" s="209">
        <v>7.1774869942561139</v>
      </c>
      <c r="X86" s="202">
        <v>9.3894324853228959</v>
      </c>
      <c r="Y86" s="208">
        <v>16.264133889138755</v>
      </c>
      <c r="Z86" s="209">
        <v>15.103211009174313</v>
      </c>
      <c r="AA86" s="209">
        <v>16.805970149253731</v>
      </c>
      <c r="AB86" s="209">
        <v>12.55493998153278</v>
      </c>
      <c r="AC86" s="209">
        <v>18.18128686617241</v>
      </c>
      <c r="AD86" s="202">
        <v>18.894736842105264</v>
      </c>
      <c r="AE86" s="210" t="s">
        <v>356</v>
      </c>
    </row>
    <row r="87" spans="2:31" hidden="1">
      <c r="B87" s="389" t="s">
        <v>357</v>
      </c>
      <c r="C87" s="208">
        <v>11.470580449764423</v>
      </c>
      <c r="D87" s="209">
        <v>7.2258965261364629</v>
      </c>
      <c r="E87" s="209">
        <v>11.821780452865452</v>
      </c>
      <c r="F87" s="209">
        <v>5.5859428249446381</v>
      </c>
      <c r="G87" s="209">
        <v>7.8740611975221109</v>
      </c>
      <c r="H87" s="209">
        <v>8.4026765973512809</v>
      </c>
      <c r="I87" s="209">
        <v>9.8606029249516496</v>
      </c>
      <c r="J87" s="209">
        <v>11.348167670030657</v>
      </c>
      <c r="K87" s="209">
        <v>12.134935970931529</v>
      </c>
      <c r="L87" s="202">
        <v>14.831285954123871</v>
      </c>
      <c r="M87" s="208">
        <v>17.154112452122174</v>
      </c>
      <c r="N87" s="209">
        <v>15.022932249551328</v>
      </c>
      <c r="O87" s="209">
        <v>21.671710246132637</v>
      </c>
      <c r="P87" s="209">
        <v>17.259608904932033</v>
      </c>
      <c r="Q87" s="209">
        <v>15.810962426207528</v>
      </c>
      <c r="R87" s="209">
        <v>16.953818709064386</v>
      </c>
      <c r="S87" s="209">
        <v>17.00495948888517</v>
      </c>
      <c r="T87" s="209">
        <v>19.481355469935121</v>
      </c>
      <c r="U87" s="209">
        <v>16.125455935613157</v>
      </c>
      <c r="V87" s="209">
        <v>16.956617135561391</v>
      </c>
      <c r="W87" s="209">
        <v>15.635736885279682</v>
      </c>
      <c r="X87" s="202">
        <v>18.309851088201604</v>
      </c>
      <c r="Y87" s="208">
        <v>13.585176147972481</v>
      </c>
      <c r="Z87" s="209">
        <v>11.223799420255208</v>
      </c>
      <c r="AA87" s="209">
        <v>11.936875054343101</v>
      </c>
      <c r="AB87" s="209">
        <v>12.779637606091997</v>
      </c>
      <c r="AC87" s="209">
        <v>16.452606487718935</v>
      </c>
      <c r="AD87" s="202">
        <v>13.080033953399619</v>
      </c>
      <c r="AE87" s="210" t="s">
        <v>213</v>
      </c>
    </row>
    <row r="88" spans="2:31" hidden="1">
      <c r="B88" s="390">
        <v>39022</v>
      </c>
      <c r="C88" s="203"/>
      <c r="F88" s="209"/>
      <c r="G88" s="209"/>
      <c r="H88" s="209"/>
      <c r="I88" s="209"/>
      <c r="J88" s="209"/>
      <c r="K88" s="209"/>
      <c r="L88" s="202"/>
      <c r="M88" s="215"/>
      <c r="X88" s="196"/>
      <c r="Y88" s="203"/>
      <c r="Z88" s="209"/>
      <c r="AA88" s="209"/>
      <c r="AB88" s="209"/>
      <c r="AC88" s="209"/>
      <c r="AD88" s="202"/>
      <c r="AE88" s="397">
        <v>39022</v>
      </c>
    </row>
    <row r="89" spans="2:31" hidden="1">
      <c r="B89" s="389" t="s">
        <v>187</v>
      </c>
      <c r="C89" s="208">
        <v>10.460332231923816</v>
      </c>
      <c r="D89" s="209">
        <v>8.2766327513263924</v>
      </c>
      <c r="E89" s="209">
        <v>12.09140819408622</v>
      </c>
      <c r="F89" s="209">
        <v>6.5143072634547181</v>
      </c>
      <c r="G89" s="209">
        <v>6.3495465600253302</v>
      </c>
      <c r="H89" s="209">
        <v>8.4802431731948644</v>
      </c>
      <c r="I89" s="209">
        <v>9.4699061749501574</v>
      </c>
      <c r="J89" s="209">
        <v>10.615575874827645</v>
      </c>
      <c r="K89" s="209">
        <v>12.066358310370999</v>
      </c>
      <c r="L89" s="202">
        <v>9.8687138406764578</v>
      </c>
      <c r="M89" s="208">
        <v>16.307296177720321</v>
      </c>
      <c r="N89" s="209">
        <v>14.856727930431928</v>
      </c>
      <c r="O89" s="209">
        <v>19.547893316205375</v>
      </c>
      <c r="P89" s="209">
        <v>16.751514995424728</v>
      </c>
      <c r="Q89" s="209">
        <v>18.023599900655388</v>
      </c>
      <c r="R89" s="209">
        <v>19.110182366314</v>
      </c>
      <c r="S89" s="209">
        <v>14.605246524561338</v>
      </c>
      <c r="T89" s="209">
        <v>18.068819378665054</v>
      </c>
      <c r="U89" s="209">
        <v>17.398070101175524</v>
      </c>
      <c r="V89" s="209">
        <v>9.2049152013398707</v>
      </c>
      <c r="W89" s="209">
        <v>7.4530829293960128</v>
      </c>
      <c r="X89" s="202">
        <v>8.5469013184643092</v>
      </c>
      <c r="Y89" s="208">
        <v>16.226323570884212</v>
      </c>
      <c r="Z89" s="209">
        <v>14</v>
      </c>
      <c r="AA89" s="209">
        <v>16.79</v>
      </c>
      <c r="AB89" s="209">
        <v>13.78966009711511</v>
      </c>
      <c r="AC89" s="209">
        <v>18.410233219200205</v>
      </c>
      <c r="AD89" s="202">
        <v>18.907221929362152</v>
      </c>
      <c r="AE89" s="210" t="s">
        <v>356</v>
      </c>
    </row>
    <row r="90" spans="2:31" hidden="1">
      <c r="B90" s="389" t="s">
        <v>357</v>
      </c>
      <c r="C90" s="208">
        <v>11.296443751155259</v>
      </c>
      <c r="D90" s="209">
        <v>6.7896227618418168</v>
      </c>
      <c r="E90" s="209">
        <v>11.665148380184625</v>
      </c>
      <c r="F90" s="209">
        <v>5.6665298979026026</v>
      </c>
      <c r="G90" s="209">
        <v>7.724836389921121</v>
      </c>
      <c r="H90" s="209">
        <v>8.3941759514847227</v>
      </c>
      <c r="I90" s="209">
        <v>10.035353766481579</v>
      </c>
      <c r="J90" s="209">
        <v>11.164628360215547</v>
      </c>
      <c r="K90" s="209">
        <v>11.912865023580872</v>
      </c>
      <c r="L90" s="202">
        <v>14.84290939663795</v>
      </c>
      <c r="M90" s="208">
        <v>16.825046102604883</v>
      </c>
      <c r="N90" s="209">
        <v>14.757189231621728</v>
      </c>
      <c r="O90" s="209">
        <v>21.289146719046311</v>
      </c>
      <c r="P90" s="209">
        <v>17.041052280039128</v>
      </c>
      <c r="Q90" s="209">
        <v>15.54032179490191</v>
      </c>
      <c r="R90" s="209">
        <v>17.156593897724978</v>
      </c>
      <c r="S90" s="209">
        <v>16.522154771415877</v>
      </c>
      <c r="T90" s="209">
        <v>18.624009323462136</v>
      </c>
      <c r="U90" s="209">
        <v>16.028460444930634</v>
      </c>
      <c r="V90" s="209">
        <v>16.873831117757714</v>
      </c>
      <c r="W90" s="209">
        <v>15.867989676040532</v>
      </c>
      <c r="X90" s="202">
        <v>18.309851088201604</v>
      </c>
      <c r="Y90" s="208">
        <v>14.389741119892982</v>
      </c>
      <c r="Z90" s="209">
        <v>8.1324674815090923</v>
      </c>
      <c r="AA90" s="209">
        <v>11.584113560857748</v>
      </c>
      <c r="AB90" s="209">
        <v>14.219330194545616</v>
      </c>
      <c r="AC90" s="209">
        <v>16.452384385621588</v>
      </c>
      <c r="AD90" s="202">
        <v>15.329921983922164</v>
      </c>
      <c r="AE90" s="210" t="s">
        <v>213</v>
      </c>
    </row>
    <row r="91" spans="2:31" hidden="1">
      <c r="B91" s="390">
        <v>39052</v>
      </c>
      <c r="C91" s="203"/>
      <c r="F91" s="209"/>
      <c r="G91" s="209"/>
      <c r="H91" s="209"/>
      <c r="I91" s="209"/>
      <c r="J91" s="209"/>
      <c r="K91" s="209"/>
      <c r="L91" s="202"/>
      <c r="M91" s="215"/>
      <c r="X91" s="196"/>
      <c r="Y91" s="203"/>
      <c r="Z91" s="209"/>
      <c r="AA91" s="209"/>
      <c r="AB91" s="209"/>
      <c r="AC91" s="209"/>
      <c r="AD91" s="202"/>
      <c r="AE91" s="397">
        <v>39052</v>
      </c>
    </row>
    <row r="92" spans="2:31" ht="11.1" hidden="1" customHeight="1">
      <c r="B92" s="389" t="s">
        <v>187</v>
      </c>
      <c r="C92" s="208">
        <v>10.468600119025336</v>
      </c>
      <c r="D92" s="209">
        <v>8.2164658464514613</v>
      </c>
      <c r="E92" s="209">
        <v>12.075913805543339</v>
      </c>
      <c r="F92" s="209">
        <v>7.592864649916514</v>
      </c>
      <c r="G92" s="209">
        <v>6.3943886331993331</v>
      </c>
      <c r="H92" s="209">
        <v>7.4899729743343624</v>
      </c>
      <c r="I92" s="209">
        <v>8.8944883652370024</v>
      </c>
      <c r="J92" s="209">
        <v>10.529251033566469</v>
      </c>
      <c r="K92" s="209">
        <v>12.337970877129282</v>
      </c>
      <c r="L92" s="202">
        <v>10.927457098283933</v>
      </c>
      <c r="M92" s="208">
        <v>16.317944940218538</v>
      </c>
      <c r="N92" s="209">
        <v>14.747894136255614</v>
      </c>
      <c r="O92" s="209">
        <v>19.584366387824222</v>
      </c>
      <c r="P92" s="209">
        <v>15.656868498783329</v>
      </c>
      <c r="Q92" s="209">
        <v>16.944728189004891</v>
      </c>
      <c r="R92" s="209">
        <v>19.163910950376088</v>
      </c>
      <c r="S92" s="209">
        <v>14.113246242757905</v>
      </c>
      <c r="T92" s="209">
        <v>17.840910806432131</v>
      </c>
      <c r="U92" s="209">
        <v>17.94289753609927</v>
      </c>
      <c r="V92" s="209">
        <v>8.9182998160593527</v>
      </c>
      <c r="W92" s="209">
        <v>7.2278120689016454</v>
      </c>
      <c r="X92" s="202">
        <v>8.3672265501868779</v>
      </c>
      <c r="Y92" s="208">
        <v>17.235705201494103</v>
      </c>
      <c r="Z92" s="209">
        <v>17.103684210526314</v>
      </c>
      <c r="AA92" s="209">
        <v>14</v>
      </c>
      <c r="AB92" s="209">
        <v>15.825190562613431</v>
      </c>
      <c r="AC92" s="209">
        <v>18.18128686617241</v>
      </c>
      <c r="AD92" s="202">
        <v>18.919746568109819</v>
      </c>
      <c r="AE92" s="210" t="s">
        <v>356</v>
      </c>
    </row>
    <row r="93" spans="2:31" hidden="1">
      <c r="B93" s="389" t="s">
        <v>357</v>
      </c>
      <c r="C93" s="208">
        <v>11.340902771924531</v>
      </c>
      <c r="D93" s="209">
        <v>6.7421735630714519</v>
      </c>
      <c r="E93" s="209">
        <v>11.695936618144469</v>
      </c>
      <c r="F93" s="209">
        <v>6.1986568535494229</v>
      </c>
      <c r="G93" s="209">
        <v>7.6872396548908721</v>
      </c>
      <c r="H93" s="209">
        <v>8.3546887689630651</v>
      </c>
      <c r="I93" s="209">
        <v>10.11770399901663</v>
      </c>
      <c r="J93" s="209">
        <v>11.215799630494022</v>
      </c>
      <c r="K93" s="209">
        <v>11.900517194848453</v>
      </c>
      <c r="L93" s="202">
        <v>14.833311549055772</v>
      </c>
      <c r="M93" s="208">
        <v>16.984793797877586</v>
      </c>
      <c r="N93" s="209">
        <v>14.872920886460719</v>
      </c>
      <c r="O93" s="209">
        <v>21.401173283283384</v>
      </c>
      <c r="P93" s="209">
        <v>17.43889349710253</v>
      </c>
      <c r="Q93" s="209">
        <v>15.350995369755369</v>
      </c>
      <c r="R93" s="209">
        <v>17.72750959395281</v>
      </c>
      <c r="S93" s="209">
        <v>16.512505317822438</v>
      </c>
      <c r="T93" s="209">
        <v>18.974321355985172</v>
      </c>
      <c r="U93" s="209">
        <v>16.173388759178334</v>
      </c>
      <c r="V93" s="209">
        <v>17.040236036141092</v>
      </c>
      <c r="W93" s="209">
        <v>16.709960849370592</v>
      </c>
      <c r="X93" s="202">
        <v>18.309851088201604</v>
      </c>
      <c r="Y93" s="208">
        <v>14.858854453310999</v>
      </c>
      <c r="Z93" s="209">
        <v>8.7287459534453511</v>
      </c>
      <c r="AA93" s="209">
        <v>11.777505866577272</v>
      </c>
      <c r="AB93" s="209">
        <v>16.034476485035931</v>
      </c>
      <c r="AC93" s="209">
        <v>16.55273230375942</v>
      </c>
      <c r="AD93" s="202">
        <v>16.609012324382341</v>
      </c>
      <c r="AE93" s="210" t="s">
        <v>213</v>
      </c>
    </row>
    <row r="94" spans="2:31" hidden="1">
      <c r="B94" s="390">
        <v>39083</v>
      </c>
      <c r="C94" s="208"/>
      <c r="D94" s="209"/>
      <c r="E94" s="209"/>
      <c r="F94" s="209"/>
      <c r="G94" s="209"/>
      <c r="H94" s="209"/>
      <c r="I94" s="209"/>
      <c r="J94" s="209"/>
      <c r="K94" s="209"/>
      <c r="L94" s="202"/>
      <c r="M94" s="208"/>
      <c r="N94" s="209"/>
      <c r="O94" s="209"/>
      <c r="P94" s="209"/>
      <c r="Q94" s="209"/>
      <c r="R94" s="209"/>
      <c r="S94" s="209"/>
      <c r="T94" s="209"/>
      <c r="U94" s="209"/>
      <c r="V94" s="209"/>
      <c r="W94" s="209"/>
      <c r="X94" s="202"/>
      <c r="Y94" s="208"/>
      <c r="Z94" s="209"/>
      <c r="AA94" s="209"/>
      <c r="AB94" s="209"/>
      <c r="AC94" s="209"/>
      <c r="AD94" s="202"/>
      <c r="AE94" s="397">
        <v>39083</v>
      </c>
    </row>
    <row r="95" spans="2:31" hidden="1">
      <c r="B95" s="389" t="s">
        <v>187</v>
      </c>
      <c r="C95" s="208">
        <v>10.39</v>
      </c>
      <c r="D95" s="209">
        <v>8.4</v>
      </c>
      <c r="E95" s="209">
        <v>11.76</v>
      </c>
      <c r="F95" s="209">
        <v>8.9143137723279455</v>
      </c>
      <c r="G95" s="209">
        <v>7.89672176453234</v>
      </c>
      <c r="H95" s="209">
        <v>7.6387368133255364</v>
      </c>
      <c r="I95" s="209">
        <v>8.6002296504613973</v>
      </c>
      <c r="J95" s="209">
        <v>10.532505552590097</v>
      </c>
      <c r="K95" s="209">
        <v>12.163546499437119</v>
      </c>
      <c r="L95" s="202">
        <v>11.410714285714286</v>
      </c>
      <c r="M95" s="208">
        <v>16.498405055180786</v>
      </c>
      <c r="N95" s="209">
        <v>14.890413977526155</v>
      </c>
      <c r="O95" s="209">
        <v>20.103582681719313</v>
      </c>
      <c r="P95" s="209">
        <v>15.567957437877737</v>
      </c>
      <c r="Q95" s="209">
        <v>17.138169435766788</v>
      </c>
      <c r="R95" s="209">
        <v>18.908094367663182</v>
      </c>
      <c r="S95" s="209">
        <v>13.450462430847226</v>
      </c>
      <c r="T95" s="209">
        <v>18.309344413161309</v>
      </c>
      <c r="U95" s="209">
        <v>17.617437089869025</v>
      </c>
      <c r="V95" s="209">
        <v>9.6073166164199328</v>
      </c>
      <c r="W95" s="209">
        <v>7.2361382083307646</v>
      </c>
      <c r="X95" s="202">
        <v>7.7058774834437083</v>
      </c>
      <c r="Y95" s="208">
        <v>17.226960926964257</v>
      </c>
      <c r="Z95" s="209">
        <v>19.140789473684212</v>
      </c>
      <c r="AA95" s="209">
        <v>14.260869565217391</v>
      </c>
      <c r="AB95" s="209">
        <v>15.804959621502567</v>
      </c>
      <c r="AC95" s="209">
        <v>18.410233219200205</v>
      </c>
      <c r="AD95" s="202">
        <v>18.529280535415506</v>
      </c>
      <c r="AE95" s="210" t="s">
        <v>356</v>
      </c>
    </row>
    <row r="96" spans="2:31" hidden="1">
      <c r="B96" s="389" t="s">
        <v>357</v>
      </c>
      <c r="C96" s="208">
        <v>11.58</v>
      </c>
      <c r="D96" s="209">
        <v>8.5</v>
      </c>
      <c r="E96" s="209">
        <v>11.75</v>
      </c>
      <c r="F96" s="209">
        <v>11.025785026210038</v>
      </c>
      <c r="G96" s="209">
        <v>7.4138953359681521</v>
      </c>
      <c r="H96" s="209">
        <v>8.595540301394605</v>
      </c>
      <c r="I96" s="209">
        <v>7.9577504522501661</v>
      </c>
      <c r="J96" s="209">
        <v>11.583816390671231</v>
      </c>
      <c r="K96" s="209">
        <v>11.871718978327999</v>
      </c>
      <c r="L96" s="202">
        <v>14.902051219313268</v>
      </c>
      <c r="M96" s="208">
        <v>17.172992965899521</v>
      </c>
      <c r="N96" s="209">
        <v>14.807701386018321</v>
      </c>
      <c r="O96" s="209">
        <v>21.818686142101775</v>
      </c>
      <c r="P96" s="209">
        <v>16.980587235919582</v>
      </c>
      <c r="Q96" s="209">
        <v>15.239697205177942</v>
      </c>
      <c r="R96" s="209">
        <v>18.190893513491339</v>
      </c>
      <c r="S96" s="209">
        <v>15.883458725049309</v>
      </c>
      <c r="T96" s="209">
        <v>19.481609377067475</v>
      </c>
      <c r="U96" s="209">
        <v>16.443519429993081</v>
      </c>
      <c r="V96" s="209">
        <v>17.401057694423237</v>
      </c>
      <c r="W96" s="209">
        <v>16.74545047993881</v>
      </c>
      <c r="X96" s="202">
        <v>17.321462488129157</v>
      </c>
      <c r="Y96" s="208">
        <v>13.56</v>
      </c>
      <c r="Z96" s="209">
        <v>9.889504419191919</v>
      </c>
      <c r="AA96" s="209">
        <v>15.277525108963426</v>
      </c>
      <c r="AB96" s="209">
        <v>12.585533802681068</v>
      </c>
      <c r="AC96" s="209">
        <v>16.874947961215021</v>
      </c>
      <c r="AD96" s="202">
        <v>13.142741812006737</v>
      </c>
      <c r="AE96" s="210" t="s">
        <v>213</v>
      </c>
    </row>
    <row r="97" spans="2:31" hidden="1">
      <c r="B97" s="390">
        <v>39114</v>
      </c>
      <c r="C97" s="208"/>
      <c r="D97" s="209"/>
      <c r="E97" s="209"/>
      <c r="F97" s="209"/>
      <c r="G97" s="209"/>
      <c r="H97" s="209"/>
      <c r="I97" s="209"/>
      <c r="J97" s="209"/>
      <c r="K97" s="209"/>
      <c r="L97" s="202"/>
      <c r="M97" s="208"/>
      <c r="N97" s="209"/>
      <c r="O97" s="209"/>
      <c r="P97" s="209"/>
      <c r="Q97" s="209"/>
      <c r="R97" s="209"/>
      <c r="S97" s="209"/>
      <c r="T97" s="209"/>
      <c r="U97" s="209"/>
      <c r="V97" s="209"/>
      <c r="W97" s="209"/>
      <c r="X97" s="202"/>
      <c r="Y97" s="208"/>
      <c r="Z97" s="209"/>
      <c r="AA97" s="209"/>
      <c r="AB97" s="209"/>
      <c r="AC97" s="209"/>
      <c r="AD97" s="202"/>
      <c r="AE97" s="397">
        <v>39114</v>
      </c>
    </row>
    <row r="98" spans="2:31" hidden="1">
      <c r="B98" s="389" t="s">
        <v>187</v>
      </c>
      <c r="C98" s="208">
        <v>10.41</v>
      </c>
      <c r="D98" s="209">
        <v>8.5299999999999994</v>
      </c>
      <c r="E98" s="209">
        <v>11.81</v>
      </c>
      <c r="F98" s="209">
        <v>8.2167946574183031</v>
      </c>
      <c r="G98" s="209">
        <v>7.8615985507591839</v>
      </c>
      <c r="H98" s="209">
        <v>7.634243392765006</v>
      </c>
      <c r="I98" s="209">
        <v>8.8792047288025699</v>
      </c>
      <c r="J98" s="209">
        <v>10.770585497173986</v>
      </c>
      <c r="K98" s="209">
        <v>11.950218275684048</v>
      </c>
      <c r="L98" s="202">
        <v>10.7</v>
      </c>
      <c r="M98" s="208">
        <v>16.231999999999999</v>
      </c>
      <c r="N98" s="209">
        <v>14.91</v>
      </c>
      <c r="O98" s="209">
        <v>19.03</v>
      </c>
      <c r="P98" s="209">
        <v>14.947563967237322</v>
      </c>
      <c r="Q98" s="209">
        <v>16.894895114341534</v>
      </c>
      <c r="R98" s="209">
        <v>18.442730493155452</v>
      </c>
      <c r="S98" s="209">
        <v>14.395215530637214</v>
      </c>
      <c r="T98" s="209">
        <v>17.77468693082858</v>
      </c>
      <c r="U98" s="209">
        <v>17.322820327114798</v>
      </c>
      <c r="V98" s="209">
        <v>9.5234454360004399</v>
      </c>
      <c r="W98" s="209">
        <v>7.2605596274974005</v>
      </c>
      <c r="X98" s="202">
        <v>7.5709206994123202</v>
      </c>
      <c r="Y98" s="208">
        <v>16.89</v>
      </c>
      <c r="Z98" s="209">
        <v>16.559999999999999</v>
      </c>
      <c r="AA98" s="209">
        <v>14.260869565217391</v>
      </c>
      <c r="AB98" s="209">
        <v>15.73</v>
      </c>
      <c r="AC98" s="209">
        <v>18.410233219200205</v>
      </c>
      <c r="AD98" s="202">
        <v>18.95</v>
      </c>
      <c r="AE98" s="210" t="s">
        <v>356</v>
      </c>
    </row>
    <row r="99" spans="2:31" hidden="1">
      <c r="B99" s="389" t="s">
        <v>357</v>
      </c>
      <c r="C99" s="208">
        <v>11.51</v>
      </c>
      <c r="D99" s="209">
        <v>7.66</v>
      </c>
      <c r="E99" s="209">
        <v>11.75</v>
      </c>
      <c r="F99" s="209">
        <v>11.641820828258068</v>
      </c>
      <c r="G99" s="209">
        <v>7.4660936047471038</v>
      </c>
      <c r="H99" s="209">
        <v>8.5425079425195261</v>
      </c>
      <c r="I99" s="209">
        <v>7.9285576997591196</v>
      </c>
      <c r="J99" s="209">
        <v>11.371510871270896</v>
      </c>
      <c r="K99" s="209">
        <v>11.883503829963688</v>
      </c>
      <c r="L99" s="202">
        <v>14.902051219313268</v>
      </c>
      <c r="M99" s="208">
        <v>16.63</v>
      </c>
      <c r="N99" s="209">
        <v>14.56</v>
      </c>
      <c r="O99" s="209">
        <v>21.07</v>
      </c>
      <c r="P99" s="209">
        <v>16.13759302747928</v>
      </c>
      <c r="Q99" s="209">
        <v>15.738282601473667</v>
      </c>
      <c r="R99" s="209">
        <v>17.517978229477947</v>
      </c>
      <c r="S99" s="209">
        <v>15.588892434792248</v>
      </c>
      <c r="T99" s="209">
        <v>17.861750031687794</v>
      </c>
      <c r="U99" s="209">
        <v>16.16095336536895</v>
      </c>
      <c r="V99" s="209">
        <v>17.008938930619486</v>
      </c>
      <c r="W99" s="209">
        <v>16.76438167406538</v>
      </c>
      <c r="X99" s="202">
        <v>17.268595041322314</v>
      </c>
      <c r="Y99" s="208">
        <v>14.07</v>
      </c>
      <c r="Z99" s="209">
        <v>7.63</v>
      </c>
      <c r="AA99" s="209">
        <v>16.27</v>
      </c>
      <c r="AB99" s="209">
        <v>11.08</v>
      </c>
      <c r="AC99" s="209">
        <v>16.11</v>
      </c>
      <c r="AD99" s="202">
        <v>16.510000000000002</v>
      </c>
      <c r="AE99" s="210" t="s">
        <v>213</v>
      </c>
    </row>
    <row r="100" spans="2:31" hidden="1">
      <c r="B100" s="390">
        <v>39142</v>
      </c>
      <c r="C100" s="208"/>
      <c r="D100" s="209"/>
      <c r="E100" s="209"/>
      <c r="F100" s="209"/>
      <c r="G100" s="209"/>
      <c r="H100" s="209"/>
      <c r="I100" s="209"/>
      <c r="J100" s="209"/>
      <c r="K100" s="209"/>
      <c r="L100" s="202"/>
      <c r="M100" s="208"/>
      <c r="N100" s="209"/>
      <c r="O100" s="209"/>
      <c r="P100" s="209"/>
      <c r="Q100" s="209"/>
      <c r="R100" s="209"/>
      <c r="S100" s="209"/>
      <c r="T100" s="209"/>
      <c r="U100" s="209"/>
      <c r="V100" s="209"/>
      <c r="W100" s="209"/>
      <c r="X100" s="202"/>
      <c r="Y100" s="208"/>
      <c r="Z100" s="209"/>
      <c r="AA100" s="209"/>
      <c r="AB100" s="209"/>
      <c r="AC100" s="209"/>
      <c r="AD100" s="202"/>
      <c r="AE100" s="397">
        <v>39142</v>
      </c>
    </row>
    <row r="101" spans="2:31" hidden="1">
      <c r="B101" s="389" t="s">
        <v>187</v>
      </c>
      <c r="C101" s="208">
        <v>10.45</v>
      </c>
      <c r="D101" s="209">
        <v>8.61</v>
      </c>
      <c r="E101" s="209">
        <v>11.56</v>
      </c>
      <c r="F101" s="209">
        <v>7.5984972069385535</v>
      </c>
      <c r="G101" s="209">
        <v>7.8565376391618349</v>
      </c>
      <c r="H101" s="209">
        <v>7.7697583351641279</v>
      </c>
      <c r="I101" s="209">
        <v>8.7980237995067707</v>
      </c>
      <c r="J101" s="209">
        <v>10.78382770363053</v>
      </c>
      <c r="K101" s="209">
        <v>12.341355004779921</v>
      </c>
      <c r="L101" s="202">
        <v>10.7</v>
      </c>
      <c r="M101" s="208">
        <v>16.32</v>
      </c>
      <c r="N101" s="209">
        <v>14.96</v>
      </c>
      <c r="O101" s="209">
        <v>19.41</v>
      </c>
      <c r="P101" s="209">
        <v>14.47993542325926</v>
      </c>
      <c r="Q101" s="209">
        <v>16.050089848315807</v>
      </c>
      <c r="R101" s="209">
        <v>18.586534364367171</v>
      </c>
      <c r="S101" s="209">
        <v>14.938374454149628</v>
      </c>
      <c r="T101" s="209">
        <v>18.579650724460894</v>
      </c>
      <c r="U101" s="209">
        <v>17.125955662919655</v>
      </c>
      <c r="V101" s="209">
        <v>9.1877589725265842</v>
      </c>
      <c r="W101" s="209">
        <v>7.2406476951495726</v>
      </c>
      <c r="X101" s="202">
        <v>6.3298268374893327</v>
      </c>
      <c r="Y101" s="208">
        <v>17.398744831890159</v>
      </c>
      <c r="Z101" s="209">
        <v>17.2</v>
      </c>
      <c r="AA101" s="209">
        <v>16.752950926226841</v>
      </c>
      <c r="AB101" s="209">
        <v>15</v>
      </c>
      <c r="AC101" s="209">
        <v>18.410233219200205</v>
      </c>
      <c r="AD101" s="202">
        <v>18.96</v>
      </c>
      <c r="AE101" s="210" t="s">
        <v>356</v>
      </c>
    </row>
    <row r="102" spans="2:31" hidden="1">
      <c r="B102" s="389" t="s">
        <v>357</v>
      </c>
      <c r="C102" s="208">
        <v>11.69</v>
      </c>
      <c r="D102" s="209">
        <v>8.7799999999999994</v>
      </c>
      <c r="E102" s="209">
        <v>11.84</v>
      </c>
      <c r="F102" s="209">
        <v>10.753812419244509</v>
      </c>
      <c r="G102" s="209">
        <v>7.3371263080353986</v>
      </c>
      <c r="H102" s="209">
        <v>8.6552018270799351</v>
      </c>
      <c r="I102" s="209">
        <v>8.1295334977651468</v>
      </c>
      <c r="J102" s="209">
        <v>11.784163928088152</v>
      </c>
      <c r="K102" s="209">
        <v>11.880735648142839</v>
      </c>
      <c r="L102" s="202">
        <v>14.91</v>
      </c>
      <c r="M102" s="208">
        <v>16.84</v>
      </c>
      <c r="N102" s="209">
        <v>14.63</v>
      </c>
      <c r="O102" s="209">
        <v>21.66</v>
      </c>
      <c r="P102" s="209">
        <v>16.31780309308218</v>
      </c>
      <c r="Q102" s="209">
        <v>15.960063151731521</v>
      </c>
      <c r="R102" s="209">
        <v>17.46337330516582</v>
      </c>
      <c r="S102" s="209">
        <v>15.955189448848259</v>
      </c>
      <c r="T102" s="209">
        <v>18.479915384270122</v>
      </c>
      <c r="U102" s="209">
        <v>16.181399041165164</v>
      </c>
      <c r="V102" s="209">
        <v>17.181429715241933</v>
      </c>
      <c r="W102" s="209">
        <v>16.279590918522686</v>
      </c>
      <c r="X102" s="202">
        <v>17.140799999999999</v>
      </c>
      <c r="Y102" s="208">
        <v>14.008646912128242</v>
      </c>
      <c r="Z102" s="209">
        <v>10.88</v>
      </c>
      <c r="AA102" s="209">
        <v>17.04</v>
      </c>
      <c r="AB102" s="209">
        <v>10.45</v>
      </c>
      <c r="AC102" s="209">
        <v>16.02</v>
      </c>
      <c r="AD102" s="202">
        <v>13.51</v>
      </c>
      <c r="AE102" s="210" t="s">
        <v>213</v>
      </c>
    </row>
    <row r="103" spans="2:31" hidden="1">
      <c r="B103" s="390">
        <v>39173</v>
      </c>
      <c r="C103" s="208"/>
      <c r="D103" s="209"/>
      <c r="E103" s="209"/>
      <c r="F103" s="209"/>
      <c r="G103" s="209"/>
      <c r="H103" s="209"/>
      <c r="I103" s="209"/>
      <c r="J103" s="209"/>
      <c r="K103" s="209"/>
      <c r="L103" s="202"/>
      <c r="M103" s="208"/>
      <c r="N103" s="209"/>
      <c r="O103" s="209"/>
      <c r="P103" s="209"/>
      <c r="Q103" s="209"/>
      <c r="R103" s="209"/>
      <c r="S103" s="209"/>
      <c r="T103" s="209"/>
      <c r="U103" s="209"/>
      <c r="V103" s="209"/>
      <c r="W103" s="209"/>
      <c r="X103" s="202"/>
      <c r="Y103" s="208"/>
      <c r="Z103" s="209"/>
      <c r="AA103" s="209"/>
      <c r="AB103" s="209"/>
      <c r="AC103" s="209"/>
      <c r="AD103" s="202"/>
      <c r="AE103" s="397">
        <v>39173</v>
      </c>
    </row>
    <row r="104" spans="2:31" hidden="1">
      <c r="B104" s="389" t="s">
        <v>187</v>
      </c>
      <c r="C104" s="208">
        <v>10.59</v>
      </c>
      <c r="D104" s="209">
        <v>8.94</v>
      </c>
      <c r="E104" s="209">
        <v>11.66</v>
      </c>
      <c r="F104" s="209">
        <v>7.8287345094467256</v>
      </c>
      <c r="G104" s="209">
        <v>8.4584769596536002</v>
      </c>
      <c r="H104" s="209">
        <v>8.7551002389635713</v>
      </c>
      <c r="I104" s="209">
        <v>8.8526721355381408</v>
      </c>
      <c r="J104" s="209">
        <v>10.80974967598533</v>
      </c>
      <c r="K104" s="209">
        <v>12.818537923739255</v>
      </c>
      <c r="L104" s="202">
        <v>10.96039603960396</v>
      </c>
      <c r="M104" s="208">
        <v>15.279164069508514</v>
      </c>
      <c r="N104" s="209">
        <v>13.55</v>
      </c>
      <c r="O104" s="209">
        <v>19.11</v>
      </c>
      <c r="P104" s="209">
        <v>14.100952871443109</v>
      </c>
      <c r="Q104" s="209">
        <v>5.7485670103469353</v>
      </c>
      <c r="R104" s="209">
        <v>18.263468422824111</v>
      </c>
      <c r="S104" s="209">
        <v>16.500429290467959</v>
      </c>
      <c r="T104" s="209">
        <v>18.853696421315149</v>
      </c>
      <c r="U104" s="209">
        <v>17.006648924590483</v>
      </c>
      <c r="V104" s="209">
        <v>8.7841631149790107</v>
      </c>
      <c r="W104" s="209">
        <v>7.2577645263687467</v>
      </c>
      <c r="X104" s="202">
        <v>6.0422006218935929</v>
      </c>
      <c r="Y104" s="208">
        <v>18.037256555388705</v>
      </c>
      <c r="Z104" s="209">
        <v>18.68</v>
      </c>
      <c r="AA104" s="209">
        <v>16.551392665842606</v>
      </c>
      <c r="AB104" s="209">
        <v>15.25</v>
      </c>
      <c r="AC104" s="209">
        <v>18.410233219200205</v>
      </c>
      <c r="AD104" s="202">
        <v>19</v>
      </c>
      <c r="AE104" s="210" t="s">
        <v>356</v>
      </c>
    </row>
    <row r="105" spans="2:31" hidden="1">
      <c r="B105" s="389" t="s">
        <v>357</v>
      </c>
      <c r="C105" s="208">
        <v>12.2</v>
      </c>
      <c r="D105" s="209">
        <v>7.22</v>
      </c>
      <c r="E105" s="209">
        <v>12.46</v>
      </c>
      <c r="F105" s="209">
        <v>13.870724262918564</v>
      </c>
      <c r="G105" s="209">
        <v>7.0420980204181154</v>
      </c>
      <c r="H105" s="209">
        <v>8.5753895940848874</v>
      </c>
      <c r="I105" s="209">
        <v>8.9652083489484209</v>
      </c>
      <c r="J105" s="209">
        <v>11.454412411344986</v>
      </c>
      <c r="K105" s="209">
        <v>12.835454227652253</v>
      </c>
      <c r="L105" s="202">
        <v>14.900707126381535</v>
      </c>
      <c r="M105" s="208">
        <v>16.36</v>
      </c>
      <c r="N105" s="209">
        <v>14.04</v>
      </c>
      <c r="O105" s="209">
        <v>21.84</v>
      </c>
      <c r="P105" s="209">
        <v>16.393949539511148</v>
      </c>
      <c r="Q105" s="209">
        <v>15.133670492861661</v>
      </c>
      <c r="R105" s="209">
        <v>17.271937363932444</v>
      </c>
      <c r="S105" s="209">
        <v>15.618680731647848</v>
      </c>
      <c r="T105" s="209">
        <v>19.561208516001891</v>
      </c>
      <c r="U105" s="209">
        <v>15.371241097003972</v>
      </c>
      <c r="V105" s="209">
        <v>17.224975426576865</v>
      </c>
      <c r="W105" s="209">
        <v>16.243933244049725</v>
      </c>
      <c r="X105" s="202">
        <v>17</v>
      </c>
      <c r="Y105" s="208">
        <v>13.46</v>
      </c>
      <c r="Z105" s="209">
        <v>11.75</v>
      </c>
      <c r="AA105" s="209">
        <v>11.2</v>
      </c>
      <c r="AB105" s="209">
        <v>11.32</v>
      </c>
      <c r="AC105" s="209">
        <v>16.02</v>
      </c>
      <c r="AD105" s="202">
        <v>13.54</v>
      </c>
      <c r="AE105" s="210" t="s">
        <v>213</v>
      </c>
    </row>
    <row r="106" spans="2:31" hidden="1">
      <c r="B106" s="390">
        <v>39203</v>
      </c>
      <c r="C106" s="208"/>
      <c r="D106" s="209"/>
      <c r="E106" s="209"/>
      <c r="F106" s="209"/>
      <c r="G106" s="209"/>
      <c r="H106" s="209"/>
      <c r="I106" s="209"/>
      <c r="J106" s="209"/>
      <c r="K106" s="209"/>
      <c r="L106" s="202"/>
      <c r="M106" s="208"/>
      <c r="N106" s="209"/>
      <c r="O106" s="209"/>
      <c r="P106" s="209"/>
      <c r="Q106" s="209"/>
      <c r="R106" s="209"/>
      <c r="S106" s="209"/>
      <c r="T106" s="209"/>
      <c r="U106" s="209"/>
      <c r="V106" s="209"/>
      <c r="W106" s="209"/>
      <c r="X106" s="202"/>
      <c r="Y106" s="208"/>
      <c r="Z106" s="209"/>
      <c r="AA106" s="209"/>
      <c r="AB106" s="209"/>
      <c r="AC106" s="209"/>
      <c r="AD106" s="202"/>
      <c r="AE106" s="397">
        <v>39203</v>
      </c>
    </row>
    <row r="107" spans="2:31" hidden="1">
      <c r="B107" s="389" t="s">
        <v>187</v>
      </c>
      <c r="C107" s="208">
        <v>10.92</v>
      </c>
      <c r="D107" s="209">
        <v>9.48</v>
      </c>
      <c r="E107" s="209">
        <v>11.9</v>
      </c>
      <c r="F107" s="209">
        <v>7.5311148336001956</v>
      </c>
      <c r="G107" s="209">
        <v>8.1138966067771712</v>
      </c>
      <c r="H107" s="209">
        <v>9.5965435437098634</v>
      </c>
      <c r="I107" s="209">
        <v>9.0047561028704006</v>
      </c>
      <c r="J107" s="209">
        <v>11.169279311625242</v>
      </c>
      <c r="K107" s="209">
        <v>12.76243578415118</v>
      </c>
      <c r="L107" s="202">
        <v>10.836206896551724</v>
      </c>
      <c r="M107" s="208">
        <v>15.46</v>
      </c>
      <c r="N107" s="209">
        <v>13.93</v>
      </c>
      <c r="O107" s="209">
        <v>18.8</v>
      </c>
      <c r="P107" s="209">
        <v>14.43242738235616</v>
      </c>
      <c r="Q107" s="209">
        <v>5.7375511517970361</v>
      </c>
      <c r="R107" s="209">
        <v>18.489895722197534</v>
      </c>
      <c r="S107" s="209">
        <v>16.670629572386698</v>
      </c>
      <c r="T107" s="209">
        <v>19.28855004975733</v>
      </c>
      <c r="U107" s="209">
        <v>17.130788516199264</v>
      </c>
      <c r="V107" s="209">
        <v>9.6250494017274146</v>
      </c>
      <c r="W107" s="209">
        <v>7.266384793530194</v>
      </c>
      <c r="X107" s="202">
        <v>5.9585169107666811</v>
      </c>
      <c r="Y107" s="208">
        <v>17.294305363803971</v>
      </c>
      <c r="Z107" s="209">
        <v>19.13</v>
      </c>
      <c r="AA107" s="209">
        <v>16.37</v>
      </c>
      <c r="AB107" s="209">
        <v>17.63</v>
      </c>
      <c r="AC107" s="209">
        <v>18.410233219200205</v>
      </c>
      <c r="AD107" s="202">
        <v>19.02</v>
      </c>
      <c r="AE107" s="210" t="s">
        <v>356</v>
      </c>
    </row>
    <row r="108" spans="2:31" hidden="1">
      <c r="B108" s="389" t="s">
        <v>357</v>
      </c>
      <c r="C108" s="208">
        <v>12.37</v>
      </c>
      <c r="D108" s="209">
        <v>8.84</v>
      </c>
      <c r="E108" s="209">
        <v>12.51</v>
      </c>
      <c r="F108" s="209">
        <v>14.145283039100171</v>
      </c>
      <c r="G108" s="209">
        <v>7.0919966496329279</v>
      </c>
      <c r="H108" s="209">
        <v>8.577298304574267</v>
      </c>
      <c r="I108" s="209">
        <v>9.2376253999853795</v>
      </c>
      <c r="J108" s="209">
        <v>11.717927360812412</v>
      </c>
      <c r="K108" s="209">
        <v>12.91470547902761</v>
      </c>
      <c r="L108" s="202">
        <v>14.89724850649622</v>
      </c>
      <c r="M108" s="208">
        <v>16.37</v>
      </c>
      <c r="N108" s="209">
        <v>14.04</v>
      </c>
      <c r="O108" s="209">
        <v>22.02</v>
      </c>
      <c r="P108" s="209">
        <v>17.345026754570124</v>
      </c>
      <c r="Q108" s="209">
        <v>15.596603696549096</v>
      </c>
      <c r="R108" s="209">
        <v>16.976268555062823</v>
      </c>
      <c r="S108" s="209">
        <v>15.610051057732925</v>
      </c>
      <c r="T108" s="209">
        <v>19.716409238440566</v>
      </c>
      <c r="U108" s="209">
        <v>15.341503116014053</v>
      </c>
      <c r="V108" s="209">
        <v>17.471990474315916</v>
      </c>
      <c r="W108" s="209">
        <v>15.815018694069135</v>
      </c>
      <c r="X108" s="202">
        <v>16.96153846153846</v>
      </c>
      <c r="Y108" s="208">
        <v>13.46</v>
      </c>
      <c r="Z108" s="209">
        <v>7.66</v>
      </c>
      <c r="AA108" s="209">
        <v>10.039999999999999</v>
      </c>
      <c r="AB108" s="209">
        <v>15</v>
      </c>
      <c r="AC108" s="209">
        <v>15.01</v>
      </c>
      <c r="AD108" s="202">
        <v>13.79</v>
      </c>
      <c r="AE108" s="210" t="s">
        <v>213</v>
      </c>
    </row>
    <row r="109" spans="2:31" hidden="1">
      <c r="B109" s="390">
        <v>39234</v>
      </c>
      <c r="C109" s="208"/>
      <c r="D109" s="209"/>
      <c r="E109" s="209"/>
      <c r="F109" s="209"/>
      <c r="G109" s="209"/>
      <c r="H109" s="209"/>
      <c r="I109" s="209"/>
      <c r="J109" s="209"/>
      <c r="K109" s="209"/>
      <c r="L109" s="202"/>
      <c r="M109" s="208"/>
      <c r="N109" s="209"/>
      <c r="O109" s="209"/>
      <c r="P109" s="209"/>
      <c r="Q109" s="209"/>
      <c r="R109" s="209"/>
      <c r="S109" s="209"/>
      <c r="T109" s="209"/>
      <c r="U109" s="209"/>
      <c r="V109" s="209"/>
      <c r="W109" s="209"/>
      <c r="X109" s="202"/>
      <c r="Y109" s="208"/>
      <c r="Z109" s="209"/>
      <c r="AA109" s="209"/>
      <c r="AB109" s="209"/>
      <c r="AC109" s="209"/>
      <c r="AD109" s="202"/>
      <c r="AE109" s="397">
        <v>39234</v>
      </c>
    </row>
    <row r="110" spans="2:31" hidden="1">
      <c r="B110" s="389" t="s">
        <v>187</v>
      </c>
      <c r="C110" s="208">
        <v>10.84592396368704</v>
      </c>
      <c r="D110" s="209">
        <v>9.6564868231054248</v>
      </c>
      <c r="E110" s="209">
        <v>11.799299005769463</v>
      </c>
      <c r="F110" s="209">
        <v>7.1788217159479757</v>
      </c>
      <c r="G110" s="209">
        <v>7.8881981876188707</v>
      </c>
      <c r="H110" s="209">
        <v>9.5323657426686275</v>
      </c>
      <c r="I110" s="209">
        <v>9.0040466655266389</v>
      </c>
      <c r="J110" s="209">
        <v>11.341725423562409</v>
      </c>
      <c r="K110" s="209">
        <v>13.007318059014969</v>
      </c>
      <c r="L110" s="202">
        <v>10.664335664335663</v>
      </c>
      <c r="M110" s="208">
        <v>15.460662861873637</v>
      </c>
      <c r="N110" s="209">
        <v>13.95282793777667</v>
      </c>
      <c r="O110" s="209">
        <v>18.520654600130104</v>
      </c>
      <c r="P110" s="209">
        <v>13.857401474557282</v>
      </c>
      <c r="Q110" s="209">
        <v>5.9640551084711646</v>
      </c>
      <c r="R110" s="209">
        <v>18.652676486256304</v>
      </c>
      <c r="S110" s="209">
        <v>17.427530284413233</v>
      </c>
      <c r="T110" s="209">
        <v>18.897035501307478</v>
      </c>
      <c r="U110" s="209">
        <v>17.489999257668767</v>
      </c>
      <c r="V110" s="209">
        <v>10.354383022189483</v>
      </c>
      <c r="W110" s="209">
        <v>7.0171398339881819</v>
      </c>
      <c r="X110" s="202">
        <v>6.1183401909704838</v>
      </c>
      <c r="Y110" s="208">
        <v>16.994331816712712</v>
      </c>
      <c r="Z110" s="209">
        <v>15.655172413793103</v>
      </c>
      <c r="AA110" s="209">
        <v>16.646034482758619</v>
      </c>
      <c r="AB110" s="209">
        <v>17.274395604395604</v>
      </c>
      <c r="AC110" s="209">
        <v>17.269545019254672</v>
      </c>
      <c r="AD110" s="202">
        <v>17.789450709348856</v>
      </c>
      <c r="AE110" s="210" t="s">
        <v>356</v>
      </c>
    </row>
    <row r="111" spans="2:31" hidden="1">
      <c r="B111" s="389" t="s">
        <v>357</v>
      </c>
      <c r="C111" s="208">
        <v>12.59821815211086</v>
      </c>
      <c r="D111" s="209">
        <v>9.1359006420787967</v>
      </c>
      <c r="E111" s="209">
        <v>12.74592786887335</v>
      </c>
      <c r="F111" s="209">
        <v>14.522262710514749</v>
      </c>
      <c r="G111" s="209">
        <v>7.2212378105861257</v>
      </c>
      <c r="H111" s="209">
        <v>8.4946411311823162</v>
      </c>
      <c r="I111" s="209">
        <v>9.7816966675412385</v>
      </c>
      <c r="J111" s="209">
        <v>11.926381348380795</v>
      </c>
      <c r="K111" s="209">
        <v>13.201737182208808</v>
      </c>
      <c r="L111" s="202">
        <v>14.918440841450645</v>
      </c>
      <c r="M111" s="208">
        <v>16.25377445498679</v>
      </c>
      <c r="N111" s="209">
        <v>13.966892862542288</v>
      </c>
      <c r="O111" s="209">
        <v>21.923498459580696</v>
      </c>
      <c r="P111" s="209">
        <v>17.200473758923202</v>
      </c>
      <c r="Q111" s="209">
        <v>13.213858728776453</v>
      </c>
      <c r="R111" s="209">
        <v>16.39860969534616</v>
      </c>
      <c r="S111" s="209">
        <v>14.95554277586719</v>
      </c>
      <c r="T111" s="209">
        <v>19.938207063433595</v>
      </c>
      <c r="U111" s="209">
        <v>15.285696510484389</v>
      </c>
      <c r="V111" s="209">
        <v>18.217153307132659</v>
      </c>
      <c r="W111" s="209">
        <v>15.649148498998199</v>
      </c>
      <c r="X111" s="202">
        <v>16.846153846153843</v>
      </c>
      <c r="Y111" s="208">
        <v>12.99</v>
      </c>
      <c r="Z111" s="209">
        <v>7.2441978076050413</v>
      </c>
      <c r="AA111" s="209">
        <v>9.93</v>
      </c>
      <c r="AB111" s="209">
        <v>17.727487720574857</v>
      </c>
      <c r="AC111" s="209">
        <v>15.544982280927835</v>
      </c>
      <c r="AD111" s="202">
        <v>13.70318894084274</v>
      </c>
      <c r="AE111" s="210" t="s">
        <v>213</v>
      </c>
    </row>
    <row r="112" spans="2:31" hidden="1">
      <c r="B112" s="390">
        <v>39264</v>
      </c>
      <c r="C112" s="208"/>
      <c r="D112" s="209"/>
      <c r="E112" s="209"/>
      <c r="F112" s="209"/>
      <c r="G112" s="209"/>
      <c r="H112" s="209"/>
      <c r="I112" s="209"/>
      <c r="J112" s="209"/>
      <c r="K112" s="209"/>
      <c r="L112" s="202"/>
      <c r="M112" s="208"/>
      <c r="N112" s="209"/>
      <c r="O112" s="209"/>
      <c r="P112" s="209"/>
      <c r="Q112" s="209"/>
      <c r="R112" s="209"/>
      <c r="S112" s="209"/>
      <c r="T112" s="209"/>
      <c r="U112" s="209"/>
      <c r="V112" s="209"/>
      <c r="W112" s="209"/>
      <c r="X112" s="202"/>
      <c r="Y112" s="208"/>
      <c r="Z112" s="209"/>
      <c r="AA112" s="209"/>
      <c r="AB112" s="209"/>
      <c r="AC112" s="209"/>
      <c r="AD112" s="202"/>
      <c r="AE112" s="397">
        <v>39264</v>
      </c>
    </row>
    <row r="113" spans="2:31" hidden="1">
      <c r="B113" s="389" t="s">
        <v>187</v>
      </c>
      <c r="C113" s="208">
        <v>11.203611216884898</v>
      </c>
      <c r="D113" s="209">
        <v>10.120993689600802</v>
      </c>
      <c r="E113" s="209">
        <v>11.940224848650731</v>
      </c>
      <c r="F113" s="209">
        <v>8.0048865262452669</v>
      </c>
      <c r="G113" s="209">
        <v>7.7122093424890901</v>
      </c>
      <c r="H113" s="209">
        <v>9.3802050495834646</v>
      </c>
      <c r="I113" s="209">
        <v>8.8900268229074157</v>
      </c>
      <c r="J113" s="209">
        <v>11.787339557210728</v>
      </c>
      <c r="K113" s="209">
        <v>12.860715690868103</v>
      </c>
      <c r="L113" s="202">
        <v>11.11875</v>
      </c>
      <c r="M113" s="208">
        <v>15.632173699763165</v>
      </c>
      <c r="N113" s="209">
        <v>14.092365100433824</v>
      </c>
      <c r="O113" s="209">
        <v>18.670767712327983</v>
      </c>
      <c r="P113" s="209">
        <v>14.214136801920112</v>
      </c>
      <c r="Q113" s="209">
        <v>6.3219034862697407</v>
      </c>
      <c r="R113" s="209">
        <v>18.628917985253583</v>
      </c>
      <c r="S113" s="209">
        <v>17.279746875594689</v>
      </c>
      <c r="T113" s="209">
        <v>18.970583955191735</v>
      </c>
      <c r="U113" s="209">
        <v>17.739237743396526</v>
      </c>
      <c r="V113" s="209">
        <v>10.821069148113882</v>
      </c>
      <c r="W113" s="209">
        <v>7.2264061800835062</v>
      </c>
      <c r="X113" s="202">
        <v>6.1220336010236114</v>
      </c>
      <c r="Y113" s="208">
        <v>15.596468700413798</v>
      </c>
      <c r="Z113" s="209">
        <v>9.17</v>
      </c>
      <c r="AA113" s="209">
        <v>17.002367209761086</v>
      </c>
      <c r="AB113" s="209">
        <v>16.412702702702703</v>
      </c>
      <c r="AC113" s="209">
        <v>16.458406050029087</v>
      </c>
      <c r="AD113" s="202">
        <v>17.551941764360066</v>
      </c>
      <c r="AE113" s="210" t="s">
        <v>356</v>
      </c>
    </row>
    <row r="114" spans="2:31" hidden="1">
      <c r="B114" s="389" t="s">
        <v>357</v>
      </c>
      <c r="C114" s="208">
        <v>12.606299355439848</v>
      </c>
      <c r="D114" s="209">
        <v>9.2816876120291241</v>
      </c>
      <c r="E114" s="209">
        <v>12.751509159271365</v>
      </c>
      <c r="F114" s="209">
        <v>13.776926951437204</v>
      </c>
      <c r="G114" s="209">
        <v>7.1404281153139406</v>
      </c>
      <c r="H114" s="209">
        <v>8.6267371703598013</v>
      </c>
      <c r="I114" s="209">
        <v>10.128456956589128</v>
      </c>
      <c r="J114" s="209">
        <v>11.923972943713325</v>
      </c>
      <c r="K114" s="209">
        <v>13.344950519818131</v>
      </c>
      <c r="L114" s="202">
        <v>14.913244616450159</v>
      </c>
      <c r="M114" s="208">
        <v>16.428767417776815</v>
      </c>
      <c r="N114" s="209">
        <v>14.028285067020292</v>
      </c>
      <c r="O114" s="209">
        <v>21.940274592463748</v>
      </c>
      <c r="P114" s="209">
        <v>17.555429548004714</v>
      </c>
      <c r="Q114" s="209">
        <v>14.925398484115599</v>
      </c>
      <c r="R114" s="209">
        <v>16.53249358105997</v>
      </c>
      <c r="S114" s="209">
        <v>17.010811465319531</v>
      </c>
      <c r="T114" s="209">
        <v>20.211161834627731</v>
      </c>
      <c r="U114" s="209">
        <v>15.265785114433495</v>
      </c>
      <c r="V114" s="209">
        <v>17.863068863537517</v>
      </c>
      <c r="W114" s="209">
        <v>15.984687951325791</v>
      </c>
      <c r="X114" s="202">
        <v>18.62857142857143</v>
      </c>
      <c r="Y114" s="208">
        <v>13.226100045193014</v>
      </c>
      <c r="Z114" s="209">
        <v>11.072863565903429</v>
      </c>
      <c r="AA114" s="209">
        <v>11.85308209959623</v>
      </c>
      <c r="AB114" s="209">
        <v>17.726194819408974</v>
      </c>
      <c r="AC114" s="209">
        <v>14.944095189721642</v>
      </c>
      <c r="AD114" s="202">
        <v>13.744010457445142</v>
      </c>
      <c r="AE114" s="210" t="s">
        <v>213</v>
      </c>
    </row>
    <row r="115" spans="2:31" ht="11.1" hidden="1" customHeight="1">
      <c r="B115" s="390">
        <v>39295</v>
      </c>
      <c r="C115" s="208"/>
      <c r="D115" s="209"/>
      <c r="E115" s="209"/>
      <c r="F115" s="209"/>
      <c r="G115" s="209"/>
      <c r="H115" s="209"/>
      <c r="I115" s="209"/>
      <c r="J115" s="209"/>
      <c r="K115" s="209"/>
      <c r="L115" s="202"/>
      <c r="M115" s="208"/>
      <c r="N115" s="209"/>
      <c r="O115" s="209"/>
      <c r="P115" s="209"/>
      <c r="Q115" s="209"/>
      <c r="R115" s="209"/>
      <c r="S115" s="209"/>
      <c r="T115" s="209"/>
      <c r="U115" s="209"/>
      <c r="V115" s="209"/>
      <c r="W115" s="209"/>
      <c r="X115" s="202"/>
      <c r="Y115" s="208"/>
      <c r="Z115" s="209"/>
      <c r="AA115" s="209"/>
      <c r="AB115" s="209"/>
      <c r="AC115" s="209"/>
      <c r="AD115" s="202"/>
      <c r="AE115" s="397">
        <v>39295</v>
      </c>
    </row>
    <row r="116" spans="2:31" hidden="1">
      <c r="B116" s="389" t="s">
        <v>187</v>
      </c>
      <c r="C116" s="208">
        <v>11.307480867067005</v>
      </c>
      <c r="D116" s="209">
        <v>10.119706105283349</v>
      </c>
      <c r="E116" s="209">
        <v>12.2538635243053</v>
      </c>
      <c r="F116" s="209">
        <v>9.3621086473189976</v>
      </c>
      <c r="G116" s="209">
        <v>6.7506125676081083</v>
      </c>
      <c r="H116" s="209">
        <v>9.2262554875702794</v>
      </c>
      <c r="I116" s="209">
        <v>9.3522261292198632</v>
      </c>
      <c r="J116" s="209">
        <v>11.680362331896763</v>
      </c>
      <c r="K116" s="209">
        <v>13.033705424426692</v>
      </c>
      <c r="L116" s="202">
        <v>10.445945945945947</v>
      </c>
      <c r="M116" s="208">
        <v>16.846220519952738</v>
      </c>
      <c r="N116" s="209">
        <v>15.571299039129764</v>
      </c>
      <c r="O116" s="209">
        <v>19.019234533184164</v>
      </c>
      <c r="P116" s="209">
        <v>15.586019792133349</v>
      </c>
      <c r="Q116" s="209">
        <v>16.17974746004808</v>
      </c>
      <c r="R116" s="209">
        <v>18.427947062814525</v>
      </c>
      <c r="S116" s="209">
        <v>18.189754639401063</v>
      </c>
      <c r="T116" s="209">
        <v>19.425777846927748</v>
      </c>
      <c r="U116" s="209">
        <v>18.182702799616717</v>
      </c>
      <c r="V116" s="209">
        <v>10.771933916343091</v>
      </c>
      <c r="W116" s="209">
        <v>7.793422479169652</v>
      </c>
      <c r="X116" s="202">
        <v>6.8995617893417247</v>
      </c>
      <c r="Y116" s="208">
        <v>16.986244268822617</v>
      </c>
      <c r="Z116" s="209">
        <v>15.96551724137931</v>
      </c>
      <c r="AA116" s="209">
        <v>17.013648244958926</v>
      </c>
      <c r="AB116" s="209">
        <v>16.953947499950019</v>
      </c>
      <c r="AC116" s="209">
        <v>16.699548603647546</v>
      </c>
      <c r="AD116" s="202">
        <v>17.344614238861119</v>
      </c>
      <c r="AE116" s="210" t="s">
        <v>356</v>
      </c>
    </row>
    <row r="117" spans="2:31" hidden="1">
      <c r="B117" s="389" t="s">
        <v>357</v>
      </c>
      <c r="C117" s="208">
        <v>12.667387373114769</v>
      </c>
      <c r="D117" s="209">
        <v>9.6260222337578192</v>
      </c>
      <c r="E117" s="209">
        <v>12.805181752412615</v>
      </c>
      <c r="F117" s="209">
        <v>13.728196274743187</v>
      </c>
      <c r="G117" s="209">
        <v>7.1715046957003388</v>
      </c>
      <c r="H117" s="209">
        <v>8.7218790987466814</v>
      </c>
      <c r="I117" s="209">
        <v>10.171776862674053</v>
      </c>
      <c r="J117" s="209">
        <v>11.880479412228988</v>
      </c>
      <c r="K117" s="209">
        <v>13.391260270557884</v>
      </c>
      <c r="L117" s="202">
        <v>15.891006364726502</v>
      </c>
      <c r="M117" s="208">
        <v>16.767881715478808</v>
      </c>
      <c r="N117" s="209">
        <v>14.402135313236462</v>
      </c>
      <c r="O117" s="209">
        <v>21.503544108001712</v>
      </c>
      <c r="P117" s="209">
        <v>17.204760647932936</v>
      </c>
      <c r="Q117" s="209">
        <v>14.044118849991218</v>
      </c>
      <c r="R117" s="209">
        <v>16.970453549830189</v>
      </c>
      <c r="S117" s="209">
        <v>17.797481517345293</v>
      </c>
      <c r="T117" s="209">
        <v>20.194662737225489</v>
      </c>
      <c r="U117" s="209">
        <v>15.659362069916359</v>
      </c>
      <c r="V117" s="209">
        <v>18.35966299302213</v>
      </c>
      <c r="W117" s="209">
        <v>14.357882569200084</v>
      </c>
      <c r="X117" s="202" t="s">
        <v>93</v>
      </c>
      <c r="Y117" s="208">
        <v>14.54246276989884</v>
      </c>
      <c r="Z117" s="209">
        <v>12.094472583131468</v>
      </c>
      <c r="AA117" s="209">
        <v>14.893463974190464</v>
      </c>
      <c r="AB117" s="209">
        <v>17.606746482565764</v>
      </c>
      <c r="AC117" s="209">
        <v>14.332449640022345</v>
      </c>
      <c r="AD117" s="202">
        <v>14.775503956652841</v>
      </c>
      <c r="AE117" s="210" t="s">
        <v>213</v>
      </c>
    </row>
    <row r="118" spans="2:31" hidden="1">
      <c r="B118" s="390">
        <v>39326</v>
      </c>
      <c r="C118" s="208"/>
      <c r="D118" s="209"/>
      <c r="E118" s="209"/>
      <c r="F118" s="209"/>
      <c r="G118" s="209"/>
      <c r="H118" s="209"/>
      <c r="I118" s="209"/>
      <c r="J118" s="209"/>
      <c r="K118" s="209"/>
      <c r="L118" s="202"/>
      <c r="M118" s="208"/>
      <c r="N118" s="209"/>
      <c r="O118" s="209"/>
      <c r="P118" s="209"/>
      <c r="Q118" s="209"/>
      <c r="R118" s="209"/>
      <c r="S118" s="209"/>
      <c r="T118" s="209"/>
      <c r="U118" s="209"/>
      <c r="V118" s="209"/>
      <c r="W118" s="209"/>
      <c r="X118" s="202"/>
      <c r="Y118" s="208"/>
      <c r="Z118" s="209"/>
      <c r="AA118" s="209"/>
      <c r="AB118" s="209"/>
      <c r="AC118" s="209"/>
      <c r="AD118" s="202"/>
      <c r="AE118" s="397">
        <v>39326</v>
      </c>
    </row>
    <row r="119" spans="2:31" hidden="1">
      <c r="B119" s="389" t="s">
        <v>187</v>
      </c>
      <c r="C119" s="208">
        <v>11.27501998174921</v>
      </c>
      <c r="D119" s="209">
        <v>9.6265831448081869</v>
      </c>
      <c r="E119" s="209">
        <v>12.411341707463139</v>
      </c>
      <c r="F119" s="209">
        <v>6.4336710966583794</v>
      </c>
      <c r="G119" s="209">
        <v>7.7662165640996914</v>
      </c>
      <c r="H119" s="209">
        <v>9.4196214511635006</v>
      </c>
      <c r="I119" s="209">
        <v>9.3857762088064245</v>
      </c>
      <c r="J119" s="209">
        <v>12.019114988666887</v>
      </c>
      <c r="K119" s="209">
        <v>13.279424686033249</v>
      </c>
      <c r="L119" s="202">
        <v>11.432926829268293</v>
      </c>
      <c r="M119" s="208">
        <v>16.905527320365511</v>
      </c>
      <c r="N119" s="209">
        <v>15.428389432473287</v>
      </c>
      <c r="O119" s="209">
        <v>19.363010018644523</v>
      </c>
      <c r="P119" s="209">
        <v>14.364413387203969</v>
      </c>
      <c r="Q119" s="209">
        <v>17.088250041177155</v>
      </c>
      <c r="R119" s="209">
        <v>18.593898340438695</v>
      </c>
      <c r="S119" s="209">
        <v>17.297790036690333</v>
      </c>
      <c r="T119" s="209">
        <v>19.139710845608217</v>
      </c>
      <c r="U119" s="209">
        <v>18.479320464000377</v>
      </c>
      <c r="V119" s="209">
        <v>10.752410354033101</v>
      </c>
      <c r="W119" s="209">
        <v>7.9446614968515208</v>
      </c>
      <c r="X119" s="202">
        <v>7.8914681399985458</v>
      </c>
      <c r="Y119" s="208">
        <v>17.070255063201216</v>
      </c>
      <c r="Z119" s="209">
        <v>14.105263157894736</v>
      </c>
      <c r="AA119" s="209">
        <v>18.142857142857146</v>
      </c>
      <c r="AB119" s="209">
        <v>17.558334738312581</v>
      </c>
      <c r="AC119" s="209">
        <v>16.495480681615856</v>
      </c>
      <c r="AD119" s="202">
        <v>17.206471177816045</v>
      </c>
      <c r="AE119" s="210" t="s">
        <v>356</v>
      </c>
    </row>
    <row r="120" spans="2:31" hidden="1">
      <c r="B120" s="389" t="s">
        <v>357</v>
      </c>
      <c r="C120" s="208">
        <v>12.654806257782685</v>
      </c>
      <c r="D120" s="209">
        <v>9.9004758667621768</v>
      </c>
      <c r="E120" s="209">
        <v>12.773002952251325</v>
      </c>
      <c r="F120" s="209">
        <v>11.725759693048669</v>
      </c>
      <c r="G120" s="209">
        <v>7.4655389948329116</v>
      </c>
      <c r="H120" s="209">
        <v>8.6702471567871697</v>
      </c>
      <c r="I120" s="209">
        <v>9.8619178273277761</v>
      </c>
      <c r="J120" s="209">
        <v>11.981820104543472</v>
      </c>
      <c r="K120" s="209">
        <v>13.399505641998347</v>
      </c>
      <c r="L120" s="202">
        <v>15.84252989596704</v>
      </c>
      <c r="M120" s="208">
        <v>17.157434871922021</v>
      </c>
      <c r="N120" s="209">
        <v>14.734094300103179</v>
      </c>
      <c r="O120" s="209">
        <v>21.660173655985304</v>
      </c>
      <c r="P120" s="209">
        <v>17.238015934491994</v>
      </c>
      <c r="Q120" s="209">
        <v>14.315898127757791</v>
      </c>
      <c r="R120" s="209">
        <v>16.839356272434806</v>
      </c>
      <c r="S120" s="209">
        <v>17.633800180504654</v>
      </c>
      <c r="T120" s="209">
        <v>20.452215706588824</v>
      </c>
      <c r="U120" s="209">
        <v>16.108251817143298</v>
      </c>
      <c r="V120" s="209">
        <v>18.868794405613009</v>
      </c>
      <c r="W120" s="209">
        <v>16.124524450030542</v>
      </c>
      <c r="X120" s="202" t="s">
        <v>93</v>
      </c>
      <c r="Y120" s="208">
        <v>14.301916293761417</v>
      </c>
      <c r="Z120" s="209">
        <v>9.3283260809184334</v>
      </c>
      <c r="AA120" s="209">
        <v>14.021336078000473</v>
      </c>
      <c r="AB120" s="209">
        <v>13.53816554974593</v>
      </c>
      <c r="AC120" s="209">
        <v>15.881830423586665</v>
      </c>
      <c r="AD120" s="202">
        <v>14.631648450939167</v>
      </c>
      <c r="AE120" s="210" t="s">
        <v>213</v>
      </c>
    </row>
    <row r="121" spans="2:31" hidden="1">
      <c r="B121" s="390">
        <v>39356</v>
      </c>
      <c r="C121" s="208"/>
      <c r="D121" s="209"/>
      <c r="E121" s="209"/>
      <c r="F121" s="209"/>
      <c r="G121" s="209"/>
      <c r="H121" s="209"/>
      <c r="I121" s="209"/>
      <c r="J121" s="209"/>
      <c r="K121" s="209"/>
      <c r="L121" s="202"/>
      <c r="M121" s="208"/>
      <c r="N121" s="209"/>
      <c r="O121" s="209"/>
      <c r="P121" s="209"/>
      <c r="Q121" s="209"/>
      <c r="R121" s="209"/>
      <c r="S121" s="209"/>
      <c r="T121" s="209"/>
      <c r="U121" s="209"/>
      <c r="V121" s="209"/>
      <c r="W121" s="209"/>
      <c r="X121" s="202"/>
      <c r="Y121" s="208"/>
      <c r="Z121" s="209"/>
      <c r="AA121" s="209"/>
      <c r="AB121" s="209"/>
      <c r="AC121" s="209"/>
      <c r="AD121" s="202"/>
      <c r="AE121" s="397">
        <v>39356</v>
      </c>
    </row>
    <row r="122" spans="2:31" ht="11.1" hidden="1" customHeight="1">
      <c r="B122" s="389" t="s">
        <v>187</v>
      </c>
      <c r="C122" s="208">
        <v>11.002403128870975</v>
      </c>
      <c r="D122" s="209">
        <v>9.2754584983262216</v>
      </c>
      <c r="E122" s="209">
        <v>12.38642901690001</v>
      </c>
      <c r="F122" s="209">
        <v>5.7322675426342444</v>
      </c>
      <c r="G122" s="209">
        <v>7.4995788513445998</v>
      </c>
      <c r="H122" s="209">
        <v>9.2922159949199514</v>
      </c>
      <c r="I122" s="209">
        <v>9.3849280471239087</v>
      </c>
      <c r="J122" s="209">
        <v>11.905196016437337</v>
      </c>
      <c r="K122" s="209">
        <v>13.053878501883652</v>
      </c>
      <c r="L122" s="202">
        <v>12.597426470588236</v>
      </c>
      <c r="M122" s="208">
        <v>17.059301922599047</v>
      </c>
      <c r="N122" s="209">
        <v>15.327822139836409</v>
      </c>
      <c r="O122" s="209">
        <v>19.980023719993753</v>
      </c>
      <c r="P122" s="209">
        <v>13.453677829023304</v>
      </c>
      <c r="Q122" s="209">
        <v>17.201232561152068</v>
      </c>
      <c r="R122" s="209">
        <v>19.077342330922864</v>
      </c>
      <c r="S122" s="209">
        <v>17.532138342101547</v>
      </c>
      <c r="T122" s="209">
        <v>19.230510672831883</v>
      </c>
      <c r="U122" s="209">
        <v>18.797220365082918</v>
      </c>
      <c r="V122" s="209">
        <v>10.630445887473639</v>
      </c>
      <c r="W122" s="209">
        <v>8.1873929565001315</v>
      </c>
      <c r="X122" s="202">
        <v>8.2582585741015322</v>
      </c>
      <c r="Y122" s="208">
        <v>17.013495465922162</v>
      </c>
      <c r="Z122" s="209">
        <v>14.105263157894736</v>
      </c>
      <c r="AA122" s="209">
        <v>19</v>
      </c>
      <c r="AB122" s="209">
        <v>17.448369651159112</v>
      </c>
      <c r="AC122" s="209">
        <v>16.495480681615856</v>
      </c>
      <c r="AD122" s="202">
        <v>17.207986838553783</v>
      </c>
      <c r="AE122" s="210" t="s">
        <v>356</v>
      </c>
    </row>
    <row r="123" spans="2:31" ht="12" hidden="1" customHeight="1">
      <c r="B123" s="389" t="s">
        <v>357</v>
      </c>
      <c r="C123" s="208">
        <v>12.688912433052959</v>
      </c>
      <c r="D123" s="209">
        <v>9.474465458299866</v>
      </c>
      <c r="E123" s="209">
        <v>12.821144945261286</v>
      </c>
      <c r="F123" s="209">
        <v>11.4880203995482</v>
      </c>
      <c r="G123" s="209">
        <v>6.6920409270888577</v>
      </c>
      <c r="H123" s="209">
        <v>8.7417391449798245</v>
      </c>
      <c r="I123" s="209">
        <v>10.190995007753969</v>
      </c>
      <c r="J123" s="209">
        <v>12.046200627939021</v>
      </c>
      <c r="K123" s="209">
        <v>13.507384920769143</v>
      </c>
      <c r="L123" s="202">
        <v>15.81460469967289</v>
      </c>
      <c r="M123" s="208">
        <v>17.153924406224622</v>
      </c>
      <c r="N123" s="209">
        <v>14.636866746889474</v>
      </c>
      <c r="O123" s="209">
        <v>21.775945522048922</v>
      </c>
      <c r="P123" s="209">
        <v>16.062116148304916</v>
      </c>
      <c r="Q123" s="209">
        <v>14.297576545889363</v>
      </c>
      <c r="R123" s="209">
        <v>15.849841906708571</v>
      </c>
      <c r="S123" s="209">
        <v>17.971427784015216</v>
      </c>
      <c r="T123" s="209">
        <v>20.208046660849231</v>
      </c>
      <c r="U123" s="209">
        <v>16.201294241200664</v>
      </c>
      <c r="V123" s="209">
        <v>19.022581980336039</v>
      </c>
      <c r="W123" s="209">
        <v>16.23758388244179</v>
      </c>
      <c r="X123" s="202">
        <v>15.308661084922255</v>
      </c>
      <c r="Y123" s="208">
        <v>13.716648686917432</v>
      </c>
      <c r="Z123" s="209">
        <v>9.1104966325357282</v>
      </c>
      <c r="AA123" s="209">
        <v>13.237910408081884</v>
      </c>
      <c r="AB123" s="209">
        <v>13.323903966597078</v>
      </c>
      <c r="AC123" s="209">
        <v>15.888445326612993</v>
      </c>
      <c r="AD123" s="202">
        <v>13.881369759598016</v>
      </c>
      <c r="AE123" s="210" t="s">
        <v>213</v>
      </c>
    </row>
    <row r="124" spans="2:31" hidden="1">
      <c r="B124" s="390">
        <v>39387</v>
      </c>
      <c r="C124" s="208"/>
      <c r="D124" s="209"/>
      <c r="E124" s="209"/>
      <c r="F124" s="209"/>
      <c r="G124" s="209"/>
      <c r="H124" s="209"/>
      <c r="I124" s="209"/>
      <c r="J124" s="209"/>
      <c r="K124" s="209"/>
      <c r="L124" s="202"/>
      <c r="M124" s="208"/>
      <c r="N124" s="209"/>
      <c r="O124" s="209"/>
      <c r="P124" s="209"/>
      <c r="Q124" s="209"/>
      <c r="R124" s="209"/>
      <c r="S124" s="209"/>
      <c r="T124" s="209"/>
      <c r="U124" s="209"/>
      <c r="V124" s="209"/>
      <c r="W124" s="209"/>
      <c r="X124" s="202"/>
      <c r="Y124" s="208"/>
      <c r="Z124" s="209"/>
      <c r="AA124" s="209"/>
      <c r="AB124" s="209"/>
      <c r="AC124" s="209"/>
      <c r="AD124" s="202"/>
      <c r="AE124" s="397">
        <v>39387</v>
      </c>
    </row>
    <row r="125" spans="2:31" hidden="1">
      <c r="B125" s="389" t="s">
        <v>187</v>
      </c>
      <c r="C125" s="208">
        <v>11.218828598850028</v>
      </c>
      <c r="D125" s="209">
        <v>9.3936910775523863</v>
      </c>
      <c r="E125" s="209">
        <v>12.462181043936056</v>
      </c>
      <c r="F125" s="209">
        <v>6.6296878950558575</v>
      </c>
      <c r="G125" s="209">
        <v>5.8411695712300729</v>
      </c>
      <c r="H125" s="209">
        <v>9.1605412094852667</v>
      </c>
      <c r="I125" s="209">
        <v>9.9329683995694893</v>
      </c>
      <c r="J125" s="209">
        <v>12.168522498990619</v>
      </c>
      <c r="K125" s="209">
        <v>13.231011324933585</v>
      </c>
      <c r="L125" s="202">
        <v>11.477678571428573</v>
      </c>
      <c r="M125" s="208">
        <v>17.14788739472149</v>
      </c>
      <c r="N125" s="209">
        <v>15.823324881623162</v>
      </c>
      <c r="O125" s="209">
        <v>19.684833542176339</v>
      </c>
      <c r="P125" s="209">
        <v>17.011002340258038</v>
      </c>
      <c r="Q125" s="209">
        <v>18.050288510951798</v>
      </c>
      <c r="R125" s="209">
        <v>19.192083796363228</v>
      </c>
      <c r="S125" s="209">
        <v>18.557840122575161</v>
      </c>
      <c r="T125" s="209">
        <v>20.015635228200654</v>
      </c>
      <c r="U125" s="209">
        <v>17.933903312000403</v>
      </c>
      <c r="V125" s="209">
        <v>10.268064440536724</v>
      </c>
      <c r="W125" s="209">
        <v>7.98251267432435</v>
      </c>
      <c r="X125" s="202">
        <v>8.6040193030645824</v>
      </c>
      <c r="Y125" s="208">
        <v>16.260744592308406</v>
      </c>
      <c r="Z125" s="209">
        <v>14.918172157279489</v>
      </c>
      <c r="AA125" s="209">
        <v>14.613658536585366</v>
      </c>
      <c r="AB125" s="209">
        <v>16.330333979628062</v>
      </c>
      <c r="AC125" s="209">
        <v>16.68777905714925</v>
      </c>
      <c r="AD125" s="202">
        <v>17.213337449830195</v>
      </c>
      <c r="AE125" s="210" t="s">
        <v>356</v>
      </c>
    </row>
    <row r="126" spans="2:31" hidden="1">
      <c r="B126" s="389" t="s">
        <v>357</v>
      </c>
      <c r="C126" s="208">
        <v>12.734229916902422</v>
      </c>
      <c r="D126" s="209">
        <v>8.2168012899305118</v>
      </c>
      <c r="E126" s="209">
        <v>12.939537236138426</v>
      </c>
      <c r="F126" s="209">
        <v>12.567012606672662</v>
      </c>
      <c r="G126" s="209">
        <v>6.0468637310037838</v>
      </c>
      <c r="H126" s="209">
        <v>8.9163944654076541</v>
      </c>
      <c r="I126" s="209">
        <v>11.186282715321118</v>
      </c>
      <c r="J126" s="209">
        <v>12.098658152094485</v>
      </c>
      <c r="K126" s="209">
        <v>13.507160093594369</v>
      </c>
      <c r="L126" s="202">
        <v>15.851481125990185</v>
      </c>
      <c r="M126" s="208">
        <v>16.974514946360276</v>
      </c>
      <c r="N126" s="209">
        <v>14.465433626042154</v>
      </c>
      <c r="O126" s="209">
        <v>21.973006711588827</v>
      </c>
      <c r="P126" s="209">
        <v>18.400842281387604</v>
      </c>
      <c r="Q126" s="209">
        <v>15.617678741684465</v>
      </c>
      <c r="R126" s="209">
        <v>17.484445324858591</v>
      </c>
      <c r="S126" s="209">
        <v>17.690003021252711</v>
      </c>
      <c r="T126" s="209">
        <v>20.742908591236379</v>
      </c>
      <c r="U126" s="209">
        <v>15.772046555863508</v>
      </c>
      <c r="V126" s="209">
        <v>18.796797131870772</v>
      </c>
      <c r="W126" s="209">
        <v>16.058740220468078</v>
      </c>
      <c r="X126" s="202">
        <v>16.316493782481537</v>
      </c>
      <c r="Y126" s="208">
        <v>14.243274587397426</v>
      </c>
      <c r="Z126" s="209">
        <v>14.181425120401286</v>
      </c>
      <c r="AA126" s="209">
        <v>13.634860711308258</v>
      </c>
      <c r="AB126" s="209">
        <v>13.432912278071392</v>
      </c>
      <c r="AC126" s="209">
        <v>16.751975690304608</v>
      </c>
      <c r="AD126" s="202">
        <v>13.648980597811947</v>
      </c>
      <c r="AE126" s="210" t="s">
        <v>213</v>
      </c>
    </row>
    <row r="127" spans="2:31" ht="12" hidden="1" customHeight="1">
      <c r="B127" s="390">
        <v>39417</v>
      </c>
      <c r="C127" s="208"/>
      <c r="D127" s="209"/>
      <c r="E127" s="209"/>
      <c r="F127" s="209"/>
      <c r="G127" s="209"/>
      <c r="H127" s="209"/>
      <c r="I127" s="209"/>
      <c r="J127" s="209"/>
      <c r="K127" s="209"/>
      <c r="L127" s="202"/>
      <c r="M127" s="208"/>
      <c r="N127" s="209"/>
      <c r="O127" s="209"/>
      <c r="P127" s="209"/>
      <c r="Q127" s="209"/>
      <c r="R127" s="209"/>
      <c r="S127" s="209"/>
      <c r="T127" s="209"/>
      <c r="U127" s="209"/>
      <c r="V127" s="209"/>
      <c r="W127" s="209"/>
      <c r="X127" s="202"/>
      <c r="Y127" s="208"/>
      <c r="Z127" s="209"/>
      <c r="AA127" s="209"/>
      <c r="AB127" s="209"/>
      <c r="AC127" s="209"/>
      <c r="AD127" s="202"/>
      <c r="AE127" s="397">
        <v>39417</v>
      </c>
    </row>
    <row r="128" spans="2:31" ht="12" hidden="1" customHeight="1">
      <c r="B128" s="389" t="s">
        <v>187</v>
      </c>
      <c r="C128" s="208">
        <v>11.587096953871432</v>
      </c>
      <c r="D128" s="209">
        <v>9.9677849538514423</v>
      </c>
      <c r="E128" s="209">
        <v>12.507081055880906</v>
      </c>
      <c r="F128" s="209">
        <v>6.6643659968121014</v>
      </c>
      <c r="G128" s="209">
        <v>7.3085340474246054</v>
      </c>
      <c r="H128" s="209">
        <v>9.5173287044320034</v>
      </c>
      <c r="I128" s="209">
        <v>9.2123958202668117</v>
      </c>
      <c r="J128" s="209">
        <v>12.11951895752814</v>
      </c>
      <c r="K128" s="209">
        <v>13.09739186601073</v>
      </c>
      <c r="L128" s="202">
        <v>13.305263157894736</v>
      </c>
      <c r="M128" s="208">
        <v>17.459787107169252</v>
      </c>
      <c r="N128" s="209">
        <v>15.790124614856721</v>
      </c>
      <c r="O128" s="209">
        <v>20.297341454146896</v>
      </c>
      <c r="P128" s="209">
        <v>19.00252943018052</v>
      </c>
      <c r="Q128" s="209">
        <v>18.20516613851364</v>
      </c>
      <c r="R128" s="209">
        <v>19.071965497810673</v>
      </c>
      <c r="S128" s="209">
        <v>18.332569237766688</v>
      </c>
      <c r="T128" s="209">
        <v>19.851791059104933</v>
      </c>
      <c r="U128" s="209">
        <v>18.740573356624935</v>
      </c>
      <c r="V128" s="209">
        <v>10.67913610045033</v>
      </c>
      <c r="W128" s="209">
        <v>10.327028798697917</v>
      </c>
      <c r="X128" s="202">
        <v>8.309489728605854</v>
      </c>
      <c r="Y128" s="208">
        <v>16.624766610578547</v>
      </c>
      <c r="Z128" s="209">
        <v>14.404761904761905</v>
      </c>
      <c r="AA128" s="209">
        <v>16.697959183673468</v>
      </c>
      <c r="AB128" s="209">
        <v>15.46788537549407</v>
      </c>
      <c r="AC128" s="209">
        <v>18.809691041311552</v>
      </c>
      <c r="AD128" s="202">
        <v>17.075066963013622</v>
      </c>
      <c r="AE128" s="210" t="s">
        <v>356</v>
      </c>
    </row>
    <row r="129" spans="2:31" ht="12" hidden="1" customHeight="1">
      <c r="B129" s="389" t="s">
        <v>357</v>
      </c>
      <c r="C129" s="208">
        <v>12.369543330507399</v>
      </c>
      <c r="D129" s="209">
        <v>7.7041832612149346</v>
      </c>
      <c r="E129" s="209">
        <v>12.645460785969638</v>
      </c>
      <c r="F129" s="209">
        <v>6.7467707296788646</v>
      </c>
      <c r="G129" s="209">
        <v>6.6938541559599241</v>
      </c>
      <c r="H129" s="209">
        <v>9.196652126324171</v>
      </c>
      <c r="I129" s="209">
        <v>10.966932828924969</v>
      </c>
      <c r="J129" s="209">
        <v>11.877109787694376</v>
      </c>
      <c r="K129" s="209">
        <v>13.5205987056854</v>
      </c>
      <c r="L129" s="202">
        <v>16.005921147596382</v>
      </c>
      <c r="M129" s="208">
        <v>16.676122147385954</v>
      </c>
      <c r="N129" s="209">
        <v>14.150161630515905</v>
      </c>
      <c r="O129" s="209">
        <v>21.616415201082631</v>
      </c>
      <c r="P129" s="209">
        <v>17.068274827219092</v>
      </c>
      <c r="Q129" s="209">
        <v>14.987974219243673</v>
      </c>
      <c r="R129" s="209">
        <v>16.877994007781286</v>
      </c>
      <c r="S129" s="209">
        <v>17.138958122551344</v>
      </c>
      <c r="T129" s="209">
        <v>20.540148846949325</v>
      </c>
      <c r="U129" s="209">
        <v>15.459430789983005</v>
      </c>
      <c r="V129" s="209">
        <v>19.030550669161869</v>
      </c>
      <c r="W129" s="209">
        <v>17.037135205371161</v>
      </c>
      <c r="X129" s="202">
        <v>16.242413876113371</v>
      </c>
      <c r="Y129" s="208">
        <v>13.49927211761854</v>
      </c>
      <c r="Z129" s="209">
        <v>4.8428761887832188</v>
      </c>
      <c r="AA129" s="209">
        <v>15.043962123966551</v>
      </c>
      <c r="AB129" s="209">
        <v>13.35415033672996</v>
      </c>
      <c r="AC129" s="209">
        <v>15.399538473780536</v>
      </c>
      <c r="AD129" s="202">
        <v>13.979758117653727</v>
      </c>
      <c r="AE129" s="210" t="s">
        <v>213</v>
      </c>
    </row>
    <row r="130" spans="2:31" ht="12" hidden="1" customHeight="1">
      <c r="B130" s="390">
        <v>39448</v>
      </c>
      <c r="C130" s="208"/>
      <c r="D130" s="209"/>
      <c r="E130" s="209"/>
      <c r="F130" s="209"/>
      <c r="G130" s="209"/>
      <c r="H130" s="209"/>
      <c r="I130" s="209"/>
      <c r="J130" s="209"/>
      <c r="K130" s="209"/>
      <c r="L130" s="202"/>
      <c r="M130" s="208"/>
      <c r="N130" s="209"/>
      <c r="O130" s="209"/>
      <c r="P130" s="209"/>
      <c r="Q130" s="209"/>
      <c r="R130" s="209"/>
      <c r="S130" s="209"/>
      <c r="T130" s="209"/>
      <c r="U130" s="209"/>
      <c r="V130" s="209"/>
      <c r="W130" s="209"/>
      <c r="X130" s="202"/>
      <c r="Y130" s="208"/>
      <c r="Z130" s="209"/>
      <c r="AA130" s="209"/>
      <c r="AB130" s="209"/>
      <c r="AC130" s="209"/>
      <c r="AD130" s="202"/>
      <c r="AE130" s="397">
        <v>39448</v>
      </c>
    </row>
    <row r="131" spans="2:31" ht="12" hidden="1" customHeight="1">
      <c r="B131" s="389" t="s">
        <v>187</v>
      </c>
      <c r="C131" s="208">
        <v>11.35565519022407</v>
      </c>
      <c r="D131" s="209">
        <v>9.6792579834318158</v>
      </c>
      <c r="E131" s="209">
        <v>12.466169821551761</v>
      </c>
      <c r="F131" s="209">
        <v>7.2789934369290759</v>
      </c>
      <c r="G131" s="209">
        <v>8.5762949123214938</v>
      </c>
      <c r="H131" s="209">
        <v>9.5353800706710299</v>
      </c>
      <c r="I131" s="209">
        <v>9.920070254362809</v>
      </c>
      <c r="J131" s="209">
        <v>12.11981526556475</v>
      </c>
      <c r="K131" s="209">
        <v>12.874801507466882</v>
      </c>
      <c r="L131" s="202">
        <v>11.588709677419354</v>
      </c>
      <c r="M131" s="208">
        <v>16.969291478520621</v>
      </c>
      <c r="N131" s="209">
        <v>15.126338918854209</v>
      </c>
      <c r="O131" s="209">
        <v>20.292233684010192</v>
      </c>
      <c r="P131" s="209">
        <v>12.433236464404116</v>
      </c>
      <c r="Q131" s="209">
        <v>17.539207109361534</v>
      </c>
      <c r="R131" s="209">
        <v>18.587925374744128</v>
      </c>
      <c r="S131" s="209">
        <v>15.605124157558302</v>
      </c>
      <c r="T131" s="209">
        <v>19.544160319217969</v>
      </c>
      <c r="U131" s="209">
        <v>18.523536298525414</v>
      </c>
      <c r="V131" s="209">
        <v>10.42689160827643</v>
      </c>
      <c r="W131" s="209">
        <v>10.964300454738712</v>
      </c>
      <c r="X131" s="202">
        <v>8.2551570613153196</v>
      </c>
      <c r="Y131" s="208">
        <v>16.250093424700626</v>
      </c>
      <c r="Z131" s="209">
        <v>14.824817518248175</v>
      </c>
      <c r="AA131" s="209">
        <v>15.21510989010989</v>
      </c>
      <c r="AB131" s="209">
        <v>14.791975308641975</v>
      </c>
      <c r="AC131" s="209">
        <v>18.677126927917119</v>
      </c>
      <c r="AD131" s="202">
        <v>17.075181799530398</v>
      </c>
      <c r="AE131" s="210" t="s">
        <v>356</v>
      </c>
    </row>
    <row r="132" spans="2:31" ht="12" hidden="1" customHeight="1">
      <c r="B132" s="389" t="s">
        <v>357</v>
      </c>
      <c r="C132" s="208">
        <v>12.219044809934442</v>
      </c>
      <c r="D132" s="209">
        <v>7.6765779833926802</v>
      </c>
      <c r="E132" s="209">
        <v>12.469371496756848</v>
      </c>
      <c r="F132" s="209">
        <v>7.1077425276869572</v>
      </c>
      <c r="G132" s="209">
        <v>6.945192278258137</v>
      </c>
      <c r="H132" s="209">
        <v>9.5068421665197427</v>
      </c>
      <c r="I132" s="209">
        <v>11.265399633473383</v>
      </c>
      <c r="J132" s="209">
        <v>12.166607314932762</v>
      </c>
      <c r="K132" s="209">
        <v>13.29076101755687</v>
      </c>
      <c r="L132" s="202">
        <v>15.36246190272607</v>
      </c>
      <c r="M132" s="208">
        <v>16.256982802903423</v>
      </c>
      <c r="N132" s="209">
        <v>13.715939121794552</v>
      </c>
      <c r="O132" s="209">
        <v>21.69727168150602</v>
      </c>
      <c r="P132" s="209">
        <v>16.981636114825278</v>
      </c>
      <c r="Q132" s="209">
        <v>14.652092213150279</v>
      </c>
      <c r="R132" s="209">
        <v>17.387986774224306</v>
      </c>
      <c r="S132" s="209">
        <v>17.938247986543498</v>
      </c>
      <c r="T132" s="209">
        <v>20.674145299241982</v>
      </c>
      <c r="U132" s="209">
        <v>14.907378422099782</v>
      </c>
      <c r="V132" s="209">
        <v>19.063054771258507</v>
      </c>
      <c r="W132" s="209">
        <v>16.600147117339013</v>
      </c>
      <c r="X132" s="202">
        <v>16.144740250682499</v>
      </c>
      <c r="Y132" s="208">
        <v>14.68809890659967</v>
      </c>
      <c r="Z132" s="209">
        <v>14.296773678644826</v>
      </c>
      <c r="AA132" s="209">
        <v>15.029750937162463</v>
      </c>
      <c r="AB132" s="209">
        <v>14.092512632062471</v>
      </c>
      <c r="AC132" s="209">
        <v>15.446584346555946</v>
      </c>
      <c r="AD132" s="202">
        <v>14.716650137924713</v>
      </c>
      <c r="AE132" s="210" t="s">
        <v>213</v>
      </c>
    </row>
    <row r="133" spans="2:31" ht="12" hidden="1" customHeight="1">
      <c r="B133" s="390">
        <v>39479</v>
      </c>
      <c r="C133" s="208"/>
      <c r="D133" s="209"/>
      <c r="E133" s="209"/>
      <c r="F133" s="209"/>
      <c r="G133" s="209"/>
      <c r="H133" s="209"/>
      <c r="I133" s="209"/>
      <c r="J133" s="209"/>
      <c r="K133" s="209"/>
      <c r="L133" s="202"/>
      <c r="M133" s="208"/>
      <c r="N133" s="209"/>
      <c r="O133" s="209"/>
      <c r="P133" s="209"/>
      <c r="Q133" s="209"/>
      <c r="R133" s="209"/>
      <c r="S133" s="209"/>
      <c r="T133" s="209"/>
      <c r="U133" s="209"/>
      <c r="V133" s="209"/>
      <c r="W133" s="209"/>
      <c r="X133" s="202"/>
      <c r="Y133" s="208"/>
      <c r="Z133" s="209"/>
      <c r="AA133" s="209"/>
      <c r="AB133" s="209"/>
      <c r="AC133" s="209"/>
      <c r="AD133" s="202"/>
      <c r="AE133" s="397">
        <v>39479</v>
      </c>
    </row>
    <row r="134" spans="2:31" ht="12" hidden="1" customHeight="1">
      <c r="B134" s="389" t="s">
        <v>187</v>
      </c>
      <c r="C134" s="208">
        <v>11.392882123181254</v>
      </c>
      <c r="D134" s="209">
        <v>9.8741182198546333</v>
      </c>
      <c r="E134" s="209">
        <v>12.33353833515657</v>
      </c>
      <c r="F134" s="209">
        <v>8.6654952656641449</v>
      </c>
      <c r="G134" s="209">
        <v>8.1481295495630448</v>
      </c>
      <c r="H134" s="209">
        <v>10.309689467112769</v>
      </c>
      <c r="I134" s="209">
        <v>9.4896300182797866</v>
      </c>
      <c r="J134" s="209">
        <v>11.970858297527764</v>
      </c>
      <c r="K134" s="209">
        <v>12.772976233280312</v>
      </c>
      <c r="L134" s="202">
        <v>11.458378378378377</v>
      </c>
      <c r="M134" s="208">
        <v>17.490891702654732</v>
      </c>
      <c r="N134" s="209">
        <v>15.786021916883252</v>
      </c>
      <c r="O134" s="209">
        <v>20.440505519790271</v>
      </c>
      <c r="P134" s="209">
        <v>18.829889862034019</v>
      </c>
      <c r="Q134" s="209">
        <v>18.164398669034902</v>
      </c>
      <c r="R134" s="209">
        <v>19.280767481950846</v>
      </c>
      <c r="S134" s="209">
        <v>19.89786890520762</v>
      </c>
      <c r="T134" s="209">
        <v>19.622760845242272</v>
      </c>
      <c r="U134" s="209">
        <v>18.641488355784197</v>
      </c>
      <c r="V134" s="209">
        <v>10.377081769992172</v>
      </c>
      <c r="W134" s="209">
        <v>11.168244863880753</v>
      </c>
      <c r="X134" s="202">
        <v>8.2661473126003688</v>
      </c>
      <c r="Y134" s="208">
        <v>16.010649716035779</v>
      </c>
      <c r="Z134" s="209">
        <v>15.026315789473685</v>
      </c>
      <c r="AA134" s="209">
        <v>14.99764705882353</v>
      </c>
      <c r="AB134" s="209">
        <v>15.328855721393035</v>
      </c>
      <c r="AC134" s="209">
        <v>17.37666566659593</v>
      </c>
      <c r="AD134" s="202">
        <v>17.075251045786647</v>
      </c>
      <c r="AE134" s="210" t="s">
        <v>356</v>
      </c>
    </row>
    <row r="135" spans="2:31" ht="12" hidden="1" customHeight="1">
      <c r="B135" s="389" t="s">
        <v>357</v>
      </c>
      <c r="C135" s="208">
        <v>12.14634212163414</v>
      </c>
      <c r="D135" s="209">
        <v>7.5515082736140222</v>
      </c>
      <c r="E135" s="209">
        <v>12.497482621798552</v>
      </c>
      <c r="F135" s="209">
        <v>7.3260253175658869</v>
      </c>
      <c r="G135" s="209">
        <v>7.7990078089769561</v>
      </c>
      <c r="H135" s="209">
        <v>9.8127649823405161</v>
      </c>
      <c r="I135" s="209">
        <v>11.362338719936025</v>
      </c>
      <c r="J135" s="209">
        <v>11.958029258386007</v>
      </c>
      <c r="K135" s="209">
        <v>13.366607610684266</v>
      </c>
      <c r="L135" s="202">
        <v>15.353163129504781</v>
      </c>
      <c r="M135" s="208">
        <v>16.166873153027161</v>
      </c>
      <c r="N135" s="209">
        <v>13.779342336511304</v>
      </c>
      <c r="O135" s="209">
        <v>21.222651679662473</v>
      </c>
      <c r="P135" s="209">
        <v>18.00470797635462</v>
      </c>
      <c r="Q135" s="209">
        <v>13.926817650785567</v>
      </c>
      <c r="R135" s="209">
        <v>17.986037779101601</v>
      </c>
      <c r="S135" s="209">
        <v>16.546150535201289</v>
      </c>
      <c r="T135" s="209">
        <v>20.483332138903847</v>
      </c>
      <c r="U135" s="209">
        <v>14.88998873330589</v>
      </c>
      <c r="V135" s="209">
        <v>19.011228703454407</v>
      </c>
      <c r="W135" s="209">
        <v>17.311601078040272</v>
      </c>
      <c r="X135" s="202">
        <v>17.592378877765416</v>
      </c>
      <c r="Y135" s="208">
        <v>14.776353179959948</v>
      </c>
      <c r="Z135" s="209">
        <v>12.621281929670031</v>
      </c>
      <c r="AA135" s="209">
        <v>15.073209200043259</v>
      </c>
      <c r="AB135" s="209">
        <v>14.458736059479554</v>
      </c>
      <c r="AC135" s="209">
        <v>15.259285287606733</v>
      </c>
      <c r="AD135" s="202">
        <v>14.725575513164063</v>
      </c>
      <c r="AE135" s="210" t="s">
        <v>213</v>
      </c>
    </row>
    <row r="136" spans="2:31" ht="12" hidden="1" customHeight="1">
      <c r="B136" s="390">
        <v>39508</v>
      </c>
      <c r="C136" s="208"/>
      <c r="D136" s="209"/>
      <c r="E136" s="209"/>
      <c r="F136" s="209"/>
      <c r="G136" s="209"/>
      <c r="H136" s="209"/>
      <c r="I136" s="209"/>
      <c r="J136" s="209"/>
      <c r="K136" s="209"/>
      <c r="L136" s="202"/>
      <c r="M136" s="208"/>
      <c r="N136" s="209"/>
      <c r="O136" s="209"/>
      <c r="P136" s="209"/>
      <c r="Q136" s="209"/>
      <c r="R136" s="209"/>
      <c r="S136" s="209"/>
      <c r="T136" s="209"/>
      <c r="U136" s="209"/>
      <c r="V136" s="209"/>
      <c r="W136" s="209"/>
      <c r="X136" s="202"/>
      <c r="Y136" s="208"/>
      <c r="Z136" s="209"/>
      <c r="AA136" s="209"/>
      <c r="AB136" s="209"/>
      <c r="AC136" s="209"/>
      <c r="AD136" s="202"/>
      <c r="AE136" s="397">
        <v>39508</v>
      </c>
    </row>
    <row r="137" spans="2:31" ht="12" hidden="1" customHeight="1">
      <c r="B137" s="389" t="s">
        <v>187</v>
      </c>
      <c r="C137" s="208">
        <v>11.273999478090209</v>
      </c>
      <c r="D137" s="209">
        <v>9.5410806601169043</v>
      </c>
      <c r="E137" s="209">
        <v>12.315452273240837</v>
      </c>
      <c r="F137" s="209">
        <v>7.146343791708305</v>
      </c>
      <c r="G137" s="209">
        <v>8.4777486765394006</v>
      </c>
      <c r="H137" s="209">
        <v>10.264058440689773</v>
      </c>
      <c r="I137" s="209">
        <v>9.5334230255297836</v>
      </c>
      <c r="J137" s="209">
        <v>12.210073720455821</v>
      </c>
      <c r="K137" s="209">
        <v>13.418327767347444</v>
      </c>
      <c r="L137" s="202">
        <v>11.491846396633351</v>
      </c>
      <c r="M137" s="208">
        <v>17.618902764485131</v>
      </c>
      <c r="N137" s="209">
        <v>15.724328348987628</v>
      </c>
      <c r="O137" s="209">
        <v>20.792339107609571</v>
      </c>
      <c r="P137" s="209">
        <v>16.544300667247501</v>
      </c>
      <c r="Q137" s="209">
        <v>18.281309832713884</v>
      </c>
      <c r="R137" s="209">
        <v>19.184610509791156</v>
      </c>
      <c r="S137" s="209">
        <v>19.23998779375211</v>
      </c>
      <c r="T137" s="209">
        <v>19.534942913909898</v>
      </c>
      <c r="U137" s="209">
        <v>18.966660700538458</v>
      </c>
      <c r="V137" s="209">
        <v>11.074232752285157</v>
      </c>
      <c r="W137" s="209">
        <v>10.693938862859063</v>
      </c>
      <c r="X137" s="202">
        <v>8.5823780402948486</v>
      </c>
      <c r="Y137" s="208">
        <v>15.788334570633253</v>
      </c>
      <c r="Z137" s="209">
        <v>15.710569105691057</v>
      </c>
      <c r="AA137" s="209">
        <v>15.04982206405694</v>
      </c>
      <c r="AB137" s="209">
        <v>16.029761904761905</v>
      </c>
      <c r="AC137" s="209">
        <v>15.69316722248141</v>
      </c>
      <c r="AD137" s="202">
        <v>17.079074416966748</v>
      </c>
      <c r="AE137" s="210" t="s">
        <v>356</v>
      </c>
    </row>
    <row r="138" spans="2:31" ht="12" hidden="1" customHeight="1">
      <c r="B138" s="389" t="s">
        <v>357</v>
      </c>
      <c r="C138" s="208">
        <v>10.151489787302468</v>
      </c>
      <c r="D138" s="209">
        <v>6.6233706810478852</v>
      </c>
      <c r="E138" s="209">
        <v>12.673578182570997</v>
      </c>
      <c r="F138" s="209">
        <v>6.5959563853422782</v>
      </c>
      <c r="G138" s="209">
        <v>8.3305275231327052</v>
      </c>
      <c r="H138" s="209">
        <v>9.1299829390798024</v>
      </c>
      <c r="I138" s="209">
        <v>11.798828918033456</v>
      </c>
      <c r="J138" s="209">
        <v>12.179591543404694</v>
      </c>
      <c r="K138" s="209">
        <v>13.353189078514378</v>
      </c>
      <c r="L138" s="202">
        <v>15.343256092733878</v>
      </c>
      <c r="M138" s="208">
        <v>16.653475948390021</v>
      </c>
      <c r="N138" s="209">
        <v>14.237156990575912</v>
      </c>
      <c r="O138" s="209">
        <v>21.305534822520965</v>
      </c>
      <c r="P138" s="209">
        <v>18.252651197934718</v>
      </c>
      <c r="Q138" s="209">
        <v>13.395504033235849</v>
      </c>
      <c r="R138" s="209">
        <v>17.953167268699328</v>
      </c>
      <c r="S138" s="209">
        <v>17.189713125311517</v>
      </c>
      <c r="T138" s="209">
        <v>20.572694390100263</v>
      </c>
      <c r="U138" s="209">
        <v>15.478598083768913</v>
      </c>
      <c r="V138" s="209">
        <v>19.097180859677916</v>
      </c>
      <c r="W138" s="209">
        <v>17.005130610541645</v>
      </c>
      <c r="X138" s="202">
        <v>16.067640761907196</v>
      </c>
      <c r="Y138" s="208">
        <v>13.258436722974414</v>
      </c>
      <c r="Z138" s="209">
        <v>11.617206419570662</v>
      </c>
      <c r="AA138" s="209">
        <v>15.091623502973498</v>
      </c>
      <c r="AB138" s="209">
        <v>15.078920927916633</v>
      </c>
      <c r="AC138" s="209">
        <v>16.999729698420666</v>
      </c>
      <c r="AD138" s="202">
        <v>12.704824453132325</v>
      </c>
      <c r="AE138" s="210" t="s">
        <v>213</v>
      </c>
    </row>
    <row r="139" spans="2:31" ht="12" hidden="1" customHeight="1">
      <c r="B139" s="390">
        <v>39539</v>
      </c>
      <c r="C139" s="208"/>
      <c r="D139" s="209"/>
      <c r="E139" s="209"/>
      <c r="F139" s="209"/>
      <c r="G139" s="209"/>
      <c r="H139" s="209"/>
      <c r="I139" s="209"/>
      <c r="J139" s="209"/>
      <c r="K139" s="209"/>
      <c r="L139" s="202"/>
      <c r="M139" s="208"/>
      <c r="N139" s="209"/>
      <c r="O139" s="209"/>
      <c r="P139" s="209"/>
      <c r="Q139" s="209"/>
      <c r="R139" s="209"/>
      <c r="S139" s="209"/>
      <c r="T139" s="209"/>
      <c r="U139" s="209"/>
      <c r="V139" s="209"/>
      <c r="W139" s="209"/>
      <c r="X139" s="202"/>
      <c r="Y139" s="208"/>
      <c r="Z139" s="209"/>
      <c r="AA139" s="209"/>
      <c r="AB139" s="209"/>
      <c r="AC139" s="209"/>
      <c r="AD139" s="202"/>
      <c r="AE139" s="397">
        <v>39539</v>
      </c>
    </row>
    <row r="140" spans="2:31" hidden="1">
      <c r="B140" s="389" t="s">
        <v>187</v>
      </c>
      <c r="C140" s="208">
        <v>11.510543630316047</v>
      </c>
      <c r="D140" s="209">
        <v>9.9851891344099943</v>
      </c>
      <c r="E140" s="209">
        <v>12.47556650917624</v>
      </c>
      <c r="F140" s="209">
        <v>8.2983684284111128</v>
      </c>
      <c r="G140" s="209">
        <v>8.5603692662485713</v>
      </c>
      <c r="H140" s="209">
        <v>10.014150261208147</v>
      </c>
      <c r="I140" s="209">
        <v>10.085114573955464</v>
      </c>
      <c r="J140" s="209">
        <v>12.389800434936612</v>
      </c>
      <c r="K140" s="209">
        <v>12.976686635514849</v>
      </c>
      <c r="L140" s="202">
        <v>11.534132360604481</v>
      </c>
      <c r="M140" s="208">
        <v>17.711993321030384</v>
      </c>
      <c r="N140" s="209">
        <v>15.847810282829984</v>
      </c>
      <c r="O140" s="209">
        <v>20.84093711890246</v>
      </c>
      <c r="P140" s="209">
        <v>17.000276717847211</v>
      </c>
      <c r="Q140" s="209">
        <v>18.022742504608644</v>
      </c>
      <c r="R140" s="209">
        <v>18.745633845658276</v>
      </c>
      <c r="S140" s="209">
        <v>19.941320502283091</v>
      </c>
      <c r="T140" s="209">
        <v>19.652176979897376</v>
      </c>
      <c r="U140" s="209">
        <v>18.967956375510532</v>
      </c>
      <c r="V140" s="209">
        <v>11.69464768134403</v>
      </c>
      <c r="W140" s="209">
        <v>11.012335822980827</v>
      </c>
      <c r="X140" s="202">
        <v>8.500013493752272</v>
      </c>
      <c r="Y140" s="208">
        <v>14.876579650180226</v>
      </c>
      <c r="Z140" s="209">
        <v>12.657342657342657</v>
      </c>
      <c r="AA140" s="209">
        <v>15.743402084719451</v>
      </c>
      <c r="AB140" s="209">
        <v>16.384707446808509</v>
      </c>
      <c r="AC140" s="209">
        <v>15.396927474097891</v>
      </c>
      <c r="AD140" s="202">
        <v>16.227101816405582</v>
      </c>
      <c r="AE140" s="210" t="s">
        <v>356</v>
      </c>
    </row>
    <row r="141" spans="2:31" hidden="1">
      <c r="B141" s="389" t="s">
        <v>357</v>
      </c>
      <c r="C141" s="208">
        <v>9.8368908002746895</v>
      </c>
      <c r="D141" s="209">
        <v>5.5836161791012486</v>
      </c>
      <c r="E141" s="209">
        <v>12.582756939764328</v>
      </c>
      <c r="F141" s="209">
        <v>5.6969412284708971</v>
      </c>
      <c r="G141" s="209">
        <v>6.9237520125968786</v>
      </c>
      <c r="H141" s="209">
        <v>9.4319229881899318</v>
      </c>
      <c r="I141" s="209">
        <v>11.986344316268006</v>
      </c>
      <c r="J141" s="209">
        <v>11.858023680018592</v>
      </c>
      <c r="K141" s="209">
        <v>13.243089545643123</v>
      </c>
      <c r="L141" s="202">
        <v>15.442003692288184</v>
      </c>
      <c r="M141" s="208">
        <v>17.867385546781669</v>
      </c>
      <c r="N141" s="209">
        <v>16.203863333729402</v>
      </c>
      <c r="O141" s="209">
        <v>21.061065913080309</v>
      </c>
      <c r="P141" s="209">
        <v>17.274152915970792</v>
      </c>
      <c r="Q141" s="209">
        <v>15.529321138861475</v>
      </c>
      <c r="R141" s="209">
        <v>17.911993896874691</v>
      </c>
      <c r="S141" s="209">
        <v>18.340120480870773</v>
      </c>
      <c r="T141" s="209">
        <v>20.269722795807017</v>
      </c>
      <c r="U141" s="209">
        <v>17.232470079291875</v>
      </c>
      <c r="V141" s="209">
        <v>19.147229451490219</v>
      </c>
      <c r="W141" s="209">
        <v>16.581196107315296</v>
      </c>
      <c r="X141" s="202">
        <v>16.338123693044668</v>
      </c>
      <c r="Y141" s="208">
        <v>13.246225601768586</v>
      </c>
      <c r="Z141" s="209">
        <v>11.967582854731635</v>
      </c>
      <c r="AA141" s="209">
        <v>14.681484431912875</v>
      </c>
      <c r="AB141" s="209">
        <v>15</v>
      </c>
      <c r="AC141" s="209">
        <v>17.999277307454054</v>
      </c>
      <c r="AD141" s="202">
        <v>13.367543859649123</v>
      </c>
      <c r="AE141" s="210" t="s">
        <v>213</v>
      </c>
    </row>
    <row r="142" spans="2:31" hidden="1">
      <c r="B142" s="390">
        <v>39569</v>
      </c>
      <c r="C142" s="208"/>
      <c r="D142" s="209"/>
      <c r="E142" s="209"/>
      <c r="F142" s="209"/>
      <c r="G142" s="209"/>
      <c r="H142" s="209"/>
      <c r="I142" s="209"/>
      <c r="J142" s="209"/>
      <c r="K142" s="209"/>
      <c r="L142" s="202"/>
      <c r="M142" s="208"/>
      <c r="N142" s="209"/>
      <c r="O142" s="209"/>
      <c r="P142" s="209"/>
      <c r="Q142" s="209"/>
      <c r="R142" s="209"/>
      <c r="S142" s="209"/>
      <c r="T142" s="209"/>
      <c r="U142" s="209"/>
      <c r="V142" s="209"/>
      <c r="W142" s="209"/>
      <c r="X142" s="202"/>
      <c r="Y142" s="208"/>
      <c r="Z142" s="209"/>
      <c r="AA142" s="209"/>
      <c r="AB142" s="209"/>
      <c r="AC142" s="209"/>
      <c r="AD142" s="202"/>
      <c r="AE142" s="397">
        <v>39569</v>
      </c>
    </row>
    <row r="143" spans="2:31" hidden="1">
      <c r="B143" s="389" t="s">
        <v>187</v>
      </c>
      <c r="C143" s="208">
        <v>11.603299191621778</v>
      </c>
      <c r="D143" s="209">
        <v>9.6876018775604837</v>
      </c>
      <c r="E143" s="209">
        <v>12.762375816747817</v>
      </c>
      <c r="F143" s="209">
        <v>8.1858936208634017</v>
      </c>
      <c r="G143" s="209">
        <v>8.9730771066723367</v>
      </c>
      <c r="H143" s="209">
        <v>9.9786410901963247</v>
      </c>
      <c r="I143" s="209">
        <v>10.047454010770094</v>
      </c>
      <c r="J143" s="209">
        <v>12.160976982521845</v>
      </c>
      <c r="K143" s="209">
        <v>13.157626748769397</v>
      </c>
      <c r="L143" s="202">
        <v>13.938928571428571</v>
      </c>
      <c r="M143" s="208">
        <v>17.889375222893587</v>
      </c>
      <c r="N143" s="209">
        <v>16.01048049209755</v>
      </c>
      <c r="O143" s="209">
        <v>20.957275051418026</v>
      </c>
      <c r="P143" s="209">
        <v>18.681010272155909</v>
      </c>
      <c r="Q143" s="209">
        <v>19.110325199115913</v>
      </c>
      <c r="R143" s="209">
        <v>19.202389912082616</v>
      </c>
      <c r="S143" s="209">
        <v>20.342688598792851</v>
      </c>
      <c r="T143" s="209">
        <v>19.77709441841856</v>
      </c>
      <c r="U143" s="209">
        <v>18.515659457171026</v>
      </c>
      <c r="V143" s="209">
        <v>11.63944316989147</v>
      </c>
      <c r="W143" s="209">
        <v>8.715277453266328</v>
      </c>
      <c r="X143" s="202">
        <v>8.7711731401703208</v>
      </c>
      <c r="Y143" s="208">
        <v>15.655063515616323</v>
      </c>
      <c r="Z143" s="209">
        <v>15.273781902552205</v>
      </c>
      <c r="AA143" s="209">
        <v>15.249370818631355</v>
      </c>
      <c r="AB143" s="209">
        <v>15.78813432495917</v>
      </c>
      <c r="AC143" s="209">
        <v>16.882986913010008</v>
      </c>
      <c r="AD143" s="202">
        <v>15.942292678282396</v>
      </c>
      <c r="AE143" s="210" t="s">
        <v>356</v>
      </c>
    </row>
    <row r="144" spans="2:31" hidden="1">
      <c r="B144" s="389" t="s">
        <v>357</v>
      </c>
      <c r="C144" s="208">
        <v>9.5145034611006416</v>
      </c>
      <c r="D144" s="209">
        <v>5.6147003204224033</v>
      </c>
      <c r="E144" s="209">
        <v>12.704516116070694</v>
      </c>
      <c r="F144" s="209">
        <v>5.7042599302819497</v>
      </c>
      <c r="G144" s="209">
        <v>7.8864615161213001</v>
      </c>
      <c r="H144" s="209">
        <v>9.3943807086761559</v>
      </c>
      <c r="I144" s="209">
        <v>11.612239034219915</v>
      </c>
      <c r="J144" s="209">
        <v>12.439784607286438</v>
      </c>
      <c r="K144" s="209">
        <v>11.618964281705617</v>
      </c>
      <c r="L144" s="202">
        <v>15.440769995903146</v>
      </c>
      <c r="M144" s="208">
        <v>16.611619154650661</v>
      </c>
      <c r="N144" s="209">
        <v>14.365434660576341</v>
      </c>
      <c r="O144" s="209">
        <v>20.88672910706714</v>
      </c>
      <c r="P144" s="209">
        <v>16.872237423798765</v>
      </c>
      <c r="Q144" s="209">
        <v>15.648232063629042</v>
      </c>
      <c r="R144" s="209">
        <v>17.552759048504143</v>
      </c>
      <c r="S144" s="209">
        <v>19.126191505177854</v>
      </c>
      <c r="T144" s="209">
        <v>20.661398980940273</v>
      </c>
      <c r="U144" s="209">
        <v>15.230268731126186</v>
      </c>
      <c r="V144" s="209">
        <v>19.215548659158372</v>
      </c>
      <c r="W144" s="209">
        <v>16.907991938729175</v>
      </c>
      <c r="X144" s="202">
        <v>16.501772385731044</v>
      </c>
      <c r="Y144" s="208">
        <v>13.998807539925293</v>
      </c>
      <c r="Z144" s="209">
        <v>11.422275898011545</v>
      </c>
      <c r="AA144" s="209">
        <v>15.292144130379423</v>
      </c>
      <c r="AB144" s="209">
        <v>15.102639911827993</v>
      </c>
      <c r="AC144" s="209">
        <v>16.347392112731185</v>
      </c>
      <c r="AD144" s="202">
        <v>14.742375818614494</v>
      </c>
      <c r="AE144" s="210" t="s">
        <v>213</v>
      </c>
    </row>
    <row r="145" spans="1:31" hidden="1">
      <c r="B145" s="390">
        <v>39600</v>
      </c>
      <c r="C145" s="208"/>
      <c r="D145" s="209"/>
      <c r="E145" s="209"/>
      <c r="F145" s="209"/>
      <c r="G145" s="209"/>
      <c r="H145" s="209"/>
      <c r="I145" s="209"/>
      <c r="J145" s="209"/>
      <c r="K145" s="209"/>
      <c r="L145" s="202"/>
      <c r="M145" s="208"/>
      <c r="N145" s="209"/>
      <c r="O145" s="209"/>
      <c r="P145" s="209"/>
      <c r="Q145" s="209"/>
      <c r="R145" s="209"/>
      <c r="S145" s="209"/>
      <c r="T145" s="209"/>
      <c r="U145" s="209"/>
      <c r="V145" s="209"/>
      <c r="W145" s="209"/>
      <c r="X145" s="202"/>
      <c r="Y145" s="208"/>
      <c r="Z145" s="209"/>
      <c r="AA145" s="209"/>
      <c r="AB145" s="209"/>
      <c r="AC145" s="209"/>
      <c r="AD145" s="202"/>
      <c r="AE145" s="397">
        <v>39600</v>
      </c>
    </row>
    <row r="146" spans="1:31" hidden="1">
      <c r="B146" s="389" t="s">
        <v>187</v>
      </c>
      <c r="C146" s="208">
        <v>11.690645823084221</v>
      </c>
      <c r="D146" s="209">
        <v>9.8588106809798006</v>
      </c>
      <c r="E146" s="209">
        <v>12.82204200571012</v>
      </c>
      <c r="F146" s="209">
        <v>8.5409694925024446</v>
      </c>
      <c r="G146" s="209">
        <v>8.8825932006208532</v>
      </c>
      <c r="H146" s="209">
        <v>10.178033138736167</v>
      </c>
      <c r="I146" s="209">
        <v>10.244692630546508</v>
      </c>
      <c r="J146" s="209">
        <v>12.223521266513771</v>
      </c>
      <c r="K146" s="209">
        <v>13.220351487664246</v>
      </c>
      <c r="L146" s="202">
        <v>15.426934767360301</v>
      </c>
      <c r="M146" s="208">
        <v>17.935064714117512</v>
      </c>
      <c r="N146" s="209">
        <v>15.864548329663773</v>
      </c>
      <c r="O146" s="209">
        <v>21.049363127575205</v>
      </c>
      <c r="P146" s="209">
        <v>18.075407726746384</v>
      </c>
      <c r="Q146" s="209">
        <v>18.105584274573143</v>
      </c>
      <c r="R146" s="209">
        <v>18.951000776894602</v>
      </c>
      <c r="S146" s="209">
        <v>19.535554963587469</v>
      </c>
      <c r="T146" s="209">
        <v>20.005097288836804</v>
      </c>
      <c r="U146" s="209">
        <v>19.108358768606156</v>
      </c>
      <c r="V146" s="209">
        <v>11.79364096255283</v>
      </c>
      <c r="W146" s="209">
        <v>11.417819217514394</v>
      </c>
      <c r="X146" s="202">
        <v>8.4854168001498262</v>
      </c>
      <c r="Y146" s="208">
        <v>15.484806593324345</v>
      </c>
      <c r="Z146" s="209">
        <v>14.319172413793103</v>
      </c>
      <c r="AA146" s="209">
        <v>15.593548387096774</v>
      </c>
      <c r="AB146" s="209">
        <v>15.961097321587904</v>
      </c>
      <c r="AC146" s="209">
        <v>16.826732628819236</v>
      </c>
      <c r="AD146" s="202">
        <v>15.712698653912291</v>
      </c>
      <c r="AE146" s="210" t="s">
        <v>356</v>
      </c>
    </row>
    <row r="147" spans="1:31" ht="12" hidden="1" customHeight="1">
      <c r="B147" s="389" t="s">
        <v>357</v>
      </c>
      <c r="C147" s="208">
        <v>9.7967534790830388</v>
      </c>
      <c r="D147" s="209">
        <v>5.6870478733891758</v>
      </c>
      <c r="E147" s="209">
        <v>12.939102792020952</v>
      </c>
      <c r="F147" s="209">
        <v>5.7137002026628823</v>
      </c>
      <c r="G147" s="209">
        <v>7.7618329426257082</v>
      </c>
      <c r="H147" s="209">
        <v>10.079413223613763</v>
      </c>
      <c r="I147" s="209">
        <v>12.127309268702501</v>
      </c>
      <c r="J147" s="209">
        <v>12.495786826734305</v>
      </c>
      <c r="K147" s="209">
        <v>13.28841647613347</v>
      </c>
      <c r="L147" s="202">
        <v>15.49366996467128</v>
      </c>
      <c r="M147" s="208">
        <v>14.069109331214882</v>
      </c>
      <c r="N147" s="209">
        <v>11.512265869145445</v>
      </c>
      <c r="O147" s="209">
        <v>20.614822049260397</v>
      </c>
      <c r="P147" s="209">
        <v>16.154409315863813</v>
      </c>
      <c r="Q147" s="209">
        <v>15.320032010862278</v>
      </c>
      <c r="R147" s="209">
        <v>16.437117258384411</v>
      </c>
      <c r="S147" s="209">
        <v>19.910112360150737</v>
      </c>
      <c r="T147" s="209">
        <v>20.649191407989989</v>
      </c>
      <c r="U147" s="209">
        <v>12.250181250840591</v>
      </c>
      <c r="V147" s="209">
        <v>19.031692645488896</v>
      </c>
      <c r="W147" s="209">
        <v>16.840017045211752</v>
      </c>
      <c r="X147" s="202">
        <v>16.32746282588786</v>
      </c>
      <c r="Y147" s="208">
        <v>14.288135794014915</v>
      </c>
      <c r="Z147" s="209">
        <v>12.940199409322052</v>
      </c>
      <c r="AA147" s="209">
        <v>15.408858843450151</v>
      </c>
      <c r="AB147" s="209">
        <v>14.781698139243597</v>
      </c>
      <c r="AC147" s="209">
        <v>16.073621336296707</v>
      </c>
      <c r="AD147" s="202">
        <v>14.511715895878471</v>
      </c>
      <c r="AE147" s="210" t="s">
        <v>213</v>
      </c>
    </row>
    <row r="148" spans="1:31" hidden="1">
      <c r="B148" s="390">
        <v>39630</v>
      </c>
      <c r="C148" s="208"/>
      <c r="D148" s="209"/>
      <c r="E148" s="209"/>
      <c r="F148" s="209"/>
      <c r="G148" s="209"/>
      <c r="H148" s="209"/>
      <c r="I148" s="209"/>
      <c r="J148" s="209"/>
      <c r="K148" s="209"/>
      <c r="L148" s="202"/>
      <c r="M148" s="208"/>
      <c r="N148" s="209"/>
      <c r="O148" s="209"/>
      <c r="P148" s="209"/>
      <c r="Q148" s="209"/>
      <c r="R148" s="209"/>
      <c r="S148" s="209"/>
      <c r="T148" s="209"/>
      <c r="U148" s="209"/>
      <c r="V148" s="209"/>
      <c r="W148" s="209"/>
      <c r="X148" s="202"/>
      <c r="Y148" s="208"/>
      <c r="Z148" s="209"/>
      <c r="AA148" s="209"/>
      <c r="AB148" s="209"/>
      <c r="AC148" s="209"/>
      <c r="AD148" s="202"/>
      <c r="AE148" s="397">
        <v>39630</v>
      </c>
    </row>
    <row r="149" spans="1:31" hidden="1">
      <c r="B149" s="389" t="s">
        <v>187</v>
      </c>
      <c r="C149" s="208">
        <v>12.084130701936411</v>
      </c>
      <c r="D149" s="209">
        <v>10.50324229235984</v>
      </c>
      <c r="E149" s="209">
        <v>12.753043958128348</v>
      </c>
      <c r="F149" s="209">
        <v>6.5336394080487299</v>
      </c>
      <c r="G149" s="209">
        <v>9.2592222029421887</v>
      </c>
      <c r="H149" s="209">
        <v>9.1296435185583427</v>
      </c>
      <c r="I149" s="209">
        <v>9.9663904861952677</v>
      </c>
      <c r="J149" s="209">
        <v>12.420269035142438</v>
      </c>
      <c r="K149" s="209">
        <v>13.362667281791301</v>
      </c>
      <c r="L149" s="202">
        <v>15.837472079884376</v>
      </c>
      <c r="M149" s="208">
        <v>17.761918774534031</v>
      </c>
      <c r="N149" s="209">
        <v>15.552954809268208</v>
      </c>
      <c r="O149" s="209">
        <v>20.937368462686617</v>
      </c>
      <c r="P149" s="209">
        <v>17.429821453554094</v>
      </c>
      <c r="Q149" s="209">
        <v>17.378905287510214</v>
      </c>
      <c r="R149" s="209">
        <v>18.845781442456271</v>
      </c>
      <c r="S149" s="209">
        <v>19.392636559565592</v>
      </c>
      <c r="T149" s="209">
        <v>19.715740475922821</v>
      </c>
      <c r="U149" s="209">
        <v>19.049988837715059</v>
      </c>
      <c r="V149" s="209">
        <v>11.96956109165637</v>
      </c>
      <c r="W149" s="209">
        <v>11.41389486464263</v>
      </c>
      <c r="X149" s="202">
        <v>8.4851581891146797</v>
      </c>
      <c r="Y149" s="208">
        <v>15.54</v>
      </c>
      <c r="Z149" s="209">
        <v>14.31</v>
      </c>
      <c r="AA149" s="209">
        <v>15.52</v>
      </c>
      <c r="AB149" s="209">
        <v>16.14</v>
      </c>
      <c r="AC149" s="209">
        <v>16.809999999999999</v>
      </c>
      <c r="AD149" s="202">
        <v>16.68</v>
      </c>
      <c r="AE149" s="210" t="s">
        <v>356</v>
      </c>
    </row>
    <row r="150" spans="1:31" ht="10.5" hidden="1" customHeight="1">
      <c r="B150" s="389" t="s">
        <v>357</v>
      </c>
      <c r="C150" s="208">
        <v>9.6338831608320366</v>
      </c>
      <c r="D150" s="209">
        <v>5.1085504807286082</v>
      </c>
      <c r="E150" s="209">
        <v>12.96577958062622</v>
      </c>
      <c r="F150" s="209">
        <v>5.2150869557811674</v>
      </c>
      <c r="G150" s="209">
        <v>7.6478821902810274</v>
      </c>
      <c r="H150" s="209">
        <v>9.996908945538026</v>
      </c>
      <c r="I150" s="209">
        <v>11.626787085006356</v>
      </c>
      <c r="J150" s="209">
        <v>12.521371429365516</v>
      </c>
      <c r="K150" s="209">
        <v>13.081577072566672</v>
      </c>
      <c r="L150" s="202">
        <v>15.614263597512023</v>
      </c>
      <c r="M150" s="208">
        <v>14.106512004063838</v>
      </c>
      <c r="N150" s="209">
        <v>11.522156061526463</v>
      </c>
      <c r="O150" s="209">
        <v>21.048598699870862</v>
      </c>
      <c r="P150" s="209">
        <v>16.54758450707806</v>
      </c>
      <c r="Q150" s="209">
        <v>16.134623705054292</v>
      </c>
      <c r="R150" s="209">
        <v>17.286126683941998</v>
      </c>
      <c r="S150" s="209">
        <v>19.36485029724453</v>
      </c>
      <c r="T150" s="209">
        <v>20.605017994535398</v>
      </c>
      <c r="U150" s="209">
        <v>12.295284226951651</v>
      </c>
      <c r="V150" s="209">
        <v>19.402803034473784</v>
      </c>
      <c r="W150" s="209">
        <v>16.898212911867933</v>
      </c>
      <c r="X150" s="202">
        <v>16.570164301484155</v>
      </c>
      <c r="Y150" s="208">
        <v>14.387967151474909</v>
      </c>
      <c r="Z150" s="209">
        <v>10.372821417344836</v>
      </c>
      <c r="AA150" s="209">
        <v>16.046069469835466</v>
      </c>
      <c r="AB150" s="209">
        <v>15.999048359212676</v>
      </c>
      <c r="AC150" s="209">
        <v>16.340328277581552</v>
      </c>
      <c r="AD150" s="202">
        <v>14.737295352247044</v>
      </c>
      <c r="AE150" s="210" t="s">
        <v>213</v>
      </c>
    </row>
    <row r="151" spans="1:31" hidden="1">
      <c r="B151" s="390">
        <v>39661</v>
      </c>
      <c r="C151" s="208"/>
      <c r="D151" s="209"/>
      <c r="E151" s="209"/>
      <c r="F151" s="209"/>
      <c r="G151" s="209"/>
      <c r="H151" s="209"/>
      <c r="I151" s="209"/>
      <c r="J151" s="209"/>
      <c r="K151" s="209"/>
      <c r="L151" s="202"/>
      <c r="M151" s="208"/>
      <c r="N151" s="209"/>
      <c r="O151" s="209"/>
      <c r="P151" s="209"/>
      <c r="Q151" s="209"/>
      <c r="R151" s="209"/>
      <c r="S151" s="209"/>
      <c r="T151" s="209"/>
      <c r="U151" s="209"/>
      <c r="V151" s="209"/>
      <c r="W151" s="209"/>
      <c r="X151" s="202"/>
      <c r="Y151" s="194"/>
      <c r="Z151" s="194"/>
      <c r="AA151" s="194"/>
      <c r="AB151" s="194"/>
      <c r="AC151" s="194"/>
      <c r="AD151" s="194"/>
      <c r="AE151" s="397">
        <v>39661</v>
      </c>
    </row>
    <row r="152" spans="1:31" hidden="1">
      <c r="B152" s="389" t="s">
        <v>187</v>
      </c>
      <c r="C152" s="208">
        <v>11.967396631858911</v>
      </c>
      <c r="D152" s="209">
        <v>10.07</v>
      </c>
      <c r="E152" s="209">
        <v>12.71</v>
      </c>
      <c r="F152" s="209">
        <v>6.8167533539971732</v>
      </c>
      <c r="G152" s="209">
        <v>8.9036919134713575</v>
      </c>
      <c r="H152" s="209">
        <v>10.146705274393144</v>
      </c>
      <c r="I152" s="209">
        <v>9.2008108057299687</v>
      </c>
      <c r="J152" s="209">
        <v>12.424851032616425</v>
      </c>
      <c r="K152" s="209">
        <v>12.892149658649572</v>
      </c>
      <c r="L152" s="202">
        <v>16.39</v>
      </c>
      <c r="M152" s="208">
        <v>18.21</v>
      </c>
      <c r="N152" s="209">
        <v>15.95</v>
      </c>
      <c r="O152" s="209">
        <v>21.38</v>
      </c>
      <c r="P152" s="209">
        <v>17.920009792264111</v>
      </c>
      <c r="Q152" s="209">
        <v>18.974302604106345</v>
      </c>
      <c r="R152" s="209">
        <v>19.22902877539352</v>
      </c>
      <c r="S152" s="209">
        <v>19.913496061272159</v>
      </c>
      <c r="T152" s="209">
        <v>19.919203505666331</v>
      </c>
      <c r="U152" s="209">
        <v>19.378058183648982</v>
      </c>
      <c r="V152" s="209">
        <v>12.393119690404392</v>
      </c>
      <c r="W152" s="209">
        <v>11.687644453004623</v>
      </c>
      <c r="X152" s="202">
        <v>8.4709916954405422</v>
      </c>
      <c r="Y152" s="208">
        <v>15.46</v>
      </c>
      <c r="Z152" s="209">
        <v>14.73</v>
      </c>
      <c r="AA152" s="209">
        <v>14.37</v>
      </c>
      <c r="AB152" s="209">
        <v>16.12</v>
      </c>
      <c r="AC152" s="209">
        <v>16.82</v>
      </c>
      <c r="AD152" s="202">
        <v>16.48</v>
      </c>
      <c r="AE152" s="210" t="s">
        <v>356</v>
      </c>
    </row>
    <row r="153" spans="1:31" ht="10.5" hidden="1" customHeight="1">
      <c r="B153" s="389" t="s">
        <v>357</v>
      </c>
      <c r="C153" s="208">
        <v>9.52</v>
      </c>
      <c r="D153" s="209">
        <v>5.19</v>
      </c>
      <c r="E153" s="209">
        <v>12.93</v>
      </c>
      <c r="F153" s="209">
        <v>5.2353672989041948</v>
      </c>
      <c r="G153" s="209">
        <v>7.1224641771613788</v>
      </c>
      <c r="H153" s="209">
        <v>9.9631275053650246</v>
      </c>
      <c r="I153" s="209">
        <v>11.033176166161324</v>
      </c>
      <c r="J153" s="209">
        <v>12.516035538194627</v>
      </c>
      <c r="K153" s="209">
        <v>13.132924849884471</v>
      </c>
      <c r="L153" s="202">
        <v>16.041029028591851</v>
      </c>
      <c r="M153" s="208">
        <v>14.1</v>
      </c>
      <c r="N153" s="209">
        <v>11.71</v>
      </c>
      <c r="O153" s="209">
        <v>21.38</v>
      </c>
      <c r="P153" s="209">
        <v>15.880786946569149</v>
      </c>
      <c r="Q153" s="209">
        <v>16.430000000000003</v>
      </c>
      <c r="R153" s="209">
        <v>17.442691910056034</v>
      </c>
      <c r="S153" s="209">
        <v>19.367759111090557</v>
      </c>
      <c r="T153" s="209">
        <v>20.852993288252115</v>
      </c>
      <c r="U153" s="209">
        <v>12.644723520091139</v>
      </c>
      <c r="V153" s="209">
        <v>19.466293841407296</v>
      </c>
      <c r="W153" s="209">
        <v>16.859420804070254</v>
      </c>
      <c r="X153" s="202">
        <v>16.570164301484155</v>
      </c>
      <c r="Y153" s="208">
        <v>14.353219570984095</v>
      </c>
      <c r="Z153" s="209">
        <v>9.31</v>
      </c>
      <c r="AA153" s="209">
        <v>15.91</v>
      </c>
      <c r="AB153" s="209">
        <v>15.68</v>
      </c>
      <c r="AC153" s="209">
        <v>16.899999999999999</v>
      </c>
      <c r="AD153" s="202">
        <v>14.76</v>
      </c>
      <c r="AE153" s="210" t="s">
        <v>213</v>
      </c>
    </row>
    <row r="154" spans="1:31" hidden="1">
      <c r="B154" s="390">
        <v>39692</v>
      </c>
      <c r="C154" s="208"/>
      <c r="D154" s="209"/>
      <c r="E154" s="209"/>
      <c r="F154" s="209"/>
      <c r="G154" s="209"/>
      <c r="H154" s="209"/>
      <c r="I154" s="209"/>
      <c r="J154" s="209"/>
      <c r="K154" s="209"/>
      <c r="L154" s="202"/>
      <c r="M154" s="208"/>
      <c r="N154" s="209"/>
      <c r="O154" s="209"/>
      <c r="P154" s="209"/>
      <c r="Q154" s="209"/>
      <c r="R154" s="209"/>
      <c r="S154" s="209"/>
      <c r="T154" s="209"/>
      <c r="U154" s="209"/>
      <c r="V154" s="209"/>
      <c r="W154" s="209"/>
      <c r="X154" s="202"/>
      <c r="Y154" s="194"/>
      <c r="Z154" s="194"/>
      <c r="AA154" s="194"/>
      <c r="AB154" s="194"/>
      <c r="AC154" s="194"/>
      <c r="AD154" s="194"/>
      <c r="AE154" s="397">
        <v>39692</v>
      </c>
    </row>
    <row r="155" spans="1:31" hidden="1">
      <c r="B155" s="389" t="s">
        <v>187</v>
      </c>
      <c r="C155" s="208">
        <v>12.019499788979722</v>
      </c>
      <c r="D155" s="209">
        <v>10.48542878065742</v>
      </c>
      <c r="E155" s="209">
        <v>12.658594284981852</v>
      </c>
      <c r="F155" s="209">
        <v>7.0024916073361236</v>
      </c>
      <c r="G155" s="209">
        <v>8.8431540369171397</v>
      </c>
      <c r="H155" s="209">
        <v>10.546011588314197</v>
      </c>
      <c r="I155" s="209">
        <v>9.3333231104927261</v>
      </c>
      <c r="J155" s="209">
        <v>12.554124432268368</v>
      </c>
      <c r="K155" s="209">
        <v>12.87708871832112</v>
      </c>
      <c r="L155" s="202">
        <v>16.938228641030104</v>
      </c>
      <c r="M155" s="208">
        <v>18.218587417169033</v>
      </c>
      <c r="N155" s="209">
        <v>16.00336686477953</v>
      </c>
      <c r="O155" s="209">
        <v>21.248820678408247</v>
      </c>
      <c r="P155" s="209">
        <v>19.193206516627683</v>
      </c>
      <c r="Q155" s="209">
        <v>20.454379614133423</v>
      </c>
      <c r="R155" s="209">
        <v>19.320210585859616</v>
      </c>
      <c r="S155" s="209">
        <v>19.798979247282578</v>
      </c>
      <c r="T155" s="209">
        <v>20.065609525180633</v>
      </c>
      <c r="U155" s="209">
        <v>19.184630422315372</v>
      </c>
      <c r="V155" s="209">
        <v>12.446837770842299</v>
      </c>
      <c r="W155" s="209">
        <v>12.494928130509265</v>
      </c>
      <c r="X155" s="202">
        <v>8.4592133457492906</v>
      </c>
      <c r="Y155" s="208">
        <v>15.873012664931679</v>
      </c>
      <c r="Z155" s="209">
        <v>15.631560283687943</v>
      </c>
      <c r="AA155" s="209">
        <v>15.365429234338746</v>
      </c>
      <c r="AB155" s="209">
        <v>16.384193548387096</v>
      </c>
      <c r="AC155" s="209">
        <v>15.310040436885107</v>
      </c>
      <c r="AD155" s="202">
        <v>16.620587169937494</v>
      </c>
      <c r="AE155" s="210" t="s">
        <v>356</v>
      </c>
    </row>
    <row r="156" spans="1:31" ht="10.5" hidden="1" customHeight="1" thickBot="1">
      <c r="A156" s="216"/>
      <c r="B156" s="389" t="s">
        <v>357</v>
      </c>
      <c r="C156" s="208">
        <v>7.8395737085250543</v>
      </c>
      <c r="D156" s="209">
        <v>5.152284375804272</v>
      </c>
      <c r="E156" s="209">
        <v>12.500065891453298</v>
      </c>
      <c r="F156" s="209">
        <v>5.2365885273161714</v>
      </c>
      <c r="G156" s="209">
        <v>7.5229604712565452</v>
      </c>
      <c r="H156" s="209">
        <v>10.274922987632825</v>
      </c>
      <c r="I156" s="209">
        <v>10.978869471367428</v>
      </c>
      <c r="J156" s="209">
        <v>12.854776918280614</v>
      </c>
      <c r="K156" s="209">
        <v>12.431559395672725</v>
      </c>
      <c r="L156" s="202">
        <v>15.657654049262273</v>
      </c>
      <c r="M156" s="208">
        <v>14.673969347252013</v>
      </c>
      <c r="N156" s="209">
        <v>11.920213569523382</v>
      </c>
      <c r="O156" s="209">
        <v>21.402859071259268</v>
      </c>
      <c r="P156" s="209">
        <v>17.4138458324264</v>
      </c>
      <c r="Q156" s="209">
        <v>16.461164924758801</v>
      </c>
      <c r="R156" s="209">
        <v>16.659998443524739</v>
      </c>
      <c r="S156" s="209"/>
      <c r="T156" s="209">
        <v>20.610389525196613</v>
      </c>
      <c r="U156" s="209">
        <v>12.918895879804616</v>
      </c>
      <c r="V156" s="209">
        <v>19.757428577459571</v>
      </c>
      <c r="W156" s="209">
        <v>17.518092862549501</v>
      </c>
      <c r="X156" s="202">
        <v>16.559856608671467</v>
      </c>
      <c r="Y156" s="208">
        <v>15.389877216061379</v>
      </c>
      <c r="Z156" s="209">
        <v>15.771536574043372</v>
      </c>
      <c r="AA156" s="209">
        <v>16.049653761410134</v>
      </c>
      <c r="AB156" s="209">
        <v>15.189524388127062</v>
      </c>
      <c r="AC156" s="209">
        <v>16.44942956031278</v>
      </c>
      <c r="AD156" s="202">
        <v>14.976551594702702</v>
      </c>
      <c r="AE156" s="210" t="s">
        <v>213</v>
      </c>
    </row>
    <row r="157" spans="1:31" hidden="1">
      <c r="B157" s="390">
        <v>39722</v>
      </c>
      <c r="C157" s="208"/>
      <c r="D157" s="209"/>
      <c r="E157" s="209"/>
      <c r="F157" s="209"/>
      <c r="G157" s="209"/>
      <c r="H157" s="209"/>
      <c r="I157" s="209"/>
      <c r="J157" s="209"/>
      <c r="K157" s="209"/>
      <c r="L157" s="202"/>
      <c r="M157" s="208"/>
      <c r="N157" s="209"/>
      <c r="O157" s="209"/>
      <c r="P157" s="209"/>
      <c r="Q157" s="209"/>
      <c r="R157" s="209"/>
      <c r="S157" s="209"/>
      <c r="T157" s="209"/>
      <c r="U157" s="209"/>
      <c r="V157" s="209"/>
      <c r="W157" s="209"/>
      <c r="X157" s="202"/>
      <c r="Y157" s="194"/>
      <c r="Z157" s="194"/>
      <c r="AA157" s="194"/>
      <c r="AB157" s="194"/>
      <c r="AC157" s="194"/>
      <c r="AD157" s="194"/>
      <c r="AE157" s="397">
        <v>39722</v>
      </c>
    </row>
    <row r="158" spans="1:31" hidden="1">
      <c r="B158" s="389" t="s">
        <v>187</v>
      </c>
      <c r="C158" s="208">
        <v>12.311538100424931</v>
      </c>
      <c r="D158" s="209">
        <v>10.925283269726412</v>
      </c>
      <c r="E158" s="209">
        <v>12.872609194403255</v>
      </c>
      <c r="F158" s="209">
        <v>8.211689515318211</v>
      </c>
      <c r="G158" s="209">
        <v>9.0958782819044668</v>
      </c>
      <c r="H158" s="209">
        <v>10.461846860439872</v>
      </c>
      <c r="I158" s="209">
        <v>9.6134045964919324</v>
      </c>
      <c r="J158" s="209">
        <v>12.651173735750161</v>
      </c>
      <c r="K158" s="209">
        <v>13.167673093336161</v>
      </c>
      <c r="L158" s="202">
        <v>16.959545010036543</v>
      </c>
      <c r="M158" s="208">
        <v>18.245787027020071</v>
      </c>
      <c r="N158" s="209">
        <v>16.103072287214601</v>
      </c>
      <c r="O158" s="209">
        <v>21.214640207955419</v>
      </c>
      <c r="P158" s="209">
        <v>17.91651244425428</v>
      </c>
      <c r="Q158" s="209">
        <v>20.000154796611827</v>
      </c>
      <c r="R158" s="209">
        <v>20.049249268575497</v>
      </c>
      <c r="S158" s="209">
        <v>19.873350510493612</v>
      </c>
      <c r="T158" s="209">
        <v>19.912915936500529</v>
      </c>
      <c r="U158" s="209">
        <v>19.164477524321075</v>
      </c>
      <c r="V158" s="209">
        <v>12.56185414148797</v>
      </c>
      <c r="W158" s="209">
        <v>12.977259741359861</v>
      </c>
      <c r="X158" s="202">
        <v>8.5450856286337142</v>
      </c>
      <c r="Y158" s="208">
        <v>16.60312553067812</v>
      </c>
      <c r="Z158" s="209">
        <v>16.213186077643908</v>
      </c>
      <c r="AA158" s="209">
        <v>16.475687987884371</v>
      </c>
      <c r="AB158" s="209">
        <v>16.282057564072524</v>
      </c>
      <c r="AC158" s="209">
        <v>17.393626051392854</v>
      </c>
      <c r="AD158" s="202">
        <v>17.538262165489535</v>
      </c>
      <c r="AE158" s="210" t="s">
        <v>356</v>
      </c>
    </row>
    <row r="159" spans="1:31" ht="10.5" hidden="1" customHeight="1" thickBot="1">
      <c r="A159" s="216"/>
      <c r="B159" s="389" t="s">
        <v>357</v>
      </c>
      <c r="C159" s="208">
        <v>7.9669867574257021</v>
      </c>
      <c r="D159" s="209">
        <v>5.1282349630475013</v>
      </c>
      <c r="E159" s="209">
        <v>12.533432001106886</v>
      </c>
      <c r="F159" s="209">
        <v>5.287325683604573</v>
      </c>
      <c r="G159" s="209">
        <v>7.3775452194368887</v>
      </c>
      <c r="H159" s="209">
        <v>10.502005930682966</v>
      </c>
      <c r="I159" s="209">
        <v>10.638938997003669</v>
      </c>
      <c r="J159" s="209">
        <v>12.782473773594157</v>
      </c>
      <c r="K159" s="209">
        <v>12.484316543644336</v>
      </c>
      <c r="L159" s="202">
        <v>15.706877432441258</v>
      </c>
      <c r="M159" s="208">
        <v>14.69821305396143</v>
      </c>
      <c r="N159" s="209">
        <v>11.978259819080314</v>
      </c>
      <c r="O159" s="209">
        <v>21.500656709120733</v>
      </c>
      <c r="P159" s="209">
        <v>16.184427037986044</v>
      </c>
      <c r="Q159" s="209">
        <v>16.619440086490531</v>
      </c>
      <c r="R159" s="209">
        <v>16.020839128971602</v>
      </c>
      <c r="S159" s="209">
        <v>19.482344189800628</v>
      </c>
      <c r="T159" s="209">
        <v>20.702318399781777</v>
      </c>
      <c r="U159" s="209">
        <v>12.954288297308491</v>
      </c>
      <c r="V159" s="209">
        <v>19.93542723431489</v>
      </c>
      <c r="W159" s="209">
        <v>17.031856955784168</v>
      </c>
      <c r="X159" s="202">
        <v>16.569488739220166</v>
      </c>
      <c r="Y159" s="208">
        <v>15.216883175787004</v>
      </c>
      <c r="Z159" s="209">
        <v>12.510099278516487</v>
      </c>
      <c r="AA159" s="209">
        <v>15.422204193552444</v>
      </c>
      <c r="AB159" s="209">
        <v>15.385308518862955</v>
      </c>
      <c r="AC159" s="209">
        <v>16.846507617131358</v>
      </c>
      <c r="AD159" s="202">
        <v>16.00001306887734</v>
      </c>
      <c r="AE159" s="210" t="s">
        <v>213</v>
      </c>
    </row>
    <row r="160" spans="1:31" hidden="1">
      <c r="B160" s="390">
        <v>39753</v>
      </c>
      <c r="C160" s="208"/>
      <c r="D160" s="209"/>
      <c r="E160" s="209"/>
      <c r="F160" s="209"/>
      <c r="G160" s="209"/>
      <c r="H160" s="209"/>
      <c r="I160" s="209"/>
      <c r="J160" s="209"/>
      <c r="K160" s="209"/>
      <c r="L160" s="202"/>
      <c r="M160" s="208"/>
      <c r="N160" s="209"/>
      <c r="O160" s="209"/>
      <c r="P160" s="209"/>
      <c r="Q160" s="209"/>
      <c r="R160" s="209"/>
      <c r="S160" s="209"/>
      <c r="T160" s="209"/>
      <c r="U160" s="209"/>
      <c r="V160" s="209"/>
      <c r="W160" s="209"/>
      <c r="X160" s="202"/>
      <c r="Y160" s="194"/>
      <c r="Z160" s="194"/>
      <c r="AA160" s="194"/>
      <c r="AB160" s="194"/>
      <c r="AC160" s="194"/>
      <c r="AD160" s="194"/>
      <c r="AE160" s="397">
        <v>39753</v>
      </c>
    </row>
    <row r="161" spans="1:31" hidden="1">
      <c r="B161" s="389" t="s">
        <v>187</v>
      </c>
      <c r="C161" s="208">
        <v>11.880130156462105</v>
      </c>
      <c r="D161" s="209">
        <v>10.647577415967255</v>
      </c>
      <c r="E161" s="209">
        <v>12.431974973315427</v>
      </c>
      <c r="F161" s="209">
        <v>9.1996751482608747</v>
      </c>
      <c r="G161" s="209">
        <v>9.1394719864407854</v>
      </c>
      <c r="H161" s="209">
        <v>10.07525243516454</v>
      </c>
      <c r="I161" s="209">
        <v>11.020688108791536</v>
      </c>
      <c r="J161" s="209">
        <v>11.608276318947189</v>
      </c>
      <c r="K161" s="209">
        <v>13.294257179739672</v>
      </c>
      <c r="L161" s="202">
        <v>14.367034514913298</v>
      </c>
      <c r="M161" s="208">
        <v>17.987652089875287</v>
      </c>
      <c r="N161" s="209">
        <v>15.924630734453254</v>
      </c>
      <c r="O161" s="209">
        <v>21.123742461305397</v>
      </c>
      <c r="P161" s="209">
        <v>18.550049259696593</v>
      </c>
      <c r="Q161" s="209">
        <v>19.08393912589132</v>
      </c>
      <c r="R161" s="209">
        <v>20.194381273391212</v>
      </c>
      <c r="S161" s="209">
        <v>19.928842586307649</v>
      </c>
      <c r="T161" s="209">
        <v>19.854549098585363</v>
      </c>
      <c r="U161" s="209">
        <v>18.945297473983786</v>
      </c>
      <c r="V161" s="209">
        <v>12.314560286741767</v>
      </c>
      <c r="W161" s="209">
        <v>12.042481378786299</v>
      </c>
      <c r="X161" s="202">
        <v>8.4316675338751601</v>
      </c>
      <c r="Y161" s="208">
        <v>17.826315315231724</v>
      </c>
      <c r="Z161" s="209">
        <v>19.952127659574469</v>
      </c>
      <c r="AA161" s="209">
        <v>17.291439688715954</v>
      </c>
      <c r="AB161" s="209">
        <v>16.657772020725389</v>
      </c>
      <c r="AC161" s="209">
        <v>18.88162048223742</v>
      </c>
      <c r="AD161" s="202">
        <v>18.976047349459598</v>
      </c>
      <c r="AE161" s="210" t="s">
        <v>356</v>
      </c>
    </row>
    <row r="162" spans="1:31" ht="10.5" hidden="1" customHeight="1" thickBot="1">
      <c r="A162" s="216"/>
      <c r="B162" s="389" t="s">
        <v>357</v>
      </c>
      <c r="C162" s="208">
        <v>8.0695539192407999</v>
      </c>
      <c r="D162" s="209">
        <v>5.1611660536694872</v>
      </c>
      <c r="E162" s="209">
        <v>12.658972303437269</v>
      </c>
      <c r="F162" s="209">
        <v>5.1204770920173459</v>
      </c>
      <c r="G162" s="209">
        <v>6.7255268571070577</v>
      </c>
      <c r="H162" s="209">
        <v>10.84006231767245</v>
      </c>
      <c r="I162" s="209">
        <v>10.798058664047597</v>
      </c>
      <c r="J162" s="209">
        <v>11.794231241000894</v>
      </c>
      <c r="K162" s="209">
        <v>13.451329609127251</v>
      </c>
      <c r="L162" s="202">
        <v>15.733735216972509</v>
      </c>
      <c r="M162" s="208">
        <v>14.887112373845401</v>
      </c>
      <c r="N162" s="209">
        <v>12.461115121886904</v>
      </c>
      <c r="O162" s="209">
        <v>21.41105521337624</v>
      </c>
      <c r="P162" s="209">
        <v>17.044925747184227</v>
      </c>
      <c r="Q162" s="209">
        <v>18.015459015110363</v>
      </c>
      <c r="R162" s="209">
        <v>17.186839964783047</v>
      </c>
      <c r="S162" s="209">
        <v>20.117023896318518</v>
      </c>
      <c r="T162" s="209">
        <v>20.935390036344241</v>
      </c>
      <c r="U162" s="209">
        <v>12.904687040812748</v>
      </c>
      <c r="V162" s="209">
        <v>20.31863115891186</v>
      </c>
      <c r="W162" s="209">
        <v>16.78017055743252</v>
      </c>
      <c r="X162" s="202">
        <v>16.55309703578072</v>
      </c>
      <c r="Y162" s="208">
        <v>15.75</v>
      </c>
      <c r="Z162" s="209">
        <v>14.222222222222221</v>
      </c>
      <c r="AA162" s="209">
        <v>15.546198559303903</v>
      </c>
      <c r="AB162" s="209">
        <v>15.372701562049452</v>
      </c>
      <c r="AC162" s="209">
        <v>17.510000000000002</v>
      </c>
      <c r="AD162" s="202">
        <v>16.00001306887734</v>
      </c>
      <c r="AE162" s="210" t="s">
        <v>213</v>
      </c>
    </row>
    <row r="163" spans="1:31" hidden="1">
      <c r="B163" s="390">
        <v>39783</v>
      </c>
      <c r="C163" s="208"/>
      <c r="D163" s="209"/>
      <c r="E163" s="209"/>
      <c r="F163" s="209"/>
      <c r="G163" s="209"/>
      <c r="H163" s="209"/>
      <c r="I163" s="209"/>
      <c r="J163" s="209"/>
      <c r="K163" s="209"/>
      <c r="L163" s="202"/>
      <c r="M163" s="208"/>
      <c r="N163" s="209"/>
      <c r="O163" s="209"/>
      <c r="P163" s="209"/>
      <c r="Q163" s="209"/>
      <c r="R163" s="209"/>
      <c r="S163" s="209"/>
      <c r="T163" s="209"/>
      <c r="U163" s="209"/>
      <c r="V163" s="209"/>
      <c r="W163" s="209"/>
      <c r="X163" s="202"/>
      <c r="Y163" s="194"/>
      <c r="Z163" s="194"/>
      <c r="AA163" s="194"/>
      <c r="AB163" s="194"/>
      <c r="AC163" s="194"/>
      <c r="AD163" s="194"/>
      <c r="AE163" s="397">
        <v>39783</v>
      </c>
    </row>
    <row r="164" spans="1:31" hidden="1">
      <c r="B164" s="389" t="s">
        <v>187</v>
      </c>
      <c r="C164" s="208">
        <v>11.87244843640082</v>
      </c>
      <c r="D164" s="209">
        <v>10.360889947776561</v>
      </c>
      <c r="E164" s="209">
        <v>12.639179325138763</v>
      </c>
      <c r="F164" s="209">
        <v>7.9680817993564528</v>
      </c>
      <c r="G164" s="209">
        <v>9.307644696034389</v>
      </c>
      <c r="H164" s="209">
        <v>9.6651962553024262</v>
      </c>
      <c r="I164" s="209">
        <v>11.679908022918124</v>
      </c>
      <c r="J164" s="209">
        <v>11.877796686338382</v>
      </c>
      <c r="K164" s="209">
        <v>12.864282175513329</v>
      </c>
      <c r="L164" s="202">
        <v>14.42370706634634</v>
      </c>
      <c r="M164" s="208">
        <v>18.07621126911986</v>
      </c>
      <c r="N164" s="209">
        <v>15.880779409119015</v>
      </c>
      <c r="O164" s="209">
        <v>21.348343825460457</v>
      </c>
      <c r="P164" s="209">
        <v>18.386741632198238</v>
      </c>
      <c r="Q164" s="209">
        <v>18.99004058174356</v>
      </c>
      <c r="R164" s="209">
        <v>20.301129450403323</v>
      </c>
      <c r="S164" s="209">
        <v>19.651683724935772</v>
      </c>
      <c r="T164" s="209">
        <v>20.019496732668546</v>
      </c>
      <c r="U164" s="209">
        <v>19.157458299122208</v>
      </c>
      <c r="V164" s="209">
        <v>11.903491773551824</v>
      </c>
      <c r="W164" s="209">
        <v>12.086292674583595</v>
      </c>
      <c r="X164" s="202">
        <v>8.587138632923029</v>
      </c>
      <c r="Y164" s="208">
        <v>16.874954894442997</v>
      </c>
      <c r="Z164" s="209">
        <v>13.673076923076922</v>
      </c>
      <c r="AA164" s="209">
        <v>18.203125</v>
      </c>
      <c r="AB164" s="209">
        <v>15.697297297297297</v>
      </c>
      <c r="AC164" s="209">
        <v>18.663304597701149</v>
      </c>
      <c r="AD164" s="202">
        <v>12.5</v>
      </c>
      <c r="AE164" s="210" t="s">
        <v>356</v>
      </c>
    </row>
    <row r="165" spans="1:31" ht="10.5" hidden="1" customHeight="1" thickBot="1">
      <c r="A165" s="216"/>
      <c r="B165" s="389" t="s">
        <v>357</v>
      </c>
      <c r="C165" s="208">
        <v>7.9073689049268454</v>
      </c>
      <c r="D165" s="209">
        <v>5.1748835926489232</v>
      </c>
      <c r="E165" s="209">
        <v>12.715148434108549</v>
      </c>
      <c r="F165" s="209">
        <v>5.0961225730414972</v>
      </c>
      <c r="G165" s="209">
        <v>5.1859213239605788</v>
      </c>
      <c r="H165" s="209">
        <v>10.720964678982</v>
      </c>
      <c r="I165" s="209">
        <v>10.881289800323465</v>
      </c>
      <c r="J165" s="209">
        <v>11.948937583908283</v>
      </c>
      <c r="K165" s="209">
        <v>13.414333155773225</v>
      </c>
      <c r="L165" s="202">
        <v>15.791909596631974</v>
      </c>
      <c r="M165" s="208">
        <v>14.318693793605547</v>
      </c>
      <c r="N165" s="209">
        <v>11.934721516251168</v>
      </c>
      <c r="O165" s="209">
        <v>21.342882294538125</v>
      </c>
      <c r="P165" s="209">
        <v>16.307092199404536</v>
      </c>
      <c r="Q165" s="209">
        <v>18.07403168029002</v>
      </c>
      <c r="R165" s="209">
        <v>12.315405432014748</v>
      </c>
      <c r="S165" s="209">
        <v>19.329281477411666</v>
      </c>
      <c r="T165" s="209">
        <v>20.46304164477662</v>
      </c>
      <c r="U165" s="209">
        <v>12.553443600184767</v>
      </c>
      <c r="V165" s="209">
        <v>20.283205738596852</v>
      </c>
      <c r="W165" s="209">
        <v>16.734003512196441</v>
      </c>
      <c r="X165" s="202">
        <v>16.547799018823657</v>
      </c>
      <c r="Y165" s="208">
        <v>15.257978585364061</v>
      </c>
      <c r="Z165" s="209" t="s">
        <v>93</v>
      </c>
      <c r="AA165" s="209">
        <v>16.342020658047748</v>
      </c>
      <c r="AB165" s="209">
        <v>15.220114636319977</v>
      </c>
      <c r="AC165" s="209" t="s">
        <v>93</v>
      </c>
      <c r="AD165" s="202" t="s">
        <v>93</v>
      </c>
      <c r="AE165" s="210" t="s">
        <v>213</v>
      </c>
    </row>
    <row r="166" spans="1:31" hidden="1">
      <c r="B166" s="390">
        <v>39814</v>
      </c>
      <c r="C166" s="208"/>
      <c r="D166" s="209"/>
      <c r="E166" s="209"/>
      <c r="F166" s="209"/>
      <c r="G166" s="209"/>
      <c r="H166" s="209"/>
      <c r="I166" s="209"/>
      <c r="J166" s="209"/>
      <c r="K166" s="209"/>
      <c r="L166" s="202"/>
      <c r="M166" s="208"/>
      <c r="N166" s="209"/>
      <c r="O166" s="209"/>
      <c r="P166" s="209"/>
      <c r="Q166" s="209"/>
      <c r="R166" s="209"/>
      <c r="S166" s="209"/>
      <c r="T166" s="209"/>
      <c r="U166" s="209"/>
      <c r="V166" s="209"/>
      <c r="W166" s="209"/>
      <c r="X166" s="202"/>
      <c r="Y166" s="194"/>
      <c r="Z166" s="194"/>
      <c r="AA166" s="194"/>
      <c r="AB166" s="194"/>
      <c r="AC166" s="194"/>
      <c r="AD166" s="194"/>
      <c r="AE166" s="397">
        <v>39814</v>
      </c>
    </row>
    <row r="167" spans="1:31" hidden="1">
      <c r="B167" s="389" t="s">
        <v>187</v>
      </c>
      <c r="C167" s="217">
        <v>11.605823492323422</v>
      </c>
      <c r="D167" s="218">
        <v>9.4762266249718685</v>
      </c>
      <c r="E167" s="218">
        <v>12.540531737560679</v>
      </c>
      <c r="F167" s="218">
        <v>9.7749030521369775</v>
      </c>
      <c r="G167" s="218">
        <v>9.0080906903778875</v>
      </c>
      <c r="H167" s="218">
        <v>9.6628233787137781</v>
      </c>
      <c r="I167" s="218">
        <v>11.274484314858377</v>
      </c>
      <c r="J167" s="218">
        <v>12.205567897180202</v>
      </c>
      <c r="K167" s="218">
        <v>12.076611348201816</v>
      </c>
      <c r="L167" s="219">
        <v>14.982210034103295</v>
      </c>
      <c r="M167" s="217">
        <v>17.45431429121518</v>
      </c>
      <c r="N167" s="218">
        <v>14.868187332058014</v>
      </c>
      <c r="O167" s="218">
        <v>21.528869980690441</v>
      </c>
      <c r="P167" s="218">
        <v>18.075813180264014</v>
      </c>
      <c r="Q167" s="218">
        <v>19.008497639565284</v>
      </c>
      <c r="R167" s="218">
        <v>18.792360348876564</v>
      </c>
      <c r="S167" s="218">
        <v>20.318481691206145</v>
      </c>
      <c r="T167" s="218">
        <v>19.068070052323542</v>
      </c>
      <c r="U167" s="218">
        <v>18.536391923685315</v>
      </c>
      <c r="V167" s="218">
        <v>11.997713482549168</v>
      </c>
      <c r="W167" s="218">
        <v>11.711290655592324</v>
      </c>
      <c r="X167" s="219">
        <v>8.4300134268074487</v>
      </c>
      <c r="Y167" s="217">
        <v>17.830520308421708</v>
      </c>
      <c r="Z167" s="218">
        <v>16.839727151502718</v>
      </c>
      <c r="AA167" s="218">
        <v>17.216713271671328</v>
      </c>
      <c r="AB167" s="218">
        <v>16.137777777777778</v>
      </c>
      <c r="AC167" s="218">
        <v>20.046781448127859</v>
      </c>
      <c r="AD167" s="219">
        <v>17.344011020628805</v>
      </c>
      <c r="AE167" s="210" t="s">
        <v>356</v>
      </c>
    </row>
    <row r="168" spans="1:31" ht="10.5" hidden="1" customHeight="1" thickBot="1">
      <c r="A168" s="216"/>
      <c r="B168" s="389" t="s">
        <v>357</v>
      </c>
      <c r="C168" s="217">
        <v>7.9583591920351697</v>
      </c>
      <c r="D168" s="218">
        <v>5.4008154998240547</v>
      </c>
      <c r="E168" s="218">
        <v>12.42737589511259</v>
      </c>
      <c r="F168" s="218">
        <v>5.1278963804746471</v>
      </c>
      <c r="G168" s="218">
        <v>6.8940987449008144</v>
      </c>
      <c r="H168" s="218">
        <v>9.4654906865829709</v>
      </c>
      <c r="I168" s="218">
        <v>12.473880919403515</v>
      </c>
      <c r="J168" s="218">
        <v>12.479335858974922</v>
      </c>
      <c r="K168" s="218">
        <v>12.526522321207199</v>
      </c>
      <c r="L168" s="219">
        <v>15.758643560350807</v>
      </c>
      <c r="M168" s="217">
        <v>14.522487260765857</v>
      </c>
      <c r="N168" s="218">
        <v>12.366145150652745</v>
      </c>
      <c r="O168" s="218">
        <v>21.519509712669223</v>
      </c>
      <c r="P168" s="218">
        <v>16.532118093073837</v>
      </c>
      <c r="Q168" s="218">
        <v>17.042538585493762</v>
      </c>
      <c r="R168" s="218">
        <v>12.452297063857035</v>
      </c>
      <c r="S168" s="218">
        <v>19.601961771350524</v>
      </c>
      <c r="T168" s="218">
        <v>20.640913063873509</v>
      </c>
      <c r="U168" s="218">
        <v>12.636742806930792</v>
      </c>
      <c r="V168" s="218">
        <v>20.779605757240589</v>
      </c>
      <c r="W168" s="218">
        <v>12.400444462084097</v>
      </c>
      <c r="X168" s="219">
        <v>16.5423220519456</v>
      </c>
      <c r="Y168" s="217">
        <v>16.169769148014137</v>
      </c>
      <c r="Z168" s="218">
        <v>10.880025577491809</v>
      </c>
      <c r="AA168" s="218">
        <v>16.998875515388782</v>
      </c>
      <c r="AB168" s="218">
        <v>14.794928295667285</v>
      </c>
      <c r="AC168" s="218">
        <v>24.5174388688785</v>
      </c>
      <c r="AD168" s="219">
        <v>15.999948768304657</v>
      </c>
      <c r="AE168" s="210" t="s">
        <v>213</v>
      </c>
    </row>
    <row r="169" spans="1:31" ht="10.5" hidden="1" customHeight="1">
      <c r="B169" s="390">
        <v>39845</v>
      </c>
      <c r="C169" s="217"/>
      <c r="D169" s="218"/>
      <c r="E169" s="218"/>
      <c r="F169" s="218"/>
      <c r="G169" s="218"/>
      <c r="H169" s="218"/>
      <c r="I169" s="218"/>
      <c r="J169" s="218"/>
      <c r="K169" s="218"/>
      <c r="L169" s="219"/>
      <c r="M169" s="217"/>
      <c r="N169" s="218"/>
      <c r="O169" s="218"/>
      <c r="P169" s="218"/>
      <c r="Q169" s="218"/>
      <c r="R169" s="218"/>
      <c r="S169" s="218"/>
      <c r="T169" s="218"/>
      <c r="U169" s="218"/>
      <c r="V169" s="218"/>
      <c r="W169" s="218"/>
      <c r="X169" s="219"/>
      <c r="Y169" s="217"/>
      <c r="Z169" s="218"/>
      <c r="AA169" s="218"/>
      <c r="AB169" s="218"/>
      <c r="AC169" s="218"/>
      <c r="AD169" s="219"/>
      <c r="AE169" s="397">
        <v>39845</v>
      </c>
    </row>
    <row r="170" spans="1:31" ht="12" hidden="1" customHeight="1">
      <c r="B170" s="389" t="s">
        <v>187</v>
      </c>
      <c r="C170" s="217">
        <v>11.573550866288937</v>
      </c>
      <c r="D170" s="218">
        <v>9.4873734406504333</v>
      </c>
      <c r="E170" s="218">
        <v>12.383069613881007</v>
      </c>
      <c r="F170" s="218">
        <v>9.8201941958757963</v>
      </c>
      <c r="G170" s="218">
        <v>10.148060097285976</v>
      </c>
      <c r="H170" s="218">
        <v>9.446846099593369</v>
      </c>
      <c r="I170" s="218">
        <v>11.228762607499707</v>
      </c>
      <c r="J170" s="218">
        <v>11.765970054131692</v>
      </c>
      <c r="K170" s="218">
        <v>12.110848205247528</v>
      </c>
      <c r="L170" s="219">
        <v>15.156096311390552</v>
      </c>
      <c r="M170" s="217">
        <v>18.746218966327877</v>
      </c>
      <c r="N170" s="218">
        <v>16.435806353425015</v>
      </c>
      <c r="O170" s="218">
        <v>22.032899036627057</v>
      </c>
      <c r="P170" s="218">
        <v>17.461377880179427</v>
      </c>
      <c r="Q170" s="218">
        <v>19.06133509220329</v>
      </c>
      <c r="R170" s="218">
        <v>18.707907059756366</v>
      </c>
      <c r="S170" s="218">
        <v>20.288083003982475</v>
      </c>
      <c r="T170" s="218">
        <v>20.409399152532984</v>
      </c>
      <c r="U170" s="218">
        <v>20.310021786622226</v>
      </c>
      <c r="V170" s="218">
        <v>13.059799773975657</v>
      </c>
      <c r="W170" s="218">
        <v>10.791742129741699</v>
      </c>
      <c r="X170" s="219">
        <v>9.5588130454464597</v>
      </c>
      <c r="Y170" s="217">
        <v>16.398415343615476</v>
      </c>
      <c r="Z170" s="218">
        <v>17.128356435643564</v>
      </c>
      <c r="AA170" s="218">
        <v>16.468379080118694</v>
      </c>
      <c r="AB170" s="218">
        <v>15.901917808219178</v>
      </c>
      <c r="AC170" s="218">
        <v>15.322366195868954</v>
      </c>
      <c r="AD170" s="219">
        <v>17.537343752116033</v>
      </c>
      <c r="AE170" s="210" t="s">
        <v>356</v>
      </c>
    </row>
    <row r="171" spans="1:31" ht="12" hidden="1" customHeight="1">
      <c r="B171" s="389" t="s">
        <v>357</v>
      </c>
      <c r="C171" s="217">
        <v>8.1977315006159532</v>
      </c>
      <c r="D171" s="218">
        <v>5.519123955893261</v>
      </c>
      <c r="E171" s="218">
        <v>12.363096754431648</v>
      </c>
      <c r="F171" s="218">
        <v>5.1418282558336372</v>
      </c>
      <c r="G171" s="218">
        <v>7.8446036297154844</v>
      </c>
      <c r="H171" s="218">
        <v>9.5790474341218204</v>
      </c>
      <c r="I171" s="218">
        <v>12.459387004062368</v>
      </c>
      <c r="J171" s="218">
        <v>12.31085799408495</v>
      </c>
      <c r="K171" s="218">
        <v>12.546825205565002</v>
      </c>
      <c r="L171" s="219">
        <v>15.873162182608944</v>
      </c>
      <c r="M171" s="217">
        <v>16.930479180735283</v>
      </c>
      <c r="N171" s="218">
        <v>15.525247172254872</v>
      </c>
      <c r="O171" s="218">
        <v>21.692738641797693</v>
      </c>
      <c r="P171" s="218">
        <v>16.16</v>
      </c>
      <c r="Q171" s="218">
        <v>17.213506615962324</v>
      </c>
      <c r="R171" s="218">
        <v>12.566335037740329</v>
      </c>
      <c r="S171" s="218">
        <v>19.197026609656415</v>
      </c>
      <c r="T171" s="218">
        <v>19.427120738098601</v>
      </c>
      <c r="U171" s="218">
        <v>16.117593860743579</v>
      </c>
      <c r="V171" s="218">
        <v>21.1441632808246</v>
      </c>
      <c r="W171" s="218">
        <v>12.297985951422241</v>
      </c>
      <c r="X171" s="219">
        <v>16.513327306625328</v>
      </c>
      <c r="Y171" s="217">
        <v>15.879835549259136</v>
      </c>
      <c r="Z171" s="218">
        <v>24.003541912632819</v>
      </c>
      <c r="AA171" s="218">
        <v>12.940998487140696</v>
      </c>
      <c r="AB171" s="218">
        <v>14.971772717766392</v>
      </c>
      <c r="AC171" s="218">
        <v>19.259571056323917</v>
      </c>
      <c r="AD171" s="219">
        <v>14.999988258638707</v>
      </c>
      <c r="AE171" s="210" t="s">
        <v>213</v>
      </c>
    </row>
    <row r="172" spans="1:31" ht="10.5" hidden="1" customHeight="1">
      <c r="B172" s="390">
        <v>39873</v>
      </c>
      <c r="C172" s="217"/>
      <c r="D172" s="218"/>
      <c r="E172" s="218"/>
      <c r="F172" s="218"/>
      <c r="G172" s="218"/>
      <c r="H172" s="218"/>
      <c r="I172" s="218"/>
      <c r="J172" s="218"/>
      <c r="K172" s="218"/>
      <c r="L172" s="219"/>
      <c r="M172" s="217"/>
      <c r="N172" s="218"/>
      <c r="O172" s="218"/>
      <c r="P172" s="218"/>
      <c r="Q172" s="218"/>
      <c r="R172" s="218"/>
      <c r="S172" s="218"/>
      <c r="T172" s="218"/>
      <c r="U172" s="218"/>
      <c r="V172" s="218"/>
      <c r="W172" s="218"/>
      <c r="X172" s="219"/>
      <c r="Y172" s="217"/>
      <c r="Z172" s="218"/>
      <c r="AA172" s="218"/>
      <c r="AB172" s="218"/>
      <c r="AC172" s="218"/>
      <c r="AD172" s="219"/>
      <c r="AE172" s="397">
        <v>39873</v>
      </c>
    </row>
    <row r="173" spans="1:31" ht="12" hidden="1" customHeight="1">
      <c r="B173" s="389" t="s">
        <v>187</v>
      </c>
      <c r="C173" s="217">
        <v>11.346441926756764</v>
      </c>
      <c r="D173" s="218">
        <v>9.1023483940335179</v>
      </c>
      <c r="E173" s="218">
        <v>12.303831266157998</v>
      </c>
      <c r="F173" s="218">
        <v>10.581093013023837</v>
      </c>
      <c r="G173" s="218">
        <v>9.6919404317714264</v>
      </c>
      <c r="H173" s="218">
        <v>8.567155321650235</v>
      </c>
      <c r="I173" s="218">
        <v>10.949991824943456</v>
      </c>
      <c r="J173" s="218">
        <v>11.489589648078477</v>
      </c>
      <c r="K173" s="218">
        <v>11.916077931668456</v>
      </c>
      <c r="L173" s="219">
        <v>16.185183535708408</v>
      </c>
      <c r="M173" s="217">
        <v>17.36686787695125</v>
      </c>
      <c r="N173" s="218">
        <v>14.70252367966545</v>
      </c>
      <c r="O173" s="218">
        <v>21.658659235360403</v>
      </c>
      <c r="P173" s="218">
        <v>16.898503718943584</v>
      </c>
      <c r="Q173" s="218">
        <v>19.198788022787213</v>
      </c>
      <c r="R173" s="218">
        <v>19.156956433247533</v>
      </c>
      <c r="S173" s="218">
        <v>20.640675337327338</v>
      </c>
      <c r="T173" s="218">
        <v>18.710397979935163</v>
      </c>
      <c r="U173" s="218">
        <v>18.212443247724526</v>
      </c>
      <c r="V173" s="218">
        <v>12.623726074339437</v>
      </c>
      <c r="W173" s="218">
        <v>12.024717301230154</v>
      </c>
      <c r="X173" s="219">
        <v>7.2096940036103243</v>
      </c>
      <c r="Y173" s="217">
        <v>16.713024137010343</v>
      </c>
      <c r="Z173" s="218">
        <v>16.888888888888889</v>
      </c>
      <c r="AA173" s="218">
        <v>16.225168499467898</v>
      </c>
      <c r="AB173" s="218">
        <v>16.121444201312912</v>
      </c>
      <c r="AC173" s="218">
        <v>17.420000000000002</v>
      </c>
      <c r="AD173" s="219">
        <v>17.553718207732544</v>
      </c>
      <c r="AE173" s="210" t="s">
        <v>356</v>
      </c>
    </row>
    <row r="174" spans="1:31" ht="12" hidden="1" customHeight="1">
      <c r="B174" s="389" t="s">
        <v>357</v>
      </c>
      <c r="C174" s="217">
        <v>9.0088346368103789</v>
      </c>
      <c r="D174" s="218">
        <v>5.6031818770337773</v>
      </c>
      <c r="E174" s="218">
        <v>12.351351979184145</v>
      </c>
      <c r="F174" s="218">
        <v>5.2363573084869701</v>
      </c>
      <c r="G174" s="218">
        <v>6.1939161647568755</v>
      </c>
      <c r="H174" s="218">
        <v>11.072939498200512</v>
      </c>
      <c r="I174" s="218">
        <v>12.192707822957793</v>
      </c>
      <c r="J174" s="218">
        <v>11.942987462685648</v>
      </c>
      <c r="K174" s="218">
        <v>12.62692580162574</v>
      </c>
      <c r="L174" s="219">
        <v>16.301230256083002</v>
      </c>
      <c r="M174" s="217">
        <v>16.805104267287458</v>
      </c>
      <c r="N174" s="218">
        <v>15.305685290632352</v>
      </c>
      <c r="O174" s="218">
        <v>20.325900752077075</v>
      </c>
      <c r="P174" s="218">
        <v>16.116400583541186</v>
      </c>
      <c r="Q174" s="218">
        <v>17.419834909013115</v>
      </c>
      <c r="R174" s="218">
        <v>15.158714711584665</v>
      </c>
      <c r="S174" s="218">
        <v>18.205494519468907</v>
      </c>
      <c r="T174" s="218">
        <v>20.775210091563682</v>
      </c>
      <c r="U174" s="218">
        <v>15.841404959609035</v>
      </c>
      <c r="V174" s="218">
        <v>20.802084763866389</v>
      </c>
      <c r="W174" s="218">
        <v>16.613706433434107</v>
      </c>
      <c r="X174" s="219">
        <v>16.558022467637308</v>
      </c>
      <c r="Y174" s="217">
        <v>14.743074776879059</v>
      </c>
      <c r="Z174" s="218">
        <v>14.925387096774193</v>
      </c>
      <c r="AA174" s="218">
        <v>14.706074639062926</v>
      </c>
      <c r="AB174" s="218">
        <v>14.89684894996503</v>
      </c>
      <c r="AC174" s="218">
        <v>14.12</v>
      </c>
      <c r="AD174" s="219">
        <v>14.99991292611781</v>
      </c>
      <c r="AE174" s="210" t="s">
        <v>213</v>
      </c>
    </row>
    <row r="175" spans="1:31" ht="12" hidden="1" customHeight="1">
      <c r="B175" s="390">
        <v>39904</v>
      </c>
      <c r="C175" s="217"/>
      <c r="D175" s="218"/>
      <c r="E175" s="218"/>
      <c r="F175" s="218"/>
      <c r="G175" s="218"/>
      <c r="H175" s="218"/>
      <c r="I175" s="218"/>
      <c r="J175" s="218"/>
      <c r="K175" s="218"/>
      <c r="L175" s="219"/>
      <c r="M175" s="217"/>
      <c r="N175" s="218"/>
      <c r="O175" s="218"/>
      <c r="P175" s="218"/>
      <c r="Q175" s="218"/>
      <c r="R175" s="218"/>
      <c r="S175" s="218"/>
      <c r="T175" s="218"/>
      <c r="U175" s="218"/>
      <c r="V175" s="218"/>
      <c r="W175" s="218"/>
      <c r="X175" s="219"/>
      <c r="Y175" s="217"/>
      <c r="Z175" s="218"/>
      <c r="AA175" s="218"/>
      <c r="AB175" s="218"/>
      <c r="AC175" s="218"/>
      <c r="AD175" s="219"/>
      <c r="AE175" s="397">
        <v>39904</v>
      </c>
    </row>
    <row r="176" spans="1:31" ht="12" hidden="1" customHeight="1">
      <c r="B176" s="389" t="s">
        <v>187</v>
      </c>
      <c r="C176" s="217">
        <v>11.456619095926984</v>
      </c>
      <c r="D176" s="218">
        <v>9.1850566557821356</v>
      </c>
      <c r="E176" s="218">
        <v>12.411562493669667</v>
      </c>
      <c r="F176" s="218">
        <v>11.583517271217259</v>
      </c>
      <c r="G176" s="218">
        <v>9.5717172112778925</v>
      </c>
      <c r="H176" s="218">
        <v>8.9326496688362003</v>
      </c>
      <c r="I176" s="218">
        <v>10.918582097168869</v>
      </c>
      <c r="J176" s="218">
        <v>12.028367382590327</v>
      </c>
      <c r="K176" s="218">
        <v>11.651615362286895</v>
      </c>
      <c r="L176" s="219">
        <v>14.344754665351667</v>
      </c>
      <c r="M176" s="217">
        <v>17.422363398333648</v>
      </c>
      <c r="N176" s="218">
        <v>14.803775306682541</v>
      </c>
      <c r="O176" s="218">
        <v>21.646365056490474</v>
      </c>
      <c r="P176" s="218">
        <v>16.345185987516246</v>
      </c>
      <c r="Q176" s="218">
        <v>18.975568897179944</v>
      </c>
      <c r="R176" s="218">
        <v>18.791856208697624</v>
      </c>
      <c r="S176" s="218">
        <v>20.703114351067306</v>
      </c>
      <c r="T176" s="218">
        <v>18.461086663422901</v>
      </c>
      <c r="U176" s="218">
        <v>18.755934948366257</v>
      </c>
      <c r="V176" s="218">
        <v>12.304071172216958</v>
      </c>
      <c r="W176" s="218">
        <v>12.127393063389002</v>
      </c>
      <c r="X176" s="219">
        <v>7.1972396260353424</v>
      </c>
      <c r="Y176" s="217">
        <v>17.803849875388636</v>
      </c>
      <c r="Z176" s="218">
        <v>17.007940229959409</v>
      </c>
      <c r="AA176" s="218">
        <v>15.49462715727776</v>
      </c>
      <c r="AB176" s="218">
        <v>19.960921276194071</v>
      </c>
      <c r="AC176" s="218">
        <v>17.459307276073282</v>
      </c>
      <c r="AD176" s="219">
        <v>17.496261705457165</v>
      </c>
      <c r="AE176" s="210" t="s">
        <v>356</v>
      </c>
    </row>
    <row r="177" spans="2:31" ht="12" hidden="1" customHeight="1">
      <c r="B177" s="389" t="s">
        <v>357</v>
      </c>
      <c r="C177" s="217">
        <v>11.282690038631689</v>
      </c>
      <c r="D177" s="218">
        <v>6.775811982749163</v>
      </c>
      <c r="E177" s="218">
        <v>12.617052484987603</v>
      </c>
      <c r="F177" s="218">
        <v>5.8507631354080569</v>
      </c>
      <c r="G177" s="218">
        <v>6.1742140660572717</v>
      </c>
      <c r="H177" s="218">
        <v>10.533017207201123</v>
      </c>
      <c r="I177" s="218">
        <v>11.752646497164848</v>
      </c>
      <c r="J177" s="218">
        <v>12.373993407245919</v>
      </c>
      <c r="K177" s="218">
        <v>12.848958547952687</v>
      </c>
      <c r="L177" s="219">
        <v>16.418639515329176</v>
      </c>
      <c r="M177" s="217">
        <v>18.511995620808754</v>
      </c>
      <c r="N177" s="218">
        <v>16.605188530507348</v>
      </c>
      <c r="O177" s="218">
        <v>22.262765427734863</v>
      </c>
      <c r="P177" s="218">
        <v>18.174589746557672</v>
      </c>
      <c r="Q177" s="218">
        <v>18.613931093383172</v>
      </c>
      <c r="R177" s="218">
        <v>18.22647762675507</v>
      </c>
      <c r="S177" s="218">
        <v>20.560860486864218</v>
      </c>
      <c r="T177" s="218">
        <v>22.126219183105068</v>
      </c>
      <c r="U177" s="218">
        <v>17.401301980554965</v>
      </c>
      <c r="V177" s="218">
        <v>20.474877656467868</v>
      </c>
      <c r="W177" s="218">
        <v>16.745472159005349</v>
      </c>
      <c r="X177" s="219">
        <v>16.57019778725704</v>
      </c>
      <c r="Y177" s="217">
        <v>15.24150683059816</v>
      </c>
      <c r="Z177" s="218">
        <v>17.502563628805028</v>
      </c>
      <c r="AA177" s="218">
        <v>15.138650429227392</v>
      </c>
      <c r="AB177" s="218">
        <v>14.865920931657984</v>
      </c>
      <c r="AC177" s="218">
        <v>15.894584292861113</v>
      </c>
      <c r="AD177" s="219" t="s">
        <v>93</v>
      </c>
      <c r="AE177" s="210" t="s">
        <v>213</v>
      </c>
    </row>
    <row r="178" spans="2:31" ht="12" hidden="1" customHeight="1">
      <c r="B178" s="390">
        <v>39934</v>
      </c>
      <c r="C178" s="217"/>
      <c r="D178" s="218"/>
      <c r="E178" s="218"/>
      <c r="F178" s="218"/>
      <c r="G178" s="218"/>
      <c r="H178" s="218"/>
      <c r="I178" s="218"/>
      <c r="J178" s="218"/>
      <c r="K178" s="218"/>
      <c r="L178" s="219"/>
      <c r="M178" s="217"/>
      <c r="N178" s="218"/>
      <c r="O178" s="218"/>
      <c r="P178" s="218"/>
      <c r="Q178" s="218"/>
      <c r="R178" s="218"/>
      <c r="S178" s="218"/>
      <c r="T178" s="218"/>
      <c r="U178" s="218"/>
      <c r="V178" s="218"/>
      <c r="W178" s="218"/>
      <c r="X178" s="219"/>
      <c r="Y178" s="217"/>
      <c r="Z178" s="218"/>
      <c r="AA178" s="218"/>
      <c r="AB178" s="218"/>
      <c r="AC178" s="218"/>
      <c r="AD178" s="219"/>
      <c r="AE178" s="397">
        <v>39934</v>
      </c>
    </row>
    <row r="179" spans="2:31" ht="12" hidden="1" customHeight="1">
      <c r="B179" s="389" t="s">
        <v>187</v>
      </c>
      <c r="C179" s="217">
        <v>11.58728507674166</v>
      </c>
      <c r="D179" s="218">
        <v>9.4899591112749206</v>
      </c>
      <c r="E179" s="218">
        <v>12.422181472736778</v>
      </c>
      <c r="F179" s="218">
        <v>10.976111370989996</v>
      </c>
      <c r="G179" s="218">
        <v>8.6783662411831823</v>
      </c>
      <c r="H179" s="218">
        <v>8.9212350348830221</v>
      </c>
      <c r="I179" s="218">
        <v>10.937894390715527</v>
      </c>
      <c r="J179" s="218">
        <v>12.126504922190236</v>
      </c>
      <c r="K179" s="218">
        <v>12.102266504520207</v>
      </c>
      <c r="L179" s="219">
        <v>14.149273726247063</v>
      </c>
      <c r="M179" s="217">
        <v>16.246109449910353</v>
      </c>
      <c r="N179" s="218">
        <v>13.434450885015975</v>
      </c>
      <c r="O179" s="218">
        <v>21.064596385876523</v>
      </c>
      <c r="P179" s="218">
        <v>16.921013460058035</v>
      </c>
      <c r="Q179" s="218">
        <v>19.293501890459389</v>
      </c>
      <c r="R179" s="218">
        <v>17.473846896335044</v>
      </c>
      <c r="S179" s="218">
        <v>18.168799559179128</v>
      </c>
      <c r="T179" s="218">
        <v>18.005463309527798</v>
      </c>
      <c r="U179" s="218">
        <v>16.741151988820103</v>
      </c>
      <c r="V179" s="218">
        <v>12.12032999755565</v>
      </c>
      <c r="W179" s="218">
        <v>12.254558410529413</v>
      </c>
      <c r="X179" s="219">
        <v>7.1848784347727683</v>
      </c>
      <c r="Y179" s="217">
        <v>16.640745923294727</v>
      </c>
      <c r="Z179" s="218">
        <v>16.847692307692309</v>
      </c>
      <c r="AA179" s="218">
        <v>15.281445138269403</v>
      </c>
      <c r="AB179" s="218">
        <v>16.104367238733083</v>
      </c>
      <c r="AC179" s="218">
        <v>17.531610554528385</v>
      </c>
      <c r="AD179" s="219">
        <v>17.496261705457165</v>
      </c>
      <c r="AE179" s="210" t="s">
        <v>356</v>
      </c>
    </row>
    <row r="180" spans="2:31" ht="12" hidden="1" customHeight="1">
      <c r="B180" s="389" t="s">
        <v>357</v>
      </c>
      <c r="C180" s="217">
        <v>10.835784364443432</v>
      </c>
      <c r="D180" s="218">
        <v>6.3951611947477307</v>
      </c>
      <c r="E180" s="218">
        <v>12.507419210368509</v>
      </c>
      <c r="F180" s="218">
        <v>5.7491171978654299</v>
      </c>
      <c r="G180" s="218">
        <v>4.8977253849507214</v>
      </c>
      <c r="H180" s="218">
        <v>10.455021045895034</v>
      </c>
      <c r="I180" s="218">
        <v>10.978021567636107</v>
      </c>
      <c r="J180" s="218">
        <v>12.323621885822217</v>
      </c>
      <c r="K180" s="218">
        <v>12.825380392200087</v>
      </c>
      <c r="L180" s="219">
        <v>16.154322926762184</v>
      </c>
      <c r="M180" s="217">
        <v>16.983118922741198</v>
      </c>
      <c r="N180" s="218">
        <v>15.049534793495217</v>
      </c>
      <c r="O180" s="218">
        <v>20.27367629481834</v>
      </c>
      <c r="P180" s="218">
        <v>17.042465716771485</v>
      </c>
      <c r="Q180" s="218">
        <v>18.609446700475395</v>
      </c>
      <c r="R180" s="218">
        <v>17.250834917132412</v>
      </c>
      <c r="S180" s="218">
        <v>19.07572175975692</v>
      </c>
      <c r="T180" s="218">
        <v>20.058291652013899</v>
      </c>
      <c r="U180" s="218">
        <v>15.621751057997161</v>
      </c>
      <c r="V180" s="218">
        <v>21.182291718912062</v>
      </c>
      <c r="W180" s="218">
        <v>16.618434451955384</v>
      </c>
      <c r="X180" s="219">
        <v>16.594516004513618</v>
      </c>
      <c r="Y180" s="217">
        <v>14.896458993241087</v>
      </c>
      <c r="Z180" s="218" t="s">
        <v>93</v>
      </c>
      <c r="AA180" s="218">
        <v>15.202330004755112</v>
      </c>
      <c r="AB180" s="218">
        <v>14.708604077974456</v>
      </c>
      <c r="AC180" s="218">
        <v>15.342012850592692</v>
      </c>
      <c r="AD180" s="219" t="s">
        <v>93</v>
      </c>
      <c r="AE180" s="210" t="s">
        <v>213</v>
      </c>
    </row>
    <row r="181" spans="2:31" ht="12" hidden="1" customHeight="1">
      <c r="B181" s="390">
        <v>39965</v>
      </c>
      <c r="C181" s="217"/>
      <c r="D181" s="218"/>
      <c r="E181" s="218"/>
      <c r="F181" s="218"/>
      <c r="G181" s="218"/>
      <c r="H181" s="218"/>
      <c r="I181" s="218"/>
      <c r="J181" s="218"/>
      <c r="K181" s="218"/>
      <c r="L181" s="219"/>
      <c r="M181" s="217"/>
      <c r="N181" s="218"/>
      <c r="O181" s="218"/>
      <c r="P181" s="218"/>
      <c r="Q181" s="218"/>
      <c r="R181" s="218"/>
      <c r="S181" s="218"/>
      <c r="T181" s="218"/>
      <c r="U181" s="218"/>
      <c r="V181" s="218"/>
      <c r="W181" s="218"/>
      <c r="X181" s="219"/>
      <c r="Y181" s="217"/>
      <c r="Z181" s="218"/>
      <c r="AA181" s="218"/>
      <c r="AB181" s="218"/>
      <c r="AC181" s="218"/>
      <c r="AD181" s="219"/>
      <c r="AE181" s="397">
        <v>39965</v>
      </c>
    </row>
    <row r="182" spans="2:31" ht="12" hidden="1" customHeight="1">
      <c r="B182" s="389" t="s">
        <v>187</v>
      </c>
      <c r="C182" s="217">
        <v>11.278175761435543</v>
      </c>
      <c r="D182" s="218">
        <v>8.6697405834803742</v>
      </c>
      <c r="E182" s="218">
        <v>12.424479594551778</v>
      </c>
      <c r="F182" s="218">
        <v>10.524158903886978</v>
      </c>
      <c r="G182" s="218">
        <v>6.7354249394647674</v>
      </c>
      <c r="H182" s="218">
        <v>8.9898552315885532</v>
      </c>
      <c r="I182" s="218">
        <v>11.191955182430819</v>
      </c>
      <c r="J182" s="218">
        <v>12.199837902540295</v>
      </c>
      <c r="K182" s="218">
        <v>11.76685330062339</v>
      </c>
      <c r="L182" s="219">
        <v>12.223530879518362</v>
      </c>
      <c r="M182" s="217">
        <v>17.1237151174149</v>
      </c>
      <c r="N182" s="218">
        <v>14.784686873121705</v>
      </c>
      <c r="O182" s="218">
        <v>21.153918339430451</v>
      </c>
      <c r="P182" s="218">
        <v>16.338402548047828</v>
      </c>
      <c r="Q182" s="218">
        <v>17.646891647490609</v>
      </c>
      <c r="R182" s="218">
        <v>16.361545393674618</v>
      </c>
      <c r="S182" s="218">
        <v>18.891828485345027</v>
      </c>
      <c r="T182" s="218">
        <v>18.996018842067546</v>
      </c>
      <c r="U182" s="218">
        <v>18.134491236213336</v>
      </c>
      <c r="V182" s="218">
        <v>12.351205746548592</v>
      </c>
      <c r="W182" s="218">
        <v>12.29651863864097</v>
      </c>
      <c r="X182" s="219">
        <v>8.5672544197600047</v>
      </c>
      <c r="Y182" s="217">
        <v>18.059999999999999</v>
      </c>
      <c r="Z182" s="218">
        <v>16.84</v>
      </c>
      <c r="AA182" s="218">
        <v>15.97</v>
      </c>
      <c r="AB182" s="218">
        <v>15.729200000000001</v>
      </c>
      <c r="AC182" s="218">
        <v>17.663685667534551</v>
      </c>
      <c r="AD182" s="219">
        <v>21.71</v>
      </c>
      <c r="AE182" s="210" t="s">
        <v>356</v>
      </c>
    </row>
    <row r="183" spans="2:31" ht="12" hidden="1" customHeight="1">
      <c r="B183" s="389" t="s">
        <v>357</v>
      </c>
      <c r="C183" s="217">
        <v>10.558669095738395</v>
      </c>
      <c r="D183" s="218">
        <v>6.0904765786835</v>
      </c>
      <c r="E183" s="218">
        <v>12.312400207198134</v>
      </c>
      <c r="F183" s="218">
        <v>5.6973869787282831</v>
      </c>
      <c r="G183" s="218">
        <v>4.047001596556222</v>
      </c>
      <c r="H183" s="218">
        <v>8.8771502000050155</v>
      </c>
      <c r="I183" s="218">
        <v>10.936780890789356</v>
      </c>
      <c r="J183" s="218">
        <v>12.413139804102888</v>
      </c>
      <c r="K183" s="218">
        <v>12.74574707284367</v>
      </c>
      <c r="L183" s="219">
        <v>15.981921232306975</v>
      </c>
      <c r="M183" s="217">
        <v>18.778254671104399</v>
      </c>
      <c r="N183" s="218">
        <v>16.536141887856346</v>
      </c>
      <c r="O183" s="218">
        <v>23.170339934500419</v>
      </c>
      <c r="P183" s="218">
        <v>17.71841880912881</v>
      </c>
      <c r="Q183" s="218">
        <v>19.269845243586964</v>
      </c>
      <c r="R183" s="218">
        <v>17.506954597464517</v>
      </c>
      <c r="S183" s="218">
        <v>19.491704481756081</v>
      </c>
      <c r="T183" s="218">
        <v>22.859475035989149</v>
      </c>
      <c r="U183" s="218">
        <v>17.55435095035681</v>
      </c>
      <c r="V183" s="218">
        <v>21.449290965791867</v>
      </c>
      <c r="W183" s="218">
        <v>16.951021060153238</v>
      </c>
      <c r="X183" s="219">
        <v>16.878860480144361</v>
      </c>
      <c r="Y183" s="217">
        <v>14.76</v>
      </c>
      <c r="Z183" s="218">
        <v>10.46</v>
      </c>
      <c r="AA183" s="218">
        <v>15.01</v>
      </c>
      <c r="AB183" s="218">
        <v>14.98</v>
      </c>
      <c r="AC183" s="218">
        <v>15</v>
      </c>
      <c r="AD183" s="219" t="s">
        <v>93</v>
      </c>
      <c r="AE183" s="210" t="s">
        <v>213</v>
      </c>
    </row>
    <row r="184" spans="2:31" ht="12" hidden="1" customHeight="1">
      <c r="B184" s="390">
        <v>39995</v>
      </c>
      <c r="C184" s="217"/>
      <c r="D184" s="218"/>
      <c r="E184" s="218"/>
      <c r="F184" s="218"/>
      <c r="G184" s="218"/>
      <c r="H184" s="218"/>
      <c r="I184" s="218"/>
      <c r="J184" s="218"/>
      <c r="K184" s="218"/>
      <c r="L184" s="219"/>
      <c r="M184" s="217"/>
      <c r="N184" s="218"/>
      <c r="O184" s="218"/>
      <c r="P184" s="218"/>
      <c r="Q184" s="218"/>
      <c r="R184" s="218"/>
      <c r="S184" s="218"/>
      <c r="T184" s="218"/>
      <c r="U184" s="218"/>
      <c r="V184" s="218"/>
      <c r="W184" s="218"/>
      <c r="X184" s="219"/>
      <c r="Y184" s="217"/>
      <c r="Z184" s="218"/>
      <c r="AA184" s="218"/>
      <c r="AB184" s="218"/>
      <c r="AC184" s="218"/>
      <c r="AD184" s="219"/>
      <c r="AE184" s="397">
        <f>+B184</f>
        <v>39995</v>
      </c>
    </row>
    <row r="185" spans="2:31" ht="12" hidden="1" customHeight="1">
      <c r="B185" s="389" t="s">
        <v>187</v>
      </c>
      <c r="C185" s="217">
        <v>11.447808438893727</v>
      </c>
      <c r="D185" s="218">
        <v>8.3621216475929447</v>
      </c>
      <c r="E185" s="218">
        <v>12.750665830845687</v>
      </c>
      <c r="F185" s="218">
        <v>11.133432795752146</v>
      </c>
      <c r="G185" s="218">
        <v>8.4235221085648551</v>
      </c>
      <c r="H185" s="218">
        <v>8.8507404685211988</v>
      </c>
      <c r="I185" s="218">
        <v>11.278341122543329</v>
      </c>
      <c r="J185" s="218">
        <v>12.217375661778464</v>
      </c>
      <c r="K185" s="218">
        <v>11.874092311304912</v>
      </c>
      <c r="L185" s="219">
        <v>11.775226042487279</v>
      </c>
      <c r="M185" s="217">
        <v>17.116687412680399</v>
      </c>
      <c r="N185" s="218">
        <v>14.801566168412959</v>
      </c>
      <c r="O185" s="218">
        <v>21.186402407044071</v>
      </c>
      <c r="P185" s="218">
        <v>18.231213411213499</v>
      </c>
      <c r="Q185" s="218">
        <v>17.708376922358603</v>
      </c>
      <c r="R185" s="218">
        <v>17.057670050180462</v>
      </c>
      <c r="S185" s="218">
        <v>17.549353737601493</v>
      </c>
      <c r="T185" s="218">
        <v>19.230201523106555</v>
      </c>
      <c r="U185" s="218">
        <v>18.16204491241297</v>
      </c>
      <c r="V185" s="218">
        <v>11.964024870682147</v>
      </c>
      <c r="W185" s="218">
        <v>12.912471917502307</v>
      </c>
      <c r="X185" s="219">
        <v>8.6024509439521779</v>
      </c>
      <c r="Y185" s="217">
        <v>16.137374622725897</v>
      </c>
      <c r="Z185" s="218">
        <v>12.682539682539682</v>
      </c>
      <c r="AA185" s="218">
        <v>15.281445138269403</v>
      </c>
      <c r="AB185" s="218">
        <v>15.783271418176248</v>
      </c>
      <c r="AC185" s="218">
        <v>17.135494450517893</v>
      </c>
      <c r="AD185" s="219">
        <v>17.221073774006452</v>
      </c>
      <c r="AE185" s="210" t="s">
        <v>356</v>
      </c>
    </row>
    <row r="186" spans="2:31" ht="12" hidden="1" customHeight="1">
      <c r="B186" s="389" t="s">
        <v>357</v>
      </c>
      <c r="C186" s="217">
        <v>10.772275632790823</v>
      </c>
      <c r="D186" s="218">
        <v>6.1945631976303677</v>
      </c>
      <c r="E186" s="218">
        <v>12.532787937305654</v>
      </c>
      <c r="F186" s="218">
        <v>5.6201613308901797</v>
      </c>
      <c r="G186" s="218">
        <v>6.3618175856173824</v>
      </c>
      <c r="H186" s="218">
        <v>9.0134478139632233</v>
      </c>
      <c r="I186" s="218">
        <v>11.153805947439542</v>
      </c>
      <c r="J186" s="218">
        <v>12.514230579194717</v>
      </c>
      <c r="K186" s="218">
        <v>12.955385803248554</v>
      </c>
      <c r="L186" s="219">
        <v>15.988570234781253</v>
      </c>
      <c r="M186" s="217">
        <v>17.590529734428145</v>
      </c>
      <c r="N186" s="218">
        <v>15.014922478265103</v>
      </c>
      <c r="O186" s="218">
        <v>22.672918645058118</v>
      </c>
      <c r="P186" s="218">
        <v>17.78040717935643</v>
      </c>
      <c r="Q186" s="218">
        <v>19.299449134693042</v>
      </c>
      <c r="R186" s="218">
        <v>17.956329727478597</v>
      </c>
      <c r="S186" s="218">
        <v>16.518553471857601</v>
      </c>
      <c r="T186" s="218">
        <v>21.229140453549991</v>
      </c>
      <c r="U186" s="218">
        <v>16.285583833253131</v>
      </c>
      <c r="V186" s="218">
        <v>21.306164933368532</v>
      </c>
      <c r="W186" s="218">
        <v>16.847123539976192</v>
      </c>
      <c r="X186" s="219">
        <v>16.887591035213553</v>
      </c>
      <c r="Y186" s="217">
        <v>14.573027229924994</v>
      </c>
      <c r="Z186" s="218">
        <v>13.436666933629281</v>
      </c>
      <c r="AA186" s="218">
        <v>16.331500303398059</v>
      </c>
      <c r="AB186" s="218">
        <v>13.55135717930569</v>
      </c>
      <c r="AC186" s="218">
        <v>11.829747613749488</v>
      </c>
      <c r="AD186" s="219">
        <v>19.845190532931476</v>
      </c>
      <c r="AE186" s="210" t="s">
        <v>213</v>
      </c>
    </row>
    <row r="187" spans="2:31" ht="12" hidden="1" customHeight="1">
      <c r="B187" s="390">
        <v>40026</v>
      </c>
      <c r="C187" s="217"/>
      <c r="D187" s="218"/>
      <c r="E187" s="218"/>
      <c r="F187" s="218"/>
      <c r="G187" s="218"/>
      <c r="H187" s="218"/>
      <c r="I187" s="218"/>
      <c r="J187" s="218"/>
      <c r="K187" s="218"/>
      <c r="L187" s="219"/>
      <c r="M187" s="217"/>
      <c r="N187" s="218"/>
      <c r="O187" s="218"/>
      <c r="P187" s="218"/>
      <c r="Q187" s="218"/>
      <c r="R187" s="218"/>
      <c r="S187" s="218"/>
      <c r="T187" s="218"/>
      <c r="U187" s="218"/>
      <c r="V187" s="218"/>
      <c r="W187" s="218"/>
      <c r="X187" s="219"/>
      <c r="Y187" s="217"/>
      <c r="Z187" s="218"/>
      <c r="AA187" s="218"/>
      <c r="AB187" s="218"/>
      <c r="AC187" s="218"/>
      <c r="AD187" s="219"/>
      <c r="AE187" s="397">
        <f>+B187</f>
        <v>40026</v>
      </c>
    </row>
    <row r="188" spans="2:31" ht="12" hidden="1" customHeight="1">
      <c r="B188" s="389" t="s">
        <v>187</v>
      </c>
      <c r="C188" s="217">
        <v>11.2737738352271</v>
      </c>
      <c r="D188" s="218">
        <v>8.2554996651869264</v>
      </c>
      <c r="E188" s="218">
        <v>12.525949162033642</v>
      </c>
      <c r="F188" s="218">
        <v>11.209604742449713</v>
      </c>
      <c r="G188" s="218">
        <v>7.9933150390491985</v>
      </c>
      <c r="H188" s="218">
        <v>9.1733903101047201</v>
      </c>
      <c r="I188" s="218">
        <v>11.263516344298061</v>
      </c>
      <c r="J188" s="218">
        <v>12.271956854730886</v>
      </c>
      <c r="K188" s="218">
        <v>11.802257487106507</v>
      </c>
      <c r="L188" s="219">
        <v>11.498987083774407</v>
      </c>
      <c r="M188" s="217">
        <v>15.335169811558794</v>
      </c>
      <c r="N188" s="218">
        <v>12.741690278834879</v>
      </c>
      <c r="O188" s="218">
        <v>20.828893136326254</v>
      </c>
      <c r="P188" s="218">
        <v>17.087374130211664</v>
      </c>
      <c r="Q188" s="218">
        <v>15.344307230895037</v>
      </c>
      <c r="R188" s="218">
        <v>13.670126163513673</v>
      </c>
      <c r="S188" s="218">
        <v>15.959003739154827</v>
      </c>
      <c r="T188" s="218">
        <v>20.367207441799817</v>
      </c>
      <c r="U188" s="218">
        <v>15.054927982028779</v>
      </c>
      <c r="V188" s="218">
        <v>11.793331913306822</v>
      </c>
      <c r="W188" s="218">
        <v>12.857468672654221</v>
      </c>
      <c r="X188" s="219">
        <v>8.4987876318652145</v>
      </c>
      <c r="Y188" s="217">
        <v>15.084702993403175</v>
      </c>
      <c r="Z188" s="218">
        <v>17.297872340425531</v>
      </c>
      <c r="AA188" s="218">
        <v>13.369565217391303</v>
      </c>
      <c r="AB188" s="218">
        <v>14.972196515920395</v>
      </c>
      <c r="AC188" s="218">
        <v>17.375044201890663</v>
      </c>
      <c r="AD188" s="219">
        <v>17.14</v>
      </c>
      <c r="AE188" s="210" t="s">
        <v>356</v>
      </c>
    </row>
    <row r="189" spans="2:31" ht="12" hidden="1" customHeight="1">
      <c r="B189" s="389" t="s">
        <v>357</v>
      </c>
      <c r="C189" s="217">
        <v>9.382649390351828</v>
      </c>
      <c r="D189" s="218">
        <v>4.8453775102855925</v>
      </c>
      <c r="E189" s="218">
        <v>12.296578530814406</v>
      </c>
      <c r="F189" s="218">
        <v>5.7362991057213284</v>
      </c>
      <c r="G189" s="218">
        <v>4.269403745236577</v>
      </c>
      <c r="H189" s="218">
        <v>9.8072234658875566</v>
      </c>
      <c r="I189" s="218">
        <v>10.958832122369673</v>
      </c>
      <c r="J189" s="218">
        <v>12.47785013206758</v>
      </c>
      <c r="K189" s="218">
        <v>12.876111802423967</v>
      </c>
      <c r="L189" s="219">
        <v>16.00878595537344</v>
      </c>
      <c r="M189" s="217">
        <v>16.38999262302946</v>
      </c>
      <c r="N189" s="218">
        <v>13.786681338539655</v>
      </c>
      <c r="O189" s="218">
        <v>22.194524269189404</v>
      </c>
      <c r="P189" s="218">
        <v>18.117752961935061</v>
      </c>
      <c r="Q189" s="218">
        <v>18.408885538641023</v>
      </c>
      <c r="R189" s="218">
        <v>17.869686414676188</v>
      </c>
      <c r="S189" s="218">
        <v>19.577396051035748</v>
      </c>
      <c r="T189" s="218">
        <v>20.713922558766271</v>
      </c>
      <c r="U189" s="218">
        <v>14.725577531199132</v>
      </c>
      <c r="V189" s="218">
        <v>21.098968106856951</v>
      </c>
      <c r="W189" s="218">
        <v>16.869583839863957</v>
      </c>
      <c r="X189" s="219">
        <v>16.902592219011257</v>
      </c>
      <c r="Y189" s="217">
        <v>15.123587257947719</v>
      </c>
      <c r="Z189" s="218">
        <v>12.856087163810752</v>
      </c>
      <c r="AA189" s="218">
        <v>16.168748096253427</v>
      </c>
      <c r="AB189" s="218">
        <v>14.813655713343985</v>
      </c>
      <c r="AC189" s="218">
        <v>12.038959568780095</v>
      </c>
      <c r="AD189" s="219">
        <v>19.882192721625188</v>
      </c>
      <c r="AE189" s="210" t="s">
        <v>213</v>
      </c>
    </row>
    <row r="190" spans="2:31" ht="12" hidden="1" customHeight="1">
      <c r="B190" s="390">
        <v>40057</v>
      </c>
      <c r="C190" s="217"/>
      <c r="D190" s="218"/>
      <c r="E190" s="218"/>
      <c r="F190" s="218"/>
      <c r="G190" s="218"/>
      <c r="H190" s="218"/>
      <c r="I190" s="218"/>
      <c r="J190" s="218"/>
      <c r="K190" s="218"/>
      <c r="L190" s="219"/>
      <c r="M190" s="217"/>
      <c r="N190" s="218"/>
      <c r="O190" s="218"/>
      <c r="P190" s="218"/>
      <c r="Q190" s="218"/>
      <c r="R190" s="218"/>
      <c r="S190" s="218"/>
      <c r="T190" s="218"/>
      <c r="U190" s="218"/>
      <c r="V190" s="218"/>
      <c r="W190" s="218"/>
      <c r="X190" s="219"/>
      <c r="Y190" s="217"/>
      <c r="Z190" s="218"/>
      <c r="AA190" s="218"/>
      <c r="AB190" s="218"/>
      <c r="AC190" s="218"/>
      <c r="AD190" s="219"/>
      <c r="AE190" s="397">
        <f>+B190</f>
        <v>40057</v>
      </c>
    </row>
    <row r="191" spans="2:31" ht="12" hidden="1" customHeight="1">
      <c r="B191" s="389" t="s">
        <v>187</v>
      </c>
      <c r="C191" s="217">
        <v>11.610215496933973</v>
      </c>
      <c r="D191" s="218">
        <v>8.4057084050314543</v>
      </c>
      <c r="E191" s="218">
        <v>12.919316585535949</v>
      </c>
      <c r="F191" s="218">
        <v>9.6494922970841444</v>
      </c>
      <c r="G191" s="218">
        <v>9.2336363550500984</v>
      </c>
      <c r="H191" s="218">
        <v>9.2119402585047006</v>
      </c>
      <c r="I191" s="218">
        <v>11.666020096411032</v>
      </c>
      <c r="J191" s="218">
        <v>12.37681757055673</v>
      </c>
      <c r="K191" s="218">
        <v>12.151233937691803</v>
      </c>
      <c r="L191" s="219">
        <v>11.242089643288836</v>
      </c>
      <c r="M191" s="217">
        <v>14.859023296481148</v>
      </c>
      <c r="N191" s="218">
        <v>12.484725772428783</v>
      </c>
      <c r="O191" s="218">
        <v>20.678859660673581</v>
      </c>
      <c r="P191" s="218">
        <v>20.499410768811625</v>
      </c>
      <c r="Q191" s="218">
        <v>15.241032530626123</v>
      </c>
      <c r="R191" s="218">
        <v>13.716193827882998</v>
      </c>
      <c r="S191" s="218">
        <v>15.653721569774607</v>
      </c>
      <c r="T191" s="218">
        <v>20.63596323017131</v>
      </c>
      <c r="U191" s="218">
        <v>14.173802971357125</v>
      </c>
      <c r="V191" s="218">
        <v>11.732677771600988</v>
      </c>
      <c r="W191" s="218">
        <v>12.663843175275884</v>
      </c>
      <c r="X191" s="219">
        <v>8.392804326015499</v>
      </c>
      <c r="Y191" s="217">
        <v>18.708027737034687</v>
      </c>
      <c r="Z191" s="218">
        <v>17</v>
      </c>
      <c r="AA191" s="218">
        <v>24.1</v>
      </c>
      <c r="AB191" s="218">
        <v>17.375009375234381</v>
      </c>
      <c r="AC191" s="218">
        <v>17.311010009099181</v>
      </c>
      <c r="AD191" s="219">
        <v>17.567868431902514</v>
      </c>
      <c r="AE191" s="210" t="s">
        <v>356</v>
      </c>
    </row>
    <row r="192" spans="2:31" ht="11.25" hidden="1" customHeight="1">
      <c r="B192" s="389" t="s">
        <v>357</v>
      </c>
      <c r="C192" s="217">
        <v>9.555496467843259</v>
      </c>
      <c r="D192" s="218">
        <v>4.9371418605565029</v>
      </c>
      <c r="E192" s="218">
        <v>12.4502440956194</v>
      </c>
      <c r="F192" s="218">
        <v>5.7818168112929822</v>
      </c>
      <c r="G192" s="218">
        <v>5.8113609375938866</v>
      </c>
      <c r="H192" s="218">
        <v>9.0200519245786221</v>
      </c>
      <c r="I192" s="218">
        <v>11.051815132301845</v>
      </c>
      <c r="J192" s="218">
        <v>12.481476289290937</v>
      </c>
      <c r="K192" s="218">
        <v>13.004780060577403</v>
      </c>
      <c r="L192" s="219">
        <v>16.06943324551197</v>
      </c>
      <c r="M192" s="217">
        <v>15.484034415087605</v>
      </c>
      <c r="N192" s="218">
        <v>12.705685923312313</v>
      </c>
      <c r="O192" s="218">
        <v>21.760760867724894</v>
      </c>
      <c r="P192" s="218">
        <v>18.092380536976151</v>
      </c>
      <c r="Q192" s="218">
        <v>18.922803943977655</v>
      </c>
      <c r="R192" s="218">
        <v>17.86444794375209</v>
      </c>
      <c r="S192" s="218">
        <v>19.471267153970022</v>
      </c>
      <c r="T192" s="218">
        <v>19.232568295579423</v>
      </c>
      <c r="U192" s="218">
        <v>13.96767426413826</v>
      </c>
      <c r="V192" s="218">
        <v>20.995169090456812</v>
      </c>
      <c r="W192" s="218">
        <v>16.898742660656676</v>
      </c>
      <c r="X192" s="219">
        <v>16.807053209899358</v>
      </c>
      <c r="Y192" s="217">
        <v>15.024009216115598</v>
      </c>
      <c r="Z192" s="218">
        <v>5.6043414735963264</v>
      </c>
      <c r="AA192" s="218">
        <v>15.104326254668374</v>
      </c>
      <c r="AB192" s="218">
        <v>15.08185641526906</v>
      </c>
      <c r="AC192" s="218">
        <v>14.675523893304847</v>
      </c>
      <c r="AD192" s="219">
        <v>17.045253242277557</v>
      </c>
      <c r="AE192" s="210" t="s">
        <v>213</v>
      </c>
    </row>
    <row r="193" spans="2:31" ht="12" hidden="1" customHeight="1">
      <c r="B193" s="390">
        <v>40087</v>
      </c>
      <c r="C193" s="217"/>
      <c r="D193" s="218"/>
      <c r="E193" s="218"/>
      <c r="F193" s="218"/>
      <c r="G193" s="218"/>
      <c r="H193" s="218"/>
      <c r="I193" s="218"/>
      <c r="J193" s="218"/>
      <c r="K193" s="218"/>
      <c r="L193" s="219"/>
      <c r="M193" s="217"/>
      <c r="N193" s="218"/>
      <c r="O193" s="218"/>
      <c r="P193" s="218"/>
      <c r="Q193" s="218"/>
      <c r="R193" s="218"/>
      <c r="S193" s="218"/>
      <c r="T193" s="218"/>
      <c r="U193" s="218"/>
      <c r="V193" s="218"/>
      <c r="W193" s="218"/>
      <c r="X193" s="219"/>
      <c r="Y193" s="217"/>
      <c r="Z193" s="218"/>
      <c r="AA193" s="218"/>
      <c r="AB193" s="218"/>
      <c r="AC193" s="218"/>
      <c r="AD193" s="219"/>
      <c r="AE193" s="397">
        <f>+B193</f>
        <v>40087</v>
      </c>
    </row>
    <row r="194" spans="2:31" ht="12" hidden="1" customHeight="1">
      <c r="B194" s="389" t="s">
        <v>187</v>
      </c>
      <c r="C194" s="217">
        <v>11.798945861116858</v>
      </c>
      <c r="D194" s="218">
        <v>7.8341342279723589</v>
      </c>
      <c r="E194" s="218">
        <v>13.037804423806095</v>
      </c>
      <c r="F194" s="218">
        <v>8.3552199973613188</v>
      </c>
      <c r="G194" s="218">
        <v>9.7820483094358135</v>
      </c>
      <c r="H194" s="218">
        <v>9.7527301123419274</v>
      </c>
      <c r="I194" s="218">
        <v>11.679065867950971</v>
      </c>
      <c r="J194" s="218">
        <v>12.578377850856343</v>
      </c>
      <c r="K194" s="218">
        <v>12.105632869511977</v>
      </c>
      <c r="L194" s="219">
        <v>11.971692171507581</v>
      </c>
      <c r="M194" s="217">
        <v>14.627108948242133</v>
      </c>
      <c r="N194" s="218">
        <v>12.145588154385962</v>
      </c>
      <c r="O194" s="218">
        <v>20.566761900845233</v>
      </c>
      <c r="P194" s="218">
        <v>18.037014808997807</v>
      </c>
      <c r="Q194" s="218">
        <v>15.698275209742139</v>
      </c>
      <c r="R194" s="218">
        <v>13.705133354260093</v>
      </c>
      <c r="S194" s="218">
        <v>15.462172797883319</v>
      </c>
      <c r="T194" s="218">
        <v>20.343789371280774</v>
      </c>
      <c r="U194" s="218">
        <v>13.959736430392459</v>
      </c>
      <c r="V194" s="218">
        <v>11.543799520160263</v>
      </c>
      <c r="W194" s="218">
        <v>12.96295002153774</v>
      </c>
      <c r="X194" s="219">
        <v>8.2787198590861966</v>
      </c>
      <c r="Y194" s="217">
        <v>15.334492432986369</v>
      </c>
      <c r="Z194" s="218">
        <v>7</v>
      </c>
      <c r="AA194" s="218">
        <v>14.814814814814815</v>
      </c>
      <c r="AB194" s="218">
        <v>15.61457322033009</v>
      </c>
      <c r="AC194" s="218">
        <v>15.702678852820673</v>
      </c>
      <c r="AD194" s="219">
        <v>17.531830699095181</v>
      </c>
      <c r="AE194" s="210" t="s">
        <v>356</v>
      </c>
    </row>
    <row r="195" spans="2:31" ht="12" hidden="1" customHeight="1">
      <c r="B195" s="389" t="s">
        <v>357</v>
      </c>
      <c r="C195" s="217">
        <v>10.644111620393474</v>
      </c>
      <c r="D195" s="218">
        <v>4.7922252658994529</v>
      </c>
      <c r="E195" s="218">
        <v>12.502775785907172</v>
      </c>
      <c r="F195" s="218">
        <v>5.6993803803681118</v>
      </c>
      <c r="G195" s="218">
        <v>5.5422164748664819</v>
      </c>
      <c r="H195" s="218">
        <v>8.9681011973848559</v>
      </c>
      <c r="I195" s="218">
        <v>10.976979714724227</v>
      </c>
      <c r="J195" s="218">
        <v>12.471792286014333</v>
      </c>
      <c r="K195" s="218">
        <v>13.12439813694578</v>
      </c>
      <c r="L195" s="219">
        <v>16.233444842122218</v>
      </c>
      <c r="M195" s="217">
        <v>16.349074122510341</v>
      </c>
      <c r="N195" s="218">
        <v>13.878704149077201</v>
      </c>
      <c r="O195" s="218">
        <v>22.246313360511905</v>
      </c>
      <c r="P195" s="218">
        <v>18.778511818595252</v>
      </c>
      <c r="Q195" s="218">
        <v>18.641616173456821</v>
      </c>
      <c r="R195" s="218">
        <v>17.072594858816434</v>
      </c>
      <c r="S195" s="218">
        <v>19.188980947980525</v>
      </c>
      <c r="T195" s="218">
        <v>20.074990453465563</v>
      </c>
      <c r="U195" s="218">
        <v>14.84619843803115</v>
      </c>
      <c r="V195" s="218">
        <v>20.71465889663698</v>
      </c>
      <c r="W195" s="218">
        <v>17.124751900312791</v>
      </c>
      <c r="X195" s="219">
        <v>16.704302595126364</v>
      </c>
      <c r="Y195" s="217">
        <v>12.760194743037617</v>
      </c>
      <c r="Z195" s="218">
        <v>7.9014534568073591</v>
      </c>
      <c r="AA195" s="218">
        <v>17.79703273172224</v>
      </c>
      <c r="AB195" s="218">
        <v>14.743201744625928</v>
      </c>
      <c r="AC195" s="218">
        <v>14.680064829821717</v>
      </c>
      <c r="AD195" s="219">
        <v>17.05601047632571</v>
      </c>
      <c r="AE195" s="210" t="s">
        <v>213</v>
      </c>
    </row>
    <row r="196" spans="2:31" ht="12" hidden="1" customHeight="1">
      <c r="B196" s="390">
        <v>40118</v>
      </c>
      <c r="C196" s="217"/>
      <c r="D196" s="218"/>
      <c r="E196" s="218"/>
      <c r="F196" s="218"/>
      <c r="G196" s="218"/>
      <c r="H196" s="218"/>
      <c r="I196" s="218"/>
      <c r="J196" s="218"/>
      <c r="K196" s="218"/>
      <c r="L196" s="219"/>
      <c r="M196" s="217"/>
      <c r="N196" s="218"/>
      <c r="O196" s="218"/>
      <c r="P196" s="218"/>
      <c r="Q196" s="218"/>
      <c r="R196" s="218"/>
      <c r="S196" s="218"/>
      <c r="T196" s="218"/>
      <c r="U196" s="218"/>
      <c r="V196" s="218"/>
      <c r="W196" s="218"/>
      <c r="X196" s="219"/>
      <c r="Y196" s="217"/>
      <c r="Z196" s="218"/>
      <c r="AA196" s="218"/>
      <c r="AB196" s="218"/>
      <c r="AC196" s="218"/>
      <c r="AD196" s="219"/>
      <c r="AE196" s="397">
        <f>+B196</f>
        <v>40118</v>
      </c>
    </row>
    <row r="197" spans="2:31" ht="12" hidden="1" customHeight="1">
      <c r="B197" s="389" t="s">
        <v>187</v>
      </c>
      <c r="C197" s="217">
        <v>11.90814342430798</v>
      </c>
      <c r="D197" s="218">
        <v>7.0511474741301665</v>
      </c>
      <c r="E197" s="218">
        <v>13.205636117207286</v>
      </c>
      <c r="F197" s="218">
        <v>7.8698268138491132</v>
      </c>
      <c r="G197" s="218">
        <v>9.8553158985182652</v>
      </c>
      <c r="H197" s="218">
        <v>10.023250552766612</v>
      </c>
      <c r="I197" s="218">
        <v>11.804166827592338</v>
      </c>
      <c r="J197" s="218">
        <v>12.612072852029705</v>
      </c>
      <c r="K197" s="218">
        <v>12.360912007095179</v>
      </c>
      <c r="L197" s="219">
        <v>12.148031056462687</v>
      </c>
      <c r="M197" s="217">
        <v>16.229813262683688</v>
      </c>
      <c r="N197" s="218">
        <v>14.399256201955616</v>
      </c>
      <c r="O197" s="218">
        <v>20.729472194875601</v>
      </c>
      <c r="P197" s="218">
        <v>17.335015856329605</v>
      </c>
      <c r="Q197" s="218">
        <v>15.800761127848201</v>
      </c>
      <c r="R197" s="218">
        <v>14.218317546716106</v>
      </c>
      <c r="S197" s="218">
        <v>15.561927109956326</v>
      </c>
      <c r="T197" s="218">
        <v>21.828615595080933</v>
      </c>
      <c r="U197" s="218">
        <v>16.44533281019724</v>
      </c>
      <c r="V197" s="218">
        <v>11.741408063702028</v>
      </c>
      <c r="W197" s="218">
        <v>12.869951453627818</v>
      </c>
      <c r="X197" s="219">
        <v>8.5796143556476032</v>
      </c>
      <c r="Y197" s="217">
        <v>18.40961558221953</v>
      </c>
      <c r="Z197" s="218">
        <v>16.666666666666668</v>
      </c>
      <c r="AA197" s="218">
        <v>16.93401567944251</v>
      </c>
      <c r="AB197" s="218">
        <v>19.782984786037755</v>
      </c>
      <c r="AC197" s="218">
        <v>19.804917325664988</v>
      </c>
      <c r="AD197" s="219">
        <v>16.883990480919039</v>
      </c>
      <c r="AE197" s="210" t="s">
        <v>356</v>
      </c>
    </row>
    <row r="198" spans="2:31" ht="12" hidden="1" customHeight="1">
      <c r="B198" s="389" t="s">
        <v>357</v>
      </c>
      <c r="C198" s="217">
        <v>10.890232332606585</v>
      </c>
      <c r="D198" s="218">
        <v>5.8098047357939899</v>
      </c>
      <c r="E198" s="218">
        <v>12.5884777156938</v>
      </c>
      <c r="F198" s="218">
        <v>5.6368598269778341</v>
      </c>
      <c r="G198" s="218">
        <v>6.428620243045529</v>
      </c>
      <c r="H198" s="218">
        <v>9.1166436634833978</v>
      </c>
      <c r="I198" s="218">
        <v>11.510853018890312</v>
      </c>
      <c r="J198" s="218">
        <v>12.354274827653279</v>
      </c>
      <c r="K198" s="218">
        <v>13.022681106290463</v>
      </c>
      <c r="L198" s="219">
        <v>16.269294808633383</v>
      </c>
      <c r="M198" s="217">
        <v>18.352515173544425</v>
      </c>
      <c r="N198" s="218">
        <v>16.062222635255594</v>
      </c>
      <c r="O198" s="218">
        <v>23.928779196304248</v>
      </c>
      <c r="P198" s="218">
        <v>18.285930462707089</v>
      </c>
      <c r="Q198" s="218">
        <v>17.131686157507989</v>
      </c>
      <c r="R198" s="218">
        <v>15.336144153626089</v>
      </c>
      <c r="S198" s="218">
        <v>19.923950757954412</v>
      </c>
      <c r="T198" s="218">
        <v>22.736001000816373</v>
      </c>
      <c r="U198" s="218">
        <v>17.12101687503127</v>
      </c>
      <c r="V198" s="218">
        <v>20.330354790359184</v>
      </c>
      <c r="W198" s="218">
        <v>17.508540003746155</v>
      </c>
      <c r="X198" s="219">
        <v>23.86041343787036</v>
      </c>
      <c r="Y198" s="217">
        <v>9.9357727686243607</v>
      </c>
      <c r="Z198" s="218">
        <v>2.8666380341749242</v>
      </c>
      <c r="AA198" s="218">
        <v>9.4787199287199275</v>
      </c>
      <c r="AB198" s="218">
        <v>6.2537266826762234</v>
      </c>
      <c r="AC198" s="218">
        <v>15.230208861043598</v>
      </c>
      <c r="AD198" s="219">
        <v>16.368200268594105</v>
      </c>
      <c r="AE198" s="210" t="s">
        <v>213</v>
      </c>
    </row>
    <row r="199" spans="2:31" ht="12" hidden="1" customHeight="1">
      <c r="B199" s="390">
        <v>40148</v>
      </c>
      <c r="C199" s="217"/>
      <c r="D199" s="218"/>
      <c r="E199" s="218"/>
      <c r="F199" s="218"/>
      <c r="G199" s="218"/>
      <c r="H199" s="218"/>
      <c r="I199" s="218"/>
      <c r="J199" s="218"/>
      <c r="K199" s="218"/>
      <c r="L199" s="219"/>
      <c r="M199" s="217"/>
      <c r="N199" s="218"/>
      <c r="O199" s="218"/>
      <c r="P199" s="218"/>
      <c r="Q199" s="218"/>
      <c r="R199" s="218"/>
      <c r="S199" s="218"/>
      <c r="T199" s="218"/>
      <c r="U199" s="218"/>
      <c r="V199" s="218"/>
      <c r="W199" s="218"/>
      <c r="X199" s="219"/>
      <c r="Y199" s="217"/>
      <c r="Z199" s="218"/>
      <c r="AA199" s="218"/>
      <c r="AB199" s="218"/>
      <c r="AC199" s="218"/>
      <c r="AD199" s="219"/>
      <c r="AE199" s="397">
        <f>+B199</f>
        <v>40148</v>
      </c>
    </row>
    <row r="200" spans="2:31" ht="12" hidden="1" customHeight="1">
      <c r="B200" s="389" t="s">
        <v>187</v>
      </c>
      <c r="C200" s="217">
        <v>11.662952694568434</v>
      </c>
      <c r="D200" s="218">
        <v>6.7467347989308237</v>
      </c>
      <c r="E200" s="218">
        <v>12.940092829025316</v>
      </c>
      <c r="F200" s="218">
        <v>6.9936324112332979</v>
      </c>
      <c r="G200" s="218">
        <v>7.1363336581173344</v>
      </c>
      <c r="H200" s="218">
        <v>9.3749235503900969</v>
      </c>
      <c r="I200" s="218">
        <v>11.827285900821366</v>
      </c>
      <c r="J200" s="218">
        <v>12.480884716648257</v>
      </c>
      <c r="K200" s="218">
        <v>12.505935633060766</v>
      </c>
      <c r="L200" s="219">
        <v>12.462146880863832</v>
      </c>
      <c r="M200" s="217">
        <v>14.649243154767603</v>
      </c>
      <c r="N200" s="218">
        <v>12.276878861734627</v>
      </c>
      <c r="O200" s="218">
        <v>20.418390991471711</v>
      </c>
      <c r="P200" s="218">
        <v>19.123244798511564</v>
      </c>
      <c r="Q200" s="218">
        <v>13.810689100031698</v>
      </c>
      <c r="R200" s="218">
        <v>14.674413455600055</v>
      </c>
      <c r="S200" s="218">
        <v>13.293022729736585</v>
      </c>
      <c r="T200" s="218">
        <v>21.12103532577067</v>
      </c>
      <c r="U200" s="218">
        <v>13.793541546303121</v>
      </c>
      <c r="V200" s="218">
        <v>12.124037553378439</v>
      </c>
      <c r="W200" s="218">
        <v>13.052234843765378</v>
      </c>
      <c r="X200" s="219">
        <v>8.4995342111324579</v>
      </c>
      <c r="Y200" s="217">
        <v>17.680176814578594</v>
      </c>
      <c r="Z200" s="218">
        <v>16.729187071498529</v>
      </c>
      <c r="AA200" s="218">
        <v>17.718309859154928</v>
      </c>
      <c r="AB200" s="218">
        <v>18.012222222222221</v>
      </c>
      <c r="AC200" s="218">
        <v>18.084811576818684</v>
      </c>
      <c r="AD200" s="219">
        <v>16.883711770951059</v>
      </c>
      <c r="AE200" s="210" t="s">
        <v>356</v>
      </c>
    </row>
    <row r="201" spans="2:31" ht="12" hidden="1" customHeight="1">
      <c r="B201" s="389" t="s">
        <v>357</v>
      </c>
      <c r="C201" s="217">
        <v>10.797985330539023</v>
      </c>
      <c r="D201" s="218">
        <v>5.8641526072663108</v>
      </c>
      <c r="E201" s="218">
        <v>12.409959689183946</v>
      </c>
      <c r="F201" s="218">
        <v>5.3133007088672128</v>
      </c>
      <c r="G201" s="218">
        <v>4.1873731962796201</v>
      </c>
      <c r="H201" s="218">
        <v>8.7314678629140943</v>
      </c>
      <c r="I201" s="218">
        <v>11.50480929661029</v>
      </c>
      <c r="J201" s="218">
        <v>12.462827955657627</v>
      </c>
      <c r="K201" s="218">
        <v>12.916675802190166</v>
      </c>
      <c r="L201" s="219">
        <v>16.14538736760678</v>
      </c>
      <c r="M201" s="217">
        <v>16.708503036153505</v>
      </c>
      <c r="N201" s="218">
        <v>14.009336170410792</v>
      </c>
      <c r="O201" s="218">
        <v>23.237093303191561</v>
      </c>
      <c r="P201" s="218">
        <v>17.905994409992061</v>
      </c>
      <c r="Q201" s="218">
        <v>19.468548703745125</v>
      </c>
      <c r="R201" s="218">
        <v>17.170641623581094</v>
      </c>
      <c r="S201" s="218">
        <v>16.47704537651844</v>
      </c>
      <c r="T201" s="218">
        <v>21.056959473220232</v>
      </c>
      <c r="U201" s="218">
        <v>15.020891547192154</v>
      </c>
      <c r="V201" s="218">
        <v>20.220567591536451</v>
      </c>
      <c r="W201" s="218">
        <v>17.472420189423627</v>
      </c>
      <c r="X201" s="219">
        <v>23.901380693211113</v>
      </c>
      <c r="Y201" s="217">
        <v>9.7384961106722621</v>
      </c>
      <c r="Z201" s="218">
        <v>4.4611335780501467</v>
      </c>
      <c r="AA201" s="218">
        <v>6.1410488245931285</v>
      </c>
      <c r="AB201" s="218">
        <v>3.8089698749782608</v>
      </c>
      <c r="AC201" s="218">
        <v>14.622134564903069</v>
      </c>
      <c r="AD201" s="219">
        <v>17.056149119407824</v>
      </c>
      <c r="AE201" s="210" t="s">
        <v>213</v>
      </c>
    </row>
    <row r="202" spans="2:31" ht="12" customHeight="1">
      <c r="B202" s="390">
        <v>40179</v>
      </c>
      <c r="C202" s="217"/>
      <c r="D202" s="218"/>
      <c r="E202" s="218"/>
      <c r="F202" s="218"/>
      <c r="G202" s="218"/>
      <c r="H202" s="218"/>
      <c r="I202" s="218"/>
      <c r="J202" s="218"/>
      <c r="K202" s="218"/>
      <c r="L202" s="219"/>
      <c r="M202" s="218"/>
      <c r="N202" s="218"/>
      <c r="O202" s="218"/>
      <c r="P202" s="218"/>
      <c r="Q202" s="218"/>
      <c r="R202" s="218"/>
      <c r="S202" s="218"/>
      <c r="T202" s="218"/>
      <c r="U202" s="218"/>
      <c r="V202" s="218"/>
      <c r="W202" s="218"/>
      <c r="X202" s="219"/>
      <c r="Y202" s="217"/>
      <c r="Z202" s="218"/>
      <c r="AA202" s="218"/>
      <c r="AB202" s="218"/>
      <c r="AC202" s="218"/>
      <c r="AD202" s="219"/>
      <c r="AE202" s="397">
        <f>+B202</f>
        <v>40179</v>
      </c>
    </row>
    <row r="203" spans="2:31" ht="12" customHeight="1">
      <c r="B203" s="389" t="s">
        <v>187</v>
      </c>
      <c r="C203" s="217">
        <v>11.718484320258268</v>
      </c>
      <c r="D203" s="218">
        <v>6.6520142106707452</v>
      </c>
      <c r="E203" s="218">
        <v>12.975171334747234</v>
      </c>
      <c r="F203" s="218">
        <v>8.6575449444266894</v>
      </c>
      <c r="G203" s="218">
        <v>6.2725125031597218</v>
      </c>
      <c r="H203" s="218">
        <v>8.653303084610398</v>
      </c>
      <c r="I203" s="218">
        <v>11.840374183375662</v>
      </c>
      <c r="J203" s="218">
        <v>12.185158033596656</v>
      </c>
      <c r="K203" s="218">
        <v>12.881874436644969</v>
      </c>
      <c r="L203" s="219">
        <v>12.599788193681869</v>
      </c>
      <c r="M203" s="218">
        <v>15.919293745442129</v>
      </c>
      <c r="N203" s="218">
        <v>14.141925484423041</v>
      </c>
      <c r="O203" s="218">
        <v>20.537896901753591</v>
      </c>
      <c r="P203" s="218">
        <v>6.1561035632533576</v>
      </c>
      <c r="Q203" s="218">
        <v>14.409200225066501</v>
      </c>
      <c r="R203" s="218">
        <v>14.740714344082598</v>
      </c>
      <c r="S203" s="218">
        <v>16.887524645472549</v>
      </c>
      <c r="T203" s="218">
        <v>22.232518120404713</v>
      </c>
      <c r="U203" s="218">
        <v>16.311938971662521</v>
      </c>
      <c r="V203" s="218">
        <v>11.61298776487048</v>
      </c>
      <c r="W203" s="218">
        <v>12.740227912466079</v>
      </c>
      <c r="X203" s="219">
        <v>8.4271961403672186</v>
      </c>
      <c r="Y203" s="217">
        <v>15.577801359524807</v>
      </c>
      <c r="Z203" s="218">
        <v>11.501114413075781</v>
      </c>
      <c r="AA203" s="218">
        <v>8.6666666666666661</v>
      </c>
      <c r="AB203" s="218">
        <v>13.768692652461896</v>
      </c>
      <c r="AC203" s="218">
        <v>18.148454389093146</v>
      </c>
      <c r="AD203" s="219">
        <v>16.88882028060787</v>
      </c>
      <c r="AE203" s="210" t="s">
        <v>356</v>
      </c>
    </row>
    <row r="204" spans="2:31" ht="12" customHeight="1">
      <c r="B204" s="389" t="s">
        <v>357</v>
      </c>
      <c r="C204" s="217">
        <v>10.708407750549791</v>
      </c>
      <c r="D204" s="218">
        <v>5.9756230773076453</v>
      </c>
      <c r="E204" s="218">
        <v>12.276841085731483</v>
      </c>
      <c r="F204" s="218">
        <v>5.3099851372136424</v>
      </c>
      <c r="G204" s="218">
        <v>4.0916140887135466</v>
      </c>
      <c r="H204" s="218">
        <v>8.7571410132803624</v>
      </c>
      <c r="I204" s="218">
        <v>11.459553656482079</v>
      </c>
      <c r="J204" s="218">
        <v>12.608526600688764</v>
      </c>
      <c r="K204" s="218">
        <v>12.927299867895835</v>
      </c>
      <c r="L204" s="219">
        <v>16.156218022742561</v>
      </c>
      <c r="M204" s="218">
        <v>17.193602079199202</v>
      </c>
      <c r="N204" s="218">
        <v>14.648754319710969</v>
      </c>
      <c r="O204" s="218">
        <v>23.272646085084713</v>
      </c>
      <c r="P204" s="218">
        <v>17.883738472922651</v>
      </c>
      <c r="Q204" s="218">
        <v>19.001040694112316</v>
      </c>
      <c r="R204" s="218">
        <v>16.907644333760246</v>
      </c>
      <c r="S204" s="218">
        <v>16.243129162601967</v>
      </c>
      <c r="T204" s="218">
        <v>21.414859598768405</v>
      </c>
      <c r="U204" s="218">
        <v>15.898148580380521</v>
      </c>
      <c r="V204" s="218">
        <v>19.871457240749105</v>
      </c>
      <c r="W204" s="218">
        <v>17.852008895404154</v>
      </c>
      <c r="X204" s="219">
        <v>21.397504721939196</v>
      </c>
      <c r="Y204" s="217">
        <v>8.6961249179488362</v>
      </c>
      <c r="Z204" s="218">
        <v>3.3873386547045756</v>
      </c>
      <c r="AA204" s="218">
        <v>11.559504427590042</v>
      </c>
      <c r="AB204" s="218">
        <v>4.5458951199784305</v>
      </c>
      <c r="AC204" s="218">
        <v>14.100110555102992</v>
      </c>
      <c r="AD204" s="219">
        <v>17.056102976618494</v>
      </c>
      <c r="AE204" s="210" t="s">
        <v>213</v>
      </c>
    </row>
    <row r="205" spans="2:31" ht="12" hidden="1" customHeight="1">
      <c r="B205" s="390">
        <v>40180</v>
      </c>
      <c r="C205" s="208"/>
      <c r="D205" s="209"/>
      <c r="E205" s="209"/>
      <c r="F205" s="209"/>
      <c r="G205" s="209"/>
      <c r="H205" s="209"/>
      <c r="I205" s="209"/>
      <c r="J205" s="209"/>
      <c r="K205" s="209"/>
      <c r="L205" s="202"/>
      <c r="M205" s="209"/>
      <c r="N205" s="209"/>
      <c r="O205" s="209"/>
      <c r="P205" s="209"/>
      <c r="Q205" s="209"/>
      <c r="R205" s="209"/>
      <c r="S205" s="209"/>
      <c r="T205" s="209"/>
      <c r="U205" s="209"/>
      <c r="V205" s="209"/>
      <c r="W205" s="209"/>
      <c r="X205" s="202"/>
      <c r="Y205" s="208"/>
      <c r="Z205" s="209"/>
      <c r="AA205" s="209"/>
      <c r="AB205" s="209"/>
      <c r="AC205" s="209"/>
      <c r="AD205" s="202"/>
      <c r="AE205" s="397">
        <f>+B205</f>
        <v>40180</v>
      </c>
    </row>
    <row r="206" spans="2:31" ht="12" hidden="1" customHeight="1">
      <c r="B206" s="389" t="s">
        <v>187</v>
      </c>
      <c r="C206" s="208">
        <v>11.2696331873452</v>
      </c>
      <c r="D206" s="209">
        <v>5.5736886750843748</v>
      </c>
      <c r="E206" s="209">
        <v>13.068069605315584</v>
      </c>
      <c r="F206" s="209">
        <v>8.8522612480061493</v>
      </c>
      <c r="G206" s="209">
        <v>4.7926818702238068</v>
      </c>
      <c r="H206" s="209">
        <v>8.7115619343435533</v>
      </c>
      <c r="I206" s="209">
        <v>11.75999737317623</v>
      </c>
      <c r="J206" s="209">
        <v>12.010911110558286</v>
      </c>
      <c r="K206" s="209">
        <v>12.937714061753365</v>
      </c>
      <c r="L206" s="202">
        <v>13.787410531285882</v>
      </c>
      <c r="M206" s="209">
        <v>13.968857974689483</v>
      </c>
      <c r="N206" s="209">
        <v>11.509798212270905</v>
      </c>
      <c r="O206" s="209">
        <v>20.388493456706335</v>
      </c>
      <c r="P206" s="209">
        <v>20.301616051234813</v>
      </c>
      <c r="Q206" s="209">
        <v>8.3209043117239361</v>
      </c>
      <c r="R206" s="209">
        <v>15.590684513716196</v>
      </c>
      <c r="S206" s="209">
        <v>14.454141493750177</v>
      </c>
      <c r="T206" s="209">
        <v>20.796276951877264</v>
      </c>
      <c r="U206" s="209">
        <v>12.91632339532902</v>
      </c>
      <c r="V206" s="209">
        <v>11.761905885261157</v>
      </c>
      <c r="W206" s="209">
        <v>12.719623132827882</v>
      </c>
      <c r="X206" s="202">
        <v>8.4363856693530064</v>
      </c>
      <c r="Y206" s="208">
        <v>14.782528849178316</v>
      </c>
      <c r="Z206" s="209">
        <v>6.1212638770281806</v>
      </c>
      <c r="AA206" s="209">
        <v>10.822429906542055</v>
      </c>
      <c r="AB206" s="209">
        <v>14.391645353793692</v>
      </c>
      <c r="AC206" s="209">
        <v>19.771466103567658</v>
      </c>
      <c r="AD206" s="202">
        <v>17.542768704811621</v>
      </c>
      <c r="AE206" s="210" t="s">
        <v>356</v>
      </c>
    </row>
    <row r="207" spans="2:31" ht="12" hidden="1" customHeight="1">
      <c r="B207" s="389" t="s">
        <v>357</v>
      </c>
      <c r="C207" s="208">
        <v>11.018271969149104</v>
      </c>
      <c r="D207" s="209">
        <v>5.9749098989532543</v>
      </c>
      <c r="E207" s="209">
        <v>12.543815137378688</v>
      </c>
      <c r="F207" s="209">
        <v>5.3439707748211385</v>
      </c>
      <c r="G207" s="209">
        <v>5.7241174672661295</v>
      </c>
      <c r="H207" s="209">
        <v>8.8841623470678037</v>
      </c>
      <c r="I207" s="209">
        <v>11.475304635774799</v>
      </c>
      <c r="J207" s="209">
        <v>12.589624958344185</v>
      </c>
      <c r="K207" s="209">
        <v>13.094726106597989</v>
      </c>
      <c r="L207" s="202">
        <v>16.159575910633098</v>
      </c>
      <c r="M207" s="209">
        <v>15.498976752077441</v>
      </c>
      <c r="N207" s="209">
        <v>12.573829742785085</v>
      </c>
      <c r="O207" s="209">
        <v>22.55799545239605</v>
      </c>
      <c r="P207" s="209">
        <v>18.612152290964882</v>
      </c>
      <c r="Q207" s="209">
        <v>19.301921474172001</v>
      </c>
      <c r="R207" s="209">
        <v>16.309200288946066</v>
      </c>
      <c r="S207" s="209">
        <v>12.490314042505037</v>
      </c>
      <c r="T207" s="209">
        <v>19.357988025563813</v>
      </c>
      <c r="U207" s="209">
        <v>14.07938350952916</v>
      </c>
      <c r="V207" s="209">
        <v>20.028803106059609</v>
      </c>
      <c r="W207" s="209">
        <v>17.146295915970338</v>
      </c>
      <c r="X207" s="202">
        <v>21.773395659970586</v>
      </c>
      <c r="Y207" s="208">
        <v>9.2518697816428865</v>
      </c>
      <c r="Z207" s="209">
        <v>4.2204120933896805</v>
      </c>
      <c r="AA207" s="209">
        <v>12.836892632198774</v>
      </c>
      <c r="AB207" s="209">
        <v>4.879710465244778</v>
      </c>
      <c r="AC207" s="209">
        <v>14.929504638692652</v>
      </c>
      <c r="AD207" s="202">
        <v>17.049716552837253</v>
      </c>
      <c r="AE207" s="210" t="s">
        <v>213</v>
      </c>
    </row>
    <row r="208" spans="2:31" ht="12" hidden="1" customHeight="1">
      <c r="B208" s="390">
        <v>40181</v>
      </c>
      <c r="C208" s="208"/>
      <c r="D208" s="209"/>
      <c r="E208" s="209"/>
      <c r="F208" s="209"/>
      <c r="G208" s="209"/>
      <c r="H208" s="209"/>
      <c r="I208" s="209"/>
      <c r="J208" s="209"/>
      <c r="K208" s="209"/>
      <c r="L208" s="202"/>
      <c r="M208" s="209"/>
      <c r="N208" s="209"/>
      <c r="O208" s="209"/>
      <c r="P208" s="209"/>
      <c r="Q208" s="209"/>
      <c r="R208" s="209"/>
      <c r="S208" s="209"/>
      <c r="T208" s="209"/>
      <c r="U208" s="209"/>
      <c r="V208" s="209"/>
      <c r="W208" s="209"/>
      <c r="X208" s="202"/>
      <c r="Y208" s="208"/>
      <c r="Z208" s="209"/>
      <c r="AA208" s="209"/>
      <c r="AB208" s="209"/>
      <c r="AC208" s="209"/>
      <c r="AD208" s="202"/>
      <c r="AE208" s="397">
        <f>+B208</f>
        <v>40181</v>
      </c>
    </row>
    <row r="209" spans="2:31" ht="12" hidden="1" customHeight="1">
      <c r="B209" s="389" t="s">
        <v>187</v>
      </c>
      <c r="C209" s="208">
        <v>11.303500632557501</v>
      </c>
      <c r="D209" s="209">
        <v>5.5979552756502082</v>
      </c>
      <c r="E209" s="209">
        <v>12.99509764578243</v>
      </c>
      <c r="F209" s="209">
        <v>8.7542125476272297</v>
      </c>
      <c r="G209" s="209">
        <v>4.8002254242257409</v>
      </c>
      <c r="H209" s="209">
        <v>8.8255036097043913</v>
      </c>
      <c r="I209" s="209">
        <v>11.635331218168918</v>
      </c>
      <c r="J209" s="209">
        <v>12.052610857102</v>
      </c>
      <c r="K209" s="209">
        <v>13.101219111235904</v>
      </c>
      <c r="L209" s="202">
        <v>13.878575951752998</v>
      </c>
      <c r="M209" s="209">
        <v>15.84396466011931</v>
      </c>
      <c r="N209" s="209">
        <v>13.878040715237143</v>
      </c>
      <c r="O209" s="209">
        <v>20.746352733126681</v>
      </c>
      <c r="P209" s="209">
        <v>17.239664033345445</v>
      </c>
      <c r="Q209" s="209">
        <v>9.0388508642060845</v>
      </c>
      <c r="R209" s="209">
        <v>17.877441645216496</v>
      </c>
      <c r="S209" s="209">
        <v>16.652834382952882</v>
      </c>
      <c r="T209" s="209">
        <v>20.637154514128071</v>
      </c>
      <c r="U209" s="209">
        <v>16.208392857222186</v>
      </c>
      <c r="V209" s="209">
        <v>11.451325919445505</v>
      </c>
      <c r="W209" s="209">
        <v>12.158477590739233</v>
      </c>
      <c r="X209" s="202">
        <v>8.1091002810522106</v>
      </c>
      <c r="Y209" s="208">
        <v>14.194405089678705</v>
      </c>
      <c r="Z209" s="209">
        <v>4.1714497773379513</v>
      </c>
      <c r="AA209" s="209">
        <v>12.689318783068783</v>
      </c>
      <c r="AB209" s="209">
        <v>14.530641543292957</v>
      </c>
      <c r="AC209" s="209">
        <v>19.349600476223184</v>
      </c>
      <c r="AD209" s="202">
        <v>17.542329020332716</v>
      </c>
      <c r="AE209" s="210" t="s">
        <v>356</v>
      </c>
    </row>
    <row r="210" spans="2:31" ht="12" hidden="1" customHeight="1">
      <c r="B210" s="389" t="s">
        <v>357</v>
      </c>
      <c r="C210" s="208">
        <v>10.991053009358701</v>
      </c>
      <c r="D210" s="209">
        <v>5.9173465613537948</v>
      </c>
      <c r="E210" s="209">
        <v>12.535844294359064</v>
      </c>
      <c r="F210" s="209">
        <v>5.3509689942665855</v>
      </c>
      <c r="G210" s="209">
        <v>5.082071516757984</v>
      </c>
      <c r="H210" s="209">
        <v>9.7756776190430923</v>
      </c>
      <c r="I210" s="209">
        <v>11.173730255482244</v>
      </c>
      <c r="J210" s="209">
        <v>12.220833604293862</v>
      </c>
      <c r="K210" s="209">
        <v>13.048777356303605</v>
      </c>
      <c r="L210" s="202">
        <v>16.100020258701313</v>
      </c>
      <c r="M210" s="209">
        <v>16.996276827951618</v>
      </c>
      <c r="N210" s="209">
        <v>14.44683601525119</v>
      </c>
      <c r="O210" s="209">
        <v>23.318100566312907</v>
      </c>
      <c r="P210" s="209">
        <v>17.44582977271104</v>
      </c>
      <c r="Q210" s="209">
        <v>19.115330967777023</v>
      </c>
      <c r="R210" s="209">
        <v>16.133130651092458</v>
      </c>
      <c r="S210" s="209">
        <v>16.59555472453977</v>
      </c>
      <c r="T210" s="209">
        <v>21.522711612698476</v>
      </c>
      <c r="U210" s="209">
        <v>15.766650207162959</v>
      </c>
      <c r="V210" s="209">
        <v>19.218588554971934</v>
      </c>
      <c r="W210" s="209">
        <v>15.590495590715477</v>
      </c>
      <c r="X210" s="202">
        <v>17.588169853906916</v>
      </c>
      <c r="Y210" s="208">
        <v>12.17170572662347</v>
      </c>
      <c r="Z210" s="209">
        <v>15.37102358796797</v>
      </c>
      <c r="AA210" s="209">
        <v>10.547957572657936</v>
      </c>
      <c r="AB210" s="209">
        <v>6.5965148591745839</v>
      </c>
      <c r="AC210" s="209">
        <v>13.366276162583041</v>
      </c>
      <c r="AD210" s="202">
        <v>17.039889770864804</v>
      </c>
      <c r="AE210" s="210" t="s">
        <v>213</v>
      </c>
    </row>
    <row r="211" spans="2:31" ht="12" hidden="1" customHeight="1">
      <c r="B211" s="390">
        <v>40182</v>
      </c>
      <c r="C211" s="208"/>
      <c r="D211" s="209"/>
      <c r="E211" s="209"/>
      <c r="F211" s="209"/>
      <c r="G211" s="209"/>
      <c r="H211" s="209"/>
      <c r="I211" s="209"/>
      <c r="J211" s="209"/>
      <c r="K211" s="209"/>
      <c r="L211" s="202"/>
      <c r="M211" s="209"/>
      <c r="N211" s="209"/>
      <c r="O211" s="209"/>
      <c r="P211" s="209"/>
      <c r="Q211" s="209"/>
      <c r="R211" s="209"/>
      <c r="S211" s="209"/>
      <c r="T211" s="209"/>
      <c r="U211" s="209"/>
      <c r="V211" s="209"/>
      <c r="W211" s="209"/>
      <c r="X211" s="202"/>
      <c r="Y211" s="208"/>
      <c r="Z211" s="209"/>
      <c r="AA211" s="209"/>
      <c r="AB211" s="209"/>
      <c r="AC211" s="209"/>
      <c r="AD211" s="202"/>
      <c r="AE211" s="397">
        <f>+B211</f>
        <v>40182</v>
      </c>
    </row>
    <row r="212" spans="2:31" ht="12" hidden="1" customHeight="1">
      <c r="B212" s="389" t="s">
        <v>187</v>
      </c>
      <c r="C212" s="208">
        <v>11.402791517387307</v>
      </c>
      <c r="D212" s="209">
        <v>5.3647994948243882</v>
      </c>
      <c r="E212" s="209">
        <v>13.089098033686465</v>
      </c>
      <c r="F212" s="209">
        <v>8.1461564542991916</v>
      </c>
      <c r="G212" s="209">
        <v>4.7911564394694581</v>
      </c>
      <c r="H212" s="209">
        <v>8.4976632334022195</v>
      </c>
      <c r="I212" s="209">
        <v>11.461385632847499</v>
      </c>
      <c r="J212" s="209">
        <v>11.977464079501001</v>
      </c>
      <c r="K212" s="209">
        <v>13.146669154411104</v>
      </c>
      <c r="L212" s="202">
        <v>13.876128184934883</v>
      </c>
      <c r="M212" s="209">
        <v>13.991928791910272</v>
      </c>
      <c r="N212" s="209">
        <v>11.600618057211353</v>
      </c>
      <c r="O212" s="209">
        <v>19.931649550449791</v>
      </c>
      <c r="P212" s="209">
        <v>17.504513583231908</v>
      </c>
      <c r="Q212" s="209">
        <v>8.7755971443513765</v>
      </c>
      <c r="R212" s="209">
        <v>18.997688635795537</v>
      </c>
      <c r="S212" s="209">
        <v>15.971023606565382</v>
      </c>
      <c r="T212" s="209">
        <v>20.315773538734842</v>
      </c>
      <c r="U212" s="209">
        <v>12.863490603620573</v>
      </c>
      <c r="V212" s="209">
        <v>11.559561831133127</v>
      </c>
      <c r="W212" s="209">
        <v>11.820001952380677</v>
      </c>
      <c r="X212" s="202">
        <v>8.1832357683912615</v>
      </c>
      <c r="Y212" s="208">
        <v>14.648151170197591</v>
      </c>
      <c r="Z212" s="209">
        <v>12.159762496547915</v>
      </c>
      <c r="AA212" s="209">
        <v>11.494512195121951</v>
      </c>
      <c r="AB212" s="209">
        <v>14.815445154943433</v>
      </c>
      <c r="AC212" s="209">
        <v>18.974978140187488</v>
      </c>
      <c r="AD212" s="202">
        <v>17.205540843348953</v>
      </c>
      <c r="AE212" s="210" t="s">
        <v>356</v>
      </c>
    </row>
    <row r="213" spans="2:31" ht="12" hidden="1" customHeight="1">
      <c r="B213" s="389" t="s">
        <v>357</v>
      </c>
      <c r="C213" s="208">
        <v>11.094100139311639</v>
      </c>
      <c r="D213" s="209">
        <v>5.8827100695263406</v>
      </c>
      <c r="E213" s="209">
        <v>12.583682906541197</v>
      </c>
      <c r="F213" s="209">
        <v>5.3417968863238006</v>
      </c>
      <c r="G213" s="209">
        <v>5.249542885861632</v>
      </c>
      <c r="H213" s="209">
        <v>9.9735557433018727</v>
      </c>
      <c r="I213" s="209">
        <v>11.29867674749338</v>
      </c>
      <c r="J213" s="209">
        <v>12.362928596444112</v>
      </c>
      <c r="K213" s="209">
        <v>12.981188521208457</v>
      </c>
      <c r="L213" s="202">
        <v>16.087439735799681</v>
      </c>
      <c r="M213" s="209">
        <v>15.401170681643585</v>
      </c>
      <c r="N213" s="209">
        <v>12.554504180680217</v>
      </c>
      <c r="O213" s="209">
        <v>22.088107888738843</v>
      </c>
      <c r="P213" s="209">
        <v>17.495085985446245</v>
      </c>
      <c r="Q213" s="209">
        <v>19.27529099947996</v>
      </c>
      <c r="R213" s="209">
        <v>15.857973254750995</v>
      </c>
      <c r="S213" s="209">
        <v>12.319158119247575</v>
      </c>
      <c r="T213" s="209">
        <v>19.418691701056702</v>
      </c>
      <c r="U213" s="209">
        <v>14.078266670679223</v>
      </c>
      <c r="V213" s="209">
        <v>19.131557439769033</v>
      </c>
      <c r="W213" s="209">
        <v>16.222233685983653</v>
      </c>
      <c r="X213" s="202">
        <v>17.588213197312193</v>
      </c>
      <c r="Y213" s="208">
        <v>9.9170505662761652</v>
      </c>
      <c r="Z213" s="209">
        <v>6.6912581095666779</v>
      </c>
      <c r="AA213" s="209">
        <v>9.3841536856979442</v>
      </c>
      <c r="AB213" s="209">
        <v>8.3102649318301935</v>
      </c>
      <c r="AC213" s="209">
        <v>13.230218417473399</v>
      </c>
      <c r="AD213" s="202">
        <v>17.039812627553072</v>
      </c>
      <c r="AE213" s="210" t="s">
        <v>213</v>
      </c>
    </row>
    <row r="214" spans="2:31" ht="12" hidden="1" customHeight="1">
      <c r="B214" s="390">
        <v>40183</v>
      </c>
      <c r="C214" s="208"/>
      <c r="D214" s="209"/>
      <c r="E214" s="209"/>
      <c r="F214" s="209"/>
      <c r="G214" s="209"/>
      <c r="H214" s="209"/>
      <c r="I214" s="209"/>
      <c r="J214" s="209"/>
      <c r="K214" s="209"/>
      <c r="L214" s="202"/>
      <c r="M214" s="209"/>
      <c r="N214" s="209"/>
      <c r="O214" s="209"/>
      <c r="P214" s="209"/>
      <c r="Q214" s="209"/>
      <c r="R214" s="209"/>
      <c r="S214" s="209"/>
      <c r="T214" s="209"/>
      <c r="U214" s="209"/>
      <c r="V214" s="209"/>
      <c r="W214" s="209"/>
      <c r="X214" s="202"/>
      <c r="Y214" s="208"/>
      <c r="Z214" s="209"/>
      <c r="AA214" s="209"/>
      <c r="AB214" s="209"/>
      <c r="AC214" s="209"/>
      <c r="AD214" s="202"/>
      <c r="AE214" s="397">
        <f>+B214</f>
        <v>40183</v>
      </c>
    </row>
    <row r="215" spans="2:31" ht="12" hidden="1" customHeight="1">
      <c r="B215" s="389" t="s">
        <v>187</v>
      </c>
      <c r="C215" s="208">
        <v>10.871929544843598</v>
      </c>
      <c r="D215" s="209">
        <v>4.9256122391032404</v>
      </c>
      <c r="E215" s="209">
        <v>12.165286245944124</v>
      </c>
      <c r="F215" s="209">
        <v>6.6294112800477301</v>
      </c>
      <c r="G215" s="209">
        <v>4.0256394528272184</v>
      </c>
      <c r="H215" s="209">
        <v>8.2009268406419356</v>
      </c>
      <c r="I215" s="209">
        <v>10.929628083167641</v>
      </c>
      <c r="J215" s="209">
        <v>11.493790259192883</v>
      </c>
      <c r="K215" s="209">
        <v>12.868374963265705</v>
      </c>
      <c r="L215" s="202">
        <v>13.417468116685303</v>
      </c>
      <c r="M215" s="209">
        <v>14.173572547774807</v>
      </c>
      <c r="N215" s="209">
        <v>11.715234410801468</v>
      </c>
      <c r="O215" s="209">
        <v>20.131589013165819</v>
      </c>
      <c r="P215" s="209">
        <v>17.137512457701103</v>
      </c>
      <c r="Q215" s="209">
        <v>7.8609452653530685</v>
      </c>
      <c r="R215" s="209">
        <v>18.1595210742273</v>
      </c>
      <c r="S215" s="209">
        <v>13.253856148769836</v>
      </c>
      <c r="T215" s="209">
        <v>20.394986761137723</v>
      </c>
      <c r="U215" s="209">
        <v>13.258866640607888</v>
      </c>
      <c r="V215" s="209">
        <v>12.275431216476939</v>
      </c>
      <c r="W215" s="209">
        <v>11.864505544978147</v>
      </c>
      <c r="X215" s="202">
        <v>8.381590078984356</v>
      </c>
      <c r="Y215" s="208">
        <v>14.599934021952643</v>
      </c>
      <c r="Z215" s="209">
        <v>12.566640222134074</v>
      </c>
      <c r="AA215" s="209">
        <v>12.347826086956522</v>
      </c>
      <c r="AB215" s="209">
        <v>13.458757189761297</v>
      </c>
      <c r="AC215" s="209">
        <v>16.760997023134927</v>
      </c>
      <c r="AD215" s="202">
        <v>17.485504693619578</v>
      </c>
      <c r="AE215" s="210" t="s">
        <v>356</v>
      </c>
    </row>
    <row r="216" spans="2:31" ht="12" hidden="1" customHeight="1">
      <c r="B216" s="389" t="s">
        <v>357</v>
      </c>
      <c r="C216" s="208">
        <v>11.101894351003327</v>
      </c>
      <c r="D216" s="209">
        <v>6.0407036416590598</v>
      </c>
      <c r="E216" s="209">
        <v>12.449832483850757</v>
      </c>
      <c r="F216" s="209">
        <v>5.4635600409927845</v>
      </c>
      <c r="G216" s="209">
        <v>3.2731093615721396</v>
      </c>
      <c r="H216" s="209">
        <v>9.9844731708922723</v>
      </c>
      <c r="I216" s="209">
        <v>11.239275359094561</v>
      </c>
      <c r="J216" s="209">
        <v>12.373946014518056</v>
      </c>
      <c r="K216" s="209">
        <v>12.956529398041951</v>
      </c>
      <c r="L216" s="202">
        <v>16.121761798017982</v>
      </c>
      <c r="M216" s="209">
        <v>15.271901690316778</v>
      </c>
      <c r="N216" s="209">
        <v>12.408595922179183</v>
      </c>
      <c r="O216" s="209">
        <v>22.210377485556926</v>
      </c>
      <c r="P216" s="209">
        <v>16.657526115344179</v>
      </c>
      <c r="Q216" s="209">
        <v>19.438597979792295</v>
      </c>
      <c r="R216" s="209">
        <v>15.766476509829371</v>
      </c>
      <c r="S216" s="209">
        <v>12.87294778921442</v>
      </c>
      <c r="T216" s="209">
        <v>19.486703630236214</v>
      </c>
      <c r="U216" s="209">
        <v>13.764987504057665</v>
      </c>
      <c r="V216" s="209">
        <v>19.154998039343468</v>
      </c>
      <c r="W216" s="209">
        <v>16.822247581583415</v>
      </c>
      <c r="X216" s="202">
        <v>21.797233398724511</v>
      </c>
      <c r="Y216" s="208">
        <v>10.969615324292429</v>
      </c>
      <c r="Z216" s="209">
        <v>6.1741796008869176</v>
      </c>
      <c r="AA216" s="209">
        <v>7.6852530957629437</v>
      </c>
      <c r="AB216" s="209">
        <v>10.265422793413135</v>
      </c>
      <c r="AC216" s="209">
        <v>12.140451490356519</v>
      </c>
      <c r="AD216" s="202">
        <v>14.987911570183861</v>
      </c>
      <c r="AE216" s="210" t="s">
        <v>213</v>
      </c>
    </row>
    <row r="217" spans="2:31" ht="12" hidden="1" customHeight="1">
      <c r="B217" s="390">
        <v>40184</v>
      </c>
      <c r="C217" s="208"/>
      <c r="D217" s="209"/>
      <c r="E217" s="209"/>
      <c r="F217" s="209"/>
      <c r="G217" s="209"/>
      <c r="H217" s="209"/>
      <c r="I217" s="209"/>
      <c r="J217" s="209"/>
      <c r="K217" s="209"/>
      <c r="L217" s="202"/>
      <c r="M217" s="209"/>
      <c r="N217" s="209"/>
      <c r="O217" s="209"/>
      <c r="P217" s="209"/>
      <c r="Q217" s="209"/>
      <c r="R217" s="209"/>
      <c r="S217" s="209"/>
      <c r="T217" s="209"/>
      <c r="U217" s="209"/>
      <c r="V217" s="209"/>
      <c r="W217" s="209"/>
      <c r="X217" s="202"/>
      <c r="Y217" s="208"/>
      <c r="Z217" s="209"/>
      <c r="AA217" s="209"/>
      <c r="AB217" s="209"/>
      <c r="AC217" s="209"/>
      <c r="AD217" s="202"/>
      <c r="AE217" s="397">
        <f>+B217</f>
        <v>40184</v>
      </c>
    </row>
    <row r="218" spans="2:31" ht="12" hidden="1" customHeight="1">
      <c r="B218" s="389" t="s">
        <v>187</v>
      </c>
      <c r="C218" s="208">
        <v>11.202513878251331</v>
      </c>
      <c r="D218" s="209">
        <v>5.4023708049891948</v>
      </c>
      <c r="E218" s="209">
        <v>12.909869514038768</v>
      </c>
      <c r="F218" s="209">
        <v>6.8320591028007538</v>
      </c>
      <c r="G218" s="209">
        <v>4.7244311571451361</v>
      </c>
      <c r="H218" s="209">
        <v>8.004337768511876</v>
      </c>
      <c r="I218" s="209">
        <v>10.369937985134714</v>
      </c>
      <c r="J218" s="209">
        <v>11.96286342842652</v>
      </c>
      <c r="K218" s="209">
        <v>13.044454285047317</v>
      </c>
      <c r="L218" s="202">
        <v>13.243434130913965</v>
      </c>
      <c r="M218" s="209">
        <v>15.878450246125061</v>
      </c>
      <c r="N218" s="209">
        <v>14.142118056979687</v>
      </c>
      <c r="O218" s="209">
        <v>20.104650323424949</v>
      </c>
      <c r="P218" s="209">
        <v>17.048800588599612</v>
      </c>
      <c r="Q218" s="209">
        <v>8.6467259480800358</v>
      </c>
      <c r="R218" s="209">
        <v>18.13575777144835</v>
      </c>
      <c r="S218" s="209">
        <v>15.558742913858477</v>
      </c>
      <c r="T218" s="209">
        <v>21.118041440206767</v>
      </c>
      <c r="U218" s="209">
        <v>16.122370334246757</v>
      </c>
      <c r="V218" s="209">
        <v>12.166355665943755</v>
      </c>
      <c r="W218" s="209">
        <v>11.914869197349669</v>
      </c>
      <c r="X218" s="202">
        <v>8.3799410046427134</v>
      </c>
      <c r="Y218" s="208">
        <v>14.958408573045267</v>
      </c>
      <c r="Z218" s="209">
        <v>11.098713508164275</v>
      </c>
      <c r="AA218" s="209">
        <v>13.923433874709977</v>
      </c>
      <c r="AB218" s="209">
        <v>12.551264809478067</v>
      </c>
      <c r="AC218" s="209">
        <v>17.445460068785192</v>
      </c>
      <c r="AD218" s="202">
        <v>17.828244960265792</v>
      </c>
      <c r="AE218" s="210" t="s">
        <v>356</v>
      </c>
    </row>
    <row r="219" spans="2:31" ht="12" hidden="1" customHeight="1">
      <c r="B219" s="389" t="s">
        <v>357</v>
      </c>
      <c r="C219" s="208">
        <v>10.874683535350744</v>
      </c>
      <c r="D219" s="209">
        <v>5.9662608626346918</v>
      </c>
      <c r="E219" s="209">
        <v>12.646287414360298</v>
      </c>
      <c r="F219" s="209">
        <v>5.3711102111736695</v>
      </c>
      <c r="G219" s="209">
        <v>5.2690070101331727</v>
      </c>
      <c r="H219" s="209">
        <v>10.055747366948379</v>
      </c>
      <c r="I219" s="209">
        <v>11.060632805830407</v>
      </c>
      <c r="J219" s="209">
        <v>11.19186857008018</v>
      </c>
      <c r="K219" s="209">
        <v>13.077579014011102</v>
      </c>
      <c r="L219" s="202">
        <v>16.007486332024939</v>
      </c>
      <c r="M219" s="209">
        <v>17.12237150497274</v>
      </c>
      <c r="N219" s="209">
        <v>14.692390134466972</v>
      </c>
      <c r="O219" s="209">
        <v>23.094587587595839</v>
      </c>
      <c r="P219" s="209">
        <v>17.210210609469524</v>
      </c>
      <c r="Q219" s="209">
        <v>19.958261642121951</v>
      </c>
      <c r="R219" s="209">
        <v>16.008907771883404</v>
      </c>
      <c r="S219" s="209">
        <v>17.221003352153307</v>
      </c>
      <c r="T219" s="209">
        <v>21.265766416658757</v>
      </c>
      <c r="U219" s="209">
        <v>15.785614812105203</v>
      </c>
      <c r="V219" s="209">
        <v>19.262096953899526</v>
      </c>
      <c r="W219" s="209">
        <v>16.829806980956242</v>
      </c>
      <c r="X219" s="202">
        <v>24.389248594399412</v>
      </c>
      <c r="Y219" s="208">
        <v>12.846243945771587</v>
      </c>
      <c r="Z219" s="209">
        <v>9.6205443418509784</v>
      </c>
      <c r="AA219" s="209">
        <v>12.932861321804861</v>
      </c>
      <c r="AB219" s="209">
        <v>14.081716536265596</v>
      </c>
      <c r="AC219" s="209">
        <v>11.593798610390959</v>
      </c>
      <c r="AD219" s="202">
        <v>14.782957602746079</v>
      </c>
      <c r="AE219" s="210" t="s">
        <v>213</v>
      </c>
    </row>
    <row r="220" spans="2:31" ht="12" hidden="1" customHeight="1">
      <c r="B220" s="390">
        <v>40185</v>
      </c>
      <c r="C220" s="208"/>
      <c r="D220" s="209"/>
      <c r="E220" s="209"/>
      <c r="F220" s="209"/>
      <c r="G220" s="209"/>
      <c r="H220" s="209"/>
      <c r="I220" s="209"/>
      <c r="J220" s="209"/>
      <c r="K220" s="209"/>
      <c r="L220" s="202"/>
      <c r="M220" s="209"/>
      <c r="N220" s="209"/>
      <c r="O220" s="209"/>
      <c r="P220" s="209"/>
      <c r="Q220" s="209"/>
      <c r="R220" s="209"/>
      <c r="S220" s="209"/>
      <c r="T220" s="209"/>
      <c r="U220" s="209"/>
      <c r="V220" s="209"/>
      <c r="W220" s="209"/>
      <c r="X220" s="202"/>
      <c r="Y220" s="208"/>
      <c r="Z220" s="209"/>
      <c r="AA220" s="209"/>
      <c r="AB220" s="209"/>
      <c r="AC220" s="209"/>
      <c r="AD220" s="202"/>
      <c r="AE220" s="397">
        <f>+B220</f>
        <v>40185</v>
      </c>
    </row>
    <row r="221" spans="2:31" ht="12" hidden="1" customHeight="1">
      <c r="B221" s="389" t="s">
        <v>187</v>
      </c>
      <c r="C221" s="208">
        <v>11.814770913664805</v>
      </c>
      <c r="D221" s="209">
        <v>6.7267404652730116</v>
      </c>
      <c r="E221" s="209">
        <v>12.806249301499806</v>
      </c>
      <c r="F221" s="209">
        <v>7.8019577344566775</v>
      </c>
      <c r="G221" s="209">
        <v>8.3381464455590901</v>
      </c>
      <c r="H221" s="209">
        <v>8.1233832312199699</v>
      </c>
      <c r="I221" s="209">
        <v>10.064709763423966</v>
      </c>
      <c r="J221" s="209">
        <v>12.017099633653375</v>
      </c>
      <c r="K221" s="209">
        <v>12.943149661492278</v>
      </c>
      <c r="L221" s="202">
        <v>13.002707283315452</v>
      </c>
      <c r="M221" s="209">
        <v>16.064191812801305</v>
      </c>
      <c r="N221" s="209">
        <v>14.46192000915344</v>
      </c>
      <c r="O221" s="209">
        <v>19.909995550420536</v>
      </c>
      <c r="P221" s="209">
        <v>16.570411949788014</v>
      </c>
      <c r="Q221" s="209">
        <v>14.294971690531755</v>
      </c>
      <c r="R221" s="209">
        <v>17.379053883327799</v>
      </c>
      <c r="S221" s="209">
        <v>15.744379140584432</v>
      </c>
      <c r="T221" s="209">
        <v>21.114106273840086</v>
      </c>
      <c r="U221" s="209">
        <v>16.154893079644506</v>
      </c>
      <c r="V221" s="209">
        <v>12.092940400367716</v>
      </c>
      <c r="W221" s="209">
        <v>11.751947434685572</v>
      </c>
      <c r="X221" s="202">
        <v>8.3032014891012107</v>
      </c>
      <c r="Y221" s="208">
        <v>13.465896074930596</v>
      </c>
      <c r="Z221" s="209">
        <v>17.095330739299612</v>
      </c>
      <c r="AA221" s="209">
        <v>12.271809405721372</v>
      </c>
      <c r="AB221" s="209">
        <v>12.303576178513374</v>
      </c>
      <c r="AC221" s="209">
        <v>13.079545153426254</v>
      </c>
      <c r="AD221" s="202">
        <v>16.8454862787842</v>
      </c>
      <c r="AE221" s="210" t="s">
        <v>356</v>
      </c>
    </row>
    <row r="222" spans="2:31" ht="13.9" hidden="1" customHeight="1">
      <c r="B222" s="389" t="s">
        <v>357</v>
      </c>
      <c r="C222" s="208">
        <v>10.94660037158711</v>
      </c>
      <c r="D222" s="209">
        <v>5.7765675087268651</v>
      </c>
      <c r="E222" s="209">
        <v>12.543763360875852</v>
      </c>
      <c r="F222" s="209">
        <v>5.436488389032589</v>
      </c>
      <c r="G222" s="209">
        <v>5.4217934202595481</v>
      </c>
      <c r="H222" s="209">
        <v>10.064455497074013</v>
      </c>
      <c r="I222" s="209">
        <v>10.826525340581451</v>
      </c>
      <c r="J222" s="209">
        <v>11.03778869536948</v>
      </c>
      <c r="K222" s="209">
        <v>12.964980448510282</v>
      </c>
      <c r="L222" s="202">
        <v>15.928459309164204</v>
      </c>
      <c r="M222" s="209">
        <v>17.124731981495003</v>
      </c>
      <c r="N222" s="209">
        <v>14.526407723984933</v>
      </c>
      <c r="O222" s="209">
        <v>23.174738616844209</v>
      </c>
      <c r="P222" s="209">
        <v>17.740313726239282</v>
      </c>
      <c r="Q222" s="209">
        <v>20.125376543958261</v>
      </c>
      <c r="R222" s="209">
        <v>14.01621333254384</v>
      </c>
      <c r="S222" s="209">
        <v>17.127675176328221</v>
      </c>
      <c r="T222" s="209">
        <v>21.345766084708487</v>
      </c>
      <c r="U222" s="209">
        <v>15.88636140523897</v>
      </c>
      <c r="V222" s="209">
        <v>19.270919710368929</v>
      </c>
      <c r="W222" s="209">
        <v>17.035162489576184</v>
      </c>
      <c r="X222" s="202">
        <v>21.904460752294138</v>
      </c>
      <c r="Y222" s="208">
        <v>11.303602836769516</v>
      </c>
      <c r="Z222" s="209">
        <v>17.399883094109242</v>
      </c>
      <c r="AA222" s="209">
        <v>13.718001707174626</v>
      </c>
      <c r="AB222" s="209">
        <v>7.1997983802237293</v>
      </c>
      <c r="AC222" s="209">
        <v>11.708165192350153</v>
      </c>
      <c r="AD222" s="202">
        <v>14.833143989891379</v>
      </c>
      <c r="AE222" s="210" t="s">
        <v>213</v>
      </c>
    </row>
    <row r="223" spans="2:31" ht="10.5" hidden="1" customHeight="1">
      <c r="B223" s="390">
        <v>40186</v>
      </c>
      <c r="C223" s="208"/>
      <c r="D223" s="209"/>
      <c r="E223" s="209"/>
      <c r="F223" s="209"/>
      <c r="G223" s="209"/>
      <c r="H223" s="209"/>
      <c r="I223" s="209"/>
      <c r="J223" s="209"/>
      <c r="K223" s="209"/>
      <c r="L223" s="202"/>
      <c r="M223" s="209"/>
      <c r="N223" s="209"/>
      <c r="O223" s="209"/>
      <c r="P223" s="209"/>
      <c r="Q223" s="209"/>
      <c r="R223" s="209"/>
      <c r="S223" s="209"/>
      <c r="T223" s="209"/>
      <c r="U223" s="209"/>
      <c r="V223" s="209"/>
      <c r="W223" s="209"/>
      <c r="X223" s="202"/>
      <c r="Y223" s="208"/>
      <c r="Z223" s="209"/>
      <c r="AA223" s="209"/>
      <c r="AB223" s="209"/>
      <c r="AC223" s="209"/>
      <c r="AD223" s="202"/>
      <c r="AE223" s="397">
        <f>+B223</f>
        <v>40186</v>
      </c>
    </row>
    <row r="224" spans="2:31" ht="12" hidden="1" customHeight="1">
      <c r="B224" s="389" t="s">
        <v>187</v>
      </c>
      <c r="C224" s="208">
        <v>11.69</v>
      </c>
      <c r="D224" s="209">
        <v>6.88</v>
      </c>
      <c r="E224" s="209">
        <v>12.68</v>
      </c>
      <c r="F224" s="209">
        <v>7.6559737652903648</v>
      </c>
      <c r="G224" s="209">
        <v>8.2319780959196542</v>
      </c>
      <c r="H224" s="209">
        <v>8.6403304769316502</v>
      </c>
      <c r="I224" s="209">
        <v>10.130960291479065</v>
      </c>
      <c r="J224" s="209">
        <v>11.581504958108313</v>
      </c>
      <c r="K224" s="209">
        <v>13.002468130869852</v>
      </c>
      <c r="L224" s="202">
        <v>13.12205087737704</v>
      </c>
      <c r="M224" s="209">
        <v>15.93</v>
      </c>
      <c r="N224" s="209">
        <v>14.37</v>
      </c>
      <c r="O224" s="209">
        <v>19.61</v>
      </c>
      <c r="P224" s="209">
        <v>17.773054968109378</v>
      </c>
      <c r="Q224" s="209">
        <v>14.088548495899753</v>
      </c>
      <c r="R224" s="209">
        <v>17.42444858712707</v>
      </c>
      <c r="S224" s="209">
        <v>14.513078932417811</v>
      </c>
      <c r="T224" s="209">
        <v>20.917653903543716</v>
      </c>
      <c r="U224" s="209">
        <v>16.074902603182906</v>
      </c>
      <c r="V224" s="209">
        <v>11.779411791397639</v>
      </c>
      <c r="W224" s="209">
        <v>11.869919109631299</v>
      </c>
      <c r="X224" s="202">
        <v>8.3938822020289621</v>
      </c>
      <c r="Y224" s="208">
        <v>13.84</v>
      </c>
      <c r="Z224" s="209">
        <v>15.52</v>
      </c>
      <c r="AA224" s="209">
        <v>12.271809405721372</v>
      </c>
      <c r="AB224" s="209">
        <v>12.45</v>
      </c>
      <c r="AC224" s="209">
        <v>13.88</v>
      </c>
      <c r="AD224" s="202">
        <v>17.190000000000001</v>
      </c>
      <c r="AE224" s="210" t="s">
        <v>356</v>
      </c>
    </row>
    <row r="225" spans="2:31" ht="12" hidden="1" customHeight="1">
      <c r="B225" s="389" t="s">
        <v>357</v>
      </c>
      <c r="C225" s="208">
        <v>11.02</v>
      </c>
      <c r="D225" s="209">
        <v>6.01</v>
      </c>
      <c r="E225" s="209">
        <v>12.52</v>
      </c>
      <c r="F225" s="209">
        <v>5.4565661493991291</v>
      </c>
      <c r="G225" s="209">
        <v>3.9868781817179619</v>
      </c>
      <c r="H225" s="209">
        <v>10.348425849572518</v>
      </c>
      <c r="I225" s="209">
        <v>9.8931151331054661</v>
      </c>
      <c r="J225" s="209">
        <v>11.308281872897007</v>
      </c>
      <c r="K225" s="209">
        <v>13.0023523863369</v>
      </c>
      <c r="L225" s="202">
        <v>16.156855061347226</v>
      </c>
      <c r="M225" s="209">
        <v>17.53</v>
      </c>
      <c r="N225" s="209">
        <v>14.7</v>
      </c>
      <c r="O225" s="209">
        <v>23.26</v>
      </c>
      <c r="P225" s="209">
        <v>18.353132178489059</v>
      </c>
      <c r="Q225" s="209">
        <v>19.699432469803014</v>
      </c>
      <c r="R225" s="209">
        <v>14.117759209074405</v>
      </c>
      <c r="S225" s="209">
        <v>16.700065870415109</v>
      </c>
      <c r="T225" s="209">
        <v>21.391147246477402</v>
      </c>
      <c r="U225" s="209">
        <v>16.410701690870344</v>
      </c>
      <c r="V225" s="209">
        <v>19.431509919129997</v>
      </c>
      <c r="W225" s="209">
        <v>16.885011149739178</v>
      </c>
      <c r="X225" s="202">
        <v>21.963107820171437</v>
      </c>
      <c r="Y225" s="208">
        <v>11.58</v>
      </c>
      <c r="Z225" s="209">
        <v>17.29</v>
      </c>
      <c r="AA225" s="209">
        <v>15.31</v>
      </c>
      <c r="AB225" s="209">
        <v>8.98</v>
      </c>
      <c r="AC225" s="209">
        <v>11.52</v>
      </c>
      <c r="AD225" s="202">
        <v>14.2</v>
      </c>
      <c r="AE225" s="210" t="s">
        <v>213</v>
      </c>
    </row>
    <row r="226" spans="2:31" ht="10.5" hidden="1" customHeight="1">
      <c r="B226" s="390">
        <v>40187</v>
      </c>
      <c r="C226" s="208"/>
      <c r="D226" s="209"/>
      <c r="E226" s="209"/>
      <c r="F226" s="209"/>
      <c r="G226" s="209"/>
      <c r="H226" s="209"/>
      <c r="I226" s="209"/>
      <c r="J226" s="209"/>
      <c r="K226" s="209"/>
      <c r="L226" s="202"/>
      <c r="M226" s="209"/>
      <c r="N226" s="209"/>
      <c r="O226" s="209"/>
      <c r="P226" s="209"/>
      <c r="Q226" s="209"/>
      <c r="R226" s="209"/>
      <c r="S226" s="209"/>
      <c r="T226" s="209"/>
      <c r="U226" s="209"/>
      <c r="V226" s="209"/>
      <c r="W226" s="209"/>
      <c r="X226" s="202"/>
      <c r="Y226" s="208"/>
      <c r="Z226" s="209"/>
      <c r="AA226" s="209"/>
      <c r="AB226" s="209"/>
      <c r="AC226" s="209"/>
      <c r="AD226" s="202"/>
      <c r="AE226" s="397">
        <f>+B226</f>
        <v>40187</v>
      </c>
    </row>
    <row r="227" spans="2:31" ht="12" hidden="1" customHeight="1">
      <c r="B227" s="389" t="s">
        <v>187</v>
      </c>
      <c r="C227" s="208">
        <v>10.987441836644855</v>
      </c>
      <c r="D227" s="209">
        <v>6.1417660841190784</v>
      </c>
      <c r="E227" s="209">
        <v>12.087768671419427</v>
      </c>
      <c r="F227" s="209">
        <v>5.7259969439320102</v>
      </c>
      <c r="G227" s="209">
        <v>5.3871162388419984</v>
      </c>
      <c r="H227" s="209">
        <v>8.1850685626969319</v>
      </c>
      <c r="I227" s="209">
        <v>10.156700952366775</v>
      </c>
      <c r="J227" s="209">
        <v>11.495996363511196</v>
      </c>
      <c r="K227" s="209">
        <v>12.554332251166782</v>
      </c>
      <c r="L227" s="202">
        <v>13.237722367006862</v>
      </c>
      <c r="M227" s="209">
        <v>15.851069946624934</v>
      </c>
      <c r="N227" s="209">
        <v>14.293276887853716</v>
      </c>
      <c r="O227" s="209">
        <v>19.488256496771957</v>
      </c>
      <c r="P227" s="209">
        <v>17.102027311029065</v>
      </c>
      <c r="Q227" s="209">
        <v>14.30866746828125</v>
      </c>
      <c r="R227" s="209">
        <v>17.287998966498805</v>
      </c>
      <c r="S227" s="209">
        <v>13.025586939359689</v>
      </c>
      <c r="T227" s="209">
        <v>20.914270506594374</v>
      </c>
      <c r="U227" s="209">
        <v>16.08396895715714</v>
      </c>
      <c r="V227" s="209">
        <v>11.69571726534234</v>
      </c>
      <c r="W227" s="209">
        <v>11.834943160901926</v>
      </c>
      <c r="X227" s="202">
        <v>8.3458379357517121</v>
      </c>
      <c r="Y227" s="208">
        <v>13.814591157447547</v>
      </c>
      <c r="Z227" s="209">
        <v>18.359589041095891</v>
      </c>
      <c r="AA227" s="209">
        <v>12.136363636363637</v>
      </c>
      <c r="AB227" s="209">
        <v>12.713923026918568</v>
      </c>
      <c r="AC227" s="209">
        <v>13.683221784483147</v>
      </c>
      <c r="AD227" s="202">
        <v>18.096454914440596</v>
      </c>
      <c r="AE227" s="210" t="s">
        <v>356</v>
      </c>
    </row>
    <row r="228" spans="2:31" ht="12" hidden="1" customHeight="1">
      <c r="B228" s="389" t="s">
        <v>357</v>
      </c>
      <c r="C228" s="208">
        <v>10.569090484973072</v>
      </c>
      <c r="D228" s="209">
        <v>5.661037524559597</v>
      </c>
      <c r="E228" s="209">
        <v>12.113678302407148</v>
      </c>
      <c r="F228" s="209">
        <v>5.188054541252157</v>
      </c>
      <c r="G228" s="209">
        <v>2.8048981143653453</v>
      </c>
      <c r="H228" s="209">
        <v>10.330350333524169</v>
      </c>
      <c r="I228" s="209">
        <v>9.7029494362168887</v>
      </c>
      <c r="J228" s="209">
        <v>11.192211173699821</v>
      </c>
      <c r="K228" s="209">
        <v>12.756527573406053</v>
      </c>
      <c r="L228" s="202">
        <v>15.993137980198004</v>
      </c>
      <c r="M228" s="209">
        <v>17.390337145860467</v>
      </c>
      <c r="N228" s="209">
        <v>14.74724268906575</v>
      </c>
      <c r="O228" s="209">
        <v>22.930187692726474</v>
      </c>
      <c r="P228" s="209">
        <v>19.170850729791638</v>
      </c>
      <c r="Q228" s="209">
        <v>19.997988706903698</v>
      </c>
      <c r="R228" s="209">
        <v>14.55652060877426</v>
      </c>
      <c r="S228" s="209">
        <v>16.689397205653236</v>
      </c>
      <c r="T228" s="209">
        <v>20.60233915154156</v>
      </c>
      <c r="U228" s="209">
        <v>16.298949189804134</v>
      </c>
      <c r="V228" s="209">
        <v>19.597189108191497</v>
      </c>
      <c r="W228" s="209">
        <v>16.564013678450635</v>
      </c>
      <c r="X228" s="202">
        <v>21.960781022352009</v>
      </c>
      <c r="Y228" s="208">
        <v>11.879185050287857</v>
      </c>
      <c r="Z228" s="209">
        <v>7.7120317870038724</v>
      </c>
      <c r="AA228" s="209">
        <v>13.408111970824505</v>
      </c>
      <c r="AB228" s="209">
        <v>10.797271929232222</v>
      </c>
      <c r="AC228" s="209">
        <v>11.615615310569673</v>
      </c>
      <c r="AD228" s="202">
        <v>14.18227129260654</v>
      </c>
      <c r="AE228" s="210" t="s">
        <v>213</v>
      </c>
    </row>
    <row r="229" spans="2:31" ht="10.5" hidden="1" customHeight="1">
      <c r="B229" s="390">
        <v>40188</v>
      </c>
      <c r="C229" s="208"/>
      <c r="D229" s="209"/>
      <c r="E229" s="209"/>
      <c r="F229" s="209"/>
      <c r="G229" s="209"/>
      <c r="H229" s="209"/>
      <c r="I229" s="209"/>
      <c r="J229" s="209"/>
      <c r="K229" s="209"/>
      <c r="L229" s="202"/>
      <c r="M229" s="209"/>
      <c r="N229" s="209"/>
      <c r="O229" s="209"/>
      <c r="P229" s="209"/>
      <c r="Q229" s="209"/>
      <c r="R229" s="209"/>
      <c r="S229" s="209"/>
      <c r="T229" s="209"/>
      <c r="U229" s="209"/>
      <c r="V229" s="209"/>
      <c r="W229" s="209"/>
      <c r="X229" s="202"/>
      <c r="Y229" s="208"/>
      <c r="Z229" s="209"/>
      <c r="AA229" s="209"/>
      <c r="AB229" s="209"/>
      <c r="AC229" s="209"/>
      <c r="AD229" s="202"/>
      <c r="AE229" s="397">
        <f>+B229</f>
        <v>40188</v>
      </c>
    </row>
    <row r="230" spans="2:31" ht="12" hidden="1" customHeight="1">
      <c r="B230" s="389" t="s">
        <v>187</v>
      </c>
      <c r="C230" s="208">
        <v>11.211484026012926</v>
      </c>
      <c r="D230" s="209">
        <v>6.0185864339028354</v>
      </c>
      <c r="E230" s="209">
        <v>12.099914099277674</v>
      </c>
      <c r="F230" s="209">
        <v>7.0467376592269035</v>
      </c>
      <c r="G230" s="209">
        <v>5.6793940366851761</v>
      </c>
      <c r="H230" s="209">
        <v>8.1908059618460385</v>
      </c>
      <c r="I230" s="209">
        <v>10.157090874794529</v>
      </c>
      <c r="J230" s="209">
        <v>11.58012742550595</v>
      </c>
      <c r="K230" s="209">
        <v>12.634928613081691</v>
      </c>
      <c r="L230" s="202">
        <v>13.310697087590443</v>
      </c>
      <c r="M230" s="209">
        <v>14.095897205126503</v>
      </c>
      <c r="N230" s="209">
        <v>11.765196767958409</v>
      </c>
      <c r="O230" s="209">
        <v>19.448828805376969</v>
      </c>
      <c r="P230" s="209">
        <v>17.385838782370975</v>
      </c>
      <c r="Q230" s="209">
        <v>14.059660911820641</v>
      </c>
      <c r="R230" s="209">
        <v>19.142116845395982</v>
      </c>
      <c r="S230" s="209">
        <v>11.919100627600596</v>
      </c>
      <c r="T230" s="209">
        <v>20.919254598806361</v>
      </c>
      <c r="U230" s="209">
        <v>13.185144560107904</v>
      </c>
      <c r="V230" s="209">
        <v>11.872913923325729</v>
      </c>
      <c r="W230" s="209">
        <v>11.321811872198968</v>
      </c>
      <c r="X230" s="202">
        <v>8.2958362724870529</v>
      </c>
      <c r="Y230" s="208">
        <v>13.875936392636824</v>
      </c>
      <c r="Z230" s="209">
        <v>9.5618992695117271</v>
      </c>
      <c r="AA230" s="209">
        <v>12.75</v>
      </c>
      <c r="AB230" s="209">
        <v>13.780102723152256</v>
      </c>
      <c r="AC230" s="209">
        <v>13.737489809820541</v>
      </c>
      <c r="AD230" s="202">
        <v>18.099954590378506</v>
      </c>
      <c r="AE230" s="210" t="s">
        <v>356</v>
      </c>
    </row>
    <row r="231" spans="2:31" ht="12" hidden="1" customHeight="1">
      <c r="B231" s="389" t="s">
        <v>357</v>
      </c>
      <c r="C231" s="208">
        <v>10.405435186927548</v>
      </c>
      <c r="D231" s="209">
        <v>5.5780180116310394</v>
      </c>
      <c r="E231" s="209">
        <v>12.083153565685102</v>
      </c>
      <c r="F231" s="209">
        <v>5.3977828646281729</v>
      </c>
      <c r="G231" s="209">
        <v>2.8337372650647512</v>
      </c>
      <c r="H231" s="209">
        <v>10.250074762890421</v>
      </c>
      <c r="I231" s="209">
        <v>7.6375715161736597</v>
      </c>
      <c r="J231" s="209">
        <v>10.786515690416007</v>
      </c>
      <c r="K231" s="209">
        <v>12.719200990982028</v>
      </c>
      <c r="L231" s="202">
        <v>15.996622093746453</v>
      </c>
      <c r="M231" s="209">
        <v>16.211416945129827</v>
      </c>
      <c r="N231" s="209">
        <v>13.1583686771051</v>
      </c>
      <c r="O231" s="209">
        <v>23.007967648158019</v>
      </c>
      <c r="P231" s="209">
        <v>17.012366984119417</v>
      </c>
      <c r="Q231" s="209">
        <v>15.291629477685365</v>
      </c>
      <c r="R231" s="209">
        <v>12.480957200482511</v>
      </c>
      <c r="S231" s="209">
        <v>15.42578353967167</v>
      </c>
      <c r="T231" s="209">
        <v>18.834263199396482</v>
      </c>
      <c r="U231" s="209">
        <v>15.423493447351557</v>
      </c>
      <c r="V231" s="209">
        <v>19.393533229977685</v>
      </c>
      <c r="W231" s="209">
        <v>16.360639810350524</v>
      </c>
      <c r="X231" s="202">
        <v>22.011919701678064</v>
      </c>
      <c r="Y231" s="208">
        <v>10.780263230238857</v>
      </c>
      <c r="Z231" s="209">
        <v>7.2964779060396587</v>
      </c>
      <c r="AA231" s="209">
        <v>9.5852575253198644</v>
      </c>
      <c r="AB231" s="209">
        <v>10.516011984284461</v>
      </c>
      <c r="AC231" s="209">
        <v>9.2094925877519191</v>
      </c>
      <c r="AD231" s="202">
        <v>16.337893747635377</v>
      </c>
      <c r="AE231" s="210" t="s">
        <v>213</v>
      </c>
    </row>
    <row r="232" spans="2:31" ht="10.5" hidden="1" customHeight="1">
      <c r="B232" s="390">
        <v>40189</v>
      </c>
      <c r="C232" s="208"/>
      <c r="D232" s="209"/>
      <c r="E232" s="209"/>
      <c r="F232" s="209"/>
      <c r="G232" s="209"/>
      <c r="H232" s="209"/>
      <c r="I232" s="209"/>
      <c r="J232" s="209"/>
      <c r="K232" s="209"/>
      <c r="L232" s="202"/>
      <c r="M232" s="209"/>
      <c r="N232" s="209"/>
      <c r="O232" s="209"/>
      <c r="P232" s="209"/>
      <c r="Q232" s="209"/>
      <c r="R232" s="209"/>
      <c r="S232" s="209"/>
      <c r="T232" s="209"/>
      <c r="U232" s="209"/>
      <c r="V232" s="209"/>
      <c r="W232" s="209"/>
      <c r="X232" s="202"/>
      <c r="Y232" s="208"/>
      <c r="Z232" s="209"/>
      <c r="AA232" s="209"/>
      <c r="AB232" s="209"/>
      <c r="AC232" s="209"/>
      <c r="AD232" s="202"/>
      <c r="AE232" s="397">
        <f>+B232</f>
        <v>40189</v>
      </c>
    </row>
    <row r="233" spans="2:31" ht="12" hidden="1" customHeight="1">
      <c r="B233" s="389" t="s">
        <v>187</v>
      </c>
      <c r="C233" s="208">
        <v>10.977663419795656</v>
      </c>
      <c r="D233" s="209">
        <v>6.4951269906473108</v>
      </c>
      <c r="E233" s="209">
        <v>11.957003225093425</v>
      </c>
      <c r="F233" s="209">
        <v>6.756312489299952</v>
      </c>
      <c r="G233" s="209">
        <v>5.9058262200995788</v>
      </c>
      <c r="H233" s="209">
        <v>8.1829853566811632</v>
      </c>
      <c r="I233" s="209">
        <v>10.100764332060345</v>
      </c>
      <c r="J233" s="209">
        <v>11.31826543781512</v>
      </c>
      <c r="K233" s="209">
        <v>12.408737507163691</v>
      </c>
      <c r="L233" s="202">
        <v>12.849677171869688</v>
      </c>
      <c r="M233" s="209">
        <v>14.05713661455748</v>
      </c>
      <c r="N233" s="209">
        <v>11.734998851089355</v>
      </c>
      <c r="O233" s="209">
        <v>19.479036840686938</v>
      </c>
      <c r="P233" s="209">
        <v>16.834182753037016</v>
      </c>
      <c r="Q233" s="209">
        <v>13.683811940976478</v>
      </c>
      <c r="R233" s="209">
        <v>18.687250328775409</v>
      </c>
      <c r="S233" s="209">
        <v>11.815725494162391</v>
      </c>
      <c r="T233" s="209">
        <v>20.952342301393355</v>
      </c>
      <c r="U233" s="209">
        <v>13.206383356373296</v>
      </c>
      <c r="V233" s="209">
        <v>11.884333147127466</v>
      </c>
      <c r="W233" s="209">
        <v>11.212784508685807</v>
      </c>
      <c r="X233" s="202">
        <v>8.3328359718555021</v>
      </c>
      <c r="Y233" s="208">
        <v>13.406176420127229</v>
      </c>
      <c r="Z233" s="209">
        <v>10.138600538254517</v>
      </c>
      <c r="AA233" s="209">
        <v>13.125939849624061</v>
      </c>
      <c r="AB233" s="209">
        <v>12.565980559373395</v>
      </c>
      <c r="AC233" s="209">
        <v>14.487871094609863</v>
      </c>
      <c r="AD233" s="202">
        <v>15.510494785888618</v>
      </c>
      <c r="AE233" s="210" t="s">
        <v>356</v>
      </c>
    </row>
    <row r="234" spans="2:31" ht="12" hidden="1" customHeight="1">
      <c r="B234" s="389" t="s">
        <v>357</v>
      </c>
      <c r="C234" s="208">
        <v>10.503239924985904</v>
      </c>
      <c r="D234" s="209">
        <v>5.7166487390003429</v>
      </c>
      <c r="E234" s="209">
        <v>12.162003810946082</v>
      </c>
      <c r="F234" s="209">
        <v>5.4554838032237036</v>
      </c>
      <c r="G234" s="209">
        <v>3.1268080040547108</v>
      </c>
      <c r="H234" s="209">
        <v>10.290821246085757</v>
      </c>
      <c r="I234" s="209">
        <v>7.7443008523541748</v>
      </c>
      <c r="J234" s="209">
        <v>10.938146718473979</v>
      </c>
      <c r="K234" s="209">
        <v>12.732468439124963</v>
      </c>
      <c r="L234" s="202">
        <v>15.785298448251364</v>
      </c>
      <c r="M234" s="209">
        <v>16.337698852827373</v>
      </c>
      <c r="N234" s="209">
        <v>13.220515835663795</v>
      </c>
      <c r="O234" s="209">
        <v>22.918479781719849</v>
      </c>
      <c r="P234" s="209">
        <v>16.998045963889265</v>
      </c>
      <c r="Q234" s="209">
        <v>15.974634519177162</v>
      </c>
      <c r="R234" s="209">
        <v>12.798246789740853</v>
      </c>
      <c r="S234" s="209">
        <v>15.377899064255869</v>
      </c>
      <c r="T234" s="209">
        <v>19.15625812784636</v>
      </c>
      <c r="U234" s="209">
        <v>15.442934792616862</v>
      </c>
      <c r="V234" s="209">
        <v>19.193739754176701</v>
      </c>
      <c r="W234" s="209">
        <v>16.236073109741032</v>
      </c>
      <c r="X234" s="202">
        <v>22.030732802967055</v>
      </c>
      <c r="Y234" s="208">
        <v>10.378392503050124</v>
      </c>
      <c r="Z234" s="209">
        <v>2.1339132595998507</v>
      </c>
      <c r="AA234" s="209">
        <v>10.79841810692831</v>
      </c>
      <c r="AB234" s="209">
        <v>11.781643199866872</v>
      </c>
      <c r="AC234" s="209">
        <v>8.8984525384176969</v>
      </c>
      <c r="AD234" s="202">
        <v>13.816254136009738</v>
      </c>
      <c r="AE234" s="210" t="s">
        <v>213</v>
      </c>
    </row>
    <row r="235" spans="2:31" ht="10.5" hidden="1" customHeight="1">
      <c r="B235" s="390">
        <v>40190</v>
      </c>
      <c r="C235" s="208"/>
      <c r="D235" s="209"/>
      <c r="E235" s="209"/>
      <c r="F235" s="209"/>
      <c r="G235" s="209"/>
      <c r="H235" s="209"/>
      <c r="I235" s="209"/>
      <c r="J235" s="209"/>
      <c r="K235" s="209"/>
      <c r="L235" s="202"/>
      <c r="M235" s="209"/>
      <c r="N235" s="209"/>
      <c r="O235" s="209"/>
      <c r="P235" s="209"/>
      <c r="Q235" s="209"/>
      <c r="R235" s="209"/>
      <c r="S235" s="209"/>
      <c r="T235" s="209"/>
      <c r="U235" s="209"/>
      <c r="V235" s="209"/>
      <c r="W235" s="209"/>
      <c r="X235" s="202"/>
      <c r="Y235" s="208"/>
      <c r="Z235" s="209"/>
      <c r="AA235" s="209"/>
      <c r="AB235" s="209"/>
      <c r="AC235" s="209"/>
      <c r="AD235" s="202"/>
      <c r="AE235" s="397">
        <f>+B235</f>
        <v>40190</v>
      </c>
    </row>
    <row r="236" spans="2:31" ht="12" hidden="1" customHeight="1">
      <c r="B236" s="389" t="s">
        <v>187</v>
      </c>
      <c r="C236" s="208">
        <v>11.088899582560577</v>
      </c>
      <c r="D236" s="209">
        <v>6.3994539143536233</v>
      </c>
      <c r="E236" s="209">
        <v>12.04656227075661</v>
      </c>
      <c r="F236" s="209">
        <v>5.9663916993599013</v>
      </c>
      <c r="G236" s="209">
        <v>6.7741020359197339</v>
      </c>
      <c r="H236" s="209">
        <v>8.0692492267359626</v>
      </c>
      <c r="I236" s="209">
        <v>10.186857227764053</v>
      </c>
      <c r="J236" s="209">
        <v>11.226735704506394</v>
      </c>
      <c r="K236" s="209">
        <v>12.626390722473822</v>
      </c>
      <c r="L236" s="202">
        <v>12.858829645165782</v>
      </c>
      <c r="M236" s="209">
        <v>13.660643929492656</v>
      </c>
      <c r="N236" s="209">
        <v>11.247447930289878</v>
      </c>
      <c r="O236" s="209">
        <v>19.281237300556128</v>
      </c>
      <c r="P236" s="209">
        <v>15.546116564472715</v>
      </c>
      <c r="Q236" s="209">
        <v>12.408306430262938</v>
      </c>
      <c r="R236" s="209">
        <v>17.91757731768713</v>
      </c>
      <c r="S236" s="209">
        <v>12.265971593793953</v>
      </c>
      <c r="T236" s="209">
        <v>21.215047206134052</v>
      </c>
      <c r="U236" s="209">
        <v>12.49677752946406</v>
      </c>
      <c r="V236" s="209">
        <v>12.207713581465237</v>
      </c>
      <c r="W236" s="209">
        <v>9.9433455072202843</v>
      </c>
      <c r="X236" s="202">
        <v>8.3757694307622899</v>
      </c>
      <c r="Y236" s="208">
        <v>13.132136366869879</v>
      </c>
      <c r="Z236" s="209">
        <v>11.202718912435026</v>
      </c>
      <c r="AA236" s="209">
        <v>11.001216545012165</v>
      </c>
      <c r="AB236" s="209">
        <v>12.628037763540053</v>
      </c>
      <c r="AC236" s="209">
        <v>16.183079948919193</v>
      </c>
      <c r="AD236" s="202">
        <v>13.412686815725291</v>
      </c>
      <c r="AE236" s="210" t="s">
        <v>356</v>
      </c>
    </row>
    <row r="237" spans="2:31" ht="12" hidden="1" customHeight="1">
      <c r="B237" s="389" t="s">
        <v>357</v>
      </c>
      <c r="C237" s="208">
        <v>10.630501243704192</v>
      </c>
      <c r="D237" s="209">
        <v>5.4308016628086158</v>
      </c>
      <c r="E237" s="209">
        <v>12.328501356674641</v>
      </c>
      <c r="F237" s="209">
        <v>5.3554912950130413</v>
      </c>
      <c r="G237" s="209">
        <v>5.0740056010074763</v>
      </c>
      <c r="H237" s="209">
        <v>10.012679421350841</v>
      </c>
      <c r="I237" s="209">
        <v>7.7724444250829681</v>
      </c>
      <c r="J237" s="209">
        <v>10.862632912707914</v>
      </c>
      <c r="K237" s="209">
        <v>12.729441173789541</v>
      </c>
      <c r="L237" s="202">
        <v>15.985956557209869</v>
      </c>
      <c r="M237" s="209">
        <v>16.434329094164134</v>
      </c>
      <c r="N237" s="209">
        <v>13.281870497051935</v>
      </c>
      <c r="O237" s="209">
        <v>22.835411946898336</v>
      </c>
      <c r="P237" s="209">
        <v>17.047623310829373</v>
      </c>
      <c r="Q237" s="209">
        <v>16.423197335675432</v>
      </c>
      <c r="R237" s="209">
        <v>12.666538279018081</v>
      </c>
      <c r="S237" s="209">
        <v>15.399948764076138</v>
      </c>
      <c r="T237" s="209">
        <v>19.112791506776695</v>
      </c>
      <c r="U237" s="209">
        <v>15.598309467218206</v>
      </c>
      <c r="V237" s="209">
        <v>18.8310455485408</v>
      </c>
      <c r="W237" s="209">
        <v>16.166753666674115</v>
      </c>
      <c r="X237" s="202">
        <v>22.017752904208116</v>
      </c>
      <c r="Y237" s="208">
        <v>10.393442603270101</v>
      </c>
      <c r="Z237" s="209">
        <v>8.0727702387472355</v>
      </c>
      <c r="AA237" s="209">
        <v>10.879196720460795</v>
      </c>
      <c r="AB237" s="209">
        <v>11.628060899789494</v>
      </c>
      <c r="AC237" s="209">
        <v>7.7956719331922377</v>
      </c>
      <c r="AD237" s="202">
        <v>13.990008226286148</v>
      </c>
      <c r="AE237" s="210" t="s">
        <v>213</v>
      </c>
    </row>
    <row r="238" spans="2:31" ht="10.5" customHeight="1">
      <c r="B238" s="390">
        <v>40544</v>
      </c>
      <c r="C238" s="208"/>
      <c r="D238" s="209"/>
      <c r="E238" s="209"/>
      <c r="F238" s="209"/>
      <c r="G238" s="209"/>
      <c r="H238" s="209"/>
      <c r="I238" s="209"/>
      <c r="J238" s="209"/>
      <c r="K238" s="209"/>
      <c r="L238" s="202"/>
      <c r="M238" s="209"/>
      <c r="N238" s="209"/>
      <c r="O238" s="209"/>
      <c r="P238" s="209"/>
      <c r="Q238" s="209"/>
      <c r="R238" s="209"/>
      <c r="S238" s="209"/>
      <c r="T238" s="209"/>
      <c r="U238" s="209"/>
      <c r="V238" s="209"/>
      <c r="W238" s="209"/>
      <c r="X238" s="202"/>
      <c r="Y238" s="208"/>
      <c r="Z238" s="209"/>
      <c r="AA238" s="209"/>
      <c r="AB238" s="209"/>
      <c r="AC238" s="209"/>
      <c r="AD238" s="202"/>
      <c r="AE238" s="397">
        <f>+B238</f>
        <v>40544</v>
      </c>
    </row>
    <row r="239" spans="2:31" ht="12" customHeight="1">
      <c r="B239" s="389" t="s">
        <v>187</v>
      </c>
      <c r="C239" s="208">
        <v>11.112817606546072</v>
      </c>
      <c r="D239" s="209">
        <v>6.1875294706409401</v>
      </c>
      <c r="E239" s="209">
        <v>11.790199541365546</v>
      </c>
      <c r="F239" s="209">
        <v>6.6957569138013886</v>
      </c>
      <c r="G239" s="209">
        <v>4.8249043440344472</v>
      </c>
      <c r="H239" s="209">
        <v>7.9563015439451759</v>
      </c>
      <c r="I239" s="209">
        <v>8.7010615181324322</v>
      </c>
      <c r="J239" s="209">
        <v>10.961740384293394</v>
      </c>
      <c r="K239" s="209">
        <v>12.670510627277526</v>
      </c>
      <c r="L239" s="202">
        <v>13.444838518450087</v>
      </c>
      <c r="M239" s="209">
        <v>16.367472368344515</v>
      </c>
      <c r="N239" s="209">
        <v>14.403041693924806</v>
      </c>
      <c r="O239" s="209">
        <v>19.836223685155858</v>
      </c>
      <c r="P239" s="209">
        <v>18.787630106536565</v>
      </c>
      <c r="Q239" s="209">
        <v>17.237521373999364</v>
      </c>
      <c r="R239" s="209">
        <v>18.749814219118441</v>
      </c>
      <c r="S239" s="209">
        <v>14.714151064274347</v>
      </c>
      <c r="T239" s="209">
        <v>19.212447186231326</v>
      </c>
      <c r="U239" s="209">
        <v>17.957126800879156</v>
      </c>
      <c r="V239" s="209">
        <v>12.709431095131924</v>
      </c>
      <c r="W239" s="209">
        <v>10.501702273111892</v>
      </c>
      <c r="X239" s="202">
        <v>8.2914534722020043</v>
      </c>
      <c r="Y239" s="208">
        <v>11.863007691990093</v>
      </c>
      <c r="Z239" s="209">
        <v>7.3888888888888893</v>
      </c>
      <c r="AA239" s="209">
        <v>10.239705732093594</v>
      </c>
      <c r="AB239" s="209">
        <v>12.016286192869106</v>
      </c>
      <c r="AC239" s="209">
        <v>14.940792986202828</v>
      </c>
      <c r="AD239" s="202">
        <v>15.409252384487976</v>
      </c>
      <c r="AE239" s="210" t="s">
        <v>356</v>
      </c>
    </row>
    <row r="240" spans="2:31" ht="12" customHeight="1">
      <c r="B240" s="389" t="s">
        <v>357</v>
      </c>
      <c r="C240" s="208">
        <v>11.64344600494818</v>
      </c>
      <c r="D240" s="209">
        <v>6.2703950897978995</v>
      </c>
      <c r="E240" s="209">
        <v>12.266544021828141</v>
      </c>
      <c r="F240" s="209">
        <v>12.631122567092516</v>
      </c>
      <c r="G240" s="209">
        <v>5.7444429949656959</v>
      </c>
      <c r="H240" s="209">
        <v>9.1788944450483747</v>
      </c>
      <c r="I240" s="209">
        <v>9.8406638689809238</v>
      </c>
      <c r="J240" s="209">
        <v>10.676715076936064</v>
      </c>
      <c r="K240" s="209">
        <v>12.984551632049305</v>
      </c>
      <c r="L240" s="202">
        <v>18.742061908346198</v>
      </c>
      <c r="M240" s="209">
        <v>17.314706809218322</v>
      </c>
      <c r="N240" s="209">
        <v>14.19522569523917</v>
      </c>
      <c r="O240" s="209">
        <v>23.729516967687971</v>
      </c>
      <c r="P240" s="209">
        <v>23.530770315371367</v>
      </c>
      <c r="Q240" s="209">
        <v>18.342605021038093</v>
      </c>
      <c r="R240" s="209">
        <v>18.088397282862211</v>
      </c>
      <c r="S240" s="209">
        <v>19.878289892338529</v>
      </c>
      <c r="T240" s="209">
        <v>20.599056359408305</v>
      </c>
      <c r="U240" s="209">
        <v>18.554802420606276</v>
      </c>
      <c r="V240" s="209">
        <v>13.89492236497412</v>
      </c>
      <c r="W240" s="209">
        <v>12.887417794807989</v>
      </c>
      <c r="X240" s="202">
        <v>8.1386261063905962</v>
      </c>
      <c r="Y240" s="208">
        <v>9.986973468740592</v>
      </c>
      <c r="Z240" s="209">
        <v>1.2201834862385319</v>
      </c>
      <c r="AA240" s="209">
        <v>6.9777391106992228</v>
      </c>
      <c r="AB240" s="209">
        <v>11.888724319159103</v>
      </c>
      <c r="AC240" s="209">
        <v>6.5391549637129902</v>
      </c>
      <c r="AD240" s="202">
        <v>14.374279307050765</v>
      </c>
      <c r="AE240" s="210" t="s">
        <v>213</v>
      </c>
    </row>
    <row r="241" spans="1:31" ht="10.5" hidden="1" customHeight="1">
      <c r="B241" s="390">
        <v>40545</v>
      </c>
      <c r="C241" s="208"/>
      <c r="D241" s="209"/>
      <c r="E241" s="209"/>
      <c r="F241" s="209"/>
      <c r="G241" s="209"/>
      <c r="H241" s="209"/>
      <c r="I241" s="209"/>
      <c r="J241" s="209"/>
      <c r="K241" s="209"/>
      <c r="L241" s="202"/>
      <c r="M241" s="209"/>
      <c r="N241" s="209"/>
      <c r="O241" s="209"/>
      <c r="P241" s="209"/>
      <c r="Q241" s="209"/>
      <c r="R241" s="209"/>
      <c r="S241" s="209"/>
      <c r="T241" s="209"/>
      <c r="U241" s="209"/>
      <c r="V241" s="209"/>
      <c r="W241" s="209"/>
      <c r="X241" s="202"/>
      <c r="Y241" s="208"/>
      <c r="Z241" s="209"/>
      <c r="AA241" s="209"/>
      <c r="AB241" s="209"/>
      <c r="AC241" s="209"/>
      <c r="AD241" s="202"/>
      <c r="AE241" s="397">
        <f>+B241</f>
        <v>40545</v>
      </c>
    </row>
    <row r="242" spans="1:31" ht="12" hidden="1" customHeight="1">
      <c r="B242" s="389" t="s">
        <v>187</v>
      </c>
      <c r="C242" s="208">
        <v>11.159152084023074</v>
      </c>
      <c r="D242" s="209">
        <v>6.2656182602467965</v>
      </c>
      <c r="E242" s="209">
        <v>11.832936923129816</v>
      </c>
      <c r="F242" s="209">
        <v>6.4568357226119142</v>
      </c>
      <c r="G242" s="209">
        <v>4.5813542333567741</v>
      </c>
      <c r="H242" s="209">
        <v>7.9596307205149985</v>
      </c>
      <c r="I242" s="209">
        <v>8.4890616540275019</v>
      </c>
      <c r="J242" s="209">
        <v>11.110166398720374</v>
      </c>
      <c r="K242" s="209">
        <v>12.655125233301716</v>
      </c>
      <c r="L242" s="202">
        <v>13.519858096828045</v>
      </c>
      <c r="M242" s="209">
        <v>16.398350139113926</v>
      </c>
      <c r="N242" s="209">
        <v>14.396360380629934</v>
      </c>
      <c r="O242" s="209">
        <v>19.852209112817405</v>
      </c>
      <c r="P242" s="209">
        <v>18.78329804460472</v>
      </c>
      <c r="Q242" s="209">
        <v>17.989274408896982</v>
      </c>
      <c r="R242" s="209">
        <v>19.255652288758679</v>
      </c>
      <c r="S242" s="209">
        <v>14.914208232655989</v>
      </c>
      <c r="T242" s="209">
        <v>19.04338288123693</v>
      </c>
      <c r="U242" s="209">
        <v>18.057508710758114</v>
      </c>
      <c r="V242" s="209">
        <v>12.851093048891151</v>
      </c>
      <c r="W242" s="209">
        <v>10.355621765450131</v>
      </c>
      <c r="X242" s="202">
        <v>8.2896433383996335</v>
      </c>
      <c r="Y242" s="208">
        <v>12.100025118949716</v>
      </c>
      <c r="Z242" s="209">
        <v>10.615384615384615</v>
      </c>
      <c r="AA242" s="209">
        <v>9.6300287356321839</v>
      </c>
      <c r="AB242" s="209">
        <v>12.426001626457035</v>
      </c>
      <c r="AC242" s="209">
        <v>11.18626850718023</v>
      </c>
      <c r="AD242" s="202">
        <v>18.000976390556222</v>
      </c>
      <c r="AE242" s="210" t="s">
        <v>356</v>
      </c>
    </row>
    <row r="243" spans="1:31" ht="12" hidden="1" customHeight="1">
      <c r="A243" s="213"/>
      <c r="B243" s="389" t="s">
        <v>357</v>
      </c>
      <c r="C243" s="208">
        <v>11.345264091019976</v>
      </c>
      <c r="D243" s="209">
        <v>5.0703228571505683</v>
      </c>
      <c r="E243" s="209">
        <v>12.11504682609521</v>
      </c>
      <c r="F243" s="209">
        <v>8.9248348375804909</v>
      </c>
      <c r="G243" s="209">
        <v>6.1123910924495766</v>
      </c>
      <c r="H243" s="209">
        <v>9.00990762785786</v>
      </c>
      <c r="I243" s="209">
        <v>9.8781911084702649</v>
      </c>
      <c r="J243" s="209">
        <v>10.287118721351423</v>
      </c>
      <c r="K243" s="209">
        <v>12.743638873925089</v>
      </c>
      <c r="L243" s="202">
        <v>18.904217034973357</v>
      </c>
      <c r="M243" s="209">
        <v>16.863362169449211</v>
      </c>
      <c r="N243" s="209">
        <v>13.625473322799268</v>
      </c>
      <c r="O243" s="209">
        <v>23.873971578415425</v>
      </c>
      <c r="P243" s="209">
        <v>25.635452054634122</v>
      </c>
      <c r="Q243" s="209">
        <v>18.303080826201942</v>
      </c>
      <c r="R243" s="209">
        <v>18.126764250494276</v>
      </c>
      <c r="S243" s="209">
        <v>19.693638797288269</v>
      </c>
      <c r="T243" s="209">
        <v>18.911681385392882</v>
      </c>
      <c r="U243" s="209">
        <v>18.570721166730266</v>
      </c>
      <c r="V243" s="209">
        <v>13.882912211800663</v>
      </c>
      <c r="W243" s="209">
        <v>12.880773386871025</v>
      </c>
      <c r="X243" s="202">
        <v>8.0701913733218049</v>
      </c>
      <c r="Y243" s="208">
        <v>9.8240781800577146</v>
      </c>
      <c r="Z243" s="209">
        <v>6.8509187565006355</v>
      </c>
      <c r="AA243" s="209">
        <v>10.00501359319281</v>
      </c>
      <c r="AB243" s="209">
        <v>8.2675645999560796</v>
      </c>
      <c r="AC243" s="209">
        <v>7.1480495246397346</v>
      </c>
      <c r="AD243" s="202">
        <v>14.032414673978661</v>
      </c>
      <c r="AE243" s="210" t="s">
        <v>213</v>
      </c>
    </row>
    <row r="244" spans="1:31" ht="10.5" hidden="1" customHeight="1">
      <c r="A244" s="213"/>
      <c r="B244" s="390">
        <v>40546</v>
      </c>
      <c r="C244" s="208"/>
      <c r="D244" s="209"/>
      <c r="E244" s="209"/>
      <c r="F244" s="209"/>
      <c r="G244" s="209"/>
      <c r="H244" s="209"/>
      <c r="I244" s="209"/>
      <c r="J244" s="209"/>
      <c r="K244" s="209"/>
      <c r="L244" s="202"/>
      <c r="M244" s="209"/>
      <c r="N244" s="209"/>
      <c r="O244" s="209"/>
      <c r="P244" s="209"/>
      <c r="Q244" s="209"/>
      <c r="R244" s="209"/>
      <c r="S244" s="209"/>
      <c r="T244" s="209"/>
      <c r="U244" s="209"/>
      <c r="V244" s="209"/>
      <c r="W244" s="209"/>
      <c r="X244" s="202"/>
      <c r="Y244" s="208"/>
      <c r="Z244" s="209"/>
      <c r="AA244" s="209"/>
      <c r="AB244" s="209"/>
      <c r="AC244" s="209"/>
      <c r="AD244" s="202"/>
      <c r="AE244" s="397">
        <f>+B244</f>
        <v>40546</v>
      </c>
    </row>
    <row r="245" spans="1:31" ht="12" hidden="1" customHeight="1">
      <c r="A245" s="213"/>
      <c r="B245" s="389" t="s">
        <v>187</v>
      </c>
      <c r="C245" s="208">
        <v>11.137222056263454</v>
      </c>
      <c r="D245" s="209">
        <v>6.4305800441391687</v>
      </c>
      <c r="E245" s="209">
        <v>11.788356645919132</v>
      </c>
      <c r="F245" s="209">
        <v>6.7856786315446236</v>
      </c>
      <c r="G245" s="209">
        <v>5.3051454170834056</v>
      </c>
      <c r="H245" s="209">
        <v>7.8268183562332325</v>
      </c>
      <c r="I245" s="209">
        <v>8.4129685290564069</v>
      </c>
      <c r="J245" s="209">
        <v>10.896285101565043</v>
      </c>
      <c r="K245" s="209">
        <v>12.678303286204091</v>
      </c>
      <c r="L245" s="202">
        <v>13.3825441031611</v>
      </c>
      <c r="M245" s="209">
        <v>16.434529377131494</v>
      </c>
      <c r="N245" s="209">
        <v>14.462679558410146</v>
      </c>
      <c r="O245" s="209">
        <v>19.672189441251117</v>
      </c>
      <c r="P245" s="209">
        <v>17.187436325315602</v>
      </c>
      <c r="Q245" s="209">
        <v>17.587589085349311</v>
      </c>
      <c r="R245" s="209">
        <v>18.731077464021549</v>
      </c>
      <c r="S245" s="209">
        <v>15.364218251128531</v>
      </c>
      <c r="T245" s="209">
        <v>19.191328941721071</v>
      </c>
      <c r="U245" s="209">
        <v>17.985314251527114</v>
      </c>
      <c r="V245" s="209">
        <v>12.868019064328927</v>
      </c>
      <c r="W245" s="209">
        <v>9.7416427909387799</v>
      </c>
      <c r="X245" s="202">
        <v>8.3203746766765239</v>
      </c>
      <c r="Y245" s="208">
        <v>11.478376629003776</v>
      </c>
      <c r="Z245" s="209">
        <v>9</v>
      </c>
      <c r="AA245" s="209">
        <v>8.744082932617248</v>
      </c>
      <c r="AB245" s="209">
        <v>12.0547037658911</v>
      </c>
      <c r="AC245" s="209">
        <v>10.756190280489058</v>
      </c>
      <c r="AD245" s="202">
        <v>16.880051480051481</v>
      </c>
      <c r="AE245" s="210" t="s">
        <v>356</v>
      </c>
    </row>
    <row r="246" spans="1:31" ht="12" hidden="1" customHeight="1" thickBot="1">
      <c r="A246" s="220"/>
      <c r="B246" s="389" t="s">
        <v>357</v>
      </c>
      <c r="C246" s="208">
        <v>11.887590045993775</v>
      </c>
      <c r="D246" s="209">
        <v>7.1802072318484012</v>
      </c>
      <c r="E246" s="209">
        <v>12.077234689180234</v>
      </c>
      <c r="F246" s="209">
        <v>7.3778263337310959</v>
      </c>
      <c r="G246" s="209">
        <v>6.5833900191588359</v>
      </c>
      <c r="H246" s="209">
        <v>8.719536972210765</v>
      </c>
      <c r="I246" s="209">
        <v>9.4512696063024055</v>
      </c>
      <c r="J246" s="209">
        <v>11.427699765703416</v>
      </c>
      <c r="K246" s="209">
        <v>12.768264640149484</v>
      </c>
      <c r="L246" s="202">
        <v>18.407878217980798</v>
      </c>
      <c r="M246" s="209">
        <v>16.890716700271845</v>
      </c>
      <c r="N246" s="209">
        <v>13.713609977562569</v>
      </c>
      <c r="O246" s="209">
        <v>23.798573753187348</v>
      </c>
      <c r="P246" s="209">
        <v>25.435401823953246</v>
      </c>
      <c r="Q246" s="209">
        <v>17.919290082615071</v>
      </c>
      <c r="R246" s="209">
        <v>17.500370905350159</v>
      </c>
      <c r="S246" s="209">
        <v>20.122227438409634</v>
      </c>
      <c r="T246" s="209">
        <v>18.860345290848088</v>
      </c>
      <c r="U246" s="209">
        <v>18.735634381696844</v>
      </c>
      <c r="V246" s="209">
        <v>13.915228386700019</v>
      </c>
      <c r="W246" s="209">
        <v>12.999206685512361</v>
      </c>
      <c r="X246" s="202">
        <v>8.4924541212263094</v>
      </c>
      <c r="Y246" s="208">
        <v>5.2115724201522324</v>
      </c>
      <c r="Z246" s="209">
        <v>0.48415765220067231</v>
      </c>
      <c r="AA246" s="209">
        <v>9.3291334089219617</v>
      </c>
      <c r="AB246" s="209">
        <v>7.5540133055150971</v>
      </c>
      <c r="AC246" s="209">
        <v>6.6256823356935657</v>
      </c>
      <c r="AD246" s="202">
        <v>14.133239867448381</v>
      </c>
      <c r="AE246" s="210" t="s">
        <v>213</v>
      </c>
    </row>
    <row r="247" spans="1:31" ht="10.5" hidden="1" customHeight="1">
      <c r="A247" s="213"/>
      <c r="B247" s="390">
        <v>40547</v>
      </c>
      <c r="C247" s="208"/>
      <c r="D247" s="209"/>
      <c r="E247" s="209"/>
      <c r="F247" s="209"/>
      <c r="G247" s="209"/>
      <c r="H247" s="209"/>
      <c r="I247" s="209"/>
      <c r="J247" s="209"/>
      <c r="K247" s="209"/>
      <c r="L247" s="202"/>
      <c r="M247" s="209"/>
      <c r="N247" s="209"/>
      <c r="O247" s="209"/>
      <c r="P247" s="209"/>
      <c r="Q247" s="209"/>
      <c r="R247" s="209"/>
      <c r="S247" s="209"/>
      <c r="T247" s="209"/>
      <c r="U247" s="209"/>
      <c r="V247" s="209"/>
      <c r="W247" s="209"/>
      <c r="X247" s="202"/>
      <c r="Y247" s="208"/>
      <c r="Z247" s="209"/>
      <c r="AA247" s="209"/>
      <c r="AB247" s="209"/>
      <c r="AC247" s="209"/>
      <c r="AD247" s="202"/>
      <c r="AE247" s="397">
        <f>+B247</f>
        <v>40547</v>
      </c>
    </row>
    <row r="248" spans="1:31" ht="12" hidden="1" customHeight="1">
      <c r="A248" s="213"/>
      <c r="B248" s="389" t="s">
        <v>187</v>
      </c>
      <c r="C248" s="208">
        <v>11.075629564827254</v>
      </c>
      <c r="D248" s="209">
        <v>6.1700191179244559</v>
      </c>
      <c r="E248" s="209">
        <v>11.734494069090399</v>
      </c>
      <c r="F248" s="209">
        <v>6.3059133687177518</v>
      </c>
      <c r="G248" s="209">
        <v>4.5756189464818648</v>
      </c>
      <c r="H248" s="209">
        <v>8.098058816493225</v>
      </c>
      <c r="I248" s="209">
        <v>7.8600670556053167</v>
      </c>
      <c r="J248" s="209">
        <v>10.906956402681081</v>
      </c>
      <c r="K248" s="209">
        <v>12.656999212132533</v>
      </c>
      <c r="L248" s="202">
        <v>13.48522090004883</v>
      </c>
      <c r="M248" s="209">
        <v>16.405849594011013</v>
      </c>
      <c r="N248" s="209">
        <v>14.404443946595784</v>
      </c>
      <c r="O248" s="209">
        <v>19.746005572579488</v>
      </c>
      <c r="P248" s="209">
        <v>16.273622232057832</v>
      </c>
      <c r="Q248" s="209">
        <v>17.551130316591227</v>
      </c>
      <c r="R248" s="209">
        <v>18.524104346676914</v>
      </c>
      <c r="S248" s="209">
        <v>15.069928285690853</v>
      </c>
      <c r="T248" s="209">
        <v>19.258129177907193</v>
      </c>
      <c r="U248" s="209">
        <v>18.056727237430142</v>
      </c>
      <c r="V248" s="209">
        <v>12.681805581244276</v>
      </c>
      <c r="W248" s="209">
        <v>10.823171266143609</v>
      </c>
      <c r="X248" s="202">
        <v>8.2867563453280955</v>
      </c>
      <c r="Y248" s="208">
        <v>11.037573951098118</v>
      </c>
      <c r="Z248" s="209">
        <v>7.9050632911392409</v>
      </c>
      <c r="AA248" s="209">
        <v>8.449064011778729</v>
      </c>
      <c r="AB248" s="209">
        <v>11.620739566825145</v>
      </c>
      <c r="AC248" s="209">
        <v>10.976815974790185</v>
      </c>
      <c r="AD248" s="202">
        <v>16.910901923373689</v>
      </c>
      <c r="AE248" s="210" t="s">
        <v>356</v>
      </c>
    </row>
    <row r="249" spans="1:31" ht="12" hidden="1" customHeight="1" thickBot="1">
      <c r="A249" s="220"/>
      <c r="B249" s="389" t="s">
        <v>357</v>
      </c>
      <c r="C249" s="208">
        <v>11.093327185371567</v>
      </c>
      <c r="D249" s="209">
        <v>6.2836781823653327</v>
      </c>
      <c r="E249" s="209">
        <v>11.486517012279446</v>
      </c>
      <c r="F249" s="209">
        <v>14.254232776822787</v>
      </c>
      <c r="G249" s="209">
        <v>6.8872589048440478</v>
      </c>
      <c r="H249" s="209">
        <v>8.389206698758322</v>
      </c>
      <c r="I249" s="209">
        <v>8.9096789179820135</v>
      </c>
      <c r="J249" s="209">
        <v>10.316407171197802</v>
      </c>
      <c r="K249" s="209">
        <v>11.923815531857805</v>
      </c>
      <c r="L249" s="202">
        <v>17.945205506619647</v>
      </c>
      <c r="M249" s="209">
        <v>16.365042678237014</v>
      </c>
      <c r="N249" s="209">
        <v>13.293138862587913</v>
      </c>
      <c r="O249" s="209">
        <v>23.420458613972517</v>
      </c>
      <c r="P249" s="209">
        <v>24.984731593682781</v>
      </c>
      <c r="Q249" s="209">
        <v>16.790624279438806</v>
      </c>
      <c r="R249" s="209">
        <v>17.914461386484312</v>
      </c>
      <c r="S249" s="209">
        <v>19.610726473520863</v>
      </c>
      <c r="T249" s="209">
        <v>17.387938975906017</v>
      </c>
      <c r="U249" s="209">
        <v>18.408571714075471</v>
      </c>
      <c r="V249" s="209">
        <v>13.867717397343101</v>
      </c>
      <c r="W249" s="209">
        <v>12.993665062287654</v>
      </c>
      <c r="X249" s="202">
        <v>7.9768651258717078</v>
      </c>
      <c r="Y249" s="208">
        <v>9.09522793246677</v>
      </c>
      <c r="Z249" s="209">
        <v>10.60593155893536</v>
      </c>
      <c r="AA249" s="209">
        <v>9.388627943900504</v>
      </c>
      <c r="AB249" s="209">
        <v>9.9265385867795501</v>
      </c>
      <c r="AC249" s="209">
        <v>3.8673537234042552</v>
      </c>
      <c r="AD249" s="202">
        <v>14.063395644733575</v>
      </c>
      <c r="AE249" s="210" t="s">
        <v>213</v>
      </c>
    </row>
    <row r="250" spans="1:31" ht="10.5" hidden="1" customHeight="1">
      <c r="A250" s="213"/>
      <c r="B250" s="390">
        <v>40548</v>
      </c>
      <c r="C250" s="208"/>
      <c r="D250" s="209"/>
      <c r="E250" s="209"/>
      <c r="F250" s="209"/>
      <c r="G250" s="209"/>
      <c r="H250" s="209"/>
      <c r="I250" s="209"/>
      <c r="J250" s="209"/>
      <c r="K250" s="209"/>
      <c r="L250" s="202"/>
      <c r="M250" s="209"/>
      <c r="N250" s="209"/>
      <c r="O250" s="209"/>
      <c r="P250" s="209"/>
      <c r="Q250" s="209"/>
      <c r="R250" s="209"/>
      <c r="S250" s="209"/>
      <c r="T250" s="209"/>
      <c r="U250" s="209"/>
      <c r="V250" s="209"/>
      <c r="W250" s="209"/>
      <c r="X250" s="202"/>
      <c r="Y250" s="208"/>
      <c r="Z250" s="209"/>
      <c r="AA250" s="209"/>
      <c r="AB250" s="209"/>
      <c r="AC250" s="209"/>
      <c r="AD250" s="202"/>
      <c r="AE250" s="397">
        <f>+B250</f>
        <v>40548</v>
      </c>
    </row>
    <row r="251" spans="1:31" ht="12" hidden="1" customHeight="1">
      <c r="A251" s="213"/>
      <c r="B251" s="389" t="s">
        <v>187</v>
      </c>
      <c r="C251" s="208">
        <v>10.959688991472451</v>
      </c>
      <c r="D251" s="209">
        <v>6.3523993801626322</v>
      </c>
      <c r="E251" s="209">
        <v>11.660048420574828</v>
      </c>
      <c r="F251" s="209">
        <v>10.35886169639342</v>
      </c>
      <c r="G251" s="209">
        <v>5.2249257968424416</v>
      </c>
      <c r="H251" s="209">
        <v>7.9679301104049287</v>
      </c>
      <c r="I251" s="209">
        <v>7.9565393483738474</v>
      </c>
      <c r="J251" s="209">
        <v>10.679151165114765</v>
      </c>
      <c r="K251" s="209">
        <v>12.412523133665163</v>
      </c>
      <c r="L251" s="202">
        <v>12.813082546579093</v>
      </c>
      <c r="M251" s="209">
        <v>16.540886222281376</v>
      </c>
      <c r="N251" s="209">
        <v>14.61445734554359</v>
      </c>
      <c r="O251" s="209">
        <v>19.762631299563775</v>
      </c>
      <c r="P251" s="209">
        <v>13.094434533057806</v>
      </c>
      <c r="Q251" s="209">
        <v>17.27365506795201</v>
      </c>
      <c r="R251" s="209">
        <v>18.375520845152916</v>
      </c>
      <c r="S251" s="209">
        <v>14.823220823148079</v>
      </c>
      <c r="T251" s="209">
        <v>19.308480341945558</v>
      </c>
      <c r="U251" s="209">
        <v>18.007817326843689</v>
      </c>
      <c r="V251" s="209">
        <v>13.239765368874668</v>
      </c>
      <c r="W251" s="209">
        <v>11.740134429276177</v>
      </c>
      <c r="X251" s="202">
        <v>8.2538930968356485</v>
      </c>
      <c r="Y251" s="208">
        <v>10.955032749994034</v>
      </c>
      <c r="Z251" s="209">
        <v>14.5</v>
      </c>
      <c r="AA251" s="209">
        <v>9.4067862266857976</v>
      </c>
      <c r="AB251" s="209">
        <v>9.7754299754299758</v>
      </c>
      <c r="AC251" s="209">
        <v>10.733140363443036</v>
      </c>
      <c r="AD251" s="202">
        <v>13.934474206349208</v>
      </c>
      <c r="AE251" s="210" t="s">
        <v>356</v>
      </c>
    </row>
    <row r="252" spans="1:31" ht="12" hidden="1" customHeight="1" thickBot="1">
      <c r="A252" s="220"/>
      <c r="B252" s="389" t="s">
        <v>357</v>
      </c>
      <c r="C252" s="208">
        <v>11.196832365796132</v>
      </c>
      <c r="D252" s="209">
        <v>9.0331255904485221</v>
      </c>
      <c r="E252" s="209">
        <v>11.293357126387447</v>
      </c>
      <c r="F252" s="209">
        <v>13.619197155386749</v>
      </c>
      <c r="G252" s="209">
        <v>4.787706738525582</v>
      </c>
      <c r="H252" s="209">
        <v>8.0366325408755852</v>
      </c>
      <c r="I252" s="209">
        <v>7.8909223999063025</v>
      </c>
      <c r="J252" s="209">
        <v>11.026604555854062</v>
      </c>
      <c r="K252" s="209">
        <v>11.79856147881506</v>
      </c>
      <c r="L252" s="202">
        <v>15.922087606738915</v>
      </c>
      <c r="M252" s="209">
        <v>16.549109263255652</v>
      </c>
      <c r="N252" s="209">
        <v>13.243881127695971</v>
      </c>
      <c r="O252" s="209">
        <v>23.904394540053062</v>
      </c>
      <c r="P252" s="209">
        <v>24.370251530914711</v>
      </c>
      <c r="Q252" s="209">
        <v>18.130503673356607</v>
      </c>
      <c r="R252" s="209">
        <v>15.521201429388199</v>
      </c>
      <c r="S252" s="209">
        <v>19.302135511194265</v>
      </c>
      <c r="T252" s="209">
        <v>17.69518437627924</v>
      </c>
      <c r="U252" s="209">
        <v>18.703030168027194</v>
      </c>
      <c r="V252" s="209">
        <v>14.091534855218503</v>
      </c>
      <c r="W252" s="209">
        <v>13.11127770041495</v>
      </c>
      <c r="X252" s="202">
        <v>7.9235252202941515</v>
      </c>
      <c r="Y252" s="208">
        <v>9.434989704119646</v>
      </c>
      <c r="Z252" s="209">
        <v>7.7060389688974951</v>
      </c>
      <c r="AA252" s="209">
        <v>13.876496384970961</v>
      </c>
      <c r="AB252" s="209">
        <v>10.825208868894602</v>
      </c>
      <c r="AC252" s="209">
        <v>3.3902547238751439</v>
      </c>
      <c r="AD252" s="202">
        <v>14.061087083117954</v>
      </c>
      <c r="AE252" s="210" t="s">
        <v>213</v>
      </c>
    </row>
    <row r="253" spans="1:31" ht="10.5" hidden="1" customHeight="1">
      <c r="A253" s="213"/>
      <c r="B253" s="390">
        <v>40549</v>
      </c>
      <c r="C253" s="208"/>
      <c r="D253" s="209"/>
      <c r="E253" s="209"/>
      <c r="F253" s="209"/>
      <c r="G253" s="209"/>
      <c r="H253" s="209"/>
      <c r="I253" s="209"/>
      <c r="J253" s="209"/>
      <c r="K253" s="209"/>
      <c r="L253" s="202"/>
      <c r="M253" s="209"/>
      <c r="N253" s="209"/>
      <c r="O253" s="209"/>
      <c r="P253" s="209"/>
      <c r="Q253" s="209"/>
      <c r="R253" s="209"/>
      <c r="S253" s="209"/>
      <c r="T253" s="209"/>
      <c r="U253" s="209"/>
      <c r="V253" s="209"/>
      <c r="W253" s="209"/>
      <c r="X253" s="202"/>
      <c r="Y253" s="208"/>
      <c r="Z253" s="209"/>
      <c r="AA253" s="209"/>
      <c r="AB253" s="209"/>
      <c r="AC253" s="209"/>
      <c r="AD253" s="202"/>
      <c r="AE253" s="397">
        <f>+B253</f>
        <v>40549</v>
      </c>
    </row>
    <row r="254" spans="1:31" ht="12" hidden="1" customHeight="1">
      <c r="A254" s="213"/>
      <c r="B254" s="389" t="s">
        <v>187</v>
      </c>
      <c r="C254" s="208">
        <v>10.981540321348685</v>
      </c>
      <c r="D254" s="209">
        <v>6.243134558379519</v>
      </c>
      <c r="E254" s="209">
        <v>11.661417336013049</v>
      </c>
      <c r="F254" s="209">
        <v>10.217463425994538</v>
      </c>
      <c r="G254" s="209">
        <v>5.4013743802050733</v>
      </c>
      <c r="H254" s="209">
        <v>7.3258837096008342</v>
      </c>
      <c r="I254" s="209">
        <v>7.8453014025036234</v>
      </c>
      <c r="J254" s="209">
        <v>10.768190342117936</v>
      </c>
      <c r="K254" s="209">
        <v>12.510364653956483</v>
      </c>
      <c r="L254" s="202">
        <v>12.418683857162542</v>
      </c>
      <c r="M254" s="209">
        <v>16.497870378663549</v>
      </c>
      <c r="N254" s="209">
        <v>14.472513939719979</v>
      </c>
      <c r="O254" s="209">
        <v>19.861054004990901</v>
      </c>
      <c r="P254" s="209">
        <v>13.006497184941606</v>
      </c>
      <c r="Q254" s="209">
        <v>16.258098615146864</v>
      </c>
      <c r="R254" s="209">
        <v>17.766157850974999</v>
      </c>
      <c r="S254" s="209">
        <v>15.066130204240855</v>
      </c>
      <c r="T254" s="209">
        <v>19.04895280970257</v>
      </c>
      <c r="U254" s="209">
        <v>18.381402361879832</v>
      </c>
      <c r="V254" s="209">
        <v>12.805813902395164</v>
      </c>
      <c r="W254" s="209">
        <v>11.971450493187062</v>
      </c>
      <c r="X254" s="202">
        <v>8.251803425457803</v>
      </c>
      <c r="Y254" s="208">
        <v>10.823332463585734</v>
      </c>
      <c r="Z254" s="209">
        <v>11</v>
      </c>
      <c r="AA254" s="209">
        <v>8.085259298972657</v>
      </c>
      <c r="AB254" s="209">
        <v>11.047508690614137</v>
      </c>
      <c r="AC254" s="209">
        <v>10.935378438347481</v>
      </c>
      <c r="AD254" s="202">
        <v>13.434026107866712</v>
      </c>
      <c r="AE254" s="210" t="s">
        <v>356</v>
      </c>
    </row>
    <row r="255" spans="1:31" ht="12" hidden="1" customHeight="1" thickBot="1">
      <c r="A255" s="220"/>
      <c r="B255" s="389" t="s">
        <v>357</v>
      </c>
      <c r="C255" s="208">
        <v>11.346171687087807</v>
      </c>
      <c r="D255" s="209">
        <v>7.8812327661529062</v>
      </c>
      <c r="E255" s="209">
        <v>11.496084570220887</v>
      </c>
      <c r="F255" s="209">
        <v>12.72626505295465</v>
      </c>
      <c r="G255" s="209">
        <v>3.6712248456187204</v>
      </c>
      <c r="H255" s="209">
        <v>7.9139353760124509</v>
      </c>
      <c r="I255" s="209">
        <v>8.7994814039462241</v>
      </c>
      <c r="J255" s="209">
        <v>10.926761898186024</v>
      </c>
      <c r="K255" s="209">
        <v>12.199262202728141</v>
      </c>
      <c r="L255" s="202">
        <v>15.839783505186437</v>
      </c>
      <c r="M255" s="209">
        <v>16.48007265532291</v>
      </c>
      <c r="N255" s="209">
        <v>13.442416092867759</v>
      </c>
      <c r="O255" s="209">
        <v>23.773637687769241</v>
      </c>
      <c r="P255" s="209">
        <v>24.930347224367488</v>
      </c>
      <c r="Q255" s="209">
        <v>17.364576102898493</v>
      </c>
      <c r="R255" s="209">
        <v>15.682051457054785</v>
      </c>
      <c r="S255" s="209">
        <v>19.924887516972579</v>
      </c>
      <c r="T255" s="209">
        <v>17.562095360500674</v>
      </c>
      <c r="U255" s="209">
        <v>18.712148058676654</v>
      </c>
      <c r="V255" s="209">
        <v>14.194209139584055</v>
      </c>
      <c r="W255" s="209">
        <v>13.301448354286794</v>
      </c>
      <c r="X255" s="202">
        <v>8.0366836037469547</v>
      </c>
      <c r="Y255" s="208">
        <v>9.2449133677021305</v>
      </c>
      <c r="Z255" s="209">
        <v>9.0975782395469924</v>
      </c>
      <c r="AA255" s="209">
        <v>13.165499827843453</v>
      </c>
      <c r="AB255" s="209">
        <v>10.466700227467651</v>
      </c>
      <c r="AC255" s="209">
        <v>2.2178426217260752</v>
      </c>
      <c r="AD255" s="202">
        <v>13.672388541356369</v>
      </c>
      <c r="AE255" s="210" t="s">
        <v>213</v>
      </c>
    </row>
    <row r="256" spans="1:31" ht="10.5" hidden="1" customHeight="1">
      <c r="A256" s="213"/>
      <c r="B256" s="390">
        <v>40550</v>
      </c>
      <c r="C256" s="208"/>
      <c r="D256" s="209"/>
      <c r="E256" s="209"/>
      <c r="F256" s="209"/>
      <c r="G256" s="209"/>
      <c r="H256" s="209"/>
      <c r="I256" s="209"/>
      <c r="J256" s="209"/>
      <c r="K256" s="209"/>
      <c r="L256" s="202"/>
      <c r="M256" s="209"/>
      <c r="N256" s="209"/>
      <c r="O256" s="209"/>
      <c r="P256" s="209"/>
      <c r="Q256" s="209"/>
      <c r="R256" s="209"/>
      <c r="S256" s="209"/>
      <c r="T256" s="209"/>
      <c r="U256" s="209"/>
      <c r="V256" s="209"/>
      <c r="W256" s="209"/>
      <c r="X256" s="202"/>
      <c r="Y256" s="208"/>
      <c r="Z256" s="209"/>
      <c r="AA256" s="209"/>
      <c r="AB256" s="209"/>
      <c r="AC256" s="209"/>
      <c r="AD256" s="202"/>
      <c r="AE256" s="397">
        <f>+B256</f>
        <v>40550</v>
      </c>
    </row>
    <row r="257" spans="1:31" ht="12" hidden="1" customHeight="1">
      <c r="A257" s="213"/>
      <c r="B257" s="389" t="s">
        <v>187</v>
      </c>
      <c r="C257" s="208">
        <v>10.652280728578809</v>
      </c>
      <c r="D257" s="209">
        <v>5.952886247027406</v>
      </c>
      <c r="E257" s="209">
        <v>11.41764144314357</v>
      </c>
      <c r="F257" s="209">
        <v>5.5399120296458619</v>
      </c>
      <c r="G257" s="209">
        <v>4.5909616849759072</v>
      </c>
      <c r="H257" s="209">
        <v>6.9779677397125806</v>
      </c>
      <c r="I257" s="209">
        <v>7.2543602303600547</v>
      </c>
      <c r="J257" s="209">
        <v>10.726409054541088</v>
      </c>
      <c r="K257" s="209">
        <v>12.189886942190173</v>
      </c>
      <c r="L257" s="202">
        <v>12.051685969510272</v>
      </c>
      <c r="M257" s="209">
        <v>16.385000049473145</v>
      </c>
      <c r="N257" s="209">
        <v>14.433786995234053</v>
      </c>
      <c r="O257" s="209">
        <v>19.606404725423459</v>
      </c>
      <c r="P257" s="209">
        <v>11.78053080252548</v>
      </c>
      <c r="Q257" s="209">
        <v>16.350201858291882</v>
      </c>
      <c r="R257" s="209">
        <v>17.350278827986845</v>
      </c>
      <c r="S257" s="209">
        <v>14.973349036480267</v>
      </c>
      <c r="T257" s="209">
        <v>19.167738936630432</v>
      </c>
      <c r="U257" s="209">
        <v>18.133750057501469</v>
      </c>
      <c r="V257" s="209">
        <v>12.522147928572288</v>
      </c>
      <c r="W257" s="209">
        <v>12.215833281027667</v>
      </c>
      <c r="X257" s="202">
        <v>8.0522461040133724</v>
      </c>
      <c r="Y257" s="208">
        <v>11.876123046384791</v>
      </c>
      <c r="Z257" s="209">
        <v>16</v>
      </c>
      <c r="AA257" s="209">
        <v>14.164578111946533</v>
      </c>
      <c r="AB257" s="209">
        <v>11.206372194062274</v>
      </c>
      <c r="AC257" s="209">
        <v>11.081856432487568</v>
      </c>
      <c r="AD257" s="202">
        <v>14.185026457340271</v>
      </c>
      <c r="AE257" s="210" t="s">
        <v>356</v>
      </c>
    </row>
    <row r="258" spans="1:31" ht="12" hidden="1" customHeight="1" thickBot="1">
      <c r="A258" s="220"/>
      <c r="B258" s="389" t="s">
        <v>357</v>
      </c>
      <c r="C258" s="208">
        <v>11.002126460939801</v>
      </c>
      <c r="D258" s="209">
        <v>8.1387277666819369</v>
      </c>
      <c r="E258" s="209">
        <v>11.148916828886813</v>
      </c>
      <c r="F258" s="209">
        <v>13.182406707576931</v>
      </c>
      <c r="G258" s="209">
        <v>3.25874223076667</v>
      </c>
      <c r="H258" s="209">
        <v>8.0324253487412314</v>
      </c>
      <c r="I258" s="209">
        <v>8.3463221306655644</v>
      </c>
      <c r="J258" s="209">
        <v>10.897184088555594</v>
      </c>
      <c r="K258" s="209">
        <v>11.710490413278301</v>
      </c>
      <c r="L258" s="202">
        <v>15.888497040808033</v>
      </c>
      <c r="M258" s="209">
        <v>16.677382293410862</v>
      </c>
      <c r="N258" s="209">
        <v>13.575424627270646</v>
      </c>
      <c r="O258" s="209">
        <v>23.543416925816441</v>
      </c>
      <c r="P258" s="209">
        <v>22.541109268572551</v>
      </c>
      <c r="Q258" s="209">
        <v>16.750466265033815</v>
      </c>
      <c r="R258" s="209">
        <v>17.593597061783388</v>
      </c>
      <c r="S258" s="209">
        <v>18.385242618235729</v>
      </c>
      <c r="T258" s="209">
        <v>18.088432441911479</v>
      </c>
      <c r="U258" s="209">
        <v>18.587597887297736</v>
      </c>
      <c r="V258" s="209">
        <v>14.492014586779385</v>
      </c>
      <c r="W258" s="209">
        <v>13.210095859450263</v>
      </c>
      <c r="X258" s="202">
        <v>7.2641891247925434</v>
      </c>
      <c r="Y258" s="208">
        <v>5.7337987171179954</v>
      </c>
      <c r="Z258" s="209">
        <v>1.0001332593003887</v>
      </c>
      <c r="AA258" s="209">
        <v>3.3455989964457453</v>
      </c>
      <c r="AB258" s="209">
        <v>5.4184258413470188</v>
      </c>
      <c r="AC258" s="209">
        <v>3.1793148364137886</v>
      </c>
      <c r="AD258" s="202">
        <v>13.666078090027357</v>
      </c>
      <c r="AE258" s="210" t="s">
        <v>213</v>
      </c>
    </row>
    <row r="259" spans="1:31" ht="10.5" hidden="1" customHeight="1">
      <c r="A259" s="213"/>
      <c r="B259" s="390">
        <v>40551</v>
      </c>
      <c r="C259" s="208"/>
      <c r="D259" s="209"/>
      <c r="E259" s="209"/>
      <c r="F259" s="209"/>
      <c r="G259" s="209"/>
      <c r="H259" s="209"/>
      <c r="I259" s="209"/>
      <c r="J259" s="209"/>
      <c r="K259" s="209"/>
      <c r="L259" s="202"/>
      <c r="M259" s="209"/>
      <c r="N259" s="209"/>
      <c r="O259" s="209"/>
      <c r="P259" s="209"/>
      <c r="Q259" s="209"/>
      <c r="R259" s="209"/>
      <c r="S259" s="209"/>
      <c r="T259" s="209"/>
      <c r="U259" s="209"/>
      <c r="V259" s="209"/>
      <c r="W259" s="209"/>
      <c r="X259" s="202"/>
      <c r="Y259" s="208"/>
      <c r="Z259" s="209"/>
      <c r="AA259" s="209"/>
      <c r="AB259" s="209"/>
      <c r="AC259" s="209"/>
      <c r="AD259" s="202"/>
      <c r="AE259" s="397">
        <f>+B259</f>
        <v>40551</v>
      </c>
    </row>
    <row r="260" spans="1:31" ht="12" hidden="1" customHeight="1">
      <c r="A260" s="213"/>
      <c r="B260" s="389" t="s">
        <v>187</v>
      </c>
      <c r="C260" s="208">
        <v>10.691077237465445</v>
      </c>
      <c r="D260" s="209">
        <v>5.6476059822146913</v>
      </c>
      <c r="E260" s="209">
        <v>11.418209840656967</v>
      </c>
      <c r="F260" s="209">
        <v>8.2948400053554696</v>
      </c>
      <c r="G260" s="209">
        <v>5.3888661291229782</v>
      </c>
      <c r="H260" s="209">
        <v>6.2996068981766227</v>
      </c>
      <c r="I260" s="209">
        <v>6.8890834944417589</v>
      </c>
      <c r="J260" s="209">
        <v>10.693627818709244</v>
      </c>
      <c r="K260" s="209">
        <v>12.288918799403117</v>
      </c>
      <c r="L260" s="202">
        <v>10.282398949181424</v>
      </c>
      <c r="M260" s="209">
        <v>16.3955203624935</v>
      </c>
      <c r="N260" s="209">
        <v>14.410742663328506</v>
      </c>
      <c r="O260" s="209">
        <v>19.654463988315165</v>
      </c>
      <c r="P260" s="209">
        <v>14.605959689728735</v>
      </c>
      <c r="Q260" s="209">
        <v>17.133344580073</v>
      </c>
      <c r="R260" s="209">
        <v>16.992045143580299</v>
      </c>
      <c r="S260" s="209">
        <v>14.80332585959351</v>
      </c>
      <c r="T260" s="209">
        <v>18.81825934615474</v>
      </c>
      <c r="U260" s="209">
        <v>18.269551724369464</v>
      </c>
      <c r="V260" s="209">
        <v>12.735224327399811</v>
      </c>
      <c r="W260" s="209">
        <v>11.975368206818358</v>
      </c>
      <c r="X260" s="202">
        <v>8.350392820941785</v>
      </c>
      <c r="Y260" s="208">
        <v>10.722193253954966</v>
      </c>
      <c r="Z260" s="209">
        <v>8.7800015544846897</v>
      </c>
      <c r="AA260" s="209">
        <v>11.558170222124478</v>
      </c>
      <c r="AB260" s="209">
        <v>9.0500000000000007</v>
      </c>
      <c r="AC260" s="209">
        <v>10.765506697728597</v>
      </c>
      <c r="AD260" s="202">
        <v>14.176193901035672</v>
      </c>
      <c r="AE260" s="210" t="s">
        <v>356</v>
      </c>
    </row>
    <row r="261" spans="1:31" ht="12" hidden="1" customHeight="1" thickBot="1">
      <c r="A261" s="220"/>
      <c r="B261" s="389" t="s">
        <v>357</v>
      </c>
      <c r="C261" s="208">
        <v>11.158039043902226</v>
      </c>
      <c r="D261" s="209">
        <v>7.4578437236393968</v>
      </c>
      <c r="E261" s="209">
        <v>11.2793423965075</v>
      </c>
      <c r="F261" s="209">
        <v>12.486014447285447</v>
      </c>
      <c r="G261" s="209">
        <v>6.9037641491503905</v>
      </c>
      <c r="H261" s="209">
        <v>7.8676995977619466</v>
      </c>
      <c r="I261" s="209">
        <v>8.3754235871971918</v>
      </c>
      <c r="J261" s="209">
        <v>10.668277601238517</v>
      </c>
      <c r="K261" s="209">
        <v>11.750456142113922</v>
      </c>
      <c r="L261" s="202">
        <v>16.571470564452333</v>
      </c>
      <c r="M261" s="209">
        <v>16.423578185724526</v>
      </c>
      <c r="N261" s="209">
        <v>13.669559233529778</v>
      </c>
      <c r="O261" s="209">
        <v>23.08688615551436</v>
      </c>
      <c r="P261" s="209">
        <v>24.147489290040483</v>
      </c>
      <c r="Q261" s="209">
        <v>15.905817017148069</v>
      </c>
      <c r="R261" s="209">
        <v>17.590173398712121</v>
      </c>
      <c r="S261" s="209">
        <v>18.121880264525089</v>
      </c>
      <c r="T261" s="209">
        <v>17.453242193642723</v>
      </c>
      <c r="U261" s="209">
        <v>18.437702252814784</v>
      </c>
      <c r="V261" s="209">
        <v>14.35196198924341</v>
      </c>
      <c r="W261" s="209">
        <v>13.178629580280598</v>
      </c>
      <c r="X261" s="202">
        <v>7.4113889876585697</v>
      </c>
      <c r="Y261" s="208">
        <v>5.4445772796542666</v>
      </c>
      <c r="Z261" s="209">
        <v>0.20929425804123997</v>
      </c>
      <c r="AA261" s="209">
        <v>4.2623216399775687</v>
      </c>
      <c r="AB261" s="209">
        <v>4.7780713015998417</v>
      </c>
      <c r="AC261" s="209">
        <v>2.2298688576102328</v>
      </c>
      <c r="AD261" s="202">
        <v>14.168596849776016</v>
      </c>
      <c r="AE261" s="210" t="s">
        <v>213</v>
      </c>
    </row>
    <row r="262" spans="1:31" ht="10.5" hidden="1" customHeight="1">
      <c r="A262" s="213"/>
      <c r="B262" s="390">
        <v>40552</v>
      </c>
      <c r="C262" s="208"/>
      <c r="D262" s="209"/>
      <c r="E262" s="209"/>
      <c r="F262" s="209"/>
      <c r="G262" s="209"/>
      <c r="H262" s="209"/>
      <c r="I262" s="209"/>
      <c r="J262" s="209"/>
      <c r="K262" s="209"/>
      <c r="L262" s="202"/>
      <c r="M262" s="209"/>
      <c r="N262" s="209"/>
      <c r="O262" s="209"/>
      <c r="P262" s="209"/>
      <c r="Q262" s="209"/>
      <c r="R262" s="209"/>
      <c r="S262" s="209"/>
      <c r="T262" s="209"/>
      <c r="U262" s="209"/>
      <c r="V262" s="209"/>
      <c r="W262" s="209"/>
      <c r="X262" s="202"/>
      <c r="Y262" s="208"/>
      <c r="Z262" s="209"/>
      <c r="AA262" s="209"/>
      <c r="AB262" s="209"/>
      <c r="AC262" s="209"/>
      <c r="AD262" s="202"/>
      <c r="AE262" s="397">
        <f>+B262</f>
        <v>40552</v>
      </c>
    </row>
    <row r="263" spans="1:31" ht="12" hidden="1" customHeight="1">
      <c r="A263" s="213"/>
      <c r="B263" s="389" t="s">
        <v>187</v>
      </c>
      <c r="C263" s="208">
        <v>10.672588734845309</v>
      </c>
      <c r="D263" s="209">
        <v>6.002107092367325</v>
      </c>
      <c r="E263" s="209">
        <v>11.338672615214165</v>
      </c>
      <c r="F263" s="209">
        <v>8.6809776638593927</v>
      </c>
      <c r="G263" s="209">
        <v>4.5532912300979218</v>
      </c>
      <c r="H263" s="209">
        <v>6.7500725716684391</v>
      </c>
      <c r="I263" s="209">
        <v>6.1116299123325293</v>
      </c>
      <c r="J263" s="209">
        <v>10.732942697350717</v>
      </c>
      <c r="K263" s="209">
        <v>12.204895009970418</v>
      </c>
      <c r="L263" s="202">
        <v>10.913020491091322</v>
      </c>
      <c r="M263" s="209">
        <v>16.186950927827066</v>
      </c>
      <c r="N263" s="209">
        <v>14.29588854956431</v>
      </c>
      <c r="O263" s="209">
        <v>19.298024504250069</v>
      </c>
      <c r="P263" s="209">
        <v>15.425907806833919</v>
      </c>
      <c r="Q263" s="209">
        <v>17.43424891001272</v>
      </c>
      <c r="R263" s="209">
        <v>16.846668349318527</v>
      </c>
      <c r="S263" s="209">
        <v>14.842332726024139</v>
      </c>
      <c r="T263" s="209">
        <v>18.721307392616442</v>
      </c>
      <c r="U263" s="209">
        <v>17.994206241504109</v>
      </c>
      <c r="V263" s="209">
        <v>12.584105730956804</v>
      </c>
      <c r="W263" s="209">
        <v>11.396626324289507</v>
      </c>
      <c r="X263" s="202">
        <v>8.0515416489192333</v>
      </c>
      <c r="Y263" s="208">
        <v>10.352441329343202</v>
      </c>
      <c r="Z263" s="209">
        <v>6.8804925832633641</v>
      </c>
      <c r="AA263" s="209">
        <v>11.998377501352083</v>
      </c>
      <c r="AB263" s="209">
        <v>8.7073684210526316</v>
      </c>
      <c r="AC263" s="209">
        <v>10.801550387596899</v>
      </c>
      <c r="AD263" s="202">
        <v>14.187180200222469</v>
      </c>
      <c r="AE263" s="210" t="s">
        <v>356</v>
      </c>
    </row>
    <row r="264" spans="1:31" ht="12" hidden="1" customHeight="1" thickBot="1">
      <c r="A264" s="220"/>
      <c r="B264" s="389" t="s">
        <v>357</v>
      </c>
      <c r="C264" s="208">
        <v>11.260888688259454</v>
      </c>
      <c r="D264" s="209">
        <v>7.4268919531707231</v>
      </c>
      <c r="E264" s="209">
        <v>11.385530177908894</v>
      </c>
      <c r="F264" s="209">
        <v>11.939928480757919</v>
      </c>
      <c r="G264" s="209">
        <v>5.790336277976472</v>
      </c>
      <c r="H264" s="209">
        <v>7.7844632995466938</v>
      </c>
      <c r="I264" s="209">
        <v>8.8385927353489677</v>
      </c>
      <c r="J264" s="209">
        <v>11.187976636004505</v>
      </c>
      <c r="K264" s="209">
        <v>11.81648575753602</v>
      </c>
      <c r="L264" s="202">
        <v>15.876008532247255</v>
      </c>
      <c r="M264" s="209">
        <v>16.415542063146386</v>
      </c>
      <c r="N264" s="209">
        <v>13.873293754523912</v>
      </c>
      <c r="O264" s="209">
        <v>23.013821509723766</v>
      </c>
      <c r="P264" s="209">
        <v>23.113221024562055</v>
      </c>
      <c r="Q264" s="209">
        <v>16.003331927096699</v>
      </c>
      <c r="R264" s="209">
        <v>17.809605980317777</v>
      </c>
      <c r="S264" s="209">
        <v>17.435773507377661</v>
      </c>
      <c r="T264" s="209">
        <v>17.324368612643788</v>
      </c>
      <c r="U264" s="209">
        <v>18.491863572271726</v>
      </c>
      <c r="V264" s="209">
        <v>15.028486507979895</v>
      </c>
      <c r="W264" s="209">
        <v>13.24913161337123</v>
      </c>
      <c r="X264" s="202">
        <v>7.392280642546563</v>
      </c>
      <c r="Y264" s="208">
        <v>7.8228396893466332</v>
      </c>
      <c r="Z264" s="209">
        <v>2.5546187683284458</v>
      </c>
      <c r="AA264" s="209">
        <v>12.909090909090908</v>
      </c>
      <c r="AB264" s="209">
        <v>9.4389502268329561</v>
      </c>
      <c r="AC264" s="209">
        <v>2.2238456535876869</v>
      </c>
      <c r="AD264" s="202">
        <v>14.168375633120457</v>
      </c>
      <c r="AE264" s="210" t="s">
        <v>213</v>
      </c>
    </row>
    <row r="265" spans="1:31" ht="10.5" hidden="1" customHeight="1">
      <c r="A265" s="213"/>
      <c r="B265" s="390">
        <v>40553</v>
      </c>
      <c r="C265" s="208"/>
      <c r="D265" s="209"/>
      <c r="E265" s="209"/>
      <c r="F265" s="209"/>
      <c r="G265" s="209"/>
      <c r="H265" s="209"/>
      <c r="I265" s="209"/>
      <c r="J265" s="209"/>
      <c r="K265" s="209"/>
      <c r="L265" s="202"/>
      <c r="M265" s="209"/>
      <c r="N265" s="209"/>
      <c r="O265" s="209"/>
      <c r="P265" s="209"/>
      <c r="Q265" s="209"/>
      <c r="R265" s="209"/>
      <c r="S265" s="209"/>
      <c r="T265" s="209"/>
      <c r="U265" s="209"/>
      <c r="V265" s="209"/>
      <c r="W265" s="209"/>
      <c r="X265" s="202"/>
      <c r="Y265" s="208"/>
      <c r="Z265" s="209"/>
      <c r="AA265" s="209"/>
      <c r="AB265" s="209"/>
      <c r="AC265" s="209"/>
      <c r="AD265" s="202"/>
      <c r="AE265" s="397">
        <f>+B265</f>
        <v>40553</v>
      </c>
    </row>
    <row r="266" spans="1:31" ht="12" hidden="1" customHeight="1">
      <c r="A266" s="213"/>
      <c r="B266" s="389" t="s">
        <v>187</v>
      </c>
      <c r="C266" s="208">
        <v>10.781809905282525</v>
      </c>
      <c r="D266" s="209">
        <v>6.1889599173309326</v>
      </c>
      <c r="E266" s="209">
        <v>11.376597264468083</v>
      </c>
      <c r="F266" s="209">
        <v>7.5518506898354865</v>
      </c>
      <c r="G266" s="209">
        <v>5.1408485271335396</v>
      </c>
      <c r="H266" s="209">
        <v>7.249091666618777</v>
      </c>
      <c r="I266" s="209">
        <v>6.1554411031518246</v>
      </c>
      <c r="J266" s="209">
        <v>10.742884376085126</v>
      </c>
      <c r="K266" s="209">
        <v>12.179425875435131</v>
      </c>
      <c r="L266" s="202">
        <v>11.726880236134896</v>
      </c>
      <c r="M266" s="209">
        <v>16.07281516172721</v>
      </c>
      <c r="N266" s="209">
        <v>14.423567087656521</v>
      </c>
      <c r="O266" s="209">
        <v>18.773188524415129</v>
      </c>
      <c r="P266" s="209">
        <v>12.756894093810647</v>
      </c>
      <c r="Q266" s="209">
        <v>16.072742333103246</v>
      </c>
      <c r="R266" s="209">
        <v>17.056908746764481</v>
      </c>
      <c r="S266" s="209">
        <v>14.680128317024169</v>
      </c>
      <c r="T266" s="209">
        <v>18.590260211534357</v>
      </c>
      <c r="U266" s="209">
        <v>18.074885527685492</v>
      </c>
      <c r="V266" s="209">
        <v>12.702073636530596</v>
      </c>
      <c r="W266" s="209">
        <v>11.759249582649309</v>
      </c>
      <c r="X266" s="202">
        <v>7.9913779794679876</v>
      </c>
      <c r="Y266" s="208">
        <v>9.6101490870278123</v>
      </c>
      <c r="Z266" s="209">
        <v>10.088235294117647</v>
      </c>
      <c r="AA266" s="209">
        <v>8.0591674550614947</v>
      </c>
      <c r="AB266" s="209">
        <v>8.5312169312169317</v>
      </c>
      <c r="AC266" s="209">
        <v>10.963678160919541</v>
      </c>
      <c r="AD266" s="202">
        <v>10.99694094004689</v>
      </c>
      <c r="AE266" s="210" t="s">
        <v>356</v>
      </c>
    </row>
    <row r="267" spans="1:31" ht="12" hidden="1" customHeight="1" thickBot="1">
      <c r="A267" s="220"/>
      <c r="B267" s="389" t="s">
        <v>357</v>
      </c>
      <c r="C267" s="208">
        <v>11.457300337144005</v>
      </c>
      <c r="D267" s="209">
        <v>8.0369622123414821</v>
      </c>
      <c r="E267" s="209">
        <v>11.588831892164311</v>
      </c>
      <c r="F267" s="209">
        <v>13.61401647820996</v>
      </c>
      <c r="G267" s="209">
        <v>4.6433183604716453</v>
      </c>
      <c r="H267" s="209">
        <v>8.0498936968216217</v>
      </c>
      <c r="I267" s="209">
        <v>7.3085795900078416</v>
      </c>
      <c r="J267" s="209">
        <v>10.867621971862974</v>
      </c>
      <c r="K267" s="209">
        <v>12.429199170960713</v>
      </c>
      <c r="L267" s="202">
        <v>16.379969717591017</v>
      </c>
      <c r="M267" s="209">
        <v>16.339857351368092</v>
      </c>
      <c r="N267" s="209">
        <v>13.909050317409928</v>
      </c>
      <c r="O267" s="209">
        <v>22.615941975585145</v>
      </c>
      <c r="P267" s="209">
        <v>24.027908451142803</v>
      </c>
      <c r="Q267" s="209">
        <v>16.821636757171429</v>
      </c>
      <c r="R267" s="209">
        <v>17.974148439187726</v>
      </c>
      <c r="S267" s="209">
        <v>18.555047321965034</v>
      </c>
      <c r="T267" s="209">
        <v>17.089285270747485</v>
      </c>
      <c r="U267" s="209">
        <v>18.420071286348641</v>
      </c>
      <c r="V267" s="209">
        <v>14.906628035942674</v>
      </c>
      <c r="W267" s="209">
        <v>13.672682956626264</v>
      </c>
      <c r="X267" s="202">
        <v>7.4007050690004554</v>
      </c>
      <c r="Y267" s="208">
        <v>6.7354781184605592</v>
      </c>
      <c r="Z267" s="209">
        <v>5.8568850819600851</v>
      </c>
      <c r="AA267" s="209">
        <v>12</v>
      </c>
      <c r="AB267" s="209">
        <v>9.9065885034116352</v>
      </c>
      <c r="AC267" s="209">
        <v>1.9645532244407617</v>
      </c>
      <c r="AD267" s="202">
        <v>14.169247703897355</v>
      </c>
      <c r="AE267" s="210" t="s">
        <v>213</v>
      </c>
    </row>
    <row r="268" spans="1:31" ht="10.5" hidden="1" customHeight="1">
      <c r="A268" s="213"/>
      <c r="B268" s="390">
        <v>40554</v>
      </c>
      <c r="C268" s="208"/>
      <c r="D268" s="209"/>
      <c r="E268" s="209"/>
      <c r="F268" s="209"/>
      <c r="G268" s="209"/>
      <c r="H268" s="209"/>
      <c r="I268" s="209"/>
      <c r="J268" s="209"/>
      <c r="K268" s="209"/>
      <c r="L268" s="202"/>
      <c r="M268" s="209"/>
      <c r="N268" s="209"/>
      <c r="O268" s="209"/>
      <c r="P268" s="209"/>
      <c r="Q268" s="209"/>
      <c r="R268" s="209"/>
      <c r="S268" s="209"/>
      <c r="T268" s="209"/>
      <c r="U268" s="209"/>
      <c r="V268" s="209"/>
      <c r="W268" s="209"/>
      <c r="X268" s="202"/>
      <c r="Y268" s="208"/>
      <c r="Z268" s="209"/>
      <c r="AA268" s="209"/>
      <c r="AB268" s="209"/>
      <c r="AC268" s="209"/>
      <c r="AD268" s="202"/>
      <c r="AE268" s="397">
        <f>+B268</f>
        <v>40554</v>
      </c>
    </row>
    <row r="269" spans="1:31" ht="12" hidden="1" customHeight="1">
      <c r="A269" s="213"/>
      <c r="B269" s="389" t="s">
        <v>187</v>
      </c>
      <c r="C269" s="208">
        <v>10.63593959892207</v>
      </c>
      <c r="D269" s="209">
        <v>6.0528144976018581</v>
      </c>
      <c r="E269" s="209">
        <v>11.21640361184954</v>
      </c>
      <c r="F269" s="209">
        <v>7.6690318027273516</v>
      </c>
      <c r="G269" s="209">
        <v>5.991518651757322</v>
      </c>
      <c r="H269" s="209">
        <v>7.5549176343009474</v>
      </c>
      <c r="I269" s="209">
        <v>6.1693204432295978</v>
      </c>
      <c r="J269" s="209">
        <v>10.649222314245625</v>
      </c>
      <c r="K269" s="209">
        <v>11.771276691306262</v>
      </c>
      <c r="L269" s="202">
        <v>12.106048149439818</v>
      </c>
      <c r="M269" s="209">
        <v>16.207579544429226</v>
      </c>
      <c r="N269" s="209">
        <v>14.368564616009802</v>
      </c>
      <c r="O269" s="209">
        <v>19.179001910175955</v>
      </c>
      <c r="P269" s="209">
        <v>16.558809470516554</v>
      </c>
      <c r="Q269" s="209">
        <v>16.079062991470586</v>
      </c>
      <c r="R269" s="209">
        <v>17.582792256393841</v>
      </c>
      <c r="S269" s="209">
        <v>14.763835041482706</v>
      </c>
      <c r="T269" s="209">
        <v>18.743235222751586</v>
      </c>
      <c r="U269" s="209">
        <v>17.98863277681361</v>
      </c>
      <c r="V269" s="209">
        <v>12.541034420631295</v>
      </c>
      <c r="W269" s="209">
        <v>11.985006555819769</v>
      </c>
      <c r="X269" s="202">
        <v>8.06</v>
      </c>
      <c r="Y269" s="208">
        <v>9.9116933689184972</v>
      </c>
      <c r="Z269" s="209">
        <v>8.7226890756302513</v>
      </c>
      <c r="AA269" s="209">
        <v>8.3791646122420236</v>
      </c>
      <c r="AB269" s="209">
        <v>10.468385449904275</v>
      </c>
      <c r="AC269" s="209">
        <v>10.700476190476191</v>
      </c>
      <c r="AD269" s="202">
        <v>11.134662553279629</v>
      </c>
      <c r="AE269" s="210" t="s">
        <v>356</v>
      </c>
    </row>
    <row r="270" spans="1:31" ht="12" hidden="1" customHeight="1" thickBot="1">
      <c r="A270" s="220"/>
      <c r="B270" s="389" t="s">
        <v>357</v>
      </c>
      <c r="C270" s="208">
        <v>11.195667908927541</v>
      </c>
      <c r="D270" s="209">
        <v>7.5255626229851842</v>
      </c>
      <c r="E270" s="209">
        <v>11.330273752398396</v>
      </c>
      <c r="F270" s="209">
        <v>14.534934829314873</v>
      </c>
      <c r="G270" s="209">
        <v>4.8505956247319064</v>
      </c>
      <c r="H270" s="209">
        <v>8.2075319953600729</v>
      </c>
      <c r="I270" s="209">
        <v>7.7118673347920232</v>
      </c>
      <c r="J270" s="209">
        <v>10.512905266069769</v>
      </c>
      <c r="K270" s="209">
        <v>12.122890279114337</v>
      </c>
      <c r="L270" s="202">
        <v>15.894170534128216</v>
      </c>
      <c r="M270" s="209">
        <v>16.273914457259707</v>
      </c>
      <c r="N270" s="209">
        <v>13.655074808668367</v>
      </c>
      <c r="O270" s="209">
        <v>23.017106896889313</v>
      </c>
      <c r="P270" s="209">
        <v>20.02782918681757</v>
      </c>
      <c r="Q270" s="209">
        <v>16.974816354134646</v>
      </c>
      <c r="R270" s="209">
        <v>17.459364285306105</v>
      </c>
      <c r="S270" s="209">
        <v>15.234716099662885</v>
      </c>
      <c r="T270" s="209">
        <v>17.410084224174536</v>
      </c>
      <c r="U270" s="209">
        <v>18.406694964517165</v>
      </c>
      <c r="V270" s="209">
        <v>14.887369553015359</v>
      </c>
      <c r="W270" s="209">
        <v>13.188347936018586</v>
      </c>
      <c r="X270" s="202">
        <v>7.5198658814823949</v>
      </c>
      <c r="Y270" s="208">
        <v>8.4969117920491311</v>
      </c>
      <c r="Z270" s="209">
        <v>7.9992276975756216</v>
      </c>
      <c r="AA270" s="209">
        <v>7.0779120119968324</v>
      </c>
      <c r="AB270" s="209">
        <v>9.0032656680534568</v>
      </c>
      <c r="AC270" s="209">
        <v>1.6193534234970197</v>
      </c>
      <c r="AD270" s="202">
        <v>14.169247703897355</v>
      </c>
      <c r="AE270" s="210" t="s">
        <v>213</v>
      </c>
    </row>
    <row r="271" spans="1:31" ht="10.5" hidden="1" customHeight="1">
      <c r="A271" s="213"/>
      <c r="B271" s="390">
        <v>40555</v>
      </c>
      <c r="C271" s="208"/>
      <c r="D271" s="209"/>
      <c r="E271" s="209"/>
      <c r="F271" s="209"/>
      <c r="G271" s="209"/>
      <c r="H271" s="209"/>
      <c r="I271" s="209"/>
      <c r="J271" s="209"/>
      <c r="K271" s="209"/>
      <c r="L271" s="202"/>
      <c r="M271" s="209"/>
      <c r="N271" s="209"/>
      <c r="O271" s="209"/>
      <c r="P271" s="209"/>
      <c r="Q271" s="209"/>
      <c r="R271" s="209"/>
      <c r="S271" s="209"/>
      <c r="T271" s="209"/>
      <c r="U271" s="209"/>
      <c r="V271" s="209"/>
      <c r="W271" s="209"/>
      <c r="X271" s="202"/>
      <c r="Y271" s="208"/>
      <c r="Z271" s="209"/>
      <c r="AA271" s="209"/>
      <c r="AB271" s="209"/>
      <c r="AC271" s="209"/>
      <c r="AD271" s="202"/>
      <c r="AE271" s="397">
        <f>+B271</f>
        <v>40555</v>
      </c>
    </row>
    <row r="272" spans="1:31" ht="12" hidden="1" customHeight="1">
      <c r="A272" s="213"/>
      <c r="B272" s="389" t="s">
        <v>187</v>
      </c>
      <c r="C272" s="208">
        <v>10.649349282308517</v>
      </c>
      <c r="D272" s="209">
        <v>6.1459974857737558</v>
      </c>
      <c r="E272" s="209">
        <v>11.103937454233314</v>
      </c>
      <c r="F272" s="209">
        <v>5.8869808553147376</v>
      </c>
      <c r="G272" s="209">
        <v>7.3662232957989673</v>
      </c>
      <c r="H272" s="209">
        <v>8.1024511745887455</v>
      </c>
      <c r="I272" s="209">
        <v>6.0144797938779515</v>
      </c>
      <c r="J272" s="209">
        <v>10.663226169513862</v>
      </c>
      <c r="K272" s="209">
        <v>11.384192113881561</v>
      </c>
      <c r="L272" s="202">
        <v>12.223105926881795</v>
      </c>
      <c r="M272" s="209">
        <v>16.238466427104793</v>
      </c>
      <c r="N272" s="209">
        <v>14.475815203859959</v>
      </c>
      <c r="O272" s="209">
        <v>19.092108559170285</v>
      </c>
      <c r="P272" s="209">
        <v>16.126713881327856</v>
      </c>
      <c r="Q272" s="209">
        <v>17.04777042495429</v>
      </c>
      <c r="R272" s="209">
        <v>17.181608673588041</v>
      </c>
      <c r="S272" s="209">
        <v>15.234816156892453</v>
      </c>
      <c r="T272" s="209">
        <v>18.823360008240122</v>
      </c>
      <c r="U272" s="209">
        <v>17.907447672907679</v>
      </c>
      <c r="V272" s="209">
        <v>12.634770822247789</v>
      </c>
      <c r="W272" s="209">
        <v>12.021026690266252</v>
      </c>
      <c r="X272" s="202">
        <v>7.97</v>
      </c>
      <c r="Y272" s="208">
        <v>9.7790104236648077</v>
      </c>
      <c r="Z272" s="209">
        <v>7.6447761194029855</v>
      </c>
      <c r="AA272" s="209">
        <v>8.8182963286419671</v>
      </c>
      <c r="AB272" s="209">
        <v>10.19797707412885</v>
      </c>
      <c r="AC272" s="209">
        <v>9.6482597099003851</v>
      </c>
      <c r="AD272" s="202">
        <v>11.084009912796425</v>
      </c>
      <c r="AE272" s="210" t="s">
        <v>356</v>
      </c>
    </row>
    <row r="273" spans="1:31" ht="12" hidden="1" customHeight="1" thickBot="1">
      <c r="A273" s="220"/>
      <c r="B273" s="389" t="s">
        <v>357</v>
      </c>
      <c r="C273" s="208">
        <v>11.267840977942724</v>
      </c>
      <c r="D273" s="209">
        <v>8.0226251467248701</v>
      </c>
      <c r="E273" s="209">
        <v>11.386434225039325</v>
      </c>
      <c r="F273" s="209">
        <v>15.067924130663858</v>
      </c>
      <c r="G273" s="209">
        <v>5.3727304435393117</v>
      </c>
      <c r="H273" s="209">
        <v>7.4700254371602588</v>
      </c>
      <c r="I273" s="209">
        <v>7.4384730057737194</v>
      </c>
      <c r="J273" s="209">
        <v>10.574137518195876</v>
      </c>
      <c r="K273" s="209">
        <v>12.359555717431775</v>
      </c>
      <c r="L273" s="202">
        <v>15.717870169093157</v>
      </c>
      <c r="M273" s="209">
        <v>16.3381564256504</v>
      </c>
      <c r="N273" s="209">
        <v>13.71591717381907</v>
      </c>
      <c r="O273" s="209">
        <v>22.982775640179852</v>
      </c>
      <c r="P273" s="209">
        <v>21.60402678745584</v>
      </c>
      <c r="Q273" s="209">
        <v>17.689870433529517</v>
      </c>
      <c r="R273" s="209">
        <v>16.644160653514106</v>
      </c>
      <c r="S273" s="209">
        <v>15.165931110931895</v>
      </c>
      <c r="T273" s="209">
        <v>17.554458863325788</v>
      </c>
      <c r="U273" s="209">
        <v>18.365328262866122</v>
      </c>
      <c r="V273" s="209">
        <v>15.113615232430131</v>
      </c>
      <c r="W273" s="209">
        <v>13.189471055102068</v>
      </c>
      <c r="X273" s="202">
        <v>7.5585940949249597</v>
      </c>
      <c r="Y273" s="208">
        <v>8.1608335401565189</v>
      </c>
      <c r="Z273" s="209">
        <v>6.4885358562667577</v>
      </c>
      <c r="AA273" s="209">
        <v>9.3605557154929837</v>
      </c>
      <c r="AB273" s="209">
        <v>9.6681067847563504</v>
      </c>
      <c r="AC273" s="209">
        <v>3.4399209968598474</v>
      </c>
      <c r="AD273" s="202">
        <v>13.602518842055137</v>
      </c>
      <c r="AE273" s="210" t="s">
        <v>213</v>
      </c>
    </row>
    <row r="274" spans="1:31" ht="10.5" customHeight="1">
      <c r="A274" s="213"/>
      <c r="B274" s="390">
        <v>40909</v>
      </c>
      <c r="C274" s="208"/>
      <c r="D274" s="209"/>
      <c r="E274" s="209"/>
      <c r="F274" s="209"/>
      <c r="G274" s="209"/>
      <c r="H274" s="209"/>
      <c r="I274" s="209"/>
      <c r="J274" s="209"/>
      <c r="K274" s="209"/>
      <c r="L274" s="202"/>
      <c r="M274" s="209"/>
      <c r="N274" s="209"/>
      <c r="O274" s="209"/>
      <c r="P274" s="209"/>
      <c r="Q274" s="209"/>
      <c r="R274" s="209"/>
      <c r="S274" s="209"/>
      <c r="T274" s="209"/>
      <c r="U274" s="209"/>
      <c r="V274" s="209"/>
      <c r="W274" s="209"/>
      <c r="X274" s="202"/>
      <c r="Y274" s="208"/>
      <c r="Z274" s="209"/>
      <c r="AA274" s="209"/>
      <c r="AB274" s="209"/>
      <c r="AC274" s="209"/>
      <c r="AD274" s="202"/>
      <c r="AE274" s="397">
        <f>+B274</f>
        <v>40909</v>
      </c>
    </row>
    <row r="275" spans="1:31" ht="12" customHeight="1">
      <c r="A275" s="213"/>
      <c r="B275" s="389" t="s">
        <v>187</v>
      </c>
      <c r="C275" s="208">
        <v>10.262110538599906</v>
      </c>
      <c r="D275" s="209">
        <v>5.6047661617120328</v>
      </c>
      <c r="E275" s="209">
        <v>10.758618172383821</v>
      </c>
      <c r="F275" s="209">
        <v>5.4513972494086653</v>
      </c>
      <c r="G275" s="209">
        <v>5.8932152562648916</v>
      </c>
      <c r="H275" s="209">
        <v>7.9952809065703194</v>
      </c>
      <c r="I275" s="209">
        <v>6.3029943094068708</v>
      </c>
      <c r="J275" s="209">
        <v>10.355048968051387</v>
      </c>
      <c r="K275" s="209">
        <v>11.130911640910623</v>
      </c>
      <c r="L275" s="202">
        <v>12.386912448091177</v>
      </c>
      <c r="M275" s="209">
        <v>16.26791580416263</v>
      </c>
      <c r="N275" s="209">
        <v>14.534148101710628</v>
      </c>
      <c r="O275" s="209">
        <v>19.063871280329476</v>
      </c>
      <c r="P275" s="209">
        <v>16.381729137199432</v>
      </c>
      <c r="Q275" s="209">
        <v>16.169830542487013</v>
      </c>
      <c r="R275" s="209">
        <v>17.245335332730107</v>
      </c>
      <c r="S275" s="209">
        <v>15.021616085292074</v>
      </c>
      <c r="T275" s="209">
        <v>19.148586157507474</v>
      </c>
      <c r="U275" s="209">
        <v>17.923300231527797</v>
      </c>
      <c r="V275" s="209">
        <v>12.619614473962345</v>
      </c>
      <c r="W275" s="209">
        <v>11.927135750604378</v>
      </c>
      <c r="X275" s="202">
        <v>7.9242434335464251</v>
      </c>
      <c r="Y275" s="208">
        <v>9.8614706846305342</v>
      </c>
      <c r="Z275" s="209">
        <v>7.9402985074626864</v>
      </c>
      <c r="AA275" s="209">
        <v>7.4582338902147969</v>
      </c>
      <c r="AB275" s="209">
        <v>11.416924870897885</v>
      </c>
      <c r="AC275" s="209">
        <v>9.4440092069079817</v>
      </c>
      <c r="AD275" s="202">
        <v>11.125006536357837</v>
      </c>
      <c r="AE275" s="210" t="s">
        <v>356</v>
      </c>
    </row>
    <row r="276" spans="1:31" ht="12" customHeight="1" thickBot="1">
      <c r="A276" s="220"/>
      <c r="B276" s="389" t="s">
        <v>357</v>
      </c>
      <c r="C276" s="208">
        <v>11.11193754726729</v>
      </c>
      <c r="D276" s="209">
        <v>7.0188700595823184</v>
      </c>
      <c r="E276" s="209">
        <v>11.273037531139332</v>
      </c>
      <c r="F276" s="209">
        <v>11.013197682712764</v>
      </c>
      <c r="G276" s="209">
        <v>4.720018988303206</v>
      </c>
      <c r="H276" s="209">
        <v>7.2878515947132643</v>
      </c>
      <c r="I276" s="209">
        <v>8.2100000000000009</v>
      </c>
      <c r="J276" s="209">
        <v>10.466828801747235</v>
      </c>
      <c r="K276" s="209">
        <v>12.253497705393917</v>
      </c>
      <c r="L276" s="202">
        <v>15.757025856010557</v>
      </c>
      <c r="M276" s="209">
        <v>16.788057839345189</v>
      </c>
      <c r="N276" s="209">
        <v>14.299858908692411</v>
      </c>
      <c r="O276" s="209">
        <v>22.903222770539312</v>
      </c>
      <c r="P276" s="209">
        <v>22.176827799859712</v>
      </c>
      <c r="Q276" s="209">
        <v>16.037023717977714</v>
      </c>
      <c r="R276" s="209">
        <v>17.982787379963852</v>
      </c>
      <c r="S276" s="209">
        <v>14.265165374153597</v>
      </c>
      <c r="T276" s="209">
        <v>18.233351313546272</v>
      </c>
      <c r="U276" s="209">
        <v>19.063257902157424</v>
      </c>
      <c r="V276" s="209">
        <v>15.847265691669804</v>
      </c>
      <c r="W276" s="209">
        <v>13.144848062948983</v>
      </c>
      <c r="X276" s="202">
        <v>7.5303417387821554</v>
      </c>
      <c r="Y276" s="208">
        <v>7.9896471876227739</v>
      </c>
      <c r="Z276" s="209">
        <v>7.9981081854608922</v>
      </c>
      <c r="AA276" s="209">
        <v>6.2973514048369656</v>
      </c>
      <c r="AB276" s="209">
        <v>8.9851707334945399</v>
      </c>
      <c r="AC276" s="209">
        <v>1.9447251442612994</v>
      </c>
      <c r="AD276" s="202">
        <v>12.248531975410586</v>
      </c>
      <c r="AE276" s="210" t="s">
        <v>213</v>
      </c>
    </row>
    <row r="277" spans="1:31" ht="10.5" hidden="1" customHeight="1">
      <c r="A277" s="213"/>
      <c r="B277" s="390">
        <v>40910</v>
      </c>
      <c r="C277" s="208"/>
      <c r="D277" s="209"/>
      <c r="E277" s="209"/>
      <c r="F277" s="209"/>
      <c r="G277" s="209"/>
      <c r="H277" s="209"/>
      <c r="I277" s="209"/>
      <c r="J277" s="209"/>
      <c r="K277" s="209"/>
      <c r="L277" s="202"/>
      <c r="M277" s="209"/>
      <c r="N277" s="209"/>
      <c r="O277" s="209"/>
      <c r="P277" s="209"/>
      <c r="Q277" s="209"/>
      <c r="R277" s="209"/>
      <c r="S277" s="209"/>
      <c r="T277" s="209"/>
      <c r="U277" s="209"/>
      <c r="V277" s="209"/>
      <c r="W277" s="209"/>
      <c r="X277" s="202"/>
      <c r="Y277" s="208"/>
      <c r="Z277" s="209"/>
      <c r="AA277" s="209"/>
      <c r="AB277" s="209"/>
      <c r="AC277" s="209"/>
      <c r="AD277" s="202"/>
      <c r="AE277" s="397">
        <f>+B277</f>
        <v>40910</v>
      </c>
    </row>
    <row r="278" spans="1:31" ht="12" hidden="1" customHeight="1">
      <c r="A278" s="213"/>
      <c r="B278" s="389" t="s">
        <v>187</v>
      </c>
      <c r="C278" s="208">
        <v>10.387458233802105</v>
      </c>
      <c r="D278" s="209">
        <v>5.9896672212187463</v>
      </c>
      <c r="E278" s="209">
        <v>10.805989601825516</v>
      </c>
      <c r="F278" s="209">
        <v>6.0415100965759434</v>
      </c>
      <c r="G278" s="209">
        <v>5.8055230130722206</v>
      </c>
      <c r="H278" s="209">
        <v>8.0479338604054842</v>
      </c>
      <c r="I278" s="209">
        <v>6.3497889488189836</v>
      </c>
      <c r="J278" s="209">
        <v>10.353476389471263</v>
      </c>
      <c r="K278" s="209">
        <v>11.268000918758549</v>
      </c>
      <c r="L278" s="202">
        <v>12.368175355794214</v>
      </c>
      <c r="M278" s="209">
        <v>16.244263301641077</v>
      </c>
      <c r="N278" s="209">
        <v>14.556390559391808</v>
      </c>
      <c r="O278" s="209">
        <v>18.983784329887882</v>
      </c>
      <c r="P278" s="209">
        <v>16.574332327900901</v>
      </c>
      <c r="Q278" s="209">
        <v>16.413292779559402</v>
      </c>
      <c r="R278" s="209">
        <v>17.442564038985758</v>
      </c>
      <c r="S278" s="209">
        <v>15.105601305374254</v>
      </c>
      <c r="T278" s="209">
        <v>19.020767237636438</v>
      </c>
      <c r="U278" s="209">
        <v>17.838378372561671</v>
      </c>
      <c r="V278" s="209">
        <v>12.668188398211687</v>
      </c>
      <c r="W278" s="209">
        <v>11.96575341099733</v>
      </c>
      <c r="X278" s="202">
        <v>7.9043853126816819</v>
      </c>
      <c r="Y278" s="208">
        <v>9.7641974619601672</v>
      </c>
      <c r="Z278" s="224" t="s">
        <v>93</v>
      </c>
      <c r="AA278" s="209">
        <v>8.1754443778709796</v>
      </c>
      <c r="AB278" s="209">
        <v>8.7061390212213077</v>
      </c>
      <c r="AC278" s="209">
        <v>10.488404147995213</v>
      </c>
      <c r="AD278" s="202">
        <v>11.174083589727324</v>
      </c>
      <c r="AE278" s="210" t="s">
        <v>356</v>
      </c>
    </row>
    <row r="279" spans="1:31" ht="12" hidden="1" customHeight="1" thickBot="1">
      <c r="A279" s="220"/>
      <c r="B279" s="389" t="s">
        <v>357</v>
      </c>
      <c r="C279" s="208">
        <v>11.15094016277394</v>
      </c>
      <c r="D279" s="209">
        <v>7.4053675711002871</v>
      </c>
      <c r="E279" s="209">
        <v>11.276091493702179</v>
      </c>
      <c r="F279" s="209">
        <v>13.88927922477237</v>
      </c>
      <c r="G279" s="209">
        <v>4.3874408016917021</v>
      </c>
      <c r="H279" s="209">
        <v>7.3865276947053617</v>
      </c>
      <c r="I279" s="209">
        <v>8.52</v>
      </c>
      <c r="J279" s="209">
        <v>10.497853490075022</v>
      </c>
      <c r="K279" s="209">
        <v>12.227727167022065</v>
      </c>
      <c r="L279" s="202">
        <v>16.447058665251003</v>
      </c>
      <c r="M279" s="209">
        <v>16.403429338773119</v>
      </c>
      <c r="N279" s="209">
        <v>13.770591771435862</v>
      </c>
      <c r="O279" s="209">
        <v>22.887602229442077</v>
      </c>
      <c r="P279" s="209">
        <v>19.640633821999899</v>
      </c>
      <c r="Q279" s="209">
        <v>16.60062545523915</v>
      </c>
      <c r="R279" s="209">
        <v>17.949743537653763</v>
      </c>
      <c r="S279" s="209">
        <v>14.773670556155819</v>
      </c>
      <c r="T279" s="209">
        <v>18.221304575645576</v>
      </c>
      <c r="U279" s="209">
        <v>19.088696642773172</v>
      </c>
      <c r="V279" s="209">
        <v>14.983103505315094</v>
      </c>
      <c r="W279" s="209">
        <v>12.510648413843292</v>
      </c>
      <c r="X279" s="202">
        <v>7.50088136263967</v>
      </c>
      <c r="Y279" s="208">
        <v>7.948826984636832</v>
      </c>
      <c r="Z279" s="209">
        <v>7.9814035574487239</v>
      </c>
      <c r="AA279" s="209">
        <v>4.9258932365728478</v>
      </c>
      <c r="AB279" s="209">
        <v>8.5924278473156104</v>
      </c>
      <c r="AC279" s="209">
        <v>2.4476280469230818</v>
      </c>
      <c r="AD279" s="202">
        <v>12.289880823401951</v>
      </c>
      <c r="AE279" s="210" t="s">
        <v>213</v>
      </c>
    </row>
    <row r="280" spans="1:31" ht="10.5" hidden="1" customHeight="1">
      <c r="A280" s="213"/>
      <c r="B280" s="390">
        <v>40911</v>
      </c>
      <c r="C280" s="208"/>
      <c r="D280" s="209"/>
      <c r="E280" s="209"/>
      <c r="F280" s="209"/>
      <c r="G280" s="209"/>
      <c r="H280" s="209"/>
      <c r="I280" s="209"/>
      <c r="J280" s="209"/>
      <c r="K280" s="209"/>
      <c r="L280" s="202"/>
      <c r="M280" s="209"/>
      <c r="N280" s="209"/>
      <c r="O280" s="209"/>
      <c r="P280" s="209"/>
      <c r="Q280" s="209"/>
      <c r="R280" s="209"/>
      <c r="S280" s="209"/>
      <c r="T280" s="209"/>
      <c r="U280" s="209"/>
      <c r="V280" s="209"/>
      <c r="W280" s="209"/>
      <c r="X280" s="202"/>
      <c r="Y280" s="208"/>
      <c r="Z280" s="209"/>
      <c r="AA280" s="209"/>
      <c r="AB280" s="209"/>
      <c r="AC280" s="209"/>
      <c r="AD280" s="202"/>
      <c r="AE280" s="397">
        <f>+B280</f>
        <v>40911</v>
      </c>
    </row>
    <row r="281" spans="1:31" ht="12" hidden="1" customHeight="1">
      <c r="A281" s="213"/>
      <c r="B281" s="389" t="s">
        <v>187</v>
      </c>
      <c r="C281" s="208">
        <v>10.214143150820393</v>
      </c>
      <c r="D281" s="209">
        <v>6.2390706553259685</v>
      </c>
      <c r="E281" s="209">
        <v>10.649978915861997</v>
      </c>
      <c r="F281" s="209">
        <v>7.3906171206381659</v>
      </c>
      <c r="G281" s="209">
        <v>5.5540768358111459</v>
      </c>
      <c r="H281" s="209">
        <v>6.7602912413475549</v>
      </c>
      <c r="I281" s="209">
        <v>6.485803252677508</v>
      </c>
      <c r="J281" s="209">
        <v>10.36541769458764</v>
      </c>
      <c r="K281" s="209">
        <v>11.217120810687119</v>
      </c>
      <c r="L281" s="202">
        <v>12.376427587291211</v>
      </c>
      <c r="M281" s="209">
        <v>16.170712402345679</v>
      </c>
      <c r="N281" s="209">
        <v>14.506534682982378</v>
      </c>
      <c r="O281" s="209">
        <v>18.779600076865218</v>
      </c>
      <c r="P281" s="209">
        <v>16.080745478487543</v>
      </c>
      <c r="Q281" s="209">
        <v>16.331766493834852</v>
      </c>
      <c r="R281" s="209">
        <v>16.737453177299379</v>
      </c>
      <c r="S281" s="209">
        <v>15.142381721825716</v>
      </c>
      <c r="T281" s="209">
        <v>19.211701079790913</v>
      </c>
      <c r="U281" s="209">
        <v>17.861204935137913</v>
      </c>
      <c r="V281" s="209">
        <v>12.408336809367741</v>
      </c>
      <c r="W281" s="209">
        <v>11.937362974906048</v>
      </c>
      <c r="X281" s="202">
        <v>7.755130639849245</v>
      </c>
      <c r="Y281" s="208">
        <v>9.734879656121894</v>
      </c>
      <c r="Z281" s="223">
        <v>3.0000000000000004</v>
      </c>
      <c r="AA281" s="209">
        <v>8.0720943503899569</v>
      </c>
      <c r="AB281" s="209">
        <v>9.7185265698778256</v>
      </c>
      <c r="AC281" s="209">
        <v>10.445496049395636</v>
      </c>
      <c r="AD281" s="202">
        <v>11.215464952372818</v>
      </c>
      <c r="AE281" s="210" t="s">
        <v>356</v>
      </c>
    </row>
    <row r="282" spans="1:31" ht="12" hidden="1" customHeight="1" thickBot="1">
      <c r="A282" s="220"/>
      <c r="B282" s="389" t="s">
        <v>357</v>
      </c>
      <c r="C282" s="208">
        <v>11.035907500807472</v>
      </c>
      <c r="D282" s="209">
        <v>6.9856642074961286</v>
      </c>
      <c r="E282" s="209">
        <v>11.197288498206383</v>
      </c>
      <c r="F282" s="209">
        <v>10.135006167017339</v>
      </c>
      <c r="G282" s="209">
        <v>4.7482063002546759</v>
      </c>
      <c r="H282" s="209">
        <v>7.3571705388328565</v>
      </c>
      <c r="I282" s="209">
        <v>7.92</v>
      </c>
      <c r="J282" s="209">
        <v>10.210699237464231</v>
      </c>
      <c r="K282" s="209">
        <v>12.252718959584213</v>
      </c>
      <c r="L282" s="202">
        <v>16.23400570080527</v>
      </c>
      <c r="M282" s="209">
        <v>16.400008836694379</v>
      </c>
      <c r="N282" s="209">
        <v>13.717060870917383</v>
      </c>
      <c r="O282" s="209">
        <v>23.009410935611751</v>
      </c>
      <c r="P282" s="209">
        <v>18.946886745620873</v>
      </c>
      <c r="Q282" s="209">
        <v>16.368267389632987</v>
      </c>
      <c r="R282" s="209">
        <v>17.046359596949127</v>
      </c>
      <c r="S282" s="209">
        <v>14.813665488143771</v>
      </c>
      <c r="T282" s="209">
        <v>18.422231802313721</v>
      </c>
      <c r="U282" s="209">
        <v>19.045534612441887</v>
      </c>
      <c r="V282" s="209">
        <v>14.945604044680934</v>
      </c>
      <c r="W282" s="209">
        <v>12.525223241708828</v>
      </c>
      <c r="X282" s="202">
        <v>7.4731762019674361</v>
      </c>
      <c r="Y282" s="208">
        <v>6.406359798478789</v>
      </c>
      <c r="Z282" s="209">
        <v>3.577840145279592</v>
      </c>
      <c r="AA282" s="209">
        <v>8.0650199837679732</v>
      </c>
      <c r="AB282" s="209">
        <v>8.5925278318089635</v>
      </c>
      <c r="AC282" s="209">
        <v>2.1666372498438644</v>
      </c>
      <c r="AD282" s="202">
        <v>12.401034330985917</v>
      </c>
      <c r="AE282" s="210" t="s">
        <v>213</v>
      </c>
    </row>
    <row r="283" spans="1:31" ht="10.5" hidden="1" customHeight="1">
      <c r="A283" s="213"/>
      <c r="B283" s="390">
        <v>40912</v>
      </c>
      <c r="C283" s="208"/>
      <c r="D283" s="209"/>
      <c r="E283" s="209"/>
      <c r="F283" s="209"/>
      <c r="G283" s="209"/>
      <c r="H283" s="209"/>
      <c r="I283" s="209"/>
      <c r="J283" s="209"/>
      <c r="K283" s="209"/>
      <c r="L283" s="202"/>
      <c r="M283" s="209"/>
      <c r="N283" s="209"/>
      <c r="O283" s="209"/>
      <c r="P283" s="209"/>
      <c r="Q283" s="209"/>
      <c r="R283" s="209"/>
      <c r="S283" s="209"/>
      <c r="T283" s="209"/>
      <c r="U283" s="209"/>
      <c r="V283" s="209"/>
      <c r="W283" s="209"/>
      <c r="X283" s="202"/>
      <c r="Y283" s="208"/>
      <c r="Z283" s="209"/>
      <c r="AA283" s="209"/>
      <c r="AB283" s="209"/>
      <c r="AC283" s="209"/>
      <c r="AD283" s="202"/>
      <c r="AE283" s="397">
        <f>+B283</f>
        <v>40912</v>
      </c>
    </row>
    <row r="284" spans="1:31" ht="12" hidden="1" customHeight="1">
      <c r="A284" s="213"/>
      <c r="B284" s="389" t="s">
        <v>187</v>
      </c>
      <c r="C284" s="208">
        <v>10.242373193820267</v>
      </c>
      <c r="D284" s="209">
        <v>6.1715166835135724</v>
      </c>
      <c r="E284" s="209">
        <v>10.701449830593598</v>
      </c>
      <c r="F284" s="209">
        <v>7.9274651662485001</v>
      </c>
      <c r="G284" s="209">
        <v>6.0671490965009385</v>
      </c>
      <c r="H284" s="209">
        <v>6.4091339142308703</v>
      </c>
      <c r="I284" s="209">
        <v>6.7803440911046096</v>
      </c>
      <c r="J284" s="209">
        <v>10.298519029188403</v>
      </c>
      <c r="K284" s="209">
        <v>11.205982875450449</v>
      </c>
      <c r="L284" s="202">
        <v>12.483667814874773</v>
      </c>
      <c r="M284" s="209">
        <v>16.088610597771925</v>
      </c>
      <c r="N284" s="209">
        <v>14.462300776026389</v>
      </c>
      <c r="O284" s="209">
        <v>18.573507280242271</v>
      </c>
      <c r="P284" s="209">
        <v>17.776396326331493</v>
      </c>
      <c r="Q284" s="209">
        <v>15.878811522050869</v>
      </c>
      <c r="R284" s="209">
        <v>16.047430170158858</v>
      </c>
      <c r="S284" s="209">
        <v>15.162670564192057</v>
      </c>
      <c r="T284" s="209">
        <v>19.327168629528266</v>
      </c>
      <c r="U284" s="209">
        <v>17.782953100244026</v>
      </c>
      <c r="V284" s="209">
        <v>12.397361238671067</v>
      </c>
      <c r="W284" s="209">
        <v>11.489045534777306</v>
      </c>
      <c r="X284" s="202">
        <v>7.756313282083803</v>
      </c>
      <c r="Y284" s="208">
        <v>10.269542042192738</v>
      </c>
      <c r="Z284" s="223">
        <v>8.89</v>
      </c>
      <c r="AA284" s="209">
        <v>8.41</v>
      </c>
      <c r="AB284" s="209">
        <v>9.6999999999999993</v>
      </c>
      <c r="AC284" s="209">
        <v>11.02</v>
      </c>
      <c r="AD284" s="202">
        <v>11.19</v>
      </c>
      <c r="AE284" s="210" t="s">
        <v>356</v>
      </c>
    </row>
    <row r="285" spans="1:31" ht="12" hidden="1" customHeight="1" thickBot="1">
      <c r="A285" s="220"/>
      <c r="B285" s="391" t="s">
        <v>357</v>
      </c>
      <c r="C285" s="208">
        <v>10.916659408861973</v>
      </c>
      <c r="D285" s="209">
        <v>6.1330823106695673</v>
      </c>
      <c r="E285" s="209">
        <v>11.101419020288068</v>
      </c>
      <c r="F285" s="209">
        <v>8.2468467336683418</v>
      </c>
      <c r="G285" s="209">
        <v>4.8889157918841066</v>
      </c>
      <c r="H285" s="209">
        <v>7.3101504801173833</v>
      </c>
      <c r="I285" s="209">
        <v>7.91</v>
      </c>
      <c r="J285" s="209">
        <v>10.019493983688637</v>
      </c>
      <c r="K285" s="209">
        <v>12.196321482913383</v>
      </c>
      <c r="L285" s="202">
        <v>17.23108352253983</v>
      </c>
      <c r="M285" s="209">
        <v>16.163024862257252</v>
      </c>
      <c r="N285" s="209">
        <v>13.689354925708702</v>
      </c>
      <c r="O285" s="209">
        <v>22.073429454485076</v>
      </c>
      <c r="P285" s="209">
        <v>21.092387276096357</v>
      </c>
      <c r="Q285" s="209">
        <v>16.413554480685011</v>
      </c>
      <c r="R285" s="209">
        <v>17.165259271161492</v>
      </c>
      <c r="S285" s="209">
        <v>16.84979288221129</v>
      </c>
      <c r="T285" s="209">
        <v>17.464695218839594</v>
      </c>
      <c r="U285" s="209">
        <v>18.876308790915523</v>
      </c>
      <c r="V285" s="209">
        <v>14.983192934075346</v>
      </c>
      <c r="W285" s="209">
        <v>12.441952029865632</v>
      </c>
      <c r="X285" s="202">
        <v>7.5142183042237836</v>
      </c>
      <c r="Y285" s="208">
        <v>9.0944513676909438</v>
      </c>
      <c r="Z285" s="209">
        <v>6.07</v>
      </c>
      <c r="AA285" s="209">
        <v>8.34</v>
      </c>
      <c r="AB285" s="209">
        <v>8.85</v>
      </c>
      <c r="AC285" s="209">
        <v>9.51</v>
      </c>
      <c r="AD285" s="202">
        <v>12.25</v>
      </c>
      <c r="AE285" s="210" t="s">
        <v>213</v>
      </c>
    </row>
    <row r="286" spans="1:31" ht="10.5" hidden="1" customHeight="1">
      <c r="A286" s="213"/>
      <c r="B286" s="392">
        <v>40913</v>
      </c>
      <c r="C286" s="208"/>
      <c r="D286" s="209"/>
      <c r="E286" s="209"/>
      <c r="F286" s="209"/>
      <c r="G286" s="209"/>
      <c r="H286" s="209"/>
      <c r="I286" s="209"/>
      <c r="J286" s="209"/>
      <c r="K286" s="209"/>
      <c r="L286" s="202"/>
      <c r="M286" s="209"/>
      <c r="N286" s="209"/>
      <c r="O286" s="209"/>
      <c r="P286" s="209"/>
      <c r="Q286" s="209"/>
      <c r="R286" s="209"/>
      <c r="S286" s="209"/>
      <c r="T286" s="209"/>
      <c r="U286" s="209"/>
      <c r="V286" s="209"/>
      <c r="W286" s="209"/>
      <c r="X286" s="209"/>
      <c r="Y286" s="208"/>
      <c r="Z286" s="209"/>
      <c r="AA286" s="209"/>
      <c r="AB286" s="209"/>
      <c r="AC286" s="209"/>
      <c r="AD286" s="202"/>
      <c r="AE286" s="397">
        <f>+B286</f>
        <v>40913</v>
      </c>
    </row>
    <row r="287" spans="1:31" ht="12" hidden="1" customHeight="1">
      <c r="A287" s="213"/>
      <c r="B287" s="391" t="s">
        <v>187</v>
      </c>
      <c r="C287" s="208">
        <v>10.186161365570532</v>
      </c>
      <c r="D287" s="209">
        <v>5.8397949220675969</v>
      </c>
      <c r="E287" s="209">
        <v>10.708923721899398</v>
      </c>
      <c r="F287" s="209">
        <v>7.8335430075598289</v>
      </c>
      <c r="G287" s="209">
        <v>4.5048745005155588</v>
      </c>
      <c r="H287" s="209">
        <v>6.4364236555810441</v>
      </c>
      <c r="I287" s="209">
        <v>7.7309388396761447</v>
      </c>
      <c r="J287" s="209">
        <v>10.228577585057225</v>
      </c>
      <c r="K287" s="209">
        <v>11.396798065761981</v>
      </c>
      <c r="L287" s="202">
        <v>12.860785870505417</v>
      </c>
      <c r="M287" s="209">
        <v>16.04509213356507</v>
      </c>
      <c r="N287" s="209">
        <v>14.364903595049825</v>
      </c>
      <c r="O287" s="209">
        <v>18.569775180652051</v>
      </c>
      <c r="P287" s="209">
        <v>20.592665638361478</v>
      </c>
      <c r="Q287" s="209">
        <v>15.674957395442943</v>
      </c>
      <c r="R287" s="209">
        <v>16.406293226122415</v>
      </c>
      <c r="S287" s="209">
        <v>13.839891595791215</v>
      </c>
      <c r="T287" s="209">
        <v>19.259675205705506</v>
      </c>
      <c r="U287" s="209">
        <v>17.785367088607593</v>
      </c>
      <c r="V287" s="209">
        <v>12.349066341150083</v>
      </c>
      <c r="W287" s="209">
        <v>11.461271195527303</v>
      </c>
      <c r="X287" s="202">
        <v>7.7022162138029273</v>
      </c>
      <c r="Y287" s="208">
        <v>9.584958863592755</v>
      </c>
      <c r="Z287" s="223">
        <v>12</v>
      </c>
      <c r="AA287" s="209">
        <v>7.7345309381237524</v>
      </c>
      <c r="AB287" s="209">
        <v>8.3350000000000009</v>
      </c>
      <c r="AC287" s="209">
        <v>10.923956731677052</v>
      </c>
      <c r="AD287" s="202">
        <v>10.214753253587991</v>
      </c>
      <c r="AE287" s="210" t="s">
        <v>356</v>
      </c>
    </row>
    <row r="288" spans="1:31" ht="12" hidden="1" customHeight="1" thickBot="1">
      <c r="A288" s="220"/>
      <c r="B288" s="391" t="s">
        <v>357</v>
      </c>
      <c r="C288" s="208">
        <v>10.968540679286095</v>
      </c>
      <c r="D288" s="209">
        <v>5.5668699691795807</v>
      </c>
      <c r="E288" s="209">
        <v>11.161036755039644</v>
      </c>
      <c r="F288" s="209">
        <v>7.2785881943408421</v>
      </c>
      <c r="G288" s="209">
        <v>4.6475874134965771</v>
      </c>
      <c r="H288" s="209">
        <v>7.3039175964819547</v>
      </c>
      <c r="I288" s="209">
        <v>7.93</v>
      </c>
      <c r="J288" s="209">
        <v>10.047915524001887</v>
      </c>
      <c r="K288" s="209">
        <v>12.263379373083392</v>
      </c>
      <c r="L288" s="202">
        <v>17.308174500807372</v>
      </c>
      <c r="M288" s="209">
        <v>16.048422986482368</v>
      </c>
      <c r="N288" s="209">
        <v>13.559186200909711</v>
      </c>
      <c r="O288" s="209">
        <v>21.981610637715569</v>
      </c>
      <c r="P288" s="209">
        <v>18.010628507523382</v>
      </c>
      <c r="Q288" s="209">
        <v>13.603890915713805</v>
      </c>
      <c r="R288" s="209">
        <v>17.237939687878001</v>
      </c>
      <c r="S288" s="209">
        <v>15.142571509360538</v>
      </c>
      <c r="T288" s="209">
        <v>18.111961000823936</v>
      </c>
      <c r="U288" s="209">
        <v>19.018617783050718</v>
      </c>
      <c r="V288" s="209">
        <v>14.256651608240157</v>
      </c>
      <c r="W288" s="209">
        <v>12.392880070539569</v>
      </c>
      <c r="X288" s="202">
        <v>7.5972440700108601</v>
      </c>
      <c r="Y288" s="208">
        <v>7.4363672285509006</v>
      </c>
      <c r="Z288" s="209">
        <v>8.8225549854830358</v>
      </c>
      <c r="AA288" s="209">
        <v>8.3038034216746794</v>
      </c>
      <c r="AB288" s="209">
        <v>7.1470732751105537</v>
      </c>
      <c r="AC288" s="209">
        <v>5.0174535899646946</v>
      </c>
      <c r="AD288" s="202">
        <v>12.247909521570067</v>
      </c>
      <c r="AE288" s="210" t="s">
        <v>213</v>
      </c>
    </row>
    <row r="289" spans="1:31" ht="10.5" hidden="1" customHeight="1">
      <c r="A289" s="213"/>
      <c r="B289" s="392">
        <v>40914</v>
      </c>
      <c r="C289" s="208"/>
      <c r="D289" s="209"/>
      <c r="E289" s="209"/>
      <c r="F289" s="209"/>
      <c r="G289" s="209"/>
      <c r="H289" s="209"/>
      <c r="I289" s="209"/>
      <c r="J289" s="209"/>
      <c r="K289" s="209"/>
      <c r="L289" s="202"/>
      <c r="M289" s="209"/>
      <c r="N289" s="209"/>
      <c r="O289" s="209"/>
      <c r="P289" s="209"/>
      <c r="Q289" s="209"/>
      <c r="R289" s="209"/>
      <c r="S289" s="209"/>
      <c r="T289" s="209"/>
      <c r="U289" s="209"/>
      <c r="V289" s="209"/>
      <c r="W289" s="209"/>
      <c r="X289" s="209"/>
      <c r="Y289" s="208"/>
      <c r="Z289" s="209"/>
      <c r="AA289" s="209"/>
      <c r="AB289" s="209"/>
      <c r="AC289" s="209"/>
      <c r="AD289" s="202"/>
      <c r="AE289" s="397">
        <f>+B289</f>
        <v>40914</v>
      </c>
    </row>
    <row r="290" spans="1:31" ht="12" hidden="1" customHeight="1">
      <c r="A290" s="213"/>
      <c r="B290" s="391" t="s">
        <v>187</v>
      </c>
      <c r="C290" s="208">
        <v>10.31799494944403</v>
      </c>
      <c r="D290" s="209">
        <v>6.1192603126029015</v>
      </c>
      <c r="E290" s="209">
        <v>10.741910375270537</v>
      </c>
      <c r="F290" s="209">
        <v>9.0347612504294048</v>
      </c>
      <c r="G290" s="209">
        <v>4.9572447013095378</v>
      </c>
      <c r="H290" s="209">
        <v>7.3772636660383428</v>
      </c>
      <c r="I290" s="209">
        <v>7.8702993680775455</v>
      </c>
      <c r="J290" s="209">
        <v>10.313087307847143</v>
      </c>
      <c r="K290" s="209">
        <v>11.340131094169067</v>
      </c>
      <c r="L290" s="202">
        <v>12.96324254985984</v>
      </c>
      <c r="M290" s="209">
        <v>15.993191353610388</v>
      </c>
      <c r="N290" s="209">
        <v>14.326806366384954</v>
      </c>
      <c r="O290" s="209">
        <v>18.465557526022256</v>
      </c>
      <c r="P290" s="209">
        <v>19.864516720942564</v>
      </c>
      <c r="Q290" s="209">
        <v>16.538022837913793</v>
      </c>
      <c r="R290" s="209">
        <v>16.035768832256785</v>
      </c>
      <c r="S290" s="209">
        <v>13.996088043767884</v>
      </c>
      <c r="T290" s="209">
        <v>19.12046119635135</v>
      </c>
      <c r="U290" s="209">
        <v>17.725030419257841</v>
      </c>
      <c r="V290" s="209">
        <v>12.321024926520154</v>
      </c>
      <c r="W290" s="209">
        <v>11.400904013661753</v>
      </c>
      <c r="X290" s="202">
        <v>7.6158077185180408</v>
      </c>
      <c r="Y290" s="208">
        <v>9.512187327695667</v>
      </c>
      <c r="Z290" s="223">
        <v>5.5723076923076924</v>
      </c>
      <c r="AA290" s="209">
        <v>7.5817319690541556</v>
      </c>
      <c r="AB290" s="209">
        <v>10.316548672566372</v>
      </c>
      <c r="AC290" s="209">
        <v>11.058119503128117</v>
      </c>
      <c r="AD290" s="202">
        <v>10.233338947841222</v>
      </c>
      <c r="AE290" s="210" t="s">
        <v>356</v>
      </c>
    </row>
    <row r="291" spans="1:31" ht="12" hidden="1" customHeight="1" thickBot="1">
      <c r="A291" s="220"/>
      <c r="B291" s="391" t="s">
        <v>357</v>
      </c>
      <c r="C291" s="208">
        <v>11.011558597816119</v>
      </c>
      <c r="D291" s="209">
        <v>5.2692832941745946</v>
      </c>
      <c r="E291" s="209">
        <v>11.209029193822671</v>
      </c>
      <c r="F291" s="209">
        <v>6.8002710967848587</v>
      </c>
      <c r="G291" s="209">
        <v>6.2410334509600798</v>
      </c>
      <c r="H291" s="209">
        <v>7.2907753824756609</v>
      </c>
      <c r="I291" s="209">
        <v>7.32</v>
      </c>
      <c r="J291" s="209">
        <v>10.015999577188088</v>
      </c>
      <c r="K291" s="209">
        <v>12.217175248999983</v>
      </c>
      <c r="L291" s="202">
        <v>17.404122192094334</v>
      </c>
      <c r="M291" s="209">
        <v>16.31048710397177</v>
      </c>
      <c r="N291" s="209">
        <v>13.797554014996875</v>
      </c>
      <c r="O291" s="209">
        <v>22.146823179323018</v>
      </c>
      <c r="P291" s="209">
        <v>21.882667955370167</v>
      </c>
      <c r="Q291" s="209">
        <v>16.640088447504219</v>
      </c>
      <c r="R291" s="209">
        <v>17.325020949647154</v>
      </c>
      <c r="S291" s="209">
        <v>18.662276721272203</v>
      </c>
      <c r="T291" s="209">
        <v>17.79080968966699</v>
      </c>
      <c r="U291" s="209">
        <v>19.156483607045715</v>
      </c>
      <c r="V291" s="209">
        <v>14.839615344721899</v>
      </c>
      <c r="W291" s="209">
        <v>12.400146666706798</v>
      </c>
      <c r="X291" s="202">
        <v>7.6667808963120665</v>
      </c>
      <c r="Y291" s="208">
        <v>7.4815176161491319</v>
      </c>
      <c r="Z291" s="209">
        <v>8.6094498827368202</v>
      </c>
      <c r="AA291" s="209">
        <v>7.9002601784080513</v>
      </c>
      <c r="AB291" s="209">
        <v>8.1164017244699931</v>
      </c>
      <c r="AC291" s="209">
        <v>5.0186197159028492</v>
      </c>
      <c r="AD291" s="202">
        <v>12.246827746036116</v>
      </c>
      <c r="AE291" s="210" t="s">
        <v>213</v>
      </c>
    </row>
    <row r="292" spans="1:31" ht="10.5" hidden="1" customHeight="1">
      <c r="A292" s="213"/>
      <c r="B292" s="392">
        <v>40915</v>
      </c>
      <c r="C292" s="208"/>
      <c r="D292" s="209"/>
      <c r="E292" s="209"/>
      <c r="F292" s="209"/>
      <c r="G292" s="209"/>
      <c r="H292" s="209"/>
      <c r="I292" s="209"/>
      <c r="J292" s="209"/>
      <c r="K292" s="209"/>
      <c r="L292" s="202"/>
      <c r="M292" s="209"/>
      <c r="N292" s="209"/>
      <c r="O292" s="209"/>
      <c r="P292" s="209"/>
      <c r="Q292" s="209"/>
      <c r="R292" s="209"/>
      <c r="S292" s="209"/>
      <c r="T292" s="209"/>
      <c r="U292" s="209"/>
      <c r="V292" s="209"/>
      <c r="W292" s="209"/>
      <c r="X292" s="209"/>
      <c r="Y292" s="208"/>
      <c r="Z292" s="209"/>
      <c r="AA292" s="209"/>
      <c r="AB292" s="209"/>
      <c r="AC292" s="209"/>
      <c r="AD292" s="202"/>
      <c r="AE292" s="397">
        <f>+B292</f>
        <v>40915</v>
      </c>
    </row>
    <row r="293" spans="1:31" ht="12" hidden="1" customHeight="1">
      <c r="A293" s="213"/>
      <c r="B293" s="391" t="s">
        <v>187</v>
      </c>
      <c r="C293" s="208">
        <v>10.32828696157139</v>
      </c>
      <c r="D293" s="209">
        <v>6.2520752340748595</v>
      </c>
      <c r="E293" s="209">
        <v>10.774112942548228</v>
      </c>
      <c r="F293" s="209">
        <v>9.5773764261586649</v>
      </c>
      <c r="G293" s="209">
        <v>4.5050449562205914</v>
      </c>
      <c r="H293" s="209">
        <v>7.4025732956332586</v>
      </c>
      <c r="I293" s="209">
        <v>7.8426598266570275</v>
      </c>
      <c r="J293" s="209">
        <v>10.32693163284967</v>
      </c>
      <c r="K293" s="209">
        <v>11.587272144872616</v>
      </c>
      <c r="L293" s="202">
        <v>12.987585712718641</v>
      </c>
      <c r="M293" s="209">
        <v>15.65159815388148</v>
      </c>
      <c r="N293" s="209">
        <v>13.739346577770059</v>
      </c>
      <c r="O293" s="209">
        <v>18.490801384726801</v>
      </c>
      <c r="P293" s="209">
        <v>20.012767667120229</v>
      </c>
      <c r="Q293" s="209">
        <v>16.497134615384617</v>
      </c>
      <c r="R293" s="209">
        <v>15.91179280898449</v>
      </c>
      <c r="S293" s="209">
        <v>13.821955786503011</v>
      </c>
      <c r="T293" s="209">
        <v>18.964018183616979</v>
      </c>
      <c r="U293" s="209">
        <v>17.522870085077702</v>
      </c>
      <c r="V293" s="209">
        <v>11.95388411990152</v>
      </c>
      <c r="W293" s="209">
        <v>8.6388673400621006</v>
      </c>
      <c r="X293" s="202">
        <v>7.6077650127055909</v>
      </c>
      <c r="Y293" s="208">
        <v>9.3021024444269056</v>
      </c>
      <c r="Z293" s="223">
        <v>5.1794871794871797</v>
      </c>
      <c r="AA293" s="209">
        <v>7.9147419446820644</v>
      </c>
      <c r="AB293" s="209">
        <v>11.090568181818181</v>
      </c>
      <c r="AC293" s="209">
        <v>11.020998847244291</v>
      </c>
      <c r="AD293" s="202">
        <v>9.1222351571594888</v>
      </c>
      <c r="AE293" s="210" t="s">
        <v>356</v>
      </c>
    </row>
    <row r="294" spans="1:31" ht="12" hidden="1" customHeight="1" thickBot="1">
      <c r="A294" s="220"/>
      <c r="B294" s="391" t="s">
        <v>357</v>
      </c>
      <c r="C294" s="208">
        <v>10.793325837993052</v>
      </c>
      <c r="D294" s="209">
        <v>5.1128874894459146</v>
      </c>
      <c r="E294" s="209">
        <v>10.984232430863429</v>
      </c>
      <c r="F294" s="209">
        <v>8.1444725324252598</v>
      </c>
      <c r="G294" s="209">
        <v>5.5152725722369729</v>
      </c>
      <c r="H294" s="209">
        <v>7.0165313151827853</v>
      </c>
      <c r="I294" s="209">
        <v>8.68</v>
      </c>
      <c r="J294" s="209">
        <v>9.8607087856885958</v>
      </c>
      <c r="K294" s="209">
        <v>11.940996282817975</v>
      </c>
      <c r="L294" s="202">
        <v>17.395767431929563</v>
      </c>
      <c r="M294" s="209">
        <v>15.443921649585358</v>
      </c>
      <c r="N294" s="209">
        <v>12.617930141551577</v>
      </c>
      <c r="O294" s="209">
        <v>21.938581189858681</v>
      </c>
      <c r="P294" s="209">
        <v>14.9860187502993</v>
      </c>
      <c r="Q294" s="209">
        <v>16.474438361964676</v>
      </c>
      <c r="R294" s="209">
        <v>16.758414387166404</v>
      </c>
      <c r="S294" s="209">
        <v>16.768026806006706</v>
      </c>
      <c r="T294" s="209">
        <v>17.258728161477247</v>
      </c>
      <c r="U294" s="209">
        <v>18.773564198699017</v>
      </c>
      <c r="V294" s="209">
        <v>14.02738877388939</v>
      </c>
      <c r="W294" s="209">
        <v>9.8124904586164075</v>
      </c>
      <c r="X294" s="202">
        <v>7.4126475857587701</v>
      </c>
      <c r="Y294" s="208">
        <v>7.2218266089664649</v>
      </c>
      <c r="Z294" s="209">
        <v>9.0042840087084759</v>
      </c>
      <c r="AA294" s="209">
        <v>9.1615173938112644</v>
      </c>
      <c r="AB294" s="209">
        <v>6.9005244511827231</v>
      </c>
      <c r="AC294" s="209">
        <v>4.257064046372145</v>
      </c>
      <c r="AD294" s="202">
        <v>12.246598132127859</v>
      </c>
      <c r="AE294" s="210" t="s">
        <v>213</v>
      </c>
    </row>
    <row r="295" spans="1:31" ht="10.5" hidden="1" customHeight="1">
      <c r="A295" s="213"/>
      <c r="B295" s="392">
        <v>40916</v>
      </c>
      <c r="C295" s="208"/>
      <c r="D295" s="209"/>
      <c r="E295" s="209"/>
      <c r="F295" s="209"/>
      <c r="G295" s="209"/>
      <c r="H295" s="209"/>
      <c r="I295" s="209"/>
      <c r="J295" s="209"/>
      <c r="K295" s="209"/>
      <c r="L295" s="202"/>
      <c r="M295" s="209"/>
      <c r="N295" s="209"/>
      <c r="O295" s="209"/>
      <c r="P295" s="209"/>
      <c r="Q295" s="209"/>
      <c r="R295" s="209"/>
      <c r="S295" s="209"/>
      <c r="T295" s="209"/>
      <c r="U295" s="209"/>
      <c r="V295" s="209"/>
      <c r="W295" s="209"/>
      <c r="X295" s="209"/>
      <c r="Y295" s="208"/>
      <c r="Z295" s="209"/>
      <c r="AA295" s="209"/>
      <c r="AB295" s="209"/>
      <c r="AC295" s="209"/>
      <c r="AD295" s="202"/>
      <c r="AE295" s="397">
        <f>+B295</f>
        <v>40916</v>
      </c>
    </row>
    <row r="296" spans="1:31" ht="12" hidden="1" customHeight="1">
      <c r="A296" s="213"/>
      <c r="B296" s="391" t="s">
        <v>187</v>
      </c>
      <c r="C296" s="208">
        <v>10.359047194517673</v>
      </c>
      <c r="D296" s="209">
        <v>7.0097953297145983</v>
      </c>
      <c r="E296" s="209">
        <v>10.665166053481141</v>
      </c>
      <c r="F296" s="209">
        <v>9.0758920759275874</v>
      </c>
      <c r="G296" s="209">
        <v>6.3628777969500101</v>
      </c>
      <c r="H296" s="209">
        <v>7.5034829493918638</v>
      </c>
      <c r="I296" s="209">
        <v>7.6600037701177683</v>
      </c>
      <c r="J296" s="209">
        <v>10.303092956166779</v>
      </c>
      <c r="K296" s="209">
        <v>11.077697351820451</v>
      </c>
      <c r="L296" s="202">
        <v>15.26</v>
      </c>
      <c r="M296" s="209">
        <v>15.605827807097635</v>
      </c>
      <c r="N296" s="209">
        <v>13.630110596733077</v>
      </c>
      <c r="O296" s="209">
        <v>18.544113762346054</v>
      </c>
      <c r="P296" s="209">
        <v>19.584232469722213</v>
      </c>
      <c r="Q296" s="209">
        <v>16.281323730000363</v>
      </c>
      <c r="R296" s="209">
        <v>15.213975138220325</v>
      </c>
      <c r="S296" s="209">
        <v>13.741657277036927</v>
      </c>
      <c r="T296" s="209">
        <v>19.120266665325168</v>
      </c>
      <c r="U296" s="209">
        <v>17.286295012534492</v>
      </c>
      <c r="V296" s="209">
        <v>12.114115237173534</v>
      </c>
      <c r="W296" s="209">
        <v>8.7112101327894962</v>
      </c>
      <c r="X296" s="202">
        <v>7.666903524079502</v>
      </c>
      <c r="Y296" s="208">
        <v>9.4324977561453842</v>
      </c>
      <c r="Z296" s="223">
        <v>6.9102564102564106</v>
      </c>
      <c r="AA296" s="209">
        <v>7.9141716566866265</v>
      </c>
      <c r="AB296" s="209">
        <v>11.276144578313254</v>
      </c>
      <c r="AC296" s="209">
        <v>10.728328972161744</v>
      </c>
      <c r="AD296" s="202">
        <v>8.9582358908644348</v>
      </c>
      <c r="AE296" s="210" t="s">
        <v>356</v>
      </c>
    </row>
    <row r="297" spans="1:31" ht="12" hidden="1" customHeight="1" thickBot="1">
      <c r="A297" s="220"/>
      <c r="B297" s="391" t="s">
        <v>357</v>
      </c>
      <c r="C297" s="208">
        <v>10.770296467193761</v>
      </c>
      <c r="D297" s="209">
        <v>4.4437821131277593</v>
      </c>
      <c r="E297" s="209">
        <v>10.975521345298196</v>
      </c>
      <c r="F297" s="209">
        <v>7.3533181821911189</v>
      </c>
      <c r="G297" s="209">
        <v>6.3600589954823272</v>
      </c>
      <c r="H297" s="209">
        <v>7.2980077382275743</v>
      </c>
      <c r="I297" s="209">
        <v>6.38</v>
      </c>
      <c r="J297" s="209">
        <v>9.757057459214364</v>
      </c>
      <c r="K297" s="209">
        <v>11.963156467023266</v>
      </c>
      <c r="L297" s="202">
        <v>17.92234129253249</v>
      </c>
      <c r="M297" s="209">
        <v>15.434881789276496</v>
      </c>
      <c r="N297" s="209">
        <v>12.557573112377909</v>
      </c>
      <c r="O297" s="209">
        <v>22.111495421301981</v>
      </c>
      <c r="P297" s="209">
        <v>18.254486897995196</v>
      </c>
      <c r="Q297" s="209">
        <v>15.786194776141963</v>
      </c>
      <c r="R297" s="209">
        <v>16.971738828764284</v>
      </c>
      <c r="S297" s="209">
        <v>16.493834830401536</v>
      </c>
      <c r="T297" s="209">
        <v>17.057897302877858</v>
      </c>
      <c r="U297" s="209">
        <v>18.841404013819513</v>
      </c>
      <c r="V297" s="209">
        <v>13.984442562005441</v>
      </c>
      <c r="W297" s="209">
        <v>9.9114746204258797</v>
      </c>
      <c r="X297" s="202">
        <v>7.4337979876884734</v>
      </c>
      <c r="Y297" s="208">
        <v>6.8285063272332271</v>
      </c>
      <c r="Z297" s="209">
        <v>7.8492876224398946</v>
      </c>
      <c r="AA297" s="209">
        <v>9.7638828046486452</v>
      </c>
      <c r="AB297" s="209">
        <v>5.9678387315142682</v>
      </c>
      <c r="AC297" s="209">
        <v>4.9014796102490079</v>
      </c>
      <c r="AD297" s="202">
        <v>17.209758792119313</v>
      </c>
      <c r="AE297" s="210" t="s">
        <v>213</v>
      </c>
    </row>
    <row r="298" spans="1:31" ht="10.5" hidden="1" customHeight="1">
      <c r="A298" s="213"/>
      <c r="B298" s="392">
        <v>40917</v>
      </c>
      <c r="C298" s="208"/>
      <c r="D298" s="209"/>
      <c r="E298" s="209"/>
      <c r="F298" s="209"/>
      <c r="G298" s="209"/>
      <c r="H298" s="209"/>
      <c r="I298" s="209"/>
      <c r="J298" s="209"/>
      <c r="K298" s="209"/>
      <c r="L298" s="202"/>
      <c r="M298" s="209"/>
      <c r="N298" s="209"/>
      <c r="O298" s="209"/>
      <c r="P298" s="209"/>
      <c r="Q298" s="209"/>
      <c r="R298" s="209"/>
      <c r="S298" s="209"/>
      <c r="T298" s="209"/>
      <c r="U298" s="209"/>
      <c r="V298" s="209"/>
      <c r="W298" s="209"/>
      <c r="X298" s="209"/>
      <c r="Y298" s="208"/>
      <c r="Z298" s="209"/>
      <c r="AA298" s="209"/>
      <c r="AB298" s="209"/>
      <c r="AC298" s="209"/>
      <c r="AD298" s="202"/>
      <c r="AE298" s="397">
        <f>+B298</f>
        <v>40917</v>
      </c>
    </row>
    <row r="299" spans="1:31" ht="12" hidden="1" customHeight="1">
      <c r="A299" s="213"/>
      <c r="B299" s="391" t="s">
        <v>187</v>
      </c>
      <c r="C299" s="208">
        <v>10.310056038454373</v>
      </c>
      <c r="D299" s="209">
        <v>6.88486826938819</v>
      </c>
      <c r="E299" s="209">
        <v>10.638747475010177</v>
      </c>
      <c r="F299" s="209">
        <v>9.1694490094880745</v>
      </c>
      <c r="G299" s="209">
        <v>5.4363518943781797</v>
      </c>
      <c r="H299" s="209">
        <v>6.9139921109489819</v>
      </c>
      <c r="I299" s="209">
        <v>7.5682194395863105</v>
      </c>
      <c r="J299" s="209">
        <v>10.211892487009337</v>
      </c>
      <c r="K299" s="209">
        <v>11.269907047273243</v>
      </c>
      <c r="L299" s="202">
        <v>15.229999999999999</v>
      </c>
      <c r="M299" s="209">
        <v>15.386542759202586</v>
      </c>
      <c r="N299" s="209">
        <v>13.313752694645366</v>
      </c>
      <c r="O299" s="209">
        <v>18.558137361784201</v>
      </c>
      <c r="P299" s="209">
        <v>20.528292135301125</v>
      </c>
      <c r="Q299" s="209">
        <v>16.023646917267229</v>
      </c>
      <c r="R299" s="209">
        <v>15.26993981951895</v>
      </c>
      <c r="S299" s="209">
        <v>13.996167872058674</v>
      </c>
      <c r="T299" s="209">
        <v>18.781938763160518</v>
      </c>
      <c r="U299" s="209">
        <v>16.875962063672503</v>
      </c>
      <c r="V299" s="209">
        <v>12.191593348708494</v>
      </c>
      <c r="W299" s="209">
        <v>8.6197117806318424</v>
      </c>
      <c r="X299" s="202">
        <v>7.6012214734696189</v>
      </c>
      <c r="Y299" s="208">
        <v>8.3603889957522277</v>
      </c>
      <c r="Z299" s="223">
        <v>3</v>
      </c>
      <c r="AA299" s="209">
        <v>8.186674160109904</v>
      </c>
      <c r="AB299" s="209">
        <v>6.4444444444444446</v>
      </c>
      <c r="AC299" s="209">
        <v>10.268771983483713</v>
      </c>
      <c r="AD299" s="202">
        <v>8.586450973100284</v>
      </c>
      <c r="AE299" s="210" t="s">
        <v>356</v>
      </c>
    </row>
    <row r="300" spans="1:31" ht="12" hidden="1" customHeight="1" thickBot="1">
      <c r="A300" s="220"/>
      <c r="B300" s="391" t="s">
        <v>357</v>
      </c>
      <c r="C300" s="208">
        <v>10.76730146378042</v>
      </c>
      <c r="D300" s="209">
        <v>5.3210243679308018</v>
      </c>
      <c r="E300" s="209">
        <v>10.953911835808951</v>
      </c>
      <c r="F300" s="209">
        <v>7.1868585575823252</v>
      </c>
      <c r="G300" s="209">
        <v>6.2788328653609087</v>
      </c>
      <c r="H300" s="209">
        <v>7.1268593205032396</v>
      </c>
      <c r="I300" s="209">
        <v>7.35</v>
      </c>
      <c r="J300" s="209">
        <v>9.7359095946605994</v>
      </c>
      <c r="K300" s="209">
        <v>11.955020417816115</v>
      </c>
      <c r="L300" s="202">
        <v>17.88406860498112</v>
      </c>
      <c r="M300" s="209">
        <v>15.521302677934335</v>
      </c>
      <c r="N300" s="209">
        <v>12.461134274591013</v>
      </c>
      <c r="O300" s="209">
        <v>22.311992927509682</v>
      </c>
      <c r="P300" s="209">
        <v>19.256786502379619</v>
      </c>
      <c r="Q300" s="209">
        <v>15.747743119750673</v>
      </c>
      <c r="R300" s="209">
        <v>17.355813609321896</v>
      </c>
      <c r="S300" s="209">
        <v>15.532802020578181</v>
      </c>
      <c r="T300" s="209">
        <v>17.323137839530958</v>
      </c>
      <c r="U300" s="209">
        <v>18.881362155877365</v>
      </c>
      <c r="V300" s="209">
        <v>13.948310658433513</v>
      </c>
      <c r="W300" s="209">
        <v>10.176712702550267</v>
      </c>
      <c r="X300" s="202">
        <v>7.1277981437009155</v>
      </c>
      <c r="Y300" s="208">
        <v>6.7117263794963895</v>
      </c>
      <c r="Z300" s="209">
        <v>5.8339123396391299</v>
      </c>
      <c r="AA300" s="209">
        <v>7.4855351056578057</v>
      </c>
      <c r="AB300" s="209">
        <v>8.4980934773817101</v>
      </c>
      <c r="AC300" s="209">
        <v>4.9771314600621581</v>
      </c>
      <c r="AD300" s="202">
        <v>17.210004788742772</v>
      </c>
      <c r="AE300" s="210" t="s">
        <v>213</v>
      </c>
    </row>
    <row r="301" spans="1:31" ht="10.5" hidden="1" customHeight="1">
      <c r="A301" s="213"/>
      <c r="B301" s="392">
        <v>40918</v>
      </c>
      <c r="C301" s="208"/>
      <c r="D301" s="209"/>
      <c r="E301" s="209"/>
      <c r="F301" s="209"/>
      <c r="G301" s="209"/>
      <c r="H301" s="209"/>
      <c r="I301" s="209"/>
      <c r="J301" s="209"/>
      <c r="K301" s="209"/>
      <c r="L301" s="202"/>
      <c r="M301" s="209"/>
      <c r="N301" s="209"/>
      <c r="O301" s="209"/>
      <c r="P301" s="209"/>
      <c r="Q301" s="209"/>
      <c r="R301" s="209"/>
      <c r="S301" s="209"/>
      <c r="T301" s="209"/>
      <c r="U301" s="209"/>
      <c r="V301" s="209"/>
      <c r="W301" s="209"/>
      <c r="X301" s="209"/>
      <c r="Y301" s="208"/>
      <c r="Z301" s="209"/>
      <c r="AA301" s="209"/>
      <c r="AB301" s="209"/>
      <c r="AC301" s="209"/>
      <c r="AD301" s="202"/>
      <c r="AE301" s="397">
        <f>+B301</f>
        <v>40918</v>
      </c>
    </row>
    <row r="302" spans="1:31" ht="12" hidden="1" customHeight="1">
      <c r="A302" s="213"/>
      <c r="B302" s="391" t="s">
        <v>187</v>
      </c>
      <c r="C302" s="208">
        <v>10.211301593280011</v>
      </c>
      <c r="D302" s="209">
        <v>6.9697278207915829</v>
      </c>
      <c r="E302" s="209">
        <v>10.531491644690613</v>
      </c>
      <c r="F302" s="209">
        <v>8.1362607597555119</v>
      </c>
      <c r="G302" s="209">
        <v>6.36579097697122</v>
      </c>
      <c r="H302" s="209">
        <v>6.919215636844406</v>
      </c>
      <c r="I302" s="209">
        <v>7.8003236342850935</v>
      </c>
      <c r="J302" s="209">
        <v>10.153467596892254</v>
      </c>
      <c r="K302" s="209">
        <v>11.06973445252642</v>
      </c>
      <c r="L302" s="202">
        <v>15.221457750193654</v>
      </c>
      <c r="M302" s="209">
        <v>15.427573653039792</v>
      </c>
      <c r="N302" s="209">
        <v>13.465374692758541</v>
      </c>
      <c r="O302" s="209">
        <v>18.481032752326954</v>
      </c>
      <c r="P302" s="209">
        <v>19.040996976022999</v>
      </c>
      <c r="Q302" s="209">
        <v>16.142700755388294</v>
      </c>
      <c r="R302" s="209">
        <v>15.516630414435586</v>
      </c>
      <c r="S302" s="209">
        <v>14.418646502136358</v>
      </c>
      <c r="T302" s="209">
        <v>18.809701197357576</v>
      </c>
      <c r="U302" s="209">
        <v>16.755299067237708</v>
      </c>
      <c r="V302" s="209">
        <v>12.073831585255659</v>
      </c>
      <c r="W302" s="209">
        <v>8.3834491570878491</v>
      </c>
      <c r="X302" s="202">
        <v>7.2094036119277609</v>
      </c>
      <c r="Y302" s="208">
        <v>8.506045031161424</v>
      </c>
      <c r="Z302" s="223">
        <v>4.458333333333333</v>
      </c>
      <c r="AA302" s="209">
        <v>8.2285714285714278</v>
      </c>
      <c r="AB302" s="209">
        <v>6.9795918367346941</v>
      </c>
      <c r="AC302" s="209">
        <v>10.555905013192611</v>
      </c>
      <c r="AD302" s="202">
        <v>8.7068969992731802</v>
      </c>
      <c r="AE302" s="210" t="s">
        <v>356</v>
      </c>
    </row>
    <row r="303" spans="1:31" ht="14.25" hidden="1" customHeight="1" thickBot="1">
      <c r="A303" s="220"/>
      <c r="B303" s="391" t="s">
        <v>357</v>
      </c>
      <c r="C303" s="208">
        <v>10.493164881112145</v>
      </c>
      <c r="D303" s="209">
        <v>4.2689779700784465</v>
      </c>
      <c r="E303" s="209">
        <v>10.818892911718407</v>
      </c>
      <c r="F303" s="209">
        <v>7.5077968221459317</v>
      </c>
      <c r="G303" s="209">
        <v>5.7929459402608332</v>
      </c>
      <c r="H303" s="209">
        <v>7.1379662437020333</v>
      </c>
      <c r="I303" s="209">
        <v>5.3568437674080389</v>
      </c>
      <c r="J303" s="209">
        <v>9.6765054535196633</v>
      </c>
      <c r="K303" s="209">
        <v>11.798594812519939</v>
      </c>
      <c r="L303" s="202">
        <v>17.78618539914795</v>
      </c>
      <c r="M303" s="209">
        <v>15.526073106153257</v>
      </c>
      <c r="N303" s="209">
        <v>12.36834602387764</v>
      </c>
      <c r="O303" s="209">
        <v>22.422363944312877</v>
      </c>
      <c r="P303" s="209">
        <v>18.61173244663367</v>
      </c>
      <c r="Q303" s="209">
        <v>16.710503964092712</v>
      </c>
      <c r="R303" s="209">
        <v>16.839970792321587</v>
      </c>
      <c r="S303" s="209">
        <v>15.284913353852522</v>
      </c>
      <c r="T303" s="209">
        <v>17.021180456495877</v>
      </c>
      <c r="U303" s="209">
        <v>19.1050232235098</v>
      </c>
      <c r="V303" s="209">
        <v>13.912623059178642</v>
      </c>
      <c r="W303" s="209">
        <v>10.525180880308973</v>
      </c>
      <c r="X303" s="202">
        <v>6.9285822687257319</v>
      </c>
      <c r="Y303" s="208">
        <v>5.7833194873034008</v>
      </c>
      <c r="Z303" s="209">
        <v>3.6792280059167428</v>
      </c>
      <c r="AA303" s="209">
        <v>7.5402123349721606</v>
      </c>
      <c r="AB303" s="209">
        <v>8.2127791925043248</v>
      </c>
      <c r="AC303" s="209">
        <v>4.3976226187011713</v>
      </c>
      <c r="AD303" s="202">
        <v>17.20999115826702</v>
      </c>
      <c r="AE303" s="210" t="s">
        <v>213</v>
      </c>
    </row>
    <row r="304" spans="1:31" ht="10.5" hidden="1" customHeight="1">
      <c r="A304" s="213"/>
      <c r="B304" s="392">
        <v>40919</v>
      </c>
      <c r="C304" s="208"/>
      <c r="D304" s="209"/>
      <c r="E304" s="209"/>
      <c r="F304" s="209"/>
      <c r="G304" s="209"/>
      <c r="H304" s="209"/>
      <c r="I304" s="209"/>
      <c r="J304" s="209"/>
      <c r="K304" s="209"/>
      <c r="L304" s="202"/>
      <c r="M304" s="209"/>
      <c r="N304" s="209"/>
      <c r="O304" s="209"/>
      <c r="P304" s="209"/>
      <c r="Q304" s="209"/>
      <c r="R304" s="209"/>
      <c r="S304" s="209"/>
      <c r="T304" s="209"/>
      <c r="U304" s="209"/>
      <c r="V304" s="209"/>
      <c r="W304" s="209"/>
      <c r="X304" s="209"/>
      <c r="Y304" s="208"/>
      <c r="Z304" s="209"/>
      <c r="AA304" s="209"/>
      <c r="AB304" s="209"/>
      <c r="AC304" s="209"/>
      <c r="AD304" s="202"/>
      <c r="AE304" s="397">
        <f>+B304</f>
        <v>40919</v>
      </c>
    </row>
    <row r="305" spans="1:31" ht="12" hidden="1" customHeight="1">
      <c r="A305" s="213"/>
      <c r="B305" s="391" t="s">
        <v>187</v>
      </c>
      <c r="C305" s="208">
        <v>10.080689226712016</v>
      </c>
      <c r="D305" s="209">
        <v>6.9603853767541448</v>
      </c>
      <c r="E305" s="209">
        <v>10.370942184864951</v>
      </c>
      <c r="F305" s="209">
        <v>9.2532605579446461</v>
      </c>
      <c r="G305" s="209">
        <v>6.4073626493205014</v>
      </c>
      <c r="H305" s="209">
        <v>6.8766349309748698</v>
      </c>
      <c r="I305" s="209">
        <v>7.8499962320686842</v>
      </c>
      <c r="J305" s="209">
        <v>9.9307673874098477</v>
      </c>
      <c r="K305" s="209">
        <v>11.028896319188103</v>
      </c>
      <c r="L305" s="202">
        <v>15.050671536899825</v>
      </c>
      <c r="M305" s="209">
        <v>15.214407382672235</v>
      </c>
      <c r="N305" s="209">
        <v>13.119958095294493</v>
      </c>
      <c r="O305" s="209">
        <v>18.536130533883124</v>
      </c>
      <c r="P305" s="209">
        <v>12.694132312151911</v>
      </c>
      <c r="Q305" s="209">
        <v>16.983119688079615</v>
      </c>
      <c r="R305" s="209">
        <v>15.898604967783575</v>
      </c>
      <c r="S305" s="209">
        <v>14.450936968910014</v>
      </c>
      <c r="T305" s="209">
        <v>18.299408853768128</v>
      </c>
      <c r="U305" s="209">
        <v>16.842809653389789</v>
      </c>
      <c r="V305" s="209">
        <v>12.211045633904721</v>
      </c>
      <c r="W305" s="209">
        <v>8.1830307636555215</v>
      </c>
      <c r="X305" s="202">
        <v>7.560373880885856</v>
      </c>
      <c r="Y305" s="208">
        <v>8.7486863169482163</v>
      </c>
      <c r="Z305" s="223">
        <v>5.0262732919254658</v>
      </c>
      <c r="AA305" s="209">
        <v>6.4848686398403723</v>
      </c>
      <c r="AB305" s="209">
        <v>5.6470588235294121</v>
      </c>
      <c r="AC305" s="209">
        <v>11.052991809807356</v>
      </c>
      <c r="AD305" s="202">
        <v>10.270892975459738</v>
      </c>
      <c r="AE305" s="210" t="s">
        <v>356</v>
      </c>
    </row>
    <row r="306" spans="1:31" ht="12" hidden="1" customHeight="1" thickBot="1">
      <c r="A306" s="220"/>
      <c r="B306" s="391" t="s">
        <v>357</v>
      </c>
      <c r="C306" s="208">
        <v>10.300958135140972</v>
      </c>
      <c r="D306" s="209">
        <v>3.7882308826049225</v>
      </c>
      <c r="E306" s="209">
        <v>10.844540147272028</v>
      </c>
      <c r="F306" s="209">
        <v>7.3774882494166976</v>
      </c>
      <c r="G306" s="209">
        <v>5.5707331975560086</v>
      </c>
      <c r="H306" s="209">
        <v>4.9157071177443017</v>
      </c>
      <c r="I306" s="209">
        <v>5.3600463485495169</v>
      </c>
      <c r="J306" s="209">
        <v>9.6726279390644994</v>
      </c>
      <c r="K306" s="209">
        <v>11.868830979202873</v>
      </c>
      <c r="L306" s="202">
        <v>17.640622977346279</v>
      </c>
      <c r="M306" s="209">
        <v>15.454166158651386</v>
      </c>
      <c r="N306" s="209">
        <v>12.387015383805823</v>
      </c>
      <c r="O306" s="209">
        <v>21.923510285709572</v>
      </c>
      <c r="P306" s="209">
        <v>16.96551305858603</v>
      </c>
      <c r="Q306" s="209">
        <v>16.321933461984592</v>
      </c>
      <c r="R306" s="209">
        <v>17.013744652240838</v>
      </c>
      <c r="S306" s="209">
        <v>14.734348695953052</v>
      </c>
      <c r="T306" s="209">
        <v>16.629577505361318</v>
      </c>
      <c r="U306" s="209">
        <v>19.160211462596216</v>
      </c>
      <c r="V306" s="209">
        <v>14.133425546066812</v>
      </c>
      <c r="W306" s="209">
        <v>10.336624764854182</v>
      </c>
      <c r="X306" s="202">
        <v>6.7295107738102606</v>
      </c>
      <c r="Y306" s="208">
        <v>5.5561578113859413</v>
      </c>
      <c r="Z306" s="209">
        <v>4.192778467471407</v>
      </c>
      <c r="AA306" s="209">
        <v>6.4458815520762425</v>
      </c>
      <c r="AB306" s="209">
        <v>8.3636843717324485</v>
      </c>
      <c r="AC306" s="209">
        <v>3.9689652803674118</v>
      </c>
      <c r="AD306" s="202">
        <v>13.479567527945758</v>
      </c>
      <c r="AE306" s="210" t="s">
        <v>213</v>
      </c>
    </row>
    <row r="307" spans="1:31" ht="10.5" hidden="1" customHeight="1">
      <c r="A307" s="213"/>
      <c r="B307" s="392">
        <v>40920</v>
      </c>
      <c r="C307" s="208"/>
      <c r="D307" s="209"/>
      <c r="E307" s="209"/>
      <c r="F307" s="209"/>
      <c r="G307" s="209"/>
      <c r="H307" s="209"/>
      <c r="I307" s="209"/>
      <c r="J307" s="209"/>
      <c r="K307" s="209"/>
      <c r="L307" s="202"/>
      <c r="M307" s="209"/>
      <c r="N307" s="209"/>
      <c r="O307" s="209"/>
      <c r="P307" s="209"/>
      <c r="Q307" s="209"/>
      <c r="R307" s="209"/>
      <c r="S307" s="209"/>
      <c r="T307" s="209"/>
      <c r="U307" s="209"/>
      <c r="V307" s="209"/>
      <c r="W307" s="209"/>
      <c r="X307" s="209"/>
      <c r="Y307" s="208"/>
      <c r="Z307" s="209"/>
      <c r="AA307" s="209"/>
      <c r="AB307" s="209"/>
      <c r="AC307" s="209"/>
      <c r="AD307" s="202"/>
      <c r="AE307" s="397">
        <f>+B307</f>
        <v>40920</v>
      </c>
    </row>
    <row r="308" spans="1:31" ht="12" hidden="1" customHeight="1">
      <c r="A308" s="213"/>
      <c r="B308" s="391" t="s">
        <v>187</v>
      </c>
      <c r="C308" s="208">
        <v>10.043775294827034</v>
      </c>
      <c r="D308" s="209">
        <v>6.7365786821635245</v>
      </c>
      <c r="E308" s="209">
        <v>10.369642731213707</v>
      </c>
      <c r="F308" s="209">
        <v>7.9030248964204395</v>
      </c>
      <c r="G308" s="209">
        <v>6.3483584807593862</v>
      </c>
      <c r="H308" s="209">
        <v>7.6983145345468751</v>
      </c>
      <c r="I308" s="209">
        <v>7.8780787613000589</v>
      </c>
      <c r="J308" s="209">
        <v>10.045527055172128</v>
      </c>
      <c r="K308" s="209">
        <v>10.822686620623678</v>
      </c>
      <c r="L308" s="202">
        <v>14.48121513238514</v>
      </c>
      <c r="M308" s="209">
        <v>15.135070998448523</v>
      </c>
      <c r="N308" s="209">
        <v>13.058855529500985</v>
      </c>
      <c r="O308" s="209">
        <v>18.366861093606939</v>
      </c>
      <c r="P308" s="209">
        <v>18.547557475125068</v>
      </c>
      <c r="Q308" s="209">
        <v>16.671822252103553</v>
      </c>
      <c r="R308" s="209">
        <v>15.959342526109104</v>
      </c>
      <c r="S308" s="209">
        <v>14.498748837393531</v>
      </c>
      <c r="T308" s="209">
        <v>18.625880850093488</v>
      </c>
      <c r="U308" s="209">
        <v>16.817851917784338</v>
      </c>
      <c r="V308" s="209">
        <v>11.912258696510593</v>
      </c>
      <c r="W308" s="209">
        <v>7.8305744031102069</v>
      </c>
      <c r="X308" s="202">
        <v>7.814107028973365</v>
      </c>
      <c r="Y308" s="208">
        <v>9.0434566229883746</v>
      </c>
      <c r="Z308" s="223">
        <v>4.9012345679012341</v>
      </c>
      <c r="AA308" s="209">
        <v>7.8534031413612562</v>
      </c>
      <c r="AB308" s="209">
        <v>8.6315789473684212</v>
      </c>
      <c r="AC308" s="209">
        <v>10.835711125857109</v>
      </c>
      <c r="AD308" s="202">
        <v>10.416360597071149</v>
      </c>
      <c r="AE308" s="210" t="s">
        <v>356</v>
      </c>
    </row>
    <row r="309" spans="1:31" ht="12" hidden="1" customHeight="1" thickBot="1">
      <c r="A309" s="220"/>
      <c r="B309" s="391" t="s">
        <v>357</v>
      </c>
      <c r="C309" s="208">
        <v>10.286572524726303</v>
      </c>
      <c r="D309" s="209">
        <v>3.7575704877610581</v>
      </c>
      <c r="E309" s="209">
        <v>10.836539138845092</v>
      </c>
      <c r="F309" s="209">
        <v>7.0510142704052914</v>
      </c>
      <c r="G309" s="209">
        <v>5.6703304103869856</v>
      </c>
      <c r="H309" s="209">
        <v>4.386855673043291</v>
      </c>
      <c r="I309" s="209">
        <v>5.4738383980595708</v>
      </c>
      <c r="J309" s="209">
        <v>9.6280723044761487</v>
      </c>
      <c r="K309" s="209">
        <v>11.865905826383999</v>
      </c>
      <c r="L309" s="202">
        <v>17.379552525510483</v>
      </c>
      <c r="M309" s="209">
        <v>15.623024936514769</v>
      </c>
      <c r="N309" s="209">
        <v>12.806142071544352</v>
      </c>
      <c r="O309" s="209">
        <v>21.834710343278726</v>
      </c>
      <c r="P309" s="209">
        <v>16.646607858479921</v>
      </c>
      <c r="Q309" s="209">
        <v>16.233301935439513</v>
      </c>
      <c r="R309" s="209">
        <v>17.544583483628248</v>
      </c>
      <c r="S309" s="209">
        <v>13.393091458067847</v>
      </c>
      <c r="T309" s="209">
        <v>17.066402575729974</v>
      </c>
      <c r="U309" s="209">
        <v>19.365574136859465</v>
      </c>
      <c r="V309" s="209">
        <v>14.088944139128669</v>
      </c>
      <c r="W309" s="209">
        <v>10.646367522183901</v>
      </c>
      <c r="X309" s="202">
        <v>6.6086268113959585</v>
      </c>
      <c r="Y309" s="208">
        <v>5.3892096618450287</v>
      </c>
      <c r="Z309" s="209">
        <v>4.127046296487924</v>
      </c>
      <c r="AA309" s="209">
        <v>1</v>
      </c>
      <c r="AB309" s="209">
        <v>8.1839500291143938</v>
      </c>
      <c r="AC309" s="209">
        <v>4.2812588726057612</v>
      </c>
      <c r="AD309" s="202">
        <v>13.479346631066438</v>
      </c>
      <c r="AE309" s="210" t="s">
        <v>213</v>
      </c>
    </row>
    <row r="310" spans="1:31" ht="10.5" customHeight="1">
      <c r="A310" s="213"/>
      <c r="B310" s="392">
        <v>41275</v>
      </c>
      <c r="C310" s="208"/>
      <c r="D310" s="209"/>
      <c r="E310" s="209"/>
      <c r="F310" s="209"/>
      <c r="G310" s="209"/>
      <c r="H310" s="209"/>
      <c r="I310" s="209"/>
      <c r="J310" s="209"/>
      <c r="K310" s="209"/>
      <c r="L310" s="202"/>
      <c r="M310" s="209"/>
      <c r="N310" s="209"/>
      <c r="O310" s="209"/>
      <c r="P310" s="209"/>
      <c r="Q310" s="209"/>
      <c r="R310" s="209"/>
      <c r="S310" s="209"/>
      <c r="T310" s="209"/>
      <c r="U310" s="209"/>
      <c r="V310" s="209"/>
      <c r="W310" s="209"/>
      <c r="X310" s="209"/>
      <c r="Y310" s="208"/>
      <c r="Z310" s="209"/>
      <c r="AA310" s="209"/>
      <c r="AB310" s="209"/>
      <c r="AC310" s="209"/>
      <c r="AD310" s="202"/>
      <c r="AE310" s="397">
        <f>+B310</f>
        <v>41275</v>
      </c>
    </row>
    <row r="311" spans="1:31" ht="12" customHeight="1">
      <c r="A311" s="213"/>
      <c r="B311" s="391" t="s">
        <v>187</v>
      </c>
      <c r="C311" s="208">
        <v>9.988228333452696</v>
      </c>
      <c r="D311" s="209">
        <v>6.952853647920592</v>
      </c>
      <c r="E311" s="209">
        <v>10.249739926374248</v>
      </c>
      <c r="F311" s="209">
        <v>8.3611651832644185</v>
      </c>
      <c r="G311" s="209">
        <v>6.3175543445060693</v>
      </c>
      <c r="H311" s="209">
        <v>7.7992254114656436</v>
      </c>
      <c r="I311" s="209">
        <v>8.0565584916128703</v>
      </c>
      <c r="J311" s="209">
        <v>10.056311534712687</v>
      </c>
      <c r="K311" s="209">
        <v>10.602799100453558</v>
      </c>
      <c r="L311" s="202">
        <v>14.67215235586041</v>
      </c>
      <c r="M311" s="209">
        <v>15.199658989674417</v>
      </c>
      <c r="N311" s="209">
        <v>13.318360730531515</v>
      </c>
      <c r="O311" s="209">
        <v>18.24614893332566</v>
      </c>
      <c r="P311" s="209">
        <v>18.792970049434579</v>
      </c>
      <c r="Q311" s="209">
        <v>16.263822326519517</v>
      </c>
      <c r="R311" s="209">
        <v>15.754163685978623</v>
      </c>
      <c r="S311" s="209">
        <v>14.358474882211951</v>
      </c>
      <c r="T311" s="209">
        <v>18.877662561270089</v>
      </c>
      <c r="U311" s="209">
        <v>16.555011070932331</v>
      </c>
      <c r="V311" s="209">
        <v>12.225718994892567</v>
      </c>
      <c r="W311" s="209">
        <v>8.6737669797738359</v>
      </c>
      <c r="X311" s="202">
        <v>7.9257748455304853</v>
      </c>
      <c r="Y311" s="208">
        <v>9.1472313789692627</v>
      </c>
      <c r="Z311" s="223">
        <v>3.1999999999999997</v>
      </c>
      <c r="AA311" s="209">
        <v>7.6248950461796809</v>
      </c>
      <c r="AB311" s="209">
        <v>9.5724259387382862</v>
      </c>
      <c r="AC311" s="209">
        <v>10.448880254630957</v>
      </c>
      <c r="AD311" s="202">
        <v>10.351481216225014</v>
      </c>
      <c r="AE311" s="210" t="s">
        <v>356</v>
      </c>
    </row>
    <row r="312" spans="1:31" ht="12" customHeight="1" thickBot="1">
      <c r="A312" s="220"/>
      <c r="B312" s="391" t="s">
        <v>357</v>
      </c>
      <c r="C312" s="208">
        <v>10.178710726478325</v>
      </c>
      <c r="D312" s="209">
        <v>3.6885317049896607</v>
      </c>
      <c r="E312" s="209">
        <v>10.751312632735752</v>
      </c>
      <c r="F312" s="209">
        <v>11.000845396119887</v>
      </c>
      <c r="G312" s="209">
        <v>4.6275620052770448</v>
      </c>
      <c r="H312" s="209">
        <v>4.4049812673229471</v>
      </c>
      <c r="I312" s="209">
        <v>4.672047122683197</v>
      </c>
      <c r="J312" s="209">
        <v>9.54603030569589</v>
      </c>
      <c r="K312" s="209">
        <v>11.586920938520425</v>
      </c>
      <c r="L312" s="202">
        <v>17.275002559262052</v>
      </c>
      <c r="M312" s="209">
        <v>15.801385800700732</v>
      </c>
      <c r="N312" s="209">
        <v>13.219944520354893</v>
      </c>
      <c r="O312" s="209">
        <v>22.06348592484731</v>
      </c>
      <c r="P312" s="209">
        <v>16.494362398484537</v>
      </c>
      <c r="Q312" s="209">
        <v>17.43323190111359</v>
      </c>
      <c r="R312" s="209">
        <v>15.85176285292917</v>
      </c>
      <c r="S312" s="209">
        <v>13.401324953741296</v>
      </c>
      <c r="T312" s="209">
        <v>18.661020158850775</v>
      </c>
      <c r="U312" s="209">
        <v>19.432630956739104</v>
      </c>
      <c r="V312" s="209">
        <v>12.915073107898008</v>
      </c>
      <c r="W312" s="209">
        <v>10.733737231671977</v>
      </c>
      <c r="X312" s="202">
        <v>6.8056783121597091</v>
      </c>
      <c r="Y312" s="208">
        <v>5.6043901957480395</v>
      </c>
      <c r="Z312" s="209">
        <v>4.6483853126971377</v>
      </c>
      <c r="AA312" s="209">
        <v>1</v>
      </c>
      <c r="AB312" s="209">
        <v>8.0971080168081073</v>
      </c>
      <c r="AC312" s="209">
        <v>4.434334808916363</v>
      </c>
      <c r="AD312" s="202">
        <v>17.210016214622641</v>
      </c>
      <c r="AE312" s="210" t="s">
        <v>213</v>
      </c>
    </row>
    <row r="313" spans="1:31" ht="12" hidden="1" customHeight="1">
      <c r="A313" s="213"/>
      <c r="B313" s="392">
        <v>41276</v>
      </c>
      <c r="C313" s="208"/>
      <c r="D313" s="209"/>
      <c r="E313" s="209"/>
      <c r="F313" s="209"/>
      <c r="G313" s="209"/>
      <c r="H313" s="209"/>
      <c r="I313" s="209"/>
      <c r="J313" s="209"/>
      <c r="K313" s="209"/>
      <c r="L313" s="202"/>
      <c r="M313" s="209"/>
      <c r="N313" s="209"/>
      <c r="O313" s="209"/>
      <c r="P313" s="209"/>
      <c r="Q313" s="209"/>
      <c r="R313" s="209"/>
      <c r="S313" s="209"/>
      <c r="T313" s="209"/>
      <c r="U313" s="209"/>
      <c r="V313" s="209"/>
      <c r="W313" s="209"/>
      <c r="X313" s="209"/>
      <c r="Y313" s="208"/>
      <c r="Z313" s="209"/>
      <c r="AA313" s="209"/>
      <c r="AB313" s="209"/>
      <c r="AC313" s="209"/>
      <c r="AD313" s="202"/>
      <c r="AE313" s="397">
        <f>+B313</f>
        <v>41276</v>
      </c>
    </row>
    <row r="314" spans="1:31" ht="12" hidden="1" customHeight="1">
      <c r="A314" s="213"/>
      <c r="B314" s="391" t="s">
        <v>187</v>
      </c>
      <c r="C314" s="208">
        <v>9.8783592570438827</v>
      </c>
      <c r="D314" s="209">
        <v>6.6449127189547932</v>
      </c>
      <c r="E314" s="209">
        <v>10.221221926246397</v>
      </c>
      <c r="F314" s="209">
        <v>8.7048963326647062</v>
      </c>
      <c r="G314" s="209">
        <v>6.6797528947057296</v>
      </c>
      <c r="H314" s="209">
        <v>7.9433362744522444</v>
      </c>
      <c r="I314" s="209">
        <v>8.4153112951592117</v>
      </c>
      <c r="J314" s="209">
        <v>9.8443944216956591</v>
      </c>
      <c r="K314" s="209">
        <v>10.551754886576834</v>
      </c>
      <c r="L314" s="202">
        <v>16.570037063778578</v>
      </c>
      <c r="M314" s="209">
        <v>15.352173661952207</v>
      </c>
      <c r="N314" s="209">
        <v>13.31645310167421</v>
      </c>
      <c r="O314" s="209">
        <v>18.530706603983436</v>
      </c>
      <c r="P314" s="209">
        <v>17.976965024163729</v>
      </c>
      <c r="Q314" s="209">
        <v>16.136377274854034</v>
      </c>
      <c r="R314" s="209">
        <v>16.221564355888848</v>
      </c>
      <c r="S314" s="209">
        <v>14.430821941368315</v>
      </c>
      <c r="T314" s="209">
        <v>18.896973714168638</v>
      </c>
      <c r="U314" s="209">
        <v>16.671208849951888</v>
      </c>
      <c r="V314" s="209">
        <v>12.564082583635026</v>
      </c>
      <c r="W314" s="209">
        <v>9.2225095059532638</v>
      </c>
      <c r="X314" s="209">
        <v>8.1428866118858565</v>
      </c>
      <c r="Y314" s="208">
        <v>8.237982734210803</v>
      </c>
      <c r="Z314" s="209">
        <v>6.9072727272727299</v>
      </c>
      <c r="AA314" s="209">
        <v>7.0191977524582496</v>
      </c>
      <c r="AB314" s="209">
        <v>10.0489260143198</v>
      </c>
      <c r="AC314" s="209">
        <v>9.86995204500586</v>
      </c>
      <c r="AD314" s="202">
        <v>7.7504413876664202</v>
      </c>
      <c r="AE314" s="210" t="s">
        <v>356</v>
      </c>
    </row>
    <row r="315" spans="1:31" ht="12" hidden="1" customHeight="1">
      <c r="A315" s="213"/>
      <c r="B315" s="391" t="s">
        <v>357</v>
      </c>
      <c r="C315" s="208">
        <v>10.34577778455035</v>
      </c>
      <c r="D315" s="209">
        <v>4.4778720215932086</v>
      </c>
      <c r="E315" s="209">
        <v>10.714247613702417</v>
      </c>
      <c r="F315" s="209">
        <v>6.9328140221569301</v>
      </c>
      <c r="G315" s="209">
        <v>5.6244360871182355</v>
      </c>
      <c r="H315" s="209">
        <v>7.1878949540006642</v>
      </c>
      <c r="I315" s="209">
        <v>5.2096805251016631</v>
      </c>
      <c r="J315" s="209">
        <v>9.5902367236616612</v>
      </c>
      <c r="K315" s="209">
        <v>11.533261589874979</v>
      </c>
      <c r="L315" s="202">
        <v>17.798746388807725</v>
      </c>
      <c r="M315" s="209">
        <v>15.50613963365452</v>
      </c>
      <c r="N315" s="209">
        <v>12.751200577664234</v>
      </c>
      <c r="O315" s="209">
        <v>21.867947396832022</v>
      </c>
      <c r="P315" s="209">
        <v>17.888575972622075</v>
      </c>
      <c r="Q315" s="209">
        <v>17.33025175317448</v>
      </c>
      <c r="R315" s="209">
        <v>15.151861813153609</v>
      </c>
      <c r="S315" s="209">
        <v>13.34789035857248</v>
      </c>
      <c r="T315" s="209">
        <v>18.856998632535394</v>
      </c>
      <c r="U315" s="209">
        <v>19.043508715627532</v>
      </c>
      <c r="V315" s="209">
        <v>11.592299113260179</v>
      </c>
      <c r="W315" s="209">
        <v>10.824994111048074</v>
      </c>
      <c r="X315" s="209">
        <v>6.8876925262011959</v>
      </c>
      <c r="Y315" s="208">
        <v>3.9317940668518214</v>
      </c>
      <c r="Z315" s="209">
        <v>1.20952063174285</v>
      </c>
      <c r="AA315" s="209">
        <v>2.18956967882349</v>
      </c>
      <c r="AB315" s="209">
        <v>12</v>
      </c>
      <c r="AC315" s="209">
        <v>2.9752147860435301</v>
      </c>
      <c r="AD315" s="202">
        <v>17.210000368609201</v>
      </c>
      <c r="AE315" s="210" t="s">
        <v>213</v>
      </c>
    </row>
    <row r="316" spans="1:31" ht="12" hidden="1" customHeight="1">
      <c r="A316" s="213"/>
      <c r="B316" s="392">
        <v>41277</v>
      </c>
      <c r="C316" s="208"/>
      <c r="D316" s="209"/>
      <c r="E316" s="209"/>
      <c r="F316" s="209"/>
      <c r="G316" s="209"/>
      <c r="H316" s="209"/>
      <c r="I316" s="209"/>
      <c r="J316" s="209"/>
      <c r="K316" s="209"/>
      <c r="L316" s="202"/>
      <c r="M316" s="209"/>
      <c r="N316" s="209"/>
      <c r="O316" s="209"/>
      <c r="P316" s="209"/>
      <c r="Q316" s="209"/>
      <c r="R316" s="209"/>
      <c r="S316" s="209"/>
      <c r="T316" s="209"/>
      <c r="U316" s="209"/>
      <c r="V316" s="209"/>
      <c r="W316" s="209"/>
      <c r="X316" s="209"/>
      <c r="Y316" s="208"/>
      <c r="Z316" s="209"/>
      <c r="AA316" s="209"/>
      <c r="AB316" s="209"/>
      <c r="AC316" s="209"/>
      <c r="AD316" s="202"/>
      <c r="AE316" s="397">
        <f>+B316</f>
        <v>41277</v>
      </c>
    </row>
    <row r="317" spans="1:31" ht="12" hidden="1" customHeight="1">
      <c r="A317" s="213"/>
      <c r="B317" s="391" t="s">
        <v>187</v>
      </c>
      <c r="C317" s="208">
        <v>9.9454365965648108</v>
      </c>
      <c r="D317" s="209">
        <v>6.6785173162402298</v>
      </c>
      <c r="E317" s="209">
        <v>10.327171488966313</v>
      </c>
      <c r="F317" s="209">
        <v>8.4017430120573593</v>
      </c>
      <c r="G317" s="209">
        <v>6.5916494996329975</v>
      </c>
      <c r="H317" s="209">
        <v>7.8208392437011467</v>
      </c>
      <c r="I317" s="209">
        <v>7.9342458067275743</v>
      </c>
      <c r="J317" s="209">
        <v>9.8750388766312565</v>
      </c>
      <c r="K317" s="209">
        <v>10.617601077225396</v>
      </c>
      <c r="L317" s="202">
        <v>14.038271072538791</v>
      </c>
      <c r="M317" s="209">
        <v>14.982227881414623</v>
      </c>
      <c r="N317" s="209">
        <v>12.460592993304703</v>
      </c>
      <c r="O317" s="209">
        <v>18.609947421547524</v>
      </c>
      <c r="P317" s="209">
        <v>19.437683379113988</v>
      </c>
      <c r="Q317" s="209">
        <v>16.314799858758331</v>
      </c>
      <c r="R317" s="209">
        <v>17.089236876097509</v>
      </c>
      <c r="S317" s="209">
        <v>15.165038952927913</v>
      </c>
      <c r="T317" s="209">
        <v>18.255261767665733</v>
      </c>
      <c r="U317" s="209">
        <v>16.460382474352034</v>
      </c>
      <c r="V317" s="209">
        <v>12.399720920721341</v>
      </c>
      <c r="W317" s="209">
        <v>9.037955757453771</v>
      </c>
      <c r="X317" s="209">
        <v>8.1976043765764697</v>
      </c>
      <c r="Y317" s="208">
        <v>8.6410086837839764</v>
      </c>
      <c r="Z317" s="209">
        <v>7.2474999999999996</v>
      </c>
      <c r="AA317" s="209">
        <v>6.9289617486338804</v>
      </c>
      <c r="AB317" s="209">
        <v>10.921901528013599</v>
      </c>
      <c r="AC317" s="209">
        <v>10.2810300680258</v>
      </c>
      <c r="AD317" s="202">
        <v>8.1097275026295002</v>
      </c>
      <c r="AE317" s="210" t="s">
        <v>356</v>
      </c>
    </row>
    <row r="318" spans="1:31" ht="12" hidden="1" customHeight="1">
      <c r="A318" s="213"/>
      <c r="B318" s="391" t="s">
        <v>357</v>
      </c>
      <c r="C318" s="208">
        <v>10.310514144352737</v>
      </c>
      <c r="D318" s="209">
        <v>4.5564254248245666</v>
      </c>
      <c r="E318" s="209">
        <v>10.702632111647652</v>
      </c>
      <c r="F318" s="209">
        <v>6.8229662713231782</v>
      </c>
      <c r="G318" s="209">
        <v>5.1188062829636767</v>
      </c>
      <c r="H318" s="209">
        <v>6.49745846844535</v>
      </c>
      <c r="I318" s="209">
        <v>4.8913539666157941</v>
      </c>
      <c r="J318" s="209">
        <v>9.5929482871452496</v>
      </c>
      <c r="K318" s="209">
        <v>11.490229631832531</v>
      </c>
      <c r="L318" s="202">
        <v>13.714589679215626</v>
      </c>
      <c r="M318" s="209">
        <v>15.459497633014248</v>
      </c>
      <c r="N318" s="209">
        <v>12.545120529881425</v>
      </c>
      <c r="O318" s="209">
        <v>21.887330419534269</v>
      </c>
      <c r="P318" s="209">
        <v>20.937296555961765</v>
      </c>
      <c r="Q318" s="209">
        <v>15.133996465903104</v>
      </c>
      <c r="R318" s="209">
        <v>14.799280728974621</v>
      </c>
      <c r="S318" s="209">
        <v>14.466655255370188</v>
      </c>
      <c r="T318" s="209">
        <v>18.935481552281679</v>
      </c>
      <c r="U318" s="209">
        <v>18.796059301853052</v>
      </c>
      <c r="V318" s="209">
        <v>11.410435636761461</v>
      </c>
      <c r="W318" s="209">
        <v>10.597844692467131</v>
      </c>
      <c r="X318" s="209">
        <v>6.9904468923138561</v>
      </c>
      <c r="Y318" s="208">
        <v>5.3300313138406832</v>
      </c>
      <c r="Z318" s="209">
        <v>1.3179516608155599</v>
      </c>
      <c r="AA318" s="209">
        <v>5.7520613768506497</v>
      </c>
      <c r="AB318" s="209">
        <v>12</v>
      </c>
      <c r="AC318" s="209">
        <v>4.4115441482248601</v>
      </c>
      <c r="AD318" s="202">
        <v>17.210000368609201</v>
      </c>
      <c r="AE318" s="210" t="s">
        <v>213</v>
      </c>
    </row>
    <row r="319" spans="1:31" ht="10.5" hidden="1" customHeight="1">
      <c r="A319" s="213"/>
      <c r="B319" s="392">
        <v>41278</v>
      </c>
      <c r="C319" s="208"/>
      <c r="D319" s="209"/>
      <c r="E319" s="209"/>
      <c r="F319" s="209"/>
      <c r="G319" s="209"/>
      <c r="H319" s="209"/>
      <c r="I319" s="209"/>
      <c r="J319" s="209"/>
      <c r="K319" s="209"/>
      <c r="L319" s="202"/>
      <c r="M319" s="209"/>
      <c r="N319" s="209"/>
      <c r="O319" s="209"/>
      <c r="P319" s="209"/>
      <c r="Q319" s="209"/>
      <c r="R319" s="209"/>
      <c r="S319" s="209"/>
      <c r="T319" s="209"/>
      <c r="U319" s="209"/>
      <c r="V319" s="209"/>
      <c r="W319" s="209"/>
      <c r="X319" s="209"/>
      <c r="Y319" s="208"/>
      <c r="Z319" s="209"/>
      <c r="AA319" s="209"/>
      <c r="AB319" s="209"/>
      <c r="AC319" s="209"/>
      <c r="AD319" s="202"/>
      <c r="AE319" s="397">
        <f>+B319</f>
        <v>41278</v>
      </c>
    </row>
    <row r="320" spans="1:31" ht="12" hidden="1" customHeight="1">
      <c r="A320" s="213"/>
      <c r="B320" s="391" t="s">
        <v>187</v>
      </c>
      <c r="C320" s="208">
        <v>9.8398200009807759</v>
      </c>
      <c r="D320" s="209">
        <v>6.0872100091545507</v>
      </c>
      <c r="E320" s="209">
        <v>10.327440430431482</v>
      </c>
      <c r="F320" s="209">
        <v>7.8657170015695117</v>
      </c>
      <c r="G320" s="209">
        <v>6.4771437918397021</v>
      </c>
      <c r="H320" s="209">
        <v>6.6809575470416878</v>
      </c>
      <c r="I320" s="209">
        <v>7.4825129951831411</v>
      </c>
      <c r="J320" s="209">
        <v>9.7567859522814828</v>
      </c>
      <c r="K320" s="209">
        <v>10.642582385423006</v>
      </c>
      <c r="L320" s="202">
        <v>13.962725117789919</v>
      </c>
      <c r="M320" s="209">
        <v>14.852139348537825</v>
      </c>
      <c r="N320" s="209">
        <v>12.347882481298999</v>
      </c>
      <c r="O320" s="209">
        <v>18.306563093240477</v>
      </c>
      <c r="P320" s="209">
        <v>20.695443631588862</v>
      </c>
      <c r="Q320" s="209">
        <v>16.798539699478326</v>
      </c>
      <c r="R320" s="209">
        <v>16.816439152546593</v>
      </c>
      <c r="S320" s="209">
        <v>15.60655833768797</v>
      </c>
      <c r="T320" s="209">
        <v>18.282571960065532</v>
      </c>
      <c r="U320" s="209">
        <v>16.233372413407889</v>
      </c>
      <c r="V320" s="209">
        <v>12.238232027939077</v>
      </c>
      <c r="W320" s="209">
        <v>8.8508263409058703</v>
      </c>
      <c r="X320" s="202">
        <v>8.4805947052856911</v>
      </c>
      <c r="Y320" s="208">
        <v>8.2544667247436312</v>
      </c>
      <c r="Z320" s="223">
        <v>6.9072727272727299</v>
      </c>
      <c r="AA320" s="209">
        <v>7.0191977524582496</v>
      </c>
      <c r="AB320" s="209">
        <v>10.0489260143198</v>
      </c>
      <c r="AC320" s="209">
        <v>9.86995204500586</v>
      </c>
      <c r="AD320" s="202">
        <v>7.8705576302662603</v>
      </c>
      <c r="AE320" s="210" t="s">
        <v>356</v>
      </c>
    </row>
    <row r="321" spans="1:31" ht="12" hidden="1" customHeight="1" thickBot="1">
      <c r="A321" s="220"/>
      <c r="B321" s="391" t="s">
        <v>357</v>
      </c>
      <c r="C321" s="208">
        <v>10.32637320736532</v>
      </c>
      <c r="D321" s="209">
        <v>4.6177722738978355</v>
      </c>
      <c r="E321" s="209">
        <v>10.689397920129359</v>
      </c>
      <c r="F321" s="209">
        <v>8.197909305064778</v>
      </c>
      <c r="G321" s="209">
        <v>5.6453302930901135</v>
      </c>
      <c r="H321" s="209">
        <v>6.7778965702226444</v>
      </c>
      <c r="I321" s="209">
        <v>5.0095480395858312</v>
      </c>
      <c r="J321" s="209">
        <v>9.6154603810477379</v>
      </c>
      <c r="K321" s="209">
        <v>11.46727826321505</v>
      </c>
      <c r="L321" s="202">
        <v>11.662772584437949</v>
      </c>
      <c r="M321" s="209">
        <v>15.299708127261228</v>
      </c>
      <c r="N321" s="209">
        <v>12.449588766715825</v>
      </c>
      <c r="O321" s="209">
        <v>21.600032109057814</v>
      </c>
      <c r="P321" s="209">
        <v>18.887855578685528</v>
      </c>
      <c r="Q321" s="209">
        <v>15.266758360561187</v>
      </c>
      <c r="R321" s="209">
        <v>13.675218178150347</v>
      </c>
      <c r="S321" s="209">
        <v>13.461034511891887</v>
      </c>
      <c r="T321" s="209">
        <v>18.897059259161928</v>
      </c>
      <c r="U321" s="209">
        <v>18.616341695936001</v>
      </c>
      <c r="V321" s="209">
        <v>11.111227009398755</v>
      </c>
      <c r="W321" s="209">
        <v>10.639289679854011</v>
      </c>
      <c r="X321" s="202">
        <v>6.958463634688778</v>
      </c>
      <c r="Y321" s="208">
        <v>3.9317940668518214</v>
      </c>
      <c r="Z321" s="209">
        <v>1.20952063174285</v>
      </c>
      <c r="AA321" s="209">
        <v>2.18956967882349</v>
      </c>
      <c r="AB321" s="209">
        <v>12</v>
      </c>
      <c r="AC321" s="209">
        <v>2.9752147860435301</v>
      </c>
      <c r="AD321" s="202">
        <v>17.210000368609201</v>
      </c>
      <c r="AE321" s="210" t="s">
        <v>213</v>
      </c>
    </row>
    <row r="322" spans="1:31" ht="10.5" hidden="1" customHeight="1">
      <c r="A322" s="213"/>
      <c r="B322" s="392">
        <v>41279</v>
      </c>
      <c r="C322" s="208"/>
      <c r="D322" s="209"/>
      <c r="E322" s="209"/>
      <c r="F322" s="209"/>
      <c r="G322" s="209"/>
      <c r="H322" s="209"/>
      <c r="I322" s="209"/>
      <c r="J322" s="209"/>
      <c r="K322" s="209"/>
      <c r="L322" s="202"/>
      <c r="M322" s="209"/>
      <c r="N322" s="209"/>
      <c r="O322" s="209"/>
      <c r="P322" s="209"/>
      <c r="Q322" s="209"/>
      <c r="R322" s="209"/>
      <c r="S322" s="209"/>
      <c r="T322" s="209"/>
      <c r="U322" s="209"/>
      <c r="V322" s="209"/>
      <c r="W322" s="209"/>
      <c r="X322" s="209"/>
      <c r="Y322" s="208"/>
      <c r="Z322" s="209"/>
      <c r="AA322" s="209"/>
      <c r="AB322" s="209"/>
      <c r="AC322" s="209"/>
      <c r="AD322" s="202"/>
      <c r="AE322" s="397">
        <f>+B322</f>
        <v>41279</v>
      </c>
    </row>
    <row r="323" spans="1:31" ht="12" hidden="1" customHeight="1">
      <c r="A323" s="213"/>
      <c r="B323" s="391" t="s">
        <v>187</v>
      </c>
      <c r="C323" s="208">
        <v>9.5522884456731969</v>
      </c>
      <c r="D323" s="209">
        <v>5.8617067326749162</v>
      </c>
      <c r="E323" s="209">
        <v>9.9755434490535393</v>
      </c>
      <c r="F323" s="209">
        <v>8.616504068504236</v>
      </c>
      <c r="G323" s="209">
        <v>6.4941664165735595</v>
      </c>
      <c r="H323" s="209">
        <v>6.5417255009709709</v>
      </c>
      <c r="I323" s="209">
        <v>6.635600266670675</v>
      </c>
      <c r="J323" s="209">
        <v>10.040354978672783</v>
      </c>
      <c r="K323" s="209">
        <v>9.7433945716904446</v>
      </c>
      <c r="L323" s="202">
        <v>13.553935517623421</v>
      </c>
      <c r="M323" s="209">
        <v>13.903563671204541</v>
      </c>
      <c r="N323" s="209">
        <v>11.890687267188079</v>
      </c>
      <c r="O323" s="209">
        <v>17.066614059626513</v>
      </c>
      <c r="P323" s="209">
        <v>11.055598646362633</v>
      </c>
      <c r="Q323" s="209">
        <v>15.442400781507477</v>
      </c>
      <c r="R323" s="209">
        <v>15.307561685710782</v>
      </c>
      <c r="S323" s="209">
        <v>15.520547302869996</v>
      </c>
      <c r="T323" s="209">
        <v>17.194054232326902</v>
      </c>
      <c r="U323" s="209">
        <v>15.121214718816514</v>
      </c>
      <c r="V323" s="209">
        <v>12.083209853466387</v>
      </c>
      <c r="W323" s="209">
        <v>8.4721815518063597</v>
      </c>
      <c r="X323" s="202">
        <v>8.1497422778023942</v>
      </c>
      <c r="Y323" s="208">
        <v>7.9419748518099063</v>
      </c>
      <c r="Z323" s="223">
        <v>6.3318840579710098</v>
      </c>
      <c r="AA323" s="209">
        <v>7.9223858248065904</v>
      </c>
      <c r="AB323" s="209">
        <v>9.4864864864864895</v>
      </c>
      <c r="AC323" s="209">
        <v>8.9465286270351498</v>
      </c>
      <c r="AD323" s="202">
        <v>8.07611927280246</v>
      </c>
      <c r="AE323" s="210" t="s">
        <v>356</v>
      </c>
    </row>
    <row r="324" spans="1:31" ht="12" hidden="1" customHeight="1" thickBot="1">
      <c r="A324" s="220"/>
      <c r="B324" s="391" t="s">
        <v>357</v>
      </c>
      <c r="C324" s="208">
        <v>10.245488282038993</v>
      </c>
      <c r="D324" s="209">
        <v>4.2696659665013037</v>
      </c>
      <c r="E324" s="209">
        <v>10.615497414693431</v>
      </c>
      <c r="F324" s="209">
        <v>8.3498138560559187</v>
      </c>
      <c r="G324" s="209">
        <v>6.0896306086303991</v>
      </c>
      <c r="H324" s="209">
        <v>5.1165628561673957</v>
      </c>
      <c r="I324" s="209">
        <v>5.4025087916913064</v>
      </c>
      <c r="J324" s="209">
        <v>9.4783245700229024</v>
      </c>
      <c r="K324" s="209">
        <v>11.276360525652848</v>
      </c>
      <c r="L324" s="202">
        <v>11.222120203744607</v>
      </c>
      <c r="M324" s="209">
        <v>14.872687415046119</v>
      </c>
      <c r="N324" s="209">
        <v>12.387420654123485</v>
      </c>
      <c r="O324" s="209">
        <v>21.632075571214521</v>
      </c>
      <c r="P324" s="209">
        <v>19.743472286088661</v>
      </c>
      <c r="Q324" s="209">
        <v>13.578558132549599</v>
      </c>
      <c r="R324" s="209">
        <v>14.265573733154122</v>
      </c>
      <c r="S324" s="209">
        <v>13.065288406387145</v>
      </c>
      <c r="T324" s="209">
        <v>18.659256842732553</v>
      </c>
      <c r="U324" s="209">
        <v>17.884787115046194</v>
      </c>
      <c r="V324" s="209">
        <v>10.307805318621392</v>
      </c>
      <c r="W324" s="209">
        <v>10.028063677597315</v>
      </c>
      <c r="X324" s="202">
        <v>6.8086615519160425</v>
      </c>
      <c r="Y324" s="208">
        <v>4.9164414928507378</v>
      </c>
      <c r="Z324" s="209">
        <v>1.49274181492002</v>
      </c>
      <c r="AA324" s="209">
        <v>6.0622645896303204</v>
      </c>
      <c r="AB324" s="209">
        <v>10.0772169639257</v>
      </c>
      <c r="AC324" s="209">
        <v>3.8568750346267202</v>
      </c>
      <c r="AD324" s="202">
        <v>9.2547155111005601</v>
      </c>
      <c r="AE324" s="210" t="s">
        <v>213</v>
      </c>
    </row>
    <row r="325" spans="1:31" ht="10.5" hidden="1" customHeight="1">
      <c r="A325" s="213"/>
      <c r="B325" s="392">
        <v>41280</v>
      </c>
      <c r="C325" s="208"/>
      <c r="D325" s="209"/>
      <c r="E325" s="209"/>
      <c r="F325" s="209"/>
      <c r="G325" s="209"/>
      <c r="H325" s="209"/>
      <c r="I325" s="209"/>
      <c r="J325" s="209"/>
      <c r="K325" s="209"/>
      <c r="L325" s="202"/>
      <c r="M325" s="209"/>
      <c r="N325" s="209"/>
      <c r="O325" s="209"/>
      <c r="P325" s="209"/>
      <c r="Q325" s="209"/>
      <c r="R325" s="209"/>
      <c r="S325" s="209"/>
      <c r="T325" s="209"/>
      <c r="U325" s="209"/>
      <c r="V325" s="209"/>
      <c r="W325" s="209"/>
      <c r="X325" s="209"/>
      <c r="Y325" s="208"/>
      <c r="Z325" s="209"/>
      <c r="AA325" s="209"/>
      <c r="AB325" s="209"/>
      <c r="AC325" s="209"/>
      <c r="AD325" s="202"/>
      <c r="AE325" s="397">
        <f>+B325</f>
        <v>41280</v>
      </c>
    </row>
    <row r="326" spans="1:31" ht="12" hidden="1" customHeight="1">
      <c r="A326" s="213"/>
      <c r="B326" s="391" t="s">
        <v>187</v>
      </c>
      <c r="C326" s="208">
        <v>9.4770379899538781</v>
      </c>
      <c r="D326" s="209">
        <v>5.0461951802090281</v>
      </c>
      <c r="E326" s="209">
        <v>9.9860577434342801</v>
      </c>
      <c r="F326" s="209">
        <v>7.7839632537588628</v>
      </c>
      <c r="G326" s="209">
        <v>4.6055544933365455</v>
      </c>
      <c r="H326" s="209">
        <v>6.646250060671866</v>
      </c>
      <c r="I326" s="209">
        <v>7.1115268838506829</v>
      </c>
      <c r="J326" s="209">
        <v>9.9429341930687851</v>
      </c>
      <c r="K326" s="209">
        <v>9.8217757414093576</v>
      </c>
      <c r="L326" s="202">
        <v>12.672411594806253</v>
      </c>
      <c r="M326" s="209">
        <v>14.186019186671386</v>
      </c>
      <c r="N326" s="209">
        <v>11.645329956977179</v>
      </c>
      <c r="O326" s="209">
        <v>17.890237297147198</v>
      </c>
      <c r="P326" s="209">
        <v>10.982863126711351</v>
      </c>
      <c r="Q326" s="209">
        <v>15.497015143555828</v>
      </c>
      <c r="R326" s="209">
        <v>16.107309260595493</v>
      </c>
      <c r="S326" s="209">
        <v>14.514233937269911</v>
      </c>
      <c r="T326" s="209">
        <v>17.583860464482573</v>
      </c>
      <c r="U326" s="209">
        <v>15.542122378233897</v>
      </c>
      <c r="V326" s="209">
        <v>12.017093728391989</v>
      </c>
      <c r="W326" s="209">
        <v>8.4820314969768145</v>
      </c>
      <c r="X326" s="202">
        <v>8.0915300183041072</v>
      </c>
      <c r="Y326" s="208">
        <v>8.270549915904569</v>
      </c>
      <c r="Z326" s="223">
        <v>3</v>
      </c>
      <c r="AA326" s="209">
        <v>6.9081977279705296</v>
      </c>
      <c r="AB326" s="209">
        <v>9.4880952380952408</v>
      </c>
      <c r="AC326" s="209">
        <v>10.122630811155499</v>
      </c>
      <c r="AD326" s="202">
        <v>8.0907796069619309</v>
      </c>
      <c r="AE326" s="210" t="s">
        <v>356</v>
      </c>
    </row>
    <row r="327" spans="1:31" ht="12" hidden="1" customHeight="1">
      <c r="A327" s="213"/>
      <c r="B327" s="391" t="s">
        <v>357</v>
      </c>
      <c r="C327" s="208">
        <v>10.370607608552318</v>
      </c>
      <c r="D327" s="209">
        <v>5.219457786353356</v>
      </c>
      <c r="E327" s="209">
        <v>10.592219449793843</v>
      </c>
      <c r="F327" s="209">
        <v>8.7227307945154244</v>
      </c>
      <c r="G327" s="209">
        <v>4.8832893384343103</v>
      </c>
      <c r="H327" s="209">
        <v>6.8695182358949749</v>
      </c>
      <c r="I327" s="209">
        <v>7.5887660580585869</v>
      </c>
      <c r="J327" s="209">
        <v>9.5289112510922092</v>
      </c>
      <c r="K327" s="209">
        <v>11.221170275980894</v>
      </c>
      <c r="L327" s="202">
        <v>11.306126107194235</v>
      </c>
      <c r="M327" s="209">
        <v>14.61173801110354</v>
      </c>
      <c r="N327" s="209">
        <v>11.029929883108878</v>
      </c>
      <c r="O327" s="209">
        <v>21.44086858422444</v>
      </c>
      <c r="P327" s="209">
        <v>17.370000283123034</v>
      </c>
      <c r="Q327" s="209">
        <v>13.110214766498975</v>
      </c>
      <c r="R327" s="209">
        <v>13.566015872174901</v>
      </c>
      <c r="S327" s="209">
        <v>13.064095323532973</v>
      </c>
      <c r="T327" s="209">
        <v>15.775809986250307</v>
      </c>
      <c r="U327" s="209">
        <v>17.678823629492246</v>
      </c>
      <c r="V327" s="209">
        <v>13.702197268157459</v>
      </c>
      <c r="W327" s="209">
        <v>10.540090327985943</v>
      </c>
      <c r="X327" s="202">
        <v>6.8917282363006374</v>
      </c>
      <c r="Y327" s="208">
        <v>4.8290317764360573</v>
      </c>
      <c r="Z327" s="209">
        <v>2.2383673815536498</v>
      </c>
      <c r="AA327" s="209">
        <v>6.4026271954177503</v>
      </c>
      <c r="AB327" s="209">
        <v>7.5675300560796801</v>
      </c>
      <c r="AC327" s="209">
        <v>4.0101792104073901</v>
      </c>
      <c r="AD327" s="202">
        <v>9.2547155111005601</v>
      </c>
      <c r="AE327" s="210" t="s">
        <v>213</v>
      </c>
    </row>
    <row r="328" spans="1:31" ht="10.5" hidden="1" customHeight="1">
      <c r="A328" s="213"/>
      <c r="B328" s="392">
        <v>41281</v>
      </c>
      <c r="C328" s="208"/>
      <c r="D328" s="209"/>
      <c r="E328" s="209"/>
      <c r="F328" s="209"/>
      <c r="G328" s="209"/>
      <c r="H328" s="209"/>
      <c r="I328" s="209"/>
      <c r="J328" s="209"/>
      <c r="K328" s="209"/>
      <c r="L328" s="202"/>
      <c r="M328" s="209"/>
      <c r="N328" s="209"/>
      <c r="O328" s="209"/>
      <c r="P328" s="209"/>
      <c r="Q328" s="209"/>
      <c r="R328" s="209"/>
      <c r="S328" s="209"/>
      <c r="T328" s="209"/>
      <c r="U328" s="209"/>
      <c r="V328" s="209"/>
      <c r="W328" s="209"/>
      <c r="X328" s="209"/>
      <c r="Y328" s="208"/>
      <c r="Z328" s="209"/>
      <c r="AA328" s="209"/>
      <c r="AB328" s="209"/>
      <c r="AC328" s="209"/>
      <c r="AD328" s="202"/>
      <c r="AE328" s="397">
        <f>+B328</f>
        <v>41281</v>
      </c>
    </row>
    <row r="329" spans="1:31" ht="12" hidden="1" customHeight="1">
      <c r="A329" s="213"/>
      <c r="B329" s="391" t="s">
        <v>187</v>
      </c>
      <c r="C329" s="208">
        <v>9.5713169440795411</v>
      </c>
      <c r="D329" s="209">
        <v>5.1445913119523965</v>
      </c>
      <c r="E329" s="209">
        <v>10.054310610782855</v>
      </c>
      <c r="F329" s="209">
        <v>8.7490863311735971</v>
      </c>
      <c r="G329" s="209">
        <v>4.2976489479919904</v>
      </c>
      <c r="H329" s="209">
        <v>6.2208725940997747</v>
      </c>
      <c r="I329" s="209">
        <v>6.4366864752925625</v>
      </c>
      <c r="J329" s="209">
        <v>10.045045172685162</v>
      </c>
      <c r="K329" s="209">
        <v>9.9322330519655679</v>
      </c>
      <c r="L329" s="202">
        <v>12.623871649986928</v>
      </c>
      <c r="M329" s="209">
        <v>14.207734300434527</v>
      </c>
      <c r="N329" s="209">
        <v>11.597030533688095</v>
      </c>
      <c r="O329" s="209">
        <v>18.04951168599727</v>
      </c>
      <c r="P329" s="209">
        <v>19.260946257502898</v>
      </c>
      <c r="Q329" s="209">
        <v>16.124772527518523</v>
      </c>
      <c r="R329" s="209">
        <v>12.752547250783397</v>
      </c>
      <c r="S329" s="209">
        <v>14.623515421351613</v>
      </c>
      <c r="T329" s="209">
        <v>17.760718219814972</v>
      </c>
      <c r="U329" s="209">
        <v>15.561834562516095</v>
      </c>
      <c r="V329" s="209">
        <v>11.974435100553285</v>
      </c>
      <c r="W329" s="209">
        <v>8.4943365798059727</v>
      </c>
      <c r="X329" s="202">
        <v>8.096568894611968</v>
      </c>
      <c r="Y329" s="208">
        <v>7.9801216739622127</v>
      </c>
      <c r="Z329" s="223">
        <v>5.9393006993007003</v>
      </c>
      <c r="AA329" s="209">
        <v>8.4802128367143297</v>
      </c>
      <c r="AB329" s="209">
        <v>10.6666666666667</v>
      </c>
      <c r="AC329" s="209">
        <v>9.87566262000745</v>
      </c>
      <c r="AD329" s="202">
        <v>7.7391326095227102</v>
      </c>
      <c r="AE329" s="210" t="s">
        <v>356</v>
      </c>
    </row>
    <row r="330" spans="1:31" ht="12" hidden="1" customHeight="1" thickBot="1">
      <c r="A330" s="220"/>
      <c r="B330" s="391" t="s">
        <v>357</v>
      </c>
      <c r="C330" s="208">
        <v>10.110724483077579</v>
      </c>
      <c r="D330" s="209">
        <v>3.7703048086665034</v>
      </c>
      <c r="E330" s="209">
        <v>10.580463356532249</v>
      </c>
      <c r="F330" s="209">
        <v>9.1719166544602295</v>
      </c>
      <c r="G330" s="209">
        <v>4.1877820943606059</v>
      </c>
      <c r="H330" s="209">
        <v>4.5774790461429786</v>
      </c>
      <c r="I330" s="209">
        <v>7.0411828352114973</v>
      </c>
      <c r="J330" s="209">
        <v>9.4258434654825489</v>
      </c>
      <c r="K330" s="209">
        <v>10.984794895047271</v>
      </c>
      <c r="L330" s="202">
        <v>11.269558053014403</v>
      </c>
      <c r="M330" s="209">
        <v>14.711426285858071</v>
      </c>
      <c r="N330" s="209">
        <v>11.182168281123124</v>
      </c>
      <c r="O330" s="209">
        <v>21.472386915084577</v>
      </c>
      <c r="P330" s="209">
        <v>17.673446827574629</v>
      </c>
      <c r="Q330" s="209">
        <v>14.616013464184434</v>
      </c>
      <c r="R330" s="209">
        <v>12.028854660415796</v>
      </c>
      <c r="S330" s="209">
        <v>13.022688324415189</v>
      </c>
      <c r="T330" s="209">
        <v>15.276346479790117</v>
      </c>
      <c r="U330" s="209">
        <v>18.201070625702862</v>
      </c>
      <c r="V330" s="209">
        <v>13.719665968101163</v>
      </c>
      <c r="W330" s="209">
        <v>10.633145635608082</v>
      </c>
      <c r="X330" s="202">
        <v>6.8705568660565897</v>
      </c>
      <c r="Y330" s="208">
        <v>4.7027730001899846</v>
      </c>
      <c r="Z330" s="209">
        <v>3.2540332692209302</v>
      </c>
      <c r="AA330" s="209">
        <v>7.61429788207393</v>
      </c>
      <c r="AB330" s="209">
        <v>7.2192090538202098</v>
      </c>
      <c r="AC330" s="209">
        <v>4.0104097206786697</v>
      </c>
      <c r="AD330" s="202">
        <v>9.2698754007361703</v>
      </c>
      <c r="AE330" s="210" t="s">
        <v>213</v>
      </c>
    </row>
    <row r="331" spans="1:31" ht="10.5" hidden="1" customHeight="1">
      <c r="A331" s="213"/>
      <c r="B331" s="392">
        <v>41282</v>
      </c>
      <c r="C331" s="208"/>
      <c r="D331" s="209"/>
      <c r="E331" s="209"/>
      <c r="F331" s="209"/>
      <c r="G331" s="209"/>
      <c r="H331" s="209"/>
      <c r="I331" s="209"/>
      <c r="J331" s="209"/>
      <c r="K331" s="209"/>
      <c r="L331" s="202"/>
      <c r="M331" s="209"/>
      <c r="N331" s="209"/>
      <c r="O331" s="209"/>
      <c r="P331" s="209"/>
      <c r="Q331" s="209"/>
      <c r="R331" s="209"/>
      <c r="S331" s="209"/>
      <c r="T331" s="209"/>
      <c r="U331" s="209"/>
      <c r="V331" s="209"/>
      <c r="W331" s="209"/>
      <c r="X331" s="209"/>
      <c r="Y331" s="208"/>
      <c r="Z331" s="209"/>
      <c r="AA331" s="209"/>
      <c r="AB331" s="209"/>
      <c r="AC331" s="209"/>
      <c r="AD331" s="202"/>
      <c r="AE331" s="397">
        <f>+B331</f>
        <v>41282</v>
      </c>
    </row>
    <row r="332" spans="1:31" ht="12" hidden="1" customHeight="1">
      <c r="A332" s="213"/>
      <c r="B332" s="391" t="s">
        <v>187</v>
      </c>
      <c r="C332" s="208">
        <v>9.4906812906339724</v>
      </c>
      <c r="D332" s="209">
        <v>5.1037621725990592</v>
      </c>
      <c r="E332" s="209">
        <v>9.9686707134004457</v>
      </c>
      <c r="F332" s="209">
        <v>7.5205443732257766</v>
      </c>
      <c r="G332" s="209">
        <v>4.3044827419116825</v>
      </c>
      <c r="H332" s="209">
        <v>6.0410807077371675</v>
      </c>
      <c r="I332" s="209">
        <v>6.6970732712648173</v>
      </c>
      <c r="J332" s="209">
        <v>10.022259724176118</v>
      </c>
      <c r="K332" s="209">
        <v>9.95301187475226</v>
      </c>
      <c r="L332" s="202">
        <v>9.7506395031755133</v>
      </c>
      <c r="M332" s="209">
        <v>14.333198892689472</v>
      </c>
      <c r="N332" s="209">
        <v>11.471037494256018</v>
      </c>
      <c r="O332" s="209">
        <v>18.360065036201895</v>
      </c>
      <c r="P332" s="209">
        <v>10.989869216306055</v>
      </c>
      <c r="Q332" s="209">
        <v>16.071206709713806</v>
      </c>
      <c r="R332" s="209">
        <v>13.127057116634646</v>
      </c>
      <c r="S332" s="209">
        <v>14.398651074980762</v>
      </c>
      <c r="T332" s="209">
        <v>18.75610508588986</v>
      </c>
      <c r="U332" s="209">
        <v>15.544206369531668</v>
      </c>
      <c r="V332" s="209">
        <v>12.033703849600455</v>
      </c>
      <c r="W332" s="209">
        <v>8.563761138955158</v>
      </c>
      <c r="X332" s="202">
        <v>8.073765833901497</v>
      </c>
      <c r="Y332" s="208">
        <v>8.4947551011168905</v>
      </c>
      <c r="Z332" s="223">
        <v>5.7</v>
      </c>
      <c r="AA332" s="209">
        <v>12.852508110806101</v>
      </c>
      <c r="AB332" s="209">
        <v>10.714285714285699</v>
      </c>
      <c r="AC332" s="209">
        <v>9.9551544991540002</v>
      </c>
      <c r="AD332" s="202">
        <v>7.2035467102016604</v>
      </c>
      <c r="AE332" s="210" t="s">
        <v>356</v>
      </c>
    </row>
    <row r="333" spans="1:31" ht="12" hidden="1" customHeight="1">
      <c r="A333" s="213"/>
      <c r="B333" s="391" t="s">
        <v>357</v>
      </c>
      <c r="C333" s="208">
        <v>10.03535543418965</v>
      </c>
      <c r="D333" s="209">
        <v>4.1572514385842032</v>
      </c>
      <c r="E333" s="209">
        <v>10.464236169998999</v>
      </c>
      <c r="F333" s="209">
        <v>8.2456686590225186</v>
      </c>
      <c r="G333" s="209">
        <v>5.0341109919596159</v>
      </c>
      <c r="H333" s="209">
        <v>4.6608468288633489</v>
      </c>
      <c r="I333" s="209">
        <v>5.6103334890464911</v>
      </c>
      <c r="J333" s="209">
        <v>9.346247209963062</v>
      </c>
      <c r="K333" s="209">
        <v>10.987971763587419</v>
      </c>
      <c r="L333" s="202">
        <v>11.25647406218193</v>
      </c>
      <c r="M333" s="209">
        <v>14.828362162055155</v>
      </c>
      <c r="N333" s="209">
        <v>10.976854373859032</v>
      </c>
      <c r="O333" s="209">
        <v>21.862500884209283</v>
      </c>
      <c r="P333" s="209">
        <v>18.016470622441787</v>
      </c>
      <c r="Q333" s="209">
        <v>10.518720235737289</v>
      </c>
      <c r="R333" s="209">
        <v>10.984905064182216</v>
      </c>
      <c r="S333" s="209">
        <v>12.27105516044907</v>
      </c>
      <c r="T333" s="209">
        <v>16.233080181401199</v>
      </c>
      <c r="U333" s="209">
        <v>18.547336436598869</v>
      </c>
      <c r="V333" s="209">
        <v>14.073195286861694</v>
      </c>
      <c r="W333" s="209">
        <v>9.6095618310685431</v>
      </c>
      <c r="X333" s="202">
        <v>6.8269679046849365</v>
      </c>
      <c r="Y333" s="208">
        <v>4.6903591620489884</v>
      </c>
      <c r="Z333" s="209">
        <v>3.4975563971247099</v>
      </c>
      <c r="AA333" s="209">
        <v>3.5418992886006602</v>
      </c>
      <c r="AB333" s="209">
        <v>7.2192090538202098</v>
      </c>
      <c r="AC333" s="209">
        <v>4.0104097206786697</v>
      </c>
      <c r="AD333" s="202">
        <v>9.8247130368228905</v>
      </c>
      <c r="AE333" s="210" t="s">
        <v>213</v>
      </c>
    </row>
    <row r="334" spans="1:31" ht="10.5" hidden="1" customHeight="1">
      <c r="A334" s="213"/>
      <c r="B334" s="392">
        <v>41283</v>
      </c>
      <c r="C334" s="208"/>
      <c r="D334" s="209"/>
      <c r="E334" s="209"/>
      <c r="F334" s="209"/>
      <c r="G334" s="209"/>
      <c r="H334" s="209"/>
      <c r="I334" s="209"/>
      <c r="J334" s="209"/>
      <c r="K334" s="209"/>
      <c r="L334" s="202"/>
      <c r="M334" s="209"/>
      <c r="N334" s="209"/>
      <c r="O334" s="209"/>
      <c r="P334" s="209"/>
      <c r="Q334" s="209"/>
      <c r="R334" s="209"/>
      <c r="S334" s="209"/>
      <c r="T334" s="209"/>
      <c r="U334" s="209"/>
      <c r="V334" s="209"/>
      <c r="W334" s="209"/>
      <c r="X334" s="209"/>
      <c r="Y334" s="208"/>
      <c r="Z334" s="209"/>
      <c r="AA334" s="209"/>
      <c r="AB334" s="209"/>
      <c r="AC334" s="209"/>
      <c r="AD334" s="202"/>
      <c r="AE334" s="397">
        <f>+B334</f>
        <v>41283</v>
      </c>
    </row>
    <row r="335" spans="1:31" ht="12" hidden="1" customHeight="1">
      <c r="A335" s="213"/>
      <c r="B335" s="391" t="s">
        <v>187</v>
      </c>
      <c r="C335" s="208">
        <v>9.4530053274357808</v>
      </c>
      <c r="D335" s="209">
        <v>5.2010005226510652</v>
      </c>
      <c r="E335" s="209">
        <v>9.9357171909679831</v>
      </c>
      <c r="F335" s="209">
        <v>9.25725399739704</v>
      </c>
      <c r="G335" s="209">
        <v>4.394672217034012</v>
      </c>
      <c r="H335" s="209">
        <v>6.0044094499753706</v>
      </c>
      <c r="I335" s="209">
        <v>6.4941805141256195</v>
      </c>
      <c r="J335" s="209">
        <v>9.9967656653500025</v>
      </c>
      <c r="K335" s="209">
        <v>9.8836691435370518</v>
      </c>
      <c r="L335" s="202">
        <v>9.7481304780528824</v>
      </c>
      <c r="M335" s="209">
        <v>14.255088315670614</v>
      </c>
      <c r="N335" s="209">
        <v>11.447213202928442</v>
      </c>
      <c r="O335" s="209">
        <v>18.213045948996577</v>
      </c>
      <c r="P335" s="209">
        <v>10.945568484095356</v>
      </c>
      <c r="Q335" s="209">
        <v>16.23388188588482</v>
      </c>
      <c r="R335" s="209">
        <v>12.703607961105471</v>
      </c>
      <c r="S335" s="209">
        <v>14.318741332665459</v>
      </c>
      <c r="T335" s="209">
        <v>18.524902325530306</v>
      </c>
      <c r="U335" s="209">
        <v>15.43808190709928</v>
      </c>
      <c r="V335" s="209">
        <v>12.237668695358296</v>
      </c>
      <c r="W335" s="209">
        <v>8.5364144583194985</v>
      </c>
      <c r="X335" s="202">
        <v>8.1459238425040397</v>
      </c>
      <c r="Y335" s="208">
        <v>10.264774187687037</v>
      </c>
      <c r="Z335" s="229" t="s">
        <v>93</v>
      </c>
      <c r="AA335" s="209">
        <v>12.852508110806101</v>
      </c>
      <c r="AB335" s="209">
        <v>10.714285714285699</v>
      </c>
      <c r="AC335" s="209">
        <v>9.8362662946742301</v>
      </c>
      <c r="AD335" s="202">
        <v>10.729340835176901</v>
      </c>
      <c r="AE335" s="210" t="s">
        <v>356</v>
      </c>
    </row>
    <row r="336" spans="1:31" ht="12" hidden="1" customHeight="1" thickBot="1">
      <c r="A336" s="220"/>
      <c r="B336" s="391" t="s">
        <v>357</v>
      </c>
      <c r="C336" s="208">
        <v>10.005140104836167</v>
      </c>
      <c r="D336" s="209">
        <v>4.4146000072770377</v>
      </c>
      <c r="E336" s="209">
        <v>10.434668578367789</v>
      </c>
      <c r="F336" s="209">
        <v>8.3372254857659058</v>
      </c>
      <c r="G336" s="209">
        <v>5.2795126644907704</v>
      </c>
      <c r="H336" s="209">
        <v>4.5133494161895511</v>
      </c>
      <c r="I336" s="209">
        <v>6.5694745887974211</v>
      </c>
      <c r="J336" s="209">
        <v>9.2553486337102502</v>
      </c>
      <c r="K336" s="209">
        <v>10.862905998821347</v>
      </c>
      <c r="L336" s="202">
        <v>11.343509825761824</v>
      </c>
      <c r="M336" s="209">
        <v>14.561165275003269</v>
      </c>
      <c r="N336" s="209">
        <v>10.890746158590751</v>
      </c>
      <c r="O336" s="209">
        <v>21.202005847119715</v>
      </c>
      <c r="P336" s="209">
        <v>19.352412533240841</v>
      </c>
      <c r="Q336" s="209">
        <v>14.094708268739408</v>
      </c>
      <c r="R336" s="209">
        <v>12.791944493773492</v>
      </c>
      <c r="S336" s="209">
        <v>12.593742437456147</v>
      </c>
      <c r="T336" s="209">
        <v>15.277050972985217</v>
      </c>
      <c r="U336" s="209">
        <v>17.84209053810471</v>
      </c>
      <c r="V336" s="209">
        <v>13.607945747958077</v>
      </c>
      <c r="W336" s="209">
        <v>10.851454308117541</v>
      </c>
      <c r="X336" s="202">
        <v>6.8222608144245047</v>
      </c>
      <c r="Y336" s="208">
        <v>4.8835084778062452</v>
      </c>
      <c r="Z336" s="209">
        <v>3.64827624996924</v>
      </c>
      <c r="AA336" s="209">
        <v>6.6775365684969001</v>
      </c>
      <c r="AB336" s="209">
        <v>11.022935308032499</v>
      </c>
      <c r="AC336" s="209">
        <v>4.01064863397949</v>
      </c>
      <c r="AD336" s="202">
        <v>9.8246216267669304</v>
      </c>
      <c r="AE336" s="210" t="s">
        <v>213</v>
      </c>
    </row>
    <row r="337" spans="1:31" ht="10.5" hidden="1" customHeight="1">
      <c r="A337" s="213"/>
      <c r="B337" s="392">
        <v>41284</v>
      </c>
      <c r="C337" s="208"/>
      <c r="D337" s="209"/>
      <c r="E337" s="209"/>
      <c r="F337" s="209"/>
      <c r="G337" s="209"/>
      <c r="H337" s="209"/>
      <c r="I337" s="209"/>
      <c r="J337" s="209"/>
      <c r="K337" s="209"/>
      <c r="L337" s="202"/>
      <c r="M337" s="209"/>
      <c r="N337" s="209"/>
      <c r="O337" s="209"/>
      <c r="P337" s="209"/>
      <c r="Q337" s="209"/>
      <c r="R337" s="209"/>
      <c r="S337" s="209"/>
      <c r="T337" s="209"/>
      <c r="U337" s="209"/>
      <c r="V337" s="209"/>
      <c r="W337" s="209"/>
      <c r="X337" s="209"/>
      <c r="Y337" s="208"/>
      <c r="Z337" s="209"/>
      <c r="AA337" s="209"/>
      <c r="AB337" s="209"/>
      <c r="AC337" s="209"/>
      <c r="AD337" s="202"/>
      <c r="AE337" s="397">
        <f>+B337</f>
        <v>41284</v>
      </c>
    </row>
    <row r="338" spans="1:31" ht="12" hidden="1" customHeight="1">
      <c r="A338" s="213"/>
      <c r="B338" s="391" t="s">
        <v>187</v>
      </c>
      <c r="C338" s="208">
        <v>9.451891480803539</v>
      </c>
      <c r="D338" s="209">
        <v>5.6899094656159654</v>
      </c>
      <c r="E338" s="209">
        <v>9.9002270571142468</v>
      </c>
      <c r="F338" s="209">
        <v>7.1503717440553221</v>
      </c>
      <c r="G338" s="209">
        <v>5.414233996742051</v>
      </c>
      <c r="H338" s="209">
        <v>5.9860831211283232</v>
      </c>
      <c r="I338" s="209">
        <v>6.0748013613959202</v>
      </c>
      <c r="J338" s="209">
        <v>9.8606533813120407</v>
      </c>
      <c r="K338" s="209">
        <v>9.9431972117105971</v>
      </c>
      <c r="L338" s="202">
        <v>9.0149305727308313</v>
      </c>
      <c r="M338" s="209">
        <v>14.142315161796645</v>
      </c>
      <c r="N338" s="209">
        <v>11.369739918976656</v>
      </c>
      <c r="O338" s="209">
        <v>18.018104658209012</v>
      </c>
      <c r="P338" s="209">
        <v>9.9812214354952804</v>
      </c>
      <c r="Q338" s="209">
        <v>13.543678474142057</v>
      </c>
      <c r="R338" s="209">
        <v>12.225654178216933</v>
      </c>
      <c r="S338" s="209">
        <v>14.62438039259937</v>
      </c>
      <c r="T338" s="209">
        <v>18.358589010189572</v>
      </c>
      <c r="U338" s="209">
        <v>15.240433526297656</v>
      </c>
      <c r="V338" s="209">
        <v>12.394284391921273</v>
      </c>
      <c r="W338" s="209">
        <v>8.6417955135755449</v>
      </c>
      <c r="X338" s="202">
        <v>8.1703032995910068</v>
      </c>
      <c r="Y338" s="208">
        <v>8.4152723373436729</v>
      </c>
      <c r="Z338" s="209">
        <v>4.25</v>
      </c>
      <c r="AA338" s="209">
        <v>8.8687918457080102</v>
      </c>
      <c r="AB338" s="209">
        <v>10.2516543402102</v>
      </c>
      <c r="AC338" s="209">
        <v>9.2319168880245304</v>
      </c>
      <c r="AD338" s="202">
        <v>9.0551390782178398</v>
      </c>
      <c r="AE338" s="210" t="s">
        <v>356</v>
      </c>
    </row>
    <row r="339" spans="1:31" ht="12" hidden="1" customHeight="1" thickBot="1">
      <c r="A339" s="220"/>
      <c r="B339" s="391" t="s">
        <v>357</v>
      </c>
      <c r="C339" s="208">
        <v>10.044738809608438</v>
      </c>
      <c r="D339" s="209">
        <v>4.8337205144407527</v>
      </c>
      <c r="E339" s="209">
        <v>10.401520362502579</v>
      </c>
      <c r="F339" s="209">
        <v>7.7432300589448042</v>
      </c>
      <c r="G339" s="209">
        <v>5.1323513513513523</v>
      </c>
      <c r="H339" s="209">
        <v>5.5885018734195464</v>
      </c>
      <c r="I339" s="209">
        <v>5.1017205157259706</v>
      </c>
      <c r="J339" s="209">
        <v>9.1997143379013746</v>
      </c>
      <c r="K339" s="209">
        <v>10.855628361200253</v>
      </c>
      <c r="L339" s="202">
        <v>11.325690427947439</v>
      </c>
      <c r="M339" s="209">
        <v>14.439608556269141</v>
      </c>
      <c r="N339" s="209">
        <v>10.908825412430485</v>
      </c>
      <c r="O339" s="209">
        <v>20.716576866631421</v>
      </c>
      <c r="P339" s="209">
        <v>18.311100310196998</v>
      </c>
      <c r="Q339" s="209">
        <v>11.71610691853955</v>
      </c>
      <c r="R339" s="209">
        <v>10.546826817954024</v>
      </c>
      <c r="S339" s="209">
        <v>10.13869991518491</v>
      </c>
      <c r="T339" s="209">
        <v>15.530043107010886</v>
      </c>
      <c r="U339" s="209">
        <v>17.454740654811289</v>
      </c>
      <c r="V339" s="209">
        <v>13.676540755717204</v>
      </c>
      <c r="W339" s="209">
        <v>10.656633013292485</v>
      </c>
      <c r="X339" s="202">
        <v>6.8099701864054607</v>
      </c>
      <c r="Y339" s="208">
        <v>4.0328181842894368</v>
      </c>
      <c r="Z339" s="209">
        <v>3.51737351190476</v>
      </c>
      <c r="AA339" s="209">
        <v>0.68290256115773096</v>
      </c>
      <c r="AB339" s="209">
        <v>9.28571428571429</v>
      </c>
      <c r="AC339" s="209">
        <v>4.0104403893867904</v>
      </c>
      <c r="AD339" s="202">
        <v>9.8247130368228905</v>
      </c>
      <c r="AE339" s="210" t="s">
        <v>213</v>
      </c>
    </row>
    <row r="340" spans="1:31" ht="10.5" hidden="1" customHeight="1">
      <c r="A340" s="213"/>
      <c r="B340" s="392">
        <v>41285</v>
      </c>
      <c r="C340" s="208"/>
      <c r="D340" s="209"/>
      <c r="E340" s="209"/>
      <c r="F340" s="209"/>
      <c r="G340" s="209"/>
      <c r="H340" s="209"/>
      <c r="I340" s="209"/>
      <c r="J340" s="209"/>
      <c r="K340" s="209"/>
      <c r="L340" s="202"/>
      <c r="M340" s="209"/>
      <c r="N340" s="209"/>
      <c r="O340" s="209"/>
      <c r="P340" s="209"/>
      <c r="Q340" s="209"/>
      <c r="R340" s="209"/>
      <c r="S340" s="209"/>
      <c r="T340" s="209"/>
      <c r="U340" s="209"/>
      <c r="V340" s="209"/>
      <c r="W340" s="209"/>
      <c r="X340" s="209"/>
      <c r="Y340" s="208"/>
      <c r="Z340" s="209"/>
      <c r="AA340" s="209"/>
      <c r="AB340" s="209"/>
      <c r="AC340" s="209"/>
      <c r="AD340" s="202"/>
      <c r="AE340" s="397">
        <f>+B340</f>
        <v>41285</v>
      </c>
    </row>
    <row r="341" spans="1:31" ht="12" hidden="1" customHeight="1">
      <c r="A341" s="213"/>
      <c r="B341" s="391" t="s">
        <v>187</v>
      </c>
      <c r="C341" s="208">
        <v>9.4335703984423436</v>
      </c>
      <c r="D341" s="209">
        <v>5.741900636882562</v>
      </c>
      <c r="E341" s="209">
        <v>9.8341212158887519</v>
      </c>
      <c r="F341" s="209">
        <v>8.8060031488509818</v>
      </c>
      <c r="G341" s="209">
        <v>5.7328312027824335</v>
      </c>
      <c r="H341" s="209">
        <v>5.9941423584936944</v>
      </c>
      <c r="I341" s="209">
        <v>5.633357439802424</v>
      </c>
      <c r="J341" s="209">
        <v>9.7723059037099489</v>
      </c>
      <c r="K341" s="209">
        <v>9.9313239278692489</v>
      </c>
      <c r="L341" s="202">
        <v>10.982109781938822</v>
      </c>
      <c r="M341" s="209">
        <v>14.332285034730189</v>
      </c>
      <c r="N341" s="209">
        <v>11.402323744609486</v>
      </c>
      <c r="O341" s="209">
        <v>18.353916964642224</v>
      </c>
      <c r="P341" s="209">
        <v>10.960899942044014</v>
      </c>
      <c r="Q341" s="209">
        <v>13.742196402728931</v>
      </c>
      <c r="R341" s="209">
        <v>15.563796350187525</v>
      </c>
      <c r="S341" s="209">
        <v>15.007428396183212</v>
      </c>
      <c r="T341" s="209">
        <v>18.430103972405398</v>
      </c>
      <c r="U341" s="209">
        <v>15.469028881176534</v>
      </c>
      <c r="V341" s="209">
        <v>12.458727430814365</v>
      </c>
      <c r="W341" s="209">
        <v>8.6864091402257575</v>
      </c>
      <c r="X341" s="202">
        <v>8.2844048047394256</v>
      </c>
      <c r="Y341" s="208">
        <v>10.099371978487431</v>
      </c>
      <c r="Z341" s="209">
        <v>2.8529411764705901</v>
      </c>
      <c r="AA341" s="209">
        <v>12.636538873420401</v>
      </c>
      <c r="AB341" s="209">
        <v>11.545454545454501</v>
      </c>
      <c r="AC341" s="209">
        <v>8.8614708730185505</v>
      </c>
      <c r="AD341" s="202">
        <v>9.0772697448221198</v>
      </c>
      <c r="AE341" s="210" t="s">
        <v>356</v>
      </c>
    </row>
    <row r="342" spans="1:31" ht="12" hidden="1" customHeight="1" thickBot="1">
      <c r="A342" s="220"/>
      <c r="B342" s="391" t="s">
        <v>357</v>
      </c>
      <c r="C342" s="208">
        <v>9.9003835484868112</v>
      </c>
      <c r="D342" s="209">
        <v>3.7096148152524702</v>
      </c>
      <c r="E342" s="209">
        <v>10.348435988208536</v>
      </c>
      <c r="F342" s="209">
        <v>7.7904924586218289</v>
      </c>
      <c r="G342" s="209">
        <v>4.8450403058639262</v>
      </c>
      <c r="H342" s="209">
        <v>5.6541734150201384</v>
      </c>
      <c r="I342" s="209">
        <v>4.5711592309128255</v>
      </c>
      <c r="J342" s="209">
        <v>9.1478860724816009</v>
      </c>
      <c r="K342" s="209">
        <v>10.702471630546356</v>
      </c>
      <c r="L342" s="202">
        <v>11.39311853623588</v>
      </c>
      <c r="M342" s="209">
        <v>14.548760216632919</v>
      </c>
      <c r="N342" s="209">
        <v>10.977108131943794</v>
      </c>
      <c r="O342" s="209">
        <v>20.700189335045774</v>
      </c>
      <c r="P342" s="209">
        <v>18.082697030990417</v>
      </c>
      <c r="Q342" s="209">
        <v>12.498940650215518</v>
      </c>
      <c r="R342" s="209">
        <v>11.767654148655865</v>
      </c>
      <c r="S342" s="209">
        <v>11.888073973890398</v>
      </c>
      <c r="T342" s="209">
        <v>15.671349171676509</v>
      </c>
      <c r="U342" s="209">
        <v>17.53646364773601</v>
      </c>
      <c r="V342" s="209">
        <v>13.720572046632531</v>
      </c>
      <c r="W342" s="209">
        <v>10.597652021827264</v>
      </c>
      <c r="X342" s="202">
        <v>6.7702319608896087</v>
      </c>
      <c r="Y342" s="208">
        <v>3.7597658795531235</v>
      </c>
      <c r="Z342" s="209">
        <v>3.1951273711035602</v>
      </c>
      <c r="AA342" s="209">
        <v>0.55518976504045203</v>
      </c>
      <c r="AB342" s="209">
        <v>8.7423975319524008</v>
      </c>
      <c r="AC342" s="209">
        <v>3.34485828577004</v>
      </c>
      <c r="AD342" s="202">
        <v>9.2698754007361703</v>
      </c>
      <c r="AE342" s="210" t="s">
        <v>213</v>
      </c>
    </row>
    <row r="343" spans="1:31" ht="10.5" hidden="1" customHeight="1">
      <c r="A343" s="213"/>
      <c r="B343" s="392">
        <v>41286</v>
      </c>
      <c r="C343" s="208"/>
      <c r="D343" s="209"/>
      <c r="E343" s="209"/>
      <c r="F343" s="209"/>
      <c r="G343" s="209"/>
      <c r="H343" s="209"/>
      <c r="I343" s="209"/>
      <c r="J343" s="209"/>
      <c r="K343" s="209"/>
      <c r="L343" s="202"/>
      <c r="M343" s="209"/>
      <c r="N343" s="209"/>
      <c r="O343" s="209"/>
      <c r="P343" s="209"/>
      <c r="Q343" s="209"/>
      <c r="R343" s="209"/>
      <c r="S343" s="209"/>
      <c r="T343" s="209"/>
      <c r="U343" s="209"/>
      <c r="V343" s="209"/>
      <c r="W343" s="209"/>
      <c r="X343" s="209"/>
      <c r="Y343" s="208"/>
      <c r="Z343" s="209"/>
      <c r="AA343" s="209"/>
      <c r="AB343" s="209"/>
      <c r="AC343" s="209"/>
      <c r="AD343" s="202"/>
      <c r="AE343" s="397">
        <f>+B343</f>
        <v>41286</v>
      </c>
    </row>
    <row r="344" spans="1:31" ht="12" hidden="1" customHeight="1">
      <c r="A344" s="213"/>
      <c r="B344" s="391" t="s">
        <v>187</v>
      </c>
      <c r="C344" s="208">
        <v>9.51416177117577</v>
      </c>
      <c r="D344" s="209">
        <v>6.0353678725378241</v>
      </c>
      <c r="E344" s="209">
        <v>9.8677042142317681</v>
      </c>
      <c r="F344" s="209">
        <v>8.0766696660434807</v>
      </c>
      <c r="G344" s="209">
        <v>5.7718240231924147</v>
      </c>
      <c r="H344" s="209">
        <v>6.2335210729054378</v>
      </c>
      <c r="I344" s="209">
        <v>5.3123847348150184</v>
      </c>
      <c r="J344" s="209">
        <v>9.8390261506853278</v>
      </c>
      <c r="K344" s="209">
        <v>9.9518983450729692</v>
      </c>
      <c r="L344" s="202">
        <v>13.103462064526505</v>
      </c>
      <c r="M344" s="209">
        <v>14.444365886076246</v>
      </c>
      <c r="N344" s="209">
        <v>11.567439655402302</v>
      </c>
      <c r="O344" s="209">
        <v>18.340665338502227</v>
      </c>
      <c r="P344" s="209">
        <v>11.114815538516723</v>
      </c>
      <c r="Q344" s="209">
        <v>13.840814053782589</v>
      </c>
      <c r="R344" s="209">
        <v>15.000983477747063</v>
      </c>
      <c r="S344" s="209">
        <v>15.129172140142508</v>
      </c>
      <c r="T344" s="209">
        <v>18.661051719929382</v>
      </c>
      <c r="U344" s="209">
        <v>15.540283521452965</v>
      </c>
      <c r="V344" s="209">
        <v>12.560955390654597</v>
      </c>
      <c r="W344" s="209">
        <v>8.9137035858689497</v>
      </c>
      <c r="X344" s="202">
        <v>8.3458589551069675</v>
      </c>
      <c r="Y344" s="208">
        <v>10.111265715704572</v>
      </c>
      <c r="Z344" s="209">
        <v>4.0697674418604697</v>
      </c>
      <c r="AA344" s="209">
        <v>13.188837500979901</v>
      </c>
      <c r="AB344" s="209">
        <v>9.5</v>
      </c>
      <c r="AC344" s="209">
        <v>9.1078664042084103</v>
      </c>
      <c r="AD344" s="202">
        <v>8.7388447877490805</v>
      </c>
      <c r="AE344" s="210" t="s">
        <v>356</v>
      </c>
    </row>
    <row r="345" spans="1:31" ht="12" hidden="1" customHeight="1" thickBot="1">
      <c r="A345" s="220"/>
      <c r="B345" s="391" t="s">
        <v>357</v>
      </c>
      <c r="C345" s="208">
        <v>9.7184276881036329</v>
      </c>
      <c r="D345" s="209">
        <v>3.0835862261532743</v>
      </c>
      <c r="E345" s="209">
        <v>10.304374478067478</v>
      </c>
      <c r="F345" s="209">
        <v>6.896865653675567</v>
      </c>
      <c r="G345" s="209">
        <v>5.3143910499595153</v>
      </c>
      <c r="H345" s="209">
        <v>5.674360952117441</v>
      </c>
      <c r="I345" s="209">
        <v>4.821180879464797</v>
      </c>
      <c r="J345" s="209">
        <v>9.1532237177875064</v>
      </c>
      <c r="K345" s="209">
        <v>10.333723260430761</v>
      </c>
      <c r="L345" s="202">
        <v>11.406727928773178</v>
      </c>
      <c r="M345" s="209">
        <v>14.51574563723938</v>
      </c>
      <c r="N345" s="209">
        <v>10.8855536685501</v>
      </c>
      <c r="O345" s="209">
        <v>20.753530805034259</v>
      </c>
      <c r="P345" s="209">
        <v>14.633206511962591</v>
      </c>
      <c r="Q345" s="209">
        <v>11.91266470215108</v>
      </c>
      <c r="R345" s="209">
        <v>12.29109049397046</v>
      </c>
      <c r="S345" s="209">
        <v>12.578607061688471</v>
      </c>
      <c r="T345" s="209">
        <v>15.640244368066767</v>
      </c>
      <c r="U345" s="209">
        <v>17.602954328079729</v>
      </c>
      <c r="V345" s="209">
        <v>13.634948484638466</v>
      </c>
      <c r="W345" s="209">
        <v>10.565053745956774</v>
      </c>
      <c r="X345" s="202">
        <v>6.7678294134928283</v>
      </c>
      <c r="Y345" s="208">
        <v>3.9215026569221423</v>
      </c>
      <c r="Z345" s="209">
        <v>3.1592252077153602</v>
      </c>
      <c r="AA345" s="209">
        <v>5.4210824157131201</v>
      </c>
      <c r="AB345" s="209">
        <v>4.0119066773933998</v>
      </c>
      <c r="AC345" s="209">
        <v>3.2722677316245501</v>
      </c>
      <c r="AD345" s="202">
        <v>9.7663411588274407</v>
      </c>
      <c r="AE345" s="210" t="s">
        <v>213</v>
      </c>
    </row>
    <row r="346" spans="1:31" ht="10.5" customHeight="1">
      <c r="A346" s="213"/>
      <c r="B346" s="392">
        <v>41640</v>
      </c>
      <c r="C346" s="208"/>
      <c r="D346" s="209"/>
      <c r="E346" s="209"/>
      <c r="F346" s="209"/>
      <c r="G346" s="209"/>
      <c r="H346" s="209"/>
      <c r="I346" s="209"/>
      <c r="J346" s="209"/>
      <c r="K346" s="209"/>
      <c r="L346" s="202"/>
      <c r="M346" s="209"/>
      <c r="N346" s="209"/>
      <c r="O346" s="209"/>
      <c r="P346" s="209"/>
      <c r="Q346" s="209"/>
      <c r="R346" s="209"/>
      <c r="S346" s="209"/>
      <c r="T346" s="209"/>
      <c r="U346" s="209"/>
      <c r="V346" s="209"/>
      <c r="W346" s="209"/>
      <c r="X346" s="209"/>
      <c r="Y346" s="208"/>
      <c r="Z346" s="209"/>
      <c r="AA346" s="209"/>
      <c r="AB346" s="209"/>
      <c r="AC346" s="209"/>
      <c r="AD346" s="202"/>
      <c r="AE346" s="397">
        <f>+B346</f>
        <v>41640</v>
      </c>
    </row>
    <row r="347" spans="1:31" ht="12" customHeight="1">
      <c r="A347" s="213"/>
      <c r="B347" s="391" t="s">
        <v>187</v>
      </c>
      <c r="C347" s="208">
        <v>9.42403346165203</v>
      </c>
      <c r="D347" s="209">
        <v>5.7416401960557177</v>
      </c>
      <c r="E347" s="209">
        <v>9.8069731601243859</v>
      </c>
      <c r="F347" s="209">
        <v>8.7409518576250651</v>
      </c>
      <c r="G347" s="209">
        <v>5.8542408280554152</v>
      </c>
      <c r="H347" s="209">
        <v>6.3602603841398873</v>
      </c>
      <c r="I347" s="209">
        <v>5.6656609250657581</v>
      </c>
      <c r="J347" s="209">
        <v>9.7046897468902902</v>
      </c>
      <c r="K347" s="209">
        <v>9.9735396847885074</v>
      </c>
      <c r="L347" s="202">
        <v>12.981960297580667</v>
      </c>
      <c r="M347" s="209">
        <v>14.12954858726828</v>
      </c>
      <c r="N347" s="209">
        <v>11.518096241727724</v>
      </c>
      <c r="O347" s="209">
        <v>17.648924752834414</v>
      </c>
      <c r="P347" s="209">
        <v>10.657545216749766</v>
      </c>
      <c r="Q347" s="209">
        <v>15.290687763366721</v>
      </c>
      <c r="R347" s="209">
        <v>14.545613046710196</v>
      </c>
      <c r="S347" s="209">
        <v>14.401894898660528</v>
      </c>
      <c r="T347" s="209">
        <v>17.819155563075903</v>
      </c>
      <c r="U347" s="209">
        <v>15.454573820543908</v>
      </c>
      <c r="V347" s="209">
        <v>12.367393115282376</v>
      </c>
      <c r="W347" s="209">
        <v>9.1002623379886405</v>
      </c>
      <c r="X347" s="202">
        <v>8.3790926889192967</v>
      </c>
      <c r="Y347" s="208">
        <v>9.2834186641242891</v>
      </c>
      <c r="Z347" s="209">
        <v>3.5102040816326499</v>
      </c>
      <c r="AA347" s="209">
        <v>11.577251297965001</v>
      </c>
      <c r="AB347" s="209">
        <v>6.71428571428571</v>
      </c>
      <c r="AC347" s="209">
        <v>8.6996488748507392</v>
      </c>
      <c r="AD347" s="202">
        <v>8.8597182464903099</v>
      </c>
      <c r="AE347" s="210" t="s">
        <v>356</v>
      </c>
    </row>
    <row r="348" spans="1:31" ht="12" customHeight="1" thickBot="1">
      <c r="A348" s="220"/>
      <c r="B348" s="391" t="s">
        <v>357</v>
      </c>
      <c r="C348" s="208">
        <v>9.6644118121558424</v>
      </c>
      <c r="D348" s="209">
        <v>2.978586470819113</v>
      </c>
      <c r="E348" s="209">
        <v>10.232093071299426</v>
      </c>
      <c r="F348" s="209">
        <v>9.2098806150917891</v>
      </c>
      <c r="G348" s="209">
        <v>5.5414966472578975</v>
      </c>
      <c r="H348" s="209">
        <v>6.7301326596153572</v>
      </c>
      <c r="I348" s="209">
        <v>4.461894903421963</v>
      </c>
      <c r="J348" s="209">
        <v>9.0378970191978745</v>
      </c>
      <c r="K348" s="209">
        <v>10.312087439673125</v>
      </c>
      <c r="L348" s="202">
        <v>11.420622405539531</v>
      </c>
      <c r="M348" s="209">
        <v>14.394101064297516</v>
      </c>
      <c r="N348" s="209">
        <v>10.756032484390227</v>
      </c>
      <c r="O348" s="209">
        <v>20.735615193089128</v>
      </c>
      <c r="P348" s="209">
        <v>16.689937198864033</v>
      </c>
      <c r="Q348" s="209">
        <v>13.93701567675453</v>
      </c>
      <c r="R348" s="209">
        <v>12.105791572260815</v>
      </c>
      <c r="S348" s="209">
        <v>13.451604188426487</v>
      </c>
      <c r="T348" s="209">
        <v>16.38048423032329</v>
      </c>
      <c r="U348" s="209">
        <v>16.786035224506392</v>
      </c>
      <c r="V348" s="209">
        <v>13.670378858220433</v>
      </c>
      <c r="W348" s="209">
        <v>10.371303810252742</v>
      </c>
      <c r="X348" s="202">
        <v>7.0137743197417022</v>
      </c>
      <c r="Y348" s="208">
        <v>4.0761969384712327</v>
      </c>
      <c r="Z348" s="209">
        <v>2.7500787266881499</v>
      </c>
      <c r="AA348" s="209">
        <v>6.2192881402533597</v>
      </c>
      <c r="AB348" s="209">
        <v>6.7566421611786103</v>
      </c>
      <c r="AC348" s="209">
        <v>3.3913760649646898</v>
      </c>
      <c r="AD348" s="202">
        <v>7.9266243045756397</v>
      </c>
      <c r="AE348" s="210" t="s">
        <v>213</v>
      </c>
    </row>
    <row r="349" spans="1:31" ht="10.5" hidden="1" customHeight="1">
      <c r="A349" s="213"/>
      <c r="B349" s="392">
        <v>41641</v>
      </c>
      <c r="C349" s="208"/>
      <c r="D349" s="209"/>
      <c r="E349" s="209"/>
      <c r="F349" s="209"/>
      <c r="G349" s="209"/>
      <c r="H349" s="209"/>
      <c r="I349" s="209"/>
      <c r="J349" s="209"/>
      <c r="K349" s="209"/>
      <c r="L349" s="202"/>
      <c r="M349" s="209"/>
      <c r="N349" s="209"/>
      <c r="O349" s="209"/>
      <c r="P349" s="209"/>
      <c r="Q349" s="209"/>
      <c r="R349" s="209"/>
      <c r="S349" s="209"/>
      <c r="T349" s="209"/>
      <c r="U349" s="209"/>
      <c r="V349" s="209"/>
      <c r="W349" s="209"/>
      <c r="X349" s="209"/>
      <c r="Y349" s="208"/>
      <c r="Z349" s="209"/>
      <c r="AA349" s="209"/>
      <c r="AB349" s="209"/>
      <c r="AC349" s="209"/>
      <c r="AD349" s="202"/>
      <c r="AE349" s="397">
        <f>+B349</f>
        <v>41641</v>
      </c>
    </row>
    <row r="350" spans="1:31" ht="12" hidden="1" customHeight="1">
      <c r="A350" s="213"/>
      <c r="B350" s="391" t="s">
        <v>187</v>
      </c>
      <c r="C350" s="208">
        <v>9.4150083800694588</v>
      </c>
      <c r="D350" s="209">
        <v>5.5880765872757738</v>
      </c>
      <c r="E350" s="209">
        <v>9.7959391989648825</v>
      </c>
      <c r="F350" s="209">
        <v>9.7226665759723403</v>
      </c>
      <c r="G350" s="209">
        <v>5.5983136916209482</v>
      </c>
      <c r="H350" s="209">
        <v>6.8925659857845041</v>
      </c>
      <c r="I350" s="209">
        <v>5.5684340870260325</v>
      </c>
      <c r="J350" s="209">
        <v>9.7272682412315561</v>
      </c>
      <c r="K350" s="209">
        <v>9.8299502425090068</v>
      </c>
      <c r="L350" s="202">
        <v>12.130390737669174</v>
      </c>
      <c r="M350" s="209">
        <v>14.159939798981696</v>
      </c>
      <c r="N350" s="209">
        <v>10.981378957686037</v>
      </c>
      <c r="O350" s="209">
        <v>17.98790030451983</v>
      </c>
      <c r="P350" s="209">
        <v>10.909014317195679</v>
      </c>
      <c r="Q350" s="209">
        <v>15.621685827868189</v>
      </c>
      <c r="R350" s="209">
        <v>14.332572634747267</v>
      </c>
      <c r="S350" s="209">
        <v>13.010718770303626</v>
      </c>
      <c r="T350" s="209">
        <v>18.386071459324246</v>
      </c>
      <c r="U350" s="209">
        <v>15.897135902354453</v>
      </c>
      <c r="V350" s="209">
        <v>12.11566296719325</v>
      </c>
      <c r="W350" s="209">
        <v>8.8706654923765793</v>
      </c>
      <c r="X350" s="202">
        <v>7.9807677990179284</v>
      </c>
      <c r="Y350" s="208">
        <v>7.6350639756918488</v>
      </c>
      <c r="Z350" s="209">
        <v>4.12270803949224</v>
      </c>
      <c r="AA350" s="209">
        <v>7.0115860966839803</v>
      </c>
      <c r="AB350" s="209">
        <v>9.9920349761526204</v>
      </c>
      <c r="AC350" s="209">
        <v>8.93798266660081</v>
      </c>
      <c r="AD350" s="202">
        <v>8.7972305931189396</v>
      </c>
      <c r="AE350" s="210" t="s">
        <v>356</v>
      </c>
    </row>
    <row r="351" spans="1:31" ht="12" hidden="1" customHeight="1" thickBot="1">
      <c r="A351" s="220"/>
      <c r="B351" s="391" t="s">
        <v>357</v>
      </c>
      <c r="C351" s="208">
        <v>9.6551971496758515</v>
      </c>
      <c r="D351" s="209">
        <v>3.3488763422166188</v>
      </c>
      <c r="E351" s="209">
        <v>10.188819827519346</v>
      </c>
      <c r="F351" s="209">
        <v>7.5103105765117437</v>
      </c>
      <c r="G351" s="209">
        <v>6.9826886744820955</v>
      </c>
      <c r="H351" s="209">
        <v>7.3455414187941797</v>
      </c>
      <c r="I351" s="209">
        <v>4.5980133270953463</v>
      </c>
      <c r="J351" s="209">
        <v>9.0265636331374228</v>
      </c>
      <c r="K351" s="209">
        <v>10.235234044967845</v>
      </c>
      <c r="L351" s="202">
        <v>11.354949465099201</v>
      </c>
      <c r="M351" s="209">
        <v>14.647339731009572</v>
      </c>
      <c r="N351" s="209">
        <v>10.517717271272936</v>
      </c>
      <c r="O351" s="209">
        <v>20.824614165833861</v>
      </c>
      <c r="P351" s="209">
        <v>17.566959921370561</v>
      </c>
      <c r="Q351" s="209">
        <v>14.036590815043517</v>
      </c>
      <c r="R351" s="209">
        <v>11.526289880948605</v>
      </c>
      <c r="S351" s="209">
        <v>13.485810517854464</v>
      </c>
      <c r="T351" s="209">
        <v>16.505929077668128</v>
      </c>
      <c r="U351" s="209">
        <v>16.967267010795197</v>
      </c>
      <c r="V351" s="209">
        <v>13.774382318067667</v>
      </c>
      <c r="W351" s="209">
        <v>10.54857658381677</v>
      </c>
      <c r="X351" s="202">
        <v>7.8007910190679981</v>
      </c>
      <c r="Y351" s="208">
        <v>4.6876403073642123</v>
      </c>
      <c r="Z351" s="209">
        <v>3.7326858441419102</v>
      </c>
      <c r="AA351" s="209">
        <v>5.8713455466821403</v>
      </c>
      <c r="AB351" s="209">
        <v>6.9137479733349396</v>
      </c>
      <c r="AC351" s="209">
        <v>3.2030713879922601</v>
      </c>
      <c r="AD351" s="202">
        <v>6.8496119611130499</v>
      </c>
      <c r="AE351" s="210" t="s">
        <v>213</v>
      </c>
    </row>
    <row r="352" spans="1:31" ht="10.5" hidden="1" customHeight="1">
      <c r="A352" s="213"/>
      <c r="B352" s="392">
        <v>41642</v>
      </c>
      <c r="C352" s="208"/>
      <c r="D352" s="209"/>
      <c r="E352" s="209"/>
      <c r="F352" s="209"/>
      <c r="G352" s="209"/>
      <c r="H352" s="209"/>
      <c r="I352" s="209"/>
      <c r="J352" s="209"/>
      <c r="K352" s="209"/>
      <c r="L352" s="202"/>
      <c r="M352" s="209"/>
      <c r="N352" s="209"/>
      <c r="O352" s="209"/>
      <c r="P352" s="209"/>
      <c r="Q352" s="209"/>
      <c r="R352" s="209"/>
      <c r="S352" s="209"/>
      <c r="T352" s="209"/>
      <c r="U352" s="209"/>
      <c r="V352" s="209"/>
      <c r="W352" s="209"/>
      <c r="X352" s="209"/>
      <c r="Y352" s="208"/>
      <c r="Z352" s="209"/>
      <c r="AA352" s="209"/>
      <c r="AB352" s="209"/>
      <c r="AC352" s="209"/>
      <c r="AD352" s="202"/>
      <c r="AE352" s="397">
        <f>+B352</f>
        <v>41642</v>
      </c>
    </row>
    <row r="353" spans="1:31" ht="12" hidden="1" customHeight="1">
      <c r="A353" s="213"/>
      <c r="B353" s="391" t="s">
        <v>187</v>
      </c>
      <c r="C353" s="208">
        <v>9.3790537953254471</v>
      </c>
      <c r="D353" s="209">
        <v>5.6343447414043561</v>
      </c>
      <c r="E353" s="209">
        <v>9.8094861557187887</v>
      </c>
      <c r="F353" s="209">
        <v>9.3204560804587864</v>
      </c>
      <c r="G353" s="209">
        <v>5.6348029431048294</v>
      </c>
      <c r="H353" s="209">
        <v>7.4148993036224704</v>
      </c>
      <c r="I353" s="209">
        <v>5.6880020100362474</v>
      </c>
      <c r="J353" s="209">
        <v>9.4862017730915316</v>
      </c>
      <c r="K353" s="209">
        <v>9.9550081368087895</v>
      </c>
      <c r="L353" s="202">
        <v>12.681658561290645</v>
      </c>
      <c r="M353" s="209">
        <v>14.471831469653909</v>
      </c>
      <c r="N353" s="209">
        <v>11.455695670771247</v>
      </c>
      <c r="O353" s="209">
        <v>18.213274893568052</v>
      </c>
      <c r="P353" s="209">
        <v>11.158935216196582</v>
      </c>
      <c r="Q353" s="209">
        <v>16.098030254538212</v>
      </c>
      <c r="R353" s="209">
        <v>14.33747103509803</v>
      </c>
      <c r="S353" s="209">
        <v>17.251797491180245</v>
      </c>
      <c r="T353" s="209">
        <v>18.940047469796319</v>
      </c>
      <c r="U353" s="209">
        <v>16.02606324844535</v>
      </c>
      <c r="V353" s="209">
        <v>12.35141314047751</v>
      </c>
      <c r="W353" s="209">
        <v>9.1768426456264027</v>
      </c>
      <c r="X353" s="202">
        <v>7.7262498007295122</v>
      </c>
      <c r="Y353" s="208">
        <v>9.7656766121779981</v>
      </c>
      <c r="Z353" s="209">
        <v>4.6164772727272698</v>
      </c>
      <c r="AA353" s="209">
        <v>12.611761285163899</v>
      </c>
      <c r="AB353" s="209">
        <v>8.8000000000000007</v>
      </c>
      <c r="AC353" s="209">
        <v>8.3705805821918204</v>
      </c>
      <c r="AD353" s="202">
        <v>8.9170012539301098</v>
      </c>
      <c r="AE353" s="210" t="s">
        <v>356</v>
      </c>
    </row>
    <row r="354" spans="1:31" ht="12" hidden="1" customHeight="1" thickBot="1">
      <c r="A354" s="220"/>
      <c r="B354" s="391" t="s">
        <v>357</v>
      </c>
      <c r="C354" s="208">
        <v>9.740441464743542</v>
      </c>
      <c r="D354" s="209">
        <v>3.3877192238702989</v>
      </c>
      <c r="E354" s="209">
        <v>10.236146305728376</v>
      </c>
      <c r="F354" s="209">
        <v>10.417659390643699</v>
      </c>
      <c r="G354" s="209">
        <v>6.6620769960018142</v>
      </c>
      <c r="H354" s="209">
        <v>7.0933866059627926</v>
      </c>
      <c r="I354" s="209">
        <v>5.18023268464992</v>
      </c>
      <c r="J354" s="209">
        <v>8.8211426782433833</v>
      </c>
      <c r="K354" s="209">
        <v>10.513257807749998</v>
      </c>
      <c r="L354" s="202">
        <v>11.40897260514557</v>
      </c>
      <c r="M354" s="209">
        <v>14.322030077481909</v>
      </c>
      <c r="N354" s="209">
        <v>10.690508499712196</v>
      </c>
      <c r="O354" s="209">
        <v>20.375727911585905</v>
      </c>
      <c r="P354" s="209">
        <v>11.614818216436083</v>
      </c>
      <c r="Q354" s="209">
        <v>14.307670980122003</v>
      </c>
      <c r="R354" s="209">
        <v>11.668589653148056</v>
      </c>
      <c r="S354" s="209">
        <v>12.147055716820592</v>
      </c>
      <c r="T354" s="209">
        <v>15.749764378867434</v>
      </c>
      <c r="U354" s="209">
        <v>17.012148745211142</v>
      </c>
      <c r="V354" s="209">
        <v>13.890085949597736</v>
      </c>
      <c r="W354" s="209">
        <v>10.417782441856961</v>
      </c>
      <c r="X354" s="202">
        <v>7.0748849279597259</v>
      </c>
      <c r="Y354" s="208">
        <v>4.440639730284845</v>
      </c>
      <c r="Z354" s="209">
        <v>3.7533543024446798</v>
      </c>
      <c r="AA354" s="209">
        <v>4.1171928215061904</v>
      </c>
      <c r="AB354" s="209">
        <v>7.1926326129665998</v>
      </c>
      <c r="AC354" s="209">
        <v>3.3608484025862202</v>
      </c>
      <c r="AD354" s="202">
        <v>7.9265172846969199</v>
      </c>
      <c r="AE354" s="210" t="s">
        <v>213</v>
      </c>
    </row>
    <row r="355" spans="1:31" ht="12" hidden="1" customHeight="1">
      <c r="B355" s="392">
        <v>41643</v>
      </c>
      <c r="C355" s="208"/>
      <c r="D355" s="209"/>
      <c r="E355" s="209"/>
      <c r="F355" s="209"/>
      <c r="G355" s="209"/>
      <c r="H355" s="209"/>
      <c r="I355" s="209"/>
      <c r="J355" s="209"/>
      <c r="K355" s="209"/>
      <c r="L355" s="202"/>
      <c r="M355" s="209"/>
      <c r="N355" s="209"/>
      <c r="O355" s="209"/>
      <c r="P355" s="209"/>
      <c r="Q355" s="209"/>
      <c r="R355" s="209"/>
      <c r="S355" s="209"/>
      <c r="T355" s="209"/>
      <c r="U355" s="209"/>
      <c r="V355" s="209"/>
      <c r="W355" s="209"/>
      <c r="X355" s="209"/>
      <c r="Y355" s="208"/>
      <c r="Z355" s="209"/>
      <c r="AA355" s="209"/>
      <c r="AB355" s="209"/>
      <c r="AC355" s="209"/>
      <c r="AD355" s="202"/>
      <c r="AE355" s="397">
        <f>+B355</f>
        <v>41643</v>
      </c>
    </row>
    <row r="356" spans="1:31" ht="12" hidden="1" customHeight="1">
      <c r="B356" s="391" t="s">
        <v>187</v>
      </c>
      <c r="C356" s="208">
        <v>9.3151785851461231</v>
      </c>
      <c r="D356" s="209">
        <v>5.6574289428355318</v>
      </c>
      <c r="E356" s="209">
        <v>9.7253732054530424</v>
      </c>
      <c r="F356" s="209">
        <v>8.1893455420190904</v>
      </c>
      <c r="G356" s="209">
        <v>5.7856215810967964</v>
      </c>
      <c r="H356" s="209">
        <v>6.9961879552921991</v>
      </c>
      <c r="I356" s="209">
        <v>5.8317506068989866</v>
      </c>
      <c r="J356" s="209">
        <v>9.4627954895184168</v>
      </c>
      <c r="K356" s="209">
        <v>9.7989237755040506</v>
      </c>
      <c r="L356" s="202">
        <v>12.183791808585552</v>
      </c>
      <c r="M356" s="209">
        <v>14.452596758088932</v>
      </c>
      <c r="N356" s="209">
        <v>11.574116514726382</v>
      </c>
      <c r="O356" s="209">
        <v>17.898763110870771</v>
      </c>
      <c r="P356" s="209">
        <v>9.5892273592277171</v>
      </c>
      <c r="Q356" s="209">
        <v>15.98177931687502</v>
      </c>
      <c r="R356" s="209">
        <v>13.387383879802247</v>
      </c>
      <c r="S356" s="209">
        <v>17.31529882807525</v>
      </c>
      <c r="T356" s="209">
        <v>18.125898529172623</v>
      </c>
      <c r="U356" s="209">
        <v>16.097693443996718</v>
      </c>
      <c r="V356" s="209">
        <v>12.994782293814131</v>
      </c>
      <c r="W356" s="209">
        <v>9.1604713430457814</v>
      </c>
      <c r="X356" s="202">
        <v>7.7635084554261091</v>
      </c>
      <c r="Y356" s="208">
        <v>10.048143635013266</v>
      </c>
      <c r="Z356" s="209">
        <v>2.2333333333333298</v>
      </c>
      <c r="AA356" s="209">
        <v>12.6210211046876</v>
      </c>
      <c r="AB356" s="209">
        <v>11.4444444444444</v>
      </c>
      <c r="AC356" s="209">
        <v>8.1508192560977992</v>
      </c>
      <c r="AD356" s="202">
        <v>9.0612946146514908</v>
      </c>
      <c r="AE356" s="210" t="s">
        <v>356</v>
      </c>
    </row>
    <row r="357" spans="1:31" ht="12" hidden="1" customHeight="1">
      <c r="B357" s="391" t="s">
        <v>357</v>
      </c>
      <c r="C357" s="208">
        <v>9.6385763746616355</v>
      </c>
      <c r="D357" s="209">
        <v>3.4783787550976464</v>
      </c>
      <c r="E357" s="209">
        <v>10.131208816310421</v>
      </c>
      <c r="F357" s="209">
        <v>10.471747479390499</v>
      </c>
      <c r="G357" s="209">
        <v>7.2253163800580547</v>
      </c>
      <c r="H357" s="209">
        <v>6.6024689229829878</v>
      </c>
      <c r="I357" s="209">
        <v>5.1214967413425301</v>
      </c>
      <c r="J357" s="209">
        <v>8.8716541847312111</v>
      </c>
      <c r="K357" s="209">
        <v>10.4132743935773</v>
      </c>
      <c r="L357" s="202">
        <v>11.189026625332968</v>
      </c>
      <c r="M357" s="209">
        <v>14.787157712109964</v>
      </c>
      <c r="N357" s="209">
        <v>10.97041807854737</v>
      </c>
      <c r="O357" s="209">
        <v>20.830846303725892</v>
      </c>
      <c r="P357" s="209">
        <v>11.335716125567574</v>
      </c>
      <c r="Q357" s="209">
        <v>14.225442105046781</v>
      </c>
      <c r="R357" s="209">
        <v>11.202969681666977</v>
      </c>
      <c r="S357" s="209">
        <v>12.18566950787565</v>
      </c>
      <c r="T357" s="209">
        <v>16.038689707679765</v>
      </c>
      <c r="U357" s="209">
        <v>17.454356960326777</v>
      </c>
      <c r="V357" s="209">
        <v>14.373123050860473</v>
      </c>
      <c r="W357" s="209">
        <v>10.701156335558359</v>
      </c>
      <c r="X357" s="202">
        <v>7.4437023251589078</v>
      </c>
      <c r="Y357" s="208">
        <v>4.1833509847964638</v>
      </c>
      <c r="Z357" s="209">
        <v>2.1201887390522498</v>
      </c>
      <c r="AA357" s="209">
        <v>13.485764449084201</v>
      </c>
      <c r="AB357" s="209">
        <v>2.6872663294479899</v>
      </c>
      <c r="AC357" s="209">
        <v>5.4603895887131602</v>
      </c>
      <c r="AD357" s="202">
        <v>7.9261139540057801</v>
      </c>
      <c r="AE357" s="210" t="s">
        <v>213</v>
      </c>
    </row>
    <row r="358" spans="1:31" ht="12" hidden="1" customHeight="1">
      <c r="B358" s="392">
        <v>41644</v>
      </c>
      <c r="C358" s="208"/>
      <c r="D358" s="209"/>
      <c r="E358" s="209"/>
      <c r="F358" s="209"/>
      <c r="G358" s="209"/>
      <c r="H358" s="209"/>
      <c r="I358" s="209"/>
      <c r="J358" s="209"/>
      <c r="K358" s="209"/>
      <c r="L358" s="202"/>
      <c r="M358" s="209"/>
      <c r="N358" s="209"/>
      <c r="O358" s="209"/>
      <c r="P358" s="209"/>
      <c r="Q358" s="209"/>
      <c r="R358" s="209"/>
      <c r="S358" s="209"/>
      <c r="T358" s="209"/>
      <c r="U358" s="209"/>
      <c r="V358" s="209"/>
      <c r="W358" s="209"/>
      <c r="X358" s="209"/>
      <c r="Y358" s="208"/>
      <c r="Z358" s="209"/>
      <c r="AA358" s="209"/>
      <c r="AB358" s="209"/>
      <c r="AC358" s="209"/>
      <c r="AD358" s="202"/>
      <c r="AE358" s="397">
        <f>+B358</f>
        <v>41644</v>
      </c>
    </row>
    <row r="359" spans="1:31" ht="12" hidden="1" customHeight="1">
      <c r="B359" s="391" t="s">
        <v>187</v>
      </c>
      <c r="C359" s="208">
        <v>9.1579732167241747</v>
      </c>
      <c r="D359" s="209">
        <v>5.7210351715609677</v>
      </c>
      <c r="E359" s="209">
        <v>9.5498014201292278</v>
      </c>
      <c r="F359" s="209">
        <v>7.274786281386401</v>
      </c>
      <c r="G359" s="209">
        <v>5.5068783221871973</v>
      </c>
      <c r="H359" s="209">
        <v>6.5752453873776835</v>
      </c>
      <c r="I359" s="209">
        <v>5.351680517187579</v>
      </c>
      <c r="J359" s="209">
        <v>9.1909630114097887</v>
      </c>
      <c r="K359" s="209">
        <v>9.7486385680021854</v>
      </c>
      <c r="L359" s="202">
        <v>12.082756448418504</v>
      </c>
      <c r="M359" s="209">
        <v>14.195979534287781</v>
      </c>
      <c r="N359" s="209">
        <v>11.352062452356964</v>
      </c>
      <c r="O359" s="209">
        <v>17.585702084226039</v>
      </c>
      <c r="P359" s="209">
        <v>9.4152419638906526</v>
      </c>
      <c r="Q359" s="209">
        <v>15.426760450683505</v>
      </c>
      <c r="R359" s="209">
        <v>14.164568215772317</v>
      </c>
      <c r="S359" s="209">
        <v>17.918054460635936</v>
      </c>
      <c r="T359" s="209">
        <v>17.642106929482754</v>
      </c>
      <c r="U359" s="209">
        <v>16.020574100963529</v>
      </c>
      <c r="V359" s="209">
        <v>12.230141880774628</v>
      </c>
      <c r="W359" s="209">
        <v>9.3920970374982762</v>
      </c>
      <c r="X359" s="202">
        <v>7.7957630379189231</v>
      </c>
      <c r="Y359" s="208">
        <v>10.133558819850807</v>
      </c>
      <c r="Z359" s="209">
        <v>2.9</v>
      </c>
      <c r="AA359" s="209">
        <v>13.0108983039917</v>
      </c>
      <c r="AB359" s="209">
        <v>8</v>
      </c>
      <c r="AC359" s="209">
        <v>8.5129801699516996</v>
      </c>
      <c r="AD359" s="202">
        <v>8.8849966189832195</v>
      </c>
      <c r="AE359" s="210" t="s">
        <v>356</v>
      </c>
    </row>
    <row r="360" spans="1:31" ht="12" hidden="1" customHeight="1">
      <c r="B360" s="391" t="s">
        <v>357</v>
      </c>
      <c r="C360" s="208">
        <v>9.6395330671180357</v>
      </c>
      <c r="D360" s="209">
        <v>3.474920476434824</v>
      </c>
      <c r="E360" s="209">
        <v>10.158198613797207</v>
      </c>
      <c r="F360" s="209">
        <v>10.0317335459972</v>
      </c>
      <c r="G360" s="209">
        <v>5.4435696025994886</v>
      </c>
      <c r="H360" s="209">
        <v>6.4153824480902077</v>
      </c>
      <c r="I360" s="209">
        <v>4.5937692097409197</v>
      </c>
      <c r="J360" s="209">
        <v>8.8151235288269216</v>
      </c>
      <c r="K360" s="209">
        <v>10.505976317464857</v>
      </c>
      <c r="L360" s="202">
        <v>11.768748913697079</v>
      </c>
      <c r="M360" s="209">
        <v>14.617161366081467</v>
      </c>
      <c r="N360" s="209">
        <v>10.797428094594808</v>
      </c>
      <c r="O360" s="209">
        <v>20.641026421373613</v>
      </c>
      <c r="P360" s="209">
        <v>11.19666115375119</v>
      </c>
      <c r="Q360" s="209">
        <v>14.189621010858888</v>
      </c>
      <c r="R360" s="209">
        <v>11.155697996057109</v>
      </c>
      <c r="S360" s="209">
        <v>11.871275646378958</v>
      </c>
      <c r="T360" s="209">
        <v>14.411900822181506</v>
      </c>
      <c r="U360" s="209">
        <v>17.799702363328159</v>
      </c>
      <c r="V360" s="209">
        <v>14.447212490141318</v>
      </c>
      <c r="W360" s="209">
        <v>10.820656411142425</v>
      </c>
      <c r="X360" s="202">
        <v>7.090633424180889</v>
      </c>
      <c r="Y360" s="208">
        <v>5.2854164264235699</v>
      </c>
      <c r="Z360" s="209">
        <v>3.4887078582328401</v>
      </c>
      <c r="AA360" s="209">
        <v>10.001803179342</v>
      </c>
      <c r="AB360" s="209">
        <v>5.0447888438936799</v>
      </c>
      <c r="AC360" s="209">
        <v>3.8980311693102201</v>
      </c>
      <c r="AD360" s="202">
        <v>7.9265963495955596</v>
      </c>
      <c r="AE360" s="210" t="s">
        <v>213</v>
      </c>
    </row>
    <row r="361" spans="1:31" ht="12" hidden="1" customHeight="1">
      <c r="B361" s="392">
        <v>41645</v>
      </c>
      <c r="C361" s="208"/>
      <c r="D361" s="209"/>
      <c r="E361" s="209"/>
      <c r="F361" s="209"/>
      <c r="G361" s="209"/>
      <c r="H361" s="209"/>
      <c r="I361" s="209"/>
      <c r="J361" s="209"/>
      <c r="K361" s="209"/>
      <c r="L361" s="202"/>
      <c r="M361" s="209"/>
      <c r="N361" s="209"/>
      <c r="O361" s="209"/>
      <c r="P361" s="209"/>
      <c r="Q361" s="209"/>
      <c r="R361" s="209"/>
      <c r="S361" s="209"/>
      <c r="T361" s="209"/>
      <c r="U361" s="209"/>
      <c r="V361" s="209"/>
      <c r="W361" s="209"/>
      <c r="X361" s="209"/>
      <c r="Y361" s="208"/>
      <c r="Z361" s="209"/>
      <c r="AA361" s="209"/>
      <c r="AB361" s="209"/>
      <c r="AC361" s="209"/>
      <c r="AD361" s="202"/>
      <c r="AE361" s="397">
        <f>+B361</f>
        <v>41645</v>
      </c>
    </row>
    <row r="362" spans="1:31" ht="12" hidden="1" customHeight="1">
      <c r="B362" s="391" t="s">
        <v>187</v>
      </c>
      <c r="C362" s="208">
        <v>9.0749943469420131</v>
      </c>
      <c r="D362" s="209">
        <v>5.7255827085130786</v>
      </c>
      <c r="E362" s="209">
        <v>9.4927950715278726</v>
      </c>
      <c r="F362" s="209">
        <v>6.0475701035679963</v>
      </c>
      <c r="G362" s="209">
        <v>5.4659493883039634</v>
      </c>
      <c r="H362" s="209">
        <v>5.8857834335020875</v>
      </c>
      <c r="I362" s="209">
        <v>5.3364424361693921</v>
      </c>
      <c r="J362" s="209">
        <v>9.1769724703924442</v>
      </c>
      <c r="K362" s="209">
        <v>9.7560928097293509</v>
      </c>
      <c r="L362" s="202">
        <v>12.057191943084407</v>
      </c>
      <c r="M362" s="209">
        <v>14.054465364110834</v>
      </c>
      <c r="N362" s="209">
        <v>10.711090522276931</v>
      </c>
      <c r="O362" s="209">
        <v>18.084794044630844</v>
      </c>
      <c r="P362" s="209">
        <v>9.6603749396851128</v>
      </c>
      <c r="Q362" s="209">
        <v>12.83208631049699</v>
      </c>
      <c r="R362" s="209">
        <v>14.295203796057256</v>
      </c>
      <c r="S362" s="209">
        <v>16.216930110364409</v>
      </c>
      <c r="T362" s="209">
        <v>16.953199111320142</v>
      </c>
      <c r="U362" s="209">
        <v>15.968533432457734</v>
      </c>
      <c r="V362" s="209">
        <v>12.360742351889485</v>
      </c>
      <c r="W362" s="209">
        <v>9.1315604113627984</v>
      </c>
      <c r="X362" s="202">
        <v>8.0929168691964435</v>
      </c>
      <c r="Y362" s="208">
        <v>9.6974188652920734</v>
      </c>
      <c r="Z362" s="209">
        <v>5.2639830508474601</v>
      </c>
      <c r="AA362" s="209">
        <v>12.400265889451299</v>
      </c>
      <c r="AB362" s="209">
        <v>9.125</v>
      </c>
      <c r="AC362" s="209">
        <v>8.9697588566043809</v>
      </c>
      <c r="AD362" s="202">
        <v>8.6967359128277799</v>
      </c>
      <c r="AE362" s="210" t="s">
        <v>356</v>
      </c>
    </row>
    <row r="363" spans="1:31" ht="12" hidden="1" customHeight="1">
      <c r="B363" s="391" t="s">
        <v>357</v>
      </c>
      <c r="C363" s="208">
        <v>8.9890125085675994</v>
      </c>
      <c r="D363" s="209">
        <v>2.8866963784782094</v>
      </c>
      <c r="E363" s="209">
        <v>10.099375877710417</v>
      </c>
      <c r="F363" s="209">
        <v>6.4189295318581214</v>
      </c>
      <c r="G363" s="209">
        <v>5.702164034727744</v>
      </c>
      <c r="H363" s="209">
        <v>6.2180640013637758</v>
      </c>
      <c r="I363" s="209">
        <v>4.1391017226017315</v>
      </c>
      <c r="J363" s="209">
        <v>7.6599167157979098</v>
      </c>
      <c r="K363" s="209">
        <v>10.454970302788739</v>
      </c>
      <c r="L363" s="202">
        <v>11.693317959197675</v>
      </c>
      <c r="M363" s="209">
        <v>14.39369816646434</v>
      </c>
      <c r="N363" s="209">
        <v>9.9348990290027341</v>
      </c>
      <c r="O363" s="209">
        <v>21.365067812112539</v>
      </c>
      <c r="P363" s="209">
        <v>14.951810136578283</v>
      </c>
      <c r="Q363" s="209">
        <v>14.845222013315084</v>
      </c>
      <c r="R363" s="209">
        <v>11.736668727171068</v>
      </c>
      <c r="S363" s="209">
        <v>10.297072342601618</v>
      </c>
      <c r="T363" s="209">
        <v>13.568507117367998</v>
      </c>
      <c r="U363" s="209">
        <v>18.307753431188178</v>
      </c>
      <c r="V363" s="209">
        <v>13.547396035832044</v>
      </c>
      <c r="W363" s="209">
        <v>10.497814682296104</v>
      </c>
      <c r="X363" s="202">
        <v>7.072351565226775</v>
      </c>
      <c r="Y363" s="208">
        <v>4.8196328564984832</v>
      </c>
      <c r="Z363" s="209">
        <v>4.7467054172776901</v>
      </c>
      <c r="AA363" s="209">
        <v>7.4490168436546007</v>
      </c>
      <c r="AB363" s="209">
        <v>5.4481584279803199</v>
      </c>
      <c r="AC363" s="209">
        <v>1.4948840581484399</v>
      </c>
      <c r="AD363" s="202">
        <v>6.6743531040143607</v>
      </c>
      <c r="AE363" s="210" t="s">
        <v>213</v>
      </c>
    </row>
    <row r="364" spans="1:31" ht="12" hidden="1" customHeight="1">
      <c r="B364" s="392">
        <v>41646</v>
      </c>
      <c r="C364" s="208"/>
      <c r="D364" s="209"/>
      <c r="E364" s="209"/>
      <c r="F364" s="209"/>
      <c r="G364" s="209"/>
      <c r="H364" s="209"/>
      <c r="I364" s="209"/>
      <c r="J364" s="209"/>
      <c r="K364" s="209"/>
      <c r="L364" s="202"/>
      <c r="M364" s="209"/>
      <c r="N364" s="209"/>
      <c r="O364" s="209"/>
      <c r="P364" s="209"/>
      <c r="Q364" s="209"/>
      <c r="R364" s="209"/>
      <c r="S364" s="209"/>
      <c r="T364" s="209"/>
      <c r="U364" s="209"/>
      <c r="V364" s="209"/>
      <c r="W364" s="209"/>
      <c r="X364" s="209"/>
      <c r="Y364" s="208"/>
      <c r="Z364" s="209"/>
      <c r="AA364" s="209"/>
      <c r="AB364" s="209"/>
      <c r="AC364" s="209"/>
      <c r="AD364" s="202"/>
      <c r="AE364" s="397">
        <f>+B364</f>
        <v>41646</v>
      </c>
    </row>
    <row r="365" spans="1:31" ht="12" hidden="1" customHeight="1">
      <c r="B365" s="391" t="s">
        <v>187</v>
      </c>
      <c r="C365" s="208">
        <v>9.0101386347106107</v>
      </c>
      <c r="D365" s="209">
        <v>5.6985774263499698</v>
      </c>
      <c r="E365" s="209">
        <v>9.4494477178255458</v>
      </c>
      <c r="F365" s="209">
        <v>7.9269944533918091</v>
      </c>
      <c r="G365" s="209">
        <v>5.4716367988731998</v>
      </c>
      <c r="H365" s="209">
        <v>5.8624556206236633</v>
      </c>
      <c r="I365" s="209">
        <v>5.354909837356761</v>
      </c>
      <c r="J365" s="209">
        <v>9.0145482638553602</v>
      </c>
      <c r="K365" s="209">
        <v>9.7425950223928552</v>
      </c>
      <c r="L365" s="202">
        <v>12.117675337293218</v>
      </c>
      <c r="M365" s="209">
        <v>14.130668674924213</v>
      </c>
      <c r="N365" s="209">
        <v>10.889310526867034</v>
      </c>
      <c r="O365" s="209">
        <v>18.036756907067719</v>
      </c>
      <c r="P365" s="209">
        <v>14.358620436451147</v>
      </c>
      <c r="Q365" s="209">
        <v>15.430951390035567</v>
      </c>
      <c r="R365" s="209">
        <v>14.777799534970098</v>
      </c>
      <c r="S365" s="209">
        <v>16.212165849133164</v>
      </c>
      <c r="T365" s="209">
        <v>17.110538973450364</v>
      </c>
      <c r="U365" s="209">
        <v>16.037652094595636</v>
      </c>
      <c r="V365" s="209">
        <v>12.329702359625923</v>
      </c>
      <c r="W365" s="209">
        <v>9.004122365067655</v>
      </c>
      <c r="X365" s="202">
        <v>8.1311550649601188</v>
      </c>
      <c r="Y365" s="208">
        <v>9.4217443231602402</v>
      </c>
      <c r="Z365" s="209">
        <v>4.1750472589792098</v>
      </c>
      <c r="AA365" s="209">
        <v>12.400265889451299</v>
      </c>
      <c r="AB365" s="209">
        <v>9.125</v>
      </c>
      <c r="AC365" s="209">
        <v>9.5570909846229792</v>
      </c>
      <c r="AD365" s="202">
        <v>8.9522624112294995</v>
      </c>
      <c r="AE365" s="210" t="s">
        <v>356</v>
      </c>
    </row>
    <row r="366" spans="1:31" ht="12" hidden="1" customHeight="1">
      <c r="B366" s="391" t="s">
        <v>357</v>
      </c>
      <c r="C366" s="208">
        <v>9.4967666096898249</v>
      </c>
      <c r="D366" s="209">
        <v>3.6936950843113308</v>
      </c>
      <c r="E366" s="209">
        <v>10.058878373027779</v>
      </c>
      <c r="F366" s="209">
        <v>6.5174869386801122</v>
      </c>
      <c r="G366" s="209">
        <v>5.1344300339694078</v>
      </c>
      <c r="H366" s="209">
        <v>6.3346482568851243</v>
      </c>
      <c r="I366" s="209">
        <v>6.5459808892728581</v>
      </c>
      <c r="J366" s="209">
        <v>8.8319273460483014</v>
      </c>
      <c r="K366" s="209">
        <v>10.230262844369511</v>
      </c>
      <c r="L366" s="202">
        <v>11.712809851206535</v>
      </c>
      <c r="M366" s="209">
        <v>14.844169657225816</v>
      </c>
      <c r="N366" s="209">
        <v>10.529595945802718</v>
      </c>
      <c r="O366" s="209">
        <v>21.425932744378688</v>
      </c>
      <c r="P366" s="209">
        <v>15.205249883955586</v>
      </c>
      <c r="Q366" s="209">
        <v>14.68768706907683</v>
      </c>
      <c r="R366" s="209">
        <v>11.764256496752013</v>
      </c>
      <c r="S366" s="209">
        <v>12.858612002521012</v>
      </c>
      <c r="T366" s="209">
        <v>15.016345123547193</v>
      </c>
      <c r="U366" s="209">
        <v>18.277463501053401</v>
      </c>
      <c r="V366" s="209">
        <v>14.112659691498616</v>
      </c>
      <c r="W366" s="209">
        <v>10.509191863567883</v>
      </c>
      <c r="X366" s="202">
        <v>7.069047161682704</v>
      </c>
      <c r="Y366" s="208">
        <v>4.2653664838556633</v>
      </c>
      <c r="Z366" s="209">
        <v>4.0695950149496696</v>
      </c>
      <c r="AA366" s="209">
        <v>6.9417245145542097</v>
      </c>
      <c r="AB366" s="209">
        <v>5.0651210509959501</v>
      </c>
      <c r="AC366" s="209">
        <v>1.18180722573317</v>
      </c>
      <c r="AD366" s="202">
        <v>6.8678449308356297</v>
      </c>
      <c r="AE366" s="210" t="s">
        <v>213</v>
      </c>
    </row>
    <row r="367" spans="1:31" ht="12" hidden="1" customHeight="1">
      <c r="B367" s="392">
        <v>41647</v>
      </c>
      <c r="C367" s="208"/>
      <c r="E367" s="209"/>
      <c r="F367" s="209"/>
      <c r="G367" s="209"/>
      <c r="H367" s="209"/>
      <c r="I367" s="209"/>
      <c r="J367" s="209"/>
      <c r="K367" s="209"/>
      <c r="L367" s="202"/>
      <c r="M367" s="208"/>
      <c r="N367" s="209"/>
      <c r="O367" s="209"/>
      <c r="P367" s="209"/>
      <c r="Q367" s="209"/>
      <c r="R367" s="209"/>
      <c r="S367" s="209"/>
      <c r="T367" s="209"/>
      <c r="U367" s="209"/>
      <c r="V367" s="209"/>
      <c r="W367" s="209"/>
      <c r="X367" s="202"/>
      <c r="Y367" s="208"/>
      <c r="Z367" s="209"/>
      <c r="AA367" s="209"/>
      <c r="AB367" s="209"/>
      <c r="AC367" s="209"/>
      <c r="AD367" s="202"/>
      <c r="AE367" s="397">
        <f>+B367</f>
        <v>41647</v>
      </c>
    </row>
    <row r="368" spans="1:31" ht="12" hidden="1" customHeight="1">
      <c r="B368" s="391" t="s">
        <v>187</v>
      </c>
      <c r="C368" s="208">
        <v>8.9833696612956633</v>
      </c>
      <c r="D368" s="209">
        <v>5.6030845607852005</v>
      </c>
      <c r="E368" s="209">
        <v>9.4551944937467365</v>
      </c>
      <c r="F368" s="209">
        <v>6.404932642055515</v>
      </c>
      <c r="G368" s="209">
        <v>5.189792716096969</v>
      </c>
      <c r="H368" s="209">
        <v>5.7972656326871004</v>
      </c>
      <c r="I368" s="209">
        <v>5.8142714258282577</v>
      </c>
      <c r="J368" s="209">
        <v>8.9738290333905208</v>
      </c>
      <c r="K368" s="209">
        <v>9.8914503427232816</v>
      </c>
      <c r="L368" s="202">
        <v>12.449509676782556</v>
      </c>
      <c r="M368" s="208">
        <v>14.355794281446773</v>
      </c>
      <c r="N368" s="209">
        <v>11.094085488213903</v>
      </c>
      <c r="O368" s="209">
        <v>18.489747672156877</v>
      </c>
      <c r="P368" s="209">
        <v>14.524062935540089</v>
      </c>
      <c r="Q368" s="209">
        <v>16.447608249015442</v>
      </c>
      <c r="R368" s="209">
        <v>14.794664941453279</v>
      </c>
      <c r="S368" s="209">
        <v>14.499218257103863</v>
      </c>
      <c r="T368" s="209">
        <v>18.669243182146332</v>
      </c>
      <c r="U368" s="209">
        <v>16.064663680580299</v>
      </c>
      <c r="V368" s="209">
        <v>12.494907271859075</v>
      </c>
      <c r="W368" s="209">
        <v>9.090117781234591</v>
      </c>
      <c r="X368" s="202">
        <v>8.336429401480757</v>
      </c>
      <c r="Y368" s="208">
        <v>9.5807301060844186</v>
      </c>
      <c r="Z368" s="209">
        <v>5.81172413793103</v>
      </c>
      <c r="AA368" s="209">
        <v>11.922090098689701</v>
      </c>
      <c r="AB368" s="209">
        <v>6.8571428571428603</v>
      </c>
      <c r="AC368" s="209">
        <v>9.0274825658463502</v>
      </c>
      <c r="AD368" s="202">
        <v>9.0397376489035608</v>
      </c>
      <c r="AE368" s="210" t="s">
        <v>356</v>
      </c>
    </row>
    <row r="369" spans="2:31" ht="12" hidden="1" customHeight="1">
      <c r="B369" s="391" t="s">
        <v>357</v>
      </c>
      <c r="C369" s="208">
        <v>9.4667463621534775</v>
      </c>
      <c r="D369" s="209">
        <v>3.4514250245718814</v>
      </c>
      <c r="E369" s="209">
        <v>10.03773795686304</v>
      </c>
      <c r="F369" s="209">
        <v>4.3035247690111209</v>
      </c>
      <c r="G369" s="209">
        <v>5.2109006726851312</v>
      </c>
      <c r="H369" s="209">
        <v>6.1431510017487669</v>
      </c>
      <c r="I369" s="209">
        <v>6.9603914731473724</v>
      </c>
      <c r="J369" s="209">
        <v>8.8781019385016791</v>
      </c>
      <c r="K369" s="209">
        <v>10.233877910456503</v>
      </c>
      <c r="L369" s="202">
        <v>11.883338602709179</v>
      </c>
      <c r="M369" s="208">
        <v>14.641773445608612</v>
      </c>
      <c r="N369" s="209">
        <v>10.544223195367254</v>
      </c>
      <c r="O369" s="209">
        <v>21.330807336187014</v>
      </c>
      <c r="P369" s="209">
        <v>15.201097581498567</v>
      </c>
      <c r="Q369" s="209">
        <v>14.850588542218219</v>
      </c>
      <c r="R369" s="209">
        <v>11.874173839108668</v>
      </c>
      <c r="S369" s="209">
        <v>12.946962174290569</v>
      </c>
      <c r="T369" s="209">
        <v>15.099792268515621</v>
      </c>
      <c r="U369" s="209">
        <v>18.215550440246705</v>
      </c>
      <c r="V369" s="209">
        <v>13.922777567877793</v>
      </c>
      <c r="W369" s="209">
        <v>10.199309417991451</v>
      </c>
      <c r="X369" s="202">
        <v>7.2599455933946633</v>
      </c>
      <c r="Y369" s="208">
        <v>4.2233262431956051</v>
      </c>
      <c r="Z369" s="209">
        <v>3.6407655615144701</v>
      </c>
      <c r="AA369" s="209">
        <v>7.0909214667757903</v>
      </c>
      <c r="AB369" s="209">
        <v>2</v>
      </c>
      <c r="AC369" s="209">
        <v>1.17542481702518</v>
      </c>
      <c r="AD369" s="202">
        <v>8.1343273094574098</v>
      </c>
      <c r="AE369" s="210" t="s">
        <v>213</v>
      </c>
    </row>
    <row r="370" spans="2:31" ht="12" hidden="1" customHeight="1">
      <c r="B370" s="392">
        <v>41648</v>
      </c>
      <c r="C370" s="208"/>
      <c r="E370" s="209"/>
      <c r="F370" s="209"/>
      <c r="G370" s="209"/>
      <c r="H370" s="209"/>
      <c r="I370" s="209"/>
      <c r="J370" s="209"/>
      <c r="K370" s="209"/>
      <c r="L370" s="202"/>
      <c r="M370" s="208"/>
      <c r="N370" s="209"/>
      <c r="O370" s="209"/>
      <c r="P370" s="209"/>
      <c r="Q370" s="209"/>
      <c r="R370" s="209"/>
      <c r="S370" s="209"/>
      <c r="T370" s="209"/>
      <c r="U370" s="209"/>
      <c r="V370" s="209"/>
      <c r="W370" s="209"/>
      <c r="X370" s="202"/>
      <c r="Y370" s="208"/>
      <c r="Z370" s="209"/>
      <c r="AA370" s="209"/>
      <c r="AB370" s="209"/>
      <c r="AC370" s="209"/>
      <c r="AD370" s="202"/>
      <c r="AE370" s="397">
        <f>+B370</f>
        <v>41648</v>
      </c>
    </row>
    <row r="371" spans="2:31" ht="12" hidden="1" customHeight="1">
      <c r="B371" s="391" t="s">
        <v>187</v>
      </c>
      <c r="C371" s="208">
        <v>8.9167549785090898</v>
      </c>
      <c r="D371" s="209">
        <v>5.4724610968121485</v>
      </c>
      <c r="E371" s="209">
        <v>9.4312218409064723</v>
      </c>
      <c r="F371" s="209">
        <v>5.5950579021482598</v>
      </c>
      <c r="G371" s="209">
        <v>5.0412805622462171</v>
      </c>
      <c r="H371" s="209">
        <v>6.0349998095827395</v>
      </c>
      <c r="I371" s="209">
        <v>5.6429620470559296</v>
      </c>
      <c r="J371" s="209">
        <v>8.9984426573883738</v>
      </c>
      <c r="K371" s="209">
        <v>9.6218962777142192</v>
      </c>
      <c r="L371" s="202">
        <v>11.914698608906098</v>
      </c>
      <c r="M371" s="208">
        <v>14.30666743385961</v>
      </c>
      <c r="N371" s="209">
        <v>10.964768210721259</v>
      </c>
      <c r="O371" s="209">
        <v>18.29381610416301</v>
      </c>
      <c r="P371" s="209">
        <v>14.331089779748325</v>
      </c>
      <c r="Q371" s="209">
        <v>16.655991793229081</v>
      </c>
      <c r="R371" s="209">
        <v>14.994081988314496</v>
      </c>
      <c r="S371" s="209">
        <v>15.090339301804413</v>
      </c>
      <c r="T371" s="209">
        <v>17.278670498613337</v>
      </c>
      <c r="U371" s="209">
        <v>16.289479955561536</v>
      </c>
      <c r="V371" s="209">
        <v>12.583477108010065</v>
      </c>
      <c r="W371" s="209">
        <v>9.0091982415609611</v>
      </c>
      <c r="X371" s="202">
        <v>8.3003376728205644</v>
      </c>
      <c r="Y371" s="208">
        <v>9.6583511222979173</v>
      </c>
      <c r="Z371" s="209">
        <v>5.7305220883534096</v>
      </c>
      <c r="AA371" s="209">
        <v>12.061607330897001</v>
      </c>
      <c r="AB371" s="209">
        <v>8.56</v>
      </c>
      <c r="AC371" s="209">
        <v>8.73276167310555</v>
      </c>
      <c r="AD371" s="202">
        <v>8.74591530379152</v>
      </c>
      <c r="AE371" s="210" t="s">
        <v>356</v>
      </c>
    </row>
    <row r="372" spans="2:31" ht="12" hidden="1" customHeight="1">
      <c r="B372" s="391" t="s">
        <v>357</v>
      </c>
      <c r="C372" s="208">
        <v>9.3911260986846568</v>
      </c>
      <c r="D372" s="209">
        <v>3.5329090887603787</v>
      </c>
      <c r="E372" s="209">
        <v>9.958660927243896</v>
      </c>
      <c r="F372" s="209">
        <v>4.7672211632146153</v>
      </c>
      <c r="G372" s="209">
        <v>4.6551467818668426</v>
      </c>
      <c r="H372" s="209">
        <v>6.6048051093101261</v>
      </c>
      <c r="I372" s="209">
        <v>6.9619145045274893</v>
      </c>
      <c r="J372" s="209">
        <v>8.7878221210761271</v>
      </c>
      <c r="K372" s="209">
        <v>10.125521917766525</v>
      </c>
      <c r="L372" s="202">
        <v>11.560298633417009</v>
      </c>
      <c r="M372" s="208">
        <v>14.539179710778031</v>
      </c>
      <c r="N372" s="209">
        <v>10.121651216898551</v>
      </c>
      <c r="O372" s="209">
        <v>21.095034969738588</v>
      </c>
      <c r="P372" s="209">
        <v>15.668369907839317</v>
      </c>
      <c r="Q372" s="209">
        <v>14.242988853685768</v>
      </c>
      <c r="R372" s="209">
        <v>11.730307033304582</v>
      </c>
      <c r="S372" s="209">
        <v>12.865063847306914</v>
      </c>
      <c r="T372" s="209">
        <v>12.909530376394201</v>
      </c>
      <c r="U372" s="209">
        <v>18.508436200412259</v>
      </c>
      <c r="V372" s="209">
        <v>14.031925528391437</v>
      </c>
      <c r="W372" s="209">
        <v>10.528884466134492</v>
      </c>
      <c r="X372" s="202">
        <v>7.4839826583152016</v>
      </c>
      <c r="Y372" s="208">
        <v>5.0071855458082339</v>
      </c>
      <c r="Z372" s="209">
        <v>4.1451303496853997</v>
      </c>
      <c r="AA372" s="209">
        <v>6.98771130428484</v>
      </c>
      <c r="AB372" s="209">
        <v>8</v>
      </c>
      <c r="AC372" s="209">
        <v>1</v>
      </c>
      <c r="AD372" s="202">
        <v>16.682583952917501</v>
      </c>
      <c r="AE372" s="210" t="s">
        <v>213</v>
      </c>
    </row>
    <row r="373" spans="2:31" ht="12" hidden="1" customHeight="1">
      <c r="B373" s="392">
        <v>41649</v>
      </c>
      <c r="C373" s="208"/>
      <c r="E373" s="209"/>
      <c r="F373" s="209"/>
      <c r="G373" s="209"/>
      <c r="H373" s="209"/>
      <c r="I373" s="209"/>
      <c r="J373" s="209"/>
      <c r="K373" s="209"/>
      <c r="L373" s="202"/>
      <c r="M373" s="208"/>
      <c r="N373" s="209"/>
      <c r="O373" s="209"/>
      <c r="P373" s="209"/>
      <c r="Q373" s="209"/>
      <c r="R373" s="209"/>
      <c r="S373" s="209"/>
      <c r="T373" s="209"/>
      <c r="U373" s="209"/>
      <c r="V373" s="209"/>
      <c r="W373" s="209"/>
      <c r="X373" s="202"/>
      <c r="Y373" s="208"/>
      <c r="Z373" s="209"/>
      <c r="AA373" s="209"/>
      <c r="AB373" s="209"/>
      <c r="AC373" s="209"/>
      <c r="AD373" s="202"/>
      <c r="AE373" s="397">
        <f>+B373</f>
        <v>41649</v>
      </c>
    </row>
    <row r="374" spans="2:31" ht="12" hidden="1" customHeight="1">
      <c r="B374" s="391" t="s">
        <v>187</v>
      </c>
      <c r="C374" s="208">
        <v>8.8474160469473162</v>
      </c>
      <c r="D374" s="209">
        <v>5.4043965671967378</v>
      </c>
      <c r="E374" s="209">
        <v>9.4057196280001918</v>
      </c>
      <c r="F374" s="209">
        <v>5.2219697317351352</v>
      </c>
      <c r="G374" s="209">
        <v>4.7440900930324617</v>
      </c>
      <c r="H374" s="209">
        <v>6.2030027707874345</v>
      </c>
      <c r="I374" s="209">
        <v>5.6757359517668018</v>
      </c>
      <c r="J374" s="209">
        <v>8.994592586901712</v>
      </c>
      <c r="K374" s="209">
        <v>9.4761203109291436</v>
      </c>
      <c r="L374" s="202">
        <v>11.867311464869744</v>
      </c>
      <c r="M374" s="208">
        <v>14.330010278905917</v>
      </c>
      <c r="N374" s="209">
        <v>11.028540921189716</v>
      </c>
      <c r="O374" s="209">
        <v>18.483948891942756</v>
      </c>
      <c r="P374" s="209">
        <v>14.476134394543243</v>
      </c>
      <c r="Q374" s="209">
        <v>15.742876761081002</v>
      </c>
      <c r="R374" s="209">
        <v>14.460093771426019</v>
      </c>
      <c r="S374" s="209">
        <v>14.340120344580411</v>
      </c>
      <c r="T374" s="209">
        <v>18.013629099457066</v>
      </c>
      <c r="U374" s="209">
        <v>16.279885130629314</v>
      </c>
      <c r="V374" s="209">
        <v>12.59247959812746</v>
      </c>
      <c r="W374" s="209">
        <v>8.938918950216987</v>
      </c>
      <c r="X374" s="202">
        <v>8.1777618791951578</v>
      </c>
      <c r="Y374" s="208">
        <v>7.8612073876195696</v>
      </c>
      <c r="Z374" s="209">
        <v>5.7604081632653097</v>
      </c>
      <c r="AA374" s="209">
        <v>8.7531030661248597</v>
      </c>
      <c r="AB374" s="209">
        <v>9.2319999999999993</v>
      </c>
      <c r="AC374" s="209">
        <v>7.4777922221252</v>
      </c>
      <c r="AD374" s="202">
        <v>8.4425390100745297</v>
      </c>
      <c r="AE374" s="210" t="s">
        <v>356</v>
      </c>
    </row>
    <row r="375" spans="2:31" ht="12" hidden="1" customHeight="1">
      <c r="B375" s="391" t="s">
        <v>357</v>
      </c>
      <c r="C375" s="208">
        <v>9.0039621694609977</v>
      </c>
      <c r="D375" s="209">
        <v>3.2669837170973315</v>
      </c>
      <c r="E375" s="209">
        <v>9.9849085698753282</v>
      </c>
      <c r="F375" s="209">
        <v>5.3691616080384676</v>
      </c>
      <c r="G375" s="209">
        <v>4.6969809992588401</v>
      </c>
      <c r="H375" s="209">
        <v>6.6336180681035914</v>
      </c>
      <c r="I375" s="209">
        <v>6.9247905290324088</v>
      </c>
      <c r="J375" s="209">
        <v>7.8854408782571017</v>
      </c>
      <c r="K375" s="209">
        <v>10.188381433862716</v>
      </c>
      <c r="L375" s="202">
        <v>11.50705983293947</v>
      </c>
      <c r="M375" s="208">
        <v>14.295792122335673</v>
      </c>
      <c r="N375" s="209">
        <v>9.9014581106577602</v>
      </c>
      <c r="O375" s="209">
        <v>21.319305561799339</v>
      </c>
      <c r="P375" s="209">
        <v>15.327869540682686</v>
      </c>
      <c r="Q375" s="209">
        <v>14.722070128889346</v>
      </c>
      <c r="R375" s="209">
        <v>12.77933301569756</v>
      </c>
      <c r="S375" s="209">
        <v>13.192088962033699</v>
      </c>
      <c r="T375" s="209">
        <v>13.039861141331549</v>
      </c>
      <c r="U375" s="209">
        <v>18.340092655731791</v>
      </c>
      <c r="V375" s="209">
        <v>14.608484769387182</v>
      </c>
      <c r="W375" s="209">
        <v>9.6224978779355226</v>
      </c>
      <c r="X375" s="202">
        <v>7.2281608262027532</v>
      </c>
      <c r="Y375" s="208">
        <v>4.6342922276313452</v>
      </c>
      <c r="Z375" s="209">
        <v>4.0625666857179503</v>
      </c>
      <c r="AA375" s="209">
        <v>5.3392032680619304</v>
      </c>
      <c r="AB375" s="209">
        <v>8</v>
      </c>
      <c r="AC375" s="209">
        <v>1</v>
      </c>
      <c r="AD375" s="202">
        <v>16.789718749999999</v>
      </c>
      <c r="AE375" s="210" t="s">
        <v>213</v>
      </c>
    </row>
    <row r="376" spans="2:31" ht="12" hidden="1" customHeight="1">
      <c r="B376" s="392">
        <v>41650</v>
      </c>
      <c r="C376" s="208"/>
      <c r="E376" s="209"/>
      <c r="F376" s="209"/>
      <c r="G376" s="209"/>
      <c r="H376" s="209"/>
      <c r="I376" s="209"/>
      <c r="J376" s="209"/>
      <c r="K376" s="209"/>
      <c r="L376" s="202"/>
      <c r="M376" s="208"/>
      <c r="N376" s="209"/>
      <c r="O376" s="209"/>
      <c r="P376" s="209"/>
      <c r="Q376" s="209"/>
      <c r="R376" s="209"/>
      <c r="S376" s="209"/>
      <c r="T376" s="209"/>
      <c r="U376" s="209"/>
      <c r="V376" s="209"/>
      <c r="W376" s="209"/>
      <c r="X376" s="202"/>
      <c r="Y376" s="208"/>
      <c r="Z376" s="209"/>
      <c r="AA376" s="209"/>
      <c r="AB376" s="209"/>
      <c r="AC376" s="209"/>
      <c r="AD376" s="202"/>
      <c r="AE376" s="397">
        <f>+B376</f>
        <v>41650</v>
      </c>
    </row>
    <row r="377" spans="2:31" ht="12" hidden="1" customHeight="1">
      <c r="B377" s="391" t="s">
        <v>187</v>
      </c>
      <c r="C377" s="208">
        <v>8.7651000631326195</v>
      </c>
      <c r="D377" s="209">
        <v>5.4034388723182882</v>
      </c>
      <c r="E377" s="209">
        <v>9.3900790866800765</v>
      </c>
      <c r="F377" s="209">
        <v>6.3421131341187937</v>
      </c>
      <c r="G377" s="209">
        <v>4.6695664017388818</v>
      </c>
      <c r="H377" s="209">
        <v>6.235661078839855</v>
      </c>
      <c r="I377" s="209">
        <v>5.8476376468517053</v>
      </c>
      <c r="J377" s="209">
        <v>8.9521506267174704</v>
      </c>
      <c r="K377" s="209">
        <v>9.2874213149262239</v>
      </c>
      <c r="L377" s="202">
        <v>11.835786763863306</v>
      </c>
      <c r="M377" s="208">
        <v>14.14289476620884</v>
      </c>
      <c r="N377" s="209">
        <v>10.637204690530625</v>
      </c>
      <c r="O377" s="209">
        <v>18.324031680078932</v>
      </c>
      <c r="P377" s="209">
        <v>13.076066013767251</v>
      </c>
      <c r="Q377" s="209">
        <v>14.777464402845748</v>
      </c>
      <c r="R377" s="209">
        <v>14.294939764511565</v>
      </c>
      <c r="S377" s="209">
        <v>15.732724356815382</v>
      </c>
      <c r="T377" s="209">
        <v>16.875628172185131</v>
      </c>
      <c r="U377" s="209">
        <v>16.319097879168243</v>
      </c>
      <c r="V377" s="209">
        <v>12.442763463475883</v>
      </c>
      <c r="W377" s="209">
        <v>8.7804910781360412</v>
      </c>
      <c r="X377" s="202">
        <v>8.1134361430866733</v>
      </c>
      <c r="Y377" s="208">
        <v>7.9446583368502504</v>
      </c>
      <c r="Z377" s="209">
        <v>2.5071428571428598</v>
      </c>
      <c r="AA377" s="209">
        <v>10.1853836451545</v>
      </c>
      <c r="AB377" s="209">
        <v>9.2588799999999996</v>
      </c>
      <c r="AC377" s="209">
        <v>6.9231999619632898</v>
      </c>
      <c r="AD377" s="202">
        <v>8.1527764106650409</v>
      </c>
      <c r="AE377" s="210" t="s">
        <v>356</v>
      </c>
    </row>
    <row r="378" spans="2:31" ht="12" hidden="1" customHeight="1">
      <c r="B378" s="391" t="s">
        <v>357</v>
      </c>
      <c r="C378" s="208">
        <v>8.9118220629155811</v>
      </c>
      <c r="D378" s="209">
        <v>4.764905113804569</v>
      </c>
      <c r="E378" s="209">
        <v>9.9315990501960396</v>
      </c>
      <c r="F378" s="209">
        <v>6.0314593116482635</v>
      </c>
      <c r="G378" s="209">
        <v>5.0096622265980759</v>
      </c>
      <c r="H378" s="209">
        <v>6.3523572185057073</v>
      </c>
      <c r="I378" s="209">
        <v>6.9261706365203421</v>
      </c>
      <c r="J378" s="209">
        <v>7.8051628442432737</v>
      </c>
      <c r="K378" s="209">
        <v>10.166293288828475</v>
      </c>
      <c r="L378" s="202">
        <v>9.3400361225415427</v>
      </c>
      <c r="M378" s="208">
        <v>14.573242540139283</v>
      </c>
      <c r="N378" s="209">
        <v>9.9017829635035906</v>
      </c>
      <c r="O378" s="209">
        <v>21.359658459438453</v>
      </c>
      <c r="P378" s="209">
        <v>14.64911101565883</v>
      </c>
      <c r="Q378" s="209">
        <v>14.677682117483847</v>
      </c>
      <c r="R378" s="209">
        <v>11.329979586606735</v>
      </c>
      <c r="S378" s="209">
        <v>13.104860344917698</v>
      </c>
      <c r="T378" s="209">
        <v>12.71117981083075</v>
      </c>
      <c r="U378" s="209">
        <v>18.928588463905303</v>
      </c>
      <c r="V378" s="209">
        <v>14.97209719521449</v>
      </c>
      <c r="W378" s="209">
        <v>9.2623715894821554</v>
      </c>
      <c r="X378" s="202">
        <v>7.9521787480256405</v>
      </c>
      <c r="Y378" s="208">
        <v>5.0281556552820428</v>
      </c>
      <c r="Z378" s="209">
        <v>4.5342016403351204</v>
      </c>
      <c r="AA378" s="209">
        <v>5.3392032680619304</v>
      </c>
      <c r="AB378" s="209">
        <v>8.25</v>
      </c>
      <c r="AC378" s="209">
        <v>1</v>
      </c>
      <c r="AD378" s="202">
        <v>16.789718749999999</v>
      </c>
      <c r="AE378" s="210" t="s">
        <v>213</v>
      </c>
    </row>
    <row r="379" spans="2:31" ht="12" hidden="1" customHeight="1">
      <c r="B379" s="392">
        <v>41651</v>
      </c>
      <c r="C379" s="208"/>
      <c r="D379" s="209"/>
      <c r="E379" s="209"/>
      <c r="F379" s="209"/>
      <c r="G379" s="209"/>
      <c r="H379" s="209"/>
      <c r="I379" s="209"/>
      <c r="J379" s="209"/>
      <c r="K379" s="209"/>
      <c r="L379" s="202"/>
      <c r="M379" s="208"/>
      <c r="N379" s="209"/>
      <c r="O379" s="209"/>
      <c r="P379" s="209"/>
      <c r="Q379" s="209"/>
      <c r="R379" s="209"/>
      <c r="S379" s="209"/>
      <c r="T379" s="209"/>
      <c r="U379" s="209"/>
      <c r="V379" s="209"/>
      <c r="W379" s="209"/>
      <c r="X379" s="202"/>
      <c r="Y379" s="208"/>
      <c r="Z379" s="209"/>
      <c r="AA379" s="209"/>
      <c r="AB379" s="209"/>
      <c r="AC379" s="209"/>
      <c r="AD379" s="202"/>
      <c r="AE379" s="397">
        <v>41651</v>
      </c>
    </row>
    <row r="380" spans="2:31" ht="12" hidden="1" customHeight="1">
      <c r="B380" s="391" t="s">
        <v>187</v>
      </c>
      <c r="C380" s="208">
        <v>8.7774271321552906</v>
      </c>
      <c r="D380" s="209">
        <v>5.3459395089978106</v>
      </c>
      <c r="E380" s="209">
        <v>9.4538708567163017</v>
      </c>
      <c r="F380" s="209">
        <v>6.56325934979</v>
      </c>
      <c r="G380" s="209">
        <v>4.606099774599568</v>
      </c>
      <c r="H380" s="209">
        <v>6.0439927090048275</v>
      </c>
      <c r="I380" s="209">
        <v>6.0065618582133924</v>
      </c>
      <c r="J380" s="209">
        <v>9.0098456173964028</v>
      </c>
      <c r="K380" s="209">
        <v>9.2988576290268483</v>
      </c>
      <c r="L380" s="202">
        <v>12.181742339028681</v>
      </c>
      <c r="M380" s="208">
        <v>13.843773750816332</v>
      </c>
      <c r="N380" s="209">
        <v>10.122169963883403</v>
      </c>
      <c r="O380" s="209">
        <v>18.515482118779868</v>
      </c>
      <c r="P380" s="209">
        <v>12.667338317787692</v>
      </c>
      <c r="Q380" s="209">
        <v>12.288937178146398</v>
      </c>
      <c r="R380" s="209">
        <v>12.972699202419587</v>
      </c>
      <c r="S380" s="209">
        <v>15.137741844706312</v>
      </c>
      <c r="T380" s="209">
        <v>18.154813084364733</v>
      </c>
      <c r="U380" s="209">
        <v>16.014407864209286</v>
      </c>
      <c r="V380" s="209">
        <v>11.404938876991489</v>
      </c>
      <c r="W380" s="209">
        <v>8.8881867552991221</v>
      </c>
      <c r="X380" s="202">
        <v>8.2102198343319692</v>
      </c>
      <c r="Y380" s="208">
        <v>7.7846597811002534</v>
      </c>
      <c r="Z380" s="209">
        <v>2.5071428571428598</v>
      </c>
      <c r="AA380" s="209">
        <v>8.23846614739365</v>
      </c>
      <c r="AB380" s="209">
        <v>8.4460714285714307</v>
      </c>
      <c r="AC380" s="209">
        <v>7.7056040882566199</v>
      </c>
      <c r="AD380" s="202">
        <v>8.5157198761413806</v>
      </c>
      <c r="AE380" s="210" t="s">
        <v>356</v>
      </c>
    </row>
    <row r="381" spans="2:31" ht="12" hidden="1" customHeight="1">
      <c r="B381" s="391" t="s">
        <v>357</v>
      </c>
      <c r="C381" s="208">
        <v>9.3731688263573449</v>
      </c>
      <c r="D381" s="209">
        <v>5.9528223564294018</v>
      </c>
      <c r="E381" s="209">
        <v>10.02173537264181</v>
      </c>
      <c r="F381" s="209">
        <v>5.1634575893160726</v>
      </c>
      <c r="G381" s="209">
        <v>4.6423645419227739</v>
      </c>
      <c r="H381" s="209">
        <v>6.0622812968743078</v>
      </c>
      <c r="I381" s="209">
        <v>7.5492248615486197</v>
      </c>
      <c r="J381" s="209">
        <v>8.7939387888303049</v>
      </c>
      <c r="K381" s="209">
        <v>10.290629842626458</v>
      </c>
      <c r="L381" s="202">
        <v>9.3069655912768887</v>
      </c>
      <c r="M381" s="208">
        <v>14.532845037996156</v>
      </c>
      <c r="N381" s="209">
        <v>9.7000528171527485</v>
      </c>
      <c r="O381" s="209">
        <v>21.966311704375912</v>
      </c>
      <c r="P381" s="209">
        <v>14.31303035405638</v>
      </c>
      <c r="Q381" s="209">
        <v>14.288957398381417</v>
      </c>
      <c r="R381" s="209">
        <v>11.702888711726191</v>
      </c>
      <c r="S381" s="209">
        <v>13.148030032626654</v>
      </c>
      <c r="T381" s="209">
        <v>12.71561975094099</v>
      </c>
      <c r="U381" s="209">
        <v>18.57217122047366</v>
      </c>
      <c r="V381" s="209">
        <v>14.715466600904179</v>
      </c>
      <c r="W381" s="209">
        <v>10.256024322478829</v>
      </c>
      <c r="X381" s="202">
        <v>7.5002781942173025</v>
      </c>
      <c r="Y381" s="208">
        <v>4.5651785827902556</v>
      </c>
      <c r="Z381" s="209">
        <v>3.5116242567225999</v>
      </c>
      <c r="AA381" s="209">
        <v>6.0561558245952201</v>
      </c>
      <c r="AB381" s="209">
        <v>8.6484403011832196</v>
      </c>
      <c r="AC381" s="209">
        <v>1.00237786668169</v>
      </c>
      <c r="AD381" s="202">
        <v>10.576702761141499</v>
      </c>
      <c r="AE381" s="210" t="s">
        <v>213</v>
      </c>
    </row>
    <row r="382" spans="2:31" ht="12" customHeight="1">
      <c r="B382" s="392">
        <v>42005</v>
      </c>
      <c r="C382" s="208"/>
      <c r="D382" s="209"/>
      <c r="E382" s="209"/>
      <c r="F382" s="209"/>
      <c r="G382" s="209"/>
      <c r="H382" s="209"/>
      <c r="I382" s="209"/>
      <c r="J382" s="209"/>
      <c r="K382" s="209"/>
      <c r="L382" s="202"/>
      <c r="M382" s="208"/>
      <c r="N382" s="209"/>
      <c r="O382" s="209"/>
      <c r="P382" s="209"/>
      <c r="Q382" s="209"/>
      <c r="R382" s="209"/>
      <c r="S382" s="209"/>
      <c r="T382" s="209"/>
      <c r="U382" s="209"/>
      <c r="V382" s="209"/>
      <c r="W382" s="209"/>
      <c r="X382" s="202"/>
      <c r="Y382" s="208"/>
      <c r="Z382" s="209"/>
      <c r="AA382" s="209"/>
      <c r="AB382" s="209"/>
      <c r="AC382" s="209"/>
      <c r="AD382" s="202"/>
      <c r="AE382" s="397">
        <v>42005</v>
      </c>
    </row>
    <row r="383" spans="2:31" ht="12" customHeight="1">
      <c r="B383" s="391" t="s">
        <v>187</v>
      </c>
      <c r="C383" s="208">
        <v>8.8626682211002397</v>
      </c>
      <c r="D383" s="209">
        <v>5.5071734280242968</v>
      </c>
      <c r="E383" s="209">
        <v>9.4502936481120976</v>
      </c>
      <c r="F383" s="209">
        <v>8.0349488911705667</v>
      </c>
      <c r="G383" s="209">
        <v>4.5458598875152125</v>
      </c>
      <c r="H383" s="209">
        <v>6.7251764853335994</v>
      </c>
      <c r="I383" s="209">
        <v>5.7773083217621952</v>
      </c>
      <c r="J383" s="209">
        <v>9.0755290305756464</v>
      </c>
      <c r="K383" s="209">
        <v>9.2649082914122971</v>
      </c>
      <c r="L383" s="202">
        <v>11.962738551213542</v>
      </c>
      <c r="M383" s="208">
        <v>13.808868012021472</v>
      </c>
      <c r="N383" s="209">
        <v>9.9850939385958775</v>
      </c>
      <c r="O383" s="209">
        <v>18.533507242235206</v>
      </c>
      <c r="P383" s="209">
        <v>12.375254025211378</v>
      </c>
      <c r="Q383" s="209">
        <v>13.306574961207057</v>
      </c>
      <c r="R383" s="209">
        <v>12.989601874648651</v>
      </c>
      <c r="S383" s="209">
        <v>14.194619435438412</v>
      </c>
      <c r="T383" s="209">
        <v>17.997493678941328</v>
      </c>
      <c r="U383" s="209">
        <v>15.940983115651457</v>
      </c>
      <c r="V383" s="209">
        <v>11.383499995430888</v>
      </c>
      <c r="W383" s="209">
        <v>9.0221576788017508</v>
      </c>
      <c r="X383" s="202">
        <v>8.2588233282663346</v>
      </c>
      <c r="Y383" s="208">
        <v>7.9380828566585553</v>
      </c>
      <c r="Z383" s="209">
        <v>2.5071428571428598</v>
      </c>
      <c r="AA383" s="209">
        <v>8.3882564409826301</v>
      </c>
      <c r="AB383" s="209">
        <v>8.1576106194690308</v>
      </c>
      <c r="AC383" s="209">
        <v>8.9370285716512594</v>
      </c>
      <c r="AD383" s="202">
        <v>8.5122139972387707</v>
      </c>
      <c r="AE383" s="210" t="s">
        <v>356</v>
      </c>
    </row>
    <row r="384" spans="2:31" ht="12" customHeight="1">
      <c r="B384" s="391" t="s">
        <v>357</v>
      </c>
      <c r="C384" s="208">
        <v>9.2351702662960786</v>
      </c>
      <c r="D384" s="209">
        <v>6.0006057991105948</v>
      </c>
      <c r="E384" s="209">
        <v>9.7765271699955179</v>
      </c>
      <c r="F384" s="209">
        <v>8.6687873140766758</v>
      </c>
      <c r="G384" s="209">
        <v>4.8788867234829683</v>
      </c>
      <c r="H384" s="209">
        <v>3.9055086616898467</v>
      </c>
      <c r="I384" s="209">
        <v>7.4513961841461303</v>
      </c>
      <c r="J384" s="209">
        <v>8.991226750432892</v>
      </c>
      <c r="K384" s="209">
        <v>10.17216331247598</v>
      </c>
      <c r="L384" s="202">
        <v>9.4669363242855553</v>
      </c>
      <c r="M384" s="208">
        <v>14.066706477003759</v>
      </c>
      <c r="N384" s="209">
        <v>9.1792493575743954</v>
      </c>
      <c r="O384" s="209">
        <v>21.524596558397572</v>
      </c>
      <c r="P384" s="209">
        <v>14.777589480897545</v>
      </c>
      <c r="Q384" s="209">
        <v>14.950937046160025</v>
      </c>
      <c r="R384" s="209">
        <v>7.8325859398941011</v>
      </c>
      <c r="S384" s="209">
        <v>12.197339501200398</v>
      </c>
      <c r="T384" s="209">
        <v>11.038273103713749</v>
      </c>
      <c r="U384" s="209">
        <v>18.088428276900554</v>
      </c>
      <c r="V384" s="209">
        <v>15.223862201824705</v>
      </c>
      <c r="W384" s="209">
        <v>10.772740274459682</v>
      </c>
      <c r="X384" s="202">
        <v>7.5020574512726999</v>
      </c>
      <c r="Y384" s="208">
        <v>4.3966045168836834</v>
      </c>
      <c r="Z384" s="209">
        <v>3.0701399110752701</v>
      </c>
      <c r="AA384" s="209">
        <v>6.0561558245952201</v>
      </c>
      <c r="AB384" s="209">
        <v>7.4659731744943398</v>
      </c>
      <c r="AC384" s="209">
        <v>3.7641130453168001</v>
      </c>
      <c r="AD384" s="202">
        <v>10.576702761141499</v>
      </c>
      <c r="AE384" s="210" t="s">
        <v>213</v>
      </c>
    </row>
    <row r="385" spans="2:31" ht="12" hidden="1" customHeight="1">
      <c r="B385" s="392">
        <v>42006</v>
      </c>
      <c r="C385" s="208"/>
      <c r="D385" s="209"/>
      <c r="E385" s="209"/>
      <c r="F385" s="209"/>
      <c r="G385" s="209"/>
      <c r="H385" s="209"/>
      <c r="I385" s="209"/>
      <c r="J385" s="209"/>
      <c r="K385" s="209"/>
      <c r="L385" s="202"/>
      <c r="M385" s="208"/>
      <c r="N385" s="209"/>
      <c r="O385" s="209"/>
      <c r="P385" s="209"/>
      <c r="Q385" s="209"/>
      <c r="R385" s="209"/>
      <c r="S385" s="209"/>
      <c r="T385" s="209"/>
      <c r="U385" s="209"/>
      <c r="V385" s="209"/>
      <c r="W385" s="209"/>
      <c r="X385" s="202"/>
      <c r="Y385" s="208"/>
      <c r="Z385" s="209"/>
      <c r="AA385" s="209"/>
      <c r="AB385" s="209"/>
      <c r="AC385" s="209"/>
      <c r="AD385" s="202"/>
      <c r="AE385" s="397">
        <v>42006</v>
      </c>
    </row>
    <row r="386" spans="2:31" ht="12" hidden="1" customHeight="1">
      <c r="B386" s="391" t="s">
        <v>187</v>
      </c>
      <c r="C386" s="208">
        <v>8.82</v>
      </c>
      <c r="D386" s="209">
        <v>5.66</v>
      </c>
      <c r="E386" s="209">
        <v>9.41</v>
      </c>
      <c r="F386" s="209">
        <v>8.06</v>
      </c>
      <c r="G386" s="209">
        <v>4.7300000000000004</v>
      </c>
      <c r="H386" s="209">
        <v>6.82</v>
      </c>
      <c r="I386" s="209">
        <v>5.46</v>
      </c>
      <c r="J386" s="209">
        <v>8.98</v>
      </c>
      <c r="K386" s="209">
        <v>9.2100000000000009</v>
      </c>
      <c r="L386" s="202">
        <v>11.93</v>
      </c>
      <c r="M386" s="208">
        <v>13.71</v>
      </c>
      <c r="N386" s="209">
        <v>9.74</v>
      </c>
      <c r="O386" s="209">
        <v>18.59</v>
      </c>
      <c r="P386" s="209">
        <v>12.98</v>
      </c>
      <c r="Q386" s="209">
        <v>13.91</v>
      </c>
      <c r="R386" s="209">
        <v>13.01</v>
      </c>
      <c r="S386" s="209">
        <v>13.99</v>
      </c>
      <c r="T386" s="209">
        <v>18.29</v>
      </c>
      <c r="U386" s="209">
        <v>15.89</v>
      </c>
      <c r="V386" s="209">
        <v>11.09</v>
      </c>
      <c r="W386" s="209">
        <v>8.81</v>
      </c>
      <c r="X386" s="202">
        <v>8.31</v>
      </c>
      <c r="Y386" s="208">
        <v>8.02</v>
      </c>
      <c r="Z386" s="209">
        <v>2.5099999999999998</v>
      </c>
      <c r="AA386" s="209">
        <v>8.52</v>
      </c>
      <c r="AB386" s="209">
        <v>8.43</v>
      </c>
      <c r="AC386" s="209">
        <v>9.0500000000000007</v>
      </c>
      <c r="AD386" s="202">
        <v>7.95</v>
      </c>
      <c r="AE386" s="210" t="s">
        <v>356</v>
      </c>
    </row>
    <row r="387" spans="2:31" ht="12" hidden="1" customHeight="1">
      <c r="B387" s="391" t="s">
        <v>357</v>
      </c>
      <c r="C387" s="208">
        <v>8.93</v>
      </c>
      <c r="D387" s="209">
        <v>4.3600000000000003</v>
      </c>
      <c r="E387" s="209">
        <v>10.050000000000001</v>
      </c>
      <c r="F387" s="209">
        <v>7.96</v>
      </c>
      <c r="G387" s="209">
        <v>3.8</v>
      </c>
      <c r="H387" s="209">
        <v>6.44</v>
      </c>
      <c r="I387" s="209">
        <v>7.58</v>
      </c>
      <c r="J387" s="209">
        <v>9.08</v>
      </c>
      <c r="K387" s="209">
        <v>10.210000000000001</v>
      </c>
      <c r="L387" s="202">
        <v>9.65</v>
      </c>
      <c r="M387" s="208">
        <v>14.28</v>
      </c>
      <c r="N387" s="209">
        <v>9.2200000000000006</v>
      </c>
      <c r="O387" s="209">
        <v>22.27</v>
      </c>
      <c r="P387" s="209">
        <v>14.2</v>
      </c>
      <c r="Q387" s="209">
        <v>14.42</v>
      </c>
      <c r="R387" s="209">
        <v>11.62</v>
      </c>
      <c r="S387" s="209">
        <v>12.24</v>
      </c>
      <c r="T387" s="209">
        <v>10.97</v>
      </c>
      <c r="U387" s="209">
        <v>18.16</v>
      </c>
      <c r="V387" s="209">
        <v>15.46</v>
      </c>
      <c r="W387" s="209">
        <v>10.55</v>
      </c>
      <c r="X387" s="202">
        <v>7.75</v>
      </c>
      <c r="Y387" s="208">
        <v>4.78</v>
      </c>
      <c r="Z387" s="209">
        <v>3.86</v>
      </c>
      <c r="AA387" s="209">
        <v>5.15</v>
      </c>
      <c r="AB387" s="209">
        <v>6.11</v>
      </c>
      <c r="AC387" s="209">
        <v>3.76</v>
      </c>
      <c r="AD387" s="202">
        <v>8.33</v>
      </c>
      <c r="AE387" s="210" t="s">
        <v>213</v>
      </c>
    </row>
    <row r="388" spans="2:31" ht="12" hidden="1" customHeight="1">
      <c r="B388" s="392">
        <v>42007</v>
      </c>
      <c r="C388" s="208"/>
      <c r="D388" s="209"/>
      <c r="E388" s="209"/>
      <c r="F388" s="209"/>
      <c r="G388" s="209"/>
      <c r="H388" s="209"/>
      <c r="I388" s="209"/>
      <c r="J388" s="209"/>
      <c r="K388" s="209"/>
      <c r="L388" s="202"/>
      <c r="M388" s="208"/>
      <c r="N388" s="209"/>
      <c r="O388" s="209"/>
      <c r="P388" s="209"/>
      <c r="Q388" s="209"/>
      <c r="R388" s="209"/>
      <c r="S388" s="209"/>
      <c r="T388" s="209"/>
      <c r="U388" s="209"/>
      <c r="V388" s="209"/>
      <c r="W388" s="209"/>
      <c r="X388" s="202"/>
      <c r="Y388" s="208"/>
      <c r="Z388" s="209"/>
      <c r="AA388" s="209"/>
      <c r="AB388" s="209"/>
      <c r="AC388" s="209"/>
      <c r="AD388" s="202"/>
      <c r="AE388" s="397">
        <v>42007</v>
      </c>
    </row>
    <row r="389" spans="2:31" ht="12" hidden="1" customHeight="1">
      <c r="B389" s="391" t="s">
        <v>187</v>
      </c>
      <c r="C389" s="208">
        <v>8.9452936423301601</v>
      </c>
      <c r="D389" s="209">
        <v>5.7803910235888996</v>
      </c>
      <c r="E389" s="209">
        <v>9.6388379035779508</v>
      </c>
      <c r="F389" s="209">
        <v>7.6508867712816748</v>
      </c>
      <c r="G389" s="209">
        <v>5.3148431984208226</v>
      </c>
      <c r="H389" s="209">
        <v>7.0414959209905801</v>
      </c>
      <c r="I389" s="209">
        <v>5.4155670446280562</v>
      </c>
      <c r="J389" s="209">
        <v>9.421578151905333</v>
      </c>
      <c r="K389" s="209">
        <v>8.868590656940091</v>
      </c>
      <c r="L389" s="202">
        <v>12.181470148898422</v>
      </c>
      <c r="M389" s="208">
        <v>14.153858707174011</v>
      </c>
      <c r="N389" s="209">
        <v>9.7773087459297408</v>
      </c>
      <c r="O389" s="209">
        <v>18.65384456885257</v>
      </c>
      <c r="P389" s="209">
        <v>16.556945676884165</v>
      </c>
      <c r="Q389" s="209">
        <v>13.744747941532522</v>
      </c>
      <c r="R389" s="209">
        <v>12.765308456781836</v>
      </c>
      <c r="S389" s="209">
        <v>13.778619158165366</v>
      </c>
      <c r="T389" s="209">
        <v>18.424180372689495</v>
      </c>
      <c r="U389" s="209">
        <v>16.380482581343664</v>
      </c>
      <c r="V389" s="209">
        <v>11.67216057091859</v>
      </c>
      <c r="W389" s="209">
        <v>8.8615153984800603</v>
      </c>
      <c r="X389" s="202">
        <v>8.1917345883275416</v>
      </c>
      <c r="Y389" s="208">
        <v>8.0723603633603549</v>
      </c>
      <c r="Z389" s="209">
        <v>2.5071428571428598</v>
      </c>
      <c r="AA389" s="209">
        <v>10.449213875717501</v>
      </c>
      <c r="AB389" s="209">
        <v>8.1537492123503501</v>
      </c>
      <c r="AC389" s="209">
        <v>8.5068187813129992</v>
      </c>
      <c r="AD389" s="202">
        <v>8.5976032506787607</v>
      </c>
      <c r="AE389" s="210" t="s">
        <v>356</v>
      </c>
    </row>
    <row r="390" spans="2:31" ht="12" hidden="1" customHeight="1">
      <c r="B390" s="391" t="s">
        <v>357</v>
      </c>
      <c r="C390" s="208">
        <v>8.7331442739580947</v>
      </c>
      <c r="D390" s="209">
        <v>4.3431561069736899</v>
      </c>
      <c r="E390" s="209">
        <v>9.5680047709059011</v>
      </c>
      <c r="F390" s="209">
        <v>6.5141263642913758</v>
      </c>
      <c r="G390" s="209">
        <v>4.5754842335172397</v>
      </c>
      <c r="H390" s="209">
        <v>6.3796542669992995</v>
      </c>
      <c r="I390" s="209">
        <v>7.4163139613885463</v>
      </c>
      <c r="J390" s="209">
        <v>8.4904497700253785</v>
      </c>
      <c r="K390" s="209">
        <v>10.102544296677912</v>
      </c>
      <c r="L390" s="202">
        <v>9.6948246178328894</v>
      </c>
      <c r="M390" s="208">
        <v>13.07741160773741</v>
      </c>
      <c r="N390" s="209">
        <v>8.8878508561252776</v>
      </c>
      <c r="O390" s="209">
        <v>21.751160026932023</v>
      </c>
      <c r="P390" s="209">
        <v>14.024389014650167</v>
      </c>
      <c r="Q390" s="209">
        <v>14.208723886070597</v>
      </c>
      <c r="R390" s="209">
        <v>11.745842698843774</v>
      </c>
      <c r="S390" s="209">
        <v>12.107582077393644</v>
      </c>
      <c r="T390" s="209">
        <v>10.867749849981893</v>
      </c>
      <c r="U390" s="209">
        <v>14.787214327575178</v>
      </c>
      <c r="V390" s="209">
        <v>13.86319805617717</v>
      </c>
      <c r="W390" s="209">
        <v>10.348133137714793</v>
      </c>
      <c r="X390" s="202">
        <v>8.1940706663209593</v>
      </c>
      <c r="Y390" s="208">
        <v>5.1346397291594945</v>
      </c>
      <c r="Z390" s="209">
        <v>3.0021280059253099</v>
      </c>
      <c r="AA390" s="209">
        <v>6.8440921172468903</v>
      </c>
      <c r="AB390" s="209">
        <v>6.6562091589116497</v>
      </c>
      <c r="AC390" s="209">
        <v>7.2202319957371799</v>
      </c>
      <c r="AD390" s="202">
        <v>10.588610102806699</v>
      </c>
      <c r="AE390" s="210" t="s">
        <v>213</v>
      </c>
    </row>
    <row r="391" spans="2:31" ht="12" hidden="1" customHeight="1">
      <c r="B391" s="392">
        <v>42008</v>
      </c>
      <c r="C391" s="208"/>
      <c r="D391" s="209"/>
      <c r="E391" s="209"/>
      <c r="F391" s="209"/>
      <c r="G391" s="209"/>
      <c r="H391" s="209"/>
      <c r="I391" s="209"/>
      <c r="J391" s="209"/>
      <c r="K391" s="209"/>
      <c r="L391" s="202"/>
      <c r="M391" s="208"/>
      <c r="N391" s="209"/>
      <c r="O391" s="209"/>
      <c r="P391" s="209"/>
      <c r="Q391" s="209"/>
      <c r="R391" s="209"/>
      <c r="S391" s="209"/>
      <c r="T391" s="209"/>
      <c r="U391" s="209"/>
      <c r="V391" s="209"/>
      <c r="W391" s="209"/>
      <c r="X391" s="202"/>
      <c r="Y391" s="208"/>
      <c r="Z391" s="209"/>
      <c r="AA391" s="209"/>
      <c r="AB391" s="209"/>
      <c r="AC391" s="209"/>
      <c r="AD391" s="202"/>
      <c r="AE391" s="397">
        <v>42008</v>
      </c>
    </row>
    <row r="392" spans="2:31" ht="12" hidden="1" customHeight="1">
      <c r="B392" s="391" t="s">
        <v>187</v>
      </c>
      <c r="C392" s="208">
        <v>8.9899615832638702</v>
      </c>
      <c r="D392" s="209">
        <v>5.8534530718526696</v>
      </c>
      <c r="E392" s="209">
        <v>9.7085174852379392</v>
      </c>
      <c r="F392" s="209">
        <v>8.0971018658535066</v>
      </c>
      <c r="G392" s="209">
        <v>5.7389095594626323</v>
      </c>
      <c r="H392" s="209">
        <v>7.2536684123298762</v>
      </c>
      <c r="I392" s="209">
        <v>5.5282296769649806</v>
      </c>
      <c r="J392" s="209">
        <v>9.4341774533372273</v>
      </c>
      <c r="K392" s="209">
        <v>8.8711451601412232</v>
      </c>
      <c r="L392" s="202">
        <v>12.307025351634286</v>
      </c>
      <c r="M392" s="208">
        <v>14.021275620711668</v>
      </c>
      <c r="N392" s="209">
        <v>9.7545381680927328</v>
      </c>
      <c r="O392" s="209">
        <v>18.389124278311705</v>
      </c>
      <c r="P392" s="209">
        <v>15.110099923211274</v>
      </c>
      <c r="Q392" s="209">
        <v>13.743463285367488</v>
      </c>
      <c r="R392" s="209">
        <v>12.997710331562816</v>
      </c>
      <c r="S392" s="209">
        <v>14.165242294728571</v>
      </c>
      <c r="T392" s="209">
        <v>18.057496917264615</v>
      </c>
      <c r="U392" s="209">
        <v>16.325953509255839</v>
      </c>
      <c r="V392" s="209">
        <v>11.580613385857852</v>
      </c>
      <c r="W392" s="209">
        <v>8.7624999745883105</v>
      </c>
      <c r="X392" s="202">
        <v>8.1481893469405033</v>
      </c>
      <c r="Y392" s="208">
        <v>7.2894131405449576</v>
      </c>
      <c r="Z392" s="209">
        <v>1.9285714285714299</v>
      </c>
      <c r="AA392" s="209">
        <v>5.7894736842105301</v>
      </c>
      <c r="AB392" s="209">
        <v>8.3894795747062094</v>
      </c>
      <c r="AC392" s="209">
        <v>7.2024412677132199</v>
      </c>
      <c r="AD392" s="202">
        <v>8.7106326009658002</v>
      </c>
      <c r="AE392" s="210" t="s">
        <v>356</v>
      </c>
    </row>
    <row r="393" spans="2:31" ht="12" hidden="1" customHeight="1">
      <c r="B393" s="391" t="s">
        <v>357</v>
      </c>
      <c r="C393" s="208">
        <v>8.7453318920255825</v>
      </c>
      <c r="D393" s="209">
        <v>4.3121756673446896</v>
      </c>
      <c r="E393" s="209">
        <v>9.62180827859099</v>
      </c>
      <c r="F393" s="209">
        <v>5.9010883612731719</v>
      </c>
      <c r="G393" s="209">
        <v>4.5349866006048796</v>
      </c>
      <c r="H393" s="209">
        <v>6.6898166849690703</v>
      </c>
      <c r="I393" s="209">
        <v>7.4301132554961091</v>
      </c>
      <c r="J393" s="209">
        <v>8.3894698225652782</v>
      </c>
      <c r="K393" s="209">
        <v>10.328986206147002</v>
      </c>
      <c r="L393" s="202">
        <v>9.7546704715594252</v>
      </c>
      <c r="M393" s="208">
        <v>12.898273629131685</v>
      </c>
      <c r="N393" s="209">
        <v>8.8364529513425545</v>
      </c>
      <c r="O393" s="209">
        <v>21.416237388685101</v>
      </c>
      <c r="P393" s="209">
        <v>13.864571842085358</v>
      </c>
      <c r="Q393" s="209">
        <v>14.315285362085715</v>
      </c>
      <c r="R393" s="209">
        <v>11.700981841952109</v>
      </c>
      <c r="S393" s="209">
        <v>12.192577409356028</v>
      </c>
      <c r="T393" s="209">
        <v>10.539431799486795</v>
      </c>
      <c r="U393" s="209">
        <v>14.607176529390431</v>
      </c>
      <c r="V393" s="209">
        <v>13.527478984186381</v>
      </c>
      <c r="W393" s="209">
        <v>10.870662617639804</v>
      </c>
      <c r="X393" s="202">
        <v>8.1196988913953465</v>
      </c>
      <c r="Y393" s="208">
        <v>5.0843673080476375</v>
      </c>
      <c r="Z393" s="209">
        <v>3.4505156255407199</v>
      </c>
      <c r="AA393" s="209">
        <v>4.8579327832261701</v>
      </c>
      <c r="AB393" s="209">
        <v>6.6142672591443201</v>
      </c>
      <c r="AC393" s="209">
        <v>7.2201668986331802</v>
      </c>
      <c r="AD393" s="202">
        <v>9.5174295950841703</v>
      </c>
      <c r="AE393" s="210" t="s">
        <v>213</v>
      </c>
    </row>
    <row r="394" spans="2:31" ht="12" hidden="1" customHeight="1">
      <c r="B394" s="392">
        <v>42009</v>
      </c>
      <c r="C394" s="208"/>
      <c r="D394" s="209"/>
      <c r="E394" s="209"/>
      <c r="F394" s="209"/>
      <c r="G394" s="209"/>
      <c r="H394" s="209"/>
      <c r="I394" s="209"/>
      <c r="J394" s="209"/>
      <c r="K394" s="209"/>
      <c r="L394" s="202"/>
      <c r="M394" s="208"/>
      <c r="N394" s="209"/>
      <c r="O394" s="209"/>
      <c r="P394" s="209"/>
      <c r="Q394" s="209"/>
      <c r="R394" s="209"/>
      <c r="S394" s="209"/>
      <c r="T394" s="209"/>
      <c r="U394" s="209"/>
      <c r="V394" s="209"/>
      <c r="W394" s="209"/>
      <c r="X394" s="202"/>
      <c r="Y394" s="208"/>
      <c r="Z394" s="209"/>
      <c r="AA394" s="209"/>
      <c r="AB394" s="209"/>
      <c r="AC394" s="209"/>
      <c r="AD394" s="202"/>
      <c r="AE394" s="397">
        <v>42009</v>
      </c>
    </row>
    <row r="395" spans="2:31" ht="12" hidden="1" customHeight="1">
      <c r="B395" s="391" t="s">
        <v>187</v>
      </c>
      <c r="C395" s="208">
        <v>8.8191348443317104</v>
      </c>
      <c r="D395" s="209">
        <v>5.8826886430837497</v>
      </c>
      <c r="E395" s="209">
        <v>9.5772618714173703</v>
      </c>
      <c r="F395" s="209">
        <v>9.2370033407719401</v>
      </c>
      <c r="G395" s="209">
        <v>5.8685727387936444</v>
      </c>
      <c r="H395" s="209">
        <v>7.781229524339409</v>
      </c>
      <c r="I395" s="209">
        <v>5.2440733033150773</v>
      </c>
      <c r="J395" s="209">
        <v>9.4497743269594086</v>
      </c>
      <c r="K395" s="209">
        <v>8.4719347084990737</v>
      </c>
      <c r="L395" s="202">
        <v>12.31466494207902</v>
      </c>
      <c r="M395" s="208">
        <v>14.1437579153783</v>
      </c>
      <c r="N395" s="209">
        <v>9.7248828795689768</v>
      </c>
      <c r="O395" s="209">
        <v>18.626335150181767</v>
      </c>
      <c r="P395" s="209">
        <v>16.400546010286302</v>
      </c>
      <c r="Q395" s="209">
        <v>13.209095694898501</v>
      </c>
      <c r="R395" s="209">
        <v>13.12250602750937</v>
      </c>
      <c r="S395" s="209">
        <v>14.005868538614548</v>
      </c>
      <c r="T395" s="209">
        <v>18.357691493108057</v>
      </c>
      <c r="U395" s="209">
        <v>16.945838805447973</v>
      </c>
      <c r="V395" s="209">
        <v>11.742328245455703</v>
      </c>
      <c r="W395" s="209">
        <v>8.3820530993143088</v>
      </c>
      <c r="X395" s="202">
        <v>8.3464074613614514</v>
      </c>
      <c r="Y395" s="208">
        <v>7.4585731002344451</v>
      </c>
      <c r="Z395" s="209">
        <v>6.2830820770519296</v>
      </c>
      <c r="AA395" s="209">
        <v>8.2140193885160304</v>
      </c>
      <c r="AB395" s="209">
        <v>7.7422072451558597</v>
      </c>
      <c r="AC395" s="209">
        <v>7.4450864356356004</v>
      </c>
      <c r="AD395" s="202">
        <v>7.6563972552641504</v>
      </c>
      <c r="AE395" s="210" t="s">
        <v>356</v>
      </c>
    </row>
    <row r="396" spans="2:31" ht="12" hidden="1" customHeight="1">
      <c r="B396" s="391" t="s">
        <v>357</v>
      </c>
      <c r="C396" s="208">
        <v>8.3095828065019042</v>
      </c>
      <c r="D396" s="209">
        <v>3.9255690724022898</v>
      </c>
      <c r="E396" s="209">
        <v>9.5101172093018</v>
      </c>
      <c r="F396" s="209">
        <v>4.3653642460994346</v>
      </c>
      <c r="G396" s="209">
        <v>4.2237255358264001</v>
      </c>
      <c r="H396" s="209">
        <v>5.7456191096858307</v>
      </c>
      <c r="I396" s="209">
        <v>6.5331548481527575</v>
      </c>
      <c r="J396" s="209">
        <v>8.6170730349516269</v>
      </c>
      <c r="K396" s="209">
        <v>10.015686456194251</v>
      </c>
      <c r="L396" s="202">
        <v>9.5254596010558714</v>
      </c>
      <c r="M396" s="208">
        <v>13.001148645696414</v>
      </c>
      <c r="N396" s="209">
        <v>9.2774409616901323</v>
      </c>
      <c r="O396" s="209">
        <v>21.056388586808961</v>
      </c>
      <c r="P396" s="209">
        <v>13.679957700593757</v>
      </c>
      <c r="Q396" s="209">
        <v>13.083776761422328</v>
      </c>
      <c r="R396" s="209">
        <v>12.096020328225658</v>
      </c>
      <c r="S396" s="209">
        <v>10.301918933729233</v>
      </c>
      <c r="T396" s="209">
        <v>12.044659287306192</v>
      </c>
      <c r="U396" s="209">
        <v>14.911481428754454</v>
      </c>
      <c r="V396" s="209">
        <v>12.601944333476922</v>
      </c>
      <c r="W396" s="209">
        <v>10.737123801953231</v>
      </c>
      <c r="X396" s="202">
        <v>7.6036529998055489</v>
      </c>
      <c r="Y396" s="208">
        <v>5.3546809717776815</v>
      </c>
      <c r="Z396" s="209">
        <v>3.2084128059670798</v>
      </c>
      <c r="AA396" s="209">
        <v>8.1445757115152801</v>
      </c>
      <c r="AB396" s="209">
        <v>7.1714222251603097</v>
      </c>
      <c r="AC396" s="209">
        <v>7.2979458071010104</v>
      </c>
      <c r="AD396" s="202">
        <v>11.445332019538901</v>
      </c>
      <c r="AE396" s="210" t="s">
        <v>213</v>
      </c>
    </row>
    <row r="397" spans="2:31" ht="12" hidden="1" customHeight="1">
      <c r="B397" s="392">
        <v>42010</v>
      </c>
      <c r="C397" s="208"/>
      <c r="D397" s="209"/>
      <c r="E397" s="209"/>
      <c r="F397" s="209"/>
      <c r="G397" s="209"/>
      <c r="H397" s="209"/>
      <c r="I397" s="209"/>
      <c r="J397" s="209"/>
      <c r="K397" s="209"/>
      <c r="L397" s="202"/>
      <c r="M397" s="208"/>
      <c r="N397" s="209"/>
      <c r="O397" s="209"/>
      <c r="P397" s="209"/>
      <c r="Q397" s="209"/>
      <c r="R397" s="209"/>
      <c r="S397" s="209"/>
      <c r="T397" s="209"/>
      <c r="U397" s="209"/>
      <c r="V397" s="209"/>
      <c r="W397" s="209"/>
      <c r="X397" s="202"/>
      <c r="Y397" s="208"/>
      <c r="Z397" s="209"/>
      <c r="AA397" s="209"/>
      <c r="AB397" s="209"/>
      <c r="AC397" s="209"/>
      <c r="AD397" s="202"/>
      <c r="AE397" s="397">
        <v>42010</v>
      </c>
    </row>
    <row r="398" spans="2:31" ht="12" hidden="1" customHeight="1">
      <c r="B398" s="391" t="s">
        <v>187</v>
      </c>
      <c r="C398" s="208">
        <v>8.8070994661025761</v>
      </c>
      <c r="D398" s="209">
        <v>5.9543382495766801</v>
      </c>
      <c r="E398" s="209">
        <v>9.6624543115970098</v>
      </c>
      <c r="F398" s="209">
        <v>9.2021746237528959</v>
      </c>
      <c r="G398" s="209">
        <v>7.4809614271079177</v>
      </c>
      <c r="H398" s="209">
        <v>9.2847457016343444</v>
      </c>
      <c r="I398" s="209">
        <v>6.7436687647920843</v>
      </c>
      <c r="J398" s="209">
        <v>9.3188951552893098</v>
      </c>
      <c r="K398" s="209">
        <v>8.3789571736768735</v>
      </c>
      <c r="L398" s="202">
        <v>13.081198447478409</v>
      </c>
      <c r="M398" s="208">
        <v>14.0488538252864</v>
      </c>
      <c r="N398" s="209">
        <v>9.7632063476693443</v>
      </c>
      <c r="O398" s="209">
        <v>18.456354325647556</v>
      </c>
      <c r="P398" s="209">
        <v>15.909156346171637</v>
      </c>
      <c r="Q398" s="209">
        <v>13.347362451787209</v>
      </c>
      <c r="R398" s="209">
        <v>13.260937574496046</v>
      </c>
      <c r="S398" s="209">
        <v>14.088890472193533</v>
      </c>
      <c r="T398" s="209">
        <v>18.536264225527812</v>
      </c>
      <c r="U398" s="209">
        <v>16.867354016265349</v>
      </c>
      <c r="V398" s="209">
        <v>11.732819316988138</v>
      </c>
      <c r="W398" s="209">
        <v>8.3106887128232323</v>
      </c>
      <c r="X398" s="202">
        <v>7.7457253074681294</v>
      </c>
      <c r="Y398" s="208">
        <v>7.0155188127891455</v>
      </c>
      <c r="Z398" s="209">
        <v>1.9198919891989199</v>
      </c>
      <c r="AA398" s="209">
        <v>7.97518830305716</v>
      </c>
      <c r="AB398" s="209">
        <v>7.7422072451558597</v>
      </c>
      <c r="AC398" s="209">
        <v>8.2010760040011608</v>
      </c>
      <c r="AD398" s="202">
        <v>7.5070169720731803</v>
      </c>
      <c r="AE398" s="210" t="s">
        <v>356</v>
      </c>
    </row>
    <row r="399" spans="2:31" ht="14.25" hidden="1" customHeight="1">
      <c r="B399" s="391" t="s">
        <v>357</v>
      </c>
      <c r="C399" s="208">
        <v>8.3753970919019114</v>
      </c>
      <c r="D399" s="209">
        <v>4.0294703737894499</v>
      </c>
      <c r="E399" s="209">
        <v>9.5037009967457706</v>
      </c>
      <c r="F399" s="209">
        <v>4.9873162144579242</v>
      </c>
      <c r="G399" s="209">
        <v>4.6743079480202114</v>
      </c>
      <c r="H399" s="209">
        <v>5.7166404932823616</v>
      </c>
      <c r="I399" s="209">
        <v>6.5379634488421869</v>
      </c>
      <c r="J399" s="209">
        <v>8.6035003934275114</v>
      </c>
      <c r="K399" s="209">
        <v>10.017377025026963</v>
      </c>
      <c r="L399" s="202">
        <v>9.6347174242915337</v>
      </c>
      <c r="M399" s="208">
        <v>12.638919448718367</v>
      </c>
      <c r="N399" s="209">
        <v>8.8012154684053368</v>
      </c>
      <c r="O399" s="209">
        <v>20.955798164179072</v>
      </c>
      <c r="P399" s="209">
        <v>13.338778397231726</v>
      </c>
      <c r="Q399" s="209">
        <v>13.298308703679815</v>
      </c>
      <c r="R399" s="209">
        <v>11.636365144751952</v>
      </c>
      <c r="S399" s="209">
        <v>11.703665785148734</v>
      </c>
      <c r="T399" s="209">
        <v>10.573488357852302</v>
      </c>
      <c r="U399" s="209">
        <v>14.961944843033594</v>
      </c>
      <c r="V399" s="209">
        <v>12.119116699029982</v>
      </c>
      <c r="W399" s="209">
        <v>10.746511988599442</v>
      </c>
      <c r="X399" s="202">
        <v>8.3552127766150974</v>
      </c>
      <c r="Y399" s="208">
        <v>5.4611620543607877</v>
      </c>
      <c r="Z399" s="209">
        <v>3.2396755527841101</v>
      </c>
      <c r="AA399" s="209">
        <v>7.97225391781613</v>
      </c>
      <c r="AB399" s="209">
        <v>7.25810680281496</v>
      </c>
      <c r="AC399" s="209">
        <v>7.2202149781800102</v>
      </c>
      <c r="AD399" s="202">
        <v>10.8438744534789</v>
      </c>
      <c r="AE399" s="210" t="s">
        <v>213</v>
      </c>
    </row>
    <row r="400" spans="2:31" ht="14.25" hidden="1" customHeight="1">
      <c r="B400" s="392">
        <v>42011</v>
      </c>
      <c r="C400" s="208"/>
      <c r="D400" s="209"/>
      <c r="E400" s="209"/>
      <c r="F400" s="209"/>
      <c r="G400" s="209"/>
      <c r="H400" s="209"/>
      <c r="I400" s="209"/>
      <c r="J400" s="209"/>
      <c r="K400" s="209"/>
      <c r="L400" s="202"/>
      <c r="M400" s="208"/>
      <c r="N400" s="209"/>
      <c r="O400" s="209"/>
      <c r="P400" s="209"/>
      <c r="Q400" s="209"/>
      <c r="R400" s="209"/>
      <c r="S400" s="209"/>
      <c r="T400" s="209"/>
      <c r="U400" s="209"/>
      <c r="V400" s="209"/>
      <c r="W400" s="209"/>
      <c r="X400" s="202"/>
      <c r="Y400" s="208"/>
      <c r="Z400" s="209"/>
      <c r="AA400" s="209"/>
      <c r="AB400" s="209"/>
      <c r="AC400" s="209"/>
      <c r="AD400" s="202"/>
      <c r="AE400" s="397">
        <v>42011</v>
      </c>
    </row>
    <row r="401" spans="2:31" ht="14.25" hidden="1" customHeight="1">
      <c r="B401" s="391" t="s">
        <v>187</v>
      </c>
      <c r="C401" s="208">
        <v>8.8585333001431188</v>
      </c>
      <c r="D401" s="209">
        <v>6.5011095434785098</v>
      </c>
      <c r="E401" s="209">
        <v>9.7045400945932396</v>
      </c>
      <c r="F401" s="209">
        <v>8.5503932922155261</v>
      </c>
      <c r="G401" s="209">
        <v>7.983438115465284</v>
      </c>
      <c r="H401" s="209">
        <v>10.048203401108193</v>
      </c>
      <c r="I401" s="209">
        <v>5.7798622432196023</v>
      </c>
      <c r="J401" s="209">
        <v>9.2475760616871998</v>
      </c>
      <c r="K401" s="209">
        <v>8.4952976564858229</v>
      </c>
      <c r="L401" s="202">
        <v>13.832092135147635</v>
      </c>
      <c r="M401" s="208">
        <v>13.980289910414932</v>
      </c>
      <c r="N401" s="209">
        <v>9.890732199049376</v>
      </c>
      <c r="O401" s="209">
        <v>18.216066094866751</v>
      </c>
      <c r="P401" s="209">
        <v>16.598653910832283</v>
      </c>
      <c r="Q401" s="209">
        <v>13.434763195250508</v>
      </c>
      <c r="R401" s="209">
        <v>13.396036137625716</v>
      </c>
      <c r="S401" s="209">
        <v>14.686310787807578</v>
      </c>
      <c r="T401" s="209">
        <v>18.682596989683496</v>
      </c>
      <c r="U401" s="209">
        <v>16.992803945669632</v>
      </c>
      <c r="V401" s="209">
        <v>11.287514216210477</v>
      </c>
      <c r="W401" s="209">
        <v>8.0876305098671857</v>
      </c>
      <c r="X401" s="202">
        <v>7.5264444415942275</v>
      </c>
      <c r="Y401" s="208">
        <v>7.0413483739480949</v>
      </c>
      <c r="Z401" s="209">
        <v>1.9198919891989199</v>
      </c>
      <c r="AA401" s="209">
        <v>7.9148845166809201</v>
      </c>
      <c r="AB401" s="209">
        <v>10.393700787401601</v>
      </c>
      <c r="AC401" s="209">
        <v>9.2974057696937802</v>
      </c>
      <c r="AD401" s="202">
        <v>6.9217232484333202</v>
      </c>
      <c r="AE401" s="210" t="s">
        <v>356</v>
      </c>
    </row>
    <row r="402" spans="2:31" ht="14.25" hidden="1" customHeight="1">
      <c r="B402" s="391" t="s">
        <v>357</v>
      </c>
      <c r="C402" s="208">
        <v>8.4692981525065942</v>
      </c>
      <c r="D402" s="209">
        <v>4.1310869622254103</v>
      </c>
      <c r="E402" s="209">
        <v>9.4775764627312604</v>
      </c>
      <c r="F402" s="209">
        <v>6.6607309417484357</v>
      </c>
      <c r="G402" s="209">
        <v>4.5004524888262631</v>
      </c>
      <c r="H402" s="209">
        <v>5.1771822454402416</v>
      </c>
      <c r="I402" s="209">
        <v>6.1944708463027558</v>
      </c>
      <c r="J402" s="209">
        <v>8.5584491695972105</v>
      </c>
      <c r="K402" s="209">
        <v>10.117376373659393</v>
      </c>
      <c r="L402" s="202">
        <v>9.7193864969744599</v>
      </c>
      <c r="M402" s="208">
        <v>12.474579178609778</v>
      </c>
      <c r="N402" s="209">
        <v>8.8072129963577659</v>
      </c>
      <c r="O402" s="209">
        <v>20.576854403053847</v>
      </c>
      <c r="P402" s="209">
        <v>13.401840200725704</v>
      </c>
      <c r="Q402" s="209">
        <v>13.908719824963939</v>
      </c>
      <c r="R402" s="209">
        <v>11.968278888117069</v>
      </c>
      <c r="S402" s="209">
        <v>10.556711176094117</v>
      </c>
      <c r="T402" s="209">
        <v>10.679737913588539</v>
      </c>
      <c r="U402" s="209">
        <v>14.912418520779742</v>
      </c>
      <c r="V402" s="209">
        <v>11.456278698461716</v>
      </c>
      <c r="W402" s="209">
        <v>10.571321656003384</v>
      </c>
      <c r="X402" s="202">
        <v>9.0379118324895202</v>
      </c>
      <c r="Y402" s="208">
        <v>5.6202787025486218</v>
      </c>
      <c r="Z402" s="209">
        <v>3.4264148224508002</v>
      </c>
      <c r="AA402" s="209">
        <v>8.2179979192657893</v>
      </c>
      <c r="AB402" s="209">
        <v>6.4988753580403102</v>
      </c>
      <c r="AC402" s="209">
        <v>5.9981178910711801</v>
      </c>
      <c r="AD402" s="202">
        <v>11.9671364259938</v>
      </c>
      <c r="AE402" s="210" t="s">
        <v>213</v>
      </c>
    </row>
    <row r="403" spans="2:31" ht="14.25" hidden="1" customHeight="1">
      <c r="B403" s="392">
        <v>42012</v>
      </c>
      <c r="C403" s="208"/>
      <c r="D403" s="209"/>
      <c r="E403" s="209"/>
      <c r="F403" s="209"/>
      <c r="G403" s="209"/>
      <c r="H403" s="209"/>
      <c r="I403" s="209"/>
      <c r="J403" s="209"/>
      <c r="K403" s="209"/>
      <c r="L403" s="202"/>
      <c r="M403" s="208"/>
      <c r="N403" s="209"/>
      <c r="O403" s="209"/>
      <c r="P403" s="209"/>
      <c r="Q403" s="209"/>
      <c r="R403" s="209"/>
      <c r="S403" s="209"/>
      <c r="T403" s="209"/>
      <c r="U403" s="209"/>
      <c r="V403" s="209"/>
      <c r="W403" s="209"/>
      <c r="X403" s="202"/>
      <c r="Y403" s="208"/>
      <c r="Z403" s="209"/>
      <c r="AA403" s="209"/>
      <c r="AB403" s="209"/>
      <c r="AC403" s="209"/>
      <c r="AD403" s="202"/>
      <c r="AE403" s="397">
        <v>42012</v>
      </c>
    </row>
    <row r="404" spans="2:31" ht="14.25" hidden="1" customHeight="1">
      <c r="B404" s="391" t="s">
        <v>187</v>
      </c>
      <c r="C404" s="208">
        <v>8.4085898097751048</v>
      </c>
      <c r="D404" s="209">
        <v>4.9978595512608699</v>
      </c>
      <c r="E404" s="209">
        <v>9.6744568941849902</v>
      </c>
      <c r="F404" s="209">
        <v>8.2021947606424455</v>
      </c>
      <c r="G404" s="209">
        <v>7.5590725543832242</v>
      </c>
      <c r="H404" s="209">
        <v>9.9726567092586382</v>
      </c>
      <c r="I404" s="209">
        <v>5.9784329383940795</v>
      </c>
      <c r="J404" s="209">
        <v>9.1650777408217543</v>
      </c>
      <c r="K404" s="209">
        <v>7.7144107115047929</v>
      </c>
      <c r="L404" s="202">
        <v>13.851181345599718</v>
      </c>
      <c r="M404" s="208">
        <v>13.97274343340783</v>
      </c>
      <c r="N404" s="209">
        <v>9.8725802988422569</v>
      </c>
      <c r="O404" s="209">
        <v>18.287282629112568</v>
      </c>
      <c r="P404" s="209">
        <v>16.980484284335677</v>
      </c>
      <c r="Q404" s="209">
        <v>13.331720721884835</v>
      </c>
      <c r="R404" s="209">
        <v>13.237274500128146</v>
      </c>
      <c r="S404" s="209">
        <v>14.439558415449298</v>
      </c>
      <c r="T404" s="209">
        <v>18.60409399615061</v>
      </c>
      <c r="U404" s="209">
        <v>17.14952132960568</v>
      </c>
      <c r="V404" s="209">
        <v>11.251080886727605</v>
      </c>
      <c r="W404" s="209">
        <v>8.1661437138603166</v>
      </c>
      <c r="X404" s="202">
        <v>7.7119344022012495</v>
      </c>
      <c r="Y404" s="208">
        <v>6.3256515342178812</v>
      </c>
      <c r="Z404" s="209">
        <v>1.94492846888768</v>
      </c>
      <c r="AA404" s="209">
        <v>7.2942892232115399</v>
      </c>
      <c r="AB404" s="209">
        <v>16</v>
      </c>
      <c r="AC404" s="209">
        <v>7.46653523316132</v>
      </c>
      <c r="AD404" s="202">
        <v>7.0466112389239397</v>
      </c>
      <c r="AE404" s="210" t="s">
        <v>356</v>
      </c>
    </row>
    <row r="405" spans="2:31" ht="14.25" hidden="1" customHeight="1">
      <c r="B405" s="391" t="s">
        <v>357</v>
      </c>
      <c r="C405" s="208">
        <v>8.3624471657176294</v>
      </c>
      <c r="D405" s="209">
        <v>4.0051811622126703</v>
      </c>
      <c r="E405" s="209">
        <v>9.3878252624301304</v>
      </c>
      <c r="F405" s="209">
        <v>6.9244353317262322</v>
      </c>
      <c r="G405" s="209">
        <v>4.3218130615540371</v>
      </c>
      <c r="H405" s="209">
        <v>5.1736822874042812</v>
      </c>
      <c r="I405" s="209">
        <v>6.054942851695146</v>
      </c>
      <c r="J405" s="209">
        <v>8.4614399257415833</v>
      </c>
      <c r="K405" s="209">
        <v>10.055358625170536</v>
      </c>
      <c r="L405" s="202">
        <v>9.6724562611406082</v>
      </c>
      <c r="M405" s="208">
        <v>12.728993476685533</v>
      </c>
      <c r="N405" s="209">
        <v>8.8282959794606608</v>
      </c>
      <c r="O405" s="209">
        <v>21.45942657938647</v>
      </c>
      <c r="P405" s="209">
        <v>12.969769662146357</v>
      </c>
      <c r="Q405" s="209">
        <v>13.27066531467552</v>
      </c>
      <c r="R405" s="209">
        <v>11.806876400093149</v>
      </c>
      <c r="S405" s="209">
        <v>12.17520397311271</v>
      </c>
      <c r="T405" s="209">
        <v>11.035722526061488</v>
      </c>
      <c r="U405" s="209">
        <v>14.924583738800674</v>
      </c>
      <c r="V405" s="209">
        <v>12.148509076947574</v>
      </c>
      <c r="W405" s="209">
        <v>10.669546676955074</v>
      </c>
      <c r="X405" s="202">
        <v>9.1490803425458953</v>
      </c>
      <c r="Y405" s="208">
        <v>5.0933071175614275</v>
      </c>
      <c r="Z405" s="209">
        <v>3.5997376174523898</v>
      </c>
      <c r="AA405" s="209">
        <v>7.96095593623245</v>
      </c>
      <c r="AB405" s="209">
        <v>4.3168906985871303</v>
      </c>
      <c r="AC405" s="209">
        <v>5.1622911322294103</v>
      </c>
      <c r="AD405" s="202">
        <v>8.0552182945293307</v>
      </c>
      <c r="AE405" s="210" t="s">
        <v>213</v>
      </c>
    </row>
    <row r="406" spans="2:31" ht="14.25" hidden="1" customHeight="1">
      <c r="B406" s="392">
        <v>42013</v>
      </c>
      <c r="C406" s="208"/>
      <c r="D406" s="209"/>
      <c r="E406" s="209"/>
      <c r="F406" s="209"/>
      <c r="G406" s="209"/>
      <c r="H406" s="209"/>
      <c r="I406" s="209"/>
      <c r="J406" s="209"/>
      <c r="K406" s="209"/>
      <c r="L406" s="202"/>
      <c r="M406" s="208"/>
      <c r="N406" s="209"/>
      <c r="O406" s="209"/>
      <c r="P406" s="209"/>
      <c r="Q406" s="209"/>
      <c r="R406" s="209"/>
      <c r="S406" s="209"/>
      <c r="T406" s="209"/>
      <c r="U406" s="209"/>
      <c r="V406" s="209"/>
      <c r="W406" s="209"/>
      <c r="X406" s="202"/>
      <c r="Y406" s="208"/>
      <c r="Z406" s="209"/>
      <c r="AA406" s="209"/>
      <c r="AB406" s="209"/>
      <c r="AC406" s="209"/>
      <c r="AD406" s="202"/>
      <c r="AE406" s="397">
        <v>42013</v>
      </c>
    </row>
    <row r="407" spans="2:31" ht="14.25" hidden="1" customHeight="1">
      <c r="B407" s="391" t="s">
        <v>187</v>
      </c>
      <c r="C407" s="208">
        <v>7.977581710559364</v>
      </c>
      <c r="D407" s="209">
        <v>4.3410517205660097</v>
      </c>
      <c r="E407" s="209">
        <v>9.4872626957335502</v>
      </c>
      <c r="F407" s="209">
        <v>7.856297730843715</v>
      </c>
      <c r="G407" s="209">
        <v>7.0123373817497141</v>
      </c>
      <c r="H407" s="209">
        <v>8.7418872513025043</v>
      </c>
      <c r="I407" s="209">
        <v>4.5999051830860953</v>
      </c>
      <c r="J407" s="209">
        <v>8.6042676106985176</v>
      </c>
      <c r="K407" s="209">
        <v>7.4180155989557033</v>
      </c>
      <c r="L407" s="202">
        <v>13.889601057104841</v>
      </c>
      <c r="M407" s="208">
        <v>13.724812367305937</v>
      </c>
      <c r="N407" s="209">
        <v>9.9419813293836796</v>
      </c>
      <c r="O407" s="209">
        <v>17.821939151526234</v>
      </c>
      <c r="P407" s="209">
        <v>17.048490842786581</v>
      </c>
      <c r="Q407" s="209">
        <v>13.352507324123408</v>
      </c>
      <c r="R407" s="209">
        <v>13.538668650220295</v>
      </c>
      <c r="S407" s="209">
        <v>15.712899705424157</v>
      </c>
      <c r="T407" s="209">
        <v>17.062955537105381</v>
      </c>
      <c r="U407" s="209">
        <v>17.173493238372622</v>
      </c>
      <c r="V407" s="209">
        <v>11.186995189225648</v>
      </c>
      <c r="W407" s="209">
        <v>8.1255821813752842</v>
      </c>
      <c r="X407" s="202">
        <v>7.5252408985762855</v>
      </c>
      <c r="Y407" s="208">
        <v>6.6163932333027597</v>
      </c>
      <c r="Z407" s="209">
        <v>1.3091993813066201</v>
      </c>
      <c r="AA407" s="209">
        <v>7.4738415545590398</v>
      </c>
      <c r="AB407" s="209">
        <v>9.25</v>
      </c>
      <c r="AC407" s="209">
        <v>7.6905530973731899</v>
      </c>
      <c r="AD407" s="202">
        <v>7.1733167097595203</v>
      </c>
      <c r="AE407" s="210" t="s">
        <v>356</v>
      </c>
    </row>
    <row r="408" spans="2:31" ht="14.25" hidden="1" customHeight="1">
      <c r="B408" s="391" t="s">
        <v>357</v>
      </c>
      <c r="C408" s="208">
        <v>8.3346306997363513</v>
      </c>
      <c r="D408" s="209">
        <v>3.9908161741466599</v>
      </c>
      <c r="E408" s="209">
        <v>9.3303474155921293</v>
      </c>
      <c r="F408" s="209">
        <v>5.7949836737944462</v>
      </c>
      <c r="G408" s="209">
        <v>4.6803508764137298</v>
      </c>
      <c r="H408" s="209">
        <v>4.7361086920157831</v>
      </c>
      <c r="I408" s="209">
        <v>5.8593697943030403</v>
      </c>
      <c r="J408" s="209">
        <v>8.3367827907622853</v>
      </c>
      <c r="K408" s="209">
        <v>9.9383568681949299</v>
      </c>
      <c r="L408" s="202">
        <v>9.6008845819505915</v>
      </c>
      <c r="M408" s="208">
        <v>13.007173735737267</v>
      </c>
      <c r="N408" s="209">
        <v>9.230668966356891</v>
      </c>
      <c r="O408" s="209">
        <v>21.83138630859608</v>
      </c>
      <c r="P408" s="209">
        <v>13.416215371281668</v>
      </c>
      <c r="Q408" s="209">
        <v>12.442814487072695</v>
      </c>
      <c r="R408" s="209">
        <v>11.784829350360821</v>
      </c>
      <c r="S408" s="209">
        <v>12.454402795544492</v>
      </c>
      <c r="T408" s="209">
        <v>12.23012467365697</v>
      </c>
      <c r="U408" s="209">
        <v>14.608245609872148</v>
      </c>
      <c r="V408" s="209">
        <v>12.553950546745465</v>
      </c>
      <c r="W408" s="209">
        <v>10.85117637638157</v>
      </c>
      <c r="X408" s="202">
        <v>9.1243347938882682</v>
      </c>
      <c r="Y408" s="208">
        <v>5.073025065844563</v>
      </c>
      <c r="Z408" s="209">
        <v>3.15476351722184</v>
      </c>
      <c r="AA408" s="209">
        <v>7.8896646159692301</v>
      </c>
      <c r="AB408" s="209">
        <v>6.4732048262562998</v>
      </c>
      <c r="AC408" s="209">
        <v>4.9168929201476699</v>
      </c>
      <c r="AD408" s="202">
        <v>7.9863860191828904</v>
      </c>
      <c r="AE408" s="210" t="s">
        <v>213</v>
      </c>
    </row>
    <row r="409" spans="2:31" ht="14.25" hidden="1" customHeight="1">
      <c r="B409" s="392">
        <v>42014</v>
      </c>
      <c r="C409" s="208"/>
      <c r="D409" s="209"/>
      <c r="E409" s="209"/>
      <c r="F409" s="209"/>
      <c r="G409" s="209"/>
      <c r="H409" s="209"/>
      <c r="I409" s="209"/>
      <c r="J409" s="209"/>
      <c r="K409" s="209"/>
      <c r="L409" s="202"/>
      <c r="M409" s="208"/>
      <c r="N409" s="209"/>
      <c r="O409" s="209"/>
      <c r="P409" s="209"/>
      <c r="Q409" s="209"/>
      <c r="R409" s="209"/>
      <c r="S409" s="209"/>
      <c r="T409" s="209"/>
      <c r="U409" s="209"/>
      <c r="V409" s="209"/>
      <c r="W409" s="209"/>
      <c r="X409" s="202"/>
      <c r="Y409" s="208"/>
      <c r="Z409" s="209"/>
      <c r="AA409" s="209"/>
      <c r="AB409" s="209"/>
      <c r="AC409" s="209"/>
      <c r="AD409" s="202"/>
      <c r="AE409" s="397">
        <v>42014</v>
      </c>
    </row>
    <row r="410" spans="2:31" ht="14.25" hidden="1" customHeight="1">
      <c r="B410" s="391" t="s">
        <v>187</v>
      </c>
      <c r="C410" s="208">
        <v>8.7251936810852815</v>
      </c>
      <c r="D410" s="209">
        <v>6.2443298086669099</v>
      </c>
      <c r="E410" s="209">
        <v>9.45086708734555</v>
      </c>
      <c r="F410" s="209">
        <v>7.9372763179854271</v>
      </c>
      <c r="G410" s="209">
        <v>7.2424539257763225</v>
      </c>
      <c r="H410" s="209">
        <v>9.1843171199604647</v>
      </c>
      <c r="I410" s="209">
        <v>6.437687283603946</v>
      </c>
      <c r="J410" s="209">
        <v>8.9452062939351453</v>
      </c>
      <c r="K410" s="209">
        <v>8.4379821824327301</v>
      </c>
      <c r="L410" s="202">
        <v>14.009243660327989</v>
      </c>
      <c r="M410" s="208">
        <v>14.006055030653629</v>
      </c>
      <c r="N410" s="209">
        <v>9.9684952941822331</v>
      </c>
      <c r="O410" s="209">
        <v>17.795644008107605</v>
      </c>
      <c r="P410" s="209">
        <v>16.901150737385027</v>
      </c>
      <c r="Q410" s="209">
        <v>13.265644224388996</v>
      </c>
      <c r="R410" s="209">
        <v>13.082612512424317</v>
      </c>
      <c r="S410" s="209">
        <v>14.888446502525481</v>
      </c>
      <c r="T410" s="209">
        <v>17.040776897738407</v>
      </c>
      <c r="U410" s="209">
        <v>17.3592188742183</v>
      </c>
      <c r="V410" s="209">
        <v>11.506089192084692</v>
      </c>
      <c r="W410" s="209">
        <v>8.2467278294359563</v>
      </c>
      <c r="X410" s="202">
        <v>7.5617794395950311</v>
      </c>
      <c r="Y410" s="208">
        <v>6.7433626608861603</v>
      </c>
      <c r="Z410" s="209">
        <v>1.3259804708235099</v>
      </c>
      <c r="AA410" s="209">
        <v>6.9755854509217698</v>
      </c>
      <c r="AB410" s="209">
        <v>10.63</v>
      </c>
      <c r="AC410" s="209">
        <v>7.0637361780595</v>
      </c>
      <c r="AD410" s="202">
        <v>6.5935588159325196</v>
      </c>
      <c r="AE410" s="210" t="s">
        <v>356</v>
      </c>
    </row>
    <row r="411" spans="2:31" ht="14.25" hidden="1" customHeight="1">
      <c r="B411" s="391" t="s">
        <v>357</v>
      </c>
      <c r="C411" s="208">
        <v>8.5963007252091721</v>
      </c>
      <c r="D411" s="209">
        <v>5.3013551740632003</v>
      </c>
      <c r="E411" s="209">
        <v>9.2949228774535708</v>
      </c>
      <c r="F411" s="209">
        <v>5.7805183251703527</v>
      </c>
      <c r="G411" s="209">
        <v>4.6720938727519155</v>
      </c>
      <c r="H411" s="209">
        <v>4.5356773187911772</v>
      </c>
      <c r="I411" s="209">
        <v>5.4459068753122803</v>
      </c>
      <c r="J411" s="209">
        <v>8.2267232464671398</v>
      </c>
      <c r="K411" s="209">
        <v>10.38000971372329</v>
      </c>
      <c r="L411" s="202">
        <v>9.7928799400588051</v>
      </c>
      <c r="M411" s="208">
        <v>12.739187615937199</v>
      </c>
      <c r="N411" s="209">
        <v>8.9188077462818089</v>
      </c>
      <c r="O411" s="209">
        <v>21.73106530597196</v>
      </c>
      <c r="P411" s="209">
        <v>12.045635983865246</v>
      </c>
      <c r="Q411" s="209">
        <v>12.752887413943172</v>
      </c>
      <c r="R411" s="209">
        <v>10.898950522815001</v>
      </c>
      <c r="S411" s="209">
        <v>11.924794638670042</v>
      </c>
      <c r="T411" s="209">
        <v>11.29215930032759</v>
      </c>
      <c r="U411" s="209">
        <v>14.41997012034456</v>
      </c>
      <c r="V411" s="209">
        <v>12.640262822647117</v>
      </c>
      <c r="W411" s="209">
        <v>11.056034777184118</v>
      </c>
      <c r="X411" s="202">
        <v>8.9150541082257053</v>
      </c>
      <c r="Y411" s="208">
        <v>5.2265579921445697</v>
      </c>
      <c r="Z411" s="209">
        <v>3.2491659727765199</v>
      </c>
      <c r="AA411" s="209">
        <v>5.7800041800459798</v>
      </c>
      <c r="AB411" s="209">
        <v>7.2545162805446504</v>
      </c>
      <c r="AC411" s="209">
        <v>5.2287518411959901</v>
      </c>
      <c r="AD411" s="202">
        <v>7.6643431696626303</v>
      </c>
      <c r="AE411" s="210" t="s">
        <v>213</v>
      </c>
    </row>
    <row r="412" spans="2:31" ht="14.25" hidden="1" customHeight="1">
      <c r="B412" s="392">
        <v>42015</v>
      </c>
      <c r="C412" s="208"/>
      <c r="D412" s="209"/>
      <c r="E412" s="209"/>
      <c r="F412" s="209"/>
      <c r="G412" s="209"/>
      <c r="H412" s="209"/>
      <c r="I412" s="209"/>
      <c r="J412" s="209"/>
      <c r="K412" s="209"/>
      <c r="L412" s="202"/>
      <c r="M412" s="208"/>
      <c r="N412" s="209"/>
      <c r="O412" s="209"/>
      <c r="P412" s="209"/>
      <c r="Q412" s="209"/>
      <c r="R412" s="209"/>
      <c r="S412" s="209"/>
      <c r="T412" s="209"/>
      <c r="U412" s="209"/>
      <c r="V412" s="209"/>
      <c r="W412" s="209"/>
      <c r="X412" s="202"/>
      <c r="Y412" s="208"/>
      <c r="Z412" s="209"/>
      <c r="AA412" s="209"/>
      <c r="AB412" s="209"/>
      <c r="AC412" s="209"/>
      <c r="AD412" s="202"/>
      <c r="AE412" s="397">
        <v>42015</v>
      </c>
    </row>
    <row r="413" spans="2:31" ht="14.25" hidden="1" customHeight="1">
      <c r="B413" s="391" t="s">
        <v>187</v>
      </c>
      <c r="C413" s="208">
        <v>8.4595472455527592</v>
      </c>
      <c r="D413" s="209">
        <v>5.9295698113337902</v>
      </c>
      <c r="E413" s="209">
        <v>9.4120078728045105</v>
      </c>
      <c r="F413" s="209">
        <v>3.9546988839855222</v>
      </c>
      <c r="G413" s="209">
        <v>5.6622725427557832</v>
      </c>
      <c r="H413" s="209">
        <v>9.9054720143270139</v>
      </c>
      <c r="I413" s="209">
        <v>6.5345415429742744</v>
      </c>
      <c r="J413" s="209">
        <v>8.6274294646982508</v>
      </c>
      <c r="K413" s="209">
        <v>8.2571107890981512</v>
      </c>
      <c r="L413" s="202">
        <v>12.013241715588752</v>
      </c>
      <c r="M413" s="208">
        <v>13.231646503781795</v>
      </c>
      <c r="N413" s="209">
        <v>9.0008801905493616</v>
      </c>
      <c r="O413" s="209">
        <v>17.68026100823451</v>
      </c>
      <c r="P413" s="209">
        <v>15.47304033420928</v>
      </c>
      <c r="Q413" s="209">
        <v>13.23849433046302</v>
      </c>
      <c r="R413" s="209">
        <v>13.923454138622029</v>
      </c>
      <c r="S413" s="209">
        <v>15.324267296142844</v>
      </c>
      <c r="T413" s="209">
        <v>12.698912559712948</v>
      </c>
      <c r="U413" s="209">
        <v>17.290007415716591</v>
      </c>
      <c r="V413" s="209">
        <v>11.466179073283792</v>
      </c>
      <c r="W413" s="209">
        <v>7.6929924985761007</v>
      </c>
      <c r="X413" s="202">
        <v>7.5114695761007848</v>
      </c>
      <c r="Y413" s="208">
        <v>7.1548843281367001</v>
      </c>
      <c r="Z413" s="209">
        <v>1.3237922705314</v>
      </c>
      <c r="AA413" s="209">
        <v>10.232093835787399</v>
      </c>
      <c r="AB413" s="209">
        <v>10.63</v>
      </c>
      <c r="AC413" s="209">
        <v>7.1559769602633096</v>
      </c>
      <c r="AD413" s="202">
        <v>6.6541982906160797</v>
      </c>
      <c r="AE413" s="210" t="s">
        <v>356</v>
      </c>
    </row>
    <row r="414" spans="2:31" ht="14.25" hidden="1" customHeight="1">
      <c r="B414" s="391" t="s">
        <v>357</v>
      </c>
      <c r="C414" s="208">
        <v>8.5095621037188867</v>
      </c>
      <c r="D414" s="209">
        <v>5.2280765987427804</v>
      </c>
      <c r="E414" s="209">
        <v>9.2071343676025101</v>
      </c>
      <c r="F414" s="209">
        <v>5.3303252916749031</v>
      </c>
      <c r="G414" s="209">
        <v>4.092815201559814</v>
      </c>
      <c r="H414" s="209">
        <v>4.5334880094817116</v>
      </c>
      <c r="I414" s="209">
        <v>7.0079455653674749</v>
      </c>
      <c r="J414" s="209">
        <v>8.2110921545440547</v>
      </c>
      <c r="K414" s="209">
        <v>10.083465817865942</v>
      </c>
      <c r="L414" s="202">
        <v>9.9669233901078105</v>
      </c>
      <c r="M414" s="208">
        <v>13.241377117363118</v>
      </c>
      <c r="N414" s="209">
        <v>9.0516276903695676</v>
      </c>
      <c r="O414" s="209">
        <v>21.446745366764162</v>
      </c>
      <c r="P414" s="209">
        <v>12.879480921542754</v>
      </c>
      <c r="Q414" s="209">
        <v>12.787780287752726</v>
      </c>
      <c r="R414" s="209">
        <v>10.578208411180755</v>
      </c>
      <c r="S414" s="209">
        <v>11.55258019373456</v>
      </c>
      <c r="T414" s="209">
        <v>12.012039881503151</v>
      </c>
      <c r="U414" s="209">
        <v>15.32947687904786</v>
      </c>
      <c r="V414" s="209">
        <v>13.650163910155628</v>
      </c>
      <c r="W414" s="209">
        <v>10.000195757528621</v>
      </c>
      <c r="X414" s="202">
        <v>11.444301062335702</v>
      </c>
      <c r="Y414" s="208">
        <v>5.0107639592155904</v>
      </c>
      <c r="Z414" s="209">
        <v>3.5079709489036301</v>
      </c>
      <c r="AA414" s="209">
        <v>6.3420926522416901</v>
      </c>
      <c r="AB414" s="209">
        <v>6.0544386997035602</v>
      </c>
      <c r="AC414" s="209">
        <v>4.6950179022089804</v>
      </c>
      <c r="AD414" s="202">
        <v>7.0778898298517401</v>
      </c>
      <c r="AE414" s="210" t="s">
        <v>213</v>
      </c>
    </row>
    <row r="415" spans="2:31" ht="14.25" hidden="1" customHeight="1">
      <c r="B415" s="392">
        <v>42016</v>
      </c>
      <c r="C415" s="208"/>
      <c r="D415" s="209"/>
      <c r="E415" s="209"/>
      <c r="F415" s="209"/>
      <c r="G415" s="209"/>
      <c r="H415" s="209"/>
      <c r="I415" s="209"/>
      <c r="J415" s="209"/>
      <c r="K415" s="209"/>
      <c r="L415" s="202"/>
      <c r="M415" s="208"/>
      <c r="N415" s="209"/>
      <c r="O415" s="209"/>
      <c r="P415" s="209"/>
      <c r="Q415" s="209"/>
      <c r="R415" s="209"/>
      <c r="S415" s="209"/>
      <c r="T415" s="209"/>
      <c r="U415" s="209"/>
      <c r="V415" s="209"/>
      <c r="W415" s="209"/>
      <c r="X415" s="202"/>
      <c r="Y415" s="208"/>
      <c r="Z415" s="209"/>
      <c r="AA415" s="209"/>
      <c r="AB415" s="209"/>
      <c r="AC415" s="209"/>
      <c r="AD415" s="202"/>
      <c r="AE415" s="397">
        <v>42016</v>
      </c>
    </row>
    <row r="416" spans="2:31" ht="14.25" hidden="1" customHeight="1">
      <c r="B416" s="391" t="s">
        <v>187</v>
      </c>
      <c r="C416" s="208">
        <v>8.3281277335470829</v>
      </c>
      <c r="D416" s="209">
        <v>5.8017270038372599</v>
      </c>
      <c r="E416" s="209">
        <v>9.3323595321086206</v>
      </c>
      <c r="F416" s="209">
        <v>4.4023442020001635</v>
      </c>
      <c r="G416" s="209">
        <v>5.5939435519410292</v>
      </c>
      <c r="H416" s="209">
        <v>9.2540196945255193</v>
      </c>
      <c r="I416" s="209">
        <v>6.135293185641526</v>
      </c>
      <c r="J416" s="209">
        <v>8.5571832169017181</v>
      </c>
      <c r="K416" s="209">
        <v>8.0829340741051521</v>
      </c>
      <c r="L416" s="202">
        <v>12.035058772485934</v>
      </c>
      <c r="M416" s="208">
        <v>13.760474507383361</v>
      </c>
      <c r="N416" s="209">
        <v>9.9192271023470688</v>
      </c>
      <c r="O416" s="209">
        <v>17.54360417432812</v>
      </c>
      <c r="P416" s="209">
        <v>17.667197565020636</v>
      </c>
      <c r="Q416" s="209">
        <v>13.604706385084734</v>
      </c>
      <c r="R416" s="209">
        <v>14.133029092662509</v>
      </c>
      <c r="S416" s="209">
        <v>15.260371354822821</v>
      </c>
      <c r="T416" s="209">
        <v>17.048016333681211</v>
      </c>
      <c r="U416" s="209">
        <v>17.411211731882364</v>
      </c>
      <c r="V416" s="209">
        <v>11.525194431274601</v>
      </c>
      <c r="W416" s="209">
        <v>7.8426124702617264</v>
      </c>
      <c r="X416" s="202">
        <v>7.5218955186243903</v>
      </c>
      <c r="Y416" s="208">
        <v>6.71202305724068</v>
      </c>
      <c r="Z416" s="209">
        <v>1.2975149287450101</v>
      </c>
      <c r="AA416" s="209">
        <v>10.232093835787399</v>
      </c>
      <c r="AB416" s="209">
        <v>12</v>
      </c>
      <c r="AC416" s="209">
        <v>6.25956838317662</v>
      </c>
      <c r="AD416" s="202">
        <v>6.3194070660522303</v>
      </c>
      <c r="AE416" s="210" t="s">
        <v>356</v>
      </c>
    </row>
    <row r="417" spans="2:31" ht="14.25" hidden="1" customHeight="1">
      <c r="B417" s="391" t="s">
        <v>357</v>
      </c>
      <c r="C417" s="208">
        <v>8.2527527278886375</v>
      </c>
      <c r="D417" s="209">
        <v>4.9678116337588598</v>
      </c>
      <c r="E417" s="209">
        <v>9.0035814438149799</v>
      </c>
      <c r="F417" s="209">
        <v>4.8713095436916598</v>
      </c>
      <c r="G417" s="209">
        <v>4.2232961215773903</v>
      </c>
      <c r="H417" s="209">
        <v>4.08859836883002</v>
      </c>
      <c r="I417" s="209">
        <v>5.3196732217103078</v>
      </c>
      <c r="J417" s="209">
        <v>7.9133403701389469</v>
      </c>
      <c r="K417" s="209">
        <v>9.9872151538701655</v>
      </c>
      <c r="L417" s="202">
        <v>9.8150254753686923</v>
      </c>
      <c r="M417" s="208">
        <v>13.737</v>
      </c>
      <c r="N417" s="209">
        <v>9.9869580796748796</v>
      </c>
      <c r="O417" s="209">
        <v>21.260997120234773</v>
      </c>
      <c r="P417" s="209">
        <v>12.247195097212629</v>
      </c>
      <c r="Q417" s="209">
        <v>12.718998501057943</v>
      </c>
      <c r="R417" s="209">
        <v>12.395109693381038</v>
      </c>
      <c r="S417" s="209">
        <v>12.847874610366919</v>
      </c>
      <c r="T417" s="209">
        <v>14.33</v>
      </c>
      <c r="U417" s="209">
        <v>15.286409269644313</v>
      </c>
      <c r="V417" s="209">
        <v>13.602127253664559</v>
      </c>
      <c r="W417" s="209">
        <v>10.041119989920904</v>
      </c>
      <c r="X417" s="202">
        <v>11.438799544494007</v>
      </c>
      <c r="Y417" s="208">
        <v>5.8927769538458401</v>
      </c>
      <c r="Z417" s="209">
        <v>3.3840035995954101</v>
      </c>
      <c r="AA417" s="209">
        <v>11.2457157118296</v>
      </c>
      <c r="AB417" s="209">
        <v>6.3153465052691304</v>
      </c>
      <c r="AC417" s="209">
        <v>4.6966172918011901</v>
      </c>
      <c r="AD417" s="202">
        <v>6.8405384840724901</v>
      </c>
      <c r="AE417" s="210" t="s">
        <v>213</v>
      </c>
    </row>
    <row r="418" spans="2:31" ht="14.25" customHeight="1">
      <c r="B418" s="392">
        <v>42370</v>
      </c>
      <c r="C418" s="208"/>
      <c r="D418" s="209"/>
      <c r="E418" s="209"/>
      <c r="F418" s="209"/>
      <c r="G418" s="209"/>
      <c r="H418" s="209"/>
      <c r="I418" s="209"/>
      <c r="J418" s="209"/>
      <c r="K418" s="209"/>
      <c r="L418" s="202"/>
      <c r="M418" s="208"/>
      <c r="N418" s="209"/>
      <c r="O418" s="209"/>
      <c r="P418" s="209"/>
      <c r="Q418" s="209"/>
      <c r="R418" s="209"/>
      <c r="S418" s="209"/>
      <c r="T418" s="209"/>
      <c r="U418" s="209"/>
      <c r="V418" s="209"/>
      <c r="W418" s="209"/>
      <c r="X418" s="202"/>
      <c r="Y418" s="208"/>
      <c r="Z418" s="209"/>
      <c r="AA418" s="209"/>
      <c r="AB418" s="209"/>
      <c r="AC418" s="209"/>
      <c r="AD418" s="202"/>
      <c r="AE418" s="397">
        <v>42370</v>
      </c>
    </row>
    <row r="419" spans="2:31" ht="14.25" customHeight="1">
      <c r="B419" s="391" t="s">
        <v>187</v>
      </c>
      <c r="C419" s="208">
        <v>8.0846398406764397</v>
      </c>
      <c r="D419" s="209">
        <v>5.8211878960792998</v>
      </c>
      <c r="E419" s="209">
        <v>9.1430579002005903</v>
      </c>
      <c r="F419" s="209">
        <v>6.5550852398610076</v>
      </c>
      <c r="G419" s="209">
        <v>8.0497382802212289</v>
      </c>
      <c r="H419" s="209">
        <v>8.5813182425859811</v>
      </c>
      <c r="I419" s="209">
        <v>5.5813175901741969</v>
      </c>
      <c r="J419" s="209">
        <v>8.2160029198757911</v>
      </c>
      <c r="K419" s="209">
        <v>7.8471408119128947</v>
      </c>
      <c r="L419" s="202">
        <v>11.616890307635797</v>
      </c>
      <c r="M419" s="208">
        <v>13.600373857141348</v>
      </c>
      <c r="N419" s="209">
        <v>9.7226726185170289</v>
      </c>
      <c r="O419" s="209">
        <v>17.455650251249018</v>
      </c>
      <c r="P419" s="209">
        <v>16.76527965256853</v>
      </c>
      <c r="Q419" s="209">
        <v>12.656516793777145</v>
      </c>
      <c r="R419" s="209">
        <v>14.355259514493643</v>
      </c>
      <c r="S419" s="209">
        <v>13.977629869359747</v>
      </c>
      <c r="T419" s="209">
        <v>17.607243623394751</v>
      </c>
      <c r="U419" s="209">
        <v>17.44831015480564</v>
      </c>
      <c r="V419" s="209">
        <v>11.541479933957046</v>
      </c>
      <c r="W419" s="209">
        <v>7.5144766954884732</v>
      </c>
      <c r="X419" s="202">
        <v>7.3494661353028361</v>
      </c>
      <c r="Y419" s="208">
        <v>5.6525575817833902</v>
      </c>
      <c r="Z419" s="209">
        <v>1.14828072470136</v>
      </c>
      <c r="AA419" s="209">
        <v>18.867924528301899</v>
      </c>
      <c r="AB419" s="209">
        <v>12.69646333297</v>
      </c>
      <c r="AC419" s="209">
        <v>5.5253465218276396</v>
      </c>
      <c r="AD419" s="202">
        <v>6.2624452892382099</v>
      </c>
      <c r="AE419" s="210" t="s">
        <v>356</v>
      </c>
    </row>
    <row r="420" spans="2:31" ht="14.25" customHeight="1">
      <c r="B420" s="391" t="s">
        <v>357</v>
      </c>
      <c r="C420" s="208">
        <v>8.0585173415691198</v>
      </c>
      <c r="D420" s="209">
        <v>4.80731400651716</v>
      </c>
      <c r="E420" s="209">
        <v>8.8283399301766092</v>
      </c>
      <c r="F420" s="209">
        <v>5.1652618225941165</v>
      </c>
      <c r="G420" s="209">
        <v>3.8695699527709904</v>
      </c>
      <c r="H420" s="209">
        <v>3.7399972679071323</v>
      </c>
      <c r="I420" s="209">
        <v>3.8681695698995848</v>
      </c>
      <c r="J420" s="209">
        <v>7.6453051059621888</v>
      </c>
      <c r="K420" s="209">
        <v>9.9091583380620545</v>
      </c>
      <c r="L420" s="202">
        <v>9.8503870448395432</v>
      </c>
      <c r="M420" s="208">
        <v>12.525502329406873</v>
      </c>
      <c r="N420" s="209">
        <v>8.7801546056214388</v>
      </c>
      <c r="O420" s="209">
        <v>20.723113622101469</v>
      </c>
      <c r="P420" s="209">
        <v>12.508118247365942</v>
      </c>
      <c r="Q420" s="209">
        <v>13.087924960773032</v>
      </c>
      <c r="R420" s="209">
        <v>12.055340383225751</v>
      </c>
      <c r="S420" s="209">
        <v>13.230187165903269</v>
      </c>
      <c r="T420" s="209">
        <v>9.9103325719387065</v>
      </c>
      <c r="U420" s="209">
        <v>14.292384345655433</v>
      </c>
      <c r="V420" s="209">
        <v>14.446049352298923</v>
      </c>
      <c r="W420" s="209">
        <v>9.5503646378579283</v>
      </c>
      <c r="X420" s="202">
        <v>10.722638141350142</v>
      </c>
      <c r="Y420" s="208">
        <v>5.5956879363860201</v>
      </c>
      <c r="Z420" s="209">
        <v>2.8228701735390498</v>
      </c>
      <c r="AA420" s="209">
        <v>11.1427815551727</v>
      </c>
      <c r="AB420" s="209">
        <v>7.9797459057808</v>
      </c>
      <c r="AC420" s="209">
        <v>5.0191271051888098</v>
      </c>
      <c r="AD420" s="202">
        <v>7.04071070945378</v>
      </c>
      <c r="AE420" s="210" t="s">
        <v>213</v>
      </c>
    </row>
    <row r="421" spans="2:31" ht="14.25" hidden="1" customHeight="1">
      <c r="B421" s="392">
        <v>42371</v>
      </c>
      <c r="C421" s="208"/>
      <c r="D421" s="209"/>
      <c r="E421" s="209"/>
      <c r="F421" s="209"/>
      <c r="G421" s="209"/>
      <c r="H421" s="209"/>
      <c r="I421" s="209"/>
      <c r="J421" s="209"/>
      <c r="K421" s="209"/>
      <c r="L421" s="202"/>
      <c r="M421" s="208"/>
      <c r="N421" s="209"/>
      <c r="O421" s="209"/>
      <c r="P421" s="209"/>
      <c r="Q421" s="209"/>
      <c r="R421" s="209"/>
      <c r="S421" s="209"/>
      <c r="T421" s="209"/>
      <c r="U421" s="209"/>
      <c r="V421" s="209"/>
      <c r="W421" s="209"/>
      <c r="X421" s="202"/>
      <c r="Y421" s="208"/>
      <c r="Z421" s="209"/>
      <c r="AA421" s="209"/>
      <c r="AB421" s="209"/>
      <c r="AC421" s="209"/>
      <c r="AD421" s="202"/>
      <c r="AE421" s="397">
        <v>42371</v>
      </c>
    </row>
    <row r="422" spans="2:31" ht="14.25" hidden="1" customHeight="1">
      <c r="B422" s="391" t="s">
        <v>187</v>
      </c>
      <c r="C422" s="208">
        <v>7.7549340153815249</v>
      </c>
      <c r="D422" s="209">
        <v>5.8592718492586604</v>
      </c>
      <c r="E422" s="209">
        <v>8.9048486191943308</v>
      </c>
      <c r="F422" s="209">
        <v>6.9023233322837427</v>
      </c>
      <c r="G422" s="209">
        <v>5.1607081599403726</v>
      </c>
      <c r="H422" s="209">
        <v>8.2445880924407149</v>
      </c>
      <c r="I422" s="209">
        <v>5.2190364693783877</v>
      </c>
      <c r="J422" s="209">
        <v>7.8831133290903646</v>
      </c>
      <c r="K422" s="209">
        <v>7.5946955017922608</v>
      </c>
      <c r="L422" s="202">
        <v>11.995523774788452</v>
      </c>
      <c r="M422" s="208">
        <v>13.359451901813932</v>
      </c>
      <c r="N422" s="209">
        <v>9.247802496088422</v>
      </c>
      <c r="O422" s="209">
        <v>17.496077738201457</v>
      </c>
      <c r="P422" s="209">
        <v>16.855526352024913</v>
      </c>
      <c r="Q422" s="209">
        <v>12.421010710380028</v>
      </c>
      <c r="R422" s="209">
        <v>14.616480355903599</v>
      </c>
      <c r="S422" s="209">
        <v>13.126090465619011</v>
      </c>
      <c r="T422" s="209">
        <v>17.338082292484433</v>
      </c>
      <c r="W422" s="209">
        <v>7.5918116071319997</v>
      </c>
      <c r="X422" s="202">
        <v>7.2412231984516291</v>
      </c>
      <c r="Y422" s="208">
        <v>5.8855327241111901</v>
      </c>
      <c r="Z422" s="209">
        <v>1.01802376874773</v>
      </c>
      <c r="AA422" s="209">
        <v>18.867924528301899</v>
      </c>
      <c r="AB422" s="209">
        <v>12.69646333297</v>
      </c>
      <c r="AC422" s="209">
        <v>5.5233643933386203</v>
      </c>
      <c r="AD422" s="202">
        <v>7.1498432379042498</v>
      </c>
      <c r="AE422" s="210" t="s">
        <v>356</v>
      </c>
    </row>
    <row r="423" spans="2:31" ht="14.25" hidden="1" customHeight="1">
      <c r="B423" s="391" t="s">
        <v>357</v>
      </c>
      <c r="C423" s="208">
        <v>7.669221598017975</v>
      </c>
      <c r="D423" s="209">
        <v>3.7156025250933</v>
      </c>
      <c r="E423" s="209">
        <v>8.6635297080296905</v>
      </c>
      <c r="F423" s="209">
        <v>4.4863289067993728</v>
      </c>
      <c r="G423" s="209">
        <v>4.0500611879883293</v>
      </c>
      <c r="H423" s="209">
        <v>2.9164857957928305</v>
      </c>
      <c r="I423" s="209">
        <v>3.2483814373821533</v>
      </c>
      <c r="J423" s="209">
        <v>7.3606708657222768</v>
      </c>
      <c r="K423" s="209">
        <v>9.3329641085421269</v>
      </c>
      <c r="L423" s="202">
        <v>9.5114820356581582</v>
      </c>
      <c r="M423" s="208">
        <v>12.370133783191344</v>
      </c>
      <c r="N423" s="209">
        <v>8.7842666290604914</v>
      </c>
      <c r="O423" s="209">
        <v>20.64516489235368</v>
      </c>
      <c r="P423" s="209">
        <v>12.266256796076076</v>
      </c>
      <c r="Q423" s="209">
        <v>13.446045193965974</v>
      </c>
      <c r="R423" s="209">
        <v>12.039001032260908</v>
      </c>
      <c r="S423" s="209">
        <v>13.182234106419884</v>
      </c>
      <c r="T423" s="209">
        <v>9.8466350197557908</v>
      </c>
      <c r="U423" s="209">
        <v>16.939242005423367</v>
      </c>
      <c r="V423" s="209">
        <v>11.604464939171832</v>
      </c>
      <c r="W423" s="209">
        <v>9.3317148974205679</v>
      </c>
      <c r="X423" s="202">
        <v>10.743381118806749</v>
      </c>
      <c r="Y423" s="208">
        <v>5.2827638739411196</v>
      </c>
      <c r="Z423" s="209">
        <v>2.32481914041063</v>
      </c>
      <c r="AA423" s="209">
        <v>11.052385335283599</v>
      </c>
      <c r="AB423" s="209">
        <v>7.6179520160917997</v>
      </c>
      <c r="AC423" s="209">
        <v>4.4613927323300802</v>
      </c>
      <c r="AD423" s="202">
        <v>5.2016430169704897</v>
      </c>
      <c r="AE423" s="210" t="s">
        <v>213</v>
      </c>
    </row>
    <row r="424" spans="2:31" ht="14.25" hidden="1" customHeight="1">
      <c r="B424" s="392">
        <v>42372</v>
      </c>
      <c r="C424" s="208"/>
      <c r="D424" s="209"/>
      <c r="E424" s="209"/>
      <c r="F424" s="209"/>
      <c r="G424" s="209"/>
      <c r="H424" s="209"/>
      <c r="I424" s="209"/>
      <c r="J424" s="209"/>
      <c r="K424" s="209"/>
      <c r="L424" s="202"/>
      <c r="M424" s="208"/>
      <c r="N424" s="209"/>
      <c r="O424" s="209"/>
      <c r="P424" s="209"/>
      <c r="Q424" s="209"/>
      <c r="R424" s="209"/>
      <c r="S424" s="209"/>
      <c r="T424" s="209"/>
      <c r="U424" s="209">
        <v>14.174800273401198</v>
      </c>
      <c r="V424" s="209">
        <v>13.748817663003324</v>
      </c>
      <c r="W424" s="209"/>
      <c r="X424" s="202"/>
      <c r="Y424" s="208"/>
      <c r="Z424" s="209"/>
      <c r="AA424" s="209"/>
      <c r="AB424" s="209"/>
      <c r="AC424" s="209"/>
      <c r="AD424" s="202"/>
      <c r="AE424" s="397">
        <v>42372</v>
      </c>
    </row>
    <row r="425" spans="2:31" ht="14.25" hidden="1" customHeight="1">
      <c r="B425" s="391" t="s">
        <v>187</v>
      </c>
      <c r="C425" s="208">
        <v>7.8330607922234901</v>
      </c>
      <c r="D425" s="209">
        <v>6</v>
      </c>
      <c r="E425" s="209">
        <v>8.9616318320289405</v>
      </c>
      <c r="F425" s="209">
        <v>7.6211165219846171</v>
      </c>
      <c r="G425" s="209">
        <v>8.2038999261161187</v>
      </c>
      <c r="H425" s="209">
        <v>11.976629805311482</v>
      </c>
      <c r="I425" s="209">
        <v>5.2447209575055185</v>
      </c>
      <c r="J425" s="209">
        <v>7.8161426834107193</v>
      </c>
      <c r="K425" s="209">
        <v>8.9618483947961263</v>
      </c>
      <c r="L425" s="202">
        <v>11.49816844872116</v>
      </c>
      <c r="M425" s="208">
        <v>13.168994119156967</v>
      </c>
      <c r="N425" s="209">
        <v>9.184192378246463</v>
      </c>
      <c r="O425" s="209">
        <v>17.237507119751509</v>
      </c>
      <c r="P425" s="209">
        <v>16.041556794811147</v>
      </c>
      <c r="Q425" s="209">
        <v>12.84833951308649</v>
      </c>
      <c r="R425" s="209">
        <v>16.149615881161065</v>
      </c>
      <c r="S425" s="209">
        <v>12.16310961782094</v>
      </c>
      <c r="T425" s="209">
        <v>16.556722295723638</v>
      </c>
      <c r="U425" s="209"/>
      <c r="V425" s="209"/>
      <c r="W425" s="209">
        <v>7.5345812740672704</v>
      </c>
      <c r="X425" s="202">
        <v>7.2942296620821612</v>
      </c>
      <c r="Y425" s="208">
        <v>5.8788109668322397</v>
      </c>
      <c r="Z425" s="209">
        <v>1.0059933947505699</v>
      </c>
      <c r="AA425" s="209">
        <v>18.867924528301899</v>
      </c>
      <c r="AB425" s="209">
        <v>7.6076028398491102</v>
      </c>
      <c r="AC425" s="209">
        <v>7.0501760550274302</v>
      </c>
      <c r="AD425" s="202">
        <v>5.5983552989376699</v>
      </c>
      <c r="AE425" s="210" t="s">
        <v>356</v>
      </c>
    </row>
    <row r="426" spans="2:31" ht="14.25" hidden="1" customHeight="1">
      <c r="B426" s="391" t="s">
        <v>357</v>
      </c>
      <c r="C426" s="208">
        <v>6.9931245152580832</v>
      </c>
      <c r="D426" s="209">
        <v>3.1498093614374301</v>
      </c>
      <c r="E426" s="209">
        <v>8.2851992820996205</v>
      </c>
      <c r="F426" s="209">
        <v>5.2751217356972271</v>
      </c>
      <c r="G426" s="209">
        <v>3.5986077704646662</v>
      </c>
      <c r="H426" s="209">
        <v>3.1767220679385662</v>
      </c>
      <c r="I426" s="209">
        <v>3.0860225947476265</v>
      </c>
      <c r="J426" s="209">
        <v>6.8523128929413621</v>
      </c>
      <c r="K426" s="209">
        <v>8.9724906007330461</v>
      </c>
      <c r="L426" s="202">
        <v>9.2375595941066937</v>
      </c>
      <c r="M426" s="208">
        <v>12.33983292492276</v>
      </c>
      <c r="N426" s="209">
        <v>8.8644026095323891</v>
      </c>
      <c r="O426" s="209">
        <v>20.188096794752351</v>
      </c>
      <c r="P426" s="209">
        <v>11.998421342982892</v>
      </c>
      <c r="Q426" s="209">
        <v>13.157092912235802</v>
      </c>
      <c r="R426" s="209">
        <v>12.279429344733966</v>
      </c>
      <c r="S426" s="209">
        <v>13.258531967279186</v>
      </c>
      <c r="T426" s="209">
        <v>10.38904144555994</v>
      </c>
      <c r="U426" s="209">
        <v>16.856045199905495</v>
      </c>
      <c r="V426" s="209">
        <v>11.532072321928574</v>
      </c>
      <c r="W426" s="209">
        <v>8.951369212372601</v>
      </c>
      <c r="X426" s="202">
        <v>10.956514954179488</v>
      </c>
      <c r="Y426" s="208">
        <v>4.8251730940978801</v>
      </c>
      <c r="Z426" s="209">
        <v>2.36613583402668</v>
      </c>
      <c r="AA426" s="209">
        <v>10.3945166266294</v>
      </c>
      <c r="AB426" s="209">
        <v>7.9648354347470098</v>
      </c>
      <c r="AC426" s="209">
        <v>5.7771454136564104</v>
      </c>
      <c r="AD426" s="202">
        <v>3.7766590767308599</v>
      </c>
      <c r="AE426" s="210" t="s">
        <v>213</v>
      </c>
    </row>
    <row r="427" spans="2:31" ht="12" hidden="1" customHeight="1">
      <c r="B427" s="392">
        <v>42373</v>
      </c>
      <c r="C427" s="208"/>
      <c r="E427" s="209"/>
      <c r="F427" s="209"/>
      <c r="G427" s="209"/>
      <c r="H427" s="209"/>
      <c r="I427" s="209"/>
      <c r="J427" s="209"/>
      <c r="K427" s="209"/>
      <c r="L427" s="202"/>
      <c r="M427" s="208"/>
      <c r="N427" s="209"/>
      <c r="O427" s="209"/>
      <c r="P427" s="209"/>
      <c r="Q427" s="209"/>
      <c r="R427" s="209"/>
      <c r="S427" s="209"/>
      <c r="T427" s="209"/>
      <c r="U427" s="209">
        <v>13.874147313558291</v>
      </c>
      <c r="V427" s="209">
        <v>13.512862911023419</v>
      </c>
      <c r="W427" s="209"/>
      <c r="X427" s="202"/>
      <c r="Y427" s="208"/>
      <c r="Z427" s="209"/>
      <c r="AA427" s="209"/>
      <c r="AB427" s="209"/>
      <c r="AC427" s="209"/>
      <c r="AD427" s="202"/>
      <c r="AE427" s="397">
        <v>42373</v>
      </c>
    </row>
    <row r="428" spans="2:31" ht="12" hidden="1" customHeight="1">
      <c r="B428" s="391" t="s">
        <v>187</v>
      </c>
      <c r="C428" s="208">
        <v>7.8546249983483261</v>
      </c>
      <c r="D428" s="209">
        <v>5.4306023012632894</v>
      </c>
      <c r="E428" s="209">
        <v>9.1863149915308071</v>
      </c>
      <c r="F428" s="209">
        <v>8.3561234667273236</v>
      </c>
      <c r="G428" s="209">
        <v>4.4281677554245231</v>
      </c>
      <c r="H428" s="209">
        <v>12.063745399817648</v>
      </c>
      <c r="I428" s="209">
        <v>5.7857469402955637</v>
      </c>
      <c r="J428" s="209">
        <v>7.8308770683566156</v>
      </c>
      <c r="K428" s="209">
        <v>8.2169076790480027</v>
      </c>
      <c r="L428" s="202">
        <v>8.3906090383604663</v>
      </c>
      <c r="M428" s="208">
        <v>12.894417055549514</v>
      </c>
      <c r="N428" s="209">
        <v>8.8366158345621031</v>
      </c>
      <c r="O428" s="209">
        <v>17.001538541436656</v>
      </c>
      <c r="P428" s="209">
        <v>15.252031573646562</v>
      </c>
      <c r="Q428" s="209">
        <v>12.658361063163603</v>
      </c>
      <c r="R428" s="209">
        <v>15.131120906421089</v>
      </c>
      <c r="S428" s="209">
        <v>14.7782212624753</v>
      </c>
      <c r="T428" s="209">
        <v>16.782294993135956</v>
      </c>
      <c r="U428" s="209">
        <v>16.478011746598668</v>
      </c>
      <c r="V428" s="209">
        <v>11.019015764215258</v>
      </c>
      <c r="W428" s="209">
        <v>7.515171044014715</v>
      </c>
      <c r="X428" s="202">
        <v>7.3850903382320183</v>
      </c>
      <c r="Y428" s="208">
        <v>5.845806271567457</v>
      </c>
      <c r="Z428" s="209">
        <v>1.38141776011325</v>
      </c>
      <c r="AA428" s="209">
        <v>18.867924528301899</v>
      </c>
      <c r="AB428" s="209">
        <v>8.8280656789851708</v>
      </c>
      <c r="AC428" s="209">
        <v>6.6122865648548501</v>
      </c>
      <c r="AD428" s="202">
        <v>4.1025284467713803</v>
      </c>
      <c r="AE428" s="210" t="s">
        <v>356</v>
      </c>
    </row>
    <row r="429" spans="2:31" ht="12" hidden="1" customHeight="1">
      <c r="B429" s="391" t="s">
        <v>357</v>
      </c>
      <c r="C429" s="208">
        <v>6.2779121374884701</v>
      </c>
      <c r="D429" s="209">
        <v>3.37</v>
      </c>
      <c r="E429" s="209">
        <v>7.7503811665346856</v>
      </c>
      <c r="F429" s="209">
        <v>4.7287219684249902</v>
      </c>
      <c r="G429" s="209">
        <v>4.4117282316346396</v>
      </c>
      <c r="H429" s="209">
        <v>3.1183731328084603</v>
      </c>
      <c r="I429" s="209">
        <v>2.7596684514163341</v>
      </c>
      <c r="J429" s="209">
        <v>4.9657113580488339</v>
      </c>
      <c r="K429" s="209">
        <v>8.2319422762121501</v>
      </c>
      <c r="L429" s="202">
        <v>8.8003835213264807</v>
      </c>
      <c r="M429" s="208">
        <v>11.640958846474957</v>
      </c>
      <c r="N429" s="209">
        <v>8.3051566014637146</v>
      </c>
      <c r="O429" s="209">
        <v>18.913439441546412</v>
      </c>
      <c r="P429" s="209">
        <v>10.482925685461955</v>
      </c>
      <c r="Q429" s="209">
        <v>12.729973142547253</v>
      </c>
      <c r="R429" s="209">
        <v>11.701581918682862</v>
      </c>
      <c r="S429" s="209">
        <v>13.147404267691996</v>
      </c>
      <c r="T429" s="209">
        <v>10.357359795570776</v>
      </c>
      <c r="U429" s="209">
        <v>12.504565659388467</v>
      </c>
      <c r="V429" s="209">
        <v>13.131378925777975</v>
      </c>
      <c r="W429" s="209">
        <v>8.9266084251071351</v>
      </c>
      <c r="X429" s="202">
        <v>10.062678295404533</v>
      </c>
      <c r="Y429" s="208">
        <v>4.5285504587531369</v>
      </c>
      <c r="Z429" s="209">
        <v>2.161738467862842</v>
      </c>
      <c r="AA429" s="209">
        <v>12.010766960969759</v>
      </c>
      <c r="AB429" s="209">
        <v>8.3472319236609511</v>
      </c>
      <c r="AC429" s="209">
        <v>5.4939799018210396</v>
      </c>
      <c r="AD429" s="202">
        <v>4.1715789471545088</v>
      </c>
      <c r="AE429" s="210" t="s">
        <v>213</v>
      </c>
    </row>
    <row r="430" spans="2:31" ht="12" hidden="1" customHeight="1">
      <c r="B430" s="392">
        <v>42374</v>
      </c>
      <c r="C430" s="208"/>
      <c r="E430" s="209"/>
      <c r="F430" s="209"/>
      <c r="G430" s="209"/>
      <c r="H430" s="209"/>
      <c r="I430" s="209"/>
      <c r="J430" s="209"/>
      <c r="K430" s="209"/>
      <c r="L430" s="202"/>
      <c r="M430" s="208"/>
      <c r="N430" s="209"/>
      <c r="O430" s="209"/>
      <c r="P430" s="209"/>
      <c r="Q430" s="209"/>
      <c r="R430" s="209"/>
      <c r="S430" s="209"/>
      <c r="T430" s="209"/>
      <c r="U430" s="209"/>
      <c r="V430" s="209"/>
      <c r="W430" s="209"/>
      <c r="X430" s="202"/>
      <c r="Y430" s="208"/>
      <c r="Z430" s="209"/>
      <c r="AA430" s="209"/>
      <c r="AB430" s="209"/>
      <c r="AC430" s="209"/>
      <c r="AD430" s="202"/>
      <c r="AE430" s="397">
        <v>42374</v>
      </c>
    </row>
    <row r="431" spans="2:31" ht="12" hidden="1" customHeight="1">
      <c r="B431" s="391" t="s">
        <v>187</v>
      </c>
      <c r="C431" s="208">
        <v>7.7679742041894579</v>
      </c>
      <c r="D431" s="209">
        <v>5.54669882262277</v>
      </c>
      <c r="E431" s="209">
        <v>8.9406493286928708</v>
      </c>
      <c r="F431" s="209">
        <v>9.9821080789319385</v>
      </c>
      <c r="G431" s="209">
        <v>5.5963840677055332</v>
      </c>
      <c r="H431" s="209">
        <v>12.735621564263877</v>
      </c>
      <c r="I431" s="209">
        <v>6.1731339738571824</v>
      </c>
      <c r="J431" s="209">
        <v>8.1191092133352765</v>
      </c>
      <c r="K431" s="209">
        <v>7.5593735125740062</v>
      </c>
      <c r="L431" s="202">
        <v>10.522906013819002</v>
      </c>
      <c r="M431" s="208">
        <v>12.853397682452025</v>
      </c>
      <c r="N431" s="209">
        <v>8.8423561076465163</v>
      </c>
      <c r="O431" s="209">
        <v>16.905335769369266</v>
      </c>
      <c r="P431" s="209">
        <v>14.971379311487549</v>
      </c>
      <c r="Q431" s="209">
        <v>12.496335870494267</v>
      </c>
      <c r="R431" s="209">
        <v>16.485230069826535</v>
      </c>
      <c r="S431" s="209">
        <v>12.340339958163884</v>
      </c>
      <c r="T431" s="209">
        <v>17.08332544275768</v>
      </c>
      <c r="U431" s="209">
        <v>16.325779381487909</v>
      </c>
      <c r="V431" s="209">
        <v>10.988139141153068</v>
      </c>
      <c r="W431" s="209">
        <v>7.4338123127537035</v>
      </c>
      <c r="X431" s="202">
        <v>7.358519241658307</v>
      </c>
      <c r="Y431" s="208">
        <v>5.3191613893579621</v>
      </c>
      <c r="Z431" s="209">
        <v>1.3531595479949414</v>
      </c>
      <c r="AA431" s="209">
        <v>13.402747009304401</v>
      </c>
      <c r="AB431" s="209">
        <v>8.6909162845756498</v>
      </c>
      <c r="AC431" s="209">
        <v>6.5118220134836999</v>
      </c>
      <c r="AD431" s="202">
        <v>1.54154017442939</v>
      </c>
      <c r="AE431" s="210" t="s">
        <v>356</v>
      </c>
    </row>
    <row r="432" spans="2:31" ht="12" hidden="1" customHeight="1">
      <c r="B432" s="391" t="s">
        <v>357</v>
      </c>
      <c r="C432" s="208">
        <v>5.8381688648343069</v>
      </c>
      <c r="D432" s="209">
        <v>3.4169223727224298</v>
      </c>
      <c r="E432" s="209">
        <v>7.0774900522169695</v>
      </c>
      <c r="F432" s="209">
        <v>1.8814267735419323</v>
      </c>
      <c r="G432" s="209">
        <v>5.0578163269261216</v>
      </c>
      <c r="H432" s="209">
        <v>2.6866858463519372</v>
      </c>
      <c r="I432" s="209">
        <v>2.7123947064406138</v>
      </c>
      <c r="J432" s="209">
        <v>4.3958474485751804</v>
      </c>
      <c r="K432" s="209">
        <v>7.8337206396019923</v>
      </c>
      <c r="L432" s="202">
        <v>8.8471504055191694</v>
      </c>
      <c r="M432" s="208">
        <v>11.405322052478029</v>
      </c>
      <c r="N432" s="209">
        <v>7.6796442782466041</v>
      </c>
      <c r="O432" s="209">
        <v>19.329259855541103</v>
      </c>
      <c r="P432" s="209">
        <v>14.892600009954061</v>
      </c>
      <c r="Q432" s="209">
        <v>12.058911977068016</v>
      </c>
      <c r="R432" s="209">
        <v>11.753319885219186</v>
      </c>
      <c r="S432" s="209">
        <v>12.639120151278023</v>
      </c>
      <c r="T432" s="209">
        <v>10.362009329221703</v>
      </c>
      <c r="U432" s="209">
        <v>13.840398226838936</v>
      </c>
      <c r="V432" s="209">
        <v>10.132740966090893</v>
      </c>
      <c r="W432" s="209">
        <v>8.844010353628752</v>
      </c>
      <c r="X432" s="202">
        <v>9.9260808440445718</v>
      </c>
      <c r="Y432" s="208">
        <v>4.5513133702539443</v>
      </c>
      <c r="Z432" s="209">
        <v>2.2986823323751646</v>
      </c>
      <c r="AA432" s="209">
        <v>12.470294675199087</v>
      </c>
      <c r="AB432" s="209">
        <v>9.6110470586676247</v>
      </c>
      <c r="AC432" s="209">
        <v>5.5003348190675903</v>
      </c>
      <c r="AD432" s="202">
        <v>4.1672887415519311</v>
      </c>
      <c r="AE432" s="210" t="s">
        <v>213</v>
      </c>
    </row>
    <row r="433" spans="2:31" ht="12" hidden="1" customHeight="1">
      <c r="B433" s="392">
        <v>42375</v>
      </c>
      <c r="C433" s="208"/>
      <c r="D433" s="209"/>
      <c r="E433" s="209"/>
      <c r="F433" s="209"/>
      <c r="G433" s="209"/>
      <c r="H433" s="209"/>
      <c r="I433" s="209"/>
      <c r="J433" s="209"/>
      <c r="K433" s="209"/>
      <c r="L433" s="202"/>
      <c r="M433" s="208"/>
      <c r="N433" s="209"/>
      <c r="O433" s="209"/>
      <c r="P433" s="209"/>
      <c r="Q433" s="209"/>
      <c r="R433" s="209"/>
      <c r="S433" s="209"/>
      <c r="T433" s="209"/>
      <c r="U433" s="209"/>
      <c r="V433" s="209"/>
      <c r="W433" s="209"/>
      <c r="X433" s="202"/>
      <c r="Y433" s="208"/>
      <c r="Z433" s="209"/>
      <c r="AA433" s="209"/>
      <c r="AB433" s="209"/>
      <c r="AC433" s="209"/>
      <c r="AD433" s="202"/>
      <c r="AE433" s="397">
        <v>42375</v>
      </c>
    </row>
    <row r="434" spans="2:31" ht="12" hidden="1" customHeight="1">
      <c r="B434" s="391" t="s">
        <v>187</v>
      </c>
      <c r="C434" s="208">
        <v>7.7787056990116357</v>
      </c>
      <c r="D434" s="209">
        <v>5.4913707859508101</v>
      </c>
      <c r="E434" s="209">
        <v>8.9532688197881569</v>
      </c>
      <c r="F434" s="209">
        <v>9.7717833893026604</v>
      </c>
      <c r="G434" s="209">
        <v>5.6858722538786708</v>
      </c>
      <c r="H434" s="209">
        <v>13.353334770604866</v>
      </c>
      <c r="I434" s="209">
        <v>7.5065248475020132</v>
      </c>
      <c r="J434" s="209">
        <v>8.1329879747116198</v>
      </c>
      <c r="K434" s="209">
        <v>7.4814913457121373</v>
      </c>
      <c r="L434" s="202">
        <v>9.9602492421461299</v>
      </c>
      <c r="M434" s="208">
        <v>12.431248436857066</v>
      </c>
      <c r="N434" s="209">
        <v>8.2766571349243883</v>
      </c>
      <c r="O434" s="209">
        <v>16.720979725017443</v>
      </c>
      <c r="P434" s="209">
        <v>14.794130550684709</v>
      </c>
      <c r="Q434" s="209">
        <v>11.502632673512656</v>
      </c>
      <c r="R434" s="209">
        <v>16.25289139058718</v>
      </c>
      <c r="S434" s="209">
        <v>13.755968549991893</v>
      </c>
      <c r="T434" s="209">
        <v>16.360906657019314</v>
      </c>
      <c r="U434" s="209">
        <v>15.730767646701297</v>
      </c>
      <c r="V434" s="209">
        <v>10.808585990676367</v>
      </c>
      <c r="W434" s="209">
        <v>7.1382985177734586</v>
      </c>
      <c r="X434" s="202">
        <v>7.3535431986420337</v>
      </c>
      <c r="Y434" s="208">
        <v>4.639443797427</v>
      </c>
      <c r="Z434" s="209">
        <v>1.3580521016725353</v>
      </c>
      <c r="AA434" s="209">
        <v>8.9498806682577605</v>
      </c>
      <c r="AB434" s="209">
        <v>8.6909162845756498</v>
      </c>
      <c r="AC434" s="209">
        <v>6.5118220134836999</v>
      </c>
      <c r="AD434" s="202">
        <v>1.25440610104862</v>
      </c>
      <c r="AE434" s="210" t="s">
        <v>356</v>
      </c>
    </row>
    <row r="435" spans="2:31" ht="12" hidden="1" customHeight="1">
      <c r="B435" s="391" t="s">
        <v>357</v>
      </c>
      <c r="C435" s="208">
        <v>5.418083950833755</v>
      </c>
      <c r="D435" s="209">
        <v>3.1692924876830237</v>
      </c>
      <c r="E435" s="209">
        <v>6.9408055553740384</v>
      </c>
      <c r="F435" s="209">
        <v>2.4303380635045109</v>
      </c>
      <c r="G435" s="209">
        <v>5.1729573997426082</v>
      </c>
      <c r="H435" s="209">
        <v>2.677458768572119</v>
      </c>
      <c r="I435" s="209">
        <v>1.9394033223687928</v>
      </c>
      <c r="J435" s="209">
        <v>3.9861056740686873</v>
      </c>
      <c r="K435" s="209">
        <v>7.6216543792043874</v>
      </c>
      <c r="L435" s="202">
        <v>9.1877321362774715</v>
      </c>
      <c r="M435" s="208">
        <v>10.186180120543163</v>
      </c>
      <c r="N435" s="209">
        <v>5.7335590509677852</v>
      </c>
      <c r="O435" s="209">
        <v>19.304942726601233</v>
      </c>
      <c r="P435" s="209">
        <v>4.2891231727497114</v>
      </c>
      <c r="Q435" s="209">
        <v>9.478899538389733</v>
      </c>
      <c r="R435" s="209">
        <v>5.634734508087007</v>
      </c>
      <c r="S435" s="209">
        <v>3.8081193804896873</v>
      </c>
      <c r="T435" s="209">
        <v>8.9671191659083842</v>
      </c>
      <c r="U435" s="209">
        <v>13.463357208219044</v>
      </c>
      <c r="V435" s="209">
        <v>9.2269206402271902</v>
      </c>
      <c r="W435" s="209">
        <v>8.414359139511161</v>
      </c>
      <c r="X435" s="202">
        <v>9.7493904802152667</v>
      </c>
      <c r="Y435" s="208">
        <v>4.4906427477746416</v>
      </c>
      <c r="Z435" s="209">
        <v>2.0498981980090782</v>
      </c>
      <c r="AA435" s="209">
        <v>11.4345543669051</v>
      </c>
      <c r="AB435" s="209">
        <v>9.6350785269793615</v>
      </c>
      <c r="AC435" s="209">
        <v>5.4062670620130939</v>
      </c>
      <c r="AD435" s="202">
        <v>4.2456166630524761</v>
      </c>
      <c r="AE435" s="210" t="s">
        <v>213</v>
      </c>
    </row>
    <row r="436" spans="2:31" ht="12" hidden="1" customHeight="1">
      <c r="B436" s="392">
        <v>42376</v>
      </c>
      <c r="C436" s="208"/>
      <c r="D436" s="209"/>
      <c r="E436" s="209"/>
      <c r="F436" s="209"/>
      <c r="G436" s="209"/>
      <c r="H436" s="209"/>
      <c r="I436" s="209"/>
      <c r="J436" s="209"/>
      <c r="K436" s="209"/>
      <c r="L436" s="202"/>
      <c r="M436" s="208"/>
      <c r="N436" s="209"/>
      <c r="O436" s="209"/>
      <c r="P436" s="209"/>
      <c r="Q436" s="209"/>
      <c r="R436" s="209"/>
      <c r="S436" s="209"/>
      <c r="T436" s="209"/>
      <c r="U436" s="209"/>
      <c r="V436" s="209"/>
      <c r="W436" s="209"/>
      <c r="X436" s="202"/>
      <c r="Y436" s="208"/>
      <c r="Z436" s="209"/>
      <c r="AA436" s="209"/>
      <c r="AB436" s="209"/>
      <c r="AC436" s="209"/>
      <c r="AD436" s="202"/>
      <c r="AE436" s="397">
        <v>42376</v>
      </c>
    </row>
    <row r="437" spans="2:31" ht="12" hidden="1" customHeight="1">
      <c r="B437" s="391" t="s">
        <v>187</v>
      </c>
      <c r="C437" s="208">
        <v>7.8536464776653778</v>
      </c>
      <c r="D437" s="209">
        <v>5.570345703683298</v>
      </c>
      <c r="E437" s="209">
        <v>9.0441524568560432</v>
      </c>
      <c r="F437" s="209">
        <v>9.6314559116572447</v>
      </c>
      <c r="G437" s="209">
        <v>5.632650914009008</v>
      </c>
      <c r="H437" s="209">
        <v>13.71371810866991</v>
      </c>
      <c r="I437" s="209">
        <v>8.0197053879500988</v>
      </c>
      <c r="J437" s="209">
        <v>8.2746832022393875</v>
      </c>
      <c r="K437" s="209">
        <v>7.5007453617235829</v>
      </c>
      <c r="L437" s="202">
        <v>9.9291734820975996</v>
      </c>
      <c r="M437" s="208">
        <v>12.528858752502991</v>
      </c>
      <c r="N437" s="209">
        <v>8.5024571265920788</v>
      </c>
      <c r="O437" s="209">
        <v>16.584618509422768</v>
      </c>
      <c r="P437" s="209">
        <v>14.643580755174501</v>
      </c>
      <c r="Q437" s="209">
        <v>12.455579719435134</v>
      </c>
      <c r="R437" s="209">
        <v>14.195950711407342</v>
      </c>
      <c r="S437" s="209">
        <v>14.374646733728834</v>
      </c>
      <c r="T437" s="209">
        <v>16.252720591094182</v>
      </c>
      <c r="U437" s="209">
        <v>16.249004653684814</v>
      </c>
      <c r="V437" s="209">
        <v>10.834342060225408</v>
      </c>
      <c r="W437" s="209">
        <v>7.0433065045091325</v>
      </c>
      <c r="X437" s="202">
        <v>7.5116366685108327</v>
      </c>
      <c r="Y437" s="208">
        <v>4.301152189109108</v>
      </c>
      <c r="Z437" s="209">
        <v>1.3333240305317946</v>
      </c>
      <c r="AA437" s="209">
        <v>7.8</v>
      </c>
      <c r="AB437" s="209">
        <v>8.6909162845756498</v>
      </c>
      <c r="AC437" s="209">
        <v>6.3776730587198296</v>
      </c>
      <c r="AD437" s="202">
        <v>1.25440610104862</v>
      </c>
      <c r="AE437" s="210" t="s">
        <v>356</v>
      </c>
    </row>
    <row r="438" spans="2:31" ht="12" hidden="1" customHeight="1">
      <c r="B438" s="391" t="s">
        <v>357</v>
      </c>
      <c r="C438" s="208">
        <v>5.4243543360049298</v>
      </c>
      <c r="D438" s="209">
        <v>3.4979404745448477</v>
      </c>
      <c r="E438" s="209">
        <v>6.7295003183593227</v>
      </c>
      <c r="F438" s="209">
        <v>2.0451574616020025</v>
      </c>
      <c r="G438" s="209">
        <v>5.1601459984067066</v>
      </c>
      <c r="H438" s="209">
        <v>2.4979973846771948</v>
      </c>
      <c r="I438" s="209">
        <v>2.0610321277046384</v>
      </c>
      <c r="J438" s="209">
        <v>4.1171825532472353</v>
      </c>
      <c r="K438" s="209">
        <v>7.4155641121494122</v>
      </c>
      <c r="L438" s="202">
        <v>9.0801229200021876</v>
      </c>
      <c r="M438" s="208">
        <v>9.8082447499579981</v>
      </c>
      <c r="N438" s="209">
        <v>5.5018113538743751</v>
      </c>
      <c r="O438" s="209">
        <v>19.071750154214435</v>
      </c>
      <c r="P438" s="209">
        <v>4.5339029322138726</v>
      </c>
      <c r="Q438" s="209">
        <v>9.1031170176875058</v>
      </c>
      <c r="R438" s="209">
        <v>4.9309574568081409</v>
      </c>
      <c r="S438" s="209">
        <v>3.3925280246519409</v>
      </c>
      <c r="T438" s="209">
        <v>8.4758460868041929</v>
      </c>
      <c r="U438" s="209">
        <v>13.190943627741131</v>
      </c>
      <c r="V438" s="209">
        <v>8.9946656426027563</v>
      </c>
      <c r="W438" s="209">
        <v>8.4261957150078413</v>
      </c>
      <c r="X438" s="202">
        <v>9.52909052438463</v>
      </c>
      <c r="Y438" s="208">
        <v>4.3423832249306198</v>
      </c>
      <c r="Z438" s="209">
        <v>1.8582893537294063</v>
      </c>
      <c r="AA438" s="209">
        <v>14.574820713095502</v>
      </c>
      <c r="AB438" s="209">
        <v>9.6381866590099676</v>
      </c>
      <c r="AC438" s="209">
        <v>4.7751713784129901</v>
      </c>
      <c r="AD438" s="202">
        <v>4.2475596571029772</v>
      </c>
      <c r="AE438" s="210" t="s">
        <v>213</v>
      </c>
    </row>
    <row r="439" spans="2:31" ht="12" hidden="1" customHeight="1">
      <c r="B439" s="392">
        <v>42377</v>
      </c>
      <c r="C439" s="208"/>
      <c r="D439" s="209"/>
      <c r="E439" s="209"/>
      <c r="F439" s="209"/>
      <c r="G439" s="209"/>
      <c r="H439" s="209"/>
      <c r="I439" s="209"/>
      <c r="J439" s="209"/>
      <c r="K439" s="209"/>
      <c r="L439" s="202"/>
      <c r="M439" s="208"/>
      <c r="N439" s="209"/>
      <c r="O439" s="209"/>
      <c r="P439" s="209"/>
      <c r="Q439" s="209"/>
      <c r="R439" s="209"/>
      <c r="S439" s="209"/>
      <c r="T439" s="209"/>
      <c r="U439" s="209"/>
      <c r="V439" s="209"/>
      <c r="W439" s="209"/>
      <c r="X439" s="202"/>
      <c r="Y439" s="208"/>
      <c r="Z439" s="209"/>
      <c r="AA439" s="209"/>
      <c r="AB439" s="209"/>
      <c r="AC439" s="209"/>
      <c r="AD439" s="202"/>
      <c r="AE439" s="397">
        <v>42377</v>
      </c>
    </row>
    <row r="440" spans="2:31" ht="12" hidden="1" customHeight="1">
      <c r="B440" s="391" t="s">
        <v>187</v>
      </c>
      <c r="C440" s="208">
        <v>7.7131825668223613</v>
      </c>
      <c r="D440" s="209">
        <v>5.6320547515802195</v>
      </c>
      <c r="E440" s="209">
        <v>8.8421775694834501</v>
      </c>
      <c r="F440" s="209">
        <v>9.3103728294177728</v>
      </c>
      <c r="G440" s="209">
        <v>5.2939634797541064</v>
      </c>
      <c r="H440" s="209">
        <v>13.322163346909106</v>
      </c>
      <c r="I440" s="209">
        <v>7.7621141510052718</v>
      </c>
      <c r="J440" s="209">
        <v>8.1941220472450489</v>
      </c>
      <c r="K440" s="209">
        <v>7.3886743663493668</v>
      </c>
      <c r="L440" s="202">
        <v>8.8642405114770142</v>
      </c>
      <c r="M440" s="208">
        <v>12.371364974218517</v>
      </c>
      <c r="N440" s="209">
        <v>8.1456911307506026</v>
      </c>
      <c r="O440" s="209">
        <v>16.71341546256745</v>
      </c>
      <c r="P440" s="209">
        <v>14.878851015511703</v>
      </c>
      <c r="Q440" s="209">
        <v>11.321781527490717</v>
      </c>
      <c r="R440" s="209">
        <v>13.923449729277397</v>
      </c>
      <c r="S440" s="209">
        <v>14.069043681806342</v>
      </c>
      <c r="T440" s="209">
        <v>15.979702176778995</v>
      </c>
      <c r="U440" s="209">
        <v>16.691243721576228</v>
      </c>
      <c r="V440" s="209">
        <v>11.29492671075676</v>
      </c>
      <c r="W440" s="209">
        <v>6.8582941849945165</v>
      </c>
      <c r="X440" s="202">
        <v>7.7636064560457783</v>
      </c>
      <c r="Y440" s="208">
        <v>5.9005480072219294</v>
      </c>
      <c r="Z440" s="209">
        <v>1.4717586548594619</v>
      </c>
      <c r="AA440" s="209">
        <v>7.53</v>
      </c>
      <c r="AB440" s="209">
        <v>7.6076028398491102</v>
      </c>
      <c r="AC440" s="209">
        <v>6.8981355225530798</v>
      </c>
      <c r="AD440" s="202">
        <v>5.1216372581174197</v>
      </c>
      <c r="AE440" s="210" t="s">
        <v>356</v>
      </c>
    </row>
    <row r="441" spans="2:31" ht="12" hidden="1" customHeight="1">
      <c r="B441" s="391" t="s">
        <v>357</v>
      </c>
      <c r="C441" s="208">
        <v>5.1444265421016926</v>
      </c>
      <c r="D441" s="209">
        <v>3.4693955936369001</v>
      </c>
      <c r="E441" s="209">
        <v>6.3265743362772895</v>
      </c>
      <c r="F441" s="209">
        <v>2.026441771179937</v>
      </c>
      <c r="G441" s="209">
        <v>2.5834326992350247</v>
      </c>
      <c r="H441" s="209">
        <v>2.3973779166514437</v>
      </c>
      <c r="I441" s="209">
        <v>1.8032872261428459</v>
      </c>
      <c r="J441" s="209">
        <v>3.9243393910800086</v>
      </c>
      <c r="K441" s="209">
        <v>7.0385621355243755</v>
      </c>
      <c r="L441" s="202">
        <v>8.5967596155736761</v>
      </c>
      <c r="M441" s="208">
        <v>10.303627848739415</v>
      </c>
      <c r="N441" s="209">
        <v>6.2529041776221428</v>
      </c>
      <c r="O441" s="209">
        <v>18.771337108861051</v>
      </c>
      <c r="P441" s="209">
        <v>8.7857562810761678</v>
      </c>
      <c r="Q441" s="209">
        <v>9.6907629101211246</v>
      </c>
      <c r="R441" s="209">
        <v>5.0914001309565169</v>
      </c>
      <c r="S441" s="209">
        <v>6.2301346470701082</v>
      </c>
      <c r="T441" s="209">
        <v>8.9843024381338772</v>
      </c>
      <c r="U441" s="209">
        <v>13.10670573236969</v>
      </c>
      <c r="V441" s="209">
        <v>9.9157348292876542</v>
      </c>
      <c r="W441" s="209">
        <v>8.5730231850281395</v>
      </c>
      <c r="X441" s="202">
        <v>9.0603524795454451</v>
      </c>
      <c r="Y441" s="208">
        <v>5.1091155477064261</v>
      </c>
      <c r="Z441" s="209">
        <v>4.0597240907294196</v>
      </c>
      <c r="AA441" s="209">
        <v>17.2445851324673</v>
      </c>
      <c r="AB441" s="209">
        <v>6.5477011464452932</v>
      </c>
      <c r="AC441" s="209">
        <v>5.53921044567889</v>
      </c>
      <c r="AD441" s="202">
        <v>4.2473549991232362</v>
      </c>
      <c r="AE441" s="210" t="s">
        <v>213</v>
      </c>
    </row>
    <row r="442" spans="2:31" ht="26.25" hidden="1" customHeight="1">
      <c r="B442" s="392">
        <v>42378</v>
      </c>
      <c r="C442" s="208"/>
      <c r="D442" s="209"/>
      <c r="E442" s="209"/>
      <c r="F442" s="209"/>
      <c r="G442" s="209"/>
      <c r="H442" s="209"/>
      <c r="I442" s="209"/>
      <c r="J442" s="209"/>
      <c r="K442" s="209"/>
      <c r="L442" s="202"/>
      <c r="M442" s="208"/>
      <c r="N442" s="209"/>
      <c r="O442" s="209"/>
      <c r="P442" s="209"/>
      <c r="Q442" s="209"/>
      <c r="R442" s="209"/>
      <c r="S442" s="209"/>
      <c r="T442" s="209"/>
      <c r="U442" s="209"/>
      <c r="V442" s="209"/>
      <c r="W442" s="209"/>
      <c r="X442" s="202"/>
      <c r="Y442" s="208"/>
      <c r="Z442" s="209"/>
      <c r="AA442" s="209"/>
      <c r="AB442" s="209"/>
      <c r="AC442" s="209"/>
      <c r="AD442" s="202"/>
      <c r="AE442" s="397">
        <v>42378</v>
      </c>
    </row>
    <row r="443" spans="2:31" ht="12" hidden="1" customHeight="1">
      <c r="B443" s="391" t="s">
        <v>187</v>
      </c>
      <c r="C443" s="208">
        <v>8.5487458643917282</v>
      </c>
      <c r="D443" s="209">
        <v>6.1642038287288941</v>
      </c>
      <c r="E443" s="209">
        <v>9.803234665422023</v>
      </c>
      <c r="F443" s="209">
        <v>11.767199324773502</v>
      </c>
      <c r="G443" s="209">
        <v>5.8464197003725191</v>
      </c>
      <c r="H443" s="209">
        <v>12.338199377890774</v>
      </c>
      <c r="I443" s="209">
        <v>9.2046797806188039</v>
      </c>
      <c r="J443" s="209">
        <v>9.3214070248855379</v>
      </c>
      <c r="K443" s="209">
        <v>7.7623095376888127</v>
      </c>
      <c r="L443" s="202">
        <v>8.9568180397190726</v>
      </c>
      <c r="M443" s="208">
        <v>12.281606105064469</v>
      </c>
      <c r="N443" s="209">
        <v>8.1965405483745606</v>
      </c>
      <c r="O443" s="209">
        <v>16.413073857937189</v>
      </c>
      <c r="P443" s="209">
        <v>16.332012481247322</v>
      </c>
      <c r="Q443" s="209">
        <v>10.958989122632136</v>
      </c>
      <c r="R443" s="209">
        <v>13.739690934919583</v>
      </c>
      <c r="S443" s="209">
        <v>14.341032370811902</v>
      </c>
      <c r="T443" s="209">
        <v>15.90552123678154</v>
      </c>
      <c r="U443" s="209">
        <v>16.602274812861168</v>
      </c>
      <c r="V443" s="209">
        <v>11.697775366017643</v>
      </c>
      <c r="W443" s="209">
        <v>6.7081228806513806</v>
      </c>
      <c r="X443" s="202">
        <v>7.3487100213782419</v>
      </c>
      <c r="Y443" s="208">
        <v>5.6532796451905307</v>
      </c>
      <c r="Z443" s="209">
        <v>1.460206619475799</v>
      </c>
      <c r="AA443" s="209">
        <v>6.81</v>
      </c>
      <c r="AB443" s="209">
        <v>2.5721645437585794</v>
      </c>
      <c r="AC443" s="209">
        <v>6.2797344328747107</v>
      </c>
      <c r="AD443" s="202">
        <v>4.8646052631579</v>
      </c>
      <c r="AE443" s="210" t="s">
        <v>356</v>
      </c>
    </row>
    <row r="444" spans="2:31" ht="12" hidden="1" customHeight="1">
      <c r="B444" s="391" t="s">
        <v>357</v>
      </c>
      <c r="C444" s="208">
        <v>4.9749364877635536</v>
      </c>
      <c r="D444" s="209">
        <v>3.3581785508194137</v>
      </c>
      <c r="E444" s="209">
        <v>6.1708415936312697</v>
      </c>
      <c r="F444" s="209">
        <v>4.7270176607920318</v>
      </c>
      <c r="G444" s="209">
        <v>1.4636863980655657</v>
      </c>
      <c r="H444" s="209">
        <v>2.4515219637249812</v>
      </c>
      <c r="I444" s="209">
        <v>2.6250818617911023</v>
      </c>
      <c r="J444" s="209">
        <v>3.7633796639940411</v>
      </c>
      <c r="K444" s="209">
        <v>7.0444289143481109</v>
      </c>
      <c r="L444" s="202">
        <v>8.4470431241100936</v>
      </c>
      <c r="M444" s="208">
        <v>10.205087899591888</v>
      </c>
      <c r="N444" s="209">
        <v>6.1653989003632459</v>
      </c>
      <c r="O444" s="209">
        <v>18.649560677927763</v>
      </c>
      <c r="P444" s="209">
        <v>7.863806676134085</v>
      </c>
      <c r="Q444" s="209">
        <v>9.4657873232681915</v>
      </c>
      <c r="R444" s="209">
        <v>5.1408120740501362</v>
      </c>
      <c r="S444" s="209">
        <v>6.4403833755852826</v>
      </c>
      <c r="T444" s="209">
        <v>8.9345259248342419</v>
      </c>
      <c r="U444" s="209">
        <v>13.405181121945292</v>
      </c>
      <c r="V444" s="209">
        <v>9.5642330202436394</v>
      </c>
      <c r="W444" s="209">
        <v>8.6964505665214027</v>
      </c>
      <c r="X444" s="202">
        <v>8.1234789809653414</v>
      </c>
      <c r="Y444" s="208">
        <v>5.4188749940763721</v>
      </c>
      <c r="Z444" s="209">
        <v>2.9323228231123104</v>
      </c>
      <c r="AA444" s="209">
        <v>17.218537359612398</v>
      </c>
      <c r="AB444" s="209">
        <v>7.4345477158044</v>
      </c>
      <c r="AC444" s="209">
        <v>5.9793324902019398</v>
      </c>
      <c r="AD444" s="202">
        <v>4.7489192122268413</v>
      </c>
      <c r="AE444" s="210" t="s">
        <v>213</v>
      </c>
    </row>
    <row r="445" spans="2:31" ht="12" hidden="1" customHeight="1">
      <c r="B445" s="392">
        <v>42379</v>
      </c>
      <c r="C445" s="208"/>
      <c r="E445" s="209"/>
      <c r="F445" s="209"/>
      <c r="G445" s="209"/>
      <c r="H445" s="209"/>
      <c r="I445" s="209"/>
      <c r="J445" s="209"/>
      <c r="K445" s="209"/>
      <c r="L445" s="202"/>
      <c r="M445" s="208"/>
      <c r="N445" s="209"/>
      <c r="O445" s="209"/>
      <c r="P445" s="209"/>
      <c r="Q445" s="209"/>
      <c r="R445" s="209"/>
      <c r="S445" s="209"/>
      <c r="T445" s="209"/>
      <c r="U445" s="209"/>
      <c r="V445" s="209"/>
      <c r="W445" s="209"/>
      <c r="X445" s="202"/>
      <c r="Y445" s="208"/>
      <c r="Z445" s="209"/>
      <c r="AA445" s="209"/>
      <c r="AB445" s="209"/>
      <c r="AC445" s="209"/>
      <c r="AD445" s="202"/>
      <c r="AE445" s="397">
        <v>42379</v>
      </c>
    </row>
    <row r="446" spans="2:31" ht="12" hidden="1" customHeight="1">
      <c r="B446" s="391" t="s">
        <v>187</v>
      </c>
      <c r="C446" s="208">
        <v>8.7477693921998139</v>
      </c>
      <c r="D446" s="209">
        <v>6.3784857795723751</v>
      </c>
      <c r="E446" s="209">
        <v>9.9388924611118927</v>
      </c>
      <c r="F446" s="209">
        <v>9.5285670893765619</v>
      </c>
      <c r="G446" s="209">
        <v>4.9740770748029171</v>
      </c>
      <c r="H446" s="209">
        <v>11.878570423873137</v>
      </c>
      <c r="I446" s="209">
        <v>7.4655803412726582</v>
      </c>
      <c r="J446" s="209">
        <v>9.8534223197120845</v>
      </c>
      <c r="K446" s="209">
        <v>8.2330596108895655</v>
      </c>
      <c r="L446" s="202">
        <v>9.5039660968760185</v>
      </c>
      <c r="M446" s="208">
        <v>12.420827960656089</v>
      </c>
      <c r="N446" s="209">
        <v>8.3001068005549339</v>
      </c>
      <c r="O446" s="209">
        <v>16.484009035563666</v>
      </c>
      <c r="P446" s="209">
        <v>17.212029394974305</v>
      </c>
      <c r="Q446" s="209">
        <v>10.833115048348901</v>
      </c>
      <c r="R446" s="209">
        <v>14.560173188124995</v>
      </c>
      <c r="S446" s="209">
        <v>13.29547608244923</v>
      </c>
      <c r="T446" s="209">
        <v>16.469428501983923</v>
      </c>
      <c r="U446" s="209">
        <v>16.594790325294039</v>
      </c>
      <c r="V446" s="209">
        <v>11.802201581741427</v>
      </c>
      <c r="W446" s="209">
        <v>6.7484393071467634</v>
      </c>
      <c r="X446" s="202">
        <v>7.417214075856732</v>
      </c>
      <c r="Y446" s="208">
        <v>5.6210032787954995</v>
      </c>
      <c r="Z446" s="209">
        <v>1.4438554372170214</v>
      </c>
      <c r="AA446" s="209">
        <v>5.9</v>
      </c>
      <c r="AB446" s="209">
        <v>13.9831391980258</v>
      </c>
      <c r="AC446" s="209">
        <v>6.2797344328747107</v>
      </c>
      <c r="AD446" s="202">
        <v>4.8646052631579</v>
      </c>
      <c r="AE446" s="210" t="s">
        <v>356</v>
      </c>
    </row>
    <row r="447" spans="2:31" ht="12" hidden="1" customHeight="1">
      <c r="B447" s="391" t="s">
        <v>357</v>
      </c>
      <c r="C447" s="208">
        <v>5.1223333144383014</v>
      </c>
      <c r="D447" s="209">
        <v>3.7723449673879887</v>
      </c>
      <c r="E447" s="209">
        <v>6.015951359562556</v>
      </c>
      <c r="F447" s="209">
        <v>2.3912564621828674</v>
      </c>
      <c r="G447" s="209">
        <v>1.0828626580077991</v>
      </c>
      <c r="H447" s="209">
        <v>2.0600243171636019</v>
      </c>
      <c r="I447" s="209">
        <v>1.634412983263223</v>
      </c>
      <c r="J447" s="209">
        <v>3.9897288097263259</v>
      </c>
      <c r="K447" s="209">
        <v>6.9147575062960485</v>
      </c>
      <c r="L447" s="202">
        <v>8.6598299001298606</v>
      </c>
      <c r="M447" s="208">
        <v>10.096247735903264</v>
      </c>
      <c r="N447" s="209">
        <v>6.0817018275724379</v>
      </c>
      <c r="O447" s="209">
        <v>18.588515633000057</v>
      </c>
      <c r="P447" s="209">
        <v>9.0759662309544371</v>
      </c>
      <c r="Q447" s="209">
        <v>8.4684750690141044</v>
      </c>
      <c r="R447" s="209">
        <v>5.1549674976242379</v>
      </c>
      <c r="S447" s="209">
        <v>6.3391277217599411</v>
      </c>
      <c r="T447" s="209">
        <v>9.3959872559914075</v>
      </c>
      <c r="U447" s="209">
        <v>13.009470814335659</v>
      </c>
      <c r="V447" s="209">
        <v>9.4459295049135594</v>
      </c>
      <c r="W447" s="209">
        <v>8.5959471823715212</v>
      </c>
      <c r="X447" s="202">
        <v>8.1279319053052106</v>
      </c>
      <c r="Y447" s="208">
        <v>5.3599661184697238</v>
      </c>
      <c r="Z447" s="209">
        <v>2.4617354358892571</v>
      </c>
      <c r="AA447" s="209">
        <v>17.218534456474799</v>
      </c>
      <c r="AB447" s="209">
        <v>7.43456207232067</v>
      </c>
      <c r="AC447" s="209">
        <v>6.04474914362833</v>
      </c>
      <c r="AD447" s="202">
        <v>4.7250913892008892</v>
      </c>
      <c r="AE447" s="210" t="s">
        <v>213</v>
      </c>
    </row>
    <row r="448" spans="2:31" ht="12" hidden="1" customHeight="1">
      <c r="B448" s="392">
        <v>42380</v>
      </c>
      <c r="C448" s="208"/>
      <c r="D448" s="209"/>
      <c r="E448" s="209"/>
      <c r="F448" s="209"/>
      <c r="G448" s="209"/>
      <c r="H448" s="209"/>
      <c r="I448" s="209"/>
      <c r="J448" s="209"/>
      <c r="K448" s="209"/>
      <c r="L448" s="202"/>
      <c r="M448" s="208"/>
      <c r="N448" s="209"/>
      <c r="O448" s="209"/>
      <c r="P448" s="209"/>
      <c r="Q448" s="209"/>
      <c r="R448" s="209"/>
      <c r="S448" s="209"/>
      <c r="T448" s="209"/>
      <c r="U448" s="209"/>
      <c r="V448" s="209"/>
      <c r="W448" s="209"/>
      <c r="X448" s="202"/>
      <c r="Y448" s="208"/>
      <c r="Z448" s="209"/>
      <c r="AA448" s="209"/>
      <c r="AB448" s="209"/>
      <c r="AC448" s="209"/>
      <c r="AD448" s="202"/>
      <c r="AE448" s="397">
        <v>42380</v>
      </c>
    </row>
    <row r="449" spans="2:31" ht="12" hidden="1" customHeight="1">
      <c r="B449" s="391" t="s">
        <v>187</v>
      </c>
      <c r="C449" s="208">
        <v>6.3083897763536312</v>
      </c>
      <c r="D449" s="209">
        <v>3.7704495758272989</v>
      </c>
      <c r="E449" s="209">
        <v>10.086352967138801</v>
      </c>
      <c r="F449" s="209">
        <v>11.404373047169589</v>
      </c>
      <c r="G449" s="209">
        <v>5.0807105914861408</v>
      </c>
      <c r="H449" s="209">
        <v>11.617367177416311</v>
      </c>
      <c r="I449" s="209">
        <v>8.6802173220867758</v>
      </c>
      <c r="J449" s="209">
        <v>5.2169079598538</v>
      </c>
      <c r="K449" s="209">
        <v>8.4392299371473758</v>
      </c>
      <c r="L449" s="202">
        <v>10.208179846278645</v>
      </c>
      <c r="M449" s="208">
        <v>12.24245255750518</v>
      </c>
      <c r="N449" s="209">
        <v>8.3266166003200137</v>
      </c>
      <c r="O449" s="209">
        <v>16.2016582127502</v>
      </c>
      <c r="P449" s="209">
        <v>14.702004165635064</v>
      </c>
      <c r="Q449" s="209">
        <v>11.161215920760327</v>
      </c>
      <c r="R449" s="209">
        <v>14.933113134604474</v>
      </c>
      <c r="S449" s="209">
        <v>13.422949469082573</v>
      </c>
      <c r="T449" s="209">
        <v>15.710499106913648</v>
      </c>
      <c r="U449" s="209">
        <v>16.42547379469309</v>
      </c>
      <c r="V449" s="209">
        <v>11.759293517999915</v>
      </c>
      <c r="W449" s="209">
        <v>6.9105804335800576</v>
      </c>
      <c r="X449" s="202">
        <v>7.6428119571016859</v>
      </c>
      <c r="Y449" s="208">
        <v>6.6873983365152156</v>
      </c>
      <c r="Z449" s="223">
        <v>1.4252024851185634</v>
      </c>
      <c r="AA449" s="209">
        <v>17.424312635155999</v>
      </c>
      <c r="AB449" s="209">
        <v>13.983139198025802</v>
      </c>
      <c r="AC449" s="209">
        <v>6.2797344328747107</v>
      </c>
      <c r="AD449" s="202">
        <v>4.767779148467981</v>
      </c>
      <c r="AE449" s="210" t="s">
        <v>356</v>
      </c>
    </row>
    <row r="450" spans="2:31" ht="12" hidden="1" customHeight="1">
      <c r="B450" s="391" t="s">
        <v>357</v>
      </c>
      <c r="C450" s="208">
        <v>4.7203920877170056</v>
      </c>
      <c r="D450" s="209">
        <v>3.1999984603845304</v>
      </c>
      <c r="E450" s="209">
        <v>5.6427160587586167</v>
      </c>
      <c r="F450" s="209">
        <v>2.672403285206792</v>
      </c>
      <c r="G450" s="209">
        <v>1.3264314668089889</v>
      </c>
      <c r="H450" s="209">
        <v>1.7808851505448129</v>
      </c>
      <c r="I450" s="209">
        <v>2.1667818564070678</v>
      </c>
      <c r="J450" s="209">
        <v>3.8670422759930907</v>
      </c>
      <c r="K450" s="209">
        <v>6.6976644379203352</v>
      </c>
      <c r="L450" s="202">
        <v>8.5078565811048303</v>
      </c>
      <c r="M450" s="208">
        <v>9.6299558139759966</v>
      </c>
      <c r="N450" s="209">
        <v>5.7399764262067547</v>
      </c>
      <c r="O450" s="209">
        <v>18.452799920946447</v>
      </c>
      <c r="P450" s="209">
        <v>7.3043921515944286</v>
      </c>
      <c r="Q450" s="209">
        <v>7.8499296166917238</v>
      </c>
      <c r="R450" s="209">
        <v>5.3856012121572601</v>
      </c>
      <c r="S450" s="209">
        <v>3.0411543947701314</v>
      </c>
      <c r="T450" s="209">
        <v>8.3288074156443148</v>
      </c>
      <c r="U450" s="209">
        <v>12.89924602491601</v>
      </c>
      <c r="V450" s="209">
        <v>9.1953342620269591</v>
      </c>
      <c r="W450" s="209">
        <v>8.1611887286894653</v>
      </c>
      <c r="X450" s="202">
        <v>5.1418131588413232</v>
      </c>
      <c r="Y450" s="208">
        <v>5.41794670091969</v>
      </c>
      <c r="Z450" s="209">
        <v>4.2651526519469902</v>
      </c>
      <c r="AA450" s="209">
        <v>17.218542332982402</v>
      </c>
      <c r="AB450" s="209">
        <v>11.5</v>
      </c>
      <c r="AC450" s="209">
        <v>5.7510454850457497</v>
      </c>
      <c r="AD450" s="202">
        <v>4.6959971694463256</v>
      </c>
      <c r="AE450" s="210" t="s">
        <v>213</v>
      </c>
    </row>
    <row r="451" spans="2:31" ht="12" hidden="1" customHeight="1">
      <c r="B451" s="392">
        <v>42381</v>
      </c>
      <c r="C451" s="208"/>
      <c r="D451" s="209"/>
      <c r="E451" s="209"/>
      <c r="F451" s="209"/>
      <c r="G451" s="209"/>
      <c r="H451" s="209"/>
      <c r="I451" s="209"/>
      <c r="J451" s="209"/>
      <c r="K451" s="209"/>
      <c r="L451" s="202"/>
      <c r="M451" s="208"/>
      <c r="N451" s="209"/>
      <c r="O451" s="209"/>
      <c r="P451" s="209"/>
      <c r="Q451" s="209"/>
      <c r="R451" s="209"/>
      <c r="S451" s="209"/>
      <c r="T451" s="209"/>
      <c r="U451" s="209"/>
      <c r="V451" s="209"/>
      <c r="W451" s="209"/>
      <c r="X451" s="202"/>
      <c r="Y451" s="208"/>
      <c r="Z451" s="209"/>
      <c r="AA451" s="209"/>
      <c r="AB451" s="209"/>
      <c r="AC451" s="209"/>
      <c r="AD451" s="202"/>
      <c r="AE451" s="397">
        <v>42381</v>
      </c>
    </row>
    <row r="452" spans="2:31" ht="12" hidden="1" customHeight="1">
      <c r="B452" s="391" t="s">
        <v>187</v>
      </c>
      <c r="C452" s="208">
        <v>6.3565334326834355</v>
      </c>
      <c r="D452" s="209">
        <v>3.7943101049297603</v>
      </c>
      <c r="E452" s="209">
        <v>10.178784193448665</v>
      </c>
      <c r="F452" s="209">
        <v>11.688140781707217</v>
      </c>
      <c r="G452" s="209">
        <v>5.0774283060516616</v>
      </c>
      <c r="H452" s="209">
        <v>11.39839769270406</v>
      </c>
      <c r="I452" s="209">
        <v>11.855651868698308</v>
      </c>
      <c r="J452" s="209">
        <v>5.3291849050605204</v>
      </c>
      <c r="K452" s="209">
        <v>8.4108864653713109</v>
      </c>
      <c r="L452" s="202">
        <v>9.4689509851204789</v>
      </c>
      <c r="M452" s="208">
        <v>12.177118423039293</v>
      </c>
      <c r="N452" s="209">
        <v>8.364858814733088</v>
      </c>
      <c r="O452" s="209">
        <v>16.072758654657974</v>
      </c>
      <c r="P452" s="209">
        <v>15.140463838130094</v>
      </c>
      <c r="Q452" s="209">
        <v>10.299510464100738</v>
      </c>
      <c r="R452" s="209">
        <v>15.126997943837216</v>
      </c>
      <c r="S452" s="209">
        <v>15.567507808783256</v>
      </c>
      <c r="T452" s="209">
        <v>15.598704237913761</v>
      </c>
      <c r="U452" s="209">
        <v>16.466176777056713</v>
      </c>
      <c r="V452" s="209">
        <v>11.651393353857348</v>
      </c>
      <c r="W452" s="209">
        <v>6.7175664109533839</v>
      </c>
      <c r="X452" s="202">
        <v>7.7219562839409539</v>
      </c>
      <c r="Y452" s="208">
        <v>7.778842885147168</v>
      </c>
      <c r="Z452" s="209">
        <v>1.4017544433897415</v>
      </c>
      <c r="AA452" s="209">
        <v>17.424312635155999</v>
      </c>
      <c r="AB452" s="209">
        <v>13.594071627354301</v>
      </c>
      <c r="AC452" s="209">
        <v>6.2797344328747107</v>
      </c>
      <c r="AD452" s="202">
        <v>8.9114957134627808</v>
      </c>
      <c r="AE452" s="210" t="s">
        <v>356</v>
      </c>
    </row>
    <row r="453" spans="2:31" ht="12" hidden="1" customHeight="1">
      <c r="B453" s="391" t="s">
        <v>357</v>
      </c>
      <c r="C453" s="208">
        <v>4.6752075996117286</v>
      </c>
      <c r="D453" s="209">
        <v>3.2000024818375503</v>
      </c>
      <c r="E453" s="209">
        <v>5.595330670812884</v>
      </c>
      <c r="F453" s="209">
        <v>3.4408928633970386</v>
      </c>
      <c r="G453" s="209">
        <v>1.3719880452702409</v>
      </c>
      <c r="H453" s="209">
        <v>1.7363734736643963</v>
      </c>
      <c r="I453" s="209">
        <v>2.5175955851908118</v>
      </c>
      <c r="J453" s="209">
        <v>3.7989964994600212</v>
      </c>
      <c r="K453" s="209">
        <v>6.9974294742067231</v>
      </c>
      <c r="L453" s="202">
        <v>8.2863815665661811</v>
      </c>
      <c r="M453" s="208">
        <v>9.1579183901890833</v>
      </c>
      <c r="N453" s="209">
        <v>5.7149061364184366</v>
      </c>
      <c r="O453" s="209">
        <v>17.302419362597636</v>
      </c>
      <c r="P453" s="209">
        <v>9.6098246246015488</v>
      </c>
      <c r="Q453" s="209">
        <v>7.9799632041257098</v>
      </c>
      <c r="R453" s="209">
        <v>7.8085951549369081</v>
      </c>
      <c r="S453" s="209">
        <v>3.0584438088922759</v>
      </c>
      <c r="T453" s="209">
        <v>6.9032014389155902</v>
      </c>
      <c r="U453" s="209">
        <v>13.303190366721465</v>
      </c>
      <c r="V453" s="209">
        <v>8.2541321499821443</v>
      </c>
      <c r="W453" s="209">
        <v>7.6788425849105879</v>
      </c>
      <c r="X453" s="202">
        <v>4.8319656022554298</v>
      </c>
      <c r="Y453" s="208">
        <v>5.4350029989902113</v>
      </c>
      <c r="Z453" s="209">
        <v>4.2234810147180086</v>
      </c>
      <c r="AA453" s="209">
        <v>16.537084591198902</v>
      </c>
      <c r="AB453" s="209">
        <v>10.4109011762527</v>
      </c>
      <c r="AC453" s="209">
        <v>5.7024854670844807</v>
      </c>
      <c r="AD453" s="202">
        <v>4.7104080266050863</v>
      </c>
      <c r="AE453" s="210" t="s">
        <v>213</v>
      </c>
    </row>
    <row r="454" spans="2:31" ht="12" customHeight="1">
      <c r="B454" s="392">
        <v>42736</v>
      </c>
      <c r="C454" s="208"/>
      <c r="D454" s="209"/>
      <c r="E454" s="209"/>
      <c r="F454" s="209"/>
      <c r="G454" s="209"/>
      <c r="H454" s="209"/>
      <c r="I454" s="209"/>
      <c r="J454" s="209"/>
      <c r="K454" s="209"/>
      <c r="L454" s="202"/>
      <c r="M454" s="208"/>
      <c r="N454" s="209"/>
      <c r="O454" s="209"/>
      <c r="P454" s="209"/>
      <c r="Q454" s="209"/>
      <c r="R454" s="209"/>
      <c r="S454" s="209"/>
      <c r="T454" s="209"/>
      <c r="U454" s="209"/>
      <c r="V454" s="209"/>
      <c r="W454" s="209"/>
      <c r="X454" s="202"/>
      <c r="Y454" s="208"/>
      <c r="Z454" s="209"/>
      <c r="AA454" s="209"/>
      <c r="AB454" s="209"/>
      <c r="AC454" s="209"/>
      <c r="AD454" s="202"/>
      <c r="AE454" s="397">
        <v>42736</v>
      </c>
    </row>
    <row r="455" spans="2:31" ht="12" customHeight="1">
      <c r="B455" s="391" t="s">
        <v>187</v>
      </c>
      <c r="C455" s="208">
        <v>6.5023868172007351</v>
      </c>
      <c r="D455" s="209">
        <v>3.9104297432175263</v>
      </c>
      <c r="E455" s="209">
        <v>10.314322112643243</v>
      </c>
      <c r="F455" s="209">
        <v>11.153546377183979</v>
      </c>
      <c r="G455" s="209">
        <v>10.647914570215512</v>
      </c>
      <c r="H455" s="209">
        <v>11.468189900394753</v>
      </c>
      <c r="I455" s="209">
        <v>12.115054945572346</v>
      </c>
      <c r="J455" s="209">
        <v>5.5266378857597571</v>
      </c>
      <c r="K455" s="209">
        <v>8.3978283794328323</v>
      </c>
      <c r="L455" s="202">
        <v>9.4812126043880944</v>
      </c>
      <c r="M455" s="208">
        <v>12.048431932291406</v>
      </c>
      <c r="N455" s="209">
        <v>8.5538532301999499</v>
      </c>
      <c r="O455" s="209">
        <v>15.708811028585986</v>
      </c>
      <c r="P455" s="209">
        <v>13.394058409602319</v>
      </c>
      <c r="Q455" s="209">
        <v>14.96690702626185</v>
      </c>
      <c r="R455" s="209">
        <v>15.741056396599511</v>
      </c>
      <c r="S455" s="209">
        <v>16.80097950967043</v>
      </c>
      <c r="T455" s="209">
        <v>15.740122909218083</v>
      </c>
      <c r="U455" s="209">
        <v>16.180972333304037</v>
      </c>
      <c r="V455" s="209">
        <v>11.533134259049598</v>
      </c>
      <c r="W455" s="209">
        <v>6.7789323334650993</v>
      </c>
      <c r="X455" s="202">
        <v>7.4937943486610337</v>
      </c>
      <c r="Y455" s="208">
        <v>10.860672641707177</v>
      </c>
      <c r="Z455" s="209">
        <v>1.730184660559565</v>
      </c>
      <c r="AA455" s="209">
        <v>20.622394610237599</v>
      </c>
      <c r="AB455" s="209">
        <v>16.924696674562199</v>
      </c>
      <c r="AC455" s="209">
        <v>8.734515152507651</v>
      </c>
      <c r="AD455" s="202">
        <v>8.9370805328708105</v>
      </c>
      <c r="AE455" s="210" t="s">
        <v>356</v>
      </c>
    </row>
    <row r="456" spans="2:31" ht="12" customHeight="1">
      <c r="B456" s="391" t="s">
        <v>357</v>
      </c>
      <c r="C456" s="208">
        <v>4.6575166249814339</v>
      </c>
      <c r="D456" s="209">
        <v>3.3383061693595559</v>
      </c>
      <c r="E456" s="209">
        <v>5.4447996540986772</v>
      </c>
      <c r="F456" s="209">
        <v>2.3451931661698167</v>
      </c>
      <c r="G456" s="209">
        <v>2.5772390573501878</v>
      </c>
      <c r="H456" s="209">
        <v>2.3729258298072238</v>
      </c>
      <c r="I456" s="209">
        <v>2.5183107395992099</v>
      </c>
      <c r="J456" s="209">
        <v>3.9395645591607851</v>
      </c>
      <c r="K456" s="209">
        <v>6.1496849971792011</v>
      </c>
      <c r="L456" s="202">
        <v>8.1796016549017292</v>
      </c>
      <c r="M456" s="208">
        <v>8.599636937928949</v>
      </c>
      <c r="N456" s="209">
        <v>5.5875144346596475</v>
      </c>
      <c r="O456" s="209">
        <v>16.041203929542881</v>
      </c>
      <c r="P456" s="209">
        <v>9.2814242954333039</v>
      </c>
      <c r="Q456" s="209">
        <v>7.3376564156456263</v>
      </c>
      <c r="R456" s="209">
        <v>7.7220487324275284</v>
      </c>
      <c r="S456" s="209">
        <v>2.7999032854363031</v>
      </c>
      <c r="T456" s="209">
        <v>6.9624689030796256</v>
      </c>
      <c r="U456" s="209">
        <v>12.391452878230538</v>
      </c>
      <c r="V456" s="209">
        <v>7.5765838658553619</v>
      </c>
      <c r="W456" s="209">
        <v>7.621751865999232</v>
      </c>
      <c r="X456" s="202">
        <v>4.7932430403499726</v>
      </c>
      <c r="Y456" s="208">
        <v>5.4242515244904821</v>
      </c>
      <c r="Z456" s="209">
        <v>4.3028251530864301</v>
      </c>
      <c r="AA456" s="209">
        <v>17.218532107028299</v>
      </c>
      <c r="AB456" s="209">
        <v>10.720988851187601</v>
      </c>
      <c r="AC456" s="209">
        <v>5.6038419358970293</v>
      </c>
      <c r="AD456" s="202">
        <v>4.7124931774515817</v>
      </c>
      <c r="AE456" s="210" t="s">
        <v>213</v>
      </c>
    </row>
    <row r="457" spans="2:31" ht="12" hidden="1" customHeight="1">
      <c r="B457" s="392">
        <v>42737</v>
      </c>
      <c r="C457" s="208"/>
      <c r="D457" s="209"/>
      <c r="E457" s="209"/>
      <c r="F457" s="209"/>
      <c r="G457" s="209"/>
      <c r="H457" s="209"/>
      <c r="I457" s="209"/>
      <c r="J457" s="209"/>
      <c r="K457" s="209"/>
      <c r="L457" s="202"/>
      <c r="M457" s="208"/>
      <c r="N457" s="209"/>
      <c r="O457" s="209"/>
      <c r="P457" s="209"/>
      <c r="Q457" s="209"/>
      <c r="R457" s="209"/>
      <c r="S457" s="209"/>
      <c r="T457" s="209"/>
      <c r="U457" s="209"/>
      <c r="V457" s="209"/>
      <c r="W457" s="209"/>
      <c r="X457" s="202"/>
      <c r="Y457" s="208"/>
      <c r="Z457" s="209"/>
      <c r="AA457" s="209"/>
      <c r="AB457" s="209"/>
      <c r="AC457" s="209"/>
      <c r="AD457" s="202"/>
      <c r="AE457" s="397">
        <v>42737</v>
      </c>
    </row>
    <row r="458" spans="2:31" ht="12" hidden="1" customHeight="1">
      <c r="B458" s="391" t="s">
        <v>187</v>
      </c>
      <c r="C458" s="208">
        <v>6.1876238617653527</v>
      </c>
      <c r="D458" s="209">
        <v>3.3715373623214133</v>
      </c>
      <c r="E458" s="209">
        <v>10.216958540404859</v>
      </c>
      <c r="F458" s="209">
        <v>11.903210608373653</v>
      </c>
      <c r="G458" s="209">
        <v>9.5311332770257255</v>
      </c>
      <c r="H458" s="209">
        <v>9.962363236563391</v>
      </c>
      <c r="I458" s="209">
        <v>11.146465430208714</v>
      </c>
      <c r="J458" s="209">
        <v>5.1232967385938162</v>
      </c>
      <c r="K458" s="209">
        <v>8.3767494260231015</v>
      </c>
      <c r="L458" s="202">
        <v>9.4021239963916337</v>
      </c>
      <c r="M458" s="208">
        <v>12.282084805162686</v>
      </c>
      <c r="N458" s="209">
        <v>8.796498087587878</v>
      </c>
      <c r="O458" s="209">
        <v>15.792400341795565</v>
      </c>
      <c r="P458" s="209">
        <v>14.139235570768733</v>
      </c>
      <c r="Q458" s="209">
        <v>17.636845550819039</v>
      </c>
      <c r="R458" s="209">
        <v>15.734972012053969</v>
      </c>
      <c r="S458" s="209">
        <v>16.444432680462373</v>
      </c>
      <c r="T458" s="209">
        <v>15.601481762999647</v>
      </c>
      <c r="U458" s="209">
        <v>16.256461857263211</v>
      </c>
      <c r="V458" s="209">
        <v>11.86665796786381</v>
      </c>
      <c r="W458" s="209">
        <v>6.9709299324874197</v>
      </c>
      <c r="X458" s="202">
        <v>7.4678789273943194</v>
      </c>
      <c r="Y458" s="208">
        <v>10.956121358425721</v>
      </c>
      <c r="Z458" s="209">
        <v>11.700191404210862</v>
      </c>
      <c r="AA458" s="209">
        <v>20.622394610237599</v>
      </c>
      <c r="AB458" s="209">
        <v>16.814524613794099</v>
      </c>
      <c r="AC458" s="209">
        <v>6.2282713089385098</v>
      </c>
      <c r="AD458" s="202">
        <v>10.662133739067201</v>
      </c>
      <c r="AE458" s="210" t="s">
        <v>356</v>
      </c>
    </row>
    <row r="459" spans="2:31" ht="12" hidden="1" customHeight="1">
      <c r="B459" s="391" t="s">
        <v>357</v>
      </c>
      <c r="C459" s="208">
        <v>4.3968435644553985</v>
      </c>
      <c r="D459" s="209">
        <v>3.0502399573772987</v>
      </c>
      <c r="E459" s="209">
        <v>5.2541574637976138</v>
      </c>
      <c r="F459" s="209">
        <v>1.9713064995892309</v>
      </c>
      <c r="G459" s="209">
        <v>0.88392764631336596</v>
      </c>
      <c r="H459" s="209">
        <v>1.3403439646420234</v>
      </c>
      <c r="I459" s="209">
        <v>3.2641342745245732</v>
      </c>
      <c r="J459" s="209">
        <v>3.9237685415364787</v>
      </c>
      <c r="K459" s="209">
        <v>5.7430878382883739</v>
      </c>
      <c r="L459" s="202">
        <v>8.3117303013835482</v>
      </c>
      <c r="M459" s="208">
        <v>8.8992687691551069</v>
      </c>
      <c r="N459" s="209">
        <v>5.7020999000616825</v>
      </c>
      <c r="O459" s="209">
        <v>16.951698717145515</v>
      </c>
      <c r="P459" s="209">
        <v>9.6337266352055462</v>
      </c>
      <c r="Q459" s="209">
        <v>9.6344895321859916</v>
      </c>
      <c r="R459" s="209">
        <v>7.7439830854370744</v>
      </c>
      <c r="S459" s="209">
        <v>2.7867318372792704</v>
      </c>
      <c r="T459" s="209">
        <v>6.6483605425228101</v>
      </c>
      <c r="U459" s="209">
        <v>13.00473533358136</v>
      </c>
      <c r="V459" s="209">
        <v>8.0241696477485185</v>
      </c>
      <c r="W459" s="209">
        <v>7.8029418308084981</v>
      </c>
      <c r="X459" s="202">
        <v>4.7620883296499832</v>
      </c>
      <c r="Y459" s="208">
        <v>9.0086103462322207</v>
      </c>
      <c r="Z459" s="209">
        <v>2.3969511760718221</v>
      </c>
      <c r="AA459" s="209">
        <v>17.2185373702861</v>
      </c>
      <c r="AB459" s="209">
        <v>11.0801445783133</v>
      </c>
      <c r="AC459" s="209">
        <v>6.743183928812166</v>
      </c>
      <c r="AD459" s="202">
        <v>8.3220523994717599</v>
      </c>
      <c r="AE459" s="210" t="s">
        <v>213</v>
      </c>
    </row>
    <row r="460" spans="2:31" ht="12" hidden="1" customHeight="1">
      <c r="B460" s="392">
        <v>42738</v>
      </c>
      <c r="C460" s="208"/>
      <c r="D460" s="209"/>
      <c r="E460" s="209"/>
      <c r="F460" s="209"/>
      <c r="G460" s="209"/>
      <c r="H460" s="209"/>
      <c r="I460" s="209"/>
      <c r="J460" s="209"/>
      <c r="K460" s="209"/>
      <c r="L460" s="202"/>
      <c r="M460" s="208"/>
      <c r="N460" s="209"/>
      <c r="O460" s="209"/>
      <c r="P460" s="209"/>
      <c r="Q460" s="209"/>
      <c r="R460" s="209"/>
      <c r="S460" s="209"/>
      <c r="T460" s="209"/>
      <c r="U460" s="209"/>
      <c r="V460" s="209"/>
      <c r="W460" s="209"/>
      <c r="X460" s="202"/>
      <c r="Y460" s="208"/>
      <c r="Z460" s="209"/>
      <c r="AA460" s="209"/>
      <c r="AB460" s="209"/>
      <c r="AC460" s="209"/>
      <c r="AD460" s="202"/>
      <c r="AE460" s="397">
        <v>42738</v>
      </c>
    </row>
    <row r="461" spans="2:31" ht="12" hidden="1" customHeight="1">
      <c r="B461" s="391" t="s">
        <v>187</v>
      </c>
      <c r="C461" s="208">
        <v>6.611174973984328</v>
      </c>
      <c r="D461" s="209">
        <v>3.8126776820876764</v>
      </c>
      <c r="E461" s="209">
        <v>10.526655082026998</v>
      </c>
      <c r="F461" s="209">
        <v>11.805834851546109</v>
      </c>
      <c r="G461" s="209">
        <v>7.4261738401328232</v>
      </c>
      <c r="H461" s="209">
        <v>10.933366156353468</v>
      </c>
      <c r="I461" s="209">
        <v>12.408990562614239</v>
      </c>
      <c r="J461" s="209">
        <v>5.7555959461004402</v>
      </c>
      <c r="K461" s="209">
        <v>8.0762027901434656</v>
      </c>
      <c r="L461" s="202">
        <v>11.073062148347775</v>
      </c>
      <c r="M461" s="208">
        <v>12.418231200203579</v>
      </c>
      <c r="N461" s="209">
        <v>8.8597670811891618</v>
      </c>
      <c r="O461" s="209">
        <v>15.995021178359961</v>
      </c>
      <c r="P461" s="209">
        <v>15.258609734217817</v>
      </c>
      <c r="Q461" s="209">
        <v>18.470958504166727</v>
      </c>
      <c r="R461" s="209">
        <v>15.719532190919223</v>
      </c>
      <c r="S461" s="209">
        <v>16.679163062221651</v>
      </c>
      <c r="T461" s="209">
        <v>16.45184994091051</v>
      </c>
      <c r="U461" s="209">
        <v>16.420884770443468</v>
      </c>
      <c r="V461" s="209">
        <v>12.077234054841304</v>
      </c>
      <c r="W461" s="209">
        <v>6.9701056191116733</v>
      </c>
      <c r="X461" s="202">
        <v>7.4103906251324823</v>
      </c>
      <c r="Y461" s="208">
        <v>13.371821782821886</v>
      </c>
      <c r="Z461" s="209">
        <v>11.774284121642514</v>
      </c>
      <c r="AA461" s="209">
        <v>20.622394610237599</v>
      </c>
      <c r="AB461" s="209">
        <v>17.6326211458213</v>
      </c>
      <c r="AC461" s="209">
        <v>6.4788121453155503</v>
      </c>
      <c r="AD461" s="202">
        <v>11.397285787706499</v>
      </c>
      <c r="AE461" s="210" t="s">
        <v>356</v>
      </c>
    </row>
    <row r="462" spans="2:31" ht="12" hidden="1" customHeight="1">
      <c r="B462" s="391" t="s">
        <v>357</v>
      </c>
      <c r="C462" s="208">
        <v>4.2239479775957243</v>
      </c>
      <c r="D462" s="209">
        <v>3.0194215797580903</v>
      </c>
      <c r="E462" s="209">
        <v>5.0165855006906739</v>
      </c>
      <c r="F462" s="209">
        <v>1.1979284597788766</v>
      </c>
      <c r="G462" s="209">
        <v>1.399037237423981</v>
      </c>
      <c r="H462" s="209">
        <v>1.0822831053012993</v>
      </c>
      <c r="I462" s="209">
        <v>2.1553855839445388</v>
      </c>
      <c r="J462" s="209">
        <v>3.7503279912288683</v>
      </c>
      <c r="K462" s="209">
        <v>5.4976277537937799</v>
      </c>
      <c r="L462" s="202">
        <v>8.0731201878007077</v>
      </c>
      <c r="M462" s="208">
        <v>8.8137934164512384</v>
      </c>
      <c r="N462" s="209">
        <v>5.6350777572401674</v>
      </c>
      <c r="O462" s="209">
        <v>16.853316550041551</v>
      </c>
      <c r="P462" s="209">
        <v>10.146515424106262</v>
      </c>
      <c r="Q462" s="209">
        <v>9.2454342738982582</v>
      </c>
      <c r="R462" s="209">
        <v>7.8492497294334633</v>
      </c>
      <c r="S462" s="209">
        <v>2.5345545367591473</v>
      </c>
      <c r="T462" s="209">
        <v>6.7081816055193464</v>
      </c>
      <c r="U462" s="209">
        <v>12.86654753277158</v>
      </c>
      <c r="V462" s="209">
        <v>7.9208684310868316</v>
      </c>
      <c r="W462" s="209">
        <v>7.6440746449684793</v>
      </c>
      <c r="X462" s="202">
        <v>4.7499367321524772</v>
      </c>
      <c r="Y462" s="208">
        <v>9.5014722148720789</v>
      </c>
      <c r="Z462" s="209">
        <v>2.5038673082283869</v>
      </c>
      <c r="AA462" s="209">
        <v>17.181237811859702</v>
      </c>
      <c r="AB462" s="209">
        <v>11.1593129361245</v>
      </c>
      <c r="AC462" s="209">
        <v>6.086174332601499</v>
      </c>
      <c r="AD462" s="202">
        <v>12.618383534718101</v>
      </c>
      <c r="AE462" s="210" t="s">
        <v>213</v>
      </c>
    </row>
    <row r="463" spans="2:31" ht="12" hidden="1" customHeight="1">
      <c r="B463" s="392">
        <v>42739</v>
      </c>
      <c r="C463" s="208"/>
      <c r="D463" s="209"/>
      <c r="E463" s="209"/>
      <c r="F463" s="209"/>
      <c r="G463" s="209"/>
      <c r="H463" s="209"/>
      <c r="I463" s="209"/>
      <c r="J463" s="209"/>
      <c r="K463" s="209"/>
      <c r="L463" s="202"/>
      <c r="M463" s="208"/>
      <c r="N463" s="209"/>
      <c r="O463" s="209"/>
      <c r="P463" s="209"/>
      <c r="Q463" s="209"/>
      <c r="R463" s="209"/>
      <c r="S463" s="209"/>
      <c r="T463" s="209"/>
      <c r="U463" s="209"/>
      <c r="V463" s="209"/>
      <c r="W463" s="209"/>
      <c r="X463" s="202"/>
      <c r="Y463" s="208"/>
      <c r="Z463" s="209"/>
      <c r="AA463" s="209"/>
      <c r="AB463" s="209"/>
      <c r="AC463" s="209"/>
      <c r="AD463" s="202"/>
      <c r="AE463" s="397">
        <v>42739</v>
      </c>
    </row>
    <row r="464" spans="2:31" ht="12" hidden="1" customHeight="1">
      <c r="B464" s="391" t="s">
        <v>187</v>
      </c>
      <c r="C464" s="208">
        <v>6.8197604419194455</v>
      </c>
      <c r="D464" s="209">
        <v>3.9740698016689362</v>
      </c>
      <c r="E464" s="209">
        <v>10.809964370250285</v>
      </c>
      <c r="F464" s="209">
        <v>8.7318305378955365</v>
      </c>
      <c r="G464" s="209">
        <v>12.035156505900575</v>
      </c>
      <c r="H464" s="209">
        <v>12.519491276196529</v>
      </c>
      <c r="I464" s="209">
        <v>13.37426994611692</v>
      </c>
      <c r="J464" s="209">
        <v>5.6704971312025307</v>
      </c>
      <c r="K464" s="209">
        <v>8.5090975829454454</v>
      </c>
      <c r="L464" s="202">
        <v>16.118322410123216</v>
      </c>
      <c r="M464" s="208">
        <v>12.312406604682932</v>
      </c>
      <c r="N464" s="209">
        <v>8.7742820941451587</v>
      </c>
      <c r="O464" s="209">
        <v>15.796162701284025</v>
      </c>
      <c r="P464" s="209">
        <v>13.708459542528836</v>
      </c>
      <c r="Q464" s="209">
        <v>18.33638825533885</v>
      </c>
      <c r="R464" s="209">
        <v>16.029873261901724</v>
      </c>
      <c r="S464" s="209">
        <v>12.603050746945874</v>
      </c>
      <c r="T464" s="209">
        <v>15.718012429337488</v>
      </c>
      <c r="U464" s="209">
        <v>16.581854961509055</v>
      </c>
      <c r="V464" s="209">
        <v>11.796237583114436</v>
      </c>
      <c r="W464" s="209">
        <v>7.1594433999525604</v>
      </c>
      <c r="X464" s="202">
        <v>7.3293839931270242</v>
      </c>
      <c r="Y464" s="208">
        <v>12.475447632312395</v>
      </c>
      <c r="Z464" s="209">
        <v>3</v>
      </c>
      <c r="AA464" s="209">
        <v>20.622394610237599</v>
      </c>
      <c r="AB464" s="209">
        <v>18.953092794599399</v>
      </c>
      <c r="AC464" s="209">
        <v>6.1411331304674706</v>
      </c>
      <c r="AD464" s="202">
        <v>11.4263919131358</v>
      </c>
      <c r="AE464" s="210" t="s">
        <v>356</v>
      </c>
    </row>
    <row r="465" spans="2:31" ht="12" hidden="1" customHeight="1">
      <c r="B465" s="391" t="s">
        <v>357</v>
      </c>
      <c r="C465" s="208">
        <v>4.1030224135572135</v>
      </c>
      <c r="D465" s="209">
        <v>2.9425310640630875</v>
      </c>
      <c r="E465" s="209">
        <v>4.8780255815958133</v>
      </c>
      <c r="F465" s="209">
        <v>2.3263826262059797</v>
      </c>
      <c r="G465" s="209">
        <v>0.83435970417122685</v>
      </c>
      <c r="H465" s="209">
        <v>0.88934002466495199</v>
      </c>
      <c r="I465" s="209">
        <v>1.912159811664103</v>
      </c>
      <c r="J465" s="209">
        <v>3.6633240235831135</v>
      </c>
      <c r="K465" s="209">
        <v>5.271459085253678</v>
      </c>
      <c r="L465" s="202">
        <v>8.3544858429879305</v>
      </c>
      <c r="M465" s="208">
        <v>8.687144211443087</v>
      </c>
      <c r="N465" s="209">
        <v>5.5967851604495484</v>
      </c>
      <c r="O465" s="209">
        <v>16.722919864976635</v>
      </c>
      <c r="P465" s="209">
        <v>10.86422928522404</v>
      </c>
      <c r="Q465" s="209">
        <v>8.7808702411955508</v>
      </c>
      <c r="R465" s="209">
        <v>7.777484740639343</v>
      </c>
      <c r="S465" s="209">
        <v>2.3459817088964048</v>
      </c>
      <c r="T465" s="209">
        <v>6.3372715299919919</v>
      </c>
      <c r="U465" s="209">
        <v>12.748941416701889</v>
      </c>
      <c r="V465" s="209">
        <v>7.8436861165822851</v>
      </c>
      <c r="W465" s="209">
        <v>7.6610795619834331</v>
      </c>
      <c r="X465" s="202">
        <v>4.1577722947897051</v>
      </c>
      <c r="Y465" s="208">
        <v>9.4494553446086034</v>
      </c>
      <c r="Z465" s="209">
        <v>2.5424657851167707</v>
      </c>
      <c r="AA465" s="209">
        <v>17.1819394492816</v>
      </c>
      <c r="AB465" s="209">
        <v>11.1595038624742</v>
      </c>
      <c r="AC465" s="209">
        <v>6.085127909677893</v>
      </c>
      <c r="AD465" s="202">
        <v>12.618382944429099</v>
      </c>
      <c r="AE465" s="210" t="s">
        <v>213</v>
      </c>
    </row>
    <row r="466" spans="2:31" ht="12" hidden="1" customHeight="1">
      <c r="B466" s="392">
        <v>42740</v>
      </c>
      <c r="C466" s="208"/>
      <c r="D466" s="209"/>
      <c r="E466" s="209"/>
      <c r="F466" s="209"/>
      <c r="G466" s="209"/>
      <c r="H466" s="209"/>
      <c r="I466" s="209"/>
      <c r="J466" s="209"/>
      <c r="K466" s="209"/>
      <c r="L466" s="202"/>
      <c r="M466" s="208"/>
      <c r="N466" s="209"/>
      <c r="O466" s="209"/>
      <c r="P466" s="209"/>
      <c r="Q466" s="209"/>
      <c r="R466" s="209"/>
      <c r="S466" s="209"/>
      <c r="T466" s="209"/>
      <c r="U466" s="209"/>
      <c r="V466" s="209"/>
      <c r="W466" s="209"/>
      <c r="X466" s="202"/>
      <c r="Y466" s="208"/>
      <c r="Z466" s="209"/>
      <c r="AA466" s="209"/>
      <c r="AB466" s="209"/>
      <c r="AC466" s="209"/>
      <c r="AD466" s="202"/>
      <c r="AE466" s="397">
        <v>42740</v>
      </c>
    </row>
    <row r="467" spans="2:31" ht="12" hidden="1" customHeight="1">
      <c r="B467" s="391" t="s">
        <v>187</v>
      </c>
      <c r="C467" s="208">
        <v>7.0041505000506792</v>
      </c>
      <c r="D467" s="209">
        <v>4.0417661514235093</v>
      </c>
      <c r="E467" s="209">
        <v>11.044817935624556</v>
      </c>
      <c r="F467" s="209">
        <v>8.2956337400505227</v>
      </c>
      <c r="G467" s="209">
        <v>11.852358248875753</v>
      </c>
      <c r="H467" s="209">
        <v>11.188057253894703</v>
      </c>
      <c r="I467" s="209">
        <v>13.26829522489326</v>
      </c>
      <c r="J467" s="209">
        <v>5.7287353871381095</v>
      </c>
      <c r="K467" s="209">
        <v>8.6518810158919539</v>
      </c>
      <c r="L467" s="202">
        <v>9.4766767940508334</v>
      </c>
      <c r="M467" s="208">
        <v>12.257155937105571</v>
      </c>
      <c r="N467" s="209">
        <v>8.7461552325241012</v>
      </c>
      <c r="O467" s="209">
        <v>15.761013736327085</v>
      </c>
      <c r="P467" s="209">
        <v>13.533301025745132</v>
      </c>
      <c r="Q467" s="209">
        <v>13.319886664533168</v>
      </c>
      <c r="R467" s="209">
        <v>16.411038879482348</v>
      </c>
      <c r="S467" s="209">
        <v>12.726080060445618</v>
      </c>
      <c r="T467" s="209">
        <v>15.616948674513553</v>
      </c>
      <c r="U467" s="209">
        <v>16.654197210424091</v>
      </c>
      <c r="V467" s="209">
        <v>11.859589060116736</v>
      </c>
      <c r="W467" s="209">
        <v>7.1168480882683651</v>
      </c>
      <c r="X467" s="202">
        <v>7.4294532712982111</v>
      </c>
      <c r="Y467" s="208">
        <v>11.091475159796293</v>
      </c>
      <c r="Z467" s="209">
        <v>2.9980604857806559</v>
      </c>
      <c r="AA467" s="209">
        <v>20.622394610237599</v>
      </c>
      <c r="AB467" s="209">
        <v>17.5066537769105</v>
      </c>
      <c r="AC467" s="209">
        <v>6.4788121453155503</v>
      </c>
      <c r="AD467" s="202">
        <v>11.3055075891728</v>
      </c>
      <c r="AE467" s="210" t="s">
        <v>356</v>
      </c>
    </row>
    <row r="468" spans="2:31" ht="12" hidden="1" customHeight="1">
      <c r="B468" s="391" t="s">
        <v>357</v>
      </c>
      <c r="C468" s="208">
        <v>3.8833737737847716</v>
      </c>
      <c r="D468" s="209">
        <v>2.9134166091861862</v>
      </c>
      <c r="E468" s="209">
        <v>4.5549049360562126</v>
      </c>
      <c r="F468" s="209">
        <v>2.1941841363989654</v>
      </c>
      <c r="G468" s="209">
        <v>0.77338172197718036</v>
      </c>
      <c r="H468" s="209">
        <v>0.95905086840413079</v>
      </c>
      <c r="I468" s="209">
        <v>1.8989294452827969</v>
      </c>
      <c r="J468" s="209">
        <v>3.5191344876007133</v>
      </c>
      <c r="K468" s="209">
        <v>4.8298218298903173</v>
      </c>
      <c r="L468" s="202">
        <v>8.3079783883649583</v>
      </c>
      <c r="M468" s="208">
        <v>8.4258743309535706</v>
      </c>
      <c r="N468" s="209">
        <v>5.4851843921049994</v>
      </c>
      <c r="O468" s="209">
        <v>16.395867691595136</v>
      </c>
      <c r="P468" s="209">
        <v>10.879240939902916</v>
      </c>
      <c r="Q468" s="209">
        <v>5.1995772446201549</v>
      </c>
      <c r="R468" s="209">
        <v>7.7738750096694771</v>
      </c>
      <c r="S468" s="209">
        <v>2.2071454794595797</v>
      </c>
      <c r="T468" s="209">
        <v>6.1717924204633592</v>
      </c>
      <c r="U468" s="209">
        <v>12.441958906323585</v>
      </c>
      <c r="V468" s="209">
        <v>7.7556569717050579</v>
      </c>
      <c r="W468" s="209">
        <v>7.6322490196025283</v>
      </c>
      <c r="X468" s="202">
        <v>4.1120183771579315</v>
      </c>
      <c r="Y468" s="208">
        <v>9.7440425915983546</v>
      </c>
      <c r="Z468" s="209">
        <v>2.4780360365527021</v>
      </c>
      <c r="AA468" s="209">
        <v>17.189270695207401</v>
      </c>
      <c r="AB468" s="209">
        <v>11.159393939393899</v>
      </c>
      <c r="AC468" s="209">
        <v>5.6357100267179296</v>
      </c>
      <c r="AD468" s="202">
        <v>12.618369626723199</v>
      </c>
      <c r="AE468" s="210" t="s">
        <v>213</v>
      </c>
    </row>
    <row r="469" spans="2:31" ht="12" hidden="1" customHeight="1">
      <c r="B469" s="392">
        <v>42741</v>
      </c>
      <c r="C469" s="208"/>
      <c r="D469" s="209"/>
      <c r="E469" s="209"/>
      <c r="F469" s="209"/>
      <c r="G469" s="209"/>
      <c r="H469" s="209"/>
      <c r="I469" s="209"/>
      <c r="J469" s="209"/>
      <c r="K469" s="209"/>
      <c r="L469" s="202"/>
      <c r="M469" s="208"/>
      <c r="N469" s="209"/>
      <c r="O469" s="209"/>
      <c r="P469" s="209"/>
      <c r="Q469" s="209"/>
      <c r="R469" s="209"/>
      <c r="S469" s="209"/>
      <c r="T469" s="209"/>
      <c r="U469" s="209"/>
      <c r="V469" s="209"/>
      <c r="W469" s="209"/>
      <c r="X469" s="202"/>
      <c r="Y469" s="208"/>
      <c r="Z469" s="209"/>
      <c r="AA469" s="209"/>
      <c r="AB469" s="209"/>
      <c r="AC469" s="209"/>
      <c r="AD469" s="202"/>
      <c r="AE469" s="397">
        <v>42741</v>
      </c>
    </row>
    <row r="470" spans="2:31" ht="12" hidden="1" customHeight="1">
      <c r="B470" s="391" t="s">
        <v>187</v>
      </c>
      <c r="C470" s="208">
        <v>7.1571022631323356</v>
      </c>
      <c r="D470" s="209">
        <v>4.0425608758293201</v>
      </c>
      <c r="E470" s="209">
        <v>11.316739331672723</v>
      </c>
      <c r="F470" s="209">
        <v>9.5277975370521037</v>
      </c>
      <c r="G470" s="209">
        <v>10.311684380892759</v>
      </c>
      <c r="H470" s="209">
        <v>10.536119295067833</v>
      </c>
      <c r="I470" s="209">
        <v>13.291554298269212</v>
      </c>
      <c r="J470" s="209">
        <v>5.854896853923524</v>
      </c>
      <c r="K470" s="209">
        <v>8.7966214835301066</v>
      </c>
      <c r="L470" s="202">
        <v>9.4305240548500855</v>
      </c>
      <c r="M470" s="208">
        <v>12.341069952506954</v>
      </c>
      <c r="N470" s="209">
        <v>8.906541098324098</v>
      </c>
      <c r="O470" s="209">
        <v>15.712964672438309</v>
      </c>
      <c r="P470" s="209">
        <v>13.451976781459733</v>
      </c>
      <c r="Q470" s="209">
        <v>13.392415988933177</v>
      </c>
      <c r="R470" s="209">
        <v>16.54193115738795</v>
      </c>
      <c r="S470" s="209">
        <v>12.535684775418208</v>
      </c>
      <c r="T470" s="209">
        <v>15.911866008335608</v>
      </c>
      <c r="U470" s="209">
        <v>17.000156835118773</v>
      </c>
      <c r="V470" s="209">
        <v>11.976821342128567</v>
      </c>
      <c r="W470" s="209">
        <v>7.1590120753786497</v>
      </c>
      <c r="X470" s="202">
        <v>7.4201645283530988</v>
      </c>
      <c r="Y470" s="208">
        <v>11.171539890054671</v>
      </c>
      <c r="Z470" s="209">
        <v>3</v>
      </c>
      <c r="AA470" s="209">
        <v>20.62</v>
      </c>
      <c r="AB470" s="209">
        <v>17.262429674247102</v>
      </c>
      <c r="AC470" s="209">
        <v>6.4788121453155503</v>
      </c>
      <c r="AD470" s="202">
        <v>11.3187309780456</v>
      </c>
      <c r="AE470" s="210" t="s">
        <v>356</v>
      </c>
    </row>
    <row r="471" spans="2:31" ht="12" hidden="1" customHeight="1">
      <c r="B471" s="391" t="s">
        <v>357</v>
      </c>
      <c r="C471" s="208">
        <v>3.7943590771214413</v>
      </c>
      <c r="D471" s="209">
        <v>2.8734965636281773</v>
      </c>
      <c r="E471" s="209">
        <v>4.4677640030507098</v>
      </c>
      <c r="F471" s="209">
        <v>2.8420986363345322</v>
      </c>
      <c r="G471" s="209">
        <v>0.81832079141909408</v>
      </c>
      <c r="H471" s="209">
        <v>0.91105515307912521</v>
      </c>
      <c r="I471" s="209">
        <v>1.9066853815974127</v>
      </c>
      <c r="J471" s="209">
        <v>3.442996192592704</v>
      </c>
      <c r="K471" s="209">
        <v>4.6679298060732926</v>
      </c>
      <c r="L471" s="202">
        <v>8.1154255907744535</v>
      </c>
      <c r="M471" s="208">
        <v>8.8794381903356037</v>
      </c>
      <c r="N471" s="209">
        <v>5.9228722110585341</v>
      </c>
      <c r="O471" s="209">
        <v>16.081436107261258</v>
      </c>
      <c r="P471" s="209">
        <v>14.028006912748003</v>
      </c>
      <c r="Q471" s="209">
        <v>5.6553783572585719</v>
      </c>
      <c r="R471" s="209">
        <v>8.4116469720556655</v>
      </c>
      <c r="S471" s="209">
        <v>4.1834321822948706</v>
      </c>
      <c r="T471" s="209">
        <v>6.9389173546900276</v>
      </c>
      <c r="U471" s="209">
        <v>12.497242864461205</v>
      </c>
      <c r="V471" s="209">
        <v>7.8832315466564813</v>
      </c>
      <c r="W471" s="209">
        <v>7.3945334887932646</v>
      </c>
      <c r="X471" s="202">
        <v>5.9824633093214903</v>
      </c>
      <c r="Y471" s="208">
        <v>9.5383813600454097</v>
      </c>
      <c r="Z471" s="209">
        <v>2.5940645290240569</v>
      </c>
      <c r="AA471" s="209">
        <v>17.2183552359825</v>
      </c>
      <c r="AB471" s="209">
        <v>7.4494163887565499</v>
      </c>
      <c r="AC471" s="209">
        <v>5.088172929123334</v>
      </c>
      <c r="AD471" s="202">
        <v>12.6183629372353</v>
      </c>
      <c r="AE471" s="210" t="s">
        <v>213</v>
      </c>
    </row>
    <row r="472" spans="2:31" ht="12" hidden="1" customHeight="1">
      <c r="B472" s="392">
        <v>42742</v>
      </c>
      <c r="C472" s="208"/>
      <c r="D472" s="209"/>
      <c r="E472" s="209"/>
      <c r="F472" s="209"/>
      <c r="G472" s="209"/>
      <c r="H472" s="209"/>
      <c r="I472" s="209"/>
      <c r="J472" s="209"/>
      <c r="K472" s="209"/>
      <c r="L472" s="202"/>
      <c r="M472" s="208"/>
      <c r="N472" s="209"/>
      <c r="O472" s="209"/>
      <c r="P472" s="209"/>
      <c r="Q472" s="209"/>
      <c r="R472" s="209"/>
      <c r="S472" s="209"/>
      <c r="T472" s="209"/>
      <c r="U472" s="209"/>
      <c r="V472" s="209"/>
      <c r="W472" s="209"/>
      <c r="X472" s="202"/>
      <c r="Y472" s="208"/>
      <c r="Z472" s="209"/>
      <c r="AA472" s="209"/>
      <c r="AB472" s="209"/>
      <c r="AC472" s="209"/>
      <c r="AD472" s="202"/>
      <c r="AE472" s="397">
        <v>42742</v>
      </c>
    </row>
    <row r="473" spans="2:31" ht="12" hidden="1" customHeight="1">
      <c r="B473" s="391" t="s">
        <v>187</v>
      </c>
      <c r="C473" s="208">
        <v>8.2614467653253065</v>
      </c>
      <c r="D473" s="209">
        <v>4.3491462931160125</v>
      </c>
      <c r="E473" s="209">
        <v>11.455164448017138</v>
      </c>
      <c r="F473" s="209">
        <v>10.260658674246953</v>
      </c>
      <c r="G473" s="209">
        <v>9.7767888343190368</v>
      </c>
      <c r="H473" s="209">
        <v>9.6801043597201577</v>
      </c>
      <c r="I473" s="209">
        <v>13.167691104891894</v>
      </c>
      <c r="J473" s="209">
        <v>7.5506380759375071</v>
      </c>
      <c r="K473" s="209">
        <v>8.8835230714834008</v>
      </c>
      <c r="L473" s="202">
        <v>9.4637625054390337</v>
      </c>
      <c r="M473" s="208">
        <v>12.399430281535551</v>
      </c>
      <c r="N473" s="209">
        <v>8.8241240612898793</v>
      </c>
      <c r="O473" s="209">
        <v>15.863324078995547</v>
      </c>
      <c r="P473" s="209">
        <v>11.468262983714862</v>
      </c>
      <c r="Q473" s="209">
        <v>13.363085558636936</v>
      </c>
      <c r="R473" s="209">
        <v>16.79835863838672</v>
      </c>
      <c r="S473" s="209">
        <v>12.384526400456854</v>
      </c>
      <c r="T473" s="209">
        <v>15.818084407683752</v>
      </c>
      <c r="U473" s="209">
        <v>17.421520758680195</v>
      </c>
      <c r="V473" s="209">
        <v>12.14045533065433</v>
      </c>
      <c r="W473" s="209">
        <v>7.0480177807589612</v>
      </c>
      <c r="X473" s="202">
        <v>7.4311306977433693</v>
      </c>
      <c r="Y473" s="208">
        <v>10.418541218040712</v>
      </c>
      <c r="Z473" s="209">
        <v>3</v>
      </c>
      <c r="AA473" s="209">
        <v>20.62</v>
      </c>
      <c r="AB473" s="209">
        <v>11.820277441739599</v>
      </c>
      <c r="AC473" s="209">
        <v>6.1411331304674706</v>
      </c>
      <c r="AD473" s="202">
        <v>11.3589730605631</v>
      </c>
      <c r="AE473" s="210" t="s">
        <v>356</v>
      </c>
    </row>
    <row r="474" spans="2:31" ht="12" hidden="1" customHeight="1">
      <c r="B474" s="391" t="s">
        <v>357</v>
      </c>
      <c r="C474" s="208">
        <v>3.7139229244167642</v>
      </c>
      <c r="D474" s="209">
        <v>2.8586544186691869</v>
      </c>
      <c r="E474" s="209">
        <v>4.3637666340159438</v>
      </c>
      <c r="F474" s="209">
        <v>2.2807073380171761</v>
      </c>
      <c r="G474" s="209">
        <v>0.92652034129522887</v>
      </c>
      <c r="H474" s="209">
        <v>0.86876503996008925</v>
      </c>
      <c r="I474" s="209">
        <v>2.1985453472501568</v>
      </c>
      <c r="J474" s="209">
        <v>3.3445991099446224</v>
      </c>
      <c r="K474" s="209">
        <v>4.4798285829830382</v>
      </c>
      <c r="L474" s="202">
        <v>8.0782489247292375</v>
      </c>
      <c r="M474" s="208">
        <v>9.838817071248581</v>
      </c>
      <c r="N474" s="209">
        <v>6.8856347451401181</v>
      </c>
      <c r="O474" s="209">
        <v>15.97380345748032</v>
      </c>
      <c r="P474" s="209">
        <v>14.180660628918679</v>
      </c>
      <c r="Q474" s="209">
        <v>5.9110454654746052</v>
      </c>
      <c r="R474" s="209">
        <v>8.7030597885685239</v>
      </c>
      <c r="S474" s="209">
        <v>5.2708577214798753</v>
      </c>
      <c r="T474" s="209">
        <v>7.4865074966617469</v>
      </c>
      <c r="U474" s="209">
        <v>12.591806100065424</v>
      </c>
      <c r="V474" s="209">
        <v>10.665044413742587</v>
      </c>
      <c r="W474" s="209">
        <v>7.2969312702227658</v>
      </c>
      <c r="X474" s="202">
        <v>6.0897967351197373</v>
      </c>
      <c r="Y474" s="208">
        <v>10.026237837491047</v>
      </c>
      <c r="Z474" s="209">
        <v>0.7141697099071117</v>
      </c>
      <c r="AA474" s="209">
        <v>17.2013925733396</v>
      </c>
      <c r="AB474" s="209">
        <v>11.5</v>
      </c>
      <c r="AC474" s="209">
        <v>5.8752783965201072</v>
      </c>
      <c r="AD474" s="202">
        <v>15.288254196245198</v>
      </c>
      <c r="AE474" s="210" t="s">
        <v>213</v>
      </c>
    </row>
    <row r="475" spans="2:31" ht="12" hidden="1" customHeight="1">
      <c r="B475" s="392">
        <v>42743</v>
      </c>
      <c r="C475" s="208"/>
      <c r="D475" s="209"/>
      <c r="E475" s="209"/>
      <c r="F475" s="209"/>
      <c r="G475" s="209"/>
      <c r="H475" s="209"/>
      <c r="I475" s="209"/>
      <c r="J475" s="209"/>
      <c r="K475" s="209"/>
      <c r="L475" s="202"/>
      <c r="M475" s="208"/>
      <c r="N475" s="209"/>
      <c r="O475" s="209"/>
      <c r="P475" s="209"/>
      <c r="Q475" s="209"/>
      <c r="R475" s="209"/>
      <c r="S475" s="209"/>
      <c r="T475" s="209"/>
      <c r="U475" s="209"/>
      <c r="V475" s="209"/>
      <c r="W475" s="209"/>
      <c r="X475" s="202"/>
      <c r="Y475" s="208"/>
      <c r="Z475" s="209"/>
      <c r="AA475" s="209"/>
      <c r="AB475" s="209"/>
      <c r="AC475" s="209"/>
      <c r="AD475" s="202"/>
      <c r="AE475" s="397">
        <v>42743</v>
      </c>
    </row>
    <row r="476" spans="2:31" ht="12" hidden="1" customHeight="1">
      <c r="B476" s="391" t="s">
        <v>187</v>
      </c>
      <c r="C476" s="208">
        <v>8.8314696368529635</v>
      </c>
      <c r="D476" s="209">
        <v>4.4675864497297875</v>
      </c>
      <c r="E476" s="209">
        <v>11.635218323883903</v>
      </c>
      <c r="F476" s="209">
        <v>7.6046918281721707</v>
      </c>
      <c r="G476" s="209">
        <v>8.4580841958292883</v>
      </c>
      <c r="H476" s="209">
        <v>9.5033843107245932</v>
      </c>
      <c r="I476" s="209">
        <v>12.981078509477115</v>
      </c>
      <c r="J476" s="209">
        <v>8.476293906850243</v>
      </c>
      <c r="K476" s="209">
        <v>9.1111799717734687</v>
      </c>
      <c r="L476" s="202">
        <v>9.4552092390339304</v>
      </c>
      <c r="M476" s="208">
        <v>12.895889177218228</v>
      </c>
      <c r="N476" s="209">
        <v>9.0688244398131488</v>
      </c>
      <c r="O476" s="209">
        <v>15.926744463562144</v>
      </c>
      <c r="P476" s="209">
        <v>13.265500388979193</v>
      </c>
      <c r="Q476" s="209">
        <v>13.140505559271606</v>
      </c>
      <c r="R476" s="209">
        <v>16.700220844222088</v>
      </c>
      <c r="S476" s="209">
        <v>15.291341849436261</v>
      </c>
      <c r="T476" s="209">
        <v>16.587219689191528</v>
      </c>
      <c r="U476" s="209">
        <v>18.871855273938042</v>
      </c>
      <c r="V476" s="209">
        <v>13.422951582021774</v>
      </c>
      <c r="W476" s="209">
        <v>6.9003174586678711</v>
      </c>
      <c r="X476" s="202">
        <v>7.3864224443007203</v>
      </c>
      <c r="Y476" s="208">
        <v>9.1764459857847775</v>
      </c>
      <c r="Z476" s="209">
        <v>3</v>
      </c>
      <c r="AA476" s="209">
        <v>20.62</v>
      </c>
      <c r="AB476" s="209">
        <v>11.302742718394299</v>
      </c>
      <c r="AC476" s="209">
        <v>6.4788121453155503</v>
      </c>
      <c r="AD476" s="202">
        <v>10.0702884033931</v>
      </c>
      <c r="AE476" s="210" t="s">
        <v>356</v>
      </c>
    </row>
    <row r="477" spans="2:31" ht="12" hidden="1" customHeight="1">
      <c r="B477" s="391" t="s">
        <v>357</v>
      </c>
      <c r="C477" s="208">
        <v>3.6460069303721845</v>
      </c>
      <c r="D477" s="209">
        <v>2.815072161776464</v>
      </c>
      <c r="E477" s="209">
        <v>4.2976110213341485</v>
      </c>
      <c r="F477" s="209">
        <v>2.7601088666453233</v>
      </c>
      <c r="G477" s="209">
        <v>1.0606437266156412</v>
      </c>
      <c r="H477" s="209">
        <v>0.80170905315260033</v>
      </c>
      <c r="I477" s="209">
        <v>2.0152729527065669</v>
      </c>
      <c r="J477" s="209">
        <v>3.2893807496611935</v>
      </c>
      <c r="K477" s="209">
        <v>4.3345148385700192</v>
      </c>
      <c r="L477" s="202">
        <v>8.0626202757923942</v>
      </c>
      <c r="M477" s="208">
        <v>10.003277465469413</v>
      </c>
      <c r="N477" s="209">
        <v>6.8642539695841789</v>
      </c>
      <c r="O477" s="209">
        <v>16.214333787100376</v>
      </c>
      <c r="P477" s="209">
        <v>15.957658425235225</v>
      </c>
      <c r="Q477" s="209">
        <v>8.729044270889224</v>
      </c>
      <c r="R477" s="209">
        <v>8.7376944134374863</v>
      </c>
      <c r="S477" s="209">
        <v>5.2278262128125643</v>
      </c>
      <c r="T477" s="209">
        <v>7.4058556794270123</v>
      </c>
      <c r="U477" s="209">
        <v>12.545581021987861</v>
      </c>
      <c r="V477" s="209">
        <v>10.637288948953689</v>
      </c>
      <c r="W477" s="209">
        <v>7.2897429993265606</v>
      </c>
      <c r="X477" s="202">
        <v>6.3274704465245719</v>
      </c>
      <c r="Y477" s="208">
        <v>9.7274731624376116</v>
      </c>
      <c r="Z477" s="209">
        <v>1.2171356235072506</v>
      </c>
      <c r="AA477" s="209">
        <v>17.218540240660701</v>
      </c>
      <c r="AB477" s="209">
        <v>11.5</v>
      </c>
      <c r="AC477" s="209">
        <v>5.7159365223464498</v>
      </c>
      <c r="AD477" s="202">
        <v>11.96983039215473</v>
      </c>
      <c r="AE477" s="210" t="s">
        <v>213</v>
      </c>
    </row>
    <row r="478" spans="2:31" ht="12" hidden="1" customHeight="1">
      <c r="B478" s="392">
        <v>42744</v>
      </c>
      <c r="C478" s="208"/>
      <c r="D478" s="209"/>
      <c r="E478" s="209"/>
      <c r="F478" s="209"/>
      <c r="G478" s="209"/>
      <c r="H478" s="209"/>
      <c r="I478" s="209"/>
      <c r="J478" s="209"/>
      <c r="K478" s="209"/>
      <c r="L478" s="202"/>
      <c r="M478" s="208"/>
      <c r="N478" s="209"/>
      <c r="O478" s="209"/>
      <c r="P478" s="209"/>
      <c r="Q478" s="209"/>
      <c r="R478" s="209"/>
      <c r="S478" s="209"/>
      <c r="T478" s="209"/>
      <c r="U478" s="209"/>
      <c r="V478" s="209"/>
      <c r="W478" s="209"/>
      <c r="X478" s="202"/>
      <c r="Y478" s="208"/>
      <c r="Z478" s="209"/>
      <c r="AA478" s="209"/>
      <c r="AB478" s="209"/>
      <c r="AC478" s="209"/>
      <c r="AD478" s="202"/>
      <c r="AE478" s="397">
        <v>42744</v>
      </c>
    </row>
    <row r="479" spans="2:31" ht="12" hidden="1" customHeight="1">
      <c r="B479" s="391" t="s">
        <v>187</v>
      </c>
      <c r="C479" s="208">
        <v>9.4914019468435544</v>
      </c>
      <c r="D479" s="209">
        <v>4.8445666994118639</v>
      </c>
      <c r="E479" s="209">
        <v>11.724731365051523</v>
      </c>
      <c r="F479" s="209">
        <v>7.928345052094329</v>
      </c>
      <c r="G479" s="209">
        <v>8.1392806446902561</v>
      </c>
      <c r="H479" s="209">
        <v>10.393991745768627</v>
      </c>
      <c r="I479" s="209">
        <v>12.7005230407682</v>
      </c>
      <c r="J479" s="209">
        <v>9.5868839182913117</v>
      </c>
      <c r="K479" s="209">
        <v>9.2181069894420116</v>
      </c>
      <c r="L479" s="202">
        <v>9.7604402632967968</v>
      </c>
      <c r="M479" s="208">
        <v>12.995620427702622</v>
      </c>
      <c r="N479" s="209">
        <v>9.0206028895049499</v>
      </c>
      <c r="O479" s="209">
        <v>16.096154902090191</v>
      </c>
      <c r="P479" s="209">
        <v>13.877483875080188</v>
      </c>
      <c r="Q479" s="209">
        <v>13.248720776051451</v>
      </c>
      <c r="R479" s="209">
        <v>16.894500776584231</v>
      </c>
      <c r="S479" s="209">
        <v>16.608051463436311</v>
      </c>
      <c r="T479" s="209">
        <v>16.79647441706102</v>
      </c>
      <c r="U479" s="209">
        <v>19.143925179937931</v>
      </c>
      <c r="V479" s="209">
        <v>13.234375894127867</v>
      </c>
      <c r="W479" s="209">
        <v>6.9651254790801946</v>
      </c>
      <c r="X479" s="202">
        <v>7.4645233082550844</v>
      </c>
      <c r="Y479" s="208">
        <v>8.4396189256677054</v>
      </c>
      <c r="Z479" s="209">
        <v>3</v>
      </c>
      <c r="AA479" s="209">
        <v>20.62</v>
      </c>
      <c r="AB479" s="209">
        <v>11.302742718394299</v>
      </c>
      <c r="AC479" s="209">
        <v>1.4516025595348399</v>
      </c>
      <c r="AD479" s="202">
        <v>9.9045177838652112</v>
      </c>
      <c r="AE479" s="210" t="s">
        <v>356</v>
      </c>
    </row>
    <row r="480" spans="2:31" ht="12" hidden="1" customHeight="1">
      <c r="B480" s="391" t="s">
        <v>357</v>
      </c>
      <c r="C480" s="208">
        <v>3.5690455864802502</v>
      </c>
      <c r="D480" s="209">
        <v>2.7790605152901549</v>
      </c>
      <c r="E480" s="209">
        <v>4.2027598589473634</v>
      </c>
      <c r="F480" s="209">
        <v>1.0114896641329034</v>
      </c>
      <c r="G480" s="209">
        <v>0.97803513461313685</v>
      </c>
      <c r="H480" s="209">
        <v>0.74378430391068351</v>
      </c>
      <c r="I480" s="209">
        <v>2.0810127997582275</v>
      </c>
      <c r="J480" s="209">
        <v>3.2181681949291767</v>
      </c>
      <c r="K480" s="209">
        <v>4.227386790011475</v>
      </c>
      <c r="L480" s="202">
        <v>7.9862367813933464</v>
      </c>
      <c r="M480" s="208">
        <v>10.615800253013393</v>
      </c>
      <c r="N480" s="209">
        <v>7.5143185130459393</v>
      </c>
      <c r="O480" s="209">
        <v>16.251619023383604</v>
      </c>
      <c r="P480" s="209">
        <v>16.292327444593251</v>
      </c>
      <c r="Q480" s="209">
        <v>11.980895836584679</v>
      </c>
      <c r="R480" s="209">
        <v>10.683949112333147</v>
      </c>
      <c r="S480" s="209">
        <v>5.2644156357022354</v>
      </c>
      <c r="T480" s="209">
        <v>7.6883897521335562</v>
      </c>
      <c r="U480" s="209">
        <v>12.621753474146525</v>
      </c>
      <c r="V480" s="209">
        <v>12.496833054119</v>
      </c>
      <c r="W480" s="209">
        <v>7.1665971470682157</v>
      </c>
      <c r="X480" s="202">
        <v>6.1560939073346121</v>
      </c>
      <c r="Y480" s="208">
        <v>9.76</v>
      </c>
      <c r="Z480" s="209">
        <v>1.19</v>
      </c>
      <c r="AA480" s="209">
        <v>17.218539913513201</v>
      </c>
      <c r="AB480" s="209">
        <v>11.5</v>
      </c>
      <c r="AC480" s="209">
        <v>5.716319796537789</v>
      </c>
      <c r="AD480" s="202">
        <v>11.969832156305465</v>
      </c>
      <c r="AE480" s="210" t="s">
        <v>213</v>
      </c>
    </row>
    <row r="481" spans="2:31" ht="12" hidden="1" customHeight="1">
      <c r="B481" s="392">
        <v>42745</v>
      </c>
      <c r="C481" s="208"/>
      <c r="D481" s="209"/>
      <c r="E481" s="209"/>
      <c r="F481" s="209"/>
      <c r="G481" s="209"/>
      <c r="H481" s="209"/>
      <c r="I481" s="209"/>
      <c r="J481" s="209"/>
      <c r="K481" s="209"/>
      <c r="L481" s="202"/>
      <c r="M481" s="208"/>
      <c r="N481" s="209"/>
      <c r="O481" s="209"/>
      <c r="P481" s="209"/>
      <c r="Q481" s="209"/>
      <c r="R481" s="209"/>
      <c r="S481" s="209"/>
      <c r="T481" s="209"/>
      <c r="U481" s="209"/>
      <c r="V481" s="209"/>
      <c r="W481" s="209"/>
      <c r="X481" s="202"/>
      <c r="Y481" s="208"/>
      <c r="Z481" s="209"/>
      <c r="AA481" s="209"/>
      <c r="AB481" s="209"/>
      <c r="AC481" s="209"/>
      <c r="AD481" s="202"/>
      <c r="AE481" s="397">
        <v>42745</v>
      </c>
    </row>
    <row r="482" spans="2:31" ht="12" hidden="1" customHeight="1">
      <c r="B482" s="391" t="s">
        <v>187</v>
      </c>
      <c r="C482" s="208">
        <v>10.14982090740212</v>
      </c>
      <c r="D482" s="209">
        <v>5.6677417838347957</v>
      </c>
      <c r="E482" s="209">
        <v>11.752540109386118</v>
      </c>
      <c r="F482" s="209">
        <v>6.1699266541421123</v>
      </c>
      <c r="G482" s="209">
        <v>8.0696278840026672</v>
      </c>
      <c r="H482" s="209">
        <v>9.7549079916137682</v>
      </c>
      <c r="I482" s="209">
        <v>11.857515216880673</v>
      </c>
      <c r="J482" s="209">
        <v>11.013734109029521</v>
      </c>
      <c r="K482" s="209">
        <v>9.3245158040607965</v>
      </c>
      <c r="L482" s="202">
        <v>9.7777159118147399</v>
      </c>
      <c r="M482" s="208">
        <v>12.995245415099307</v>
      </c>
      <c r="N482" s="209">
        <v>8.9791190567734507</v>
      </c>
      <c r="O482" s="209">
        <v>16.1037441771063</v>
      </c>
      <c r="P482" s="209">
        <v>12.089429608804151</v>
      </c>
      <c r="Q482" s="209">
        <v>13.150258580944985</v>
      </c>
      <c r="R482" s="209">
        <v>16.869095222410071</v>
      </c>
      <c r="S482" s="209">
        <v>16.606418349762208</v>
      </c>
      <c r="T482" s="209">
        <v>16.938166204062899</v>
      </c>
      <c r="U482" s="209">
        <v>19.220648715434123</v>
      </c>
      <c r="V482" s="209">
        <v>13.287084254525613</v>
      </c>
      <c r="W482" s="209">
        <v>6.8862426319533387</v>
      </c>
      <c r="X482" s="202">
        <v>7.298689326268196</v>
      </c>
      <c r="Y482" s="208">
        <v>8.4115397469527888</v>
      </c>
      <c r="Z482" s="209">
        <v>3</v>
      </c>
      <c r="AA482" s="209" t="s">
        <v>93</v>
      </c>
      <c r="AB482" s="209">
        <v>11.2545159854935</v>
      </c>
      <c r="AC482" s="209">
        <v>1.4516025595348399</v>
      </c>
      <c r="AD482" s="202">
        <v>9.9115047862274306</v>
      </c>
      <c r="AE482" s="210" t="s">
        <v>356</v>
      </c>
    </row>
    <row r="483" spans="2:31" ht="12" hidden="1" customHeight="1">
      <c r="B483" s="391" t="s">
        <v>357</v>
      </c>
      <c r="C483" s="208">
        <v>3.3669194225889805</v>
      </c>
      <c r="D483" s="209">
        <v>1.3613012736516135</v>
      </c>
      <c r="E483" s="209">
        <v>4.1488301026977297</v>
      </c>
      <c r="F483" s="209">
        <v>3.9905492122009485</v>
      </c>
      <c r="G483" s="209">
        <v>0.98978029586635385</v>
      </c>
      <c r="H483" s="209">
        <v>0.53499337775331601</v>
      </c>
      <c r="I483" s="209">
        <v>1.6875566136444551</v>
      </c>
      <c r="J483" s="209">
        <v>2.6515820494893969</v>
      </c>
      <c r="K483" s="209">
        <v>4.1223638273863807</v>
      </c>
      <c r="L483" s="202">
        <v>7.980882793182241</v>
      </c>
      <c r="M483" s="208">
        <v>10.289448787006124</v>
      </c>
      <c r="N483" s="209">
        <v>7.2044706309116284</v>
      </c>
      <c r="O483" s="209">
        <v>16.160415427628763</v>
      </c>
      <c r="P483" s="209">
        <v>16.152748322375459</v>
      </c>
      <c r="Q483" s="209">
        <v>7.0077640927618852</v>
      </c>
      <c r="R483" s="209">
        <v>10.150613730843775</v>
      </c>
      <c r="S483" s="209">
        <v>5.2975098473864595</v>
      </c>
      <c r="T483" s="209">
        <v>6.8792233690854898</v>
      </c>
      <c r="U483" s="209">
        <v>12.447686748941329</v>
      </c>
      <c r="V483" s="209">
        <v>12.530805878634199</v>
      </c>
      <c r="W483" s="209">
        <v>7.0427556277892736</v>
      </c>
      <c r="X483" s="202">
        <v>6.1847629718861281</v>
      </c>
      <c r="Y483" s="208">
        <v>9.9702919392385301</v>
      </c>
      <c r="Z483" s="209">
        <v>1.1848682592688948</v>
      </c>
      <c r="AA483" s="209" t="s">
        <v>93</v>
      </c>
      <c r="AB483" s="209">
        <v>10.571770802776999</v>
      </c>
      <c r="AC483" s="209">
        <v>5.437449126189323</v>
      </c>
      <c r="AD483" s="202">
        <v>11.969821332086747</v>
      </c>
      <c r="AE483" s="210" t="s">
        <v>213</v>
      </c>
    </row>
    <row r="484" spans="2:31" ht="12" hidden="1" customHeight="1">
      <c r="B484" s="392">
        <v>42746</v>
      </c>
      <c r="C484" s="208"/>
      <c r="D484" s="209"/>
      <c r="E484" s="209"/>
      <c r="F484" s="209"/>
      <c r="G484" s="209"/>
      <c r="H484" s="209"/>
      <c r="I484" s="209"/>
      <c r="J484" s="209"/>
      <c r="K484" s="209"/>
      <c r="L484" s="202"/>
      <c r="M484" s="208"/>
      <c r="N484" s="209"/>
      <c r="O484" s="209"/>
      <c r="P484" s="209"/>
      <c r="Q484" s="209"/>
      <c r="R484" s="209"/>
      <c r="S484" s="209"/>
      <c r="T484" s="209"/>
      <c r="U484" s="209"/>
      <c r="V484" s="209"/>
      <c r="W484" s="209"/>
      <c r="X484" s="202"/>
      <c r="Y484" s="208"/>
      <c r="Z484" s="209"/>
      <c r="AA484" s="209"/>
      <c r="AB484" s="209"/>
      <c r="AC484" s="209"/>
      <c r="AD484" s="202"/>
      <c r="AE484" s="397">
        <v>42746</v>
      </c>
    </row>
    <row r="485" spans="2:31" ht="12" hidden="1" customHeight="1">
      <c r="B485" s="391" t="s">
        <v>187</v>
      </c>
      <c r="C485" s="208">
        <v>10.331563248497115</v>
      </c>
      <c r="D485" s="209">
        <v>5.4163263332480893</v>
      </c>
      <c r="E485" s="209">
        <v>11.830688634479234</v>
      </c>
      <c r="F485" s="209">
        <v>6.4750419413256042</v>
      </c>
      <c r="G485" s="209">
        <v>3.4163556171746796</v>
      </c>
      <c r="H485" s="209">
        <v>9.3386893740557397</v>
      </c>
      <c r="I485" s="209">
        <v>11.482307244416081</v>
      </c>
      <c r="J485" s="209">
        <v>12.201653253380965</v>
      </c>
      <c r="K485" s="209">
        <v>9.3900104097408104</v>
      </c>
      <c r="L485" s="202">
        <v>9.6969074369815864</v>
      </c>
      <c r="M485" s="208">
        <v>13.140363724493358</v>
      </c>
      <c r="N485" s="209">
        <v>8.9860709421420193</v>
      </c>
      <c r="O485" s="209">
        <v>16.298475372069372</v>
      </c>
      <c r="P485" s="209">
        <v>12.668189322776307</v>
      </c>
      <c r="Q485" s="209">
        <v>12.79501274840975</v>
      </c>
      <c r="R485" s="209">
        <v>16.74934801457546</v>
      </c>
      <c r="S485" s="209">
        <v>16.30647891467169</v>
      </c>
      <c r="T485" s="209">
        <v>17.496585447971174</v>
      </c>
      <c r="U485" s="209">
        <v>19.397973591067917</v>
      </c>
      <c r="V485" s="209">
        <v>13.43921045708143</v>
      </c>
      <c r="W485" s="209">
        <v>6.8890642569695322</v>
      </c>
      <c r="X485" s="202">
        <v>7.2966209181990553</v>
      </c>
      <c r="Y485" s="208">
        <v>7.9430832578659309</v>
      </c>
      <c r="Z485" s="209">
        <v>3</v>
      </c>
      <c r="AA485" s="209" t="s">
        <v>93</v>
      </c>
      <c r="AB485" s="209">
        <v>4.7428009002112397</v>
      </c>
      <c r="AC485" s="209">
        <v>1.4516025595348399</v>
      </c>
      <c r="AD485" s="202">
        <v>9.9312036045845904</v>
      </c>
      <c r="AE485" s="210" t="s">
        <v>356</v>
      </c>
    </row>
    <row r="486" spans="2:31" ht="12" hidden="1" customHeight="1">
      <c r="B486" s="391" t="s">
        <v>357</v>
      </c>
      <c r="C486" s="208">
        <v>3.3279623877593458</v>
      </c>
      <c r="D486" s="209">
        <v>1.3679276296996576</v>
      </c>
      <c r="E486" s="209">
        <v>4.1006115816854614</v>
      </c>
      <c r="F486" s="209">
        <v>5.4443734994887656</v>
      </c>
      <c r="G486" s="209">
        <v>0.91571592524471779</v>
      </c>
      <c r="H486" s="209">
        <v>0.5509599899839227</v>
      </c>
      <c r="I486" s="209">
        <v>1.6859077677079899</v>
      </c>
      <c r="J486" s="209">
        <v>2.6090223205611451</v>
      </c>
      <c r="K486" s="209">
        <v>3.9917731860567027</v>
      </c>
      <c r="L486" s="202">
        <v>7.9007932948718951</v>
      </c>
      <c r="M486" s="208">
        <v>10.53268878492427</v>
      </c>
      <c r="N486" s="209">
        <v>7.2339014326291764</v>
      </c>
      <c r="O486" s="209">
        <v>17.343706674588208</v>
      </c>
      <c r="P486" s="209">
        <v>14.941462946080044</v>
      </c>
      <c r="Q486" s="209">
        <v>12.255783439426422</v>
      </c>
      <c r="R486" s="209">
        <v>9.7759489525065852</v>
      </c>
      <c r="S486" s="209">
        <v>5.1258303612793918</v>
      </c>
      <c r="T486" s="209">
        <v>8.0740182164027878</v>
      </c>
      <c r="U486" s="209">
        <v>12.337018983219142</v>
      </c>
      <c r="V486" s="209">
        <v>12.37943895784227</v>
      </c>
      <c r="W486" s="209">
        <v>6.9305882705694435</v>
      </c>
      <c r="X486" s="202">
        <v>6.1387297695685374</v>
      </c>
      <c r="Y486" s="208">
        <v>10.224279841960197</v>
      </c>
      <c r="Z486" s="209">
        <v>0.55209794914179178</v>
      </c>
      <c r="AA486" s="209" t="s">
        <v>93</v>
      </c>
      <c r="AB486" s="209">
        <v>10.384835412172901</v>
      </c>
      <c r="AC486" s="209">
        <v>5.4355306182335505</v>
      </c>
      <c r="AD486" s="202">
        <v>11.993904010187103</v>
      </c>
      <c r="AE486" s="210" t="s">
        <v>213</v>
      </c>
    </row>
    <row r="487" spans="2:31" ht="12" hidden="1" customHeight="1">
      <c r="B487" s="392">
        <v>42747</v>
      </c>
      <c r="C487" s="208"/>
      <c r="D487" s="209"/>
      <c r="E487" s="209"/>
      <c r="F487" s="209"/>
      <c r="G487" s="209"/>
      <c r="H487" s="209"/>
      <c r="I487" s="209"/>
      <c r="J487" s="209"/>
      <c r="K487" s="209"/>
      <c r="L487" s="202"/>
      <c r="M487" s="208"/>
      <c r="N487" s="209"/>
      <c r="O487" s="209"/>
      <c r="P487" s="209"/>
      <c r="Q487" s="209"/>
      <c r="R487" s="209"/>
      <c r="S487" s="209"/>
      <c r="T487" s="209"/>
      <c r="U487" s="209"/>
      <c r="V487" s="209"/>
      <c r="W487" s="209"/>
      <c r="X487" s="202"/>
      <c r="Y487" s="208"/>
      <c r="Z487" s="209"/>
      <c r="AA487" s="209"/>
      <c r="AB487" s="209"/>
      <c r="AC487" s="209"/>
      <c r="AD487" s="202"/>
      <c r="AE487" s="397">
        <v>42747</v>
      </c>
    </row>
    <row r="488" spans="2:31" ht="12" hidden="1" customHeight="1">
      <c r="B488" s="391" t="s">
        <v>187</v>
      </c>
      <c r="C488" s="208">
        <v>10.296818151290225</v>
      </c>
      <c r="D488" s="209">
        <v>5.1682674547192935</v>
      </c>
      <c r="E488" s="209">
        <v>11.741638554738707</v>
      </c>
      <c r="F488" s="209">
        <v>6.0415400753395092</v>
      </c>
      <c r="G488" s="209">
        <v>3.2927870483454527</v>
      </c>
      <c r="H488" s="209">
        <v>8.3118312421433878</v>
      </c>
      <c r="I488" s="209">
        <v>10.902110237821578</v>
      </c>
      <c r="J488" s="209">
        <v>12.052243846456852</v>
      </c>
      <c r="K488" s="209">
        <v>9.4794869304937794</v>
      </c>
      <c r="L488" s="202">
        <v>9.4776915714056589</v>
      </c>
      <c r="M488" s="208">
        <v>13.091153752203144</v>
      </c>
      <c r="N488" s="209">
        <v>8.8238824231999793</v>
      </c>
      <c r="O488" s="209">
        <v>16.37714894397423</v>
      </c>
      <c r="P488" s="209">
        <v>5.0580307704670382</v>
      </c>
      <c r="Q488" s="209">
        <v>12.863687077098488</v>
      </c>
      <c r="R488" s="209">
        <v>16.512786347788698</v>
      </c>
      <c r="S488" s="209">
        <v>15.412273161165347</v>
      </c>
      <c r="T488" s="209">
        <v>17.812851308823529</v>
      </c>
      <c r="U488" s="209">
        <v>19.436484657282051</v>
      </c>
      <c r="V488" s="209">
        <v>14.003475775949012</v>
      </c>
      <c r="W488" s="209">
        <v>6.8371111461014253</v>
      </c>
      <c r="X488" s="202">
        <v>7.2920004880457174</v>
      </c>
      <c r="Y488" s="208">
        <v>7.8943426171339119</v>
      </c>
      <c r="Z488" s="209">
        <v>3</v>
      </c>
      <c r="AA488" s="209" t="s">
        <v>93</v>
      </c>
      <c r="AB488" s="209">
        <v>2.5722126262739597</v>
      </c>
      <c r="AC488" s="209">
        <v>1.4516025595348399</v>
      </c>
      <c r="AD488" s="202">
        <v>9.9387910025754795</v>
      </c>
      <c r="AE488" s="210" t="s">
        <v>356</v>
      </c>
    </row>
    <row r="489" spans="2:31" ht="12" hidden="1" customHeight="1">
      <c r="B489" s="391" t="s">
        <v>357</v>
      </c>
      <c r="C489" s="208">
        <v>3.0546474749815697</v>
      </c>
      <c r="D489" s="209">
        <v>1.3893405090269959</v>
      </c>
      <c r="E489" s="209">
        <v>3.7592917737444038</v>
      </c>
      <c r="F489" s="209">
        <v>1.8258704815429843</v>
      </c>
      <c r="G489" s="209">
        <v>0.80110981387519486</v>
      </c>
      <c r="H489" s="209">
        <v>0.66990427255265383</v>
      </c>
      <c r="I489" s="209">
        <v>1.4571975548788643</v>
      </c>
      <c r="J489" s="209">
        <v>2.6375663457898648</v>
      </c>
      <c r="K489" s="209">
        <v>3.4610073153671714</v>
      </c>
      <c r="L489" s="202">
        <v>6.5199709137424637</v>
      </c>
      <c r="M489" s="208">
        <v>10.369396328526484</v>
      </c>
      <c r="N489" s="209">
        <v>7.1497860162492168</v>
      </c>
      <c r="O489" s="209">
        <v>17.219761073525685</v>
      </c>
      <c r="P489" s="209">
        <v>14.242288453611538</v>
      </c>
      <c r="Q489" s="209">
        <v>12.201085846160362</v>
      </c>
      <c r="R489" s="209">
        <v>9.7476443580222583</v>
      </c>
      <c r="S489" s="209">
        <v>5.0278172381948583</v>
      </c>
      <c r="T489" s="209">
        <v>8.0459519268236033</v>
      </c>
      <c r="U489" s="209">
        <v>12.07328722122419</v>
      </c>
      <c r="V489" s="209">
        <v>12.22137591100825</v>
      </c>
      <c r="W489" s="209">
        <v>6.8690577232813439</v>
      </c>
      <c r="X489" s="202">
        <v>6.0216974478485907</v>
      </c>
      <c r="Y489" s="208">
        <v>10.706573078805647</v>
      </c>
      <c r="Z489" s="209">
        <v>0.42783872058801298</v>
      </c>
      <c r="AA489" s="209" t="s">
        <v>93</v>
      </c>
      <c r="AB489" s="209">
        <v>9.7715173025731996</v>
      </c>
      <c r="AC489" s="209">
        <v>4.5344757348089164</v>
      </c>
      <c r="AD489" s="202">
        <v>11.993765776050019</v>
      </c>
      <c r="AE489" s="210" t="s">
        <v>213</v>
      </c>
    </row>
    <row r="490" spans="2:31" ht="12" customHeight="1">
      <c r="B490" s="392">
        <v>43101</v>
      </c>
      <c r="C490" s="208"/>
      <c r="D490" s="209"/>
      <c r="E490" s="209"/>
      <c r="F490" s="209"/>
      <c r="G490" s="209"/>
      <c r="H490" s="209"/>
      <c r="I490" s="209"/>
      <c r="J490" s="209"/>
      <c r="K490" s="209"/>
      <c r="L490" s="202"/>
      <c r="M490" s="208"/>
      <c r="N490" s="209"/>
      <c r="O490" s="209"/>
      <c r="P490" s="209"/>
      <c r="Q490" s="209"/>
      <c r="R490" s="209"/>
      <c r="S490" s="209"/>
      <c r="T490" s="209"/>
      <c r="U490" s="209"/>
      <c r="V490" s="209"/>
      <c r="W490" s="209"/>
      <c r="X490" s="202"/>
      <c r="Y490" s="208"/>
      <c r="Z490" s="209"/>
      <c r="AA490" s="209"/>
      <c r="AB490" s="209"/>
      <c r="AC490" s="209"/>
      <c r="AD490" s="202"/>
      <c r="AE490" s="397">
        <v>43101</v>
      </c>
    </row>
    <row r="491" spans="2:31" ht="12" customHeight="1">
      <c r="B491" s="391" t="s">
        <v>187</v>
      </c>
      <c r="C491" s="208">
        <v>10.71853110418318</v>
      </c>
      <c r="D491" s="209">
        <v>5.8209487526934289</v>
      </c>
      <c r="E491" s="209">
        <v>11.586417445667854</v>
      </c>
      <c r="F491" s="209">
        <v>6.3076376772265865</v>
      </c>
      <c r="G491" s="209">
        <v>6.1677297238010427</v>
      </c>
      <c r="H491" s="209">
        <v>7.7711532573587219</v>
      </c>
      <c r="I491" s="209">
        <v>10.354504407404104</v>
      </c>
      <c r="J491" s="209">
        <v>12.126232959749309</v>
      </c>
      <c r="K491" s="209">
        <v>9.6552056105716755</v>
      </c>
      <c r="L491" s="202">
        <v>9.2693909330025779</v>
      </c>
      <c r="M491" s="208">
        <v>13.198633658661837</v>
      </c>
      <c r="N491" s="209">
        <v>8.9123874442705908</v>
      </c>
      <c r="O491" s="209">
        <v>16.311398202818033</v>
      </c>
      <c r="P491" s="209">
        <v>11.61434939937317</v>
      </c>
      <c r="Q491" s="209">
        <v>14.39455994551604</v>
      </c>
      <c r="R491" s="209">
        <v>16.488599510322334</v>
      </c>
      <c r="S491" s="209">
        <v>15.246977643382223</v>
      </c>
      <c r="T491" s="209">
        <v>17.74589025213027</v>
      </c>
      <c r="U491" s="209">
        <v>19.49634663849308</v>
      </c>
      <c r="V491" s="209">
        <v>14.305643055584685</v>
      </c>
      <c r="W491" s="209">
        <v>6.7065011725772505</v>
      </c>
      <c r="X491" s="202">
        <v>7.25012785058298</v>
      </c>
      <c r="Y491" s="208">
        <v>11.800540936374265</v>
      </c>
      <c r="Z491" s="209">
        <v>3</v>
      </c>
      <c r="AA491" s="209" t="s">
        <v>93</v>
      </c>
      <c r="AB491" s="209">
        <v>16</v>
      </c>
      <c r="AC491" s="209">
        <v>15.372549019607801</v>
      </c>
      <c r="AD491" s="202">
        <v>11.692507322809199</v>
      </c>
      <c r="AE491" s="210" t="s">
        <v>356</v>
      </c>
    </row>
    <row r="492" spans="2:31" ht="12" customHeight="1">
      <c r="B492" s="391" t="s">
        <v>357</v>
      </c>
      <c r="C492" s="208">
        <v>2.9961275170641333</v>
      </c>
      <c r="D492" s="209">
        <v>1.4069779861606102</v>
      </c>
      <c r="E492" s="209">
        <v>3.6615058681605244</v>
      </c>
      <c r="F492" s="209">
        <v>1.47851356113393</v>
      </c>
      <c r="G492" s="209">
        <v>0.6996926665427099</v>
      </c>
      <c r="H492" s="209">
        <v>1.9304067695900797</v>
      </c>
      <c r="I492" s="209">
        <v>1.4864997627375169</v>
      </c>
      <c r="J492" s="209">
        <v>2.6161334600456314</v>
      </c>
      <c r="K492" s="209">
        <v>3.2525785146851329</v>
      </c>
      <c r="L492" s="202">
        <v>6.5552726819701856</v>
      </c>
      <c r="M492" s="208">
        <v>9.7631805590209275</v>
      </c>
      <c r="N492" s="209">
        <v>6.8437511902362536</v>
      </c>
      <c r="O492" s="209">
        <v>16.470998707390702</v>
      </c>
      <c r="P492" s="209">
        <v>14.966557215702538</v>
      </c>
      <c r="Q492" s="209">
        <v>9.0612695190298798</v>
      </c>
      <c r="R492" s="209">
        <v>9.8943586799180991</v>
      </c>
      <c r="S492" s="209">
        <v>4.9966571543696592</v>
      </c>
      <c r="T492" s="209">
        <v>7.7543250905681012</v>
      </c>
      <c r="U492" s="209">
        <v>10.996635431287324</v>
      </c>
      <c r="V492" s="209">
        <v>11.647176261744661</v>
      </c>
      <c r="W492" s="209">
        <v>6.3377621636447392</v>
      </c>
      <c r="X492" s="202">
        <v>6.0563835635224743</v>
      </c>
      <c r="Y492" s="208">
        <v>4.9257167447122843</v>
      </c>
      <c r="Z492" s="209" t="s">
        <v>93</v>
      </c>
      <c r="AA492" s="209" t="s">
        <v>93</v>
      </c>
      <c r="AB492" s="209">
        <v>10.568197361993199</v>
      </c>
      <c r="AC492" s="209">
        <v>5.064423066161595</v>
      </c>
      <c r="AD492" s="202">
        <v>3.5000000000000004</v>
      </c>
      <c r="AE492" s="210" t="s">
        <v>213</v>
      </c>
    </row>
    <row r="493" spans="2:31" ht="12" hidden="1" customHeight="1">
      <c r="B493" s="392">
        <v>43102</v>
      </c>
      <c r="C493" s="208"/>
      <c r="D493" s="209"/>
      <c r="E493" s="209"/>
      <c r="F493" s="209"/>
      <c r="G493" s="209"/>
      <c r="H493" s="209"/>
      <c r="I493" s="209"/>
      <c r="J493" s="209"/>
      <c r="K493" s="209"/>
      <c r="L493" s="202"/>
      <c r="M493" s="208"/>
      <c r="N493" s="209"/>
      <c r="O493" s="209"/>
      <c r="P493" s="209"/>
      <c r="Q493" s="209"/>
      <c r="R493" s="209"/>
      <c r="S493" s="209"/>
      <c r="T493" s="209"/>
      <c r="U493" s="209"/>
      <c r="V493" s="209"/>
      <c r="W493" s="209"/>
      <c r="X493" s="202"/>
      <c r="Y493" s="208"/>
      <c r="Z493" s="209"/>
      <c r="AA493" s="209"/>
      <c r="AB493" s="209"/>
      <c r="AC493" s="209"/>
      <c r="AD493" s="202"/>
      <c r="AE493" s="397">
        <v>43102</v>
      </c>
    </row>
    <row r="494" spans="2:31" ht="12" hidden="1" customHeight="1">
      <c r="B494" s="391" t="s">
        <v>187</v>
      </c>
      <c r="C494" s="208">
        <v>10.357154905275253</v>
      </c>
      <c r="D494" s="209">
        <v>5.1747872569152751</v>
      </c>
      <c r="E494" s="209">
        <v>11.43173545550221</v>
      </c>
      <c r="F494" s="209">
        <v>9.677612652701546</v>
      </c>
      <c r="G494" s="209">
        <v>6.9048457039123354</v>
      </c>
      <c r="H494" s="209">
        <v>7.2351038604275333</v>
      </c>
      <c r="I494" s="209">
        <v>10.26985097647942</v>
      </c>
      <c r="J494" s="209">
        <v>11.111450011089104</v>
      </c>
      <c r="K494" s="209">
        <v>9.6276452882409664</v>
      </c>
      <c r="L494" s="202">
        <v>9.2500511917545669</v>
      </c>
      <c r="M494" s="208">
        <v>13.348650015168376</v>
      </c>
      <c r="N494" s="209">
        <v>8.9361182943092565</v>
      </c>
      <c r="O494" s="209">
        <v>16.494017144652741</v>
      </c>
      <c r="P494" s="209">
        <v>10.391109059179552</v>
      </c>
      <c r="Q494" s="209">
        <v>14.983432082780404</v>
      </c>
      <c r="R494" s="209">
        <v>16.330845808586293</v>
      </c>
      <c r="S494" s="209">
        <v>15.850578782231734</v>
      </c>
      <c r="T494" s="209">
        <v>17.932840169515316</v>
      </c>
      <c r="U494" s="209">
        <v>19.517956458647046</v>
      </c>
      <c r="V494" s="209">
        <v>14.571458228481285</v>
      </c>
      <c r="W494" s="209">
        <v>6.6323166844491714</v>
      </c>
      <c r="X494" s="202">
        <v>7.3278559847426887</v>
      </c>
      <c r="Y494" s="208">
        <v>10.772005915644709</v>
      </c>
      <c r="Z494" s="209">
        <v>3</v>
      </c>
      <c r="AA494" s="209" t="s">
        <v>93</v>
      </c>
      <c r="AB494" s="209" t="s">
        <v>93</v>
      </c>
      <c r="AC494" s="209">
        <v>1.96758074936607</v>
      </c>
      <c r="AD494" s="202">
        <v>11.251492565987101</v>
      </c>
      <c r="AE494" s="210" t="s">
        <v>356</v>
      </c>
    </row>
    <row r="495" spans="2:31" ht="12" hidden="1" customHeight="1">
      <c r="B495" s="391" t="s">
        <v>357</v>
      </c>
      <c r="C495" s="208">
        <v>2.9235677217547935</v>
      </c>
      <c r="D495" s="209">
        <v>1.4016717091344841</v>
      </c>
      <c r="E495" s="209">
        <v>3.5819703066928352</v>
      </c>
      <c r="F495" s="209">
        <v>1.5059219796187957</v>
      </c>
      <c r="G495" s="209">
        <v>0.65366540500252468</v>
      </c>
      <c r="H495" s="209">
        <v>2.0753848575630203</v>
      </c>
      <c r="I495" s="209">
        <v>1.4693329211655424</v>
      </c>
      <c r="J495" s="209">
        <v>2.6311693448175504</v>
      </c>
      <c r="K495" s="209">
        <v>3.0717222824453936</v>
      </c>
      <c r="L495" s="202">
        <v>6.4247421545577703</v>
      </c>
      <c r="M495" s="208">
        <v>9.656001085819149</v>
      </c>
      <c r="N495" s="209">
        <v>6.790075566910529</v>
      </c>
      <c r="O495" s="209">
        <v>16.278573445313103</v>
      </c>
      <c r="P495" s="209">
        <v>15.28979856000878</v>
      </c>
      <c r="Q495" s="209">
        <v>8.8593592172989499</v>
      </c>
      <c r="R495" s="209">
        <v>9.7790292847964277</v>
      </c>
      <c r="S495" s="209">
        <v>4.7245604033104209</v>
      </c>
      <c r="T495" s="209">
        <v>8.2578384234804005</v>
      </c>
      <c r="U495" s="209">
        <v>10.609479191376069</v>
      </c>
      <c r="V495" s="209">
        <v>11.55693655423447</v>
      </c>
      <c r="W495" s="209">
        <v>6.4106833434719777</v>
      </c>
      <c r="X495" s="202">
        <v>6.0163451986196783</v>
      </c>
      <c r="Y495" s="208">
        <v>6.46</v>
      </c>
      <c r="Z495" s="209">
        <v>0.42820146304548901</v>
      </c>
      <c r="AA495" s="209" t="s">
        <v>93</v>
      </c>
      <c r="AB495" s="209" t="s">
        <v>93</v>
      </c>
      <c r="AC495" s="209">
        <v>4.5170112805010643</v>
      </c>
      <c r="AD495" s="202">
        <v>10.942714819427142</v>
      </c>
      <c r="AE495" s="210" t="s">
        <v>213</v>
      </c>
    </row>
    <row r="496" spans="2:31" ht="12" hidden="1" customHeight="1">
      <c r="B496" s="392">
        <v>43103</v>
      </c>
      <c r="C496" s="208"/>
      <c r="D496" s="209"/>
      <c r="E496" s="209"/>
      <c r="F496" s="209"/>
      <c r="G496" s="209"/>
      <c r="H496" s="209"/>
      <c r="I496" s="209"/>
      <c r="J496" s="209"/>
      <c r="K496" s="209"/>
      <c r="L496" s="202"/>
      <c r="M496" s="208"/>
      <c r="N496" s="209"/>
      <c r="O496" s="209"/>
      <c r="P496" s="209"/>
      <c r="Q496" s="209"/>
      <c r="R496" s="209"/>
      <c r="S496" s="209"/>
      <c r="T496" s="209"/>
      <c r="U496" s="209"/>
      <c r="V496" s="209"/>
      <c r="W496" s="209"/>
      <c r="X496" s="202"/>
      <c r="Y496" s="208"/>
      <c r="Z496" s="209"/>
      <c r="AA496" s="209"/>
      <c r="AB496" s="209"/>
      <c r="AC496" s="209"/>
      <c r="AD496" s="202"/>
      <c r="AE496" s="397">
        <v>43103</v>
      </c>
    </row>
    <row r="497" spans="2:31" ht="12" hidden="1" customHeight="1">
      <c r="B497" s="391" t="s">
        <v>187</v>
      </c>
      <c r="C497" s="208">
        <v>10.100213123439412</v>
      </c>
      <c r="D497" s="209">
        <v>5.3101447870132015</v>
      </c>
      <c r="E497" s="209">
        <v>11.182912251135983</v>
      </c>
      <c r="F497" s="209">
        <v>6.9710667668741939</v>
      </c>
      <c r="G497" s="209">
        <v>6.8678935332988384</v>
      </c>
      <c r="H497" s="209">
        <v>7.5131515266858742</v>
      </c>
      <c r="I497" s="209">
        <v>10.199434733627402</v>
      </c>
      <c r="J497" s="209">
        <v>10.798792710104353</v>
      </c>
      <c r="K497" s="209">
        <v>9.6166314426032873</v>
      </c>
      <c r="L497" s="202">
        <v>9.3277445607218485</v>
      </c>
      <c r="M497" s="208">
        <v>13.449441435697704</v>
      </c>
      <c r="N497" s="209">
        <v>9.0115579349819654</v>
      </c>
      <c r="O497" s="209">
        <v>16.610434113249429</v>
      </c>
      <c r="P497" s="209">
        <v>11.434358395048831</v>
      </c>
      <c r="Q497" s="209">
        <v>14.290969191508207</v>
      </c>
      <c r="R497" s="209">
        <v>16.124574069516058</v>
      </c>
      <c r="S497" s="209">
        <v>15.704508171014679</v>
      </c>
      <c r="T497" s="209">
        <v>17.771387074101799</v>
      </c>
      <c r="U497" s="209">
        <v>19.889748316424971</v>
      </c>
      <c r="V497" s="209">
        <v>14.982511848531141</v>
      </c>
      <c r="W497" s="209">
        <v>6.6222519134979532</v>
      </c>
      <c r="X497" s="202">
        <v>7.3238566893583119</v>
      </c>
      <c r="Y497" s="208">
        <v>10.784115961128247</v>
      </c>
      <c r="Z497" s="209" t="s">
        <v>93</v>
      </c>
      <c r="AA497" s="209" t="s">
        <v>93</v>
      </c>
      <c r="AB497" s="209" t="s">
        <v>93</v>
      </c>
      <c r="AC497" s="209">
        <v>1.96758074936607</v>
      </c>
      <c r="AD497" s="202">
        <v>11.272052341713499</v>
      </c>
      <c r="AE497" s="210" t="s">
        <v>356</v>
      </c>
    </row>
    <row r="498" spans="2:31" ht="12" hidden="1" customHeight="1">
      <c r="B498" s="391" t="s">
        <v>357</v>
      </c>
      <c r="C498" s="208">
        <v>2.9195149539065364</v>
      </c>
      <c r="D498" s="209">
        <v>1.3955673034248857</v>
      </c>
      <c r="E498" s="209">
        <v>3.5805219125545342</v>
      </c>
      <c r="F498" s="209">
        <v>2.6298969862582826</v>
      </c>
      <c r="G498" s="209">
        <v>0.65570360679846762</v>
      </c>
      <c r="H498" s="209">
        <v>1.9294101842252684</v>
      </c>
      <c r="I498" s="209">
        <v>1.4332631717988178</v>
      </c>
      <c r="J498" s="209">
        <v>2.7235038785706216</v>
      </c>
      <c r="K498" s="209">
        <v>2.9363332468755527</v>
      </c>
      <c r="L498" s="202">
        <v>6.2445370105275959</v>
      </c>
      <c r="M498" s="208">
        <v>9.8729388600422929</v>
      </c>
      <c r="N498" s="209">
        <v>6.9753024155147001</v>
      </c>
      <c r="O498" s="209">
        <v>16.177609376920756</v>
      </c>
      <c r="P498" s="209">
        <v>15.272565273825849</v>
      </c>
      <c r="Q498" s="209">
        <v>9.0439375086298188</v>
      </c>
      <c r="R498" s="209">
        <v>10.972918995405838</v>
      </c>
      <c r="S498" s="209">
        <v>4.9402827270807803</v>
      </c>
      <c r="T498" s="209">
        <v>8.4540729101344461</v>
      </c>
      <c r="U498" s="209">
        <v>11.249164463696721</v>
      </c>
      <c r="V498" s="209">
        <v>11.481359171997726</v>
      </c>
      <c r="W498" s="209">
        <v>6.3604570285573647</v>
      </c>
      <c r="X498" s="202">
        <v>6.4012427060842256</v>
      </c>
      <c r="Y498" s="208">
        <v>6.8351377987234896</v>
      </c>
      <c r="Z498" s="209">
        <v>0.92037221412011017</v>
      </c>
      <c r="AA498" s="209">
        <v>6</v>
      </c>
      <c r="AB498" s="209" t="s">
        <v>93</v>
      </c>
      <c r="AC498" s="209">
        <v>5.6811454295706199</v>
      </c>
      <c r="AD498" s="202">
        <v>10.942714819427142</v>
      </c>
      <c r="AE498" s="210" t="s">
        <v>213</v>
      </c>
    </row>
    <row r="499" spans="2:31" ht="12" hidden="1" customHeight="1">
      <c r="B499" s="392">
        <v>43104</v>
      </c>
      <c r="C499" s="208"/>
      <c r="D499" s="209"/>
      <c r="E499" s="209"/>
      <c r="F499" s="209"/>
      <c r="G499" s="209"/>
      <c r="H499" s="209"/>
      <c r="I499" s="209"/>
      <c r="J499" s="209"/>
      <c r="K499" s="209"/>
      <c r="L499" s="202"/>
      <c r="M499" s="208"/>
      <c r="N499" s="209"/>
      <c r="O499" s="209"/>
      <c r="P499" s="209"/>
      <c r="Q499" s="209"/>
      <c r="R499" s="209"/>
      <c r="S499" s="209"/>
      <c r="T499" s="209"/>
      <c r="U499" s="209"/>
      <c r="V499" s="209"/>
      <c r="W499" s="209"/>
      <c r="X499" s="202"/>
      <c r="Y499" s="208"/>
      <c r="Z499" s="209"/>
      <c r="AA499" s="209"/>
      <c r="AB499" s="209"/>
      <c r="AC499" s="209"/>
      <c r="AD499" s="202"/>
      <c r="AE499" s="397">
        <v>43104</v>
      </c>
    </row>
    <row r="500" spans="2:31" ht="12" hidden="1" customHeight="1">
      <c r="B500" s="391" t="s">
        <v>187</v>
      </c>
      <c r="C500" s="208">
        <v>10.06035634863445</v>
      </c>
      <c r="D500" s="209">
        <v>5.3848966256109447</v>
      </c>
      <c r="E500" s="209">
        <v>11.040797292372552</v>
      </c>
      <c r="F500" s="209">
        <v>6.9990074390783823</v>
      </c>
      <c r="G500" s="209">
        <v>5.9094653435904689</v>
      </c>
      <c r="H500" s="209">
        <v>7.6090859335386858</v>
      </c>
      <c r="I500" s="209">
        <v>10.285688277432417</v>
      </c>
      <c r="J500" s="209">
        <v>10.784335863950819</v>
      </c>
      <c r="K500" s="209">
        <v>9.7108093932399573</v>
      </c>
      <c r="L500" s="202">
        <v>9.3162166043456445</v>
      </c>
      <c r="M500" s="208">
        <v>13.453746777445286</v>
      </c>
      <c r="N500" s="209">
        <v>8.8743764457821399</v>
      </c>
      <c r="O500" s="209">
        <v>16.645146090361681</v>
      </c>
      <c r="P500" s="209">
        <v>11.281037480318911</v>
      </c>
      <c r="Q500" s="209">
        <v>13.890888269467247</v>
      </c>
      <c r="R500" s="209">
        <v>15.947189532447153</v>
      </c>
      <c r="S500" s="209">
        <v>15.382588163251487</v>
      </c>
      <c r="T500" s="209">
        <v>17.700016022769464</v>
      </c>
      <c r="U500" s="209">
        <v>19.695449041382812</v>
      </c>
      <c r="V500" s="209">
        <v>15.313900588631746</v>
      </c>
      <c r="W500" s="209">
        <v>6.6171966308235453</v>
      </c>
      <c r="X500" s="202">
        <v>7.2716361725696412</v>
      </c>
      <c r="Y500" s="208">
        <v>12.386978845728745</v>
      </c>
      <c r="Z500" s="209" t="s">
        <v>93</v>
      </c>
      <c r="AA500" s="209" t="s">
        <v>93</v>
      </c>
      <c r="AB500" s="209" t="s">
        <v>93</v>
      </c>
      <c r="AC500" s="209">
        <v>1.96758074936607</v>
      </c>
      <c r="AD500" s="202">
        <v>13.528729470960599</v>
      </c>
      <c r="AE500" s="210" t="s">
        <v>356</v>
      </c>
    </row>
    <row r="501" spans="2:31" ht="12" hidden="1" customHeight="1">
      <c r="B501" s="391" t="s">
        <v>357</v>
      </c>
      <c r="C501" s="208">
        <v>2.8177618454761451</v>
      </c>
      <c r="D501" s="209">
        <v>1.3813073236072373</v>
      </c>
      <c r="E501" s="209">
        <v>3.4322642710448812</v>
      </c>
      <c r="F501" s="209">
        <v>2.4198107127260653</v>
      </c>
      <c r="G501" s="209">
        <v>0.6510447698154368</v>
      </c>
      <c r="H501" s="209">
        <v>1.7251659753966653</v>
      </c>
      <c r="I501" s="209">
        <v>2.0046640785140712</v>
      </c>
      <c r="J501" s="209">
        <v>2.5014145039997144</v>
      </c>
      <c r="K501" s="209">
        <v>2.9818260894754269</v>
      </c>
      <c r="L501" s="202">
        <v>5.9329104525000886</v>
      </c>
      <c r="M501" s="208">
        <v>9.7406871802686474</v>
      </c>
      <c r="N501" s="209">
        <v>6.9642390626804511</v>
      </c>
      <c r="O501" s="209">
        <v>15.858318349012702</v>
      </c>
      <c r="P501" s="209">
        <v>13.037841999492054</v>
      </c>
      <c r="Q501" s="209">
        <v>9.614542207960417</v>
      </c>
      <c r="R501" s="209">
        <v>10.817512030155289</v>
      </c>
      <c r="S501" s="209">
        <v>5.4375185339671459</v>
      </c>
      <c r="T501" s="209">
        <v>8.3547797929859815</v>
      </c>
      <c r="U501" s="209">
        <v>11.040237561156905</v>
      </c>
      <c r="V501" s="209">
        <v>11.557123939558855</v>
      </c>
      <c r="W501" s="209">
        <v>6.2791113292945955</v>
      </c>
      <c r="X501" s="202">
        <v>6.3996243911129733</v>
      </c>
      <c r="Y501" s="208">
        <v>5.0881340284685193</v>
      </c>
      <c r="Z501" s="209">
        <v>1.2810330353951054</v>
      </c>
      <c r="AA501" s="209" t="s">
        <v>93</v>
      </c>
      <c r="AB501" s="209">
        <v>4</v>
      </c>
      <c r="AC501" s="209">
        <v>5.7035940236547695</v>
      </c>
      <c r="AD501" s="202">
        <v>10.942551200608532</v>
      </c>
      <c r="AE501" s="210" t="s">
        <v>213</v>
      </c>
    </row>
    <row r="502" spans="2:31" ht="12" hidden="1" customHeight="1">
      <c r="B502" s="392">
        <v>43105</v>
      </c>
      <c r="C502" s="208"/>
      <c r="D502" s="209"/>
      <c r="E502" s="209"/>
      <c r="F502" s="209"/>
      <c r="G502" s="209"/>
      <c r="H502" s="209"/>
      <c r="I502" s="209"/>
      <c r="J502" s="209"/>
      <c r="K502" s="209"/>
      <c r="L502" s="202"/>
      <c r="M502" s="208"/>
      <c r="N502" s="209"/>
      <c r="O502" s="209"/>
      <c r="P502" s="209"/>
      <c r="Q502" s="209"/>
      <c r="R502" s="209"/>
      <c r="S502" s="209"/>
      <c r="T502" s="209"/>
      <c r="U502" s="209"/>
      <c r="V502" s="209"/>
      <c r="W502" s="209"/>
      <c r="X502" s="202"/>
      <c r="Y502" s="208"/>
      <c r="Z502" s="209"/>
      <c r="AA502" s="209"/>
      <c r="AB502" s="209"/>
      <c r="AC502" s="209"/>
      <c r="AD502" s="202"/>
      <c r="AE502" s="397">
        <v>43105</v>
      </c>
    </row>
    <row r="503" spans="2:31" ht="12" hidden="1" customHeight="1">
      <c r="B503" s="391" t="s">
        <v>187</v>
      </c>
      <c r="C503" s="208">
        <v>10.1448899430314</v>
      </c>
      <c r="D503" s="209">
        <v>5.4289589126870785</v>
      </c>
      <c r="E503" s="209">
        <v>10.905032870854727</v>
      </c>
      <c r="F503" s="209">
        <v>7.862352594152207</v>
      </c>
      <c r="G503" s="209">
        <v>5.6263366502178043</v>
      </c>
      <c r="H503" s="209">
        <v>7.6787090816637633</v>
      </c>
      <c r="I503" s="209">
        <v>9.7755015563420713</v>
      </c>
      <c r="J503" s="209">
        <v>10.735031234645557</v>
      </c>
      <c r="K503" s="209">
        <v>9.6759935029332045</v>
      </c>
      <c r="L503" s="202">
        <v>9.2686049743124954</v>
      </c>
      <c r="M503" s="208">
        <v>13.568419497425497</v>
      </c>
      <c r="N503" s="209">
        <v>8.8087999828200818</v>
      </c>
      <c r="O503" s="209">
        <v>16.828145743822358</v>
      </c>
      <c r="P503" s="209">
        <v>12.116462405702579</v>
      </c>
      <c r="Q503" s="209">
        <v>12.897963442806159</v>
      </c>
      <c r="R503" s="209">
        <v>16.100570881535521</v>
      </c>
      <c r="S503" s="209">
        <v>15.444959510955814</v>
      </c>
      <c r="T503" s="209">
        <v>17.135472398349023</v>
      </c>
      <c r="U503" s="209">
        <v>19.65639493075625</v>
      </c>
      <c r="V503" s="209">
        <v>15.955678971846117</v>
      </c>
      <c r="W503" s="209">
        <v>6.6589596932397344</v>
      </c>
      <c r="X503" s="202">
        <v>7.2398056085688394</v>
      </c>
      <c r="Y503" s="208">
        <v>11.583975691832702</v>
      </c>
      <c r="Z503" s="209">
        <v>3</v>
      </c>
      <c r="AA503" s="209" t="s">
        <v>93</v>
      </c>
      <c r="AB503" s="209"/>
      <c r="AC503" s="209">
        <v>1.9675807493660671</v>
      </c>
      <c r="AD503" s="202">
        <v>12.644752563873256</v>
      </c>
      <c r="AE503" s="210" t="s">
        <v>356</v>
      </c>
    </row>
    <row r="504" spans="2:31" ht="12" hidden="1" customHeight="1">
      <c r="B504" s="391" t="s">
        <v>357</v>
      </c>
      <c r="C504" s="208">
        <v>2.6965609397783332</v>
      </c>
      <c r="D504" s="209">
        <v>1.3531217870604457</v>
      </c>
      <c r="E504" s="209">
        <v>3.2828157901601172</v>
      </c>
      <c r="F504" s="209">
        <v>2.2277045520722121</v>
      </c>
      <c r="G504" s="209">
        <v>0.66183195611115664</v>
      </c>
      <c r="H504" s="209">
        <v>1.4792705402705675</v>
      </c>
      <c r="I504" s="209">
        <v>0.63777827516771579</v>
      </c>
      <c r="J504" s="209">
        <v>2.3773846519345829</v>
      </c>
      <c r="K504" s="209">
        <v>2.9411213936385057</v>
      </c>
      <c r="L504" s="202">
        <v>5.0661766833800215</v>
      </c>
      <c r="M504" s="208">
        <v>9.6476500104021561</v>
      </c>
      <c r="N504" s="209">
        <v>6.9521558826244032</v>
      </c>
      <c r="O504" s="209">
        <v>15.925236939339305</v>
      </c>
      <c r="P504" s="209">
        <v>12.961557498627666</v>
      </c>
      <c r="Q504" s="209">
        <v>9.6980436687022493</v>
      </c>
      <c r="R504" s="209">
        <v>11.280299262160604</v>
      </c>
      <c r="S504" s="209">
        <v>5.7201647421828987</v>
      </c>
      <c r="T504" s="209">
        <v>8.392379897982897</v>
      </c>
      <c r="U504" s="209">
        <v>10.925567947769618</v>
      </c>
      <c r="V504" s="209">
        <v>11.128191327879701</v>
      </c>
      <c r="W504" s="209">
        <v>6.3168646592133513</v>
      </c>
      <c r="X504" s="202">
        <v>6.378265458382069</v>
      </c>
      <c r="Y504" s="208">
        <v>5.18</v>
      </c>
      <c r="Z504" s="209">
        <v>1.4451183365470424</v>
      </c>
      <c r="AA504" s="209" t="s">
        <v>93</v>
      </c>
      <c r="AB504" s="209">
        <v>4</v>
      </c>
      <c r="AC504" s="209">
        <v>5.7250011131605225</v>
      </c>
      <c r="AD504" s="202">
        <v>9.8390772039903318</v>
      </c>
      <c r="AE504" s="210" t="s">
        <v>213</v>
      </c>
    </row>
    <row r="505" spans="2:31" ht="12" hidden="1" customHeight="1">
      <c r="B505" s="392">
        <v>43106</v>
      </c>
      <c r="C505" s="208"/>
      <c r="D505" s="209"/>
      <c r="E505" s="209"/>
      <c r="F505" s="209"/>
      <c r="G505" s="209"/>
      <c r="H505" s="209"/>
      <c r="I505" s="209"/>
      <c r="J505" s="209"/>
      <c r="K505" s="209"/>
      <c r="L505" s="202"/>
      <c r="M505" s="208"/>
      <c r="N505" s="209"/>
      <c r="O505" s="209"/>
      <c r="P505" s="209"/>
      <c r="Q505" s="209"/>
      <c r="R505" s="209"/>
      <c r="S505" s="209"/>
      <c r="T505" s="209"/>
      <c r="U505" s="209"/>
      <c r="V505" s="209"/>
      <c r="W505" s="209"/>
      <c r="X505" s="202"/>
      <c r="Y505" s="208"/>
      <c r="Z505" s="209"/>
      <c r="AA505" s="209"/>
      <c r="AB505" s="209"/>
      <c r="AC505" s="209"/>
      <c r="AD505" s="202"/>
      <c r="AE505" s="397">
        <v>43106</v>
      </c>
    </row>
    <row r="506" spans="2:31" ht="12" hidden="1" customHeight="1">
      <c r="B506" s="391" t="s">
        <v>187</v>
      </c>
      <c r="C506" s="208">
        <v>9.9769953030977856</v>
      </c>
      <c r="D506" s="209">
        <v>5.2296782644881645</v>
      </c>
      <c r="E506" s="209">
        <v>10.689306328631396</v>
      </c>
      <c r="F506" s="209">
        <v>10.889844188888285</v>
      </c>
      <c r="G506" s="209">
        <v>4.577347677303429</v>
      </c>
      <c r="H506" s="209">
        <v>6.2547252069878105</v>
      </c>
      <c r="I506" s="209">
        <v>9.7687659950161105</v>
      </c>
      <c r="J506" s="209">
        <v>10.407557975674187</v>
      </c>
      <c r="K506" s="209">
        <v>9.6860484612145861</v>
      </c>
      <c r="L506" s="202">
        <v>9.6154877123330671</v>
      </c>
      <c r="M506" s="208">
        <v>13.649195925723925</v>
      </c>
      <c r="N506" s="209">
        <v>8.7829361672723287</v>
      </c>
      <c r="O506" s="209">
        <v>16.899030041484089</v>
      </c>
      <c r="P506" s="209">
        <v>13.020703676174453</v>
      </c>
      <c r="Q506" s="209">
        <v>12.654136370971974</v>
      </c>
      <c r="R506" s="209">
        <v>15.908085632377714</v>
      </c>
      <c r="S506" s="209">
        <v>15.260656500230468</v>
      </c>
      <c r="T506" s="209">
        <v>17.057788909788364</v>
      </c>
      <c r="U506" s="209">
        <v>19.564623271220238</v>
      </c>
      <c r="V506" s="209">
        <v>16.347497637759808</v>
      </c>
      <c r="W506" s="209">
        <v>6.6454053075662198</v>
      </c>
      <c r="X506" s="202">
        <v>7.218415448274226</v>
      </c>
      <c r="Y506" s="208">
        <v>11.636319054889617</v>
      </c>
      <c r="Z506" s="209" t="s">
        <v>93</v>
      </c>
      <c r="AA506" s="209" t="s">
        <v>93</v>
      </c>
      <c r="AB506" s="209" t="s">
        <v>93</v>
      </c>
      <c r="AC506" s="209">
        <v>1.96758074936607</v>
      </c>
      <c r="AD506" s="202">
        <v>12.583420155487399</v>
      </c>
      <c r="AE506" s="210" t="s">
        <v>356</v>
      </c>
    </row>
    <row r="507" spans="2:31" ht="12" hidden="1" customHeight="1">
      <c r="B507" s="391" t="s">
        <v>357</v>
      </c>
      <c r="C507" s="208">
        <v>2.6463043063408236</v>
      </c>
      <c r="D507" s="209">
        <v>1.3314495078884421</v>
      </c>
      <c r="E507" s="209">
        <v>3.2255902186543262</v>
      </c>
      <c r="F507" s="209">
        <v>4.2450708897385603</v>
      </c>
      <c r="G507" s="209">
        <v>0.49456522613835552</v>
      </c>
      <c r="H507" s="209">
        <v>2.3412789601523487</v>
      </c>
      <c r="I507" s="209">
        <v>0.61286930802777462</v>
      </c>
      <c r="J507" s="209">
        <v>2.2435405563808613</v>
      </c>
      <c r="K507" s="209">
        <v>2.9268235000447294</v>
      </c>
      <c r="L507" s="202">
        <v>5.1757559744703627</v>
      </c>
      <c r="M507" s="208">
        <v>9.4854444975377241</v>
      </c>
      <c r="N507" s="209">
        <v>6.9117289886880986</v>
      </c>
      <c r="O507" s="209">
        <v>15.606046545405029</v>
      </c>
      <c r="P507" s="209">
        <v>12.752776640498256</v>
      </c>
      <c r="Q507" s="209">
        <v>9.9392498420392457</v>
      </c>
      <c r="R507" s="209">
        <v>10.874358030251443</v>
      </c>
      <c r="S507" s="209">
        <v>5.8547795402750786</v>
      </c>
      <c r="T507" s="209">
        <v>8.0892169420112445</v>
      </c>
      <c r="U507" s="209">
        <v>10.773862162062622</v>
      </c>
      <c r="V507" s="209">
        <v>10.922410232748444</v>
      </c>
      <c r="W507" s="209">
        <v>6.2814503266051132</v>
      </c>
      <c r="X507" s="202">
        <v>6.3590967846870639</v>
      </c>
      <c r="Y507" s="208">
        <v>5.7430721833938545</v>
      </c>
      <c r="Z507" s="209">
        <v>1.1438035650803207</v>
      </c>
      <c r="AA507" s="209" t="s">
        <v>93</v>
      </c>
      <c r="AB507" s="209">
        <v>4</v>
      </c>
      <c r="AC507" s="209">
        <v>5.7250011131605198</v>
      </c>
      <c r="AD507" s="202">
        <v>9.9939727523196122</v>
      </c>
      <c r="AE507" s="210" t="s">
        <v>213</v>
      </c>
    </row>
    <row r="508" spans="2:31" ht="12" customHeight="1">
      <c r="B508" s="392">
        <v>43107</v>
      </c>
      <c r="C508" s="208"/>
      <c r="D508" s="209"/>
      <c r="E508" s="209"/>
      <c r="F508" s="209"/>
      <c r="G508" s="209"/>
      <c r="H508" s="209"/>
      <c r="I508" s="209"/>
      <c r="J508" s="209"/>
      <c r="K508" s="209"/>
      <c r="L508" s="202"/>
      <c r="M508" s="208"/>
      <c r="N508" s="209"/>
      <c r="O508" s="209"/>
      <c r="P508" s="209"/>
      <c r="Q508" s="209"/>
      <c r="R508" s="209"/>
      <c r="S508" s="209"/>
      <c r="T508" s="209"/>
      <c r="U508" s="209"/>
      <c r="V508" s="209"/>
      <c r="W508" s="209"/>
      <c r="X508" s="202"/>
      <c r="Y508" s="208"/>
      <c r="Z508" s="209"/>
      <c r="AA508" s="209"/>
      <c r="AB508" s="209"/>
      <c r="AC508" s="209"/>
      <c r="AD508" s="202"/>
      <c r="AE508" s="397">
        <v>43107</v>
      </c>
    </row>
    <row r="509" spans="2:31" ht="12" customHeight="1">
      <c r="B509" s="391" t="s">
        <v>187</v>
      </c>
      <c r="C509" s="208">
        <v>9.8644828350590927</v>
      </c>
      <c r="D509" s="209">
        <v>5.1920533574302405</v>
      </c>
      <c r="E509" s="209">
        <v>10.508945174551602</v>
      </c>
      <c r="F509" s="209">
        <v>11.083087625979262</v>
      </c>
      <c r="G509" s="209">
        <v>3.6481746766940502</v>
      </c>
      <c r="H509" s="209">
        <v>5.6887490790517026</v>
      </c>
      <c r="I509" s="209">
        <v>6.7111615126555044</v>
      </c>
      <c r="J509" s="209">
        <v>10.292656835683646</v>
      </c>
      <c r="K509" s="209">
        <v>9.6467892957115424</v>
      </c>
      <c r="L509" s="202">
        <v>9.5835567290840569</v>
      </c>
      <c r="M509" s="208">
        <v>13.693684554332277</v>
      </c>
      <c r="N509" s="209">
        <v>8.7623698234549625</v>
      </c>
      <c r="O509" s="209">
        <v>16.900058211119699</v>
      </c>
      <c r="P509" s="209">
        <v>10.868981021557977</v>
      </c>
      <c r="Q509" s="209">
        <v>12.814306495411392</v>
      </c>
      <c r="R509" s="209">
        <v>15.38346280810925</v>
      </c>
      <c r="S509" s="209">
        <v>14.902519043697723</v>
      </c>
      <c r="T509" s="209">
        <v>17.366187109084006</v>
      </c>
      <c r="U509" s="209">
        <v>19.427636582276836</v>
      </c>
      <c r="V509" s="209">
        <v>16.385725449030364</v>
      </c>
      <c r="W509" s="209">
        <v>6.7124006579954072</v>
      </c>
      <c r="X509" s="202">
        <v>7.1911051881564543</v>
      </c>
      <c r="Y509" s="208">
        <v>11.229027170193126</v>
      </c>
      <c r="Z509" s="209" t="s">
        <v>93</v>
      </c>
      <c r="AA509" s="209" t="s">
        <v>93</v>
      </c>
      <c r="AB509" s="209" t="s">
        <v>93</v>
      </c>
      <c r="AC509" s="209">
        <v>14.000000000000002</v>
      </c>
      <c r="AD509" s="202">
        <v>11.202385602259399</v>
      </c>
      <c r="AE509" s="210" t="s">
        <v>356</v>
      </c>
    </row>
    <row r="510" spans="2:31" ht="12" customHeight="1">
      <c r="B510" s="391" t="s">
        <v>357</v>
      </c>
      <c r="C510" s="208">
        <v>2.5183389510809748</v>
      </c>
      <c r="D510" s="209">
        <v>1.2993692241944239</v>
      </c>
      <c r="E510" s="209">
        <v>3.0445775600013549</v>
      </c>
      <c r="F510" s="209">
        <v>4.2024040085462397</v>
      </c>
      <c r="G510" s="209">
        <v>0.50062012137319345</v>
      </c>
      <c r="H510" s="209">
        <v>2.2420653940463708</v>
      </c>
      <c r="I510" s="209">
        <v>0.63528350101575803</v>
      </c>
      <c r="J510" s="209">
        <v>2.0564245308774205</v>
      </c>
      <c r="K510" s="209">
        <v>2.8627005567076775</v>
      </c>
      <c r="L510" s="202">
        <v>5.135415227443362</v>
      </c>
      <c r="M510" s="208">
        <v>9.3915462233774747</v>
      </c>
      <c r="N510" s="209">
        <v>6.8762912841410948</v>
      </c>
      <c r="O510" s="209">
        <v>15.70277630608598</v>
      </c>
      <c r="P510" s="209">
        <v>13.916131246119795</v>
      </c>
      <c r="Q510" s="209">
        <v>9.6003602998200801</v>
      </c>
      <c r="R510" s="209">
        <v>10.413817366623466</v>
      </c>
      <c r="S510" s="209">
        <v>6.0494408821712247</v>
      </c>
      <c r="T510" s="209">
        <v>8.0407705324930099</v>
      </c>
      <c r="U510" s="209">
        <v>10.570340658391558</v>
      </c>
      <c r="V510" s="209">
        <v>10.789696476228924</v>
      </c>
      <c r="W510" s="209">
        <v>6.3944616739592632</v>
      </c>
      <c r="X510" s="202">
        <v>6.3839288787562287</v>
      </c>
      <c r="Y510" s="208">
        <v>4.3459290678370577</v>
      </c>
      <c r="Z510" s="209">
        <v>2.0556174985242999</v>
      </c>
      <c r="AA510" s="209" t="s">
        <v>93</v>
      </c>
      <c r="AB510" s="209">
        <v>4</v>
      </c>
      <c r="AC510" s="209">
        <v>10</v>
      </c>
      <c r="AD510" s="202">
        <v>3.9106990374378503</v>
      </c>
      <c r="AE510" s="210" t="s">
        <v>213</v>
      </c>
    </row>
    <row r="511" spans="2:31" ht="12" customHeight="1">
      <c r="B511" s="392">
        <v>43108</v>
      </c>
      <c r="C511" s="208"/>
      <c r="D511" s="209"/>
      <c r="E511" s="209"/>
      <c r="F511" s="209"/>
      <c r="G511" s="209"/>
      <c r="H511" s="209"/>
      <c r="I511" s="209"/>
      <c r="J511" s="209"/>
      <c r="K511" s="209"/>
      <c r="L511" s="202"/>
      <c r="M511" s="208"/>
      <c r="N511" s="209"/>
      <c r="O511" s="209"/>
      <c r="P511" s="209"/>
      <c r="Q511" s="209"/>
      <c r="R511" s="209"/>
      <c r="S511" s="209"/>
      <c r="T511" s="209"/>
      <c r="U511" s="209"/>
      <c r="V511" s="209"/>
      <c r="W511" s="209"/>
      <c r="X511" s="202"/>
      <c r="Y511" s="208"/>
      <c r="Z511" s="209"/>
      <c r="AA511" s="209"/>
      <c r="AB511" s="209"/>
      <c r="AC511" s="209"/>
      <c r="AD511" s="202"/>
      <c r="AE511" s="397">
        <v>43108</v>
      </c>
    </row>
    <row r="512" spans="2:31" ht="12" customHeight="1">
      <c r="B512" s="391" t="s">
        <v>187</v>
      </c>
      <c r="C512" s="208">
        <v>9.8472674523363981</v>
      </c>
      <c r="D512" s="209">
        <v>5.6719499466993932</v>
      </c>
      <c r="E512" s="209">
        <v>10.34397979602875</v>
      </c>
      <c r="F512" s="209">
        <v>11.09184337039604</v>
      </c>
      <c r="G512" s="209">
        <v>3.5016370566966182</v>
      </c>
      <c r="H512" s="209">
        <v>5.8351693731834766</v>
      </c>
      <c r="I512" s="209">
        <v>6.4934368488125784</v>
      </c>
      <c r="J512" s="209">
        <v>10.253793267293871</v>
      </c>
      <c r="K512" s="209">
        <v>9.6633115783591332</v>
      </c>
      <c r="L512" s="202">
        <v>9.4795890447910196</v>
      </c>
      <c r="M512" s="208">
        <v>13.798637432398438</v>
      </c>
      <c r="N512" s="209">
        <v>8.820729662054589</v>
      </c>
      <c r="O512" s="209">
        <v>16.967155835797033</v>
      </c>
      <c r="P512" s="209">
        <v>11.109601432645968</v>
      </c>
      <c r="Q512" s="209">
        <v>13.182159447127404</v>
      </c>
      <c r="R512" s="209">
        <v>16.247374394233301</v>
      </c>
      <c r="S512" s="209">
        <v>14.775999235162962</v>
      </c>
      <c r="T512" s="209">
        <v>17.440321209424486</v>
      </c>
      <c r="U512" s="209">
        <v>19.325196141973262</v>
      </c>
      <c r="V512" s="209">
        <v>16.916078947179724</v>
      </c>
      <c r="W512" s="209">
        <v>6.6813507235499792</v>
      </c>
      <c r="X512" s="202">
        <v>7.1958410231467598</v>
      </c>
      <c r="Y512" s="208">
        <v>10.634985333055015</v>
      </c>
      <c r="Z512" s="209">
        <v>2.9999999999999996</v>
      </c>
      <c r="AA512" s="209" t="s">
        <v>93</v>
      </c>
      <c r="AB512" s="209" t="s">
        <v>93</v>
      </c>
      <c r="AC512" s="209">
        <v>14.000000000000002</v>
      </c>
      <c r="AD512" s="202">
        <v>10.612420600668401</v>
      </c>
      <c r="AE512" s="210" t="s">
        <v>356</v>
      </c>
    </row>
    <row r="513" spans="2:31" ht="12" customHeight="1">
      <c r="B513" s="391" t="s">
        <v>357</v>
      </c>
      <c r="C513" s="208">
        <v>2.4637831796217129</v>
      </c>
      <c r="D513" s="209">
        <v>1.332990137748195</v>
      </c>
      <c r="E513" s="209">
        <v>2.9425758491637066</v>
      </c>
      <c r="F513" s="209">
        <v>4.3011062117853101</v>
      </c>
      <c r="G513" s="209">
        <v>0.47351797004909202</v>
      </c>
      <c r="H513" s="209">
        <v>2.2204896423621583</v>
      </c>
      <c r="I513" s="209">
        <v>0.49401653772509518</v>
      </c>
      <c r="J513" s="209">
        <v>2.0735148449575873</v>
      </c>
      <c r="K513" s="209">
        <v>2.7165592489803072</v>
      </c>
      <c r="L513" s="202">
        <v>5.115790657533049</v>
      </c>
      <c r="M513" s="208">
        <v>9.1799251819278211</v>
      </c>
      <c r="N513" s="209">
        <v>6.8359763804302611</v>
      </c>
      <c r="O513" s="209">
        <v>15.156565172212428</v>
      </c>
      <c r="P513" s="209">
        <v>13.570096666208597</v>
      </c>
      <c r="Q513" s="209">
        <v>9.3556064322377459</v>
      </c>
      <c r="R513" s="209">
        <v>9.5158286952262134</v>
      </c>
      <c r="S513" s="209">
        <v>5.6328613186229184</v>
      </c>
      <c r="T513" s="209">
        <v>8.0029537041721373</v>
      </c>
      <c r="U513" s="209">
        <v>10.022633736510523</v>
      </c>
      <c r="V513" s="209">
        <v>10.758281882915409</v>
      </c>
      <c r="W513" s="209">
        <v>6.3793527202829656</v>
      </c>
      <c r="X513" s="202">
        <v>6.3764311916490293</v>
      </c>
      <c r="Y513" s="208">
        <v>4.8629647492222112</v>
      </c>
      <c r="Z513" s="209" t="s">
        <v>93</v>
      </c>
      <c r="AA513" s="209" t="s">
        <v>93</v>
      </c>
      <c r="AB513" s="209">
        <v>4</v>
      </c>
      <c r="AC513" s="209">
        <v>10</v>
      </c>
      <c r="AD513" s="202">
        <v>4.248918353105374</v>
      </c>
      <c r="AE513" s="210" t="s">
        <v>213</v>
      </c>
    </row>
    <row r="514" spans="2:31" ht="12" customHeight="1">
      <c r="B514" s="392">
        <v>43109</v>
      </c>
      <c r="C514" s="208"/>
      <c r="D514" s="209"/>
      <c r="E514" s="209"/>
      <c r="F514" s="209"/>
      <c r="G514" s="209"/>
      <c r="H514" s="209"/>
      <c r="I514" s="209"/>
      <c r="J514" s="209"/>
      <c r="K514" s="209"/>
      <c r="L514" s="202"/>
      <c r="M514" s="208"/>
      <c r="N514" s="209"/>
      <c r="O514" s="209"/>
      <c r="P514" s="209"/>
      <c r="Q514" s="209"/>
      <c r="R514" s="209"/>
      <c r="S514" s="209"/>
      <c r="T514" s="209"/>
      <c r="U514" s="209"/>
      <c r="V514" s="209"/>
      <c r="W514" s="209"/>
      <c r="X514" s="202"/>
      <c r="Y514" s="208"/>
      <c r="Z514" s="209"/>
      <c r="AA514" s="209"/>
      <c r="AB514" s="209"/>
      <c r="AC514" s="209"/>
      <c r="AD514" s="202"/>
      <c r="AE514" s="397">
        <v>43109</v>
      </c>
    </row>
    <row r="515" spans="2:31" ht="12" customHeight="1">
      <c r="B515" s="391" t="s">
        <v>187</v>
      </c>
      <c r="C515" s="208">
        <v>9.7843249468819966</v>
      </c>
      <c r="D515" s="209">
        <v>5.6592976581722159</v>
      </c>
      <c r="E515" s="209">
        <v>10.244794937643631</v>
      </c>
      <c r="F515" s="209">
        <v>11.295020985078448</v>
      </c>
      <c r="G515" s="209">
        <v>4.2680758312583427</v>
      </c>
      <c r="H515" s="209">
        <v>6.1919729582312426</v>
      </c>
      <c r="I515" s="209">
        <v>6.2808154490267842</v>
      </c>
      <c r="J515" s="209">
        <v>10.10166087928887</v>
      </c>
      <c r="K515" s="209">
        <v>9.604136303566607</v>
      </c>
      <c r="L515" s="202">
        <v>9.4523871468136864</v>
      </c>
      <c r="M515" s="208">
        <v>13.968477456461809</v>
      </c>
      <c r="N515" s="209">
        <v>8.8490669848200696</v>
      </c>
      <c r="O515" s="209">
        <v>17.142593862021833</v>
      </c>
      <c r="P515" s="209">
        <v>12.094858211430278</v>
      </c>
      <c r="Q515" s="209">
        <v>13.560813355841772</v>
      </c>
      <c r="R515" s="209">
        <v>15.232046215560086</v>
      </c>
      <c r="S515" s="209">
        <v>14.152537604183211</v>
      </c>
      <c r="T515" s="209">
        <v>17.604442908736875</v>
      </c>
      <c r="U515" s="209">
        <v>19.35288100982542</v>
      </c>
      <c r="V515" s="209">
        <v>17.200898065141441</v>
      </c>
      <c r="W515" s="209">
        <v>6.7002770781036576</v>
      </c>
      <c r="X515" s="202">
        <v>7.198304219292889</v>
      </c>
      <c r="Y515" s="208">
        <v>10.616585775637995</v>
      </c>
      <c r="Z515" s="209">
        <v>3</v>
      </c>
      <c r="AA515" s="209" t="s">
        <v>93</v>
      </c>
      <c r="AB515" s="209" t="s">
        <v>93</v>
      </c>
      <c r="AC515" s="209">
        <v>14.000000000000002</v>
      </c>
      <c r="AD515" s="202">
        <v>10.6022204422257</v>
      </c>
      <c r="AE515" s="210" t="s">
        <v>356</v>
      </c>
    </row>
    <row r="516" spans="2:31" ht="12" customHeight="1">
      <c r="B516" s="391" t="s">
        <v>357</v>
      </c>
      <c r="C516" s="208">
        <v>2.4269626632772194</v>
      </c>
      <c r="D516" s="209">
        <v>1.3362584554668777</v>
      </c>
      <c r="E516" s="209">
        <v>2.9178171162528415</v>
      </c>
      <c r="F516" s="209">
        <v>4.3701049177696802</v>
      </c>
      <c r="G516" s="209">
        <v>0.58936475153087831</v>
      </c>
      <c r="H516" s="209">
        <v>2.6657062119784207</v>
      </c>
      <c r="I516" s="209">
        <v>0.42797233357839859</v>
      </c>
      <c r="J516" s="209">
        <v>2.0831764645618294</v>
      </c>
      <c r="K516" s="209">
        <v>2.6424659725491479</v>
      </c>
      <c r="L516" s="202">
        <v>5.1754020778788687</v>
      </c>
      <c r="M516" s="208">
        <v>9.305413652923562</v>
      </c>
      <c r="N516" s="209">
        <v>6.7768643954931731</v>
      </c>
      <c r="O516" s="209">
        <v>15.93094803483392</v>
      </c>
      <c r="P516" s="209">
        <v>13.691453580199846</v>
      </c>
      <c r="Q516" s="209">
        <v>7.6717087988132686</v>
      </c>
      <c r="R516" s="209">
        <v>10.1872595726666</v>
      </c>
      <c r="S516" s="209">
        <v>5.2034086653197624</v>
      </c>
      <c r="T516" s="209">
        <v>8.0330662883414998</v>
      </c>
      <c r="U516" s="209">
        <v>10.240973512213827</v>
      </c>
      <c r="V516" s="209">
        <v>10.936885680805231</v>
      </c>
      <c r="W516" s="209">
        <v>6.3920577509313015</v>
      </c>
      <c r="X516" s="202">
        <v>6.349016013621454</v>
      </c>
      <c r="Y516" s="208">
        <v>4.8637520312496259</v>
      </c>
      <c r="Z516" s="209" t="s">
        <v>93</v>
      </c>
      <c r="AA516" s="209" t="s">
        <v>93</v>
      </c>
      <c r="AB516" s="209">
        <v>4</v>
      </c>
      <c r="AC516" s="209">
        <v>10</v>
      </c>
      <c r="AD516" s="202">
        <v>4.2514207373513333</v>
      </c>
      <c r="AE516" s="210" t="s">
        <v>213</v>
      </c>
    </row>
    <row r="517" spans="2:31" ht="12" customHeight="1">
      <c r="B517" s="392">
        <v>43110</v>
      </c>
      <c r="C517" s="208"/>
      <c r="D517" s="209"/>
      <c r="E517" s="209"/>
      <c r="F517" s="209"/>
      <c r="G517" s="209"/>
      <c r="H517" s="209"/>
      <c r="I517" s="209"/>
      <c r="J517" s="209"/>
      <c r="K517" s="209"/>
      <c r="L517" s="202"/>
      <c r="M517" s="208"/>
      <c r="N517" s="209"/>
      <c r="O517" s="209"/>
      <c r="P517" s="209"/>
      <c r="Q517" s="209"/>
      <c r="R517" s="209"/>
      <c r="S517" s="209"/>
      <c r="T517" s="209"/>
      <c r="U517" s="209"/>
      <c r="V517" s="209"/>
      <c r="W517" s="209"/>
      <c r="X517" s="202"/>
      <c r="Y517" s="208"/>
      <c r="Z517" s="209"/>
      <c r="AA517" s="209"/>
      <c r="AB517" s="209"/>
      <c r="AC517" s="209"/>
      <c r="AD517" s="202"/>
      <c r="AE517" s="397">
        <v>43110</v>
      </c>
    </row>
    <row r="518" spans="2:31" ht="12" customHeight="1">
      <c r="B518" s="391" t="s">
        <v>187</v>
      </c>
      <c r="C518" s="208">
        <v>9.7936065599027771</v>
      </c>
      <c r="D518" s="209">
        <v>5.552660024173635</v>
      </c>
      <c r="E518" s="209">
        <v>10.303634296580562</v>
      </c>
      <c r="F518" s="209">
        <v>10.188483078684673</v>
      </c>
      <c r="G518" s="209">
        <v>4.2356185009675862</v>
      </c>
      <c r="H518" s="209">
        <v>5.9078368533968755</v>
      </c>
      <c r="I518" s="209">
        <v>6.3915499732510161</v>
      </c>
      <c r="J518" s="209">
        <v>9.9977302096245904</v>
      </c>
      <c r="K518" s="209">
        <v>9.8538603821698221</v>
      </c>
      <c r="L518" s="202">
        <v>9.399244893381745</v>
      </c>
      <c r="M518" s="208">
        <v>14.21221168216365</v>
      </c>
      <c r="N518" s="209">
        <v>9.0264307537051174</v>
      </c>
      <c r="O518" s="209">
        <v>17.185353230375018</v>
      </c>
      <c r="P518" s="209">
        <v>10.066410518434358</v>
      </c>
      <c r="Q518" s="209">
        <v>13.451732196419824</v>
      </c>
      <c r="R518" s="209">
        <v>14.645902997124411</v>
      </c>
      <c r="S518" s="209">
        <v>13.912975715464562</v>
      </c>
      <c r="T518" s="209">
        <v>17.700854031848383</v>
      </c>
      <c r="U518" s="209">
        <v>20.427800677725454</v>
      </c>
      <c r="V518" s="209">
        <v>17.343584255925336</v>
      </c>
      <c r="W518" s="209">
        <v>6.7248718734778139</v>
      </c>
      <c r="X518" s="202">
        <v>7.1449745074930657</v>
      </c>
      <c r="Y518" s="208">
        <v>10.41931877617677</v>
      </c>
      <c r="Z518" s="209">
        <v>3.0000000000000004</v>
      </c>
      <c r="AA518" s="209" t="s">
        <v>93</v>
      </c>
      <c r="AB518" s="209" t="s">
        <v>93</v>
      </c>
      <c r="AC518" s="209">
        <v>14.000000000000002</v>
      </c>
      <c r="AD518" s="202">
        <v>10.409576716381901</v>
      </c>
      <c r="AE518" s="210" t="s">
        <v>356</v>
      </c>
    </row>
    <row r="519" spans="2:31" ht="12" customHeight="1">
      <c r="B519" s="391" t="s">
        <v>357</v>
      </c>
      <c r="C519" s="208">
        <v>2.3913842769644988</v>
      </c>
      <c r="D519" s="209">
        <v>1.2151208646546672</v>
      </c>
      <c r="E519" s="209">
        <v>2.9456516464407176</v>
      </c>
      <c r="F519" s="209">
        <v>1.3953705663360623</v>
      </c>
      <c r="G519" s="209">
        <v>0.65166946102285739</v>
      </c>
      <c r="H519" s="209">
        <v>2.9267561522249754</v>
      </c>
      <c r="I519" s="209">
        <v>0.40322377670440784</v>
      </c>
      <c r="J519" s="209">
        <v>2.0142816619239112</v>
      </c>
      <c r="K519" s="209">
        <v>2.6087348426207684</v>
      </c>
      <c r="L519" s="202">
        <v>5.1875969639594643</v>
      </c>
      <c r="M519" s="208">
        <v>8.8996093326244523</v>
      </c>
      <c r="N519" s="209">
        <v>6.381837193477585</v>
      </c>
      <c r="O519" s="209">
        <v>15.744548480271281</v>
      </c>
      <c r="P519" s="209">
        <v>5.8378914492466141</v>
      </c>
      <c r="Q519" s="209">
        <v>6.7564758241411669</v>
      </c>
      <c r="R519" s="209">
        <v>5.230971370551166</v>
      </c>
      <c r="S519" s="209">
        <v>4.8743490391277584</v>
      </c>
      <c r="T519" s="209">
        <v>7.8241977425188942</v>
      </c>
      <c r="U519" s="209">
        <v>9.8165358835852761</v>
      </c>
      <c r="V519" s="209">
        <v>10.786018677782783</v>
      </c>
      <c r="W519" s="209">
        <v>6.3121834570774773</v>
      </c>
      <c r="X519" s="202">
        <v>6.7112702554120318</v>
      </c>
      <c r="Y519" s="208">
        <v>4.9751383001910057</v>
      </c>
      <c r="Z519" s="209">
        <v>3.0000000000000004</v>
      </c>
      <c r="AA519" s="209" t="s">
        <v>93</v>
      </c>
      <c r="AB519" s="209">
        <v>4</v>
      </c>
      <c r="AC519" s="209">
        <v>7.07959761138342</v>
      </c>
      <c r="AD519" s="202">
        <v>4.1393046001514504</v>
      </c>
      <c r="AE519" s="210" t="s">
        <v>213</v>
      </c>
    </row>
    <row r="520" spans="2:31" ht="12" customHeight="1">
      <c r="B520" s="392">
        <v>43111</v>
      </c>
      <c r="C520" s="208"/>
      <c r="D520" s="209"/>
      <c r="E520" s="209"/>
      <c r="F520" s="209"/>
      <c r="G520" s="209"/>
      <c r="H520" s="209"/>
      <c r="I520" s="209"/>
      <c r="J520" s="209"/>
      <c r="K520" s="209"/>
      <c r="L520" s="202"/>
      <c r="M520" s="208"/>
      <c r="N520" s="209"/>
      <c r="O520" s="209"/>
      <c r="P520" s="209"/>
      <c r="Q520" s="209"/>
      <c r="R520" s="209"/>
      <c r="S520" s="209"/>
      <c r="T520" s="209"/>
      <c r="U520" s="209"/>
      <c r="V520" s="209"/>
      <c r="W520" s="209"/>
      <c r="X520" s="202"/>
      <c r="Y520" s="208"/>
      <c r="Z520" s="209"/>
      <c r="AA520" s="209"/>
      <c r="AB520" s="209"/>
      <c r="AC520" s="209"/>
      <c r="AD520" s="202"/>
      <c r="AE520" s="397">
        <v>43111</v>
      </c>
    </row>
    <row r="521" spans="2:31" ht="12" customHeight="1">
      <c r="B521" s="391" t="s">
        <v>187</v>
      </c>
      <c r="C521" s="208">
        <v>9.6203915704741885</v>
      </c>
      <c r="D521" s="209">
        <v>5.3034035554364305</v>
      </c>
      <c r="E521" s="209">
        <v>10.186274697644661</v>
      </c>
      <c r="F521" s="209">
        <v>9.9521610444140176</v>
      </c>
      <c r="G521" s="209">
        <v>3.9591233472314227</v>
      </c>
      <c r="H521" s="209">
        <v>5.7931943921308164</v>
      </c>
      <c r="I521" s="209">
        <v>5.7556003249149352</v>
      </c>
      <c r="J521" s="209">
        <v>9.8436463978188478</v>
      </c>
      <c r="K521" s="209">
        <v>9.7913480586447807</v>
      </c>
      <c r="L521" s="202">
        <v>9.3241631936403113</v>
      </c>
      <c r="M521" s="208">
        <v>14.286632379994678</v>
      </c>
      <c r="N521" s="209">
        <v>9.0329647913186903</v>
      </c>
      <c r="O521" s="209">
        <v>17.211115259541398</v>
      </c>
      <c r="P521" s="209">
        <v>11.436837293221917</v>
      </c>
      <c r="Q521" s="209">
        <v>13.185855923467059</v>
      </c>
      <c r="R521" s="209">
        <v>14.51834418301039</v>
      </c>
      <c r="S521" s="209">
        <v>14.153496359620906</v>
      </c>
      <c r="T521" s="209">
        <v>17.654395134646016</v>
      </c>
      <c r="U521" s="209">
        <v>20.399393895899735</v>
      </c>
      <c r="V521" s="209">
        <v>17.521447714981541</v>
      </c>
      <c r="W521" s="209">
        <v>6.7371300537357088</v>
      </c>
      <c r="X521" s="202">
        <v>7.0222478601232927</v>
      </c>
      <c r="Y521" s="208">
        <v>6.5610006504664895</v>
      </c>
      <c r="Z521" s="209">
        <v>2.20245436643888</v>
      </c>
      <c r="AA521" s="209" t="s">
        <v>93</v>
      </c>
      <c r="AB521" s="209" t="s">
        <v>93</v>
      </c>
      <c r="AC521" s="209">
        <v>14.000000000000002</v>
      </c>
      <c r="AD521" s="202">
        <v>9.3553931928426195</v>
      </c>
      <c r="AE521" s="210" t="s">
        <v>356</v>
      </c>
    </row>
    <row r="522" spans="2:31" ht="12" customHeight="1">
      <c r="B522" s="391" t="s">
        <v>357</v>
      </c>
      <c r="C522" s="208">
        <v>2.3496546529145372</v>
      </c>
      <c r="D522" s="209">
        <v>1.2141142285237481</v>
      </c>
      <c r="E522" s="209">
        <v>2.8874993462563303</v>
      </c>
      <c r="F522" s="209">
        <v>1.368525023924819</v>
      </c>
      <c r="G522" s="209">
        <v>0.64316619844411627</v>
      </c>
      <c r="H522" s="209">
        <v>2.9110418448040076</v>
      </c>
      <c r="I522" s="209">
        <v>0.577142580113156</v>
      </c>
      <c r="J522" s="209">
        <v>1.9212725761007454</v>
      </c>
      <c r="K522" s="209">
        <v>2.5696443083203553</v>
      </c>
      <c r="L522" s="202">
        <v>5.2839046526397579</v>
      </c>
      <c r="M522" s="208">
        <v>8.6529048575154697</v>
      </c>
      <c r="N522" s="209">
        <v>6.3417512109647358</v>
      </c>
      <c r="O522" s="209">
        <v>15.336960157804192</v>
      </c>
      <c r="P522" s="209">
        <v>6.9511294162507262</v>
      </c>
      <c r="Q522" s="209">
        <v>7.0666724562584164</v>
      </c>
      <c r="R522" s="209">
        <v>5.2646114657868335</v>
      </c>
      <c r="S522" s="209">
        <v>5.0157194967563576</v>
      </c>
      <c r="T522" s="209">
        <v>7.5816735068657923</v>
      </c>
      <c r="U522" s="209">
        <v>9.5898159690962359</v>
      </c>
      <c r="V522" s="209">
        <v>10.421524946112209</v>
      </c>
      <c r="W522" s="209">
        <v>6.0130656838122549</v>
      </c>
      <c r="X522" s="202">
        <v>8.4776445121036534</v>
      </c>
      <c r="Y522" s="208">
        <v>4.7267807446091288</v>
      </c>
      <c r="Z522" s="209">
        <v>2.1999999999999997</v>
      </c>
      <c r="AA522" s="209" t="s">
        <v>93</v>
      </c>
      <c r="AB522" s="209">
        <v>4</v>
      </c>
      <c r="AC522" s="209">
        <v>7.07959761138342</v>
      </c>
      <c r="AD522" s="202">
        <v>4.0246236140139571</v>
      </c>
      <c r="AE522" s="210" t="s">
        <v>213</v>
      </c>
    </row>
    <row r="523" spans="2:31" ht="12" customHeight="1">
      <c r="B523" s="392">
        <v>43112</v>
      </c>
      <c r="C523" s="208"/>
      <c r="D523" s="209"/>
      <c r="E523" s="209"/>
      <c r="F523" s="209"/>
      <c r="G523" s="209"/>
      <c r="H523" s="209"/>
      <c r="I523" s="209"/>
      <c r="J523" s="209"/>
      <c r="K523" s="209"/>
      <c r="L523" s="202"/>
      <c r="M523" s="208"/>
      <c r="N523" s="209"/>
      <c r="O523" s="209"/>
      <c r="P523" s="209"/>
      <c r="Q523" s="209"/>
      <c r="R523" s="209"/>
      <c r="S523" s="209"/>
      <c r="T523" s="209"/>
      <c r="U523" s="209"/>
      <c r="V523" s="209"/>
      <c r="W523" s="209"/>
      <c r="X523" s="202"/>
      <c r="Y523" s="208"/>
      <c r="Z523" s="209"/>
      <c r="AA523" s="209"/>
      <c r="AB523" s="209"/>
      <c r="AC523" s="209"/>
      <c r="AD523" s="202"/>
      <c r="AE523" s="397">
        <v>43112</v>
      </c>
    </row>
    <row r="524" spans="2:31" ht="12" customHeight="1">
      <c r="B524" s="391" t="s">
        <v>187</v>
      </c>
      <c r="C524" s="208">
        <v>9.1947543398482416</v>
      </c>
      <c r="D524" s="209">
        <v>4.2140149382273968</v>
      </c>
      <c r="E524" s="209">
        <v>9.999822175443402</v>
      </c>
      <c r="F524" s="209">
        <v>9.921841353767876</v>
      </c>
      <c r="G524" s="209">
        <v>4.1627608783167398</v>
      </c>
      <c r="H524" s="209">
        <v>6.0611503428075784</v>
      </c>
      <c r="I524" s="209">
        <v>5.7527791904120305</v>
      </c>
      <c r="J524" s="209">
        <v>9.1988548406566633</v>
      </c>
      <c r="K524" s="209">
        <v>9.479362785553235</v>
      </c>
      <c r="L524" s="202">
        <v>9.1753568052368308</v>
      </c>
      <c r="M524" s="208">
        <v>14.171954221691067</v>
      </c>
      <c r="N524" s="209">
        <v>9.1536373869374437</v>
      </c>
      <c r="O524" s="209">
        <v>16.923494131852316</v>
      </c>
      <c r="P524" s="209">
        <v>4.4808930099065121</v>
      </c>
      <c r="Q524" s="209">
        <v>12.67213153966377</v>
      </c>
      <c r="R524" s="209">
        <v>14.099593443526565</v>
      </c>
      <c r="S524" s="209">
        <v>13.997902966101314</v>
      </c>
      <c r="T524" s="209">
        <v>17.249877570254483</v>
      </c>
      <c r="U524" s="209">
        <v>20.411855777424911</v>
      </c>
      <c r="V524" s="209">
        <v>17.700117094340669</v>
      </c>
      <c r="W524" s="209">
        <v>6.7014918396882575</v>
      </c>
      <c r="X524" s="202">
        <v>6.9798947494857186</v>
      </c>
      <c r="Y524" s="208">
        <v>6.8478700041645437</v>
      </c>
      <c r="Z524" s="209">
        <v>2.2034089411489099</v>
      </c>
      <c r="AA524" s="209" t="s">
        <v>93</v>
      </c>
      <c r="AB524" s="209" t="s">
        <v>93</v>
      </c>
      <c r="AC524" s="209">
        <v>14.000000000000002</v>
      </c>
      <c r="AD524" s="202">
        <v>9.3553931928426195</v>
      </c>
      <c r="AE524" s="210" t="s">
        <v>356</v>
      </c>
    </row>
    <row r="525" spans="2:31" ht="12" customHeight="1">
      <c r="B525" s="391" t="s">
        <v>357</v>
      </c>
      <c r="C525" s="208">
        <v>2.4311533694693721</v>
      </c>
      <c r="D525" s="209">
        <v>1.2545410720049905</v>
      </c>
      <c r="E525" s="209">
        <v>2.9675531524505074</v>
      </c>
      <c r="F525" s="209">
        <v>1.3746231854323454</v>
      </c>
      <c r="G525" s="209">
        <v>0.96692544569262606</v>
      </c>
      <c r="H525" s="209">
        <v>2.3073876205904815</v>
      </c>
      <c r="I525" s="209">
        <v>0.5991975847203761</v>
      </c>
      <c r="J525" s="209">
        <v>2.0569624824674371</v>
      </c>
      <c r="K525" s="209">
        <v>2.6470503928508671</v>
      </c>
      <c r="L525" s="202">
        <v>5.214462880125696</v>
      </c>
      <c r="M525" s="208">
        <v>8.5596931924074404</v>
      </c>
      <c r="N525" s="209">
        <v>6.2973890224500284</v>
      </c>
      <c r="O525" s="209">
        <v>15.206783024248244</v>
      </c>
      <c r="P525" s="209">
        <v>6.7151381670383401</v>
      </c>
      <c r="Q525" s="209">
        <v>5.9338014533313954</v>
      </c>
      <c r="R525" s="209">
        <v>5.4740573362849645</v>
      </c>
      <c r="S525" s="209">
        <v>4.6916304640659643</v>
      </c>
      <c r="T525" s="209">
        <v>7.598120304296339</v>
      </c>
      <c r="U525" s="209">
        <v>9.4801185507929606</v>
      </c>
      <c r="V525" s="209">
        <v>10.480413006276706</v>
      </c>
      <c r="W525" s="209">
        <v>6.0237547210720095</v>
      </c>
      <c r="X525" s="202">
        <v>8.4728162227980484</v>
      </c>
      <c r="Y525" s="208">
        <v>4.9339945955053777</v>
      </c>
      <c r="Z525" s="209">
        <v>3</v>
      </c>
      <c r="AA525" s="209" t="s">
        <v>93</v>
      </c>
      <c r="AB525" s="209">
        <v>5</v>
      </c>
      <c r="AC525" s="209">
        <v>7.07959761138342</v>
      </c>
      <c r="AD525" s="202">
        <v>3.640784526359766</v>
      </c>
      <c r="AE525" s="210" t="s">
        <v>213</v>
      </c>
    </row>
    <row r="526" spans="2:31" ht="12" customHeight="1">
      <c r="B526" s="392">
        <v>43466</v>
      </c>
      <c r="C526" s="208"/>
      <c r="D526" s="209"/>
      <c r="E526" s="209"/>
      <c r="F526" s="209"/>
      <c r="G526" s="209"/>
      <c r="H526" s="209"/>
      <c r="I526" s="209"/>
      <c r="J526" s="209"/>
      <c r="K526" s="209"/>
      <c r="L526" s="202"/>
      <c r="M526" s="208"/>
      <c r="N526" s="209"/>
      <c r="O526" s="209"/>
      <c r="P526" s="209"/>
      <c r="Q526" s="209"/>
      <c r="R526" s="209"/>
      <c r="S526" s="209"/>
      <c r="T526" s="209"/>
      <c r="U526" s="209"/>
      <c r="V526" s="209"/>
      <c r="W526" s="209"/>
      <c r="X526" s="202"/>
      <c r="Y526" s="208"/>
      <c r="Z526" s="209"/>
      <c r="AA526" s="209"/>
      <c r="AB526" s="209"/>
      <c r="AC526" s="209"/>
      <c r="AD526" s="202"/>
      <c r="AE526" s="397">
        <v>43466</v>
      </c>
    </row>
    <row r="527" spans="2:31" ht="12" customHeight="1">
      <c r="B527" s="391" t="s">
        <v>187</v>
      </c>
      <c r="C527" s="208">
        <v>9.5799474469641979</v>
      </c>
      <c r="D527" s="209">
        <v>5.5329047784568175</v>
      </c>
      <c r="E527" s="209">
        <v>10.012396819931507</v>
      </c>
      <c r="F527" s="209">
        <v>10.220013772624851</v>
      </c>
      <c r="G527" s="209">
        <v>5.5580222806275721</v>
      </c>
      <c r="H527" s="209">
        <v>6.2386276248705714</v>
      </c>
      <c r="I527" s="209">
        <v>5.6525722947761192</v>
      </c>
      <c r="J527" s="209">
        <v>9.7863264338575728</v>
      </c>
      <c r="K527" s="209">
        <v>9.489929348263372</v>
      </c>
      <c r="L527" s="202">
        <v>12.935888898861576</v>
      </c>
      <c r="M527" s="208">
        <v>14.236260835604245</v>
      </c>
      <c r="N527" s="209">
        <v>9.2982458318919186</v>
      </c>
      <c r="O527" s="209">
        <v>17.107492506992276</v>
      </c>
      <c r="P527" s="209">
        <v>10.926315131815711</v>
      </c>
      <c r="Q527" s="209">
        <v>12.680823505903424</v>
      </c>
      <c r="R527" s="209">
        <v>12.765066166267591</v>
      </c>
      <c r="S527" s="209">
        <v>13.838821742304793</v>
      </c>
      <c r="T527" s="209">
        <v>16.773463503963679</v>
      </c>
      <c r="U527" s="209">
        <v>20.031995404097039</v>
      </c>
      <c r="V527" s="209">
        <v>17.818254729573493</v>
      </c>
      <c r="W527" s="209">
        <v>6.8268619755696927</v>
      </c>
      <c r="X527" s="202">
        <v>6.94627304951306</v>
      </c>
      <c r="Y527" s="208">
        <v>9.4630625891120417</v>
      </c>
      <c r="Z527" s="209">
        <v>3</v>
      </c>
      <c r="AA527" s="209" t="s">
        <v>93</v>
      </c>
      <c r="AB527" s="209" t="s">
        <v>93</v>
      </c>
      <c r="AC527" s="209">
        <v>10</v>
      </c>
      <c r="AD527" s="202">
        <v>9.3714233827030995</v>
      </c>
      <c r="AE527" s="210" t="s">
        <v>356</v>
      </c>
    </row>
    <row r="528" spans="2:31" ht="12" customHeight="1">
      <c r="B528" s="391" t="s">
        <v>357</v>
      </c>
      <c r="C528" s="208">
        <v>2.3274776843003475</v>
      </c>
      <c r="D528" s="209">
        <v>1.427668784333278</v>
      </c>
      <c r="E528" s="209">
        <v>2.6582295934355691</v>
      </c>
      <c r="F528" s="209">
        <v>1.3995623273940327</v>
      </c>
      <c r="G528" s="209">
        <v>0.95782849813119653</v>
      </c>
      <c r="H528" s="209">
        <v>2.341748888547909</v>
      </c>
      <c r="I528" s="209">
        <v>0.42798931687920039</v>
      </c>
      <c r="J528" s="209">
        <v>1.7313530687709739</v>
      </c>
      <c r="K528" s="209">
        <v>2.9005195752920203</v>
      </c>
      <c r="L528" s="202">
        <v>4.7449134030075113</v>
      </c>
      <c r="M528" s="208">
        <v>8.057367810507202</v>
      </c>
      <c r="N528" s="209">
        <v>6.1277690126746851</v>
      </c>
      <c r="O528" s="209">
        <v>14.669748357856003</v>
      </c>
      <c r="P528" s="209">
        <v>6.7998380279823634</v>
      </c>
      <c r="Q528" s="209">
        <v>6.5794032473644277</v>
      </c>
      <c r="R528" s="209">
        <v>6.8746639501520308</v>
      </c>
      <c r="S528" s="209">
        <v>4.4739291646282284</v>
      </c>
      <c r="T528" s="209">
        <v>7.5462821873520687</v>
      </c>
      <c r="U528" s="209">
        <v>9.0210319916215038</v>
      </c>
      <c r="V528" s="209">
        <v>8.9148131002316422</v>
      </c>
      <c r="W528" s="209">
        <v>6.0305705053918635</v>
      </c>
      <c r="X528" s="202">
        <v>3.9489539897644295</v>
      </c>
      <c r="Y528" s="208">
        <v>3.2915043008065359</v>
      </c>
      <c r="Z528" s="209">
        <v>2.16</v>
      </c>
      <c r="AA528" s="209" t="s">
        <v>93</v>
      </c>
      <c r="AB528" s="209" t="s">
        <v>93</v>
      </c>
      <c r="AC528" s="209">
        <v>7.07959761138342</v>
      </c>
      <c r="AD528" s="202">
        <v>4.7033753379637142</v>
      </c>
      <c r="AE528" s="210" t="s">
        <v>213</v>
      </c>
    </row>
    <row r="529" spans="2:31" ht="12" customHeight="1">
      <c r="B529" s="392">
        <v>43467</v>
      </c>
      <c r="C529" s="208"/>
      <c r="D529" s="209"/>
      <c r="E529" s="209"/>
      <c r="F529" s="209"/>
      <c r="G529" s="209"/>
      <c r="H529" s="209"/>
      <c r="I529" s="209"/>
      <c r="J529" s="209"/>
      <c r="K529" s="209"/>
      <c r="L529" s="202"/>
      <c r="M529" s="208"/>
      <c r="N529" s="209"/>
      <c r="O529" s="209"/>
      <c r="P529" s="209"/>
      <c r="Q529" s="209"/>
      <c r="R529" s="209"/>
      <c r="S529" s="209"/>
      <c r="T529" s="209"/>
      <c r="U529" s="209"/>
      <c r="V529" s="209"/>
      <c r="W529" s="209"/>
      <c r="X529" s="202"/>
      <c r="Y529" s="208"/>
      <c r="Z529" s="209"/>
      <c r="AA529" s="209"/>
      <c r="AB529" s="209"/>
      <c r="AC529" s="209"/>
      <c r="AD529" s="202"/>
      <c r="AE529" s="397">
        <v>43467</v>
      </c>
    </row>
    <row r="530" spans="2:31" ht="12" customHeight="1">
      <c r="B530" s="391" t="s">
        <v>187</v>
      </c>
      <c r="C530" s="208">
        <v>9.48830163381162</v>
      </c>
      <c r="D530" s="209">
        <v>4.9493351192509198</v>
      </c>
      <c r="E530" s="209">
        <v>9.9616980660605723</v>
      </c>
      <c r="F530" s="209">
        <v>9.1904653303424606</v>
      </c>
      <c r="G530" s="209">
        <v>4.8125797232846592</v>
      </c>
      <c r="H530" s="209">
        <v>6.1962533885836448</v>
      </c>
      <c r="I530" s="209">
        <v>5.4974300475223279</v>
      </c>
      <c r="J530" s="209">
        <v>9.5197161942437933</v>
      </c>
      <c r="K530" s="209">
        <v>9.562839375391107</v>
      </c>
      <c r="L530" s="202">
        <v>13.081262728680883</v>
      </c>
      <c r="M530" s="208">
        <v>14.404272320573504</v>
      </c>
      <c r="N530" s="209">
        <v>9.3113559255782441</v>
      </c>
      <c r="O530" s="209">
        <v>17.338864053639284</v>
      </c>
      <c r="P530" s="209">
        <v>9.663739422906966</v>
      </c>
      <c r="Q530" s="209">
        <v>13.263837215758059</v>
      </c>
      <c r="R530" s="209">
        <v>13.077253917698306</v>
      </c>
      <c r="S530" s="209">
        <v>15.03217729821997</v>
      </c>
      <c r="T530" s="209">
        <v>16.994582094314701</v>
      </c>
      <c r="U530" s="209">
        <v>20.197903816406377</v>
      </c>
      <c r="V530" s="209">
        <v>17.851443115203779</v>
      </c>
      <c r="W530" s="209">
        <v>6.5596226055846012</v>
      </c>
      <c r="X530" s="202">
        <v>7.0721831565620414</v>
      </c>
      <c r="Y530" s="208">
        <v>9.2768482359278224</v>
      </c>
      <c r="Z530" s="209" t="s">
        <v>93</v>
      </c>
      <c r="AA530" s="209" t="s">
        <v>93</v>
      </c>
      <c r="AB530" s="209" t="s">
        <v>93</v>
      </c>
      <c r="AC530" s="209">
        <v>9.2799999999999994</v>
      </c>
      <c r="AD530" s="202">
        <v>9.2728419603945298</v>
      </c>
      <c r="AE530" s="210" t="s">
        <v>356</v>
      </c>
    </row>
    <row r="531" spans="2:31" ht="12" customHeight="1">
      <c r="B531" s="391" t="s">
        <v>357</v>
      </c>
      <c r="C531" s="208">
        <v>2.2149770931279562</v>
      </c>
      <c r="D531" s="209">
        <v>1.2553926235279909</v>
      </c>
      <c r="E531" s="209">
        <v>2.664718571123561</v>
      </c>
      <c r="F531" s="209">
        <v>1.3032607430149803</v>
      </c>
      <c r="G531" s="209">
        <v>0.9133034494007658</v>
      </c>
      <c r="H531" s="209">
        <v>2.1243071924914076</v>
      </c>
      <c r="I531" s="209">
        <v>0.52600221230517241</v>
      </c>
      <c r="J531" s="209">
        <v>1.4924433573197893</v>
      </c>
      <c r="K531" s="209">
        <v>3.2542053436457161</v>
      </c>
      <c r="L531" s="202">
        <v>5.3053429944296644</v>
      </c>
      <c r="M531" s="208">
        <v>7.893831926166464</v>
      </c>
      <c r="N531" s="209">
        <v>5.9491464852687015</v>
      </c>
      <c r="O531" s="209">
        <v>14.548924679412478</v>
      </c>
      <c r="P531" s="209">
        <v>6.7950347164809788</v>
      </c>
      <c r="Q531" s="209">
        <v>6.3646300536213261</v>
      </c>
      <c r="R531" s="209">
        <v>6.5034968327704608</v>
      </c>
      <c r="S531" s="209">
        <v>4.3269280917452937</v>
      </c>
      <c r="T531" s="209">
        <v>6.5097591010289797</v>
      </c>
      <c r="U531" s="209">
        <v>9.4724991450908131</v>
      </c>
      <c r="V531" s="209">
        <v>8.4356324887273129</v>
      </c>
      <c r="W531" s="209">
        <v>5.7055504269163517</v>
      </c>
      <c r="X531" s="202">
        <v>7.8145772259454986</v>
      </c>
      <c r="Y531" s="208">
        <v>3.3317049355438804</v>
      </c>
      <c r="Z531" s="209">
        <v>1.9262175600598694</v>
      </c>
      <c r="AA531" s="209" t="s">
        <v>93</v>
      </c>
      <c r="AB531" s="209" t="s">
        <v>93</v>
      </c>
      <c r="AC531" s="209">
        <v>6.1318537409907972</v>
      </c>
      <c r="AD531" s="202">
        <v>5.0283018867924527</v>
      </c>
      <c r="AE531" s="210" t="s">
        <v>213</v>
      </c>
    </row>
    <row r="532" spans="2:31" ht="12" customHeight="1">
      <c r="B532" s="392">
        <v>43468</v>
      </c>
      <c r="C532" s="208"/>
      <c r="D532" s="209"/>
      <c r="E532" s="209"/>
      <c r="F532" s="209"/>
      <c r="G532" s="209"/>
      <c r="H532" s="209"/>
      <c r="I532" s="209"/>
      <c r="J532" s="209"/>
      <c r="K532" s="209"/>
      <c r="L532" s="202"/>
      <c r="M532" s="208"/>
      <c r="N532" s="209"/>
      <c r="O532" s="209"/>
      <c r="P532" s="209"/>
      <c r="Q532" s="209"/>
      <c r="R532" s="209"/>
      <c r="S532" s="209"/>
      <c r="T532" s="209"/>
      <c r="U532" s="209"/>
      <c r="V532" s="209"/>
      <c r="W532" s="209"/>
      <c r="X532" s="202"/>
      <c r="Y532" s="208"/>
      <c r="Z532" s="209"/>
      <c r="AA532" s="209"/>
      <c r="AB532" s="209"/>
      <c r="AC532" s="209"/>
      <c r="AD532" s="202"/>
      <c r="AE532" s="397">
        <v>43468</v>
      </c>
    </row>
    <row r="533" spans="2:31" ht="12" customHeight="1">
      <c r="B533" s="391" t="s">
        <v>187</v>
      </c>
      <c r="C533" s="208">
        <v>9.5264052248777542</v>
      </c>
      <c r="D533" s="209">
        <v>4.8651588118372704</v>
      </c>
      <c r="E533" s="209">
        <v>10.004251833794079</v>
      </c>
      <c r="F533" s="209">
        <v>8.3957736054114562</v>
      </c>
      <c r="G533" s="209">
        <v>4.6534293564108093</v>
      </c>
      <c r="H533" s="209">
        <v>6.2770563788653169</v>
      </c>
      <c r="I533" s="209">
        <v>5.2559510877797377</v>
      </c>
      <c r="J533" s="209">
        <v>9.6846429117486075</v>
      </c>
      <c r="K533" s="209">
        <v>9.4785094080590504</v>
      </c>
      <c r="L533" s="202">
        <v>12.762061346850887</v>
      </c>
      <c r="M533" s="208">
        <v>14.420537172106807</v>
      </c>
      <c r="N533" s="209">
        <v>9.3283540338232562</v>
      </c>
      <c r="O533" s="209">
        <v>17.347382402662976</v>
      </c>
      <c r="P533" s="209">
        <v>9.8852460811751897</v>
      </c>
      <c r="Q533" s="209">
        <v>13.086607335174541</v>
      </c>
      <c r="R533" s="209">
        <v>12.575002236463625</v>
      </c>
      <c r="S533" s="209">
        <v>14.934204926030956</v>
      </c>
      <c r="T533" s="209">
        <v>16.745634168964767</v>
      </c>
      <c r="U533" s="209">
        <v>19.743492389441634</v>
      </c>
      <c r="V533" s="209">
        <v>18.407939740618225</v>
      </c>
      <c r="W533" s="209">
        <v>6.5772670367811594</v>
      </c>
      <c r="X533" s="202">
        <v>7.0055314052131905</v>
      </c>
      <c r="Y533" s="208">
        <v>9.2712555735711391</v>
      </c>
      <c r="Z533" s="209" t="s">
        <v>93</v>
      </c>
      <c r="AA533" s="209" t="s">
        <v>93</v>
      </c>
      <c r="AB533" s="209" t="s">
        <v>93</v>
      </c>
      <c r="AC533" s="209">
        <v>9.27</v>
      </c>
      <c r="AD533" s="202">
        <v>9.2728419603945298</v>
      </c>
      <c r="AE533" s="210" t="s">
        <v>356</v>
      </c>
    </row>
    <row r="534" spans="2:31" ht="12" customHeight="1">
      <c r="B534" s="391" t="s">
        <v>357</v>
      </c>
      <c r="C534" s="208">
        <v>2.2408478845994608</v>
      </c>
      <c r="D534" s="209">
        <v>1.4292894759783836</v>
      </c>
      <c r="E534" s="209">
        <v>2.638533471522885</v>
      </c>
      <c r="F534" s="209">
        <v>1.1979002283070321</v>
      </c>
      <c r="G534" s="209">
        <v>0.86704835731788898</v>
      </c>
      <c r="H534" s="209">
        <v>2.5423240617605383</v>
      </c>
      <c r="I534" s="209">
        <v>0.48371241374250229</v>
      </c>
      <c r="J534" s="209">
        <v>1.5693212455463668</v>
      </c>
      <c r="K534" s="209">
        <v>3.2714059772256263</v>
      </c>
      <c r="L534" s="202">
        <v>5.0919033981244821</v>
      </c>
      <c r="M534" s="208">
        <v>7.8591809055348127</v>
      </c>
      <c r="N534" s="209">
        <v>5.9669116913154721</v>
      </c>
      <c r="O534" s="209">
        <v>14.41130690246608</v>
      </c>
      <c r="P534" s="209">
        <v>6.9936465537983787</v>
      </c>
      <c r="Q534" s="209">
        <v>6.8605801692347086</v>
      </c>
      <c r="R534" s="209">
        <v>6.8985863508647993</v>
      </c>
      <c r="S534" s="209">
        <v>5.9553549382152786</v>
      </c>
      <c r="T534" s="209">
        <v>6.1945060496210829</v>
      </c>
      <c r="U534" s="209">
        <v>9.3323292944626957</v>
      </c>
      <c r="V534" s="209">
        <v>8.4561537850382695</v>
      </c>
      <c r="W534" s="209">
        <v>5.6107413220564117</v>
      </c>
      <c r="X534" s="202">
        <v>7.9007219029466764</v>
      </c>
      <c r="Y534" s="208">
        <v>2.7400247692057946</v>
      </c>
      <c r="Z534" s="209">
        <v>2.4</v>
      </c>
      <c r="AA534" s="209" t="s">
        <v>93</v>
      </c>
      <c r="AB534" s="209" t="s">
        <v>93</v>
      </c>
      <c r="AC534" s="209">
        <v>6.1403843655085852</v>
      </c>
      <c r="AD534" s="202">
        <v>5.5</v>
      </c>
      <c r="AE534" s="210" t="s">
        <v>213</v>
      </c>
    </row>
    <row r="535" spans="2:31" ht="12" customHeight="1">
      <c r="B535" s="392">
        <v>43469</v>
      </c>
      <c r="C535" s="208"/>
      <c r="D535" s="209"/>
      <c r="E535" s="209"/>
      <c r="F535" s="209"/>
      <c r="G535" s="209"/>
      <c r="H535" s="209"/>
      <c r="I535" s="209"/>
      <c r="J535" s="209"/>
      <c r="K535" s="209"/>
      <c r="L535" s="202"/>
      <c r="M535" s="208"/>
      <c r="N535" s="209"/>
      <c r="O535" s="209"/>
      <c r="P535" s="209"/>
      <c r="Q535" s="209"/>
      <c r="R535" s="209"/>
      <c r="S535" s="209"/>
      <c r="T535" s="209"/>
      <c r="U535" s="209"/>
      <c r="V535" s="209"/>
      <c r="W535" s="209"/>
      <c r="X535" s="202"/>
      <c r="Y535" s="208"/>
      <c r="Z535" s="209"/>
      <c r="AA535" s="209"/>
      <c r="AB535" s="209"/>
      <c r="AC535" s="209"/>
      <c r="AD535" s="202"/>
      <c r="AE535" s="397">
        <v>43469</v>
      </c>
    </row>
    <row r="536" spans="2:31" ht="12" customHeight="1">
      <c r="B536" s="391" t="s">
        <v>187</v>
      </c>
      <c r="C536" s="208">
        <v>9.345397824461612</v>
      </c>
      <c r="D536" s="209">
        <v>4.8610380199862409</v>
      </c>
      <c r="E536" s="209">
        <v>9.7899244769381859</v>
      </c>
      <c r="F536" s="209">
        <v>8.782154691881825</v>
      </c>
      <c r="G536" s="209">
        <v>1.7365433881085035</v>
      </c>
      <c r="H536" s="209">
        <v>6.1849337285782431</v>
      </c>
      <c r="I536" s="209">
        <v>5.4095479860882651</v>
      </c>
      <c r="J536" s="209">
        <v>9.6860936567367943</v>
      </c>
      <c r="K536" s="209">
        <v>9.4645634456343508</v>
      </c>
      <c r="L536" s="202">
        <v>12.638592870302453</v>
      </c>
      <c r="M536" s="208">
        <v>14.222564088661191</v>
      </c>
      <c r="N536" s="209">
        <v>9.2811410825377383</v>
      </c>
      <c r="O536" s="209">
        <v>17.03571693967524</v>
      </c>
      <c r="P536" s="209">
        <v>10.449731682220897</v>
      </c>
      <c r="Q536" s="209">
        <v>12.820750009967419</v>
      </c>
      <c r="R536" s="209">
        <v>11.219883767631163</v>
      </c>
      <c r="S536" s="209">
        <v>14.997998470765758</v>
      </c>
      <c r="T536" s="209">
        <v>16.968635157208869</v>
      </c>
      <c r="U536" s="209">
        <v>19.209031147713851</v>
      </c>
      <c r="V536" s="209">
        <v>18.393701416315448</v>
      </c>
      <c r="W536" s="209">
        <v>6.5310516237395131</v>
      </c>
      <c r="X536" s="202">
        <v>6.9968771524521047</v>
      </c>
      <c r="Y536" s="208">
        <v>9.1072790551297729</v>
      </c>
      <c r="Z536" s="209">
        <v>2.8499999999999996</v>
      </c>
      <c r="AA536" s="209" t="s">
        <v>93</v>
      </c>
      <c r="AB536" s="209" t="s">
        <v>93</v>
      </c>
      <c r="AC536" s="209">
        <v>9.27</v>
      </c>
      <c r="AD536" s="202">
        <v>8.8575952358445988</v>
      </c>
      <c r="AE536" s="210" t="s">
        <v>356</v>
      </c>
    </row>
    <row r="537" spans="2:31" ht="12" customHeight="1">
      <c r="B537" s="391" t="s">
        <v>357</v>
      </c>
      <c r="C537" s="208">
        <v>2.2454769946070976</v>
      </c>
      <c r="D537" s="209">
        <v>1.4461026434354141</v>
      </c>
      <c r="E537" s="209">
        <v>2.6352894896408405</v>
      </c>
      <c r="F537" s="209">
        <v>0.78348984500396202</v>
      </c>
      <c r="G537" s="209">
        <v>0.94552715107093543</v>
      </c>
      <c r="H537" s="209">
        <v>2.7910401978993677</v>
      </c>
      <c r="I537" s="209">
        <v>1.5866304167867904</v>
      </c>
      <c r="J537" s="209">
        <v>1.6045840307477337</v>
      </c>
      <c r="K537" s="209">
        <v>3.1842506683032492</v>
      </c>
      <c r="L537" s="202">
        <v>5.0778329122769668</v>
      </c>
      <c r="M537" s="208">
        <v>7.7891146095907864</v>
      </c>
      <c r="N537" s="209">
        <v>5.8853094913895685</v>
      </c>
      <c r="O537" s="209">
        <v>14.404990274907103</v>
      </c>
      <c r="P537" s="209">
        <v>6.7177901514289777</v>
      </c>
      <c r="Q537" s="209">
        <v>6.848402135322865</v>
      </c>
      <c r="R537" s="209">
        <v>6.9061429880065948</v>
      </c>
      <c r="S537" s="209">
        <v>5.962672148171011</v>
      </c>
      <c r="T537" s="209">
        <v>6.1130448658924106</v>
      </c>
      <c r="U537" s="209">
        <v>9.3219920367522295</v>
      </c>
      <c r="V537" s="209">
        <v>8.3166614571389541</v>
      </c>
      <c r="W537" s="209">
        <v>5.6028838267974885</v>
      </c>
      <c r="X537" s="202">
        <v>7.9894291071147263</v>
      </c>
      <c r="Y537" s="208">
        <v>2.7280072599702203</v>
      </c>
      <c r="Z537" s="209">
        <v>2.1734559206101465</v>
      </c>
      <c r="AA537" s="209" t="s">
        <v>93</v>
      </c>
      <c r="AB537" s="209" t="s">
        <v>93</v>
      </c>
      <c r="AC537" s="209">
        <v>6.1503470440585719</v>
      </c>
      <c r="AD537" s="202" t="s">
        <v>93</v>
      </c>
      <c r="AE537" s="210" t="s">
        <v>213</v>
      </c>
    </row>
    <row r="538" spans="2:31" ht="12" customHeight="1">
      <c r="B538" s="392">
        <v>43470</v>
      </c>
      <c r="C538" s="208"/>
      <c r="D538" s="209"/>
      <c r="E538" s="209"/>
      <c r="F538" s="209"/>
      <c r="G538" s="209"/>
      <c r="H538" s="209"/>
      <c r="I538" s="209"/>
      <c r="J538" s="209"/>
      <c r="K538" s="209"/>
      <c r="L538" s="202"/>
      <c r="M538" s="208"/>
      <c r="N538" s="209"/>
      <c r="O538" s="209"/>
      <c r="P538" s="209"/>
      <c r="Q538" s="209"/>
      <c r="R538" s="209"/>
      <c r="S538" s="209"/>
      <c r="T538" s="209"/>
      <c r="U538" s="209"/>
      <c r="V538" s="209"/>
      <c r="W538" s="209"/>
      <c r="X538" s="202"/>
      <c r="Y538" s="208"/>
      <c r="Z538" s="209"/>
      <c r="AA538" s="209"/>
      <c r="AB538" s="209"/>
      <c r="AC538" s="209"/>
      <c r="AD538" s="202"/>
      <c r="AE538" s="397">
        <v>43470</v>
      </c>
    </row>
    <row r="539" spans="2:31" ht="12" customHeight="1">
      <c r="B539" s="391" t="s">
        <v>187</v>
      </c>
      <c r="C539" s="208">
        <v>9.5036178133987939</v>
      </c>
      <c r="D539" s="209">
        <v>4.7337240844629607</v>
      </c>
      <c r="E539" s="209">
        <v>10.050142406631704</v>
      </c>
      <c r="F539" s="209">
        <v>5.9177167560596349</v>
      </c>
      <c r="G539" s="209">
        <v>2.2987788549058497</v>
      </c>
      <c r="H539" s="209">
        <v>5.9495768995396849</v>
      </c>
      <c r="I539" s="209">
        <v>5.3505116275427751</v>
      </c>
      <c r="J539" s="209">
        <v>9.7506071939338099</v>
      </c>
      <c r="K539" s="209">
        <v>9.5670446965096527</v>
      </c>
      <c r="L539" s="202">
        <v>12.655137983235088</v>
      </c>
      <c r="M539" s="208">
        <v>14.341311177842675</v>
      </c>
      <c r="N539" s="209">
        <v>9.3110151299004702</v>
      </c>
      <c r="O539" s="209">
        <v>17.121855010223328</v>
      </c>
      <c r="P539" s="209">
        <v>9.8550084035165639</v>
      </c>
      <c r="Q539" s="209">
        <v>12.816072092390844</v>
      </c>
      <c r="R539" s="209">
        <v>11.82550458744152</v>
      </c>
      <c r="S539" s="209">
        <v>15.123647073959429</v>
      </c>
      <c r="T539" s="209">
        <v>17.254788941124296</v>
      </c>
      <c r="U539" s="209">
        <v>19.273239944359492</v>
      </c>
      <c r="V539" s="209">
        <v>18.426547828348887</v>
      </c>
      <c r="W539" s="209">
        <v>6.5008181996205492</v>
      </c>
      <c r="X539" s="202">
        <v>7.0075036192932689</v>
      </c>
      <c r="Y539" s="208">
        <v>9.2703615470591423</v>
      </c>
      <c r="Z539" s="209">
        <v>3</v>
      </c>
      <c r="AA539" s="209" t="s">
        <v>93</v>
      </c>
      <c r="AB539" s="209" t="s">
        <v>93</v>
      </c>
      <c r="AC539" s="209">
        <v>9.32</v>
      </c>
      <c r="AD539" s="202">
        <v>8.9884180047380902</v>
      </c>
      <c r="AE539" s="210" t="s">
        <v>356</v>
      </c>
    </row>
    <row r="540" spans="2:31" ht="12" customHeight="1">
      <c r="B540" s="391" t="s">
        <v>357</v>
      </c>
      <c r="C540" s="208">
        <v>2.2502926991212613</v>
      </c>
      <c r="D540" s="209">
        <v>1.4789418739780307</v>
      </c>
      <c r="E540" s="209">
        <v>2.6205844948830248</v>
      </c>
      <c r="F540" s="209">
        <v>0.51452473963234802</v>
      </c>
      <c r="G540" s="209">
        <v>0.9559038901969904</v>
      </c>
      <c r="H540" s="209">
        <v>2.820464024531669</v>
      </c>
      <c r="I540" s="209">
        <v>1.5620071341907802</v>
      </c>
      <c r="J540" s="209">
        <v>1.5748402672228903</v>
      </c>
      <c r="K540" s="209">
        <v>3.2714983931248325</v>
      </c>
      <c r="L540" s="202">
        <v>4.9693047409019124</v>
      </c>
      <c r="M540" s="208">
        <v>7.3962388266394381</v>
      </c>
      <c r="N540" s="209">
        <v>5.782846311396888</v>
      </c>
      <c r="O540" s="209">
        <v>13.470242725760778</v>
      </c>
      <c r="P540" s="209">
        <v>6.7714710346861686</v>
      </c>
      <c r="Q540" s="209">
        <v>6.6696854888591908</v>
      </c>
      <c r="R540" s="209">
        <v>6.642283719055329</v>
      </c>
      <c r="S540" s="209">
        <v>5.8322255809433159</v>
      </c>
      <c r="T540" s="209">
        <v>6.0397319469306119</v>
      </c>
      <c r="U540" s="209">
        <v>8.6361870665161344</v>
      </c>
      <c r="V540" s="209">
        <v>7.8607351466666708</v>
      </c>
      <c r="W540" s="209">
        <v>5.4273743761640372</v>
      </c>
      <c r="X540" s="202">
        <v>8.8653986030764127</v>
      </c>
      <c r="Y540" s="208">
        <v>2.4134215429116379</v>
      </c>
      <c r="Z540" s="209">
        <v>2.154006959980113</v>
      </c>
      <c r="AA540" s="209" t="s">
        <v>93</v>
      </c>
      <c r="AB540" s="209" t="s">
        <v>93</v>
      </c>
      <c r="AC540" s="209">
        <v>6.8982929413957894</v>
      </c>
      <c r="AD540" s="202">
        <v>1.9</v>
      </c>
      <c r="AE540" s="210" t="s">
        <v>213</v>
      </c>
    </row>
    <row r="541" spans="2:31" ht="12" customHeight="1">
      <c r="B541" s="392">
        <v>43471</v>
      </c>
      <c r="C541" s="208"/>
      <c r="D541" s="209"/>
      <c r="E541" s="209"/>
      <c r="F541" s="209"/>
      <c r="G541" s="209"/>
      <c r="H541" s="209"/>
      <c r="I541" s="209"/>
      <c r="J541" s="209"/>
      <c r="K541" s="209"/>
      <c r="L541" s="202"/>
      <c r="M541" s="208"/>
      <c r="N541" s="209"/>
      <c r="O541" s="209"/>
      <c r="P541" s="209"/>
      <c r="Q541" s="209"/>
      <c r="R541" s="209"/>
      <c r="S541" s="209"/>
      <c r="T541" s="209"/>
      <c r="U541" s="209"/>
      <c r="V541" s="209"/>
      <c r="W541" s="209"/>
      <c r="X541" s="202"/>
      <c r="Y541" s="208"/>
      <c r="Z541" s="209"/>
      <c r="AA541" s="209"/>
      <c r="AB541" s="209"/>
      <c r="AC541" s="209"/>
      <c r="AD541" s="202"/>
      <c r="AE541" s="397">
        <v>43471</v>
      </c>
    </row>
    <row r="542" spans="2:31" ht="12" customHeight="1">
      <c r="B542" s="391" t="s">
        <v>187</v>
      </c>
      <c r="C542" s="208">
        <v>9.7342674109307925</v>
      </c>
      <c r="D542" s="209">
        <v>4.8245578810824838</v>
      </c>
      <c r="E542" s="209">
        <v>10.238831973469976</v>
      </c>
      <c r="F542" s="209">
        <v>8.8506823771320065</v>
      </c>
      <c r="G542" s="209">
        <v>2.3145991764239584</v>
      </c>
      <c r="H542" s="209">
        <v>5.970104601249778</v>
      </c>
      <c r="I542" s="209">
        <v>5.6861053972823372</v>
      </c>
      <c r="J542" s="209">
        <v>9.9131372418991415</v>
      </c>
      <c r="K542" s="209">
        <v>9.8268675088901087</v>
      </c>
      <c r="L542" s="202">
        <v>12.592381694800014</v>
      </c>
      <c r="M542" s="208">
        <v>14.325751298429143</v>
      </c>
      <c r="N542" s="209">
        <v>9.1932002841408949</v>
      </c>
      <c r="O542" s="209">
        <v>17.128347302625617</v>
      </c>
      <c r="P542" s="209">
        <v>10.057286157710598</v>
      </c>
      <c r="Q542" s="209">
        <v>12.265248350463692</v>
      </c>
      <c r="R542" s="209">
        <v>12.752272633563383</v>
      </c>
      <c r="S542" s="209">
        <v>14.880295577636513</v>
      </c>
      <c r="T542" s="209">
        <v>17.304258234952101</v>
      </c>
      <c r="U542" s="209">
        <v>18.88178053254995</v>
      </c>
      <c r="V542" s="209">
        <v>18.538381538296463</v>
      </c>
      <c r="W542" s="209">
        <v>6.4350909545223542</v>
      </c>
      <c r="X542" s="202">
        <v>6.9772576017726573</v>
      </c>
      <c r="Y542" s="208">
        <v>9.2667965550152953</v>
      </c>
      <c r="Z542" s="209">
        <v>3</v>
      </c>
      <c r="AA542" s="209" t="s">
        <v>93</v>
      </c>
      <c r="AB542" s="209" t="s">
        <v>93</v>
      </c>
      <c r="AC542" s="209">
        <v>9.31</v>
      </c>
      <c r="AD542" s="202">
        <v>9.0360838418678711</v>
      </c>
      <c r="AE542" s="210" t="s">
        <v>356</v>
      </c>
    </row>
    <row r="543" spans="2:31" ht="12" customHeight="1">
      <c r="B543" s="391" t="s">
        <v>357</v>
      </c>
      <c r="C543" s="208">
        <v>2.1705870360847457</v>
      </c>
      <c r="D543" s="209">
        <v>1.4107059622787295</v>
      </c>
      <c r="E543" s="209">
        <v>2.6248326513355997</v>
      </c>
      <c r="F543" s="209">
        <v>0.56835712930112814</v>
      </c>
      <c r="G543" s="209">
        <v>1.1116712018653536</v>
      </c>
      <c r="H543" s="209">
        <v>1.3864163600710133</v>
      </c>
      <c r="I543" s="209">
        <v>1.7443094594634234</v>
      </c>
      <c r="J543" s="209">
        <v>1.5096634338234203</v>
      </c>
      <c r="K543" s="209">
        <v>3.3482189549584067</v>
      </c>
      <c r="L543" s="202">
        <v>5.0097966646531766</v>
      </c>
      <c r="M543" s="208">
        <v>7.3001454124355654</v>
      </c>
      <c r="N543" s="209">
        <v>5.7546665176151608</v>
      </c>
      <c r="O543" s="209">
        <v>13.15276970421562</v>
      </c>
      <c r="P543" s="209">
        <v>6.6051711462942713</v>
      </c>
      <c r="Q543" s="209">
        <v>6.5809348206087943</v>
      </c>
      <c r="R543" s="209">
        <v>6.7678617329111086</v>
      </c>
      <c r="S543" s="209">
        <v>6.1023470301128651</v>
      </c>
      <c r="T543" s="209">
        <v>5.7783100662488218</v>
      </c>
      <c r="U543" s="209">
        <v>8.5264601010344396</v>
      </c>
      <c r="V543" s="209">
        <v>7.8414717382267201</v>
      </c>
      <c r="W543" s="209">
        <v>5.4007531006434251</v>
      </c>
      <c r="X543" s="202">
        <v>7.8159064612388338</v>
      </c>
      <c r="Y543" s="208">
        <v>2.3306897017898023</v>
      </c>
      <c r="Z543" s="209">
        <v>2.2206385133122919</v>
      </c>
      <c r="AA543" s="209" t="s">
        <v>93</v>
      </c>
      <c r="AB543" s="209" t="s">
        <v>93</v>
      </c>
      <c r="AC543" s="209">
        <v>4.1042890325915087</v>
      </c>
      <c r="AD543" s="202">
        <v>1.9</v>
      </c>
      <c r="AE543" s="210" t="s">
        <v>213</v>
      </c>
    </row>
    <row r="544" spans="2:31" ht="12" customHeight="1">
      <c r="B544" s="392">
        <v>43472</v>
      </c>
      <c r="C544" s="208"/>
      <c r="D544" s="209"/>
      <c r="E544" s="209"/>
      <c r="F544" s="209"/>
      <c r="G544" s="209"/>
      <c r="H544" s="209"/>
      <c r="I544" s="209"/>
      <c r="J544" s="209"/>
      <c r="K544" s="209"/>
      <c r="L544" s="202"/>
      <c r="M544" s="208"/>
      <c r="N544" s="209"/>
      <c r="O544" s="209"/>
      <c r="P544" s="209"/>
      <c r="Q544" s="209"/>
      <c r="R544" s="209"/>
      <c r="S544" s="209"/>
      <c r="T544" s="209"/>
      <c r="U544" s="209"/>
      <c r="V544" s="209"/>
      <c r="W544" s="209"/>
      <c r="X544" s="202"/>
      <c r="Y544" s="208"/>
      <c r="Z544" s="209"/>
      <c r="AA544" s="209"/>
      <c r="AB544" s="209"/>
      <c r="AC544" s="209"/>
      <c r="AD544" s="202"/>
      <c r="AE544" s="397">
        <v>43472</v>
      </c>
    </row>
    <row r="545" spans="2:31" ht="12" customHeight="1">
      <c r="B545" s="391" t="s">
        <v>187</v>
      </c>
      <c r="C545" s="208">
        <v>9.7087112798567734</v>
      </c>
      <c r="D545" s="209">
        <v>4.6849581151980706</v>
      </c>
      <c r="E545" s="209">
        <v>10.238862634862038</v>
      </c>
      <c r="F545" s="209">
        <v>7.4573548889544732</v>
      </c>
      <c r="G545" s="209">
        <v>2.6711053975229953</v>
      </c>
      <c r="H545" s="209">
        <v>6.6249120041113629</v>
      </c>
      <c r="I545" s="209">
        <v>5.4674926001714637</v>
      </c>
      <c r="J545" s="209">
        <v>9.9368295791054226</v>
      </c>
      <c r="K545" s="209">
        <v>9.8121914355314512</v>
      </c>
      <c r="L545" s="202">
        <v>12.556572392143554</v>
      </c>
      <c r="M545" s="208">
        <v>14.283356114072612</v>
      </c>
      <c r="N545" s="209">
        <v>9.0067183481573387</v>
      </c>
      <c r="O545" s="209">
        <v>17.176967301608919</v>
      </c>
      <c r="P545" s="209">
        <v>9.8329144453994868</v>
      </c>
      <c r="Q545" s="209">
        <v>11.595074403433516</v>
      </c>
      <c r="R545" s="209">
        <v>12.928005279643518</v>
      </c>
      <c r="S545" s="209">
        <v>14.600727797540763</v>
      </c>
      <c r="T545" s="209">
        <v>17.243697323255393</v>
      </c>
      <c r="U545" s="209">
        <v>18.886018325181595</v>
      </c>
      <c r="V545" s="209">
        <v>18.40388537671339</v>
      </c>
      <c r="W545" s="209">
        <v>6.3390877331889337</v>
      </c>
      <c r="X545" s="202">
        <v>7.0662977715628115</v>
      </c>
      <c r="Y545" s="208">
        <v>9.2709962597755862</v>
      </c>
      <c r="Z545" s="209" t="s">
        <v>93</v>
      </c>
      <c r="AA545" s="209" t="s">
        <v>93</v>
      </c>
      <c r="AB545" s="209" t="s">
        <v>93</v>
      </c>
      <c r="AC545" s="209">
        <v>9.31</v>
      </c>
      <c r="AD545" s="202">
        <v>9.0360838418678693</v>
      </c>
      <c r="AE545" s="210" t="s">
        <v>356</v>
      </c>
    </row>
    <row r="546" spans="2:31" ht="12" customHeight="1">
      <c r="B546" s="391" t="s">
        <v>357</v>
      </c>
      <c r="C546" s="208">
        <v>2.0955448638748786</v>
      </c>
      <c r="D546" s="209">
        <v>1.355262949089737</v>
      </c>
      <c r="E546" s="209">
        <v>2.5923082885847561</v>
      </c>
      <c r="F546" s="209">
        <v>0.52355817140063654</v>
      </c>
      <c r="G546" s="209">
        <v>1.0159907156949046</v>
      </c>
      <c r="H546" s="209">
        <v>1.3959938465247441</v>
      </c>
      <c r="I546" s="209">
        <v>1.7694263267453583</v>
      </c>
      <c r="J546" s="209">
        <v>1.4835701649885884</v>
      </c>
      <c r="K546" s="209">
        <v>3.1403565279862824</v>
      </c>
      <c r="L546" s="202">
        <v>5.0763843897272345</v>
      </c>
      <c r="M546" s="208">
        <v>7.1337897667991159</v>
      </c>
      <c r="N546" s="209">
        <v>5.7266187952116496</v>
      </c>
      <c r="O546" s="209">
        <v>12.43811451510561</v>
      </c>
      <c r="P546" s="209">
        <v>6.7364325446733266</v>
      </c>
      <c r="Q546" s="209">
        <v>6.6818189572607745</v>
      </c>
      <c r="R546" s="209">
        <v>6.6452035437181465</v>
      </c>
      <c r="S546" s="209">
        <v>6.1518743377242311</v>
      </c>
      <c r="T546" s="209">
        <v>5.8037739528265435</v>
      </c>
      <c r="U546" s="209">
        <v>8.1969980749804456</v>
      </c>
      <c r="V546" s="209">
        <v>7.5728970699339397</v>
      </c>
      <c r="W546" s="209">
        <v>5.5694668918068491</v>
      </c>
      <c r="X546" s="202">
        <v>7.8917331154902737</v>
      </c>
      <c r="Y546" s="208">
        <v>3.4150612491771266</v>
      </c>
      <c r="Z546" s="209">
        <v>3</v>
      </c>
      <c r="AA546" s="209" t="s">
        <v>93</v>
      </c>
      <c r="AB546" s="209" t="s">
        <v>93</v>
      </c>
      <c r="AC546" s="209">
        <v>4.5314661326169992</v>
      </c>
      <c r="AD546" s="202">
        <v>2.7919621214678774</v>
      </c>
      <c r="AE546" s="210" t="s">
        <v>213</v>
      </c>
    </row>
    <row r="547" spans="2:31" ht="12" customHeight="1">
      <c r="B547" s="392">
        <v>43473</v>
      </c>
      <c r="C547" s="208"/>
      <c r="D547" s="209"/>
      <c r="E547" s="209"/>
      <c r="F547" s="209"/>
      <c r="G547" s="209"/>
      <c r="H547" s="209"/>
      <c r="I547" s="209"/>
      <c r="J547" s="209"/>
      <c r="K547" s="209"/>
      <c r="L547" s="202"/>
      <c r="M547" s="208"/>
      <c r="N547" s="209"/>
      <c r="O547" s="209"/>
      <c r="P547" s="209"/>
      <c r="Q547" s="209"/>
      <c r="R547" s="209"/>
      <c r="S547" s="209"/>
      <c r="T547" s="209"/>
      <c r="U547" s="209"/>
      <c r="V547" s="209"/>
      <c r="W547" s="209"/>
      <c r="X547" s="202"/>
      <c r="Y547" s="208"/>
      <c r="Z547" s="209"/>
      <c r="AA547" s="209"/>
      <c r="AB547" s="209"/>
      <c r="AC547" s="209"/>
      <c r="AD547" s="202"/>
      <c r="AE547" s="397">
        <v>43473</v>
      </c>
    </row>
    <row r="548" spans="2:31" ht="12" customHeight="1">
      <c r="B548" s="391" t="s">
        <v>187</v>
      </c>
      <c r="C548" s="208">
        <v>9.6359951665537125</v>
      </c>
      <c r="D548" s="209">
        <v>4.5912757052452209</v>
      </c>
      <c r="E548" s="209">
        <v>10.180876787368353</v>
      </c>
      <c r="F548" s="209">
        <v>9.5914795115456215</v>
      </c>
      <c r="G548" s="209">
        <v>2.5495939989680387</v>
      </c>
      <c r="H548" s="209">
        <v>5.9469427616612673</v>
      </c>
      <c r="I548" s="209">
        <v>5.1449546773508619</v>
      </c>
      <c r="J548" s="209">
        <v>9.8528338487210547</v>
      </c>
      <c r="K548" s="209">
        <v>9.8181559198263386</v>
      </c>
      <c r="L548" s="202">
        <v>12.321058888361323</v>
      </c>
      <c r="M548" s="208">
        <v>14.302674679636352</v>
      </c>
      <c r="N548" s="209">
        <v>9.1020207263385124</v>
      </c>
      <c r="O548" s="209">
        <v>17.130590711894271</v>
      </c>
      <c r="P548" s="209">
        <v>9.3856957053909031</v>
      </c>
      <c r="Q548" s="209">
        <v>11.251013771234232</v>
      </c>
      <c r="R548" s="209">
        <v>13.013913591992926</v>
      </c>
      <c r="S548" s="209">
        <v>14.722975534204453</v>
      </c>
      <c r="T548" s="209">
        <v>17.304153260683709</v>
      </c>
      <c r="U548" s="209">
        <v>18.84038747376588</v>
      </c>
      <c r="V548" s="209">
        <v>17.908495738303913</v>
      </c>
      <c r="W548" s="209">
        <v>6.4493364703512288</v>
      </c>
      <c r="X548" s="202">
        <v>7.1518162790577096</v>
      </c>
      <c r="Y548" s="208">
        <v>9.2161569659103364</v>
      </c>
      <c r="Z548" s="209" t="s">
        <v>93</v>
      </c>
      <c r="AA548" s="209" t="s">
        <v>93</v>
      </c>
      <c r="AB548" s="209" t="s">
        <v>93</v>
      </c>
      <c r="AC548" s="209">
        <v>9.3000000000000007</v>
      </c>
      <c r="AD548" s="202">
        <v>8.8188299433843564</v>
      </c>
      <c r="AE548" s="210" t="s">
        <v>187</v>
      </c>
    </row>
    <row r="549" spans="2:31" ht="12" customHeight="1">
      <c r="B549" s="391" t="s">
        <v>357</v>
      </c>
      <c r="C549" s="208">
        <v>2.0320606360153746</v>
      </c>
      <c r="D549" s="209">
        <v>1.3300240185729719</v>
      </c>
      <c r="E549" s="209">
        <v>2.5668753460050069</v>
      </c>
      <c r="F549" s="209">
        <v>0.74933640148077452</v>
      </c>
      <c r="G549" s="209">
        <v>1.0143056334794389</v>
      </c>
      <c r="H549" s="209">
        <v>1.2714820554474726</v>
      </c>
      <c r="I549" s="209">
        <v>1.2424308737684222</v>
      </c>
      <c r="J549" s="209">
        <v>1.497539417206093</v>
      </c>
      <c r="K549" s="209">
        <v>3.1437272681288677</v>
      </c>
      <c r="L549" s="202">
        <v>5.1181607226836396</v>
      </c>
      <c r="M549" s="208">
        <v>6.8799967242915194</v>
      </c>
      <c r="N549" s="209">
        <v>5.661030338540864</v>
      </c>
      <c r="O549" s="209">
        <v>11.712869748830178</v>
      </c>
      <c r="P549" s="209">
        <v>6.2250937857174691</v>
      </c>
      <c r="Q549" s="209">
        <v>6.8262185277736274</v>
      </c>
      <c r="R549" s="209">
        <v>6.717201277741947</v>
      </c>
      <c r="S549" s="209">
        <v>6.0285559238595772</v>
      </c>
      <c r="T549" s="209">
        <v>5.5252175587980066</v>
      </c>
      <c r="U549" s="209">
        <v>7.6064945875238488</v>
      </c>
      <c r="V549" s="209">
        <v>7.4223408689213217</v>
      </c>
      <c r="W549" s="209">
        <v>5.5754353960766831</v>
      </c>
      <c r="X549" s="202">
        <v>8.2417457580962861</v>
      </c>
      <c r="Y549" s="208">
        <v>3.4296107377930261</v>
      </c>
      <c r="Z549" s="209">
        <v>3</v>
      </c>
      <c r="AA549" s="209" t="s">
        <v>93</v>
      </c>
      <c r="AB549" s="209" t="s">
        <v>93</v>
      </c>
      <c r="AC549" s="209">
        <v>4.547552383175482</v>
      </c>
      <c r="AD549" s="202">
        <v>2.8030190358805807</v>
      </c>
      <c r="AE549" s="210" t="s">
        <v>357</v>
      </c>
    </row>
    <row r="550" spans="2:31" s="279" customFormat="1" ht="12" customHeight="1">
      <c r="B550" s="392">
        <v>43474</v>
      </c>
      <c r="C550" s="208"/>
      <c r="D550" s="214"/>
      <c r="E550" s="209"/>
      <c r="F550" s="209"/>
      <c r="G550" s="209"/>
      <c r="H550" s="209"/>
      <c r="I550" s="209"/>
      <c r="J550" s="209"/>
      <c r="K550" s="209"/>
      <c r="L550" s="202"/>
      <c r="M550" s="208"/>
      <c r="N550" s="209"/>
      <c r="O550" s="209"/>
      <c r="P550" s="209"/>
      <c r="Q550" s="209"/>
      <c r="R550" s="209"/>
      <c r="S550" s="209"/>
      <c r="T550" s="209"/>
      <c r="U550" s="209"/>
      <c r="V550" s="209"/>
      <c r="W550" s="209"/>
      <c r="X550" s="202"/>
      <c r="Y550" s="208"/>
      <c r="Z550" s="209"/>
      <c r="AA550" s="209"/>
      <c r="AB550" s="209"/>
      <c r="AC550" s="209"/>
      <c r="AD550" s="202"/>
      <c r="AE550" s="397">
        <v>43474</v>
      </c>
    </row>
    <row r="551" spans="2:31" s="279" customFormat="1" ht="12" customHeight="1">
      <c r="B551" s="391" t="s">
        <v>187</v>
      </c>
      <c r="C551" s="208">
        <v>9.5888251950872245</v>
      </c>
      <c r="D551" s="209">
        <v>4.6464727408108653</v>
      </c>
      <c r="E551" s="209">
        <v>10.125377877710898</v>
      </c>
      <c r="F551" s="209">
        <v>9.9954769184584826</v>
      </c>
      <c r="G551" s="209">
        <v>3.1018882802968122</v>
      </c>
      <c r="H551" s="209">
        <v>5.5944874344560516</v>
      </c>
      <c r="I551" s="209">
        <v>5.3161049831278087</v>
      </c>
      <c r="J551" s="209">
        <v>9.8008290551738906</v>
      </c>
      <c r="K551" s="209">
        <v>9.6757696175036312</v>
      </c>
      <c r="L551" s="202">
        <v>12.186656110048769</v>
      </c>
      <c r="M551" s="208">
        <v>14.365706895660381</v>
      </c>
      <c r="N551" s="209">
        <v>9.1172806853422248</v>
      </c>
      <c r="O551" s="209">
        <v>17.156168284518635</v>
      </c>
      <c r="P551" s="209">
        <v>9.2943194173693637</v>
      </c>
      <c r="Q551" s="209">
        <v>11.277300965907456</v>
      </c>
      <c r="R551" s="209">
        <v>13.202130496677722</v>
      </c>
      <c r="S551" s="209">
        <v>14.669784008901068</v>
      </c>
      <c r="T551" s="209">
        <v>17.278693571855722</v>
      </c>
      <c r="U551" s="209">
        <v>19.02668605099646</v>
      </c>
      <c r="V551" s="209">
        <v>17.835201300605526</v>
      </c>
      <c r="W551" s="209">
        <v>6.488953846285467</v>
      </c>
      <c r="X551" s="202">
        <v>7.1430565021236303</v>
      </c>
      <c r="Y551" s="209">
        <v>9.2154740169376232</v>
      </c>
      <c r="Z551" s="209">
        <v>3.01</v>
      </c>
      <c r="AA551" s="209" t="s">
        <v>93</v>
      </c>
      <c r="AB551" s="209" t="s">
        <v>93</v>
      </c>
      <c r="AC551" s="209">
        <v>9.3000000000000007</v>
      </c>
      <c r="AD551" s="209">
        <v>8.8188299433843564</v>
      </c>
      <c r="AE551" s="210" t="s">
        <v>356</v>
      </c>
    </row>
    <row r="552" spans="2:31" s="279" customFormat="1" ht="12" customHeight="1">
      <c r="B552" s="391" t="s">
        <v>357</v>
      </c>
      <c r="C552" s="208">
        <v>2.0408192634479541</v>
      </c>
      <c r="D552" s="209">
        <v>1.3509494056839262</v>
      </c>
      <c r="E552" s="209">
        <v>2.5681439028906299</v>
      </c>
      <c r="F552" s="209">
        <v>0.79678696513386571</v>
      </c>
      <c r="G552" s="209">
        <v>1.3406190721441407</v>
      </c>
      <c r="H552" s="209">
        <v>1.269376970817331</v>
      </c>
      <c r="I552" s="209">
        <v>1.2510988672493843</v>
      </c>
      <c r="J552" s="209">
        <v>1.4888769962532615</v>
      </c>
      <c r="K552" s="209">
        <v>3.0009951570481861</v>
      </c>
      <c r="L552" s="202">
        <v>5.057373052347562</v>
      </c>
      <c r="M552" s="208">
        <v>6.8419944244844322</v>
      </c>
      <c r="N552" s="209">
        <v>5.5796039221686415</v>
      </c>
      <c r="O552" s="209">
        <v>11.905127932278123</v>
      </c>
      <c r="P552" s="209">
        <v>5.4994284275463388</v>
      </c>
      <c r="Q552" s="209">
        <v>6.7420890660928201</v>
      </c>
      <c r="R552" s="209">
        <v>6.7703336428809546</v>
      </c>
      <c r="S552" s="209">
        <v>6.0261476712795394</v>
      </c>
      <c r="T552" s="209">
        <v>5.4774464256449216</v>
      </c>
      <c r="U552" s="209">
        <v>7.5546641039688369</v>
      </c>
      <c r="V552" s="209">
        <v>7.442632243736969</v>
      </c>
      <c r="W552" s="209">
        <v>5.4482097819268649</v>
      </c>
      <c r="X552" s="202">
        <v>8.1794505042954349</v>
      </c>
      <c r="Y552" s="209">
        <v>3.6181403796157587</v>
      </c>
      <c r="Z552" s="209" t="s">
        <v>93</v>
      </c>
      <c r="AA552" s="209" t="s">
        <v>93</v>
      </c>
      <c r="AB552" s="209" t="s">
        <v>93</v>
      </c>
      <c r="AC552" s="209">
        <v>4.3202980940505453</v>
      </c>
      <c r="AD552" s="209">
        <v>2.8089870011900722</v>
      </c>
      <c r="AE552" s="210" t="s">
        <v>213</v>
      </c>
    </row>
    <row r="553" spans="2:31" s="279" customFormat="1" ht="12" customHeight="1">
      <c r="B553" s="392">
        <v>43475</v>
      </c>
      <c r="C553" s="208"/>
      <c r="D553" s="214"/>
      <c r="E553" s="209"/>
      <c r="F553" s="209"/>
      <c r="G553" s="209"/>
      <c r="H553" s="209"/>
      <c r="I553" s="209"/>
      <c r="J553" s="209"/>
      <c r="K553" s="209"/>
      <c r="L553" s="202"/>
      <c r="M553" s="208"/>
      <c r="N553" s="209"/>
      <c r="O553" s="209"/>
      <c r="P553" s="209"/>
      <c r="Q553" s="209"/>
      <c r="R553" s="209"/>
      <c r="S553" s="209"/>
      <c r="T553" s="209"/>
      <c r="U553" s="209"/>
      <c r="V553" s="209"/>
      <c r="W553" s="209"/>
      <c r="X553" s="202"/>
      <c r="Y553" s="208"/>
      <c r="Z553" s="209"/>
      <c r="AA553" s="209"/>
      <c r="AB553" s="209"/>
      <c r="AC553" s="209"/>
      <c r="AD553" s="202"/>
      <c r="AE553" s="397">
        <f>B553</f>
        <v>43475</v>
      </c>
    </row>
    <row r="554" spans="2:31" s="279" customFormat="1" ht="12" customHeight="1">
      <c r="B554" s="391" t="s">
        <v>187</v>
      </c>
      <c r="C554" s="208">
        <v>9.5723595964539552</v>
      </c>
      <c r="D554" s="209">
        <v>4.7362011225742009</v>
      </c>
      <c r="E554" s="209">
        <v>10.07470392403784</v>
      </c>
      <c r="F554" s="209">
        <v>6.6038282457876551</v>
      </c>
      <c r="G554" s="209">
        <v>3.49761494326341</v>
      </c>
      <c r="H554" s="209">
        <v>5.2750951753684481</v>
      </c>
      <c r="I554" s="209">
        <v>5.2242940771371362</v>
      </c>
      <c r="J554" s="209">
        <v>9.7411746045162708</v>
      </c>
      <c r="K554" s="209">
        <v>9.6872721371513073</v>
      </c>
      <c r="L554" s="202">
        <v>11.485575194470711</v>
      </c>
      <c r="M554" s="208">
        <v>14.343855799530733</v>
      </c>
      <c r="N554" s="209">
        <v>9.1033232248527618</v>
      </c>
      <c r="O554" s="209">
        <v>17.132752742325142</v>
      </c>
      <c r="P554" s="209">
        <v>9.1653028767182843</v>
      </c>
      <c r="Q554" s="209">
        <v>11.308223969368768</v>
      </c>
      <c r="R554" s="209">
        <v>13.153538778544176</v>
      </c>
      <c r="S554" s="209">
        <v>15.230323787875808</v>
      </c>
      <c r="T554" s="209">
        <v>17.598905479403165</v>
      </c>
      <c r="U554" s="209">
        <v>18.861181001290795</v>
      </c>
      <c r="V554" s="209">
        <v>17.659634072004138</v>
      </c>
      <c r="W554" s="209">
        <v>6.4392859696689531</v>
      </c>
      <c r="X554" s="202">
        <v>7.1530062843505835</v>
      </c>
      <c r="Y554" s="209">
        <v>9.1733420740991374</v>
      </c>
      <c r="Z554" s="209" t="s">
        <v>93</v>
      </c>
      <c r="AA554" s="209" t="s">
        <v>93</v>
      </c>
      <c r="AB554" s="209" t="s">
        <v>93</v>
      </c>
      <c r="AC554" s="209">
        <v>9.3000000000000007</v>
      </c>
      <c r="AD554" s="209">
        <v>6.9401103230890469</v>
      </c>
      <c r="AE554" s="210" t="s">
        <v>356</v>
      </c>
    </row>
    <row r="555" spans="2:31" s="279" customFormat="1" ht="12" customHeight="1">
      <c r="B555" s="391" t="s">
        <v>357</v>
      </c>
      <c r="C555" s="208">
        <v>1.9811263120352827</v>
      </c>
      <c r="D555" s="209">
        <v>1.2702907874924532</v>
      </c>
      <c r="E555" s="209">
        <v>2.5610658038835643</v>
      </c>
      <c r="F555" s="209">
        <v>0.78298600631794835</v>
      </c>
      <c r="G555" s="209">
        <v>1.021535474668515</v>
      </c>
      <c r="H555" s="209">
        <v>1.269176718926718</v>
      </c>
      <c r="I555" s="209">
        <v>1.2544354038335841</v>
      </c>
      <c r="J555" s="209">
        <v>1.4615170918599145</v>
      </c>
      <c r="K555" s="209">
        <v>2.9578349605236962</v>
      </c>
      <c r="L555" s="202">
        <v>5.043255889768254</v>
      </c>
      <c r="M555" s="208">
        <v>6.644629329579546</v>
      </c>
      <c r="N555" s="209">
        <v>5.5131307283886546</v>
      </c>
      <c r="O555" s="209">
        <v>11.356001918868877</v>
      </c>
      <c r="P555" s="209">
        <v>5.5758326266787881</v>
      </c>
      <c r="Q555" s="209">
        <v>6.6473661076963566</v>
      </c>
      <c r="R555" s="209">
        <v>7.2276874441690415</v>
      </c>
      <c r="S555" s="209">
        <v>5.9908282421997594</v>
      </c>
      <c r="T555" s="209">
        <v>5.588145970386531</v>
      </c>
      <c r="U555" s="209">
        <v>7.4021692970801398</v>
      </c>
      <c r="V555" s="209">
        <v>7.3405458875675427</v>
      </c>
      <c r="W555" s="209">
        <v>5.2589424295845797</v>
      </c>
      <c r="X555" s="202">
        <v>8.1921871178490662</v>
      </c>
      <c r="Y555" s="209">
        <v>2.9806494357709568</v>
      </c>
      <c r="Z555" s="209" t="s">
        <v>93</v>
      </c>
      <c r="AA555" s="209" t="s">
        <v>93</v>
      </c>
      <c r="AB555" s="209" t="s">
        <v>93</v>
      </c>
      <c r="AC555" s="209">
        <v>4.5646698751927985</v>
      </c>
      <c r="AD555" s="209">
        <v>2.796217603093742</v>
      </c>
      <c r="AE555" s="210" t="s">
        <v>213</v>
      </c>
    </row>
    <row r="556" spans="2:31" s="279" customFormat="1" ht="12" customHeight="1">
      <c r="B556" s="392">
        <v>43476</v>
      </c>
      <c r="C556" s="208"/>
      <c r="D556" s="214"/>
      <c r="E556" s="209"/>
      <c r="F556" s="209"/>
      <c r="G556" s="209"/>
      <c r="H556" s="209"/>
      <c r="I556" s="209"/>
      <c r="J556" s="209"/>
      <c r="K556" s="209"/>
      <c r="L556" s="202"/>
      <c r="M556" s="208"/>
      <c r="N556" s="209"/>
      <c r="O556" s="209"/>
      <c r="P556" s="209"/>
      <c r="Q556" s="209"/>
      <c r="R556" s="209"/>
      <c r="S556" s="209"/>
      <c r="T556" s="209"/>
      <c r="U556" s="209"/>
      <c r="V556" s="209"/>
      <c r="W556" s="209"/>
      <c r="X556" s="202"/>
      <c r="Y556" s="208"/>
      <c r="Z556" s="209"/>
      <c r="AA556" s="209"/>
      <c r="AB556" s="209"/>
      <c r="AC556" s="209"/>
      <c r="AD556" s="202"/>
      <c r="AE556" s="397">
        <f>B556</f>
        <v>43476</v>
      </c>
    </row>
    <row r="557" spans="2:31" s="279" customFormat="1" ht="12" customHeight="1">
      <c r="B557" s="391" t="s">
        <v>187</v>
      </c>
      <c r="C557" s="208">
        <v>9.549460424417445</v>
      </c>
      <c r="D557" s="209">
        <v>4.7845155613990915</v>
      </c>
      <c r="E557" s="209">
        <v>10.008132508840548</v>
      </c>
      <c r="F557" s="209">
        <v>8.991685217600617</v>
      </c>
      <c r="G557" s="209">
        <v>3.0244829725663305</v>
      </c>
      <c r="H557" s="209">
        <v>5.117365749723036</v>
      </c>
      <c r="I557" s="209">
        <v>5.1003842676105791</v>
      </c>
      <c r="J557" s="209">
        <v>9.6691234804167721</v>
      </c>
      <c r="K557" s="209">
        <v>9.6660202588247692</v>
      </c>
      <c r="L557" s="202">
        <v>11.356775252340977</v>
      </c>
      <c r="M557" s="208">
        <v>14.34</v>
      </c>
      <c r="N557" s="209">
        <v>9.0660671223202787</v>
      </c>
      <c r="O557" s="209">
        <v>17.125305682446921</v>
      </c>
      <c r="P557" s="209">
        <v>9.8104348712172769</v>
      </c>
      <c r="Q557" s="209">
        <v>11.456771765246536</v>
      </c>
      <c r="R557" s="209">
        <v>12.925735676730563</v>
      </c>
      <c r="S557" s="209">
        <v>15.642902593353856</v>
      </c>
      <c r="T557" s="209">
        <v>17.582769478021806</v>
      </c>
      <c r="U557" s="209">
        <v>18.749996458254973</v>
      </c>
      <c r="V557" s="209">
        <v>17.58745585784856</v>
      </c>
      <c r="W557" s="209">
        <v>6.3946785151010443</v>
      </c>
      <c r="X557" s="202">
        <v>7.1680676855117706</v>
      </c>
      <c r="Y557" s="209">
        <v>9.1823694029850742</v>
      </c>
      <c r="Z557" s="209" t="s">
        <v>93</v>
      </c>
      <c r="AA557" s="209" t="s">
        <v>93</v>
      </c>
      <c r="AB557" s="209" t="s">
        <v>93</v>
      </c>
      <c r="AC557" s="209">
        <v>9.3000000000000007</v>
      </c>
      <c r="AD557" s="209">
        <v>7.0518638573743919</v>
      </c>
      <c r="AE557" s="210" t="s">
        <v>356</v>
      </c>
    </row>
    <row r="558" spans="2:31" s="279" customFormat="1" ht="12" customHeight="1">
      <c r="B558" s="391" t="s">
        <v>357</v>
      </c>
      <c r="C558" s="208">
        <v>2.0207342760059479</v>
      </c>
      <c r="D558" s="209">
        <v>1.3447705243099564</v>
      </c>
      <c r="E558" s="209">
        <v>2.5363342173027994</v>
      </c>
      <c r="F558" s="209">
        <v>0.59592748126640349</v>
      </c>
      <c r="G558" s="209">
        <v>0.95788799726342377</v>
      </c>
      <c r="H558" s="209">
        <v>1.2124431807108762</v>
      </c>
      <c r="I558" s="209">
        <v>1.2315618325176387</v>
      </c>
      <c r="J558" s="209">
        <v>1.4922809388554443</v>
      </c>
      <c r="K558" s="209">
        <v>3.003876761611973</v>
      </c>
      <c r="L558" s="202">
        <v>4.9873021490057976</v>
      </c>
      <c r="M558" s="208">
        <v>6.6879136898876004</v>
      </c>
      <c r="N558" s="209">
        <v>5.5432876483243021</v>
      </c>
      <c r="O558" s="209">
        <v>11.613422992777952</v>
      </c>
      <c r="P558" s="209">
        <v>5.9538457430278289</v>
      </c>
      <c r="Q558" s="209">
        <v>6.7110106598947805</v>
      </c>
      <c r="R558" s="209">
        <v>7.0810631244771542</v>
      </c>
      <c r="S558" s="209">
        <v>6.3716643797200723</v>
      </c>
      <c r="T558" s="209">
        <v>5.5733781289352411</v>
      </c>
      <c r="U558" s="209">
        <v>7.2592438781126845</v>
      </c>
      <c r="V558" s="209">
        <v>7.3774738860324014</v>
      </c>
      <c r="W558" s="209">
        <v>5.4666713886434621</v>
      </c>
      <c r="X558" s="202">
        <v>7.9710346176224363</v>
      </c>
      <c r="Y558" s="209">
        <v>3.0364617451834142</v>
      </c>
      <c r="Z558" s="209" t="s">
        <v>93</v>
      </c>
      <c r="AA558" s="209" t="s">
        <v>93</v>
      </c>
      <c r="AB558" s="209" t="s">
        <v>93</v>
      </c>
      <c r="AC558" s="209">
        <v>4.5467753853730777</v>
      </c>
      <c r="AD558" s="209">
        <v>2.9291173119146214</v>
      </c>
      <c r="AE558" s="210" t="s">
        <v>213</v>
      </c>
    </row>
    <row r="559" spans="2:31" s="279" customFormat="1" ht="12" customHeight="1">
      <c r="B559" s="392">
        <v>43477</v>
      </c>
      <c r="C559" s="208"/>
      <c r="D559" s="214"/>
      <c r="E559" s="209"/>
      <c r="F559" s="209"/>
      <c r="G559" s="209"/>
      <c r="H559" s="209"/>
      <c r="I559" s="209"/>
      <c r="J559" s="209"/>
      <c r="K559" s="209"/>
      <c r="L559" s="202"/>
      <c r="M559" s="208"/>
      <c r="N559" s="209"/>
      <c r="O559" s="209"/>
      <c r="P559" s="209"/>
      <c r="Q559" s="209"/>
      <c r="R559" s="209"/>
      <c r="S559" s="209"/>
      <c r="T559" s="209"/>
      <c r="U559" s="209"/>
      <c r="V559" s="209"/>
      <c r="W559" s="209"/>
      <c r="X559" s="202"/>
      <c r="Y559" s="208"/>
      <c r="Z559" s="209"/>
      <c r="AA559" s="209"/>
      <c r="AB559" s="209"/>
      <c r="AC559" s="209"/>
      <c r="AD559" s="202"/>
      <c r="AE559" s="397">
        <f>B559</f>
        <v>43477</v>
      </c>
    </row>
    <row r="560" spans="2:31" s="279" customFormat="1" ht="12" customHeight="1">
      <c r="B560" s="391" t="s">
        <v>187</v>
      </c>
      <c r="C560" s="208">
        <v>9.3125702580400311</v>
      </c>
      <c r="D560" s="209">
        <v>4.7682987018485496</v>
      </c>
      <c r="E560" s="209">
        <v>9.7576963837057527</v>
      </c>
      <c r="F560" s="209">
        <v>8.0715212181920748</v>
      </c>
      <c r="G560" s="209">
        <v>3.1304642277925154</v>
      </c>
      <c r="H560" s="209">
        <v>4.9149375315825061</v>
      </c>
      <c r="I560" s="209">
        <v>6.0188162931879132</v>
      </c>
      <c r="J560" s="209">
        <v>9.4139177864203134</v>
      </c>
      <c r="K560" s="209">
        <v>9.4236685768087902</v>
      </c>
      <c r="L560" s="202">
        <v>11.20390609050035</v>
      </c>
      <c r="M560" s="208">
        <v>14.179135971556015</v>
      </c>
      <c r="N560" s="209">
        <v>8.9702644734261519</v>
      </c>
      <c r="O560" s="209">
        <v>16.964161404248753</v>
      </c>
      <c r="P560" s="209">
        <v>9.9513008909014466</v>
      </c>
      <c r="Q560" s="209">
        <v>10.776197454807646</v>
      </c>
      <c r="R560" s="209">
        <v>12.876962106657709</v>
      </c>
      <c r="S560" s="209">
        <v>15.330974752267844</v>
      </c>
      <c r="T560" s="209">
        <v>17.568635334242305</v>
      </c>
      <c r="U560" s="209">
        <v>18.50479113364775</v>
      </c>
      <c r="V560" s="209">
        <v>17.328380426458196</v>
      </c>
      <c r="W560" s="209">
        <v>6.1860176139030925</v>
      </c>
      <c r="X560" s="202">
        <v>7.1060051957943848</v>
      </c>
      <c r="Y560" s="209">
        <v>9.1614044168391988</v>
      </c>
      <c r="Z560" s="209" t="s">
        <v>93</v>
      </c>
      <c r="AA560" s="209" t="s">
        <v>93</v>
      </c>
      <c r="AB560" s="209" t="s">
        <v>93</v>
      </c>
      <c r="AC560" s="209">
        <v>9.2799999999999994</v>
      </c>
      <c r="AD560" s="209">
        <v>7.0518638573743919</v>
      </c>
      <c r="AE560" s="210" t="s">
        <v>356</v>
      </c>
    </row>
    <row r="561" spans="2:31" s="279" customFormat="1" ht="12" customHeight="1">
      <c r="B561" s="391" t="s">
        <v>357</v>
      </c>
      <c r="C561" s="208">
        <v>1.9273511105233967</v>
      </c>
      <c r="D561" s="209">
        <v>1.2568812895333508</v>
      </c>
      <c r="E561" s="209">
        <v>2.4481030822379446</v>
      </c>
      <c r="F561" s="209">
        <v>0.65221837462033649</v>
      </c>
      <c r="G561" s="209">
        <v>0.96770489527142545</v>
      </c>
      <c r="H561" s="209">
        <v>0.92686504868191966</v>
      </c>
      <c r="I561" s="209">
        <v>1.0469733205176264</v>
      </c>
      <c r="J561" s="209">
        <v>1.4182953288311804</v>
      </c>
      <c r="K561" s="209">
        <v>2.8915466543164654</v>
      </c>
      <c r="L561" s="202">
        <v>4.8284059743152623</v>
      </c>
      <c r="M561" s="208">
        <v>6.1639470836162928</v>
      </c>
      <c r="N561" s="209">
        <v>5.3774810453789321</v>
      </c>
      <c r="O561" s="209">
        <v>8.8699643925975682</v>
      </c>
      <c r="P561" s="209">
        <v>6.9943086435280009</v>
      </c>
      <c r="Q561" s="209">
        <v>6.5603966991425642</v>
      </c>
      <c r="R561" s="209">
        <v>2.6198277323896728</v>
      </c>
      <c r="S561" s="209">
        <v>7.3614202160706901</v>
      </c>
      <c r="T561" s="209">
        <v>5.5022167547232641</v>
      </c>
      <c r="U561" s="209">
        <v>7.0068086032374737</v>
      </c>
      <c r="V561" s="209">
        <v>6.8620765556573753</v>
      </c>
      <c r="W561" s="209">
        <v>5.41775219905659</v>
      </c>
      <c r="X561" s="202">
        <v>7.8701275614120929</v>
      </c>
      <c r="Y561" s="209">
        <v>3.3988138067689735</v>
      </c>
      <c r="Z561" s="209" t="s">
        <v>93</v>
      </c>
      <c r="AA561" s="209" t="s">
        <v>93</v>
      </c>
      <c r="AB561" s="209" t="s">
        <v>93</v>
      </c>
      <c r="AC561" s="209">
        <v>4.5537848273497783</v>
      </c>
      <c r="AD561" s="209">
        <v>2.9332131293960031</v>
      </c>
      <c r="AE561" s="210" t="s">
        <v>213</v>
      </c>
    </row>
    <row r="562" spans="2:31" s="279" customFormat="1" ht="12" customHeight="1">
      <c r="B562" s="392">
        <v>43831</v>
      </c>
      <c r="C562" s="208"/>
      <c r="D562" s="209"/>
      <c r="E562" s="209"/>
      <c r="F562" s="209"/>
      <c r="G562" s="209"/>
      <c r="H562" s="209"/>
      <c r="I562" s="209"/>
      <c r="J562" s="209"/>
      <c r="K562" s="209"/>
      <c r="L562" s="202"/>
      <c r="M562" s="208"/>
      <c r="N562" s="209"/>
      <c r="O562" s="209"/>
      <c r="P562" s="209"/>
      <c r="Q562" s="209"/>
      <c r="R562" s="209"/>
      <c r="S562" s="209"/>
      <c r="T562" s="209"/>
      <c r="U562" s="209"/>
      <c r="V562" s="209"/>
      <c r="W562" s="209"/>
      <c r="X562" s="202"/>
      <c r="Y562" s="209"/>
      <c r="Z562" s="209"/>
      <c r="AA562" s="209"/>
      <c r="AB562" s="209"/>
      <c r="AC562" s="209"/>
      <c r="AD562" s="209"/>
      <c r="AE562" s="397">
        <f>B562</f>
        <v>43831</v>
      </c>
    </row>
    <row r="563" spans="2:31" s="279" customFormat="1" ht="12" customHeight="1">
      <c r="B563" s="391" t="s">
        <v>187</v>
      </c>
      <c r="C563" s="208">
        <v>9.2660920207277169</v>
      </c>
      <c r="D563" s="209">
        <v>4.7128299405666283</v>
      </c>
      <c r="E563" s="209">
        <v>9.680086042086371</v>
      </c>
      <c r="F563" s="209">
        <v>7.7658902498190274</v>
      </c>
      <c r="G563" s="209">
        <v>3.0249257820583395</v>
      </c>
      <c r="H563" s="209">
        <v>4.9041528505026664</v>
      </c>
      <c r="I563" s="209">
        <v>5.9711650392416118</v>
      </c>
      <c r="J563" s="209">
        <v>9.3697689619612543</v>
      </c>
      <c r="K563" s="209">
        <v>9.3531386873380065</v>
      </c>
      <c r="L563" s="202">
        <v>11.584197962565989</v>
      </c>
      <c r="M563" s="208">
        <v>13.918693008487949</v>
      </c>
      <c r="N563" s="209">
        <v>8.7971889664325502</v>
      </c>
      <c r="O563" s="209">
        <v>16.627149930432243</v>
      </c>
      <c r="P563" s="209">
        <v>10.293070209697762</v>
      </c>
      <c r="Q563" s="209">
        <v>10.955347444084554</v>
      </c>
      <c r="R563" s="209">
        <v>12.684526321272761</v>
      </c>
      <c r="S563" s="209">
        <v>14.930251209607123</v>
      </c>
      <c r="T563" s="209">
        <v>17.541899800031718</v>
      </c>
      <c r="U563" s="209">
        <v>17.951848050593316</v>
      </c>
      <c r="V563" s="209">
        <v>17.174601997598284</v>
      </c>
      <c r="W563" s="209">
        <v>6.1068035355891395</v>
      </c>
      <c r="X563" s="202">
        <v>6.9691628440527156</v>
      </c>
      <c r="Y563" s="209">
        <v>8.9694827025268413</v>
      </c>
      <c r="Z563" s="209" t="s">
        <v>93</v>
      </c>
      <c r="AA563" s="209" t="s">
        <v>93</v>
      </c>
      <c r="AB563" s="209" t="s">
        <v>93</v>
      </c>
      <c r="AC563" s="209">
        <v>9.07</v>
      </c>
      <c r="AD563" s="209">
        <v>7.1788549937317176</v>
      </c>
      <c r="AE563" s="210" t="s">
        <v>356</v>
      </c>
    </row>
    <row r="564" spans="2:31" s="279" customFormat="1" ht="12" customHeight="1">
      <c r="B564" s="391" t="s">
        <v>357</v>
      </c>
      <c r="C564" s="208">
        <v>1.8385462477253165</v>
      </c>
      <c r="D564" s="209">
        <v>1.1049377230410617</v>
      </c>
      <c r="E564" s="209">
        <v>2.4042446214286128</v>
      </c>
      <c r="F564" s="209">
        <v>0.20340838750696649</v>
      </c>
      <c r="G564" s="209">
        <v>1.0026500652671853</v>
      </c>
      <c r="H564" s="209">
        <v>0.81355324041808463</v>
      </c>
      <c r="I564" s="209">
        <v>0.9999192823580928</v>
      </c>
      <c r="J564" s="209">
        <v>1.4616785123082179</v>
      </c>
      <c r="K564" s="209">
        <v>2.5861884376715172</v>
      </c>
      <c r="L564" s="202">
        <v>4.5623015832487193</v>
      </c>
      <c r="M564" s="208">
        <v>5.8997903123803095</v>
      </c>
      <c r="N564" s="209">
        <v>5.3333844781581057</v>
      </c>
      <c r="O564" s="209">
        <v>8.0059051316120069</v>
      </c>
      <c r="P564" s="209">
        <v>5.8651940528171087</v>
      </c>
      <c r="Q564" s="209">
        <v>8.4949364499902273</v>
      </c>
      <c r="R564" s="209">
        <v>2.5800480967189308</v>
      </c>
      <c r="S564" s="209">
        <v>7.2529496698305289</v>
      </c>
      <c r="T564" s="209">
        <v>5.5603641778397392</v>
      </c>
      <c r="U564" s="209">
        <v>6.5907995451352761</v>
      </c>
      <c r="V564" s="209">
        <v>6.5062276652737348</v>
      </c>
      <c r="W564" s="209">
        <v>5.264978476370735</v>
      </c>
      <c r="X564" s="202">
        <v>7.8287794874134597</v>
      </c>
      <c r="Y564" s="208">
        <v>3.6679789804180003</v>
      </c>
      <c r="Z564" s="209" t="s">
        <v>93</v>
      </c>
      <c r="AA564" s="209" t="s">
        <v>93</v>
      </c>
      <c r="AB564" s="209">
        <v>2.5</v>
      </c>
      <c r="AC564" s="209">
        <v>4.5443102970556302</v>
      </c>
      <c r="AD564" s="202">
        <v>3.568299615241405</v>
      </c>
      <c r="AE564" s="438" t="s">
        <v>213</v>
      </c>
    </row>
    <row r="565" spans="2:31" s="279" customFormat="1" ht="12" customHeight="1">
      <c r="B565" s="392">
        <v>43832</v>
      </c>
      <c r="C565" s="208"/>
      <c r="D565" s="214"/>
      <c r="E565" s="209"/>
      <c r="F565" s="209"/>
      <c r="G565" s="209"/>
      <c r="H565" s="209"/>
      <c r="I565" s="209"/>
      <c r="J565" s="209"/>
      <c r="K565" s="209"/>
      <c r="L565" s="202"/>
      <c r="M565" s="208"/>
      <c r="N565" s="209"/>
      <c r="O565" s="209"/>
      <c r="P565" s="209"/>
      <c r="Q565" s="209"/>
      <c r="R565" s="209"/>
      <c r="S565" s="209"/>
      <c r="T565" s="209"/>
      <c r="U565" s="209"/>
      <c r="V565" s="209"/>
      <c r="W565" s="209"/>
      <c r="X565" s="202"/>
      <c r="Y565" s="208"/>
      <c r="Z565" s="209"/>
      <c r="AA565" s="209"/>
      <c r="AB565" s="209"/>
      <c r="AC565" s="209"/>
      <c r="AD565" s="202"/>
      <c r="AE565" s="397">
        <f>B565</f>
        <v>43832</v>
      </c>
    </row>
    <row r="566" spans="2:31" s="279" customFormat="1" ht="12" customHeight="1">
      <c r="B566" s="391" t="s">
        <v>187</v>
      </c>
      <c r="C566" s="208">
        <v>9.2620098809829976</v>
      </c>
      <c r="D566" s="209">
        <v>4.5806310606330269</v>
      </c>
      <c r="E566" s="209">
        <v>9.5957537879121997</v>
      </c>
      <c r="F566" s="209">
        <v>9.3221841259830001</v>
      </c>
      <c r="G566" s="209">
        <v>4.3122714523054899</v>
      </c>
      <c r="H566" s="209">
        <v>5.1486303042622836</v>
      </c>
      <c r="I566" s="209">
        <v>5.9450027947492341</v>
      </c>
      <c r="J566" s="209">
        <v>9.3498442438153031</v>
      </c>
      <c r="K566" s="209">
        <v>9.3011583865129541</v>
      </c>
      <c r="L566" s="202">
        <v>11.451390416214338</v>
      </c>
      <c r="M566" s="208">
        <v>13.956081277680982</v>
      </c>
      <c r="N566" s="209">
        <v>8.8001508028622677</v>
      </c>
      <c r="O566" s="209">
        <v>16.612999705444167</v>
      </c>
      <c r="P566" s="209">
        <v>9.972285798207837</v>
      </c>
      <c r="Q566" s="209">
        <v>10.810084341449659</v>
      </c>
      <c r="R566" s="209">
        <v>12.499356955715831</v>
      </c>
      <c r="S566" s="209">
        <v>14.64589197939155</v>
      </c>
      <c r="T566" s="209">
        <v>17.706383191613803</v>
      </c>
      <c r="U566" s="209">
        <v>17.869657200061354</v>
      </c>
      <c r="V566" s="209">
        <v>17.174424614638994</v>
      </c>
      <c r="W566" s="209">
        <v>6.1733926846289684</v>
      </c>
      <c r="X566" s="202">
        <v>6.9831253259060775</v>
      </c>
      <c r="Y566" s="209">
        <v>8.6638847266264758</v>
      </c>
      <c r="Z566" s="209" t="s">
        <v>93</v>
      </c>
      <c r="AA566" s="209" t="s">
        <v>93</v>
      </c>
      <c r="AB566" s="209" t="s">
        <v>93</v>
      </c>
      <c r="AC566" s="209">
        <v>8.75</v>
      </c>
      <c r="AD566" s="209">
        <v>7.1788549937317176</v>
      </c>
      <c r="AE566" s="210" t="s">
        <v>356</v>
      </c>
    </row>
    <row r="567" spans="2:31" s="279" customFormat="1" ht="12" customHeight="1">
      <c r="B567" s="391" t="s">
        <v>357</v>
      </c>
      <c r="C567" s="208">
        <v>1.8859389333748118</v>
      </c>
      <c r="D567" s="209">
        <v>1.1618651865391341</v>
      </c>
      <c r="E567" s="209">
        <v>2.3876162374520535</v>
      </c>
      <c r="F567" s="209">
        <v>0.4077323978608603</v>
      </c>
      <c r="G567" s="209">
        <v>1.2810491539203241</v>
      </c>
      <c r="H567" s="209">
        <v>0.70644251315878093</v>
      </c>
      <c r="I567" s="209">
        <v>0.89408614355916383</v>
      </c>
      <c r="J567" s="209">
        <v>1.5486727398325091</v>
      </c>
      <c r="K567" s="209">
        <v>2.5208494790760394</v>
      </c>
      <c r="L567" s="202">
        <v>4.6410822017655766</v>
      </c>
      <c r="M567" s="208">
        <v>5.8644022507312439</v>
      </c>
      <c r="N567" s="209">
        <v>5.3290148108412696</v>
      </c>
      <c r="O567" s="209">
        <v>7.9803764769598891</v>
      </c>
      <c r="P567" s="209">
        <v>6.9972974521357498</v>
      </c>
      <c r="Q567" s="209">
        <v>8.4395029429033421</v>
      </c>
      <c r="R567" s="209">
        <v>2.5394308057032506</v>
      </c>
      <c r="S567" s="209">
        <v>7.4364290987674009</v>
      </c>
      <c r="T567" s="209">
        <v>5.8913203766195119</v>
      </c>
      <c r="U567" s="209">
        <v>6.7460661014601824</v>
      </c>
      <c r="V567" s="209">
        <v>6.0481327558066367</v>
      </c>
      <c r="W567" s="209">
        <v>5.3925706628020187</v>
      </c>
      <c r="X567" s="202">
        <v>5.126517829447014</v>
      </c>
      <c r="Y567" s="209">
        <v>3.3478879261335854</v>
      </c>
      <c r="Z567" s="209" t="s">
        <v>93</v>
      </c>
      <c r="AA567" s="209" t="s">
        <v>93</v>
      </c>
      <c r="AB567" s="209">
        <v>2.5</v>
      </c>
      <c r="AC567" s="209">
        <v>4.5577410985138531</v>
      </c>
      <c r="AD567" s="209">
        <v>3.5800095019003799</v>
      </c>
      <c r="AE567" s="210" t="s">
        <v>213</v>
      </c>
    </row>
    <row r="568" spans="2:31" ht="12.75" customHeight="1">
      <c r="B568" s="392">
        <v>43833</v>
      </c>
      <c r="C568" s="208"/>
      <c r="E568" s="209"/>
      <c r="F568" s="209"/>
      <c r="G568" s="209"/>
      <c r="H568" s="209"/>
      <c r="I568" s="209"/>
      <c r="J568" s="209"/>
      <c r="K568" s="209"/>
      <c r="L568" s="202"/>
      <c r="M568" s="208"/>
      <c r="N568" s="209"/>
      <c r="O568" s="209"/>
      <c r="P568" s="209"/>
      <c r="Q568" s="209"/>
      <c r="R568" s="209"/>
      <c r="S568" s="209"/>
      <c r="T568" s="209"/>
      <c r="U568" s="209"/>
      <c r="V568" s="209"/>
      <c r="W568" s="209"/>
      <c r="X568" s="202"/>
      <c r="Y568" s="208"/>
      <c r="Z568" s="209"/>
      <c r="AA568" s="209"/>
      <c r="AB568" s="209"/>
      <c r="AC568" s="209"/>
      <c r="AD568" s="202"/>
      <c r="AE568" s="397">
        <f>B568</f>
        <v>43833</v>
      </c>
    </row>
    <row r="569" spans="2:31">
      <c r="B569" s="391" t="s">
        <v>187</v>
      </c>
      <c r="C569" s="208">
        <v>9.0383073516625743</v>
      </c>
      <c r="D569" s="209">
        <v>4.6527843359069978</v>
      </c>
      <c r="E569" s="209">
        <v>9.3817034310065885</v>
      </c>
      <c r="F569" s="209">
        <v>7.5193803484895367</v>
      </c>
      <c r="G569" s="209">
        <v>3.2841560085471619</v>
      </c>
      <c r="H569" s="209">
        <v>5.1636487449224999</v>
      </c>
      <c r="I569" s="209">
        <v>5.6024183078000958</v>
      </c>
      <c r="J569" s="209">
        <v>9.1032643424135831</v>
      </c>
      <c r="K569" s="209">
        <v>9.1347484500228635</v>
      </c>
      <c r="L569" s="202">
        <v>11.369243882942847</v>
      </c>
      <c r="M569" s="208">
        <v>13.89574269687045</v>
      </c>
      <c r="N569" s="209">
        <v>8.7994555338498035</v>
      </c>
      <c r="O569" s="209">
        <v>16.548002462928679</v>
      </c>
      <c r="P569" s="209">
        <v>8.471296700402613</v>
      </c>
      <c r="Q569" s="209">
        <v>11.810247011582526</v>
      </c>
      <c r="R569" s="209">
        <v>12.535796881103792</v>
      </c>
      <c r="S569" s="209">
        <v>13.14642287698071</v>
      </c>
      <c r="T569" s="209">
        <v>17.695835633898547</v>
      </c>
      <c r="U569" s="209">
        <v>17.65494676656861</v>
      </c>
      <c r="V569" s="209">
        <v>17.202327081222119</v>
      </c>
      <c r="W569" s="209">
        <v>6.2087296758505275</v>
      </c>
      <c r="X569" s="202">
        <v>6.9702479380235696</v>
      </c>
      <c r="Y569" s="209">
        <v>8.6680757413984697</v>
      </c>
      <c r="Z569" s="209" t="s">
        <v>93</v>
      </c>
      <c r="AA569" s="209" t="s">
        <v>93</v>
      </c>
      <c r="AB569" s="209" t="s">
        <v>93</v>
      </c>
      <c r="AC569" s="209">
        <v>8.75</v>
      </c>
      <c r="AD569" s="209">
        <v>7.1788549937317176</v>
      </c>
      <c r="AE569" s="210" t="s">
        <v>356</v>
      </c>
    </row>
    <row r="570" spans="2:31">
      <c r="B570" s="391" t="s">
        <v>357</v>
      </c>
      <c r="C570" s="208">
        <v>1.6396604260354939</v>
      </c>
      <c r="D570" s="209">
        <v>0.83163284280458405</v>
      </c>
      <c r="E570" s="209">
        <v>2.2965639670743805</v>
      </c>
      <c r="F570" s="209">
        <v>0.76425404429460619</v>
      </c>
      <c r="G570" s="209">
        <v>0.81572515875442264</v>
      </c>
      <c r="H570" s="209">
        <v>0.70687177138060775</v>
      </c>
      <c r="I570" s="209">
        <v>0.45885756169418046</v>
      </c>
      <c r="J570" s="209">
        <v>1.4542141934734933</v>
      </c>
      <c r="K570" s="209">
        <v>2.3795421355998445</v>
      </c>
      <c r="L570" s="202">
        <v>3.7029094976115768</v>
      </c>
      <c r="M570" s="208">
        <v>5.8207201877644899</v>
      </c>
      <c r="N570" s="209">
        <v>5.3023283346250425</v>
      </c>
      <c r="O570" s="209">
        <v>7.8952526166365518</v>
      </c>
      <c r="P570" s="209">
        <v>7.0284038886510896</v>
      </c>
      <c r="Q570" s="209">
        <v>8.1624545649109912</v>
      </c>
      <c r="R570" s="209">
        <v>2.4836223274743308</v>
      </c>
      <c r="S570" s="209">
        <v>7.4641868311083677</v>
      </c>
      <c r="T570" s="209">
        <v>5.871581924644909</v>
      </c>
      <c r="U570" s="209">
        <v>6.6672126967150112</v>
      </c>
      <c r="V570" s="209">
        <v>6.043051980523753</v>
      </c>
      <c r="W570" s="209">
        <v>5.2743598481755134</v>
      </c>
      <c r="X570" s="202">
        <v>5.1381776501025058</v>
      </c>
      <c r="Y570" s="209">
        <v>3.3287159459911599</v>
      </c>
      <c r="Z570" s="209" t="s">
        <v>93</v>
      </c>
      <c r="AA570" s="209" t="s">
        <v>93</v>
      </c>
      <c r="AB570" s="209">
        <v>2.5</v>
      </c>
      <c r="AC570" s="209">
        <v>4.4311820194236962</v>
      </c>
      <c r="AD570" s="209">
        <v>3.5821863889027994</v>
      </c>
      <c r="AE570" s="210" t="s">
        <v>213</v>
      </c>
    </row>
    <row r="571" spans="2:31">
      <c r="B571" s="392">
        <v>43834</v>
      </c>
      <c r="C571" s="208"/>
      <c r="E571" s="209"/>
      <c r="F571" s="209"/>
      <c r="G571" s="209"/>
      <c r="H571" s="209"/>
      <c r="I571" s="209"/>
      <c r="J571" s="209"/>
      <c r="K571" s="209"/>
      <c r="L571" s="202"/>
      <c r="M571" s="208"/>
      <c r="N571" s="209"/>
      <c r="O571" s="209"/>
      <c r="P571" s="209"/>
      <c r="Q571" s="209"/>
      <c r="R571" s="209"/>
      <c r="S571" s="209"/>
      <c r="T571" s="209"/>
      <c r="U571" s="209"/>
      <c r="V571" s="209"/>
      <c r="W571" s="209"/>
      <c r="X571" s="202"/>
      <c r="Y571" s="208"/>
      <c r="Z571" s="209"/>
      <c r="AA571" s="209"/>
      <c r="AB571" s="209"/>
      <c r="AC571" s="209"/>
      <c r="AD571" s="202"/>
      <c r="AE571" s="397">
        <f>B571</f>
        <v>43834</v>
      </c>
    </row>
    <row r="572" spans="2:31">
      <c r="B572" s="391" t="s">
        <v>187</v>
      </c>
      <c r="C572" s="208">
        <v>8.9462539866547317</v>
      </c>
      <c r="D572" s="209">
        <v>4.7761024781162655</v>
      </c>
      <c r="E572" s="209">
        <v>9.2772753914187103</v>
      </c>
      <c r="F572" s="209">
        <v>4.0937327823772458</v>
      </c>
      <c r="G572" s="209">
        <v>4.9087372328660051</v>
      </c>
      <c r="H572" s="209">
        <v>5.4274981605386454</v>
      </c>
      <c r="I572" s="209">
        <v>6.6521770959722595</v>
      </c>
      <c r="J572" s="209">
        <v>8.9601338505400907</v>
      </c>
      <c r="K572" s="209">
        <v>9.071319076840755</v>
      </c>
      <c r="L572" s="202">
        <v>10.259525137940036</v>
      </c>
      <c r="M572" s="208">
        <v>13.793960629317144</v>
      </c>
      <c r="N572" s="209">
        <v>8.8243594084254031</v>
      </c>
      <c r="O572" s="209">
        <v>16.473864343602539</v>
      </c>
      <c r="P572" s="209">
        <v>8.4625047418423023</v>
      </c>
      <c r="Q572" s="209">
        <v>11.897535730389215</v>
      </c>
      <c r="R572" s="209">
        <v>12.392461617401766</v>
      </c>
      <c r="S572" s="209">
        <v>13.056565429111286</v>
      </c>
      <c r="T572" s="209">
        <v>17.251813054841431</v>
      </c>
      <c r="U572" s="209">
        <v>17.28264707062641</v>
      </c>
      <c r="V572" s="209">
        <v>17.281311416784703</v>
      </c>
      <c r="W572" s="209">
        <v>6.2226437806834944</v>
      </c>
      <c r="X572" s="202">
        <v>6.9594784841435589</v>
      </c>
      <c r="Y572" s="209">
        <v>6.8705420405290853</v>
      </c>
      <c r="Z572" s="209" t="s">
        <v>93</v>
      </c>
      <c r="AA572" s="209" t="s">
        <v>93</v>
      </c>
      <c r="AB572" s="209" t="s">
        <v>93</v>
      </c>
      <c r="AC572" s="209">
        <v>6.83</v>
      </c>
      <c r="AD572" s="209">
        <v>7.0345356249495685</v>
      </c>
      <c r="AE572" s="210" t="s">
        <v>356</v>
      </c>
    </row>
    <row r="573" spans="2:31">
      <c r="B573" s="391" t="s">
        <v>357</v>
      </c>
      <c r="C573" s="208">
        <v>1.7509130302936915</v>
      </c>
      <c r="D573" s="209">
        <v>1.1320382712028567</v>
      </c>
      <c r="E573" s="209">
        <v>2.2033361714460113</v>
      </c>
      <c r="F573" s="209">
        <v>0.59611044542619529</v>
      </c>
      <c r="G573" s="209">
        <v>1.0671736291096163</v>
      </c>
      <c r="H573" s="209">
        <v>0.81944261660731899</v>
      </c>
      <c r="I573" s="209">
        <v>0.94113265936171142</v>
      </c>
      <c r="J573" s="209">
        <v>1.4017196909661604</v>
      </c>
      <c r="K573" s="209">
        <v>2.2880573020640211</v>
      </c>
      <c r="L573" s="202">
        <v>4.584727548289921</v>
      </c>
      <c r="M573" s="208">
        <v>5.9684078115837824</v>
      </c>
      <c r="N573" s="209">
        <v>5.3163293166971544</v>
      </c>
      <c r="O573" s="209">
        <v>9.052783668151978</v>
      </c>
      <c r="P573" s="209">
        <v>7.0793821501116154</v>
      </c>
      <c r="Q573" s="209">
        <v>7.9950838760799803</v>
      </c>
      <c r="R573" s="209">
        <v>3.1508430245953072</v>
      </c>
      <c r="S573" s="209">
        <v>4.6851882733833916</v>
      </c>
      <c r="T573" s="209">
        <v>5.9455184637703375</v>
      </c>
      <c r="U573" s="209">
        <v>6.7159305285202109</v>
      </c>
      <c r="V573" s="209">
        <v>6.0932735143274792</v>
      </c>
      <c r="W573" s="209">
        <v>5.2470607243381675</v>
      </c>
      <c r="X573" s="202">
        <v>5.143420602858515</v>
      </c>
      <c r="Y573" s="209">
        <v>3.4929068804788264</v>
      </c>
      <c r="Z573" s="209">
        <v>1.87</v>
      </c>
      <c r="AA573" s="209" t="s">
        <v>93</v>
      </c>
      <c r="AB573" s="209">
        <v>2.5</v>
      </c>
      <c r="AC573" s="209">
        <v>4.4179294470440515</v>
      </c>
      <c r="AD573" s="209">
        <v>3.5802108185160177</v>
      </c>
      <c r="AE573" s="210" t="s">
        <v>213</v>
      </c>
    </row>
    <row r="574" spans="2:31">
      <c r="B574" s="392">
        <v>43835</v>
      </c>
      <c r="C574" s="208"/>
      <c r="D574" s="209"/>
      <c r="E574" s="209"/>
      <c r="F574" s="209"/>
      <c r="G574" s="209"/>
      <c r="H574" s="209"/>
      <c r="I574" s="209"/>
      <c r="J574" s="209"/>
      <c r="K574" s="209"/>
      <c r="L574" s="202"/>
      <c r="M574" s="208"/>
      <c r="N574" s="209"/>
      <c r="O574" s="209"/>
      <c r="P574" s="209"/>
      <c r="Q574" s="209"/>
      <c r="R574" s="209"/>
      <c r="S574" s="209"/>
      <c r="T574" s="209"/>
      <c r="U574" s="209"/>
      <c r="V574" s="209"/>
      <c r="W574" s="209"/>
      <c r="X574" s="202"/>
      <c r="Y574" s="208"/>
      <c r="Z574" s="209"/>
      <c r="AA574" s="209"/>
      <c r="AB574" s="209"/>
      <c r="AC574" s="209"/>
      <c r="AD574" s="202"/>
      <c r="AE574" s="397">
        <f>B574</f>
        <v>43835</v>
      </c>
    </row>
    <row r="575" spans="2:31">
      <c r="B575" s="391" t="s">
        <v>187</v>
      </c>
      <c r="C575" s="208">
        <v>8.7264129503223575</v>
      </c>
      <c r="D575" s="209">
        <v>5.7065243387448756</v>
      </c>
      <c r="E575" s="209">
        <v>9.0964613758997128</v>
      </c>
      <c r="F575" s="209">
        <v>3.7135115899010409</v>
      </c>
      <c r="G575" s="209">
        <v>2.3087803700682423</v>
      </c>
      <c r="H575" s="209">
        <v>9.0580981872485804</v>
      </c>
      <c r="I575" s="209">
        <v>6.4948549755473586</v>
      </c>
      <c r="J575" s="209">
        <v>8.7374027489187096</v>
      </c>
      <c r="K575" s="209">
        <v>8.8736467889370321</v>
      </c>
      <c r="L575" s="202">
        <v>10.164695551644565</v>
      </c>
      <c r="M575" s="208">
        <v>13.624087704174523</v>
      </c>
      <c r="N575" s="209">
        <v>8.5756840617809189</v>
      </c>
      <c r="O575" s="209">
        <v>16.429158373153367</v>
      </c>
      <c r="P575" s="209">
        <v>8.8651887107373391</v>
      </c>
      <c r="Q575" s="209">
        <v>10.798997914898331</v>
      </c>
      <c r="R575" s="209">
        <v>11.921950451094387</v>
      </c>
      <c r="S575" s="209">
        <v>12.584433644330467</v>
      </c>
      <c r="T575" s="209">
        <v>17.049344292880672</v>
      </c>
      <c r="U575" s="209">
        <v>16.510944598700423</v>
      </c>
      <c r="V575" s="209">
        <v>17.607852911525086</v>
      </c>
      <c r="W575" s="209">
        <v>6.3276433908123861</v>
      </c>
      <c r="X575" s="202">
        <v>6.9659257001665624</v>
      </c>
      <c r="Y575" s="208">
        <v>8.901054012123538</v>
      </c>
      <c r="Z575" s="209" t="s">
        <v>93</v>
      </c>
      <c r="AA575" s="209" t="s">
        <v>93</v>
      </c>
      <c r="AB575" s="209">
        <v>11</v>
      </c>
      <c r="AC575" s="209">
        <v>8.32</v>
      </c>
      <c r="AD575" s="202">
        <v>7.0345356249495685</v>
      </c>
      <c r="AE575" s="210" t="s">
        <v>356</v>
      </c>
    </row>
    <row r="576" spans="2:31">
      <c r="B576" s="391" t="s">
        <v>357</v>
      </c>
      <c r="C576" s="208">
        <v>1.6314793515049864</v>
      </c>
      <c r="D576" s="209">
        <v>1.0728130589594966</v>
      </c>
      <c r="E576" s="209">
        <v>2.0615095051474328</v>
      </c>
      <c r="F576" s="209">
        <v>0.44752245621745224</v>
      </c>
      <c r="G576" s="209">
        <v>0.83885785465085128</v>
      </c>
      <c r="H576" s="209">
        <v>0.81204626779938116</v>
      </c>
      <c r="I576" s="209">
        <v>0.83316839979341772</v>
      </c>
      <c r="J576" s="209">
        <v>1.3525767439425525</v>
      </c>
      <c r="K576" s="209">
        <v>1.9906366878689508</v>
      </c>
      <c r="L576" s="202">
        <v>4.5917149721819293</v>
      </c>
      <c r="M576" s="208">
        <v>5.8284454732082898</v>
      </c>
      <c r="N576" s="209">
        <v>5.161871427287366</v>
      </c>
      <c r="O576" s="209">
        <v>8.9640348696907637</v>
      </c>
      <c r="P576" s="209">
        <v>6.4369292550485726</v>
      </c>
      <c r="Q576" s="209">
        <v>6.1703707074291119</v>
      </c>
      <c r="R576" s="209">
        <v>2.8380118155875222</v>
      </c>
      <c r="S576" s="209">
        <v>3.8479571445092948</v>
      </c>
      <c r="T576" s="209">
        <v>5.8245756082413136</v>
      </c>
      <c r="U576" s="209">
        <v>6.505705530684498</v>
      </c>
      <c r="V576" s="209">
        <v>6.058004090884757</v>
      </c>
      <c r="W576" s="209">
        <v>5.1698260999596126</v>
      </c>
      <c r="X576" s="202">
        <v>5.1552728838274211</v>
      </c>
      <c r="Y576" s="208">
        <v>3.7802831804027632</v>
      </c>
      <c r="Z576" s="209" t="s">
        <v>93</v>
      </c>
      <c r="AA576" s="209" t="s">
        <v>93</v>
      </c>
      <c r="AB576" s="209">
        <v>2.5</v>
      </c>
      <c r="AC576" s="209">
        <v>4.5544309128635287</v>
      </c>
      <c r="AD576" s="202">
        <v>3.895113135972855</v>
      </c>
      <c r="AE576" s="210" t="s">
        <v>213</v>
      </c>
    </row>
    <row r="577" spans="2:31">
      <c r="B577" s="392">
        <v>43836</v>
      </c>
      <c r="C577" s="208"/>
      <c r="D577" s="209"/>
      <c r="E577" s="209"/>
      <c r="F577" s="209"/>
      <c r="G577" s="209"/>
      <c r="H577" s="209"/>
      <c r="I577" s="209"/>
      <c r="J577" s="209"/>
      <c r="K577" s="209"/>
      <c r="L577" s="202"/>
      <c r="M577" s="208"/>
      <c r="N577" s="209"/>
      <c r="O577" s="209"/>
      <c r="P577" s="209"/>
      <c r="Q577" s="209"/>
      <c r="R577" s="209"/>
      <c r="S577" s="209"/>
      <c r="T577" s="209"/>
      <c r="U577" s="209"/>
      <c r="V577" s="209"/>
      <c r="W577" s="209"/>
      <c r="X577" s="202"/>
      <c r="Y577" s="208"/>
      <c r="Z577" s="209"/>
      <c r="AA577" s="209"/>
      <c r="AB577" s="209"/>
      <c r="AC577" s="209"/>
      <c r="AD577" s="202"/>
      <c r="AE577" s="397">
        <f>B577</f>
        <v>43836</v>
      </c>
    </row>
    <row r="578" spans="2:31">
      <c r="B578" s="391" t="s">
        <v>187</v>
      </c>
      <c r="C578" s="208">
        <v>8.5504052055160304</v>
      </c>
      <c r="D578" s="209">
        <v>5.8361589915343899</v>
      </c>
      <c r="E578" s="209">
        <v>8.9020938528194709</v>
      </c>
      <c r="F578" s="209">
        <v>5.1994591279575797</v>
      </c>
      <c r="G578" s="209">
        <v>3.2301756747234198</v>
      </c>
      <c r="H578" s="209">
        <v>9.0147171106833603</v>
      </c>
      <c r="I578" s="209">
        <v>6.6566504598670804</v>
      </c>
      <c r="J578" s="209">
        <v>8.4324615746479896</v>
      </c>
      <c r="K578" s="209">
        <v>8.7833796208671302</v>
      </c>
      <c r="L578" s="202">
        <v>9.8820492999385792</v>
      </c>
      <c r="M578" s="208">
        <v>13.661859286719899</v>
      </c>
      <c r="N578" s="209">
        <v>8.7222880253276607</v>
      </c>
      <c r="O578" s="209">
        <v>16.3921781691791</v>
      </c>
      <c r="P578" s="209">
        <v>9.0244732934266594</v>
      </c>
      <c r="Q578" s="209">
        <v>11.843423133061201</v>
      </c>
      <c r="R578" s="209">
        <v>11.9363236949417</v>
      </c>
      <c r="S578" s="209">
        <v>12.9759698609335</v>
      </c>
      <c r="T578" s="209">
        <v>17.183516451288899</v>
      </c>
      <c r="U578" s="209">
        <v>16.430698126139202</v>
      </c>
      <c r="V578" s="209">
        <v>17.848699074169499</v>
      </c>
      <c r="W578" s="209">
        <v>6.4025277535946401</v>
      </c>
      <c r="X578" s="202">
        <v>6.9468547346005503</v>
      </c>
      <c r="Y578" s="208">
        <v>9.0971291071437097</v>
      </c>
      <c r="Z578" s="209" t="s">
        <v>93</v>
      </c>
      <c r="AA578" s="209" t="s">
        <v>93</v>
      </c>
      <c r="AB578" s="209">
        <v>11</v>
      </c>
      <c r="AC578" s="209">
        <v>8.7200000000000006</v>
      </c>
      <c r="AD578" s="202">
        <v>7.0345356249495703</v>
      </c>
      <c r="AE578" s="210" t="s">
        <v>356</v>
      </c>
    </row>
    <row r="579" spans="2:31">
      <c r="B579" s="391" t="s">
        <v>357</v>
      </c>
      <c r="C579" s="208">
        <v>1.67324177913779</v>
      </c>
      <c r="D579" s="209">
        <v>1.08087717300938</v>
      </c>
      <c r="E579" s="209">
        <v>2.1204394998235299</v>
      </c>
      <c r="F579" s="209">
        <v>0.26427690558446698</v>
      </c>
      <c r="G579" s="209">
        <v>0.25466757739040402</v>
      </c>
      <c r="H579" s="209">
        <v>0.66757787098064503</v>
      </c>
      <c r="I579" s="209">
        <v>0.87544320526341901</v>
      </c>
      <c r="J579" s="209">
        <v>1.2567989658746901</v>
      </c>
      <c r="K579" s="209">
        <v>2.1473422175536299</v>
      </c>
      <c r="L579" s="202">
        <v>4.5809320798156801</v>
      </c>
      <c r="M579" s="208">
        <v>5.6595625105976302</v>
      </c>
      <c r="N579" s="209">
        <v>5.0858237476161499</v>
      </c>
      <c r="O579" s="209">
        <v>8.4246178984700499</v>
      </c>
      <c r="P579" s="209">
        <v>3.9519695441340099</v>
      </c>
      <c r="Q579" s="209">
        <v>6.37614294309782</v>
      </c>
      <c r="R579" s="209">
        <v>6.7055452604139303</v>
      </c>
      <c r="S579" s="209">
        <v>5.7917956515631701</v>
      </c>
      <c r="T579" s="209">
        <v>4.8611329459780297</v>
      </c>
      <c r="U579" s="209">
        <v>6.1411069500797399</v>
      </c>
      <c r="V579" s="209">
        <v>5.9200558877540903</v>
      </c>
      <c r="W579" s="209">
        <v>5.0486260156690301</v>
      </c>
      <c r="X579" s="202">
        <v>5.1740379406182599</v>
      </c>
      <c r="Y579" s="208">
        <v>3.6665960673210898</v>
      </c>
      <c r="Z579" s="209">
        <v>4.55</v>
      </c>
      <c r="AA579" s="209" t="s">
        <v>93</v>
      </c>
      <c r="AB579" s="209">
        <v>2.5</v>
      </c>
      <c r="AC579" s="209">
        <v>2.7379036869328499</v>
      </c>
      <c r="AD579" s="202">
        <v>4.2080000794284702</v>
      </c>
      <c r="AE579" s="210" t="s">
        <v>213</v>
      </c>
    </row>
    <row r="580" spans="2:31">
      <c r="B580" s="392">
        <v>43837</v>
      </c>
      <c r="C580" s="208"/>
      <c r="E580" s="209"/>
      <c r="F580" s="209"/>
      <c r="G580" s="209"/>
      <c r="H580" s="209"/>
      <c r="I580" s="209"/>
      <c r="J580" s="209"/>
      <c r="K580" s="209"/>
      <c r="L580" s="202"/>
      <c r="M580" s="208"/>
      <c r="N580" s="209"/>
      <c r="O580" s="209"/>
      <c r="P580" s="209"/>
      <c r="Q580" s="209"/>
      <c r="R580" s="209"/>
      <c r="S580" s="209"/>
      <c r="T580" s="209"/>
      <c r="U580" s="209"/>
      <c r="V580" s="209"/>
      <c r="W580" s="209"/>
      <c r="X580" s="202"/>
      <c r="Y580" s="208"/>
      <c r="Z580" s="209"/>
      <c r="AA580" s="209"/>
      <c r="AB580" s="209"/>
      <c r="AC580" s="209"/>
      <c r="AD580" s="202"/>
      <c r="AE580" s="397">
        <f>B580</f>
        <v>43837</v>
      </c>
    </row>
    <row r="581" spans="2:31">
      <c r="B581" s="391" t="s">
        <v>187</v>
      </c>
      <c r="C581" s="208">
        <v>8.5895076688119207</v>
      </c>
      <c r="D581" s="209">
        <v>5.8437262898597204</v>
      </c>
      <c r="E581" s="209">
        <v>8.9455356674796995</v>
      </c>
      <c r="F581" s="209">
        <v>4.1396471901476799</v>
      </c>
      <c r="G581" s="209">
        <v>4.4681817797803403</v>
      </c>
      <c r="H581" s="209">
        <v>8.75116960269035</v>
      </c>
      <c r="I581" s="209">
        <v>7.0939285497098403</v>
      </c>
      <c r="J581" s="209">
        <v>8.4619106592866196</v>
      </c>
      <c r="K581" s="209">
        <v>8.8300679415346099</v>
      </c>
      <c r="L581" s="202">
        <v>9.9818650252788306</v>
      </c>
      <c r="M581" s="208">
        <v>13.6656940087032</v>
      </c>
      <c r="N581" s="209">
        <v>8.7130031325285699</v>
      </c>
      <c r="O581" s="209">
        <v>16.370551887523899</v>
      </c>
      <c r="P581" s="209">
        <v>8.4290529218618797</v>
      </c>
      <c r="Q581" s="209">
        <v>11.7875136486294</v>
      </c>
      <c r="R581" s="209">
        <v>12.0478103075568</v>
      </c>
      <c r="S581" s="209">
        <v>12.915112382933</v>
      </c>
      <c r="T581" s="209">
        <v>17.198366303412701</v>
      </c>
      <c r="U581" s="209">
        <v>16.386442006034098</v>
      </c>
      <c r="V581" s="209">
        <v>17.971973804926701</v>
      </c>
      <c r="W581" s="209">
        <v>6.4089099400464402</v>
      </c>
      <c r="X581" s="202">
        <v>6.9571151306307097</v>
      </c>
      <c r="Y581" s="209">
        <v>9.0971291071437097</v>
      </c>
      <c r="Z581" s="209" t="s">
        <v>93</v>
      </c>
      <c r="AA581" s="209" t="s">
        <v>93</v>
      </c>
      <c r="AB581" s="209">
        <v>11</v>
      </c>
      <c r="AC581" s="209">
        <v>8.7200000000000006</v>
      </c>
      <c r="AD581" s="209">
        <v>7.0345356249495703</v>
      </c>
      <c r="AE581" s="210" t="s">
        <v>356</v>
      </c>
    </row>
    <row r="582" spans="2:31">
      <c r="B582" s="391" t="s">
        <v>357</v>
      </c>
      <c r="C582" s="208">
        <v>1.60262838412965</v>
      </c>
      <c r="D582" s="209">
        <v>1.05424237121611</v>
      </c>
      <c r="E582" s="209">
        <v>2.0610901758995999</v>
      </c>
      <c r="F582" s="209">
        <v>0.324611563888209</v>
      </c>
      <c r="G582" s="209">
        <v>0.139620742621895</v>
      </c>
      <c r="H582" s="209">
        <v>0.61774303430896105</v>
      </c>
      <c r="I582" s="209">
        <v>0.90554015691359702</v>
      </c>
      <c r="J582" s="209">
        <v>1.21441425048743</v>
      </c>
      <c r="K582" s="209">
        <v>2.0283076943374301</v>
      </c>
      <c r="L582" s="202">
        <v>4.4636225900416102</v>
      </c>
      <c r="M582" s="208">
        <v>5.6147543780618703</v>
      </c>
      <c r="N582" s="209">
        <v>5.0754600601055699</v>
      </c>
      <c r="O582" s="209">
        <v>8.3139268551798793</v>
      </c>
      <c r="P582" s="209">
        <v>8.3279352332055598</v>
      </c>
      <c r="Q582" s="209">
        <v>8.0299579739654501</v>
      </c>
      <c r="R582" s="209">
        <v>6.8962972561567604</v>
      </c>
      <c r="S582" s="209">
        <v>6.3297316937026498</v>
      </c>
      <c r="T582" s="209">
        <v>4.7961738667740699</v>
      </c>
      <c r="U582" s="209">
        <v>5.9886451771521596</v>
      </c>
      <c r="V582" s="209">
        <v>5.9239142902138999</v>
      </c>
      <c r="W582" s="209">
        <v>4.89364727195548</v>
      </c>
      <c r="X582" s="202">
        <v>5.1806626140871801</v>
      </c>
      <c r="Y582" s="209">
        <v>4.1802026155046601</v>
      </c>
      <c r="Z582" s="209" t="s">
        <v>93</v>
      </c>
      <c r="AA582" s="209" t="s">
        <v>93</v>
      </c>
      <c r="AB582" s="209">
        <v>4.5</v>
      </c>
      <c r="AC582" s="209">
        <v>2.74540384192029</v>
      </c>
      <c r="AD582" s="209">
        <v>4.6666058538907</v>
      </c>
      <c r="AE582" s="210" t="s">
        <v>213</v>
      </c>
    </row>
    <row r="583" spans="2:31">
      <c r="B583" s="392">
        <v>43838</v>
      </c>
      <c r="C583" s="208"/>
      <c r="E583" s="209"/>
      <c r="F583" s="209"/>
      <c r="G583" s="209"/>
      <c r="H583" s="209"/>
      <c r="I583" s="209"/>
      <c r="J583" s="209"/>
      <c r="K583" s="209"/>
      <c r="L583" s="202"/>
      <c r="M583" s="208"/>
      <c r="N583" s="209"/>
      <c r="O583" s="209"/>
      <c r="P583" s="209"/>
      <c r="Q583" s="209"/>
      <c r="R583" s="209"/>
      <c r="S583" s="209"/>
      <c r="T583" s="209"/>
      <c r="U583" s="209"/>
      <c r="V583" s="209"/>
      <c r="W583" s="209"/>
      <c r="X583" s="202"/>
      <c r="Y583" s="208"/>
      <c r="Z583" s="209"/>
      <c r="AA583" s="209"/>
      <c r="AB583" s="209"/>
      <c r="AC583" s="209"/>
      <c r="AD583" s="202"/>
      <c r="AE583" s="397">
        <f>B583</f>
        <v>43838</v>
      </c>
    </row>
    <row r="584" spans="2:31">
      <c r="B584" s="391" t="s">
        <v>187</v>
      </c>
      <c r="C584" s="208">
        <v>8.5736245441109205</v>
      </c>
      <c r="D584" s="209">
        <v>5.7009033542652396</v>
      </c>
      <c r="E584" s="209">
        <v>8.9428075552246291</v>
      </c>
      <c r="F584" s="209">
        <v>5.8752517231045802</v>
      </c>
      <c r="G584" s="209">
        <v>4.66598891305226</v>
      </c>
      <c r="H584" s="209">
        <v>8.7633853254528908</v>
      </c>
      <c r="I584" s="209">
        <v>6.2653720372037203</v>
      </c>
      <c r="J584" s="209">
        <v>8.4512826692146295</v>
      </c>
      <c r="K584" s="209">
        <v>8.8156627258292808</v>
      </c>
      <c r="L584" s="202">
        <v>9.6948308907252692</v>
      </c>
      <c r="M584" s="208">
        <v>13.6312557532956</v>
      </c>
      <c r="N584" s="209">
        <v>8.7936553260004402</v>
      </c>
      <c r="O584" s="209">
        <v>16.2646846637174</v>
      </c>
      <c r="P584" s="209">
        <v>8.4463697434450697</v>
      </c>
      <c r="Q584" s="209">
        <v>11.801950219106701</v>
      </c>
      <c r="R584" s="209">
        <v>12.136423140987599</v>
      </c>
      <c r="S584" s="209">
        <v>13.2251607309537</v>
      </c>
      <c r="T584" s="209">
        <v>17.066838857466202</v>
      </c>
      <c r="U584" s="209">
        <v>16.314293749578301</v>
      </c>
      <c r="V584" s="209">
        <v>17.968549458291101</v>
      </c>
      <c r="W584" s="209">
        <v>6.5822320873240097</v>
      </c>
      <c r="X584" s="202">
        <v>6.9285587891580001</v>
      </c>
      <c r="Y584" s="209">
        <v>9.1333955001247897</v>
      </c>
      <c r="Z584" s="209" t="s">
        <v>93</v>
      </c>
      <c r="AA584" s="209" t="s">
        <v>93</v>
      </c>
      <c r="AB584" s="209">
        <v>11</v>
      </c>
      <c r="AC584" s="209">
        <v>8.7200000000000006</v>
      </c>
      <c r="AD584" s="209">
        <v>6.8487443471567397</v>
      </c>
      <c r="AE584" s="210" t="s">
        <v>356</v>
      </c>
    </row>
    <row r="585" spans="2:31">
      <c r="B585" s="391" t="s">
        <v>357</v>
      </c>
      <c r="C585" s="208">
        <v>1.57682761411385</v>
      </c>
      <c r="D585" s="209">
        <v>1.0019076183056901</v>
      </c>
      <c r="E585" s="209">
        <v>2.07942305068475</v>
      </c>
      <c r="F585" s="209">
        <v>0.50058447476522006</v>
      </c>
      <c r="G585" s="209">
        <v>8.0072255731579403E-2</v>
      </c>
      <c r="H585" s="209">
        <v>0.63975219308008002</v>
      </c>
      <c r="I585" s="209">
        <v>1.68472374973844</v>
      </c>
      <c r="J585" s="209">
        <v>1.17601735886639</v>
      </c>
      <c r="K585" s="209">
        <v>2.0206728097038398</v>
      </c>
      <c r="L585" s="202">
        <v>4.3582156298391803</v>
      </c>
      <c r="M585" s="208">
        <v>5.5854716405733402</v>
      </c>
      <c r="N585" s="209">
        <v>5.0686144107919198</v>
      </c>
      <c r="O585" s="209">
        <v>8.18575651999776</v>
      </c>
      <c r="P585" s="209">
        <v>8.0923989981665798</v>
      </c>
      <c r="Q585" s="209">
        <v>8.3668219998988</v>
      </c>
      <c r="R585" s="209">
        <v>6.2043098352085098</v>
      </c>
      <c r="S585" s="209">
        <v>6.2658447329586</v>
      </c>
      <c r="T585" s="209">
        <v>4.7808480633229999</v>
      </c>
      <c r="U585" s="209">
        <v>5.6696982862818999</v>
      </c>
      <c r="V585" s="209">
        <v>6.0996448223164297</v>
      </c>
      <c r="W585" s="209">
        <v>4.9146686909640698</v>
      </c>
      <c r="X585" s="202">
        <v>5.1845043521954199</v>
      </c>
      <c r="Y585" s="209">
        <v>4.1723665845453999</v>
      </c>
      <c r="Z585" s="209" t="s">
        <v>93</v>
      </c>
      <c r="AA585" s="209" t="s">
        <v>93</v>
      </c>
      <c r="AB585" s="209">
        <v>4.5</v>
      </c>
      <c r="AC585" s="209">
        <v>2.7544562650523301</v>
      </c>
      <c r="AD585" s="209">
        <v>4.6525849591848498</v>
      </c>
      <c r="AE585" s="210" t="s">
        <v>213</v>
      </c>
    </row>
    <row r="586" spans="2:31">
      <c r="B586" s="392">
        <v>43839</v>
      </c>
      <c r="C586" s="208"/>
      <c r="E586" s="209"/>
      <c r="F586" s="209"/>
      <c r="G586" s="209"/>
      <c r="H586" s="209"/>
      <c r="I586" s="209"/>
      <c r="J586" s="209"/>
      <c r="K586" s="209"/>
      <c r="L586" s="202"/>
      <c r="M586" s="208"/>
      <c r="N586" s="209"/>
      <c r="O586" s="209"/>
      <c r="P586" s="209"/>
      <c r="Q586" s="209"/>
      <c r="R586" s="209"/>
      <c r="S586" s="209"/>
      <c r="T586" s="209"/>
      <c r="U586" s="209"/>
      <c r="V586" s="209"/>
      <c r="W586" s="209"/>
      <c r="X586" s="202"/>
      <c r="Y586" s="208"/>
      <c r="Z586" s="209"/>
      <c r="AA586" s="209"/>
      <c r="AB586" s="209"/>
      <c r="AC586" s="209"/>
      <c r="AD586" s="202"/>
      <c r="AE586" s="397">
        <f>B586</f>
        <v>43839</v>
      </c>
    </row>
    <row r="587" spans="2:31">
      <c r="B587" s="391" t="s">
        <v>187</v>
      </c>
      <c r="C587" s="208">
        <v>8.6452766622694597</v>
      </c>
      <c r="D587" s="209">
        <v>6.0451931578642499</v>
      </c>
      <c r="E587" s="209">
        <v>8.9670797575333197</v>
      </c>
      <c r="F587" s="209">
        <v>5.58600845082207</v>
      </c>
      <c r="G587" s="209">
        <v>5.1563375788638899</v>
      </c>
      <c r="H587" s="209">
        <v>8.8404471549525407</v>
      </c>
      <c r="I587" s="209">
        <v>6.3086498492410703</v>
      </c>
      <c r="J587" s="209">
        <v>8.5319964675982103</v>
      </c>
      <c r="K587" s="209">
        <v>8.8918668373754404</v>
      </c>
      <c r="L587" s="202">
        <v>9.6218914862522809</v>
      </c>
      <c r="M587" s="208">
        <v>13.659397918726301</v>
      </c>
      <c r="N587" s="209">
        <v>8.7747090599066198</v>
      </c>
      <c r="O587" s="209">
        <v>16.287032417180701</v>
      </c>
      <c r="P587" s="209">
        <v>8.21766353895854</v>
      </c>
      <c r="Q587" s="209">
        <v>12.073154963687699</v>
      </c>
      <c r="R587" s="209">
        <v>12.030857009507701</v>
      </c>
      <c r="S587" s="209">
        <v>13.187477550940301</v>
      </c>
      <c r="T587" s="209">
        <v>17.0932887877435</v>
      </c>
      <c r="U587" s="209">
        <v>16.297355556913601</v>
      </c>
      <c r="V587" s="209">
        <v>18.0169277480285</v>
      </c>
      <c r="W587" s="209">
        <v>6.6396219057218104</v>
      </c>
      <c r="X587" s="202">
        <v>6.9439581299903104</v>
      </c>
      <c r="Y587" s="209">
        <v>9.1792986535629506</v>
      </c>
      <c r="Z587" s="209" t="s">
        <v>93</v>
      </c>
      <c r="AA587" s="209" t="s">
        <v>93</v>
      </c>
      <c r="AB587" s="209">
        <v>11</v>
      </c>
      <c r="AC587" s="209">
        <v>8.7899999999999991</v>
      </c>
      <c r="AD587" s="209">
        <v>6.8487443471567397</v>
      </c>
      <c r="AE587" s="210" t="s">
        <v>356</v>
      </c>
    </row>
    <row r="588" spans="2:31">
      <c r="B588" s="391" t="s">
        <v>357</v>
      </c>
      <c r="C588" s="208">
        <v>1.6127648648350299</v>
      </c>
      <c r="D588" s="209">
        <v>0.933539642770292</v>
      </c>
      <c r="E588" s="209">
        <v>2.07605302086648</v>
      </c>
      <c r="F588" s="209">
        <v>0.37900673997871598</v>
      </c>
      <c r="G588" s="209">
        <v>0.29776802225186799</v>
      </c>
      <c r="H588" s="209">
        <v>1.1436628652498899</v>
      </c>
      <c r="I588" s="209">
        <v>1.6991112439667899</v>
      </c>
      <c r="J588" s="209">
        <v>1.0720507181260599</v>
      </c>
      <c r="K588" s="209">
        <v>2.0449815111245302</v>
      </c>
      <c r="L588" s="202">
        <v>4.3451173665271101</v>
      </c>
      <c r="M588" s="208">
        <v>5.5891485742523797</v>
      </c>
      <c r="N588" s="209">
        <v>5.0796982603198204</v>
      </c>
      <c r="O588" s="209">
        <v>8.1298455856521894</v>
      </c>
      <c r="P588" s="209">
        <v>8.2261212323064097</v>
      </c>
      <c r="Q588" s="209">
        <v>8.7924265592100497</v>
      </c>
      <c r="R588" s="209">
        <v>6.2287679441285997</v>
      </c>
      <c r="S588" s="209">
        <v>6.3970472335152397</v>
      </c>
      <c r="T588" s="209">
        <v>4.7651970349643102</v>
      </c>
      <c r="U588" s="209">
        <v>5.6549938175768704</v>
      </c>
      <c r="V588" s="209">
        <v>6.1254707697158199</v>
      </c>
      <c r="W588" s="209">
        <v>4.91779022306046</v>
      </c>
      <c r="X588" s="202">
        <v>5.1873904373587303</v>
      </c>
      <c r="Y588" s="209">
        <v>4.1700242100114897</v>
      </c>
      <c r="Z588" s="209" t="s">
        <v>93</v>
      </c>
      <c r="AA588" s="209" t="s">
        <v>93</v>
      </c>
      <c r="AB588" s="209">
        <v>4.5</v>
      </c>
      <c r="AC588" s="209">
        <v>2.7673281454256702</v>
      </c>
      <c r="AD588" s="209">
        <v>4.6490306573026601</v>
      </c>
      <c r="AE588" s="210" t="s">
        <v>213</v>
      </c>
    </row>
    <row r="589" spans="2:31">
      <c r="B589" s="392">
        <v>43840</v>
      </c>
      <c r="C589" s="208"/>
      <c r="E589" s="209"/>
      <c r="F589" s="209"/>
      <c r="G589" s="209"/>
      <c r="H589" s="209"/>
      <c r="I589" s="209"/>
      <c r="J589" s="209"/>
      <c r="K589" s="209"/>
      <c r="L589" s="202"/>
      <c r="M589" s="208"/>
      <c r="N589" s="209"/>
      <c r="O589" s="209"/>
      <c r="P589" s="209"/>
      <c r="Q589" s="209"/>
      <c r="R589" s="209"/>
      <c r="S589" s="209"/>
      <c r="T589" s="209"/>
      <c r="U589" s="209"/>
      <c r="V589" s="209"/>
      <c r="W589" s="209"/>
      <c r="X589" s="202"/>
      <c r="Y589" s="208"/>
      <c r="Z589" s="209"/>
      <c r="AA589" s="209"/>
      <c r="AB589" s="209"/>
      <c r="AC589" s="209"/>
      <c r="AD589" s="202"/>
      <c r="AE589" s="397">
        <v>43840</v>
      </c>
    </row>
    <row r="590" spans="2:31">
      <c r="B590" s="391" t="s">
        <v>187</v>
      </c>
      <c r="C590" s="208">
        <v>8.4552602819158995</v>
      </c>
      <c r="D590" s="209">
        <v>5.5673585950654703</v>
      </c>
      <c r="E590" s="209">
        <v>8.9541909591081392</v>
      </c>
      <c r="F590" s="209">
        <v>6.0271361621924502</v>
      </c>
      <c r="G590" s="209">
        <v>5.2534059544068796</v>
      </c>
      <c r="H590" s="209">
        <v>8.5792546230538704</v>
      </c>
      <c r="I590" s="209">
        <v>5.1734765107306799</v>
      </c>
      <c r="J590" s="209">
        <v>8.5331729290733094</v>
      </c>
      <c r="K590" s="209">
        <v>8.6912964920594291</v>
      </c>
      <c r="L590" s="202">
        <v>9.1289993816066008</v>
      </c>
      <c r="M590" s="208">
        <v>13.688810182492301</v>
      </c>
      <c r="N590" s="209">
        <v>8.8046663082494607</v>
      </c>
      <c r="O590" s="209">
        <v>16.305835739132199</v>
      </c>
      <c r="P590" s="209">
        <v>8.8283992317211393</v>
      </c>
      <c r="Q590" s="209">
        <v>12.5151856978749</v>
      </c>
      <c r="R590" s="209">
        <v>12.253319113727599</v>
      </c>
      <c r="S590" s="209">
        <v>12.9346827194481</v>
      </c>
      <c r="T590" s="209">
        <v>17.2024029224727</v>
      </c>
      <c r="U590" s="209">
        <v>16.175574345186501</v>
      </c>
      <c r="V590" s="209">
        <v>18.004515254862302</v>
      </c>
      <c r="W590" s="209">
        <v>6.6905435683692804</v>
      </c>
      <c r="X590" s="202">
        <v>6.92222277920912</v>
      </c>
      <c r="Y590" s="209">
        <v>9.1792986535629506</v>
      </c>
      <c r="Z590" s="209" t="s">
        <v>93</v>
      </c>
      <c r="AA590" s="209" t="s">
        <v>93</v>
      </c>
      <c r="AB590" s="209">
        <v>11</v>
      </c>
      <c r="AC590" s="209">
        <v>8.7899999999999991</v>
      </c>
      <c r="AD590" s="209">
        <v>6.8487443471567397</v>
      </c>
      <c r="AE590" s="210" t="s">
        <v>356</v>
      </c>
    </row>
    <row r="591" spans="2:31">
      <c r="B591" s="391" t="s">
        <v>357</v>
      </c>
      <c r="C591" s="208">
        <v>1.74108179097676</v>
      </c>
      <c r="D591" s="209">
        <v>1.11116307579248</v>
      </c>
      <c r="E591" s="209">
        <v>2.0953665853832102</v>
      </c>
      <c r="F591" s="209">
        <v>0.402844082266201</v>
      </c>
      <c r="G591" s="209">
        <v>2.1897615699805901</v>
      </c>
      <c r="H591" s="209">
        <v>1.4492848866891299</v>
      </c>
      <c r="I591" s="209">
        <v>1.7446612329075299</v>
      </c>
      <c r="J591" s="209">
        <v>1.0607076996250999</v>
      </c>
      <c r="K591" s="209">
        <v>1.9717847439405201</v>
      </c>
      <c r="L591" s="202">
        <v>4.3748408992406196</v>
      </c>
      <c r="M591" s="208">
        <v>5.5356522942479103</v>
      </c>
      <c r="N591" s="209">
        <v>5.0462430237279499</v>
      </c>
      <c r="O591" s="209">
        <v>8.0186755399721097</v>
      </c>
      <c r="P591" s="209">
        <v>8.2030869459959508</v>
      </c>
      <c r="Q591" s="209">
        <v>9.4919152664193192</v>
      </c>
      <c r="R591" s="209">
        <v>6.1099807040807903</v>
      </c>
      <c r="S591" s="209">
        <v>6.1754340410269801</v>
      </c>
      <c r="T591" s="209">
        <v>4.9011370025043997</v>
      </c>
      <c r="U591" s="209">
        <v>5.62177076629286</v>
      </c>
      <c r="V591" s="209">
        <v>5.97217038500066</v>
      </c>
      <c r="W591" s="209">
        <v>4.8372682474290496</v>
      </c>
      <c r="X591" s="202">
        <v>5.1884053223943898</v>
      </c>
      <c r="Y591" s="209">
        <v>4.1722913017980101</v>
      </c>
      <c r="Z591" s="209" t="s">
        <v>93</v>
      </c>
      <c r="AA591" s="209" t="s">
        <v>93</v>
      </c>
      <c r="AB591" s="209">
        <v>4.5</v>
      </c>
      <c r="AC591" s="209">
        <v>2.7703449556700499</v>
      </c>
      <c r="AD591" s="209">
        <v>4.6534554375694297</v>
      </c>
      <c r="AE591" s="210" t="s">
        <v>213</v>
      </c>
    </row>
    <row r="592" spans="2:31">
      <c r="B592" s="397">
        <v>43841</v>
      </c>
      <c r="C592" s="209"/>
      <c r="E592" s="209"/>
      <c r="F592" s="209"/>
      <c r="G592" s="209"/>
      <c r="H592" s="209"/>
      <c r="I592" s="209"/>
      <c r="J592" s="209"/>
      <c r="K592" s="209"/>
      <c r="L592" s="202"/>
      <c r="M592" s="209"/>
      <c r="N592" s="209"/>
      <c r="O592" s="209"/>
      <c r="P592" s="209"/>
      <c r="Q592" s="209"/>
      <c r="R592" s="209"/>
      <c r="S592" s="209"/>
      <c r="T592" s="209"/>
      <c r="U592" s="209"/>
      <c r="V592" s="209"/>
      <c r="W592" s="209"/>
      <c r="X592" s="202"/>
      <c r="Y592" s="209"/>
      <c r="Z592" s="209"/>
      <c r="AA592" s="209"/>
      <c r="AB592" s="209"/>
      <c r="AC592" s="209"/>
      <c r="AD592" s="202"/>
      <c r="AE592" s="397">
        <v>43841</v>
      </c>
    </row>
    <row r="593" spans="2:32">
      <c r="B593" s="210" t="s">
        <v>187</v>
      </c>
      <c r="C593" s="209">
        <v>8.4248088996577604</v>
      </c>
      <c r="D593" s="209">
        <v>4.9825950302726003</v>
      </c>
      <c r="E593" s="209">
        <v>8.8759757609061403</v>
      </c>
      <c r="F593" s="223">
        <v>5.6685983271588398</v>
      </c>
      <c r="G593" s="209">
        <v>5.7723935288362203</v>
      </c>
      <c r="H593" s="223">
        <v>6.5974439740815702</v>
      </c>
      <c r="I593" s="209">
        <v>6.2660172178865299</v>
      </c>
      <c r="J593" s="209">
        <v>8.5449541791879398</v>
      </c>
      <c r="K593" s="209">
        <v>8.4564743624725907</v>
      </c>
      <c r="L593" s="202">
        <v>9.0794239514447792</v>
      </c>
      <c r="M593" s="209">
        <v>13.6043675595316</v>
      </c>
      <c r="N593" s="223">
        <v>8.7964019349491007</v>
      </c>
      <c r="O593" s="209">
        <v>16.2143610670478</v>
      </c>
      <c r="P593" s="209">
        <v>9.6366761511352905</v>
      </c>
      <c r="Q593" s="209">
        <v>12.1763002001841</v>
      </c>
      <c r="R593" s="209">
        <v>11.7873192647849</v>
      </c>
      <c r="S593" s="209">
        <v>12.733741764515001</v>
      </c>
      <c r="T593" s="209">
        <v>17.0557691730952</v>
      </c>
      <c r="U593" s="209">
        <v>16.047006548637999</v>
      </c>
      <c r="V593" s="209">
        <v>17.9093490120665</v>
      </c>
      <c r="W593" s="209">
        <v>6.7964927110864002</v>
      </c>
      <c r="X593" s="202">
        <v>6.9262080916725699</v>
      </c>
      <c r="Y593" s="223">
        <v>8.2775927962431997</v>
      </c>
      <c r="Z593" s="209" t="s">
        <v>93</v>
      </c>
      <c r="AA593" s="209" t="s">
        <v>93</v>
      </c>
      <c r="AB593" s="209" t="s">
        <v>93</v>
      </c>
      <c r="AC593" s="209">
        <v>8.7899999999999991</v>
      </c>
      <c r="AD593" s="202">
        <v>6.8487443471567397</v>
      </c>
      <c r="AE593" s="210" t="s">
        <v>356</v>
      </c>
    </row>
    <row r="594" spans="2:32">
      <c r="B594" s="210" t="s">
        <v>357</v>
      </c>
      <c r="C594" s="209">
        <v>1.7147049164663</v>
      </c>
      <c r="D594" s="209">
        <v>1.06580441328352</v>
      </c>
      <c r="E594" s="209">
        <v>2.1037491081329902</v>
      </c>
      <c r="F594" s="209">
        <v>0.71426459888952698</v>
      </c>
      <c r="G594" s="209">
        <v>1.9172721955326699</v>
      </c>
      <c r="H594" s="209">
        <v>1.4395997323330101</v>
      </c>
      <c r="I594" s="209">
        <v>1.6297016551571399</v>
      </c>
      <c r="J594" s="209">
        <v>1.0463537883310701</v>
      </c>
      <c r="K594" s="209">
        <v>1.91281038698969</v>
      </c>
      <c r="L594" s="202">
        <v>4.4338188503267597</v>
      </c>
      <c r="M594" s="209">
        <v>5.3922936818449596</v>
      </c>
      <c r="N594" s="209">
        <v>5.0149979343178703</v>
      </c>
      <c r="O594" s="209">
        <v>7.4059049663367702</v>
      </c>
      <c r="P594" s="209">
        <v>8.3644985353481207</v>
      </c>
      <c r="Q594" s="209">
        <v>8.5190620334924692</v>
      </c>
      <c r="R594" s="209">
        <v>6.02680927911008</v>
      </c>
      <c r="S594" s="209">
        <v>6.3838120074231304</v>
      </c>
      <c r="T594" s="209">
        <v>4.8609554058245896</v>
      </c>
      <c r="U594" s="209">
        <v>5.3337454126781001</v>
      </c>
      <c r="V594" s="209">
        <v>5.8003108951728501</v>
      </c>
      <c r="W594" s="209">
        <v>4.8217659470725902</v>
      </c>
      <c r="X594" s="202">
        <v>5.2060747567441199</v>
      </c>
      <c r="Y594" s="209">
        <v>4.9166666666666696</v>
      </c>
      <c r="Z594" s="209" t="s">
        <v>93</v>
      </c>
      <c r="AA594" s="209" t="s">
        <v>93</v>
      </c>
      <c r="AB594" s="209">
        <v>4.5</v>
      </c>
      <c r="AC594" s="209" t="s">
        <v>93</v>
      </c>
      <c r="AD594" s="202">
        <v>5</v>
      </c>
      <c r="AE594" s="210" t="s">
        <v>213</v>
      </c>
    </row>
    <row r="595" spans="2:32">
      <c r="B595" s="397">
        <v>43842</v>
      </c>
      <c r="C595" s="209"/>
      <c r="E595" s="209"/>
      <c r="F595" s="209"/>
      <c r="G595" s="209"/>
      <c r="H595" s="209"/>
      <c r="I595" s="209"/>
      <c r="J595" s="209"/>
      <c r="K595" s="209"/>
      <c r="L595" s="202"/>
      <c r="M595" s="209"/>
      <c r="N595" s="209"/>
      <c r="O595" s="209"/>
      <c r="P595" s="209"/>
      <c r="Q595" s="209"/>
      <c r="R595" s="209"/>
      <c r="S595" s="209"/>
      <c r="T595" s="209"/>
      <c r="U595" s="209"/>
      <c r="V595" s="209"/>
      <c r="W595" s="209"/>
      <c r="X595" s="202"/>
      <c r="Y595" s="209"/>
      <c r="Z595" s="209"/>
      <c r="AA595" s="209"/>
      <c r="AB595" s="209"/>
      <c r="AC595" s="209"/>
      <c r="AD595" s="202"/>
      <c r="AE595" s="397">
        <v>43842</v>
      </c>
    </row>
    <row r="596" spans="2:32">
      <c r="B596" s="210" t="s">
        <v>187</v>
      </c>
      <c r="C596" s="209">
        <v>8.5495751109839198</v>
      </c>
      <c r="D596" s="209">
        <v>6.2542879798381401</v>
      </c>
      <c r="E596" s="209">
        <v>9.0099460527382291</v>
      </c>
      <c r="F596" s="223">
        <v>4.0590551777484096</v>
      </c>
      <c r="G596" s="223">
        <v>5.4276193901916399</v>
      </c>
      <c r="H596" s="223">
        <v>8.4848226566009206</v>
      </c>
      <c r="I596" s="209">
        <v>6.2704023323256397</v>
      </c>
      <c r="J596" s="209">
        <v>8.5945541169377204</v>
      </c>
      <c r="K596" s="209">
        <v>8.6507689354048498</v>
      </c>
      <c r="L596" s="202">
        <v>9.0272089681325305</v>
      </c>
      <c r="M596" s="209">
        <v>13.670802410910699</v>
      </c>
      <c r="N596" s="223">
        <v>9.1441873085030192</v>
      </c>
      <c r="O596" s="209">
        <v>16.1447568381334</v>
      </c>
      <c r="P596" s="209">
        <v>9.4250477176183693</v>
      </c>
      <c r="Q596" s="209">
        <v>11.6773595303116</v>
      </c>
      <c r="R596" s="209">
        <v>11.290770994239001</v>
      </c>
      <c r="S596" s="209">
        <v>12.685764694157999</v>
      </c>
      <c r="T596" s="209">
        <v>16.809529236800199</v>
      </c>
      <c r="U596" s="209">
        <v>16.587426237853698</v>
      </c>
      <c r="V596" s="209">
        <v>17.833157707660199</v>
      </c>
      <c r="W596" s="209">
        <v>6.7221503129738398</v>
      </c>
      <c r="X596" s="202">
        <v>6.9389681957773899</v>
      </c>
      <c r="Y596" s="223">
        <v>7.9982402446709804</v>
      </c>
      <c r="Z596" s="209">
        <v>6.01</v>
      </c>
      <c r="AA596" s="209" t="s">
        <v>93</v>
      </c>
      <c r="AB596" s="209" t="s">
        <v>93</v>
      </c>
      <c r="AC596" s="209">
        <v>8.8699999999999992</v>
      </c>
      <c r="AD596" s="202">
        <v>6.8487443471567397</v>
      </c>
      <c r="AE596" s="210" t="s">
        <v>356</v>
      </c>
    </row>
    <row r="597" spans="2:32">
      <c r="B597" s="436" t="s">
        <v>357</v>
      </c>
      <c r="C597" s="209">
        <v>1.7492535530854401</v>
      </c>
      <c r="D597" s="209">
        <v>1.0656660882931099</v>
      </c>
      <c r="E597" s="209">
        <v>2.1745946100846401</v>
      </c>
      <c r="F597" s="209">
        <v>0.20267771451809699</v>
      </c>
      <c r="G597" s="209">
        <v>1.3762779955489499</v>
      </c>
      <c r="H597" s="209">
        <v>1.0507212559794099</v>
      </c>
      <c r="I597" s="209">
        <v>1.4528220451673499</v>
      </c>
      <c r="J597" s="209">
        <v>1.0622104667837899</v>
      </c>
      <c r="K597" s="209">
        <v>2.0005521116115101</v>
      </c>
      <c r="L597" s="209">
        <v>4.4306731734427203</v>
      </c>
      <c r="M597" s="208">
        <v>5.3028692806492801</v>
      </c>
      <c r="N597" s="209">
        <v>5.0049955864506002</v>
      </c>
      <c r="O597" s="209">
        <v>6.9532698618323803</v>
      </c>
      <c r="P597" s="209">
        <v>8.0957440068888094</v>
      </c>
      <c r="Q597" s="209">
        <v>8.3575390094979607</v>
      </c>
      <c r="R597" s="209">
        <v>5.7747121812967999</v>
      </c>
      <c r="S597" s="209">
        <v>6.4576006031649102</v>
      </c>
      <c r="T597" s="209">
        <v>4.8290329447217299</v>
      </c>
      <c r="U597" s="209">
        <v>5.3827451650074796</v>
      </c>
      <c r="V597" s="209">
        <v>5.5634728820555797</v>
      </c>
      <c r="W597" s="209">
        <v>4.7813221290836001</v>
      </c>
      <c r="X597" s="209">
        <v>5.2446041458997898</v>
      </c>
      <c r="Y597" s="208">
        <v>5</v>
      </c>
      <c r="Z597" s="209" t="s">
        <v>93</v>
      </c>
      <c r="AA597" s="209" t="s">
        <v>93</v>
      </c>
      <c r="AB597" s="209" t="s">
        <v>93</v>
      </c>
      <c r="AC597" s="209" t="s">
        <v>93</v>
      </c>
      <c r="AD597" s="209">
        <v>5</v>
      </c>
      <c r="AE597" s="441" t="s">
        <v>213</v>
      </c>
      <c r="AF597" s="213"/>
    </row>
    <row r="598" spans="2:32">
      <c r="B598" s="397">
        <v>44197</v>
      </c>
      <c r="C598" s="209"/>
      <c r="D598" s="209"/>
      <c r="E598" s="209"/>
      <c r="F598" s="209"/>
      <c r="G598" s="209"/>
      <c r="H598" s="209"/>
      <c r="I598" s="209"/>
      <c r="J598" s="209"/>
      <c r="K598" s="209"/>
      <c r="L598" s="202"/>
      <c r="M598" s="209"/>
      <c r="N598" s="209"/>
      <c r="O598" s="209"/>
      <c r="P598" s="209"/>
      <c r="Q598" s="209"/>
      <c r="R598" s="209"/>
      <c r="S598" s="209"/>
      <c r="T598" s="209"/>
      <c r="U598" s="209"/>
      <c r="V598" s="209"/>
      <c r="W598" s="209"/>
      <c r="X598" s="202"/>
      <c r="Y598" s="209"/>
      <c r="Z598" s="209"/>
      <c r="AA598" s="209"/>
      <c r="AB598" s="209"/>
      <c r="AC598" s="209"/>
      <c r="AD598" s="202"/>
      <c r="AE598" s="397">
        <v>44197</v>
      </c>
    </row>
    <row r="599" spans="2:32">
      <c r="B599" s="210" t="s">
        <v>187</v>
      </c>
      <c r="C599" s="209">
        <v>8.6184906431529207</v>
      </c>
      <c r="D599" s="209">
        <v>5.9197146842321304</v>
      </c>
      <c r="E599" s="209">
        <v>8.9950017472229096</v>
      </c>
      <c r="F599" s="209">
        <v>7.39349523046676</v>
      </c>
      <c r="G599" s="209">
        <v>4.75310559885268</v>
      </c>
      <c r="H599" s="209">
        <v>8.9240761294445505</v>
      </c>
      <c r="I599" s="209">
        <v>5.7268732742056603</v>
      </c>
      <c r="J599" s="209">
        <v>8.5938060771878408</v>
      </c>
      <c r="K599" s="209">
        <v>8.8220378656236296</v>
      </c>
      <c r="L599" s="202">
        <v>8.9881273166011297</v>
      </c>
      <c r="M599" s="209">
        <v>13.6861695482852</v>
      </c>
      <c r="N599" s="209">
        <v>9.27444701343369</v>
      </c>
      <c r="O599" s="209">
        <v>16.089823539910999</v>
      </c>
      <c r="P599" s="209">
        <v>10.176229957173099</v>
      </c>
      <c r="Q599" s="209">
        <v>12.492248078945201</v>
      </c>
      <c r="R599" s="209">
        <v>11.193023330012</v>
      </c>
      <c r="S599" s="209">
        <v>12.5951895616053</v>
      </c>
      <c r="T599" s="209">
        <v>16.817424550022199</v>
      </c>
      <c r="U599" s="209">
        <v>16.8136537115519</v>
      </c>
      <c r="V599" s="209">
        <v>17.743095267224799</v>
      </c>
      <c r="W599" s="209">
        <v>6.7612721001391396</v>
      </c>
      <c r="X599" s="202">
        <v>6.9473365267137703</v>
      </c>
      <c r="Y599" s="209">
        <v>8.0377968852274897</v>
      </c>
      <c r="Z599" s="209">
        <v>6.01</v>
      </c>
      <c r="AA599" s="209" t="s">
        <v>93</v>
      </c>
      <c r="AB599" s="209" t="s">
        <v>93</v>
      </c>
      <c r="AC599" s="209">
        <v>8.66</v>
      </c>
      <c r="AD599" s="202">
        <v>6.8487443471567397</v>
      </c>
      <c r="AE599" s="210" t="s">
        <v>356</v>
      </c>
    </row>
    <row r="600" spans="2:32">
      <c r="B600" s="436" t="s">
        <v>357</v>
      </c>
      <c r="C600" s="209">
        <v>1.7106085025992199</v>
      </c>
      <c r="D600" s="209">
        <v>1.0458319558267399</v>
      </c>
      <c r="E600" s="209">
        <v>2.14868175260768</v>
      </c>
      <c r="F600" s="209">
        <v>0.128364755336287</v>
      </c>
      <c r="G600" s="209">
        <v>1.14090988491574</v>
      </c>
      <c r="H600" s="209">
        <v>0.89278086762855202</v>
      </c>
      <c r="I600" s="209">
        <v>0.87588499744468096</v>
      </c>
      <c r="J600" s="209">
        <v>1.03221946446723</v>
      </c>
      <c r="K600" s="209">
        <v>1.99069155580274</v>
      </c>
      <c r="L600" s="202">
        <v>4.3897307523020004</v>
      </c>
      <c r="M600" s="209">
        <v>5.2088016821522301</v>
      </c>
      <c r="N600" s="209">
        <v>4.9757066021814698</v>
      </c>
      <c r="O600" s="209">
        <v>6.5253193855142797</v>
      </c>
      <c r="P600" s="209">
        <v>5.2661492301172501</v>
      </c>
      <c r="Q600" s="223">
        <v>8.3194353568677908</v>
      </c>
      <c r="R600" s="209">
        <v>6.2006413174140098</v>
      </c>
      <c r="S600" s="209">
        <v>6.5269770034503001</v>
      </c>
      <c r="T600" s="209">
        <v>5.6405511197795102</v>
      </c>
      <c r="U600" s="209">
        <v>4.8166879670132303</v>
      </c>
      <c r="V600" s="209">
        <v>5.5021209296311797</v>
      </c>
      <c r="W600" s="209">
        <v>4.7359394864088502</v>
      </c>
      <c r="X600" s="202">
        <v>5.2499571389068098</v>
      </c>
      <c r="Y600" s="209">
        <v>4.0681898380430503</v>
      </c>
      <c r="Z600" s="209" t="s">
        <v>93</v>
      </c>
      <c r="AA600" s="209" t="s">
        <v>93</v>
      </c>
      <c r="AB600" s="209">
        <v>4.5</v>
      </c>
      <c r="AC600" s="209" t="s">
        <v>93</v>
      </c>
      <c r="AD600" s="202">
        <v>5</v>
      </c>
      <c r="AE600" s="210" t="s">
        <v>213</v>
      </c>
    </row>
    <row r="601" spans="2:32">
      <c r="B601" s="397">
        <v>44228</v>
      </c>
      <c r="C601" s="209"/>
      <c r="D601" s="209"/>
      <c r="E601" s="209"/>
      <c r="F601" s="209"/>
      <c r="G601" s="209"/>
      <c r="H601" s="209"/>
      <c r="I601" s="209"/>
      <c r="J601" s="209"/>
      <c r="K601" s="209"/>
      <c r="L601" s="202"/>
      <c r="M601" s="209"/>
      <c r="N601" s="223"/>
      <c r="O601" s="209"/>
      <c r="P601" s="209"/>
      <c r="Q601" s="209"/>
      <c r="R601" s="209"/>
      <c r="S601" s="209"/>
      <c r="T601" s="209"/>
      <c r="U601" s="209"/>
      <c r="V601" s="209"/>
      <c r="W601" s="209"/>
      <c r="X601" s="202"/>
      <c r="Y601" s="209"/>
      <c r="Z601" s="209"/>
      <c r="AA601" s="209"/>
      <c r="AB601" s="209"/>
      <c r="AC601" s="209"/>
      <c r="AD601" s="202"/>
      <c r="AE601" s="397">
        <v>44228</v>
      </c>
    </row>
    <row r="602" spans="2:32">
      <c r="B602" s="210" t="s">
        <v>187</v>
      </c>
      <c r="C602" s="209">
        <v>8.4464034181733805</v>
      </c>
      <c r="D602" s="209">
        <v>5.2832596197895398</v>
      </c>
      <c r="E602" s="209">
        <v>9.0030366838800298</v>
      </c>
      <c r="F602" s="209">
        <v>6.24390849166344</v>
      </c>
      <c r="G602" s="209">
        <v>4.8280064757813399</v>
      </c>
      <c r="H602" s="209">
        <v>8.8524653502268595</v>
      </c>
      <c r="I602" s="209">
        <v>5.2817505628300196</v>
      </c>
      <c r="J602" s="209">
        <v>8.4471979178782792</v>
      </c>
      <c r="K602" s="209">
        <v>8.6576978912288993</v>
      </c>
      <c r="L602" s="202">
        <v>8.8510849334058701</v>
      </c>
      <c r="M602" s="209">
        <v>13.7070807907042</v>
      </c>
      <c r="N602" s="209">
        <v>9.3698452320080694</v>
      </c>
      <c r="O602" s="209">
        <v>16.075380514585799</v>
      </c>
      <c r="P602" s="209">
        <v>9.6727309751186006</v>
      </c>
      <c r="Q602" s="223">
        <v>11.736956772230201</v>
      </c>
      <c r="R602" s="209">
        <v>11.338007827232699</v>
      </c>
      <c r="S602" s="209">
        <v>12.602016002016001</v>
      </c>
      <c r="T602" s="209">
        <v>16.690964498935301</v>
      </c>
      <c r="U602" s="209">
        <v>16.767847516273299</v>
      </c>
      <c r="V602" s="209">
        <v>17.783788191971698</v>
      </c>
      <c r="W602" s="209">
        <v>6.8297939577140001</v>
      </c>
      <c r="X602" s="202">
        <v>6.9532677027127203</v>
      </c>
      <c r="Y602" s="209">
        <v>8.3763888215096607</v>
      </c>
      <c r="Z602" s="209" t="s">
        <v>93</v>
      </c>
      <c r="AA602" s="209" t="s">
        <v>93</v>
      </c>
      <c r="AB602" s="209" t="s">
        <v>93</v>
      </c>
      <c r="AC602" s="209">
        <v>8.66</v>
      </c>
      <c r="AD602" s="442">
        <v>6.8487443471567397</v>
      </c>
      <c r="AE602" s="210" t="s">
        <v>356</v>
      </c>
      <c r="AF602" s="213"/>
    </row>
    <row r="603" spans="2:32">
      <c r="B603" s="436" t="s">
        <v>357</v>
      </c>
      <c r="C603" s="209">
        <v>1.7040236337655399</v>
      </c>
      <c r="D603" s="209">
        <v>1.0380402048730399</v>
      </c>
      <c r="E603" s="209">
        <v>2.15441028545193</v>
      </c>
      <c r="F603" s="209">
        <v>0.196905707917434</v>
      </c>
      <c r="G603" s="209">
        <v>0.99677140489998095</v>
      </c>
      <c r="H603" s="209">
        <v>0.83157261672812399</v>
      </c>
      <c r="I603" s="209">
        <v>0.86695598940838003</v>
      </c>
      <c r="J603" s="209">
        <v>1.0464104382467301</v>
      </c>
      <c r="K603" s="209">
        <v>1.96377948927774</v>
      </c>
      <c r="L603" s="202">
        <v>4.3122400723651602</v>
      </c>
      <c r="M603" s="209">
        <v>5.1685531836404301</v>
      </c>
      <c r="N603" s="209">
        <v>4.9710957381636698</v>
      </c>
      <c r="O603" s="209">
        <v>6.2194043508468404</v>
      </c>
      <c r="P603" s="209">
        <v>3.10038365024102</v>
      </c>
      <c r="Q603" s="209">
        <v>8.0796578459820498</v>
      </c>
      <c r="R603" s="209">
        <v>5.97935906602165</v>
      </c>
      <c r="S603" s="209">
        <v>6.2261011073902397</v>
      </c>
      <c r="T603" s="209">
        <v>5.6372111784148498</v>
      </c>
      <c r="U603" s="209">
        <v>4.9091652120806701</v>
      </c>
      <c r="V603" s="209">
        <v>5.4793078548745404</v>
      </c>
      <c r="W603" s="209">
        <v>4.7293202691035203</v>
      </c>
      <c r="X603" s="202">
        <v>5.2391394208969801</v>
      </c>
      <c r="Y603" s="209">
        <v>4.9166666666666696</v>
      </c>
      <c r="Z603" s="209" t="s">
        <v>93</v>
      </c>
      <c r="AA603" s="209" t="s">
        <v>93</v>
      </c>
      <c r="AB603" s="209">
        <v>4.5</v>
      </c>
      <c r="AC603" s="209" t="s">
        <v>93</v>
      </c>
      <c r="AD603" s="202">
        <v>5</v>
      </c>
      <c r="AE603" s="210" t="s">
        <v>213</v>
      </c>
    </row>
    <row r="604" spans="2:32">
      <c r="B604" s="397">
        <v>44256</v>
      </c>
      <c r="C604" s="209"/>
      <c r="D604" s="209"/>
      <c r="E604" s="209"/>
      <c r="F604" s="209"/>
      <c r="G604" s="209"/>
      <c r="H604" s="209"/>
      <c r="I604" s="209"/>
      <c r="J604" s="209"/>
      <c r="K604" s="209"/>
      <c r="L604" s="202"/>
      <c r="M604" s="209"/>
      <c r="N604" s="209"/>
      <c r="O604" s="209"/>
      <c r="P604" s="209"/>
      <c r="Q604" s="209"/>
      <c r="R604" s="209"/>
      <c r="S604" s="209"/>
      <c r="T604" s="209"/>
      <c r="U604" s="209"/>
      <c r="V604" s="209"/>
      <c r="W604" s="209"/>
      <c r="X604" s="202"/>
      <c r="Y604" s="209"/>
      <c r="Z604" s="209"/>
      <c r="AA604" s="209"/>
      <c r="AB604" s="209"/>
      <c r="AC604" s="209"/>
      <c r="AD604" s="202"/>
      <c r="AE604" s="397">
        <v>44256</v>
      </c>
    </row>
    <row r="605" spans="2:32">
      <c r="B605" s="436" t="s">
        <v>187</v>
      </c>
      <c r="C605" s="209">
        <v>8.6243741779423004</v>
      </c>
      <c r="D605" s="209">
        <v>5.7828781672670404</v>
      </c>
      <c r="E605" s="209">
        <v>9.1363696498089908</v>
      </c>
      <c r="F605" s="209">
        <v>5.9944559782264699</v>
      </c>
      <c r="G605" s="209">
        <v>4.81408533321438</v>
      </c>
      <c r="H605" s="209">
        <v>8.3014118988882704</v>
      </c>
      <c r="I605" s="209">
        <v>4.5405783812240799</v>
      </c>
      <c r="J605" s="209">
        <v>8.6437064526368594</v>
      </c>
      <c r="K605" s="209">
        <v>8.9697927869155301</v>
      </c>
      <c r="L605" s="202">
        <v>8.7205290716905708</v>
      </c>
      <c r="M605" s="209">
        <v>13.746083103206001</v>
      </c>
      <c r="N605" s="209">
        <v>9.4046587595048603</v>
      </c>
      <c r="O605" s="209">
        <v>16.104118332854402</v>
      </c>
      <c r="P605" s="209">
        <v>9.3750243280596308</v>
      </c>
      <c r="Q605" s="209">
        <v>11.193669382277699</v>
      </c>
      <c r="R605" s="209">
        <v>11.341570137766499</v>
      </c>
      <c r="S605" s="209">
        <v>12.574356066523199</v>
      </c>
      <c r="T605" s="209">
        <v>16.391982256656402</v>
      </c>
      <c r="U605" s="209">
        <v>16.8332686926022</v>
      </c>
      <c r="V605" s="209">
        <v>17.929738140687601</v>
      </c>
      <c r="W605" s="209">
        <v>6.9092666294686502</v>
      </c>
      <c r="X605" s="202">
        <v>7.0004759051026104</v>
      </c>
      <c r="Y605" s="209">
        <v>8.36795507276946</v>
      </c>
      <c r="Z605" s="209" t="s">
        <v>93</v>
      </c>
      <c r="AA605" s="209" t="s">
        <v>93</v>
      </c>
      <c r="AB605" s="209" t="s">
        <v>93</v>
      </c>
      <c r="AC605" s="209">
        <v>8.65</v>
      </c>
      <c r="AD605" s="202">
        <v>6.8487443471567397</v>
      </c>
      <c r="AE605" s="210" t="s">
        <v>356</v>
      </c>
    </row>
    <row r="606" spans="2:32">
      <c r="B606" s="436" t="s">
        <v>357</v>
      </c>
      <c r="C606" s="209">
        <v>1.7567817144660001</v>
      </c>
      <c r="D606" s="209">
        <v>1.1553023843207</v>
      </c>
      <c r="E606" s="209">
        <v>2.1465960970203102</v>
      </c>
      <c r="F606" s="209">
        <v>0.213230683374765</v>
      </c>
      <c r="G606" s="209">
        <v>0.995458781328178</v>
      </c>
      <c r="H606" s="209">
        <v>0.67650628366718601</v>
      </c>
      <c r="I606" s="209">
        <v>0.90004561941260897</v>
      </c>
      <c r="J606" s="209">
        <v>1.0767445868726899</v>
      </c>
      <c r="K606" s="209">
        <v>2.01317169262816</v>
      </c>
      <c r="L606" s="202">
        <v>4.2017198998023799</v>
      </c>
      <c r="M606" s="209">
        <v>5.1750981234222202</v>
      </c>
      <c r="N606" s="209">
        <v>4.9318088350859197</v>
      </c>
      <c r="O606" s="209">
        <v>6.6728249736438796</v>
      </c>
      <c r="P606" s="209">
        <v>7.52640817695523</v>
      </c>
      <c r="Q606" s="209">
        <v>7.3839838912792501</v>
      </c>
      <c r="R606" s="209">
        <v>5.9720619508078601</v>
      </c>
      <c r="S606" s="209">
        <v>5.94400194925388</v>
      </c>
      <c r="T606" s="209">
        <v>5.6629809430117204</v>
      </c>
      <c r="U606" s="209">
        <v>4.8506951946114603</v>
      </c>
      <c r="V606" s="209">
        <v>5.3915535118986897</v>
      </c>
      <c r="W606" s="209">
        <v>4.7149409435027696</v>
      </c>
      <c r="X606" s="202">
        <v>5.2519536465625496</v>
      </c>
      <c r="Y606" s="209">
        <v>4.9097543176842597</v>
      </c>
      <c r="Z606" s="209" t="s">
        <v>93</v>
      </c>
      <c r="AA606" s="209" t="s">
        <v>93</v>
      </c>
      <c r="AB606" s="209">
        <v>4.5</v>
      </c>
      <c r="AC606" s="209">
        <v>4</v>
      </c>
      <c r="AD606" s="202">
        <v>5</v>
      </c>
      <c r="AE606" s="210" t="s">
        <v>213</v>
      </c>
    </row>
    <row r="607" spans="2:32">
      <c r="B607" s="397">
        <v>44287</v>
      </c>
      <c r="C607" s="209"/>
      <c r="D607" s="209"/>
      <c r="E607" s="209"/>
      <c r="F607" s="209"/>
      <c r="G607" s="209"/>
      <c r="H607" s="209"/>
      <c r="I607" s="209"/>
      <c r="J607" s="209"/>
      <c r="K607" s="209"/>
      <c r="L607" s="202"/>
      <c r="M607" s="209"/>
      <c r="N607" s="209"/>
      <c r="O607" s="209"/>
      <c r="P607" s="209"/>
      <c r="Q607" s="209"/>
      <c r="R607" s="209"/>
      <c r="S607" s="209"/>
      <c r="T607" s="209"/>
      <c r="U607" s="209"/>
      <c r="V607" s="209"/>
      <c r="W607" s="209"/>
      <c r="X607" s="202"/>
      <c r="Y607" s="209"/>
      <c r="Z607" s="209"/>
      <c r="AA607" s="209"/>
      <c r="AB607" s="209"/>
      <c r="AC607" s="209"/>
      <c r="AD607" s="202"/>
      <c r="AE607" s="397">
        <v>44287</v>
      </c>
    </row>
    <row r="608" spans="2:32">
      <c r="B608" s="436" t="s">
        <v>187</v>
      </c>
      <c r="C608" s="209">
        <v>8.5450535887271997</v>
      </c>
      <c r="D608" s="209">
        <v>5.7575904795127997</v>
      </c>
      <c r="E608" s="209">
        <v>9.0649526850212307</v>
      </c>
      <c r="F608" s="209">
        <v>5.0364147640236299</v>
      </c>
      <c r="G608" s="209">
        <v>3.6413774470373999</v>
      </c>
      <c r="H608" s="209">
        <v>7.8105827766158296</v>
      </c>
      <c r="I608" s="209">
        <v>4.0650918060381001</v>
      </c>
      <c r="J608" s="209">
        <v>8.6565645294752898</v>
      </c>
      <c r="K608" s="209">
        <v>8.7900641590995701</v>
      </c>
      <c r="L608" s="202">
        <v>8.6323659003721591</v>
      </c>
      <c r="M608" s="209">
        <v>13.8152474944816</v>
      </c>
      <c r="N608" s="209">
        <v>9.7053868126368208</v>
      </c>
      <c r="O608" s="209">
        <v>16.0413289235346</v>
      </c>
      <c r="P608" s="209">
        <v>9.7266885553470903</v>
      </c>
      <c r="Q608" s="209">
        <v>11.4902825224887</v>
      </c>
      <c r="R608" s="209">
        <v>11.7178342742337</v>
      </c>
      <c r="S608" s="209">
        <v>12.168399768241599</v>
      </c>
      <c r="T608" s="209">
        <v>16.3075194646702</v>
      </c>
      <c r="U608" s="209">
        <v>17.0638939546348</v>
      </c>
      <c r="V608" s="209">
        <v>17.883725488489201</v>
      </c>
      <c r="W608" s="209">
        <v>7.0064492847260702</v>
      </c>
      <c r="X608" s="202">
        <v>6.9217580809889299</v>
      </c>
      <c r="Y608" s="209">
        <v>8.2367897887427208</v>
      </c>
      <c r="Z608" s="209" t="s">
        <v>93</v>
      </c>
      <c r="AA608" s="209" t="s">
        <v>93</v>
      </c>
      <c r="AB608" s="209" t="s">
        <v>93</v>
      </c>
      <c r="AC608" s="209">
        <v>8.52</v>
      </c>
      <c r="AD608" s="202">
        <v>6.8487443471567397</v>
      </c>
      <c r="AE608" s="210" t="s">
        <v>356</v>
      </c>
    </row>
    <row r="609" spans="2:32">
      <c r="B609" s="436" t="s">
        <v>357</v>
      </c>
      <c r="C609" s="209">
        <v>1.7089839230084101</v>
      </c>
      <c r="D609" s="209">
        <v>1.0657250522674799</v>
      </c>
      <c r="E609" s="209">
        <v>2.1449717586211801</v>
      </c>
      <c r="F609" s="209">
        <v>0.145928952093865</v>
      </c>
      <c r="G609" s="209">
        <v>0.70688070312824502</v>
      </c>
      <c r="H609" s="209">
        <v>1.1024593683178501</v>
      </c>
      <c r="I609" s="209">
        <v>0.71998537670307305</v>
      </c>
      <c r="J609" s="209">
        <v>1.04933828143643</v>
      </c>
      <c r="K609" s="209">
        <v>1.9511421916442799</v>
      </c>
      <c r="L609" s="202">
        <v>4.2709808198751302</v>
      </c>
      <c r="M609" s="209">
        <v>5.10628279299398</v>
      </c>
      <c r="N609" s="209">
        <v>4.9193360989931803</v>
      </c>
      <c r="O609" s="209">
        <v>6.2675426952799098</v>
      </c>
      <c r="P609" s="209">
        <v>7.9428803336849203</v>
      </c>
      <c r="Q609" s="209">
        <v>7.2852310921709202</v>
      </c>
      <c r="R609" s="209">
        <v>5.9525442576707901</v>
      </c>
      <c r="S609" s="209">
        <v>5.3778264084614902</v>
      </c>
      <c r="T609" s="209">
        <v>5.6484351318915103</v>
      </c>
      <c r="U609" s="209">
        <v>4.8407268636766396</v>
      </c>
      <c r="V609" s="209">
        <v>5.1989191614457697</v>
      </c>
      <c r="W609" s="209">
        <v>4.7659022369044202</v>
      </c>
      <c r="X609" s="202">
        <v>5.2588135697802496</v>
      </c>
      <c r="Y609" s="209">
        <v>4.9776576472956302</v>
      </c>
      <c r="Z609" s="209" t="s">
        <v>93</v>
      </c>
      <c r="AA609" s="209" t="s">
        <v>93</v>
      </c>
      <c r="AB609" s="209" t="s">
        <v>93</v>
      </c>
      <c r="AC609" s="209">
        <v>4</v>
      </c>
      <c r="AD609" s="202">
        <v>5</v>
      </c>
      <c r="AE609" s="210" t="s">
        <v>213</v>
      </c>
    </row>
    <row r="610" spans="2:32">
      <c r="B610" s="397">
        <v>44317</v>
      </c>
      <c r="C610" s="209"/>
      <c r="D610" s="209"/>
      <c r="E610" s="209"/>
      <c r="F610" s="209"/>
      <c r="G610" s="209"/>
      <c r="H610" s="209"/>
      <c r="I610" s="209"/>
      <c r="J610" s="209"/>
      <c r="K610" s="209"/>
      <c r="L610" s="202"/>
      <c r="M610" s="209"/>
      <c r="N610" s="223"/>
      <c r="O610" s="209"/>
      <c r="P610" s="209"/>
      <c r="Q610" s="209"/>
      <c r="R610" s="209"/>
      <c r="S610" s="209"/>
      <c r="T610" s="209"/>
      <c r="U610" s="209"/>
      <c r="V610" s="209"/>
      <c r="W610" s="209"/>
      <c r="X610" s="202"/>
      <c r="Y610" s="209"/>
      <c r="Z610" s="209"/>
      <c r="AA610" s="209"/>
      <c r="AB610" s="209"/>
      <c r="AC610" s="209"/>
      <c r="AD610" s="202"/>
      <c r="AE610" s="397">
        <v>44317</v>
      </c>
    </row>
    <row r="611" spans="2:32">
      <c r="B611" s="436" t="s">
        <v>187</v>
      </c>
      <c r="C611" s="209">
        <v>8.5117038352128294</v>
      </c>
      <c r="D611" s="209">
        <v>5.1536050332865502</v>
      </c>
      <c r="E611" s="209">
        <v>9.0879180496813099</v>
      </c>
      <c r="F611" s="209">
        <v>4.6754406395568404</v>
      </c>
      <c r="G611" s="209">
        <v>2.5905064185725499</v>
      </c>
      <c r="H611" s="209">
        <v>5.2431812075686004</v>
      </c>
      <c r="I611" s="209">
        <v>3.9556877837883802</v>
      </c>
      <c r="J611" s="209">
        <v>8.6905894396753904</v>
      </c>
      <c r="K611" s="209">
        <v>8.7619551954052195</v>
      </c>
      <c r="L611" s="202">
        <v>9.4325808682500298</v>
      </c>
      <c r="M611" s="209">
        <v>13.862310752869201</v>
      </c>
      <c r="N611" s="209">
        <v>9.7160898326826004</v>
      </c>
      <c r="O611" s="209">
        <v>16.101580812450699</v>
      </c>
      <c r="P611" s="209">
        <v>9.4432156747862095</v>
      </c>
      <c r="Q611" s="223">
        <v>11.1293714294802</v>
      </c>
      <c r="R611" s="209">
        <v>11.8063171972675</v>
      </c>
      <c r="S611" s="209">
        <v>10.5008659773469</v>
      </c>
      <c r="T611" s="209">
        <v>16.361513715608599</v>
      </c>
      <c r="U611" s="209">
        <v>17.0816274635092</v>
      </c>
      <c r="V611" s="209">
        <v>17.8792472082906</v>
      </c>
      <c r="W611" s="209">
        <v>7.0297263863840396</v>
      </c>
      <c r="X611" s="202">
        <v>6.8962676022189502</v>
      </c>
      <c r="Y611" s="209">
        <v>8.3008867089188403</v>
      </c>
      <c r="Z611" s="209" t="s">
        <v>93</v>
      </c>
      <c r="AA611" s="209" t="s">
        <v>93</v>
      </c>
      <c r="AB611" s="209" t="s">
        <v>93</v>
      </c>
      <c r="AC611" s="209">
        <v>8.57</v>
      </c>
      <c r="AD611" s="442">
        <v>6.8487443471567397</v>
      </c>
      <c r="AE611" s="210" t="s">
        <v>356</v>
      </c>
      <c r="AF611" s="213"/>
    </row>
    <row r="612" spans="2:32">
      <c r="B612" s="436" t="s">
        <v>357</v>
      </c>
      <c r="C612" s="209">
        <v>1.6145506258825699</v>
      </c>
      <c r="D612" s="209">
        <v>1.06457717758879</v>
      </c>
      <c r="E612" s="209">
        <v>1.9933694944818801</v>
      </c>
      <c r="F612" s="209">
        <v>0.35949703454790399</v>
      </c>
      <c r="G612" s="209">
        <v>0.95786001495015605</v>
      </c>
      <c r="H612" s="209">
        <v>0.99755507281132205</v>
      </c>
      <c r="I612" s="209">
        <v>1.5720962030173</v>
      </c>
      <c r="J612" s="209">
        <v>1.0035158895839</v>
      </c>
      <c r="K612" s="209">
        <v>1.83856831384498</v>
      </c>
      <c r="L612" s="202">
        <v>4.3592590057410501</v>
      </c>
      <c r="M612" s="209">
        <v>5.0220964006079702</v>
      </c>
      <c r="N612" s="209">
        <v>4.8386487348920797</v>
      </c>
      <c r="O612" s="209">
        <v>6.1588921765931399</v>
      </c>
      <c r="P612" s="209">
        <v>8.5189742444068592</v>
      </c>
      <c r="Q612" s="209">
        <v>7.0289803510141198</v>
      </c>
      <c r="R612" s="209">
        <v>5.8853202729551199</v>
      </c>
      <c r="S612" s="209">
        <v>5.3320602610269097</v>
      </c>
      <c r="T612" s="209">
        <v>5.5136736179646002</v>
      </c>
      <c r="U612" s="209">
        <v>4.9196822279512302</v>
      </c>
      <c r="V612" s="209">
        <v>4.9776232518498498</v>
      </c>
      <c r="W612" s="209">
        <v>4.7700689465356296</v>
      </c>
      <c r="X612" s="202">
        <v>5.2497889191874103</v>
      </c>
      <c r="Y612" s="209">
        <v>4.9768823661240198</v>
      </c>
      <c r="Z612" s="209" t="s">
        <v>93</v>
      </c>
      <c r="AA612" s="209" t="s">
        <v>93</v>
      </c>
      <c r="AB612" s="209" t="s">
        <v>93</v>
      </c>
      <c r="AC612" s="209">
        <v>4</v>
      </c>
      <c r="AD612" s="202">
        <v>5</v>
      </c>
      <c r="AE612" s="210" t="s">
        <v>213</v>
      </c>
    </row>
    <row r="613" spans="2:32">
      <c r="B613" s="397">
        <v>44348</v>
      </c>
      <c r="C613" s="209"/>
      <c r="D613" s="209"/>
      <c r="E613" s="209"/>
      <c r="F613" s="209"/>
      <c r="G613" s="209"/>
      <c r="H613" s="209"/>
      <c r="I613" s="209"/>
      <c r="J613" s="209"/>
      <c r="K613" s="209"/>
      <c r="L613" s="202"/>
      <c r="M613" s="209"/>
      <c r="N613" s="223"/>
      <c r="O613" s="209"/>
      <c r="P613" s="209"/>
      <c r="Q613" s="209"/>
      <c r="R613" s="209"/>
      <c r="S613" s="209"/>
      <c r="T613" s="209"/>
      <c r="U613" s="209"/>
      <c r="V613" s="209"/>
      <c r="W613" s="209"/>
      <c r="X613" s="202"/>
      <c r="Y613" s="209"/>
      <c r="Z613" s="209"/>
      <c r="AA613" s="209"/>
      <c r="AB613" s="209"/>
      <c r="AC613" s="209"/>
      <c r="AD613" s="202"/>
      <c r="AE613" s="397">
        <v>44348</v>
      </c>
    </row>
    <row r="614" spans="2:32">
      <c r="B614" s="436" t="s">
        <v>187</v>
      </c>
      <c r="C614" s="209">
        <v>8.5187088100419697</v>
      </c>
      <c r="D614" s="209">
        <v>5.1109629597527597</v>
      </c>
      <c r="E614" s="209">
        <v>9.0701170638112103</v>
      </c>
      <c r="F614" s="209">
        <v>4.4552455428976003</v>
      </c>
      <c r="G614" s="209">
        <v>2.6142989889486699</v>
      </c>
      <c r="H614" s="209">
        <v>5.7614203843293001</v>
      </c>
      <c r="I614" s="209">
        <v>4.0566788262478299</v>
      </c>
      <c r="J614" s="209">
        <v>8.7527650832039896</v>
      </c>
      <c r="K614" s="209">
        <v>8.6477552170938097</v>
      </c>
      <c r="L614" s="202">
        <v>9.3925864163230806</v>
      </c>
      <c r="M614" s="209">
        <v>13.8988634378667</v>
      </c>
      <c r="N614" s="209">
        <v>9.7007504663912094</v>
      </c>
      <c r="O614" s="209">
        <v>16.108476286822601</v>
      </c>
      <c r="P614" s="209">
        <v>10.1722931023937</v>
      </c>
      <c r="Q614" s="223">
        <v>11.522311887419701</v>
      </c>
      <c r="R614" s="209">
        <v>11.700738206117</v>
      </c>
      <c r="S614" s="209">
        <v>10.5044084799126</v>
      </c>
      <c r="T614" s="209">
        <v>16.3473353898016</v>
      </c>
      <c r="U614" s="209">
        <v>17.085691657673198</v>
      </c>
      <c r="V614" s="209">
        <v>17.959685453402901</v>
      </c>
      <c r="W614" s="209">
        <v>7.1040739240583104</v>
      </c>
      <c r="X614" s="202">
        <v>6.8841380261920904</v>
      </c>
      <c r="Y614" s="209">
        <v>8.3008867089188403</v>
      </c>
      <c r="Z614" s="209" t="s">
        <v>93</v>
      </c>
      <c r="AA614" s="209" t="s">
        <v>93</v>
      </c>
      <c r="AB614" s="209" t="s">
        <v>93</v>
      </c>
      <c r="AC614" s="209">
        <v>8.57</v>
      </c>
      <c r="AD614" s="442">
        <v>6.8487443471567397</v>
      </c>
      <c r="AE614" s="210" t="s">
        <v>356</v>
      </c>
      <c r="AF614" s="213"/>
    </row>
    <row r="615" spans="2:32">
      <c r="B615" s="436" t="s">
        <v>357</v>
      </c>
      <c r="C615" s="209">
        <v>1.5492263714263399</v>
      </c>
      <c r="D615" s="209">
        <v>0.97068739937332604</v>
      </c>
      <c r="E615" s="209">
        <v>1.98283426413567</v>
      </c>
      <c r="F615" s="209">
        <v>0.52081292197765605</v>
      </c>
      <c r="G615" s="209">
        <v>0.92803319495833703</v>
      </c>
      <c r="H615" s="209">
        <v>1.0052158375636799</v>
      </c>
      <c r="I615" s="209">
        <v>1.47037701368339</v>
      </c>
      <c r="J615" s="209">
        <v>1.0051194791287601</v>
      </c>
      <c r="K615" s="209">
        <v>1.6821963936673301</v>
      </c>
      <c r="L615" s="202">
        <v>4.3682268539810902</v>
      </c>
      <c r="M615" s="209">
        <v>4.97696147945154</v>
      </c>
      <c r="N615" s="209">
        <v>4.79927445575417</v>
      </c>
      <c r="O615" s="209">
        <v>6.0808441200455201</v>
      </c>
      <c r="P615" s="209">
        <v>8.6300628625734994</v>
      </c>
      <c r="Q615" s="209">
        <v>7.3827017522778204</v>
      </c>
      <c r="R615" s="209">
        <v>5.84557167095151</v>
      </c>
      <c r="S615" s="209">
        <v>5.2556052764605301</v>
      </c>
      <c r="T615" s="209">
        <v>5.4588240045941996</v>
      </c>
      <c r="U615" s="209">
        <v>4.7726822664111701</v>
      </c>
      <c r="V615" s="209">
        <v>4.9677974727635297</v>
      </c>
      <c r="W615" s="209">
        <v>4.7782313732885999</v>
      </c>
      <c r="X615" s="202">
        <v>5.2482069679456798</v>
      </c>
      <c r="Y615" s="209">
        <v>4.9656128233382901</v>
      </c>
      <c r="Z615" s="209" t="s">
        <v>93</v>
      </c>
      <c r="AA615" s="209" t="s">
        <v>93</v>
      </c>
      <c r="AB615" s="209" t="s">
        <v>93</v>
      </c>
      <c r="AC615" s="209">
        <v>4</v>
      </c>
      <c r="AD615" s="202">
        <v>5</v>
      </c>
      <c r="AE615" s="210" t="s">
        <v>213</v>
      </c>
    </row>
    <row r="616" spans="2:32">
      <c r="B616" s="397">
        <v>44378</v>
      </c>
      <c r="C616" s="209"/>
      <c r="D616" s="209"/>
      <c r="E616" s="209"/>
      <c r="F616" s="209"/>
      <c r="G616" s="209"/>
      <c r="H616" s="209"/>
      <c r="I616" s="209"/>
      <c r="J616" s="209"/>
      <c r="K616" s="209"/>
      <c r="L616" s="202"/>
      <c r="M616" s="209"/>
      <c r="N616" s="223"/>
      <c r="O616" s="209"/>
      <c r="P616" s="209"/>
      <c r="Q616" s="209"/>
      <c r="R616" s="209"/>
      <c r="S616" s="209"/>
      <c r="T616" s="209"/>
      <c r="U616" s="209"/>
      <c r="V616" s="209"/>
      <c r="W616" s="209"/>
      <c r="X616" s="202"/>
      <c r="Y616" s="209"/>
      <c r="Z616" s="209"/>
      <c r="AA616" s="209"/>
      <c r="AB616" s="209"/>
      <c r="AC616" s="209"/>
      <c r="AD616" s="202"/>
      <c r="AE616" s="397">
        <v>44378</v>
      </c>
    </row>
    <row r="617" spans="2:32">
      <c r="B617" s="210" t="s">
        <v>187</v>
      </c>
      <c r="C617" s="209">
        <v>8.5436559171770696</v>
      </c>
      <c r="D617" s="209">
        <v>5.2504719722231998</v>
      </c>
      <c r="E617" s="209">
        <v>9.0894285990718906</v>
      </c>
      <c r="F617" s="209">
        <v>3.8397616251761399</v>
      </c>
      <c r="G617" s="209">
        <v>2.5814202836269899</v>
      </c>
      <c r="H617" s="209">
        <v>5.2296580099404197</v>
      </c>
      <c r="I617" s="209">
        <v>3.8780480535380502</v>
      </c>
      <c r="J617" s="209">
        <v>8.7713496583473898</v>
      </c>
      <c r="K617" s="209">
        <v>8.6949210731189304</v>
      </c>
      <c r="L617" s="202">
        <v>9.2890563772701498</v>
      </c>
      <c r="M617" s="209">
        <v>13.939897742794001</v>
      </c>
      <c r="N617" s="209">
        <v>9.7052095913802194</v>
      </c>
      <c r="O617" s="209">
        <v>16.134784755389902</v>
      </c>
      <c r="P617" s="209">
        <v>10.162000163558201</v>
      </c>
      <c r="Q617" s="223">
        <v>12.4316485821056</v>
      </c>
      <c r="R617" s="209">
        <v>11.397072961110799</v>
      </c>
      <c r="S617" s="209">
        <v>10.5140543305157</v>
      </c>
      <c r="T617" s="209">
        <v>16.5123165379262</v>
      </c>
      <c r="U617" s="209">
        <v>16.980340061716099</v>
      </c>
      <c r="V617" s="209">
        <v>17.980632926463301</v>
      </c>
      <c r="W617" s="209">
        <v>7.0066656691098199</v>
      </c>
      <c r="X617" s="202">
        <v>6.9015817705238396</v>
      </c>
      <c r="Y617" s="209">
        <v>8.2249579459005702</v>
      </c>
      <c r="Z617" s="209" t="s">
        <v>93</v>
      </c>
      <c r="AA617" s="209" t="s">
        <v>93</v>
      </c>
      <c r="AB617" s="209" t="s">
        <v>93</v>
      </c>
      <c r="AC617" s="209">
        <v>8.48</v>
      </c>
      <c r="AD617" s="442">
        <v>6.8487443471567397</v>
      </c>
      <c r="AE617" s="210" t="s">
        <v>356</v>
      </c>
      <c r="AF617" s="213"/>
    </row>
    <row r="618" spans="2:32">
      <c r="B618" s="436" t="s">
        <v>357</v>
      </c>
      <c r="C618" s="209">
        <v>1.5659820177852499</v>
      </c>
      <c r="D618" s="209">
        <v>0.96236753291201604</v>
      </c>
      <c r="E618" s="209">
        <v>1.97234249251187</v>
      </c>
      <c r="F618" s="209">
        <v>0.19840180332026899</v>
      </c>
      <c r="G618" s="209">
        <v>1.02587772397094</v>
      </c>
      <c r="H618" s="209">
        <v>0.51479065262593104</v>
      </c>
      <c r="I618" s="209">
        <v>1.4511428182673201</v>
      </c>
      <c r="J618" s="209">
        <v>1.00961244014806</v>
      </c>
      <c r="K618" s="209">
        <v>1.76041536385055</v>
      </c>
      <c r="L618" s="202">
        <v>4.22751767979255</v>
      </c>
      <c r="M618" s="209">
        <v>5.00706345254856</v>
      </c>
      <c r="N618" s="209">
        <v>4.8504142219126196</v>
      </c>
      <c r="O618" s="209">
        <v>5.98431379317124</v>
      </c>
      <c r="P618" s="209">
        <v>8.8935110756280196</v>
      </c>
      <c r="Q618" s="209">
        <v>7.4995237736758096</v>
      </c>
      <c r="R618" s="209">
        <v>5.6390120873171199</v>
      </c>
      <c r="S618" s="209">
        <v>5.2096705325901</v>
      </c>
      <c r="T618" s="209">
        <v>5.4779150829329204</v>
      </c>
      <c r="U618" s="209">
        <v>4.8395060376212804</v>
      </c>
      <c r="V618" s="209">
        <v>4.9645525369978802</v>
      </c>
      <c r="W618" s="209">
        <v>4.8174617197022096</v>
      </c>
      <c r="X618" s="202">
        <v>5.2335771771567199</v>
      </c>
      <c r="Y618" s="209">
        <v>4.9583079663577498</v>
      </c>
      <c r="Z618" s="209" t="s">
        <v>93</v>
      </c>
      <c r="AA618" s="209" t="s">
        <v>93</v>
      </c>
      <c r="AB618" s="209" t="s">
        <v>93</v>
      </c>
      <c r="AC618" s="209">
        <v>4</v>
      </c>
      <c r="AD618" s="202">
        <v>5</v>
      </c>
      <c r="AE618" s="210" t="s">
        <v>213</v>
      </c>
    </row>
    <row r="619" spans="2:32">
      <c r="B619" s="397">
        <v>44409</v>
      </c>
      <c r="C619" s="209"/>
      <c r="D619" s="209"/>
      <c r="E619" s="209"/>
      <c r="F619" s="209"/>
      <c r="G619" s="209"/>
      <c r="H619" s="209"/>
      <c r="I619" s="209"/>
      <c r="J619" s="209"/>
      <c r="K619" s="209"/>
      <c r="L619" s="202"/>
      <c r="M619" s="209"/>
      <c r="N619" s="223"/>
      <c r="O619" s="209"/>
      <c r="P619" s="209"/>
      <c r="Q619" s="209"/>
      <c r="R619" s="209"/>
      <c r="S619" s="209"/>
      <c r="T619" s="209"/>
      <c r="U619" s="209"/>
      <c r="V619" s="209"/>
      <c r="W619" s="209"/>
      <c r="X619" s="202"/>
      <c r="Y619" s="209"/>
      <c r="Z619" s="209"/>
      <c r="AA619" s="209"/>
      <c r="AB619" s="209"/>
      <c r="AC619" s="209"/>
      <c r="AD619" s="202"/>
      <c r="AE619" s="397">
        <v>44409</v>
      </c>
    </row>
    <row r="620" spans="2:32">
      <c r="B620" s="210" t="s">
        <v>187</v>
      </c>
      <c r="C620" s="209">
        <v>8.51073860438545</v>
      </c>
      <c r="D620" s="209">
        <v>5.0781894937140102</v>
      </c>
      <c r="E620" s="209">
        <v>9.0852094344791592</v>
      </c>
      <c r="F620" s="209">
        <v>4.4304815900944901</v>
      </c>
      <c r="G620" s="209">
        <v>2.2813299907684801</v>
      </c>
      <c r="H620" s="209">
        <v>4.7041988512723298</v>
      </c>
      <c r="I620" s="209">
        <v>4.0542684103102404</v>
      </c>
      <c r="J620" s="209">
        <v>8.7731118647745792</v>
      </c>
      <c r="K620" s="209">
        <v>8.6984058300855907</v>
      </c>
      <c r="L620" s="202">
        <v>9.2845977079510007</v>
      </c>
      <c r="M620" s="209">
        <v>14.0442654455398</v>
      </c>
      <c r="N620" s="209">
        <v>9.6856194239834998</v>
      </c>
      <c r="O620" s="209">
        <v>16.227238567660599</v>
      </c>
      <c r="P620" s="209">
        <v>10.6536009620839</v>
      </c>
      <c r="Q620" s="223">
        <v>12.491877835119601</v>
      </c>
      <c r="R620" s="209">
        <v>11.2888615249497</v>
      </c>
      <c r="S620" s="209">
        <v>10.292403262989801</v>
      </c>
      <c r="T620" s="209">
        <v>16.394241792888401</v>
      </c>
      <c r="U620" s="209">
        <v>17.119681514415198</v>
      </c>
      <c r="V620" s="209">
        <v>18.074427772739</v>
      </c>
      <c r="W620" s="209">
        <v>6.9496138993358896</v>
      </c>
      <c r="X620" s="202">
        <v>6.8865142374536203</v>
      </c>
      <c r="Y620" s="209">
        <v>8.2249579459005702</v>
      </c>
      <c r="Z620" s="209" t="s">
        <v>93</v>
      </c>
      <c r="AA620" s="209" t="s">
        <v>93</v>
      </c>
      <c r="AB620" s="209" t="s">
        <v>93</v>
      </c>
      <c r="AC620" s="209">
        <v>8.48</v>
      </c>
      <c r="AD620" s="442">
        <v>6.8487443471567397</v>
      </c>
      <c r="AE620" s="210" t="s">
        <v>356</v>
      </c>
      <c r="AF620" s="213"/>
    </row>
    <row r="621" spans="2:32">
      <c r="B621" s="436" t="s">
        <v>357</v>
      </c>
      <c r="C621" s="209">
        <v>1.54335119671726</v>
      </c>
      <c r="D621" s="209">
        <v>0.97684654152401995</v>
      </c>
      <c r="E621" s="209">
        <v>1.97089480949116</v>
      </c>
      <c r="F621" s="209">
        <v>0.89323816054693195</v>
      </c>
      <c r="G621" s="209">
        <v>0.83658239844834803</v>
      </c>
      <c r="H621" s="209">
        <v>0.55814009426548195</v>
      </c>
      <c r="I621" s="209">
        <v>1.3739258086060999</v>
      </c>
      <c r="J621" s="209">
        <v>1.0408210746450299</v>
      </c>
      <c r="K621" s="209">
        <v>1.70222515377438</v>
      </c>
      <c r="L621" s="202">
        <v>3.98958833841797</v>
      </c>
      <c r="M621" s="209">
        <v>5.1401384413875304</v>
      </c>
      <c r="N621" s="209">
        <v>5.0004788466336896</v>
      </c>
      <c r="O621" s="209">
        <v>6.01205789015766</v>
      </c>
      <c r="P621" s="209">
        <v>9.0101860066498993</v>
      </c>
      <c r="Q621" s="209">
        <v>7.8778875724517201</v>
      </c>
      <c r="R621" s="209">
        <v>5.7425147578298299</v>
      </c>
      <c r="S621" s="209">
        <v>4.6988652787097598</v>
      </c>
      <c r="T621" s="209">
        <v>5.6408880345962196</v>
      </c>
      <c r="U621" s="209">
        <v>5.2019800102234104</v>
      </c>
      <c r="V621" s="209">
        <v>5.0028183842791902</v>
      </c>
      <c r="W621" s="209">
        <v>4.8853234865443103</v>
      </c>
      <c r="X621" s="202">
        <v>5.1730439397820103</v>
      </c>
      <c r="Y621" s="209">
        <v>4.9544663410252099</v>
      </c>
      <c r="Z621" s="209" t="s">
        <v>93</v>
      </c>
      <c r="AA621" s="209" t="s">
        <v>93</v>
      </c>
      <c r="AB621" s="209" t="s">
        <v>93</v>
      </c>
      <c r="AC621" s="209">
        <v>4</v>
      </c>
      <c r="AD621" s="202">
        <v>5</v>
      </c>
      <c r="AE621" s="210" t="s">
        <v>213</v>
      </c>
    </row>
    <row r="622" spans="2:32">
      <c r="B622" s="397">
        <v>44440</v>
      </c>
      <c r="C622" s="209"/>
      <c r="D622" s="209"/>
      <c r="E622" s="209"/>
      <c r="F622" s="209"/>
      <c r="G622" s="209"/>
      <c r="H622" s="209"/>
      <c r="I622" s="209"/>
      <c r="J622" s="209"/>
      <c r="K622" s="209"/>
      <c r="L622" s="202"/>
      <c r="M622" s="209"/>
      <c r="N622" s="223"/>
      <c r="O622" s="209"/>
      <c r="P622" s="209"/>
      <c r="Q622" s="209"/>
      <c r="R622" s="209"/>
      <c r="S622" s="209"/>
      <c r="T622" s="209"/>
      <c r="U622" s="209"/>
      <c r="V622" s="209"/>
      <c r="W622" s="209"/>
      <c r="X622" s="202"/>
      <c r="Y622" s="209"/>
      <c r="Z622" s="209"/>
      <c r="AA622" s="209"/>
      <c r="AB622" s="209"/>
      <c r="AC622" s="209"/>
      <c r="AD622" s="202"/>
      <c r="AE622" s="397">
        <v>44440</v>
      </c>
    </row>
    <row r="623" spans="2:32">
      <c r="B623" s="210" t="s">
        <v>187</v>
      </c>
      <c r="C623" s="209">
        <v>8.5848079607137802</v>
      </c>
      <c r="D623" s="209">
        <v>5.3109586929174304</v>
      </c>
      <c r="E623" s="209">
        <v>9.0444479455845208</v>
      </c>
      <c r="F623" s="209">
        <v>4.9440969743851202</v>
      </c>
      <c r="G623" s="209">
        <v>4.74777214914665</v>
      </c>
      <c r="H623" s="209">
        <v>4.6570095262433098</v>
      </c>
      <c r="I623" s="209">
        <v>4.2714561492954104</v>
      </c>
      <c r="J623" s="209">
        <v>8.7365132059614208</v>
      </c>
      <c r="K623" s="209">
        <v>8.6866318661951301</v>
      </c>
      <c r="L623" s="202">
        <v>9.6057986405726901</v>
      </c>
      <c r="M623" s="209">
        <v>14.155290109759401</v>
      </c>
      <c r="N623" s="209">
        <v>9.7896105667758508</v>
      </c>
      <c r="O623" s="209">
        <v>16.272035479967901</v>
      </c>
      <c r="P623" s="209">
        <v>9.4513226974871394</v>
      </c>
      <c r="Q623" s="223">
        <v>12.06324185135</v>
      </c>
      <c r="R623" s="209">
        <v>11.377158731320201</v>
      </c>
      <c r="S623" s="209">
        <v>11.169165787881401</v>
      </c>
      <c r="T623" s="209">
        <v>16.552741065989</v>
      </c>
      <c r="U623" s="209">
        <v>17.180113607027899</v>
      </c>
      <c r="V623" s="209">
        <v>18.149625020210401</v>
      </c>
      <c r="W623" s="209">
        <v>7.0028877435964301</v>
      </c>
      <c r="X623" s="202">
        <v>6.8854930314055904</v>
      </c>
      <c r="Y623" s="209">
        <v>7.9993962907606404</v>
      </c>
      <c r="Z623" s="209" t="s">
        <v>93</v>
      </c>
      <c r="AA623" s="209" t="s">
        <v>93</v>
      </c>
      <c r="AB623" s="209" t="s">
        <v>93</v>
      </c>
      <c r="AC623" s="209">
        <v>8.1803672770800606</v>
      </c>
      <c r="AD623" s="442">
        <v>6.8487443471567397</v>
      </c>
      <c r="AE623" s="210" t="s">
        <v>356</v>
      </c>
      <c r="AF623" s="213"/>
    </row>
    <row r="624" spans="2:32">
      <c r="B624" s="436" t="s">
        <v>357</v>
      </c>
      <c r="C624" s="209">
        <v>1.5254980847592801</v>
      </c>
      <c r="D624" s="209">
        <v>0.96397999622243602</v>
      </c>
      <c r="E624" s="209">
        <v>1.94975715090276</v>
      </c>
      <c r="F624" s="209">
        <v>0.144354582655426</v>
      </c>
      <c r="G624" s="209">
        <v>0.90557173340541697</v>
      </c>
      <c r="H624" s="209">
        <v>0.56381672441491604</v>
      </c>
      <c r="I624" s="209">
        <v>1.3874182031962501</v>
      </c>
      <c r="J624" s="209">
        <v>1.0120892943696</v>
      </c>
      <c r="K624" s="209">
        <v>1.68694970591138</v>
      </c>
      <c r="L624" s="202">
        <v>3.9895709945705802</v>
      </c>
      <c r="M624" s="209">
        <v>4.9356884719280201</v>
      </c>
      <c r="N624" s="209">
        <v>4.7882276015756302</v>
      </c>
      <c r="O624" s="209">
        <v>5.8538414142213098</v>
      </c>
      <c r="P624" s="209">
        <v>8.9323503429311906</v>
      </c>
      <c r="Q624" s="209">
        <v>7.06919791260328</v>
      </c>
      <c r="R624" s="209">
        <v>5.5237878754691598</v>
      </c>
      <c r="S624" s="209">
        <v>4.7436701289720098</v>
      </c>
      <c r="T624" s="209">
        <v>5.4539778830307402</v>
      </c>
      <c r="U624" s="209">
        <v>4.6763755609017901</v>
      </c>
      <c r="V624" s="209">
        <v>4.9123276414300703</v>
      </c>
      <c r="W624" s="209">
        <v>4.8080816893005096</v>
      </c>
      <c r="X624" s="202">
        <v>5.2397176378013297</v>
      </c>
      <c r="Y624" s="209">
        <v>4.9504640500950501</v>
      </c>
      <c r="Z624" s="209" t="s">
        <v>93</v>
      </c>
      <c r="AA624" s="209" t="s">
        <v>93</v>
      </c>
      <c r="AB624" s="209" t="s">
        <v>93</v>
      </c>
      <c r="AC624" s="209">
        <v>4</v>
      </c>
      <c r="AD624" s="202">
        <v>5</v>
      </c>
      <c r="AE624" s="210" t="s">
        <v>213</v>
      </c>
    </row>
    <row r="625" spans="2:32">
      <c r="B625" s="397">
        <v>44470</v>
      </c>
      <c r="C625" s="209"/>
      <c r="D625" s="209"/>
      <c r="E625" s="209"/>
      <c r="F625" s="209"/>
      <c r="G625" s="209"/>
      <c r="H625" s="209"/>
      <c r="I625" s="209"/>
      <c r="J625" s="209"/>
      <c r="K625" s="209"/>
      <c r="L625" s="202"/>
      <c r="M625" s="209"/>
      <c r="N625" s="223"/>
      <c r="O625" s="209"/>
      <c r="P625" s="209"/>
      <c r="Q625" s="209"/>
      <c r="R625" s="209"/>
      <c r="S625" s="209"/>
      <c r="T625" s="209"/>
      <c r="U625" s="209"/>
      <c r="V625" s="209"/>
      <c r="W625" s="209"/>
      <c r="X625" s="202"/>
      <c r="Y625" s="209"/>
      <c r="Z625" s="209"/>
      <c r="AA625" s="209"/>
      <c r="AB625" s="209"/>
      <c r="AC625" s="209"/>
      <c r="AD625" s="202"/>
      <c r="AE625" s="397">
        <v>44470</v>
      </c>
    </row>
    <row r="626" spans="2:32">
      <c r="B626" s="210" t="s">
        <v>187</v>
      </c>
      <c r="C626" s="209">
        <v>8.5437205114917205</v>
      </c>
      <c r="D626" s="209">
        <v>5.2423294851309397</v>
      </c>
      <c r="E626" s="209">
        <v>9.0622579485733699</v>
      </c>
      <c r="F626" s="209">
        <v>4.7493241568441302</v>
      </c>
      <c r="G626" s="209">
        <v>3.81207542857143</v>
      </c>
      <c r="H626" s="209">
        <v>5.0484957617993</v>
      </c>
      <c r="I626" s="209">
        <v>4.38819139426574</v>
      </c>
      <c r="J626" s="209">
        <v>8.7293073194602506</v>
      </c>
      <c r="K626" s="209">
        <v>8.5551849400222206</v>
      </c>
      <c r="L626" s="202">
        <v>9.2637482366050001</v>
      </c>
      <c r="M626" s="209">
        <v>14.271304132484101</v>
      </c>
      <c r="N626" s="209">
        <v>9.8264732089148801</v>
      </c>
      <c r="O626" s="209">
        <v>16.409533567041802</v>
      </c>
      <c r="P626" s="209">
        <v>10.9939724541555</v>
      </c>
      <c r="Q626" s="223">
        <v>12.101203382484</v>
      </c>
      <c r="R626" s="209">
        <v>11.4197908124143</v>
      </c>
      <c r="S626" s="209">
        <v>11.7564537891394</v>
      </c>
      <c r="T626" s="209">
        <v>16.5413600888755</v>
      </c>
      <c r="U626" s="209">
        <v>17.1792027533292</v>
      </c>
      <c r="V626" s="209">
        <v>18.144154452989898</v>
      </c>
      <c r="W626" s="209">
        <v>7.0559019418324898</v>
      </c>
      <c r="X626" s="202">
        <v>6.9138132136375203</v>
      </c>
      <c r="Y626" s="209">
        <v>7.8956405269699896</v>
      </c>
      <c r="Z626" s="209" t="s">
        <v>93</v>
      </c>
      <c r="AA626" s="209" t="s">
        <v>93</v>
      </c>
      <c r="AB626" s="209" t="s">
        <v>93</v>
      </c>
      <c r="AC626" s="209">
        <v>8.1606455742681892</v>
      </c>
      <c r="AD626" s="442">
        <v>6.9719511597116703</v>
      </c>
      <c r="AE626" s="210" t="s">
        <v>356</v>
      </c>
      <c r="AF626" s="213"/>
    </row>
    <row r="627" spans="2:32">
      <c r="B627" s="436" t="s">
        <v>357</v>
      </c>
      <c r="C627" s="209">
        <v>1.5714194254621101</v>
      </c>
      <c r="D627" s="209">
        <v>1.02461306236918</v>
      </c>
      <c r="E627" s="209">
        <v>1.94384990849927</v>
      </c>
      <c r="F627" s="209">
        <v>0.22408302551432299</v>
      </c>
      <c r="G627" s="209">
        <v>0.92283773574411498</v>
      </c>
      <c r="H627" s="209">
        <v>0.56368838076884697</v>
      </c>
      <c r="I627" s="209">
        <v>1.37372579209038</v>
      </c>
      <c r="J627" s="209">
        <v>1.01721680988842</v>
      </c>
      <c r="K627" s="209">
        <v>1.7872770340244599</v>
      </c>
      <c r="L627" s="202">
        <v>3.9662030544162201</v>
      </c>
      <c r="M627" s="209">
        <v>4.9759740954410301</v>
      </c>
      <c r="N627" s="209">
        <v>4.8463136391413002</v>
      </c>
      <c r="O627" s="209">
        <v>5.8040346659615896</v>
      </c>
      <c r="P627" s="209">
        <v>9.0083259357145593</v>
      </c>
      <c r="Q627" s="209">
        <v>7.5043525214276601</v>
      </c>
      <c r="R627" s="209">
        <v>5.5872608075242196</v>
      </c>
      <c r="S627" s="209">
        <v>5.1664474916923098</v>
      </c>
      <c r="T627" s="209">
        <v>5.2420532461717899</v>
      </c>
      <c r="U627" s="209">
        <v>4.9156999774142802</v>
      </c>
      <c r="V627" s="209">
        <v>4.9061319500002103</v>
      </c>
      <c r="W627" s="209">
        <v>4.8054473763864101</v>
      </c>
      <c r="X627" s="202">
        <v>5.2524687318394498</v>
      </c>
      <c r="Y627" s="209">
        <v>4.4591170046654698</v>
      </c>
      <c r="Z627" s="209" t="s">
        <v>93</v>
      </c>
      <c r="AA627" s="209">
        <v>1.75</v>
      </c>
      <c r="AB627" s="209" t="s">
        <v>93</v>
      </c>
      <c r="AC627" s="209">
        <v>4</v>
      </c>
      <c r="AD627" s="202">
        <v>5</v>
      </c>
      <c r="AE627" s="210" t="s">
        <v>213</v>
      </c>
    </row>
    <row r="628" spans="2:32">
      <c r="B628" s="397">
        <v>44501</v>
      </c>
      <c r="C628" s="209"/>
      <c r="D628" s="209"/>
      <c r="E628" s="209"/>
      <c r="F628" s="209"/>
      <c r="G628" s="209"/>
      <c r="H628" s="209"/>
      <c r="I628" s="209"/>
      <c r="J628" s="209"/>
      <c r="K628" s="209"/>
      <c r="L628" s="202"/>
      <c r="M628" s="209"/>
      <c r="N628" s="223"/>
      <c r="O628" s="209"/>
      <c r="P628" s="209"/>
      <c r="Q628" s="209"/>
      <c r="R628" s="209"/>
      <c r="S628" s="209"/>
      <c r="T628" s="209"/>
      <c r="U628" s="209"/>
      <c r="V628" s="209"/>
      <c r="W628" s="209"/>
      <c r="X628" s="202"/>
      <c r="Y628" s="209"/>
      <c r="Z628" s="209"/>
      <c r="AA628" s="209"/>
      <c r="AB628" s="209"/>
      <c r="AC628" s="209"/>
      <c r="AD628" s="202"/>
      <c r="AE628" s="397">
        <v>44501</v>
      </c>
    </row>
    <row r="629" spans="2:32">
      <c r="B629" s="210" t="s">
        <v>187</v>
      </c>
      <c r="C629" s="209">
        <v>8.5796923032208792</v>
      </c>
      <c r="D629" s="209">
        <v>5.3147952529390103</v>
      </c>
      <c r="E629" s="209">
        <v>9.0822036289567798</v>
      </c>
      <c r="F629" s="209">
        <v>6.9460972521804401</v>
      </c>
      <c r="G629" s="209">
        <v>8.9561580647200305</v>
      </c>
      <c r="H629" s="209">
        <v>5.1538591849851798</v>
      </c>
      <c r="I629" s="209">
        <v>4.7605060289958701</v>
      </c>
      <c r="J629" s="209">
        <v>8.70626767801296</v>
      </c>
      <c r="K629" s="209">
        <v>8.5383844060182401</v>
      </c>
      <c r="L629" s="202">
        <v>9.6620886835591797</v>
      </c>
      <c r="M629" s="209">
        <v>14.3321644542655</v>
      </c>
      <c r="N629" s="209">
        <v>9.8749027665936406</v>
      </c>
      <c r="O629" s="209">
        <v>16.451529946629499</v>
      </c>
      <c r="P629" s="209">
        <v>10.9898972535072</v>
      </c>
      <c r="Q629" s="223">
        <v>13.2437288938353</v>
      </c>
      <c r="R629" s="209">
        <v>11.472766797310801</v>
      </c>
      <c r="S629" s="209">
        <v>12.111474101229399</v>
      </c>
      <c r="T629" s="209">
        <v>16.320184403714201</v>
      </c>
      <c r="U629" s="209">
        <v>17.248138027624901</v>
      </c>
      <c r="V629" s="209">
        <v>18.105180151192702</v>
      </c>
      <c r="W629" s="209">
        <v>7.1628733698995601</v>
      </c>
      <c r="X629" s="202">
        <v>6.9076089241332301</v>
      </c>
      <c r="Y629" s="209">
        <v>7.8956405269699896</v>
      </c>
      <c r="Z629" s="209" t="s">
        <v>93</v>
      </c>
      <c r="AA629" s="209" t="s">
        <v>93</v>
      </c>
      <c r="AB629" s="209" t="s">
        <v>93</v>
      </c>
      <c r="AC629" s="209">
        <v>8.1606455742681892</v>
      </c>
      <c r="AD629" s="442">
        <v>6.9719511597116703</v>
      </c>
      <c r="AE629" s="210" t="s">
        <v>356</v>
      </c>
      <c r="AF629" s="213"/>
    </row>
    <row r="630" spans="2:32">
      <c r="B630" s="436" t="s">
        <v>357</v>
      </c>
      <c r="C630" s="209">
        <v>1.56316894237486</v>
      </c>
      <c r="D630" s="209">
        <v>1.0358664668778801</v>
      </c>
      <c r="E630" s="209">
        <v>1.92432790299495</v>
      </c>
      <c r="F630" s="209">
        <v>0.60138903433315805</v>
      </c>
      <c r="G630" s="209">
        <v>0.94186538691094601</v>
      </c>
      <c r="H630" s="209">
        <v>0.75138642329337801</v>
      </c>
      <c r="I630" s="209">
        <v>1.3700125034675401</v>
      </c>
      <c r="J630" s="209">
        <v>1.0376510392959399</v>
      </c>
      <c r="K630" s="209">
        <v>1.7656889929694299</v>
      </c>
      <c r="L630" s="202">
        <v>3.7931772946608202</v>
      </c>
      <c r="M630" s="209">
        <v>5.0534498537415002</v>
      </c>
      <c r="N630" s="209">
        <v>4.9051432553459096</v>
      </c>
      <c r="O630" s="209">
        <v>6.0712259140291902</v>
      </c>
      <c r="P630" s="209">
        <v>7.8770899934829703</v>
      </c>
      <c r="Q630" s="209">
        <v>7.4081495041952703</v>
      </c>
      <c r="R630" s="209">
        <v>7.0786164222783396</v>
      </c>
      <c r="S630" s="209">
        <v>5.5749806480007704</v>
      </c>
      <c r="T630" s="209">
        <v>4.8013668379562304</v>
      </c>
      <c r="U630" s="209">
        <v>5.0198167812888004</v>
      </c>
      <c r="V630" s="209">
        <v>4.9627735176734999</v>
      </c>
      <c r="W630" s="209">
        <v>5.0498286912128796</v>
      </c>
      <c r="X630" s="202">
        <v>5.1976909509440103</v>
      </c>
      <c r="Y630" s="209">
        <v>4.4589870922407204</v>
      </c>
      <c r="Z630" s="209" t="s">
        <v>93</v>
      </c>
      <c r="AA630" s="209">
        <v>1.75</v>
      </c>
      <c r="AB630" s="209" t="s">
        <v>93</v>
      </c>
      <c r="AC630" s="209">
        <v>4</v>
      </c>
      <c r="AD630" s="202">
        <v>5</v>
      </c>
      <c r="AE630" s="210" t="s">
        <v>213</v>
      </c>
    </row>
    <row r="631" spans="2:32">
      <c r="B631" s="397">
        <v>44531</v>
      </c>
      <c r="C631" s="209"/>
      <c r="D631" s="209"/>
      <c r="E631" s="209"/>
      <c r="F631" s="209"/>
      <c r="G631" s="209"/>
      <c r="H631" s="209"/>
      <c r="I631" s="209"/>
      <c r="J631" s="209"/>
      <c r="K631" s="209"/>
      <c r="L631" s="202"/>
      <c r="M631" s="209"/>
      <c r="N631" s="209"/>
      <c r="O631" s="209"/>
      <c r="P631" s="209"/>
      <c r="Q631" s="209"/>
      <c r="R631" s="209"/>
      <c r="S631" s="209"/>
      <c r="T631" s="209"/>
      <c r="U631" s="209"/>
      <c r="V631" s="209"/>
      <c r="W631" s="209"/>
      <c r="X631" s="202"/>
      <c r="Y631" s="209"/>
      <c r="Z631" s="209"/>
      <c r="AA631" s="209"/>
      <c r="AB631" s="209"/>
      <c r="AC631" s="209"/>
      <c r="AD631" s="202"/>
      <c r="AE631" s="397">
        <v>44531</v>
      </c>
    </row>
    <row r="632" spans="2:32">
      <c r="B632" s="436" t="s">
        <v>187</v>
      </c>
      <c r="C632" s="209">
        <v>8.5678685781588495</v>
      </c>
      <c r="D632" s="209">
        <v>5.3006864373290004</v>
      </c>
      <c r="E632" s="209">
        <v>9.0853432585860006</v>
      </c>
      <c r="F632" s="209">
        <v>6.28576043303649</v>
      </c>
      <c r="G632" s="209">
        <v>5.9320799582877397</v>
      </c>
      <c r="H632" s="209">
        <v>5.1530126798990699</v>
      </c>
      <c r="I632" s="209">
        <v>4.7452495324740998</v>
      </c>
      <c r="J632" s="209">
        <v>8.7796080150966205</v>
      </c>
      <c r="K632" s="209">
        <v>8.3910924372323201</v>
      </c>
      <c r="L632" s="202">
        <v>9.9285049866881199</v>
      </c>
      <c r="M632" s="209">
        <v>14.352115803765001</v>
      </c>
      <c r="N632" s="209">
        <v>9.8918428385847399</v>
      </c>
      <c r="O632" s="209">
        <v>16.5086595753802</v>
      </c>
      <c r="P632" s="209">
        <v>11.211869423392701</v>
      </c>
      <c r="Q632" s="209">
        <v>13.5392100866862</v>
      </c>
      <c r="R632" s="209">
        <v>11.5032143287388</v>
      </c>
      <c r="S632" s="209">
        <v>11.899535168327599</v>
      </c>
      <c r="T632" s="209">
        <v>16.3178626747168</v>
      </c>
      <c r="U632" s="209">
        <v>17.079585715782301</v>
      </c>
      <c r="V632" s="209">
        <v>18.168077016839799</v>
      </c>
      <c r="W632" s="209">
        <v>7.2233635004796204</v>
      </c>
      <c r="X632" s="202">
        <v>6.9751058765641503</v>
      </c>
      <c r="Y632" s="209">
        <v>7.7447342768665797</v>
      </c>
      <c r="Z632" s="209" t="s">
        <v>93</v>
      </c>
      <c r="AA632" s="209" t="s">
        <v>93</v>
      </c>
      <c r="AB632" s="209" t="s">
        <v>93</v>
      </c>
      <c r="AC632" s="209">
        <v>8.0027423629972692</v>
      </c>
      <c r="AD632" s="202">
        <v>6.9719511597116703</v>
      </c>
      <c r="AE632" s="210" t="s">
        <v>356</v>
      </c>
    </row>
    <row r="633" spans="2:32">
      <c r="B633" s="436" t="s">
        <v>357</v>
      </c>
      <c r="C633" s="209">
        <v>1.49248390141881</v>
      </c>
      <c r="D633" s="209">
        <v>0.99622831656321698</v>
      </c>
      <c r="E633" s="209">
        <v>1.8313182665969501</v>
      </c>
      <c r="F633" s="209">
        <v>2.1397282180262001</v>
      </c>
      <c r="G633" s="209">
        <v>1.04035725056891</v>
      </c>
      <c r="H633" s="209">
        <v>0.59294841618487704</v>
      </c>
      <c r="I633" s="209">
        <v>0.57247291989868598</v>
      </c>
      <c r="J633" s="209">
        <v>1.01664759040432</v>
      </c>
      <c r="K633" s="209">
        <v>1.6616530478818199</v>
      </c>
      <c r="L633" s="202">
        <v>3.7649125974577098</v>
      </c>
      <c r="M633" s="209">
        <v>5.0013540644799699</v>
      </c>
      <c r="N633" s="209">
        <v>4.8327960081826298</v>
      </c>
      <c r="O633" s="209">
        <v>6.2114360538357598</v>
      </c>
      <c r="P633" s="209">
        <v>7.6458048904834701</v>
      </c>
      <c r="Q633" s="209">
        <v>6.0760544614821299</v>
      </c>
      <c r="R633" s="209">
        <v>5.8919041082485801</v>
      </c>
      <c r="S633" s="209">
        <v>5.3069211711990496</v>
      </c>
      <c r="T633" s="209">
        <v>4.7421154444631703</v>
      </c>
      <c r="U633" s="209">
        <v>5.0153287294531603</v>
      </c>
      <c r="V633" s="209">
        <v>4.9771609455107502</v>
      </c>
      <c r="W633" s="209">
        <v>4.9645862392498303</v>
      </c>
      <c r="X633" s="202">
        <v>5.22618424913317</v>
      </c>
      <c r="Y633" s="209">
        <v>4.45967212495336</v>
      </c>
      <c r="Z633" s="209" t="s">
        <v>93</v>
      </c>
      <c r="AA633" s="209">
        <v>1.75</v>
      </c>
      <c r="AB633" s="209" t="s">
        <v>93</v>
      </c>
      <c r="AC633" s="209">
        <v>4</v>
      </c>
      <c r="AD633" s="202">
        <v>5</v>
      </c>
      <c r="AE633" s="210" t="s">
        <v>213</v>
      </c>
    </row>
    <row r="634" spans="2:32">
      <c r="B634" s="397">
        <v>44562</v>
      </c>
      <c r="C634" s="209"/>
      <c r="D634" s="209"/>
      <c r="E634" s="209"/>
      <c r="F634" s="209"/>
      <c r="G634" s="209"/>
      <c r="H634" s="209"/>
      <c r="I634" s="209"/>
      <c r="J634" s="209"/>
      <c r="K634" s="209"/>
      <c r="L634" s="202"/>
      <c r="M634" s="209"/>
      <c r="N634" s="223"/>
      <c r="O634" s="209"/>
      <c r="P634" s="209"/>
      <c r="Q634" s="209"/>
      <c r="R634" s="209"/>
      <c r="S634" s="209"/>
      <c r="T634" s="209"/>
      <c r="U634" s="209"/>
      <c r="V634" s="209"/>
      <c r="W634" s="209"/>
      <c r="X634" s="202"/>
      <c r="Y634" s="209"/>
      <c r="Z634" s="209"/>
      <c r="AA634" s="209"/>
      <c r="AB634" s="209"/>
      <c r="AC634" s="209"/>
      <c r="AD634" s="202"/>
      <c r="AE634" s="397">
        <v>44562</v>
      </c>
    </row>
    <row r="635" spans="2:32">
      <c r="B635" s="436" t="s">
        <v>187</v>
      </c>
      <c r="C635" s="209">
        <v>8.5893232726859292</v>
      </c>
      <c r="D635" s="209">
        <v>5.31907621153006</v>
      </c>
      <c r="E635" s="209">
        <v>9.1150738478398896</v>
      </c>
      <c r="F635" s="209">
        <v>5.2033768562735503</v>
      </c>
      <c r="G635" s="209">
        <v>4.2653700857328296</v>
      </c>
      <c r="H635" s="209">
        <v>4.6322023165759196</v>
      </c>
      <c r="I635" s="209">
        <v>6.4833258407157697</v>
      </c>
      <c r="J635" s="209">
        <v>8.8045856113221905</v>
      </c>
      <c r="K635" s="209">
        <v>8.4190308537893994</v>
      </c>
      <c r="L635" s="202">
        <v>10.1341638853362</v>
      </c>
      <c r="M635" s="209">
        <v>14.3310402994173</v>
      </c>
      <c r="N635" s="209">
        <v>9.9776442080344001</v>
      </c>
      <c r="O635" s="209">
        <v>16.437396817306201</v>
      </c>
      <c r="P635" s="209">
        <v>11.0467301202643</v>
      </c>
      <c r="Q635" s="223">
        <v>11.5804825189191</v>
      </c>
      <c r="R635" s="209">
        <v>11.666489262041001</v>
      </c>
      <c r="S635" s="209">
        <v>11.6988598043915</v>
      </c>
      <c r="T635" s="209">
        <v>16.373543851021601</v>
      </c>
      <c r="U635" s="209">
        <v>17.0676744899664</v>
      </c>
      <c r="V635" s="209">
        <v>18.102780757107102</v>
      </c>
      <c r="W635" s="209">
        <v>7.4764375542905404</v>
      </c>
      <c r="X635" s="202">
        <v>6.9649471355593899</v>
      </c>
      <c r="Y635" s="209">
        <v>8.4391980843331993</v>
      </c>
      <c r="Z635" s="209" t="s">
        <v>93</v>
      </c>
      <c r="AA635" s="209" t="s">
        <v>93</v>
      </c>
      <c r="AB635" s="209" t="s">
        <v>93</v>
      </c>
      <c r="AC635" s="209">
        <v>7.4918833177884503</v>
      </c>
      <c r="AD635" s="442">
        <v>9.30867815806468</v>
      </c>
      <c r="AE635" s="210" t="s">
        <v>356</v>
      </c>
      <c r="AF635" s="213"/>
    </row>
    <row r="636" spans="2:32">
      <c r="B636" s="436" t="s">
        <v>357</v>
      </c>
      <c r="C636" s="209">
        <v>1.48373358363344</v>
      </c>
      <c r="D636" s="209">
        <v>0.98994045930902796</v>
      </c>
      <c r="E636" s="209">
        <v>1.8144110323056599</v>
      </c>
      <c r="F636" s="209">
        <v>3.67247384116355</v>
      </c>
      <c r="G636" s="209">
        <v>1.0502745194374501</v>
      </c>
      <c r="H636" s="209">
        <v>0.444893858613992</v>
      </c>
      <c r="I636" s="209">
        <v>0.63382726599711203</v>
      </c>
      <c r="J636" s="209">
        <v>1.0389474718301199</v>
      </c>
      <c r="K636" s="209">
        <v>1.6407372898600801</v>
      </c>
      <c r="L636" s="202">
        <v>3.6741304930910301</v>
      </c>
      <c r="M636" s="209">
        <v>4.8006556076737601</v>
      </c>
      <c r="N636" s="209">
        <v>4.7113708624274597</v>
      </c>
      <c r="O636" s="209">
        <v>5.4539096501419797</v>
      </c>
      <c r="P636" s="209">
        <v>6.3436633327141001</v>
      </c>
      <c r="Q636" s="209">
        <v>5.5013674618503998</v>
      </c>
      <c r="R636" s="209">
        <v>5.3051706338567604</v>
      </c>
      <c r="S636" s="209">
        <v>5.2760646812051402</v>
      </c>
      <c r="T636" s="209">
        <v>4.6007785350649302</v>
      </c>
      <c r="U636" s="209">
        <v>4.7508606410655796</v>
      </c>
      <c r="V636" s="209">
        <v>4.8071397602293802</v>
      </c>
      <c r="W636" s="209">
        <v>4.7689175838842202</v>
      </c>
      <c r="X636" s="202">
        <v>5.2136250596724096</v>
      </c>
      <c r="Y636" s="209">
        <v>4.49705882352941</v>
      </c>
      <c r="Z636" s="209" t="s">
        <v>93</v>
      </c>
      <c r="AA636" s="209">
        <v>1.85</v>
      </c>
      <c r="AB636" s="209" t="s">
        <v>93</v>
      </c>
      <c r="AC636" s="209" t="s">
        <v>93</v>
      </c>
      <c r="AD636" s="202">
        <v>5</v>
      </c>
      <c r="AE636" s="210" t="s">
        <v>213</v>
      </c>
    </row>
    <row r="637" spans="2:32">
      <c r="B637" s="397">
        <v>44593</v>
      </c>
      <c r="C637" s="209"/>
      <c r="D637" s="209"/>
      <c r="E637" s="209"/>
      <c r="F637" s="209"/>
      <c r="G637" s="209"/>
      <c r="H637" s="209"/>
      <c r="I637" s="209"/>
      <c r="J637" s="209"/>
      <c r="K637" s="209"/>
      <c r="L637" s="202"/>
      <c r="M637" s="209"/>
      <c r="N637" s="209"/>
      <c r="O637" s="209"/>
      <c r="P637" s="209"/>
      <c r="Q637" s="209"/>
      <c r="R637" s="209"/>
      <c r="S637" s="209"/>
      <c r="T637" s="209"/>
      <c r="U637" s="209"/>
      <c r="V637" s="209"/>
      <c r="W637" s="209"/>
      <c r="X637" s="202"/>
      <c r="Y637" s="209"/>
      <c r="Z637" s="209"/>
      <c r="AA637" s="209"/>
      <c r="AB637" s="209"/>
      <c r="AC637" s="209"/>
      <c r="AD637" s="202"/>
      <c r="AE637" s="397">
        <v>44593</v>
      </c>
    </row>
    <row r="638" spans="2:32">
      <c r="B638" s="436" t="s">
        <v>187</v>
      </c>
      <c r="C638" s="209">
        <v>8.6211350531620106</v>
      </c>
      <c r="D638" s="209">
        <v>5.4251661885873101</v>
      </c>
      <c r="E638" s="209">
        <v>9.1183048055635592</v>
      </c>
      <c r="F638" s="209">
        <v>5.0228262359456899</v>
      </c>
      <c r="G638" s="209">
        <v>3.7460910353340502</v>
      </c>
      <c r="H638" s="209">
        <v>5.6388589843835604</v>
      </c>
      <c r="I638" s="209">
        <v>6.3403809123958697</v>
      </c>
      <c r="J638" s="209">
        <v>8.7850794510076593</v>
      </c>
      <c r="K638" s="209">
        <v>8.38469688285854</v>
      </c>
      <c r="L638" s="202">
        <v>10.531945800602999</v>
      </c>
      <c r="M638" s="209">
        <v>14.382187028067801</v>
      </c>
      <c r="N638" s="209">
        <v>10.047619206853099</v>
      </c>
      <c r="O638" s="209">
        <v>16.4257591188654</v>
      </c>
      <c r="P638" s="209">
        <v>10.918628479682701</v>
      </c>
      <c r="Q638" s="209">
        <v>13.3144207355069</v>
      </c>
      <c r="R638" s="209">
        <v>11.6676264190918</v>
      </c>
      <c r="S638" s="209">
        <v>11.895365421059401</v>
      </c>
      <c r="T638" s="209">
        <v>16.2801536911184</v>
      </c>
      <c r="U638" s="209">
        <v>17.0558390123173</v>
      </c>
      <c r="V638" s="209">
        <v>18.122632728630101</v>
      </c>
      <c r="W638" s="209">
        <v>7.5861105893973404</v>
      </c>
      <c r="X638" s="202">
        <v>6.9607394059763497</v>
      </c>
      <c r="Y638" s="209">
        <v>8.4391980843331993</v>
      </c>
      <c r="Z638" s="209" t="s">
        <v>93</v>
      </c>
      <c r="AA638" s="209" t="s">
        <v>93</v>
      </c>
      <c r="AB638" s="209" t="s">
        <v>93</v>
      </c>
      <c r="AC638" s="209">
        <v>7.4918833177884503</v>
      </c>
      <c r="AD638" s="202">
        <v>9.30867815806468</v>
      </c>
      <c r="AE638" s="210" t="s">
        <v>356</v>
      </c>
    </row>
    <row r="639" spans="2:32">
      <c r="B639" s="436" t="s">
        <v>357</v>
      </c>
      <c r="C639" s="209">
        <v>1.4761078312809901</v>
      </c>
      <c r="D639" s="209">
        <v>0.99133837896383104</v>
      </c>
      <c r="E639" s="209">
        <v>1.7948221364291701</v>
      </c>
      <c r="F639" s="209">
        <v>5.0451770158654696</v>
      </c>
      <c r="G639" s="209">
        <v>0.95270407399947299</v>
      </c>
      <c r="H639" s="209">
        <v>0.49021084348219202</v>
      </c>
      <c r="I639" s="209">
        <v>0.70582620642558802</v>
      </c>
      <c r="J639" s="209">
        <v>1.0363665787121401</v>
      </c>
      <c r="K639" s="209">
        <v>1.6390827298269399</v>
      </c>
      <c r="L639" s="202">
        <v>3.4875370484350299</v>
      </c>
      <c r="M639" s="209">
        <v>4.79901150341676</v>
      </c>
      <c r="N639" s="209">
        <v>4.7138502380871303</v>
      </c>
      <c r="O639" s="209">
        <v>5.4371068206894098</v>
      </c>
      <c r="P639" s="209">
        <v>8.0561850047092207</v>
      </c>
      <c r="Q639" s="209">
        <v>6.0792673024048796</v>
      </c>
      <c r="R639" s="209">
        <v>5.1611722126457797</v>
      </c>
      <c r="S639" s="209">
        <v>5.3182980704059499</v>
      </c>
      <c r="T639" s="209">
        <v>4.5528631520827396</v>
      </c>
      <c r="U639" s="209">
        <v>4.7416344335959302</v>
      </c>
      <c r="V639" s="209">
        <v>4.79529289078756</v>
      </c>
      <c r="W639" s="209">
        <v>4.7616531205578401</v>
      </c>
      <c r="X639" s="202">
        <v>5.1985772842887901</v>
      </c>
      <c r="Y639" s="209">
        <v>4.2869747899159698</v>
      </c>
      <c r="Z639" s="209" t="s">
        <v>93</v>
      </c>
      <c r="AA639" s="209">
        <v>1.85</v>
      </c>
      <c r="AB639" s="209" t="s">
        <v>93</v>
      </c>
      <c r="AC639" s="209" t="s">
        <v>93</v>
      </c>
      <c r="AD639" s="202">
        <v>4.75</v>
      </c>
      <c r="AE639" s="210" t="s">
        <v>213</v>
      </c>
    </row>
    <row r="640" spans="2:32">
      <c r="B640" s="397">
        <v>44621</v>
      </c>
      <c r="C640" s="209"/>
      <c r="D640" s="209"/>
      <c r="E640" s="209"/>
      <c r="F640" s="209"/>
      <c r="G640" s="209"/>
      <c r="H640" s="209"/>
      <c r="I640" s="209"/>
      <c r="J640" s="209"/>
      <c r="K640" s="209"/>
      <c r="L640" s="202"/>
      <c r="M640" s="209"/>
      <c r="N640" s="209"/>
      <c r="O640" s="209"/>
      <c r="P640" s="209"/>
      <c r="Q640" s="209"/>
      <c r="R640" s="209"/>
      <c r="S640" s="209"/>
      <c r="T640" s="209"/>
      <c r="U640" s="209"/>
      <c r="V640" s="209"/>
      <c r="W640" s="209"/>
      <c r="X640" s="202"/>
      <c r="Y640" s="209"/>
      <c r="Z640" s="209"/>
      <c r="AA640" s="209"/>
      <c r="AB640" s="209"/>
      <c r="AC640" s="209"/>
      <c r="AD640" s="202"/>
      <c r="AE640" s="397">
        <v>44621</v>
      </c>
    </row>
    <row r="641" spans="2:32">
      <c r="B641" s="436" t="s">
        <v>187</v>
      </c>
      <c r="C641" s="209">
        <v>8.6486856661334794</v>
      </c>
      <c r="D641" s="209">
        <v>5.4698052322823001</v>
      </c>
      <c r="E641" s="209">
        <v>9.1274990307266997</v>
      </c>
      <c r="F641" s="209">
        <v>5.0094588296783504</v>
      </c>
      <c r="G641" s="209">
        <v>4.0563350649350598</v>
      </c>
      <c r="H641" s="209">
        <v>5.81900949708273</v>
      </c>
      <c r="I641" s="209">
        <v>5.98162084867948</v>
      </c>
      <c r="J641" s="209">
        <v>8.8555758200616204</v>
      </c>
      <c r="K641" s="209">
        <v>8.3710607989096495</v>
      </c>
      <c r="L641" s="202">
        <v>10.5076994636814</v>
      </c>
      <c r="M641" s="209">
        <v>14.305857719264299</v>
      </c>
      <c r="N641" s="209">
        <v>10.0809905654903</v>
      </c>
      <c r="O641" s="209">
        <v>16.343960341089801</v>
      </c>
      <c r="P641" s="209">
        <v>10.9519323907738</v>
      </c>
      <c r="Q641" s="209">
        <v>11.4633586134594</v>
      </c>
      <c r="R641" s="209">
        <v>11.4478898148963</v>
      </c>
      <c r="S641" s="209">
        <v>12.1427051487155</v>
      </c>
      <c r="T641" s="209">
        <v>16.101660739685801</v>
      </c>
      <c r="U641" s="209">
        <v>16.964600482896302</v>
      </c>
      <c r="V641" s="209">
        <v>17.9750157358622</v>
      </c>
      <c r="W641" s="209">
        <v>7.6160291145444301</v>
      </c>
      <c r="X641" s="202">
        <v>6.9384660364501203</v>
      </c>
      <c r="Y641" s="209">
        <v>8.3060926740554297</v>
      </c>
      <c r="Z641" s="209" t="s">
        <v>93</v>
      </c>
      <c r="AA641" s="209" t="s">
        <v>93</v>
      </c>
      <c r="AB641" s="209" t="s">
        <v>93</v>
      </c>
      <c r="AC641" s="209">
        <v>7.3589897060732801</v>
      </c>
      <c r="AD641" s="202">
        <v>9.30867815806468</v>
      </c>
      <c r="AE641" s="210" t="s">
        <v>356</v>
      </c>
    </row>
    <row r="642" spans="2:32">
      <c r="B642" s="436" t="s">
        <v>357</v>
      </c>
      <c r="C642" s="209">
        <v>1.4660195075040301</v>
      </c>
      <c r="D642" s="209">
        <v>0.99322551460534403</v>
      </c>
      <c r="E642" s="209">
        <v>1.7797722608727</v>
      </c>
      <c r="F642" s="209">
        <v>4.5340125219451304</v>
      </c>
      <c r="G642" s="209">
        <v>1.0587462549539901</v>
      </c>
      <c r="H642" s="209">
        <v>0.49040669326434499</v>
      </c>
      <c r="I642" s="209">
        <v>0.65910037164052804</v>
      </c>
      <c r="J642" s="209">
        <v>1.0478138232982299</v>
      </c>
      <c r="K642" s="209">
        <v>1.6021511531264101</v>
      </c>
      <c r="L642" s="202">
        <v>3.6646334007071002</v>
      </c>
      <c r="M642" s="209">
        <v>4.7807085127099</v>
      </c>
      <c r="N642" s="209">
        <v>4.7020341082574397</v>
      </c>
      <c r="O642" s="209">
        <v>5.37222524367853</v>
      </c>
      <c r="P642" s="209">
        <v>8.1013265718663003</v>
      </c>
      <c r="Q642" s="209">
        <v>5.0566188368040397</v>
      </c>
      <c r="R642" s="209">
        <v>4.8774625662545503</v>
      </c>
      <c r="S642" s="209">
        <v>5.2668571243472204</v>
      </c>
      <c r="T642" s="209">
        <v>4.6087963497125699</v>
      </c>
      <c r="U642" s="209">
        <v>4.7085365667282604</v>
      </c>
      <c r="V642" s="209">
        <v>4.7879284810601002</v>
      </c>
      <c r="W642" s="209">
        <v>4.7530806265123404</v>
      </c>
      <c r="X642" s="202">
        <v>5.19366646478265</v>
      </c>
      <c r="Y642" s="209">
        <v>4.2841390179082701</v>
      </c>
      <c r="Z642" s="209" t="s">
        <v>93</v>
      </c>
      <c r="AA642" s="209">
        <v>1.85</v>
      </c>
      <c r="AB642" s="209" t="s">
        <v>93</v>
      </c>
      <c r="AC642" s="209">
        <v>4</v>
      </c>
      <c r="AD642" s="202">
        <v>4.75</v>
      </c>
      <c r="AE642" s="210" t="s">
        <v>213</v>
      </c>
    </row>
    <row r="643" spans="2:32">
      <c r="B643" s="397">
        <v>44652</v>
      </c>
      <c r="C643" s="209"/>
      <c r="D643" s="209"/>
      <c r="E643" s="209"/>
      <c r="F643" s="209"/>
      <c r="G643" s="209"/>
      <c r="H643" s="209"/>
      <c r="I643" s="209"/>
      <c r="J643" s="209"/>
      <c r="K643" s="209"/>
      <c r="L643" s="202"/>
      <c r="M643" s="209"/>
      <c r="N643" s="209"/>
      <c r="O643" s="209"/>
      <c r="P643" s="209"/>
      <c r="Q643" s="209"/>
      <c r="R643" s="209"/>
      <c r="S643" s="209"/>
      <c r="T643" s="209"/>
      <c r="U643" s="209"/>
      <c r="V643" s="209"/>
      <c r="W643" s="209"/>
      <c r="X643" s="202"/>
      <c r="Y643" s="209"/>
      <c r="Z643" s="209"/>
      <c r="AA643" s="209"/>
      <c r="AB643" s="209"/>
      <c r="AC643" s="209"/>
      <c r="AD643" s="202"/>
      <c r="AE643" s="397">
        <v>44652</v>
      </c>
    </row>
    <row r="644" spans="2:32">
      <c r="B644" s="436" t="s">
        <v>187</v>
      </c>
      <c r="C644" s="209">
        <v>8.7305520484873007</v>
      </c>
      <c r="D644" s="209">
        <v>5.65349734447594</v>
      </c>
      <c r="E644" s="209">
        <v>9.1677763806918406</v>
      </c>
      <c r="F644" s="209">
        <v>5.7400872723896601</v>
      </c>
      <c r="G644" s="209">
        <v>5.0647883216357403</v>
      </c>
      <c r="H644" s="209">
        <v>5.8450938053232999</v>
      </c>
      <c r="I644" s="209">
        <v>6.58457400176533</v>
      </c>
      <c r="J644" s="209">
        <v>8.8980079375865699</v>
      </c>
      <c r="K644" s="209">
        <v>8.5045453554138799</v>
      </c>
      <c r="L644" s="202">
        <v>10.4916242034645</v>
      </c>
      <c r="M644" s="209">
        <v>14.2774216015181</v>
      </c>
      <c r="N644" s="209">
        <v>10.1015936761764</v>
      </c>
      <c r="O644" s="209">
        <v>16.291645831181501</v>
      </c>
      <c r="P644" s="209">
        <v>10.5352800393023</v>
      </c>
      <c r="Q644" s="209">
        <v>11.353060721102899</v>
      </c>
      <c r="R644" s="209">
        <v>11.5111666774615</v>
      </c>
      <c r="S644" s="209">
        <v>12.119347159932101</v>
      </c>
      <c r="T644" s="209">
        <v>16.0106442984073</v>
      </c>
      <c r="U644" s="209">
        <v>16.9109851269085</v>
      </c>
      <c r="V644" s="209">
        <v>17.9240665119166</v>
      </c>
      <c r="W644" s="209">
        <v>7.6570198279476598</v>
      </c>
      <c r="X644" s="202">
        <v>6.9123115204927803</v>
      </c>
      <c r="Y644" s="209">
        <v>8.3060926740554297</v>
      </c>
      <c r="Z644" s="209" t="s">
        <v>93</v>
      </c>
      <c r="AA644" s="209" t="s">
        <v>93</v>
      </c>
      <c r="AB644" s="209" t="s">
        <v>93</v>
      </c>
      <c r="AC644" s="209">
        <v>7.3589897060732801</v>
      </c>
      <c r="AD644" s="202">
        <v>9.30867815806468</v>
      </c>
      <c r="AE644" s="210" t="s">
        <v>356</v>
      </c>
    </row>
    <row r="645" spans="2:32">
      <c r="B645" s="436" t="s">
        <v>357</v>
      </c>
      <c r="C645" s="209">
        <v>1.4520519725412699</v>
      </c>
      <c r="D645" s="209">
        <v>0.97018893360459801</v>
      </c>
      <c r="E645" s="209">
        <v>1.75348371979388</v>
      </c>
      <c r="F645" s="209">
        <v>4.32177759066031</v>
      </c>
      <c r="G645" s="209">
        <v>0.94006797999062497</v>
      </c>
      <c r="H645" s="209">
        <v>0.44844084888788199</v>
      </c>
      <c r="I645" s="209">
        <v>0.66913483970731003</v>
      </c>
      <c r="J645" s="209">
        <v>1.0096549892773501</v>
      </c>
      <c r="K645" s="209">
        <v>1.60763882003166</v>
      </c>
      <c r="L645" s="202">
        <v>3.6706978061350402</v>
      </c>
      <c r="M645" s="209">
        <v>4.7562016386869699</v>
      </c>
      <c r="N645" s="209">
        <v>4.6865988615353098</v>
      </c>
      <c r="O645" s="209">
        <v>5.2313451325033</v>
      </c>
      <c r="P645" s="209">
        <v>8.1352782256071396</v>
      </c>
      <c r="Q645" s="209">
        <v>4.9124310126347597</v>
      </c>
      <c r="R645" s="209">
        <v>4.87683852315834</v>
      </c>
      <c r="S645" s="209">
        <v>5.2054393214836798</v>
      </c>
      <c r="T645" s="209">
        <v>4.6228926284989003</v>
      </c>
      <c r="U645" s="209">
        <v>4.6624687912756002</v>
      </c>
      <c r="V645" s="209">
        <v>4.7565333238863596</v>
      </c>
      <c r="W645" s="209">
        <v>4.7398841784824102</v>
      </c>
      <c r="X645" s="202">
        <v>5.2094985892816696</v>
      </c>
      <c r="Y645" s="209">
        <v>2.8252222788258798</v>
      </c>
      <c r="Z645" s="209">
        <v>0.5</v>
      </c>
      <c r="AA645" s="209">
        <v>1.28018582104625</v>
      </c>
      <c r="AB645" s="209" t="s">
        <v>93</v>
      </c>
      <c r="AC645" s="209">
        <v>4</v>
      </c>
      <c r="AD645" s="202">
        <v>4.75</v>
      </c>
      <c r="AE645" s="210" t="s">
        <v>213</v>
      </c>
    </row>
    <row r="646" spans="2:32">
      <c r="B646" s="397">
        <v>44682</v>
      </c>
      <c r="C646" s="209"/>
      <c r="D646" s="209"/>
      <c r="E646" s="209"/>
      <c r="F646" s="209"/>
      <c r="G646" s="209"/>
      <c r="H646" s="209"/>
      <c r="I646" s="209"/>
      <c r="J646" s="209"/>
      <c r="K646" s="209"/>
      <c r="L646" s="202"/>
      <c r="M646" s="209"/>
      <c r="N646" s="223"/>
      <c r="O646" s="209"/>
      <c r="P646" s="209"/>
      <c r="Q646" s="209"/>
      <c r="R646" s="209"/>
      <c r="S646" s="209"/>
      <c r="T646" s="209"/>
      <c r="U646" s="209"/>
      <c r="V646" s="209"/>
      <c r="W646" s="209"/>
      <c r="X646" s="202"/>
      <c r="Y646" s="209"/>
      <c r="Z646" s="209"/>
      <c r="AA646" s="209"/>
      <c r="AB646" s="209"/>
      <c r="AC646" s="209"/>
      <c r="AD646" s="202"/>
      <c r="AE646" s="397">
        <v>44682</v>
      </c>
    </row>
    <row r="647" spans="2:32">
      <c r="B647" s="436" t="s">
        <v>187</v>
      </c>
      <c r="C647" s="209">
        <v>8.7212718412205099</v>
      </c>
      <c r="D647" s="209">
        <v>5.6622528009373703</v>
      </c>
      <c r="E647" s="209">
        <v>9.1342740900264108</v>
      </c>
      <c r="F647" s="209">
        <v>6.7413822389070104</v>
      </c>
      <c r="G647" s="209">
        <v>4.6616830633284199</v>
      </c>
      <c r="H647" s="209">
        <v>4.4699825063642002</v>
      </c>
      <c r="I647" s="209">
        <v>6.6554159496389103</v>
      </c>
      <c r="J647" s="209">
        <v>9.0302013078209793</v>
      </c>
      <c r="K647" s="209">
        <v>8.4454325056301691</v>
      </c>
      <c r="L647" s="202">
        <v>10.4152455600822</v>
      </c>
      <c r="M647" s="209">
        <v>14.2377509306829</v>
      </c>
      <c r="N647" s="209">
        <v>10.107180807781299</v>
      </c>
      <c r="O647" s="209">
        <v>16.221214605832799</v>
      </c>
      <c r="P647" s="209">
        <v>11.2058788980556</v>
      </c>
      <c r="Q647" s="223">
        <v>10.972178973795801</v>
      </c>
      <c r="R647" s="209">
        <v>11.414448050536199</v>
      </c>
      <c r="S647" s="209">
        <v>12.092398925145</v>
      </c>
      <c r="T647" s="209">
        <v>15.255640616400999</v>
      </c>
      <c r="U647" s="209">
        <v>16.965384314312601</v>
      </c>
      <c r="V647" s="209">
        <v>17.852582379402499</v>
      </c>
      <c r="W647" s="209">
        <v>7.7130471568491297</v>
      </c>
      <c r="X647" s="202">
        <v>6.9280039542685996</v>
      </c>
      <c r="Y647" s="209">
        <v>8.2767907525252902</v>
      </c>
      <c r="Z647" s="209" t="s">
        <v>93</v>
      </c>
      <c r="AA647" s="209" t="s">
        <v>93</v>
      </c>
      <c r="AB647" s="209" t="s">
        <v>93</v>
      </c>
      <c r="AC647" s="209">
        <v>7.2175042877127504</v>
      </c>
      <c r="AD647" s="442">
        <v>9.30867815806468</v>
      </c>
      <c r="AE647" s="210" t="s">
        <v>356</v>
      </c>
      <c r="AF647" s="213"/>
    </row>
    <row r="648" spans="2:32">
      <c r="B648" s="436" t="s">
        <v>357</v>
      </c>
      <c r="C648" s="209">
        <v>1.4275776099350801</v>
      </c>
      <c r="D648" s="209">
        <v>0.996519314348148</v>
      </c>
      <c r="E648" s="209">
        <v>1.68897881332377</v>
      </c>
      <c r="F648" s="209">
        <v>4.4134467989541104</v>
      </c>
      <c r="G648" s="209">
        <v>0.84248272397353197</v>
      </c>
      <c r="H648" s="209">
        <v>0.46295651438817897</v>
      </c>
      <c r="I648" s="209">
        <v>0.43429772282183599</v>
      </c>
      <c r="J648" s="209">
        <v>0.99981678139421104</v>
      </c>
      <c r="K648" s="209">
        <v>1.5598445457903001</v>
      </c>
      <c r="L648" s="202">
        <v>3.6980399311257099</v>
      </c>
      <c r="M648" s="209">
        <v>4.7500716534101697</v>
      </c>
      <c r="N648" s="209">
        <v>4.6769419818690601</v>
      </c>
      <c r="O648" s="209">
        <v>5.3178428384465501</v>
      </c>
      <c r="P648" s="209">
        <v>7.9454155798438402</v>
      </c>
      <c r="Q648" s="209">
        <v>4.97057515089225</v>
      </c>
      <c r="R648" s="209">
        <v>5.0210586610907599</v>
      </c>
      <c r="S648" s="209">
        <v>4.2505758095672599</v>
      </c>
      <c r="T648" s="209">
        <v>4.6314035617615597</v>
      </c>
      <c r="U648" s="209">
        <v>4.6697973993653497</v>
      </c>
      <c r="V648" s="209">
        <v>4.7796225572394899</v>
      </c>
      <c r="W648" s="209">
        <v>4.7143686696342604</v>
      </c>
      <c r="X648" s="202">
        <v>5.2673328428975301</v>
      </c>
      <c r="Y648" s="209">
        <v>3.14169942623055</v>
      </c>
      <c r="Z648" s="209" t="s">
        <v>93</v>
      </c>
      <c r="AA648" s="209">
        <v>1.2930662948409199</v>
      </c>
      <c r="AB648" s="209" t="s">
        <v>93</v>
      </c>
      <c r="AC648" s="209">
        <v>4</v>
      </c>
      <c r="AD648" s="202">
        <v>3.9375</v>
      </c>
      <c r="AE648" s="210" t="s">
        <v>213</v>
      </c>
    </row>
    <row r="649" spans="2:32">
      <c r="B649" s="397">
        <v>44713</v>
      </c>
      <c r="C649" s="209"/>
      <c r="D649" s="209"/>
      <c r="E649" s="209"/>
      <c r="F649" s="209"/>
      <c r="G649" s="209"/>
      <c r="H649" s="209"/>
      <c r="I649" s="209"/>
      <c r="J649" s="209"/>
      <c r="K649" s="209"/>
      <c r="L649" s="202"/>
      <c r="M649" s="209"/>
      <c r="N649" s="209"/>
      <c r="O649" s="209"/>
      <c r="P649" s="209"/>
      <c r="Q649" s="209"/>
      <c r="R649" s="209"/>
      <c r="S649" s="209"/>
      <c r="T649" s="209"/>
      <c r="U649" s="209"/>
      <c r="V649" s="209"/>
      <c r="W649" s="209"/>
      <c r="X649" s="202"/>
      <c r="Y649" s="209"/>
      <c r="Z649" s="209"/>
      <c r="AA649" s="209"/>
      <c r="AB649" s="209"/>
      <c r="AC649" s="209"/>
      <c r="AD649" s="202"/>
      <c r="AE649" s="397">
        <v>44713</v>
      </c>
    </row>
    <row r="650" spans="2:32">
      <c r="B650" s="436" t="s">
        <v>187</v>
      </c>
      <c r="C650" s="209">
        <v>8.7200656052578598</v>
      </c>
      <c r="D650" s="209">
        <v>5.6755645513418402</v>
      </c>
      <c r="E650" s="209">
        <v>9.1363305415739209</v>
      </c>
      <c r="F650" s="209">
        <v>3.1062774417562702</v>
      </c>
      <c r="G650" s="209">
        <v>5.1071923640073003</v>
      </c>
      <c r="H650" s="209">
        <v>4.44163694770024</v>
      </c>
      <c r="I650" s="209">
        <v>6.85067292996494</v>
      </c>
      <c r="J650" s="209">
        <v>9.0764698924794907</v>
      </c>
      <c r="K650" s="209">
        <v>8.4107388252640494</v>
      </c>
      <c r="L650" s="202">
        <v>10.296551942945401</v>
      </c>
      <c r="M650" s="209">
        <v>14.260917119873</v>
      </c>
      <c r="N650" s="209">
        <v>10.196000714026599</v>
      </c>
      <c r="O650" s="209">
        <v>16.1728011235503</v>
      </c>
      <c r="P650" s="209">
        <v>11.006370042288699</v>
      </c>
      <c r="Q650" s="209">
        <v>11.5097886131409</v>
      </c>
      <c r="R650" s="209">
        <v>11.2174483631853</v>
      </c>
      <c r="S650" s="209">
        <v>12.1036870203238</v>
      </c>
      <c r="T650" s="209">
        <v>15.466266561699101</v>
      </c>
      <c r="U650" s="209">
        <v>16.873585755836899</v>
      </c>
      <c r="V650" s="209">
        <v>17.828976991383399</v>
      </c>
      <c r="W650" s="209">
        <v>7.7952871774319803</v>
      </c>
      <c r="X650" s="202">
        <v>6.9316370101092799</v>
      </c>
      <c r="Y650" s="209">
        <v>8.2839353437632006</v>
      </c>
      <c r="Z650" s="209" t="s">
        <v>93</v>
      </c>
      <c r="AA650" s="209" t="s">
        <v>93</v>
      </c>
      <c r="AB650" s="209" t="s">
        <v>93</v>
      </c>
      <c r="AC650" s="209">
        <v>7.1754579095088902</v>
      </c>
      <c r="AD650" s="202">
        <v>9.30867815806468</v>
      </c>
      <c r="AE650" s="210" t="s">
        <v>356</v>
      </c>
    </row>
    <row r="651" spans="2:32">
      <c r="B651" s="436" t="s">
        <v>357</v>
      </c>
      <c r="C651" s="209">
        <v>1.4327143698809599</v>
      </c>
      <c r="D651" s="209">
        <v>1.02086261782002</v>
      </c>
      <c r="E651" s="209">
        <v>1.6767147727208001</v>
      </c>
      <c r="F651" s="209">
        <v>2.8770345221928402</v>
      </c>
      <c r="G651" s="209">
        <v>0.19900245872848599</v>
      </c>
      <c r="H651" s="209">
        <v>0.44095598572484801</v>
      </c>
      <c r="I651" s="209">
        <v>0.44670605197699098</v>
      </c>
      <c r="J651" s="209">
        <v>1.00369101612707</v>
      </c>
      <c r="K651" s="209">
        <v>1.56914508967818</v>
      </c>
      <c r="L651" s="202">
        <v>3.65582023193193</v>
      </c>
      <c r="M651" s="209">
        <v>4.7238668263829604</v>
      </c>
      <c r="N651" s="209">
        <v>4.6522379746111602</v>
      </c>
      <c r="O651" s="209">
        <v>5.2763936356370698</v>
      </c>
      <c r="P651" s="209">
        <v>8.1025857088108495</v>
      </c>
      <c r="Q651" s="209">
        <v>4.9187579198867803</v>
      </c>
      <c r="R651" s="209">
        <v>5.0035944325487698</v>
      </c>
      <c r="S651" s="209">
        <v>4.0079120592377304</v>
      </c>
      <c r="T651" s="209">
        <v>4.5591756527246901</v>
      </c>
      <c r="U651" s="209">
        <v>4.6163411394304896</v>
      </c>
      <c r="V651" s="209">
        <v>4.7775707223817898</v>
      </c>
      <c r="W651" s="209">
        <v>4.73256451133315</v>
      </c>
      <c r="X651" s="202">
        <v>5.2703745854543902</v>
      </c>
      <c r="Y651" s="209">
        <v>3.13152071539248</v>
      </c>
      <c r="Z651" s="209" t="s">
        <v>93</v>
      </c>
      <c r="AA651" s="209">
        <v>1.2884351478354901</v>
      </c>
      <c r="AB651" s="209" t="s">
        <v>93</v>
      </c>
      <c r="AC651" s="209">
        <v>4</v>
      </c>
      <c r="AD651" s="202">
        <v>3.9375</v>
      </c>
      <c r="AE651" s="210" t="s">
        <v>213</v>
      </c>
    </row>
    <row r="652" spans="2:32">
      <c r="B652" s="397">
        <v>44743</v>
      </c>
      <c r="C652" s="209"/>
      <c r="D652" s="209"/>
      <c r="E652" s="209"/>
      <c r="F652" s="209"/>
      <c r="G652" s="209"/>
      <c r="H652" s="209"/>
      <c r="I652" s="209"/>
      <c r="J652" s="209"/>
      <c r="K652" s="209"/>
      <c r="L652" s="202"/>
      <c r="M652" s="209"/>
      <c r="N652" s="209"/>
      <c r="O652" s="209"/>
      <c r="P652" s="209"/>
      <c r="Q652" s="209"/>
      <c r="R652" s="209"/>
      <c r="S652" s="209"/>
      <c r="T652" s="209"/>
      <c r="U652" s="209"/>
      <c r="V652" s="209"/>
      <c r="W652" s="209"/>
      <c r="X652" s="202"/>
      <c r="Y652" s="209"/>
      <c r="Z652" s="209"/>
      <c r="AA652" s="209"/>
      <c r="AB652" s="209"/>
      <c r="AC652" s="209"/>
      <c r="AD652" s="202"/>
      <c r="AE652" s="397">
        <v>44743</v>
      </c>
    </row>
    <row r="653" spans="2:32">
      <c r="B653" s="436" t="s">
        <v>187</v>
      </c>
      <c r="C653" s="209">
        <v>8.6506981191968499</v>
      </c>
      <c r="D653" s="209">
        <v>5.4454532782358704</v>
      </c>
      <c r="E653" s="209">
        <v>9.1296443041515296</v>
      </c>
      <c r="F653" s="209">
        <v>3.3855875822694501</v>
      </c>
      <c r="G653" s="209">
        <v>3.7461179343559401</v>
      </c>
      <c r="H653" s="209">
        <v>4.2748428443307196</v>
      </c>
      <c r="I653" s="209">
        <v>6.8141395093874202</v>
      </c>
      <c r="J653" s="209">
        <v>9.0104927786926901</v>
      </c>
      <c r="K653" s="209">
        <v>8.3738954543587596</v>
      </c>
      <c r="L653" s="202">
        <v>10.352675535647499</v>
      </c>
      <c r="M653" s="209">
        <v>14.3128395174397</v>
      </c>
      <c r="N653" s="209">
        <v>10.231128765781</v>
      </c>
      <c r="O653" s="209">
        <v>16.229059174683599</v>
      </c>
      <c r="P653" s="209">
        <v>10.7049542225637</v>
      </c>
      <c r="Q653" s="209">
        <v>12.226201475036399</v>
      </c>
      <c r="R653" s="209">
        <v>11.166181968889401</v>
      </c>
      <c r="S653" s="209">
        <v>11.466202106535199</v>
      </c>
      <c r="T653" s="209">
        <v>14.656468988145001</v>
      </c>
      <c r="U653" s="209">
        <v>17.1878131235596</v>
      </c>
      <c r="V653" s="209">
        <v>17.826319929552799</v>
      </c>
      <c r="W653" s="209">
        <v>7.8563531955571202</v>
      </c>
      <c r="X653" s="202">
        <v>6.9361678590223299</v>
      </c>
      <c r="Y653" s="209">
        <v>8.2839353437632006</v>
      </c>
      <c r="Z653" s="209" t="s">
        <v>93</v>
      </c>
      <c r="AA653" s="209" t="s">
        <v>93</v>
      </c>
      <c r="AB653" s="209" t="s">
        <v>93</v>
      </c>
      <c r="AC653" s="209">
        <v>7.1754579095088902</v>
      </c>
      <c r="AD653" s="202">
        <v>9.30867815806468</v>
      </c>
      <c r="AE653" s="210" t="s">
        <v>356</v>
      </c>
    </row>
    <row r="654" spans="2:32">
      <c r="B654" s="436" t="s">
        <v>357</v>
      </c>
      <c r="C654" s="209">
        <v>1.2991849736038199</v>
      </c>
      <c r="D654" s="209">
        <v>0.81455582492560197</v>
      </c>
      <c r="E654" s="209">
        <v>1.65324585171044</v>
      </c>
      <c r="F654" s="209">
        <v>2.4225602409638598</v>
      </c>
      <c r="G654" s="209">
        <v>0.195504643962848</v>
      </c>
      <c r="H654" s="209">
        <v>0.46152342350834202</v>
      </c>
      <c r="I654" s="209">
        <v>0.54329487153848399</v>
      </c>
      <c r="J654" s="209">
        <v>1.00627328424267</v>
      </c>
      <c r="K654" s="209">
        <v>1.32157867705695</v>
      </c>
      <c r="L654" s="202">
        <v>4.8228100843756199</v>
      </c>
      <c r="M654" s="209">
        <v>4.7714372015424598</v>
      </c>
      <c r="N654" s="209">
        <v>4.7072000151636804</v>
      </c>
      <c r="O654" s="209">
        <v>5.3026066696144101</v>
      </c>
      <c r="P654" s="209">
        <v>8.1310387491559801</v>
      </c>
      <c r="Q654" s="209">
        <v>5.2309128422056403</v>
      </c>
      <c r="R654" s="209">
        <v>4.9450943494517601</v>
      </c>
      <c r="S654" s="209">
        <v>4.4505490929043496</v>
      </c>
      <c r="T654" s="209">
        <v>4.5200812195231101</v>
      </c>
      <c r="U654" s="209">
        <v>4.7384206228830701</v>
      </c>
      <c r="V654" s="209">
        <v>4.7382567965801696</v>
      </c>
      <c r="W654" s="209">
        <v>4.9147919042508201</v>
      </c>
      <c r="X654" s="202">
        <v>5.2676935193613597</v>
      </c>
      <c r="Y654" s="209">
        <v>3.3820165883683799</v>
      </c>
      <c r="Z654" s="209" t="s">
        <v>93</v>
      </c>
      <c r="AA654" s="209" t="s">
        <v>93</v>
      </c>
      <c r="AB654" s="209" t="s">
        <v>93</v>
      </c>
      <c r="AC654" s="209">
        <v>2.1914385709372701</v>
      </c>
      <c r="AD654" s="202">
        <v>3.7666666666666702</v>
      </c>
      <c r="AE654" s="210" t="s">
        <v>213</v>
      </c>
    </row>
    <row r="655" spans="2:32">
      <c r="B655" s="397">
        <v>44774</v>
      </c>
      <c r="C655" s="209"/>
      <c r="D655" s="209"/>
      <c r="E655" s="209"/>
      <c r="F655" s="209"/>
      <c r="G655" s="209"/>
      <c r="H655" s="209"/>
      <c r="I655" s="209"/>
      <c r="J655" s="209"/>
      <c r="K655" s="209"/>
      <c r="L655" s="202"/>
      <c r="M655" s="209"/>
      <c r="N655" s="223"/>
      <c r="O655" s="209"/>
      <c r="P655" s="209"/>
      <c r="Q655" s="209"/>
      <c r="R655" s="209"/>
      <c r="S655" s="209"/>
      <c r="T655" s="209"/>
      <c r="U655" s="209"/>
      <c r="V655" s="209"/>
      <c r="W655" s="209"/>
      <c r="X655" s="202"/>
      <c r="Y655" s="209"/>
      <c r="Z655" s="209"/>
      <c r="AA655" s="209"/>
      <c r="AB655" s="209"/>
      <c r="AC655" s="209"/>
      <c r="AD655" s="202"/>
      <c r="AE655" s="397">
        <v>44774</v>
      </c>
    </row>
    <row r="656" spans="2:32">
      <c r="B656" s="436" t="s">
        <v>187</v>
      </c>
      <c r="C656" s="209">
        <v>8.5239701021015009</v>
      </c>
      <c r="D656" s="209">
        <v>5.0563448097957702</v>
      </c>
      <c r="E656" s="209">
        <v>9.1731669206519406</v>
      </c>
      <c r="F656" s="209">
        <v>3.9397327771352999</v>
      </c>
      <c r="G656" s="209">
        <v>3.66352057296384</v>
      </c>
      <c r="H656" s="209">
        <v>4.4877818815939099</v>
      </c>
      <c r="I656" s="209">
        <v>4.2788502733089899</v>
      </c>
      <c r="J656" s="209">
        <v>8.9641484154815707</v>
      </c>
      <c r="K656" s="209">
        <v>8.3989788830766798</v>
      </c>
      <c r="L656" s="202">
        <v>10.286975248305501</v>
      </c>
      <c r="M656" s="209">
        <v>14.338801406616501</v>
      </c>
      <c r="N656" s="209">
        <v>10.215514391532</v>
      </c>
      <c r="O656" s="209">
        <v>16.2530286785308</v>
      </c>
      <c r="P656" s="209">
        <v>10.4899439845247</v>
      </c>
      <c r="Q656" s="223">
        <v>14.458362118709999</v>
      </c>
      <c r="R656" s="209">
        <v>11.0777187463366</v>
      </c>
      <c r="S656" s="209">
        <v>11.1580469744186</v>
      </c>
      <c r="T656" s="209">
        <v>14.2390404396044</v>
      </c>
      <c r="U656" s="209">
        <v>17.2358318521473</v>
      </c>
      <c r="V656" s="209">
        <v>17.793699724202501</v>
      </c>
      <c r="W656" s="209">
        <v>7.9450746807476902</v>
      </c>
      <c r="X656" s="202">
        <v>6.9008666943156101</v>
      </c>
      <c r="Y656" s="209">
        <v>8.2839353437632006</v>
      </c>
      <c r="Z656" s="209" t="s">
        <v>93</v>
      </c>
      <c r="AA656" s="209" t="s">
        <v>93</v>
      </c>
      <c r="AB656" s="209" t="s">
        <v>93</v>
      </c>
      <c r="AC656" s="209">
        <v>7.1754579095088902</v>
      </c>
      <c r="AD656" s="442">
        <v>9.30867815806468</v>
      </c>
      <c r="AE656" s="210" t="s">
        <v>356</v>
      </c>
    </row>
    <row r="657" spans="2:31">
      <c r="B657" s="436" t="s">
        <v>357</v>
      </c>
      <c r="C657" s="209">
        <v>1.3094628270912201</v>
      </c>
      <c r="D657" s="209">
        <v>0.82417762573693099</v>
      </c>
      <c r="E657" s="209">
        <v>1.66452657182915</v>
      </c>
      <c r="F657" s="209">
        <v>3.0623211646872099</v>
      </c>
      <c r="G657" s="209">
        <v>0.123428290766208</v>
      </c>
      <c r="H657" s="209">
        <v>0.44862126550686299</v>
      </c>
      <c r="I657" s="209">
        <v>0.631105064515188</v>
      </c>
      <c r="J657" s="209">
        <v>1.02745034815401</v>
      </c>
      <c r="K657" s="209">
        <v>1.3288143772399099</v>
      </c>
      <c r="L657" s="202">
        <v>4.9234023438309</v>
      </c>
      <c r="M657" s="209">
        <v>4.7595533386127897</v>
      </c>
      <c r="N657" s="209">
        <v>4.7068263824737002</v>
      </c>
      <c r="O657" s="209">
        <v>5.1591373948855699</v>
      </c>
      <c r="P657" s="209">
        <v>8.0754954140892803</v>
      </c>
      <c r="Q657" s="209">
        <v>5.3655580155552096</v>
      </c>
      <c r="R657" s="209">
        <v>4.8440730136892096</v>
      </c>
      <c r="S657" s="209">
        <v>4.4188372235435303</v>
      </c>
      <c r="T657" s="209">
        <v>4.5556289030237203</v>
      </c>
      <c r="U657" s="209">
        <v>4.7697980854597102</v>
      </c>
      <c r="V657" s="209">
        <v>4.6697036805711702</v>
      </c>
      <c r="W657" s="209">
        <v>4.90396292687862</v>
      </c>
      <c r="X657" s="202">
        <v>5.2618743421994303</v>
      </c>
      <c r="Y657" s="209">
        <v>3.3868382234452699</v>
      </c>
      <c r="Z657" s="209" t="s">
        <v>93</v>
      </c>
      <c r="AA657" s="209" t="s">
        <v>93</v>
      </c>
      <c r="AB657" s="209" t="s">
        <v>93</v>
      </c>
      <c r="AC657" s="209">
        <v>2.19310840651158</v>
      </c>
      <c r="AD657" s="202">
        <v>3.7666666666666702</v>
      </c>
      <c r="AE657" s="210" t="s">
        <v>213</v>
      </c>
    </row>
    <row r="658" spans="2:31">
      <c r="B658" s="397">
        <v>44805</v>
      </c>
      <c r="C658" s="209"/>
      <c r="D658" s="209"/>
      <c r="E658" s="209"/>
      <c r="F658" s="209"/>
      <c r="G658" s="209"/>
      <c r="H658" s="209"/>
      <c r="I658" s="209"/>
      <c r="J658" s="209"/>
      <c r="K658" s="209"/>
      <c r="L658" s="202"/>
      <c r="M658" s="209"/>
      <c r="N658" s="209"/>
      <c r="O658" s="209"/>
      <c r="P658" s="209"/>
      <c r="Q658" s="209"/>
      <c r="R658" s="209"/>
      <c r="S658" s="209"/>
      <c r="T658" s="209"/>
      <c r="U658" s="209"/>
      <c r="V658" s="209"/>
      <c r="W658" s="209"/>
      <c r="X658" s="202"/>
      <c r="Y658" s="209"/>
      <c r="Z658" s="209"/>
      <c r="AA658" s="209"/>
      <c r="AB658" s="209"/>
      <c r="AC658" s="209"/>
      <c r="AD658" s="202"/>
      <c r="AE658" s="397">
        <v>44805</v>
      </c>
    </row>
    <row r="659" spans="2:31">
      <c r="B659" s="436" t="s">
        <v>187</v>
      </c>
      <c r="C659" s="209">
        <v>8.5387849912153104</v>
      </c>
      <c r="D659" s="209">
        <v>5.05465920912523</v>
      </c>
      <c r="E659" s="209">
        <v>9.1881413008153903</v>
      </c>
      <c r="F659" s="209">
        <v>3.9135210776913301</v>
      </c>
      <c r="G659" s="209">
        <v>2.7171967486452702</v>
      </c>
      <c r="H659" s="209">
        <v>4.2921637295467203</v>
      </c>
      <c r="I659" s="209">
        <v>4.1300179278865601</v>
      </c>
      <c r="J659" s="209">
        <v>8.9828179944789799</v>
      </c>
      <c r="K659" s="209">
        <v>8.4160502967798898</v>
      </c>
      <c r="L659" s="202">
        <v>9.9530095285158495</v>
      </c>
      <c r="M659" s="209">
        <v>14.3701699474127</v>
      </c>
      <c r="N659" s="209">
        <v>10.1730635909152</v>
      </c>
      <c r="O659" s="209">
        <v>16.286317546064499</v>
      </c>
      <c r="P659" s="209">
        <v>10.8377995425046</v>
      </c>
      <c r="Q659" s="209">
        <v>13.719398549980999</v>
      </c>
      <c r="R659" s="209">
        <v>11.326099813626501</v>
      </c>
      <c r="S659" s="209">
        <v>11.2116906977877</v>
      </c>
      <c r="T659" s="209">
        <v>13.959503456288299</v>
      </c>
      <c r="U659" s="209">
        <v>17.242584007504998</v>
      </c>
      <c r="V659" s="209">
        <v>17.823125973778399</v>
      </c>
      <c r="W659" s="209">
        <v>8.0210078994125809</v>
      </c>
      <c r="X659" s="202">
        <v>6.8967520534743798</v>
      </c>
      <c r="Y659" s="209">
        <v>8.4456782490094309</v>
      </c>
      <c r="Z659" s="209" t="s">
        <v>93</v>
      </c>
      <c r="AA659" s="209" t="s">
        <v>93</v>
      </c>
      <c r="AB659" s="209" t="s">
        <v>93</v>
      </c>
      <c r="AC659" s="209">
        <v>7.4203343438735097</v>
      </c>
      <c r="AD659" s="202">
        <v>9.30867815806468</v>
      </c>
      <c r="AE659" s="210" t="s">
        <v>356</v>
      </c>
    </row>
    <row r="660" spans="2:31">
      <c r="B660" s="436" t="s">
        <v>357</v>
      </c>
      <c r="C660" s="209">
        <v>1.3119303889859799</v>
      </c>
      <c r="D660" s="209">
        <v>0.82028588732005303</v>
      </c>
      <c r="E660" s="209">
        <v>1.6753454996048101</v>
      </c>
      <c r="F660" s="209">
        <v>1.8595457416502299</v>
      </c>
      <c r="G660" s="209">
        <v>0.972288168183566</v>
      </c>
      <c r="H660" s="209">
        <v>0.48733880981946698</v>
      </c>
      <c r="I660" s="209">
        <v>0.62894537919336002</v>
      </c>
      <c r="J660" s="209">
        <v>1.0425598914997301</v>
      </c>
      <c r="K660" s="209">
        <v>1.3268178626828599</v>
      </c>
      <c r="L660" s="202">
        <v>4.8434374075167401</v>
      </c>
      <c r="M660" s="209">
        <v>4.7707425800346401</v>
      </c>
      <c r="N660" s="209">
        <v>4.7033821371259199</v>
      </c>
      <c r="O660" s="209">
        <v>5.2856603189976097</v>
      </c>
      <c r="P660" s="209">
        <v>8.1246285700431304</v>
      </c>
      <c r="Q660" s="209">
        <v>6.5221885368070804</v>
      </c>
      <c r="R660" s="209">
        <v>4.9147965645065099</v>
      </c>
      <c r="S660" s="209">
        <v>4.1942301007987099</v>
      </c>
      <c r="T660" s="209">
        <v>4.5925839294194697</v>
      </c>
      <c r="U660" s="209">
        <v>4.8685857187265098</v>
      </c>
      <c r="V660" s="209">
        <v>4.6158752195294799</v>
      </c>
      <c r="W660" s="209">
        <v>4.9121092757979996</v>
      </c>
      <c r="X660" s="202">
        <v>5.2549670164778002</v>
      </c>
      <c r="Y660" s="209">
        <v>3.3903184751374602</v>
      </c>
      <c r="Z660" s="209" t="s">
        <v>93</v>
      </c>
      <c r="AA660" s="209" t="s">
        <v>93</v>
      </c>
      <c r="AB660" s="209" t="s">
        <v>93</v>
      </c>
      <c r="AC660" s="209">
        <v>2.1943463631454301</v>
      </c>
      <c r="AD660" s="202">
        <v>3.7666666666666702</v>
      </c>
      <c r="AE660" s="210" t="s">
        <v>213</v>
      </c>
    </row>
    <row r="661" spans="2:31">
      <c r="B661" s="397">
        <v>44835</v>
      </c>
      <c r="C661" s="209"/>
      <c r="D661" s="209"/>
      <c r="E661" s="209"/>
      <c r="F661" s="209"/>
      <c r="G661" s="209"/>
      <c r="H661" s="209"/>
      <c r="I661" s="209"/>
      <c r="J661" s="209"/>
      <c r="K661" s="209"/>
      <c r="L661" s="202"/>
      <c r="M661" s="209"/>
      <c r="N661" s="223"/>
      <c r="O661" s="209"/>
      <c r="P661" s="209"/>
      <c r="Q661" s="209"/>
      <c r="R661" s="209"/>
      <c r="S661" s="209"/>
      <c r="T661" s="209"/>
      <c r="U661" s="209"/>
      <c r="V661" s="209"/>
      <c r="W661" s="209"/>
      <c r="X661" s="202"/>
      <c r="Y661" s="209"/>
      <c r="Z661" s="209"/>
      <c r="AA661" s="209"/>
      <c r="AB661" s="209"/>
      <c r="AC661" s="209"/>
      <c r="AD661" s="202"/>
      <c r="AE661" s="397">
        <v>44835</v>
      </c>
    </row>
    <row r="662" spans="2:31">
      <c r="B662" s="436" t="s">
        <v>187</v>
      </c>
      <c r="C662" s="209">
        <v>8.5728338191578501</v>
      </c>
      <c r="D662" s="209">
        <v>5.12942296046955</v>
      </c>
      <c r="E662" s="209">
        <v>9.2000210484510596</v>
      </c>
      <c r="F662" s="209">
        <v>3.6487173988640298</v>
      </c>
      <c r="G662" s="209">
        <v>3.3384642073575201</v>
      </c>
      <c r="H662" s="209">
        <v>4.3904863296150198</v>
      </c>
      <c r="I662" s="209">
        <v>4.2483246569393298</v>
      </c>
      <c r="J662" s="209">
        <v>9.0069283704317602</v>
      </c>
      <c r="K662" s="209">
        <v>8.4182385643367095</v>
      </c>
      <c r="L662" s="202">
        <v>9.9049539171499603</v>
      </c>
      <c r="M662" s="209">
        <v>14.335881751814799</v>
      </c>
      <c r="N662" s="209">
        <v>10.1407056288131</v>
      </c>
      <c r="O662" s="209">
        <v>16.281292780433699</v>
      </c>
      <c r="P662" s="209">
        <v>10.200269178192</v>
      </c>
      <c r="Q662" s="209">
        <v>13.173119290275</v>
      </c>
      <c r="R662" s="209">
        <v>11.7457906025773</v>
      </c>
      <c r="S662" s="209">
        <v>11.4227256453153</v>
      </c>
      <c r="T662" s="209">
        <v>13.5104305190474</v>
      </c>
      <c r="U662" s="209">
        <v>17.066827212385999</v>
      </c>
      <c r="V662" s="209">
        <v>17.818708001184401</v>
      </c>
      <c r="W662" s="209">
        <v>8.0603184586364502</v>
      </c>
      <c r="X662" s="202">
        <v>6.9857168825821603</v>
      </c>
      <c r="Y662" s="209">
        <v>8.5054229652733504</v>
      </c>
      <c r="Z662" s="209" t="s">
        <v>93</v>
      </c>
      <c r="AA662" s="209" t="s">
        <v>93</v>
      </c>
      <c r="AB662" s="209" t="s">
        <v>93</v>
      </c>
      <c r="AC662" s="209">
        <v>7.7079501207445604</v>
      </c>
      <c r="AD662" s="202">
        <v>9.30867815806468</v>
      </c>
      <c r="AE662" s="210" t="s">
        <v>356</v>
      </c>
    </row>
    <row r="663" spans="2:31">
      <c r="B663" s="436" t="s">
        <v>357</v>
      </c>
      <c r="C663" s="209">
        <v>1.3254967567361</v>
      </c>
      <c r="D663" s="209">
        <v>0.82306479604705596</v>
      </c>
      <c r="E663" s="209">
        <v>1.6936474546906899</v>
      </c>
      <c r="F663" s="209">
        <v>0.81775282750664402</v>
      </c>
      <c r="G663" s="209">
        <v>0.64484249084249101</v>
      </c>
      <c r="H663" s="209">
        <v>0.94837097689532601</v>
      </c>
      <c r="I663" s="209">
        <v>0.62130645545215801</v>
      </c>
      <c r="J663" s="209">
        <v>1.08569564326224</v>
      </c>
      <c r="K663" s="209">
        <v>1.32783000825033</v>
      </c>
      <c r="L663" s="202">
        <v>4.6719034236307699</v>
      </c>
      <c r="M663" s="209">
        <v>4.7816196010442997</v>
      </c>
      <c r="N663" s="209">
        <v>4.7391055114900098</v>
      </c>
      <c r="O663" s="209">
        <v>5.0645881244070701</v>
      </c>
      <c r="P663" s="209">
        <v>8.0997083274312995</v>
      </c>
      <c r="Q663" s="209">
        <v>6.2353646718792799</v>
      </c>
      <c r="R663" s="209">
        <v>5.0939853695209196</v>
      </c>
      <c r="S663" s="209">
        <v>4.1776559803668496</v>
      </c>
      <c r="T663" s="209">
        <v>4.7538585616222004</v>
      </c>
      <c r="U663" s="209">
        <v>4.8616643279630498</v>
      </c>
      <c r="V663" s="209">
        <v>4.5966802095655304</v>
      </c>
      <c r="W663" s="209">
        <v>4.8848732943284698</v>
      </c>
      <c r="X663" s="202">
        <v>5.2262977998740299</v>
      </c>
      <c r="Y663" s="209">
        <v>3.5243871102939499</v>
      </c>
      <c r="Z663" s="209" t="s">
        <v>93</v>
      </c>
      <c r="AA663" s="209" t="s">
        <v>93</v>
      </c>
      <c r="AB663" s="209" t="s">
        <v>93</v>
      </c>
      <c r="AC663" s="209">
        <v>2.19606313325672</v>
      </c>
      <c r="AD663" s="202">
        <v>3.93611111111111</v>
      </c>
      <c r="AE663" s="210" t="s">
        <v>213</v>
      </c>
    </row>
    <row r="664" spans="2:31">
      <c r="B664" s="397">
        <v>44866</v>
      </c>
      <c r="C664" s="209"/>
      <c r="D664" s="209"/>
      <c r="E664" s="209"/>
      <c r="F664" s="209"/>
      <c r="G664" s="209"/>
      <c r="H664" s="209"/>
      <c r="I664" s="209"/>
      <c r="J664" s="209"/>
      <c r="K664" s="209"/>
      <c r="L664" s="202"/>
      <c r="M664" s="209"/>
      <c r="N664" s="209"/>
      <c r="O664" s="209"/>
      <c r="P664" s="209"/>
      <c r="Q664" s="209"/>
      <c r="R664" s="209"/>
      <c r="S664" s="209"/>
      <c r="T664" s="209"/>
      <c r="U664" s="209"/>
      <c r="V664" s="209"/>
      <c r="W664" s="209"/>
      <c r="X664" s="202"/>
      <c r="Y664" s="209"/>
      <c r="Z664" s="209"/>
      <c r="AA664" s="209"/>
      <c r="AB664" s="209"/>
      <c r="AC664" s="209"/>
      <c r="AD664" s="202"/>
      <c r="AE664" s="397">
        <v>44866</v>
      </c>
    </row>
    <row r="665" spans="2:31">
      <c r="B665" s="436" t="s">
        <v>187</v>
      </c>
      <c r="C665" s="209">
        <v>8.5982402267645099</v>
      </c>
      <c r="D665" s="209">
        <v>5.0956266287915604</v>
      </c>
      <c r="E665" s="209">
        <v>9.2545887239535798</v>
      </c>
      <c r="F665" s="209">
        <v>4.0542377622377597</v>
      </c>
      <c r="G665" s="209">
        <v>3.2050971742963199</v>
      </c>
      <c r="H665" s="209">
        <v>5.0816351636753501</v>
      </c>
      <c r="I665" s="209">
        <v>4.1136907239343996</v>
      </c>
      <c r="J665" s="209">
        <v>9.0081266374546693</v>
      </c>
      <c r="K665" s="209">
        <v>8.4274927837694893</v>
      </c>
      <c r="L665" s="202">
        <v>9.9051904445947105</v>
      </c>
      <c r="M665" s="209">
        <v>14.2918884557726</v>
      </c>
      <c r="N665" s="209">
        <v>10.136114415135699</v>
      </c>
      <c r="O665" s="209">
        <v>16.195418832182199</v>
      </c>
      <c r="P665" s="209">
        <v>10.611424483882301</v>
      </c>
      <c r="Q665" s="209">
        <v>11.9798355909862</v>
      </c>
      <c r="R665" s="209">
        <v>12.0131051366301</v>
      </c>
      <c r="S665" s="209">
        <v>11.5699791658073</v>
      </c>
      <c r="T665" s="209">
        <v>13.309047846585999</v>
      </c>
      <c r="U665" s="209">
        <v>17.037959592882299</v>
      </c>
      <c r="V665" s="209">
        <v>17.774823136395799</v>
      </c>
      <c r="W665" s="209">
        <v>8.1243673954268001</v>
      </c>
      <c r="X665" s="202">
        <v>6.9475342924082097</v>
      </c>
      <c r="Y665" s="209">
        <v>8.5054229652733504</v>
      </c>
      <c r="Z665" s="209" t="s">
        <v>93</v>
      </c>
      <c r="AA665" s="209" t="s">
        <v>93</v>
      </c>
      <c r="AB665" s="209" t="s">
        <v>93</v>
      </c>
      <c r="AC665" s="209">
        <v>7.7079501207445604</v>
      </c>
      <c r="AD665" s="202">
        <v>9.30867815806468</v>
      </c>
      <c r="AE665" s="210" t="s">
        <v>356</v>
      </c>
    </row>
    <row r="666" spans="2:31">
      <c r="B666" s="436" t="s">
        <v>357</v>
      </c>
      <c r="C666" s="209">
        <v>1.36641120671591</v>
      </c>
      <c r="D666" s="209">
        <v>0.88817232200158702</v>
      </c>
      <c r="E666" s="209">
        <v>1.7300900450433601</v>
      </c>
      <c r="F666" s="209">
        <v>1.16766625807658</v>
      </c>
      <c r="G666" s="209">
        <v>0.57993883463891005</v>
      </c>
      <c r="H666" s="209">
        <v>1.2001914324862999</v>
      </c>
      <c r="I666" s="209">
        <v>0.64387126598681999</v>
      </c>
      <c r="J666" s="209">
        <v>1.10167200447266</v>
      </c>
      <c r="K666" s="209">
        <v>1.3859170102995799</v>
      </c>
      <c r="L666" s="202">
        <v>4.5809150061344104</v>
      </c>
      <c r="M666" s="209">
        <v>4.8030369395157999</v>
      </c>
      <c r="N666" s="209">
        <v>4.7757951677927801</v>
      </c>
      <c r="O666" s="209">
        <v>4.9827150895007204</v>
      </c>
      <c r="P666" s="209">
        <v>8.1160835908472606</v>
      </c>
      <c r="Q666" s="209">
        <v>6.9144188209914601</v>
      </c>
      <c r="R666" s="209">
        <v>5.1261101716845596</v>
      </c>
      <c r="S666" s="209">
        <v>4.6036288174000299</v>
      </c>
      <c r="T666" s="209">
        <v>5.1064403708764701</v>
      </c>
      <c r="U666" s="209">
        <v>4.7260813386489904</v>
      </c>
      <c r="V666" s="209">
        <v>4.5899162028663101</v>
      </c>
      <c r="W666" s="209">
        <v>4.9002298328511298</v>
      </c>
      <c r="X666" s="202">
        <v>5.2142123982313802</v>
      </c>
      <c r="Y666" s="209">
        <v>3.8379491149663898</v>
      </c>
      <c r="Z666" s="209">
        <v>7.5</v>
      </c>
      <c r="AA666" s="209" t="s">
        <v>93</v>
      </c>
      <c r="AB666" s="209" t="s">
        <v>93</v>
      </c>
      <c r="AC666" s="209">
        <v>2.1949432102889599</v>
      </c>
      <c r="AD666" s="202">
        <v>3.9184210526315799</v>
      </c>
      <c r="AE666" s="210" t="s">
        <v>213</v>
      </c>
    </row>
    <row r="667" spans="2:31">
      <c r="B667" s="397">
        <v>44896</v>
      </c>
      <c r="C667" s="209"/>
      <c r="D667" s="209"/>
      <c r="E667" s="209"/>
      <c r="F667" s="209"/>
      <c r="G667" s="209"/>
      <c r="H667" s="209"/>
      <c r="I667" s="209"/>
      <c r="J667" s="209"/>
      <c r="K667" s="209"/>
      <c r="L667" s="202"/>
      <c r="M667" s="209"/>
      <c r="N667" s="209"/>
      <c r="O667" s="209"/>
      <c r="P667" s="209"/>
      <c r="Q667" s="209"/>
      <c r="R667" s="209"/>
      <c r="S667" s="209"/>
      <c r="T667" s="209"/>
      <c r="U667" s="209"/>
      <c r="V667" s="209"/>
      <c r="W667" s="209"/>
      <c r="X667" s="202"/>
      <c r="Y667" s="209"/>
      <c r="Z667" s="209"/>
      <c r="AA667" s="209"/>
      <c r="AB667" s="209"/>
      <c r="AC667" s="209"/>
      <c r="AD667" s="202"/>
      <c r="AE667" s="397">
        <v>44896</v>
      </c>
    </row>
    <row r="668" spans="2:31">
      <c r="B668" s="436" t="s">
        <v>187</v>
      </c>
      <c r="C668" s="209">
        <v>8.6212998262010601</v>
      </c>
      <c r="D668" s="209">
        <v>5.0818051820108803</v>
      </c>
      <c r="E668" s="209">
        <v>9.3054976538606695</v>
      </c>
      <c r="F668" s="209">
        <v>2.9249971111928099</v>
      </c>
      <c r="G668" s="209">
        <v>2.2202781763442299</v>
      </c>
      <c r="H668" s="209">
        <v>5.0789062366764499</v>
      </c>
      <c r="I668" s="209">
        <v>3.8690654769956101</v>
      </c>
      <c r="J668" s="209">
        <v>9.0747150601513002</v>
      </c>
      <c r="K668" s="209">
        <v>8.5192211952304593</v>
      </c>
      <c r="L668" s="202">
        <v>9.7596342518566193</v>
      </c>
      <c r="M668" s="209">
        <v>14.207878821486499</v>
      </c>
      <c r="N668" s="209">
        <v>10.018859643690099</v>
      </c>
      <c r="O668" s="209">
        <v>16.148629776290498</v>
      </c>
      <c r="P668" s="209">
        <v>9.8863917080158998</v>
      </c>
      <c r="Q668" s="209">
        <v>11.9844066022359</v>
      </c>
      <c r="R668" s="209">
        <v>11.483785596392501</v>
      </c>
      <c r="S668" s="209">
        <v>11.3277294646351</v>
      </c>
      <c r="T668" s="209">
        <v>13.190902696454</v>
      </c>
      <c r="U668" s="209">
        <v>16.9561516947232</v>
      </c>
      <c r="V668" s="209">
        <v>17.665419174112898</v>
      </c>
      <c r="W668" s="209">
        <v>7.9744183266417696</v>
      </c>
      <c r="X668" s="202">
        <v>6.9748762760833998</v>
      </c>
      <c r="Y668" s="209">
        <v>8.5054229652733504</v>
      </c>
      <c r="Z668" s="209" t="s">
        <v>93</v>
      </c>
      <c r="AA668" s="209" t="s">
        <v>93</v>
      </c>
      <c r="AB668" s="209" t="s">
        <v>93</v>
      </c>
      <c r="AC668" s="209">
        <v>7.7079501207445604</v>
      </c>
      <c r="AD668" s="202">
        <v>9.30867815806468</v>
      </c>
      <c r="AE668" s="210" t="s">
        <v>356</v>
      </c>
    </row>
    <row r="669" spans="2:31">
      <c r="B669" s="436" t="s">
        <v>357</v>
      </c>
      <c r="C669" s="209">
        <v>1.40085225416074</v>
      </c>
      <c r="D669" s="209">
        <v>0.88872896974808102</v>
      </c>
      <c r="E669" s="209">
        <v>1.7836424429980799</v>
      </c>
      <c r="F669" s="209">
        <v>0.67542790038206302</v>
      </c>
      <c r="G669" s="209">
        <v>1.2800986709625499</v>
      </c>
      <c r="H669" s="209">
        <v>2.39533213506951</v>
      </c>
      <c r="I669" s="209">
        <v>0.67804730531364898</v>
      </c>
      <c r="J669" s="209">
        <v>1.1621298541333001</v>
      </c>
      <c r="K669" s="209">
        <v>1.3918107474614601</v>
      </c>
      <c r="L669" s="202">
        <v>4.5898292974612502</v>
      </c>
      <c r="M669" s="209">
        <v>4.7596209792756801</v>
      </c>
      <c r="N669" s="209">
        <v>4.7210473163821698</v>
      </c>
      <c r="O669" s="209">
        <v>5.0066389348155003</v>
      </c>
      <c r="P669" s="209">
        <v>6.7184141661131802</v>
      </c>
      <c r="Q669" s="209">
        <v>5.3918469278708301</v>
      </c>
      <c r="R669" s="209">
        <v>5.54749069089325</v>
      </c>
      <c r="S669" s="209">
        <v>4.7998461628996001</v>
      </c>
      <c r="T669" s="209">
        <v>5.1845467837535999</v>
      </c>
      <c r="U669" s="209">
        <v>4.8117364653922596</v>
      </c>
      <c r="V669" s="209">
        <v>4.6181068987217504</v>
      </c>
      <c r="W669" s="209">
        <v>4.5048904375546703</v>
      </c>
      <c r="X669" s="202">
        <v>5.2248006060945302</v>
      </c>
      <c r="Y669" s="209">
        <v>4.5356322140093397</v>
      </c>
      <c r="Z669" s="209">
        <v>6.8</v>
      </c>
      <c r="AA669" s="209" t="s">
        <v>93</v>
      </c>
      <c r="AB669" s="209" t="s">
        <v>93</v>
      </c>
      <c r="AC669" s="209">
        <v>2.19211351329343</v>
      </c>
      <c r="AD669" s="202">
        <v>3.9184210526315799</v>
      </c>
      <c r="AE669" s="210" t="s">
        <v>213</v>
      </c>
    </row>
    <row r="670" spans="2:31">
      <c r="B670" s="397">
        <v>44927</v>
      </c>
      <c r="C670" s="209"/>
      <c r="D670" s="209"/>
      <c r="E670" s="209"/>
      <c r="F670" s="209"/>
      <c r="G670" s="209"/>
      <c r="H670" s="209"/>
      <c r="I670" s="209"/>
      <c r="J670" s="209"/>
      <c r="K670" s="209"/>
      <c r="L670" s="202"/>
      <c r="M670" s="209"/>
      <c r="N670" s="209"/>
      <c r="O670" s="209"/>
      <c r="P670" s="209"/>
      <c r="Q670" s="209"/>
      <c r="R670" s="209"/>
      <c r="S670" s="209"/>
      <c r="T670" s="209"/>
      <c r="U670" s="209"/>
      <c r="V670" s="209"/>
      <c r="W670" s="209"/>
      <c r="X670" s="202"/>
      <c r="Y670" s="209"/>
      <c r="Z670" s="209"/>
      <c r="AA670" s="209"/>
      <c r="AB670" s="209"/>
      <c r="AC670" s="209"/>
      <c r="AD670" s="202"/>
      <c r="AE670" s="397">
        <v>44927</v>
      </c>
    </row>
    <row r="671" spans="2:31">
      <c r="B671" s="436" t="s">
        <v>187</v>
      </c>
      <c r="C671" s="209">
        <v>8.60142290528802</v>
      </c>
      <c r="D671" s="209">
        <v>5.1248496428737198</v>
      </c>
      <c r="E671" s="209">
        <v>9.2815949326854508</v>
      </c>
      <c r="F671" s="209">
        <v>4.1562121901296303</v>
      </c>
      <c r="G671" s="209">
        <v>2.4770227510983398</v>
      </c>
      <c r="H671" s="209">
        <v>4.90867849326452</v>
      </c>
      <c r="I671" s="209">
        <v>3.8870978115426902</v>
      </c>
      <c r="J671" s="209">
        <v>9.01566531560022</v>
      </c>
      <c r="K671" s="209">
        <v>8.5377132189004605</v>
      </c>
      <c r="L671" s="202">
        <v>9.7409344730983403</v>
      </c>
      <c r="M671" s="209">
        <v>14.134652366376301</v>
      </c>
      <c r="N671" s="209">
        <v>9.9934011387622093</v>
      </c>
      <c r="O671" s="209">
        <v>16.036205532642001</v>
      </c>
      <c r="P671" s="209">
        <v>9.4096926451531395</v>
      </c>
      <c r="Q671" s="209">
        <v>13.398664674404399</v>
      </c>
      <c r="R671" s="209">
        <v>11.5809243687474</v>
      </c>
      <c r="S671" s="209">
        <v>11.125746332466999</v>
      </c>
      <c r="T671" s="209">
        <v>13.097750114381601</v>
      </c>
      <c r="U671" s="209">
        <v>16.9465670978019</v>
      </c>
      <c r="V671" s="209">
        <v>17.5872464707547</v>
      </c>
      <c r="W671" s="209">
        <v>8.1002964750149307</v>
      </c>
      <c r="X671" s="202">
        <v>6.6361776079148003</v>
      </c>
      <c r="Y671" s="209">
        <v>8.7036122803032399</v>
      </c>
      <c r="Z671" s="209" t="s">
        <v>93</v>
      </c>
      <c r="AA671" s="209" t="s">
        <v>93</v>
      </c>
      <c r="AB671" s="209">
        <v>6</v>
      </c>
      <c r="AC671" s="209">
        <v>8.3286979089426101</v>
      </c>
      <c r="AD671" s="202">
        <v>9.30867815806468</v>
      </c>
      <c r="AE671" s="210" t="s">
        <v>356</v>
      </c>
    </row>
    <row r="672" spans="2:31">
      <c r="B672" s="436" t="s">
        <v>357</v>
      </c>
      <c r="C672" s="209">
        <v>1.41441170820335</v>
      </c>
      <c r="D672" s="209">
        <v>0.91211793176338496</v>
      </c>
      <c r="E672" s="209">
        <v>1.7884961683435301</v>
      </c>
      <c r="F672" s="209">
        <v>0.490638345986109</v>
      </c>
      <c r="G672" s="209">
        <v>2.40835507736913</v>
      </c>
      <c r="H672" s="209">
        <v>2.67608934123857</v>
      </c>
      <c r="I672" s="209">
        <v>0.64477335299267202</v>
      </c>
      <c r="J672" s="209">
        <v>1.1673087901075301</v>
      </c>
      <c r="K672" s="209">
        <v>1.39880096034645</v>
      </c>
      <c r="L672" s="202">
        <v>4.4996970970827599</v>
      </c>
      <c r="M672" s="209">
        <v>4.8480390931580502</v>
      </c>
      <c r="N672" s="209">
        <v>4.7837222111535898</v>
      </c>
      <c r="O672" s="209">
        <v>5.2628200808764696</v>
      </c>
      <c r="P672" s="209">
        <v>6.9587948038205099</v>
      </c>
      <c r="Q672" s="209">
        <v>5.7583361152346404</v>
      </c>
      <c r="R672" s="209">
        <v>5.8332211000693102</v>
      </c>
      <c r="S672" s="209">
        <v>5.1343564775720498</v>
      </c>
      <c r="T672" s="209">
        <v>5.18863633801252</v>
      </c>
      <c r="U672" s="209">
        <v>5.1930257618233098</v>
      </c>
      <c r="V672" s="209">
        <v>4.6385818836448696</v>
      </c>
      <c r="W672" s="209">
        <v>4.6007063235080503</v>
      </c>
      <c r="X672" s="202">
        <v>4.6021326189943697</v>
      </c>
      <c r="Y672" s="209">
        <v>4.35829954705991</v>
      </c>
      <c r="Z672" s="209">
        <v>7.25</v>
      </c>
      <c r="AA672" s="209" t="s">
        <v>93</v>
      </c>
      <c r="AB672" s="209" t="s">
        <v>93</v>
      </c>
      <c r="AC672" s="209">
        <v>2.1900652262942901</v>
      </c>
      <c r="AD672" s="202">
        <v>3.9184210526315799</v>
      </c>
      <c r="AE672" s="210" t="s">
        <v>213</v>
      </c>
    </row>
    <row r="673" spans="2:31">
      <c r="B673" s="397">
        <v>44958</v>
      </c>
      <c r="C673" s="209"/>
      <c r="D673" s="209"/>
      <c r="E673" s="209"/>
      <c r="F673" s="209"/>
      <c r="G673" s="209"/>
      <c r="H673" s="209"/>
      <c r="I673" s="209"/>
      <c r="J673" s="209"/>
      <c r="K673" s="209"/>
      <c r="L673" s="202"/>
      <c r="M673" s="209"/>
      <c r="N673" s="209"/>
      <c r="O673" s="209"/>
      <c r="P673" s="209"/>
      <c r="Q673" s="209"/>
      <c r="R673" s="209"/>
      <c r="S673" s="209"/>
      <c r="T673" s="209"/>
      <c r="U673" s="209"/>
      <c r="V673" s="209"/>
      <c r="W673" s="209"/>
      <c r="X673" s="202"/>
      <c r="Y673" s="209"/>
      <c r="Z673" s="209"/>
      <c r="AA673" s="209"/>
      <c r="AB673" s="209"/>
      <c r="AC673" s="209"/>
      <c r="AD673" s="202"/>
      <c r="AE673" s="397">
        <v>44958</v>
      </c>
    </row>
    <row r="674" spans="2:31">
      <c r="B674" s="436" t="s">
        <v>187</v>
      </c>
      <c r="C674" s="209">
        <v>8.6147196828586594</v>
      </c>
      <c r="D674" s="209">
        <v>5.31848648384398</v>
      </c>
      <c r="E674" s="209">
        <v>9.2626599030839802</v>
      </c>
      <c r="F674" s="209">
        <v>4.1156224311694203</v>
      </c>
      <c r="G674" s="209">
        <v>3.15361487490634</v>
      </c>
      <c r="H674" s="209">
        <v>5.4940618725472499</v>
      </c>
      <c r="I674" s="209">
        <v>4.1902019331693596</v>
      </c>
      <c r="J674" s="209">
        <v>9.0256695398662607</v>
      </c>
      <c r="K674" s="209">
        <v>8.4911601026802792</v>
      </c>
      <c r="L674" s="202">
        <v>9.6900112648814201</v>
      </c>
      <c r="M674" s="209">
        <v>14.240136785732799</v>
      </c>
      <c r="N674" s="209">
        <v>9.9757930365206295</v>
      </c>
      <c r="O674" s="209">
        <v>16.1513143139594</v>
      </c>
      <c r="P674" s="209">
        <v>13.2736293590344</v>
      </c>
      <c r="Q674" s="209">
        <v>13.4344707172725</v>
      </c>
      <c r="R674" s="209">
        <v>11.6975103857232</v>
      </c>
      <c r="S674" s="209">
        <v>11.120023460539599</v>
      </c>
      <c r="T674" s="209">
        <v>13.069225980928399</v>
      </c>
      <c r="U674" s="209">
        <v>16.9293706740924</v>
      </c>
      <c r="V674" s="209">
        <v>17.616197536314399</v>
      </c>
      <c r="W674" s="209">
        <v>8.3751218164078001</v>
      </c>
      <c r="X674" s="202">
        <v>6.9611242810533298</v>
      </c>
      <c r="Y674" s="209">
        <v>8.7036122803032399</v>
      </c>
      <c r="Z674" s="209" t="s">
        <v>93</v>
      </c>
      <c r="AA674" s="209" t="s">
        <v>93</v>
      </c>
      <c r="AB674" s="209">
        <v>6</v>
      </c>
      <c r="AC674" s="209">
        <v>8.3286979089426101</v>
      </c>
      <c r="AD674" s="202">
        <v>9.30867815806468</v>
      </c>
      <c r="AE674" s="210" t="s">
        <v>356</v>
      </c>
    </row>
    <row r="675" spans="2:31">
      <c r="B675" s="436" t="s">
        <v>357</v>
      </c>
      <c r="C675" s="209">
        <v>1.4287522670800299</v>
      </c>
      <c r="D675" s="209">
        <v>0.91312713738119899</v>
      </c>
      <c r="E675" s="209">
        <v>1.8163516019983199</v>
      </c>
      <c r="F675" s="209">
        <v>1.12573922765976</v>
      </c>
      <c r="G675" s="209">
        <v>2.3562296997124901</v>
      </c>
      <c r="H675" s="209">
        <v>2.6339089317692999</v>
      </c>
      <c r="I675" s="209">
        <v>1.10893799839124</v>
      </c>
      <c r="J675" s="209">
        <v>1.1710470663728301</v>
      </c>
      <c r="K675" s="209">
        <v>1.4156681177388299</v>
      </c>
      <c r="L675" s="202">
        <v>4.4161150694593001</v>
      </c>
      <c r="M675" s="209">
        <v>4.8166790947837503</v>
      </c>
      <c r="N675" s="209">
        <v>4.7686074589802496</v>
      </c>
      <c r="O675" s="209">
        <v>5.1304377629341902</v>
      </c>
      <c r="P675" s="209">
        <v>7.1085632202605096</v>
      </c>
      <c r="Q675" s="209">
        <v>5.6843859456911101</v>
      </c>
      <c r="R675" s="209">
        <v>5.9132714213740698</v>
      </c>
      <c r="S675" s="209">
        <v>5.1051239552410701</v>
      </c>
      <c r="T675" s="209">
        <v>5.2463349362553302</v>
      </c>
      <c r="U675" s="209">
        <v>5.1001714661837001</v>
      </c>
      <c r="V675" s="209">
        <v>4.6078827150650996</v>
      </c>
      <c r="W675" s="209">
        <v>4.5852882636035304</v>
      </c>
      <c r="X675" s="202">
        <v>4.5317864808146702</v>
      </c>
      <c r="Y675" s="209">
        <v>5.0359995210223998</v>
      </c>
      <c r="Z675" s="209">
        <v>6.8</v>
      </c>
      <c r="AA675" s="209" t="s">
        <v>93</v>
      </c>
      <c r="AB675" s="209">
        <v>3</v>
      </c>
      <c r="AC675" s="209">
        <v>2.4</v>
      </c>
      <c r="AD675" s="202">
        <v>4.6868421052631604</v>
      </c>
      <c r="AE675" s="210" t="s">
        <v>213</v>
      </c>
    </row>
    <row r="676" spans="2:31">
      <c r="B676" s="397">
        <v>44986</v>
      </c>
      <c r="C676" s="209"/>
      <c r="D676" s="209"/>
      <c r="E676" s="209"/>
      <c r="F676" s="209"/>
      <c r="G676" s="209"/>
      <c r="H676" s="209"/>
      <c r="I676" s="209"/>
      <c r="J676" s="209"/>
      <c r="K676" s="209"/>
      <c r="L676" s="202"/>
      <c r="M676" s="209"/>
      <c r="N676" s="209"/>
      <c r="O676" s="209"/>
      <c r="P676" s="209"/>
      <c r="Q676" s="209"/>
      <c r="R676" s="209"/>
      <c r="S676" s="209"/>
      <c r="T676" s="209"/>
      <c r="U676" s="209"/>
      <c r="V676" s="209"/>
      <c r="W676" s="209"/>
      <c r="X676" s="202"/>
      <c r="Y676" s="209"/>
      <c r="Z676" s="209"/>
      <c r="AA676" s="209"/>
      <c r="AB676" s="209"/>
      <c r="AC676" s="209"/>
      <c r="AD676" s="202"/>
      <c r="AE676" s="397">
        <v>44986</v>
      </c>
    </row>
    <row r="677" spans="2:31">
      <c r="B677" s="436" t="s">
        <v>187</v>
      </c>
      <c r="C677" s="209">
        <v>8.5364588129317696</v>
      </c>
      <c r="D677" s="209">
        <v>5.1422600917822496</v>
      </c>
      <c r="E677" s="209">
        <v>9.2842444393086296</v>
      </c>
      <c r="F677" s="209">
        <v>8.3520459047964799</v>
      </c>
      <c r="G677" s="209">
        <v>3.7862679280326401</v>
      </c>
      <c r="H677" s="209">
        <v>2.6384476891092401</v>
      </c>
      <c r="I677" s="209">
        <v>4.2881843778185598</v>
      </c>
      <c r="J677" s="209">
        <v>9.0102961146443796</v>
      </c>
      <c r="K677" s="209">
        <v>8.5174681790627904</v>
      </c>
      <c r="L677" s="202">
        <v>9.3643677535935694</v>
      </c>
      <c r="M677" s="209">
        <v>14.261356666204</v>
      </c>
      <c r="N677" s="209">
        <v>9.9775761935449108</v>
      </c>
      <c r="O677" s="209">
        <v>16.143532488294799</v>
      </c>
      <c r="P677" s="209">
        <v>13.218378591681301</v>
      </c>
      <c r="Q677" s="209">
        <v>12.879714215920901</v>
      </c>
      <c r="R677" s="209">
        <v>11.312583926238499</v>
      </c>
      <c r="S677" s="209">
        <v>10.9769330558892</v>
      </c>
      <c r="T677" s="209">
        <v>13.138432404162</v>
      </c>
      <c r="U677" s="209">
        <v>16.9610453270381</v>
      </c>
      <c r="V677" s="209">
        <v>17.6411694739901</v>
      </c>
      <c r="W677" s="209">
        <v>8.4932295687148507</v>
      </c>
      <c r="X677" s="202">
        <v>6.9681828516171302</v>
      </c>
      <c r="Y677" s="209">
        <v>8.8341930788951206</v>
      </c>
      <c r="Z677" s="209" t="s">
        <v>93</v>
      </c>
      <c r="AA677" s="209">
        <v>8.1</v>
      </c>
      <c r="AB677" s="209">
        <v>7.1881188118811901</v>
      </c>
      <c r="AC677" s="209">
        <v>8.7861293550200301</v>
      </c>
      <c r="AD677" s="202">
        <v>9.30867815806468</v>
      </c>
      <c r="AE677" s="210" t="s">
        <v>356</v>
      </c>
    </row>
    <row r="678" spans="2:31">
      <c r="B678" s="436" t="s">
        <v>357</v>
      </c>
      <c r="C678" s="209">
        <v>1.50354091535845</v>
      </c>
      <c r="D678" s="209">
        <v>1.14381362487024</v>
      </c>
      <c r="E678" s="209">
        <v>1.80059369703399</v>
      </c>
      <c r="F678" s="209">
        <v>4.5959136960158302</v>
      </c>
      <c r="G678" s="209">
        <v>2.3492863624062399</v>
      </c>
      <c r="H678" s="209">
        <v>2.6060345979392099</v>
      </c>
      <c r="I678" s="209">
        <v>1.1165325149254399</v>
      </c>
      <c r="J678" s="209">
        <v>1.36890804499965</v>
      </c>
      <c r="K678" s="209">
        <v>1.43053328224175</v>
      </c>
      <c r="L678" s="202">
        <v>4.3837267490416103</v>
      </c>
      <c r="M678" s="209">
        <v>4.8119880940372202</v>
      </c>
      <c r="N678" s="209">
        <v>4.7632793450169304</v>
      </c>
      <c r="O678" s="209">
        <v>5.1272351281749096</v>
      </c>
      <c r="P678" s="209">
        <v>7.08690954895029</v>
      </c>
      <c r="Q678" s="209">
        <v>5.7650872083782998</v>
      </c>
      <c r="R678" s="209">
        <v>5.8125111021508902</v>
      </c>
      <c r="S678" s="209">
        <v>5.0678040277065204</v>
      </c>
      <c r="T678" s="209">
        <v>5.26054447479535</v>
      </c>
      <c r="U678" s="209">
        <v>5.1560065597625702</v>
      </c>
      <c r="V678" s="209">
        <v>4.6109670574759303</v>
      </c>
      <c r="W678" s="209">
        <v>4.5474347331230396</v>
      </c>
      <c r="X678" s="202">
        <v>4.4793075490166299</v>
      </c>
      <c r="Y678" s="209">
        <v>5.2853464731521296</v>
      </c>
      <c r="Z678" s="209">
        <v>7.36</v>
      </c>
      <c r="AA678" s="209" t="s">
        <v>93</v>
      </c>
      <c r="AB678" s="209">
        <v>3</v>
      </c>
      <c r="AC678" s="209">
        <v>2.4</v>
      </c>
      <c r="AD678" s="202">
        <v>4.6868421052631604</v>
      </c>
      <c r="AE678" s="210" t="s">
        <v>213</v>
      </c>
    </row>
    <row r="679" spans="2:31">
      <c r="B679" s="397">
        <v>45017</v>
      </c>
      <c r="C679" s="209"/>
      <c r="D679" s="209"/>
      <c r="E679" s="209"/>
      <c r="F679" s="209"/>
      <c r="G679" s="209"/>
      <c r="H679" s="209"/>
      <c r="I679" s="209"/>
      <c r="J679" s="209"/>
      <c r="K679" s="209"/>
      <c r="L679" s="202"/>
      <c r="M679" s="209"/>
      <c r="N679" s="209"/>
      <c r="O679" s="209"/>
      <c r="P679" s="209"/>
      <c r="Q679" s="209"/>
      <c r="R679" s="209"/>
      <c r="S679" s="209"/>
      <c r="T679" s="209"/>
      <c r="U679" s="209"/>
      <c r="V679" s="209"/>
      <c r="W679" s="209"/>
      <c r="X679" s="202"/>
      <c r="Y679" s="209"/>
      <c r="Z679" s="209"/>
      <c r="AA679" s="209"/>
      <c r="AB679" s="209"/>
      <c r="AC679" s="209"/>
      <c r="AD679" s="202"/>
      <c r="AE679" s="397">
        <v>45017</v>
      </c>
    </row>
    <row r="680" spans="2:31">
      <c r="B680" s="436" t="s">
        <v>187</v>
      </c>
      <c r="C680" s="209">
        <v>8.5184915548081204</v>
      </c>
      <c r="D680" s="209">
        <v>5.0962648055484498</v>
      </c>
      <c r="E680" s="209">
        <v>9.3021645693288697</v>
      </c>
      <c r="F680" s="209">
        <v>9.0528972065245892</v>
      </c>
      <c r="G680" s="209">
        <v>3.3583153979253502</v>
      </c>
      <c r="H680" s="209">
        <v>2.6634861679402699</v>
      </c>
      <c r="I680" s="209">
        <v>4.3388395482469901</v>
      </c>
      <c r="J680" s="209">
        <v>8.9193558008015295</v>
      </c>
      <c r="K680" s="209">
        <v>8.6276762582378907</v>
      </c>
      <c r="L680" s="202">
        <v>9.3939088422105606</v>
      </c>
      <c r="M680" s="209">
        <v>14.270831109008901</v>
      </c>
      <c r="N680" s="209">
        <v>10.06903502752</v>
      </c>
      <c r="O680" s="209">
        <v>16.085318808675002</v>
      </c>
      <c r="P680" s="209">
        <v>10.405919140999501</v>
      </c>
      <c r="Q680" s="209">
        <v>12.9593833751804</v>
      </c>
      <c r="R680" s="209">
        <v>11.3877861130497</v>
      </c>
      <c r="S680" s="209">
        <v>10.8101422357253</v>
      </c>
      <c r="T680" s="209">
        <v>13.3269124594611</v>
      </c>
      <c r="U680" s="209">
        <v>16.9783480927412</v>
      </c>
      <c r="V680" s="209">
        <v>17.6115826999694</v>
      </c>
      <c r="W680" s="209">
        <v>8.5924706507909701</v>
      </c>
      <c r="X680" s="202">
        <v>6.9357152950227903</v>
      </c>
      <c r="Y680" s="209">
        <v>8.1834407379212095</v>
      </c>
      <c r="Z680" s="209">
        <v>4</v>
      </c>
      <c r="AA680" s="209">
        <v>8.1</v>
      </c>
      <c r="AB680" s="209">
        <v>7.5952662721893498</v>
      </c>
      <c r="AC680" s="209">
        <v>8.7861293550200301</v>
      </c>
      <c r="AD680" s="202">
        <v>9.30867815806468</v>
      </c>
      <c r="AE680" s="210" t="s">
        <v>356</v>
      </c>
    </row>
    <row r="681" spans="2:31">
      <c r="B681" s="436" t="s">
        <v>357</v>
      </c>
      <c r="C681" s="209">
        <v>1.56562917124798</v>
      </c>
      <c r="D681" s="209">
        <v>1.24758789404363</v>
      </c>
      <c r="E681" s="209">
        <v>1.83549579079396</v>
      </c>
      <c r="F681" s="209">
        <v>4.8175949367088604</v>
      </c>
      <c r="G681" s="209">
        <v>2.08141535501708</v>
      </c>
      <c r="H681" s="209">
        <v>2.80544858721019</v>
      </c>
      <c r="I681" s="209">
        <v>2.8078501417625499</v>
      </c>
      <c r="J681" s="209">
        <v>1.48835764389321</v>
      </c>
      <c r="K681" s="209">
        <v>1.4965008302467</v>
      </c>
      <c r="L681" s="202">
        <v>4.1003875429167298</v>
      </c>
      <c r="M681" s="209">
        <v>4.7766814962673703</v>
      </c>
      <c r="N681" s="209">
        <v>4.7367035262356696</v>
      </c>
      <c r="O681" s="209">
        <v>5.0437186951887902</v>
      </c>
      <c r="P681" s="209">
        <v>6.5576489802205797</v>
      </c>
      <c r="Q681" s="209">
        <v>5.7938828176563799</v>
      </c>
      <c r="R681" s="209">
        <v>5.6247281662041297</v>
      </c>
      <c r="S681" s="209">
        <v>5.4922829773856501</v>
      </c>
      <c r="T681" s="209">
        <v>5.0588556261311304</v>
      </c>
      <c r="U681" s="209">
        <v>5.12701898109004</v>
      </c>
      <c r="V681" s="209">
        <v>4.5984333600494702</v>
      </c>
      <c r="W681" s="209">
        <v>4.5514538503738002</v>
      </c>
      <c r="X681" s="202">
        <v>4.44471174204637</v>
      </c>
      <c r="Y681" s="209">
        <v>5.3324500136061497</v>
      </c>
      <c r="Z681" s="209">
        <v>7.1</v>
      </c>
      <c r="AA681" s="209" t="s">
        <v>93</v>
      </c>
      <c r="AB681" s="209">
        <v>3</v>
      </c>
      <c r="AC681" s="209">
        <v>2.4</v>
      </c>
      <c r="AD681" s="202">
        <v>4.6868421052631604</v>
      </c>
      <c r="AE681" s="210" t="s">
        <v>213</v>
      </c>
    </row>
    <row r="682" spans="2:31">
      <c r="B682" s="397">
        <v>45047</v>
      </c>
      <c r="C682" s="209"/>
      <c r="D682" s="209"/>
      <c r="E682" s="209"/>
      <c r="F682" s="209"/>
      <c r="G682" s="209"/>
      <c r="H682" s="209"/>
      <c r="I682" s="209"/>
      <c r="J682" s="209"/>
      <c r="K682" s="209"/>
      <c r="L682" s="202"/>
      <c r="M682" s="209"/>
      <c r="N682" s="209"/>
      <c r="O682" s="209"/>
      <c r="P682" s="209"/>
      <c r="Q682" s="209"/>
      <c r="R682" s="209"/>
      <c r="S682" s="209"/>
      <c r="T682" s="209"/>
      <c r="U682" s="209"/>
      <c r="V682" s="209"/>
      <c r="W682" s="209"/>
      <c r="X682" s="202"/>
      <c r="Y682" s="209"/>
      <c r="Z682" s="209"/>
      <c r="AA682" s="209"/>
      <c r="AB682" s="209"/>
      <c r="AC682" s="209"/>
      <c r="AD682" s="202"/>
      <c r="AE682" s="397">
        <v>45047</v>
      </c>
    </row>
    <row r="683" spans="2:31">
      <c r="B683" s="436" t="s">
        <v>187</v>
      </c>
      <c r="C683" s="209">
        <v>8.5089277384760305</v>
      </c>
      <c r="D683" s="209">
        <v>5.21347996844188</v>
      </c>
      <c r="E683" s="209">
        <v>9.2942095896543808</v>
      </c>
      <c r="F683" s="209">
        <v>3.7121135461097201</v>
      </c>
      <c r="G683" s="209">
        <v>3.7282321226040902</v>
      </c>
      <c r="H683" s="209">
        <v>3.1547567392306002</v>
      </c>
      <c r="I683" s="209">
        <v>5.2868817421269503</v>
      </c>
      <c r="J683" s="209">
        <v>8.8405257773495407</v>
      </c>
      <c r="K683" s="209">
        <v>8.5965939006197498</v>
      </c>
      <c r="L683" s="202">
        <v>9.3658874350420298</v>
      </c>
      <c r="M683" s="209">
        <v>14.2782569264246</v>
      </c>
      <c r="N683" s="209">
        <v>10.126889060963499</v>
      </c>
      <c r="O683" s="209">
        <v>16.046379536572999</v>
      </c>
      <c r="P683" s="209">
        <v>9.8758592616649192</v>
      </c>
      <c r="Q683" s="209">
        <v>11.0452387496677</v>
      </c>
      <c r="R683" s="209">
        <v>11.360065018851399</v>
      </c>
      <c r="S683" s="209">
        <v>10.641301742179699</v>
      </c>
      <c r="T683" s="209">
        <v>13.5937027929276</v>
      </c>
      <c r="U683" s="209">
        <v>16.9077029542117</v>
      </c>
      <c r="V683" s="209">
        <v>17.602359809918301</v>
      </c>
      <c r="W683" s="209">
        <v>8.7211725737942398</v>
      </c>
      <c r="X683" s="202">
        <v>6.9293187542894303</v>
      </c>
      <c r="Y683" s="209">
        <v>7.5484858038101201</v>
      </c>
      <c r="Z683" s="209">
        <v>4</v>
      </c>
      <c r="AA683" s="209">
        <v>7.125</v>
      </c>
      <c r="AB683" s="209">
        <v>7.5952662721893498</v>
      </c>
      <c r="AC683" s="209">
        <v>8.8699999999999992</v>
      </c>
      <c r="AD683" s="202">
        <v>9.30867815806468</v>
      </c>
      <c r="AE683" s="210" t="s">
        <v>356</v>
      </c>
    </row>
    <row r="684" spans="2:31">
      <c r="B684" s="436" t="s">
        <v>357</v>
      </c>
      <c r="C684" s="209">
        <v>1.5955021291628799</v>
      </c>
      <c r="D684" s="209">
        <v>1.2891433726879</v>
      </c>
      <c r="E684" s="209">
        <v>1.85768296977543</v>
      </c>
      <c r="F684" s="209">
        <v>0.91138002149475705</v>
      </c>
      <c r="G684" s="209">
        <v>2.51293164955201</v>
      </c>
      <c r="H684" s="209">
        <v>2.8795102712026699</v>
      </c>
      <c r="I684" s="209">
        <v>2.7842625397776599</v>
      </c>
      <c r="J684" s="209">
        <v>1.5516055127272499</v>
      </c>
      <c r="K684" s="209">
        <v>1.5017051767668901</v>
      </c>
      <c r="L684" s="202">
        <v>4.0052573470766699</v>
      </c>
      <c r="M684" s="209">
        <v>4.7689270805825696</v>
      </c>
      <c r="N684" s="209">
        <v>4.7299248739329096</v>
      </c>
      <c r="O684" s="209">
        <v>5.0253134920377898</v>
      </c>
      <c r="P684" s="209">
        <v>6.5631098104113201</v>
      </c>
      <c r="Q684" s="209">
        <v>3.3403916416422601</v>
      </c>
      <c r="R684" s="209">
        <v>5.61663596099622</v>
      </c>
      <c r="S684" s="209">
        <v>5.7030497099444997</v>
      </c>
      <c r="T684" s="209">
        <v>5.0004503673436904</v>
      </c>
      <c r="U684" s="209">
        <v>5.1710261708120102</v>
      </c>
      <c r="V684" s="209">
        <v>4.6042724119919898</v>
      </c>
      <c r="W684" s="209">
        <v>4.54085466098645</v>
      </c>
      <c r="X684" s="202">
        <v>4.4446227976608004</v>
      </c>
      <c r="Y684" s="209">
        <v>5.1186439592002504</v>
      </c>
      <c r="Z684" s="209">
        <v>5.2051643812588599</v>
      </c>
      <c r="AA684" s="209" t="s">
        <v>93</v>
      </c>
      <c r="AB684" s="209">
        <v>3</v>
      </c>
      <c r="AC684" s="209">
        <v>2.77</v>
      </c>
      <c r="AD684" s="202">
        <v>5.5637335285505101</v>
      </c>
      <c r="AE684" s="210" t="s">
        <v>213</v>
      </c>
    </row>
    <row r="685" spans="2:31">
      <c r="B685" s="397">
        <v>45078</v>
      </c>
      <c r="C685" s="209"/>
      <c r="D685" s="209"/>
      <c r="E685" s="209"/>
      <c r="F685" s="209"/>
      <c r="G685" s="209"/>
      <c r="H685" s="209"/>
      <c r="I685" s="209"/>
      <c r="J685" s="209"/>
      <c r="K685" s="209"/>
      <c r="L685" s="202"/>
      <c r="M685" s="209"/>
      <c r="N685" s="209"/>
      <c r="O685" s="209"/>
      <c r="P685" s="209"/>
      <c r="Q685" s="209"/>
      <c r="R685" s="209"/>
      <c r="S685" s="209"/>
      <c r="T685" s="209"/>
      <c r="U685" s="209"/>
      <c r="V685" s="209"/>
      <c r="W685" s="209"/>
      <c r="X685" s="202"/>
      <c r="Y685" s="209"/>
      <c r="Z685" s="209"/>
      <c r="AA685" s="209"/>
      <c r="AB685" s="209"/>
      <c r="AC685" s="209"/>
      <c r="AD685" s="202"/>
      <c r="AE685" s="397">
        <v>45078</v>
      </c>
    </row>
    <row r="686" spans="2:31">
      <c r="B686" s="436" t="s">
        <v>187</v>
      </c>
      <c r="C686" s="209">
        <v>8.4471814808264796</v>
      </c>
      <c r="D686" s="209">
        <v>5.3055054247456797</v>
      </c>
      <c r="E686" s="209">
        <v>9.2568137191875408</v>
      </c>
      <c r="F686" s="209">
        <v>3.6604552534692698</v>
      </c>
      <c r="G686" s="209">
        <v>3.7432402649431098</v>
      </c>
      <c r="H686" s="209">
        <v>3.2541044549317202</v>
      </c>
      <c r="I686" s="209">
        <v>5.27075973531836</v>
      </c>
      <c r="J686" s="209">
        <v>8.6694027092729797</v>
      </c>
      <c r="K686" s="209">
        <v>8.6281201993508301</v>
      </c>
      <c r="L686" s="202">
        <v>9.4644705399270208</v>
      </c>
      <c r="M686" s="209">
        <v>14.3153650938346</v>
      </c>
      <c r="N686" s="209">
        <v>10.112806990225801</v>
      </c>
      <c r="O686" s="209">
        <v>16.1015688562943</v>
      </c>
      <c r="P686" s="209">
        <v>11.9575541604334</v>
      </c>
      <c r="Q686" s="209">
        <v>10.964059025744699</v>
      </c>
      <c r="R686" s="209">
        <v>11.373937630371699</v>
      </c>
      <c r="S686" s="209">
        <v>10.3351587902481</v>
      </c>
      <c r="T686" s="209">
        <v>13.7260888581726</v>
      </c>
      <c r="U686" s="209">
        <v>16.859954699691201</v>
      </c>
      <c r="V686" s="209">
        <v>17.683546044480199</v>
      </c>
      <c r="W686" s="209">
        <v>8.7332133949507895</v>
      </c>
      <c r="X686" s="202">
        <v>6.8968254760719496</v>
      </c>
      <c r="Y686" s="209">
        <v>8.1887640874355707</v>
      </c>
      <c r="Z686" s="209">
        <v>4.25</v>
      </c>
      <c r="AA686" s="209">
        <v>6.15</v>
      </c>
      <c r="AB686" s="209">
        <v>7.5952662721893498</v>
      </c>
      <c r="AC686" s="209">
        <v>8.7861293550200301</v>
      </c>
      <c r="AD686" s="202">
        <v>9.3188542644081203</v>
      </c>
      <c r="AE686" s="210" t="s">
        <v>356</v>
      </c>
    </row>
    <row r="687" spans="2:31">
      <c r="B687" s="436" t="s">
        <v>357</v>
      </c>
      <c r="C687" s="209">
        <v>1.63928747580419</v>
      </c>
      <c r="D687" s="209">
        <v>1.36460904307526</v>
      </c>
      <c r="E687" s="209">
        <v>1.8731617770578199</v>
      </c>
      <c r="F687" s="209">
        <v>0.79804695683583204</v>
      </c>
      <c r="G687" s="209">
        <v>3.0085318932412899</v>
      </c>
      <c r="H687" s="209">
        <v>2.5577526911966899</v>
      </c>
      <c r="I687" s="209">
        <v>3.30600823411568</v>
      </c>
      <c r="J687" s="209">
        <v>1.58712598690928</v>
      </c>
      <c r="K687" s="209">
        <v>1.5541087222513501</v>
      </c>
      <c r="L687" s="202">
        <v>3.9267817071632898</v>
      </c>
      <c r="M687" s="209">
        <v>4.8706178673976996</v>
      </c>
      <c r="N687" s="209">
        <v>4.8471896864227402</v>
      </c>
      <c r="O687" s="209">
        <v>5.0306433812411102</v>
      </c>
      <c r="P687" s="209">
        <v>6.54219872056282</v>
      </c>
      <c r="Q687" s="209">
        <v>4.6448476537645398</v>
      </c>
      <c r="R687" s="209">
        <v>5.5095058294005304</v>
      </c>
      <c r="S687" s="209">
        <v>5.9834480930324299</v>
      </c>
      <c r="T687" s="209">
        <v>5.1520608932825303</v>
      </c>
      <c r="U687" s="209">
        <v>5.6866959007050601</v>
      </c>
      <c r="V687" s="209">
        <v>4.6161138007667804</v>
      </c>
      <c r="W687" s="209">
        <v>4.5302953498329499</v>
      </c>
      <c r="X687" s="202">
        <v>4.4315238759466498</v>
      </c>
      <c r="Y687" s="209">
        <v>5.4857136657618204</v>
      </c>
      <c r="Z687" s="209">
        <v>6.6768774703557296</v>
      </c>
      <c r="AA687" s="209" t="s">
        <v>93</v>
      </c>
      <c r="AB687" s="209">
        <v>3</v>
      </c>
      <c r="AC687" s="209">
        <v>2.77</v>
      </c>
      <c r="AD687" s="202">
        <v>5.5581723079896603</v>
      </c>
      <c r="AE687" s="210" t="s">
        <v>213</v>
      </c>
    </row>
    <row r="688" spans="2:31">
      <c r="B688" s="397">
        <v>45108</v>
      </c>
      <c r="C688" s="209"/>
      <c r="D688" s="209"/>
      <c r="E688" s="209"/>
      <c r="F688" s="209"/>
      <c r="G688" s="209"/>
      <c r="H688" s="209"/>
      <c r="I688" s="209"/>
      <c r="J688" s="209"/>
      <c r="K688" s="209"/>
      <c r="L688" s="202"/>
      <c r="M688" s="209"/>
      <c r="N688" s="209"/>
      <c r="O688" s="209"/>
      <c r="P688" s="209"/>
      <c r="Q688" s="209"/>
      <c r="R688" s="209"/>
      <c r="S688" s="209"/>
      <c r="T688" s="209"/>
      <c r="U688" s="209"/>
      <c r="V688" s="209"/>
      <c r="W688" s="209"/>
      <c r="X688" s="202"/>
      <c r="Y688" s="209"/>
      <c r="Z688" s="209"/>
      <c r="AA688" s="209"/>
      <c r="AB688" s="209"/>
      <c r="AC688" s="209"/>
      <c r="AD688" s="202"/>
      <c r="AE688" s="397">
        <v>45108</v>
      </c>
    </row>
    <row r="689" spans="2:32">
      <c r="B689" s="436" t="s">
        <v>187</v>
      </c>
      <c r="C689" s="209">
        <v>8.3853959927454493</v>
      </c>
      <c r="D689" s="209">
        <v>5.4311237017009102</v>
      </c>
      <c r="E689" s="209">
        <v>9.2246259550186291</v>
      </c>
      <c r="F689" s="209">
        <v>3.7200551423441901</v>
      </c>
      <c r="G689" s="209">
        <v>4.0714655562596196</v>
      </c>
      <c r="H689" s="209">
        <v>3.8429174494577398</v>
      </c>
      <c r="I689" s="209">
        <v>6.1627454614867698</v>
      </c>
      <c r="J689" s="209">
        <v>8.5656192919634897</v>
      </c>
      <c r="K689" s="209">
        <v>8.5796052566140197</v>
      </c>
      <c r="L689" s="202">
        <v>9.4148752194804093</v>
      </c>
      <c r="M689" s="209">
        <v>14.2813789909953</v>
      </c>
      <c r="N689" s="209">
        <v>10.1337634247843</v>
      </c>
      <c r="O689" s="209">
        <v>16.0603926086347</v>
      </c>
      <c r="P689" s="209">
        <v>11.479834830262901</v>
      </c>
      <c r="Q689" s="209">
        <v>10.386988298432</v>
      </c>
      <c r="R689" s="209">
        <v>11.311216237448701</v>
      </c>
      <c r="S689" s="209">
        <v>10.468561926151301</v>
      </c>
      <c r="T689" s="209">
        <v>13.770134353241099</v>
      </c>
      <c r="U689" s="209">
        <v>16.777097184979699</v>
      </c>
      <c r="V689" s="209">
        <v>17.6368317326823</v>
      </c>
      <c r="W689" s="209">
        <v>8.8567018741306693</v>
      </c>
      <c r="X689" s="202">
        <v>6.9175597108325704</v>
      </c>
      <c r="Y689" s="209">
        <v>8.9687144965467702</v>
      </c>
      <c r="Z689" s="209" t="s">
        <v>93</v>
      </c>
      <c r="AA689" s="209">
        <v>6.15</v>
      </c>
      <c r="AB689" s="209">
        <v>9.5212799005902493</v>
      </c>
      <c r="AC689" s="209">
        <v>8.7861293550200301</v>
      </c>
      <c r="AD689" s="202">
        <v>9.3188542644081203</v>
      </c>
      <c r="AE689" s="210" t="s">
        <v>356</v>
      </c>
    </row>
    <row r="690" spans="2:32">
      <c r="B690" s="436" t="s">
        <v>357</v>
      </c>
      <c r="C690" s="209">
        <v>1.78452736329281</v>
      </c>
      <c r="D690" s="209">
        <v>1.6738695689371299</v>
      </c>
      <c r="E690" s="209">
        <v>1.89121458438928</v>
      </c>
      <c r="F690" s="209">
        <v>0.81910540175076496</v>
      </c>
      <c r="G690" s="209">
        <v>2.9613140607656598</v>
      </c>
      <c r="H690" s="209">
        <v>1.37894134192724</v>
      </c>
      <c r="I690" s="209">
        <v>3.2748537552149601</v>
      </c>
      <c r="J690" s="209">
        <v>1.68295266986514</v>
      </c>
      <c r="K690" s="209">
        <v>1.7833708339855601</v>
      </c>
      <c r="L690" s="202">
        <v>3.81641836140561</v>
      </c>
      <c r="M690" s="209">
        <v>4.9620718225926801</v>
      </c>
      <c r="N690" s="209">
        <v>4.9479980502655296</v>
      </c>
      <c r="O690" s="209">
        <v>5.0673913084106497</v>
      </c>
      <c r="P690" s="209">
        <v>6.7620070913350503</v>
      </c>
      <c r="Q690" s="209">
        <v>4.6004954892300303</v>
      </c>
      <c r="R690" s="209">
        <v>5.6038043446487498</v>
      </c>
      <c r="S690" s="209">
        <v>6.04561622624386</v>
      </c>
      <c r="T690" s="209">
        <v>5.1782852950316203</v>
      </c>
      <c r="U690" s="209">
        <v>5.6537198760344998</v>
      </c>
      <c r="V690" s="209">
        <v>4.6193344118843997</v>
      </c>
      <c r="W690" s="209">
        <v>4.8405605675093604</v>
      </c>
      <c r="X690" s="202">
        <v>4.4374424120288998</v>
      </c>
      <c r="Y690" s="209">
        <v>5.77</v>
      </c>
      <c r="Z690" s="209">
        <v>7.25</v>
      </c>
      <c r="AA690" s="209">
        <v>7</v>
      </c>
      <c r="AB690" s="209">
        <v>3</v>
      </c>
      <c r="AC690" s="209">
        <v>3.0150000000000001</v>
      </c>
      <c r="AD690" s="202">
        <v>5.6836920008529699</v>
      </c>
      <c r="AE690" s="210" t="s">
        <v>213</v>
      </c>
    </row>
    <row r="691" spans="2:32">
      <c r="B691" s="397">
        <v>45139</v>
      </c>
      <c r="C691" s="209"/>
      <c r="D691" s="209"/>
      <c r="E691" s="209"/>
      <c r="F691" s="209"/>
      <c r="G691" s="209"/>
      <c r="H691" s="209"/>
      <c r="I691" s="209"/>
      <c r="J691" s="209"/>
      <c r="K691" s="209"/>
      <c r="L691" s="202"/>
      <c r="M691" s="209"/>
      <c r="N691" s="209"/>
      <c r="O691" s="209"/>
      <c r="P691" s="209"/>
      <c r="Q691" s="209"/>
      <c r="R691" s="209"/>
      <c r="S691" s="209"/>
      <c r="T691" s="209"/>
      <c r="U691" s="209"/>
      <c r="V691" s="209"/>
      <c r="W691" s="209"/>
      <c r="X691" s="202"/>
      <c r="Y691" s="209"/>
      <c r="Z691" s="209"/>
      <c r="AA691" s="209"/>
      <c r="AB691" s="209"/>
      <c r="AC691" s="209"/>
      <c r="AD691" s="202"/>
      <c r="AE691" s="397">
        <v>45139</v>
      </c>
    </row>
    <row r="692" spans="2:32">
      <c r="B692" s="436" t="s">
        <v>187</v>
      </c>
      <c r="C692" s="209">
        <v>8.3773557442175299</v>
      </c>
      <c r="D692" s="209">
        <v>5.4758750207010003</v>
      </c>
      <c r="E692" s="209">
        <v>9.2372276692831292</v>
      </c>
      <c r="F692" s="209">
        <v>4.0902152283200701</v>
      </c>
      <c r="G692" s="209">
        <v>3.47501210640623</v>
      </c>
      <c r="H692" s="209">
        <v>3.90462706384361</v>
      </c>
      <c r="I692" s="209">
        <v>6.1340742459516804</v>
      </c>
      <c r="J692" s="209">
        <v>8.5440783776318092</v>
      </c>
      <c r="K692" s="209">
        <v>8.6417389703494401</v>
      </c>
      <c r="L692" s="202">
        <v>9.0761120793728001</v>
      </c>
      <c r="M692" s="209">
        <v>14.2711393574337</v>
      </c>
      <c r="N692" s="209">
        <v>10.1418851842379</v>
      </c>
      <c r="O692" s="209">
        <v>15.9850945492067</v>
      </c>
      <c r="P692" s="209">
        <v>13.263792452958601</v>
      </c>
      <c r="Q692" s="209">
        <v>9.0563819862171808</v>
      </c>
      <c r="R692" s="209">
        <v>11.250538865860699</v>
      </c>
      <c r="S692" s="209">
        <v>10.0856584540198</v>
      </c>
      <c r="T692" s="209">
        <v>14.3458891386319</v>
      </c>
      <c r="U692" s="209">
        <v>16.5646258863589</v>
      </c>
      <c r="V692" s="209">
        <v>17.618840206443</v>
      </c>
      <c r="W692" s="209">
        <v>8.91337237504057</v>
      </c>
      <c r="X692" s="202">
        <v>6.9197345240479304</v>
      </c>
      <c r="Y692" s="209">
        <v>9.0491879922542608</v>
      </c>
      <c r="Z692" s="209" t="s">
        <v>93</v>
      </c>
      <c r="AA692" s="209">
        <v>7</v>
      </c>
      <c r="AB692" s="209">
        <v>9.5212799005902493</v>
      </c>
      <c r="AC692" s="209">
        <v>8.7861293550200301</v>
      </c>
      <c r="AD692" s="202">
        <v>9.36</v>
      </c>
      <c r="AE692" s="210" t="s">
        <v>356</v>
      </c>
    </row>
    <row r="693" spans="2:32">
      <c r="B693" s="436" t="s">
        <v>357</v>
      </c>
      <c r="C693" s="209">
        <v>1.8713594672178999</v>
      </c>
      <c r="D693" s="209">
        <v>1.83796366819692</v>
      </c>
      <c r="E693" s="209">
        <v>1.9040823902956301</v>
      </c>
      <c r="F693" s="209">
        <v>0.69665716512764497</v>
      </c>
      <c r="G693" s="209">
        <v>2.8052263235352601</v>
      </c>
      <c r="H693" s="209">
        <v>2.9241645182367901</v>
      </c>
      <c r="I693" s="209">
        <v>1.0842505660005199</v>
      </c>
      <c r="J693" s="209">
        <v>1.71477695199615</v>
      </c>
      <c r="K693" s="209">
        <v>1.9194500792103399</v>
      </c>
      <c r="L693" s="202">
        <v>3.8150334750280401</v>
      </c>
      <c r="M693" s="209">
        <v>5.0030672625074404</v>
      </c>
      <c r="N693" s="209">
        <v>4.9750693274405702</v>
      </c>
      <c r="O693" s="209">
        <v>5.3010017930095996</v>
      </c>
      <c r="P693" s="209">
        <v>6.7301322536850501</v>
      </c>
      <c r="Q693" s="209">
        <v>4.2744444469647203</v>
      </c>
      <c r="R693" s="209">
        <v>5.5920530420895602</v>
      </c>
      <c r="S693" s="209">
        <v>6.1457093346946801</v>
      </c>
      <c r="T693" s="209">
        <v>5.3362904642040903</v>
      </c>
      <c r="U693" s="209">
        <v>8.4653791506145399</v>
      </c>
      <c r="V693" s="209">
        <v>4.0371234839716497</v>
      </c>
      <c r="W693" s="209">
        <v>3.5729593348889201</v>
      </c>
      <c r="X693" s="202">
        <v>4.4296685634917701</v>
      </c>
      <c r="Y693" s="209">
        <v>5.9370555734409898</v>
      </c>
      <c r="Z693" s="209">
        <v>8</v>
      </c>
      <c r="AA693" s="209">
        <v>7.25</v>
      </c>
      <c r="AB693" s="209" t="s">
        <v>93</v>
      </c>
      <c r="AC693" s="209">
        <v>3.69</v>
      </c>
      <c r="AD693" s="202">
        <v>5.9261679576539503</v>
      </c>
      <c r="AE693" s="210" t="s">
        <v>213</v>
      </c>
    </row>
    <row r="694" spans="2:32">
      <c r="B694" s="397">
        <v>45170</v>
      </c>
      <c r="C694" s="209"/>
      <c r="D694" s="209"/>
      <c r="E694" s="209"/>
      <c r="F694" s="209"/>
      <c r="G694" s="209"/>
      <c r="H694" s="209"/>
      <c r="I694" s="209"/>
      <c r="J694" s="209"/>
      <c r="K694" s="209"/>
      <c r="L694" s="202"/>
      <c r="M694" s="209"/>
      <c r="N694" s="209"/>
      <c r="O694" s="209"/>
      <c r="P694" s="209"/>
      <c r="Q694" s="209"/>
      <c r="R694" s="209"/>
      <c r="S694" s="209"/>
      <c r="T694" s="209"/>
      <c r="U694" s="209"/>
      <c r="V694" s="209"/>
      <c r="W694" s="209"/>
      <c r="X694" s="202"/>
      <c r="Y694" s="209"/>
      <c r="Z694" s="209"/>
      <c r="AA694" s="209"/>
      <c r="AB694" s="209"/>
      <c r="AC694" s="209"/>
      <c r="AD694" s="202"/>
      <c r="AE694" s="397">
        <v>45170</v>
      </c>
    </row>
    <row r="695" spans="2:32">
      <c r="B695" s="436" t="s">
        <v>187</v>
      </c>
      <c r="C695" s="209">
        <v>8.3563065039579705</v>
      </c>
      <c r="D695" s="209">
        <v>5.62206208973919</v>
      </c>
      <c r="E695" s="209">
        <v>9.2525759443630005</v>
      </c>
      <c r="F695" s="209">
        <v>3.9263851191041099</v>
      </c>
      <c r="G695" s="209">
        <v>3.2769613246912401</v>
      </c>
      <c r="H695" s="209">
        <v>4.9875124186419697</v>
      </c>
      <c r="I695" s="209">
        <v>4.9628431031553601</v>
      </c>
      <c r="J695" s="209">
        <v>8.5244824103153594</v>
      </c>
      <c r="K695" s="209">
        <v>8.6517262483639392</v>
      </c>
      <c r="L695" s="202">
        <v>9.0593947690487209</v>
      </c>
      <c r="M695" s="209">
        <v>14.2929304423752</v>
      </c>
      <c r="N695" s="209">
        <v>10.1454909744968</v>
      </c>
      <c r="O695" s="209">
        <v>15.987291911717101</v>
      </c>
      <c r="P695" s="209">
        <v>13.029487579342801</v>
      </c>
      <c r="Q695" s="209">
        <v>9.9086846728016198</v>
      </c>
      <c r="R695" s="209">
        <v>11.283781988606799</v>
      </c>
      <c r="S695" s="209">
        <v>10.0978358455255</v>
      </c>
      <c r="T695" s="209">
        <v>14.425763238967001</v>
      </c>
      <c r="U695" s="209">
        <v>16.4689895010304</v>
      </c>
      <c r="V695" s="209">
        <v>17.6494230968446</v>
      </c>
      <c r="W695" s="209">
        <v>9.0656773901818699</v>
      </c>
      <c r="X695" s="202">
        <v>6.9215772915071003</v>
      </c>
      <c r="Y695" s="209">
        <v>9.0820673326317305</v>
      </c>
      <c r="Z695" s="209" t="s">
        <v>93</v>
      </c>
      <c r="AA695" s="209">
        <v>7</v>
      </c>
      <c r="AB695" s="209">
        <v>9.5212799005902493</v>
      </c>
      <c r="AC695" s="209">
        <v>8.8699999999999992</v>
      </c>
      <c r="AD695" s="202">
        <v>9.36</v>
      </c>
      <c r="AE695" s="210" t="s">
        <v>356</v>
      </c>
    </row>
    <row r="696" spans="2:32">
      <c r="B696" s="436" t="s">
        <v>357</v>
      </c>
      <c r="C696" s="209">
        <v>1.8876366900172199</v>
      </c>
      <c r="D696" s="209">
        <v>1.8507020325560799</v>
      </c>
      <c r="E696" s="209">
        <v>1.9246553400842701</v>
      </c>
      <c r="F696" s="209">
        <v>1.28864027740731</v>
      </c>
      <c r="G696" s="209">
        <v>2.09649353926013</v>
      </c>
      <c r="H696" s="209">
        <v>2.9549807487701001</v>
      </c>
      <c r="I696" s="209">
        <v>1.07231042430267</v>
      </c>
      <c r="J696" s="209">
        <v>1.73778554735215</v>
      </c>
      <c r="K696" s="209">
        <v>1.9320316943740601</v>
      </c>
      <c r="L696" s="202">
        <v>3.7689638776697398</v>
      </c>
      <c r="M696" s="209">
        <v>4.9973024292736303</v>
      </c>
      <c r="N696" s="209">
        <v>4.97086852114575</v>
      </c>
      <c r="O696" s="209">
        <v>5.27827778695376</v>
      </c>
      <c r="P696" s="209">
        <v>6.5885893311075501</v>
      </c>
      <c r="Q696" s="209">
        <v>4.2047525690306804</v>
      </c>
      <c r="R696" s="209">
        <v>5.62496756661068</v>
      </c>
      <c r="S696" s="209">
        <v>6.2699473770174201</v>
      </c>
      <c r="T696" s="209">
        <v>5.2634720200449197</v>
      </c>
      <c r="U696" s="209">
        <v>8.4132773104478193</v>
      </c>
      <c r="V696" s="209">
        <v>4.0422861272034201</v>
      </c>
      <c r="W696" s="209">
        <v>3.56111712250837</v>
      </c>
      <c r="X696" s="202">
        <v>4.4267806100100797</v>
      </c>
      <c r="Y696" s="209">
        <v>6.8505692647688301</v>
      </c>
      <c r="Z696" s="209">
        <v>11.38</v>
      </c>
      <c r="AA696" s="209">
        <v>7.25</v>
      </c>
      <c r="AB696" s="209" t="s">
        <v>93</v>
      </c>
      <c r="AC696" s="209">
        <v>3.69</v>
      </c>
      <c r="AD696" s="202">
        <v>5.9030356431541904</v>
      </c>
      <c r="AE696" s="210" t="s">
        <v>213</v>
      </c>
    </row>
    <row r="697" spans="2:32">
      <c r="B697" s="397">
        <v>45200</v>
      </c>
      <c r="C697" s="209"/>
      <c r="D697" s="209"/>
      <c r="E697" s="209"/>
      <c r="F697" s="209"/>
      <c r="G697" s="209"/>
      <c r="H697" s="209"/>
      <c r="I697" s="209"/>
      <c r="J697" s="209"/>
      <c r="K697" s="209"/>
      <c r="L697" s="202"/>
      <c r="M697" s="209"/>
      <c r="N697" s="209"/>
      <c r="O697" s="209"/>
      <c r="P697" s="209"/>
      <c r="Q697" s="209"/>
      <c r="R697" s="209"/>
      <c r="S697" s="209"/>
      <c r="T697" s="209"/>
      <c r="U697" s="209"/>
      <c r="V697" s="209"/>
      <c r="W697" s="209"/>
      <c r="X697" s="202"/>
      <c r="Y697" s="209"/>
      <c r="Z697" s="209"/>
      <c r="AA697" s="209"/>
      <c r="AB697" s="209"/>
      <c r="AC697" s="209"/>
      <c r="AD697" s="202"/>
      <c r="AE697" s="397">
        <v>45200</v>
      </c>
    </row>
    <row r="698" spans="2:32">
      <c r="B698" s="436" t="s">
        <v>187</v>
      </c>
      <c r="C698" s="209">
        <v>8.3271786922668003</v>
      </c>
      <c r="D698" s="209">
        <v>5.5980697394133001</v>
      </c>
      <c r="E698" s="209">
        <v>9.2609919540112706</v>
      </c>
      <c r="F698" s="209">
        <v>2.8759851911892</v>
      </c>
      <c r="G698" s="209">
        <v>3.96858802864773</v>
      </c>
      <c r="H698" s="209">
        <v>4.6361191445207499</v>
      </c>
      <c r="I698" s="209">
        <v>4.9667630483912903</v>
      </c>
      <c r="J698" s="209">
        <v>8.5026595942363805</v>
      </c>
      <c r="K698" s="209">
        <v>8.6666707243532599</v>
      </c>
      <c r="L698" s="202">
        <v>9.0503574949119798</v>
      </c>
      <c r="M698" s="209">
        <v>14.294579006932</v>
      </c>
      <c r="N698" s="209">
        <v>10.151941197970499</v>
      </c>
      <c r="O698" s="209">
        <v>15.983881301756499</v>
      </c>
      <c r="P698" s="209">
        <v>12.237070647373301</v>
      </c>
      <c r="Q698" s="209">
        <v>10.6123892686365</v>
      </c>
      <c r="R698" s="209">
        <v>11.0486594666913</v>
      </c>
      <c r="S698" s="209">
        <v>10.1701237650596</v>
      </c>
      <c r="T698" s="209">
        <v>14.477008409883</v>
      </c>
      <c r="U698" s="209">
        <v>16.3426983864567</v>
      </c>
      <c r="V698" s="209">
        <v>17.648398101731701</v>
      </c>
      <c r="W698" s="209">
        <v>9.1572724005592701</v>
      </c>
      <c r="X698" s="202">
        <v>6.9431356728238898</v>
      </c>
      <c r="Y698" s="209">
        <v>9.5043095741702199</v>
      </c>
      <c r="Z698" s="209" t="s">
        <v>93</v>
      </c>
      <c r="AA698" s="209">
        <v>7</v>
      </c>
      <c r="AB698" s="209">
        <v>10.3398570984778</v>
      </c>
      <c r="AC698" s="209">
        <v>9</v>
      </c>
      <c r="AD698" s="202">
        <v>9.8000000000000007</v>
      </c>
      <c r="AE698" s="210" t="s">
        <v>356</v>
      </c>
    </row>
    <row r="699" spans="2:32">
      <c r="B699" s="436" t="s">
        <v>357</v>
      </c>
      <c r="C699" s="209">
        <v>1.9459297546480301</v>
      </c>
      <c r="D699" s="209">
        <v>1.9203047535183999</v>
      </c>
      <c r="E699" s="209">
        <v>1.9718913574263</v>
      </c>
      <c r="F699" s="209">
        <v>1.70617010724692</v>
      </c>
      <c r="G699" s="209">
        <v>2.8292183212056199</v>
      </c>
      <c r="H699" s="209">
        <v>2.8364283280548599</v>
      </c>
      <c r="I699" s="209">
        <v>0.75629555894478695</v>
      </c>
      <c r="J699" s="209">
        <v>1.8055216600237101</v>
      </c>
      <c r="K699" s="209">
        <v>1.9921417375257999</v>
      </c>
      <c r="L699" s="202">
        <v>3.7628549797556698</v>
      </c>
      <c r="M699" s="209">
        <v>5.0624689523759301</v>
      </c>
      <c r="N699" s="209">
        <v>5.0519623067959998</v>
      </c>
      <c r="O699" s="209">
        <v>5.1707524671192697</v>
      </c>
      <c r="P699" s="209">
        <v>6.4350132257119501</v>
      </c>
      <c r="Q699" s="209">
        <v>3.6509648097682099</v>
      </c>
      <c r="R699" s="209">
        <v>5.2850470010172801</v>
      </c>
      <c r="S699" s="209">
        <v>5.87332977028972</v>
      </c>
      <c r="T699" s="209">
        <v>5.3394573148889499</v>
      </c>
      <c r="U699" s="209">
        <v>8.3585040759398801</v>
      </c>
      <c r="V699" s="209">
        <v>4.1667360595245597</v>
      </c>
      <c r="W699" s="209">
        <v>3.7502424183473102</v>
      </c>
      <c r="X699" s="202">
        <v>4.4234873407845203</v>
      </c>
      <c r="Y699" s="209">
        <v>6.0680916227662403</v>
      </c>
      <c r="Z699" s="209">
        <v>11.85</v>
      </c>
      <c r="AA699" s="209">
        <v>7.25</v>
      </c>
      <c r="AB699" s="209" t="s">
        <v>93</v>
      </c>
      <c r="AC699" s="209">
        <v>3.69</v>
      </c>
      <c r="AD699" s="202">
        <v>5.8908370185736096</v>
      </c>
      <c r="AE699" s="210" t="s">
        <v>213</v>
      </c>
    </row>
    <row r="700" spans="2:32">
      <c r="B700" s="397">
        <v>45231</v>
      </c>
      <c r="C700" s="209"/>
      <c r="D700" s="209"/>
      <c r="E700" s="209"/>
      <c r="F700" s="209"/>
      <c r="G700" s="209"/>
      <c r="H700" s="209"/>
      <c r="I700" s="209"/>
      <c r="J700" s="209"/>
      <c r="K700" s="209"/>
      <c r="L700" s="202"/>
      <c r="M700" s="209"/>
      <c r="N700" s="223"/>
      <c r="O700" s="209"/>
      <c r="P700" s="209"/>
      <c r="Q700" s="209"/>
      <c r="R700" s="209"/>
      <c r="S700" s="209"/>
      <c r="T700" s="209"/>
      <c r="U700" s="209"/>
      <c r="V700" s="209"/>
      <c r="W700" s="209"/>
      <c r="X700" s="202"/>
      <c r="Y700" s="209"/>
      <c r="Z700" s="209"/>
      <c r="AA700" s="209"/>
      <c r="AB700" s="209"/>
      <c r="AC700" s="209"/>
      <c r="AD700" s="202"/>
      <c r="AE700" s="397">
        <v>45231</v>
      </c>
    </row>
    <row r="701" spans="2:32">
      <c r="B701" s="436" t="s">
        <v>187</v>
      </c>
      <c r="C701" s="209">
        <v>8.2071245279318692</v>
      </c>
      <c r="D701" s="209">
        <v>5.6290513279957199</v>
      </c>
      <c r="E701" s="209">
        <v>9.2071129779423995</v>
      </c>
      <c r="F701" s="209">
        <v>4.1912712754780399</v>
      </c>
      <c r="G701" s="209">
        <v>4.2788680239576804</v>
      </c>
      <c r="H701" s="209">
        <v>4.5000444775288502</v>
      </c>
      <c r="I701" s="209">
        <v>4.8562337501975401</v>
      </c>
      <c r="J701" s="209">
        <v>8.4361013385733905</v>
      </c>
      <c r="K701" s="209">
        <v>8.6581828115417707</v>
      </c>
      <c r="L701" s="202">
        <v>8.0819756147886999</v>
      </c>
      <c r="M701" s="209">
        <v>14.3791481058988</v>
      </c>
      <c r="N701" s="209">
        <v>10.181821052110401</v>
      </c>
      <c r="O701" s="209">
        <v>16.057802136999999</v>
      </c>
      <c r="P701" s="209">
        <v>12.179374623225501</v>
      </c>
      <c r="Q701" s="223">
        <v>12.4141693056108</v>
      </c>
      <c r="R701" s="209">
        <v>10.1366702990444</v>
      </c>
      <c r="S701" s="209">
        <v>10.0216941940479</v>
      </c>
      <c r="T701" s="209">
        <v>14.5910042672977</v>
      </c>
      <c r="U701" s="209">
        <v>16.286243969972499</v>
      </c>
      <c r="V701" s="209">
        <v>17.722378405821399</v>
      </c>
      <c r="W701" s="209">
        <v>9.2705018246711006</v>
      </c>
      <c r="X701" s="202">
        <v>6.97394549726818</v>
      </c>
      <c r="Y701" s="209">
        <v>9.76715705291471</v>
      </c>
      <c r="Z701" s="209" t="s">
        <v>93</v>
      </c>
      <c r="AA701" s="209" t="s">
        <v>93</v>
      </c>
      <c r="AB701" s="209">
        <v>10.1360032526936</v>
      </c>
      <c r="AC701" s="209">
        <v>9</v>
      </c>
      <c r="AD701" s="442">
        <v>9.8000000000000007</v>
      </c>
      <c r="AE701" s="210" t="s">
        <v>356</v>
      </c>
      <c r="AF701" s="213"/>
    </row>
    <row r="702" spans="2:32">
      <c r="B702" s="436" t="s">
        <v>357</v>
      </c>
      <c r="C702" s="209">
        <v>1.95537340307257</v>
      </c>
      <c r="D702" s="209">
        <v>1.8944552074540799</v>
      </c>
      <c r="E702" s="209">
        <v>2.0168692739285201</v>
      </c>
      <c r="F702" s="209">
        <v>1.8906202964652199</v>
      </c>
      <c r="G702" s="209">
        <v>1.86793384693804</v>
      </c>
      <c r="H702" s="209">
        <v>2.9270822712095899</v>
      </c>
      <c r="I702" s="209">
        <v>0.72281398405241903</v>
      </c>
      <c r="J702" s="209">
        <v>1.8559104197434</v>
      </c>
      <c r="K702" s="209">
        <v>1.97757144427092</v>
      </c>
      <c r="L702" s="202">
        <v>3.88401561521917</v>
      </c>
      <c r="M702" s="209">
        <v>5.1287103470581004</v>
      </c>
      <c r="N702" s="209">
        <v>5.1578736422983198</v>
      </c>
      <c r="O702" s="209">
        <v>4.78412381512869</v>
      </c>
      <c r="P702" s="209">
        <v>6.8413638773690604</v>
      </c>
      <c r="Q702" s="209">
        <v>3.1946040389167001</v>
      </c>
      <c r="R702" s="209">
        <v>5.2234769687813998</v>
      </c>
      <c r="S702" s="209">
        <v>5.5174056815798096</v>
      </c>
      <c r="T702" s="209">
        <v>5.4544925328195797</v>
      </c>
      <c r="U702" s="209">
        <v>8.4366427453964494</v>
      </c>
      <c r="V702" s="209">
        <v>4.1300443608073296</v>
      </c>
      <c r="W702" s="209">
        <v>4.2841734616301803</v>
      </c>
      <c r="X702" s="202">
        <v>4.4210129620038101</v>
      </c>
      <c r="Y702" s="209">
        <v>6.4307310006237604</v>
      </c>
      <c r="Z702" s="209">
        <v>13.7</v>
      </c>
      <c r="AA702" s="209" t="s">
        <v>93</v>
      </c>
      <c r="AB702" s="209"/>
      <c r="AC702" s="209">
        <v>5.8066666666666702</v>
      </c>
      <c r="AD702" s="202">
        <v>5.9678861919305604</v>
      </c>
      <c r="AE702" s="210" t="s">
        <v>213</v>
      </c>
    </row>
    <row r="703" spans="2:32">
      <c r="B703" s="397">
        <v>45261</v>
      </c>
      <c r="C703" s="209"/>
      <c r="D703" s="209"/>
      <c r="E703" s="209"/>
      <c r="F703" s="209"/>
      <c r="G703" s="209"/>
      <c r="H703" s="209"/>
      <c r="I703" s="209"/>
      <c r="J703" s="209"/>
      <c r="K703" s="209"/>
      <c r="L703" s="202"/>
      <c r="M703" s="209"/>
      <c r="N703" s="209"/>
      <c r="O703" s="209"/>
      <c r="P703" s="209"/>
      <c r="Q703" s="209"/>
      <c r="R703" s="209"/>
      <c r="S703" s="209"/>
      <c r="T703" s="209"/>
      <c r="U703" s="209"/>
      <c r="V703" s="209"/>
      <c r="W703" s="209"/>
      <c r="X703" s="202"/>
      <c r="Y703" s="209"/>
      <c r="Z703" s="209"/>
      <c r="AA703" s="209"/>
      <c r="AB703" s="209"/>
      <c r="AC703" s="209"/>
      <c r="AD703" s="202"/>
      <c r="AE703" s="397">
        <v>45261</v>
      </c>
    </row>
    <row r="704" spans="2:32">
      <c r="B704" s="436" t="s">
        <v>187</v>
      </c>
      <c r="C704" s="209">
        <v>8.2200568020037004</v>
      </c>
      <c r="D704" s="209">
        <v>5.6626923926175801</v>
      </c>
      <c r="E704" s="209">
        <v>9.2289046054371404</v>
      </c>
      <c r="F704" s="209">
        <v>4.78526725934874</v>
      </c>
      <c r="G704" s="209">
        <v>4.4906126842017002</v>
      </c>
      <c r="H704" s="209">
        <v>4.6947826037938603</v>
      </c>
      <c r="I704" s="209">
        <v>4.8581566195648698</v>
      </c>
      <c r="J704" s="209">
        <v>8.4417684594680704</v>
      </c>
      <c r="K704" s="209">
        <v>8.7060654643226805</v>
      </c>
      <c r="L704" s="202">
        <v>8.1223117673275897</v>
      </c>
      <c r="M704" s="209">
        <v>14.343184466366299</v>
      </c>
      <c r="N704" s="209">
        <v>10.1707714730976</v>
      </c>
      <c r="O704" s="209">
        <v>16.005787092354801</v>
      </c>
      <c r="P704" s="209">
        <v>11.908013306064801</v>
      </c>
      <c r="Q704" s="209">
        <v>11.493337125654801</v>
      </c>
      <c r="R704" s="209">
        <v>10.128854582203299</v>
      </c>
      <c r="S704" s="209">
        <v>10.174766932219599</v>
      </c>
      <c r="T704" s="209">
        <v>14.576669858465101</v>
      </c>
      <c r="U704" s="209">
        <v>16.3025370311267</v>
      </c>
      <c r="V704" s="209">
        <v>17.730529335132001</v>
      </c>
      <c r="W704" s="209">
        <v>9.1710343624985597</v>
      </c>
      <c r="X704" s="202">
        <v>6.93662942823675</v>
      </c>
      <c r="Y704" s="209">
        <v>9.6520349812933901</v>
      </c>
      <c r="Z704" s="209" t="s">
        <v>93</v>
      </c>
      <c r="AA704" s="209" t="s">
        <v>93</v>
      </c>
      <c r="AB704" s="209">
        <v>9.75</v>
      </c>
      <c r="AC704" s="209">
        <v>9</v>
      </c>
      <c r="AD704" s="202">
        <v>9.8000000000000007</v>
      </c>
      <c r="AE704" s="210" t="s">
        <v>356</v>
      </c>
    </row>
    <row r="705" spans="2:32">
      <c r="B705" s="436" t="s">
        <v>357</v>
      </c>
      <c r="C705" s="209">
        <v>1.97137998982887</v>
      </c>
      <c r="D705" s="209">
        <v>1.9077567170628</v>
      </c>
      <c r="E705" s="209">
        <v>2.0374316328800202</v>
      </c>
      <c r="F705" s="209">
        <v>0.97787580240585004</v>
      </c>
      <c r="G705" s="209">
        <v>1.6683529789835201</v>
      </c>
      <c r="H705" s="209">
        <v>1.8632223425379799</v>
      </c>
      <c r="I705" s="209">
        <v>1.3989689332570501</v>
      </c>
      <c r="J705" s="209">
        <v>1.8563846034803599</v>
      </c>
      <c r="K705" s="209">
        <v>2.0270138517225198</v>
      </c>
      <c r="L705" s="202">
        <v>3.8984026893112</v>
      </c>
      <c r="M705" s="209">
        <v>5.1570393358473501</v>
      </c>
      <c r="N705" s="209">
        <v>5.1903981372998702</v>
      </c>
      <c r="O705" s="209">
        <v>4.7594566854868496</v>
      </c>
      <c r="P705" s="209">
        <v>6.9604626689196598</v>
      </c>
      <c r="Q705" s="209">
        <v>3.2747237850159201</v>
      </c>
      <c r="R705" s="209">
        <v>5.5429612750311303</v>
      </c>
      <c r="S705" s="209">
        <v>5.6023683166111304</v>
      </c>
      <c r="T705" s="209">
        <v>5.5030704621083704</v>
      </c>
      <c r="U705" s="209">
        <v>5.7812083923933804</v>
      </c>
      <c r="V705" s="209">
        <v>4.6788793042779</v>
      </c>
      <c r="W705" s="209">
        <v>5.2859208992470501</v>
      </c>
      <c r="X705" s="202">
        <v>4.4145116223107603</v>
      </c>
      <c r="Y705" s="209">
        <v>6.2467893388095597</v>
      </c>
      <c r="Z705" s="209">
        <v>14</v>
      </c>
      <c r="AA705" s="209">
        <v>3</v>
      </c>
      <c r="AB705" s="209" t="s">
        <v>93</v>
      </c>
      <c r="AC705" s="209">
        <v>6.2611191335740104</v>
      </c>
      <c r="AD705" s="202">
        <v>5.9806364359586297</v>
      </c>
      <c r="AE705" s="210" t="s">
        <v>213</v>
      </c>
    </row>
    <row r="706" spans="2:32">
      <c r="B706" s="397">
        <v>45292</v>
      </c>
      <c r="C706" s="209"/>
      <c r="D706" s="209"/>
      <c r="E706" s="209"/>
      <c r="F706" s="209"/>
      <c r="G706" s="209"/>
      <c r="H706" s="209"/>
      <c r="I706" s="209"/>
      <c r="J706" s="209"/>
      <c r="K706" s="209"/>
      <c r="L706" s="202"/>
      <c r="M706" s="209"/>
      <c r="N706" s="209"/>
      <c r="O706" s="209"/>
      <c r="P706" s="209"/>
      <c r="Q706" s="209"/>
      <c r="R706" s="209"/>
      <c r="S706" s="209"/>
      <c r="T706" s="209"/>
      <c r="U706" s="209"/>
      <c r="V706" s="209"/>
      <c r="W706" s="209"/>
      <c r="X706" s="202"/>
      <c r="Y706" s="209"/>
      <c r="Z706" s="209"/>
      <c r="AA706" s="209"/>
      <c r="AB706" s="209"/>
      <c r="AC706" s="209"/>
      <c r="AD706" s="202"/>
      <c r="AE706" s="397">
        <v>45292</v>
      </c>
    </row>
    <row r="707" spans="2:32">
      <c r="B707" s="436" t="s">
        <v>187</v>
      </c>
      <c r="C707" s="209">
        <v>8.1919824561087697</v>
      </c>
      <c r="D707" s="209">
        <v>5.6306211834863404</v>
      </c>
      <c r="E707" s="209">
        <v>9.25506016766297</v>
      </c>
      <c r="F707" s="209">
        <v>3.7668348042891999</v>
      </c>
      <c r="G707" s="209">
        <v>4.1248953891675004</v>
      </c>
      <c r="H707" s="209">
        <v>5.0150583865487004</v>
      </c>
      <c r="I707" s="209">
        <v>4.8129434014156702</v>
      </c>
      <c r="J707" s="209">
        <v>8.3556366372669295</v>
      </c>
      <c r="K707" s="209">
        <v>8.7570818350464492</v>
      </c>
      <c r="L707" s="202">
        <v>8.0907459432545608</v>
      </c>
      <c r="M707" s="209">
        <v>14.305827657062901</v>
      </c>
      <c r="N707" s="209">
        <v>10.1405664301854</v>
      </c>
      <c r="O707" s="209">
        <v>16.003146345940099</v>
      </c>
      <c r="P707" s="209">
        <v>6.6711023705627399</v>
      </c>
      <c r="Q707" s="209">
        <v>11.3045366468113</v>
      </c>
      <c r="R707" s="209">
        <v>9.9038143424498202</v>
      </c>
      <c r="S707" s="209">
        <v>10.1993162643102</v>
      </c>
      <c r="T707" s="209">
        <v>14.537810282807399</v>
      </c>
      <c r="U707" s="209">
        <v>16.390100780719798</v>
      </c>
      <c r="V707" s="209">
        <v>17.655625245124501</v>
      </c>
      <c r="W707" s="209">
        <v>9.1345899130266996</v>
      </c>
      <c r="X707" s="202">
        <v>6.9975137553791704</v>
      </c>
      <c r="Y707" s="209">
        <v>9.6406022387619092</v>
      </c>
      <c r="Z707" s="209" t="s">
        <v>93</v>
      </c>
      <c r="AA707" s="209" t="s">
        <v>93</v>
      </c>
      <c r="AB707" s="209">
        <v>9.75</v>
      </c>
      <c r="AC707" s="209">
        <v>9</v>
      </c>
      <c r="AD707" s="202">
        <v>9.8000000000000007</v>
      </c>
      <c r="AE707" s="210" t="s">
        <v>356</v>
      </c>
    </row>
    <row r="708" spans="2:32">
      <c r="B708" s="436" t="s">
        <v>357</v>
      </c>
      <c r="C708" s="209">
        <v>1.99601877899684</v>
      </c>
      <c r="D708" s="209">
        <v>1.9207650790483599</v>
      </c>
      <c r="E708" s="209">
        <v>2.0808809009780802</v>
      </c>
      <c r="F708" s="209">
        <v>1.9321895197185199</v>
      </c>
      <c r="G708" s="209">
        <v>2.3002227371686201</v>
      </c>
      <c r="H708" s="209">
        <v>3.31759422133337</v>
      </c>
      <c r="I708" s="209">
        <v>1.9649466764410699</v>
      </c>
      <c r="J708" s="209">
        <v>1.80116818074162</v>
      </c>
      <c r="K708" s="209">
        <v>2.05037694234636</v>
      </c>
      <c r="L708" s="202">
        <v>3.6833359910221999</v>
      </c>
      <c r="M708" s="209">
        <v>5.1183078495815097</v>
      </c>
      <c r="N708" s="209">
        <v>5.1563672150768296</v>
      </c>
      <c r="O708" s="209">
        <v>4.6697439170766897</v>
      </c>
      <c r="P708" s="209">
        <v>6.7646074242235503</v>
      </c>
      <c r="Q708" s="209">
        <v>3.2692297444228999</v>
      </c>
      <c r="R708" s="209">
        <v>5.4567229815661902</v>
      </c>
      <c r="S708" s="209">
        <v>5.5565931407502998</v>
      </c>
      <c r="T708" s="209">
        <v>5.5392456648572699</v>
      </c>
      <c r="U708" s="209">
        <v>5.7751144375259296</v>
      </c>
      <c r="V708" s="209">
        <v>4.6756997710800796</v>
      </c>
      <c r="W708" s="209">
        <v>5.21456558880827</v>
      </c>
      <c r="X708" s="202">
        <v>4.4028569262555601</v>
      </c>
      <c r="Y708" s="209">
        <v>6.9226321189428504</v>
      </c>
      <c r="Z708" s="209">
        <v>14.4</v>
      </c>
      <c r="AA708" s="209">
        <v>3</v>
      </c>
      <c r="AB708" s="209" t="s">
        <v>93</v>
      </c>
      <c r="AC708" s="209">
        <v>7.0798933948063496</v>
      </c>
      <c r="AD708" s="202">
        <v>5.9829196709335202</v>
      </c>
      <c r="AE708" s="210" t="s">
        <v>213</v>
      </c>
    </row>
    <row r="709" spans="2:32">
      <c r="B709" s="397">
        <v>45323</v>
      </c>
      <c r="C709" s="209"/>
      <c r="D709" s="209"/>
      <c r="E709" s="209"/>
      <c r="F709" s="209"/>
      <c r="G709" s="209"/>
      <c r="H709" s="209"/>
      <c r="I709" s="209"/>
      <c r="J709" s="209"/>
      <c r="K709" s="209"/>
      <c r="L709" s="202"/>
      <c r="M709" s="209"/>
      <c r="N709" s="209"/>
      <c r="O709" s="209"/>
      <c r="P709" s="209"/>
      <c r="Q709" s="209"/>
      <c r="R709" s="209"/>
      <c r="S709" s="209"/>
      <c r="T709" s="209"/>
      <c r="U709" s="209"/>
      <c r="V709" s="209"/>
      <c r="W709" s="209"/>
      <c r="X709" s="202"/>
      <c r="Y709" s="209"/>
      <c r="Z709" s="209"/>
      <c r="AA709" s="209"/>
      <c r="AB709" s="209"/>
      <c r="AC709" s="209"/>
      <c r="AD709" s="202"/>
      <c r="AE709" s="397">
        <v>45323</v>
      </c>
    </row>
    <row r="710" spans="2:32">
      <c r="B710" s="436" t="s">
        <v>187</v>
      </c>
      <c r="C710" s="209">
        <v>8.3299004852360898</v>
      </c>
      <c r="D710" s="209">
        <v>5.71963620811559</v>
      </c>
      <c r="E710" s="209">
        <v>9.2869447023310805</v>
      </c>
      <c r="F710" s="209">
        <v>4.7993159984105702</v>
      </c>
      <c r="G710" s="209">
        <v>4.5054796438686404</v>
      </c>
      <c r="H710" s="209">
        <v>6.1721736755175298</v>
      </c>
      <c r="I710" s="209">
        <v>5.8036334775294103</v>
      </c>
      <c r="J710" s="209">
        <v>8.3768152910722709</v>
      </c>
      <c r="K710" s="209">
        <v>8.6919242190902395</v>
      </c>
      <c r="L710" s="202">
        <v>8.0819697798699508</v>
      </c>
      <c r="M710" s="209">
        <v>14.3842546942286</v>
      </c>
      <c r="N710" s="209">
        <v>10.1448574928603</v>
      </c>
      <c r="O710" s="209">
        <v>16.084935036738401</v>
      </c>
      <c r="P710" s="209">
        <v>11.6927582956245</v>
      </c>
      <c r="Q710" s="209">
        <v>11.5133701376429</v>
      </c>
      <c r="R710" s="209">
        <v>10.557184696503599</v>
      </c>
      <c r="S710" s="209">
        <v>10.7044198441817</v>
      </c>
      <c r="T710" s="209">
        <v>14.6192923591904</v>
      </c>
      <c r="U710" s="209">
        <v>16.371361576740899</v>
      </c>
      <c r="V710" s="209">
        <v>17.7315852608792</v>
      </c>
      <c r="W710" s="209">
        <v>9.1783297948707503</v>
      </c>
      <c r="X710" s="202">
        <v>6.99184925866391</v>
      </c>
      <c r="Y710" s="209">
        <v>9.6406022387619092</v>
      </c>
      <c r="Z710" s="209" t="s">
        <v>93</v>
      </c>
      <c r="AA710" s="209" t="s">
        <v>93</v>
      </c>
      <c r="AB710" s="209">
        <v>9.75</v>
      </c>
      <c r="AC710" s="209">
        <v>9</v>
      </c>
      <c r="AD710" s="202">
        <v>9.8000000000000007</v>
      </c>
      <c r="AE710" s="210" t="s">
        <v>356</v>
      </c>
    </row>
    <row r="711" spans="2:32">
      <c r="B711" s="436" t="s">
        <v>357</v>
      </c>
      <c r="C711" s="209">
        <v>2.3770872626134101</v>
      </c>
      <c r="D711" s="209">
        <v>2.4252314360768898</v>
      </c>
      <c r="E711" s="209">
        <v>2.3187992380359499</v>
      </c>
      <c r="F711" s="209">
        <v>1.9105578063533699</v>
      </c>
      <c r="G711" s="209">
        <v>2.3104499451190001</v>
      </c>
      <c r="H711" s="209">
        <v>3.0560171986815998</v>
      </c>
      <c r="I711" s="209">
        <v>1.9229934582189601</v>
      </c>
      <c r="J711" s="209">
        <v>1.8523083107353799</v>
      </c>
      <c r="K711" s="209">
        <v>2.5624116599845399</v>
      </c>
      <c r="L711" s="202">
        <v>5.2854217380878401</v>
      </c>
      <c r="M711" s="209">
        <v>5.2977295984369404</v>
      </c>
      <c r="N711" s="209">
        <v>5.3454430706028697</v>
      </c>
      <c r="O711" s="209">
        <v>4.6638819740353998</v>
      </c>
      <c r="P711" s="209">
        <v>6.5877733150490698</v>
      </c>
      <c r="Q711" s="209">
        <v>3.2770580432714902</v>
      </c>
      <c r="R711" s="209">
        <v>5.7251519981638603</v>
      </c>
      <c r="S711" s="209">
        <v>5.3375642492208</v>
      </c>
      <c r="T711" s="209">
        <v>5.5096019522033801</v>
      </c>
      <c r="U711" s="209">
        <v>5.79232370613716</v>
      </c>
      <c r="V711" s="209">
        <v>5.0286481850704696</v>
      </c>
      <c r="W711" s="209">
        <v>5.4522654078085502</v>
      </c>
      <c r="X711" s="202">
        <v>4.4111015242666101</v>
      </c>
      <c r="Y711" s="209">
        <v>7.1863312346033803</v>
      </c>
      <c r="Z711" s="209">
        <v>15</v>
      </c>
      <c r="AA711" s="209">
        <v>6.75</v>
      </c>
      <c r="AB711" s="209" t="s">
        <v>93</v>
      </c>
      <c r="AC711" s="209">
        <v>6.9738585802640101</v>
      </c>
      <c r="AD711" s="202">
        <v>6.0540418563782996</v>
      </c>
      <c r="AE711" s="210" t="s">
        <v>213</v>
      </c>
    </row>
    <row r="712" spans="2:32">
      <c r="B712" s="397">
        <v>45352</v>
      </c>
      <c r="C712" s="209"/>
      <c r="D712" s="209"/>
      <c r="E712" s="209"/>
      <c r="F712" s="209"/>
      <c r="G712" s="209"/>
      <c r="H712" s="209"/>
      <c r="I712" s="209"/>
      <c r="J712" s="209"/>
      <c r="K712" s="209"/>
      <c r="L712" s="202"/>
      <c r="M712" s="209"/>
      <c r="N712" s="223"/>
      <c r="O712" s="209"/>
      <c r="P712" s="209"/>
      <c r="Q712" s="209"/>
      <c r="R712" s="209"/>
      <c r="S712" s="209"/>
      <c r="T712" s="209"/>
      <c r="U712" s="209"/>
      <c r="V712" s="209"/>
      <c r="W712" s="209"/>
      <c r="X712" s="202"/>
      <c r="Y712" s="209"/>
      <c r="Z712" s="209"/>
      <c r="AA712" s="209"/>
      <c r="AB712" s="209"/>
      <c r="AC712" s="209"/>
      <c r="AD712" s="202"/>
      <c r="AE712" s="397">
        <v>45352</v>
      </c>
    </row>
    <row r="713" spans="2:32">
      <c r="B713" s="436" t="s">
        <v>187</v>
      </c>
      <c r="C713" s="209">
        <v>8.3941962526663598</v>
      </c>
      <c r="D713" s="209">
        <v>5.9528131673790101</v>
      </c>
      <c r="E713" s="209">
        <v>9.3157205153657507</v>
      </c>
      <c r="F713" s="209">
        <v>4.3953279149837803</v>
      </c>
      <c r="G713" s="209">
        <v>4.6750391369708604</v>
      </c>
      <c r="H713" s="209">
        <v>6.7013656174129199</v>
      </c>
      <c r="I713" s="209">
        <v>5.7951333632783104</v>
      </c>
      <c r="J713" s="209">
        <v>8.4345312312397098</v>
      </c>
      <c r="K713" s="209">
        <v>8.7501235191525097</v>
      </c>
      <c r="L713" s="202">
        <v>8.2937946919607803</v>
      </c>
      <c r="M713" s="209">
        <v>14.3802254025886</v>
      </c>
      <c r="N713" s="209">
        <v>10.173816136148</v>
      </c>
      <c r="O713" s="209">
        <v>16.0760257613031</v>
      </c>
      <c r="P713" s="209">
        <v>10.572700545214399</v>
      </c>
      <c r="Q713" s="209">
        <v>11.5666020873246</v>
      </c>
      <c r="R713" s="209">
        <v>10.394505976401801</v>
      </c>
      <c r="S713" s="209">
        <v>10.7397028433482</v>
      </c>
      <c r="T713" s="209">
        <v>14.646147891259099</v>
      </c>
      <c r="U713" s="209">
        <v>16.3637798144368</v>
      </c>
      <c r="V713" s="209">
        <v>17.709027557468101</v>
      </c>
      <c r="W713" s="209">
        <v>9.1902708381094005</v>
      </c>
      <c r="X713" s="202">
        <v>7.0034786736277503</v>
      </c>
      <c r="Y713" s="209">
        <v>9.6406022387619092</v>
      </c>
      <c r="Z713" s="209" t="s">
        <v>93</v>
      </c>
      <c r="AA713" s="209" t="s">
        <v>93</v>
      </c>
      <c r="AB713" s="209">
        <v>9.75</v>
      </c>
      <c r="AC713" s="209">
        <v>9</v>
      </c>
      <c r="AD713" s="202">
        <v>9.8000000000000007</v>
      </c>
      <c r="AE713" s="210" t="s">
        <v>356</v>
      </c>
    </row>
    <row r="714" spans="2:32">
      <c r="B714" s="436" t="s">
        <v>357</v>
      </c>
      <c r="C714" s="209">
        <v>2.3967395100693598</v>
      </c>
      <c r="D714" s="209">
        <v>2.3676317689765498</v>
      </c>
      <c r="E714" s="209">
        <v>2.4339897524399499</v>
      </c>
      <c r="F714" s="209">
        <v>1.2835953563482101</v>
      </c>
      <c r="G714" s="209">
        <v>2.4493777742268299</v>
      </c>
      <c r="H714" s="209">
        <v>1.51669337884983</v>
      </c>
      <c r="I714" s="209">
        <v>1.3943196712175301</v>
      </c>
      <c r="J714" s="209">
        <v>1.9674669497945201</v>
      </c>
      <c r="K714" s="209">
        <v>2.6042438061039799</v>
      </c>
      <c r="L714" s="202">
        <v>5.4439018112188204</v>
      </c>
      <c r="M714" s="209">
        <v>5.2904185888366904</v>
      </c>
      <c r="N714" s="209">
        <v>5.3382941076975303</v>
      </c>
      <c r="O714" s="209">
        <v>4.64983797902722</v>
      </c>
      <c r="P714" s="209">
        <v>6.8017029351811296</v>
      </c>
      <c r="Q714" s="209">
        <v>3.4125979143493499</v>
      </c>
      <c r="R714" s="209">
        <v>5.8274965699952697</v>
      </c>
      <c r="S714" s="209">
        <v>5.4179627075098802</v>
      </c>
      <c r="T714" s="209">
        <v>5.4655212004509997</v>
      </c>
      <c r="U714" s="209">
        <v>5.6968009501617098</v>
      </c>
      <c r="V714" s="209">
        <v>5.0394603456012499</v>
      </c>
      <c r="W714" s="209">
        <v>5.4592587142101703</v>
      </c>
      <c r="X714" s="202">
        <v>4.4046393353960198</v>
      </c>
      <c r="Y714" s="209">
        <v>7.0697975689662602</v>
      </c>
      <c r="Z714" s="209">
        <v>14.8</v>
      </c>
      <c r="AA714" s="209">
        <v>7.5</v>
      </c>
      <c r="AB714" s="209" t="s">
        <v>93</v>
      </c>
      <c r="AC714" s="209">
        <v>7.0890179222018102</v>
      </c>
      <c r="AD714" s="202">
        <v>5.7035575747838099</v>
      </c>
      <c r="AE714" s="210" t="s">
        <v>213</v>
      </c>
    </row>
    <row r="715" spans="2:32">
      <c r="B715" s="397">
        <v>45383</v>
      </c>
      <c r="C715" s="209"/>
      <c r="D715" s="209"/>
      <c r="E715" s="209"/>
      <c r="F715" s="209"/>
      <c r="G715" s="209"/>
      <c r="H715" s="209"/>
      <c r="I715" s="209"/>
      <c r="J715" s="209"/>
      <c r="K715" s="209"/>
      <c r="L715" s="202"/>
      <c r="M715" s="209"/>
      <c r="N715" s="223"/>
      <c r="O715" s="209"/>
      <c r="P715" s="209"/>
      <c r="Q715" s="209"/>
      <c r="R715" s="209"/>
      <c r="S715" s="209"/>
      <c r="T715" s="209"/>
      <c r="U715" s="209"/>
      <c r="V715" s="209"/>
      <c r="W715" s="209"/>
      <c r="X715" s="202"/>
      <c r="Y715" s="209"/>
      <c r="Z715" s="209"/>
      <c r="AA715" s="209"/>
      <c r="AB715" s="209"/>
      <c r="AC715" s="209"/>
      <c r="AD715" s="202"/>
      <c r="AE715" s="397">
        <v>45383</v>
      </c>
    </row>
    <row r="716" spans="2:32">
      <c r="B716" s="210" t="s">
        <v>187</v>
      </c>
      <c r="C716" s="209">
        <v>8.3872015590247599</v>
      </c>
      <c r="D716" s="209">
        <v>6.0307717753382404</v>
      </c>
      <c r="E716" s="209">
        <v>9.3425932582992903</v>
      </c>
      <c r="F716" s="209">
        <v>4.1025977505494398</v>
      </c>
      <c r="G716" s="209">
        <v>3.0463647564396599</v>
      </c>
      <c r="H716" s="209">
        <v>7.4245691532461597</v>
      </c>
      <c r="I716" s="209">
        <v>5.6748013044185601</v>
      </c>
      <c r="J716" s="209">
        <v>8.4806216318201102</v>
      </c>
      <c r="K716" s="209">
        <v>8.6731594858752494</v>
      </c>
      <c r="L716" s="202">
        <v>8.42003971899371</v>
      </c>
      <c r="M716" s="209">
        <v>14.3750129087388</v>
      </c>
      <c r="N716" s="209">
        <v>10.2292826251088</v>
      </c>
      <c r="O716" s="209">
        <v>16.061486812443299</v>
      </c>
      <c r="P716" s="209">
        <v>10.579731641632801</v>
      </c>
      <c r="Q716" s="223">
        <v>10.8606417215889</v>
      </c>
      <c r="R716" s="209">
        <v>10.6002133373477</v>
      </c>
      <c r="S716" s="209">
        <v>10.852308450019899</v>
      </c>
      <c r="T716" s="209">
        <v>14.684393331972901</v>
      </c>
      <c r="U716" s="209">
        <v>16.371903978692099</v>
      </c>
      <c r="V716" s="209">
        <v>17.740012255579298</v>
      </c>
      <c r="W716" s="209">
        <v>9.1934831215612398</v>
      </c>
      <c r="X716" s="202">
        <v>6.9972169245745697</v>
      </c>
      <c r="Y716" s="209">
        <v>10.114035362170499</v>
      </c>
      <c r="Z716" s="209" t="s">
        <v>93</v>
      </c>
      <c r="AA716" s="209" t="s">
        <v>93</v>
      </c>
      <c r="AB716" s="209" t="s">
        <v>93</v>
      </c>
      <c r="AC716" s="209">
        <v>9</v>
      </c>
      <c r="AD716" s="442">
        <v>10.5</v>
      </c>
      <c r="AE716" s="210" t="s">
        <v>356</v>
      </c>
      <c r="AF716" s="213"/>
    </row>
    <row r="717" spans="2:32">
      <c r="B717" s="436" t="s">
        <v>357</v>
      </c>
      <c r="C717" s="209">
        <v>2.4704204456778101</v>
      </c>
      <c r="D717" s="209">
        <v>2.4585892728351402</v>
      </c>
      <c r="E717" s="209">
        <v>2.4845512254894602</v>
      </c>
      <c r="F717" s="209">
        <v>2.93499811837669</v>
      </c>
      <c r="G717" s="209">
        <v>2.7163065029623201</v>
      </c>
      <c r="H717" s="209">
        <v>2.0049065274797901</v>
      </c>
      <c r="I717" s="209">
        <v>1.4498681976049099</v>
      </c>
      <c r="J717" s="209">
        <v>2.0528626972108301</v>
      </c>
      <c r="K717" s="209">
        <v>2.6271449104773401</v>
      </c>
      <c r="L717" s="202">
        <v>5.4913236623330599</v>
      </c>
      <c r="M717" s="209">
        <v>5.3106830436896804</v>
      </c>
      <c r="N717" s="209">
        <v>5.3570584822307898</v>
      </c>
      <c r="O717" s="209">
        <v>4.6787581435522796</v>
      </c>
      <c r="P717" s="209">
        <v>7.4386381157944896</v>
      </c>
      <c r="Q717" s="209">
        <v>3.5232064009582902</v>
      </c>
      <c r="R717" s="209">
        <v>5.9513200266562096</v>
      </c>
      <c r="S717" s="209">
        <v>5.4841615037485996</v>
      </c>
      <c r="T717" s="209">
        <v>5.5088014935002496</v>
      </c>
      <c r="U717" s="209">
        <v>5.7047732404732399</v>
      </c>
      <c r="V717" s="209">
        <v>5.0532016555999997</v>
      </c>
      <c r="W717" s="209">
        <v>5.4580369861582003</v>
      </c>
      <c r="X717" s="202">
        <v>4.4621120932649099</v>
      </c>
      <c r="Y717" s="209">
        <v>6.9780154544555604</v>
      </c>
      <c r="Z717" s="209">
        <v>14.8</v>
      </c>
      <c r="AA717" s="209">
        <v>7.5</v>
      </c>
      <c r="AB717" s="209" t="s">
        <v>93</v>
      </c>
      <c r="AC717" s="209">
        <v>7.0876249067516301</v>
      </c>
      <c r="AD717" s="202">
        <v>5.7943135917746398</v>
      </c>
      <c r="AE717" s="210" t="s">
        <v>213</v>
      </c>
    </row>
    <row r="718" spans="2:32">
      <c r="B718" s="397">
        <v>45413</v>
      </c>
      <c r="C718" s="209"/>
      <c r="D718" s="209"/>
      <c r="E718" s="209"/>
      <c r="F718" s="209"/>
      <c r="G718" s="209"/>
      <c r="H718" s="209"/>
      <c r="I718" s="209"/>
      <c r="J718" s="209"/>
      <c r="K718" s="209"/>
      <c r="L718" s="202"/>
      <c r="M718" s="209"/>
      <c r="N718" s="209"/>
      <c r="O718" s="209"/>
      <c r="P718" s="209"/>
      <c r="Q718" s="209"/>
      <c r="R718" s="209"/>
      <c r="S718" s="209"/>
      <c r="T718" s="209"/>
      <c r="U718" s="209"/>
      <c r="V718" s="209"/>
      <c r="W718" s="209"/>
      <c r="X718" s="202"/>
      <c r="Y718" s="209"/>
      <c r="Z718" s="209"/>
      <c r="AA718" s="209"/>
      <c r="AB718" s="209"/>
      <c r="AC718" s="209"/>
      <c r="AD718" s="202"/>
      <c r="AE718" s="397">
        <v>45413</v>
      </c>
    </row>
    <row r="719" spans="2:32">
      <c r="B719" s="210" t="s">
        <v>187</v>
      </c>
      <c r="C719" s="209">
        <v>8.3714539614380499</v>
      </c>
      <c r="D719" s="209">
        <v>6.1566487641662802</v>
      </c>
      <c r="E719" s="209">
        <v>9.2785379127678294</v>
      </c>
      <c r="F719" s="209">
        <v>2.6794037381446101</v>
      </c>
      <c r="G719" s="209">
        <v>3.2456861106597201</v>
      </c>
      <c r="H719" s="209">
        <v>7.5702320280642201</v>
      </c>
      <c r="I719" s="209">
        <v>5.8467508841404303</v>
      </c>
      <c r="J719" s="209">
        <v>8.4342414672569603</v>
      </c>
      <c r="K719" s="209">
        <v>8.6869156850633402</v>
      </c>
      <c r="L719" s="202">
        <v>8.4736945512525992</v>
      </c>
      <c r="M719" s="209">
        <v>14.369647925243999</v>
      </c>
      <c r="N719" s="209">
        <v>10.2772267707513</v>
      </c>
      <c r="O719" s="209">
        <v>16.057922682706302</v>
      </c>
      <c r="P719" s="209">
        <v>11.3987960910084</v>
      </c>
      <c r="Q719" s="209">
        <v>11.183478323360401</v>
      </c>
      <c r="R719" s="209">
        <v>10.513179683002001</v>
      </c>
      <c r="S719" s="209">
        <v>10.8706269969692</v>
      </c>
      <c r="T719" s="209">
        <v>14.515221655694701</v>
      </c>
      <c r="U719" s="209">
        <v>16.334706432207199</v>
      </c>
      <c r="V719" s="209">
        <v>17.713158674284699</v>
      </c>
      <c r="W719" s="209">
        <v>9.2952825488857496</v>
      </c>
      <c r="X719" s="202">
        <v>7.0012574516103001</v>
      </c>
      <c r="Y719" s="209">
        <v>9.9684444658066909</v>
      </c>
      <c r="Z719" s="209" t="s">
        <v>93</v>
      </c>
      <c r="AA719" s="209">
        <v>8.65</v>
      </c>
      <c r="AB719" s="209" t="s">
        <v>93</v>
      </c>
      <c r="AC719" s="209">
        <v>9</v>
      </c>
      <c r="AD719" s="202">
        <v>10.5</v>
      </c>
      <c r="AE719" s="210" t="s">
        <v>356</v>
      </c>
    </row>
    <row r="720" spans="2:32">
      <c r="B720" s="436" t="s">
        <v>357</v>
      </c>
      <c r="C720" s="209">
        <v>2.4995410477659501</v>
      </c>
      <c r="D720" s="209">
        <v>2.4681031060596701</v>
      </c>
      <c r="E720" s="209">
        <v>2.5359173352258302</v>
      </c>
      <c r="F720" s="209">
        <v>1.15337679923266</v>
      </c>
      <c r="G720" s="209">
        <v>3.01951405661198</v>
      </c>
      <c r="H720" s="209">
        <v>2.06296780604709</v>
      </c>
      <c r="I720" s="209">
        <v>1.8570941184004801</v>
      </c>
      <c r="J720" s="209">
        <v>2.0881738140813502</v>
      </c>
      <c r="K720" s="209">
        <v>2.7008378431826898</v>
      </c>
      <c r="L720" s="202">
        <v>5.6159294495752601</v>
      </c>
      <c r="M720" s="209">
        <v>5.3260266543219803</v>
      </c>
      <c r="N720" s="209">
        <v>5.37999875103164</v>
      </c>
      <c r="O720" s="209">
        <v>4.5878110618579102</v>
      </c>
      <c r="P720" s="209">
        <v>6.7679716300309201</v>
      </c>
      <c r="Q720" s="209">
        <v>3.55550967069667</v>
      </c>
      <c r="R720" s="209">
        <v>6.0762740170544296</v>
      </c>
      <c r="S720" s="209">
        <v>5.4838197155747803</v>
      </c>
      <c r="T720" s="209">
        <v>5.5544913629365498</v>
      </c>
      <c r="U720" s="209">
        <v>5.7783516842683502</v>
      </c>
      <c r="V720" s="209">
        <v>5.0765947526660096</v>
      </c>
      <c r="W720" s="209">
        <v>5.4427219408417198</v>
      </c>
      <c r="X720" s="202">
        <v>4.45951846699867</v>
      </c>
      <c r="Y720" s="209">
        <v>7.6208764047173299</v>
      </c>
      <c r="Z720" s="209">
        <v>12.4017021276596</v>
      </c>
      <c r="AA720" s="209" t="s">
        <v>93</v>
      </c>
      <c r="AB720" s="209" t="s">
        <v>93</v>
      </c>
      <c r="AC720" s="209">
        <v>6.9402114313902299</v>
      </c>
      <c r="AD720" s="202">
        <v>3.6937487475500901</v>
      </c>
      <c r="AE720" s="210" t="s">
        <v>213</v>
      </c>
    </row>
    <row r="721" spans="2:31">
      <c r="B721" s="397">
        <v>45444</v>
      </c>
      <c r="C721" s="209"/>
      <c r="D721" s="209"/>
      <c r="E721" s="209"/>
      <c r="F721" s="209"/>
      <c r="G721" s="209"/>
      <c r="H721" s="209"/>
      <c r="I721" s="209"/>
      <c r="J721" s="209"/>
      <c r="K721" s="209"/>
      <c r="L721" s="202"/>
      <c r="M721" s="209"/>
      <c r="N721" s="209"/>
      <c r="O721" s="209"/>
      <c r="P721" s="209"/>
      <c r="Q721" s="209"/>
      <c r="R721" s="209"/>
      <c r="S721" s="209"/>
      <c r="T721" s="209"/>
      <c r="U721" s="209"/>
      <c r="V721" s="209"/>
      <c r="W721" s="209"/>
      <c r="X721" s="202"/>
      <c r="Y721" s="209"/>
      <c r="Z721" s="209"/>
      <c r="AA721" s="209"/>
      <c r="AB721" s="209"/>
      <c r="AC721" s="209"/>
      <c r="AD721" s="202"/>
      <c r="AE721" s="397">
        <v>45444</v>
      </c>
    </row>
    <row r="722" spans="2:31">
      <c r="B722" s="436" t="s">
        <v>187</v>
      </c>
      <c r="C722" s="209">
        <v>8.3821199200153398</v>
      </c>
      <c r="D722" s="209">
        <v>6.1718430065744503</v>
      </c>
      <c r="E722" s="209">
        <v>9.3146655188141505</v>
      </c>
      <c r="F722" s="209">
        <v>5.6425538081411597</v>
      </c>
      <c r="G722" s="209">
        <v>3.5601593011991</v>
      </c>
      <c r="H722" s="209">
        <v>7.8705758493585796</v>
      </c>
      <c r="I722" s="209">
        <v>4.8825632369785801</v>
      </c>
      <c r="J722" s="209">
        <v>8.4567787557377301</v>
      </c>
      <c r="K722" s="209">
        <v>8.7664372841274592</v>
      </c>
      <c r="L722" s="202">
        <v>8.4885613057879699</v>
      </c>
      <c r="M722" s="209">
        <v>14.404237384157801</v>
      </c>
      <c r="N722" s="209">
        <v>10.398882486331599</v>
      </c>
      <c r="O722" s="209">
        <v>16.090758588198</v>
      </c>
      <c r="P722" s="209">
        <v>9.80486901571369</v>
      </c>
      <c r="Q722" s="209">
        <v>12.380562201176</v>
      </c>
      <c r="R722" s="209">
        <v>10.581744629549</v>
      </c>
      <c r="S722" s="209">
        <v>10.900815905666301</v>
      </c>
      <c r="T722" s="209">
        <v>14.4825361530305</v>
      </c>
      <c r="U722" s="209">
        <v>16.3372842370085</v>
      </c>
      <c r="V722" s="209">
        <v>17.720525522051599</v>
      </c>
      <c r="W722" s="209">
        <v>9.3640758892799205</v>
      </c>
      <c r="X722" s="202">
        <v>7.0668283544447101</v>
      </c>
      <c r="Y722" s="209">
        <v>10.027242645527201</v>
      </c>
      <c r="Z722" s="209" t="s">
        <v>93</v>
      </c>
      <c r="AA722" s="209">
        <v>9.5</v>
      </c>
      <c r="AB722" s="209" t="s">
        <v>93</v>
      </c>
      <c r="AC722" s="209">
        <v>9</v>
      </c>
      <c r="AD722" s="202">
        <v>10.5</v>
      </c>
      <c r="AE722" s="210" t="s">
        <v>356</v>
      </c>
    </row>
    <row r="723" spans="2:31">
      <c r="B723" s="436" t="s">
        <v>357</v>
      </c>
      <c r="C723" s="209">
        <v>2.5662991466557998</v>
      </c>
      <c r="D723" s="209">
        <v>2.5373473677776999</v>
      </c>
      <c r="E723" s="209">
        <v>2.5999832033578998</v>
      </c>
      <c r="F723" s="209">
        <v>2.8528987806826498</v>
      </c>
      <c r="G723" s="209">
        <v>2.9539572541469501</v>
      </c>
      <c r="H723" s="209">
        <v>2.4461220970793298</v>
      </c>
      <c r="I723" s="209">
        <v>1.8355025235879401</v>
      </c>
      <c r="J723" s="209">
        <v>2.2588676468000202</v>
      </c>
      <c r="K723" s="209">
        <v>2.69099450306026</v>
      </c>
      <c r="L723" s="202">
        <v>5.6391362829493303</v>
      </c>
      <c r="M723" s="209">
        <v>5.3388681508328704</v>
      </c>
      <c r="N723" s="209">
        <v>5.3890916125404402</v>
      </c>
      <c r="O723" s="209">
        <v>4.6210783708790304</v>
      </c>
      <c r="P723" s="209">
        <v>6.2800438014699402</v>
      </c>
      <c r="Q723" s="209">
        <v>3.4173325957394001</v>
      </c>
      <c r="R723" s="209">
        <v>6.2711071971385701</v>
      </c>
      <c r="S723" s="209">
        <v>5.46889097414416</v>
      </c>
      <c r="T723" s="209">
        <v>5.6298110814302502</v>
      </c>
      <c r="U723" s="209">
        <v>5.8289842537480796</v>
      </c>
      <c r="V723" s="209">
        <v>5.0896126230548804</v>
      </c>
      <c r="W723" s="209">
        <v>5.4260111492153102</v>
      </c>
      <c r="X723" s="202">
        <v>4.4854286229596996</v>
      </c>
      <c r="Y723" s="209">
        <v>6.8464038914385101</v>
      </c>
      <c r="Z723" s="209">
        <v>14.95</v>
      </c>
      <c r="AA723" s="209" t="s">
        <v>93</v>
      </c>
      <c r="AB723" s="209">
        <v>7.6</v>
      </c>
      <c r="AC723" s="209">
        <v>6.8836144662025696</v>
      </c>
      <c r="AD723" s="202">
        <v>4.2586643055906901</v>
      </c>
      <c r="AE723" s="210" t="s">
        <v>213</v>
      </c>
    </row>
    <row r="724" spans="2:31">
      <c r="B724" s="397">
        <v>45474</v>
      </c>
      <c r="C724" s="209"/>
      <c r="D724" s="209"/>
      <c r="E724" s="209"/>
      <c r="F724" s="209"/>
      <c r="G724" s="209"/>
      <c r="H724" s="209"/>
      <c r="I724" s="209"/>
      <c r="J724" s="209"/>
      <c r="K724" s="209"/>
      <c r="L724" s="202"/>
      <c r="M724" s="209"/>
      <c r="N724" s="209"/>
      <c r="O724" s="209"/>
      <c r="P724" s="209"/>
      <c r="Q724" s="209"/>
      <c r="R724" s="209"/>
      <c r="S724" s="209"/>
      <c r="T724" s="209"/>
      <c r="U724" s="209"/>
      <c r="V724" s="209"/>
      <c r="W724" s="209"/>
      <c r="X724" s="202"/>
      <c r="Y724" s="209"/>
      <c r="Z724" s="209"/>
      <c r="AA724" s="209"/>
      <c r="AB724" s="209"/>
      <c r="AC724" s="209"/>
      <c r="AD724" s="202"/>
      <c r="AE724" s="397">
        <v>45474</v>
      </c>
    </row>
    <row r="725" spans="2:31">
      <c r="B725" s="436" t="s">
        <v>187</v>
      </c>
      <c r="C725" s="209">
        <v>8.4330855708779708</v>
      </c>
      <c r="D725" s="209">
        <v>6.3697495533031203</v>
      </c>
      <c r="E725" s="209">
        <v>9.3632080232137493</v>
      </c>
      <c r="F725" s="209">
        <v>3.6777773303343402</v>
      </c>
      <c r="G725" s="209">
        <v>4.56193179560419</v>
      </c>
      <c r="H725" s="209">
        <v>8.1535333814381392</v>
      </c>
      <c r="I725" s="209">
        <v>4.9262003466386899</v>
      </c>
      <c r="J725" s="209">
        <v>8.5319358465177899</v>
      </c>
      <c r="K725" s="209">
        <v>8.7957016929580991</v>
      </c>
      <c r="L725" s="202">
        <v>8.4819347499163396</v>
      </c>
      <c r="M725" s="209">
        <v>14.4479388494833</v>
      </c>
      <c r="N725" s="209">
        <v>10.460999762906701</v>
      </c>
      <c r="O725" s="209">
        <v>16.136890335850701</v>
      </c>
      <c r="P725" s="209">
        <v>10.8979712743037</v>
      </c>
      <c r="Q725" s="209">
        <v>12.625776746536401</v>
      </c>
      <c r="R725" s="209">
        <v>10.7748769062925</v>
      </c>
      <c r="S725" s="209">
        <v>10.8546754297607</v>
      </c>
      <c r="T725" s="209">
        <v>14.6020158986697</v>
      </c>
      <c r="U725" s="209">
        <v>16.327577120128499</v>
      </c>
      <c r="V725" s="209">
        <v>17.728143431560898</v>
      </c>
      <c r="W725" s="209">
        <v>9.4027965391900405</v>
      </c>
      <c r="X725" s="202">
        <v>7.0704460177094903</v>
      </c>
      <c r="Y725" s="209">
        <v>10.020425941341999</v>
      </c>
      <c r="Z725" s="209" t="s">
        <v>93</v>
      </c>
      <c r="AA725" s="209">
        <v>9.5</v>
      </c>
      <c r="AB725" s="209" t="s">
        <v>93</v>
      </c>
      <c r="AC725" s="209">
        <v>9</v>
      </c>
      <c r="AD725" s="202">
        <v>10.5</v>
      </c>
      <c r="AE725" s="210" t="s">
        <v>356</v>
      </c>
    </row>
    <row r="726" spans="2:31">
      <c r="B726" s="436" t="s">
        <v>357</v>
      </c>
      <c r="C726" s="209">
        <v>2.7712689382498299</v>
      </c>
      <c r="D726" s="209">
        <v>2.8849419315896299</v>
      </c>
      <c r="E726" s="209">
        <v>2.6535451021914902</v>
      </c>
      <c r="F726" s="209">
        <v>3.2439342132807498</v>
      </c>
      <c r="G726" s="209">
        <v>2.7771544097347198</v>
      </c>
      <c r="H726" s="209">
        <v>2.7890460817278702</v>
      </c>
      <c r="I726" s="209">
        <v>1.8800507158567901</v>
      </c>
      <c r="J726" s="209">
        <v>2.3493077405821801</v>
      </c>
      <c r="K726" s="209">
        <v>3.0486635915815499</v>
      </c>
      <c r="L726" s="202">
        <v>5.5051615953775199</v>
      </c>
      <c r="M726" s="209">
        <v>5.3778975170514203</v>
      </c>
      <c r="N726" s="209">
        <v>5.4532938761835501</v>
      </c>
      <c r="O726" s="209">
        <v>4.41278890414325</v>
      </c>
      <c r="P726" s="209">
        <v>6.8914268108701302</v>
      </c>
      <c r="Q726" s="209">
        <v>4.2098457683218999</v>
      </c>
      <c r="R726" s="209">
        <v>6.2599703168381202</v>
      </c>
      <c r="S726" s="209">
        <v>6.0870995435219797</v>
      </c>
      <c r="T726" s="209">
        <v>5.6070725540357298</v>
      </c>
      <c r="U726" s="209">
        <v>5.8154046596157301</v>
      </c>
      <c r="V726" s="209">
        <v>5.1256084674723699</v>
      </c>
      <c r="W726" s="209">
        <v>5.4396403467573702</v>
      </c>
      <c r="X726" s="202">
        <v>4.4878160694951097</v>
      </c>
      <c r="Y726" s="209">
        <v>7.1548029001370397</v>
      </c>
      <c r="Z726" s="209">
        <v>15.25</v>
      </c>
      <c r="AA726" s="209" t="s">
        <v>93</v>
      </c>
      <c r="AB726" s="209">
        <v>6.8333333333333304</v>
      </c>
      <c r="AC726" s="209">
        <v>7.3148603075852803</v>
      </c>
      <c r="AD726" s="202">
        <v>5.0569230769230797</v>
      </c>
      <c r="AE726" s="210" t="s">
        <v>213</v>
      </c>
    </row>
    <row r="727" spans="2:31">
      <c r="B727" s="397">
        <v>45505</v>
      </c>
      <c r="C727" s="209"/>
      <c r="D727" s="209"/>
      <c r="E727" s="209"/>
      <c r="F727" s="209"/>
      <c r="G727" s="209"/>
      <c r="H727" s="209"/>
      <c r="I727" s="209"/>
      <c r="J727" s="209"/>
      <c r="K727" s="209"/>
      <c r="L727" s="202"/>
      <c r="M727" s="209"/>
      <c r="N727" s="209"/>
      <c r="O727" s="209"/>
      <c r="P727" s="209"/>
      <c r="Q727" s="209"/>
      <c r="R727" s="209"/>
      <c r="S727" s="209"/>
      <c r="T727" s="209"/>
      <c r="U727" s="209"/>
      <c r="V727" s="209"/>
      <c r="W727" s="209"/>
      <c r="X727" s="202"/>
      <c r="Y727" s="209"/>
      <c r="Z727" s="209"/>
      <c r="AA727" s="209"/>
      <c r="AB727" s="209"/>
      <c r="AC727" s="209"/>
      <c r="AD727" s="202"/>
      <c r="AE727" s="397">
        <v>45505</v>
      </c>
    </row>
    <row r="728" spans="2:31">
      <c r="B728" s="210" t="s">
        <v>187</v>
      </c>
      <c r="C728" s="209">
        <v>8.5649118423448201</v>
      </c>
      <c r="D728" s="209">
        <v>6.7261626335631597</v>
      </c>
      <c r="E728" s="209">
        <v>9.3607857277960704</v>
      </c>
      <c r="F728" s="209">
        <v>5.95916184270156</v>
      </c>
      <c r="G728" s="209">
        <v>5.1953854047259798</v>
      </c>
      <c r="H728" s="209">
        <v>8.5307530866220702</v>
      </c>
      <c r="I728" s="209">
        <v>5.3719987405929004</v>
      </c>
      <c r="J728" s="209">
        <v>8.6103693453689694</v>
      </c>
      <c r="K728" s="209">
        <v>8.8235630255847806</v>
      </c>
      <c r="L728" s="202">
        <v>8.4944137358073597</v>
      </c>
      <c r="M728" s="209">
        <v>14.478228981825801</v>
      </c>
      <c r="N728" s="209">
        <v>10.504845079899701</v>
      </c>
      <c r="O728" s="209">
        <v>16.126132746784201</v>
      </c>
      <c r="P728" s="209">
        <v>14.531236675484701</v>
      </c>
      <c r="Q728" s="223">
        <v>12.362501019312001</v>
      </c>
      <c r="R728" s="209">
        <v>11.052874986130499</v>
      </c>
      <c r="S728" s="209">
        <v>10.8843979728594</v>
      </c>
      <c r="T728" s="209">
        <v>14.7496520881968</v>
      </c>
      <c r="U728" s="209">
        <v>16.3986252101224</v>
      </c>
      <c r="V728" s="209">
        <v>17.690641298303799</v>
      </c>
      <c r="W728" s="209">
        <v>9.4577867589290303</v>
      </c>
      <c r="X728" s="202">
        <v>7.0682402982712897</v>
      </c>
      <c r="Y728" s="209">
        <v>10.114035362170499</v>
      </c>
      <c r="Z728" s="209" t="s">
        <v>93</v>
      </c>
      <c r="AA728" s="209" t="s">
        <v>93</v>
      </c>
      <c r="AB728" s="209" t="s">
        <v>93</v>
      </c>
      <c r="AC728" s="209">
        <v>9</v>
      </c>
      <c r="AD728" s="442">
        <v>10.5</v>
      </c>
      <c r="AE728" s="210" t="s">
        <v>356</v>
      </c>
    </row>
    <row r="729" spans="2:31">
      <c r="B729" s="210" t="s">
        <v>357</v>
      </c>
      <c r="C729" s="209">
        <v>2.8197576460856602</v>
      </c>
      <c r="D729" s="209">
        <v>2.89502316892351</v>
      </c>
      <c r="E729" s="209">
        <v>2.7361431142982902</v>
      </c>
      <c r="F729" s="209">
        <v>3.3587142905855898</v>
      </c>
      <c r="G729" s="209">
        <v>3.2371883049966801</v>
      </c>
      <c r="H729" s="209">
        <v>2.87691586309063</v>
      </c>
      <c r="I729" s="209">
        <v>1.84528274913098</v>
      </c>
      <c r="J729" s="209">
        <v>2.4425791105303398</v>
      </c>
      <c r="K729" s="209">
        <v>3.05805319217753</v>
      </c>
      <c r="L729" s="202">
        <v>5.6838911851575702</v>
      </c>
      <c r="M729" s="209">
        <v>5.3964754102389003</v>
      </c>
      <c r="N729" s="209">
        <v>5.4585736466873902</v>
      </c>
      <c r="O729" s="209">
        <v>4.5893329775769498</v>
      </c>
      <c r="P729" s="209">
        <v>6.8605038105723599</v>
      </c>
      <c r="Q729" s="209">
        <v>4.49952295021538</v>
      </c>
      <c r="R729" s="209">
        <v>6.2496350254187902</v>
      </c>
      <c r="S729" s="209">
        <v>6.3783372056557397</v>
      </c>
      <c r="T729" s="209">
        <v>5.6204321732668703</v>
      </c>
      <c r="U729" s="209">
        <v>5.8555662965306698</v>
      </c>
      <c r="V729" s="209">
        <v>5.1426461907987102</v>
      </c>
      <c r="W729" s="209">
        <v>5.4011879127234002</v>
      </c>
      <c r="X729" s="202">
        <v>4.4836789799447203</v>
      </c>
      <c r="Y729" s="209">
        <v>7.1446248800500802</v>
      </c>
      <c r="Z729" s="209">
        <v>16.3415403642054</v>
      </c>
      <c r="AA729" s="209" t="s">
        <v>93</v>
      </c>
      <c r="AB729" s="209">
        <v>6.9666666666666703</v>
      </c>
      <c r="AC729" s="209">
        <v>7.1480774836369001</v>
      </c>
      <c r="AD729" s="202">
        <v>5.5219607843137304</v>
      </c>
      <c r="AE729" s="210" t="s">
        <v>213</v>
      </c>
    </row>
    <row r="730" spans="2:31">
      <c r="B730" s="397">
        <v>45536</v>
      </c>
      <c r="C730" s="209"/>
      <c r="D730" s="209"/>
      <c r="E730" s="209"/>
      <c r="F730" s="209"/>
      <c r="G730" s="209"/>
      <c r="H730" s="209"/>
      <c r="I730" s="209"/>
      <c r="J730" s="209"/>
      <c r="K730" s="209"/>
      <c r="L730" s="202"/>
      <c r="M730" s="209"/>
      <c r="N730" s="209"/>
      <c r="O730" s="209"/>
      <c r="P730" s="209"/>
      <c r="Q730" s="209"/>
      <c r="R730" s="209"/>
      <c r="S730" s="209"/>
      <c r="T730" s="209"/>
      <c r="U730" s="209"/>
      <c r="V730" s="209"/>
      <c r="W730" s="209"/>
      <c r="X730" s="202"/>
      <c r="Y730" s="209"/>
      <c r="Z730" s="209"/>
      <c r="AA730" s="209"/>
      <c r="AB730" s="209"/>
      <c r="AC730" s="209"/>
      <c r="AD730" s="202"/>
      <c r="AE730" s="397">
        <v>45536</v>
      </c>
    </row>
    <row r="731" spans="2:31">
      <c r="B731" s="210" t="s">
        <v>187</v>
      </c>
      <c r="C731" s="209">
        <v>8.5971973240472099</v>
      </c>
      <c r="D731" s="209">
        <v>6.8170573676070996</v>
      </c>
      <c r="E731" s="209">
        <v>9.3842064725771195</v>
      </c>
      <c r="F731" s="209">
        <v>6.4079053538894</v>
      </c>
      <c r="G731" s="209">
        <v>5.7500913077720499</v>
      </c>
      <c r="H731" s="209">
        <v>8.4667310885111906</v>
      </c>
      <c r="I731" s="209">
        <v>5.6101252628941998</v>
      </c>
      <c r="J731" s="209">
        <v>8.6572731388639106</v>
      </c>
      <c r="K731" s="209">
        <v>8.8124248847180109</v>
      </c>
      <c r="L731" s="202">
        <v>8.4695498932763993</v>
      </c>
      <c r="M731" s="209">
        <v>14.550715374743801</v>
      </c>
      <c r="N731" s="209">
        <v>10.5319659450409</v>
      </c>
      <c r="O731" s="209">
        <v>16.178374131098298</v>
      </c>
      <c r="P731" s="209">
        <v>12.6380347466564</v>
      </c>
      <c r="Q731" s="209">
        <v>11.821666035323901</v>
      </c>
      <c r="R731" s="209">
        <v>11.237248794673301</v>
      </c>
      <c r="S731" s="209">
        <v>10.893072174712101</v>
      </c>
      <c r="T731" s="209">
        <v>15.0823650302624</v>
      </c>
      <c r="U731" s="209">
        <v>16.5320827312921</v>
      </c>
      <c r="V731" s="209">
        <v>17.735442319182798</v>
      </c>
      <c r="W731" s="209">
        <v>9.4839833321147502</v>
      </c>
      <c r="X731" s="202">
        <v>7.0606640450463498</v>
      </c>
      <c r="Y731" s="209">
        <v>10.114035362170499</v>
      </c>
      <c r="Z731" s="209" t="s">
        <v>93</v>
      </c>
      <c r="AA731" s="209" t="s">
        <v>93</v>
      </c>
      <c r="AB731" s="209" t="s">
        <v>93</v>
      </c>
      <c r="AC731" s="209">
        <v>9</v>
      </c>
      <c r="AD731" s="202">
        <v>10.5</v>
      </c>
      <c r="AE731" s="210" t="s">
        <v>356</v>
      </c>
    </row>
    <row r="732" spans="2:31">
      <c r="B732" s="210" t="s">
        <v>357</v>
      </c>
      <c r="C732" s="209">
        <v>2.8749783581514099</v>
      </c>
      <c r="D732" s="209">
        <v>2.9861021859435701</v>
      </c>
      <c r="E732" s="209">
        <v>2.7594174102007498</v>
      </c>
      <c r="F732" s="209">
        <v>2.9011762414279998</v>
      </c>
      <c r="G732" s="209">
        <v>3.0565640064030801</v>
      </c>
      <c r="H732" s="209">
        <v>3.57278994523233</v>
      </c>
      <c r="I732" s="209">
        <v>1.80607947847479</v>
      </c>
      <c r="J732" s="209">
        <v>2.5208768914033399</v>
      </c>
      <c r="K732" s="209">
        <v>3.0921823476952599</v>
      </c>
      <c r="L732" s="202">
        <v>5.6992163262134596</v>
      </c>
      <c r="M732" s="209">
        <v>5.4591937113394096</v>
      </c>
      <c r="N732" s="209">
        <v>5.5241442605434301</v>
      </c>
      <c r="O732" s="209">
        <v>4.6283050048387802</v>
      </c>
      <c r="P732" s="209">
        <v>6.8525601398780802</v>
      </c>
      <c r="Q732" s="209">
        <v>6.2102276562101997</v>
      </c>
      <c r="R732" s="209">
        <v>6.3249712590625897</v>
      </c>
      <c r="S732" s="209">
        <v>6.3520867147268198</v>
      </c>
      <c r="T732" s="209">
        <v>5.6703124480553999</v>
      </c>
      <c r="U732" s="209">
        <v>5.92463632874657</v>
      </c>
      <c r="V732" s="209">
        <v>5.13226418481905</v>
      </c>
      <c r="W732" s="209">
        <v>5.4121129520632696</v>
      </c>
      <c r="X732" s="202">
        <v>4.4779321848927296</v>
      </c>
      <c r="Y732" s="209">
        <v>7.1012282817153798</v>
      </c>
      <c r="Z732" s="209">
        <v>17.2</v>
      </c>
      <c r="AA732" s="209" t="s">
        <v>93</v>
      </c>
      <c r="AB732" s="209">
        <v>6.9666666666666703</v>
      </c>
      <c r="AC732" s="209">
        <v>7.1592216464366896</v>
      </c>
      <c r="AD732" s="202">
        <v>5.8803278688524596</v>
      </c>
      <c r="AE732" s="210" t="s">
        <v>213</v>
      </c>
    </row>
    <row r="733" spans="2:31">
      <c r="B733" s="397">
        <v>45566</v>
      </c>
      <c r="C733" s="1976"/>
      <c r="D733" s="1976"/>
      <c r="E733" s="1976"/>
      <c r="F733" s="1976"/>
      <c r="G733" s="1976"/>
      <c r="H733" s="1976"/>
      <c r="I733" s="1976"/>
      <c r="J733" s="1976"/>
      <c r="K733" s="1976"/>
      <c r="L733" s="202"/>
      <c r="M733" s="1976"/>
      <c r="N733" s="1977"/>
      <c r="O733" s="1976"/>
      <c r="P733" s="1976"/>
      <c r="Q733" s="1976"/>
      <c r="R733" s="1976"/>
      <c r="S733" s="1976"/>
      <c r="T733" s="1976"/>
      <c r="U733" s="1976"/>
      <c r="V733" s="1976"/>
      <c r="W733" s="1976"/>
      <c r="X733" s="202"/>
      <c r="Y733" s="1976"/>
      <c r="Z733" s="1976"/>
      <c r="AA733" s="1976"/>
      <c r="AB733" s="1976"/>
      <c r="AC733" s="1976"/>
      <c r="AD733" s="202"/>
      <c r="AE733" s="397">
        <v>45566</v>
      </c>
    </row>
    <row r="734" spans="2:31">
      <c r="B734" s="436" t="s">
        <v>187</v>
      </c>
      <c r="C734" s="1976">
        <v>8.6259474818937001</v>
      </c>
      <c r="D734" s="1976">
        <v>6.7876984130098403</v>
      </c>
      <c r="E734" s="1976">
        <v>9.4709856207768404</v>
      </c>
      <c r="F734" s="1976">
        <v>6.6735597645771101</v>
      </c>
      <c r="G734" s="1976">
        <v>5.9994235505655098</v>
      </c>
      <c r="H734" s="1976">
        <v>7.7278481620106403</v>
      </c>
      <c r="I734" s="1976">
        <v>5.7757472927148301</v>
      </c>
      <c r="J734" s="1976">
        <v>8.7001747875375699</v>
      </c>
      <c r="K734" s="1976">
        <v>8.9137021829677803</v>
      </c>
      <c r="L734" s="202">
        <v>8.49647792687208</v>
      </c>
      <c r="M734" s="1976">
        <v>14.5745293645655</v>
      </c>
      <c r="N734" s="1976">
        <v>10.507979331513599</v>
      </c>
      <c r="O734" s="1976">
        <v>16.254200328351502</v>
      </c>
      <c r="P734" s="1976">
        <v>14.152135709485099</v>
      </c>
      <c r="Q734" s="1977">
        <v>11.8055113748058</v>
      </c>
      <c r="R734" s="1976">
        <v>11.039187339631599</v>
      </c>
      <c r="S734" s="1976">
        <v>10.7584371737072</v>
      </c>
      <c r="T734" s="1976">
        <v>14.7111631527558</v>
      </c>
      <c r="U734" s="1976">
        <v>16.595551595126601</v>
      </c>
      <c r="V734" s="1976">
        <v>17.752860942174099</v>
      </c>
      <c r="W734" s="1976">
        <v>9.4993280522275008</v>
      </c>
      <c r="X734" s="202">
        <v>7.0623794471262897</v>
      </c>
      <c r="Y734" s="1976">
        <v>10.19</v>
      </c>
      <c r="Z734" s="1976">
        <v>11.5</v>
      </c>
      <c r="AA734" s="1976">
        <v>10.25</v>
      </c>
      <c r="AB734" s="1976" t="s">
        <v>93</v>
      </c>
      <c r="AC734" s="1976">
        <v>9.33</v>
      </c>
      <c r="AD734" s="1978">
        <v>10.5</v>
      </c>
      <c r="AE734" s="210" t="s">
        <v>356</v>
      </c>
    </row>
    <row r="735" spans="2:31">
      <c r="B735" s="436" t="s">
        <v>357</v>
      </c>
      <c r="C735" s="1976">
        <v>2.89804265376489</v>
      </c>
      <c r="D735" s="1976">
        <v>2.9846143493841901</v>
      </c>
      <c r="E735" s="1976">
        <v>2.80806305649301</v>
      </c>
      <c r="F735" s="1976">
        <v>3.1239225990553101</v>
      </c>
      <c r="G735" s="1976">
        <v>2.5023097617250598</v>
      </c>
      <c r="H735" s="1976">
        <v>3.5570915240816801</v>
      </c>
      <c r="I735" s="1976">
        <v>2.1524961670202698</v>
      </c>
      <c r="J735" s="1976">
        <v>2.5667552313456201</v>
      </c>
      <c r="K735" s="1976">
        <v>3.1156865345127698</v>
      </c>
      <c r="L735" s="202">
        <v>5.3472693632335204</v>
      </c>
      <c r="M735" s="1976">
        <v>5.4481907853746998</v>
      </c>
      <c r="N735" s="1976">
        <v>5.5096002400185098</v>
      </c>
      <c r="O735" s="1976">
        <v>4.6677146229598101</v>
      </c>
      <c r="P735" s="1976">
        <v>7.4067418767301003</v>
      </c>
      <c r="Q735" s="1976">
        <v>4.5964835137403899</v>
      </c>
      <c r="R735" s="1976">
        <v>6.1624668144945298</v>
      </c>
      <c r="S735" s="1976">
        <v>6.3270450114436096</v>
      </c>
      <c r="T735" s="1976">
        <v>5.7064068657355502</v>
      </c>
      <c r="U735" s="1976">
        <v>5.9898977493098498</v>
      </c>
      <c r="V735" s="1976">
        <v>5.1914416729686002</v>
      </c>
      <c r="W735" s="1976">
        <v>5.4116224251020899</v>
      </c>
      <c r="X735" s="202">
        <v>4.4974655754700903</v>
      </c>
      <c r="Y735" s="1976">
        <v>7.0902389494269604</v>
      </c>
      <c r="Z735" s="1976">
        <v>17.3</v>
      </c>
      <c r="AA735" s="1976" t="s">
        <v>93</v>
      </c>
      <c r="AB735" s="1976">
        <v>6.9666666666666703</v>
      </c>
      <c r="AC735" s="1976">
        <v>7.1575862773797096</v>
      </c>
      <c r="AD735" s="202">
        <v>5.7150273224043699</v>
      </c>
      <c r="AE735" s="210" t="s">
        <v>213</v>
      </c>
    </row>
    <row r="736" spans="2:31">
      <c r="B736" s="397">
        <v>45597</v>
      </c>
      <c r="C736" s="1976"/>
      <c r="D736" s="1976"/>
      <c r="E736" s="1976"/>
      <c r="F736" s="1976"/>
      <c r="G736" s="1976"/>
      <c r="H736" s="1976"/>
      <c r="I736" s="1976"/>
      <c r="J736" s="1976"/>
      <c r="K736" s="1976"/>
      <c r="L736" s="202"/>
      <c r="M736" s="1976"/>
      <c r="N736" s="1976"/>
      <c r="O736" s="1976"/>
      <c r="P736" s="1976"/>
      <c r="Q736" s="1976"/>
      <c r="R736" s="1976"/>
      <c r="S736" s="1976"/>
      <c r="T736" s="1976"/>
      <c r="U736" s="1976"/>
      <c r="V736" s="1976"/>
      <c r="W736" s="1976"/>
      <c r="X736" s="202"/>
      <c r="Y736" s="1976"/>
      <c r="Z736" s="1976"/>
      <c r="AA736" s="1976"/>
      <c r="AB736" s="1976"/>
      <c r="AC736" s="1976"/>
      <c r="AD736" s="202"/>
      <c r="AE736" s="397">
        <v>45597</v>
      </c>
    </row>
    <row r="737" spans="2:31">
      <c r="B737" s="436" t="s">
        <v>187</v>
      </c>
      <c r="C737" s="1976">
        <v>8.6521598253537508</v>
      </c>
      <c r="D737" s="1976">
        <v>6.7337875780630601</v>
      </c>
      <c r="E737" s="1976">
        <v>9.5391849448367392</v>
      </c>
      <c r="F737" s="1976">
        <v>6.4307048859446203</v>
      </c>
      <c r="G737" s="1976">
        <v>6.1705770986444897</v>
      </c>
      <c r="H737" s="1976">
        <v>7.2929466572678798</v>
      </c>
      <c r="I737" s="1976">
        <v>5.9200842465631096</v>
      </c>
      <c r="J737" s="1976">
        <v>8.7739805706053602</v>
      </c>
      <c r="K737" s="1976">
        <v>8.9597084089901493</v>
      </c>
      <c r="L737" s="202">
        <v>8.5291347724831503</v>
      </c>
      <c r="M737" s="1976">
        <v>14.5798584655357</v>
      </c>
      <c r="N737" s="1976">
        <v>10.5593578548265</v>
      </c>
      <c r="O737" s="1976">
        <v>16.255642686277199</v>
      </c>
      <c r="P737" s="1976">
        <v>10.3441833745647</v>
      </c>
      <c r="Q737" s="1976">
        <v>11.893759611242499</v>
      </c>
      <c r="R737" s="1976">
        <v>10.6553981917304</v>
      </c>
      <c r="S737" s="1976">
        <v>10.714137348409301</v>
      </c>
      <c r="T737" s="1976">
        <v>14.6632668104315</v>
      </c>
      <c r="U737" s="1976">
        <v>16.5950785162097</v>
      </c>
      <c r="V737" s="1976">
        <v>17.6881869209606</v>
      </c>
      <c r="W737" s="1976">
        <v>9.5937649954304103</v>
      </c>
      <c r="X737" s="202">
        <v>7.1148813119995404</v>
      </c>
      <c r="Y737" s="1976">
        <v>10.0658259263736</v>
      </c>
      <c r="Z737" s="1976" t="s">
        <v>93</v>
      </c>
      <c r="AA737" s="1976">
        <v>10.25</v>
      </c>
      <c r="AB737" s="1976" t="s">
        <v>93</v>
      </c>
      <c r="AC737" s="1976">
        <v>9.3292783798450003</v>
      </c>
      <c r="AD737" s="202">
        <v>10.5</v>
      </c>
      <c r="AE737" s="436" t="s">
        <v>187</v>
      </c>
    </row>
    <row r="738" spans="2:31">
      <c r="B738" s="436" t="s">
        <v>357</v>
      </c>
      <c r="C738" s="1976">
        <v>2.9158353128101999</v>
      </c>
      <c r="D738" s="1976">
        <v>2.99808414422986</v>
      </c>
      <c r="E738" s="1976">
        <v>2.8310367024137202</v>
      </c>
      <c r="F738" s="1976">
        <v>2.9988988337965901</v>
      </c>
      <c r="G738" s="1976">
        <v>2.4981189507705199</v>
      </c>
      <c r="H738" s="1976">
        <v>3.4809274903119398</v>
      </c>
      <c r="I738" s="1976">
        <v>2.22550287805934</v>
      </c>
      <c r="J738" s="1976">
        <v>2.6092257890514401</v>
      </c>
      <c r="K738" s="1976">
        <v>3.1073145020982702</v>
      </c>
      <c r="L738" s="202">
        <v>4.6780716373119597</v>
      </c>
      <c r="M738" s="1976">
        <v>5.4691961363339798</v>
      </c>
      <c r="N738" s="1976">
        <v>5.5337091516469501</v>
      </c>
      <c r="O738" s="1976">
        <v>4.6281769577923804</v>
      </c>
      <c r="P738" s="1976">
        <v>7.2957277408513903</v>
      </c>
      <c r="Q738" s="1976">
        <v>4.46493741651362</v>
      </c>
      <c r="R738" s="1976">
        <v>5.9473794792522003</v>
      </c>
      <c r="S738" s="1976">
        <v>6.4013241380417396</v>
      </c>
      <c r="T738" s="1976">
        <v>5.7193201796453499</v>
      </c>
      <c r="U738" s="1976">
        <v>6.0366340469001596</v>
      </c>
      <c r="V738" s="1976">
        <v>5.2080609657021499</v>
      </c>
      <c r="W738" s="1976">
        <v>5.4473507032852497</v>
      </c>
      <c r="X738" s="202">
        <v>4.6002072283295004</v>
      </c>
      <c r="Y738" s="1976">
        <v>7.1441461756926596</v>
      </c>
      <c r="Z738" s="1976">
        <v>12.3032258064516</v>
      </c>
      <c r="AA738" s="1976" t="s">
        <v>93</v>
      </c>
      <c r="AB738" s="1976" t="s">
        <v>93</v>
      </c>
      <c r="AC738" s="1976">
        <v>7.0551892784347299</v>
      </c>
      <c r="AD738" s="202">
        <v>5.6822404371584696</v>
      </c>
      <c r="AE738" s="436" t="s">
        <v>357</v>
      </c>
    </row>
    <row r="739" spans="2:31">
      <c r="B739" s="397">
        <v>45627</v>
      </c>
      <c r="C739" s="1976"/>
      <c r="D739" s="1976"/>
      <c r="E739" s="1976"/>
      <c r="F739" s="1976"/>
      <c r="G739" s="1976"/>
      <c r="H739" s="1976"/>
      <c r="I739" s="1976"/>
      <c r="J739" s="1976"/>
      <c r="K739" s="1976"/>
      <c r="L739" s="202"/>
      <c r="M739" s="1976"/>
      <c r="N739" s="1977"/>
      <c r="O739" s="1976"/>
      <c r="P739" s="1976"/>
      <c r="Q739" s="1976"/>
      <c r="R739" s="1976"/>
      <c r="S739" s="1976"/>
      <c r="T739" s="1976"/>
      <c r="U739" s="1976"/>
      <c r="V739" s="1976"/>
      <c r="W739" s="1976"/>
      <c r="X739" s="202"/>
      <c r="Y739" s="1976"/>
      <c r="Z739" s="1976"/>
      <c r="AA739" s="1976"/>
      <c r="AB739" s="1976"/>
      <c r="AC739" s="1976"/>
      <c r="AD739" s="202"/>
      <c r="AE739" s="397">
        <v>45627</v>
      </c>
    </row>
    <row r="740" spans="2:31">
      <c r="B740" s="210" t="s">
        <v>187</v>
      </c>
      <c r="C740" s="1976">
        <v>8.6819428037639099</v>
      </c>
      <c r="D740" s="1976">
        <v>6.7209237244494204</v>
      </c>
      <c r="E740" s="1976">
        <v>9.6180177876869202</v>
      </c>
      <c r="F740" s="1976">
        <v>6.7774665953647197</v>
      </c>
      <c r="G740" s="1976">
        <v>6.1268087413679702</v>
      </c>
      <c r="H740" s="1976">
        <v>7.2021849943553304</v>
      </c>
      <c r="I740" s="1976">
        <v>6.1075471812804398</v>
      </c>
      <c r="J740" s="1976">
        <v>8.7909726413312494</v>
      </c>
      <c r="K740" s="1976">
        <v>9.0319751873153802</v>
      </c>
      <c r="L740" s="202">
        <v>8.5688662946605891</v>
      </c>
      <c r="M740" s="1976">
        <v>14.639645585513</v>
      </c>
      <c r="N740" s="1976">
        <v>10.651250003980699</v>
      </c>
      <c r="O740" s="1976">
        <v>16.3089759964626</v>
      </c>
      <c r="P740" s="1976">
        <v>11.7752965751282</v>
      </c>
      <c r="Q740" s="1977">
        <v>11.7372829998817</v>
      </c>
      <c r="R740" s="1976">
        <v>10.986017560358</v>
      </c>
      <c r="S740" s="1976">
        <v>10.805933706187201</v>
      </c>
      <c r="T740" s="1976">
        <v>14.760017164025699</v>
      </c>
      <c r="U740" s="1976">
        <v>16.637469446053501</v>
      </c>
      <c r="V740" s="1976">
        <v>17.729513591293099</v>
      </c>
      <c r="W740" s="1976">
        <v>9.5562927890233595</v>
      </c>
      <c r="X740" s="202">
        <v>7.1174266116536602</v>
      </c>
      <c r="Y740" s="1976">
        <v>10.1314849305927</v>
      </c>
      <c r="Z740" s="1976" t="s">
        <v>93</v>
      </c>
      <c r="AA740" s="1976">
        <v>10.25</v>
      </c>
      <c r="AB740" s="1976" t="s">
        <v>93</v>
      </c>
      <c r="AC740" s="1976">
        <v>9.3292783798450003</v>
      </c>
      <c r="AD740" s="1978">
        <v>10.5</v>
      </c>
      <c r="AE740" s="210" t="s">
        <v>356</v>
      </c>
    </row>
    <row r="741" spans="2:31">
      <c r="B741" s="210" t="s">
        <v>357</v>
      </c>
      <c r="C741" s="1976">
        <v>2.9527820724468201</v>
      </c>
      <c r="D741" s="1976">
        <v>3.0476745995362098</v>
      </c>
      <c r="E741" s="1976">
        <v>2.8567656051457702</v>
      </c>
      <c r="F741" s="1976">
        <v>3.2245115245911902</v>
      </c>
      <c r="G741" s="1976">
        <v>2.9001833750075199</v>
      </c>
      <c r="H741" s="1976">
        <v>3.37288952117096</v>
      </c>
      <c r="I741" s="1976">
        <v>2.8369683214228401</v>
      </c>
      <c r="J741" s="1976">
        <v>2.63699407572624</v>
      </c>
      <c r="K741" s="1976">
        <v>3.1324503385468598</v>
      </c>
      <c r="L741" s="202">
        <v>4.4467862413596499</v>
      </c>
      <c r="M741" s="1976">
        <v>5.48152864448695</v>
      </c>
      <c r="N741" s="1976">
        <v>5.5790144297525996</v>
      </c>
      <c r="O741" s="1976">
        <v>4.3226778323920998</v>
      </c>
      <c r="P741" s="1976">
        <v>5.6172654222335501</v>
      </c>
      <c r="Q741" s="1976">
        <v>3.81620137431563</v>
      </c>
      <c r="R741" s="1976">
        <v>6.0810806328485203</v>
      </c>
      <c r="S741" s="1976">
        <v>6.3467003430564199</v>
      </c>
      <c r="T741" s="1976">
        <v>5.7081020513979901</v>
      </c>
      <c r="U741" s="1976">
        <v>6.07380669964245</v>
      </c>
      <c r="V741" s="1976">
        <v>5.1971579312721303</v>
      </c>
      <c r="W741" s="1976">
        <v>5.4672334791508996</v>
      </c>
      <c r="X741" s="202">
        <v>5.03662665310409</v>
      </c>
      <c r="Y741" s="1976">
        <v>6.8324599249703502</v>
      </c>
      <c r="Z741" s="1976">
        <v>12.7981307840322</v>
      </c>
      <c r="AA741" s="1976" t="s">
        <v>93</v>
      </c>
      <c r="AB741" s="1976" t="s">
        <v>93</v>
      </c>
      <c r="AC741" s="1976">
        <v>5.7384300670850497</v>
      </c>
      <c r="AD741" s="202">
        <v>5.8317567567567599</v>
      </c>
      <c r="AE741" s="210" t="s">
        <v>213</v>
      </c>
    </row>
    <row r="742" spans="2:31">
      <c r="B742" s="397">
        <v>45658</v>
      </c>
      <c r="C742" s="1976"/>
      <c r="D742" s="1976"/>
      <c r="E742" s="1976"/>
      <c r="F742" s="1976"/>
      <c r="G742" s="1976"/>
      <c r="H742" s="1976"/>
      <c r="I742" s="1976"/>
      <c r="J742" s="1976"/>
      <c r="K742" s="1976"/>
      <c r="L742" s="202"/>
      <c r="M742" s="1976"/>
      <c r="N742" s="1976"/>
      <c r="O742" s="1976"/>
      <c r="P742" s="1976"/>
      <c r="Q742" s="1976"/>
      <c r="R742" s="1976"/>
      <c r="S742" s="1976"/>
      <c r="T742" s="1976"/>
      <c r="U742" s="1976"/>
      <c r="V742" s="1976"/>
      <c r="W742" s="1976"/>
      <c r="X742" s="202"/>
      <c r="Y742" s="1976"/>
      <c r="Z742" s="1976"/>
      <c r="AA742" s="1976"/>
      <c r="AB742" s="1976"/>
      <c r="AC742" s="1976"/>
      <c r="AD742" s="202"/>
      <c r="AE742" s="397">
        <v>45658</v>
      </c>
    </row>
    <row r="743" spans="2:31">
      <c r="B743" s="210" t="s">
        <v>187</v>
      </c>
      <c r="C743" s="1976">
        <v>8.7505275485649499</v>
      </c>
      <c r="D743" s="1976">
        <v>6.8007684381746198</v>
      </c>
      <c r="E743" s="1976">
        <v>9.7357051399145593</v>
      </c>
      <c r="F743" s="1976">
        <v>6.38775000536251</v>
      </c>
      <c r="G743" s="1976">
        <v>5.53565674394883</v>
      </c>
      <c r="H743" s="1976">
        <v>7.9232292981608596</v>
      </c>
      <c r="I743" s="1976">
        <v>6.2669476127477397</v>
      </c>
      <c r="J743" s="1976">
        <v>8.8548593664135602</v>
      </c>
      <c r="K743" s="1976">
        <v>9.1607378087779008</v>
      </c>
      <c r="L743" s="202">
        <v>8.6205598227164106</v>
      </c>
      <c r="M743" s="1976">
        <v>14.659652428918401</v>
      </c>
      <c r="N743" s="1976">
        <v>10.7133090683676</v>
      </c>
      <c r="O743" s="1976">
        <v>16.317367497750499</v>
      </c>
      <c r="P743" s="1976">
        <v>6.2875297085894104</v>
      </c>
      <c r="Q743" s="1976">
        <v>11.192148554728901</v>
      </c>
      <c r="R743" s="1976">
        <v>11.3663042291018</v>
      </c>
      <c r="S743" s="1976">
        <v>11.110390155980699</v>
      </c>
      <c r="T743" s="1976">
        <v>14.5366364162051</v>
      </c>
      <c r="U743" s="1976">
        <v>16.804048387700099</v>
      </c>
      <c r="V743" s="1976">
        <v>17.741291956934599</v>
      </c>
      <c r="W743" s="1976">
        <v>9.6336604253220202</v>
      </c>
      <c r="X743" s="202">
        <v>7.11413699749333</v>
      </c>
      <c r="Y743" s="1976">
        <v>10.25</v>
      </c>
      <c r="Z743" s="1976" t="s">
        <v>93</v>
      </c>
      <c r="AA743" s="1976" t="s">
        <v>93</v>
      </c>
      <c r="AB743" s="1976" t="s">
        <v>93</v>
      </c>
      <c r="AC743" s="1976">
        <v>10.25</v>
      </c>
      <c r="AD743" s="202" t="s">
        <v>93</v>
      </c>
      <c r="AE743" s="210" t="s">
        <v>356</v>
      </c>
    </row>
    <row r="744" spans="2:31">
      <c r="B744" s="210" t="s">
        <v>357</v>
      </c>
      <c r="C744" s="1976">
        <v>3.0022596114586499</v>
      </c>
      <c r="D744" s="1976">
        <v>3.1022172088206701</v>
      </c>
      <c r="E744" s="1976">
        <v>2.9013521934146298</v>
      </c>
      <c r="F744" s="1976">
        <v>2.8018050162208401</v>
      </c>
      <c r="G744" s="1976">
        <v>2.4887284358972601</v>
      </c>
      <c r="H744" s="1976">
        <v>3.2308021188964502</v>
      </c>
      <c r="I744" s="1976">
        <v>3.36402866963383</v>
      </c>
      <c r="J744" s="1976">
        <v>2.7482264601755402</v>
      </c>
      <c r="K744" s="1976">
        <v>3.1771335589834102</v>
      </c>
      <c r="L744" s="202">
        <v>4.20581320242787</v>
      </c>
      <c r="M744" s="1976">
        <v>5.5651958580387602</v>
      </c>
      <c r="N744" s="1976">
        <v>5.6652174124577099</v>
      </c>
      <c r="O744" s="1976">
        <v>4.3887151565091704</v>
      </c>
      <c r="P744" s="1976">
        <v>6.2096589509972899</v>
      </c>
      <c r="Q744" s="1976">
        <v>3.8252601077366402</v>
      </c>
      <c r="R744" s="1976">
        <v>6.2724027701928797</v>
      </c>
      <c r="S744" s="1976">
        <v>5.6799560579903501</v>
      </c>
      <c r="T744" s="1976">
        <v>5.8526442060852704</v>
      </c>
      <c r="U744" s="1976">
        <v>6.15635683974961</v>
      </c>
      <c r="V744" s="1976">
        <v>5.2222534245208996</v>
      </c>
      <c r="W744" s="1976">
        <v>5.5842733353705496</v>
      </c>
      <c r="X744" s="202">
        <v>5.3956882888717397</v>
      </c>
      <c r="Y744" s="1976">
        <v>7.2668126981738199</v>
      </c>
      <c r="Z744" s="1976">
        <v>12.3330290700787</v>
      </c>
      <c r="AA744" s="1976" t="s">
        <v>93</v>
      </c>
      <c r="AB744" s="1976" t="s">
        <v>93</v>
      </c>
      <c r="AC744" s="1976">
        <v>5.0459229272379797</v>
      </c>
      <c r="AD744" s="202">
        <v>6.9006993006992996</v>
      </c>
      <c r="AE744" s="210" t="s">
        <v>213</v>
      </c>
    </row>
    <row r="745" spans="2:31">
      <c r="B745" s="397">
        <v>45689</v>
      </c>
      <c r="C745" s="1976"/>
      <c r="D745" s="1976"/>
      <c r="E745" s="1976"/>
      <c r="F745" s="1976"/>
      <c r="G745" s="1976"/>
      <c r="H745" s="1976"/>
      <c r="I745" s="1976"/>
      <c r="J745" s="1976"/>
      <c r="K745" s="1976"/>
      <c r="L745" s="202"/>
      <c r="M745" s="1976"/>
      <c r="N745" s="1976"/>
      <c r="O745" s="1976"/>
      <c r="P745" s="1976"/>
      <c r="Q745" s="1976"/>
      <c r="R745" s="1976"/>
      <c r="S745" s="1976"/>
      <c r="T745" s="1976"/>
      <c r="U745" s="1976"/>
      <c r="V745" s="1976"/>
      <c r="W745" s="1976"/>
      <c r="X745" s="202"/>
      <c r="Y745" s="1976"/>
      <c r="Z745" s="1976"/>
      <c r="AA745" s="1976"/>
      <c r="AB745" s="1976"/>
      <c r="AC745" s="1976"/>
      <c r="AD745" s="202"/>
      <c r="AE745" s="397">
        <v>45689</v>
      </c>
    </row>
    <row r="746" spans="2:31">
      <c r="B746" s="210" t="s">
        <v>187</v>
      </c>
      <c r="C746" s="1976">
        <v>8.8408852838142096</v>
      </c>
      <c r="D746" s="1976">
        <v>6.8266201367162198</v>
      </c>
      <c r="E746" s="1976">
        <v>9.8564383417158794</v>
      </c>
      <c r="F746" s="1976">
        <v>6.5694933852499302</v>
      </c>
      <c r="G746" s="1976">
        <v>5.63674181390292</v>
      </c>
      <c r="H746" s="1976">
        <v>8.15600733615201</v>
      </c>
      <c r="I746" s="1976">
        <v>6.7480633795695404</v>
      </c>
      <c r="J746" s="1976">
        <v>8.9266216035070407</v>
      </c>
      <c r="K746" s="1976">
        <v>9.30209430527343</v>
      </c>
      <c r="L746" s="202">
        <v>8.5502272746748407</v>
      </c>
      <c r="M746" s="1976">
        <v>14.8305993280126</v>
      </c>
      <c r="N746" s="1976">
        <v>10.811593260649</v>
      </c>
      <c r="O746" s="1976">
        <v>16.497059955072999</v>
      </c>
      <c r="P746" s="1976">
        <v>11.891991893165599</v>
      </c>
      <c r="Q746" s="1976">
        <v>12.636977935295301</v>
      </c>
      <c r="R746" s="1976">
        <v>11.708754925189901</v>
      </c>
      <c r="S746" s="1976">
        <v>11.3331286681591</v>
      </c>
      <c r="T746" s="1976">
        <v>14.9870658729763</v>
      </c>
      <c r="U746" s="1976">
        <v>16.811567741460401</v>
      </c>
      <c r="V746" s="1976">
        <v>17.810264129027601</v>
      </c>
      <c r="W746" s="1976">
        <v>9.6644954201121092</v>
      </c>
      <c r="X746" s="202">
        <v>7.5498633260838703</v>
      </c>
      <c r="Y746" s="1976">
        <v>10.472439035145699</v>
      </c>
      <c r="Z746" s="1976" t="s">
        <v>93</v>
      </c>
      <c r="AA746" s="1976">
        <v>10.5</v>
      </c>
      <c r="AB746" s="1976" t="s">
        <v>93</v>
      </c>
      <c r="AC746" s="1976">
        <v>10.25</v>
      </c>
      <c r="AD746" s="202" t="s">
        <v>93</v>
      </c>
      <c r="AE746" s="210" t="s">
        <v>356</v>
      </c>
    </row>
    <row r="747" spans="2:31">
      <c r="B747" s="210" t="s">
        <v>357</v>
      </c>
      <c r="C747" s="1976">
        <v>3.0199659986979199</v>
      </c>
      <c r="D747" s="1976">
        <v>3.1096308150546599</v>
      </c>
      <c r="E747" s="1976">
        <v>2.92916828092903</v>
      </c>
      <c r="F747" s="1976">
        <v>2.6990880377399198</v>
      </c>
      <c r="G747" s="1976">
        <v>2.49661466123688</v>
      </c>
      <c r="H747" s="1976">
        <v>3.28715773520201</v>
      </c>
      <c r="I747" s="1976">
        <v>3.3588560242818102</v>
      </c>
      <c r="J747" s="1976">
        <v>2.7722186423182902</v>
      </c>
      <c r="K747" s="1976">
        <v>3.1837936956836601</v>
      </c>
      <c r="L747" s="202">
        <v>4.3104450464622399</v>
      </c>
      <c r="M747" s="1976">
        <v>5.53878608801136</v>
      </c>
      <c r="N747" s="1976">
        <v>5.6320345435960801</v>
      </c>
      <c r="O747" s="1976">
        <v>4.40858368027172</v>
      </c>
      <c r="P747" s="1976">
        <v>6.2530806263283303</v>
      </c>
      <c r="Q747" s="1976">
        <v>3.8229699055269402</v>
      </c>
      <c r="R747" s="1976">
        <v>6.3066005908417404</v>
      </c>
      <c r="S747" s="1976">
        <v>5.9216694674395596</v>
      </c>
      <c r="T747" s="1976">
        <v>5.87386736444543</v>
      </c>
      <c r="U747" s="1976">
        <v>6.2431832047771003</v>
      </c>
      <c r="V747" s="1976">
        <v>5.2192008160056798</v>
      </c>
      <c r="W747" s="1976">
        <v>5.5030014954715698</v>
      </c>
      <c r="X747" s="202">
        <v>5.1575087050386603</v>
      </c>
      <c r="Y747" s="1976">
        <v>7.2003104576564096</v>
      </c>
      <c r="Z747" s="1976">
        <v>12.235574549412</v>
      </c>
      <c r="AA747" s="1976" t="s">
        <v>93</v>
      </c>
      <c r="AB747" s="1976" t="s">
        <v>93</v>
      </c>
      <c r="AC747" s="1976">
        <v>4.46990436459979</v>
      </c>
      <c r="AD747" s="202">
        <v>6.8071678321678304</v>
      </c>
      <c r="AE747" s="210" t="s">
        <v>213</v>
      </c>
    </row>
    <row r="748" spans="2:31">
      <c r="B748" s="397">
        <v>45717</v>
      </c>
      <c r="C748" s="1976"/>
      <c r="D748" s="1976"/>
      <c r="E748" s="1976"/>
      <c r="F748" s="1976"/>
      <c r="G748" s="1976"/>
      <c r="H748" s="1976"/>
      <c r="I748" s="1976"/>
      <c r="J748" s="1976"/>
      <c r="K748" s="1976"/>
      <c r="L748" s="202"/>
      <c r="M748" s="1976"/>
      <c r="N748" s="1976"/>
      <c r="O748" s="1976"/>
      <c r="P748" s="1976"/>
      <c r="Q748" s="1976"/>
      <c r="R748" s="1976"/>
      <c r="S748" s="1976"/>
      <c r="T748" s="1976"/>
      <c r="U748" s="1976"/>
      <c r="V748" s="1976"/>
      <c r="W748" s="1976"/>
      <c r="X748" s="202"/>
      <c r="Y748" s="1976"/>
      <c r="Z748" s="1976"/>
      <c r="AA748" s="1976"/>
      <c r="AB748" s="1976"/>
      <c r="AC748" s="1976"/>
      <c r="AD748" s="202"/>
      <c r="AE748" s="397">
        <v>45717</v>
      </c>
    </row>
    <row r="749" spans="2:31">
      <c r="B749" s="210" t="s">
        <v>187</v>
      </c>
      <c r="C749" s="1976">
        <v>8.8723907405444091</v>
      </c>
      <c r="D749" s="1976">
        <v>6.8845288047822999</v>
      </c>
      <c r="E749" s="1976">
        <v>9.90950561187476</v>
      </c>
      <c r="F749" s="1976">
        <v>6.5216693747699601</v>
      </c>
      <c r="G749" s="1976">
        <v>5.8515973107981498</v>
      </c>
      <c r="H749" s="1976">
        <v>8.3827111956346307</v>
      </c>
      <c r="I749" s="1976">
        <v>6.9111189860796696</v>
      </c>
      <c r="J749" s="1976">
        <v>8.9447442433212991</v>
      </c>
      <c r="K749" s="1976">
        <v>9.3216939204974292</v>
      </c>
      <c r="L749" s="202">
        <v>8.5837833782777295</v>
      </c>
      <c r="M749" s="1976">
        <v>14.810105758931</v>
      </c>
      <c r="N749" s="1976">
        <v>10.8662808287978</v>
      </c>
      <c r="O749" s="1976">
        <v>16.458945411025098</v>
      </c>
      <c r="P749" s="1976">
        <v>11.867093958936501</v>
      </c>
      <c r="Q749" s="1976">
        <v>12.1098090827586</v>
      </c>
      <c r="R749" s="1976">
        <v>11.5614142969391</v>
      </c>
      <c r="S749" s="1976">
        <v>11.4747178446205</v>
      </c>
      <c r="T749" s="1976">
        <v>15.1452126410719</v>
      </c>
      <c r="U749" s="1976">
        <v>16.865729259560698</v>
      </c>
      <c r="V749" s="1976">
        <v>17.8513022606314</v>
      </c>
      <c r="W749" s="1976">
        <v>9.6799224263403794</v>
      </c>
      <c r="X749" s="202">
        <v>7.1062262451791796</v>
      </c>
      <c r="Y749" s="1976">
        <v>10.472439035145699</v>
      </c>
      <c r="Z749" s="1976" t="s">
        <v>93</v>
      </c>
      <c r="AA749" s="1976">
        <v>10.5</v>
      </c>
      <c r="AB749" s="1976" t="s">
        <v>93</v>
      </c>
      <c r="AC749" s="1976">
        <v>10.25</v>
      </c>
      <c r="AD749" s="202" t="s">
        <v>93</v>
      </c>
      <c r="AE749" s="210" t="s">
        <v>356</v>
      </c>
    </row>
    <row r="750" spans="2:31">
      <c r="B750" s="210" t="s">
        <v>357</v>
      </c>
      <c r="C750" s="1976">
        <v>3.0521874054226701</v>
      </c>
      <c r="D750" s="1976">
        <v>3.1095719666372701</v>
      </c>
      <c r="E750" s="1976">
        <v>2.9956952279336</v>
      </c>
      <c r="F750" s="1976">
        <v>3.00758308925989</v>
      </c>
      <c r="G750" s="1976">
        <v>2.5694220892039299</v>
      </c>
      <c r="H750" s="1976">
        <v>3.0684984114137901</v>
      </c>
      <c r="I750" s="1976">
        <v>3.2435905076839799</v>
      </c>
      <c r="J750" s="1976">
        <v>2.8710179558528401</v>
      </c>
      <c r="K750" s="1976">
        <v>3.1550148451262401</v>
      </c>
      <c r="L750" s="202">
        <v>4.5121041768860497</v>
      </c>
      <c r="M750" s="1976">
        <v>5.6019376464838802</v>
      </c>
      <c r="N750" s="1976">
        <v>5.6701679930289703</v>
      </c>
      <c r="O750" s="1976">
        <v>4.6901498533820698</v>
      </c>
      <c r="P750" s="1976">
        <v>6.3629272679017799</v>
      </c>
      <c r="Q750" s="1976">
        <v>4.5181254964903603</v>
      </c>
      <c r="R750" s="1976">
        <v>6.3143952637498604</v>
      </c>
      <c r="S750" s="1976">
        <v>6.0148524014894598</v>
      </c>
      <c r="T750" s="1976">
        <v>5.8316488689332804</v>
      </c>
      <c r="U750" s="1976">
        <v>6.3147537655511998</v>
      </c>
      <c r="V750" s="1976">
        <v>5.2800570303156098</v>
      </c>
      <c r="W750" s="1976">
        <v>5.5086578244660496</v>
      </c>
      <c r="X750" s="202">
        <v>5.2502363443522899</v>
      </c>
      <c r="Y750" s="1976">
        <v>6.9711132919885701</v>
      </c>
      <c r="Z750" s="1976">
        <v>12.0029765618038</v>
      </c>
      <c r="AA750" s="1976" t="s">
        <v>93</v>
      </c>
      <c r="AB750" s="1976" t="s">
        <v>93</v>
      </c>
      <c r="AC750" s="1976">
        <v>4.4698780921093499</v>
      </c>
      <c r="AD750" s="202">
        <v>6.4485169491525403</v>
      </c>
      <c r="AE750" s="210" t="s">
        <v>213</v>
      </c>
    </row>
    <row r="751" spans="2:31">
      <c r="B751" s="397">
        <v>45748</v>
      </c>
      <c r="C751" s="1976"/>
      <c r="D751" s="1976"/>
      <c r="E751" s="1976"/>
      <c r="F751" s="1976"/>
      <c r="G751" s="1976"/>
      <c r="H751" s="1976"/>
      <c r="I751" s="1976"/>
      <c r="J751" s="1976"/>
      <c r="K751" s="1976"/>
      <c r="L751" s="202"/>
      <c r="M751" s="1976"/>
      <c r="N751" s="1977"/>
      <c r="O751" s="1976"/>
      <c r="P751" s="1976"/>
      <c r="Q751" s="1976"/>
      <c r="R751" s="1976"/>
      <c r="S751" s="1976"/>
      <c r="T751" s="1976"/>
      <c r="U751" s="1976"/>
      <c r="V751" s="1976"/>
      <c r="W751" s="1976"/>
      <c r="X751" s="202"/>
      <c r="Y751" s="1976"/>
      <c r="Z751" s="1976"/>
      <c r="AA751" s="1976"/>
      <c r="AB751" s="1976"/>
      <c r="AC751" s="1976"/>
      <c r="AD751" s="202"/>
      <c r="AE751" s="397">
        <v>45748</v>
      </c>
    </row>
    <row r="752" spans="2:31">
      <c r="B752" s="436" t="s">
        <v>187</v>
      </c>
      <c r="C752" s="1976">
        <v>9.0487790096926197</v>
      </c>
      <c r="D752" s="1976">
        <v>7.0673440851723699</v>
      </c>
      <c r="E752" s="1976">
        <v>9.9840040272382904</v>
      </c>
      <c r="F752" s="1976">
        <v>6.4379315017495804</v>
      </c>
      <c r="G752" s="1976">
        <v>7.0160019646193401</v>
      </c>
      <c r="H752" s="1976">
        <v>8.5021255404346192</v>
      </c>
      <c r="I752" s="1976">
        <v>7.9261790457479604</v>
      </c>
      <c r="J752" s="1976">
        <v>9.0999969541781205</v>
      </c>
      <c r="K752" s="1976">
        <v>9.3900285610338798</v>
      </c>
      <c r="L752" s="202">
        <v>8.7170919218700291</v>
      </c>
      <c r="M752" s="1976">
        <v>14.8210526016471</v>
      </c>
      <c r="N752" s="1976">
        <v>10.9338838290984</v>
      </c>
      <c r="O752" s="1976">
        <v>16.452432869287701</v>
      </c>
      <c r="P752" s="1976">
        <v>11.609591042701901</v>
      </c>
      <c r="Q752" s="1977">
        <v>12.4627763644552</v>
      </c>
      <c r="R752" s="1976">
        <v>11.7445557119753</v>
      </c>
      <c r="S752" s="1976">
        <v>11.7082590547728</v>
      </c>
      <c r="T752" s="1976">
        <v>15.069462572062401</v>
      </c>
      <c r="U752" s="1976">
        <v>16.889515582063101</v>
      </c>
      <c r="V752" s="1976">
        <v>17.923649641744198</v>
      </c>
      <c r="W752" s="1976">
        <v>9.7288536456116894</v>
      </c>
      <c r="X752" s="202">
        <v>7.0489810836704798</v>
      </c>
      <c r="Y752" s="1976">
        <v>10.472439035145699</v>
      </c>
      <c r="Z752" s="1976" t="s">
        <v>93</v>
      </c>
      <c r="AA752" s="1976">
        <v>10.5</v>
      </c>
      <c r="AB752" s="1976" t="s">
        <v>93</v>
      </c>
      <c r="AC752" s="1976">
        <v>10.25</v>
      </c>
      <c r="AD752" s="1978" t="s">
        <v>93</v>
      </c>
      <c r="AE752" s="210" t="s">
        <v>356</v>
      </c>
    </row>
    <row r="753" spans="2:32">
      <c r="B753" s="436" t="s">
        <v>357</v>
      </c>
      <c r="C753" s="1976">
        <v>3.0673567101593902</v>
      </c>
      <c r="D753" s="1976">
        <v>3.1288779710197798</v>
      </c>
      <c r="E753" s="1976">
        <v>3.0078830120272699</v>
      </c>
      <c r="F753" s="1976">
        <v>2.79813965660784</v>
      </c>
      <c r="G753" s="1976">
        <v>2.5859377650224298</v>
      </c>
      <c r="H753" s="1976">
        <v>2.94049163517961</v>
      </c>
      <c r="I753" s="1976">
        <v>2.7535208776832798</v>
      </c>
      <c r="J753" s="1976">
        <v>2.9432189520204202</v>
      </c>
      <c r="K753" s="1976">
        <v>3.1493985417885799</v>
      </c>
      <c r="L753" s="202">
        <v>4.3363313592137498</v>
      </c>
      <c r="M753" s="1976">
        <v>5.6499665398987897</v>
      </c>
      <c r="N753" s="1976">
        <v>5.7250160504887004</v>
      </c>
      <c r="O753" s="1976">
        <v>4.6704159907435097</v>
      </c>
      <c r="P753" s="1976">
        <v>4.8305487736168002</v>
      </c>
      <c r="Q753" s="1976">
        <v>4.5329730490258102</v>
      </c>
      <c r="R753" s="1976">
        <v>6.4540669034267903</v>
      </c>
      <c r="S753" s="1976">
        <v>6.1027326162189199</v>
      </c>
      <c r="T753" s="1976">
        <v>5.8012396099106098</v>
      </c>
      <c r="U753" s="1976">
        <v>6.6239497253811797</v>
      </c>
      <c r="V753" s="1976">
        <v>5.2421824194804696</v>
      </c>
      <c r="W753" s="1976">
        <v>5.4754467021675701</v>
      </c>
      <c r="X753" s="202">
        <v>5.5247253505085103</v>
      </c>
      <c r="Y753" s="1976">
        <v>7.0123572018102696</v>
      </c>
      <c r="Z753" s="1976">
        <v>12.224668006290401</v>
      </c>
      <c r="AA753" s="1976" t="s">
        <v>93</v>
      </c>
      <c r="AB753" s="1976" t="s">
        <v>93</v>
      </c>
      <c r="AC753" s="1976">
        <v>4.4625027212953796</v>
      </c>
      <c r="AD753" s="202">
        <v>6.4485169491525403</v>
      </c>
      <c r="AE753" s="210" t="s">
        <v>213</v>
      </c>
    </row>
    <row r="754" spans="2:32">
      <c r="B754" s="397">
        <v>45778</v>
      </c>
      <c r="C754" s="1976"/>
      <c r="D754" s="1976"/>
      <c r="E754" s="1976"/>
      <c r="F754" s="1976"/>
      <c r="G754" s="1976"/>
      <c r="H754" s="1976"/>
      <c r="I754" s="1976"/>
      <c r="J754" s="1976"/>
      <c r="K754" s="1976"/>
      <c r="L754" s="202"/>
      <c r="M754" s="1976"/>
      <c r="N754" s="1976"/>
      <c r="O754" s="1976"/>
      <c r="P754" s="1976"/>
      <c r="Q754" s="1976"/>
      <c r="R754" s="1976"/>
      <c r="S754" s="1976"/>
      <c r="T754" s="1976"/>
      <c r="U754" s="1976"/>
      <c r="V754" s="1976"/>
      <c r="W754" s="1976"/>
      <c r="X754" s="202"/>
      <c r="Y754" s="1976"/>
      <c r="Z754" s="1976"/>
      <c r="AA754" s="1976"/>
      <c r="AB754" s="1976"/>
      <c r="AC754" s="1976"/>
      <c r="AD754" s="202"/>
      <c r="AE754" s="397">
        <v>45778</v>
      </c>
    </row>
    <row r="755" spans="2:32">
      <c r="B755" s="436" t="s">
        <v>187</v>
      </c>
      <c r="C755" s="1976">
        <v>8.9174482518076896</v>
      </c>
      <c r="D755" s="1976">
        <v>7.1819775756019597</v>
      </c>
      <c r="E755" s="1976">
        <v>10.0821378186867</v>
      </c>
      <c r="F755" s="1976">
        <v>6.5388942642605699</v>
      </c>
      <c r="G755" s="1976">
        <v>7.0637229456494204</v>
      </c>
      <c r="H755" s="1976">
        <v>8.8210256668443208</v>
      </c>
      <c r="I755" s="1976">
        <v>7.8988284751281999</v>
      </c>
      <c r="J755" s="1976">
        <v>9.2211413973589504</v>
      </c>
      <c r="K755" s="1976">
        <v>9.4813691311675505</v>
      </c>
      <c r="L755" s="202">
        <v>8.7167380215494603</v>
      </c>
      <c r="M755" s="1976">
        <v>14.9540733676057</v>
      </c>
      <c r="N755" s="1976">
        <v>11.060258895109699</v>
      </c>
      <c r="O755" s="1976">
        <v>16.564370541921299</v>
      </c>
      <c r="P755" s="1976">
        <v>13.6971385203436</v>
      </c>
      <c r="Q755" s="1976">
        <v>12.755148652811499</v>
      </c>
      <c r="R755" s="1976">
        <v>12.034398112104601</v>
      </c>
      <c r="S755" s="1976">
        <v>11.725694356027599</v>
      </c>
      <c r="T755" s="1976">
        <v>15.3916471363412</v>
      </c>
      <c r="U755" s="1976">
        <v>17.076061268113399</v>
      </c>
      <c r="V755" s="1976">
        <v>17.9969520795085</v>
      </c>
      <c r="W755" s="1976">
        <v>9.7823724877484892</v>
      </c>
      <c r="X755" s="202">
        <v>7.0542049142849601</v>
      </c>
      <c r="Y755" s="1976">
        <v>10.25</v>
      </c>
      <c r="Z755" s="1976" t="s">
        <v>93</v>
      </c>
      <c r="AA755" s="1976" t="s">
        <v>93</v>
      </c>
      <c r="AB755" s="1976" t="s">
        <v>93</v>
      </c>
      <c r="AC755" s="1976">
        <v>10.25</v>
      </c>
      <c r="AD755" s="202" t="s">
        <v>93</v>
      </c>
      <c r="AE755" s="210" t="s">
        <v>356</v>
      </c>
    </row>
    <row r="756" spans="2:32">
      <c r="B756" s="436" t="s">
        <v>357</v>
      </c>
      <c r="C756" s="1976">
        <v>3.14846972691883</v>
      </c>
      <c r="D756" s="1976">
        <v>3.2242734400020399</v>
      </c>
      <c r="E756" s="1976">
        <v>3.0803927478664899</v>
      </c>
      <c r="F756" s="1976">
        <v>2.9384232119495799</v>
      </c>
      <c r="G756" s="1976">
        <v>3.4242958251983202</v>
      </c>
      <c r="H756" s="1976">
        <v>2.9075344676695201</v>
      </c>
      <c r="I756" s="1976">
        <v>2.8146252789574699</v>
      </c>
      <c r="J756" s="1976">
        <v>3.06912241693305</v>
      </c>
      <c r="K756" s="1976">
        <v>3.24186107686858</v>
      </c>
      <c r="L756" s="202">
        <v>2.2488799326188098</v>
      </c>
      <c r="M756" s="1976">
        <v>5.6644506110799204</v>
      </c>
      <c r="N756" s="1976">
        <v>5.73815464394887</v>
      </c>
      <c r="O756" s="1976">
        <v>4.6733138763537303</v>
      </c>
      <c r="P756" s="1976">
        <v>5.6116288159705201</v>
      </c>
      <c r="Q756" s="1976">
        <v>4.5316739576047098</v>
      </c>
      <c r="R756" s="1976">
        <v>6.5322543140935903</v>
      </c>
      <c r="S756" s="1976">
        <v>6.0801756262224904</v>
      </c>
      <c r="T756" s="1976">
        <v>5.88165397029847</v>
      </c>
      <c r="U756" s="1976">
        <v>6.68484553934384</v>
      </c>
      <c r="V756" s="1976">
        <v>5.2706236681604697</v>
      </c>
      <c r="W756" s="1976">
        <v>5.4452226533348904</v>
      </c>
      <c r="X756" s="202">
        <v>5.5148949520571602</v>
      </c>
      <c r="Y756" s="1976">
        <v>7.11682421181305</v>
      </c>
      <c r="Z756" s="1976">
        <v>12.4412850244517</v>
      </c>
      <c r="AA756" s="1976" t="s">
        <v>93</v>
      </c>
      <c r="AB756" s="1976" t="s">
        <v>93</v>
      </c>
      <c r="AC756" s="1976">
        <v>4.4814147360812999</v>
      </c>
      <c r="AD756" s="202">
        <v>6.4485169491525403</v>
      </c>
      <c r="AE756" s="210" t="s">
        <v>213</v>
      </c>
    </row>
    <row r="757" spans="2:32">
      <c r="B757" s="397">
        <v>45809</v>
      </c>
      <c r="C757" s="1976"/>
      <c r="D757" s="1976"/>
      <c r="E757" s="1976"/>
      <c r="F757" s="1976"/>
      <c r="G757" s="1976"/>
      <c r="H757" s="1976"/>
      <c r="I757" s="1976"/>
      <c r="J757" s="1976"/>
      <c r="K757" s="1976"/>
      <c r="L757" s="202"/>
      <c r="M757" s="1976"/>
      <c r="N757" s="1977"/>
      <c r="O757" s="1976"/>
      <c r="P757" s="1976"/>
      <c r="Q757" s="1976"/>
      <c r="R757" s="1976"/>
      <c r="S757" s="1976"/>
      <c r="T757" s="1976"/>
      <c r="U757" s="1976"/>
      <c r="V757" s="1976"/>
      <c r="W757" s="1976"/>
      <c r="X757" s="202"/>
      <c r="Y757" s="1976"/>
      <c r="Z757" s="1976"/>
      <c r="AA757" s="1976"/>
      <c r="AB757" s="1976"/>
      <c r="AC757" s="1976"/>
      <c r="AD757" s="202"/>
      <c r="AE757" s="397">
        <v>45809</v>
      </c>
    </row>
    <row r="758" spans="2:32">
      <c r="B758" s="210" t="s">
        <v>187</v>
      </c>
      <c r="C758" s="1976">
        <v>8.8677288712242905</v>
      </c>
      <c r="D758" s="1976">
        <v>7.1070822745133704</v>
      </c>
      <c r="E758" s="1976">
        <v>10.210778796917101</v>
      </c>
      <c r="F758" s="1976">
        <v>6.62757954131001</v>
      </c>
      <c r="G758" s="1976">
        <v>7.0861639793759297</v>
      </c>
      <c r="H758" s="1976">
        <v>9.0192344352113594</v>
      </c>
      <c r="I758" s="1976">
        <v>8.2102082573781292</v>
      </c>
      <c r="J758" s="1976">
        <v>9.3758914962211506</v>
      </c>
      <c r="K758" s="1976">
        <v>9.5441640541833603</v>
      </c>
      <c r="L758" s="202">
        <v>8.6475422954492291</v>
      </c>
      <c r="M758" s="1976">
        <v>15.0398370664333</v>
      </c>
      <c r="N758" s="1976">
        <v>11.1477713900245</v>
      </c>
      <c r="O758" s="1976">
        <v>16.667411354241001</v>
      </c>
      <c r="P758" s="1976">
        <v>13.2967397722544</v>
      </c>
      <c r="Q758" s="1977">
        <v>12.6399828632891</v>
      </c>
      <c r="R758" s="1976">
        <v>11.8206580639231</v>
      </c>
      <c r="S758" s="1976">
        <v>11.9037507651393</v>
      </c>
      <c r="T758" s="1976">
        <v>15.2997161700823</v>
      </c>
      <c r="U758" s="1976">
        <v>17.162345587014499</v>
      </c>
      <c r="V758" s="1976">
        <v>18.123151728735099</v>
      </c>
      <c r="W758" s="1976">
        <v>9.8267329460937791</v>
      </c>
      <c r="X758" s="202">
        <v>7.0714949006545096</v>
      </c>
      <c r="Y758" s="1976">
        <v>10.25</v>
      </c>
      <c r="Z758" s="1976" t="s">
        <v>93</v>
      </c>
      <c r="AA758" s="1976" t="s">
        <v>93</v>
      </c>
      <c r="AB758" s="1976" t="s">
        <v>93</v>
      </c>
      <c r="AC758" s="1976">
        <v>10.25</v>
      </c>
      <c r="AD758" s="1978" t="s">
        <v>93</v>
      </c>
      <c r="AE758" s="210" t="s">
        <v>356</v>
      </c>
      <c r="AF758" s="213"/>
    </row>
    <row r="759" spans="2:32" ht="12.75" thickBot="1">
      <c r="B759" s="435" t="s">
        <v>357</v>
      </c>
      <c r="C759" s="1976">
        <v>3.1423401825389998</v>
      </c>
      <c r="D759" s="1976">
        <v>3.2054152236815998</v>
      </c>
      <c r="E759" s="1976">
        <v>3.0858576177207002</v>
      </c>
      <c r="F759" s="1976">
        <v>1.2901337839820399</v>
      </c>
      <c r="G759" s="1976">
        <v>3.05962564509815</v>
      </c>
      <c r="H759" s="1976">
        <v>2.9742601120144099</v>
      </c>
      <c r="I759" s="1976">
        <v>2.85752699078397</v>
      </c>
      <c r="J759" s="1976">
        <v>3.0717907760084802</v>
      </c>
      <c r="K759" s="1976">
        <v>3.26121936451311</v>
      </c>
      <c r="L759" s="202">
        <v>2.01188633601295</v>
      </c>
      <c r="M759" s="1976">
        <v>5.6641788590956699</v>
      </c>
      <c r="N759" s="1977">
        <v>5.74353226763703</v>
      </c>
      <c r="O759" s="1976">
        <v>4.5643482514898501</v>
      </c>
      <c r="P759" s="1976">
        <v>7.5078030027431701</v>
      </c>
      <c r="Q759" s="1976">
        <v>4.5913264042997604</v>
      </c>
      <c r="R759" s="1976">
        <v>6.6519664186566496</v>
      </c>
      <c r="S759" s="1976">
        <v>6.0776408483368103</v>
      </c>
      <c r="T759" s="1976">
        <v>5.9056465146759196</v>
      </c>
      <c r="U759" s="1976">
        <v>6.7074029726653501</v>
      </c>
      <c r="V759" s="1976">
        <v>5.2584105861708004</v>
      </c>
      <c r="W759" s="1976">
        <v>5.4231135607596697</v>
      </c>
      <c r="X759" s="202">
        <v>5.4902988774201704</v>
      </c>
      <c r="Y759" s="1976">
        <v>11.8522075273707</v>
      </c>
      <c r="Z759" s="1976">
        <v>17.4250092375908</v>
      </c>
      <c r="AA759" s="1976" t="s">
        <v>93</v>
      </c>
      <c r="AB759" s="1976" t="s">
        <v>93</v>
      </c>
      <c r="AC759" s="1976">
        <v>4.3638113464494603</v>
      </c>
      <c r="AD759" s="202">
        <v>6.4485169491525403</v>
      </c>
      <c r="AE759" s="435" t="s">
        <v>213</v>
      </c>
    </row>
    <row r="760" spans="2:32" s="803" customFormat="1" ht="29.25" customHeight="1">
      <c r="B760" s="2644" t="s">
        <v>2708</v>
      </c>
      <c r="C760" s="2645"/>
      <c r="D760" s="2645"/>
      <c r="E760" s="2645"/>
      <c r="F760" s="2645"/>
      <c r="G760" s="2645"/>
      <c r="H760" s="2645"/>
      <c r="I760" s="2645"/>
      <c r="J760" s="2645"/>
      <c r="K760" s="2645"/>
      <c r="L760" s="2645"/>
      <c r="M760" s="2645"/>
      <c r="N760" s="2645"/>
      <c r="O760" s="2645"/>
      <c r="P760" s="2645"/>
      <c r="Q760" s="2645"/>
      <c r="R760" s="2645"/>
      <c r="S760" s="2645"/>
      <c r="T760" s="2645"/>
      <c r="U760" s="2645"/>
      <c r="V760" s="2645"/>
      <c r="W760" s="2645"/>
      <c r="X760" s="2645"/>
      <c r="Y760" s="2645"/>
      <c r="Z760" s="2645"/>
      <c r="AA760" s="2645"/>
      <c r="AB760" s="2645"/>
      <c r="AC760" s="2645"/>
      <c r="AD760" s="2645"/>
      <c r="AE760" s="2646"/>
    </row>
    <row r="762" spans="2:32">
      <c r="C762" s="209"/>
      <c r="D762" s="209"/>
      <c r="E762" s="209"/>
      <c r="F762" s="209"/>
      <c r="G762" s="209"/>
      <c r="H762" s="209"/>
      <c r="I762" s="209"/>
      <c r="J762" s="209"/>
      <c r="K762" s="209"/>
      <c r="L762" s="209"/>
      <c r="M762" s="209"/>
      <c r="N762" s="209"/>
      <c r="O762" s="209"/>
      <c r="P762" s="209"/>
      <c r="Q762" s="209"/>
      <c r="R762" s="209"/>
      <c r="S762" s="209"/>
      <c r="T762" s="209"/>
      <c r="U762" s="209"/>
      <c r="V762" s="209"/>
      <c r="W762" s="209"/>
      <c r="X762" s="209"/>
      <c r="Y762" s="209"/>
      <c r="Z762" s="209"/>
      <c r="AA762" s="209"/>
      <c r="AB762" s="209"/>
      <c r="AC762" s="209"/>
      <c r="AD762" s="209"/>
    </row>
    <row r="763" spans="2:32">
      <c r="C763" s="209"/>
      <c r="D763" s="209"/>
      <c r="E763" s="209"/>
      <c r="F763" s="209"/>
      <c r="G763" s="209"/>
      <c r="H763" s="209"/>
      <c r="I763" s="209"/>
      <c r="J763" s="209"/>
      <c r="K763" s="209"/>
      <c r="L763" s="209"/>
      <c r="M763" s="209"/>
      <c r="N763" s="209"/>
      <c r="O763" s="209"/>
      <c r="P763" s="209"/>
      <c r="Q763" s="209"/>
      <c r="R763" s="209"/>
      <c r="S763" s="209"/>
      <c r="T763" s="209"/>
      <c r="U763" s="209"/>
      <c r="V763" s="209"/>
      <c r="W763" s="209"/>
      <c r="X763" s="209"/>
      <c r="Y763" s="209"/>
      <c r="Z763" s="209"/>
      <c r="AA763" s="209"/>
      <c r="AB763" s="209"/>
      <c r="AC763" s="209"/>
      <c r="AD763" s="209"/>
    </row>
  </sheetData>
  <mergeCells count="16">
    <mergeCell ref="B2:AE2"/>
    <mergeCell ref="B3:AE3"/>
    <mergeCell ref="O10:O11"/>
    <mergeCell ref="Y10:Y11"/>
    <mergeCell ref="B6:B11"/>
    <mergeCell ref="C6:L6"/>
    <mergeCell ref="M6:X6"/>
    <mergeCell ref="Y6:AD6"/>
    <mergeCell ref="AE6:AE11"/>
    <mergeCell ref="C9:L9"/>
    <mergeCell ref="M10:M11"/>
    <mergeCell ref="B760:AE760"/>
    <mergeCell ref="M9:X9"/>
    <mergeCell ref="Y9:AD9"/>
    <mergeCell ref="C10:C11"/>
    <mergeCell ref="E10:E11"/>
  </mergeCells>
  <pageMargins left="0.17" right="0.3" top="0.23" bottom="0.17" header="0.17" footer="0.17"/>
  <pageSetup paperSize="8" scale="39"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4">
    <tabColor rgb="FF92D050"/>
  </sheetPr>
  <dimension ref="A1:I251"/>
  <sheetViews>
    <sheetView view="pageBreakPreview" topLeftCell="B1" zoomScale="130" zoomScaleNormal="100" zoomScaleSheetLayoutView="130" workbookViewId="0">
      <pane ySplit="7" topLeftCell="A222" activePane="bottomLeft" state="frozen"/>
      <selection activeCell="B39" sqref="B39"/>
      <selection pane="bottomLeft" activeCell="G244" sqref="G244"/>
    </sheetView>
  </sheetViews>
  <sheetFormatPr defaultColWidth="10.85546875" defaultRowHeight="12"/>
  <cols>
    <col min="1" max="1" width="10.85546875" style="194" hidden="1" customWidth="1"/>
    <col min="2" max="2" width="23.5703125" style="221" customWidth="1"/>
    <col min="3" max="3" width="26.28515625" style="214" customWidth="1"/>
    <col min="4" max="4" width="30.5703125" style="214" customWidth="1"/>
    <col min="5" max="5" width="23.5703125" style="221" customWidth="1"/>
    <col min="6" max="16384" width="10.85546875" style="194"/>
  </cols>
  <sheetData>
    <row r="1" spans="1:5" ht="7.5" customHeight="1"/>
    <row r="2" spans="1:5" s="336" customFormat="1" ht="17.25" customHeight="1">
      <c r="B2" s="2664" t="s">
        <v>3349</v>
      </c>
      <c r="C2" s="2664"/>
      <c r="D2" s="2664"/>
      <c r="E2" s="2664"/>
    </row>
    <row r="3" spans="1:5" s="336" customFormat="1" ht="20.25" customHeight="1">
      <c r="B3" s="2665" t="s">
        <v>3350</v>
      </c>
      <c r="C3" s="2665"/>
      <c r="D3" s="2665"/>
      <c r="E3" s="2665"/>
    </row>
    <row r="4" spans="1:5" s="336" customFormat="1" ht="9.75" customHeight="1">
      <c r="B4" s="545"/>
      <c r="C4" s="545"/>
      <c r="D4" s="545"/>
      <c r="E4" s="545"/>
    </row>
    <row r="5" spans="1:5" s="336" customFormat="1" ht="9.75" customHeight="1">
      <c r="B5" s="1296"/>
      <c r="C5" s="1296"/>
      <c r="D5" s="1296"/>
      <c r="E5" s="1296"/>
    </row>
    <row r="6" spans="1:5" ht="33.75" customHeight="1">
      <c r="A6" s="1285"/>
      <c r="B6" s="2668" t="s">
        <v>182</v>
      </c>
      <c r="C6" s="1294" t="s">
        <v>3351</v>
      </c>
      <c r="D6" s="1294" t="s">
        <v>3345</v>
      </c>
      <c r="E6" s="2666" t="s">
        <v>289</v>
      </c>
    </row>
    <row r="7" spans="1:5" ht="30" customHeight="1">
      <c r="A7" s="1285"/>
      <c r="B7" s="2669"/>
      <c r="C7" s="1295" t="s">
        <v>3352</v>
      </c>
      <c r="D7" s="1295" t="s">
        <v>3346</v>
      </c>
      <c r="E7" s="2667"/>
    </row>
    <row r="8" spans="1:5" ht="10.5" customHeight="1">
      <c r="B8" s="1297">
        <v>43466</v>
      </c>
      <c r="C8" s="1286"/>
      <c r="D8" s="1287"/>
      <c r="E8" s="1298">
        <v>43466</v>
      </c>
    </row>
    <row r="9" spans="1:5" ht="10.5" customHeight="1">
      <c r="B9" s="1299" t="s">
        <v>187</v>
      </c>
      <c r="C9" s="629">
        <v>9.2507924231679102</v>
      </c>
      <c r="D9" s="1288">
        <v>15.871369294883699</v>
      </c>
      <c r="E9" s="1299" t="s">
        <v>356</v>
      </c>
    </row>
    <row r="10" spans="1:5" ht="10.5" customHeight="1">
      <c r="B10" s="1299" t="s">
        <v>357</v>
      </c>
      <c r="C10" s="629">
        <v>1.7567331000052901</v>
      </c>
      <c r="D10" s="1288">
        <v>5.1798710586902397</v>
      </c>
      <c r="E10" s="1299" t="s">
        <v>213</v>
      </c>
    </row>
    <row r="11" spans="1:5" ht="10.5" hidden="1" customHeight="1">
      <c r="B11" s="1297">
        <v>43467</v>
      </c>
      <c r="C11" s="629"/>
      <c r="D11" s="1289"/>
      <c r="E11" s="1298">
        <v>43467</v>
      </c>
    </row>
    <row r="12" spans="1:5" ht="10.5" hidden="1" customHeight="1">
      <c r="B12" s="1299" t="s">
        <v>187</v>
      </c>
      <c r="C12" s="629">
        <v>9.0818033753120506</v>
      </c>
      <c r="D12" s="1288">
        <v>19.096257750949</v>
      </c>
      <c r="E12" s="1299" t="s">
        <v>356</v>
      </c>
    </row>
    <row r="13" spans="1:5" ht="10.5" hidden="1" customHeight="1">
      <c r="B13" s="1299" t="s">
        <v>357</v>
      </c>
      <c r="C13" s="629">
        <v>1.3298038332329101</v>
      </c>
      <c r="D13" s="1288">
        <v>6.6945903236952597</v>
      </c>
      <c r="E13" s="1299" t="s">
        <v>213</v>
      </c>
    </row>
    <row r="14" spans="1:5" ht="10.5" hidden="1" customHeight="1">
      <c r="B14" s="1297">
        <v>43468</v>
      </c>
      <c r="C14" s="629"/>
      <c r="D14" s="1289"/>
      <c r="E14" s="1298">
        <v>43468</v>
      </c>
    </row>
    <row r="15" spans="1:5" ht="10.5" hidden="1" customHeight="1">
      <c r="B15" s="1299" t="s">
        <v>187</v>
      </c>
      <c r="C15" s="629">
        <v>10.0597940166189</v>
      </c>
      <c r="D15" s="1289">
        <v>18.267952224541801</v>
      </c>
      <c r="E15" s="1299" t="s">
        <v>356</v>
      </c>
    </row>
    <row r="16" spans="1:5" ht="10.5" hidden="1" customHeight="1">
      <c r="B16" s="1299" t="s">
        <v>357</v>
      </c>
      <c r="C16" s="629">
        <v>2.1086955502722002</v>
      </c>
      <c r="D16" s="1289">
        <v>6.6738475106790096</v>
      </c>
      <c r="E16" s="1299" t="s">
        <v>213</v>
      </c>
    </row>
    <row r="17" spans="2:5" ht="10.5" hidden="1" customHeight="1">
      <c r="B17" s="1297">
        <v>43469</v>
      </c>
      <c r="C17" s="629"/>
      <c r="D17" s="1289"/>
      <c r="E17" s="1298">
        <v>43469</v>
      </c>
    </row>
    <row r="18" spans="2:5" ht="10.5" hidden="1" customHeight="1">
      <c r="B18" s="1299" t="s">
        <v>187</v>
      </c>
      <c r="C18" s="629">
        <v>7.2835565575847898</v>
      </c>
      <c r="D18" s="1289">
        <v>18.4220846791696</v>
      </c>
      <c r="E18" s="1299" t="s">
        <v>356</v>
      </c>
    </row>
    <row r="19" spans="2:5" ht="10.5" hidden="1" customHeight="1">
      <c r="B19" s="1299" t="s">
        <v>357</v>
      </c>
      <c r="C19" s="629">
        <v>1.9199223356286199</v>
      </c>
      <c r="D19" s="1289">
        <v>6.2708673600068696</v>
      </c>
      <c r="E19" s="1299" t="s">
        <v>213</v>
      </c>
    </row>
    <row r="20" spans="2:5" ht="10.5" hidden="1" customHeight="1">
      <c r="B20" s="1297">
        <v>43470</v>
      </c>
      <c r="C20" s="629"/>
      <c r="D20" s="1289"/>
      <c r="E20" s="1298">
        <v>43470</v>
      </c>
    </row>
    <row r="21" spans="2:5" ht="10.5" hidden="1" customHeight="1">
      <c r="B21" s="1299" t="s">
        <v>187</v>
      </c>
      <c r="C21" s="629">
        <v>8.0634565335777104</v>
      </c>
      <c r="D21" s="1289">
        <v>18.354390231396</v>
      </c>
      <c r="E21" s="1299" t="s">
        <v>356</v>
      </c>
    </row>
    <row r="22" spans="2:5" ht="10.5" hidden="1" customHeight="1">
      <c r="B22" s="1299" t="s">
        <v>357</v>
      </c>
      <c r="C22" s="629">
        <v>1.7257733148166798</v>
      </c>
      <c r="D22" s="1289">
        <v>7.7664344200580606</v>
      </c>
      <c r="E22" s="1299" t="s">
        <v>213</v>
      </c>
    </row>
    <row r="23" spans="2:5" ht="10.5" hidden="1" customHeight="1">
      <c r="B23" s="1297">
        <v>43471</v>
      </c>
      <c r="C23" s="629"/>
      <c r="D23" s="1289"/>
      <c r="E23" s="1298">
        <v>43471</v>
      </c>
    </row>
    <row r="24" spans="2:5" ht="10.5" hidden="1" customHeight="1">
      <c r="B24" s="1299" t="s">
        <v>187</v>
      </c>
      <c r="C24" s="629">
        <v>9.17696185540537</v>
      </c>
      <c r="D24" s="1289">
        <v>18.1101882582002</v>
      </c>
      <c r="E24" s="1299" t="s">
        <v>356</v>
      </c>
    </row>
    <row r="25" spans="2:5" ht="10.5" hidden="1" customHeight="1">
      <c r="B25" s="1299" t="s">
        <v>357</v>
      </c>
      <c r="C25" s="629">
        <v>1.17659426215979</v>
      </c>
      <c r="D25" s="1289">
        <v>5.2873916970415298</v>
      </c>
      <c r="E25" s="1299" t="s">
        <v>213</v>
      </c>
    </row>
    <row r="26" spans="2:5" ht="10.5" hidden="1" customHeight="1">
      <c r="B26" s="1297">
        <v>43472</v>
      </c>
      <c r="C26" s="629"/>
      <c r="D26" s="1289"/>
      <c r="E26" s="1298">
        <v>43472</v>
      </c>
    </row>
    <row r="27" spans="2:5" ht="10.5" hidden="1" customHeight="1">
      <c r="B27" s="1299" t="s">
        <v>187</v>
      </c>
      <c r="C27" s="629">
        <v>8.5500162208111394</v>
      </c>
      <c r="D27" s="1289">
        <v>17.771181581088001</v>
      </c>
      <c r="E27" s="1299" t="s">
        <v>356</v>
      </c>
    </row>
    <row r="28" spans="2:5" ht="10.5" hidden="1" customHeight="1">
      <c r="B28" s="1299" t="s">
        <v>357</v>
      </c>
      <c r="C28" s="629">
        <v>1.6245197650887702</v>
      </c>
      <c r="D28" s="1289">
        <v>5.23929423595676</v>
      </c>
      <c r="E28" s="1299" t="s">
        <v>213</v>
      </c>
    </row>
    <row r="29" spans="2:5" ht="10.5" hidden="1" customHeight="1">
      <c r="B29" s="1297">
        <v>43473</v>
      </c>
      <c r="C29" s="629"/>
      <c r="D29" s="1289"/>
      <c r="E29" s="1298">
        <v>43473</v>
      </c>
    </row>
    <row r="30" spans="2:5" ht="10.5" hidden="1" customHeight="1">
      <c r="B30" s="1299" t="s">
        <v>187</v>
      </c>
      <c r="C30" s="629">
        <v>8.3250088892515706</v>
      </c>
      <c r="D30" s="1289">
        <v>16.877089259292699</v>
      </c>
      <c r="E30" s="1299" t="s">
        <v>187</v>
      </c>
    </row>
    <row r="31" spans="2:5" ht="10.5" hidden="1" customHeight="1">
      <c r="B31" s="1299" t="s">
        <v>357</v>
      </c>
      <c r="C31" s="629">
        <v>1.2393760507771299</v>
      </c>
      <c r="D31" s="1289">
        <v>5.9161768999769597</v>
      </c>
      <c r="E31" s="1299" t="s">
        <v>357</v>
      </c>
    </row>
    <row r="32" spans="2:5" ht="10.5" hidden="1" customHeight="1">
      <c r="B32" s="1297">
        <v>43474</v>
      </c>
      <c r="C32" s="629"/>
      <c r="D32" s="1289"/>
      <c r="E32" s="1298">
        <v>43474</v>
      </c>
    </row>
    <row r="33" spans="2:5" ht="10.5" hidden="1" customHeight="1">
      <c r="B33" s="1299" t="s">
        <v>187</v>
      </c>
      <c r="C33" s="629">
        <v>7.7565583471179798</v>
      </c>
      <c r="D33" s="1289">
        <v>17.217579225133999</v>
      </c>
      <c r="E33" s="1299" t="s">
        <v>356</v>
      </c>
    </row>
    <row r="34" spans="2:5" ht="10.5" hidden="1" customHeight="1">
      <c r="B34" s="1299" t="s">
        <v>357</v>
      </c>
      <c r="C34" s="629">
        <v>1.6382996091606601</v>
      </c>
      <c r="D34" s="1289">
        <v>5.7210269829543199</v>
      </c>
      <c r="E34" s="1299" t="s">
        <v>213</v>
      </c>
    </row>
    <row r="35" spans="2:5" ht="10.5" hidden="1" customHeight="1">
      <c r="B35" s="1297">
        <v>43475</v>
      </c>
      <c r="C35" s="629"/>
      <c r="D35" s="1289"/>
      <c r="E35" s="1298">
        <v>43475</v>
      </c>
    </row>
    <row r="36" spans="2:5" ht="10.5" hidden="1" customHeight="1">
      <c r="B36" s="1299" t="s">
        <v>187</v>
      </c>
      <c r="C36" s="629">
        <v>8.0509338654700802</v>
      </c>
      <c r="D36" s="1289">
        <v>17.313918109880401</v>
      </c>
      <c r="E36" s="1299" t="s">
        <v>356</v>
      </c>
    </row>
    <row r="37" spans="2:5" ht="10.5" hidden="1" customHeight="1">
      <c r="B37" s="1299" t="s">
        <v>357</v>
      </c>
      <c r="C37" s="629">
        <v>1.2301330597273201</v>
      </c>
      <c r="D37" s="1289">
        <v>5.3389482132214399</v>
      </c>
      <c r="E37" s="1299" t="s">
        <v>213</v>
      </c>
    </row>
    <row r="38" spans="2:5" ht="10.5" hidden="1" customHeight="1">
      <c r="B38" s="1297">
        <v>43476</v>
      </c>
      <c r="C38" s="629"/>
      <c r="D38" s="1289"/>
      <c r="E38" s="1298">
        <v>43476</v>
      </c>
    </row>
    <row r="39" spans="2:5" ht="10.5" hidden="1" customHeight="1">
      <c r="B39" s="1299" t="s">
        <v>187</v>
      </c>
      <c r="C39" s="629">
        <v>8.2428389203660899</v>
      </c>
      <c r="D39" s="1289">
        <v>17.8930663841289</v>
      </c>
      <c r="E39" s="1299" t="s">
        <v>356</v>
      </c>
    </row>
    <row r="40" spans="2:5" ht="10.5" hidden="1" customHeight="1">
      <c r="B40" s="1299" t="s">
        <v>357</v>
      </c>
      <c r="C40" s="629">
        <v>1.4867544834161199</v>
      </c>
      <c r="D40" s="1289">
        <v>5.5234333773663602</v>
      </c>
      <c r="E40" s="1299" t="s">
        <v>213</v>
      </c>
    </row>
    <row r="41" spans="2:5" ht="10.5" hidden="1" customHeight="1">
      <c r="B41" s="1297">
        <v>43477</v>
      </c>
      <c r="C41" s="629"/>
      <c r="D41" s="1289"/>
      <c r="E41" s="1298">
        <v>43477</v>
      </c>
    </row>
    <row r="42" spans="2:5" ht="10.5" hidden="1" customHeight="1">
      <c r="B42" s="1299" t="s">
        <v>187</v>
      </c>
      <c r="C42" s="629">
        <v>7.5247787256899707</v>
      </c>
      <c r="D42" s="1289">
        <v>16.148499991607302</v>
      </c>
      <c r="E42" s="1299" t="s">
        <v>356</v>
      </c>
    </row>
    <row r="43" spans="2:5" ht="10.5" hidden="1" customHeight="1">
      <c r="B43" s="1299" t="s">
        <v>357</v>
      </c>
      <c r="C43" s="629">
        <v>1.20589072416816</v>
      </c>
      <c r="D43" s="1289">
        <v>3.47154246115148</v>
      </c>
      <c r="E43" s="1299" t="s">
        <v>213</v>
      </c>
    </row>
    <row r="44" spans="2:5" ht="12" hidden="1" customHeight="1">
      <c r="B44" s="1297">
        <v>43831</v>
      </c>
      <c r="C44" s="629"/>
      <c r="D44" s="1289"/>
      <c r="E44" s="1298">
        <v>43831</v>
      </c>
    </row>
    <row r="45" spans="2:5" ht="12" hidden="1" customHeight="1">
      <c r="B45" s="1299" t="s">
        <v>187</v>
      </c>
      <c r="C45" s="629">
        <v>8.3475755687774189</v>
      </c>
      <c r="D45" s="1289">
        <v>14.668835307017</v>
      </c>
      <c r="E45" s="1299" t="s">
        <v>356</v>
      </c>
    </row>
    <row r="46" spans="2:5" ht="12" hidden="1" customHeight="1">
      <c r="B46" s="1299" t="s">
        <v>357</v>
      </c>
      <c r="C46" s="629">
        <v>1.4504183922695602</v>
      </c>
      <c r="D46" s="1289">
        <v>5.0018797721393202</v>
      </c>
      <c r="E46" s="1299" t="s">
        <v>213</v>
      </c>
    </row>
    <row r="47" spans="2:5" ht="12" hidden="1" customHeight="1">
      <c r="B47" s="1297">
        <v>43832</v>
      </c>
      <c r="C47" s="629"/>
      <c r="D47" s="1289"/>
      <c r="E47" s="1298">
        <v>43832</v>
      </c>
    </row>
    <row r="48" spans="2:5" ht="12" hidden="1" customHeight="1">
      <c r="B48" s="1299" t="s">
        <v>187</v>
      </c>
      <c r="C48" s="629">
        <v>8.3800000000000008</v>
      </c>
      <c r="D48" s="1289">
        <v>17.420000000000002</v>
      </c>
      <c r="E48" s="1299" t="s">
        <v>356</v>
      </c>
    </row>
    <row r="49" spans="2:7" ht="12" hidden="1" customHeight="1">
      <c r="B49" s="1299" t="s">
        <v>357</v>
      </c>
      <c r="C49" s="629">
        <v>1.44</v>
      </c>
      <c r="D49" s="1289">
        <v>5.03</v>
      </c>
      <c r="E49" s="1299" t="s">
        <v>213</v>
      </c>
    </row>
    <row r="50" spans="2:7" ht="12" hidden="1" customHeight="1">
      <c r="B50" s="1297">
        <v>43833</v>
      </c>
      <c r="C50" s="629"/>
      <c r="D50" s="1289"/>
      <c r="E50" s="1298">
        <v>43833</v>
      </c>
    </row>
    <row r="51" spans="2:7" ht="12" hidden="1" customHeight="1">
      <c r="B51" s="1299" t="s">
        <v>187</v>
      </c>
      <c r="C51" s="629">
        <v>7.91</v>
      </c>
      <c r="D51" s="1289">
        <v>16.39</v>
      </c>
      <c r="E51" s="1299" t="s">
        <v>356</v>
      </c>
    </row>
    <row r="52" spans="2:7" ht="12" hidden="1" customHeight="1">
      <c r="B52" s="1299" t="s">
        <v>357</v>
      </c>
      <c r="C52" s="629">
        <v>1.17</v>
      </c>
      <c r="D52" s="1289">
        <v>5.5</v>
      </c>
      <c r="E52" s="1299" t="s">
        <v>213</v>
      </c>
    </row>
    <row r="53" spans="2:7" ht="12" hidden="1" customHeight="1">
      <c r="B53" s="1297">
        <v>43834</v>
      </c>
      <c r="C53" s="629"/>
      <c r="D53" s="1289"/>
      <c r="E53" s="1298">
        <v>43834</v>
      </c>
    </row>
    <row r="54" spans="2:7" ht="12" hidden="1" customHeight="1">
      <c r="B54" s="1299" t="s">
        <v>187</v>
      </c>
      <c r="C54" s="629">
        <v>6.74</v>
      </c>
      <c r="D54" s="1289">
        <v>15.03</v>
      </c>
      <c r="E54" s="1299" t="s">
        <v>356</v>
      </c>
    </row>
    <row r="55" spans="2:7" ht="12" hidden="1" customHeight="1">
      <c r="B55" s="1299" t="s">
        <v>357</v>
      </c>
      <c r="C55" s="629">
        <v>1.32</v>
      </c>
      <c r="D55" s="1289">
        <v>5.81</v>
      </c>
      <c r="E55" s="1299" t="s">
        <v>213</v>
      </c>
    </row>
    <row r="56" spans="2:7" ht="12" hidden="1" customHeight="1">
      <c r="B56" s="1297">
        <v>43835</v>
      </c>
      <c r="C56" s="629"/>
      <c r="D56" s="1289"/>
      <c r="E56" s="1298">
        <v>43835</v>
      </c>
    </row>
    <row r="57" spans="2:7" ht="12" hidden="1" customHeight="1">
      <c r="B57" s="1299" t="s">
        <v>187</v>
      </c>
      <c r="C57" s="629">
        <v>6.19</v>
      </c>
      <c r="D57" s="1289">
        <v>11.31</v>
      </c>
      <c r="E57" s="1299" t="s">
        <v>356</v>
      </c>
    </row>
    <row r="58" spans="2:7" ht="12" hidden="1" customHeight="1">
      <c r="B58" s="1299" t="s">
        <v>357</v>
      </c>
      <c r="C58" s="629">
        <v>1.05</v>
      </c>
      <c r="D58" s="1289">
        <v>4.63</v>
      </c>
      <c r="E58" s="1299" t="s">
        <v>213</v>
      </c>
    </row>
    <row r="59" spans="2:7" ht="12" hidden="1" customHeight="1">
      <c r="B59" s="1297">
        <v>43836</v>
      </c>
      <c r="C59" s="629"/>
      <c r="D59" s="1289"/>
      <c r="E59" s="1298">
        <v>43836</v>
      </c>
    </row>
    <row r="60" spans="2:7" ht="12" hidden="1" customHeight="1">
      <c r="B60" s="1299" t="s">
        <v>187</v>
      </c>
      <c r="C60" s="629">
        <v>7.71</v>
      </c>
      <c r="D60" s="1289">
        <v>14.16</v>
      </c>
      <c r="E60" s="1299" t="s">
        <v>356</v>
      </c>
    </row>
    <row r="61" spans="2:7" ht="12" hidden="1" customHeight="1">
      <c r="B61" s="1299" t="s">
        <v>357</v>
      </c>
      <c r="C61" s="629">
        <v>3.22</v>
      </c>
      <c r="D61" s="1289">
        <v>3.97</v>
      </c>
      <c r="E61" s="1299" t="s">
        <v>213</v>
      </c>
    </row>
    <row r="62" spans="2:7" ht="12" hidden="1" customHeight="1">
      <c r="B62" s="1297">
        <v>43837</v>
      </c>
      <c r="C62" s="629"/>
      <c r="D62" s="1289"/>
      <c r="E62" s="1298">
        <v>43837</v>
      </c>
      <c r="G62" s="1290"/>
    </row>
    <row r="63" spans="2:7" ht="12" hidden="1" customHeight="1">
      <c r="B63" s="1299" t="s">
        <v>187</v>
      </c>
      <c r="C63" s="629">
        <v>9.09</v>
      </c>
      <c r="D63" s="1289">
        <v>17.239999999999998</v>
      </c>
      <c r="E63" s="1299" t="s">
        <v>356</v>
      </c>
    </row>
    <row r="64" spans="2:7" ht="12" hidden="1" customHeight="1">
      <c r="B64" s="1299" t="s">
        <v>357</v>
      </c>
      <c r="C64" s="629">
        <v>0.82</v>
      </c>
      <c r="D64" s="1289">
        <v>4.76</v>
      </c>
      <c r="E64" s="1299" t="s">
        <v>213</v>
      </c>
    </row>
    <row r="65" spans="2:5" ht="12" hidden="1" customHeight="1">
      <c r="B65" s="1297">
        <v>43838</v>
      </c>
      <c r="C65" s="629"/>
      <c r="D65" s="1289"/>
      <c r="E65" s="1298">
        <v>43838</v>
      </c>
    </row>
    <row r="66" spans="2:5" ht="12" hidden="1" customHeight="1">
      <c r="B66" s="1299" t="s">
        <v>187</v>
      </c>
      <c r="C66" s="629">
        <v>8.61</v>
      </c>
      <c r="D66" s="1289">
        <v>16.37</v>
      </c>
      <c r="E66" s="1299" t="s">
        <v>356</v>
      </c>
    </row>
    <row r="67" spans="2:5" ht="12" hidden="1" customHeight="1">
      <c r="B67" s="1299" t="s">
        <v>357</v>
      </c>
      <c r="C67" s="629">
        <v>0.77</v>
      </c>
      <c r="D67" s="1289">
        <v>5.78</v>
      </c>
      <c r="E67" s="1299" t="s">
        <v>213</v>
      </c>
    </row>
    <row r="68" spans="2:5" ht="12" hidden="1" customHeight="1">
      <c r="B68" s="1297">
        <v>43839</v>
      </c>
      <c r="C68" s="629"/>
      <c r="D68" s="1289"/>
      <c r="E68" s="1298">
        <v>43838</v>
      </c>
    </row>
    <row r="69" spans="2:5" ht="12" hidden="1" customHeight="1">
      <c r="B69" s="1299" t="s">
        <v>187</v>
      </c>
      <c r="C69" s="629">
        <v>8.61</v>
      </c>
      <c r="D69" s="1289">
        <v>17.53</v>
      </c>
      <c r="E69" s="1299" t="s">
        <v>356</v>
      </c>
    </row>
    <row r="70" spans="2:5" ht="12" hidden="1" customHeight="1">
      <c r="B70" s="1299" t="s">
        <v>357</v>
      </c>
      <c r="C70" s="629">
        <v>1.62</v>
      </c>
      <c r="D70" s="1289">
        <v>5.81</v>
      </c>
      <c r="E70" s="1299" t="s">
        <v>213</v>
      </c>
    </row>
    <row r="71" spans="2:5" ht="12" hidden="1" customHeight="1">
      <c r="B71" s="1297">
        <v>43840</v>
      </c>
      <c r="C71" s="629"/>
      <c r="D71" s="1289"/>
      <c r="E71" s="1298">
        <v>43840</v>
      </c>
    </row>
    <row r="72" spans="2:5" ht="12" hidden="1" customHeight="1">
      <c r="B72" s="1299" t="s">
        <v>187</v>
      </c>
      <c r="C72" s="629">
        <v>7.41</v>
      </c>
      <c r="D72" s="1289">
        <v>17.170000000000002</v>
      </c>
      <c r="E72" s="1299" t="s">
        <v>356</v>
      </c>
    </row>
    <row r="73" spans="2:5" ht="12" hidden="1" customHeight="1">
      <c r="B73" s="1299" t="s">
        <v>357</v>
      </c>
      <c r="C73" s="629">
        <v>0.84</v>
      </c>
      <c r="D73" s="1289">
        <v>4.8899999999999997</v>
      </c>
      <c r="E73" s="1299" t="s">
        <v>213</v>
      </c>
    </row>
    <row r="74" spans="2:5" ht="12" hidden="1" customHeight="1">
      <c r="B74" s="1297">
        <v>43841</v>
      </c>
      <c r="C74" s="1288"/>
      <c r="D74" s="1288"/>
      <c r="E74" s="1298">
        <v>43841</v>
      </c>
    </row>
    <row r="75" spans="2:5" ht="12" hidden="1" customHeight="1">
      <c r="B75" s="1299" t="s">
        <v>187</v>
      </c>
      <c r="C75" s="1288">
        <v>7.84</v>
      </c>
      <c r="D75" s="1288">
        <v>14.95</v>
      </c>
      <c r="E75" s="1299" t="s">
        <v>356</v>
      </c>
    </row>
    <row r="76" spans="2:5" ht="12" hidden="1" customHeight="1">
      <c r="B76" s="1299" t="s">
        <v>357</v>
      </c>
      <c r="C76" s="1288">
        <v>0.73</v>
      </c>
      <c r="D76" s="1288">
        <v>5.17</v>
      </c>
      <c r="E76" s="1299" t="s">
        <v>213</v>
      </c>
    </row>
    <row r="77" spans="2:5" ht="12" hidden="1" customHeight="1">
      <c r="B77" s="1297">
        <v>43842</v>
      </c>
      <c r="C77" s="1288"/>
      <c r="D77" s="1288"/>
      <c r="E77" s="1297">
        <v>43842</v>
      </c>
    </row>
    <row r="78" spans="2:5" ht="12" hidden="1" customHeight="1">
      <c r="B78" s="1299" t="s">
        <v>187</v>
      </c>
      <c r="C78" s="1288">
        <v>8.01</v>
      </c>
      <c r="D78" s="1288">
        <v>14.13</v>
      </c>
      <c r="E78" s="1299" t="s">
        <v>356</v>
      </c>
    </row>
    <row r="79" spans="2:5" ht="12" hidden="1" customHeight="1">
      <c r="B79" s="1299" t="s">
        <v>357</v>
      </c>
      <c r="C79" s="1288">
        <v>2.31</v>
      </c>
      <c r="D79" s="1288">
        <v>5.4</v>
      </c>
      <c r="E79" s="1299" t="s">
        <v>213</v>
      </c>
    </row>
    <row r="80" spans="2:5" ht="12" customHeight="1">
      <c r="B80" s="1297">
        <v>44197</v>
      </c>
      <c r="C80" s="1288"/>
      <c r="D80" s="1288"/>
      <c r="E80" s="1297">
        <v>44197</v>
      </c>
    </row>
    <row r="81" spans="2:9" ht="12" customHeight="1">
      <c r="B81" s="1299" t="s">
        <v>187</v>
      </c>
      <c r="C81" s="1288">
        <v>8.24</v>
      </c>
      <c r="D81" s="1288">
        <v>15.65</v>
      </c>
      <c r="E81" s="1299" t="s">
        <v>356</v>
      </c>
    </row>
    <row r="82" spans="2:9" ht="12" customHeight="1">
      <c r="B82" s="1299" t="s">
        <v>357</v>
      </c>
      <c r="C82" s="1288">
        <v>1.1499999999999999</v>
      </c>
      <c r="D82" s="1288">
        <v>3.43</v>
      </c>
      <c r="E82" s="1299" t="s">
        <v>213</v>
      </c>
    </row>
    <row r="83" spans="2:9" ht="12" customHeight="1">
      <c r="B83" s="1297">
        <v>44198</v>
      </c>
      <c r="C83" s="1288"/>
      <c r="D83" s="1288"/>
      <c r="E83" s="1297">
        <v>44198</v>
      </c>
    </row>
    <row r="84" spans="2:9" ht="12" customHeight="1">
      <c r="B84" s="1299" t="s">
        <v>187</v>
      </c>
      <c r="C84" s="1288">
        <v>6.78</v>
      </c>
      <c r="D84" s="1288">
        <v>17</v>
      </c>
      <c r="E84" s="1299" t="s">
        <v>356</v>
      </c>
    </row>
    <row r="85" spans="2:9" ht="12" customHeight="1">
      <c r="B85" s="1299" t="s">
        <v>357</v>
      </c>
      <c r="C85" s="1288">
        <v>1.55</v>
      </c>
      <c r="D85" s="1288">
        <v>3.97</v>
      </c>
      <c r="E85" s="1299" t="s">
        <v>213</v>
      </c>
    </row>
    <row r="86" spans="2:9" ht="12" customHeight="1">
      <c r="B86" s="1297">
        <v>44199</v>
      </c>
      <c r="C86" s="1288"/>
      <c r="D86" s="1288"/>
      <c r="E86" s="1297">
        <v>44199</v>
      </c>
    </row>
    <row r="87" spans="2:9" ht="12" customHeight="1">
      <c r="B87" s="1299" t="s">
        <v>187</v>
      </c>
      <c r="C87" s="1288">
        <v>8.18</v>
      </c>
      <c r="D87" s="1288">
        <v>17.62</v>
      </c>
      <c r="E87" s="1299" t="s">
        <v>356</v>
      </c>
    </row>
    <row r="88" spans="2:9" ht="12" customHeight="1">
      <c r="B88" s="1299" t="s">
        <v>357</v>
      </c>
      <c r="C88" s="1288">
        <v>1.07</v>
      </c>
      <c r="D88" s="1288">
        <v>5.07</v>
      </c>
      <c r="E88" s="1299" t="s">
        <v>213</v>
      </c>
    </row>
    <row r="89" spans="2:9" ht="12" customHeight="1">
      <c r="B89" s="1297">
        <v>44200</v>
      </c>
      <c r="C89" s="1288"/>
      <c r="D89" s="1288"/>
      <c r="E89" s="1297">
        <v>44200</v>
      </c>
    </row>
    <row r="90" spans="2:9" ht="12" customHeight="1">
      <c r="B90" s="1299" t="s">
        <v>187</v>
      </c>
      <c r="C90" s="1288">
        <v>7.62</v>
      </c>
      <c r="D90" s="1288">
        <v>17.18</v>
      </c>
      <c r="E90" s="1299" t="s">
        <v>356</v>
      </c>
    </row>
    <row r="91" spans="2:9" ht="12" customHeight="1">
      <c r="B91" s="1299" t="s">
        <v>357</v>
      </c>
      <c r="C91" s="1288">
        <v>0.84</v>
      </c>
      <c r="D91" s="1288">
        <v>5.83</v>
      </c>
      <c r="E91" s="1299" t="s">
        <v>213</v>
      </c>
    </row>
    <row r="92" spans="2:9" ht="12" customHeight="1">
      <c r="B92" s="1297">
        <v>44201</v>
      </c>
      <c r="C92" s="1288"/>
      <c r="D92" s="1288"/>
      <c r="E92" s="1297">
        <v>44201</v>
      </c>
    </row>
    <row r="93" spans="2:9" ht="12" customHeight="1">
      <c r="B93" s="1299" t="s">
        <v>187</v>
      </c>
      <c r="C93" s="1288">
        <v>8.0500000000000007</v>
      </c>
      <c r="D93" s="1288">
        <v>17.61</v>
      </c>
      <c r="E93" s="1299" t="s">
        <v>356</v>
      </c>
      <c r="I93" s="1291"/>
    </row>
    <row r="94" spans="2:9" ht="12" customHeight="1">
      <c r="B94" s="1299" t="s">
        <v>357</v>
      </c>
      <c r="C94" s="1288">
        <v>1.18</v>
      </c>
      <c r="D94" s="1288">
        <v>5.38</v>
      </c>
      <c r="E94" s="1299" t="s">
        <v>213</v>
      </c>
    </row>
    <row r="95" spans="2:9" ht="12" customHeight="1">
      <c r="B95" s="1297">
        <v>44202</v>
      </c>
      <c r="C95" s="1288"/>
      <c r="D95" s="1288"/>
      <c r="E95" s="1297">
        <v>44202</v>
      </c>
    </row>
    <row r="96" spans="2:9" ht="12" customHeight="1">
      <c r="B96" s="1299" t="s">
        <v>187</v>
      </c>
      <c r="C96" s="1288">
        <v>8.83</v>
      </c>
      <c r="D96" s="1288">
        <v>17.57</v>
      </c>
      <c r="E96" s="1299" t="s">
        <v>356</v>
      </c>
    </row>
    <row r="97" spans="2:5" ht="12" customHeight="1">
      <c r="B97" s="1299" t="s">
        <v>357</v>
      </c>
      <c r="C97" s="1288">
        <v>0.68</v>
      </c>
      <c r="D97" s="1288">
        <v>5.21</v>
      </c>
      <c r="E97" s="1299" t="s">
        <v>213</v>
      </c>
    </row>
    <row r="98" spans="2:5" ht="12" customHeight="1">
      <c r="B98" s="1297">
        <v>44203</v>
      </c>
      <c r="C98" s="1288"/>
      <c r="D98" s="1288"/>
      <c r="E98" s="1297">
        <v>44203</v>
      </c>
    </row>
    <row r="99" spans="2:5" ht="12" customHeight="1">
      <c r="B99" s="1299" t="s">
        <v>187</v>
      </c>
      <c r="C99" s="1288">
        <v>8.9600000000000009</v>
      </c>
      <c r="D99" s="1288">
        <v>17.38</v>
      </c>
      <c r="E99" s="1299" t="s">
        <v>356</v>
      </c>
    </row>
    <row r="100" spans="2:5" ht="12" customHeight="1">
      <c r="B100" s="1299" t="s">
        <v>357</v>
      </c>
      <c r="C100" s="1288">
        <v>1.06</v>
      </c>
      <c r="D100" s="1288">
        <v>6.02</v>
      </c>
      <c r="E100" s="1299" t="s">
        <v>213</v>
      </c>
    </row>
    <row r="101" spans="2:5" ht="12" customHeight="1">
      <c r="B101" s="1297">
        <v>44204</v>
      </c>
      <c r="C101" s="1288"/>
      <c r="D101" s="1288"/>
      <c r="E101" s="1297">
        <v>44204</v>
      </c>
    </row>
    <row r="102" spans="2:5" ht="12" customHeight="1">
      <c r="B102" s="1299" t="s">
        <v>187</v>
      </c>
      <c r="C102" s="1288">
        <v>8.0399999999999991</v>
      </c>
      <c r="D102" s="1288">
        <v>17.579999999999998</v>
      </c>
      <c r="E102" s="1299" t="s">
        <v>356</v>
      </c>
    </row>
    <row r="103" spans="2:5" ht="12" customHeight="1">
      <c r="B103" s="1299" t="s">
        <v>357</v>
      </c>
      <c r="C103" s="1288">
        <v>1.19</v>
      </c>
      <c r="D103" s="1288">
        <v>5.72</v>
      </c>
      <c r="E103" s="1299" t="s">
        <v>213</v>
      </c>
    </row>
    <row r="104" spans="2:5" ht="12" customHeight="1">
      <c r="B104" s="1297">
        <v>44205</v>
      </c>
      <c r="C104" s="1288"/>
      <c r="D104" s="1288"/>
      <c r="E104" s="1297">
        <v>44205</v>
      </c>
    </row>
    <row r="105" spans="2:5" ht="12" customHeight="1">
      <c r="B105" s="1299" t="s">
        <v>187</v>
      </c>
      <c r="C105" s="1288">
        <v>8.6300000000000008</v>
      </c>
      <c r="D105" s="1288">
        <v>17.84</v>
      </c>
      <c r="E105" s="1299" t="s">
        <v>356</v>
      </c>
    </row>
    <row r="106" spans="2:5" ht="10.5" customHeight="1">
      <c r="B106" s="1299" t="s">
        <v>357</v>
      </c>
      <c r="C106" s="1288">
        <v>0.9</v>
      </c>
      <c r="D106" s="1288">
        <v>4.55</v>
      </c>
      <c r="E106" s="1299" t="s">
        <v>213</v>
      </c>
    </row>
    <row r="107" spans="2:5" ht="10.5" customHeight="1">
      <c r="B107" s="1297">
        <v>44206</v>
      </c>
      <c r="C107" s="1288"/>
      <c r="D107" s="1288"/>
      <c r="E107" s="1297">
        <v>44206</v>
      </c>
    </row>
    <row r="108" spans="2:5" ht="10.5" customHeight="1">
      <c r="B108" s="1299" t="s">
        <v>187</v>
      </c>
      <c r="C108" s="1288">
        <v>7.89</v>
      </c>
      <c r="D108" s="1288">
        <v>17.739999999999998</v>
      </c>
      <c r="E108" s="1299" t="s">
        <v>356</v>
      </c>
    </row>
    <row r="109" spans="2:5" ht="10.5" customHeight="1">
      <c r="B109" s="1299" t="s">
        <v>357</v>
      </c>
      <c r="C109" s="1288">
        <v>0.89</v>
      </c>
      <c r="D109" s="1288">
        <v>5.52</v>
      </c>
      <c r="E109" s="1299" t="s">
        <v>213</v>
      </c>
    </row>
    <row r="110" spans="2:5" ht="10.5" customHeight="1">
      <c r="B110" s="1297">
        <v>44207</v>
      </c>
      <c r="C110" s="1288"/>
      <c r="D110" s="1288"/>
      <c r="E110" s="1297">
        <v>44207</v>
      </c>
    </row>
    <row r="111" spans="2:5" ht="10.5" customHeight="1">
      <c r="B111" s="1299" t="s">
        <v>187</v>
      </c>
      <c r="C111" s="1288">
        <v>8.4852166087593996</v>
      </c>
      <c r="D111" s="1288">
        <v>17.126320129385</v>
      </c>
      <c r="E111" s="1299" t="s">
        <v>356</v>
      </c>
    </row>
    <row r="112" spans="2:5" ht="10.5" customHeight="1">
      <c r="B112" s="1299" t="s">
        <v>357</v>
      </c>
      <c r="C112" s="1288">
        <v>0.869302402393618</v>
      </c>
      <c r="D112" s="1288">
        <v>4.73917110856347</v>
      </c>
      <c r="E112" s="1299" t="s">
        <v>213</v>
      </c>
    </row>
    <row r="113" spans="2:5" ht="10.5" customHeight="1">
      <c r="B113" s="1297">
        <v>44208</v>
      </c>
      <c r="C113" s="1288"/>
      <c r="D113" s="1288"/>
      <c r="E113" s="1297">
        <v>44208</v>
      </c>
    </row>
    <row r="114" spans="2:5" ht="10.5" customHeight="1">
      <c r="B114" s="1299" t="s">
        <v>187</v>
      </c>
      <c r="C114" s="1288">
        <v>8.4499999999999993</v>
      </c>
      <c r="D114" s="1288">
        <v>16.96</v>
      </c>
      <c r="E114" s="1299" t="s">
        <v>356</v>
      </c>
    </row>
    <row r="115" spans="2:5" ht="10.5" customHeight="1">
      <c r="B115" s="1299" t="s">
        <v>357</v>
      </c>
      <c r="C115" s="1288">
        <v>1.01</v>
      </c>
      <c r="D115" s="1288">
        <v>5.5</v>
      </c>
      <c r="E115" s="1299" t="s">
        <v>213</v>
      </c>
    </row>
    <row r="116" spans="2:5" ht="10.5" customHeight="1">
      <c r="B116" s="1297">
        <v>44562</v>
      </c>
      <c r="C116" s="1288"/>
      <c r="D116" s="1288"/>
      <c r="E116" s="1297">
        <v>44562</v>
      </c>
    </row>
    <row r="117" spans="2:5" ht="10.5" customHeight="1">
      <c r="B117" s="1299" t="s">
        <v>187</v>
      </c>
      <c r="C117" s="1288">
        <v>9.0734050578463101</v>
      </c>
      <c r="D117" s="1288">
        <v>16.430556473376999</v>
      </c>
      <c r="E117" s="1299" t="s">
        <v>356</v>
      </c>
    </row>
    <row r="118" spans="2:5" ht="10.5" customHeight="1">
      <c r="B118" s="1299" t="s">
        <v>357</v>
      </c>
      <c r="C118" s="1288">
        <v>1.34607710298501</v>
      </c>
      <c r="D118" s="1288">
        <v>5.0647932762014198</v>
      </c>
      <c r="E118" s="1299" t="s">
        <v>213</v>
      </c>
    </row>
    <row r="119" spans="2:5" ht="10.5" customHeight="1">
      <c r="B119" s="1297">
        <v>44563</v>
      </c>
      <c r="C119" s="1288"/>
      <c r="D119" s="1288"/>
      <c r="E119" s="1297">
        <v>44563</v>
      </c>
    </row>
    <row r="120" spans="2:5" ht="10.5" customHeight="1">
      <c r="B120" s="1299" t="s">
        <v>187</v>
      </c>
      <c r="C120" s="1288">
        <v>6.41</v>
      </c>
      <c r="D120" s="1288">
        <v>17.55</v>
      </c>
      <c r="E120" s="1299" t="s">
        <v>356</v>
      </c>
    </row>
    <row r="121" spans="2:5" ht="10.5" customHeight="1">
      <c r="B121" s="1299" t="s">
        <v>357</v>
      </c>
      <c r="C121" s="1288">
        <v>1.38</v>
      </c>
      <c r="D121" s="1288">
        <v>4.55</v>
      </c>
      <c r="E121" s="1299" t="s">
        <v>213</v>
      </c>
    </row>
    <row r="122" spans="2:5" ht="10.5" customHeight="1">
      <c r="B122" s="1297">
        <v>44564</v>
      </c>
      <c r="C122" s="1288"/>
      <c r="D122" s="1288"/>
      <c r="E122" s="1297">
        <v>44564</v>
      </c>
    </row>
    <row r="123" spans="2:5" ht="10.5" customHeight="1">
      <c r="B123" s="1299" t="s">
        <v>187</v>
      </c>
      <c r="C123" s="1288">
        <v>8.5260057543494501</v>
      </c>
      <c r="D123" s="1288">
        <v>16.4929505198802</v>
      </c>
      <c r="E123" s="1299" t="s">
        <v>356</v>
      </c>
    </row>
    <row r="124" spans="2:5" ht="10.5" customHeight="1">
      <c r="B124" s="1299" t="s">
        <v>357</v>
      </c>
      <c r="C124" s="1288">
        <v>1.40290192566995</v>
      </c>
      <c r="D124" s="1288">
        <v>4.7976959432738298</v>
      </c>
      <c r="E124" s="1299" t="s">
        <v>213</v>
      </c>
    </row>
    <row r="125" spans="2:5" ht="10.5" customHeight="1">
      <c r="B125" s="1297">
        <v>44565</v>
      </c>
      <c r="C125" s="1288"/>
      <c r="D125" s="1288"/>
      <c r="E125" s="1297">
        <v>44565</v>
      </c>
    </row>
    <row r="126" spans="2:5" ht="10.5" customHeight="1">
      <c r="B126" s="1299" t="s">
        <v>187</v>
      </c>
      <c r="C126" s="1288">
        <v>8.7200000000000006</v>
      </c>
      <c r="D126" s="1288">
        <v>17.11</v>
      </c>
      <c r="E126" s="1299" t="s">
        <v>356</v>
      </c>
    </row>
    <row r="127" spans="2:5" ht="10.5" customHeight="1">
      <c r="B127" s="1299" t="s">
        <v>357</v>
      </c>
      <c r="C127" s="1288">
        <v>1.31</v>
      </c>
      <c r="D127" s="1288">
        <v>4.71</v>
      </c>
      <c r="E127" s="1299" t="s">
        <v>213</v>
      </c>
    </row>
    <row r="128" spans="2:5" ht="10.5" customHeight="1">
      <c r="B128" s="1297">
        <v>44566</v>
      </c>
      <c r="C128" s="1288"/>
      <c r="D128" s="1288"/>
      <c r="E128" s="1297">
        <v>44566</v>
      </c>
    </row>
    <row r="129" spans="2:5" ht="10.5" customHeight="1">
      <c r="B129" s="1299" t="s">
        <v>187</v>
      </c>
      <c r="C129" s="1288">
        <v>8.68</v>
      </c>
      <c r="D129" s="1288">
        <v>16.34</v>
      </c>
      <c r="E129" s="1299" t="s">
        <v>356</v>
      </c>
    </row>
    <row r="130" spans="2:5" ht="10.5" customHeight="1">
      <c r="B130" s="1299" t="s">
        <v>357</v>
      </c>
      <c r="C130" s="1288">
        <v>0.8</v>
      </c>
      <c r="D130" s="1288">
        <v>4.8499999999999996</v>
      </c>
      <c r="E130" s="1299" t="s">
        <v>213</v>
      </c>
    </row>
    <row r="131" spans="2:5" ht="10.5" customHeight="1">
      <c r="B131" s="1297">
        <v>44567</v>
      </c>
      <c r="C131" s="1288"/>
      <c r="D131" s="1288"/>
      <c r="E131" s="1297">
        <v>44567</v>
      </c>
    </row>
    <row r="132" spans="2:5" ht="10.5" customHeight="1">
      <c r="B132" s="1299" t="s">
        <v>187</v>
      </c>
      <c r="C132" s="1288">
        <v>8.77</v>
      </c>
      <c r="D132" s="1288">
        <v>16.940000000000001</v>
      </c>
      <c r="E132" s="1299" t="s">
        <v>356</v>
      </c>
    </row>
    <row r="133" spans="2:5" ht="10.5" customHeight="1">
      <c r="B133" s="1299" t="s">
        <v>357</v>
      </c>
      <c r="C133" s="1288">
        <v>0.95</v>
      </c>
      <c r="D133" s="1288">
        <v>4.53</v>
      </c>
      <c r="E133" s="1299" t="s">
        <v>213</v>
      </c>
    </row>
    <row r="134" spans="2:5" ht="10.5" customHeight="1">
      <c r="B134" s="1297">
        <v>44568</v>
      </c>
      <c r="C134" s="1288"/>
      <c r="D134" s="1288"/>
      <c r="E134" s="1297">
        <v>44568</v>
      </c>
    </row>
    <row r="135" spans="2:5" ht="10.5" customHeight="1">
      <c r="B135" s="1299" t="s">
        <v>187</v>
      </c>
      <c r="C135" s="1288">
        <v>8.15</v>
      </c>
      <c r="D135" s="1288">
        <v>16.170000000000002</v>
      </c>
      <c r="E135" s="1299" t="s">
        <v>356</v>
      </c>
    </row>
    <row r="136" spans="2:5" ht="10.5" customHeight="1">
      <c r="B136" s="1299" t="s">
        <v>357</v>
      </c>
      <c r="C136" s="1288">
        <v>0.76</v>
      </c>
      <c r="D136" s="1288">
        <v>4.4400000000000004</v>
      </c>
      <c r="E136" s="1299" t="s">
        <v>213</v>
      </c>
    </row>
    <row r="137" spans="2:5" ht="10.5" customHeight="1">
      <c r="B137" s="1297">
        <v>44569</v>
      </c>
      <c r="C137" s="1288"/>
      <c r="D137" s="1288"/>
      <c r="E137" s="1297">
        <v>44569</v>
      </c>
    </row>
    <row r="138" spans="2:5" ht="10.5" customHeight="1">
      <c r="B138" s="1299" t="s">
        <v>187</v>
      </c>
      <c r="C138" s="1288">
        <v>7.44</v>
      </c>
      <c r="D138" s="1288">
        <v>16.670000000000002</v>
      </c>
      <c r="E138" s="1299" t="s">
        <v>356</v>
      </c>
    </row>
    <row r="139" spans="2:5" ht="10.5" customHeight="1">
      <c r="B139" s="1299" t="s">
        <v>357</v>
      </c>
      <c r="C139" s="1288">
        <v>1.3</v>
      </c>
      <c r="D139" s="1288">
        <v>4.08</v>
      </c>
      <c r="E139" s="1299" t="s">
        <v>213</v>
      </c>
    </row>
    <row r="140" spans="2:5" ht="10.5" customHeight="1">
      <c r="B140" s="1297">
        <v>44570</v>
      </c>
      <c r="C140" s="1288"/>
      <c r="D140" s="1288"/>
      <c r="E140" s="1297">
        <v>44570</v>
      </c>
    </row>
    <row r="141" spans="2:5" ht="10.5" customHeight="1">
      <c r="B141" s="1299" t="s">
        <v>187</v>
      </c>
      <c r="C141" s="1288">
        <v>8.86</v>
      </c>
      <c r="D141" s="1288">
        <v>17.16</v>
      </c>
      <c r="E141" s="1299" t="s">
        <v>356</v>
      </c>
    </row>
    <row r="142" spans="2:5" ht="10.5" customHeight="1">
      <c r="B142" s="1299" t="s">
        <v>357</v>
      </c>
      <c r="C142" s="1288">
        <v>1.62</v>
      </c>
      <c r="D142" s="1288">
        <v>5.07</v>
      </c>
      <c r="E142" s="1299" t="s">
        <v>213</v>
      </c>
    </row>
    <row r="143" spans="2:5" ht="10.5" customHeight="1">
      <c r="B143" s="1297">
        <v>44571</v>
      </c>
      <c r="C143" s="1288"/>
      <c r="D143" s="1288"/>
      <c r="E143" s="1297">
        <v>44571</v>
      </c>
    </row>
    <row r="144" spans="2:5" ht="10.5" customHeight="1">
      <c r="B144" s="1299" t="s">
        <v>187</v>
      </c>
      <c r="C144" s="1288">
        <v>8.9466000000000001</v>
      </c>
      <c r="D144" s="1288">
        <v>16.350000000000001</v>
      </c>
      <c r="E144" s="1299" t="s">
        <v>356</v>
      </c>
    </row>
    <row r="145" spans="2:5" ht="10.5" customHeight="1">
      <c r="B145" s="1299" t="s">
        <v>357</v>
      </c>
      <c r="C145" s="1288">
        <v>1.57</v>
      </c>
      <c r="D145" s="1288">
        <v>4.63</v>
      </c>
      <c r="E145" s="1299" t="s">
        <v>213</v>
      </c>
    </row>
    <row r="146" spans="2:5" ht="10.5" customHeight="1">
      <c r="B146" s="1297">
        <v>44572</v>
      </c>
      <c r="C146" s="1288"/>
      <c r="D146" s="1288"/>
      <c r="E146" s="1297">
        <v>44572</v>
      </c>
    </row>
    <row r="147" spans="2:5" ht="10.5" customHeight="1">
      <c r="B147" s="1299" t="s">
        <v>187</v>
      </c>
      <c r="C147" s="1288">
        <v>8.61</v>
      </c>
      <c r="D147" s="1288">
        <v>15.87</v>
      </c>
      <c r="E147" s="1299" t="s">
        <v>356</v>
      </c>
    </row>
    <row r="148" spans="2:5" ht="10.5" customHeight="1">
      <c r="B148" s="1299" t="s">
        <v>357</v>
      </c>
      <c r="C148" s="1288">
        <v>2</v>
      </c>
      <c r="D148" s="1288">
        <v>4.4400000000000004</v>
      </c>
      <c r="E148" s="1299" t="s">
        <v>213</v>
      </c>
    </row>
    <row r="149" spans="2:5" ht="10.5" customHeight="1">
      <c r="B149" s="1297">
        <v>44573</v>
      </c>
      <c r="C149" s="1288"/>
      <c r="D149" s="1288"/>
      <c r="E149" s="1297">
        <v>44573</v>
      </c>
    </row>
    <row r="150" spans="2:5" ht="10.5" customHeight="1">
      <c r="B150" s="1299" t="s">
        <v>187</v>
      </c>
      <c r="C150" s="1288">
        <v>8.1255699968013797</v>
      </c>
      <c r="D150" s="1288">
        <v>15.8221124672479</v>
      </c>
      <c r="E150" s="1299" t="s">
        <v>356</v>
      </c>
    </row>
    <row r="151" spans="2:5" ht="10.5" customHeight="1">
      <c r="B151" s="1299" t="s">
        <v>357</v>
      </c>
      <c r="C151" s="1288">
        <v>2.4274596949307199</v>
      </c>
      <c r="D151" s="1288">
        <v>4.0818775446556099</v>
      </c>
      <c r="E151" s="1299" t="s">
        <v>213</v>
      </c>
    </row>
    <row r="152" spans="2:5" ht="10.5" customHeight="1">
      <c r="B152" s="1297">
        <v>44927</v>
      </c>
      <c r="C152" s="1288"/>
      <c r="D152" s="1288"/>
      <c r="E152" s="1297">
        <v>44927</v>
      </c>
    </row>
    <row r="153" spans="2:5" ht="10.5" customHeight="1">
      <c r="B153" s="1299" t="s">
        <v>187</v>
      </c>
      <c r="C153" s="1288">
        <v>8.35</v>
      </c>
      <c r="D153" s="1288">
        <v>15.85</v>
      </c>
      <c r="E153" s="1299" t="s">
        <v>356</v>
      </c>
    </row>
    <row r="154" spans="2:5" ht="10.5" customHeight="1">
      <c r="B154" s="1299" t="s">
        <v>357</v>
      </c>
      <c r="C154" s="1288">
        <v>1.79</v>
      </c>
      <c r="D154" s="1288">
        <v>4.6900000000000004</v>
      </c>
      <c r="E154" s="1299" t="s">
        <v>213</v>
      </c>
    </row>
    <row r="155" spans="2:5" ht="10.5" customHeight="1">
      <c r="B155" s="1297">
        <v>44958</v>
      </c>
      <c r="C155" s="1288"/>
      <c r="D155" s="1288"/>
      <c r="E155" s="1297">
        <v>44958</v>
      </c>
    </row>
    <row r="156" spans="2:5" ht="10.5" customHeight="1">
      <c r="B156" s="1299" t="s">
        <v>187</v>
      </c>
      <c r="C156" s="1288">
        <v>7.8</v>
      </c>
      <c r="D156" s="1288">
        <v>16.43</v>
      </c>
      <c r="E156" s="1299" t="s">
        <v>356</v>
      </c>
    </row>
    <row r="157" spans="2:5" ht="10.5" customHeight="1">
      <c r="B157" s="1299" t="s">
        <v>357</v>
      </c>
      <c r="C157" s="1288">
        <v>2.4900000000000002</v>
      </c>
      <c r="D157" s="1288">
        <v>4.8600000000000003</v>
      </c>
      <c r="E157" s="1299" t="s">
        <v>213</v>
      </c>
    </row>
    <row r="158" spans="2:5" ht="10.5" customHeight="1">
      <c r="B158" s="1297">
        <v>44986</v>
      </c>
      <c r="C158" s="1288"/>
      <c r="D158" s="1288"/>
      <c r="E158" s="1297">
        <v>44986</v>
      </c>
    </row>
    <row r="159" spans="2:5" ht="10.5" customHeight="1">
      <c r="B159" s="1299" t="s">
        <v>187</v>
      </c>
      <c r="C159" s="1288">
        <v>7.51</v>
      </c>
      <c r="D159" s="1288">
        <v>16.809999999999999</v>
      </c>
      <c r="E159" s="1299" t="s">
        <v>356</v>
      </c>
    </row>
    <row r="160" spans="2:5" ht="10.5" customHeight="1">
      <c r="B160" s="1299" t="s">
        <v>357</v>
      </c>
      <c r="C160" s="1288">
        <v>2.02</v>
      </c>
      <c r="D160" s="1288">
        <v>4.91</v>
      </c>
      <c r="E160" s="1299" t="s">
        <v>213</v>
      </c>
    </row>
    <row r="161" spans="2:5" ht="10.5" customHeight="1">
      <c r="B161" s="1297">
        <v>45017</v>
      </c>
      <c r="C161" s="1288"/>
      <c r="D161" s="1288"/>
      <c r="E161" s="1297">
        <v>45017</v>
      </c>
    </row>
    <row r="162" spans="2:5" ht="10.5" customHeight="1">
      <c r="B162" s="1299" t="s">
        <v>187</v>
      </c>
      <c r="C162" s="1288">
        <v>7.8352970978728296</v>
      </c>
      <c r="D162" s="1288">
        <v>15.994237383635101</v>
      </c>
      <c r="E162" s="1299" t="s">
        <v>356</v>
      </c>
    </row>
    <row r="163" spans="2:5" ht="10.5" customHeight="1">
      <c r="B163" s="1299" t="s">
        <v>357</v>
      </c>
      <c r="C163" s="1288">
        <v>1.6658552923039001</v>
      </c>
      <c r="D163" s="1288">
        <v>5.2627029938083103</v>
      </c>
      <c r="E163" s="1299" t="s">
        <v>213</v>
      </c>
    </row>
    <row r="164" spans="2:5" ht="10.5" customHeight="1">
      <c r="B164" s="1297">
        <v>45047</v>
      </c>
      <c r="C164" s="1288"/>
      <c r="D164" s="1288"/>
      <c r="E164" s="1297">
        <v>45047</v>
      </c>
    </row>
    <row r="165" spans="2:5" ht="10.5" customHeight="1">
      <c r="B165" s="1299" t="s">
        <v>187</v>
      </c>
      <c r="C165" s="1288">
        <v>7.72</v>
      </c>
      <c r="D165" s="1288">
        <v>15.92</v>
      </c>
      <c r="E165" s="1299" t="s">
        <v>356</v>
      </c>
    </row>
    <row r="166" spans="2:5" ht="10.5" customHeight="1">
      <c r="B166" s="1299" t="s">
        <v>357</v>
      </c>
      <c r="C166" s="1288">
        <v>2.34</v>
      </c>
      <c r="D166" s="1288">
        <v>4.92</v>
      </c>
      <c r="E166" s="1299" t="s">
        <v>213</v>
      </c>
    </row>
    <row r="167" spans="2:5" ht="10.5" customHeight="1">
      <c r="B167" s="1297">
        <v>45078</v>
      </c>
      <c r="C167" s="1288"/>
      <c r="D167" s="1288"/>
      <c r="E167" s="1297">
        <v>45078</v>
      </c>
    </row>
    <row r="168" spans="2:5" ht="10.5" customHeight="1">
      <c r="B168" s="1299" t="s">
        <v>187</v>
      </c>
      <c r="C168" s="1288">
        <v>7.94</v>
      </c>
      <c r="D168" s="1288">
        <v>15.49</v>
      </c>
      <c r="E168" s="1299" t="s">
        <v>356</v>
      </c>
    </row>
    <row r="169" spans="2:5" ht="10.5" customHeight="1">
      <c r="B169" s="1299" t="s">
        <v>357</v>
      </c>
      <c r="C169" s="1288">
        <v>1.48</v>
      </c>
      <c r="D169" s="1288">
        <v>5.34</v>
      </c>
      <c r="E169" s="1299" t="s">
        <v>213</v>
      </c>
    </row>
    <row r="170" spans="2:5" ht="10.5" customHeight="1">
      <c r="B170" s="1297">
        <v>45108</v>
      </c>
      <c r="C170" s="1288"/>
      <c r="D170" s="1288"/>
      <c r="E170" s="1297">
        <v>45108</v>
      </c>
    </row>
    <row r="171" spans="2:5" ht="10.5" customHeight="1">
      <c r="B171" s="1299" t="s">
        <v>187</v>
      </c>
      <c r="C171" s="1288">
        <v>7.51</v>
      </c>
      <c r="D171" s="1288">
        <v>15.68</v>
      </c>
      <c r="E171" s="1299" t="s">
        <v>356</v>
      </c>
    </row>
    <row r="172" spans="2:5" ht="10.5" customHeight="1">
      <c r="B172" s="1299" t="s">
        <v>357</v>
      </c>
      <c r="C172" s="1288">
        <v>1.83</v>
      </c>
      <c r="D172" s="1288">
        <v>6.05</v>
      </c>
      <c r="E172" s="1299" t="s">
        <v>213</v>
      </c>
    </row>
    <row r="173" spans="2:5" ht="10.5" customHeight="1">
      <c r="B173" s="1297">
        <v>45139</v>
      </c>
      <c r="C173" s="1288"/>
      <c r="D173" s="1288"/>
      <c r="E173" s="1297">
        <v>45139</v>
      </c>
    </row>
    <row r="174" spans="2:5" ht="10.5" customHeight="1">
      <c r="B174" s="1299" t="s">
        <v>187</v>
      </c>
      <c r="C174" s="1288">
        <v>7.96</v>
      </c>
      <c r="D174" s="1288">
        <v>15.31</v>
      </c>
      <c r="E174" s="1299" t="s">
        <v>356</v>
      </c>
    </row>
    <row r="175" spans="2:5" ht="10.5" customHeight="1">
      <c r="B175" s="1299" t="s">
        <v>357</v>
      </c>
      <c r="C175" s="1288">
        <v>2.06</v>
      </c>
      <c r="D175" s="1288">
        <v>5.57</v>
      </c>
      <c r="E175" s="1299" t="s">
        <v>213</v>
      </c>
    </row>
    <row r="176" spans="2:5" ht="10.5" customHeight="1">
      <c r="B176" s="1297">
        <v>44935</v>
      </c>
      <c r="C176" s="1288"/>
      <c r="D176" s="1288"/>
      <c r="E176" s="1297">
        <v>44935</v>
      </c>
    </row>
    <row r="177" spans="2:5" ht="10.5" customHeight="1">
      <c r="B177" s="1299" t="s">
        <v>187</v>
      </c>
      <c r="C177" s="1288">
        <v>7.7</v>
      </c>
      <c r="D177" s="1288">
        <v>15.79</v>
      </c>
      <c r="E177" s="1299" t="s">
        <v>356</v>
      </c>
    </row>
    <row r="178" spans="2:5" ht="10.5" customHeight="1">
      <c r="B178" s="1299" t="s">
        <v>357</v>
      </c>
      <c r="C178" s="1288">
        <v>2.39</v>
      </c>
      <c r="D178" s="1288">
        <v>5.18</v>
      </c>
      <c r="E178" s="1299" t="s">
        <v>213</v>
      </c>
    </row>
    <row r="179" spans="2:5" ht="10.5" customHeight="1">
      <c r="B179" s="1297">
        <v>44936</v>
      </c>
      <c r="C179" s="1288"/>
      <c r="D179" s="1288"/>
      <c r="E179" s="1297">
        <v>44936</v>
      </c>
    </row>
    <row r="180" spans="2:5" ht="10.5" customHeight="1">
      <c r="B180" s="1299" t="s">
        <v>187</v>
      </c>
      <c r="C180" s="1288">
        <v>8.16</v>
      </c>
      <c r="D180" s="1288">
        <v>16.09</v>
      </c>
      <c r="E180" s="1299" t="s">
        <v>356</v>
      </c>
    </row>
    <row r="181" spans="2:5" ht="10.5" customHeight="1">
      <c r="B181" s="1299" t="s">
        <v>357</v>
      </c>
      <c r="C181" s="1288">
        <v>1.49</v>
      </c>
      <c r="D181" s="1288">
        <v>5.33</v>
      </c>
      <c r="E181" s="1299" t="s">
        <v>213</v>
      </c>
    </row>
    <row r="182" spans="2:5" ht="10.5" customHeight="1">
      <c r="B182" s="1297">
        <v>44937</v>
      </c>
      <c r="C182" s="1288"/>
      <c r="D182" s="1288"/>
      <c r="E182" s="1297">
        <v>44937</v>
      </c>
    </row>
    <row r="183" spans="2:5" ht="10.5" customHeight="1">
      <c r="B183" s="1299" t="s">
        <v>187</v>
      </c>
      <c r="C183" s="1288">
        <v>7.31</v>
      </c>
      <c r="D183" s="1288">
        <v>15.79</v>
      </c>
      <c r="E183" s="1299" t="s">
        <v>356</v>
      </c>
    </row>
    <row r="184" spans="2:5" ht="10.5" customHeight="1">
      <c r="B184" s="1299" t="s">
        <v>357</v>
      </c>
      <c r="C184" s="1288">
        <v>1.67</v>
      </c>
      <c r="D184" s="1288">
        <v>6.33</v>
      </c>
      <c r="E184" s="1299" t="s">
        <v>213</v>
      </c>
    </row>
    <row r="185" spans="2:5" ht="10.5" customHeight="1">
      <c r="B185" s="1297">
        <v>44938</v>
      </c>
      <c r="C185" s="1288"/>
      <c r="D185" s="1288"/>
      <c r="E185" s="1297">
        <v>44938</v>
      </c>
    </row>
    <row r="186" spans="2:5" ht="10.5" customHeight="1">
      <c r="B186" s="1299" t="s">
        <v>187</v>
      </c>
      <c r="C186" s="1288">
        <v>8.27</v>
      </c>
      <c r="D186" s="1288">
        <v>15.41</v>
      </c>
      <c r="E186" s="1299" t="s">
        <v>356</v>
      </c>
    </row>
    <row r="187" spans="2:5" ht="10.5" customHeight="1">
      <c r="B187" s="1299" t="s">
        <v>357</v>
      </c>
      <c r="C187" s="1288">
        <v>2.69</v>
      </c>
      <c r="D187" s="1288">
        <v>5.76</v>
      </c>
      <c r="E187" s="1299" t="s">
        <v>213</v>
      </c>
    </row>
    <row r="188" spans="2:5" ht="12" customHeight="1">
      <c r="B188" s="1297">
        <v>45292</v>
      </c>
      <c r="C188" s="1288"/>
      <c r="D188" s="1288"/>
      <c r="E188" s="1297">
        <v>45292</v>
      </c>
    </row>
    <row r="189" spans="2:5" ht="10.5" customHeight="1">
      <c r="B189" s="1299" t="s">
        <v>187</v>
      </c>
      <c r="C189" s="1288">
        <v>7.34</v>
      </c>
      <c r="D189" s="1288">
        <v>15.14</v>
      </c>
      <c r="E189" s="1299" t="s">
        <v>356</v>
      </c>
    </row>
    <row r="190" spans="2:5" ht="10.5" customHeight="1">
      <c r="B190" s="1299" t="s">
        <v>357</v>
      </c>
      <c r="C190" s="1288">
        <v>2.17</v>
      </c>
      <c r="D190" s="1288">
        <v>5.07</v>
      </c>
      <c r="E190" s="1299" t="s">
        <v>213</v>
      </c>
    </row>
    <row r="191" spans="2:5" ht="10.5" customHeight="1">
      <c r="B191" s="1297">
        <v>45323</v>
      </c>
      <c r="C191" s="1288"/>
      <c r="D191" s="1288"/>
      <c r="E191" s="1297">
        <v>45323</v>
      </c>
    </row>
    <row r="192" spans="2:5" ht="10.5" customHeight="1">
      <c r="B192" s="1299" t="s">
        <v>187</v>
      </c>
      <c r="C192" s="1288">
        <v>8.16</v>
      </c>
      <c r="D192" s="1288">
        <v>16</v>
      </c>
      <c r="E192" s="1299" t="s">
        <v>356</v>
      </c>
    </row>
    <row r="193" spans="2:5" ht="10.5" customHeight="1">
      <c r="B193" s="1299" t="s">
        <v>357</v>
      </c>
      <c r="C193" s="1288">
        <v>4.16</v>
      </c>
      <c r="D193" s="1288">
        <v>6.66</v>
      </c>
      <c r="E193" s="1299" t="s">
        <v>213</v>
      </c>
    </row>
    <row r="194" spans="2:5" ht="10.5" customHeight="1">
      <c r="B194" s="1297">
        <v>45352</v>
      </c>
      <c r="C194" s="1288"/>
      <c r="D194" s="1288"/>
      <c r="E194" s="1297">
        <v>45352</v>
      </c>
    </row>
    <row r="195" spans="2:5" ht="10.5" customHeight="1">
      <c r="B195" s="1299" t="s">
        <v>187</v>
      </c>
      <c r="C195" s="1288">
        <v>8.41</v>
      </c>
      <c r="D195" s="1288">
        <v>16.07</v>
      </c>
      <c r="E195" s="1299" t="s">
        <v>356</v>
      </c>
    </row>
    <row r="196" spans="2:5" ht="10.5" customHeight="1">
      <c r="B196" s="1299" t="s">
        <v>357</v>
      </c>
      <c r="C196" s="1288">
        <v>2.34</v>
      </c>
      <c r="D196" s="1288">
        <v>5.21</v>
      </c>
      <c r="E196" s="1299" t="s">
        <v>213</v>
      </c>
    </row>
    <row r="197" spans="2:5" ht="10.5" customHeight="1">
      <c r="B197" s="1297">
        <v>45383</v>
      </c>
      <c r="C197" s="1288"/>
      <c r="D197" s="1288"/>
      <c r="E197" s="1297">
        <v>45383</v>
      </c>
    </row>
    <row r="198" spans="2:5" ht="10.5" customHeight="1">
      <c r="B198" s="1299" t="s">
        <v>187</v>
      </c>
      <c r="C198" s="1288">
        <v>7.64</v>
      </c>
      <c r="D198" s="1288">
        <v>15.07</v>
      </c>
      <c r="E198" s="1299" t="s">
        <v>356</v>
      </c>
    </row>
    <row r="199" spans="2:5" ht="10.5" customHeight="1">
      <c r="B199" s="1299" t="s">
        <v>357</v>
      </c>
      <c r="C199" s="1288">
        <v>2.77</v>
      </c>
      <c r="D199" s="1288">
        <v>5.72</v>
      </c>
      <c r="E199" s="1299" t="s">
        <v>213</v>
      </c>
    </row>
    <row r="200" spans="2:5" ht="10.5" customHeight="1">
      <c r="B200" s="1297">
        <v>45413</v>
      </c>
      <c r="C200" s="1288"/>
      <c r="D200" s="1288"/>
      <c r="E200" s="1297">
        <v>45413</v>
      </c>
    </row>
    <row r="201" spans="2:5" ht="10.5" customHeight="1">
      <c r="B201" s="1299" t="s">
        <v>187</v>
      </c>
      <c r="C201" s="1288">
        <v>7.95</v>
      </c>
      <c r="D201" s="1288">
        <v>15.24</v>
      </c>
      <c r="E201" s="1299" t="s">
        <v>356</v>
      </c>
    </row>
    <row r="202" spans="2:5" ht="10.5" customHeight="1">
      <c r="B202" s="1299" t="s">
        <v>357</v>
      </c>
      <c r="C202" s="1288">
        <v>2.46</v>
      </c>
      <c r="D202" s="1288">
        <v>5.78</v>
      </c>
      <c r="E202" s="1299" t="s">
        <v>213</v>
      </c>
    </row>
    <row r="203" spans="2:5" ht="10.5" customHeight="1">
      <c r="B203" s="1297">
        <v>45444</v>
      </c>
      <c r="C203" s="1288"/>
      <c r="D203" s="1288"/>
      <c r="E203" s="1297">
        <v>45444</v>
      </c>
    </row>
    <row r="204" spans="2:5" ht="10.5" customHeight="1">
      <c r="B204" s="1299" t="s">
        <v>187</v>
      </c>
      <c r="C204" s="1288">
        <v>8.06</v>
      </c>
      <c r="D204" s="1288">
        <v>15.11</v>
      </c>
      <c r="E204" s="1299" t="s">
        <v>356</v>
      </c>
    </row>
    <row r="205" spans="2:5" ht="10.5" customHeight="1">
      <c r="B205" s="1299" t="s">
        <v>357</v>
      </c>
      <c r="C205" s="1288">
        <v>3.32</v>
      </c>
      <c r="D205" s="1288">
        <v>5.75</v>
      </c>
      <c r="E205" s="1299" t="s">
        <v>213</v>
      </c>
    </row>
    <row r="206" spans="2:5" ht="10.5" customHeight="1">
      <c r="B206" s="1297">
        <v>45474</v>
      </c>
      <c r="C206" s="1288"/>
      <c r="D206" s="1288"/>
      <c r="E206" s="1297">
        <v>45474</v>
      </c>
    </row>
    <row r="207" spans="2:5" ht="10.5" customHeight="1">
      <c r="B207" s="1299" t="s">
        <v>187</v>
      </c>
      <c r="C207" s="1288">
        <v>7.96</v>
      </c>
      <c r="D207" s="1288">
        <v>15.03</v>
      </c>
      <c r="E207" s="1299" t="s">
        <v>356</v>
      </c>
    </row>
    <row r="208" spans="2:5" ht="10.5" customHeight="1">
      <c r="B208" s="1299" t="s">
        <v>357</v>
      </c>
      <c r="C208" s="1288">
        <v>3</v>
      </c>
      <c r="D208" s="1288">
        <v>5.92</v>
      </c>
      <c r="E208" s="1299" t="s">
        <v>213</v>
      </c>
    </row>
    <row r="209" spans="2:5" ht="10.5" customHeight="1">
      <c r="B209" s="1297">
        <v>45505</v>
      </c>
      <c r="C209" s="1288"/>
      <c r="D209" s="1288"/>
      <c r="E209" s="1297">
        <v>45505</v>
      </c>
    </row>
    <row r="210" spans="2:5" ht="10.5" customHeight="1">
      <c r="B210" s="1299" t="s">
        <v>187</v>
      </c>
      <c r="C210" s="1288">
        <v>8.4</v>
      </c>
      <c r="D210" s="1288">
        <v>15.8</v>
      </c>
      <c r="E210" s="1299" t="s">
        <v>356</v>
      </c>
    </row>
    <row r="211" spans="2:5" ht="10.5" customHeight="1">
      <c r="B211" s="1299" t="s">
        <v>357</v>
      </c>
      <c r="C211" s="1288">
        <v>2.98</v>
      </c>
      <c r="D211" s="1288">
        <v>5.61</v>
      </c>
      <c r="E211" s="1299" t="s">
        <v>213</v>
      </c>
    </row>
    <row r="212" spans="2:5" ht="10.5" customHeight="1">
      <c r="B212" s="1297">
        <v>45536</v>
      </c>
      <c r="C212" s="1288"/>
      <c r="D212" s="1288"/>
      <c r="E212" s="1297">
        <v>45536</v>
      </c>
    </row>
    <row r="213" spans="2:5" ht="10.5" customHeight="1">
      <c r="B213" s="1299" t="s">
        <v>187</v>
      </c>
      <c r="C213" s="1288">
        <v>8.49</v>
      </c>
      <c r="D213" s="1288">
        <v>16.12</v>
      </c>
      <c r="E213" s="1299" t="s">
        <v>356</v>
      </c>
    </row>
    <row r="214" spans="2:5" ht="10.5" customHeight="1">
      <c r="B214" s="1299" t="s">
        <v>357</v>
      </c>
      <c r="C214" s="1288">
        <v>3.31</v>
      </c>
      <c r="D214" s="1288">
        <v>5.87</v>
      </c>
      <c r="E214" s="1299" t="s">
        <v>213</v>
      </c>
    </row>
    <row r="215" spans="2:5" ht="10.5" customHeight="1">
      <c r="B215" s="1979">
        <v>45566</v>
      </c>
      <c r="C215" s="1288"/>
      <c r="D215" s="1288"/>
      <c r="E215" s="390">
        <v>45566</v>
      </c>
    </row>
    <row r="216" spans="2:5" ht="10.5" customHeight="1">
      <c r="B216" s="1980" t="s">
        <v>187</v>
      </c>
      <c r="C216" s="1288">
        <v>8.25</v>
      </c>
      <c r="D216" s="1288">
        <v>16.32</v>
      </c>
      <c r="E216" s="389" t="s">
        <v>356</v>
      </c>
    </row>
    <row r="217" spans="2:5" ht="10.5" customHeight="1">
      <c r="B217" s="1980" t="s">
        <v>357</v>
      </c>
      <c r="C217" s="1288">
        <v>3.13</v>
      </c>
      <c r="D217" s="1288">
        <v>6.06</v>
      </c>
      <c r="E217" s="389" t="s">
        <v>213</v>
      </c>
    </row>
    <row r="218" spans="2:5" ht="10.5" customHeight="1">
      <c r="B218" s="1979">
        <v>45597</v>
      </c>
      <c r="C218" s="1288"/>
      <c r="D218" s="1288"/>
      <c r="E218" s="2108">
        <v>45597</v>
      </c>
    </row>
    <row r="219" spans="2:5" ht="10.5" customHeight="1">
      <c r="B219" s="1980" t="s">
        <v>187</v>
      </c>
      <c r="C219" s="1288">
        <v>8.6999999999999993</v>
      </c>
      <c r="D219" s="1288">
        <v>16.34</v>
      </c>
      <c r="E219" s="436" t="s">
        <v>356</v>
      </c>
    </row>
    <row r="220" spans="2:5" ht="10.5" customHeight="1">
      <c r="B220" s="1980" t="s">
        <v>357</v>
      </c>
      <c r="C220" s="1288">
        <v>3.88</v>
      </c>
      <c r="D220" s="1288">
        <v>6.41</v>
      </c>
      <c r="E220" s="436" t="s">
        <v>213</v>
      </c>
    </row>
    <row r="221" spans="2:5" ht="10.5" customHeight="1">
      <c r="B221" s="1979">
        <v>45627</v>
      </c>
      <c r="C221" s="1288"/>
      <c r="D221" s="1288"/>
      <c r="E221" s="2108">
        <v>45627</v>
      </c>
    </row>
    <row r="222" spans="2:5" ht="10.5" customHeight="1">
      <c r="B222" s="1980" t="s">
        <v>187</v>
      </c>
      <c r="C222" s="1288">
        <v>8.7100000000000009</v>
      </c>
      <c r="D222" s="1288">
        <v>17.07</v>
      </c>
      <c r="E222" s="221" t="s">
        <v>356</v>
      </c>
    </row>
    <row r="223" spans="2:5" ht="10.5" customHeight="1">
      <c r="B223" s="1980" t="s">
        <v>357</v>
      </c>
      <c r="C223" s="1288">
        <v>3.19</v>
      </c>
      <c r="D223" s="1288">
        <v>6.02</v>
      </c>
      <c r="E223" s="221" t="s">
        <v>213</v>
      </c>
    </row>
    <row r="224" spans="2:5" ht="10.5" customHeight="1">
      <c r="B224" s="1979">
        <v>45658</v>
      </c>
      <c r="C224" s="1288"/>
      <c r="D224" s="1288"/>
      <c r="E224" s="2108">
        <v>45658</v>
      </c>
    </row>
    <row r="225" spans="2:5" ht="10.5" customHeight="1">
      <c r="B225" s="1980" t="s">
        <v>187</v>
      </c>
      <c r="C225" s="1288">
        <v>8.34</v>
      </c>
      <c r="D225" s="1288">
        <v>16.559999999999999</v>
      </c>
      <c r="E225" s="221" t="s">
        <v>356</v>
      </c>
    </row>
    <row r="226" spans="2:5" ht="10.5" customHeight="1">
      <c r="B226" s="1980" t="s">
        <v>357</v>
      </c>
      <c r="C226" s="1288">
        <v>3.37</v>
      </c>
      <c r="D226" s="1288">
        <v>5.93</v>
      </c>
      <c r="E226" s="221" t="s">
        <v>213</v>
      </c>
    </row>
    <row r="227" spans="2:5" ht="10.5" customHeight="1">
      <c r="B227" s="1979">
        <v>45689</v>
      </c>
      <c r="C227" s="1288"/>
      <c r="D227" s="1288"/>
      <c r="E227" s="2108">
        <v>45689</v>
      </c>
    </row>
    <row r="228" spans="2:5" ht="10.5" customHeight="1">
      <c r="B228" s="1980" t="s">
        <v>187</v>
      </c>
      <c r="C228" s="1288">
        <v>7.23</v>
      </c>
      <c r="D228" s="1288">
        <v>17.75</v>
      </c>
      <c r="E228" s="221" t="s">
        <v>356</v>
      </c>
    </row>
    <row r="229" spans="2:5" ht="10.5" customHeight="1">
      <c r="B229" s="1980" t="s">
        <v>357</v>
      </c>
      <c r="C229" s="1288">
        <v>3.29</v>
      </c>
      <c r="D229" s="1288">
        <v>6.25</v>
      </c>
      <c r="E229" s="221" t="s">
        <v>213</v>
      </c>
    </row>
    <row r="230" spans="2:5" ht="10.5" customHeight="1">
      <c r="B230" s="1979">
        <v>45717</v>
      </c>
      <c r="C230" s="1288"/>
      <c r="D230" s="1288"/>
      <c r="E230" s="2108">
        <v>45717</v>
      </c>
    </row>
    <row r="231" spans="2:5" ht="10.5" customHeight="1">
      <c r="B231" s="1980" t="s">
        <v>187</v>
      </c>
      <c r="C231" s="1288">
        <v>7.02</v>
      </c>
      <c r="D231" s="1288">
        <v>18.07</v>
      </c>
      <c r="E231" s="221" t="s">
        <v>356</v>
      </c>
    </row>
    <row r="232" spans="2:5" ht="10.5" customHeight="1">
      <c r="B232" s="1980" t="s">
        <v>357</v>
      </c>
      <c r="C232" s="1288">
        <v>2.91</v>
      </c>
      <c r="D232" s="1288">
        <v>6.41</v>
      </c>
      <c r="E232" s="221" t="s">
        <v>213</v>
      </c>
    </row>
    <row r="233" spans="2:5" ht="10.5" customHeight="1">
      <c r="B233" s="1979">
        <v>45748</v>
      </c>
      <c r="C233" s="1288"/>
      <c r="D233" s="1288"/>
      <c r="E233" s="2108">
        <v>45748</v>
      </c>
    </row>
    <row r="234" spans="2:5" ht="10.5" customHeight="1">
      <c r="B234" s="1980" t="s">
        <v>187</v>
      </c>
      <c r="C234" s="1288">
        <v>7.55</v>
      </c>
      <c r="D234" s="1288">
        <v>17.850000000000001</v>
      </c>
      <c r="E234" s="389" t="s">
        <v>356</v>
      </c>
    </row>
    <row r="235" spans="2:5" ht="10.5" customHeight="1">
      <c r="B235" s="1980" t="s">
        <v>357</v>
      </c>
      <c r="C235" s="1288">
        <v>2.96</v>
      </c>
      <c r="D235" s="1288">
        <v>7.85</v>
      </c>
      <c r="E235" s="389" t="s">
        <v>213</v>
      </c>
    </row>
    <row r="236" spans="2:5" ht="10.5" customHeight="1">
      <c r="B236" s="1979">
        <v>45778</v>
      </c>
      <c r="C236" s="1288"/>
      <c r="D236" s="1288"/>
      <c r="E236" s="2108">
        <v>45778</v>
      </c>
    </row>
    <row r="237" spans="2:5" ht="10.5" customHeight="1">
      <c r="B237" s="1980" t="s">
        <v>187</v>
      </c>
      <c r="C237" s="1288">
        <v>7.12</v>
      </c>
      <c r="D237" s="1288">
        <v>18.87</v>
      </c>
      <c r="E237" s="221" t="s">
        <v>356</v>
      </c>
    </row>
    <row r="238" spans="2:5" ht="10.5" customHeight="1">
      <c r="B238" s="1980" t="s">
        <v>357</v>
      </c>
      <c r="C238" s="1288">
        <v>4.32</v>
      </c>
      <c r="D238" s="1288">
        <v>6.08</v>
      </c>
      <c r="E238" s="221" t="s">
        <v>213</v>
      </c>
    </row>
    <row r="239" spans="2:5" ht="12" customHeight="1">
      <c r="B239" s="1979">
        <v>45809</v>
      </c>
      <c r="C239" s="1288"/>
      <c r="D239" s="1288"/>
      <c r="E239" s="2108">
        <v>45809</v>
      </c>
    </row>
    <row r="240" spans="2:5" ht="12" customHeight="1">
      <c r="B240" s="1980" t="s">
        <v>187</v>
      </c>
      <c r="C240" s="1288">
        <v>6.91</v>
      </c>
      <c r="D240" s="2172">
        <v>18.899999999999999</v>
      </c>
      <c r="E240" s="389" t="s">
        <v>356</v>
      </c>
    </row>
    <row r="241" spans="2:5" ht="11.45" customHeight="1" thickBot="1">
      <c r="B241" s="1981" t="s">
        <v>357</v>
      </c>
      <c r="C241" s="1982">
        <v>2.99</v>
      </c>
      <c r="D241" s="1982">
        <v>6.59</v>
      </c>
      <c r="E241" s="2173" t="s">
        <v>213</v>
      </c>
    </row>
    <row r="242" spans="2:5" s="803" customFormat="1" ht="29.25" customHeight="1">
      <c r="B242" s="2661" t="s">
        <v>3347</v>
      </c>
      <c r="C242" s="2662"/>
      <c r="D242" s="2662"/>
      <c r="E242" s="2663"/>
    </row>
    <row r="243" spans="2:5">
      <c r="C243" s="209"/>
      <c r="D243" s="209"/>
    </row>
    <row r="244" spans="2:5">
      <c r="C244" s="209"/>
      <c r="D244" s="209"/>
    </row>
    <row r="245" spans="2:5" ht="11.25">
      <c r="B245" s="194"/>
      <c r="C245" s="209"/>
      <c r="D245" s="209"/>
      <c r="E245" s="194"/>
    </row>
    <row r="246" spans="2:5" ht="11.25">
      <c r="B246" s="194"/>
      <c r="C246" s="209"/>
      <c r="D246" s="209" t="s">
        <v>115</v>
      </c>
      <c r="E246" s="194"/>
    </row>
    <row r="247" spans="2:5" ht="11.25">
      <c r="B247" s="1292"/>
      <c r="C247" s="209"/>
      <c r="D247" s="209"/>
      <c r="E247" s="1292"/>
    </row>
    <row r="248" spans="2:5" ht="11.25">
      <c r="B248" s="194"/>
      <c r="C248" s="209"/>
      <c r="D248" s="1293"/>
      <c r="E248" s="194"/>
    </row>
    <row r="250" spans="2:5">
      <c r="C250" s="209"/>
      <c r="D250" s="209"/>
    </row>
    <row r="251" spans="2:5">
      <c r="C251" s="209"/>
      <c r="D251" s="209"/>
    </row>
  </sheetData>
  <mergeCells count="5">
    <mergeCell ref="B242:E242"/>
    <mergeCell ref="B2:E2"/>
    <mergeCell ref="B3:E3"/>
    <mergeCell ref="E6:E7"/>
    <mergeCell ref="B6:B7"/>
  </mergeCells>
  <pageMargins left="0.7" right="0.7" top="0.75" bottom="0.75" header="0.3" footer="0.3"/>
  <pageSetup paperSize="8" scale="90" orientation="portrait" verticalDpi="1200" r:id="rId1"/>
  <rowBreaks count="1" manualBreakCount="1">
    <brk id="174" max="4"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5FA03-BDC3-45CC-A806-DF53540E588F}">
  <sheetPr codeName="Sheet45">
    <tabColor rgb="FF92D050"/>
  </sheetPr>
  <dimension ref="A1:IV1216"/>
  <sheetViews>
    <sheetView showGridLines="0" view="pageBreakPreview" zoomScale="115" zoomScaleNormal="100" zoomScaleSheetLayoutView="115" workbookViewId="0">
      <pane ySplit="809" topLeftCell="A1205" activePane="bottomLeft" state="frozen"/>
      <selection activeCell="B39" sqref="B39"/>
      <selection pane="bottomLeft" activeCell="B39" sqref="B39"/>
    </sheetView>
  </sheetViews>
  <sheetFormatPr defaultColWidth="9.140625" defaultRowHeight="12.75"/>
  <cols>
    <col min="1" max="1" width="10.5703125" style="344" customWidth="1"/>
    <col min="2" max="2" width="14.5703125" style="344" customWidth="1"/>
    <col min="3" max="3" width="9.140625" style="344"/>
    <col min="4" max="5" width="11.140625" style="344" customWidth="1"/>
    <col min="6" max="6" width="10.28515625" style="344" customWidth="1"/>
    <col min="7" max="7" width="12.85546875" style="367" customWidth="1"/>
    <col min="8" max="10" width="9.140625" style="344"/>
    <col min="11" max="11" width="9.140625" style="344" hidden="1" customWidth="1"/>
    <col min="12" max="12" width="13.28515625" style="344" customWidth="1"/>
    <col min="13" max="79" width="9.140625" style="344"/>
    <col min="80" max="80" width="0" style="344" hidden="1" customWidth="1"/>
    <col min="81" max="16384" width="9.140625" style="344"/>
  </cols>
  <sheetData>
    <row r="1" spans="1:82" ht="10.5" customHeight="1"/>
    <row r="2" spans="1:82" ht="15.75" customHeight="1">
      <c r="A2" s="2681" t="s">
        <v>2751</v>
      </c>
      <c r="B2" s="2681"/>
      <c r="C2" s="2681"/>
      <c r="D2" s="2681"/>
      <c r="E2" s="2681"/>
      <c r="F2" s="2681"/>
      <c r="G2" s="2681"/>
      <c r="H2" s="2681"/>
      <c r="I2" s="2681"/>
      <c r="J2" s="2681"/>
      <c r="K2" s="2681"/>
      <c r="L2" s="2681"/>
    </row>
    <row r="3" spans="1:82" ht="21" customHeight="1">
      <c r="A3" s="2682" t="s">
        <v>2406</v>
      </c>
      <c r="B3" s="2682"/>
      <c r="C3" s="2682"/>
      <c r="D3" s="2682"/>
      <c r="E3" s="2682"/>
      <c r="F3" s="2682"/>
      <c r="G3" s="2682"/>
      <c r="H3" s="2682"/>
      <c r="I3" s="2682"/>
      <c r="J3" s="2682"/>
      <c r="K3" s="2682"/>
      <c r="L3" s="2682"/>
    </row>
    <row r="4" spans="1:82" ht="10.5" customHeight="1">
      <c r="A4" s="1773"/>
      <c r="B4" s="1773"/>
      <c r="C4" s="1773"/>
      <c r="D4" s="1773"/>
      <c r="E4" s="1773"/>
      <c r="F4" s="1773"/>
      <c r="G4" s="1773"/>
      <c r="H4" s="1773"/>
      <c r="I4" s="1773"/>
      <c r="J4" s="1773"/>
      <c r="K4" s="1773"/>
      <c r="L4" s="1773"/>
    </row>
    <row r="5" spans="1:82" ht="10.5" customHeight="1">
      <c r="A5" s="524"/>
      <c r="B5" s="524"/>
      <c r="C5" s="524"/>
      <c r="D5" s="524"/>
      <c r="E5" s="524"/>
      <c r="F5" s="524"/>
      <c r="G5" s="524"/>
      <c r="H5" s="524"/>
      <c r="I5" s="524"/>
      <c r="J5" s="524"/>
      <c r="K5" s="524"/>
      <c r="L5" s="524"/>
    </row>
    <row r="6" spans="1:82" s="345" customFormat="1">
      <c r="A6" s="2680" t="s">
        <v>374</v>
      </c>
      <c r="B6" s="2680" t="s">
        <v>2407</v>
      </c>
      <c r="C6" s="2683" t="s">
        <v>375</v>
      </c>
      <c r="D6" s="2684" t="s">
        <v>376</v>
      </c>
      <c r="E6" s="2685" t="s">
        <v>377</v>
      </c>
      <c r="F6" s="2685"/>
      <c r="G6" s="2685"/>
      <c r="H6" s="2685" t="s">
        <v>378</v>
      </c>
      <c r="I6" s="2685"/>
      <c r="J6" s="2685"/>
      <c r="K6" s="2680" t="s">
        <v>3324</v>
      </c>
      <c r="L6" s="2680" t="s">
        <v>379</v>
      </c>
    </row>
    <row r="7" spans="1:82" s="345" customFormat="1" ht="12.75" customHeight="1">
      <c r="A7" s="2680"/>
      <c r="B7" s="2680"/>
      <c r="C7" s="2683"/>
      <c r="D7" s="2684"/>
      <c r="E7" s="2680" t="s">
        <v>380</v>
      </c>
      <c r="F7" s="2686" t="s">
        <v>381</v>
      </c>
      <c r="G7" s="2689" t="s">
        <v>2565</v>
      </c>
      <c r="H7" s="2680" t="s">
        <v>382</v>
      </c>
      <c r="I7" s="2680" t="s">
        <v>3325</v>
      </c>
      <c r="J7" s="2680" t="s">
        <v>384</v>
      </c>
      <c r="K7" s="2680"/>
      <c r="L7" s="2680"/>
    </row>
    <row r="8" spans="1:82" s="345" customFormat="1">
      <c r="A8" s="2680"/>
      <c r="B8" s="2680"/>
      <c r="C8" s="2683"/>
      <c r="D8" s="2684"/>
      <c r="E8" s="2680"/>
      <c r="F8" s="2687"/>
      <c r="G8" s="2689"/>
      <c r="H8" s="2680"/>
      <c r="I8" s="2680"/>
      <c r="J8" s="2680"/>
      <c r="K8" s="2680"/>
      <c r="L8" s="2680"/>
      <c r="CC8" s="346" t="s">
        <v>2062</v>
      </c>
      <c r="CD8" s="347" t="s">
        <v>2063</v>
      </c>
    </row>
    <row r="9" spans="1:82" s="345" customFormat="1" ht="29.25" customHeight="1">
      <c r="A9" s="2680"/>
      <c r="B9" s="2680"/>
      <c r="C9" s="2683"/>
      <c r="D9" s="2684"/>
      <c r="E9" s="2680"/>
      <c r="F9" s="2688"/>
      <c r="G9" s="2689"/>
      <c r="H9" s="2680"/>
      <c r="I9" s="2680"/>
      <c r="J9" s="2680"/>
      <c r="K9" s="2680"/>
      <c r="L9" s="2680"/>
      <c r="BY9" s="345">
        <f>BY10+BY22+BY32+BY40</f>
        <v>0</v>
      </c>
      <c r="CC9" s="345">
        <f>CC10+CC22+CC32+CC40</f>
        <v>622</v>
      </c>
      <c r="CD9" s="348">
        <f>BY9+BZ9+CA9+CC9</f>
        <v>622</v>
      </c>
    </row>
    <row r="10" spans="1:82">
      <c r="A10" s="2672" t="s">
        <v>385</v>
      </c>
      <c r="B10" s="2674" t="s">
        <v>3326</v>
      </c>
      <c r="C10" s="2676" t="s">
        <v>386</v>
      </c>
      <c r="D10" s="2678" t="s">
        <v>387</v>
      </c>
      <c r="E10" s="1276" t="s">
        <v>388</v>
      </c>
      <c r="F10" s="1277" t="s">
        <v>3327</v>
      </c>
      <c r="G10" s="1278"/>
      <c r="H10" s="1276"/>
      <c r="I10" s="1277" t="s">
        <v>389</v>
      </c>
      <c r="J10" s="1279"/>
      <c r="K10" s="2674" t="s">
        <v>3328</v>
      </c>
      <c r="L10" s="2674" t="s">
        <v>390</v>
      </c>
      <c r="CC10" s="344">
        <f>CC12+CC17</f>
        <v>1713</v>
      </c>
      <c r="CD10" s="349">
        <f>BY10+BZ10+CA10+CC10</f>
        <v>1713</v>
      </c>
    </row>
    <row r="11" spans="1:82" ht="38.25">
      <c r="A11" s="2673"/>
      <c r="B11" s="2675"/>
      <c r="C11" s="2677"/>
      <c r="D11" s="2679"/>
      <c r="E11" s="1280" t="s">
        <v>1783</v>
      </c>
      <c r="F11" s="1280" t="s">
        <v>391</v>
      </c>
      <c r="G11" s="1281" t="s">
        <v>1784</v>
      </c>
      <c r="H11" s="1282" t="s">
        <v>382</v>
      </c>
      <c r="I11" s="1280" t="s">
        <v>4002</v>
      </c>
      <c r="J11" s="1280" t="s">
        <v>393</v>
      </c>
      <c r="K11" s="2675"/>
      <c r="L11" s="2675"/>
      <c r="CD11" s="349"/>
    </row>
    <row r="12" spans="1:82" hidden="1">
      <c r="A12" s="350">
        <v>38730</v>
      </c>
      <c r="B12" s="351" t="s">
        <v>394</v>
      </c>
      <c r="C12" s="352">
        <v>91</v>
      </c>
      <c r="D12" s="350">
        <v>38821</v>
      </c>
      <c r="E12" s="353">
        <v>3</v>
      </c>
      <c r="F12" s="351">
        <v>4.67</v>
      </c>
      <c r="G12" s="354">
        <v>3</v>
      </c>
      <c r="H12" s="355">
        <v>0.124</v>
      </c>
      <c r="I12" s="355">
        <v>0.1244</v>
      </c>
      <c r="J12" s="355">
        <v>0.1244</v>
      </c>
      <c r="K12" s="351"/>
      <c r="L12" s="352">
        <v>4</v>
      </c>
      <c r="CC12" s="344">
        <f>CC14+CC15</f>
        <v>4361</v>
      </c>
      <c r="CD12" s="349">
        <f>BY12+BZ12+CA12+CC12</f>
        <v>4361</v>
      </c>
    </row>
    <row r="13" spans="1:82" hidden="1">
      <c r="A13" s="350">
        <v>38733</v>
      </c>
      <c r="B13" s="351" t="s">
        <v>395</v>
      </c>
      <c r="C13" s="352">
        <v>91</v>
      </c>
      <c r="D13" s="350">
        <v>38824</v>
      </c>
      <c r="E13" s="353">
        <v>5</v>
      </c>
      <c r="F13" s="351">
        <v>6.96</v>
      </c>
      <c r="G13" s="354">
        <v>5</v>
      </c>
      <c r="H13" s="355">
        <v>0.1227</v>
      </c>
      <c r="I13" s="355">
        <v>0.1249</v>
      </c>
      <c r="J13" s="355">
        <v>0.124</v>
      </c>
      <c r="K13" s="351"/>
      <c r="L13" s="352">
        <v>6</v>
      </c>
      <c r="CD13" s="349"/>
    </row>
    <row r="14" spans="1:82" hidden="1">
      <c r="A14" s="350">
        <v>38740</v>
      </c>
      <c r="B14" s="351" t="s">
        <v>396</v>
      </c>
      <c r="C14" s="352">
        <v>91</v>
      </c>
      <c r="D14" s="350">
        <v>38831</v>
      </c>
      <c r="E14" s="353">
        <v>2</v>
      </c>
      <c r="F14" s="351">
        <v>3.3</v>
      </c>
      <c r="G14" s="354">
        <v>2</v>
      </c>
      <c r="H14" s="355">
        <v>0.11550000000000001</v>
      </c>
      <c r="I14" s="355">
        <v>0.1193</v>
      </c>
      <c r="J14" s="355">
        <v>0.1172</v>
      </c>
      <c r="K14" s="351"/>
      <c r="L14" s="352">
        <v>4</v>
      </c>
      <c r="CC14" s="344">
        <v>3917</v>
      </c>
      <c r="CD14" s="349">
        <f>BY14+BZ14+CA14+CC14</f>
        <v>3917</v>
      </c>
    </row>
    <row r="15" spans="1:82" hidden="1">
      <c r="A15" s="350">
        <v>38761</v>
      </c>
      <c r="B15" s="351" t="s">
        <v>397</v>
      </c>
      <c r="C15" s="352">
        <v>120</v>
      </c>
      <c r="D15" s="350">
        <v>38881</v>
      </c>
      <c r="E15" s="353">
        <v>2</v>
      </c>
      <c r="F15" s="351">
        <v>6.79</v>
      </c>
      <c r="G15" s="354">
        <v>1.95</v>
      </c>
      <c r="H15" s="355">
        <v>0.1002</v>
      </c>
      <c r="I15" s="355">
        <v>0.1002</v>
      </c>
      <c r="J15" s="355">
        <v>0.1002</v>
      </c>
      <c r="K15" s="351"/>
      <c r="L15" s="352">
        <v>7</v>
      </c>
      <c r="CC15" s="344">
        <v>444</v>
      </c>
      <c r="CD15" s="349">
        <f t="shared" ref="CD15:CD56" si="0">BY15+BZ15+CA15+CC15</f>
        <v>444</v>
      </c>
    </row>
    <row r="16" spans="1:82" hidden="1">
      <c r="A16" s="350">
        <v>38772</v>
      </c>
      <c r="B16" s="351" t="s">
        <v>398</v>
      </c>
      <c r="C16" s="352">
        <v>334</v>
      </c>
      <c r="D16" s="350">
        <v>39106</v>
      </c>
      <c r="E16" s="353">
        <v>6</v>
      </c>
      <c r="F16" s="351">
        <v>8.0500000000000007</v>
      </c>
      <c r="G16" s="354">
        <v>1.59</v>
      </c>
      <c r="H16" s="355">
        <v>0.09</v>
      </c>
      <c r="I16" s="355">
        <v>0.1</v>
      </c>
      <c r="J16" s="355">
        <v>9.7699999999999995E-2</v>
      </c>
      <c r="K16" s="351"/>
      <c r="L16" s="352">
        <v>7</v>
      </c>
      <c r="CD16" s="349"/>
    </row>
    <row r="17" spans="1:82" hidden="1">
      <c r="A17" s="350">
        <v>38791</v>
      </c>
      <c r="B17" s="351" t="s">
        <v>399</v>
      </c>
      <c r="C17" s="352">
        <v>91</v>
      </c>
      <c r="D17" s="350">
        <v>38882</v>
      </c>
      <c r="E17" s="353">
        <v>5</v>
      </c>
      <c r="F17" s="351">
        <v>15.32</v>
      </c>
      <c r="G17" s="354">
        <v>5</v>
      </c>
      <c r="H17" s="355">
        <v>5.5300000000000002E-2</v>
      </c>
      <c r="I17" s="355">
        <v>5.8999999999999997E-2</v>
      </c>
      <c r="J17" s="355">
        <v>5.6099999999999997E-2</v>
      </c>
      <c r="K17" s="351"/>
      <c r="L17" s="352">
        <v>10</v>
      </c>
      <c r="CC17" s="344">
        <f>CC19+CC20</f>
        <v>-2648</v>
      </c>
      <c r="CD17" s="349">
        <f t="shared" si="0"/>
        <v>-2648</v>
      </c>
    </row>
    <row r="18" spans="1:82" hidden="1">
      <c r="A18" s="350">
        <v>38821</v>
      </c>
      <c r="B18" s="351" t="s">
        <v>400</v>
      </c>
      <c r="C18" s="352">
        <v>91</v>
      </c>
      <c r="D18" s="350">
        <v>38912</v>
      </c>
      <c r="E18" s="353">
        <v>4</v>
      </c>
      <c r="F18" s="351">
        <v>5.04</v>
      </c>
      <c r="G18" s="354">
        <v>4</v>
      </c>
      <c r="H18" s="355">
        <v>4.99E-2</v>
      </c>
      <c r="I18" s="355">
        <v>5.9799999999999999E-2</v>
      </c>
      <c r="J18" s="355">
        <v>5.4100000000000002E-2</v>
      </c>
      <c r="K18" s="351"/>
      <c r="L18" s="352">
        <v>5</v>
      </c>
      <c r="CD18" s="349"/>
    </row>
    <row r="19" spans="1:82" hidden="1">
      <c r="A19" s="350">
        <v>38831</v>
      </c>
      <c r="B19" s="351" t="s">
        <v>401</v>
      </c>
      <c r="C19" s="352">
        <v>91</v>
      </c>
      <c r="D19" s="350">
        <v>38922</v>
      </c>
      <c r="E19" s="353">
        <v>3</v>
      </c>
      <c r="F19" s="351">
        <v>2.23</v>
      </c>
      <c r="G19" s="354">
        <v>2.23</v>
      </c>
      <c r="H19" s="355">
        <v>4.99E-2</v>
      </c>
      <c r="I19" s="355">
        <v>6.4799999999999996E-2</v>
      </c>
      <c r="J19" s="355">
        <v>5.3199999999999997E-2</v>
      </c>
      <c r="K19" s="351"/>
      <c r="L19" s="352">
        <v>4</v>
      </c>
      <c r="CC19" s="344">
        <v>-367</v>
      </c>
      <c r="CD19" s="349">
        <f t="shared" si="0"/>
        <v>-367</v>
      </c>
    </row>
    <row r="20" spans="1:82" hidden="1">
      <c r="A20" s="350">
        <v>38845</v>
      </c>
      <c r="B20" s="351" t="s">
        <v>402</v>
      </c>
      <c r="C20" s="352">
        <v>91</v>
      </c>
      <c r="D20" s="350">
        <v>38936</v>
      </c>
      <c r="E20" s="353">
        <v>5</v>
      </c>
      <c r="F20" s="351">
        <v>0.3</v>
      </c>
      <c r="G20" s="354">
        <v>0.3</v>
      </c>
      <c r="H20" s="355">
        <v>6.6900000000000001E-2</v>
      </c>
      <c r="I20" s="355">
        <v>7.0199999999999999E-2</v>
      </c>
      <c r="J20" s="355">
        <v>6.8500000000000005E-2</v>
      </c>
      <c r="K20" s="351"/>
      <c r="L20" s="352">
        <v>2</v>
      </c>
      <c r="CC20" s="344">
        <v>-2281</v>
      </c>
      <c r="CD20" s="349">
        <f t="shared" si="0"/>
        <v>-2281</v>
      </c>
    </row>
    <row r="21" spans="1:82" hidden="1">
      <c r="A21" s="350">
        <v>38852</v>
      </c>
      <c r="B21" s="351" t="s">
        <v>403</v>
      </c>
      <c r="C21" s="352">
        <v>182</v>
      </c>
      <c r="D21" s="350">
        <v>39034</v>
      </c>
      <c r="E21" s="353">
        <v>4</v>
      </c>
      <c r="F21" s="351">
        <v>0.52</v>
      </c>
      <c r="G21" s="354">
        <v>0.52</v>
      </c>
      <c r="H21" s="355">
        <v>7.0999999999999994E-2</v>
      </c>
      <c r="I21" s="355">
        <v>7.4899999999999994E-2</v>
      </c>
      <c r="J21" s="355">
        <v>7.2999999999999995E-2</v>
      </c>
      <c r="K21" s="351"/>
      <c r="L21" s="352">
        <v>2</v>
      </c>
      <c r="CD21" s="349"/>
    </row>
    <row r="22" spans="1:82" hidden="1">
      <c r="A22" s="350">
        <v>38859</v>
      </c>
      <c r="B22" s="351" t="s">
        <v>404</v>
      </c>
      <c r="C22" s="352">
        <v>364</v>
      </c>
      <c r="D22" s="350">
        <v>39223</v>
      </c>
      <c r="E22" s="353">
        <v>6</v>
      </c>
      <c r="F22" s="351">
        <v>0.33</v>
      </c>
      <c r="G22" s="354">
        <v>0.33</v>
      </c>
      <c r="H22" s="355">
        <v>8.5099999999999995E-2</v>
      </c>
      <c r="I22" s="355">
        <v>9.8000000000000004E-2</v>
      </c>
      <c r="J22" s="355">
        <v>9.6299999999999997E-2</v>
      </c>
      <c r="K22" s="351"/>
      <c r="L22" s="352">
        <v>2</v>
      </c>
      <c r="CC22" s="344">
        <f>CC24+CC25</f>
        <v>-797</v>
      </c>
      <c r="CD22" s="349">
        <f t="shared" si="0"/>
        <v>-797</v>
      </c>
    </row>
    <row r="23" spans="1:82" hidden="1">
      <c r="A23" s="350">
        <v>38859</v>
      </c>
      <c r="B23" s="356" t="s">
        <v>404</v>
      </c>
      <c r="C23" s="357">
        <v>364</v>
      </c>
      <c r="D23" s="356">
        <v>39223</v>
      </c>
      <c r="E23" s="353">
        <v>6</v>
      </c>
      <c r="F23" s="236">
        <v>4.91</v>
      </c>
      <c r="G23" s="358">
        <v>4.91</v>
      </c>
      <c r="H23" s="359">
        <v>8.48E-2</v>
      </c>
      <c r="I23" s="359">
        <v>9.8000000000000004E-2</v>
      </c>
      <c r="J23" s="359">
        <v>9.6299999999999997E-2</v>
      </c>
      <c r="K23" s="236"/>
      <c r="L23" s="357">
        <v>2</v>
      </c>
      <c r="CD23" s="349"/>
    </row>
    <row r="24" spans="1:82" hidden="1">
      <c r="A24" s="350">
        <v>38873</v>
      </c>
      <c r="B24" s="356" t="s">
        <v>2454</v>
      </c>
      <c r="C24" s="357">
        <v>91</v>
      </c>
      <c r="D24" s="356">
        <v>38964</v>
      </c>
      <c r="E24" s="353">
        <v>5</v>
      </c>
      <c r="F24" s="236">
        <v>2.1800000000000002</v>
      </c>
      <c r="G24" s="358">
        <v>2.1800000000000002</v>
      </c>
      <c r="H24" s="359">
        <v>9.2899999999999996E-2</v>
      </c>
      <c r="I24" s="359">
        <v>9.3200000000000005E-2</v>
      </c>
      <c r="J24" s="359">
        <v>8.9800000000000005E-2</v>
      </c>
      <c r="K24" s="236"/>
      <c r="L24" s="357">
        <v>2</v>
      </c>
      <c r="CC24" s="344">
        <v>-644</v>
      </c>
      <c r="CD24" s="349">
        <f t="shared" si="0"/>
        <v>-644</v>
      </c>
    </row>
    <row r="25" spans="1:82" hidden="1">
      <c r="A25" s="350">
        <v>38881</v>
      </c>
      <c r="B25" s="356" t="s">
        <v>2455</v>
      </c>
      <c r="C25" s="357">
        <v>90</v>
      </c>
      <c r="D25" s="356">
        <v>38971</v>
      </c>
      <c r="E25" s="353">
        <v>6</v>
      </c>
      <c r="F25" s="236">
        <v>5.08</v>
      </c>
      <c r="G25" s="358">
        <v>5.08</v>
      </c>
      <c r="H25" s="359">
        <v>0.1052</v>
      </c>
      <c r="I25" s="359">
        <v>0.1198</v>
      </c>
      <c r="J25" s="359">
        <v>9.8900000000000002E-2</v>
      </c>
      <c r="K25" s="236"/>
      <c r="L25" s="357">
        <v>3</v>
      </c>
      <c r="CC25" s="344">
        <v>-153</v>
      </c>
      <c r="CD25" s="349">
        <f t="shared" si="0"/>
        <v>-153</v>
      </c>
    </row>
    <row r="26" spans="1:82" hidden="1">
      <c r="A26" s="350">
        <v>38882</v>
      </c>
      <c r="B26" s="356" t="s">
        <v>2456</v>
      </c>
      <c r="C26" s="357">
        <v>362</v>
      </c>
      <c r="D26" s="356">
        <v>39244</v>
      </c>
      <c r="E26" s="353">
        <v>6</v>
      </c>
      <c r="F26" s="236">
        <v>2.36</v>
      </c>
      <c r="G26" s="358">
        <v>2.36</v>
      </c>
      <c r="H26" s="359">
        <v>0.11550000000000001</v>
      </c>
      <c r="I26" s="359">
        <v>0.14000000000000001</v>
      </c>
      <c r="J26" s="359">
        <v>0.1178</v>
      </c>
      <c r="K26" s="236"/>
      <c r="L26" s="357">
        <v>3</v>
      </c>
      <c r="CD26" s="349"/>
    </row>
    <row r="27" spans="1:82" hidden="1">
      <c r="A27" s="350">
        <v>38887</v>
      </c>
      <c r="B27" s="356" t="s">
        <v>2457</v>
      </c>
      <c r="C27" s="357">
        <v>91</v>
      </c>
      <c r="D27" s="356">
        <v>38978</v>
      </c>
      <c r="E27" s="353">
        <v>3</v>
      </c>
      <c r="F27" s="358">
        <v>1.6745999999999999</v>
      </c>
      <c r="G27" s="358">
        <v>1.45</v>
      </c>
      <c r="H27" s="359">
        <v>0.13489999999999999</v>
      </c>
      <c r="I27" s="359">
        <v>0.13</v>
      </c>
      <c r="J27" s="359">
        <v>0.12280000000000001</v>
      </c>
      <c r="K27" s="236"/>
      <c r="L27" s="357">
        <v>5</v>
      </c>
      <c r="CD27" s="349"/>
    </row>
    <row r="28" spans="1:82" hidden="1">
      <c r="A28" s="350">
        <v>38895</v>
      </c>
      <c r="B28" s="356" t="s">
        <v>2458</v>
      </c>
      <c r="C28" s="357">
        <v>181</v>
      </c>
      <c r="D28" s="356">
        <v>39076</v>
      </c>
      <c r="E28" s="353">
        <v>4</v>
      </c>
      <c r="F28" s="358" t="e">
        <v>#REF!</v>
      </c>
      <c r="G28" s="358">
        <v>1.4514</v>
      </c>
      <c r="H28" s="1283">
        <v>0.12620000000000001</v>
      </c>
      <c r="I28" s="359">
        <v>0.14000000000000001</v>
      </c>
      <c r="J28" s="359">
        <v>0.13900000000000001</v>
      </c>
      <c r="K28" s="236"/>
      <c r="L28" s="357">
        <v>4</v>
      </c>
      <c r="CD28" s="349"/>
    </row>
    <row r="29" spans="1:82" hidden="1">
      <c r="A29" s="350">
        <v>38901</v>
      </c>
      <c r="B29" s="356" t="s">
        <v>2459</v>
      </c>
      <c r="C29" s="357">
        <v>91</v>
      </c>
      <c r="D29" s="356">
        <v>38992</v>
      </c>
      <c r="E29" s="353">
        <v>3</v>
      </c>
      <c r="F29" s="358">
        <v>3.1741999999999999</v>
      </c>
      <c r="G29" s="358">
        <v>3</v>
      </c>
      <c r="H29" s="1283">
        <v>0.14000000000000001</v>
      </c>
      <c r="I29" s="359">
        <v>0.13900000000000001</v>
      </c>
      <c r="J29" s="359">
        <v>0.1356</v>
      </c>
      <c r="K29" s="236"/>
      <c r="L29" s="357">
        <v>4</v>
      </c>
      <c r="CC29" s="344">
        <v>-31</v>
      </c>
      <c r="CD29" s="349">
        <f t="shared" si="0"/>
        <v>-31</v>
      </c>
    </row>
    <row r="30" spans="1:82" hidden="1">
      <c r="A30" s="350">
        <v>38929</v>
      </c>
      <c r="B30" s="356" t="e">
        <v>#REF!</v>
      </c>
      <c r="C30" s="357">
        <v>364</v>
      </c>
      <c r="D30" s="356">
        <v>39293</v>
      </c>
      <c r="E30" s="353">
        <v>6</v>
      </c>
      <c r="F30" s="358">
        <v>1.8084</v>
      </c>
      <c r="G30" s="358" t="e">
        <v>#REF!</v>
      </c>
      <c r="H30" s="1283">
        <v>0.105</v>
      </c>
      <c r="I30" s="359" t="e">
        <v>#REF!</v>
      </c>
      <c r="J30" s="359" t="e">
        <v>#REF!</v>
      </c>
      <c r="K30" s="236"/>
      <c r="L30" s="357" t="e">
        <v>#REF!</v>
      </c>
      <c r="CC30" s="344">
        <v>-440</v>
      </c>
      <c r="CD30" s="349">
        <f t="shared" si="0"/>
        <v>-440</v>
      </c>
    </row>
    <row r="31" spans="1:82" hidden="1">
      <c r="A31" s="350">
        <v>38936</v>
      </c>
      <c r="B31" s="356" t="s">
        <v>2460</v>
      </c>
      <c r="C31" s="357">
        <v>91</v>
      </c>
      <c r="D31" s="356">
        <v>39027</v>
      </c>
      <c r="E31" s="353">
        <v>6</v>
      </c>
      <c r="F31" s="358">
        <v>3.331</v>
      </c>
      <c r="G31" s="358">
        <v>0.49480000000000002</v>
      </c>
      <c r="H31" s="1283">
        <v>8.9599999999999999E-2</v>
      </c>
      <c r="I31" s="359">
        <v>0.1399</v>
      </c>
      <c r="J31" s="359">
        <v>0.105</v>
      </c>
      <c r="K31" s="236"/>
      <c r="L31" s="357">
        <v>3</v>
      </c>
      <c r="CD31" s="349"/>
    </row>
    <row r="32" spans="1:82" hidden="1">
      <c r="A32" s="350">
        <v>38944</v>
      </c>
      <c r="B32" s="356" t="s">
        <v>2461</v>
      </c>
      <c r="C32" s="357">
        <v>98</v>
      </c>
      <c r="D32" s="356">
        <v>39042</v>
      </c>
      <c r="E32" s="353">
        <v>3</v>
      </c>
      <c r="F32" s="358">
        <v>2.3717999999999999</v>
      </c>
      <c r="G32" s="358">
        <v>1.9328000000000001</v>
      </c>
      <c r="H32" s="1283">
        <v>0.12509999999999999</v>
      </c>
      <c r="I32" s="359">
        <v>0.12990000000000002</v>
      </c>
      <c r="J32" s="359">
        <v>0.10059999999999999</v>
      </c>
      <c r="K32" s="236"/>
      <c r="L32" s="357">
        <v>4</v>
      </c>
      <c r="CC32" s="344">
        <f>CC34+CC35</f>
        <v>-498</v>
      </c>
      <c r="CD32" s="349">
        <f>BY32+BZ32+CA32+CC32</f>
        <v>-498</v>
      </c>
    </row>
    <row r="33" spans="1:82" hidden="1">
      <c r="A33" s="356">
        <v>38951</v>
      </c>
      <c r="B33" s="356" t="s">
        <v>2462</v>
      </c>
      <c r="C33" s="357">
        <v>182</v>
      </c>
      <c r="D33" s="356">
        <v>39133</v>
      </c>
      <c r="E33" s="353">
        <v>6</v>
      </c>
      <c r="F33" s="358">
        <v>0.53059999999999996</v>
      </c>
      <c r="G33" s="358">
        <v>0.53059999999999996</v>
      </c>
      <c r="H33" s="1283">
        <v>0.12509999999999999</v>
      </c>
      <c r="I33" s="359">
        <v>0.12509999999999999</v>
      </c>
      <c r="J33" s="359">
        <v>0.12509999999999999</v>
      </c>
      <c r="K33" s="236"/>
      <c r="L33" s="357">
        <v>1</v>
      </c>
      <c r="CD33" s="349"/>
    </row>
    <row r="34" spans="1:82" hidden="1">
      <c r="A34" s="356">
        <v>38958</v>
      </c>
      <c r="B34" s="356" t="s">
        <v>2463</v>
      </c>
      <c r="C34" s="357">
        <v>364</v>
      </c>
      <c r="D34" s="356">
        <v>39322</v>
      </c>
      <c r="E34" s="353">
        <v>6</v>
      </c>
      <c r="F34" s="358">
        <v>0.6966</v>
      </c>
      <c r="G34" s="358">
        <v>0.6966</v>
      </c>
      <c r="H34" s="359">
        <v>0.1193</v>
      </c>
      <c r="I34" s="359">
        <v>0.12970000000000001</v>
      </c>
      <c r="J34" s="359">
        <v>0.12620000000000001</v>
      </c>
      <c r="K34" s="236"/>
      <c r="L34" s="357">
        <v>2</v>
      </c>
      <c r="CC34" s="344">
        <v>-521</v>
      </c>
      <c r="CD34" s="349">
        <f>BY34+BZ34+CA34+CC34</f>
        <v>-521</v>
      </c>
    </row>
    <row r="35" spans="1:82" hidden="1">
      <c r="A35" s="356">
        <v>38964</v>
      </c>
      <c r="B35" s="356" t="s">
        <v>2464</v>
      </c>
      <c r="C35" s="357">
        <v>92</v>
      </c>
      <c r="D35" s="356">
        <v>39056</v>
      </c>
      <c r="E35" s="353">
        <v>6</v>
      </c>
      <c r="F35" s="358">
        <v>9.0594999999999999</v>
      </c>
      <c r="G35" s="358">
        <v>6</v>
      </c>
      <c r="H35" s="359">
        <v>0.11890000000000001</v>
      </c>
      <c r="I35" s="359">
        <v>0.12990000000000002</v>
      </c>
      <c r="J35" s="359">
        <v>0.1198</v>
      </c>
      <c r="K35" s="236"/>
      <c r="L35" s="357">
        <v>5</v>
      </c>
      <c r="CC35" s="344">
        <v>23</v>
      </c>
      <c r="CD35" s="349">
        <f>BY35+BZ35+CA35+CC35</f>
        <v>23</v>
      </c>
    </row>
    <row r="36" spans="1:82" hidden="1">
      <c r="A36" s="356">
        <v>38971</v>
      </c>
      <c r="B36" s="356" t="s">
        <v>2465</v>
      </c>
      <c r="C36" s="357">
        <v>92</v>
      </c>
      <c r="D36" s="356">
        <v>39063</v>
      </c>
      <c r="E36" s="353">
        <v>5</v>
      </c>
      <c r="F36" s="358">
        <v>2.2544</v>
      </c>
      <c r="G36" s="358">
        <v>1.5938000000000001</v>
      </c>
      <c r="H36" s="359">
        <v>0.1237</v>
      </c>
      <c r="I36" s="359">
        <v>0.1198</v>
      </c>
      <c r="J36" s="359">
        <v>0.11890000000000001</v>
      </c>
      <c r="K36" s="236"/>
      <c r="L36" s="357">
        <v>6</v>
      </c>
      <c r="CD36" s="349"/>
    </row>
    <row r="37" spans="1:82" hidden="1">
      <c r="A37" s="356">
        <v>38978</v>
      </c>
      <c r="B37" s="356" t="s">
        <v>2466</v>
      </c>
      <c r="C37" s="357">
        <v>182</v>
      </c>
      <c r="D37" s="356">
        <v>39160</v>
      </c>
      <c r="E37" s="360">
        <v>6</v>
      </c>
      <c r="F37" s="358">
        <v>2.5863999999999998</v>
      </c>
      <c r="G37" s="358">
        <v>2.5863999999999998</v>
      </c>
      <c r="H37" s="359">
        <v>0.1249</v>
      </c>
      <c r="I37" s="359">
        <v>0.13009999999999999</v>
      </c>
      <c r="J37" s="359">
        <v>0.1237</v>
      </c>
      <c r="K37" s="236"/>
      <c r="L37" s="357">
        <v>4</v>
      </c>
      <c r="CC37" s="344">
        <v>433</v>
      </c>
      <c r="CD37" s="349">
        <f t="shared" si="0"/>
        <v>433</v>
      </c>
    </row>
    <row r="38" spans="1:82" hidden="1">
      <c r="A38" s="356">
        <v>38986</v>
      </c>
      <c r="B38" s="356" t="s">
        <v>2467</v>
      </c>
      <c r="C38" s="357">
        <v>364</v>
      </c>
      <c r="D38" s="356">
        <v>39350</v>
      </c>
      <c r="E38" s="360">
        <v>5</v>
      </c>
      <c r="F38" s="358">
        <v>0.89439999999999997</v>
      </c>
      <c r="G38" s="358">
        <v>0.3352</v>
      </c>
      <c r="H38" s="359">
        <v>0.1242</v>
      </c>
      <c r="I38" s="359">
        <v>0.1249</v>
      </c>
      <c r="J38" s="359">
        <v>0.1249</v>
      </c>
      <c r="K38" s="236"/>
      <c r="L38" s="357">
        <v>2</v>
      </c>
      <c r="CC38" s="344">
        <v>-931</v>
      </c>
      <c r="CD38" s="349">
        <f t="shared" si="0"/>
        <v>-931</v>
      </c>
    </row>
    <row r="39" spans="1:82" hidden="1">
      <c r="A39" s="356">
        <v>38992</v>
      </c>
      <c r="B39" s="356" t="s">
        <v>2468</v>
      </c>
      <c r="C39" s="357">
        <v>94</v>
      </c>
      <c r="D39" s="356">
        <v>39086</v>
      </c>
      <c r="E39" s="360">
        <v>4</v>
      </c>
      <c r="F39" s="358">
        <v>2.81</v>
      </c>
      <c r="G39" s="358">
        <v>2.81</v>
      </c>
      <c r="H39" s="359">
        <v>0.13</v>
      </c>
      <c r="I39" s="359">
        <v>0.13</v>
      </c>
      <c r="J39" s="359">
        <v>0.1242</v>
      </c>
      <c r="K39" s="236"/>
      <c r="L39" s="357">
        <v>4</v>
      </c>
      <c r="CD39" s="349"/>
    </row>
    <row r="40" spans="1:82" hidden="1">
      <c r="A40" s="356">
        <v>39000</v>
      </c>
      <c r="B40" s="356" t="s">
        <v>2469</v>
      </c>
      <c r="C40" s="357">
        <v>91</v>
      </c>
      <c r="D40" s="356">
        <v>39091</v>
      </c>
      <c r="E40" s="360">
        <v>5</v>
      </c>
      <c r="F40" s="358">
        <v>0.15440000000000001</v>
      </c>
      <c r="G40" s="358">
        <v>0.15440000000000001</v>
      </c>
      <c r="H40" s="359">
        <v>0.1227</v>
      </c>
      <c r="I40" s="359">
        <v>0.13</v>
      </c>
      <c r="J40" s="359">
        <v>0.13</v>
      </c>
      <c r="K40" s="236"/>
      <c r="L40" s="357">
        <v>2</v>
      </c>
      <c r="CC40" s="344">
        <v>204</v>
      </c>
      <c r="CD40" s="349">
        <f t="shared" si="0"/>
        <v>204</v>
      </c>
    </row>
    <row r="41" spans="1:82" hidden="1">
      <c r="A41" s="356">
        <v>39006</v>
      </c>
      <c r="B41" s="356" t="s">
        <v>2470</v>
      </c>
      <c r="C41" s="357">
        <v>92</v>
      </c>
      <c r="D41" s="356">
        <v>39098</v>
      </c>
      <c r="E41" s="360">
        <v>5</v>
      </c>
      <c r="F41" s="358">
        <v>3.6562000000000001</v>
      </c>
      <c r="G41" s="358">
        <v>2.75</v>
      </c>
      <c r="H41" s="359">
        <v>0.12989999999999999</v>
      </c>
      <c r="I41" s="359">
        <v>0.12990000000000002</v>
      </c>
      <c r="J41" s="359">
        <v>0.1227</v>
      </c>
      <c r="K41" s="236"/>
      <c r="L41" s="357">
        <v>5</v>
      </c>
      <c r="CC41" s="344">
        <v>200</v>
      </c>
      <c r="CD41" s="349">
        <f t="shared" si="0"/>
        <v>200</v>
      </c>
    </row>
    <row r="42" spans="1:82" hidden="1">
      <c r="A42" s="356">
        <v>39016</v>
      </c>
      <c r="B42" s="356" t="s">
        <v>2471</v>
      </c>
      <c r="C42" s="357">
        <v>180</v>
      </c>
      <c r="D42" s="356">
        <v>39196</v>
      </c>
      <c r="E42" s="360">
        <v>6</v>
      </c>
      <c r="F42" s="358">
        <v>4.0628000000000002</v>
      </c>
      <c r="G42" s="358">
        <v>3.5228000000000002</v>
      </c>
      <c r="H42" s="359">
        <v>0.12909999999999999</v>
      </c>
      <c r="I42" s="359">
        <v>0.12990000000000002</v>
      </c>
      <c r="J42" s="359">
        <v>0.12989999999999999</v>
      </c>
      <c r="K42" s="236"/>
      <c r="L42" s="357">
        <v>4</v>
      </c>
      <c r="CD42" s="349"/>
    </row>
    <row r="43" spans="1:82" hidden="1">
      <c r="A43" s="356">
        <v>39021</v>
      </c>
      <c r="B43" s="356" t="s">
        <v>2472</v>
      </c>
      <c r="C43" s="357">
        <v>364</v>
      </c>
      <c r="D43" s="356">
        <v>39385</v>
      </c>
      <c r="E43" s="360">
        <v>6</v>
      </c>
      <c r="F43" s="358">
        <v>2.2728000000000002</v>
      </c>
      <c r="G43" s="358">
        <v>2.2728000000000002</v>
      </c>
      <c r="H43" s="359">
        <v>9.9599999999999994E-2</v>
      </c>
      <c r="I43" s="359">
        <v>0.12990000000000002</v>
      </c>
      <c r="J43" s="359">
        <v>0.12909999999999999</v>
      </c>
      <c r="K43" s="236"/>
      <c r="L43" s="357">
        <v>2</v>
      </c>
      <c r="CC43" s="344">
        <v>295</v>
      </c>
      <c r="CD43" s="349">
        <f t="shared" si="0"/>
        <v>295</v>
      </c>
    </row>
    <row r="44" spans="1:82" hidden="1">
      <c r="A44" s="356">
        <v>39027</v>
      </c>
      <c r="B44" s="356" t="s">
        <v>2473</v>
      </c>
      <c r="C44" s="357">
        <v>92</v>
      </c>
      <c r="D44" s="356">
        <v>39119</v>
      </c>
      <c r="E44" s="360">
        <v>6</v>
      </c>
      <c r="F44" s="358">
        <v>7.1470000000000002</v>
      </c>
      <c r="G44" s="358">
        <v>6</v>
      </c>
      <c r="H44" s="359">
        <v>9.4799999999999995E-2</v>
      </c>
      <c r="I44" s="359">
        <v>9.9600000000000008E-2</v>
      </c>
      <c r="J44" s="359">
        <v>9.9599999999999994E-2</v>
      </c>
      <c r="K44" s="236"/>
      <c r="L44" s="357">
        <v>5</v>
      </c>
      <c r="CC44" s="344">
        <v>-95</v>
      </c>
      <c r="CD44" s="349">
        <f t="shared" si="0"/>
        <v>-95</v>
      </c>
    </row>
    <row r="45" spans="1:82" hidden="1">
      <c r="A45" s="356">
        <v>39035</v>
      </c>
      <c r="B45" s="356" t="s">
        <v>2474</v>
      </c>
      <c r="C45" s="357">
        <v>91</v>
      </c>
      <c r="D45" s="356">
        <v>39126</v>
      </c>
      <c r="E45" s="360">
        <v>6</v>
      </c>
      <c r="F45" s="358">
        <v>9.6999999999999993</v>
      </c>
      <c r="G45" s="358">
        <v>6</v>
      </c>
      <c r="H45" s="359">
        <v>9.5799999999999996E-2</v>
      </c>
      <c r="I45" s="359">
        <v>9.4800000000000009E-2</v>
      </c>
      <c r="J45" s="359">
        <v>9.4600000000000004E-2</v>
      </c>
      <c r="K45" s="236"/>
      <c r="L45" s="357">
        <v>6</v>
      </c>
      <c r="CD45" s="349"/>
    </row>
    <row r="46" spans="1:82" hidden="1">
      <c r="A46" s="356">
        <v>39042</v>
      </c>
      <c r="B46" s="356" t="s">
        <v>2475</v>
      </c>
      <c r="C46" s="357">
        <v>175</v>
      </c>
      <c r="D46" s="356">
        <v>39217</v>
      </c>
      <c r="E46" s="360">
        <v>5</v>
      </c>
      <c r="F46" s="358">
        <v>8.9810000000000016</v>
      </c>
      <c r="G46" s="358">
        <v>5</v>
      </c>
      <c r="H46" s="359">
        <v>9.6000000000000002E-2</v>
      </c>
      <c r="I46" s="359">
        <v>9.69E-2</v>
      </c>
      <c r="J46" s="359">
        <v>9.5799999999999996E-2</v>
      </c>
      <c r="K46" s="236"/>
      <c r="L46" s="357">
        <v>4</v>
      </c>
      <c r="CC46" s="344">
        <v>0</v>
      </c>
      <c r="CD46" s="349">
        <f t="shared" si="0"/>
        <v>0</v>
      </c>
    </row>
    <row r="47" spans="1:82" hidden="1">
      <c r="A47" s="356">
        <v>39049</v>
      </c>
      <c r="B47" s="356" t="s">
        <v>2476</v>
      </c>
      <c r="C47" s="357">
        <v>364</v>
      </c>
      <c r="D47" s="356">
        <v>39413</v>
      </c>
      <c r="E47" s="360">
        <v>6</v>
      </c>
      <c r="F47" s="358">
        <v>5.7102000000000004</v>
      </c>
      <c r="G47" s="358">
        <v>2.5943999999999998</v>
      </c>
      <c r="H47" s="359">
        <v>9.9099999999999994E-2</v>
      </c>
      <c r="I47" s="359">
        <v>0.1</v>
      </c>
      <c r="J47" s="359">
        <v>9.6000000000000002E-2</v>
      </c>
      <c r="K47" s="236"/>
      <c r="L47" s="357">
        <v>5</v>
      </c>
      <c r="CD47" s="349"/>
    </row>
    <row r="48" spans="1:82" hidden="1">
      <c r="A48" s="356">
        <v>39056</v>
      </c>
      <c r="B48" s="356" t="s">
        <v>2477</v>
      </c>
      <c r="C48" s="357">
        <v>91</v>
      </c>
      <c r="D48" s="356">
        <v>39147</v>
      </c>
      <c r="E48" s="360">
        <v>7</v>
      </c>
      <c r="F48" s="358">
        <v>5.6942000000000004</v>
      </c>
      <c r="G48" s="358">
        <v>5.6942000000000004</v>
      </c>
      <c r="H48" s="1284">
        <v>0.10829999999999999</v>
      </c>
      <c r="I48" s="359">
        <v>0.105</v>
      </c>
      <c r="J48" s="359">
        <v>0.1003</v>
      </c>
      <c r="K48" s="236"/>
      <c r="L48" s="357">
        <v>4</v>
      </c>
      <c r="CC48" s="344">
        <f>CC49-CC53</f>
        <v>481</v>
      </c>
      <c r="CD48" s="349">
        <f t="shared" si="0"/>
        <v>481</v>
      </c>
    </row>
    <row r="49" spans="1:82" hidden="1">
      <c r="A49" s="356">
        <v>39063</v>
      </c>
      <c r="B49" s="356" t="s">
        <v>2478</v>
      </c>
      <c r="C49" s="357">
        <v>91</v>
      </c>
      <c r="D49" s="356">
        <v>39154</v>
      </c>
      <c r="E49" s="360">
        <v>6</v>
      </c>
      <c r="F49" s="358">
        <v>6</v>
      </c>
      <c r="G49" s="358">
        <v>6</v>
      </c>
      <c r="H49" s="1284">
        <v>0.11</v>
      </c>
      <c r="I49" s="359">
        <v>0.11</v>
      </c>
      <c r="J49" s="359">
        <v>0.10920000000000001</v>
      </c>
      <c r="K49" s="236"/>
      <c r="L49" s="357">
        <v>2</v>
      </c>
      <c r="CC49" s="344">
        <f>CC51+CC52</f>
        <v>965</v>
      </c>
      <c r="CD49" s="349">
        <f t="shared" si="0"/>
        <v>965</v>
      </c>
    </row>
    <row r="50" spans="1:82" hidden="1">
      <c r="A50" s="356">
        <v>39070</v>
      </c>
      <c r="B50" s="356" t="s">
        <v>2479</v>
      </c>
      <c r="C50" s="357">
        <v>182</v>
      </c>
      <c r="D50" s="356">
        <v>39252</v>
      </c>
      <c r="E50" s="360">
        <v>2</v>
      </c>
      <c r="F50" s="358">
        <v>0.158</v>
      </c>
      <c r="G50" s="358">
        <v>0.105</v>
      </c>
      <c r="H50" s="1284">
        <v>9.9099999999999994E-2</v>
      </c>
      <c r="I50" s="359">
        <v>0.11</v>
      </c>
      <c r="J50" s="359">
        <v>0.11</v>
      </c>
      <c r="K50" s="236"/>
      <c r="L50" s="357">
        <v>3</v>
      </c>
      <c r="CD50" s="349"/>
    </row>
    <row r="51" spans="1:82" hidden="1">
      <c r="A51" s="356">
        <v>39073</v>
      </c>
      <c r="B51" s="356" t="s">
        <v>2480</v>
      </c>
      <c r="C51" s="357">
        <v>91</v>
      </c>
      <c r="D51" s="356">
        <v>39164</v>
      </c>
      <c r="E51" s="360">
        <v>5</v>
      </c>
      <c r="F51" s="358">
        <v>1.1994</v>
      </c>
      <c r="G51" s="358">
        <v>1.1994</v>
      </c>
      <c r="H51" s="1284">
        <v>0.1028</v>
      </c>
      <c r="I51" s="359">
        <v>9.9100000000000008E-2</v>
      </c>
      <c r="J51" s="359">
        <v>9.9099999999999994E-2</v>
      </c>
      <c r="K51" s="236"/>
      <c r="L51" s="357">
        <v>1</v>
      </c>
      <c r="CC51" s="344">
        <v>954</v>
      </c>
      <c r="CD51" s="349">
        <f t="shared" si="0"/>
        <v>954</v>
      </c>
    </row>
    <row r="52" spans="1:82" hidden="1">
      <c r="A52" s="356">
        <v>39076</v>
      </c>
      <c r="B52" s="356" t="s">
        <v>2481</v>
      </c>
      <c r="C52" s="357">
        <v>91</v>
      </c>
      <c r="D52" s="356">
        <v>39167</v>
      </c>
      <c r="E52" s="360">
        <v>6</v>
      </c>
      <c r="F52" s="358">
        <v>0.39119999999999999</v>
      </c>
      <c r="G52" s="358">
        <v>0.39119999999999999</v>
      </c>
      <c r="H52" s="1284">
        <v>0.1091</v>
      </c>
      <c r="I52" s="359">
        <v>0.11890000000000001</v>
      </c>
      <c r="J52" s="359">
        <v>0.1164</v>
      </c>
      <c r="K52" s="236"/>
      <c r="L52" s="357">
        <v>2</v>
      </c>
      <c r="CC52" s="344">
        <v>11</v>
      </c>
      <c r="CD52" s="349">
        <f t="shared" si="0"/>
        <v>11</v>
      </c>
    </row>
    <row r="53" spans="1:82" hidden="1">
      <c r="A53" s="356">
        <v>39079</v>
      </c>
      <c r="B53" s="356" t="s">
        <v>2482</v>
      </c>
      <c r="C53" s="357">
        <v>96</v>
      </c>
      <c r="D53" s="356">
        <v>39175</v>
      </c>
      <c r="E53" s="360">
        <v>4</v>
      </c>
      <c r="F53" s="358">
        <v>3.3719999999999999</v>
      </c>
      <c r="G53" s="358">
        <v>3.3719999999999999</v>
      </c>
      <c r="H53" s="1284">
        <v>0.11559999999999999</v>
      </c>
      <c r="I53" s="359">
        <v>0.11599999999999999</v>
      </c>
      <c r="J53" s="359">
        <v>0.114</v>
      </c>
      <c r="K53" s="236"/>
      <c r="L53" s="357">
        <v>2</v>
      </c>
      <c r="CC53" s="344">
        <f>CC55+CC56+CC57+CC58</f>
        <v>484</v>
      </c>
      <c r="CD53" s="349">
        <f t="shared" si="0"/>
        <v>484</v>
      </c>
    </row>
    <row r="54" spans="1:82" hidden="1">
      <c r="A54" s="1774"/>
      <c r="B54" s="1774"/>
      <c r="C54" s="1775"/>
      <c r="D54" s="1774"/>
      <c r="E54" s="1776"/>
      <c r="F54" s="1777"/>
      <c r="G54" s="1777"/>
      <c r="H54" s="1778"/>
      <c r="I54" s="1778"/>
      <c r="J54" s="1778"/>
      <c r="K54" s="1779"/>
      <c r="L54" s="1775"/>
      <c r="CD54" s="349"/>
    </row>
    <row r="55" spans="1:82" hidden="1">
      <c r="A55" s="1775">
        <v>2007</v>
      </c>
      <c r="B55" s="1774"/>
      <c r="C55" s="1775"/>
      <c r="D55" s="1774"/>
      <c r="E55" s="1776"/>
      <c r="F55" s="1777"/>
      <c r="G55" s="1777"/>
      <c r="H55" s="1778"/>
      <c r="I55" s="1778"/>
      <c r="J55" s="1778"/>
      <c r="K55" s="1779"/>
      <c r="L55" s="1775"/>
      <c r="CC55" s="344">
        <v>1214</v>
      </c>
      <c r="CD55" s="349">
        <f t="shared" si="0"/>
        <v>1214</v>
      </c>
    </row>
    <row r="56" spans="1:82" s="365" customFormat="1" hidden="1">
      <c r="A56" s="361">
        <v>39090</v>
      </c>
      <c r="B56" s="361" t="s">
        <v>405</v>
      </c>
      <c r="C56" s="362">
        <v>92</v>
      </c>
      <c r="D56" s="361">
        <v>39182</v>
      </c>
      <c r="E56" s="363">
        <v>5</v>
      </c>
      <c r="F56" s="364">
        <v>3.6008</v>
      </c>
      <c r="G56" s="364">
        <v>1.1601999999999999</v>
      </c>
      <c r="H56" s="364">
        <v>10.01</v>
      </c>
      <c r="I56" s="364">
        <v>10.01</v>
      </c>
      <c r="J56" s="364">
        <v>10.01</v>
      </c>
      <c r="K56" s="1780"/>
      <c r="L56" s="362">
        <v>4</v>
      </c>
      <c r="CC56" s="365">
        <v>-745</v>
      </c>
      <c r="CD56" s="349">
        <f t="shared" si="0"/>
        <v>-745</v>
      </c>
    </row>
    <row r="57" spans="1:82" hidden="1">
      <c r="A57" s="356">
        <v>39090</v>
      </c>
      <c r="B57" s="356" t="s">
        <v>405</v>
      </c>
      <c r="C57" s="357">
        <v>92</v>
      </c>
      <c r="D57" s="356">
        <v>39182</v>
      </c>
      <c r="E57" s="360">
        <v>5</v>
      </c>
      <c r="F57" s="358">
        <v>3.6008</v>
      </c>
      <c r="G57" s="358">
        <v>1.1601999999999999</v>
      </c>
      <c r="H57" s="358">
        <v>10.01</v>
      </c>
      <c r="I57" s="358">
        <v>10.01</v>
      </c>
      <c r="J57" s="358">
        <v>10.01</v>
      </c>
      <c r="K57" s="236"/>
      <c r="L57" s="357">
        <v>4</v>
      </c>
      <c r="CC57" s="344">
        <v>0</v>
      </c>
      <c r="CD57" s="349">
        <f>BY57+BZ57+CA57+CC57</f>
        <v>0</v>
      </c>
    </row>
    <row r="58" spans="1:82" s="365" customFormat="1" hidden="1">
      <c r="A58" s="361">
        <v>39119</v>
      </c>
      <c r="B58" s="361" t="s">
        <v>406</v>
      </c>
      <c r="C58" s="362">
        <v>91</v>
      </c>
      <c r="D58" s="361">
        <v>39210</v>
      </c>
      <c r="E58" s="363">
        <v>7</v>
      </c>
      <c r="F58" s="364">
        <v>6.9305000000000003</v>
      </c>
      <c r="G58" s="364">
        <v>7</v>
      </c>
      <c r="H58" s="364">
        <v>10.029999999999999</v>
      </c>
      <c r="I58" s="364">
        <v>10.029999999999999</v>
      </c>
      <c r="J58" s="364">
        <v>10.029999999999999</v>
      </c>
      <c r="K58" s="366"/>
      <c r="L58" s="362">
        <v>3</v>
      </c>
      <c r="CC58" s="365">
        <v>15</v>
      </c>
      <c r="CD58" s="349">
        <f>BY58+BZ58+CA58+CC58</f>
        <v>15</v>
      </c>
    </row>
    <row r="59" spans="1:82" hidden="1">
      <c r="A59" s="356">
        <v>39126</v>
      </c>
      <c r="B59" s="356" t="s">
        <v>407</v>
      </c>
      <c r="C59" s="357">
        <v>93</v>
      </c>
      <c r="D59" s="356">
        <v>39219</v>
      </c>
      <c r="E59" s="360">
        <v>7</v>
      </c>
      <c r="F59" s="358">
        <v>8.0876999999999999</v>
      </c>
      <c r="G59" s="358">
        <v>7</v>
      </c>
      <c r="H59" s="358">
        <v>9.9</v>
      </c>
      <c r="I59" s="358">
        <v>10.02</v>
      </c>
      <c r="J59" s="358">
        <v>9.94</v>
      </c>
      <c r="K59" s="236"/>
      <c r="L59" s="357">
        <v>3</v>
      </c>
      <c r="CC59" s="344">
        <v>-372</v>
      </c>
      <c r="CD59" s="349">
        <f>BY59+BZ59+CA59+CC59</f>
        <v>-372</v>
      </c>
    </row>
    <row r="60" spans="1:82" hidden="1">
      <c r="A60" s="356">
        <v>39133</v>
      </c>
      <c r="B60" s="356" t="s">
        <v>408</v>
      </c>
      <c r="C60" s="357">
        <v>182</v>
      </c>
      <c r="D60" s="356">
        <v>39315</v>
      </c>
      <c r="E60" s="360">
        <v>2</v>
      </c>
      <c r="F60" s="358">
        <v>1.8116000000000001</v>
      </c>
      <c r="G60" s="358">
        <v>1.8116000000000001</v>
      </c>
      <c r="H60" s="358">
        <v>10</v>
      </c>
      <c r="I60" s="358">
        <v>10.02</v>
      </c>
      <c r="J60" s="358">
        <v>10.02</v>
      </c>
      <c r="K60" s="236"/>
      <c r="L60" s="357">
        <v>2</v>
      </c>
      <c r="CC60" s="344">
        <v>-231</v>
      </c>
      <c r="CD60" s="349">
        <f>BY60+BZ60+CA60+CC60</f>
        <v>-231</v>
      </c>
    </row>
    <row r="61" spans="1:82" s="365" customFormat="1" hidden="1">
      <c r="A61" s="361">
        <v>39140</v>
      </c>
      <c r="B61" s="361" t="s">
        <v>409</v>
      </c>
      <c r="C61" s="362">
        <v>364</v>
      </c>
      <c r="D61" s="361">
        <v>39504</v>
      </c>
      <c r="E61" s="363">
        <v>2</v>
      </c>
      <c r="F61" s="364">
        <v>0.11119999999999999</v>
      </c>
      <c r="G61" s="364">
        <v>0</v>
      </c>
      <c r="H61" s="364">
        <v>10.029999999999999</v>
      </c>
      <c r="I61" s="364">
        <v>0</v>
      </c>
      <c r="J61" s="364">
        <v>0</v>
      </c>
      <c r="K61" s="366"/>
      <c r="L61" s="362">
        <v>0</v>
      </c>
      <c r="CD61" s="349"/>
    </row>
    <row r="62" spans="1:82" hidden="1">
      <c r="A62" s="356">
        <v>39147</v>
      </c>
      <c r="B62" s="356" t="s">
        <v>410</v>
      </c>
      <c r="C62" s="357">
        <v>91</v>
      </c>
      <c r="D62" s="356">
        <v>39238</v>
      </c>
      <c r="E62" s="360">
        <v>6</v>
      </c>
      <c r="F62" s="358">
        <v>7.0288000000000004</v>
      </c>
      <c r="G62" s="358">
        <v>6</v>
      </c>
      <c r="H62" s="358">
        <v>9.91</v>
      </c>
      <c r="I62" s="358">
        <v>9.99</v>
      </c>
      <c r="J62" s="358">
        <v>9.9500000000000011</v>
      </c>
      <c r="K62" s="236"/>
      <c r="L62" s="357">
        <v>5</v>
      </c>
      <c r="CC62" s="344">
        <f>CC9+CC46-CC48+CC59-CC60</f>
        <v>0</v>
      </c>
      <c r="CD62" s="349">
        <f>BY62+BZ62+CA62+CC62</f>
        <v>0</v>
      </c>
    </row>
    <row r="63" spans="1:82" s="365" customFormat="1" hidden="1">
      <c r="A63" s="361">
        <v>39154</v>
      </c>
      <c r="B63" s="361" t="s">
        <v>411</v>
      </c>
      <c r="C63" s="362">
        <v>182</v>
      </c>
      <c r="D63" s="361">
        <v>39336</v>
      </c>
      <c r="E63" s="363">
        <v>7</v>
      </c>
      <c r="F63" s="364">
        <v>0.65580000000000005</v>
      </c>
      <c r="G63" s="364">
        <v>0.65580000000000005</v>
      </c>
      <c r="H63" s="364">
        <v>9.9599999999999991</v>
      </c>
      <c r="I63" s="364">
        <v>9.9600000000000009</v>
      </c>
      <c r="J63" s="364">
        <v>9.9599999999999991</v>
      </c>
      <c r="K63" s="366"/>
      <c r="L63" s="362">
        <v>3</v>
      </c>
    </row>
    <row r="64" spans="1:82" hidden="1">
      <c r="A64" s="356">
        <v>39160</v>
      </c>
      <c r="B64" s="356" t="s">
        <v>412</v>
      </c>
      <c r="C64" s="357">
        <v>98</v>
      </c>
      <c r="D64" s="356">
        <v>39258</v>
      </c>
      <c r="E64" s="360">
        <v>3</v>
      </c>
      <c r="F64" s="358">
        <v>2.4967999999999999</v>
      </c>
      <c r="G64" s="358">
        <v>2.4967999999999999</v>
      </c>
      <c r="H64" s="358">
        <v>10.02</v>
      </c>
      <c r="I64" s="358">
        <v>10.49</v>
      </c>
      <c r="J64" s="358">
        <v>10.41</v>
      </c>
      <c r="K64" s="236"/>
      <c r="L64" s="357">
        <v>3</v>
      </c>
    </row>
    <row r="65" spans="1:12" hidden="1">
      <c r="A65" s="356">
        <v>39168</v>
      </c>
      <c r="B65" s="356">
        <v>0</v>
      </c>
      <c r="C65" s="357">
        <v>157</v>
      </c>
      <c r="D65" s="356">
        <v>39325</v>
      </c>
      <c r="E65" s="360">
        <v>3</v>
      </c>
      <c r="F65" s="358">
        <v>0</v>
      </c>
      <c r="G65" s="358">
        <v>0</v>
      </c>
      <c r="H65" s="358">
        <v>9.9</v>
      </c>
      <c r="I65" s="358">
        <v>0</v>
      </c>
      <c r="J65" s="358">
        <v>0</v>
      </c>
      <c r="K65" s="236"/>
      <c r="L65" s="357">
        <v>0</v>
      </c>
    </row>
    <row r="66" spans="1:12" s="365" customFormat="1" hidden="1">
      <c r="A66" s="361">
        <v>39175</v>
      </c>
      <c r="B66" s="361" t="s">
        <v>413</v>
      </c>
      <c r="C66" s="362">
        <v>91</v>
      </c>
      <c r="D66" s="361">
        <v>39266</v>
      </c>
      <c r="E66" s="363">
        <v>4</v>
      </c>
      <c r="F66" s="364">
        <v>3.4529999999999998</v>
      </c>
      <c r="G66" s="364">
        <v>3.4529999999999998</v>
      </c>
      <c r="H66" s="364">
        <v>10.199999999999999</v>
      </c>
      <c r="I66" s="364">
        <v>10.5</v>
      </c>
      <c r="J66" s="364">
        <v>10.280000000000001</v>
      </c>
      <c r="K66" s="366"/>
      <c r="L66" s="362">
        <v>2</v>
      </c>
    </row>
    <row r="67" spans="1:12" hidden="1">
      <c r="A67" s="356">
        <v>39182</v>
      </c>
      <c r="B67" s="356" t="s">
        <v>414</v>
      </c>
      <c r="C67" s="357">
        <v>182</v>
      </c>
      <c r="D67" s="356">
        <v>39364</v>
      </c>
      <c r="E67" s="360">
        <v>2</v>
      </c>
      <c r="F67" s="358">
        <v>2.3847999999999998</v>
      </c>
      <c r="G67" s="358">
        <v>2</v>
      </c>
      <c r="H67" s="358">
        <v>10.83</v>
      </c>
      <c r="I67" s="358">
        <v>10.98</v>
      </c>
      <c r="J67" s="358">
        <v>10.6</v>
      </c>
      <c r="K67" s="236"/>
      <c r="L67" s="357">
        <v>4</v>
      </c>
    </row>
    <row r="68" spans="1:12" s="365" customFormat="1" hidden="1">
      <c r="A68" s="361">
        <v>39189</v>
      </c>
      <c r="B68" s="361" t="s">
        <v>415</v>
      </c>
      <c r="C68" s="362">
        <v>91</v>
      </c>
      <c r="D68" s="361">
        <v>39280</v>
      </c>
      <c r="E68" s="363">
        <v>3</v>
      </c>
      <c r="F68" s="364">
        <v>3.1749999999999998</v>
      </c>
      <c r="G68" s="364">
        <v>3</v>
      </c>
      <c r="H68" s="364">
        <v>11.01</v>
      </c>
      <c r="I68" s="364">
        <v>10.88</v>
      </c>
      <c r="J68" s="364">
        <v>10.83</v>
      </c>
      <c r="K68" s="366"/>
      <c r="L68" s="362">
        <v>4</v>
      </c>
    </row>
    <row r="69" spans="1:12" hidden="1">
      <c r="A69" s="356">
        <v>39196</v>
      </c>
      <c r="B69" s="356" t="s">
        <v>416</v>
      </c>
      <c r="C69" s="357">
        <v>364</v>
      </c>
      <c r="D69" s="356">
        <v>39560</v>
      </c>
      <c r="E69" s="360">
        <v>4</v>
      </c>
      <c r="F69" s="358">
        <v>1.14E-2</v>
      </c>
      <c r="G69" s="358">
        <v>1.14E-2</v>
      </c>
      <c r="H69" s="358">
        <v>10.24</v>
      </c>
      <c r="I69" s="358">
        <v>11.01</v>
      </c>
      <c r="J69" s="358">
        <v>11.01</v>
      </c>
      <c r="K69" s="236"/>
      <c r="L69" s="357">
        <v>1</v>
      </c>
    </row>
    <row r="70" spans="1:12" s="365" customFormat="1" hidden="1">
      <c r="A70" s="361">
        <v>39203</v>
      </c>
      <c r="B70" s="361" t="s">
        <v>417</v>
      </c>
      <c r="C70" s="362">
        <v>91</v>
      </c>
      <c r="D70" s="361">
        <v>39294</v>
      </c>
      <c r="E70" s="363">
        <v>5</v>
      </c>
      <c r="F70" s="364">
        <v>5</v>
      </c>
      <c r="G70" s="364">
        <v>5</v>
      </c>
      <c r="H70" s="364">
        <v>10.979999999999999</v>
      </c>
      <c r="I70" s="364">
        <v>10.24</v>
      </c>
      <c r="J70" s="364">
        <v>10.24</v>
      </c>
      <c r="K70" s="366"/>
      <c r="L70" s="362">
        <v>5</v>
      </c>
    </row>
    <row r="71" spans="1:12" hidden="1">
      <c r="A71" s="356">
        <v>39210</v>
      </c>
      <c r="B71" s="356" t="s">
        <v>418</v>
      </c>
      <c r="C71" s="357">
        <v>182</v>
      </c>
      <c r="D71" s="356">
        <v>39392</v>
      </c>
      <c r="E71" s="360">
        <v>8</v>
      </c>
      <c r="F71" s="358">
        <v>4.0819999999999999</v>
      </c>
      <c r="G71" s="358">
        <v>4.0819999999999999</v>
      </c>
      <c r="H71" s="358">
        <v>10.96</v>
      </c>
      <c r="I71" s="358">
        <v>10.98</v>
      </c>
      <c r="J71" s="358">
        <v>10.979999999999999</v>
      </c>
      <c r="K71" s="236"/>
      <c r="L71" s="357">
        <v>2</v>
      </c>
    </row>
    <row r="72" spans="1:12" s="365" customFormat="1" hidden="1">
      <c r="A72" s="361">
        <v>39217</v>
      </c>
      <c r="B72" s="361" t="s">
        <v>419</v>
      </c>
      <c r="C72" s="362">
        <v>91</v>
      </c>
      <c r="D72" s="361">
        <v>39308</v>
      </c>
      <c r="E72" s="363">
        <v>10</v>
      </c>
      <c r="F72" s="364">
        <v>6.3090000000000002</v>
      </c>
      <c r="G72" s="364">
        <v>6.3090000000000002</v>
      </c>
      <c r="H72" s="364">
        <v>11</v>
      </c>
      <c r="I72" s="364">
        <v>10.96</v>
      </c>
      <c r="J72" s="364">
        <v>10.96</v>
      </c>
      <c r="K72" s="366"/>
      <c r="L72" s="362">
        <v>7</v>
      </c>
    </row>
    <row r="73" spans="1:12" hidden="1">
      <c r="A73" s="356">
        <v>39223</v>
      </c>
      <c r="B73" s="356" t="s">
        <v>420</v>
      </c>
      <c r="C73" s="357">
        <v>365</v>
      </c>
      <c r="D73" s="356">
        <v>39588</v>
      </c>
      <c r="E73" s="360">
        <v>2</v>
      </c>
      <c r="F73" s="358">
        <v>1.3262</v>
      </c>
      <c r="G73" s="358">
        <v>1.3262</v>
      </c>
      <c r="H73" s="358">
        <v>10.96</v>
      </c>
      <c r="I73" s="358">
        <v>11</v>
      </c>
      <c r="J73" s="358">
        <v>11</v>
      </c>
      <c r="K73" s="236"/>
      <c r="L73" s="357">
        <v>1</v>
      </c>
    </row>
    <row r="74" spans="1:12" s="365" customFormat="1" hidden="1">
      <c r="A74" s="361">
        <v>39231</v>
      </c>
      <c r="B74" s="361" t="s">
        <v>421</v>
      </c>
      <c r="C74" s="362">
        <v>91</v>
      </c>
      <c r="D74" s="361">
        <v>39322</v>
      </c>
      <c r="E74" s="363">
        <v>10</v>
      </c>
      <c r="F74" s="364">
        <v>1.2996000000000001</v>
      </c>
      <c r="G74" s="364">
        <v>8.2156000000000002</v>
      </c>
      <c r="H74" s="364">
        <v>10.96</v>
      </c>
      <c r="I74" s="364">
        <v>11</v>
      </c>
      <c r="J74" s="364">
        <v>10.96</v>
      </c>
      <c r="K74" s="366"/>
      <c r="L74" s="362">
        <v>2</v>
      </c>
    </row>
    <row r="75" spans="1:12" hidden="1">
      <c r="A75" s="356">
        <v>39238</v>
      </c>
      <c r="B75" s="356" t="s">
        <v>422</v>
      </c>
      <c r="C75" s="357">
        <v>91</v>
      </c>
      <c r="D75" s="356">
        <v>39329</v>
      </c>
      <c r="E75" s="360">
        <v>7</v>
      </c>
      <c r="F75" s="358">
        <v>6.1534000000000004</v>
      </c>
      <c r="G75" s="358">
        <v>6.1534000000000004</v>
      </c>
      <c r="H75" s="358">
        <v>10.979999999999999</v>
      </c>
      <c r="I75" s="358">
        <v>11</v>
      </c>
      <c r="J75" s="358">
        <v>11</v>
      </c>
      <c r="K75" s="236"/>
      <c r="L75" s="357">
        <v>5</v>
      </c>
    </row>
    <row r="76" spans="1:12" s="365" customFormat="1" hidden="1">
      <c r="A76" s="361">
        <v>39245</v>
      </c>
      <c r="B76" s="361" t="s">
        <v>423</v>
      </c>
      <c r="C76" s="362">
        <v>182</v>
      </c>
      <c r="D76" s="361">
        <v>39427</v>
      </c>
      <c r="E76" s="363">
        <v>3</v>
      </c>
      <c r="F76" s="364">
        <v>0.49619999999999997</v>
      </c>
      <c r="G76" s="364">
        <v>3</v>
      </c>
      <c r="H76" s="364">
        <v>12.09</v>
      </c>
      <c r="I76" s="364">
        <v>11</v>
      </c>
      <c r="J76" s="364">
        <v>11</v>
      </c>
      <c r="K76" s="366"/>
      <c r="L76" s="362">
        <v>2</v>
      </c>
    </row>
    <row r="77" spans="1:12" hidden="1">
      <c r="A77" s="356">
        <v>39247</v>
      </c>
      <c r="B77" s="356" t="s">
        <v>424</v>
      </c>
      <c r="C77" s="357">
        <v>365</v>
      </c>
      <c r="D77" s="356">
        <v>39612</v>
      </c>
      <c r="E77" s="360">
        <v>10</v>
      </c>
      <c r="F77" s="358">
        <v>1.3668</v>
      </c>
      <c r="G77" s="358">
        <v>1.3668</v>
      </c>
      <c r="H77" s="358">
        <v>10.96</v>
      </c>
      <c r="I77" s="358">
        <v>12.5</v>
      </c>
      <c r="J77" s="358">
        <v>12.5</v>
      </c>
      <c r="K77" s="236"/>
      <c r="L77" s="357">
        <v>4</v>
      </c>
    </row>
    <row r="78" spans="1:12" s="365" customFormat="1" hidden="1">
      <c r="A78" s="361">
        <v>39252</v>
      </c>
      <c r="B78" s="361" t="s">
        <v>425</v>
      </c>
      <c r="C78" s="362">
        <v>91</v>
      </c>
      <c r="D78" s="361">
        <v>39343</v>
      </c>
      <c r="E78" s="363">
        <v>5</v>
      </c>
      <c r="F78" s="364">
        <v>1.6424000000000001</v>
      </c>
      <c r="G78" s="364">
        <v>1.6424000000000001</v>
      </c>
      <c r="H78" s="364">
        <v>11.55</v>
      </c>
      <c r="I78" s="364">
        <v>11.55</v>
      </c>
      <c r="J78" s="364">
        <v>11.17</v>
      </c>
      <c r="K78" s="366"/>
      <c r="L78" s="362">
        <v>4</v>
      </c>
    </row>
    <row r="79" spans="1:12" hidden="1">
      <c r="A79" s="356">
        <v>39258</v>
      </c>
      <c r="B79" s="356" t="s">
        <v>426</v>
      </c>
      <c r="C79" s="357">
        <v>88</v>
      </c>
      <c r="D79" s="356">
        <v>39346</v>
      </c>
      <c r="E79" s="360">
        <v>3</v>
      </c>
      <c r="F79" s="358">
        <v>1.028</v>
      </c>
      <c r="G79" s="358">
        <v>1.028</v>
      </c>
      <c r="H79" s="358">
        <v>13.08</v>
      </c>
      <c r="I79" s="358">
        <v>11.55</v>
      </c>
      <c r="J79" s="358">
        <v>11.55</v>
      </c>
      <c r="K79" s="236"/>
      <c r="L79" s="357">
        <v>1</v>
      </c>
    </row>
    <row r="80" spans="1:12" s="365" customFormat="1" hidden="1">
      <c r="A80" s="361">
        <v>39261</v>
      </c>
      <c r="B80" s="361" t="s">
        <v>427</v>
      </c>
      <c r="C80" s="362">
        <v>365</v>
      </c>
      <c r="D80" s="361">
        <v>39626</v>
      </c>
      <c r="E80" s="363">
        <v>12</v>
      </c>
      <c r="F80" s="364">
        <v>6.4458000000000002</v>
      </c>
      <c r="G80" s="364">
        <v>6.4458000000000002</v>
      </c>
      <c r="H80" s="364">
        <v>11.57</v>
      </c>
      <c r="I80" s="364">
        <v>13.100000000000001</v>
      </c>
      <c r="J80" s="364">
        <v>13.100000000000001</v>
      </c>
      <c r="K80" s="366"/>
      <c r="L80" s="362">
        <v>3</v>
      </c>
    </row>
    <row r="81" spans="1:12" hidden="1">
      <c r="A81" s="356">
        <v>39266</v>
      </c>
      <c r="B81" s="356" t="s">
        <v>428</v>
      </c>
      <c r="C81" s="357">
        <v>184</v>
      </c>
      <c r="D81" s="356">
        <v>39450</v>
      </c>
      <c r="E81" s="360">
        <v>2</v>
      </c>
      <c r="F81" s="358">
        <v>3.1371000000000002</v>
      </c>
      <c r="G81" s="358">
        <v>2</v>
      </c>
      <c r="H81" s="358">
        <v>13.07</v>
      </c>
      <c r="I81" s="358">
        <v>11.79</v>
      </c>
      <c r="J81" s="358">
        <v>11.57</v>
      </c>
      <c r="K81" s="236"/>
      <c r="L81" s="357">
        <v>4</v>
      </c>
    </row>
    <row r="82" spans="1:12" s="365" customFormat="1" hidden="1">
      <c r="A82" s="361">
        <v>39268</v>
      </c>
      <c r="B82" s="361" t="s">
        <v>429</v>
      </c>
      <c r="C82" s="362">
        <v>365</v>
      </c>
      <c r="D82" s="361">
        <v>39633</v>
      </c>
      <c r="E82" s="363">
        <v>10</v>
      </c>
      <c r="F82" s="364">
        <v>7.2465999999999999</v>
      </c>
      <c r="G82" s="364">
        <v>7.2465999999999999</v>
      </c>
      <c r="H82" s="364">
        <v>11.5</v>
      </c>
      <c r="I82" s="364">
        <v>13.100000000000001</v>
      </c>
      <c r="J82" s="364">
        <v>13.07</v>
      </c>
      <c r="K82" s="366"/>
      <c r="L82" s="362">
        <v>5</v>
      </c>
    </row>
    <row r="83" spans="1:12" hidden="1">
      <c r="A83" s="356">
        <v>39273</v>
      </c>
      <c r="B83" s="356" t="s">
        <v>430</v>
      </c>
      <c r="C83" s="357">
        <v>84</v>
      </c>
      <c r="D83" s="356">
        <v>39357</v>
      </c>
      <c r="E83" s="360">
        <v>2</v>
      </c>
      <c r="F83" s="358">
        <v>2.4557000000000002</v>
      </c>
      <c r="G83" s="358">
        <v>2</v>
      </c>
      <c r="H83" s="358">
        <v>11.74</v>
      </c>
      <c r="I83" s="358">
        <v>11.6</v>
      </c>
      <c r="J83" s="358">
        <v>11.55</v>
      </c>
      <c r="K83" s="236"/>
      <c r="L83" s="357">
        <v>4</v>
      </c>
    </row>
    <row r="84" spans="1:12" s="365" customFormat="1" hidden="1">
      <c r="A84" s="361">
        <v>39280</v>
      </c>
      <c r="B84" s="361" t="s">
        <v>431</v>
      </c>
      <c r="C84" s="362">
        <v>182</v>
      </c>
      <c r="D84" s="361">
        <v>39462</v>
      </c>
      <c r="E84" s="363">
        <v>4</v>
      </c>
      <c r="F84" s="364">
        <v>3.2033999999999998</v>
      </c>
      <c r="G84" s="364">
        <v>3.2033999999999998</v>
      </c>
      <c r="H84" s="364">
        <v>11.63</v>
      </c>
      <c r="I84" s="364">
        <v>11.81</v>
      </c>
      <c r="J84" s="364">
        <v>11.74</v>
      </c>
      <c r="K84" s="366"/>
      <c r="L84" s="362">
        <v>5</v>
      </c>
    </row>
    <row r="85" spans="1:12" hidden="1">
      <c r="A85" s="356">
        <v>39287</v>
      </c>
      <c r="B85" s="356" t="s">
        <v>432</v>
      </c>
      <c r="C85" s="357">
        <v>182</v>
      </c>
      <c r="D85" s="356">
        <v>39469</v>
      </c>
      <c r="E85" s="360">
        <v>5</v>
      </c>
      <c r="F85" s="358">
        <v>10.0381</v>
      </c>
      <c r="G85" s="358">
        <v>5</v>
      </c>
      <c r="H85" s="358">
        <v>12.509999999999998</v>
      </c>
      <c r="I85" s="358">
        <v>11.67</v>
      </c>
      <c r="J85" s="358">
        <v>11.63</v>
      </c>
      <c r="K85" s="236"/>
      <c r="L85" s="357">
        <v>3</v>
      </c>
    </row>
    <row r="86" spans="1:12" s="365" customFormat="1" hidden="1">
      <c r="A86" s="361">
        <v>39290</v>
      </c>
      <c r="B86" s="361" t="s">
        <v>433</v>
      </c>
      <c r="C86" s="362">
        <v>364</v>
      </c>
      <c r="D86" s="361">
        <v>39654</v>
      </c>
      <c r="E86" s="363">
        <v>10</v>
      </c>
      <c r="F86" s="364">
        <v>16.299600000000002</v>
      </c>
      <c r="G86" s="364">
        <v>10</v>
      </c>
      <c r="H86" s="364">
        <v>11.15</v>
      </c>
      <c r="I86" s="364">
        <v>12.98</v>
      </c>
      <c r="J86" s="364">
        <v>12.509999999999998</v>
      </c>
      <c r="K86" s="366"/>
      <c r="L86" s="362">
        <v>7</v>
      </c>
    </row>
    <row r="87" spans="1:12" hidden="1">
      <c r="A87" s="356">
        <v>39294</v>
      </c>
      <c r="B87" s="356" t="s">
        <v>434</v>
      </c>
      <c r="C87" s="357">
        <v>182</v>
      </c>
      <c r="D87" s="356">
        <v>39476</v>
      </c>
      <c r="E87" s="360">
        <v>5</v>
      </c>
      <c r="F87" s="358">
        <v>11.8012</v>
      </c>
      <c r="G87" s="358">
        <v>5</v>
      </c>
      <c r="H87" s="358">
        <v>10.9</v>
      </c>
      <c r="I87" s="358">
        <v>11.2</v>
      </c>
      <c r="J87" s="358">
        <v>11.16</v>
      </c>
      <c r="K87" s="236"/>
      <c r="L87" s="357">
        <v>7</v>
      </c>
    </row>
    <row r="88" spans="1:12" s="365" customFormat="1" hidden="1">
      <c r="A88" s="361">
        <v>39296</v>
      </c>
      <c r="B88" s="361" t="s">
        <v>435</v>
      </c>
      <c r="C88" s="362">
        <v>365</v>
      </c>
      <c r="D88" s="361">
        <v>39661</v>
      </c>
      <c r="E88" s="363">
        <v>12</v>
      </c>
      <c r="F88" s="364">
        <v>26.627400000000002</v>
      </c>
      <c r="G88" s="364">
        <v>12</v>
      </c>
      <c r="H88" s="364">
        <v>10.4</v>
      </c>
      <c r="I88" s="364">
        <v>12.2</v>
      </c>
      <c r="J88" s="364">
        <v>11.74</v>
      </c>
      <c r="K88" s="366"/>
      <c r="L88" s="362">
        <v>10</v>
      </c>
    </row>
    <row r="89" spans="1:12" hidden="1">
      <c r="A89" s="356">
        <v>39301</v>
      </c>
      <c r="B89" s="356" t="s">
        <v>436</v>
      </c>
      <c r="C89" s="357">
        <v>182</v>
      </c>
      <c r="D89" s="356">
        <v>39483</v>
      </c>
      <c r="E89" s="360">
        <v>3</v>
      </c>
      <c r="F89" s="358">
        <v>7.7397999999999998</v>
      </c>
      <c r="G89" s="358">
        <v>3</v>
      </c>
      <c r="H89" s="358">
        <v>9.91</v>
      </c>
      <c r="I89" s="358">
        <v>12.01</v>
      </c>
      <c r="J89" s="358">
        <v>10.42</v>
      </c>
      <c r="K89" s="236"/>
      <c r="L89" s="357">
        <v>9</v>
      </c>
    </row>
    <row r="90" spans="1:12" s="365" customFormat="1" hidden="1">
      <c r="A90" s="361">
        <v>39308</v>
      </c>
      <c r="B90" s="361" t="s">
        <v>437</v>
      </c>
      <c r="C90" s="362">
        <v>364</v>
      </c>
      <c r="D90" s="361">
        <v>39672</v>
      </c>
      <c r="E90" s="363">
        <v>3</v>
      </c>
      <c r="F90" s="364">
        <v>5.8659999999999997</v>
      </c>
      <c r="G90" s="364">
        <v>3</v>
      </c>
      <c r="H90" s="364">
        <v>7.06</v>
      </c>
      <c r="I90" s="364">
        <v>11.01</v>
      </c>
      <c r="J90" s="364">
        <v>9.91</v>
      </c>
      <c r="K90" s="366"/>
      <c r="L90" s="362">
        <v>3</v>
      </c>
    </row>
    <row r="91" spans="1:12" hidden="1">
      <c r="A91" s="356">
        <v>39315</v>
      </c>
      <c r="B91" s="356" t="s">
        <v>438</v>
      </c>
      <c r="C91" s="357">
        <v>182</v>
      </c>
      <c r="D91" s="356">
        <v>39497</v>
      </c>
      <c r="E91" s="360">
        <v>3</v>
      </c>
      <c r="F91" s="358">
        <v>7.1566000000000001</v>
      </c>
      <c r="G91" s="358">
        <v>3</v>
      </c>
      <c r="H91" s="358">
        <v>7.99</v>
      </c>
      <c r="I91" s="358">
        <v>8.01</v>
      </c>
      <c r="J91" s="358">
        <v>7.23</v>
      </c>
      <c r="K91" s="236"/>
      <c r="L91" s="357">
        <v>6</v>
      </c>
    </row>
    <row r="92" spans="1:12" s="365" customFormat="1" hidden="1">
      <c r="A92" s="361">
        <v>39322</v>
      </c>
      <c r="B92" s="361" t="s">
        <v>439</v>
      </c>
      <c r="C92" s="362">
        <v>364</v>
      </c>
      <c r="D92" s="361">
        <v>39686</v>
      </c>
      <c r="E92" s="363">
        <v>3</v>
      </c>
      <c r="F92" s="364">
        <v>0.95220000000000005</v>
      </c>
      <c r="G92" s="364">
        <v>0.95220000000000005</v>
      </c>
      <c r="H92" s="364">
        <v>8.9700000000000006</v>
      </c>
      <c r="I92" s="364">
        <v>9</v>
      </c>
      <c r="J92" s="364">
        <v>8.83</v>
      </c>
      <c r="K92" s="366"/>
      <c r="L92" s="362">
        <v>2</v>
      </c>
    </row>
    <row r="93" spans="1:12" hidden="1">
      <c r="A93" s="356">
        <v>39325</v>
      </c>
      <c r="B93" s="356" t="s">
        <v>440</v>
      </c>
      <c r="C93" s="357">
        <v>364</v>
      </c>
      <c r="D93" s="356">
        <v>39689</v>
      </c>
      <c r="E93" s="360">
        <v>7</v>
      </c>
      <c r="F93" s="358">
        <v>7.8079999999999998</v>
      </c>
      <c r="G93" s="358">
        <v>7</v>
      </c>
      <c r="H93" s="358">
        <v>9.93</v>
      </c>
      <c r="I93" s="358">
        <v>11.01</v>
      </c>
      <c r="J93" s="358">
        <v>9</v>
      </c>
      <c r="K93" s="236"/>
      <c r="L93" s="357">
        <v>3</v>
      </c>
    </row>
    <row r="94" spans="1:12" s="365" customFormat="1" hidden="1">
      <c r="A94" s="361">
        <v>39343</v>
      </c>
      <c r="B94" s="361" t="s">
        <v>441</v>
      </c>
      <c r="C94" s="362">
        <v>182</v>
      </c>
      <c r="D94" s="361">
        <v>39525</v>
      </c>
      <c r="E94" s="363">
        <v>5</v>
      </c>
      <c r="F94" s="364">
        <v>2.9744999999999999</v>
      </c>
      <c r="G94" s="364">
        <v>3.2336</v>
      </c>
      <c r="H94" s="364">
        <v>10.34</v>
      </c>
      <c r="I94" s="364">
        <v>10.51</v>
      </c>
      <c r="J94" s="364">
        <v>9.93</v>
      </c>
      <c r="K94" s="366"/>
      <c r="L94" s="362">
        <v>4</v>
      </c>
    </row>
    <row r="95" spans="1:12" hidden="1">
      <c r="A95" s="356">
        <v>39350</v>
      </c>
      <c r="B95" s="356" t="s">
        <v>442</v>
      </c>
      <c r="C95" s="357">
        <v>364</v>
      </c>
      <c r="D95" s="356">
        <v>39714</v>
      </c>
      <c r="E95" s="360">
        <v>5</v>
      </c>
      <c r="F95" s="358">
        <v>6.0997000000000003</v>
      </c>
      <c r="G95" s="358">
        <v>1.772</v>
      </c>
      <c r="H95" s="358">
        <v>10.4</v>
      </c>
      <c r="I95" s="358">
        <v>10.5</v>
      </c>
      <c r="J95" s="358">
        <v>10.34</v>
      </c>
      <c r="K95" s="236"/>
      <c r="L95" s="357">
        <v>4</v>
      </c>
    </row>
    <row r="96" spans="1:12" s="365" customFormat="1" hidden="1">
      <c r="A96" s="361">
        <v>39353</v>
      </c>
      <c r="B96" s="361" t="s">
        <v>443</v>
      </c>
      <c r="C96" s="362">
        <v>182</v>
      </c>
      <c r="D96" s="361">
        <v>39535</v>
      </c>
      <c r="E96" s="363">
        <v>7</v>
      </c>
      <c r="F96" s="364">
        <v>6.3040000000000003</v>
      </c>
      <c r="G96" s="364">
        <v>2.6282000000000001</v>
      </c>
      <c r="H96" s="364">
        <v>10.5</v>
      </c>
      <c r="I96" s="364">
        <v>10.71</v>
      </c>
      <c r="J96" s="364">
        <v>10.4</v>
      </c>
      <c r="K96" s="366"/>
      <c r="L96" s="362">
        <v>2</v>
      </c>
    </row>
    <row r="97" spans="1:12" hidden="1">
      <c r="A97" s="356">
        <v>39360</v>
      </c>
      <c r="B97" s="356" t="s">
        <v>444</v>
      </c>
      <c r="C97" s="357">
        <v>181</v>
      </c>
      <c r="D97" s="356">
        <v>39541</v>
      </c>
      <c r="E97" s="360">
        <v>10</v>
      </c>
      <c r="F97" s="358">
        <v>1.048</v>
      </c>
      <c r="G97" s="358">
        <v>1.048</v>
      </c>
      <c r="H97" s="358">
        <v>10.45</v>
      </c>
      <c r="I97" s="358">
        <v>10.5</v>
      </c>
      <c r="J97" s="358">
        <v>10.5</v>
      </c>
      <c r="K97" s="236"/>
      <c r="L97" s="357">
        <v>1</v>
      </c>
    </row>
    <row r="98" spans="1:12" s="365" customFormat="1" hidden="1">
      <c r="A98" s="361">
        <v>39364</v>
      </c>
      <c r="B98" s="361" t="s">
        <v>445</v>
      </c>
      <c r="C98" s="362">
        <v>182</v>
      </c>
      <c r="D98" s="361">
        <v>39546</v>
      </c>
      <c r="E98" s="363">
        <v>5</v>
      </c>
      <c r="F98" s="364">
        <v>2.1640000000000001</v>
      </c>
      <c r="G98" s="364">
        <v>2.1640000000000001</v>
      </c>
      <c r="H98" s="364">
        <v>10.5</v>
      </c>
      <c r="I98" s="364">
        <v>10.56</v>
      </c>
      <c r="J98" s="364">
        <v>10.51</v>
      </c>
      <c r="K98" s="366"/>
      <c r="L98" s="362">
        <v>2</v>
      </c>
    </row>
    <row r="99" spans="1:12" hidden="1">
      <c r="A99" s="356">
        <v>39366</v>
      </c>
      <c r="B99" s="356" t="s">
        <v>446</v>
      </c>
      <c r="C99" s="357">
        <v>355</v>
      </c>
      <c r="D99" s="356">
        <v>39721</v>
      </c>
      <c r="E99" s="360">
        <v>8</v>
      </c>
      <c r="F99" s="358">
        <v>0.3286</v>
      </c>
      <c r="G99" s="358">
        <v>8</v>
      </c>
      <c r="H99" s="358">
        <v>10.35</v>
      </c>
      <c r="I99" s="358">
        <v>10.5</v>
      </c>
      <c r="J99" s="358">
        <v>10.5</v>
      </c>
      <c r="K99" s="236"/>
      <c r="L99" s="357">
        <v>1</v>
      </c>
    </row>
    <row r="100" spans="1:12" s="365" customFormat="1" hidden="1">
      <c r="A100" s="361">
        <v>39370</v>
      </c>
      <c r="B100" s="361" t="s">
        <v>447</v>
      </c>
      <c r="C100" s="362">
        <v>91</v>
      </c>
      <c r="D100" s="361">
        <v>39461</v>
      </c>
      <c r="E100" s="363">
        <v>5</v>
      </c>
      <c r="F100" s="364">
        <v>5.4573</v>
      </c>
      <c r="G100" s="364">
        <v>5</v>
      </c>
      <c r="H100" s="364">
        <v>9.99</v>
      </c>
      <c r="I100" s="364">
        <v>10.5</v>
      </c>
      <c r="J100" s="364">
        <v>10.41</v>
      </c>
      <c r="K100" s="366"/>
      <c r="L100" s="362">
        <v>4</v>
      </c>
    </row>
    <row r="101" spans="1:12" hidden="1">
      <c r="A101" s="356">
        <v>39378</v>
      </c>
      <c r="B101" s="356" t="s">
        <v>448</v>
      </c>
      <c r="C101" s="357">
        <v>91</v>
      </c>
      <c r="D101" s="356">
        <v>39469</v>
      </c>
      <c r="E101" s="360">
        <v>3</v>
      </c>
      <c r="F101" s="358">
        <v>3</v>
      </c>
      <c r="G101" s="358">
        <v>3</v>
      </c>
      <c r="H101" s="358">
        <v>10</v>
      </c>
      <c r="I101" s="358">
        <v>9.99</v>
      </c>
      <c r="J101" s="358">
        <v>9.99</v>
      </c>
      <c r="K101" s="236"/>
      <c r="L101" s="357">
        <v>4</v>
      </c>
    </row>
    <row r="102" spans="1:12" s="365" customFormat="1" hidden="1">
      <c r="A102" s="361">
        <v>39385</v>
      </c>
      <c r="B102" s="361" t="s">
        <v>449</v>
      </c>
      <c r="C102" s="362">
        <v>182</v>
      </c>
      <c r="D102" s="361">
        <v>39567</v>
      </c>
      <c r="E102" s="363">
        <v>3</v>
      </c>
      <c r="F102" s="364">
        <v>0.47099999999999997</v>
      </c>
      <c r="G102" s="364">
        <v>0.47099999999999997</v>
      </c>
      <c r="H102" s="364">
        <v>9.99</v>
      </c>
      <c r="I102" s="364">
        <v>10</v>
      </c>
      <c r="J102" s="364">
        <v>10</v>
      </c>
      <c r="K102" s="366"/>
      <c r="L102" s="362">
        <v>1</v>
      </c>
    </row>
    <row r="103" spans="1:12" hidden="1">
      <c r="A103" s="356">
        <v>39392</v>
      </c>
      <c r="B103" s="356" t="s">
        <v>450</v>
      </c>
      <c r="C103" s="357">
        <v>91</v>
      </c>
      <c r="D103" s="356">
        <v>39483</v>
      </c>
      <c r="E103" s="360">
        <v>5</v>
      </c>
      <c r="F103" s="358">
        <v>1.1674</v>
      </c>
      <c r="G103" s="358">
        <v>1.1674</v>
      </c>
      <c r="H103" s="358">
        <v>10.37</v>
      </c>
      <c r="I103" s="358">
        <v>10.55</v>
      </c>
      <c r="J103" s="358">
        <v>9.99</v>
      </c>
      <c r="K103" s="236"/>
      <c r="L103" s="357">
        <v>2</v>
      </c>
    </row>
    <row r="104" spans="1:12" s="365" customFormat="1" hidden="1">
      <c r="A104" s="361">
        <v>39399</v>
      </c>
      <c r="B104" s="361" t="s">
        <v>451</v>
      </c>
      <c r="C104" s="362">
        <v>91</v>
      </c>
      <c r="D104" s="361">
        <v>39490</v>
      </c>
      <c r="E104" s="363">
        <v>3</v>
      </c>
      <c r="F104" s="364">
        <v>1.897</v>
      </c>
      <c r="G104" s="364">
        <v>1.897</v>
      </c>
      <c r="H104" s="364">
        <v>10.47</v>
      </c>
      <c r="I104" s="364">
        <v>10.5</v>
      </c>
      <c r="J104" s="364">
        <v>10.37</v>
      </c>
      <c r="K104" s="366"/>
      <c r="L104" s="362">
        <v>1</v>
      </c>
    </row>
    <row r="105" spans="1:12" hidden="1">
      <c r="A105" s="356">
        <v>39412</v>
      </c>
      <c r="B105" s="356" t="s">
        <v>452</v>
      </c>
      <c r="C105" s="357">
        <v>85</v>
      </c>
      <c r="D105" s="356">
        <v>39497</v>
      </c>
      <c r="E105" s="360">
        <v>3</v>
      </c>
      <c r="F105" s="358">
        <v>0.51060000000000005</v>
      </c>
      <c r="G105" s="358">
        <v>0.51060000000000005</v>
      </c>
      <c r="H105" s="358">
        <v>10.489999999999998</v>
      </c>
      <c r="I105" s="358">
        <v>10.47</v>
      </c>
      <c r="J105" s="358">
        <v>10.47</v>
      </c>
      <c r="K105" s="236"/>
      <c r="L105" s="357">
        <v>1</v>
      </c>
    </row>
    <row r="106" spans="1:12" s="365" customFormat="1" hidden="1">
      <c r="A106" s="361">
        <v>39413</v>
      </c>
      <c r="B106" s="361" t="s">
        <v>453</v>
      </c>
      <c r="C106" s="362">
        <v>91</v>
      </c>
      <c r="D106" s="361">
        <v>39504</v>
      </c>
      <c r="E106" s="363">
        <v>2</v>
      </c>
      <c r="F106" s="364">
        <v>0</v>
      </c>
      <c r="G106" s="364">
        <v>0</v>
      </c>
      <c r="H106" s="364">
        <v>10.489999999999998</v>
      </c>
      <c r="I106" s="364">
        <v>0</v>
      </c>
      <c r="J106" s="364">
        <v>0</v>
      </c>
      <c r="K106" s="366"/>
      <c r="L106" s="362">
        <v>0</v>
      </c>
    </row>
    <row r="107" spans="1:12" hidden="1">
      <c r="H107" s="367">
        <v>0</v>
      </c>
      <c r="I107" s="367">
        <v>0</v>
      </c>
      <c r="J107" s="367">
        <v>0</v>
      </c>
    </row>
    <row r="108" spans="1:12" hidden="1">
      <c r="A108" s="1775">
        <v>2008</v>
      </c>
      <c r="H108" s="367">
        <v>0</v>
      </c>
      <c r="I108" s="367">
        <v>0</v>
      </c>
      <c r="J108" s="367">
        <v>0</v>
      </c>
    </row>
    <row r="109" spans="1:12" hidden="1">
      <c r="A109" s="356">
        <v>39462</v>
      </c>
      <c r="B109" s="356" t="s">
        <v>454</v>
      </c>
      <c r="C109" s="357">
        <v>364</v>
      </c>
      <c r="D109" s="356">
        <v>39826</v>
      </c>
      <c r="E109" s="360">
        <v>5</v>
      </c>
      <c r="F109" s="358">
        <v>4.1074000000000002</v>
      </c>
      <c r="G109" s="358">
        <v>4.1074000000000002</v>
      </c>
      <c r="H109" s="358">
        <v>10.9</v>
      </c>
      <c r="I109" s="358">
        <v>10.99</v>
      </c>
      <c r="J109" s="358">
        <v>10.99</v>
      </c>
      <c r="K109" s="236"/>
      <c r="L109" s="357">
        <v>3</v>
      </c>
    </row>
    <row r="110" spans="1:12" s="365" customFormat="1" hidden="1">
      <c r="A110" s="361">
        <v>39469</v>
      </c>
      <c r="B110" s="361" t="s">
        <v>455</v>
      </c>
      <c r="C110" s="362">
        <v>363</v>
      </c>
      <c r="D110" s="361">
        <v>39832</v>
      </c>
      <c r="E110" s="363">
        <v>8</v>
      </c>
      <c r="F110" s="364">
        <v>3.1871999999999998</v>
      </c>
      <c r="G110" s="364">
        <v>0.99439999999999995</v>
      </c>
      <c r="H110" s="364">
        <v>11</v>
      </c>
      <c r="I110" s="364">
        <v>11</v>
      </c>
      <c r="J110" s="364">
        <v>11</v>
      </c>
      <c r="K110" s="366"/>
      <c r="L110" s="362">
        <v>1</v>
      </c>
    </row>
    <row r="111" spans="1:12" hidden="1">
      <c r="A111" s="356">
        <v>39476</v>
      </c>
      <c r="B111" s="356" t="s">
        <v>456</v>
      </c>
      <c r="C111" s="357">
        <v>182</v>
      </c>
      <c r="D111" s="356">
        <v>39658</v>
      </c>
      <c r="E111" s="360">
        <v>5</v>
      </c>
      <c r="F111" s="358">
        <v>5</v>
      </c>
      <c r="G111" s="358">
        <v>5</v>
      </c>
      <c r="H111" s="358">
        <v>10.89</v>
      </c>
      <c r="I111" s="358">
        <v>10.96</v>
      </c>
      <c r="J111" s="358">
        <v>10.96</v>
      </c>
      <c r="K111" s="236"/>
      <c r="L111" s="357">
        <v>5</v>
      </c>
    </row>
    <row r="112" spans="1:12" s="365" customFormat="1" hidden="1">
      <c r="A112" s="361">
        <v>39483</v>
      </c>
      <c r="B112" s="361" t="s">
        <v>457</v>
      </c>
      <c r="C112" s="362">
        <v>182</v>
      </c>
      <c r="D112" s="361">
        <v>39665</v>
      </c>
      <c r="E112" s="363">
        <v>3</v>
      </c>
      <c r="F112" s="364">
        <v>0.126</v>
      </c>
      <c r="G112" s="364">
        <v>0.126</v>
      </c>
      <c r="H112" s="364">
        <v>10.93</v>
      </c>
      <c r="I112" s="364">
        <v>10.93</v>
      </c>
      <c r="J112" s="364">
        <v>10.93</v>
      </c>
      <c r="L112" s="362">
        <v>1</v>
      </c>
    </row>
    <row r="113" spans="1:12" hidden="1">
      <c r="A113" s="356">
        <v>39483</v>
      </c>
      <c r="B113" s="356" t="s">
        <v>458</v>
      </c>
      <c r="C113" s="357">
        <v>364</v>
      </c>
      <c r="D113" s="356">
        <v>39847</v>
      </c>
      <c r="E113" s="360">
        <v>3</v>
      </c>
      <c r="F113" s="358">
        <v>1.4330000000000001</v>
      </c>
      <c r="G113" s="358">
        <v>1.4330000000000001</v>
      </c>
      <c r="H113" s="358">
        <v>10.5</v>
      </c>
      <c r="I113" s="358">
        <v>11</v>
      </c>
      <c r="J113" s="358">
        <v>11</v>
      </c>
      <c r="L113" s="357">
        <v>2</v>
      </c>
    </row>
    <row r="114" spans="1:12" s="365" customFormat="1" hidden="1">
      <c r="A114" s="361">
        <v>39504</v>
      </c>
      <c r="B114" s="361" t="s">
        <v>459</v>
      </c>
      <c r="C114" s="362">
        <v>182</v>
      </c>
      <c r="D114" s="361">
        <v>39686</v>
      </c>
      <c r="E114" s="363">
        <v>5</v>
      </c>
      <c r="F114" s="364">
        <v>1.0478000000000001</v>
      </c>
      <c r="G114" s="364">
        <v>1.0478000000000001</v>
      </c>
      <c r="H114" s="364">
        <v>10.95</v>
      </c>
      <c r="I114" s="364">
        <v>10.96</v>
      </c>
      <c r="J114" s="364">
        <v>10.71</v>
      </c>
      <c r="L114" s="362">
        <v>2</v>
      </c>
    </row>
    <row r="115" spans="1:12" hidden="1">
      <c r="A115" s="356">
        <v>39511</v>
      </c>
      <c r="B115" s="356" t="s">
        <v>460</v>
      </c>
      <c r="C115" s="357">
        <v>364</v>
      </c>
      <c r="D115" s="356">
        <v>39875</v>
      </c>
      <c r="E115" s="360">
        <v>8</v>
      </c>
      <c r="F115" s="358">
        <v>1.0760000000000001</v>
      </c>
      <c r="G115" s="358">
        <v>1.0760000000000001</v>
      </c>
      <c r="H115" s="358">
        <v>10.979999999999999</v>
      </c>
      <c r="I115" s="358">
        <v>10.98</v>
      </c>
      <c r="J115" s="358">
        <v>10.979999999999999</v>
      </c>
      <c r="L115" s="357">
        <v>1</v>
      </c>
    </row>
    <row r="116" spans="1:12" s="365" customFormat="1" hidden="1">
      <c r="A116" s="361">
        <v>39518</v>
      </c>
      <c r="B116" s="361" t="s">
        <v>461</v>
      </c>
      <c r="C116" s="362">
        <v>364</v>
      </c>
      <c r="D116" s="361">
        <v>39882</v>
      </c>
      <c r="E116" s="363">
        <v>3</v>
      </c>
      <c r="F116" s="364">
        <v>3</v>
      </c>
      <c r="G116" s="364">
        <v>3</v>
      </c>
      <c r="H116" s="364">
        <v>10.5</v>
      </c>
      <c r="I116" s="364">
        <v>11.01</v>
      </c>
      <c r="J116" s="364">
        <v>10.75</v>
      </c>
      <c r="L116" s="362">
        <v>1</v>
      </c>
    </row>
    <row r="117" spans="1:12" hidden="1">
      <c r="A117" s="356">
        <v>39524</v>
      </c>
      <c r="B117" s="356" t="s">
        <v>462</v>
      </c>
      <c r="C117" s="357">
        <v>365</v>
      </c>
      <c r="D117" s="356">
        <v>39889</v>
      </c>
      <c r="E117" s="360">
        <v>10</v>
      </c>
      <c r="F117" s="358">
        <v>10.172800000000001</v>
      </c>
      <c r="G117" s="358">
        <v>10</v>
      </c>
      <c r="H117" s="358">
        <v>10.99</v>
      </c>
      <c r="I117" s="358">
        <v>11</v>
      </c>
      <c r="J117" s="358">
        <v>11</v>
      </c>
      <c r="L117" s="357">
        <v>3</v>
      </c>
    </row>
    <row r="118" spans="1:12" s="365" customFormat="1" hidden="1">
      <c r="A118" s="361">
        <v>39525</v>
      </c>
      <c r="B118" s="361" t="s">
        <v>463</v>
      </c>
      <c r="C118" s="362">
        <v>364</v>
      </c>
      <c r="D118" s="361">
        <v>39889</v>
      </c>
      <c r="E118" s="363">
        <v>5</v>
      </c>
      <c r="F118" s="364">
        <v>1.9732000000000001</v>
      </c>
      <c r="G118" s="364">
        <v>1.9732000000000001</v>
      </c>
      <c r="H118" s="364">
        <v>11</v>
      </c>
      <c r="I118" s="364">
        <v>11</v>
      </c>
      <c r="J118" s="364">
        <v>11</v>
      </c>
      <c r="L118" s="362">
        <v>1</v>
      </c>
    </row>
    <row r="119" spans="1:12" hidden="1">
      <c r="A119" s="356">
        <v>39525</v>
      </c>
      <c r="B119" s="356" t="s">
        <v>464</v>
      </c>
      <c r="C119" s="357">
        <v>182</v>
      </c>
      <c r="D119" s="356">
        <v>39707</v>
      </c>
      <c r="E119" s="360">
        <v>5</v>
      </c>
      <c r="F119" s="358">
        <v>2.5640000000000001</v>
      </c>
      <c r="G119" s="358">
        <v>2.5640000000000001</v>
      </c>
      <c r="H119" s="358">
        <v>10.979999999999999</v>
      </c>
      <c r="I119" s="358">
        <v>11</v>
      </c>
      <c r="J119" s="358">
        <v>10.979999999999999</v>
      </c>
      <c r="L119" s="357">
        <v>2</v>
      </c>
    </row>
    <row r="120" spans="1:12" s="365" customFormat="1" hidden="1">
      <c r="A120" s="361">
        <v>39537</v>
      </c>
      <c r="B120" s="361" t="s">
        <v>465</v>
      </c>
      <c r="C120" s="362">
        <v>366</v>
      </c>
      <c r="D120" s="361">
        <v>39903</v>
      </c>
      <c r="E120" s="363">
        <v>5</v>
      </c>
      <c r="F120" s="364">
        <v>2.2191999999999998</v>
      </c>
      <c r="G120" s="364">
        <v>2.2191999999999998</v>
      </c>
      <c r="H120" s="364">
        <v>10.99</v>
      </c>
      <c r="I120" s="364">
        <v>10.99</v>
      </c>
      <c r="J120" s="364">
        <v>10.99</v>
      </c>
      <c r="L120" s="362">
        <v>1</v>
      </c>
    </row>
    <row r="121" spans="1:12" hidden="1">
      <c r="A121" s="356">
        <v>39538</v>
      </c>
      <c r="B121" s="356" t="s">
        <v>466</v>
      </c>
      <c r="C121" s="357">
        <v>364</v>
      </c>
      <c r="D121" s="356">
        <v>39902</v>
      </c>
      <c r="E121" s="360">
        <v>5</v>
      </c>
      <c r="F121" s="358">
        <v>4.984</v>
      </c>
      <c r="G121" s="358">
        <v>4.984</v>
      </c>
      <c r="H121" s="358">
        <v>11</v>
      </c>
      <c r="I121" s="358">
        <v>11</v>
      </c>
      <c r="J121" s="358">
        <v>11</v>
      </c>
      <c r="L121" s="357">
        <v>1</v>
      </c>
    </row>
    <row r="122" spans="1:12" s="365" customFormat="1" hidden="1">
      <c r="A122" s="361">
        <v>39546</v>
      </c>
      <c r="B122" s="361" t="s">
        <v>467</v>
      </c>
      <c r="C122" s="362">
        <v>182</v>
      </c>
      <c r="D122" s="361">
        <v>39728</v>
      </c>
      <c r="E122" s="363">
        <v>5</v>
      </c>
      <c r="F122" s="364">
        <v>5</v>
      </c>
      <c r="G122" s="364">
        <v>5</v>
      </c>
      <c r="H122" s="364">
        <v>10.71</v>
      </c>
      <c r="I122" s="364">
        <v>10.98</v>
      </c>
      <c r="J122" s="364">
        <v>10.84</v>
      </c>
      <c r="L122" s="362">
        <v>3</v>
      </c>
    </row>
    <row r="123" spans="1:12" hidden="1">
      <c r="A123" s="356">
        <v>39553</v>
      </c>
      <c r="B123" s="356" t="s">
        <v>468</v>
      </c>
      <c r="C123" s="357">
        <v>182</v>
      </c>
      <c r="D123" s="356">
        <v>39735</v>
      </c>
      <c r="E123" s="360">
        <v>5</v>
      </c>
      <c r="F123" s="358">
        <v>2.6568000000000001</v>
      </c>
      <c r="G123" s="358">
        <v>5</v>
      </c>
      <c r="H123" s="358">
        <v>10.979999999999999</v>
      </c>
      <c r="I123" s="358">
        <v>10.98</v>
      </c>
      <c r="J123" s="358">
        <v>10.979999999999999</v>
      </c>
      <c r="L123" s="357">
        <v>1</v>
      </c>
    </row>
    <row r="124" spans="1:12" s="365" customFormat="1" hidden="1">
      <c r="A124" s="361">
        <v>39556</v>
      </c>
      <c r="B124" s="361" t="s">
        <v>469</v>
      </c>
      <c r="C124" s="362">
        <v>364</v>
      </c>
      <c r="D124" s="361">
        <v>39920</v>
      </c>
      <c r="E124" s="363">
        <v>5</v>
      </c>
      <c r="F124" s="364">
        <v>5</v>
      </c>
      <c r="G124" s="364">
        <v>5</v>
      </c>
      <c r="H124" s="364">
        <v>11</v>
      </c>
      <c r="I124" s="364">
        <v>11</v>
      </c>
      <c r="J124" s="364">
        <v>11</v>
      </c>
      <c r="L124" s="362">
        <v>1</v>
      </c>
    </row>
    <row r="125" spans="1:12" hidden="1">
      <c r="A125" s="356">
        <v>39560</v>
      </c>
      <c r="B125" s="356" t="s">
        <v>470</v>
      </c>
      <c r="C125" s="357">
        <v>182</v>
      </c>
      <c r="D125" s="356">
        <v>39742</v>
      </c>
      <c r="E125" s="360">
        <v>5</v>
      </c>
      <c r="F125" s="358">
        <v>4.8368000000000002</v>
      </c>
      <c r="G125" s="358">
        <v>4.8368000000000002</v>
      </c>
      <c r="H125" s="358">
        <v>10.979999999999999</v>
      </c>
      <c r="I125" s="358">
        <v>11</v>
      </c>
      <c r="J125" s="358">
        <v>11</v>
      </c>
      <c r="L125" s="357">
        <v>3</v>
      </c>
    </row>
    <row r="126" spans="1:12" s="365" customFormat="1" hidden="1">
      <c r="A126" s="361">
        <v>39567</v>
      </c>
      <c r="B126" s="361" t="s">
        <v>471</v>
      </c>
      <c r="C126" s="362">
        <v>182</v>
      </c>
      <c r="D126" s="361">
        <v>39749</v>
      </c>
      <c r="E126" s="363">
        <v>5</v>
      </c>
      <c r="F126" s="364">
        <v>0.49519999999999997</v>
      </c>
      <c r="G126" s="364">
        <v>0.49519999999999997</v>
      </c>
      <c r="H126" s="364">
        <v>11</v>
      </c>
      <c r="I126" s="364">
        <v>11</v>
      </c>
      <c r="J126" s="364">
        <v>11</v>
      </c>
      <c r="L126" s="362">
        <v>1</v>
      </c>
    </row>
    <row r="127" spans="1:12" hidden="1">
      <c r="A127" s="356">
        <v>39574</v>
      </c>
      <c r="B127" s="356" t="s">
        <v>472</v>
      </c>
      <c r="C127" s="357">
        <v>364</v>
      </c>
      <c r="D127" s="356">
        <v>39938</v>
      </c>
      <c r="E127" s="360">
        <v>10</v>
      </c>
      <c r="F127" s="358">
        <v>0</v>
      </c>
      <c r="G127" s="358">
        <v>10</v>
      </c>
      <c r="H127" s="358">
        <v>11</v>
      </c>
      <c r="I127" s="358">
        <v>11</v>
      </c>
      <c r="J127" s="358">
        <v>11</v>
      </c>
      <c r="L127" s="357">
        <v>1</v>
      </c>
    </row>
    <row r="128" spans="1:12" hidden="1">
      <c r="A128" s="361">
        <v>39574</v>
      </c>
      <c r="B128" s="361" t="s">
        <v>473</v>
      </c>
      <c r="C128" s="362">
        <v>182</v>
      </c>
      <c r="D128" s="361">
        <v>39756</v>
      </c>
      <c r="E128" s="363">
        <v>5</v>
      </c>
      <c r="F128" s="364">
        <v>0</v>
      </c>
      <c r="G128" s="364">
        <v>5</v>
      </c>
      <c r="H128" s="364">
        <v>11</v>
      </c>
      <c r="I128" s="364">
        <v>11</v>
      </c>
      <c r="J128" s="364">
        <v>11</v>
      </c>
      <c r="K128" s="365"/>
      <c r="L128" s="362">
        <v>1</v>
      </c>
    </row>
    <row r="129" spans="1:12" hidden="1">
      <c r="A129" s="356">
        <v>39581</v>
      </c>
      <c r="B129" s="356" t="s">
        <v>474</v>
      </c>
      <c r="C129" s="357">
        <v>364</v>
      </c>
      <c r="D129" s="356">
        <v>39945</v>
      </c>
      <c r="E129" s="360">
        <v>3</v>
      </c>
      <c r="F129" s="358">
        <v>0</v>
      </c>
      <c r="G129" s="358">
        <v>3</v>
      </c>
      <c r="H129" s="358">
        <v>11</v>
      </c>
      <c r="I129" s="358">
        <v>11</v>
      </c>
      <c r="J129" s="358">
        <v>11</v>
      </c>
      <c r="L129" s="357">
        <v>1</v>
      </c>
    </row>
    <row r="130" spans="1:12" hidden="1">
      <c r="A130" s="361">
        <v>39588</v>
      </c>
      <c r="B130" s="361" t="s">
        <v>475</v>
      </c>
      <c r="C130" s="362">
        <v>91</v>
      </c>
      <c r="D130" s="361">
        <v>39679</v>
      </c>
      <c r="E130" s="363">
        <v>3</v>
      </c>
      <c r="F130" s="364">
        <v>0.30719999999999997</v>
      </c>
      <c r="G130" s="364">
        <v>3</v>
      </c>
      <c r="H130" s="364">
        <v>10.5</v>
      </c>
      <c r="I130" s="364">
        <v>10.5</v>
      </c>
      <c r="J130" s="364">
        <v>10.5</v>
      </c>
      <c r="K130" s="365"/>
      <c r="L130" s="362">
        <v>1</v>
      </c>
    </row>
    <row r="131" spans="1:12" hidden="1">
      <c r="A131" s="356">
        <v>39588</v>
      </c>
      <c r="B131" s="356" t="s">
        <v>476</v>
      </c>
      <c r="C131" s="357">
        <v>182</v>
      </c>
      <c r="D131" s="356">
        <v>39770</v>
      </c>
      <c r="E131" s="360">
        <v>5</v>
      </c>
      <c r="F131" s="358">
        <v>0</v>
      </c>
      <c r="G131" s="358">
        <v>5.0001999999999995</v>
      </c>
      <c r="H131" s="358">
        <v>10.97</v>
      </c>
      <c r="I131" s="358">
        <v>10.97</v>
      </c>
      <c r="J131" s="358">
        <v>10.97</v>
      </c>
      <c r="L131" s="357">
        <v>0</v>
      </c>
    </row>
    <row r="132" spans="1:12" hidden="1">
      <c r="A132" s="361">
        <v>39595</v>
      </c>
      <c r="B132" s="361" t="s">
        <v>477</v>
      </c>
      <c r="C132" s="362">
        <v>182</v>
      </c>
      <c r="D132" s="361">
        <v>39777</v>
      </c>
      <c r="E132" s="363">
        <v>5</v>
      </c>
      <c r="F132" s="364">
        <v>0</v>
      </c>
      <c r="G132" s="364">
        <v>5</v>
      </c>
      <c r="H132" s="364">
        <v>10.979999999999999</v>
      </c>
      <c r="I132" s="364">
        <v>10.98</v>
      </c>
      <c r="J132" s="364">
        <v>10.979999999999999</v>
      </c>
      <c r="K132" s="365"/>
      <c r="L132" s="362">
        <v>0</v>
      </c>
    </row>
    <row r="133" spans="1:12" hidden="1">
      <c r="A133" s="356">
        <v>39595</v>
      </c>
      <c r="B133" s="356" t="s">
        <v>478</v>
      </c>
      <c r="C133" s="357">
        <v>364</v>
      </c>
      <c r="D133" s="356">
        <v>39959</v>
      </c>
      <c r="E133" s="360">
        <v>10</v>
      </c>
      <c r="F133" s="358">
        <v>0</v>
      </c>
      <c r="G133" s="358">
        <v>5</v>
      </c>
      <c r="H133" s="358">
        <v>11</v>
      </c>
      <c r="I133" s="358">
        <v>11</v>
      </c>
      <c r="J133" s="358">
        <v>11</v>
      </c>
      <c r="L133" s="357">
        <v>1</v>
      </c>
    </row>
    <row r="134" spans="1:12" hidden="1">
      <c r="A134" s="361">
        <v>39602</v>
      </c>
      <c r="B134" s="361" t="s">
        <v>479</v>
      </c>
      <c r="C134" s="362">
        <v>91</v>
      </c>
      <c r="D134" s="361">
        <v>39693</v>
      </c>
      <c r="E134" s="363">
        <v>3</v>
      </c>
      <c r="F134" s="364">
        <v>0</v>
      </c>
      <c r="G134" s="364">
        <v>3</v>
      </c>
      <c r="H134" s="364">
        <v>10.99</v>
      </c>
      <c r="I134" s="364">
        <v>10.99</v>
      </c>
      <c r="J134" s="364">
        <v>10.99</v>
      </c>
      <c r="K134" s="365"/>
      <c r="L134" s="362">
        <v>0</v>
      </c>
    </row>
    <row r="135" spans="1:12" hidden="1">
      <c r="A135" s="356">
        <v>39602</v>
      </c>
      <c r="B135" s="356" t="s">
        <v>480</v>
      </c>
      <c r="C135" s="357">
        <v>182</v>
      </c>
      <c r="D135" s="356">
        <v>39784</v>
      </c>
      <c r="E135" s="360">
        <v>3</v>
      </c>
      <c r="F135" s="358">
        <v>0</v>
      </c>
      <c r="G135" s="358">
        <v>3</v>
      </c>
      <c r="H135" s="358">
        <v>11.48</v>
      </c>
      <c r="I135" s="358">
        <v>11.48</v>
      </c>
      <c r="J135" s="358">
        <v>11.48</v>
      </c>
      <c r="L135" s="357">
        <v>0</v>
      </c>
    </row>
    <row r="136" spans="1:12" hidden="1">
      <c r="A136" s="361">
        <v>39609</v>
      </c>
      <c r="B136" s="361" t="s">
        <v>481</v>
      </c>
      <c r="C136" s="362">
        <v>360</v>
      </c>
      <c r="D136" s="361">
        <v>39969</v>
      </c>
      <c r="E136" s="363">
        <v>10</v>
      </c>
      <c r="F136" s="364">
        <v>0</v>
      </c>
      <c r="G136" s="364">
        <v>10</v>
      </c>
      <c r="H136" s="364">
        <v>11.5</v>
      </c>
      <c r="I136" s="364">
        <v>11.5</v>
      </c>
      <c r="J136" s="364">
        <v>11.5</v>
      </c>
      <c r="K136" s="365"/>
      <c r="L136" s="362">
        <v>0</v>
      </c>
    </row>
    <row r="137" spans="1:12" hidden="1">
      <c r="A137" s="356">
        <v>39609</v>
      </c>
      <c r="B137" s="356" t="s">
        <v>482</v>
      </c>
      <c r="C137" s="357">
        <v>182</v>
      </c>
      <c r="D137" s="356">
        <v>39791</v>
      </c>
      <c r="E137" s="360">
        <v>3</v>
      </c>
      <c r="F137" s="358">
        <v>0</v>
      </c>
      <c r="G137" s="358">
        <v>1.6557999999999999</v>
      </c>
      <c r="H137" s="358">
        <v>0</v>
      </c>
      <c r="I137" s="358">
        <v>0</v>
      </c>
      <c r="J137" s="358">
        <v>0</v>
      </c>
      <c r="L137" s="357">
        <v>0</v>
      </c>
    </row>
    <row r="138" spans="1:12" hidden="1">
      <c r="A138" s="361">
        <v>39616</v>
      </c>
      <c r="B138" s="361" t="s">
        <v>483</v>
      </c>
      <c r="C138" s="362">
        <v>91</v>
      </c>
      <c r="D138" s="361">
        <v>39707</v>
      </c>
      <c r="E138" s="363">
        <v>2</v>
      </c>
      <c r="F138" s="364">
        <v>0</v>
      </c>
      <c r="G138" s="364">
        <v>0</v>
      </c>
      <c r="H138" s="364">
        <v>0</v>
      </c>
      <c r="I138" s="364">
        <v>0</v>
      </c>
      <c r="J138" s="364">
        <v>0</v>
      </c>
      <c r="K138" s="365"/>
      <c r="L138" s="362">
        <v>0</v>
      </c>
    </row>
    <row r="139" spans="1:12" hidden="1">
      <c r="A139" s="356">
        <v>39616</v>
      </c>
      <c r="B139" s="356" t="s">
        <v>484</v>
      </c>
      <c r="C139" s="357">
        <v>182</v>
      </c>
      <c r="D139" s="356">
        <v>39798</v>
      </c>
      <c r="E139" s="360">
        <v>2</v>
      </c>
      <c r="F139" s="358">
        <v>0</v>
      </c>
      <c r="G139" s="358">
        <v>0</v>
      </c>
      <c r="H139" s="358">
        <v>0</v>
      </c>
      <c r="I139" s="358">
        <v>0</v>
      </c>
      <c r="J139" s="358">
        <v>0</v>
      </c>
      <c r="L139" s="357">
        <v>0</v>
      </c>
    </row>
    <row r="140" spans="1:12" hidden="1">
      <c r="A140" s="361">
        <v>39616</v>
      </c>
      <c r="B140" s="361" t="s">
        <v>485</v>
      </c>
      <c r="C140" s="362">
        <v>364</v>
      </c>
      <c r="D140" s="361">
        <v>39980</v>
      </c>
      <c r="E140" s="363">
        <v>2</v>
      </c>
      <c r="F140" s="364">
        <v>0</v>
      </c>
      <c r="G140" s="364">
        <v>0</v>
      </c>
      <c r="H140" s="364">
        <v>0</v>
      </c>
      <c r="I140" s="364">
        <v>0</v>
      </c>
      <c r="J140" s="364">
        <v>0</v>
      </c>
      <c r="K140" s="365"/>
      <c r="L140" s="362">
        <v>0</v>
      </c>
    </row>
    <row r="141" spans="1:12" hidden="1">
      <c r="A141" s="356">
        <v>39623</v>
      </c>
      <c r="B141" s="356" t="s">
        <v>486</v>
      </c>
      <c r="C141" s="357">
        <v>182</v>
      </c>
      <c r="D141" s="356">
        <v>39805</v>
      </c>
      <c r="E141" s="360">
        <v>3</v>
      </c>
      <c r="F141" s="358">
        <v>2.0110000000000001</v>
      </c>
      <c r="G141" s="358">
        <v>1.06</v>
      </c>
      <c r="H141" s="358">
        <v>10.190000000000001</v>
      </c>
      <c r="I141" s="358">
        <v>10.49</v>
      </c>
      <c r="J141" s="358">
        <v>10.190000000000001</v>
      </c>
      <c r="L141" s="357">
        <v>1</v>
      </c>
    </row>
    <row r="142" spans="1:12" hidden="1">
      <c r="A142" s="361">
        <v>39637</v>
      </c>
      <c r="B142" s="361" t="s">
        <v>487</v>
      </c>
      <c r="C142" s="362">
        <v>364</v>
      </c>
      <c r="D142" s="361">
        <v>40001</v>
      </c>
      <c r="E142" s="363">
        <v>3</v>
      </c>
      <c r="F142" s="364">
        <v>0</v>
      </c>
      <c r="G142" s="364">
        <v>2</v>
      </c>
      <c r="H142" s="364">
        <v>11.379999999999999</v>
      </c>
      <c r="I142" s="364">
        <v>11.38</v>
      </c>
      <c r="J142" s="364">
        <v>11.379999999999999</v>
      </c>
      <c r="K142" s="365"/>
      <c r="L142" s="362">
        <v>0</v>
      </c>
    </row>
    <row r="143" spans="1:12" hidden="1">
      <c r="A143" s="356">
        <v>39644</v>
      </c>
      <c r="B143" s="356" t="s">
        <v>488</v>
      </c>
      <c r="C143" s="357">
        <v>91</v>
      </c>
      <c r="D143" s="356">
        <v>39735</v>
      </c>
      <c r="E143" s="360">
        <v>7</v>
      </c>
      <c r="F143" s="358">
        <v>0</v>
      </c>
      <c r="G143" s="358">
        <v>7</v>
      </c>
      <c r="H143" s="358">
        <v>11.459999999999999</v>
      </c>
      <c r="I143" s="358">
        <v>11.46</v>
      </c>
      <c r="J143" s="358">
        <v>11.459999999999999</v>
      </c>
      <c r="L143" s="357">
        <v>0</v>
      </c>
    </row>
    <row r="144" spans="1:12" hidden="1">
      <c r="A144" s="361">
        <v>39644</v>
      </c>
      <c r="B144" s="361" t="s">
        <v>489</v>
      </c>
      <c r="C144" s="362">
        <v>182</v>
      </c>
      <c r="D144" s="361">
        <v>39826</v>
      </c>
      <c r="E144" s="363">
        <v>5</v>
      </c>
      <c r="F144" s="364">
        <v>0</v>
      </c>
      <c r="G144" s="364">
        <v>5</v>
      </c>
      <c r="H144" s="364">
        <v>11.5</v>
      </c>
      <c r="I144" s="364">
        <v>11.5</v>
      </c>
      <c r="J144" s="364">
        <v>11.5</v>
      </c>
      <c r="K144" s="365"/>
      <c r="L144" s="362">
        <v>0</v>
      </c>
    </row>
    <row r="145" spans="1:12" hidden="1">
      <c r="A145" s="356">
        <v>39651</v>
      </c>
      <c r="B145" s="356" t="s">
        <v>490</v>
      </c>
      <c r="C145" s="357">
        <v>364</v>
      </c>
      <c r="D145" s="356">
        <v>40015</v>
      </c>
      <c r="E145" s="360">
        <v>5</v>
      </c>
      <c r="F145" s="358">
        <v>2.3934000000000002</v>
      </c>
      <c r="G145" s="358">
        <v>2.3934000000000002</v>
      </c>
      <c r="H145" s="358">
        <v>11.4</v>
      </c>
      <c r="I145" s="358">
        <v>11.46</v>
      </c>
      <c r="J145" s="358">
        <v>11.4</v>
      </c>
      <c r="L145" s="357">
        <v>2</v>
      </c>
    </row>
    <row r="146" spans="1:12" hidden="1">
      <c r="A146" s="361">
        <v>39658</v>
      </c>
      <c r="B146" s="361" t="s">
        <v>491</v>
      </c>
      <c r="C146" s="362">
        <v>91</v>
      </c>
      <c r="D146" s="361">
        <v>39749</v>
      </c>
      <c r="E146" s="363">
        <v>3</v>
      </c>
      <c r="F146" s="364">
        <v>0.1026</v>
      </c>
      <c r="G146" s="364">
        <v>3</v>
      </c>
      <c r="H146" s="364">
        <v>11.469999999999999</v>
      </c>
      <c r="I146" s="364">
        <v>11.47</v>
      </c>
      <c r="J146" s="364">
        <v>11.469999999999999</v>
      </c>
      <c r="K146" s="365"/>
      <c r="L146" s="362">
        <v>1</v>
      </c>
    </row>
    <row r="147" spans="1:12" hidden="1">
      <c r="A147" s="356">
        <v>39658</v>
      </c>
      <c r="B147" s="356" t="s">
        <v>492</v>
      </c>
      <c r="C147" s="357">
        <v>182</v>
      </c>
      <c r="D147" s="356">
        <v>39840</v>
      </c>
      <c r="E147" s="360"/>
      <c r="F147" s="358">
        <v>1.9026000000000001</v>
      </c>
      <c r="G147" s="358">
        <v>5</v>
      </c>
      <c r="H147" s="358">
        <v>11.49</v>
      </c>
      <c r="I147" s="358">
        <v>11.49</v>
      </c>
      <c r="J147" s="358">
        <v>11.49</v>
      </c>
      <c r="L147" s="357">
        <v>1</v>
      </c>
    </row>
    <row r="148" spans="1:12" hidden="1">
      <c r="A148" s="361">
        <v>39658</v>
      </c>
      <c r="B148" s="361" t="s">
        <v>493</v>
      </c>
      <c r="C148" s="362">
        <v>364</v>
      </c>
      <c r="D148" s="361">
        <v>40022</v>
      </c>
      <c r="E148" s="363">
        <v>5</v>
      </c>
      <c r="F148" s="364">
        <v>0</v>
      </c>
      <c r="G148" s="364">
        <v>5</v>
      </c>
      <c r="H148" s="364">
        <v>11.51</v>
      </c>
      <c r="I148" s="364">
        <v>11.51</v>
      </c>
      <c r="J148" s="364">
        <v>11.51</v>
      </c>
      <c r="K148" s="365"/>
      <c r="L148" s="362">
        <v>0</v>
      </c>
    </row>
    <row r="149" spans="1:12" hidden="1">
      <c r="A149" s="356">
        <v>39665</v>
      </c>
      <c r="B149" s="356" t="s">
        <v>494</v>
      </c>
      <c r="C149" s="357">
        <v>182</v>
      </c>
      <c r="D149" s="356">
        <v>39847</v>
      </c>
      <c r="E149" s="360">
        <v>5</v>
      </c>
      <c r="F149" s="358">
        <v>3.1</v>
      </c>
      <c r="G149" s="358">
        <v>5</v>
      </c>
      <c r="H149" s="358">
        <v>11.469999999999999</v>
      </c>
      <c r="I149" s="358">
        <v>11.52</v>
      </c>
      <c r="J149" s="358">
        <v>11.469999999999999</v>
      </c>
      <c r="L149" s="357">
        <v>3</v>
      </c>
    </row>
    <row r="150" spans="1:12" hidden="1">
      <c r="A150" s="361">
        <v>39665</v>
      </c>
      <c r="B150" s="361" t="s">
        <v>495</v>
      </c>
      <c r="C150" s="362">
        <v>364</v>
      </c>
      <c r="D150" s="361">
        <v>40029</v>
      </c>
      <c r="E150" s="363">
        <v>5</v>
      </c>
      <c r="F150" s="364">
        <v>0</v>
      </c>
      <c r="G150" s="364">
        <v>0.50580000000000003</v>
      </c>
      <c r="H150" s="364">
        <v>10.489999999999998</v>
      </c>
      <c r="I150" s="364">
        <v>10.49</v>
      </c>
      <c r="J150" s="364">
        <v>10.489999999999998</v>
      </c>
      <c r="K150" s="365"/>
      <c r="L150" s="362">
        <v>0</v>
      </c>
    </row>
    <row r="151" spans="1:12" hidden="1">
      <c r="A151" s="356">
        <v>39672</v>
      </c>
      <c r="B151" s="356" t="s">
        <v>496</v>
      </c>
      <c r="C151" s="357">
        <v>91</v>
      </c>
      <c r="D151" s="356">
        <v>39763</v>
      </c>
      <c r="E151" s="360">
        <v>5</v>
      </c>
      <c r="F151" s="358">
        <v>0.56559999999999999</v>
      </c>
      <c r="G151" s="358">
        <v>4.9999999999999991</v>
      </c>
      <c r="H151" s="358">
        <v>11.51</v>
      </c>
      <c r="I151" s="358">
        <v>11.51</v>
      </c>
      <c r="J151" s="358">
        <v>11.51</v>
      </c>
      <c r="L151" s="357">
        <v>4</v>
      </c>
    </row>
    <row r="152" spans="1:12" hidden="1">
      <c r="A152" s="361">
        <v>39672</v>
      </c>
      <c r="B152" s="361" t="s">
        <v>497</v>
      </c>
      <c r="C152" s="362">
        <v>182</v>
      </c>
      <c r="D152" s="361">
        <v>39854</v>
      </c>
      <c r="E152" s="363">
        <v>10</v>
      </c>
      <c r="F152" s="364">
        <v>10</v>
      </c>
      <c r="G152" s="364">
        <v>10</v>
      </c>
      <c r="H152" s="364">
        <v>11.49</v>
      </c>
      <c r="I152" s="364">
        <v>11.49</v>
      </c>
      <c r="J152" s="364">
        <v>11.49</v>
      </c>
      <c r="K152" s="365"/>
      <c r="L152" s="362">
        <v>1</v>
      </c>
    </row>
    <row r="153" spans="1:12" hidden="1">
      <c r="A153" s="356">
        <v>39672</v>
      </c>
      <c r="B153" s="356" t="s">
        <v>498</v>
      </c>
      <c r="C153" s="357">
        <v>364</v>
      </c>
      <c r="D153" s="356">
        <v>40036</v>
      </c>
      <c r="E153" s="360">
        <v>5</v>
      </c>
      <c r="F153" s="358">
        <v>0</v>
      </c>
      <c r="G153" s="358">
        <v>5</v>
      </c>
      <c r="H153" s="358">
        <v>11.5</v>
      </c>
      <c r="I153" s="358">
        <v>11.5</v>
      </c>
      <c r="J153" s="358">
        <v>11.5</v>
      </c>
      <c r="L153" s="357">
        <v>0</v>
      </c>
    </row>
    <row r="154" spans="1:12" hidden="1">
      <c r="A154" s="361">
        <v>39679</v>
      </c>
      <c r="B154" s="361" t="s">
        <v>499</v>
      </c>
      <c r="C154" s="362">
        <v>182</v>
      </c>
      <c r="D154" s="361">
        <v>39861</v>
      </c>
      <c r="E154" s="363">
        <v>10</v>
      </c>
      <c r="F154" s="364">
        <v>0</v>
      </c>
      <c r="G154" s="364">
        <v>10</v>
      </c>
      <c r="H154" s="364">
        <v>11.5</v>
      </c>
      <c r="I154" s="364">
        <v>11.5</v>
      </c>
      <c r="J154" s="364">
        <v>11.5</v>
      </c>
      <c r="K154" s="365"/>
      <c r="L154" s="362">
        <v>0</v>
      </c>
    </row>
    <row r="155" spans="1:12" hidden="1">
      <c r="A155" s="356">
        <v>39679</v>
      </c>
      <c r="B155" s="356" t="s">
        <v>500</v>
      </c>
      <c r="C155" s="357">
        <v>364</v>
      </c>
      <c r="D155" s="356">
        <v>40043</v>
      </c>
      <c r="E155" s="360">
        <v>3</v>
      </c>
      <c r="F155" s="358">
        <v>0</v>
      </c>
      <c r="G155" s="358">
        <v>2.2360000000000002</v>
      </c>
      <c r="H155" s="358">
        <v>11.5</v>
      </c>
      <c r="I155" s="358">
        <v>11.5</v>
      </c>
      <c r="J155" s="358">
        <v>11.5</v>
      </c>
      <c r="L155" s="357">
        <v>0</v>
      </c>
    </row>
    <row r="156" spans="1:12" hidden="1">
      <c r="A156" s="361">
        <v>39686</v>
      </c>
      <c r="B156" s="361" t="s">
        <v>501</v>
      </c>
      <c r="C156" s="362">
        <v>91</v>
      </c>
      <c r="D156" s="361">
        <v>39777</v>
      </c>
      <c r="E156" s="363">
        <v>3</v>
      </c>
      <c r="F156" s="364">
        <v>0</v>
      </c>
      <c r="G156" s="364">
        <v>0</v>
      </c>
      <c r="H156" s="364">
        <v>0</v>
      </c>
      <c r="I156" s="364">
        <v>0</v>
      </c>
      <c r="J156" s="364">
        <v>0</v>
      </c>
      <c r="K156" s="365"/>
      <c r="L156" s="362">
        <v>0</v>
      </c>
    </row>
    <row r="157" spans="1:12" hidden="1">
      <c r="A157" s="356">
        <v>39686</v>
      </c>
      <c r="B157" s="356" t="s">
        <v>502</v>
      </c>
      <c r="C157" s="357">
        <v>182</v>
      </c>
      <c r="D157" s="356">
        <v>39868</v>
      </c>
      <c r="E157" s="360">
        <v>5</v>
      </c>
      <c r="F157" s="358">
        <v>1.6588000000000001</v>
      </c>
      <c r="G157" s="358">
        <v>1.6588000000000001</v>
      </c>
      <c r="H157" s="358">
        <v>11.450000000000001</v>
      </c>
      <c r="I157" s="358">
        <v>11.45</v>
      </c>
      <c r="J157" s="358">
        <v>11.450000000000001</v>
      </c>
      <c r="L157" s="357">
        <v>1</v>
      </c>
    </row>
    <row r="158" spans="1:12" hidden="1">
      <c r="A158" s="361">
        <v>39686</v>
      </c>
      <c r="B158" s="361" t="s">
        <v>503</v>
      </c>
      <c r="C158" s="362">
        <v>364</v>
      </c>
      <c r="D158" s="361">
        <v>40050</v>
      </c>
      <c r="E158" s="363">
        <v>3</v>
      </c>
      <c r="F158" s="364">
        <v>0.88019999999999998</v>
      </c>
      <c r="G158" s="364">
        <v>0.88019999999999998</v>
      </c>
      <c r="H158" s="364">
        <v>11.44</v>
      </c>
      <c r="I158" s="364">
        <v>11.44</v>
      </c>
      <c r="J158" s="364">
        <v>11.44</v>
      </c>
      <c r="K158" s="365"/>
      <c r="L158" s="362">
        <v>1</v>
      </c>
    </row>
    <row r="159" spans="1:12" hidden="1">
      <c r="A159" s="356">
        <v>39724</v>
      </c>
      <c r="B159" s="356" t="s">
        <v>504</v>
      </c>
      <c r="C159" s="357">
        <v>95</v>
      </c>
      <c r="D159" s="356">
        <v>39819</v>
      </c>
      <c r="E159" s="360">
        <v>5</v>
      </c>
      <c r="F159" s="358">
        <v>5</v>
      </c>
      <c r="G159" s="368">
        <v>5</v>
      </c>
      <c r="H159" s="368">
        <v>10.639999999999999</v>
      </c>
      <c r="I159" s="358">
        <v>11.51</v>
      </c>
      <c r="J159" s="358">
        <v>10.639999999999999</v>
      </c>
      <c r="L159" s="357">
        <v>2</v>
      </c>
    </row>
    <row r="160" spans="1:12" hidden="1">
      <c r="A160" s="361">
        <v>39724</v>
      </c>
      <c r="B160" s="361" t="s">
        <v>505</v>
      </c>
      <c r="C160" s="362">
        <v>182</v>
      </c>
      <c r="D160" s="361">
        <v>39906</v>
      </c>
      <c r="E160" s="363">
        <v>5</v>
      </c>
      <c r="F160" s="364">
        <v>0.5252</v>
      </c>
      <c r="G160" s="364">
        <v>0.5252</v>
      </c>
      <c r="H160" s="364">
        <v>11.49</v>
      </c>
      <c r="I160" s="364">
        <v>11.49</v>
      </c>
      <c r="J160" s="364">
        <v>11.49</v>
      </c>
      <c r="K160" s="365"/>
      <c r="L160" s="362">
        <v>1</v>
      </c>
    </row>
    <row r="161" spans="1:12" hidden="1">
      <c r="A161" s="356">
        <v>39756</v>
      </c>
      <c r="B161" s="356" t="s">
        <v>506</v>
      </c>
      <c r="C161" s="357">
        <v>91</v>
      </c>
      <c r="D161" s="356">
        <v>39847</v>
      </c>
      <c r="E161" s="360">
        <v>15</v>
      </c>
      <c r="F161" s="358">
        <v>27.520399999999999</v>
      </c>
      <c r="G161" s="358">
        <v>15</v>
      </c>
      <c r="H161" s="358">
        <v>8.98</v>
      </c>
      <c r="I161" s="358">
        <v>11.3</v>
      </c>
      <c r="J161" s="358">
        <v>9.06</v>
      </c>
      <c r="L161" s="357">
        <v>7</v>
      </c>
    </row>
    <row r="162" spans="1:12" hidden="1">
      <c r="A162" s="361">
        <v>39759</v>
      </c>
      <c r="B162" s="361" t="s">
        <v>507</v>
      </c>
      <c r="C162" s="362">
        <v>91</v>
      </c>
      <c r="D162" s="361">
        <v>39850</v>
      </c>
      <c r="E162" s="363">
        <v>20</v>
      </c>
      <c r="F162" s="364">
        <v>0</v>
      </c>
      <c r="G162" s="364">
        <v>0</v>
      </c>
      <c r="H162" s="364">
        <v>0</v>
      </c>
      <c r="I162" s="364">
        <v>0</v>
      </c>
      <c r="J162" s="364">
        <v>0</v>
      </c>
      <c r="K162" s="365"/>
      <c r="L162" s="362">
        <v>0</v>
      </c>
    </row>
    <row r="163" spans="1:12" hidden="1">
      <c r="A163" s="356">
        <v>39763</v>
      </c>
      <c r="B163" s="356" t="s">
        <v>508</v>
      </c>
      <c r="C163" s="357">
        <v>91</v>
      </c>
      <c r="D163" s="356">
        <v>39854</v>
      </c>
      <c r="E163" s="360">
        <v>20</v>
      </c>
      <c r="F163" s="358">
        <v>0</v>
      </c>
      <c r="G163" s="358">
        <v>0</v>
      </c>
      <c r="H163" s="358">
        <v>0</v>
      </c>
      <c r="I163" s="358">
        <v>0</v>
      </c>
      <c r="J163" s="358">
        <v>0</v>
      </c>
      <c r="L163" s="357">
        <v>0</v>
      </c>
    </row>
    <row r="164" spans="1:12" hidden="1">
      <c r="A164" s="361">
        <v>39766</v>
      </c>
      <c r="B164" s="361" t="s">
        <v>509</v>
      </c>
      <c r="C164" s="362">
        <v>91</v>
      </c>
      <c r="D164" s="361">
        <v>39857</v>
      </c>
      <c r="E164" s="363">
        <v>15</v>
      </c>
      <c r="F164" s="364">
        <v>19.988600000000002</v>
      </c>
      <c r="G164" s="364">
        <v>15</v>
      </c>
      <c r="H164" s="364">
        <v>8.02</v>
      </c>
      <c r="I164" s="364">
        <v>8.98</v>
      </c>
      <c r="J164" s="364">
        <v>8.81</v>
      </c>
      <c r="K164" s="365"/>
      <c r="L164" s="362">
        <v>4</v>
      </c>
    </row>
    <row r="165" spans="1:12" hidden="1">
      <c r="A165" s="356">
        <v>39770</v>
      </c>
      <c r="B165" s="356" t="s">
        <v>510</v>
      </c>
      <c r="C165" s="357">
        <v>182</v>
      </c>
      <c r="D165" s="356">
        <v>39952</v>
      </c>
      <c r="E165" s="360">
        <v>5</v>
      </c>
      <c r="F165" s="358">
        <v>3.1360000000000001</v>
      </c>
      <c r="G165" s="358">
        <v>1.8355999999999999</v>
      </c>
      <c r="H165" s="358">
        <v>9.49</v>
      </c>
      <c r="I165" s="358">
        <v>0</v>
      </c>
      <c r="J165" s="358">
        <v>9.49</v>
      </c>
      <c r="L165" s="357">
        <v>3</v>
      </c>
    </row>
    <row r="166" spans="1:12" hidden="1">
      <c r="A166" s="361">
        <v>39777</v>
      </c>
      <c r="B166" s="361" t="s">
        <v>511</v>
      </c>
      <c r="C166" s="362">
        <v>182</v>
      </c>
      <c r="D166" s="361">
        <v>39959</v>
      </c>
      <c r="E166" s="363">
        <v>5</v>
      </c>
      <c r="F166" s="364">
        <v>1.044</v>
      </c>
      <c r="G166" s="364">
        <v>1.044</v>
      </c>
      <c r="H166" s="364">
        <v>9.4700000000000006</v>
      </c>
      <c r="I166" s="364">
        <v>9.4700000000000006</v>
      </c>
      <c r="J166" s="364">
        <v>9.4700000000000006</v>
      </c>
      <c r="K166" s="365"/>
      <c r="L166" s="362">
        <v>1</v>
      </c>
    </row>
    <row r="167" spans="1:12" hidden="1">
      <c r="A167" s="356">
        <v>39784</v>
      </c>
      <c r="B167" s="356" t="s">
        <v>512</v>
      </c>
      <c r="C167" s="357">
        <v>182</v>
      </c>
      <c r="D167" s="356">
        <v>39966</v>
      </c>
      <c r="E167" s="360">
        <v>5</v>
      </c>
      <c r="F167" s="358">
        <v>3.6629999999999998</v>
      </c>
      <c r="G167" s="358">
        <v>3.6629999999999998</v>
      </c>
      <c r="H167" s="358">
        <v>8.92</v>
      </c>
      <c r="I167" s="358">
        <v>9.49</v>
      </c>
      <c r="J167" s="358">
        <v>9.2100000000000009</v>
      </c>
      <c r="L167" s="357">
        <v>4</v>
      </c>
    </row>
    <row r="168" spans="1:12" hidden="1">
      <c r="A168" s="361">
        <v>39792</v>
      </c>
      <c r="B168" s="361" t="s">
        <v>513</v>
      </c>
      <c r="C168" s="362">
        <v>181</v>
      </c>
      <c r="D168" s="361">
        <v>39973</v>
      </c>
      <c r="E168" s="363">
        <v>8</v>
      </c>
      <c r="F168" s="364">
        <v>8</v>
      </c>
      <c r="G168" s="364">
        <v>8</v>
      </c>
      <c r="H168" s="364">
        <v>9.3000000000000007</v>
      </c>
      <c r="I168" s="364">
        <v>9.39</v>
      </c>
      <c r="J168" s="364">
        <v>9.39</v>
      </c>
      <c r="K168" s="365"/>
      <c r="L168" s="362">
        <v>3</v>
      </c>
    </row>
    <row r="169" spans="1:12" hidden="1">
      <c r="A169" s="356">
        <v>39805</v>
      </c>
      <c r="B169" s="356" t="s">
        <v>514</v>
      </c>
      <c r="C169" s="357">
        <v>35</v>
      </c>
      <c r="D169" s="356">
        <v>39840</v>
      </c>
      <c r="E169" s="360">
        <v>10</v>
      </c>
      <c r="F169" s="358">
        <v>0</v>
      </c>
      <c r="G169" s="358">
        <v>10</v>
      </c>
      <c r="H169" s="358">
        <v>5.83</v>
      </c>
      <c r="I169" s="358">
        <v>5.94</v>
      </c>
      <c r="J169" s="358">
        <v>5.94</v>
      </c>
      <c r="L169" s="357">
        <v>3</v>
      </c>
    </row>
    <row r="170" spans="1:12" hidden="1">
      <c r="A170" s="361">
        <v>39808</v>
      </c>
      <c r="B170" s="361" t="s">
        <v>515</v>
      </c>
      <c r="C170" s="362">
        <v>35</v>
      </c>
      <c r="D170" s="361">
        <v>39843</v>
      </c>
      <c r="E170" s="363">
        <v>5</v>
      </c>
      <c r="F170" s="364">
        <v>0</v>
      </c>
      <c r="G170" s="364">
        <v>5</v>
      </c>
      <c r="H170" s="364">
        <v>5.96</v>
      </c>
      <c r="I170" s="364">
        <v>5.96</v>
      </c>
      <c r="J170" s="364">
        <v>5.96</v>
      </c>
      <c r="K170" s="365"/>
      <c r="L170" s="362">
        <v>1</v>
      </c>
    </row>
    <row r="171" spans="1:12" hidden="1">
      <c r="A171" s="356">
        <v>39836</v>
      </c>
      <c r="B171" s="356" t="s">
        <v>516</v>
      </c>
      <c r="C171" s="357">
        <v>35</v>
      </c>
      <c r="D171" s="356">
        <v>39871</v>
      </c>
      <c r="E171" s="360">
        <v>18</v>
      </c>
      <c r="F171" s="358">
        <v>0</v>
      </c>
      <c r="G171" s="358">
        <v>9.9024000000000001</v>
      </c>
      <c r="H171" s="358">
        <v>5.6800000000000006</v>
      </c>
      <c r="I171" s="358">
        <v>5.6800000000000003E-2</v>
      </c>
      <c r="J171" s="358">
        <v>5.6800000000000006</v>
      </c>
      <c r="L171" s="357">
        <v>0</v>
      </c>
    </row>
    <row r="172" spans="1:12" hidden="1">
      <c r="A172" s="361">
        <v>39836</v>
      </c>
      <c r="B172" s="361" t="s">
        <v>517</v>
      </c>
      <c r="C172" s="362">
        <v>91</v>
      </c>
      <c r="D172" s="361">
        <v>39927</v>
      </c>
      <c r="E172" s="363">
        <v>25</v>
      </c>
      <c r="F172" s="364">
        <v>0</v>
      </c>
      <c r="G172" s="364">
        <v>2.5861999999999998</v>
      </c>
      <c r="H172" s="364">
        <v>5.7</v>
      </c>
      <c r="I172" s="364">
        <v>5.6999999999999995E-2</v>
      </c>
      <c r="J172" s="364">
        <v>5.7</v>
      </c>
      <c r="K172" s="365"/>
      <c r="L172" s="362">
        <v>1</v>
      </c>
    </row>
    <row r="173" spans="1:12" hidden="1">
      <c r="A173" s="356">
        <v>39836</v>
      </c>
      <c r="B173" s="356" t="s">
        <v>518</v>
      </c>
      <c r="C173" s="357">
        <v>364</v>
      </c>
      <c r="D173" s="356">
        <v>40200</v>
      </c>
      <c r="E173" s="360">
        <v>3</v>
      </c>
      <c r="F173" s="358">
        <v>0</v>
      </c>
      <c r="G173" s="358">
        <v>3</v>
      </c>
      <c r="H173" s="358">
        <v>9</v>
      </c>
      <c r="I173" s="358">
        <v>0.09</v>
      </c>
      <c r="J173" s="358">
        <v>9</v>
      </c>
      <c r="L173" s="357">
        <v>1</v>
      </c>
    </row>
    <row r="174" spans="1:12" hidden="1">
      <c r="A174" s="361">
        <v>39845</v>
      </c>
      <c r="B174" s="361" t="s">
        <v>519</v>
      </c>
      <c r="C174" s="362">
        <v>180</v>
      </c>
      <c r="D174" s="361"/>
      <c r="E174" s="363">
        <v>15</v>
      </c>
      <c r="F174" s="364">
        <v>7.1192000000000002</v>
      </c>
      <c r="G174" s="364">
        <v>12.32</v>
      </c>
      <c r="H174" s="364">
        <v>6.9500000000000011</v>
      </c>
      <c r="I174" s="364">
        <v>7.0000000000000007E-2</v>
      </c>
      <c r="J174" s="364">
        <v>6.9500000000000011</v>
      </c>
      <c r="K174" s="365"/>
      <c r="L174" s="362">
        <v>3</v>
      </c>
    </row>
    <row r="175" spans="1:12" hidden="1">
      <c r="A175" s="356">
        <v>39847</v>
      </c>
      <c r="B175" s="356" t="s">
        <v>520</v>
      </c>
      <c r="C175" s="357">
        <v>35</v>
      </c>
      <c r="D175" s="356">
        <v>39882</v>
      </c>
      <c r="E175" s="360">
        <v>18</v>
      </c>
      <c r="F175" s="358">
        <v>29.989000000000001</v>
      </c>
      <c r="G175" s="358">
        <v>18</v>
      </c>
      <c r="H175" s="358">
        <v>4.71</v>
      </c>
      <c r="I175" s="358">
        <v>5.0299999999999997E-2</v>
      </c>
      <c r="J175" s="358">
        <v>4.92</v>
      </c>
      <c r="L175" s="357">
        <v>5</v>
      </c>
    </row>
    <row r="176" spans="1:12" hidden="1">
      <c r="A176" s="361">
        <v>39850</v>
      </c>
      <c r="B176" s="361" t="s">
        <v>521</v>
      </c>
      <c r="C176" s="362">
        <v>91</v>
      </c>
      <c r="D176" s="361">
        <v>39941</v>
      </c>
      <c r="E176" s="363">
        <v>18</v>
      </c>
      <c r="F176" s="364">
        <v>8.0752000000000006</v>
      </c>
      <c r="G176" s="364">
        <v>10.135200000000001</v>
      </c>
      <c r="H176" s="364">
        <v>5.7700000000000005</v>
      </c>
      <c r="I176" s="364">
        <v>5.7700000000000001E-2</v>
      </c>
      <c r="J176" s="364">
        <v>5.7700000000000005</v>
      </c>
      <c r="K176" s="365"/>
      <c r="L176" s="362">
        <v>1</v>
      </c>
    </row>
    <row r="177" spans="1:12" hidden="1">
      <c r="A177" s="356">
        <v>39850</v>
      </c>
      <c r="B177" s="356" t="s">
        <v>522</v>
      </c>
      <c r="C177" s="357">
        <v>364</v>
      </c>
      <c r="D177" s="356">
        <v>40214</v>
      </c>
      <c r="E177" s="360">
        <v>3</v>
      </c>
      <c r="F177" s="358">
        <v>0</v>
      </c>
      <c r="G177" s="358">
        <v>3</v>
      </c>
      <c r="H177" s="358">
        <v>8.6999999999999993</v>
      </c>
      <c r="I177" s="358">
        <v>8.6999999999999994E-2</v>
      </c>
      <c r="J177" s="358">
        <v>8.6999999999999993</v>
      </c>
      <c r="L177" s="357">
        <v>1</v>
      </c>
    </row>
    <row r="178" spans="1:12" hidden="1">
      <c r="A178" s="361">
        <v>39854</v>
      </c>
      <c r="B178" s="361" t="s">
        <v>523</v>
      </c>
      <c r="C178" s="362">
        <v>182</v>
      </c>
      <c r="D178" s="361">
        <v>40036</v>
      </c>
      <c r="E178" s="363">
        <v>7</v>
      </c>
      <c r="F178" s="364">
        <v>0.62339999999999995</v>
      </c>
      <c r="G178" s="364">
        <v>4.2834000000000003</v>
      </c>
      <c r="H178" s="364">
        <v>6.9099999999999993</v>
      </c>
      <c r="I178" s="364">
        <v>6.9900000000000004E-2</v>
      </c>
      <c r="J178" s="364">
        <v>6.97</v>
      </c>
      <c r="K178" s="365"/>
      <c r="L178" s="362">
        <v>2</v>
      </c>
    </row>
    <row r="179" spans="1:12" hidden="1">
      <c r="A179" s="356">
        <v>39857</v>
      </c>
      <c r="B179" s="356" t="s">
        <v>524</v>
      </c>
      <c r="C179" s="357">
        <v>728</v>
      </c>
      <c r="D179" s="356">
        <v>40585</v>
      </c>
      <c r="E179" s="360">
        <v>2</v>
      </c>
      <c r="F179" s="358">
        <v>0</v>
      </c>
      <c r="G179" s="358">
        <v>0</v>
      </c>
      <c r="H179" s="358">
        <v>0</v>
      </c>
      <c r="I179" s="358">
        <v>0</v>
      </c>
      <c r="J179" s="358">
        <v>0</v>
      </c>
      <c r="L179" s="357">
        <v>0</v>
      </c>
    </row>
    <row r="180" spans="1:12" hidden="1">
      <c r="A180" s="361">
        <v>39861</v>
      </c>
      <c r="B180" s="361" t="s">
        <v>525</v>
      </c>
      <c r="C180" s="362">
        <v>91</v>
      </c>
      <c r="D180" s="361">
        <v>39952</v>
      </c>
      <c r="E180" s="363">
        <v>15</v>
      </c>
      <c r="F180" s="364">
        <v>0</v>
      </c>
      <c r="G180" s="364">
        <v>0</v>
      </c>
      <c r="H180" s="364">
        <v>0</v>
      </c>
      <c r="I180" s="364">
        <v>0</v>
      </c>
      <c r="J180" s="364">
        <v>0</v>
      </c>
      <c r="K180" s="365"/>
      <c r="L180" s="362">
        <v>0</v>
      </c>
    </row>
    <row r="181" spans="1:12" hidden="1">
      <c r="A181" s="356">
        <v>39862</v>
      </c>
      <c r="B181" s="356" t="s">
        <v>526</v>
      </c>
      <c r="C181" s="357">
        <v>27</v>
      </c>
      <c r="D181" s="356">
        <v>39889</v>
      </c>
      <c r="E181" s="360">
        <v>20</v>
      </c>
      <c r="F181" s="358">
        <v>0</v>
      </c>
      <c r="G181" s="358">
        <v>0</v>
      </c>
      <c r="H181" s="358">
        <v>0</v>
      </c>
      <c r="I181" s="358">
        <v>0</v>
      </c>
      <c r="J181" s="358">
        <v>0</v>
      </c>
      <c r="L181" s="357">
        <v>0</v>
      </c>
    </row>
    <row r="182" spans="1:12" hidden="1">
      <c r="A182" s="361">
        <v>39864</v>
      </c>
      <c r="B182" s="361" t="s">
        <v>527</v>
      </c>
      <c r="C182" s="362">
        <v>364</v>
      </c>
      <c r="D182" s="361">
        <v>40228</v>
      </c>
      <c r="E182" s="363">
        <v>10</v>
      </c>
      <c r="F182" s="364">
        <v>1.08</v>
      </c>
      <c r="G182" s="364">
        <v>1.08</v>
      </c>
      <c r="H182" s="364">
        <v>8.9</v>
      </c>
      <c r="I182" s="364">
        <v>8.8999999999999996E-2</v>
      </c>
      <c r="J182" s="364">
        <v>8.9</v>
      </c>
      <c r="K182" s="365"/>
      <c r="L182" s="362">
        <v>1</v>
      </c>
    </row>
    <row r="183" spans="1:12" hidden="1">
      <c r="A183" s="356">
        <v>39864</v>
      </c>
      <c r="B183" s="356" t="s">
        <v>528</v>
      </c>
      <c r="C183" s="357">
        <v>35</v>
      </c>
      <c r="D183" s="356">
        <v>39899</v>
      </c>
      <c r="E183" s="360">
        <v>12</v>
      </c>
      <c r="F183" s="358">
        <v>5.0229999999999997</v>
      </c>
      <c r="G183" s="358">
        <v>5.0229999999999997</v>
      </c>
      <c r="H183" s="358">
        <v>5.35</v>
      </c>
      <c r="I183" s="358">
        <v>5.3499999999999999E-2</v>
      </c>
      <c r="J183" s="358">
        <v>5.35</v>
      </c>
      <c r="L183" s="357">
        <v>1</v>
      </c>
    </row>
    <row r="184" spans="1:12" hidden="1">
      <c r="A184" s="361">
        <v>39868</v>
      </c>
      <c r="B184" s="361" t="s">
        <v>529</v>
      </c>
      <c r="C184" s="362">
        <v>182</v>
      </c>
      <c r="D184" s="361">
        <v>40050</v>
      </c>
      <c r="E184" s="363">
        <v>8</v>
      </c>
      <c r="F184" s="364">
        <v>1.8</v>
      </c>
      <c r="G184" s="364">
        <v>1.8</v>
      </c>
      <c r="H184" s="364">
        <v>6.99</v>
      </c>
      <c r="I184" s="364">
        <v>6.9900000000000004E-2</v>
      </c>
      <c r="J184" s="364">
        <v>6.99</v>
      </c>
      <c r="K184" s="365"/>
      <c r="L184" s="362">
        <v>1</v>
      </c>
    </row>
    <row r="185" spans="1:12" hidden="1">
      <c r="A185" s="356">
        <v>39871</v>
      </c>
      <c r="B185" s="356" t="s">
        <v>530</v>
      </c>
      <c r="C185" s="357">
        <v>728</v>
      </c>
      <c r="D185" s="356">
        <v>40599</v>
      </c>
      <c r="E185" s="360">
        <v>2</v>
      </c>
      <c r="F185" s="358">
        <v>0</v>
      </c>
      <c r="G185" s="358">
        <v>0</v>
      </c>
      <c r="H185" s="358">
        <v>0</v>
      </c>
      <c r="I185" s="358">
        <v>0</v>
      </c>
      <c r="J185" s="358">
        <v>0</v>
      </c>
      <c r="L185" s="357">
        <v>0</v>
      </c>
    </row>
    <row r="186" spans="1:12" hidden="1">
      <c r="A186" s="361">
        <v>39875</v>
      </c>
      <c r="B186" s="361" t="s">
        <v>531</v>
      </c>
      <c r="C186" s="362">
        <v>35</v>
      </c>
      <c r="D186" s="361">
        <v>39910</v>
      </c>
      <c r="E186" s="363">
        <v>18</v>
      </c>
      <c r="F186" s="364"/>
      <c r="G186" s="364">
        <v>0</v>
      </c>
      <c r="H186" s="364">
        <v>0</v>
      </c>
      <c r="I186" s="364">
        <v>0</v>
      </c>
      <c r="J186" s="364">
        <v>0</v>
      </c>
      <c r="K186" s="365"/>
      <c r="L186" s="362">
        <v>0</v>
      </c>
    </row>
    <row r="187" spans="1:12" hidden="1">
      <c r="A187" s="356">
        <v>39878</v>
      </c>
      <c r="B187" s="356" t="s">
        <v>532</v>
      </c>
      <c r="C187" s="357">
        <v>91</v>
      </c>
      <c r="D187" s="356">
        <v>39969</v>
      </c>
      <c r="E187" s="360">
        <v>18</v>
      </c>
      <c r="F187" s="358">
        <v>0</v>
      </c>
      <c r="G187" s="358">
        <v>0</v>
      </c>
      <c r="H187" s="358">
        <v>0</v>
      </c>
      <c r="I187" s="358">
        <v>0</v>
      </c>
      <c r="J187" s="358">
        <v>0</v>
      </c>
      <c r="L187" s="357">
        <v>0</v>
      </c>
    </row>
    <row r="188" spans="1:12" hidden="1">
      <c r="A188" s="361">
        <v>39878</v>
      </c>
      <c r="B188" s="361" t="s">
        <v>533</v>
      </c>
      <c r="C188" s="362">
        <v>364</v>
      </c>
      <c r="D188" s="361">
        <v>40242</v>
      </c>
      <c r="E188" s="363">
        <v>3</v>
      </c>
      <c r="F188" s="364">
        <v>0</v>
      </c>
      <c r="G188" s="364">
        <v>0</v>
      </c>
      <c r="H188" s="364">
        <v>0</v>
      </c>
      <c r="I188" s="364">
        <v>0</v>
      </c>
      <c r="J188" s="364">
        <v>0</v>
      </c>
      <c r="K188" s="365"/>
      <c r="L188" s="362">
        <v>0</v>
      </c>
    </row>
    <row r="189" spans="1:12" hidden="1">
      <c r="A189" s="356">
        <v>39882</v>
      </c>
      <c r="B189" s="356" t="s">
        <v>534</v>
      </c>
      <c r="C189" s="357">
        <v>182</v>
      </c>
      <c r="D189" s="356">
        <v>40064</v>
      </c>
      <c r="E189" s="360">
        <v>7</v>
      </c>
      <c r="F189" s="358">
        <v>3.7784</v>
      </c>
      <c r="G189" s="358">
        <v>3.7784</v>
      </c>
      <c r="H189" s="358">
        <v>6.84</v>
      </c>
      <c r="I189" s="358">
        <v>6.9900000000000004E-2</v>
      </c>
      <c r="J189" s="358">
        <v>6.84</v>
      </c>
      <c r="L189" s="357">
        <v>3</v>
      </c>
    </row>
    <row r="190" spans="1:12" hidden="1">
      <c r="A190" s="361">
        <v>39885</v>
      </c>
      <c r="B190" s="361" t="s">
        <v>535</v>
      </c>
      <c r="C190" s="362">
        <v>728</v>
      </c>
      <c r="D190" s="361">
        <v>40613</v>
      </c>
      <c r="E190" s="363">
        <v>2</v>
      </c>
      <c r="F190" s="364">
        <v>0.5</v>
      </c>
      <c r="G190" s="364">
        <v>0.5</v>
      </c>
      <c r="H190" s="364">
        <v>9.5</v>
      </c>
      <c r="I190" s="364">
        <v>9.5000000000000001E-2</v>
      </c>
      <c r="J190" s="364">
        <v>9.5</v>
      </c>
      <c r="K190" s="365"/>
      <c r="L190" s="362">
        <v>1</v>
      </c>
    </row>
    <row r="191" spans="1:12" hidden="1">
      <c r="A191" s="356">
        <v>39889</v>
      </c>
      <c r="B191" s="356" t="s">
        <v>536</v>
      </c>
      <c r="C191" s="357">
        <v>364</v>
      </c>
      <c r="D191" s="356">
        <v>40253</v>
      </c>
      <c r="E191" s="360">
        <v>2</v>
      </c>
      <c r="F191" s="358">
        <v>0</v>
      </c>
      <c r="G191" s="358">
        <v>0</v>
      </c>
      <c r="H191" s="358">
        <v>0</v>
      </c>
      <c r="I191" s="358">
        <v>0</v>
      </c>
      <c r="J191" s="358">
        <v>0</v>
      </c>
      <c r="L191" s="357">
        <v>0</v>
      </c>
    </row>
    <row r="192" spans="1:12" hidden="1">
      <c r="A192" s="361">
        <v>39889</v>
      </c>
      <c r="B192" s="361" t="s">
        <v>537</v>
      </c>
      <c r="C192" s="362">
        <v>35</v>
      </c>
      <c r="D192" s="361">
        <v>39924</v>
      </c>
      <c r="E192" s="363">
        <v>20</v>
      </c>
      <c r="F192" s="364">
        <v>5.5948000000000002</v>
      </c>
      <c r="G192" s="364">
        <v>5.5948000000000002</v>
      </c>
      <c r="H192" s="364">
        <v>2.97</v>
      </c>
      <c r="I192" s="364">
        <v>3.0300000000000001E-2</v>
      </c>
      <c r="J192" s="364">
        <v>3.0300000000000002</v>
      </c>
      <c r="K192" s="365"/>
      <c r="L192" s="362">
        <v>2</v>
      </c>
    </row>
    <row r="193" spans="1:256" hidden="1">
      <c r="A193" s="356">
        <v>39901</v>
      </c>
      <c r="B193" s="356" t="s">
        <v>538</v>
      </c>
      <c r="C193" s="357">
        <v>91</v>
      </c>
      <c r="D193" s="356">
        <v>39992</v>
      </c>
      <c r="E193" s="360">
        <v>15</v>
      </c>
      <c r="F193" s="358">
        <v>6.0670000000000002</v>
      </c>
      <c r="G193" s="358">
        <v>6.0670000000000002</v>
      </c>
      <c r="H193" s="358">
        <v>5.04</v>
      </c>
      <c r="I193" s="358">
        <v>5.04E-2</v>
      </c>
      <c r="J193" s="358">
        <v>5.04</v>
      </c>
      <c r="L193" s="357">
        <v>1</v>
      </c>
    </row>
    <row r="194" spans="1:256" hidden="1">
      <c r="A194" s="361">
        <v>39901</v>
      </c>
      <c r="B194" s="361" t="s">
        <v>539</v>
      </c>
      <c r="C194" s="362">
        <v>182</v>
      </c>
      <c r="D194" s="361">
        <v>40083</v>
      </c>
      <c r="E194" s="363">
        <v>8</v>
      </c>
      <c r="F194" s="364">
        <v>0</v>
      </c>
      <c r="G194" s="364">
        <v>0</v>
      </c>
      <c r="H194" s="364">
        <v>0</v>
      </c>
      <c r="I194" s="364">
        <v>0</v>
      </c>
      <c r="J194" s="364">
        <v>0</v>
      </c>
      <c r="K194" s="365"/>
      <c r="L194" s="362">
        <v>0</v>
      </c>
    </row>
    <row r="195" spans="1:256" hidden="1">
      <c r="A195" s="356">
        <v>39903</v>
      </c>
      <c r="B195" s="356" t="s">
        <v>540</v>
      </c>
      <c r="C195" s="357">
        <v>728</v>
      </c>
      <c r="D195" s="356">
        <v>40631</v>
      </c>
      <c r="E195" s="360">
        <v>2</v>
      </c>
      <c r="F195" s="358">
        <v>0</v>
      </c>
      <c r="G195" s="358">
        <v>0</v>
      </c>
      <c r="H195" s="358">
        <v>0</v>
      </c>
      <c r="I195" s="358">
        <v>0</v>
      </c>
      <c r="J195" s="358">
        <v>0</v>
      </c>
      <c r="L195" s="357">
        <v>0</v>
      </c>
    </row>
    <row r="196" spans="1:256" hidden="1">
      <c r="A196" s="361">
        <v>39910</v>
      </c>
      <c r="B196" s="361" t="s">
        <v>541</v>
      </c>
      <c r="C196" s="362">
        <v>364</v>
      </c>
      <c r="D196" s="361">
        <v>40274</v>
      </c>
      <c r="E196" s="363">
        <v>3</v>
      </c>
      <c r="F196" s="364">
        <v>3</v>
      </c>
      <c r="G196" s="364">
        <v>3</v>
      </c>
      <c r="H196" s="364">
        <v>8.49</v>
      </c>
      <c r="I196" s="364">
        <v>8.4900000000000003E-2</v>
      </c>
      <c r="J196" s="364">
        <v>8.49</v>
      </c>
      <c r="K196" s="365"/>
      <c r="L196" s="362">
        <v>1</v>
      </c>
    </row>
    <row r="197" spans="1:256" hidden="1">
      <c r="A197" s="356">
        <v>39910</v>
      </c>
      <c r="B197" s="356" t="s">
        <v>542</v>
      </c>
      <c r="C197" s="357">
        <v>35</v>
      </c>
      <c r="D197" s="356">
        <v>39945</v>
      </c>
      <c r="E197" s="360">
        <v>18</v>
      </c>
      <c r="F197" s="358">
        <v>19.170999999999999</v>
      </c>
      <c r="G197" s="358">
        <v>18</v>
      </c>
      <c r="H197" s="358">
        <v>2.5100000000000002</v>
      </c>
      <c r="I197" s="358">
        <v>3.0300000000000001E-2</v>
      </c>
      <c r="J197" s="358">
        <v>2.93</v>
      </c>
      <c r="L197" s="357">
        <v>5</v>
      </c>
    </row>
    <row r="198" spans="1:256" s="373" customFormat="1" hidden="1">
      <c r="A198" s="369">
        <v>39913</v>
      </c>
      <c r="B198" s="369" t="s">
        <v>543</v>
      </c>
      <c r="C198" s="370">
        <v>91</v>
      </c>
      <c r="D198" s="369">
        <v>40004</v>
      </c>
      <c r="E198" s="371">
        <v>18</v>
      </c>
      <c r="F198" s="372">
        <v>7.5999999999999998E-2</v>
      </c>
      <c r="G198" s="372">
        <v>0</v>
      </c>
      <c r="H198" s="372">
        <v>0</v>
      </c>
      <c r="I198" s="372">
        <v>0</v>
      </c>
      <c r="J198" s="372">
        <v>0</v>
      </c>
      <c r="L198" s="370">
        <v>1</v>
      </c>
      <c r="M198" s="344"/>
      <c r="N198" s="344"/>
      <c r="O198" s="344"/>
      <c r="P198" s="344"/>
      <c r="Q198" s="344"/>
      <c r="R198" s="344"/>
      <c r="S198" s="344"/>
      <c r="T198" s="344"/>
      <c r="U198" s="344"/>
      <c r="V198" s="344"/>
      <c r="W198" s="344"/>
      <c r="X198" s="344"/>
      <c r="Y198" s="344"/>
      <c r="Z198" s="344"/>
      <c r="AA198" s="344"/>
      <c r="AB198" s="344"/>
      <c r="AC198" s="344"/>
      <c r="AD198" s="344"/>
      <c r="AE198" s="344"/>
      <c r="AF198" s="344"/>
      <c r="AG198" s="344"/>
      <c r="AH198" s="344"/>
      <c r="AI198" s="344"/>
      <c r="AJ198" s="344"/>
      <c r="AK198" s="344"/>
      <c r="AL198" s="344"/>
      <c r="AM198" s="344"/>
      <c r="AN198" s="344"/>
      <c r="AO198" s="344"/>
      <c r="AP198" s="344"/>
      <c r="AQ198" s="344"/>
      <c r="AR198" s="344"/>
      <c r="AS198" s="344"/>
      <c r="AT198" s="344"/>
      <c r="AU198" s="344"/>
      <c r="AV198" s="344"/>
      <c r="AW198" s="344"/>
      <c r="AX198" s="344"/>
      <c r="AY198" s="344"/>
      <c r="AZ198" s="344"/>
      <c r="BA198" s="344"/>
      <c r="BB198" s="344"/>
      <c r="BC198" s="344"/>
      <c r="BD198" s="344"/>
      <c r="BE198" s="344"/>
      <c r="BF198" s="344"/>
      <c r="BG198" s="344"/>
      <c r="BH198" s="344"/>
      <c r="BI198" s="344"/>
      <c r="BJ198" s="344"/>
      <c r="BK198" s="344"/>
      <c r="BL198" s="344"/>
      <c r="BM198" s="344"/>
      <c r="BN198" s="344"/>
      <c r="BO198" s="344"/>
      <c r="BP198" s="344"/>
      <c r="BQ198" s="344"/>
      <c r="BR198" s="344"/>
      <c r="BS198" s="344"/>
      <c r="BT198" s="344"/>
      <c r="BU198" s="344"/>
      <c r="BV198" s="344"/>
      <c r="BW198" s="344"/>
      <c r="BX198" s="344"/>
      <c r="BY198" s="344"/>
      <c r="BZ198" s="344"/>
      <c r="CA198" s="344"/>
      <c r="CB198" s="344"/>
      <c r="CC198" s="344"/>
      <c r="CD198" s="344"/>
      <c r="CE198" s="344"/>
      <c r="CF198" s="344"/>
      <c r="CG198" s="344"/>
      <c r="CH198" s="344"/>
      <c r="CI198" s="344"/>
      <c r="CJ198" s="344"/>
      <c r="CK198" s="344"/>
      <c r="CL198" s="344"/>
      <c r="CM198" s="344"/>
      <c r="CN198" s="344"/>
      <c r="CO198" s="344"/>
      <c r="CP198" s="344"/>
      <c r="CQ198" s="344"/>
      <c r="CR198" s="344"/>
      <c r="CS198" s="344"/>
      <c r="CT198" s="344"/>
      <c r="CU198" s="344"/>
      <c r="CV198" s="344"/>
      <c r="CW198" s="344"/>
      <c r="CX198" s="344"/>
      <c r="CY198" s="344"/>
      <c r="CZ198" s="344"/>
      <c r="DA198" s="344"/>
      <c r="DB198" s="344"/>
      <c r="DC198" s="344"/>
      <c r="DD198" s="344"/>
      <c r="DE198" s="344"/>
      <c r="DF198" s="344"/>
      <c r="DG198" s="344"/>
      <c r="DH198" s="344"/>
      <c r="DI198" s="344"/>
      <c r="DJ198" s="344"/>
      <c r="DK198" s="344"/>
      <c r="DL198" s="344"/>
      <c r="DM198" s="344"/>
      <c r="DN198" s="344"/>
      <c r="DO198" s="344"/>
      <c r="DP198" s="344"/>
      <c r="DQ198" s="344"/>
      <c r="DR198" s="344"/>
      <c r="DS198" s="344"/>
      <c r="DT198" s="344"/>
      <c r="DU198" s="344"/>
      <c r="DV198" s="344"/>
      <c r="DW198" s="344"/>
      <c r="DX198" s="344"/>
      <c r="DY198" s="344"/>
      <c r="DZ198" s="344"/>
      <c r="EA198" s="344"/>
      <c r="EB198" s="344"/>
      <c r="EC198" s="344"/>
      <c r="ED198" s="344"/>
      <c r="EE198" s="344"/>
      <c r="EF198" s="344"/>
      <c r="EG198" s="344"/>
      <c r="EH198" s="344"/>
      <c r="EI198" s="344"/>
      <c r="EJ198" s="344"/>
      <c r="EK198" s="344"/>
      <c r="EL198" s="344"/>
      <c r="EM198" s="344"/>
      <c r="EN198" s="344"/>
      <c r="EO198" s="344"/>
      <c r="EP198" s="344"/>
      <c r="EQ198" s="344"/>
      <c r="ER198" s="344"/>
      <c r="ES198" s="344"/>
      <c r="ET198" s="344"/>
      <c r="EU198" s="344"/>
      <c r="EV198" s="344"/>
      <c r="EW198" s="344"/>
      <c r="EX198" s="344"/>
      <c r="EY198" s="344"/>
      <c r="EZ198" s="344"/>
      <c r="FA198" s="344"/>
      <c r="FB198" s="344"/>
      <c r="FC198" s="344"/>
      <c r="FD198" s="344"/>
      <c r="FE198" s="344"/>
      <c r="FF198" s="344"/>
      <c r="FG198" s="344"/>
      <c r="FH198" s="344"/>
      <c r="FI198" s="344"/>
      <c r="FJ198" s="344"/>
      <c r="FK198" s="344"/>
      <c r="FL198" s="344"/>
      <c r="FM198" s="344"/>
      <c r="FN198" s="344"/>
      <c r="FO198" s="344"/>
      <c r="FP198" s="344"/>
      <c r="FQ198" s="344"/>
      <c r="FR198" s="344"/>
      <c r="FS198" s="344"/>
      <c r="FT198" s="344"/>
      <c r="FU198" s="344"/>
      <c r="FV198" s="344"/>
      <c r="FW198" s="344"/>
      <c r="FX198" s="344"/>
      <c r="FY198" s="344"/>
      <c r="FZ198" s="344"/>
      <c r="GA198" s="344"/>
      <c r="GB198" s="344"/>
      <c r="GC198" s="344"/>
      <c r="GD198" s="344"/>
      <c r="GE198" s="344"/>
      <c r="GF198" s="344"/>
      <c r="GG198" s="344"/>
      <c r="GH198" s="344"/>
      <c r="GI198" s="344"/>
      <c r="GJ198" s="344"/>
      <c r="GK198" s="344"/>
      <c r="GL198" s="344"/>
      <c r="GM198" s="344"/>
      <c r="GN198" s="344"/>
      <c r="GO198" s="344"/>
      <c r="GP198" s="344"/>
      <c r="GQ198" s="344"/>
      <c r="GR198" s="344"/>
      <c r="GS198" s="344"/>
      <c r="GT198" s="344"/>
      <c r="GU198" s="344"/>
      <c r="GV198" s="344"/>
      <c r="GW198" s="344"/>
      <c r="GX198" s="344"/>
      <c r="GY198" s="344"/>
      <c r="GZ198" s="344"/>
      <c r="HA198" s="344"/>
      <c r="HB198" s="344"/>
      <c r="HC198" s="344"/>
      <c r="HD198" s="344"/>
      <c r="HE198" s="344"/>
      <c r="HF198" s="344"/>
      <c r="HG198" s="344"/>
      <c r="HH198" s="344"/>
      <c r="HI198" s="344"/>
      <c r="HJ198" s="344"/>
      <c r="HK198" s="344"/>
      <c r="HL198" s="344"/>
      <c r="HM198" s="344"/>
      <c r="HN198" s="344"/>
      <c r="HO198" s="344"/>
      <c r="HP198" s="344"/>
      <c r="HQ198" s="344"/>
      <c r="HR198" s="344"/>
      <c r="HS198" s="344"/>
      <c r="HT198" s="344"/>
      <c r="HU198" s="344"/>
      <c r="HV198" s="344"/>
      <c r="HW198" s="344"/>
      <c r="HX198" s="344"/>
      <c r="HY198" s="344"/>
      <c r="HZ198" s="344"/>
      <c r="IA198" s="344"/>
      <c r="IB198" s="344"/>
      <c r="IC198" s="344"/>
      <c r="ID198" s="344"/>
      <c r="IE198" s="344"/>
      <c r="IF198" s="344"/>
      <c r="IG198" s="344"/>
      <c r="IH198" s="344"/>
      <c r="II198" s="344"/>
      <c r="IJ198" s="344"/>
      <c r="IK198" s="344"/>
      <c r="IL198" s="344"/>
      <c r="IM198" s="344"/>
      <c r="IN198" s="344"/>
      <c r="IO198" s="344"/>
      <c r="IP198" s="344"/>
      <c r="IQ198" s="344"/>
      <c r="IR198" s="344"/>
      <c r="IS198" s="344"/>
      <c r="IT198" s="344"/>
      <c r="IU198" s="344"/>
      <c r="IV198" s="344"/>
    </row>
    <row r="199" spans="1:256" hidden="1">
      <c r="A199" s="356">
        <v>39917</v>
      </c>
      <c r="B199" s="356" t="s">
        <v>544</v>
      </c>
      <c r="C199" s="357">
        <v>182</v>
      </c>
      <c r="D199" s="356">
        <v>40099</v>
      </c>
      <c r="E199" s="360">
        <v>7</v>
      </c>
      <c r="F199" s="358">
        <v>2.5324</v>
      </c>
      <c r="G199" s="358">
        <v>2.5324</v>
      </c>
      <c r="H199" s="358">
        <v>6.99</v>
      </c>
      <c r="I199" s="358">
        <v>6.9900000000000004E-2</v>
      </c>
      <c r="J199" s="358">
        <v>6.99</v>
      </c>
      <c r="L199" s="357">
        <v>2</v>
      </c>
    </row>
    <row r="200" spans="1:256" s="373" customFormat="1" hidden="1">
      <c r="A200" s="369">
        <v>39920</v>
      </c>
      <c r="B200" s="369" t="s">
        <v>545</v>
      </c>
      <c r="C200" s="370">
        <v>1092</v>
      </c>
      <c r="D200" s="369">
        <v>41012</v>
      </c>
      <c r="E200" s="371">
        <v>2</v>
      </c>
      <c r="F200" s="372">
        <v>0</v>
      </c>
      <c r="G200" s="372">
        <v>0</v>
      </c>
      <c r="H200" s="372">
        <v>0</v>
      </c>
      <c r="I200" s="372">
        <v>0</v>
      </c>
      <c r="J200" s="372">
        <v>0</v>
      </c>
      <c r="L200" s="370">
        <v>0</v>
      </c>
      <c r="M200" s="344"/>
      <c r="N200" s="344"/>
      <c r="O200" s="344"/>
      <c r="P200" s="344"/>
      <c r="Q200" s="344"/>
      <c r="R200" s="344"/>
      <c r="S200" s="344"/>
      <c r="T200" s="344"/>
      <c r="U200" s="344"/>
      <c r="V200" s="344"/>
      <c r="W200" s="344"/>
      <c r="X200" s="344"/>
      <c r="Y200" s="344"/>
      <c r="Z200" s="344"/>
      <c r="AA200" s="344"/>
      <c r="AB200" s="344"/>
      <c r="AC200" s="344"/>
      <c r="AD200" s="344"/>
      <c r="AE200" s="344"/>
      <c r="AF200" s="344"/>
      <c r="AG200" s="344"/>
      <c r="AH200" s="344"/>
      <c r="AI200" s="344"/>
      <c r="AJ200" s="344"/>
      <c r="AK200" s="344"/>
      <c r="AL200" s="344"/>
      <c r="AM200" s="344"/>
      <c r="AN200" s="344"/>
      <c r="AO200" s="344"/>
      <c r="AP200" s="344"/>
      <c r="AQ200" s="344"/>
      <c r="AR200" s="344"/>
      <c r="AS200" s="344"/>
      <c r="AT200" s="344"/>
      <c r="AU200" s="344"/>
      <c r="AV200" s="344"/>
      <c r="AW200" s="344"/>
      <c r="AX200" s="344"/>
      <c r="AY200" s="344"/>
      <c r="AZ200" s="344"/>
      <c r="BA200" s="344"/>
      <c r="BB200" s="344"/>
      <c r="BC200" s="344"/>
      <c r="BD200" s="344"/>
      <c r="BE200" s="344"/>
      <c r="BF200" s="344"/>
      <c r="BG200" s="344"/>
      <c r="BH200" s="344"/>
      <c r="BI200" s="344"/>
      <c r="BJ200" s="344"/>
      <c r="BK200" s="344"/>
      <c r="BL200" s="344"/>
      <c r="BM200" s="344"/>
      <c r="BN200" s="344"/>
      <c r="BO200" s="344"/>
      <c r="BP200" s="344"/>
      <c r="BQ200" s="344"/>
      <c r="BR200" s="344"/>
      <c r="BS200" s="344"/>
      <c r="BT200" s="344"/>
      <c r="BU200" s="344"/>
      <c r="BV200" s="344"/>
      <c r="BW200" s="344"/>
      <c r="BX200" s="344"/>
      <c r="BY200" s="344"/>
      <c r="BZ200" s="344"/>
      <c r="CA200" s="344"/>
      <c r="CB200" s="344"/>
      <c r="CC200" s="344"/>
      <c r="CD200" s="344"/>
      <c r="CE200" s="344"/>
      <c r="CF200" s="344"/>
      <c r="CG200" s="344"/>
      <c r="CH200" s="344"/>
      <c r="CI200" s="344"/>
      <c r="CJ200" s="344"/>
      <c r="CK200" s="344"/>
      <c r="CL200" s="344"/>
      <c r="CM200" s="344"/>
      <c r="CN200" s="344"/>
      <c r="CO200" s="344"/>
      <c r="CP200" s="344"/>
      <c r="CQ200" s="344"/>
      <c r="CR200" s="344"/>
      <c r="CS200" s="344"/>
      <c r="CT200" s="344"/>
      <c r="CU200" s="344"/>
      <c r="CV200" s="344"/>
      <c r="CW200" s="344"/>
      <c r="CX200" s="344"/>
      <c r="CY200" s="344"/>
      <c r="CZ200" s="344"/>
      <c r="DA200" s="344"/>
      <c r="DB200" s="344"/>
      <c r="DC200" s="344"/>
      <c r="DD200" s="344"/>
      <c r="DE200" s="344"/>
      <c r="DF200" s="344"/>
      <c r="DG200" s="344"/>
      <c r="DH200" s="344"/>
      <c r="DI200" s="344"/>
      <c r="DJ200" s="344"/>
      <c r="DK200" s="344"/>
      <c r="DL200" s="344"/>
      <c r="DM200" s="344"/>
      <c r="DN200" s="344"/>
      <c r="DO200" s="344"/>
      <c r="DP200" s="344"/>
      <c r="DQ200" s="344"/>
      <c r="DR200" s="344"/>
      <c r="DS200" s="344"/>
      <c r="DT200" s="344"/>
      <c r="DU200" s="344"/>
      <c r="DV200" s="344"/>
      <c r="DW200" s="344"/>
      <c r="DX200" s="344"/>
      <c r="DY200" s="344"/>
      <c r="DZ200" s="344"/>
      <c r="EA200" s="344"/>
      <c r="EB200" s="344"/>
      <c r="EC200" s="344"/>
      <c r="ED200" s="344"/>
      <c r="EE200" s="344"/>
      <c r="EF200" s="344"/>
      <c r="EG200" s="344"/>
      <c r="EH200" s="344"/>
      <c r="EI200" s="344"/>
      <c r="EJ200" s="344"/>
      <c r="EK200" s="344"/>
      <c r="EL200" s="344"/>
      <c r="EM200" s="344"/>
      <c r="EN200" s="344"/>
      <c r="EO200" s="344"/>
      <c r="EP200" s="344"/>
      <c r="EQ200" s="344"/>
      <c r="ER200" s="344"/>
      <c r="ES200" s="344"/>
      <c r="ET200" s="344"/>
      <c r="EU200" s="344"/>
      <c r="EV200" s="344"/>
      <c r="EW200" s="344"/>
      <c r="EX200" s="344"/>
      <c r="EY200" s="344"/>
      <c r="EZ200" s="344"/>
      <c r="FA200" s="344"/>
      <c r="FB200" s="344"/>
      <c r="FC200" s="344"/>
      <c r="FD200" s="344"/>
      <c r="FE200" s="344"/>
      <c r="FF200" s="344"/>
      <c r="FG200" s="344"/>
      <c r="FH200" s="344"/>
      <c r="FI200" s="344"/>
      <c r="FJ200" s="344"/>
      <c r="FK200" s="344"/>
      <c r="FL200" s="344"/>
      <c r="FM200" s="344"/>
      <c r="FN200" s="344"/>
      <c r="FO200" s="344"/>
      <c r="FP200" s="344"/>
      <c r="FQ200" s="344"/>
      <c r="FR200" s="344"/>
      <c r="FS200" s="344"/>
      <c r="FT200" s="344"/>
      <c r="FU200" s="344"/>
      <c r="FV200" s="344"/>
      <c r="FW200" s="344"/>
      <c r="FX200" s="344"/>
      <c r="FY200" s="344"/>
      <c r="FZ200" s="344"/>
      <c r="GA200" s="344"/>
      <c r="GB200" s="344"/>
      <c r="GC200" s="344"/>
      <c r="GD200" s="344"/>
      <c r="GE200" s="344"/>
      <c r="GF200" s="344"/>
      <c r="GG200" s="344"/>
      <c r="GH200" s="344"/>
      <c r="GI200" s="344"/>
      <c r="GJ200" s="344"/>
      <c r="GK200" s="344"/>
      <c r="GL200" s="344"/>
      <c r="GM200" s="344"/>
      <c r="GN200" s="344"/>
      <c r="GO200" s="344"/>
      <c r="GP200" s="344"/>
      <c r="GQ200" s="344"/>
      <c r="GR200" s="344"/>
      <c r="GS200" s="344"/>
      <c r="GT200" s="344"/>
      <c r="GU200" s="344"/>
      <c r="GV200" s="344"/>
      <c r="GW200" s="344"/>
      <c r="GX200" s="344"/>
      <c r="GY200" s="344"/>
      <c r="GZ200" s="344"/>
      <c r="HA200" s="344"/>
      <c r="HB200" s="344"/>
      <c r="HC200" s="344"/>
      <c r="HD200" s="344"/>
      <c r="HE200" s="344"/>
      <c r="HF200" s="344"/>
      <c r="HG200" s="344"/>
      <c r="HH200" s="344"/>
      <c r="HI200" s="344"/>
      <c r="HJ200" s="344"/>
      <c r="HK200" s="344"/>
      <c r="HL200" s="344"/>
      <c r="HM200" s="344"/>
      <c r="HN200" s="344"/>
      <c r="HO200" s="344"/>
      <c r="HP200" s="344"/>
      <c r="HQ200" s="344"/>
      <c r="HR200" s="344"/>
      <c r="HS200" s="344"/>
      <c r="HT200" s="344"/>
      <c r="HU200" s="344"/>
      <c r="HV200" s="344"/>
      <c r="HW200" s="344"/>
      <c r="HX200" s="344"/>
      <c r="HY200" s="344"/>
      <c r="HZ200" s="344"/>
      <c r="IA200" s="344"/>
      <c r="IB200" s="344"/>
      <c r="IC200" s="344"/>
      <c r="ID200" s="344"/>
      <c r="IE200" s="344"/>
      <c r="IF200" s="344"/>
      <c r="IG200" s="344"/>
      <c r="IH200" s="344"/>
      <c r="II200" s="344"/>
      <c r="IJ200" s="344"/>
      <c r="IK200" s="344"/>
      <c r="IL200" s="344"/>
      <c r="IM200" s="344"/>
      <c r="IN200" s="344"/>
      <c r="IO200" s="344"/>
      <c r="IP200" s="344"/>
      <c r="IQ200" s="344"/>
      <c r="IR200" s="344"/>
      <c r="IS200" s="344"/>
      <c r="IT200" s="344"/>
      <c r="IU200" s="344"/>
      <c r="IV200" s="344"/>
    </row>
    <row r="201" spans="1:256" hidden="1">
      <c r="A201" s="356">
        <v>39924</v>
      </c>
      <c r="B201" s="356" t="s">
        <v>546</v>
      </c>
      <c r="C201" s="357">
        <v>35</v>
      </c>
      <c r="D201" s="356">
        <v>39959</v>
      </c>
      <c r="E201" s="360">
        <v>20</v>
      </c>
      <c r="F201" s="358">
        <v>12.866</v>
      </c>
      <c r="G201" s="358">
        <v>12.866</v>
      </c>
      <c r="H201" s="358">
        <v>2.93</v>
      </c>
      <c r="I201" s="358">
        <v>3.9800000000000002E-2</v>
      </c>
      <c r="J201" s="358">
        <v>2.93</v>
      </c>
      <c r="L201" s="357">
        <v>4</v>
      </c>
    </row>
    <row r="202" spans="1:256" s="373" customFormat="1" hidden="1">
      <c r="A202" s="369">
        <v>39924</v>
      </c>
      <c r="B202" s="369" t="s">
        <v>547</v>
      </c>
      <c r="C202" s="370">
        <v>364</v>
      </c>
      <c r="D202" s="369">
        <v>40288</v>
      </c>
      <c r="E202" s="371">
        <v>2</v>
      </c>
      <c r="F202" s="372">
        <v>1.3058000000000001</v>
      </c>
      <c r="G202" s="372">
        <v>1.3058000000000001</v>
      </c>
      <c r="H202" s="372">
        <v>8.49</v>
      </c>
      <c r="I202" s="372">
        <v>8.4900000000000003E-2</v>
      </c>
      <c r="J202" s="372">
        <v>8.49</v>
      </c>
      <c r="L202" s="370">
        <v>1</v>
      </c>
      <c r="M202" s="344"/>
      <c r="N202" s="344"/>
      <c r="O202" s="344"/>
      <c r="P202" s="344"/>
      <c r="Q202" s="344"/>
      <c r="R202" s="344"/>
      <c r="S202" s="344"/>
      <c r="T202" s="344"/>
      <c r="U202" s="344"/>
      <c r="V202" s="344"/>
      <c r="W202" s="344"/>
      <c r="X202" s="344"/>
      <c r="Y202" s="344"/>
      <c r="Z202" s="344"/>
      <c r="AA202" s="344"/>
      <c r="AB202" s="344"/>
      <c r="AC202" s="344"/>
      <c r="AD202" s="344"/>
      <c r="AE202" s="344"/>
      <c r="AF202" s="344"/>
      <c r="AG202" s="344"/>
      <c r="AH202" s="344"/>
      <c r="AI202" s="344"/>
      <c r="AJ202" s="344"/>
      <c r="AK202" s="344"/>
      <c r="AL202" s="344"/>
      <c r="AM202" s="344"/>
      <c r="AN202" s="344"/>
      <c r="AO202" s="344"/>
      <c r="AP202" s="344"/>
      <c r="AQ202" s="344"/>
      <c r="AR202" s="344"/>
      <c r="AS202" s="344"/>
      <c r="AT202" s="344"/>
      <c r="AU202" s="344"/>
      <c r="AV202" s="344"/>
      <c r="AW202" s="344"/>
      <c r="AX202" s="344"/>
      <c r="AY202" s="344"/>
      <c r="AZ202" s="344"/>
      <c r="BA202" s="344"/>
      <c r="BB202" s="344"/>
      <c r="BC202" s="344"/>
      <c r="BD202" s="344"/>
      <c r="BE202" s="344"/>
      <c r="BF202" s="344"/>
      <c r="BG202" s="344"/>
      <c r="BH202" s="344"/>
      <c r="BI202" s="344"/>
      <c r="BJ202" s="344"/>
      <c r="BK202" s="344"/>
      <c r="BL202" s="344"/>
      <c r="BM202" s="344"/>
      <c r="BN202" s="344"/>
      <c r="BO202" s="344"/>
      <c r="BP202" s="344"/>
      <c r="BQ202" s="344"/>
      <c r="BR202" s="344"/>
      <c r="BS202" s="344"/>
      <c r="BT202" s="344"/>
      <c r="BU202" s="344"/>
      <c r="BV202" s="344"/>
      <c r="BW202" s="344"/>
      <c r="BX202" s="344"/>
      <c r="BY202" s="344"/>
      <c r="BZ202" s="344"/>
      <c r="CA202" s="344"/>
      <c r="CB202" s="344"/>
      <c r="CC202" s="344"/>
      <c r="CD202" s="344"/>
      <c r="CE202" s="344"/>
      <c r="CF202" s="344"/>
      <c r="CG202" s="344"/>
      <c r="CH202" s="344"/>
      <c r="CI202" s="344"/>
      <c r="CJ202" s="344"/>
      <c r="CK202" s="344"/>
      <c r="CL202" s="344"/>
      <c r="CM202" s="344"/>
      <c r="CN202" s="344"/>
      <c r="CO202" s="344"/>
      <c r="CP202" s="344"/>
      <c r="CQ202" s="344"/>
      <c r="CR202" s="344"/>
      <c r="CS202" s="344"/>
      <c r="CT202" s="344"/>
      <c r="CU202" s="344"/>
      <c r="CV202" s="344"/>
      <c r="CW202" s="344"/>
      <c r="CX202" s="344"/>
      <c r="CY202" s="344"/>
      <c r="CZ202" s="344"/>
      <c r="DA202" s="344"/>
      <c r="DB202" s="344"/>
      <c r="DC202" s="344"/>
      <c r="DD202" s="344"/>
      <c r="DE202" s="344"/>
      <c r="DF202" s="344"/>
      <c r="DG202" s="344"/>
      <c r="DH202" s="344"/>
      <c r="DI202" s="344"/>
      <c r="DJ202" s="344"/>
      <c r="DK202" s="344"/>
      <c r="DL202" s="344"/>
      <c r="DM202" s="344"/>
      <c r="DN202" s="344"/>
      <c r="DO202" s="344"/>
      <c r="DP202" s="344"/>
      <c r="DQ202" s="344"/>
      <c r="DR202" s="344"/>
      <c r="DS202" s="344"/>
      <c r="DT202" s="344"/>
      <c r="DU202" s="344"/>
      <c r="DV202" s="344"/>
      <c r="DW202" s="344"/>
      <c r="DX202" s="344"/>
      <c r="DY202" s="344"/>
      <c r="DZ202" s="344"/>
      <c r="EA202" s="344"/>
      <c r="EB202" s="344"/>
      <c r="EC202" s="344"/>
      <c r="ED202" s="344"/>
      <c r="EE202" s="344"/>
      <c r="EF202" s="344"/>
      <c r="EG202" s="344"/>
      <c r="EH202" s="344"/>
      <c r="EI202" s="344"/>
      <c r="EJ202" s="344"/>
      <c r="EK202" s="344"/>
      <c r="EL202" s="344"/>
      <c r="EM202" s="344"/>
      <c r="EN202" s="344"/>
      <c r="EO202" s="344"/>
      <c r="EP202" s="344"/>
      <c r="EQ202" s="344"/>
      <c r="ER202" s="344"/>
      <c r="ES202" s="344"/>
      <c r="ET202" s="344"/>
      <c r="EU202" s="344"/>
      <c r="EV202" s="344"/>
      <c r="EW202" s="344"/>
      <c r="EX202" s="344"/>
      <c r="EY202" s="344"/>
      <c r="EZ202" s="344"/>
      <c r="FA202" s="344"/>
      <c r="FB202" s="344"/>
      <c r="FC202" s="344"/>
      <c r="FD202" s="344"/>
      <c r="FE202" s="344"/>
      <c r="FF202" s="344"/>
      <c r="FG202" s="344"/>
      <c r="FH202" s="344"/>
      <c r="FI202" s="344"/>
      <c r="FJ202" s="344"/>
      <c r="FK202" s="344"/>
      <c r="FL202" s="344"/>
      <c r="FM202" s="344"/>
      <c r="FN202" s="344"/>
      <c r="FO202" s="344"/>
      <c r="FP202" s="344"/>
      <c r="FQ202" s="344"/>
      <c r="FR202" s="344"/>
      <c r="FS202" s="344"/>
      <c r="FT202" s="344"/>
      <c r="FU202" s="344"/>
      <c r="FV202" s="344"/>
      <c r="FW202" s="344"/>
      <c r="FX202" s="344"/>
      <c r="FY202" s="344"/>
      <c r="FZ202" s="344"/>
      <c r="GA202" s="344"/>
      <c r="GB202" s="344"/>
      <c r="GC202" s="344"/>
      <c r="GD202" s="344"/>
      <c r="GE202" s="344"/>
      <c r="GF202" s="344"/>
      <c r="GG202" s="344"/>
      <c r="GH202" s="344"/>
      <c r="GI202" s="344"/>
      <c r="GJ202" s="344"/>
      <c r="GK202" s="344"/>
      <c r="GL202" s="344"/>
      <c r="GM202" s="344"/>
      <c r="GN202" s="344"/>
      <c r="GO202" s="344"/>
      <c r="GP202" s="344"/>
      <c r="GQ202" s="344"/>
      <c r="GR202" s="344"/>
      <c r="GS202" s="344"/>
      <c r="GT202" s="344"/>
      <c r="GU202" s="344"/>
      <c r="GV202" s="344"/>
      <c r="GW202" s="344"/>
      <c r="GX202" s="344"/>
      <c r="GY202" s="344"/>
      <c r="GZ202" s="344"/>
      <c r="HA202" s="344"/>
      <c r="HB202" s="344"/>
      <c r="HC202" s="344"/>
      <c r="HD202" s="344"/>
      <c r="HE202" s="344"/>
      <c r="HF202" s="344"/>
      <c r="HG202" s="344"/>
      <c r="HH202" s="344"/>
      <c r="HI202" s="344"/>
      <c r="HJ202" s="344"/>
      <c r="HK202" s="344"/>
      <c r="HL202" s="344"/>
      <c r="HM202" s="344"/>
      <c r="HN202" s="344"/>
      <c r="HO202" s="344"/>
      <c r="HP202" s="344"/>
      <c r="HQ202" s="344"/>
      <c r="HR202" s="344"/>
      <c r="HS202" s="344"/>
      <c r="HT202" s="344"/>
      <c r="HU202" s="344"/>
      <c r="HV202" s="344"/>
      <c r="HW202" s="344"/>
      <c r="HX202" s="344"/>
      <c r="HY202" s="344"/>
      <c r="HZ202" s="344"/>
      <c r="IA202" s="344"/>
      <c r="IB202" s="344"/>
      <c r="IC202" s="344"/>
      <c r="ID202" s="344"/>
      <c r="IE202" s="344"/>
      <c r="IF202" s="344"/>
      <c r="IG202" s="344"/>
      <c r="IH202" s="344"/>
      <c r="II202" s="344"/>
      <c r="IJ202" s="344"/>
      <c r="IK202" s="344"/>
      <c r="IL202" s="344"/>
      <c r="IM202" s="344"/>
      <c r="IN202" s="344"/>
      <c r="IO202" s="344"/>
      <c r="IP202" s="344"/>
      <c r="IQ202" s="344"/>
      <c r="IR202" s="344"/>
      <c r="IS202" s="344"/>
      <c r="IT202" s="344"/>
      <c r="IU202" s="344"/>
      <c r="IV202" s="344"/>
    </row>
    <row r="203" spans="1:256" hidden="1">
      <c r="A203" s="356">
        <v>39927</v>
      </c>
      <c r="B203" s="356" t="s">
        <v>548</v>
      </c>
      <c r="C203" s="357">
        <v>91</v>
      </c>
      <c r="D203" s="356">
        <v>40018</v>
      </c>
      <c r="E203" s="360">
        <v>15</v>
      </c>
      <c r="F203" s="358">
        <v>3.4041999999999999</v>
      </c>
      <c r="G203" s="358">
        <v>3.4041999999999999</v>
      </c>
      <c r="H203" s="358">
        <v>4.99</v>
      </c>
      <c r="I203" s="358">
        <v>6.0299999999999999E-2</v>
      </c>
      <c r="J203" s="358">
        <v>5.94</v>
      </c>
      <c r="L203" s="357">
        <v>5</v>
      </c>
    </row>
    <row r="204" spans="1:256" s="373" customFormat="1" hidden="1">
      <c r="A204" s="369">
        <v>39931</v>
      </c>
      <c r="B204" s="369" t="s">
        <v>549</v>
      </c>
      <c r="C204" s="370">
        <v>182</v>
      </c>
      <c r="D204" s="369">
        <v>40113</v>
      </c>
      <c r="E204" s="371">
        <v>8</v>
      </c>
      <c r="F204" s="372">
        <v>5.1609999999999996</v>
      </c>
      <c r="G204" s="372">
        <v>5.1609999999999996</v>
      </c>
      <c r="H204" s="372">
        <v>6.99</v>
      </c>
      <c r="I204" s="372">
        <v>6.9900000000000004E-2</v>
      </c>
      <c r="J204" s="372">
        <v>6.99</v>
      </c>
      <c r="L204" s="370">
        <v>1</v>
      </c>
      <c r="M204" s="344"/>
      <c r="N204" s="344"/>
      <c r="O204" s="344"/>
      <c r="P204" s="344"/>
      <c r="Q204" s="344"/>
      <c r="R204" s="344"/>
      <c r="S204" s="344"/>
      <c r="T204" s="344"/>
      <c r="U204" s="344"/>
      <c r="V204" s="344"/>
      <c r="W204" s="344"/>
      <c r="X204" s="344"/>
      <c r="Y204" s="344"/>
      <c r="Z204" s="344"/>
      <c r="AA204" s="344"/>
      <c r="AB204" s="344"/>
      <c r="AC204" s="344"/>
      <c r="AD204" s="344"/>
      <c r="AE204" s="344"/>
      <c r="AF204" s="344"/>
      <c r="AG204" s="344"/>
      <c r="AH204" s="344"/>
      <c r="AI204" s="344"/>
      <c r="AJ204" s="344"/>
      <c r="AK204" s="344"/>
      <c r="AL204" s="344"/>
      <c r="AM204" s="344"/>
      <c r="AN204" s="344"/>
      <c r="AO204" s="344"/>
      <c r="AP204" s="344"/>
      <c r="AQ204" s="344"/>
      <c r="AR204" s="344"/>
      <c r="AS204" s="344"/>
      <c r="AT204" s="344"/>
      <c r="AU204" s="344"/>
      <c r="AV204" s="344"/>
      <c r="AW204" s="344"/>
      <c r="AX204" s="344"/>
      <c r="AY204" s="344"/>
      <c r="AZ204" s="344"/>
      <c r="BA204" s="344"/>
      <c r="BB204" s="344"/>
      <c r="BC204" s="344"/>
      <c r="BD204" s="344"/>
      <c r="BE204" s="344"/>
      <c r="BF204" s="344"/>
      <c r="BG204" s="344"/>
      <c r="BH204" s="344"/>
      <c r="BI204" s="344"/>
      <c r="BJ204" s="344"/>
      <c r="BK204" s="344"/>
      <c r="BL204" s="344"/>
      <c r="BM204" s="344"/>
      <c r="BN204" s="344"/>
      <c r="BO204" s="344"/>
      <c r="BP204" s="344"/>
      <c r="BQ204" s="344"/>
      <c r="BR204" s="344"/>
      <c r="BS204" s="344"/>
      <c r="BT204" s="344"/>
      <c r="BU204" s="344"/>
      <c r="BV204" s="344"/>
      <c r="BW204" s="344"/>
      <c r="BX204" s="344"/>
      <c r="BY204" s="344"/>
      <c r="BZ204" s="344"/>
      <c r="CA204" s="344"/>
      <c r="CB204" s="344"/>
      <c r="CC204" s="344"/>
      <c r="CD204" s="344"/>
      <c r="CE204" s="344"/>
      <c r="CF204" s="344"/>
      <c r="CG204" s="344"/>
      <c r="CH204" s="344"/>
      <c r="CI204" s="344"/>
      <c r="CJ204" s="344"/>
      <c r="CK204" s="344"/>
      <c r="CL204" s="344"/>
      <c r="CM204" s="344"/>
      <c r="CN204" s="344"/>
      <c r="CO204" s="344"/>
      <c r="CP204" s="344"/>
      <c r="CQ204" s="344"/>
      <c r="CR204" s="344"/>
      <c r="CS204" s="344"/>
      <c r="CT204" s="344"/>
      <c r="CU204" s="344"/>
      <c r="CV204" s="344"/>
      <c r="CW204" s="344"/>
      <c r="CX204" s="344"/>
      <c r="CY204" s="344"/>
      <c r="CZ204" s="344"/>
      <c r="DA204" s="344"/>
      <c r="DB204" s="344"/>
      <c r="DC204" s="344"/>
      <c r="DD204" s="344"/>
      <c r="DE204" s="344"/>
      <c r="DF204" s="344"/>
      <c r="DG204" s="344"/>
      <c r="DH204" s="344"/>
      <c r="DI204" s="344"/>
      <c r="DJ204" s="344"/>
      <c r="DK204" s="344"/>
      <c r="DL204" s="344"/>
      <c r="DM204" s="344"/>
      <c r="DN204" s="344"/>
      <c r="DO204" s="344"/>
      <c r="DP204" s="344"/>
      <c r="DQ204" s="344"/>
      <c r="DR204" s="344"/>
      <c r="DS204" s="344"/>
      <c r="DT204" s="344"/>
      <c r="DU204" s="344"/>
      <c r="DV204" s="344"/>
      <c r="DW204" s="344"/>
      <c r="DX204" s="344"/>
      <c r="DY204" s="344"/>
      <c r="DZ204" s="344"/>
      <c r="EA204" s="344"/>
      <c r="EB204" s="344"/>
      <c r="EC204" s="344"/>
      <c r="ED204" s="344"/>
      <c r="EE204" s="344"/>
      <c r="EF204" s="344"/>
      <c r="EG204" s="344"/>
      <c r="EH204" s="344"/>
      <c r="EI204" s="344"/>
      <c r="EJ204" s="344"/>
      <c r="EK204" s="344"/>
      <c r="EL204" s="344"/>
      <c r="EM204" s="344"/>
      <c r="EN204" s="344"/>
      <c r="EO204" s="344"/>
      <c r="EP204" s="344"/>
      <c r="EQ204" s="344"/>
      <c r="ER204" s="344"/>
      <c r="ES204" s="344"/>
      <c r="ET204" s="344"/>
      <c r="EU204" s="344"/>
      <c r="EV204" s="344"/>
      <c r="EW204" s="344"/>
      <c r="EX204" s="344"/>
      <c r="EY204" s="344"/>
      <c r="EZ204" s="344"/>
      <c r="FA204" s="344"/>
      <c r="FB204" s="344"/>
      <c r="FC204" s="344"/>
      <c r="FD204" s="344"/>
      <c r="FE204" s="344"/>
      <c r="FF204" s="344"/>
      <c r="FG204" s="344"/>
      <c r="FH204" s="344"/>
      <c r="FI204" s="344"/>
      <c r="FJ204" s="344"/>
      <c r="FK204" s="344"/>
      <c r="FL204" s="344"/>
      <c r="FM204" s="344"/>
      <c r="FN204" s="344"/>
      <c r="FO204" s="344"/>
      <c r="FP204" s="344"/>
      <c r="FQ204" s="344"/>
      <c r="FR204" s="344"/>
      <c r="FS204" s="344"/>
      <c r="FT204" s="344"/>
      <c r="FU204" s="344"/>
      <c r="FV204" s="344"/>
      <c r="FW204" s="344"/>
      <c r="FX204" s="344"/>
      <c r="FY204" s="344"/>
      <c r="FZ204" s="344"/>
      <c r="GA204" s="344"/>
      <c r="GB204" s="344"/>
      <c r="GC204" s="344"/>
      <c r="GD204" s="344"/>
      <c r="GE204" s="344"/>
      <c r="GF204" s="344"/>
      <c r="GG204" s="344"/>
      <c r="GH204" s="344"/>
      <c r="GI204" s="344"/>
      <c r="GJ204" s="344"/>
      <c r="GK204" s="344"/>
      <c r="GL204" s="344"/>
      <c r="GM204" s="344"/>
      <c r="GN204" s="344"/>
      <c r="GO204" s="344"/>
      <c r="GP204" s="344"/>
      <c r="GQ204" s="344"/>
      <c r="GR204" s="344"/>
      <c r="GS204" s="344"/>
      <c r="GT204" s="344"/>
      <c r="GU204" s="344"/>
      <c r="GV204" s="344"/>
      <c r="GW204" s="344"/>
      <c r="GX204" s="344"/>
      <c r="GY204" s="344"/>
      <c r="GZ204" s="344"/>
      <c r="HA204" s="344"/>
      <c r="HB204" s="344"/>
      <c r="HC204" s="344"/>
      <c r="HD204" s="344"/>
      <c r="HE204" s="344"/>
      <c r="HF204" s="344"/>
      <c r="HG204" s="344"/>
      <c r="HH204" s="344"/>
      <c r="HI204" s="344"/>
      <c r="HJ204" s="344"/>
      <c r="HK204" s="344"/>
      <c r="HL204" s="344"/>
      <c r="HM204" s="344"/>
      <c r="HN204" s="344"/>
      <c r="HO204" s="344"/>
      <c r="HP204" s="344"/>
      <c r="HQ204" s="344"/>
      <c r="HR204" s="344"/>
      <c r="HS204" s="344"/>
      <c r="HT204" s="344"/>
      <c r="HU204" s="344"/>
      <c r="HV204" s="344"/>
      <c r="HW204" s="344"/>
      <c r="HX204" s="344"/>
      <c r="HY204" s="344"/>
      <c r="HZ204" s="344"/>
      <c r="IA204" s="344"/>
      <c r="IB204" s="344"/>
      <c r="IC204" s="344"/>
      <c r="ID204" s="344"/>
      <c r="IE204" s="344"/>
      <c r="IF204" s="344"/>
      <c r="IG204" s="344"/>
      <c r="IH204" s="344"/>
      <c r="II204" s="344"/>
      <c r="IJ204" s="344"/>
      <c r="IK204" s="344"/>
      <c r="IL204" s="344"/>
      <c r="IM204" s="344"/>
      <c r="IN204" s="344"/>
      <c r="IO204" s="344"/>
      <c r="IP204" s="344"/>
      <c r="IQ204" s="344"/>
      <c r="IR204" s="344"/>
      <c r="IS204" s="344"/>
      <c r="IT204" s="344"/>
      <c r="IU204" s="344"/>
      <c r="IV204" s="344"/>
    </row>
    <row r="205" spans="1:256" hidden="1">
      <c r="A205" s="356">
        <v>39931</v>
      </c>
      <c r="B205" s="356" t="s">
        <v>550</v>
      </c>
      <c r="C205" s="357">
        <v>728</v>
      </c>
      <c r="D205" s="356">
        <v>40659</v>
      </c>
      <c r="E205" s="360">
        <v>2</v>
      </c>
      <c r="F205" s="358">
        <v>0</v>
      </c>
      <c r="G205" s="358">
        <v>0</v>
      </c>
      <c r="H205" s="358">
        <v>0</v>
      </c>
      <c r="I205" s="358">
        <v>0</v>
      </c>
      <c r="J205" s="358">
        <v>0</v>
      </c>
      <c r="L205" s="357">
        <v>0</v>
      </c>
    </row>
    <row r="206" spans="1:256" s="373" customFormat="1" hidden="1">
      <c r="A206" s="369">
        <v>39934</v>
      </c>
      <c r="B206" s="369" t="s">
        <v>551</v>
      </c>
      <c r="C206" s="370">
        <v>1092</v>
      </c>
      <c r="D206" s="369">
        <v>41026</v>
      </c>
      <c r="E206" s="371">
        <v>3</v>
      </c>
      <c r="F206" s="372">
        <v>0</v>
      </c>
      <c r="G206" s="372">
        <v>0</v>
      </c>
      <c r="H206" s="372">
        <v>0</v>
      </c>
      <c r="I206" s="372">
        <v>0</v>
      </c>
      <c r="J206" s="372">
        <v>0</v>
      </c>
      <c r="L206" s="370">
        <v>0</v>
      </c>
      <c r="M206" s="344"/>
      <c r="N206" s="344"/>
      <c r="O206" s="344"/>
      <c r="P206" s="344"/>
      <c r="Q206" s="344"/>
      <c r="R206" s="344"/>
      <c r="S206" s="344"/>
      <c r="T206" s="344"/>
      <c r="U206" s="344"/>
      <c r="V206" s="344"/>
      <c r="W206" s="344"/>
      <c r="X206" s="344"/>
      <c r="Y206" s="344"/>
      <c r="Z206" s="344"/>
      <c r="AA206" s="344"/>
      <c r="AB206" s="344"/>
      <c r="AC206" s="344"/>
      <c r="AD206" s="344"/>
      <c r="AE206" s="344"/>
      <c r="AF206" s="344"/>
      <c r="AG206" s="344"/>
      <c r="AH206" s="344"/>
      <c r="AI206" s="344"/>
      <c r="AJ206" s="344"/>
      <c r="AK206" s="344"/>
      <c r="AL206" s="344"/>
      <c r="AM206" s="344"/>
      <c r="AN206" s="344"/>
      <c r="AO206" s="344"/>
      <c r="AP206" s="344"/>
      <c r="AQ206" s="344"/>
      <c r="AR206" s="344"/>
      <c r="AS206" s="344"/>
      <c r="AT206" s="344"/>
      <c r="AU206" s="344"/>
      <c r="AV206" s="344"/>
      <c r="AW206" s="344"/>
      <c r="AX206" s="344"/>
      <c r="AY206" s="344"/>
      <c r="AZ206" s="344"/>
      <c r="BA206" s="344"/>
      <c r="BB206" s="344"/>
      <c r="BC206" s="344"/>
      <c r="BD206" s="344"/>
      <c r="BE206" s="344"/>
      <c r="BF206" s="344"/>
      <c r="BG206" s="344"/>
      <c r="BH206" s="344"/>
      <c r="BI206" s="344"/>
      <c r="BJ206" s="344"/>
      <c r="BK206" s="344"/>
      <c r="BL206" s="344"/>
      <c r="BM206" s="344"/>
      <c r="BN206" s="344"/>
      <c r="BO206" s="344"/>
      <c r="BP206" s="344"/>
      <c r="BQ206" s="344"/>
      <c r="BR206" s="344"/>
      <c r="BS206" s="344"/>
      <c r="BT206" s="344"/>
      <c r="BU206" s="344"/>
      <c r="BV206" s="344"/>
      <c r="BW206" s="344"/>
      <c r="BX206" s="344"/>
      <c r="BY206" s="344"/>
      <c r="BZ206" s="344"/>
      <c r="CA206" s="344"/>
      <c r="CB206" s="344"/>
      <c r="CC206" s="344"/>
      <c r="CD206" s="344"/>
      <c r="CE206" s="344"/>
      <c r="CF206" s="344"/>
      <c r="CG206" s="344"/>
      <c r="CH206" s="344"/>
      <c r="CI206" s="344"/>
      <c r="CJ206" s="344"/>
      <c r="CK206" s="344"/>
      <c r="CL206" s="344"/>
      <c r="CM206" s="344"/>
      <c r="CN206" s="344"/>
      <c r="CO206" s="344"/>
      <c r="CP206" s="344"/>
      <c r="CQ206" s="344"/>
      <c r="CR206" s="344"/>
      <c r="CS206" s="344"/>
      <c r="CT206" s="344"/>
      <c r="CU206" s="344"/>
      <c r="CV206" s="344"/>
      <c r="CW206" s="344"/>
      <c r="CX206" s="344"/>
      <c r="CY206" s="344"/>
      <c r="CZ206" s="344"/>
      <c r="DA206" s="344"/>
      <c r="DB206" s="344"/>
      <c r="DC206" s="344"/>
      <c r="DD206" s="344"/>
      <c r="DE206" s="344"/>
      <c r="DF206" s="344"/>
      <c r="DG206" s="344"/>
      <c r="DH206" s="344"/>
      <c r="DI206" s="344"/>
      <c r="DJ206" s="344"/>
      <c r="DK206" s="344"/>
      <c r="DL206" s="344"/>
      <c r="DM206" s="344"/>
      <c r="DN206" s="344"/>
      <c r="DO206" s="344"/>
      <c r="DP206" s="344"/>
      <c r="DQ206" s="344"/>
      <c r="DR206" s="344"/>
      <c r="DS206" s="344"/>
      <c r="DT206" s="344"/>
      <c r="DU206" s="344"/>
      <c r="DV206" s="344"/>
      <c r="DW206" s="344"/>
      <c r="DX206" s="344"/>
      <c r="DY206" s="344"/>
      <c r="DZ206" s="344"/>
      <c r="EA206" s="344"/>
      <c r="EB206" s="344"/>
      <c r="EC206" s="344"/>
      <c r="ED206" s="344"/>
      <c r="EE206" s="344"/>
      <c r="EF206" s="344"/>
      <c r="EG206" s="344"/>
      <c r="EH206" s="344"/>
      <c r="EI206" s="344"/>
      <c r="EJ206" s="344"/>
      <c r="EK206" s="344"/>
      <c r="EL206" s="344"/>
      <c r="EM206" s="344"/>
      <c r="EN206" s="344"/>
      <c r="EO206" s="344"/>
      <c r="EP206" s="344"/>
      <c r="EQ206" s="344"/>
      <c r="ER206" s="344"/>
      <c r="ES206" s="344"/>
      <c r="ET206" s="344"/>
      <c r="EU206" s="344"/>
      <c r="EV206" s="344"/>
      <c r="EW206" s="344"/>
      <c r="EX206" s="344"/>
      <c r="EY206" s="344"/>
      <c r="EZ206" s="344"/>
      <c r="FA206" s="344"/>
      <c r="FB206" s="344"/>
      <c r="FC206" s="344"/>
      <c r="FD206" s="344"/>
      <c r="FE206" s="344"/>
      <c r="FF206" s="344"/>
      <c r="FG206" s="344"/>
      <c r="FH206" s="344"/>
      <c r="FI206" s="344"/>
      <c r="FJ206" s="344"/>
      <c r="FK206" s="344"/>
      <c r="FL206" s="344"/>
      <c r="FM206" s="344"/>
      <c r="FN206" s="344"/>
      <c r="FO206" s="344"/>
      <c r="FP206" s="344"/>
      <c r="FQ206" s="344"/>
      <c r="FR206" s="344"/>
      <c r="FS206" s="344"/>
      <c r="FT206" s="344"/>
      <c r="FU206" s="344"/>
      <c r="FV206" s="344"/>
      <c r="FW206" s="344"/>
      <c r="FX206" s="344"/>
      <c r="FY206" s="344"/>
      <c r="FZ206" s="344"/>
      <c r="GA206" s="344"/>
      <c r="GB206" s="344"/>
      <c r="GC206" s="344"/>
      <c r="GD206" s="344"/>
      <c r="GE206" s="344"/>
      <c r="GF206" s="344"/>
      <c r="GG206" s="344"/>
      <c r="GH206" s="344"/>
      <c r="GI206" s="344"/>
      <c r="GJ206" s="344"/>
      <c r="GK206" s="344"/>
      <c r="GL206" s="344"/>
      <c r="GM206" s="344"/>
      <c r="GN206" s="344"/>
      <c r="GO206" s="344"/>
      <c r="GP206" s="344"/>
      <c r="GQ206" s="344"/>
      <c r="GR206" s="344"/>
      <c r="GS206" s="344"/>
      <c r="GT206" s="344"/>
      <c r="GU206" s="344"/>
      <c r="GV206" s="344"/>
      <c r="GW206" s="344"/>
      <c r="GX206" s="344"/>
      <c r="GY206" s="344"/>
      <c r="GZ206" s="344"/>
      <c r="HA206" s="344"/>
      <c r="HB206" s="344"/>
      <c r="HC206" s="344"/>
      <c r="HD206" s="344"/>
      <c r="HE206" s="344"/>
      <c r="HF206" s="344"/>
      <c r="HG206" s="344"/>
      <c r="HH206" s="344"/>
      <c r="HI206" s="344"/>
      <c r="HJ206" s="344"/>
      <c r="HK206" s="344"/>
      <c r="HL206" s="344"/>
      <c r="HM206" s="344"/>
      <c r="HN206" s="344"/>
      <c r="HO206" s="344"/>
      <c r="HP206" s="344"/>
      <c r="HQ206" s="344"/>
      <c r="HR206" s="344"/>
      <c r="HS206" s="344"/>
      <c r="HT206" s="344"/>
      <c r="HU206" s="344"/>
      <c r="HV206" s="344"/>
      <c r="HW206" s="344"/>
      <c r="HX206" s="344"/>
      <c r="HY206" s="344"/>
      <c r="HZ206" s="344"/>
      <c r="IA206" s="344"/>
      <c r="IB206" s="344"/>
      <c r="IC206" s="344"/>
      <c r="ID206" s="344"/>
      <c r="IE206" s="344"/>
      <c r="IF206" s="344"/>
      <c r="IG206" s="344"/>
      <c r="IH206" s="344"/>
      <c r="II206" s="344"/>
      <c r="IJ206" s="344"/>
      <c r="IK206" s="344"/>
      <c r="IL206" s="344"/>
      <c r="IM206" s="344"/>
      <c r="IN206" s="344"/>
      <c r="IO206" s="344"/>
      <c r="IP206" s="344"/>
      <c r="IQ206" s="344"/>
      <c r="IR206" s="344"/>
      <c r="IS206" s="344"/>
      <c r="IT206" s="344"/>
      <c r="IU206" s="344"/>
      <c r="IV206" s="344"/>
    </row>
    <row r="207" spans="1:256" hidden="1">
      <c r="A207" s="356">
        <v>39938</v>
      </c>
      <c r="B207" s="356" t="s">
        <v>552</v>
      </c>
      <c r="C207" s="357">
        <v>35</v>
      </c>
      <c r="D207" s="356">
        <v>39973</v>
      </c>
      <c r="E207" s="360">
        <v>18</v>
      </c>
      <c r="F207" s="358">
        <v>15.043200000000001</v>
      </c>
      <c r="G207" s="358">
        <v>15.043200000000001</v>
      </c>
      <c r="H207" s="358">
        <v>3.5000000000000004</v>
      </c>
      <c r="I207" s="358">
        <v>3.8699999999999998E-2</v>
      </c>
      <c r="J207" s="358">
        <v>3.56</v>
      </c>
      <c r="L207" s="357">
        <v>2</v>
      </c>
    </row>
    <row r="208" spans="1:256" s="373" customFormat="1" hidden="1">
      <c r="A208" s="369">
        <v>39938</v>
      </c>
      <c r="B208" s="369" t="s">
        <v>553</v>
      </c>
      <c r="C208" s="370">
        <v>364</v>
      </c>
      <c r="D208" s="369">
        <v>40302</v>
      </c>
      <c r="E208" s="371">
        <v>3</v>
      </c>
      <c r="F208" s="372">
        <v>2.3690000000000002</v>
      </c>
      <c r="G208" s="372">
        <v>2.3690000000000002</v>
      </c>
      <c r="H208" s="372">
        <v>8.49</v>
      </c>
      <c r="I208" s="372">
        <v>8.4900000000000003E-2</v>
      </c>
      <c r="J208" s="372">
        <v>8.49</v>
      </c>
      <c r="L208" s="370">
        <v>2</v>
      </c>
      <c r="M208" s="344"/>
      <c r="N208" s="344"/>
      <c r="O208" s="344"/>
      <c r="P208" s="344"/>
      <c r="Q208" s="344"/>
      <c r="R208" s="344"/>
      <c r="S208" s="344"/>
      <c r="T208" s="344"/>
      <c r="U208" s="344"/>
      <c r="V208" s="344"/>
      <c r="W208" s="344"/>
      <c r="X208" s="344"/>
      <c r="Y208" s="344"/>
      <c r="Z208" s="344"/>
      <c r="AA208" s="344"/>
      <c r="AB208" s="344"/>
      <c r="AC208" s="344"/>
      <c r="AD208" s="344"/>
      <c r="AE208" s="344"/>
      <c r="AF208" s="344"/>
      <c r="AG208" s="344"/>
      <c r="AH208" s="344"/>
      <c r="AI208" s="344"/>
      <c r="AJ208" s="344"/>
      <c r="AK208" s="344"/>
      <c r="AL208" s="344"/>
      <c r="AM208" s="344"/>
      <c r="AN208" s="344"/>
      <c r="AO208" s="344"/>
      <c r="AP208" s="344"/>
      <c r="AQ208" s="344"/>
      <c r="AR208" s="344"/>
      <c r="AS208" s="344"/>
      <c r="AT208" s="344"/>
      <c r="AU208" s="344"/>
      <c r="AV208" s="344"/>
      <c r="AW208" s="344"/>
      <c r="AX208" s="344"/>
      <c r="AY208" s="344"/>
      <c r="AZ208" s="344"/>
      <c r="BA208" s="344"/>
      <c r="BB208" s="344"/>
      <c r="BC208" s="344"/>
      <c r="BD208" s="344"/>
      <c r="BE208" s="344"/>
      <c r="BF208" s="344"/>
      <c r="BG208" s="344"/>
      <c r="BH208" s="344"/>
      <c r="BI208" s="344"/>
      <c r="BJ208" s="344"/>
      <c r="BK208" s="344"/>
      <c r="BL208" s="344"/>
      <c r="BM208" s="344"/>
      <c r="BN208" s="344"/>
      <c r="BO208" s="344"/>
      <c r="BP208" s="344"/>
      <c r="BQ208" s="344"/>
      <c r="BR208" s="344"/>
      <c r="BS208" s="344"/>
      <c r="BT208" s="344"/>
      <c r="BU208" s="344"/>
      <c r="BV208" s="344"/>
      <c r="BW208" s="344"/>
      <c r="BX208" s="344"/>
      <c r="BY208" s="344"/>
      <c r="BZ208" s="344"/>
      <c r="CA208" s="344"/>
      <c r="CB208" s="344"/>
      <c r="CC208" s="344"/>
      <c r="CD208" s="344"/>
      <c r="CE208" s="344"/>
      <c r="CF208" s="344"/>
      <c r="CG208" s="344"/>
      <c r="CH208" s="344"/>
      <c r="CI208" s="344"/>
      <c r="CJ208" s="344"/>
      <c r="CK208" s="344"/>
      <c r="CL208" s="344"/>
      <c r="CM208" s="344"/>
      <c r="CN208" s="344"/>
      <c r="CO208" s="344"/>
      <c r="CP208" s="344"/>
      <c r="CQ208" s="344"/>
      <c r="CR208" s="344"/>
      <c r="CS208" s="344"/>
      <c r="CT208" s="344"/>
      <c r="CU208" s="344"/>
      <c r="CV208" s="344"/>
      <c r="CW208" s="344"/>
      <c r="CX208" s="344"/>
      <c r="CY208" s="344"/>
      <c r="CZ208" s="344"/>
      <c r="DA208" s="344"/>
      <c r="DB208" s="344"/>
      <c r="DC208" s="344"/>
      <c r="DD208" s="344"/>
      <c r="DE208" s="344"/>
      <c r="DF208" s="344"/>
      <c r="DG208" s="344"/>
      <c r="DH208" s="344"/>
      <c r="DI208" s="344"/>
      <c r="DJ208" s="344"/>
      <c r="DK208" s="344"/>
      <c r="DL208" s="344"/>
      <c r="DM208" s="344"/>
      <c r="DN208" s="344"/>
      <c r="DO208" s="344"/>
      <c r="DP208" s="344"/>
      <c r="DQ208" s="344"/>
      <c r="DR208" s="344"/>
      <c r="DS208" s="344"/>
      <c r="DT208" s="344"/>
      <c r="DU208" s="344"/>
      <c r="DV208" s="344"/>
      <c r="DW208" s="344"/>
      <c r="DX208" s="344"/>
      <c r="DY208" s="344"/>
      <c r="DZ208" s="344"/>
      <c r="EA208" s="344"/>
      <c r="EB208" s="344"/>
      <c r="EC208" s="344"/>
      <c r="ED208" s="344"/>
      <c r="EE208" s="344"/>
      <c r="EF208" s="344"/>
      <c r="EG208" s="344"/>
      <c r="EH208" s="344"/>
      <c r="EI208" s="344"/>
      <c r="EJ208" s="344"/>
      <c r="EK208" s="344"/>
      <c r="EL208" s="344"/>
      <c r="EM208" s="344"/>
      <c r="EN208" s="344"/>
      <c r="EO208" s="344"/>
      <c r="EP208" s="344"/>
      <c r="EQ208" s="344"/>
      <c r="ER208" s="344"/>
      <c r="ES208" s="344"/>
      <c r="ET208" s="344"/>
      <c r="EU208" s="344"/>
      <c r="EV208" s="344"/>
      <c r="EW208" s="344"/>
      <c r="EX208" s="344"/>
      <c r="EY208" s="344"/>
      <c r="EZ208" s="344"/>
      <c r="FA208" s="344"/>
      <c r="FB208" s="344"/>
      <c r="FC208" s="344"/>
      <c r="FD208" s="344"/>
      <c r="FE208" s="344"/>
      <c r="FF208" s="344"/>
      <c r="FG208" s="344"/>
      <c r="FH208" s="344"/>
      <c r="FI208" s="344"/>
      <c r="FJ208" s="344"/>
      <c r="FK208" s="344"/>
      <c r="FL208" s="344"/>
      <c r="FM208" s="344"/>
      <c r="FN208" s="344"/>
      <c r="FO208" s="344"/>
      <c r="FP208" s="344"/>
      <c r="FQ208" s="344"/>
      <c r="FR208" s="344"/>
      <c r="FS208" s="344"/>
      <c r="FT208" s="344"/>
      <c r="FU208" s="344"/>
      <c r="FV208" s="344"/>
      <c r="FW208" s="344"/>
      <c r="FX208" s="344"/>
      <c r="FY208" s="344"/>
      <c r="FZ208" s="344"/>
      <c r="GA208" s="344"/>
      <c r="GB208" s="344"/>
      <c r="GC208" s="344"/>
      <c r="GD208" s="344"/>
      <c r="GE208" s="344"/>
      <c r="GF208" s="344"/>
      <c r="GG208" s="344"/>
      <c r="GH208" s="344"/>
      <c r="GI208" s="344"/>
      <c r="GJ208" s="344"/>
      <c r="GK208" s="344"/>
      <c r="GL208" s="344"/>
      <c r="GM208" s="344"/>
      <c r="GN208" s="344"/>
      <c r="GO208" s="344"/>
      <c r="GP208" s="344"/>
      <c r="GQ208" s="344"/>
      <c r="GR208" s="344"/>
      <c r="GS208" s="344"/>
      <c r="GT208" s="344"/>
      <c r="GU208" s="344"/>
      <c r="GV208" s="344"/>
      <c r="GW208" s="344"/>
      <c r="GX208" s="344"/>
      <c r="GY208" s="344"/>
      <c r="GZ208" s="344"/>
      <c r="HA208" s="344"/>
      <c r="HB208" s="344"/>
      <c r="HC208" s="344"/>
      <c r="HD208" s="344"/>
      <c r="HE208" s="344"/>
      <c r="HF208" s="344"/>
      <c r="HG208" s="344"/>
      <c r="HH208" s="344"/>
      <c r="HI208" s="344"/>
      <c r="HJ208" s="344"/>
      <c r="HK208" s="344"/>
      <c r="HL208" s="344"/>
      <c r="HM208" s="344"/>
      <c r="HN208" s="344"/>
      <c r="HO208" s="344"/>
      <c r="HP208" s="344"/>
      <c r="HQ208" s="344"/>
      <c r="HR208" s="344"/>
      <c r="HS208" s="344"/>
      <c r="HT208" s="344"/>
      <c r="HU208" s="344"/>
      <c r="HV208" s="344"/>
      <c r="HW208" s="344"/>
      <c r="HX208" s="344"/>
      <c r="HY208" s="344"/>
      <c r="HZ208" s="344"/>
      <c r="IA208" s="344"/>
      <c r="IB208" s="344"/>
      <c r="IC208" s="344"/>
      <c r="ID208" s="344"/>
      <c r="IE208" s="344"/>
      <c r="IF208" s="344"/>
      <c r="IG208" s="344"/>
      <c r="IH208" s="344"/>
      <c r="II208" s="344"/>
      <c r="IJ208" s="344"/>
      <c r="IK208" s="344"/>
      <c r="IL208" s="344"/>
      <c r="IM208" s="344"/>
      <c r="IN208" s="344"/>
      <c r="IO208" s="344"/>
      <c r="IP208" s="344"/>
      <c r="IQ208" s="344"/>
      <c r="IR208" s="344"/>
      <c r="IS208" s="344"/>
      <c r="IT208" s="344"/>
      <c r="IU208" s="344"/>
      <c r="IV208" s="344"/>
    </row>
    <row r="209" spans="1:256" hidden="1">
      <c r="A209" s="356">
        <v>39941</v>
      </c>
      <c r="B209" s="356" t="s">
        <v>554</v>
      </c>
      <c r="C209" s="357">
        <v>91</v>
      </c>
      <c r="D209" s="356">
        <v>40032</v>
      </c>
      <c r="E209" s="360">
        <v>18</v>
      </c>
      <c r="F209" s="358">
        <v>11.561400000000001</v>
      </c>
      <c r="G209" s="358">
        <v>11.561400000000001</v>
      </c>
      <c r="H209" s="358">
        <v>6.03</v>
      </c>
      <c r="I209" s="358">
        <v>5.62E-2</v>
      </c>
      <c r="J209" s="358">
        <v>6.1899999999999995</v>
      </c>
      <c r="L209" s="357">
        <v>3</v>
      </c>
    </row>
    <row r="210" spans="1:256" s="373" customFormat="1" hidden="1">
      <c r="A210" s="369">
        <v>39945</v>
      </c>
      <c r="B210" s="369" t="s">
        <v>555</v>
      </c>
      <c r="C210" s="370">
        <v>182</v>
      </c>
      <c r="D210" s="369">
        <v>40127</v>
      </c>
      <c r="E210" s="371">
        <v>7</v>
      </c>
      <c r="F210" s="372">
        <v>11.6698</v>
      </c>
      <c r="G210" s="372">
        <v>7</v>
      </c>
      <c r="H210" s="372">
        <v>6.5</v>
      </c>
      <c r="I210" s="372">
        <v>6.5000000000000002E-2</v>
      </c>
      <c r="J210" s="372">
        <v>6.5</v>
      </c>
      <c r="L210" s="370">
        <v>3</v>
      </c>
      <c r="M210" s="344"/>
      <c r="N210" s="344"/>
      <c r="O210" s="344"/>
      <c r="P210" s="344"/>
      <c r="Q210" s="344"/>
      <c r="R210" s="344"/>
      <c r="S210" s="344"/>
      <c r="T210" s="344"/>
      <c r="U210" s="344"/>
      <c r="V210" s="344"/>
      <c r="W210" s="344"/>
      <c r="X210" s="344"/>
      <c r="Y210" s="344"/>
      <c r="Z210" s="344"/>
      <c r="AA210" s="344"/>
      <c r="AB210" s="344"/>
      <c r="AC210" s="344"/>
      <c r="AD210" s="344"/>
      <c r="AE210" s="344"/>
      <c r="AF210" s="344"/>
      <c r="AG210" s="344"/>
      <c r="AH210" s="344"/>
      <c r="AI210" s="344"/>
      <c r="AJ210" s="344"/>
      <c r="AK210" s="344"/>
      <c r="AL210" s="344"/>
      <c r="AM210" s="344"/>
      <c r="AN210" s="344"/>
      <c r="AO210" s="344"/>
      <c r="AP210" s="344"/>
      <c r="AQ210" s="344"/>
      <c r="AR210" s="344"/>
      <c r="AS210" s="344"/>
      <c r="AT210" s="344"/>
      <c r="AU210" s="344"/>
      <c r="AV210" s="344"/>
      <c r="AW210" s="344"/>
      <c r="AX210" s="344"/>
      <c r="AY210" s="344"/>
      <c r="AZ210" s="344"/>
      <c r="BA210" s="344"/>
      <c r="BB210" s="344"/>
      <c r="BC210" s="344"/>
      <c r="BD210" s="344"/>
      <c r="BE210" s="344"/>
      <c r="BF210" s="344"/>
      <c r="BG210" s="344"/>
      <c r="BH210" s="344"/>
      <c r="BI210" s="344"/>
      <c r="BJ210" s="344"/>
      <c r="BK210" s="344"/>
      <c r="BL210" s="344"/>
      <c r="BM210" s="344"/>
      <c r="BN210" s="344"/>
      <c r="BO210" s="344"/>
      <c r="BP210" s="344"/>
      <c r="BQ210" s="344"/>
      <c r="BR210" s="344"/>
      <c r="BS210" s="344"/>
      <c r="BT210" s="344"/>
      <c r="BU210" s="344"/>
      <c r="BV210" s="344"/>
      <c r="BW210" s="344"/>
      <c r="BX210" s="344"/>
      <c r="BY210" s="344"/>
      <c r="BZ210" s="344"/>
      <c r="CA210" s="344"/>
      <c r="CB210" s="344"/>
      <c r="CC210" s="344"/>
      <c r="CD210" s="344"/>
      <c r="CE210" s="344"/>
      <c r="CF210" s="344"/>
      <c r="CG210" s="344"/>
      <c r="CH210" s="344"/>
      <c r="CI210" s="344"/>
      <c r="CJ210" s="344"/>
      <c r="CK210" s="344"/>
      <c r="CL210" s="344"/>
      <c r="CM210" s="344"/>
      <c r="CN210" s="344"/>
      <c r="CO210" s="344"/>
      <c r="CP210" s="344"/>
      <c r="CQ210" s="344"/>
      <c r="CR210" s="344"/>
      <c r="CS210" s="344"/>
      <c r="CT210" s="344"/>
      <c r="CU210" s="344"/>
      <c r="CV210" s="344"/>
      <c r="CW210" s="344"/>
      <c r="CX210" s="344"/>
      <c r="CY210" s="344"/>
      <c r="CZ210" s="344"/>
      <c r="DA210" s="344"/>
      <c r="DB210" s="344"/>
      <c r="DC210" s="344"/>
      <c r="DD210" s="344"/>
      <c r="DE210" s="344"/>
      <c r="DF210" s="344"/>
      <c r="DG210" s="344"/>
      <c r="DH210" s="344"/>
      <c r="DI210" s="344"/>
      <c r="DJ210" s="344"/>
      <c r="DK210" s="344"/>
      <c r="DL210" s="344"/>
      <c r="DM210" s="344"/>
      <c r="DN210" s="344"/>
      <c r="DO210" s="344"/>
      <c r="DP210" s="344"/>
      <c r="DQ210" s="344"/>
      <c r="DR210" s="344"/>
      <c r="DS210" s="344"/>
      <c r="DT210" s="344"/>
      <c r="DU210" s="344"/>
      <c r="DV210" s="344"/>
      <c r="DW210" s="344"/>
      <c r="DX210" s="344"/>
      <c r="DY210" s="344"/>
      <c r="DZ210" s="344"/>
      <c r="EA210" s="344"/>
      <c r="EB210" s="344"/>
      <c r="EC210" s="344"/>
      <c r="ED210" s="344"/>
      <c r="EE210" s="344"/>
      <c r="EF210" s="344"/>
      <c r="EG210" s="344"/>
      <c r="EH210" s="344"/>
      <c r="EI210" s="344"/>
      <c r="EJ210" s="344"/>
      <c r="EK210" s="344"/>
      <c r="EL210" s="344"/>
      <c r="EM210" s="344"/>
      <c r="EN210" s="344"/>
      <c r="EO210" s="344"/>
      <c r="EP210" s="344"/>
      <c r="EQ210" s="344"/>
      <c r="ER210" s="344"/>
      <c r="ES210" s="344"/>
      <c r="ET210" s="344"/>
      <c r="EU210" s="344"/>
      <c r="EV210" s="344"/>
      <c r="EW210" s="344"/>
      <c r="EX210" s="344"/>
      <c r="EY210" s="344"/>
      <c r="EZ210" s="344"/>
      <c r="FA210" s="344"/>
      <c r="FB210" s="344"/>
      <c r="FC210" s="344"/>
      <c r="FD210" s="344"/>
      <c r="FE210" s="344"/>
      <c r="FF210" s="344"/>
      <c r="FG210" s="344"/>
      <c r="FH210" s="344"/>
      <c r="FI210" s="344"/>
      <c r="FJ210" s="344"/>
      <c r="FK210" s="344"/>
      <c r="FL210" s="344"/>
      <c r="FM210" s="344"/>
      <c r="FN210" s="344"/>
      <c r="FO210" s="344"/>
      <c r="FP210" s="344"/>
      <c r="FQ210" s="344"/>
      <c r="FR210" s="344"/>
      <c r="FS210" s="344"/>
      <c r="FT210" s="344"/>
      <c r="FU210" s="344"/>
      <c r="FV210" s="344"/>
      <c r="FW210" s="344"/>
      <c r="FX210" s="344"/>
      <c r="FY210" s="344"/>
      <c r="FZ210" s="344"/>
      <c r="GA210" s="344"/>
      <c r="GB210" s="344"/>
      <c r="GC210" s="344"/>
      <c r="GD210" s="344"/>
      <c r="GE210" s="344"/>
      <c r="GF210" s="344"/>
      <c r="GG210" s="344"/>
      <c r="GH210" s="344"/>
      <c r="GI210" s="344"/>
      <c r="GJ210" s="344"/>
      <c r="GK210" s="344"/>
      <c r="GL210" s="344"/>
      <c r="GM210" s="344"/>
      <c r="GN210" s="344"/>
      <c r="GO210" s="344"/>
      <c r="GP210" s="344"/>
      <c r="GQ210" s="344"/>
      <c r="GR210" s="344"/>
      <c r="GS210" s="344"/>
      <c r="GT210" s="344"/>
      <c r="GU210" s="344"/>
      <c r="GV210" s="344"/>
      <c r="GW210" s="344"/>
      <c r="GX210" s="344"/>
      <c r="GY210" s="344"/>
      <c r="GZ210" s="344"/>
      <c r="HA210" s="344"/>
      <c r="HB210" s="344"/>
      <c r="HC210" s="344"/>
      <c r="HD210" s="344"/>
      <c r="HE210" s="344"/>
      <c r="HF210" s="344"/>
      <c r="HG210" s="344"/>
      <c r="HH210" s="344"/>
      <c r="HI210" s="344"/>
      <c r="HJ210" s="344"/>
      <c r="HK210" s="344"/>
      <c r="HL210" s="344"/>
      <c r="HM210" s="344"/>
      <c r="HN210" s="344"/>
      <c r="HO210" s="344"/>
      <c r="HP210" s="344"/>
      <c r="HQ210" s="344"/>
      <c r="HR210" s="344"/>
      <c r="HS210" s="344"/>
      <c r="HT210" s="344"/>
      <c r="HU210" s="344"/>
      <c r="HV210" s="344"/>
      <c r="HW210" s="344"/>
      <c r="HX210" s="344"/>
      <c r="HY210" s="344"/>
      <c r="HZ210" s="344"/>
      <c r="IA210" s="344"/>
      <c r="IB210" s="344"/>
      <c r="IC210" s="344"/>
      <c r="ID210" s="344"/>
      <c r="IE210" s="344"/>
      <c r="IF210" s="344"/>
      <c r="IG210" s="344"/>
      <c r="IH210" s="344"/>
      <c r="II210" s="344"/>
      <c r="IJ210" s="344"/>
      <c r="IK210" s="344"/>
      <c r="IL210" s="344"/>
      <c r="IM210" s="344"/>
      <c r="IN210" s="344"/>
      <c r="IO210" s="344"/>
      <c r="IP210" s="344"/>
      <c r="IQ210" s="344"/>
      <c r="IR210" s="344"/>
      <c r="IS210" s="344"/>
      <c r="IT210" s="344"/>
      <c r="IU210" s="344"/>
      <c r="IV210" s="344"/>
    </row>
    <row r="211" spans="1:256" hidden="1">
      <c r="A211" s="356">
        <v>39948</v>
      </c>
      <c r="B211" s="356" t="s">
        <v>556</v>
      </c>
      <c r="C211" s="357">
        <v>728</v>
      </c>
      <c r="D211" s="356">
        <v>40676</v>
      </c>
      <c r="E211" s="360">
        <v>2</v>
      </c>
      <c r="F211" s="358">
        <v>2</v>
      </c>
      <c r="G211" s="358">
        <v>2</v>
      </c>
      <c r="H211" s="358">
        <v>6</v>
      </c>
      <c r="I211" s="358">
        <v>0.06</v>
      </c>
      <c r="J211" s="358">
        <v>6</v>
      </c>
      <c r="L211" s="357">
        <v>1</v>
      </c>
    </row>
    <row r="212" spans="1:256" s="373" customFormat="1" hidden="1">
      <c r="A212" s="369">
        <v>39948</v>
      </c>
      <c r="B212" s="369" t="s">
        <v>557</v>
      </c>
      <c r="C212" s="370">
        <v>1092</v>
      </c>
      <c r="D212" s="369">
        <v>41040</v>
      </c>
      <c r="E212" s="371">
        <v>2</v>
      </c>
      <c r="F212" s="372">
        <v>0</v>
      </c>
      <c r="G212" s="372">
        <v>0</v>
      </c>
      <c r="H212" s="372">
        <v>0</v>
      </c>
      <c r="I212" s="372">
        <v>0</v>
      </c>
      <c r="J212" s="372">
        <v>0</v>
      </c>
      <c r="L212" s="370">
        <v>0</v>
      </c>
      <c r="M212" s="344"/>
      <c r="N212" s="344"/>
      <c r="O212" s="344"/>
      <c r="P212" s="344"/>
      <c r="Q212" s="344"/>
      <c r="R212" s="344"/>
      <c r="S212" s="344"/>
      <c r="T212" s="344"/>
      <c r="U212" s="344"/>
      <c r="V212" s="344"/>
      <c r="W212" s="344"/>
      <c r="X212" s="344"/>
      <c r="Y212" s="344"/>
      <c r="Z212" s="344"/>
      <c r="AA212" s="344"/>
      <c r="AB212" s="344"/>
      <c r="AC212" s="344"/>
      <c r="AD212" s="344"/>
      <c r="AE212" s="344"/>
      <c r="AF212" s="344"/>
      <c r="AG212" s="344"/>
      <c r="AH212" s="344"/>
      <c r="AI212" s="344"/>
      <c r="AJ212" s="344"/>
      <c r="AK212" s="344"/>
      <c r="AL212" s="344"/>
      <c r="AM212" s="344"/>
      <c r="AN212" s="344"/>
      <c r="AO212" s="344"/>
      <c r="AP212" s="344"/>
      <c r="AQ212" s="344"/>
      <c r="AR212" s="344"/>
      <c r="AS212" s="344"/>
      <c r="AT212" s="344"/>
      <c r="AU212" s="344"/>
      <c r="AV212" s="344"/>
      <c r="AW212" s="344"/>
      <c r="AX212" s="344"/>
      <c r="AY212" s="344"/>
      <c r="AZ212" s="344"/>
      <c r="BA212" s="344"/>
      <c r="BB212" s="344"/>
      <c r="BC212" s="344"/>
      <c r="BD212" s="344"/>
      <c r="BE212" s="344"/>
      <c r="BF212" s="344"/>
      <c r="BG212" s="344"/>
      <c r="BH212" s="344"/>
      <c r="BI212" s="344"/>
      <c r="BJ212" s="344"/>
      <c r="BK212" s="344"/>
      <c r="BL212" s="344"/>
      <c r="BM212" s="344"/>
      <c r="BN212" s="344"/>
      <c r="BO212" s="344"/>
      <c r="BP212" s="344"/>
      <c r="BQ212" s="344"/>
      <c r="BR212" s="344"/>
      <c r="BS212" s="344"/>
      <c r="BT212" s="344"/>
      <c r="BU212" s="344"/>
      <c r="BV212" s="344"/>
      <c r="BW212" s="344"/>
      <c r="BX212" s="344"/>
      <c r="BY212" s="344"/>
      <c r="BZ212" s="344"/>
      <c r="CA212" s="344"/>
      <c r="CB212" s="344"/>
      <c r="CC212" s="344"/>
      <c r="CD212" s="344"/>
      <c r="CE212" s="344"/>
      <c r="CF212" s="344"/>
      <c r="CG212" s="344"/>
      <c r="CH212" s="344"/>
      <c r="CI212" s="344"/>
      <c r="CJ212" s="344"/>
      <c r="CK212" s="344"/>
      <c r="CL212" s="344"/>
      <c r="CM212" s="344"/>
      <c r="CN212" s="344"/>
      <c r="CO212" s="344"/>
      <c r="CP212" s="344"/>
      <c r="CQ212" s="344"/>
      <c r="CR212" s="344"/>
      <c r="CS212" s="344"/>
      <c r="CT212" s="344"/>
      <c r="CU212" s="344"/>
      <c r="CV212" s="344"/>
      <c r="CW212" s="344"/>
      <c r="CX212" s="344"/>
      <c r="CY212" s="344"/>
      <c r="CZ212" s="344"/>
      <c r="DA212" s="344"/>
      <c r="DB212" s="344"/>
      <c r="DC212" s="344"/>
      <c r="DD212" s="344"/>
      <c r="DE212" s="344"/>
      <c r="DF212" s="344"/>
      <c r="DG212" s="344"/>
      <c r="DH212" s="344"/>
      <c r="DI212" s="344"/>
      <c r="DJ212" s="344"/>
      <c r="DK212" s="344"/>
      <c r="DL212" s="344"/>
      <c r="DM212" s="344"/>
      <c r="DN212" s="344"/>
      <c r="DO212" s="344"/>
      <c r="DP212" s="344"/>
      <c r="DQ212" s="344"/>
      <c r="DR212" s="344"/>
      <c r="DS212" s="344"/>
      <c r="DT212" s="344"/>
      <c r="DU212" s="344"/>
      <c r="DV212" s="344"/>
      <c r="DW212" s="344"/>
      <c r="DX212" s="344"/>
      <c r="DY212" s="344"/>
      <c r="DZ212" s="344"/>
      <c r="EA212" s="344"/>
      <c r="EB212" s="344"/>
      <c r="EC212" s="344"/>
      <c r="ED212" s="344"/>
      <c r="EE212" s="344"/>
      <c r="EF212" s="344"/>
      <c r="EG212" s="344"/>
      <c r="EH212" s="344"/>
      <c r="EI212" s="344"/>
      <c r="EJ212" s="344"/>
      <c r="EK212" s="344"/>
      <c r="EL212" s="344"/>
      <c r="EM212" s="344"/>
      <c r="EN212" s="344"/>
      <c r="EO212" s="344"/>
      <c r="EP212" s="344"/>
      <c r="EQ212" s="344"/>
      <c r="ER212" s="344"/>
      <c r="ES212" s="344"/>
      <c r="ET212" s="344"/>
      <c r="EU212" s="344"/>
      <c r="EV212" s="344"/>
      <c r="EW212" s="344"/>
      <c r="EX212" s="344"/>
      <c r="EY212" s="344"/>
      <c r="EZ212" s="344"/>
      <c r="FA212" s="344"/>
      <c r="FB212" s="344"/>
      <c r="FC212" s="344"/>
      <c r="FD212" s="344"/>
      <c r="FE212" s="344"/>
      <c r="FF212" s="344"/>
      <c r="FG212" s="344"/>
      <c r="FH212" s="344"/>
      <c r="FI212" s="344"/>
      <c r="FJ212" s="344"/>
      <c r="FK212" s="344"/>
      <c r="FL212" s="344"/>
      <c r="FM212" s="344"/>
      <c r="FN212" s="344"/>
      <c r="FO212" s="344"/>
      <c r="FP212" s="344"/>
      <c r="FQ212" s="344"/>
      <c r="FR212" s="344"/>
      <c r="FS212" s="344"/>
      <c r="FT212" s="344"/>
      <c r="FU212" s="344"/>
      <c r="FV212" s="344"/>
      <c r="FW212" s="344"/>
      <c r="FX212" s="344"/>
      <c r="FY212" s="344"/>
      <c r="FZ212" s="344"/>
      <c r="GA212" s="344"/>
      <c r="GB212" s="344"/>
      <c r="GC212" s="344"/>
      <c r="GD212" s="344"/>
      <c r="GE212" s="344"/>
      <c r="GF212" s="344"/>
      <c r="GG212" s="344"/>
      <c r="GH212" s="344"/>
      <c r="GI212" s="344"/>
      <c r="GJ212" s="344"/>
      <c r="GK212" s="344"/>
      <c r="GL212" s="344"/>
      <c r="GM212" s="344"/>
      <c r="GN212" s="344"/>
      <c r="GO212" s="344"/>
      <c r="GP212" s="344"/>
      <c r="GQ212" s="344"/>
      <c r="GR212" s="344"/>
      <c r="GS212" s="344"/>
      <c r="GT212" s="344"/>
      <c r="GU212" s="344"/>
      <c r="GV212" s="344"/>
      <c r="GW212" s="344"/>
      <c r="GX212" s="344"/>
      <c r="GY212" s="344"/>
      <c r="GZ212" s="344"/>
      <c r="HA212" s="344"/>
      <c r="HB212" s="344"/>
      <c r="HC212" s="344"/>
      <c r="HD212" s="344"/>
      <c r="HE212" s="344"/>
      <c r="HF212" s="344"/>
      <c r="HG212" s="344"/>
      <c r="HH212" s="344"/>
      <c r="HI212" s="344"/>
      <c r="HJ212" s="344"/>
      <c r="HK212" s="344"/>
      <c r="HL212" s="344"/>
      <c r="HM212" s="344"/>
      <c r="HN212" s="344"/>
      <c r="HO212" s="344"/>
      <c r="HP212" s="344"/>
      <c r="HQ212" s="344"/>
      <c r="HR212" s="344"/>
      <c r="HS212" s="344"/>
      <c r="HT212" s="344"/>
      <c r="HU212" s="344"/>
      <c r="HV212" s="344"/>
      <c r="HW212" s="344"/>
      <c r="HX212" s="344"/>
      <c r="HY212" s="344"/>
      <c r="HZ212" s="344"/>
      <c r="IA212" s="344"/>
      <c r="IB212" s="344"/>
      <c r="IC212" s="344"/>
      <c r="ID212" s="344"/>
      <c r="IE212" s="344"/>
      <c r="IF212" s="344"/>
      <c r="IG212" s="344"/>
      <c r="IH212" s="344"/>
      <c r="II212" s="344"/>
      <c r="IJ212" s="344"/>
      <c r="IK212" s="344"/>
      <c r="IL212" s="344"/>
      <c r="IM212" s="344"/>
      <c r="IN212" s="344"/>
      <c r="IO212" s="344"/>
      <c r="IP212" s="344"/>
      <c r="IQ212" s="344"/>
      <c r="IR212" s="344"/>
      <c r="IS212" s="344"/>
      <c r="IT212" s="344"/>
      <c r="IU212" s="344"/>
      <c r="IV212" s="344"/>
    </row>
    <row r="213" spans="1:256" hidden="1">
      <c r="A213" s="356">
        <v>39952</v>
      </c>
      <c r="B213" s="356" t="s">
        <v>558</v>
      </c>
      <c r="C213" s="357">
        <v>364</v>
      </c>
      <c r="D213" s="356">
        <v>40316</v>
      </c>
      <c r="E213" s="360">
        <v>2</v>
      </c>
      <c r="F213" s="358">
        <v>0</v>
      </c>
      <c r="G213" s="358">
        <v>0</v>
      </c>
      <c r="H213" s="358">
        <v>0</v>
      </c>
      <c r="I213" s="358">
        <v>0</v>
      </c>
      <c r="J213" s="358">
        <v>0</v>
      </c>
      <c r="L213" s="357">
        <v>0</v>
      </c>
    </row>
    <row r="214" spans="1:256" s="373" customFormat="1" hidden="1">
      <c r="A214" s="369">
        <v>39952</v>
      </c>
      <c r="B214" s="369" t="s">
        <v>559</v>
      </c>
      <c r="C214" s="370">
        <v>35</v>
      </c>
      <c r="D214" s="369">
        <v>39987</v>
      </c>
      <c r="E214" s="371">
        <v>35</v>
      </c>
      <c r="F214" s="372">
        <v>0</v>
      </c>
      <c r="G214" s="372">
        <v>0</v>
      </c>
      <c r="H214" s="372">
        <v>0</v>
      </c>
      <c r="I214" s="372">
        <v>0</v>
      </c>
      <c r="J214" s="372">
        <v>0</v>
      </c>
      <c r="L214" s="370">
        <v>0</v>
      </c>
      <c r="M214" s="344"/>
      <c r="N214" s="344"/>
      <c r="O214" s="344"/>
      <c r="P214" s="344"/>
      <c r="Q214" s="344"/>
      <c r="R214" s="344"/>
      <c r="S214" s="344"/>
      <c r="T214" s="344"/>
      <c r="U214" s="344"/>
      <c r="V214" s="344"/>
      <c r="W214" s="344"/>
      <c r="X214" s="344"/>
      <c r="Y214" s="344"/>
      <c r="Z214" s="344"/>
      <c r="AA214" s="344"/>
      <c r="AB214" s="344"/>
      <c r="AC214" s="344"/>
      <c r="AD214" s="344"/>
      <c r="AE214" s="344"/>
      <c r="AF214" s="344"/>
      <c r="AG214" s="344"/>
      <c r="AH214" s="344"/>
      <c r="AI214" s="344"/>
      <c r="AJ214" s="344"/>
      <c r="AK214" s="344"/>
      <c r="AL214" s="344"/>
      <c r="AM214" s="344"/>
      <c r="AN214" s="344"/>
      <c r="AO214" s="344"/>
      <c r="AP214" s="344"/>
      <c r="AQ214" s="344"/>
      <c r="AR214" s="344"/>
      <c r="AS214" s="344"/>
      <c r="AT214" s="344"/>
      <c r="AU214" s="344"/>
      <c r="AV214" s="344"/>
      <c r="AW214" s="344"/>
      <c r="AX214" s="344"/>
      <c r="AY214" s="344"/>
      <c r="AZ214" s="344"/>
      <c r="BA214" s="344"/>
      <c r="BB214" s="344"/>
      <c r="BC214" s="344"/>
      <c r="BD214" s="344"/>
      <c r="BE214" s="344"/>
      <c r="BF214" s="344"/>
      <c r="BG214" s="344"/>
      <c r="BH214" s="344"/>
      <c r="BI214" s="344"/>
      <c r="BJ214" s="344"/>
      <c r="BK214" s="344"/>
      <c r="BL214" s="344"/>
      <c r="BM214" s="344"/>
      <c r="BN214" s="344"/>
      <c r="BO214" s="344"/>
      <c r="BP214" s="344"/>
      <c r="BQ214" s="344"/>
      <c r="BR214" s="344"/>
      <c r="BS214" s="344"/>
      <c r="BT214" s="344"/>
      <c r="BU214" s="344"/>
      <c r="BV214" s="344"/>
      <c r="BW214" s="344"/>
      <c r="BX214" s="344"/>
      <c r="BY214" s="344"/>
      <c r="BZ214" s="344"/>
      <c r="CA214" s="344"/>
      <c r="CB214" s="344"/>
      <c r="CC214" s="344"/>
      <c r="CD214" s="344"/>
      <c r="CE214" s="344"/>
      <c r="CF214" s="344"/>
      <c r="CG214" s="344"/>
      <c r="CH214" s="344"/>
      <c r="CI214" s="344"/>
      <c r="CJ214" s="344"/>
      <c r="CK214" s="344"/>
      <c r="CL214" s="344"/>
      <c r="CM214" s="344"/>
      <c r="CN214" s="344"/>
      <c r="CO214" s="344"/>
      <c r="CP214" s="344"/>
      <c r="CQ214" s="344"/>
      <c r="CR214" s="344"/>
      <c r="CS214" s="344"/>
      <c r="CT214" s="344"/>
      <c r="CU214" s="344"/>
      <c r="CV214" s="344"/>
      <c r="CW214" s="344"/>
      <c r="CX214" s="344"/>
      <c r="CY214" s="344"/>
      <c r="CZ214" s="344"/>
      <c r="DA214" s="344"/>
      <c r="DB214" s="344"/>
      <c r="DC214" s="344"/>
      <c r="DD214" s="344"/>
      <c r="DE214" s="344"/>
      <c r="DF214" s="344"/>
      <c r="DG214" s="344"/>
      <c r="DH214" s="344"/>
      <c r="DI214" s="344"/>
      <c r="DJ214" s="344"/>
      <c r="DK214" s="344"/>
      <c r="DL214" s="344"/>
      <c r="DM214" s="344"/>
      <c r="DN214" s="344"/>
      <c r="DO214" s="344"/>
      <c r="DP214" s="344"/>
      <c r="DQ214" s="344"/>
      <c r="DR214" s="344"/>
      <c r="DS214" s="344"/>
      <c r="DT214" s="344"/>
      <c r="DU214" s="344"/>
      <c r="DV214" s="344"/>
      <c r="DW214" s="344"/>
      <c r="DX214" s="344"/>
      <c r="DY214" s="344"/>
      <c r="DZ214" s="344"/>
      <c r="EA214" s="344"/>
      <c r="EB214" s="344"/>
      <c r="EC214" s="344"/>
      <c r="ED214" s="344"/>
      <c r="EE214" s="344"/>
      <c r="EF214" s="344"/>
      <c r="EG214" s="344"/>
      <c r="EH214" s="344"/>
      <c r="EI214" s="344"/>
      <c r="EJ214" s="344"/>
      <c r="EK214" s="344"/>
      <c r="EL214" s="344"/>
      <c r="EM214" s="344"/>
      <c r="EN214" s="344"/>
      <c r="EO214" s="344"/>
      <c r="EP214" s="344"/>
      <c r="EQ214" s="344"/>
      <c r="ER214" s="344"/>
      <c r="ES214" s="344"/>
      <c r="ET214" s="344"/>
      <c r="EU214" s="344"/>
      <c r="EV214" s="344"/>
      <c r="EW214" s="344"/>
      <c r="EX214" s="344"/>
      <c r="EY214" s="344"/>
      <c r="EZ214" s="344"/>
      <c r="FA214" s="344"/>
      <c r="FB214" s="344"/>
      <c r="FC214" s="344"/>
      <c r="FD214" s="344"/>
      <c r="FE214" s="344"/>
      <c r="FF214" s="344"/>
      <c r="FG214" s="344"/>
      <c r="FH214" s="344"/>
      <c r="FI214" s="344"/>
      <c r="FJ214" s="344"/>
      <c r="FK214" s="344"/>
      <c r="FL214" s="344"/>
      <c r="FM214" s="344"/>
      <c r="FN214" s="344"/>
      <c r="FO214" s="344"/>
      <c r="FP214" s="344"/>
      <c r="FQ214" s="344"/>
      <c r="FR214" s="344"/>
      <c r="FS214" s="344"/>
      <c r="FT214" s="344"/>
      <c r="FU214" s="344"/>
      <c r="FV214" s="344"/>
      <c r="FW214" s="344"/>
      <c r="FX214" s="344"/>
      <c r="FY214" s="344"/>
      <c r="FZ214" s="344"/>
      <c r="GA214" s="344"/>
      <c r="GB214" s="344"/>
      <c r="GC214" s="344"/>
      <c r="GD214" s="344"/>
      <c r="GE214" s="344"/>
      <c r="GF214" s="344"/>
      <c r="GG214" s="344"/>
      <c r="GH214" s="344"/>
      <c r="GI214" s="344"/>
      <c r="GJ214" s="344"/>
      <c r="GK214" s="344"/>
      <c r="GL214" s="344"/>
      <c r="GM214" s="344"/>
      <c r="GN214" s="344"/>
      <c r="GO214" s="344"/>
      <c r="GP214" s="344"/>
      <c r="GQ214" s="344"/>
      <c r="GR214" s="344"/>
      <c r="GS214" s="344"/>
      <c r="GT214" s="344"/>
      <c r="GU214" s="344"/>
      <c r="GV214" s="344"/>
      <c r="GW214" s="344"/>
      <c r="GX214" s="344"/>
      <c r="GY214" s="344"/>
      <c r="GZ214" s="344"/>
      <c r="HA214" s="344"/>
      <c r="HB214" s="344"/>
      <c r="HC214" s="344"/>
      <c r="HD214" s="344"/>
      <c r="HE214" s="344"/>
      <c r="HF214" s="344"/>
      <c r="HG214" s="344"/>
      <c r="HH214" s="344"/>
      <c r="HI214" s="344"/>
      <c r="HJ214" s="344"/>
      <c r="HK214" s="344"/>
      <c r="HL214" s="344"/>
      <c r="HM214" s="344"/>
      <c r="HN214" s="344"/>
      <c r="HO214" s="344"/>
      <c r="HP214" s="344"/>
      <c r="HQ214" s="344"/>
      <c r="HR214" s="344"/>
      <c r="HS214" s="344"/>
      <c r="HT214" s="344"/>
      <c r="HU214" s="344"/>
      <c r="HV214" s="344"/>
      <c r="HW214" s="344"/>
      <c r="HX214" s="344"/>
      <c r="HY214" s="344"/>
      <c r="HZ214" s="344"/>
      <c r="IA214" s="344"/>
      <c r="IB214" s="344"/>
      <c r="IC214" s="344"/>
      <c r="ID214" s="344"/>
      <c r="IE214" s="344"/>
      <c r="IF214" s="344"/>
      <c r="IG214" s="344"/>
      <c r="IH214" s="344"/>
      <c r="II214" s="344"/>
      <c r="IJ214" s="344"/>
      <c r="IK214" s="344"/>
      <c r="IL214" s="344"/>
      <c r="IM214" s="344"/>
      <c r="IN214" s="344"/>
      <c r="IO214" s="344"/>
      <c r="IP214" s="344"/>
      <c r="IQ214" s="344"/>
      <c r="IR214" s="344"/>
      <c r="IS214" s="344"/>
      <c r="IT214" s="344"/>
      <c r="IU214" s="344"/>
      <c r="IV214" s="344"/>
    </row>
    <row r="215" spans="1:256" hidden="1">
      <c r="A215" s="356">
        <v>39955</v>
      </c>
      <c r="B215" s="356" t="s">
        <v>560</v>
      </c>
      <c r="C215" s="357">
        <v>91</v>
      </c>
      <c r="D215" s="356">
        <v>40046</v>
      </c>
      <c r="E215" s="360">
        <v>15</v>
      </c>
      <c r="F215" s="358">
        <v>17.549600000000002</v>
      </c>
      <c r="G215" s="358">
        <v>3.6778</v>
      </c>
      <c r="H215" s="358">
        <v>2.58</v>
      </c>
      <c r="I215" s="358">
        <v>2.5799999999999997E-2</v>
      </c>
      <c r="J215" s="358">
        <v>2.58</v>
      </c>
      <c r="L215" s="357">
        <v>5</v>
      </c>
    </row>
    <row r="216" spans="1:256" s="373" customFormat="1" hidden="1">
      <c r="A216" s="369">
        <v>39959</v>
      </c>
      <c r="B216" s="369" t="s">
        <v>561</v>
      </c>
      <c r="C216" s="370">
        <v>182</v>
      </c>
      <c r="D216" s="369">
        <v>40141</v>
      </c>
      <c r="E216" s="371">
        <v>8</v>
      </c>
      <c r="F216" s="372">
        <v>18.138999999999999</v>
      </c>
      <c r="G216" s="372">
        <v>8</v>
      </c>
      <c r="H216" s="372">
        <v>2.77</v>
      </c>
      <c r="I216" s="372">
        <v>3.5099999999999999E-2</v>
      </c>
      <c r="J216" s="372">
        <v>3.1</v>
      </c>
      <c r="L216" s="370">
        <v>5</v>
      </c>
      <c r="M216" s="344"/>
      <c r="N216" s="344"/>
      <c r="O216" s="344"/>
      <c r="P216" s="344"/>
      <c r="Q216" s="344"/>
      <c r="R216" s="344"/>
      <c r="S216" s="344"/>
      <c r="T216" s="344"/>
      <c r="U216" s="344"/>
      <c r="V216" s="344"/>
      <c r="W216" s="344"/>
      <c r="X216" s="344"/>
      <c r="Y216" s="344"/>
      <c r="Z216" s="344"/>
      <c r="AA216" s="344"/>
      <c r="AB216" s="344"/>
      <c r="AC216" s="344"/>
      <c r="AD216" s="344"/>
      <c r="AE216" s="344"/>
      <c r="AF216" s="344"/>
      <c r="AG216" s="344"/>
      <c r="AH216" s="344"/>
      <c r="AI216" s="344"/>
      <c r="AJ216" s="344"/>
      <c r="AK216" s="344"/>
      <c r="AL216" s="344"/>
      <c r="AM216" s="344"/>
      <c r="AN216" s="344"/>
      <c r="AO216" s="344"/>
      <c r="AP216" s="344"/>
      <c r="AQ216" s="344"/>
      <c r="AR216" s="344"/>
      <c r="AS216" s="344"/>
      <c r="AT216" s="344"/>
      <c r="AU216" s="344"/>
      <c r="AV216" s="344"/>
      <c r="AW216" s="344"/>
      <c r="AX216" s="344"/>
      <c r="AY216" s="344"/>
      <c r="AZ216" s="344"/>
      <c r="BA216" s="344"/>
      <c r="BB216" s="344"/>
      <c r="BC216" s="344"/>
      <c r="BD216" s="344"/>
      <c r="BE216" s="344"/>
      <c r="BF216" s="344"/>
      <c r="BG216" s="344"/>
      <c r="BH216" s="344"/>
      <c r="BI216" s="344"/>
      <c r="BJ216" s="344"/>
      <c r="BK216" s="344"/>
      <c r="BL216" s="344"/>
      <c r="BM216" s="344"/>
      <c r="BN216" s="344"/>
      <c r="BO216" s="344"/>
      <c r="BP216" s="344"/>
      <c r="BQ216" s="344"/>
      <c r="BR216" s="344"/>
      <c r="BS216" s="344"/>
      <c r="BT216" s="344"/>
      <c r="BU216" s="344"/>
      <c r="BV216" s="344"/>
      <c r="BW216" s="344"/>
      <c r="BX216" s="344"/>
      <c r="BY216" s="344"/>
      <c r="BZ216" s="344"/>
      <c r="CA216" s="344"/>
      <c r="CB216" s="344"/>
      <c r="CC216" s="344"/>
      <c r="CD216" s="344"/>
      <c r="CE216" s="344"/>
      <c r="CF216" s="344"/>
      <c r="CG216" s="344"/>
      <c r="CH216" s="344"/>
      <c r="CI216" s="344"/>
      <c r="CJ216" s="344"/>
      <c r="CK216" s="344"/>
      <c r="CL216" s="344"/>
      <c r="CM216" s="344"/>
      <c r="CN216" s="344"/>
      <c r="CO216" s="344"/>
      <c r="CP216" s="344"/>
      <c r="CQ216" s="344"/>
      <c r="CR216" s="344"/>
      <c r="CS216" s="344"/>
      <c r="CT216" s="344"/>
      <c r="CU216" s="344"/>
      <c r="CV216" s="344"/>
      <c r="CW216" s="344"/>
      <c r="CX216" s="344"/>
      <c r="CY216" s="344"/>
      <c r="CZ216" s="344"/>
      <c r="DA216" s="344"/>
      <c r="DB216" s="344"/>
      <c r="DC216" s="344"/>
      <c r="DD216" s="344"/>
      <c r="DE216" s="344"/>
      <c r="DF216" s="344"/>
      <c r="DG216" s="344"/>
      <c r="DH216" s="344"/>
      <c r="DI216" s="344"/>
      <c r="DJ216" s="344"/>
      <c r="DK216" s="344"/>
      <c r="DL216" s="344"/>
      <c r="DM216" s="344"/>
      <c r="DN216" s="344"/>
      <c r="DO216" s="344"/>
      <c r="DP216" s="344"/>
      <c r="DQ216" s="344"/>
      <c r="DR216" s="344"/>
      <c r="DS216" s="344"/>
      <c r="DT216" s="344"/>
      <c r="DU216" s="344"/>
      <c r="DV216" s="344"/>
      <c r="DW216" s="344"/>
      <c r="DX216" s="344"/>
      <c r="DY216" s="344"/>
      <c r="DZ216" s="344"/>
      <c r="EA216" s="344"/>
      <c r="EB216" s="344"/>
      <c r="EC216" s="344"/>
      <c r="ED216" s="344"/>
      <c r="EE216" s="344"/>
      <c r="EF216" s="344"/>
      <c r="EG216" s="344"/>
      <c r="EH216" s="344"/>
      <c r="EI216" s="344"/>
      <c r="EJ216" s="344"/>
      <c r="EK216" s="344"/>
      <c r="EL216" s="344"/>
      <c r="EM216" s="344"/>
      <c r="EN216" s="344"/>
      <c r="EO216" s="344"/>
      <c r="EP216" s="344"/>
      <c r="EQ216" s="344"/>
      <c r="ER216" s="344"/>
      <c r="ES216" s="344"/>
      <c r="ET216" s="344"/>
      <c r="EU216" s="344"/>
      <c r="EV216" s="344"/>
      <c r="EW216" s="344"/>
      <c r="EX216" s="344"/>
      <c r="EY216" s="344"/>
      <c r="EZ216" s="344"/>
      <c r="FA216" s="344"/>
      <c r="FB216" s="344"/>
      <c r="FC216" s="344"/>
      <c r="FD216" s="344"/>
      <c r="FE216" s="344"/>
      <c r="FF216" s="344"/>
      <c r="FG216" s="344"/>
      <c r="FH216" s="344"/>
      <c r="FI216" s="344"/>
      <c r="FJ216" s="344"/>
      <c r="FK216" s="344"/>
      <c r="FL216" s="344"/>
      <c r="FM216" s="344"/>
      <c r="FN216" s="344"/>
      <c r="FO216" s="344"/>
      <c r="FP216" s="344"/>
      <c r="FQ216" s="344"/>
      <c r="FR216" s="344"/>
      <c r="FS216" s="344"/>
      <c r="FT216" s="344"/>
      <c r="FU216" s="344"/>
      <c r="FV216" s="344"/>
      <c r="FW216" s="344"/>
      <c r="FX216" s="344"/>
      <c r="FY216" s="344"/>
      <c r="FZ216" s="344"/>
      <c r="GA216" s="344"/>
      <c r="GB216" s="344"/>
      <c r="GC216" s="344"/>
      <c r="GD216" s="344"/>
      <c r="GE216" s="344"/>
      <c r="GF216" s="344"/>
      <c r="GG216" s="344"/>
      <c r="GH216" s="344"/>
      <c r="GI216" s="344"/>
      <c r="GJ216" s="344"/>
      <c r="GK216" s="344"/>
      <c r="GL216" s="344"/>
      <c r="GM216" s="344"/>
      <c r="GN216" s="344"/>
      <c r="GO216" s="344"/>
      <c r="GP216" s="344"/>
      <c r="GQ216" s="344"/>
      <c r="GR216" s="344"/>
      <c r="GS216" s="344"/>
      <c r="GT216" s="344"/>
      <c r="GU216" s="344"/>
      <c r="GV216" s="344"/>
      <c r="GW216" s="344"/>
      <c r="GX216" s="344"/>
      <c r="GY216" s="344"/>
      <c r="GZ216" s="344"/>
      <c r="HA216" s="344"/>
      <c r="HB216" s="344"/>
      <c r="HC216" s="344"/>
      <c r="HD216" s="344"/>
      <c r="HE216" s="344"/>
      <c r="HF216" s="344"/>
      <c r="HG216" s="344"/>
      <c r="HH216" s="344"/>
      <c r="HI216" s="344"/>
      <c r="HJ216" s="344"/>
      <c r="HK216" s="344"/>
      <c r="HL216" s="344"/>
      <c r="HM216" s="344"/>
      <c r="HN216" s="344"/>
      <c r="HO216" s="344"/>
      <c r="HP216" s="344"/>
      <c r="HQ216" s="344"/>
      <c r="HR216" s="344"/>
      <c r="HS216" s="344"/>
      <c r="HT216" s="344"/>
      <c r="HU216" s="344"/>
      <c r="HV216" s="344"/>
      <c r="HW216" s="344"/>
      <c r="HX216" s="344"/>
      <c r="HY216" s="344"/>
      <c r="HZ216" s="344"/>
      <c r="IA216" s="344"/>
      <c r="IB216" s="344"/>
      <c r="IC216" s="344"/>
      <c r="ID216" s="344"/>
      <c r="IE216" s="344"/>
      <c r="IF216" s="344"/>
      <c r="IG216" s="344"/>
      <c r="IH216" s="344"/>
      <c r="II216" s="344"/>
      <c r="IJ216" s="344"/>
      <c r="IK216" s="344"/>
      <c r="IL216" s="344"/>
      <c r="IM216" s="344"/>
      <c r="IN216" s="344"/>
      <c r="IO216" s="344"/>
      <c r="IP216" s="344"/>
      <c r="IQ216" s="344"/>
      <c r="IR216" s="344"/>
      <c r="IS216" s="344"/>
      <c r="IT216" s="344"/>
      <c r="IU216" s="344"/>
      <c r="IV216" s="344"/>
    </row>
    <row r="217" spans="1:256" hidden="1">
      <c r="A217" s="356">
        <v>39962</v>
      </c>
      <c r="B217" s="356" t="s">
        <v>562</v>
      </c>
      <c r="C217" s="357">
        <v>728</v>
      </c>
      <c r="D217" s="356">
        <v>40690</v>
      </c>
      <c r="E217" s="360">
        <v>2</v>
      </c>
      <c r="F217" s="358">
        <v>0</v>
      </c>
      <c r="G217" s="358">
        <v>0</v>
      </c>
      <c r="H217" s="358">
        <v>0</v>
      </c>
      <c r="I217" s="358">
        <v>0</v>
      </c>
      <c r="J217" s="358">
        <v>0</v>
      </c>
      <c r="L217" s="357">
        <v>0</v>
      </c>
    </row>
    <row r="218" spans="1:256" s="373" customFormat="1" hidden="1">
      <c r="A218" s="369">
        <v>39962</v>
      </c>
      <c r="B218" s="369" t="s">
        <v>563</v>
      </c>
      <c r="C218" s="370">
        <v>1092</v>
      </c>
      <c r="D218" s="369">
        <v>41054</v>
      </c>
      <c r="E218" s="371">
        <v>3</v>
      </c>
      <c r="F218" s="372">
        <v>0</v>
      </c>
      <c r="G218" s="372">
        <v>0</v>
      </c>
      <c r="H218" s="372">
        <v>0</v>
      </c>
      <c r="I218" s="372">
        <v>0</v>
      </c>
      <c r="J218" s="372">
        <v>0</v>
      </c>
      <c r="L218" s="370">
        <v>0</v>
      </c>
      <c r="M218" s="344"/>
      <c r="N218" s="344"/>
      <c r="O218" s="344"/>
      <c r="P218" s="344"/>
      <c r="Q218" s="344"/>
      <c r="R218" s="344"/>
      <c r="S218" s="344"/>
      <c r="T218" s="344"/>
      <c r="U218" s="344"/>
      <c r="V218" s="344"/>
      <c r="W218" s="344"/>
      <c r="X218" s="344"/>
      <c r="Y218" s="344"/>
      <c r="Z218" s="344"/>
      <c r="AA218" s="344"/>
      <c r="AB218" s="344"/>
      <c r="AC218" s="344"/>
      <c r="AD218" s="344"/>
      <c r="AE218" s="344"/>
      <c r="AF218" s="344"/>
      <c r="AG218" s="344"/>
      <c r="AH218" s="344"/>
      <c r="AI218" s="344"/>
      <c r="AJ218" s="344"/>
      <c r="AK218" s="344"/>
      <c r="AL218" s="344"/>
      <c r="AM218" s="344"/>
      <c r="AN218" s="344"/>
      <c r="AO218" s="344"/>
      <c r="AP218" s="344"/>
      <c r="AQ218" s="344"/>
      <c r="AR218" s="344"/>
      <c r="AS218" s="344"/>
      <c r="AT218" s="344"/>
      <c r="AU218" s="344"/>
      <c r="AV218" s="344"/>
      <c r="AW218" s="344"/>
      <c r="AX218" s="344"/>
      <c r="AY218" s="344"/>
      <c r="AZ218" s="344"/>
      <c r="BA218" s="344"/>
      <c r="BB218" s="344"/>
      <c r="BC218" s="344"/>
      <c r="BD218" s="344"/>
      <c r="BE218" s="344"/>
      <c r="BF218" s="344"/>
      <c r="BG218" s="344"/>
      <c r="BH218" s="344"/>
      <c r="BI218" s="344"/>
      <c r="BJ218" s="344"/>
      <c r="BK218" s="344"/>
      <c r="BL218" s="344"/>
      <c r="BM218" s="344"/>
      <c r="BN218" s="344"/>
      <c r="BO218" s="344"/>
      <c r="BP218" s="344"/>
      <c r="BQ218" s="344"/>
      <c r="BR218" s="344"/>
      <c r="BS218" s="344"/>
      <c r="BT218" s="344"/>
      <c r="BU218" s="344"/>
      <c r="BV218" s="344"/>
      <c r="BW218" s="344"/>
      <c r="BX218" s="344"/>
      <c r="BY218" s="344"/>
      <c r="BZ218" s="344"/>
      <c r="CA218" s="344"/>
      <c r="CB218" s="344"/>
      <c r="CC218" s="344"/>
      <c r="CD218" s="344"/>
      <c r="CE218" s="344"/>
      <c r="CF218" s="344"/>
      <c r="CG218" s="344"/>
      <c r="CH218" s="344"/>
      <c r="CI218" s="344"/>
      <c r="CJ218" s="344"/>
      <c r="CK218" s="344"/>
      <c r="CL218" s="344"/>
      <c r="CM218" s="344"/>
      <c r="CN218" s="344"/>
      <c r="CO218" s="344"/>
      <c r="CP218" s="344"/>
      <c r="CQ218" s="344"/>
      <c r="CR218" s="344"/>
      <c r="CS218" s="344"/>
      <c r="CT218" s="344"/>
      <c r="CU218" s="344"/>
      <c r="CV218" s="344"/>
      <c r="CW218" s="344"/>
      <c r="CX218" s="344"/>
      <c r="CY218" s="344"/>
      <c r="CZ218" s="344"/>
      <c r="DA218" s="344"/>
      <c r="DB218" s="344"/>
      <c r="DC218" s="344"/>
      <c r="DD218" s="344"/>
      <c r="DE218" s="344"/>
      <c r="DF218" s="344"/>
      <c r="DG218" s="344"/>
      <c r="DH218" s="344"/>
      <c r="DI218" s="344"/>
      <c r="DJ218" s="344"/>
      <c r="DK218" s="344"/>
      <c r="DL218" s="344"/>
      <c r="DM218" s="344"/>
      <c r="DN218" s="344"/>
      <c r="DO218" s="344"/>
      <c r="DP218" s="344"/>
      <c r="DQ218" s="344"/>
      <c r="DR218" s="344"/>
      <c r="DS218" s="344"/>
      <c r="DT218" s="344"/>
      <c r="DU218" s="344"/>
      <c r="DV218" s="344"/>
      <c r="DW218" s="344"/>
      <c r="DX218" s="344"/>
      <c r="DY218" s="344"/>
      <c r="DZ218" s="344"/>
      <c r="EA218" s="344"/>
      <c r="EB218" s="344"/>
      <c r="EC218" s="344"/>
      <c r="ED218" s="344"/>
      <c r="EE218" s="344"/>
      <c r="EF218" s="344"/>
      <c r="EG218" s="344"/>
      <c r="EH218" s="344"/>
      <c r="EI218" s="344"/>
      <c r="EJ218" s="344"/>
      <c r="EK218" s="344"/>
      <c r="EL218" s="344"/>
      <c r="EM218" s="344"/>
      <c r="EN218" s="344"/>
      <c r="EO218" s="344"/>
      <c r="EP218" s="344"/>
      <c r="EQ218" s="344"/>
      <c r="ER218" s="344"/>
      <c r="ES218" s="344"/>
      <c r="ET218" s="344"/>
      <c r="EU218" s="344"/>
      <c r="EV218" s="344"/>
      <c r="EW218" s="344"/>
      <c r="EX218" s="344"/>
      <c r="EY218" s="344"/>
      <c r="EZ218" s="344"/>
      <c r="FA218" s="344"/>
      <c r="FB218" s="344"/>
      <c r="FC218" s="344"/>
      <c r="FD218" s="344"/>
      <c r="FE218" s="344"/>
      <c r="FF218" s="344"/>
      <c r="FG218" s="344"/>
      <c r="FH218" s="344"/>
      <c r="FI218" s="344"/>
      <c r="FJ218" s="344"/>
      <c r="FK218" s="344"/>
      <c r="FL218" s="344"/>
      <c r="FM218" s="344"/>
      <c r="FN218" s="344"/>
      <c r="FO218" s="344"/>
      <c r="FP218" s="344"/>
      <c r="FQ218" s="344"/>
      <c r="FR218" s="344"/>
      <c r="FS218" s="344"/>
      <c r="FT218" s="344"/>
      <c r="FU218" s="344"/>
      <c r="FV218" s="344"/>
      <c r="FW218" s="344"/>
      <c r="FX218" s="344"/>
      <c r="FY218" s="344"/>
      <c r="FZ218" s="344"/>
      <c r="GA218" s="344"/>
      <c r="GB218" s="344"/>
      <c r="GC218" s="344"/>
      <c r="GD218" s="344"/>
      <c r="GE218" s="344"/>
      <c r="GF218" s="344"/>
      <c r="GG218" s="344"/>
      <c r="GH218" s="344"/>
      <c r="GI218" s="344"/>
      <c r="GJ218" s="344"/>
      <c r="GK218" s="344"/>
      <c r="GL218" s="344"/>
      <c r="GM218" s="344"/>
      <c r="GN218" s="344"/>
      <c r="GO218" s="344"/>
      <c r="GP218" s="344"/>
      <c r="GQ218" s="344"/>
      <c r="GR218" s="344"/>
      <c r="GS218" s="344"/>
      <c r="GT218" s="344"/>
      <c r="GU218" s="344"/>
      <c r="GV218" s="344"/>
      <c r="GW218" s="344"/>
      <c r="GX218" s="344"/>
      <c r="GY218" s="344"/>
      <c r="GZ218" s="344"/>
      <c r="HA218" s="344"/>
      <c r="HB218" s="344"/>
      <c r="HC218" s="344"/>
      <c r="HD218" s="344"/>
      <c r="HE218" s="344"/>
      <c r="HF218" s="344"/>
      <c r="HG218" s="344"/>
      <c r="HH218" s="344"/>
      <c r="HI218" s="344"/>
      <c r="HJ218" s="344"/>
      <c r="HK218" s="344"/>
      <c r="HL218" s="344"/>
      <c r="HM218" s="344"/>
      <c r="HN218" s="344"/>
      <c r="HO218" s="344"/>
      <c r="HP218" s="344"/>
      <c r="HQ218" s="344"/>
      <c r="HR218" s="344"/>
      <c r="HS218" s="344"/>
      <c r="HT218" s="344"/>
      <c r="HU218" s="344"/>
      <c r="HV218" s="344"/>
      <c r="HW218" s="344"/>
      <c r="HX218" s="344"/>
      <c r="HY218" s="344"/>
      <c r="HZ218" s="344"/>
      <c r="IA218" s="344"/>
      <c r="IB218" s="344"/>
      <c r="IC218" s="344"/>
      <c r="ID218" s="344"/>
      <c r="IE218" s="344"/>
      <c r="IF218" s="344"/>
      <c r="IG218" s="344"/>
      <c r="IH218" s="344"/>
      <c r="II218" s="344"/>
      <c r="IJ218" s="344"/>
      <c r="IK218" s="344"/>
      <c r="IL218" s="344"/>
      <c r="IM218" s="344"/>
      <c r="IN218" s="344"/>
      <c r="IO218" s="344"/>
      <c r="IP218" s="344"/>
      <c r="IQ218" s="344"/>
      <c r="IR218" s="344"/>
      <c r="IS218" s="344"/>
      <c r="IT218" s="344"/>
      <c r="IU218" s="344"/>
      <c r="IV218" s="344"/>
    </row>
    <row r="219" spans="1:256" hidden="1">
      <c r="A219" s="356">
        <v>39966</v>
      </c>
      <c r="B219" s="356" t="s">
        <v>564</v>
      </c>
      <c r="C219" s="357">
        <v>35</v>
      </c>
      <c r="D219" s="356">
        <v>40001</v>
      </c>
      <c r="E219" s="360">
        <v>18</v>
      </c>
      <c r="F219" s="358">
        <v>19.368600000000001</v>
      </c>
      <c r="G219" s="358">
        <v>16.1112</v>
      </c>
      <c r="H219" s="358">
        <v>2.2999999999999998</v>
      </c>
      <c r="I219" s="358">
        <v>2.93</v>
      </c>
      <c r="J219" s="358">
        <v>2.5100000000000002</v>
      </c>
      <c r="L219" s="357">
        <v>5</v>
      </c>
      <c r="N219" s="344" t="s">
        <v>115</v>
      </c>
    </row>
    <row r="220" spans="1:256" s="373" customFormat="1" hidden="1">
      <c r="A220" s="369">
        <v>39966</v>
      </c>
      <c r="B220" s="369" t="s">
        <v>565</v>
      </c>
      <c r="C220" s="370">
        <v>364</v>
      </c>
      <c r="D220" s="369">
        <v>40330</v>
      </c>
      <c r="E220" s="371">
        <v>3</v>
      </c>
      <c r="F220" s="372">
        <v>3.0486</v>
      </c>
      <c r="G220" s="372">
        <v>0</v>
      </c>
      <c r="H220" s="372">
        <v>0</v>
      </c>
      <c r="I220" s="372">
        <v>0</v>
      </c>
      <c r="J220" s="372">
        <v>0</v>
      </c>
      <c r="L220" s="370">
        <v>2</v>
      </c>
      <c r="M220" s="344"/>
      <c r="N220" s="344"/>
      <c r="O220" s="344"/>
      <c r="P220" s="344"/>
      <c r="Q220" s="344"/>
      <c r="R220" s="344"/>
      <c r="S220" s="344"/>
      <c r="T220" s="344"/>
      <c r="U220" s="344"/>
      <c r="V220" s="344"/>
      <c r="W220" s="344"/>
      <c r="X220" s="344"/>
      <c r="Y220" s="344"/>
      <c r="Z220" s="344"/>
      <c r="AA220" s="344"/>
      <c r="AB220" s="344"/>
      <c r="AC220" s="344"/>
      <c r="AD220" s="344"/>
      <c r="AE220" s="344"/>
      <c r="AF220" s="344"/>
      <c r="AG220" s="344"/>
      <c r="AH220" s="344"/>
      <c r="AI220" s="344"/>
      <c r="AJ220" s="344"/>
      <c r="AK220" s="344"/>
      <c r="AL220" s="344"/>
      <c r="AM220" s="344"/>
      <c r="AN220" s="344"/>
      <c r="AO220" s="344"/>
      <c r="AP220" s="344"/>
      <c r="AQ220" s="344"/>
      <c r="AR220" s="344"/>
      <c r="AS220" s="344"/>
      <c r="AT220" s="344"/>
      <c r="AU220" s="344"/>
      <c r="AV220" s="344"/>
      <c r="AW220" s="344"/>
      <c r="AX220" s="344"/>
      <c r="AY220" s="344"/>
      <c r="AZ220" s="344"/>
      <c r="BA220" s="344"/>
      <c r="BB220" s="344"/>
      <c r="BC220" s="344"/>
      <c r="BD220" s="344"/>
      <c r="BE220" s="344"/>
      <c r="BF220" s="344"/>
      <c r="BG220" s="344"/>
      <c r="BH220" s="344"/>
      <c r="BI220" s="344"/>
      <c r="BJ220" s="344"/>
      <c r="BK220" s="344"/>
      <c r="BL220" s="344"/>
      <c r="BM220" s="344"/>
      <c r="BN220" s="344"/>
      <c r="BO220" s="344"/>
      <c r="BP220" s="344"/>
      <c r="BQ220" s="344"/>
      <c r="BR220" s="344"/>
      <c r="BS220" s="344"/>
      <c r="BT220" s="344"/>
      <c r="BU220" s="344"/>
      <c r="BV220" s="344"/>
      <c r="BW220" s="344"/>
      <c r="BX220" s="344"/>
      <c r="BY220" s="344"/>
      <c r="BZ220" s="344"/>
      <c r="CA220" s="344"/>
      <c r="CB220" s="344"/>
      <c r="CC220" s="344"/>
      <c r="CD220" s="344"/>
      <c r="CE220" s="344"/>
      <c r="CF220" s="344"/>
      <c r="CG220" s="344"/>
      <c r="CH220" s="344"/>
      <c r="CI220" s="344"/>
      <c r="CJ220" s="344"/>
      <c r="CK220" s="344"/>
      <c r="CL220" s="344"/>
      <c r="CM220" s="344"/>
      <c r="CN220" s="344"/>
      <c r="CO220" s="344"/>
      <c r="CP220" s="344"/>
      <c r="CQ220" s="344"/>
      <c r="CR220" s="344"/>
      <c r="CS220" s="344"/>
      <c r="CT220" s="344"/>
      <c r="CU220" s="344"/>
      <c r="CV220" s="344"/>
      <c r="CW220" s="344"/>
      <c r="CX220" s="344"/>
      <c r="CY220" s="344"/>
      <c r="CZ220" s="344"/>
      <c r="DA220" s="344"/>
      <c r="DB220" s="344"/>
      <c r="DC220" s="344"/>
      <c r="DD220" s="344"/>
      <c r="DE220" s="344"/>
      <c r="DF220" s="344"/>
      <c r="DG220" s="344"/>
      <c r="DH220" s="344"/>
      <c r="DI220" s="344"/>
      <c r="DJ220" s="344"/>
      <c r="DK220" s="344"/>
      <c r="DL220" s="344"/>
      <c r="DM220" s="344"/>
      <c r="DN220" s="344"/>
      <c r="DO220" s="344"/>
      <c r="DP220" s="344"/>
      <c r="DQ220" s="344"/>
      <c r="DR220" s="344"/>
      <c r="DS220" s="344"/>
      <c r="DT220" s="344"/>
      <c r="DU220" s="344"/>
      <c r="DV220" s="344"/>
      <c r="DW220" s="344"/>
      <c r="DX220" s="344"/>
      <c r="DY220" s="344"/>
      <c r="DZ220" s="344"/>
      <c r="EA220" s="344"/>
      <c r="EB220" s="344"/>
      <c r="EC220" s="344"/>
      <c r="ED220" s="344"/>
      <c r="EE220" s="344"/>
      <c r="EF220" s="344"/>
      <c r="EG220" s="344"/>
      <c r="EH220" s="344"/>
      <c r="EI220" s="344"/>
      <c r="EJ220" s="344"/>
      <c r="EK220" s="344"/>
      <c r="EL220" s="344"/>
      <c r="EM220" s="344"/>
      <c r="EN220" s="344"/>
      <c r="EO220" s="344"/>
      <c r="EP220" s="344"/>
      <c r="EQ220" s="344"/>
      <c r="ER220" s="344"/>
      <c r="ES220" s="344"/>
      <c r="ET220" s="344"/>
      <c r="EU220" s="344"/>
      <c r="EV220" s="344"/>
      <c r="EW220" s="344"/>
      <c r="EX220" s="344"/>
      <c r="EY220" s="344"/>
      <c r="EZ220" s="344"/>
      <c r="FA220" s="344"/>
      <c r="FB220" s="344"/>
      <c r="FC220" s="344"/>
      <c r="FD220" s="344"/>
      <c r="FE220" s="344"/>
      <c r="FF220" s="344"/>
      <c r="FG220" s="344"/>
      <c r="FH220" s="344"/>
      <c r="FI220" s="344"/>
      <c r="FJ220" s="344"/>
      <c r="FK220" s="344"/>
      <c r="FL220" s="344"/>
      <c r="FM220" s="344"/>
      <c r="FN220" s="344"/>
      <c r="FO220" s="344"/>
      <c r="FP220" s="344"/>
      <c r="FQ220" s="344"/>
      <c r="FR220" s="344"/>
      <c r="FS220" s="344"/>
      <c r="FT220" s="344"/>
      <c r="FU220" s="344"/>
      <c r="FV220" s="344"/>
      <c r="FW220" s="344"/>
      <c r="FX220" s="344"/>
      <c r="FY220" s="344"/>
      <c r="FZ220" s="344"/>
      <c r="GA220" s="344"/>
      <c r="GB220" s="344"/>
      <c r="GC220" s="344"/>
      <c r="GD220" s="344"/>
      <c r="GE220" s="344"/>
      <c r="GF220" s="344"/>
      <c r="GG220" s="344"/>
      <c r="GH220" s="344"/>
      <c r="GI220" s="344"/>
      <c r="GJ220" s="344"/>
      <c r="GK220" s="344"/>
      <c r="GL220" s="344"/>
      <c r="GM220" s="344"/>
      <c r="GN220" s="344"/>
      <c r="GO220" s="344"/>
      <c r="GP220" s="344"/>
      <c r="GQ220" s="344"/>
      <c r="GR220" s="344"/>
      <c r="GS220" s="344"/>
      <c r="GT220" s="344"/>
      <c r="GU220" s="344"/>
      <c r="GV220" s="344"/>
      <c r="GW220" s="344"/>
      <c r="GX220" s="344"/>
      <c r="GY220" s="344"/>
      <c r="GZ220" s="344"/>
      <c r="HA220" s="344"/>
      <c r="HB220" s="344"/>
      <c r="HC220" s="344"/>
      <c r="HD220" s="344"/>
      <c r="HE220" s="344"/>
      <c r="HF220" s="344"/>
      <c r="HG220" s="344"/>
      <c r="HH220" s="344"/>
      <c r="HI220" s="344"/>
      <c r="HJ220" s="344"/>
      <c r="HK220" s="344"/>
      <c r="HL220" s="344"/>
      <c r="HM220" s="344"/>
      <c r="HN220" s="344"/>
      <c r="HO220" s="344"/>
      <c r="HP220" s="344"/>
      <c r="HQ220" s="344"/>
      <c r="HR220" s="344"/>
      <c r="HS220" s="344"/>
      <c r="HT220" s="344"/>
      <c r="HU220" s="344"/>
      <c r="HV220" s="344"/>
      <c r="HW220" s="344"/>
      <c r="HX220" s="344"/>
      <c r="HY220" s="344"/>
      <c r="HZ220" s="344"/>
      <c r="IA220" s="344"/>
      <c r="IB220" s="344"/>
      <c r="IC220" s="344"/>
      <c r="ID220" s="344"/>
      <c r="IE220" s="344"/>
      <c r="IF220" s="344"/>
      <c r="IG220" s="344"/>
      <c r="IH220" s="344"/>
      <c r="II220" s="344"/>
      <c r="IJ220" s="344"/>
      <c r="IK220" s="344"/>
      <c r="IL220" s="344"/>
      <c r="IM220" s="344"/>
      <c r="IN220" s="344"/>
      <c r="IO220" s="344"/>
      <c r="IP220" s="344"/>
      <c r="IQ220" s="344"/>
      <c r="IR220" s="344"/>
      <c r="IS220" s="344"/>
      <c r="IT220" s="344"/>
      <c r="IU220" s="344"/>
      <c r="IV220" s="344"/>
    </row>
    <row r="221" spans="1:256" hidden="1">
      <c r="A221" s="356">
        <v>39969</v>
      </c>
      <c r="B221" s="356" t="s">
        <v>566</v>
      </c>
      <c r="C221" s="357">
        <v>91</v>
      </c>
      <c r="D221" s="356">
        <v>40060</v>
      </c>
      <c r="E221" s="360">
        <v>18</v>
      </c>
      <c r="F221" s="358">
        <v>14.837400000000001</v>
      </c>
      <c r="G221" s="358">
        <v>14.837400000000001</v>
      </c>
      <c r="H221" s="358">
        <v>2.42</v>
      </c>
      <c r="I221" s="358">
        <v>2.58</v>
      </c>
      <c r="J221" s="358">
        <v>2.5</v>
      </c>
      <c r="L221" s="357">
        <v>3</v>
      </c>
    </row>
    <row r="222" spans="1:256" s="373" customFormat="1" hidden="1">
      <c r="A222" s="369">
        <v>39973</v>
      </c>
      <c r="B222" s="369" t="s">
        <v>567</v>
      </c>
      <c r="C222" s="370">
        <v>182</v>
      </c>
      <c r="D222" s="369">
        <v>40155</v>
      </c>
      <c r="E222" s="371">
        <v>7</v>
      </c>
      <c r="F222" s="372">
        <v>13.762</v>
      </c>
      <c r="G222" s="372">
        <v>7</v>
      </c>
      <c r="H222" s="372">
        <v>2.5</v>
      </c>
      <c r="I222" s="372">
        <v>3.51</v>
      </c>
      <c r="J222" s="372">
        <v>3.2</v>
      </c>
      <c r="L222" s="370">
        <v>3</v>
      </c>
      <c r="M222" s="344"/>
      <c r="N222" s="344"/>
      <c r="O222" s="344"/>
      <c r="P222" s="344"/>
      <c r="Q222" s="344"/>
      <c r="R222" s="344"/>
      <c r="S222" s="344"/>
      <c r="T222" s="344"/>
      <c r="U222" s="344"/>
      <c r="V222" s="344"/>
      <c r="W222" s="344"/>
      <c r="X222" s="344"/>
      <c r="Y222" s="344"/>
      <c r="Z222" s="344"/>
      <c r="AA222" s="344"/>
      <c r="AB222" s="344"/>
      <c r="AC222" s="344"/>
      <c r="AD222" s="344"/>
      <c r="AE222" s="344"/>
      <c r="AF222" s="344"/>
      <c r="AG222" s="344"/>
      <c r="AH222" s="344"/>
      <c r="AI222" s="344"/>
      <c r="AJ222" s="344"/>
      <c r="AK222" s="344"/>
      <c r="AL222" s="344"/>
      <c r="AM222" s="344"/>
      <c r="AN222" s="344"/>
      <c r="AO222" s="344"/>
      <c r="AP222" s="344"/>
      <c r="AQ222" s="344"/>
      <c r="AR222" s="344"/>
      <c r="AS222" s="344"/>
      <c r="AT222" s="344"/>
      <c r="AU222" s="344"/>
      <c r="AV222" s="344"/>
      <c r="AW222" s="344"/>
      <c r="AX222" s="344"/>
      <c r="AY222" s="344"/>
      <c r="AZ222" s="344"/>
      <c r="BA222" s="344"/>
      <c r="BB222" s="344"/>
      <c r="BC222" s="344"/>
      <c r="BD222" s="344"/>
      <c r="BE222" s="344"/>
      <c r="BF222" s="344"/>
      <c r="BG222" s="344"/>
      <c r="BH222" s="344"/>
      <c r="BI222" s="344"/>
      <c r="BJ222" s="344"/>
      <c r="BK222" s="344"/>
      <c r="BL222" s="344"/>
      <c r="BM222" s="344"/>
      <c r="BN222" s="344"/>
      <c r="BO222" s="344"/>
      <c r="BP222" s="344"/>
      <c r="BQ222" s="344"/>
      <c r="BR222" s="344"/>
      <c r="BS222" s="344"/>
      <c r="BT222" s="344"/>
      <c r="BU222" s="344"/>
      <c r="BV222" s="344"/>
      <c r="BW222" s="344"/>
      <c r="BX222" s="344"/>
      <c r="BY222" s="344"/>
      <c r="BZ222" s="344"/>
      <c r="CA222" s="344"/>
      <c r="CB222" s="344"/>
      <c r="CC222" s="344"/>
      <c r="CD222" s="344"/>
      <c r="CE222" s="344"/>
      <c r="CF222" s="344"/>
      <c r="CG222" s="344"/>
      <c r="CH222" s="344"/>
      <c r="CI222" s="344"/>
      <c r="CJ222" s="344"/>
      <c r="CK222" s="344"/>
      <c r="CL222" s="344"/>
      <c r="CM222" s="344"/>
      <c r="CN222" s="344"/>
      <c r="CO222" s="344"/>
      <c r="CP222" s="344"/>
      <c r="CQ222" s="344"/>
      <c r="CR222" s="344"/>
      <c r="CS222" s="344"/>
      <c r="CT222" s="344"/>
      <c r="CU222" s="344"/>
      <c r="CV222" s="344"/>
      <c r="CW222" s="344"/>
      <c r="CX222" s="344"/>
      <c r="CY222" s="344"/>
      <c r="CZ222" s="344"/>
      <c r="DA222" s="344"/>
      <c r="DB222" s="344"/>
      <c r="DC222" s="344"/>
      <c r="DD222" s="344"/>
      <c r="DE222" s="344"/>
      <c r="DF222" s="344"/>
      <c r="DG222" s="344"/>
      <c r="DH222" s="344"/>
      <c r="DI222" s="344"/>
      <c r="DJ222" s="344"/>
      <c r="DK222" s="344"/>
      <c r="DL222" s="344"/>
      <c r="DM222" s="344"/>
      <c r="DN222" s="344"/>
      <c r="DO222" s="344"/>
      <c r="DP222" s="344"/>
      <c r="DQ222" s="344"/>
      <c r="DR222" s="344"/>
      <c r="DS222" s="344"/>
      <c r="DT222" s="344"/>
      <c r="DU222" s="344"/>
      <c r="DV222" s="344"/>
      <c r="DW222" s="344"/>
      <c r="DX222" s="344"/>
      <c r="DY222" s="344"/>
      <c r="DZ222" s="344"/>
      <c r="EA222" s="344"/>
      <c r="EB222" s="344"/>
      <c r="EC222" s="344"/>
      <c r="ED222" s="344"/>
      <c r="EE222" s="344"/>
      <c r="EF222" s="344"/>
      <c r="EG222" s="344"/>
      <c r="EH222" s="344"/>
      <c r="EI222" s="344"/>
      <c r="EJ222" s="344"/>
      <c r="EK222" s="344"/>
      <c r="EL222" s="344"/>
      <c r="EM222" s="344"/>
      <c r="EN222" s="344"/>
      <c r="EO222" s="344"/>
      <c r="EP222" s="344"/>
      <c r="EQ222" s="344"/>
      <c r="ER222" s="344"/>
      <c r="ES222" s="344"/>
      <c r="ET222" s="344"/>
      <c r="EU222" s="344"/>
      <c r="EV222" s="344"/>
      <c r="EW222" s="344"/>
      <c r="EX222" s="344"/>
      <c r="EY222" s="344"/>
      <c r="EZ222" s="344"/>
      <c r="FA222" s="344"/>
      <c r="FB222" s="344"/>
      <c r="FC222" s="344"/>
      <c r="FD222" s="344"/>
      <c r="FE222" s="344"/>
      <c r="FF222" s="344"/>
      <c r="FG222" s="344"/>
      <c r="FH222" s="344"/>
      <c r="FI222" s="344"/>
      <c r="FJ222" s="344"/>
      <c r="FK222" s="344"/>
      <c r="FL222" s="344"/>
      <c r="FM222" s="344"/>
      <c r="FN222" s="344"/>
      <c r="FO222" s="344"/>
      <c r="FP222" s="344"/>
      <c r="FQ222" s="344"/>
      <c r="FR222" s="344"/>
      <c r="FS222" s="344"/>
      <c r="FT222" s="344"/>
      <c r="FU222" s="344"/>
      <c r="FV222" s="344"/>
      <c r="FW222" s="344"/>
      <c r="FX222" s="344"/>
      <c r="FY222" s="344"/>
      <c r="FZ222" s="344"/>
      <c r="GA222" s="344"/>
      <c r="GB222" s="344"/>
      <c r="GC222" s="344"/>
      <c r="GD222" s="344"/>
      <c r="GE222" s="344"/>
      <c r="GF222" s="344"/>
      <c r="GG222" s="344"/>
      <c r="GH222" s="344"/>
      <c r="GI222" s="344"/>
      <c r="GJ222" s="344"/>
      <c r="GK222" s="344"/>
      <c r="GL222" s="344"/>
      <c r="GM222" s="344"/>
      <c r="GN222" s="344"/>
      <c r="GO222" s="344"/>
      <c r="GP222" s="344"/>
      <c r="GQ222" s="344"/>
      <c r="GR222" s="344"/>
      <c r="GS222" s="344"/>
      <c r="GT222" s="344"/>
      <c r="GU222" s="344"/>
      <c r="GV222" s="344"/>
      <c r="GW222" s="344"/>
      <c r="GX222" s="344"/>
      <c r="GY222" s="344"/>
      <c r="GZ222" s="344"/>
      <c r="HA222" s="344"/>
      <c r="HB222" s="344"/>
      <c r="HC222" s="344"/>
      <c r="HD222" s="344"/>
      <c r="HE222" s="344"/>
      <c r="HF222" s="344"/>
      <c r="HG222" s="344"/>
      <c r="HH222" s="344"/>
      <c r="HI222" s="344"/>
      <c r="HJ222" s="344"/>
      <c r="HK222" s="344"/>
      <c r="HL222" s="344"/>
      <c r="HM222" s="344"/>
      <c r="HN222" s="344"/>
      <c r="HO222" s="344"/>
      <c r="HP222" s="344"/>
      <c r="HQ222" s="344"/>
      <c r="HR222" s="344"/>
      <c r="HS222" s="344"/>
      <c r="HT222" s="344"/>
      <c r="HU222" s="344"/>
      <c r="HV222" s="344"/>
      <c r="HW222" s="344"/>
      <c r="HX222" s="344"/>
      <c r="HY222" s="344"/>
      <c r="HZ222" s="344"/>
      <c r="IA222" s="344"/>
      <c r="IB222" s="344"/>
      <c r="IC222" s="344"/>
      <c r="ID222" s="344"/>
      <c r="IE222" s="344"/>
      <c r="IF222" s="344"/>
      <c r="IG222" s="344"/>
      <c r="IH222" s="344"/>
      <c r="II222" s="344"/>
      <c r="IJ222" s="344"/>
      <c r="IK222" s="344"/>
      <c r="IL222" s="344"/>
      <c r="IM222" s="344"/>
      <c r="IN222" s="344"/>
      <c r="IO222" s="344"/>
      <c r="IP222" s="344"/>
      <c r="IQ222" s="344"/>
      <c r="IR222" s="344"/>
      <c r="IS222" s="344"/>
      <c r="IT222" s="344"/>
      <c r="IU222" s="344"/>
      <c r="IV222" s="344"/>
    </row>
    <row r="223" spans="1:256" hidden="1">
      <c r="A223" s="356">
        <v>39976</v>
      </c>
      <c r="B223" s="356" t="s">
        <v>568</v>
      </c>
      <c r="C223" s="357">
        <v>728</v>
      </c>
      <c r="D223" s="356">
        <v>40704</v>
      </c>
      <c r="E223" s="360">
        <v>2</v>
      </c>
      <c r="F223" s="358">
        <v>2.0994000000000002</v>
      </c>
      <c r="G223" s="358">
        <v>2</v>
      </c>
      <c r="H223" s="358">
        <v>6</v>
      </c>
      <c r="I223" s="358">
        <v>6</v>
      </c>
      <c r="J223" s="358">
        <v>6</v>
      </c>
      <c r="L223" s="357">
        <v>3</v>
      </c>
    </row>
    <row r="224" spans="1:256" s="373" customFormat="1" hidden="1">
      <c r="A224" s="369">
        <v>39976</v>
      </c>
      <c r="B224" s="369" t="s">
        <v>569</v>
      </c>
      <c r="C224" s="370">
        <v>1092</v>
      </c>
      <c r="D224" s="369">
        <v>41068</v>
      </c>
      <c r="E224" s="371">
        <v>2</v>
      </c>
      <c r="F224" s="372">
        <v>2</v>
      </c>
      <c r="G224" s="372">
        <v>2</v>
      </c>
      <c r="H224" s="372">
        <v>7.0000000000000009</v>
      </c>
      <c r="I224" s="372">
        <v>7.0000000000000009</v>
      </c>
      <c r="J224" s="372">
        <v>7.0000000000000009</v>
      </c>
      <c r="L224" s="370">
        <v>2</v>
      </c>
      <c r="M224" s="344"/>
      <c r="N224" s="344"/>
      <c r="O224" s="344"/>
      <c r="P224" s="344"/>
      <c r="Q224" s="344"/>
      <c r="R224" s="344"/>
      <c r="S224" s="344"/>
      <c r="T224" s="344"/>
      <c r="U224" s="344"/>
      <c r="V224" s="344"/>
      <c r="W224" s="344"/>
      <c r="X224" s="344"/>
      <c r="Y224" s="344"/>
      <c r="Z224" s="344"/>
      <c r="AA224" s="344"/>
      <c r="AB224" s="344"/>
      <c r="AC224" s="344"/>
      <c r="AD224" s="344"/>
      <c r="AE224" s="344"/>
      <c r="AF224" s="344"/>
      <c r="AG224" s="344"/>
      <c r="AH224" s="344"/>
      <c r="AI224" s="344"/>
      <c r="AJ224" s="344"/>
      <c r="AK224" s="344"/>
      <c r="AL224" s="344"/>
      <c r="AM224" s="344"/>
      <c r="AN224" s="344"/>
      <c r="AO224" s="344"/>
      <c r="AP224" s="344"/>
      <c r="AQ224" s="344"/>
      <c r="AR224" s="344"/>
      <c r="AS224" s="344"/>
      <c r="AT224" s="344"/>
      <c r="AU224" s="344"/>
      <c r="AV224" s="344"/>
      <c r="AW224" s="344"/>
      <c r="AX224" s="344"/>
      <c r="AY224" s="344"/>
      <c r="AZ224" s="344"/>
      <c r="BA224" s="344"/>
      <c r="BB224" s="344"/>
      <c r="BC224" s="344"/>
      <c r="BD224" s="344"/>
      <c r="BE224" s="344"/>
      <c r="BF224" s="344"/>
      <c r="BG224" s="344"/>
      <c r="BH224" s="344"/>
      <c r="BI224" s="344"/>
      <c r="BJ224" s="344"/>
      <c r="BK224" s="344"/>
      <c r="BL224" s="344"/>
      <c r="BM224" s="344"/>
      <c r="BN224" s="344"/>
      <c r="BO224" s="344"/>
      <c r="BP224" s="344"/>
      <c r="BQ224" s="344"/>
      <c r="BR224" s="344"/>
      <c r="BS224" s="344"/>
      <c r="BT224" s="344"/>
      <c r="BU224" s="344"/>
      <c r="BV224" s="344"/>
      <c r="BW224" s="344"/>
      <c r="BX224" s="344"/>
      <c r="BY224" s="344"/>
      <c r="BZ224" s="344"/>
      <c r="CA224" s="344"/>
      <c r="CB224" s="344"/>
      <c r="CC224" s="344"/>
      <c r="CD224" s="344"/>
      <c r="CE224" s="344"/>
      <c r="CF224" s="344"/>
      <c r="CG224" s="344"/>
      <c r="CH224" s="344"/>
      <c r="CI224" s="344"/>
      <c r="CJ224" s="344"/>
      <c r="CK224" s="344"/>
      <c r="CL224" s="344"/>
      <c r="CM224" s="344"/>
      <c r="CN224" s="344"/>
      <c r="CO224" s="344"/>
      <c r="CP224" s="344"/>
      <c r="CQ224" s="344"/>
      <c r="CR224" s="344"/>
      <c r="CS224" s="344"/>
      <c r="CT224" s="344"/>
      <c r="CU224" s="344"/>
      <c r="CV224" s="344"/>
      <c r="CW224" s="344"/>
      <c r="CX224" s="344"/>
      <c r="CY224" s="344"/>
      <c r="CZ224" s="344"/>
      <c r="DA224" s="344"/>
      <c r="DB224" s="344"/>
      <c r="DC224" s="344"/>
      <c r="DD224" s="344"/>
      <c r="DE224" s="344"/>
      <c r="DF224" s="344"/>
      <c r="DG224" s="344"/>
      <c r="DH224" s="344"/>
      <c r="DI224" s="344"/>
      <c r="DJ224" s="344"/>
      <c r="DK224" s="344"/>
      <c r="DL224" s="344"/>
      <c r="DM224" s="344"/>
      <c r="DN224" s="344"/>
      <c r="DO224" s="344"/>
      <c r="DP224" s="344"/>
      <c r="DQ224" s="344"/>
      <c r="DR224" s="344"/>
      <c r="DS224" s="344"/>
      <c r="DT224" s="344"/>
      <c r="DU224" s="344"/>
      <c r="DV224" s="344"/>
      <c r="DW224" s="344"/>
      <c r="DX224" s="344"/>
      <c r="DY224" s="344"/>
      <c r="DZ224" s="344"/>
      <c r="EA224" s="344"/>
      <c r="EB224" s="344"/>
      <c r="EC224" s="344"/>
      <c r="ED224" s="344"/>
      <c r="EE224" s="344"/>
      <c r="EF224" s="344"/>
      <c r="EG224" s="344"/>
      <c r="EH224" s="344"/>
      <c r="EI224" s="344"/>
      <c r="EJ224" s="344"/>
      <c r="EK224" s="344"/>
      <c r="EL224" s="344"/>
      <c r="EM224" s="344"/>
      <c r="EN224" s="344"/>
      <c r="EO224" s="344"/>
      <c r="EP224" s="344"/>
      <c r="EQ224" s="344"/>
      <c r="ER224" s="344"/>
      <c r="ES224" s="344"/>
      <c r="ET224" s="344"/>
      <c r="EU224" s="344"/>
      <c r="EV224" s="344"/>
      <c r="EW224" s="344"/>
      <c r="EX224" s="344"/>
      <c r="EY224" s="344"/>
      <c r="EZ224" s="344"/>
      <c r="FA224" s="344"/>
      <c r="FB224" s="344"/>
      <c r="FC224" s="344"/>
      <c r="FD224" s="344"/>
      <c r="FE224" s="344"/>
      <c r="FF224" s="344"/>
      <c r="FG224" s="344"/>
      <c r="FH224" s="344"/>
      <c r="FI224" s="344"/>
      <c r="FJ224" s="344"/>
      <c r="FK224" s="344"/>
      <c r="FL224" s="344"/>
      <c r="FM224" s="344"/>
      <c r="FN224" s="344"/>
      <c r="FO224" s="344"/>
      <c r="FP224" s="344"/>
      <c r="FQ224" s="344"/>
      <c r="FR224" s="344"/>
      <c r="FS224" s="344"/>
      <c r="FT224" s="344"/>
      <c r="FU224" s="344"/>
      <c r="FV224" s="344"/>
      <c r="FW224" s="344"/>
      <c r="FX224" s="344"/>
      <c r="FY224" s="344"/>
      <c r="FZ224" s="344"/>
      <c r="GA224" s="344"/>
      <c r="GB224" s="344"/>
      <c r="GC224" s="344"/>
      <c r="GD224" s="344"/>
      <c r="GE224" s="344"/>
      <c r="GF224" s="344"/>
      <c r="GG224" s="344"/>
      <c r="GH224" s="344"/>
      <c r="GI224" s="344"/>
      <c r="GJ224" s="344"/>
      <c r="GK224" s="344"/>
      <c r="GL224" s="344"/>
      <c r="GM224" s="344"/>
      <c r="GN224" s="344"/>
      <c r="GO224" s="344"/>
      <c r="GP224" s="344"/>
      <c r="GQ224" s="344"/>
      <c r="GR224" s="344"/>
      <c r="GS224" s="344"/>
      <c r="GT224" s="344"/>
      <c r="GU224" s="344"/>
      <c r="GV224" s="344"/>
      <c r="GW224" s="344"/>
      <c r="GX224" s="344"/>
      <c r="GY224" s="344"/>
      <c r="GZ224" s="344"/>
      <c r="HA224" s="344"/>
      <c r="HB224" s="344"/>
      <c r="HC224" s="344"/>
      <c r="HD224" s="344"/>
      <c r="HE224" s="344"/>
      <c r="HF224" s="344"/>
      <c r="HG224" s="344"/>
      <c r="HH224" s="344"/>
      <c r="HI224" s="344"/>
      <c r="HJ224" s="344"/>
      <c r="HK224" s="344"/>
      <c r="HL224" s="344"/>
      <c r="HM224" s="344"/>
      <c r="HN224" s="344"/>
      <c r="HO224" s="344"/>
      <c r="HP224" s="344"/>
      <c r="HQ224" s="344"/>
      <c r="HR224" s="344"/>
      <c r="HS224" s="344"/>
      <c r="HT224" s="344"/>
      <c r="HU224" s="344"/>
      <c r="HV224" s="344"/>
      <c r="HW224" s="344"/>
      <c r="HX224" s="344"/>
      <c r="HY224" s="344"/>
      <c r="HZ224" s="344"/>
      <c r="IA224" s="344"/>
      <c r="IB224" s="344"/>
      <c r="IC224" s="344"/>
      <c r="ID224" s="344"/>
      <c r="IE224" s="344"/>
      <c r="IF224" s="344"/>
      <c r="IG224" s="344"/>
      <c r="IH224" s="344"/>
      <c r="II224" s="344"/>
      <c r="IJ224" s="344"/>
      <c r="IK224" s="344"/>
      <c r="IL224" s="344"/>
      <c r="IM224" s="344"/>
      <c r="IN224" s="344"/>
      <c r="IO224" s="344"/>
      <c r="IP224" s="344"/>
      <c r="IQ224" s="344"/>
      <c r="IR224" s="344"/>
      <c r="IS224" s="344"/>
      <c r="IT224" s="344"/>
      <c r="IU224" s="344"/>
      <c r="IV224" s="344"/>
    </row>
    <row r="225" spans="1:256" hidden="1">
      <c r="A225" s="356">
        <v>39980</v>
      </c>
      <c r="B225" s="356" t="s">
        <v>570</v>
      </c>
      <c r="C225" s="357">
        <v>35</v>
      </c>
      <c r="D225" s="356">
        <v>40015</v>
      </c>
      <c r="E225" s="360">
        <v>20</v>
      </c>
      <c r="F225" s="358">
        <v>10.017799999999999</v>
      </c>
      <c r="G225" s="358">
        <v>10.017799999999999</v>
      </c>
      <c r="H225" s="358">
        <v>2.2999999999999998</v>
      </c>
      <c r="I225" s="358">
        <v>2.5100000000000004E-2</v>
      </c>
      <c r="J225" s="358">
        <v>2.4</v>
      </c>
      <c r="L225" s="357">
        <v>3</v>
      </c>
    </row>
    <row r="226" spans="1:256" s="373" customFormat="1" hidden="1">
      <c r="A226" s="369">
        <v>39980</v>
      </c>
      <c r="B226" s="369" t="s">
        <v>571</v>
      </c>
      <c r="C226" s="370">
        <v>364</v>
      </c>
      <c r="D226" s="369">
        <v>40344</v>
      </c>
      <c r="E226" s="371">
        <v>2</v>
      </c>
      <c r="F226" s="372">
        <v>0</v>
      </c>
      <c r="G226" s="372">
        <v>0</v>
      </c>
      <c r="H226" s="372">
        <v>0</v>
      </c>
      <c r="I226" s="372">
        <v>0</v>
      </c>
      <c r="J226" s="372">
        <v>0</v>
      </c>
      <c r="L226" s="370">
        <v>0</v>
      </c>
      <c r="M226" s="344"/>
      <c r="N226" s="344"/>
      <c r="O226" s="344"/>
      <c r="P226" s="344"/>
      <c r="Q226" s="344"/>
      <c r="R226" s="344"/>
      <c r="S226" s="344"/>
      <c r="T226" s="344"/>
      <c r="U226" s="344"/>
      <c r="V226" s="344"/>
      <c r="W226" s="344"/>
      <c r="X226" s="344"/>
      <c r="Y226" s="344"/>
      <c r="Z226" s="344"/>
      <c r="AA226" s="344"/>
      <c r="AB226" s="344"/>
      <c r="AC226" s="344"/>
      <c r="AD226" s="344"/>
      <c r="AE226" s="344"/>
      <c r="AF226" s="344"/>
      <c r="AG226" s="344"/>
      <c r="AH226" s="344"/>
      <c r="AI226" s="344"/>
      <c r="AJ226" s="344"/>
      <c r="AK226" s="344"/>
      <c r="AL226" s="344"/>
      <c r="AM226" s="344"/>
      <c r="AN226" s="344"/>
      <c r="AO226" s="344"/>
      <c r="AP226" s="344"/>
      <c r="AQ226" s="344"/>
      <c r="AR226" s="344"/>
      <c r="AS226" s="344"/>
      <c r="AT226" s="344"/>
      <c r="AU226" s="344"/>
      <c r="AV226" s="344"/>
      <c r="AW226" s="344"/>
      <c r="AX226" s="344"/>
      <c r="AY226" s="344"/>
      <c r="AZ226" s="344"/>
      <c r="BA226" s="344"/>
      <c r="BB226" s="344"/>
      <c r="BC226" s="344"/>
      <c r="BD226" s="344"/>
      <c r="BE226" s="344"/>
      <c r="BF226" s="344"/>
      <c r="BG226" s="344"/>
      <c r="BH226" s="344"/>
      <c r="BI226" s="344"/>
      <c r="BJ226" s="344"/>
      <c r="BK226" s="344"/>
      <c r="BL226" s="344"/>
      <c r="BM226" s="344"/>
      <c r="BN226" s="344"/>
      <c r="BO226" s="344"/>
      <c r="BP226" s="344"/>
      <c r="BQ226" s="344"/>
      <c r="BR226" s="344"/>
      <c r="BS226" s="344"/>
      <c r="BT226" s="344"/>
      <c r="BU226" s="344"/>
      <c r="BV226" s="344"/>
      <c r="BW226" s="344"/>
      <c r="BX226" s="344"/>
      <c r="BY226" s="344"/>
      <c r="BZ226" s="344"/>
      <c r="CA226" s="344"/>
      <c r="CB226" s="344"/>
      <c r="CC226" s="344"/>
      <c r="CD226" s="344"/>
      <c r="CE226" s="344"/>
      <c r="CF226" s="344"/>
      <c r="CG226" s="344"/>
      <c r="CH226" s="344"/>
      <c r="CI226" s="344"/>
      <c r="CJ226" s="344"/>
      <c r="CK226" s="344"/>
      <c r="CL226" s="344"/>
      <c r="CM226" s="344"/>
      <c r="CN226" s="344"/>
      <c r="CO226" s="344"/>
      <c r="CP226" s="344"/>
      <c r="CQ226" s="344"/>
      <c r="CR226" s="344"/>
      <c r="CS226" s="344"/>
      <c r="CT226" s="344"/>
      <c r="CU226" s="344"/>
      <c r="CV226" s="344"/>
      <c r="CW226" s="344"/>
      <c r="CX226" s="344"/>
      <c r="CY226" s="344"/>
      <c r="CZ226" s="344"/>
      <c r="DA226" s="344"/>
      <c r="DB226" s="344"/>
      <c r="DC226" s="344"/>
      <c r="DD226" s="344"/>
      <c r="DE226" s="344"/>
      <c r="DF226" s="344"/>
      <c r="DG226" s="344"/>
      <c r="DH226" s="344"/>
      <c r="DI226" s="344"/>
      <c r="DJ226" s="344"/>
      <c r="DK226" s="344"/>
      <c r="DL226" s="344"/>
      <c r="DM226" s="344"/>
      <c r="DN226" s="344"/>
      <c r="DO226" s="344"/>
      <c r="DP226" s="344"/>
      <c r="DQ226" s="344"/>
      <c r="DR226" s="344"/>
      <c r="DS226" s="344"/>
      <c r="DT226" s="344"/>
      <c r="DU226" s="344"/>
      <c r="DV226" s="344"/>
      <c r="DW226" s="344"/>
      <c r="DX226" s="344"/>
      <c r="DY226" s="344"/>
      <c r="DZ226" s="344"/>
      <c r="EA226" s="344"/>
      <c r="EB226" s="344"/>
      <c r="EC226" s="344"/>
      <c r="ED226" s="344"/>
      <c r="EE226" s="344"/>
      <c r="EF226" s="344"/>
      <c r="EG226" s="344"/>
      <c r="EH226" s="344"/>
      <c r="EI226" s="344"/>
      <c r="EJ226" s="344"/>
      <c r="EK226" s="344"/>
      <c r="EL226" s="344"/>
      <c r="EM226" s="344"/>
      <c r="EN226" s="344"/>
      <c r="EO226" s="344"/>
      <c r="EP226" s="344"/>
      <c r="EQ226" s="344"/>
      <c r="ER226" s="344"/>
      <c r="ES226" s="344"/>
      <c r="ET226" s="344"/>
      <c r="EU226" s="344"/>
      <c r="EV226" s="344"/>
      <c r="EW226" s="344"/>
      <c r="EX226" s="344"/>
      <c r="EY226" s="344"/>
      <c r="EZ226" s="344"/>
      <c r="FA226" s="344"/>
      <c r="FB226" s="344"/>
      <c r="FC226" s="344"/>
      <c r="FD226" s="344"/>
      <c r="FE226" s="344"/>
      <c r="FF226" s="344"/>
      <c r="FG226" s="344"/>
      <c r="FH226" s="344"/>
      <c r="FI226" s="344"/>
      <c r="FJ226" s="344"/>
      <c r="FK226" s="344"/>
      <c r="FL226" s="344"/>
      <c r="FM226" s="344"/>
      <c r="FN226" s="344"/>
      <c r="FO226" s="344"/>
      <c r="FP226" s="344"/>
      <c r="FQ226" s="344"/>
      <c r="FR226" s="344"/>
      <c r="FS226" s="344"/>
      <c r="FT226" s="344"/>
      <c r="FU226" s="344"/>
      <c r="FV226" s="344"/>
      <c r="FW226" s="344"/>
      <c r="FX226" s="344"/>
      <c r="FY226" s="344"/>
      <c r="FZ226" s="344"/>
      <c r="GA226" s="344"/>
      <c r="GB226" s="344"/>
      <c r="GC226" s="344"/>
      <c r="GD226" s="344"/>
      <c r="GE226" s="344"/>
      <c r="GF226" s="344"/>
      <c r="GG226" s="344"/>
      <c r="GH226" s="344"/>
      <c r="GI226" s="344"/>
      <c r="GJ226" s="344"/>
      <c r="GK226" s="344"/>
      <c r="GL226" s="344"/>
      <c r="GM226" s="344"/>
      <c r="GN226" s="344"/>
      <c r="GO226" s="344"/>
      <c r="GP226" s="344"/>
      <c r="GQ226" s="344"/>
      <c r="GR226" s="344"/>
      <c r="GS226" s="344"/>
      <c r="GT226" s="344"/>
      <c r="GU226" s="344"/>
      <c r="GV226" s="344"/>
      <c r="GW226" s="344"/>
      <c r="GX226" s="344"/>
      <c r="GY226" s="344"/>
      <c r="GZ226" s="344"/>
      <c r="HA226" s="344"/>
      <c r="HB226" s="344"/>
      <c r="HC226" s="344"/>
      <c r="HD226" s="344"/>
      <c r="HE226" s="344"/>
      <c r="HF226" s="344"/>
      <c r="HG226" s="344"/>
      <c r="HH226" s="344"/>
      <c r="HI226" s="344"/>
      <c r="HJ226" s="344"/>
      <c r="HK226" s="344"/>
      <c r="HL226" s="344"/>
      <c r="HM226" s="344"/>
      <c r="HN226" s="344"/>
      <c r="HO226" s="344"/>
      <c r="HP226" s="344"/>
      <c r="HQ226" s="344"/>
      <c r="HR226" s="344"/>
      <c r="HS226" s="344"/>
      <c r="HT226" s="344"/>
      <c r="HU226" s="344"/>
      <c r="HV226" s="344"/>
      <c r="HW226" s="344"/>
      <c r="HX226" s="344"/>
      <c r="HY226" s="344"/>
      <c r="HZ226" s="344"/>
      <c r="IA226" s="344"/>
      <c r="IB226" s="344"/>
      <c r="IC226" s="344"/>
      <c r="ID226" s="344"/>
      <c r="IE226" s="344"/>
      <c r="IF226" s="344"/>
      <c r="IG226" s="344"/>
      <c r="IH226" s="344"/>
      <c r="II226" s="344"/>
      <c r="IJ226" s="344"/>
      <c r="IK226" s="344"/>
      <c r="IL226" s="344"/>
      <c r="IM226" s="344"/>
      <c r="IN226" s="344"/>
      <c r="IO226" s="344"/>
      <c r="IP226" s="344"/>
      <c r="IQ226" s="344"/>
      <c r="IR226" s="344"/>
      <c r="IS226" s="344"/>
      <c r="IT226" s="344"/>
      <c r="IU226" s="344"/>
      <c r="IV226" s="344"/>
    </row>
    <row r="227" spans="1:256" hidden="1">
      <c r="A227" s="356">
        <v>39983</v>
      </c>
      <c r="B227" s="356" t="s">
        <v>572</v>
      </c>
      <c r="C227" s="357">
        <v>91</v>
      </c>
      <c r="D227" s="356">
        <v>40074</v>
      </c>
      <c r="E227" s="360">
        <v>15</v>
      </c>
      <c r="F227" s="358">
        <v>3.0148000000000001</v>
      </c>
      <c r="G227" s="358">
        <v>3.0148000000000001</v>
      </c>
      <c r="H227" s="358">
        <v>2.58</v>
      </c>
      <c r="I227" s="358">
        <v>2.5799999999999997E-2</v>
      </c>
      <c r="J227" s="358">
        <v>2.58</v>
      </c>
      <c r="L227" s="357">
        <v>1</v>
      </c>
    </row>
    <row r="228" spans="1:256" s="373" customFormat="1" hidden="1">
      <c r="A228" s="369">
        <v>39987</v>
      </c>
      <c r="B228" s="369" t="s">
        <v>573</v>
      </c>
      <c r="C228" s="370">
        <v>182</v>
      </c>
      <c r="D228" s="369">
        <v>40169</v>
      </c>
      <c r="E228" s="371">
        <v>8</v>
      </c>
      <c r="F228" s="372">
        <v>2.0272000000000001</v>
      </c>
      <c r="G228" s="372">
        <v>2.0272000000000001</v>
      </c>
      <c r="H228" s="372">
        <v>3.2399999999999998</v>
      </c>
      <c r="I228" s="372">
        <v>3.2599999999999997E-2</v>
      </c>
      <c r="J228" s="372">
        <v>3.2399999999999998</v>
      </c>
      <c r="L228" s="370">
        <v>1</v>
      </c>
      <c r="M228" s="344"/>
      <c r="N228" s="344"/>
      <c r="O228" s="344"/>
      <c r="P228" s="344"/>
      <c r="Q228" s="344"/>
      <c r="R228" s="344"/>
      <c r="S228" s="344"/>
      <c r="T228" s="344"/>
      <c r="U228" s="344"/>
      <c r="V228" s="344"/>
      <c r="W228" s="344"/>
      <c r="X228" s="344"/>
      <c r="Y228" s="344"/>
      <c r="Z228" s="344"/>
      <c r="AA228" s="344"/>
      <c r="AB228" s="344"/>
      <c r="AC228" s="344"/>
      <c r="AD228" s="344"/>
      <c r="AE228" s="344"/>
      <c r="AF228" s="344"/>
      <c r="AG228" s="344"/>
      <c r="AH228" s="344"/>
      <c r="AI228" s="344"/>
      <c r="AJ228" s="344"/>
      <c r="AK228" s="344"/>
      <c r="AL228" s="344"/>
      <c r="AM228" s="344"/>
      <c r="AN228" s="344"/>
      <c r="AO228" s="344"/>
      <c r="AP228" s="344"/>
      <c r="AQ228" s="344"/>
      <c r="AR228" s="344"/>
      <c r="AS228" s="344"/>
      <c r="AT228" s="344"/>
      <c r="AU228" s="344"/>
      <c r="AV228" s="344"/>
      <c r="AW228" s="344"/>
      <c r="AX228" s="344"/>
      <c r="AY228" s="344"/>
      <c r="AZ228" s="344"/>
      <c r="BA228" s="344"/>
      <c r="BB228" s="344"/>
      <c r="BC228" s="344"/>
      <c r="BD228" s="344"/>
      <c r="BE228" s="344"/>
      <c r="BF228" s="344"/>
      <c r="BG228" s="344"/>
      <c r="BH228" s="344"/>
      <c r="BI228" s="344"/>
      <c r="BJ228" s="344"/>
      <c r="BK228" s="344"/>
      <c r="BL228" s="344"/>
      <c r="BM228" s="344"/>
      <c r="BN228" s="344"/>
      <c r="BO228" s="344"/>
      <c r="BP228" s="344"/>
      <c r="BQ228" s="344"/>
      <c r="BR228" s="344"/>
      <c r="BS228" s="344"/>
      <c r="BT228" s="344"/>
      <c r="BU228" s="344"/>
      <c r="BV228" s="344"/>
      <c r="BW228" s="344"/>
      <c r="BX228" s="344"/>
      <c r="BY228" s="344"/>
      <c r="BZ228" s="344"/>
      <c r="CA228" s="344"/>
      <c r="CB228" s="344"/>
      <c r="CC228" s="344"/>
      <c r="CD228" s="344"/>
      <c r="CE228" s="344"/>
      <c r="CF228" s="344"/>
      <c r="CG228" s="344"/>
      <c r="CH228" s="344"/>
      <c r="CI228" s="344"/>
      <c r="CJ228" s="344"/>
      <c r="CK228" s="344"/>
      <c r="CL228" s="344"/>
      <c r="CM228" s="344"/>
      <c r="CN228" s="344"/>
      <c r="CO228" s="344"/>
      <c r="CP228" s="344"/>
      <c r="CQ228" s="344"/>
      <c r="CR228" s="344"/>
      <c r="CS228" s="344"/>
      <c r="CT228" s="344"/>
      <c r="CU228" s="344"/>
      <c r="CV228" s="344"/>
      <c r="CW228" s="344"/>
      <c r="CX228" s="344"/>
      <c r="CY228" s="344"/>
      <c r="CZ228" s="344"/>
      <c r="DA228" s="344"/>
      <c r="DB228" s="344"/>
      <c r="DC228" s="344"/>
      <c r="DD228" s="344"/>
      <c r="DE228" s="344"/>
      <c r="DF228" s="344"/>
      <c r="DG228" s="344"/>
      <c r="DH228" s="344"/>
      <c r="DI228" s="344"/>
      <c r="DJ228" s="344"/>
      <c r="DK228" s="344"/>
      <c r="DL228" s="344"/>
      <c r="DM228" s="344"/>
      <c r="DN228" s="344"/>
      <c r="DO228" s="344"/>
      <c r="DP228" s="344"/>
      <c r="DQ228" s="344"/>
      <c r="DR228" s="344"/>
      <c r="DS228" s="344"/>
      <c r="DT228" s="344"/>
      <c r="DU228" s="344"/>
      <c r="DV228" s="344"/>
      <c r="DW228" s="344"/>
      <c r="DX228" s="344"/>
      <c r="DY228" s="344"/>
      <c r="DZ228" s="344"/>
      <c r="EA228" s="344"/>
      <c r="EB228" s="344"/>
      <c r="EC228" s="344"/>
      <c r="ED228" s="344"/>
      <c r="EE228" s="344"/>
      <c r="EF228" s="344"/>
      <c r="EG228" s="344"/>
      <c r="EH228" s="344"/>
      <c r="EI228" s="344"/>
      <c r="EJ228" s="344"/>
      <c r="EK228" s="344"/>
      <c r="EL228" s="344"/>
      <c r="EM228" s="344"/>
      <c r="EN228" s="344"/>
      <c r="EO228" s="344"/>
      <c r="EP228" s="344"/>
      <c r="EQ228" s="344"/>
      <c r="ER228" s="344"/>
      <c r="ES228" s="344"/>
      <c r="ET228" s="344"/>
      <c r="EU228" s="344"/>
      <c r="EV228" s="344"/>
      <c r="EW228" s="344"/>
      <c r="EX228" s="344"/>
      <c r="EY228" s="344"/>
      <c r="EZ228" s="344"/>
      <c r="FA228" s="344"/>
      <c r="FB228" s="344"/>
      <c r="FC228" s="344"/>
      <c r="FD228" s="344"/>
      <c r="FE228" s="344"/>
      <c r="FF228" s="344"/>
      <c r="FG228" s="344"/>
      <c r="FH228" s="344"/>
      <c r="FI228" s="344"/>
      <c r="FJ228" s="344"/>
      <c r="FK228" s="344"/>
      <c r="FL228" s="344"/>
      <c r="FM228" s="344"/>
      <c r="FN228" s="344"/>
      <c r="FO228" s="344"/>
      <c r="FP228" s="344"/>
      <c r="FQ228" s="344"/>
      <c r="FR228" s="344"/>
      <c r="FS228" s="344"/>
      <c r="FT228" s="344"/>
      <c r="FU228" s="344"/>
      <c r="FV228" s="344"/>
      <c r="FW228" s="344"/>
      <c r="FX228" s="344"/>
      <c r="FY228" s="344"/>
      <c r="FZ228" s="344"/>
      <c r="GA228" s="344"/>
      <c r="GB228" s="344"/>
      <c r="GC228" s="344"/>
      <c r="GD228" s="344"/>
      <c r="GE228" s="344"/>
      <c r="GF228" s="344"/>
      <c r="GG228" s="344"/>
      <c r="GH228" s="344"/>
      <c r="GI228" s="344"/>
      <c r="GJ228" s="344"/>
      <c r="GK228" s="344"/>
      <c r="GL228" s="344"/>
      <c r="GM228" s="344"/>
      <c r="GN228" s="344"/>
      <c r="GO228" s="344"/>
      <c r="GP228" s="344"/>
      <c r="GQ228" s="344"/>
      <c r="GR228" s="344"/>
      <c r="GS228" s="344"/>
      <c r="GT228" s="344"/>
      <c r="GU228" s="344"/>
      <c r="GV228" s="344"/>
      <c r="GW228" s="344"/>
      <c r="GX228" s="344"/>
      <c r="GY228" s="344"/>
      <c r="GZ228" s="344"/>
      <c r="HA228" s="344"/>
      <c r="HB228" s="344"/>
      <c r="HC228" s="344"/>
      <c r="HD228" s="344"/>
      <c r="HE228" s="344"/>
      <c r="HF228" s="344"/>
      <c r="HG228" s="344"/>
      <c r="HH228" s="344"/>
      <c r="HI228" s="344"/>
      <c r="HJ228" s="344"/>
      <c r="HK228" s="344"/>
      <c r="HL228" s="344"/>
      <c r="HM228" s="344"/>
      <c r="HN228" s="344"/>
      <c r="HO228" s="344"/>
      <c r="HP228" s="344"/>
      <c r="HQ228" s="344"/>
      <c r="HR228" s="344"/>
      <c r="HS228" s="344"/>
      <c r="HT228" s="344"/>
      <c r="HU228" s="344"/>
      <c r="HV228" s="344"/>
      <c r="HW228" s="344"/>
      <c r="HX228" s="344"/>
      <c r="HY228" s="344"/>
      <c r="HZ228" s="344"/>
      <c r="IA228" s="344"/>
      <c r="IB228" s="344"/>
      <c r="IC228" s="344"/>
      <c r="ID228" s="344"/>
      <c r="IE228" s="344"/>
      <c r="IF228" s="344"/>
      <c r="IG228" s="344"/>
      <c r="IH228" s="344"/>
      <c r="II228" s="344"/>
      <c r="IJ228" s="344"/>
      <c r="IK228" s="344"/>
      <c r="IL228" s="344"/>
      <c r="IM228" s="344"/>
      <c r="IN228" s="344"/>
      <c r="IO228" s="344"/>
      <c r="IP228" s="344"/>
      <c r="IQ228" s="344"/>
      <c r="IR228" s="344"/>
      <c r="IS228" s="344"/>
      <c r="IT228" s="344"/>
      <c r="IU228" s="344"/>
      <c r="IV228" s="344"/>
    </row>
    <row r="229" spans="1:256" hidden="1">
      <c r="A229" s="356">
        <v>39987</v>
      </c>
      <c r="B229" s="356" t="s">
        <v>574</v>
      </c>
      <c r="C229" s="357">
        <v>1092</v>
      </c>
      <c r="D229" s="356">
        <v>41079</v>
      </c>
      <c r="E229" s="360">
        <v>3</v>
      </c>
      <c r="F229" s="358">
        <v>2.9750000000000001</v>
      </c>
      <c r="G229" s="358">
        <v>2.9750000000000001</v>
      </c>
      <c r="H229" s="358">
        <v>7.0000000000000009</v>
      </c>
      <c r="I229" s="358">
        <v>7.0000000000000007E-2</v>
      </c>
      <c r="J229" s="358">
        <v>7.0000000000000009</v>
      </c>
      <c r="L229" s="357">
        <v>1</v>
      </c>
    </row>
    <row r="230" spans="1:256" s="373" customFormat="1" hidden="1">
      <c r="A230" s="369">
        <v>39987</v>
      </c>
      <c r="B230" s="369" t="s">
        <v>575</v>
      </c>
      <c r="C230" s="370">
        <v>728</v>
      </c>
      <c r="D230" s="369">
        <v>40715</v>
      </c>
      <c r="E230" s="371">
        <v>2</v>
      </c>
      <c r="F230" s="372">
        <v>2</v>
      </c>
      <c r="G230" s="372">
        <v>2</v>
      </c>
      <c r="H230" s="372">
        <v>6</v>
      </c>
      <c r="I230" s="372">
        <v>6</v>
      </c>
      <c r="J230" s="372">
        <v>6</v>
      </c>
      <c r="L230" s="370">
        <v>1</v>
      </c>
      <c r="M230" s="344"/>
      <c r="N230" s="344"/>
      <c r="O230" s="344"/>
      <c r="P230" s="344"/>
      <c r="Q230" s="344"/>
      <c r="R230" s="344"/>
      <c r="S230" s="344"/>
      <c r="T230" s="344"/>
      <c r="U230" s="344"/>
      <c r="V230" s="344"/>
      <c r="W230" s="344"/>
      <c r="X230" s="344"/>
      <c r="Y230" s="344"/>
      <c r="Z230" s="344"/>
      <c r="AA230" s="344"/>
      <c r="AB230" s="344"/>
      <c r="AC230" s="344"/>
      <c r="AD230" s="344"/>
      <c r="AE230" s="344"/>
      <c r="AF230" s="344"/>
      <c r="AG230" s="344"/>
      <c r="AH230" s="344"/>
      <c r="AI230" s="344"/>
      <c r="AJ230" s="344"/>
      <c r="AK230" s="344"/>
      <c r="AL230" s="344"/>
      <c r="AM230" s="344"/>
      <c r="AN230" s="344"/>
      <c r="AO230" s="344"/>
      <c r="AP230" s="344"/>
      <c r="AQ230" s="344"/>
      <c r="AR230" s="344"/>
      <c r="AS230" s="344"/>
      <c r="AT230" s="344"/>
      <c r="AU230" s="344"/>
      <c r="AV230" s="344"/>
      <c r="AW230" s="344"/>
      <c r="AX230" s="344"/>
      <c r="AY230" s="344"/>
      <c r="AZ230" s="344"/>
      <c r="BA230" s="344"/>
      <c r="BB230" s="344"/>
      <c r="BC230" s="344"/>
      <c r="BD230" s="344"/>
      <c r="BE230" s="344"/>
      <c r="BF230" s="344"/>
      <c r="BG230" s="344"/>
      <c r="BH230" s="344"/>
      <c r="BI230" s="344"/>
      <c r="BJ230" s="344"/>
      <c r="BK230" s="344"/>
      <c r="BL230" s="344"/>
      <c r="BM230" s="344"/>
      <c r="BN230" s="344"/>
      <c r="BO230" s="344"/>
      <c r="BP230" s="344"/>
      <c r="BQ230" s="344"/>
      <c r="BR230" s="344"/>
      <c r="BS230" s="344"/>
      <c r="BT230" s="344"/>
      <c r="BU230" s="344"/>
      <c r="BV230" s="344"/>
      <c r="BW230" s="344"/>
      <c r="BX230" s="344"/>
      <c r="BY230" s="344"/>
      <c r="BZ230" s="344"/>
      <c r="CA230" s="344"/>
      <c r="CB230" s="344"/>
      <c r="CC230" s="344"/>
      <c r="CD230" s="344"/>
      <c r="CE230" s="344"/>
      <c r="CF230" s="344"/>
      <c r="CG230" s="344"/>
      <c r="CH230" s="344"/>
      <c r="CI230" s="344"/>
      <c r="CJ230" s="344"/>
      <c r="CK230" s="344"/>
      <c r="CL230" s="344"/>
      <c r="CM230" s="344"/>
      <c r="CN230" s="344"/>
      <c r="CO230" s="344"/>
      <c r="CP230" s="344"/>
      <c r="CQ230" s="344"/>
      <c r="CR230" s="344"/>
      <c r="CS230" s="344"/>
      <c r="CT230" s="344"/>
      <c r="CU230" s="344"/>
      <c r="CV230" s="344"/>
      <c r="CW230" s="344"/>
      <c r="CX230" s="344"/>
      <c r="CY230" s="344"/>
      <c r="CZ230" s="344"/>
      <c r="DA230" s="344"/>
      <c r="DB230" s="344"/>
      <c r="DC230" s="344"/>
      <c r="DD230" s="344"/>
      <c r="DE230" s="344"/>
      <c r="DF230" s="344"/>
      <c r="DG230" s="344"/>
      <c r="DH230" s="344"/>
      <c r="DI230" s="344"/>
      <c r="DJ230" s="344"/>
      <c r="DK230" s="344"/>
      <c r="DL230" s="344"/>
      <c r="DM230" s="344"/>
      <c r="DN230" s="344"/>
      <c r="DO230" s="344"/>
      <c r="DP230" s="344"/>
      <c r="DQ230" s="344"/>
      <c r="DR230" s="344"/>
      <c r="DS230" s="344"/>
      <c r="DT230" s="344"/>
      <c r="DU230" s="344"/>
      <c r="DV230" s="344"/>
      <c r="DW230" s="344"/>
      <c r="DX230" s="344"/>
      <c r="DY230" s="344"/>
      <c r="DZ230" s="344"/>
      <c r="EA230" s="344"/>
      <c r="EB230" s="344"/>
      <c r="EC230" s="344"/>
      <c r="ED230" s="344"/>
      <c r="EE230" s="344"/>
      <c r="EF230" s="344"/>
      <c r="EG230" s="344"/>
      <c r="EH230" s="344"/>
      <c r="EI230" s="344"/>
      <c r="EJ230" s="344"/>
      <c r="EK230" s="344"/>
      <c r="EL230" s="344"/>
      <c r="EM230" s="344"/>
      <c r="EN230" s="344"/>
      <c r="EO230" s="344"/>
      <c r="EP230" s="344"/>
      <c r="EQ230" s="344"/>
      <c r="ER230" s="344"/>
      <c r="ES230" s="344"/>
      <c r="ET230" s="344"/>
      <c r="EU230" s="344"/>
      <c r="EV230" s="344"/>
      <c r="EW230" s="344"/>
      <c r="EX230" s="344"/>
      <c r="EY230" s="344"/>
      <c r="EZ230" s="344"/>
      <c r="FA230" s="344"/>
      <c r="FB230" s="344"/>
      <c r="FC230" s="344"/>
      <c r="FD230" s="344"/>
      <c r="FE230" s="344"/>
      <c r="FF230" s="344"/>
      <c r="FG230" s="344"/>
      <c r="FH230" s="344"/>
      <c r="FI230" s="344"/>
      <c r="FJ230" s="344"/>
      <c r="FK230" s="344"/>
      <c r="FL230" s="344"/>
      <c r="FM230" s="344"/>
      <c r="FN230" s="344"/>
      <c r="FO230" s="344"/>
      <c r="FP230" s="344"/>
      <c r="FQ230" s="344"/>
      <c r="FR230" s="344"/>
      <c r="FS230" s="344"/>
      <c r="FT230" s="344"/>
      <c r="FU230" s="344"/>
      <c r="FV230" s="344"/>
      <c r="FW230" s="344"/>
      <c r="FX230" s="344"/>
      <c r="FY230" s="344"/>
      <c r="FZ230" s="344"/>
      <c r="GA230" s="344"/>
      <c r="GB230" s="344"/>
      <c r="GC230" s="344"/>
      <c r="GD230" s="344"/>
      <c r="GE230" s="344"/>
      <c r="GF230" s="344"/>
      <c r="GG230" s="344"/>
      <c r="GH230" s="344"/>
      <c r="GI230" s="344"/>
      <c r="GJ230" s="344"/>
      <c r="GK230" s="344"/>
      <c r="GL230" s="344"/>
      <c r="GM230" s="344"/>
      <c r="GN230" s="344"/>
      <c r="GO230" s="344"/>
      <c r="GP230" s="344"/>
      <c r="GQ230" s="344"/>
      <c r="GR230" s="344"/>
      <c r="GS230" s="344"/>
      <c r="GT230" s="344"/>
      <c r="GU230" s="344"/>
      <c r="GV230" s="344"/>
      <c r="GW230" s="344"/>
      <c r="GX230" s="344"/>
      <c r="GY230" s="344"/>
      <c r="GZ230" s="344"/>
      <c r="HA230" s="344"/>
      <c r="HB230" s="344"/>
      <c r="HC230" s="344"/>
      <c r="HD230" s="344"/>
      <c r="HE230" s="344"/>
      <c r="HF230" s="344"/>
      <c r="HG230" s="344"/>
      <c r="HH230" s="344"/>
      <c r="HI230" s="344"/>
      <c r="HJ230" s="344"/>
      <c r="HK230" s="344"/>
      <c r="HL230" s="344"/>
      <c r="HM230" s="344"/>
      <c r="HN230" s="344"/>
      <c r="HO230" s="344"/>
      <c r="HP230" s="344"/>
      <c r="HQ230" s="344"/>
      <c r="HR230" s="344"/>
      <c r="HS230" s="344"/>
      <c r="HT230" s="344"/>
      <c r="HU230" s="344"/>
      <c r="HV230" s="344"/>
      <c r="HW230" s="344"/>
      <c r="HX230" s="344"/>
      <c r="HY230" s="344"/>
      <c r="HZ230" s="344"/>
      <c r="IA230" s="344"/>
      <c r="IB230" s="344"/>
      <c r="IC230" s="344"/>
      <c r="ID230" s="344"/>
      <c r="IE230" s="344"/>
      <c r="IF230" s="344"/>
      <c r="IG230" s="344"/>
      <c r="IH230" s="344"/>
      <c r="II230" s="344"/>
      <c r="IJ230" s="344"/>
      <c r="IK230" s="344"/>
      <c r="IL230" s="344"/>
      <c r="IM230" s="344"/>
      <c r="IN230" s="344"/>
      <c r="IO230" s="344"/>
      <c r="IP230" s="344"/>
      <c r="IQ230" s="344"/>
      <c r="IR230" s="344"/>
      <c r="IS230" s="344"/>
      <c r="IT230" s="344"/>
      <c r="IU230" s="344"/>
      <c r="IV230" s="344"/>
    </row>
    <row r="231" spans="1:256" hidden="1">
      <c r="A231" s="356">
        <v>40001</v>
      </c>
      <c r="B231" s="356" t="s">
        <v>576</v>
      </c>
      <c r="C231" s="357">
        <v>364</v>
      </c>
      <c r="D231" s="356">
        <v>40365</v>
      </c>
      <c r="E231" s="360">
        <v>3</v>
      </c>
      <c r="F231" s="358">
        <v>3</v>
      </c>
      <c r="G231" s="358">
        <v>3</v>
      </c>
      <c r="H231" s="358">
        <v>2.9899999999999998</v>
      </c>
      <c r="I231" s="358">
        <v>2.9899999999999998</v>
      </c>
      <c r="J231" s="358">
        <v>2.9899999999999998</v>
      </c>
      <c r="L231" s="357">
        <v>1</v>
      </c>
    </row>
    <row r="232" spans="1:256" s="373" customFormat="1" hidden="1">
      <c r="A232" s="369">
        <v>40001</v>
      </c>
      <c r="B232" s="369" t="s">
        <v>577</v>
      </c>
      <c r="C232" s="370">
        <v>35</v>
      </c>
      <c r="D232" s="369">
        <v>40036</v>
      </c>
      <c r="E232" s="371">
        <v>18</v>
      </c>
      <c r="F232" s="372">
        <v>18.161200000000001</v>
      </c>
      <c r="G232" s="372">
        <v>2.2006000000000001</v>
      </c>
      <c r="H232" s="372">
        <v>1.78</v>
      </c>
      <c r="I232" s="372">
        <v>1.78</v>
      </c>
      <c r="J232" s="372">
        <v>1.78</v>
      </c>
      <c r="L232" s="370">
        <v>5</v>
      </c>
      <c r="M232" s="344"/>
      <c r="N232" s="344"/>
      <c r="O232" s="344"/>
      <c r="P232" s="344"/>
      <c r="Q232" s="344"/>
      <c r="R232" s="344"/>
      <c r="S232" s="344"/>
      <c r="T232" s="344"/>
      <c r="U232" s="344"/>
      <c r="V232" s="344"/>
      <c r="W232" s="344"/>
      <c r="X232" s="344"/>
      <c r="Y232" s="344"/>
      <c r="Z232" s="344"/>
      <c r="AA232" s="344"/>
      <c r="AB232" s="344"/>
      <c r="AC232" s="344"/>
      <c r="AD232" s="344"/>
      <c r="AE232" s="344"/>
      <c r="AF232" s="344"/>
      <c r="AG232" s="344"/>
      <c r="AH232" s="344"/>
      <c r="AI232" s="344"/>
      <c r="AJ232" s="344"/>
      <c r="AK232" s="344"/>
      <c r="AL232" s="344"/>
      <c r="AM232" s="344"/>
      <c r="AN232" s="344"/>
      <c r="AO232" s="344"/>
      <c r="AP232" s="344"/>
      <c r="AQ232" s="344"/>
      <c r="AR232" s="344"/>
      <c r="AS232" s="344"/>
      <c r="AT232" s="344"/>
      <c r="AU232" s="344"/>
      <c r="AV232" s="344"/>
      <c r="AW232" s="344"/>
      <c r="AX232" s="344"/>
      <c r="AY232" s="344"/>
      <c r="AZ232" s="344"/>
      <c r="BA232" s="344"/>
      <c r="BB232" s="344"/>
      <c r="BC232" s="344"/>
      <c r="BD232" s="344"/>
      <c r="BE232" s="344"/>
      <c r="BF232" s="344"/>
      <c r="BG232" s="344"/>
      <c r="BH232" s="344"/>
      <c r="BI232" s="344"/>
      <c r="BJ232" s="344"/>
      <c r="BK232" s="344"/>
      <c r="BL232" s="344"/>
      <c r="BM232" s="344"/>
      <c r="BN232" s="344"/>
      <c r="BO232" s="344"/>
      <c r="BP232" s="344"/>
      <c r="BQ232" s="344"/>
      <c r="BR232" s="344"/>
      <c r="BS232" s="344"/>
      <c r="BT232" s="344"/>
      <c r="BU232" s="344"/>
      <c r="BV232" s="344"/>
      <c r="BW232" s="344"/>
      <c r="BX232" s="344"/>
      <c r="BY232" s="344"/>
      <c r="BZ232" s="344"/>
      <c r="CA232" s="344"/>
      <c r="CB232" s="344"/>
      <c r="CC232" s="344"/>
      <c r="CD232" s="344"/>
      <c r="CE232" s="344"/>
      <c r="CF232" s="344"/>
      <c r="CG232" s="344"/>
      <c r="CH232" s="344"/>
      <c r="CI232" s="344"/>
      <c r="CJ232" s="344"/>
      <c r="CK232" s="344"/>
      <c r="CL232" s="344"/>
      <c r="CM232" s="344"/>
      <c r="CN232" s="344"/>
      <c r="CO232" s="344"/>
      <c r="CP232" s="344"/>
      <c r="CQ232" s="344"/>
      <c r="CR232" s="344"/>
      <c r="CS232" s="344"/>
      <c r="CT232" s="344"/>
      <c r="CU232" s="344"/>
      <c r="CV232" s="344"/>
      <c r="CW232" s="344"/>
      <c r="CX232" s="344"/>
      <c r="CY232" s="344"/>
      <c r="CZ232" s="344"/>
      <c r="DA232" s="344"/>
      <c r="DB232" s="344"/>
      <c r="DC232" s="344"/>
      <c r="DD232" s="344"/>
      <c r="DE232" s="344"/>
      <c r="DF232" s="344"/>
      <c r="DG232" s="344"/>
      <c r="DH232" s="344"/>
      <c r="DI232" s="344"/>
      <c r="DJ232" s="344"/>
      <c r="DK232" s="344"/>
      <c r="DL232" s="344"/>
      <c r="DM232" s="344"/>
      <c r="DN232" s="344"/>
      <c r="DO232" s="344"/>
      <c r="DP232" s="344"/>
      <c r="DQ232" s="344"/>
      <c r="DR232" s="344"/>
      <c r="DS232" s="344"/>
      <c r="DT232" s="344"/>
      <c r="DU232" s="344"/>
      <c r="DV232" s="344"/>
      <c r="DW232" s="344"/>
      <c r="DX232" s="344"/>
      <c r="DY232" s="344"/>
      <c r="DZ232" s="344"/>
      <c r="EA232" s="344"/>
      <c r="EB232" s="344"/>
      <c r="EC232" s="344"/>
      <c r="ED232" s="344"/>
      <c r="EE232" s="344"/>
      <c r="EF232" s="344"/>
      <c r="EG232" s="344"/>
      <c r="EH232" s="344"/>
      <c r="EI232" s="344"/>
      <c r="EJ232" s="344"/>
      <c r="EK232" s="344"/>
      <c r="EL232" s="344"/>
      <c r="EM232" s="344"/>
      <c r="EN232" s="344"/>
      <c r="EO232" s="344"/>
      <c r="EP232" s="344"/>
      <c r="EQ232" s="344"/>
      <c r="ER232" s="344"/>
      <c r="ES232" s="344"/>
      <c r="ET232" s="344"/>
      <c r="EU232" s="344"/>
      <c r="EV232" s="344"/>
      <c r="EW232" s="344"/>
      <c r="EX232" s="344"/>
      <c r="EY232" s="344"/>
      <c r="EZ232" s="344"/>
      <c r="FA232" s="344"/>
      <c r="FB232" s="344"/>
      <c r="FC232" s="344"/>
      <c r="FD232" s="344"/>
      <c r="FE232" s="344"/>
      <c r="FF232" s="344"/>
      <c r="FG232" s="344"/>
      <c r="FH232" s="344"/>
      <c r="FI232" s="344"/>
      <c r="FJ232" s="344"/>
      <c r="FK232" s="344"/>
      <c r="FL232" s="344"/>
      <c r="FM232" s="344"/>
      <c r="FN232" s="344"/>
      <c r="FO232" s="344"/>
      <c r="FP232" s="344"/>
      <c r="FQ232" s="344"/>
      <c r="FR232" s="344"/>
      <c r="FS232" s="344"/>
      <c r="FT232" s="344"/>
      <c r="FU232" s="344"/>
      <c r="FV232" s="344"/>
      <c r="FW232" s="344"/>
      <c r="FX232" s="344"/>
      <c r="FY232" s="344"/>
      <c r="FZ232" s="344"/>
      <c r="GA232" s="344"/>
      <c r="GB232" s="344"/>
      <c r="GC232" s="344"/>
      <c r="GD232" s="344"/>
      <c r="GE232" s="344"/>
      <c r="GF232" s="344"/>
      <c r="GG232" s="344"/>
      <c r="GH232" s="344"/>
      <c r="GI232" s="344"/>
      <c r="GJ232" s="344"/>
      <c r="GK232" s="344"/>
      <c r="GL232" s="344"/>
      <c r="GM232" s="344"/>
      <c r="GN232" s="344"/>
      <c r="GO232" s="344"/>
      <c r="GP232" s="344"/>
      <c r="GQ232" s="344"/>
      <c r="GR232" s="344"/>
      <c r="GS232" s="344"/>
      <c r="GT232" s="344"/>
      <c r="GU232" s="344"/>
      <c r="GV232" s="344"/>
      <c r="GW232" s="344"/>
      <c r="GX232" s="344"/>
      <c r="GY232" s="344"/>
      <c r="GZ232" s="344"/>
      <c r="HA232" s="344"/>
      <c r="HB232" s="344"/>
      <c r="HC232" s="344"/>
      <c r="HD232" s="344"/>
      <c r="HE232" s="344"/>
      <c r="HF232" s="344"/>
      <c r="HG232" s="344"/>
      <c r="HH232" s="344"/>
      <c r="HI232" s="344"/>
      <c r="HJ232" s="344"/>
      <c r="HK232" s="344"/>
      <c r="HL232" s="344"/>
      <c r="HM232" s="344"/>
      <c r="HN232" s="344"/>
      <c r="HO232" s="344"/>
      <c r="HP232" s="344"/>
      <c r="HQ232" s="344"/>
      <c r="HR232" s="344"/>
      <c r="HS232" s="344"/>
      <c r="HT232" s="344"/>
      <c r="HU232" s="344"/>
      <c r="HV232" s="344"/>
      <c r="HW232" s="344"/>
      <c r="HX232" s="344"/>
      <c r="HY232" s="344"/>
      <c r="HZ232" s="344"/>
      <c r="IA232" s="344"/>
      <c r="IB232" s="344"/>
      <c r="IC232" s="344"/>
      <c r="ID232" s="344"/>
      <c r="IE232" s="344"/>
      <c r="IF232" s="344"/>
      <c r="IG232" s="344"/>
      <c r="IH232" s="344"/>
      <c r="II232" s="344"/>
      <c r="IJ232" s="344"/>
      <c r="IK232" s="344"/>
      <c r="IL232" s="344"/>
      <c r="IM232" s="344"/>
      <c r="IN232" s="344"/>
      <c r="IO232" s="344"/>
      <c r="IP232" s="344"/>
      <c r="IQ232" s="344"/>
      <c r="IR232" s="344"/>
      <c r="IS232" s="344"/>
      <c r="IT232" s="344"/>
      <c r="IU232" s="344"/>
      <c r="IV232" s="344"/>
    </row>
    <row r="233" spans="1:256" hidden="1">
      <c r="A233" s="356">
        <v>40004</v>
      </c>
      <c r="B233" s="356" t="s">
        <v>578</v>
      </c>
      <c r="C233" s="357">
        <v>91</v>
      </c>
      <c r="D233" s="356">
        <v>40095</v>
      </c>
      <c r="E233" s="360">
        <v>20</v>
      </c>
      <c r="F233" s="358">
        <v>0</v>
      </c>
      <c r="G233" s="358">
        <v>0</v>
      </c>
      <c r="H233" s="358">
        <v>0</v>
      </c>
      <c r="I233" s="358">
        <v>0</v>
      </c>
      <c r="J233" s="358">
        <v>0</v>
      </c>
      <c r="L233" s="357">
        <v>0</v>
      </c>
    </row>
    <row r="234" spans="1:256" s="373" customFormat="1" hidden="1">
      <c r="A234" s="369">
        <v>40008</v>
      </c>
      <c r="B234" s="369" t="s">
        <v>579</v>
      </c>
      <c r="C234" s="370">
        <v>182</v>
      </c>
      <c r="D234" s="369">
        <v>40190</v>
      </c>
      <c r="E234" s="371">
        <v>7</v>
      </c>
      <c r="F234" s="372">
        <v>6.2286000000000001</v>
      </c>
      <c r="G234" s="372">
        <v>6.2286000000000001</v>
      </c>
      <c r="H234" s="372">
        <v>2.21</v>
      </c>
      <c r="I234" s="372">
        <v>2.21</v>
      </c>
      <c r="J234" s="372">
        <v>2.13</v>
      </c>
      <c r="L234" s="370">
        <v>3</v>
      </c>
      <c r="M234" s="344"/>
      <c r="N234" s="344"/>
      <c r="O234" s="344"/>
      <c r="P234" s="344"/>
      <c r="Q234" s="344"/>
      <c r="R234" s="344"/>
      <c r="S234" s="344"/>
      <c r="T234" s="344"/>
      <c r="U234" s="344"/>
      <c r="V234" s="344"/>
      <c r="W234" s="344"/>
      <c r="X234" s="344"/>
      <c r="Y234" s="344"/>
      <c r="Z234" s="344"/>
      <c r="AA234" s="344"/>
      <c r="AB234" s="344"/>
      <c r="AC234" s="344"/>
      <c r="AD234" s="344"/>
      <c r="AE234" s="344"/>
      <c r="AF234" s="344"/>
      <c r="AG234" s="344"/>
      <c r="AH234" s="344"/>
      <c r="AI234" s="344"/>
      <c r="AJ234" s="344"/>
      <c r="AK234" s="344"/>
      <c r="AL234" s="344"/>
      <c r="AM234" s="344"/>
      <c r="AN234" s="344"/>
      <c r="AO234" s="344"/>
      <c r="AP234" s="344"/>
      <c r="AQ234" s="344"/>
      <c r="AR234" s="344"/>
      <c r="AS234" s="344"/>
      <c r="AT234" s="344"/>
      <c r="AU234" s="344"/>
      <c r="AV234" s="344"/>
      <c r="AW234" s="344"/>
      <c r="AX234" s="344"/>
      <c r="AY234" s="344"/>
      <c r="AZ234" s="344"/>
      <c r="BA234" s="344"/>
      <c r="BB234" s="344"/>
      <c r="BC234" s="344"/>
      <c r="BD234" s="344"/>
      <c r="BE234" s="344"/>
      <c r="BF234" s="344"/>
      <c r="BG234" s="344"/>
      <c r="BH234" s="344"/>
      <c r="BI234" s="344"/>
      <c r="BJ234" s="344"/>
      <c r="BK234" s="344"/>
      <c r="BL234" s="344"/>
      <c r="BM234" s="344"/>
      <c r="BN234" s="344"/>
      <c r="BO234" s="344"/>
      <c r="BP234" s="344"/>
      <c r="BQ234" s="344"/>
      <c r="BR234" s="344"/>
      <c r="BS234" s="344"/>
      <c r="BT234" s="344"/>
      <c r="BU234" s="344"/>
      <c r="BV234" s="344"/>
      <c r="BW234" s="344"/>
      <c r="BX234" s="344"/>
      <c r="BY234" s="344"/>
      <c r="BZ234" s="344"/>
      <c r="CA234" s="344"/>
      <c r="CB234" s="344"/>
      <c r="CC234" s="344"/>
      <c r="CD234" s="344"/>
      <c r="CE234" s="344"/>
      <c r="CF234" s="344"/>
      <c r="CG234" s="344"/>
      <c r="CH234" s="344"/>
      <c r="CI234" s="344"/>
      <c r="CJ234" s="344"/>
      <c r="CK234" s="344"/>
      <c r="CL234" s="344"/>
      <c r="CM234" s="344"/>
      <c r="CN234" s="344"/>
      <c r="CO234" s="344"/>
      <c r="CP234" s="344"/>
      <c r="CQ234" s="344"/>
      <c r="CR234" s="344"/>
      <c r="CS234" s="344"/>
      <c r="CT234" s="344"/>
      <c r="CU234" s="344"/>
      <c r="CV234" s="344"/>
      <c r="CW234" s="344"/>
      <c r="CX234" s="344"/>
      <c r="CY234" s="344"/>
      <c r="CZ234" s="344"/>
      <c r="DA234" s="344"/>
      <c r="DB234" s="344"/>
      <c r="DC234" s="344"/>
      <c r="DD234" s="344"/>
      <c r="DE234" s="344"/>
      <c r="DF234" s="344"/>
      <c r="DG234" s="344"/>
      <c r="DH234" s="344"/>
      <c r="DI234" s="344"/>
      <c r="DJ234" s="344"/>
      <c r="DK234" s="344"/>
      <c r="DL234" s="344"/>
      <c r="DM234" s="344"/>
      <c r="DN234" s="344"/>
      <c r="DO234" s="344"/>
      <c r="DP234" s="344"/>
      <c r="DQ234" s="344"/>
      <c r="DR234" s="344"/>
      <c r="DS234" s="344"/>
      <c r="DT234" s="344"/>
      <c r="DU234" s="344"/>
      <c r="DV234" s="344"/>
      <c r="DW234" s="344"/>
      <c r="DX234" s="344"/>
      <c r="DY234" s="344"/>
      <c r="DZ234" s="344"/>
      <c r="EA234" s="344"/>
      <c r="EB234" s="344"/>
      <c r="EC234" s="344"/>
      <c r="ED234" s="344"/>
      <c r="EE234" s="344"/>
      <c r="EF234" s="344"/>
      <c r="EG234" s="344"/>
      <c r="EH234" s="344"/>
      <c r="EI234" s="344"/>
      <c r="EJ234" s="344"/>
      <c r="EK234" s="344"/>
      <c r="EL234" s="344"/>
      <c r="EM234" s="344"/>
      <c r="EN234" s="344"/>
      <c r="EO234" s="344"/>
      <c r="EP234" s="344"/>
      <c r="EQ234" s="344"/>
      <c r="ER234" s="344"/>
      <c r="ES234" s="344"/>
      <c r="ET234" s="344"/>
      <c r="EU234" s="344"/>
      <c r="EV234" s="344"/>
      <c r="EW234" s="344"/>
      <c r="EX234" s="344"/>
      <c r="EY234" s="344"/>
      <c r="EZ234" s="344"/>
      <c r="FA234" s="344"/>
      <c r="FB234" s="344"/>
      <c r="FC234" s="344"/>
      <c r="FD234" s="344"/>
      <c r="FE234" s="344"/>
      <c r="FF234" s="344"/>
      <c r="FG234" s="344"/>
      <c r="FH234" s="344"/>
      <c r="FI234" s="344"/>
      <c r="FJ234" s="344"/>
      <c r="FK234" s="344"/>
      <c r="FL234" s="344"/>
      <c r="FM234" s="344"/>
      <c r="FN234" s="344"/>
      <c r="FO234" s="344"/>
      <c r="FP234" s="344"/>
      <c r="FQ234" s="344"/>
      <c r="FR234" s="344"/>
      <c r="FS234" s="344"/>
      <c r="FT234" s="344"/>
      <c r="FU234" s="344"/>
      <c r="FV234" s="344"/>
      <c r="FW234" s="344"/>
      <c r="FX234" s="344"/>
      <c r="FY234" s="344"/>
      <c r="FZ234" s="344"/>
      <c r="GA234" s="344"/>
      <c r="GB234" s="344"/>
      <c r="GC234" s="344"/>
      <c r="GD234" s="344"/>
      <c r="GE234" s="344"/>
      <c r="GF234" s="344"/>
      <c r="GG234" s="344"/>
      <c r="GH234" s="344"/>
      <c r="GI234" s="344"/>
      <c r="GJ234" s="344"/>
      <c r="GK234" s="344"/>
      <c r="GL234" s="344"/>
      <c r="GM234" s="344"/>
      <c r="GN234" s="344"/>
      <c r="GO234" s="344"/>
      <c r="GP234" s="344"/>
      <c r="GQ234" s="344"/>
      <c r="GR234" s="344"/>
      <c r="GS234" s="344"/>
      <c r="GT234" s="344"/>
      <c r="GU234" s="344"/>
      <c r="GV234" s="344"/>
      <c r="GW234" s="344"/>
      <c r="GX234" s="344"/>
      <c r="GY234" s="344"/>
      <c r="GZ234" s="344"/>
      <c r="HA234" s="344"/>
      <c r="HB234" s="344"/>
      <c r="HC234" s="344"/>
      <c r="HD234" s="344"/>
      <c r="HE234" s="344"/>
      <c r="HF234" s="344"/>
      <c r="HG234" s="344"/>
      <c r="HH234" s="344"/>
      <c r="HI234" s="344"/>
      <c r="HJ234" s="344"/>
      <c r="HK234" s="344"/>
      <c r="HL234" s="344"/>
      <c r="HM234" s="344"/>
      <c r="HN234" s="344"/>
      <c r="HO234" s="344"/>
      <c r="HP234" s="344"/>
      <c r="HQ234" s="344"/>
      <c r="HR234" s="344"/>
      <c r="HS234" s="344"/>
      <c r="HT234" s="344"/>
      <c r="HU234" s="344"/>
      <c r="HV234" s="344"/>
      <c r="HW234" s="344"/>
      <c r="HX234" s="344"/>
      <c r="HY234" s="344"/>
      <c r="HZ234" s="344"/>
      <c r="IA234" s="344"/>
      <c r="IB234" s="344"/>
      <c r="IC234" s="344"/>
      <c r="ID234" s="344"/>
      <c r="IE234" s="344"/>
      <c r="IF234" s="344"/>
      <c r="IG234" s="344"/>
      <c r="IH234" s="344"/>
      <c r="II234" s="344"/>
      <c r="IJ234" s="344"/>
      <c r="IK234" s="344"/>
      <c r="IL234" s="344"/>
      <c r="IM234" s="344"/>
      <c r="IN234" s="344"/>
      <c r="IO234" s="344"/>
      <c r="IP234" s="344"/>
      <c r="IQ234" s="344"/>
      <c r="IR234" s="344"/>
      <c r="IS234" s="344"/>
      <c r="IT234" s="344"/>
      <c r="IU234" s="344"/>
      <c r="IV234" s="344"/>
    </row>
    <row r="235" spans="1:256" hidden="1">
      <c r="A235" s="356">
        <v>40011</v>
      </c>
      <c r="B235" s="356" t="s">
        <v>580</v>
      </c>
      <c r="C235" s="357">
        <v>728</v>
      </c>
      <c r="D235" s="356">
        <v>40739</v>
      </c>
      <c r="E235" s="360">
        <v>3</v>
      </c>
      <c r="F235" s="358">
        <v>0</v>
      </c>
      <c r="G235" s="358">
        <v>0</v>
      </c>
      <c r="H235" s="358">
        <v>0</v>
      </c>
      <c r="I235" s="358">
        <v>0</v>
      </c>
      <c r="J235" s="358">
        <v>0</v>
      </c>
      <c r="L235" s="357">
        <v>0</v>
      </c>
    </row>
    <row r="236" spans="1:256" s="373" customFormat="1" hidden="1">
      <c r="A236" s="369">
        <v>40011</v>
      </c>
      <c r="B236" s="369" t="s">
        <v>581</v>
      </c>
      <c r="C236" s="370">
        <v>1092</v>
      </c>
      <c r="D236" s="369">
        <v>41103</v>
      </c>
      <c r="E236" s="371">
        <v>2</v>
      </c>
      <c r="F236" s="372">
        <v>0</v>
      </c>
      <c r="G236" s="372">
        <v>0</v>
      </c>
      <c r="H236" s="372">
        <v>0</v>
      </c>
      <c r="I236" s="372">
        <v>0</v>
      </c>
      <c r="J236" s="372">
        <v>0</v>
      </c>
      <c r="L236" s="370">
        <v>0</v>
      </c>
      <c r="M236" s="344"/>
      <c r="N236" s="344"/>
      <c r="O236" s="344"/>
      <c r="P236" s="344"/>
      <c r="Q236" s="344"/>
      <c r="R236" s="344"/>
      <c r="S236" s="344"/>
      <c r="T236" s="344"/>
      <c r="U236" s="344"/>
      <c r="V236" s="344"/>
      <c r="W236" s="344"/>
      <c r="X236" s="344"/>
      <c r="Y236" s="344"/>
      <c r="Z236" s="344"/>
      <c r="AA236" s="344"/>
      <c r="AB236" s="344"/>
      <c r="AC236" s="344"/>
      <c r="AD236" s="344"/>
      <c r="AE236" s="344"/>
      <c r="AF236" s="344"/>
      <c r="AG236" s="344"/>
      <c r="AH236" s="344"/>
      <c r="AI236" s="344"/>
      <c r="AJ236" s="344"/>
      <c r="AK236" s="344"/>
      <c r="AL236" s="344"/>
      <c r="AM236" s="344"/>
      <c r="AN236" s="344"/>
      <c r="AO236" s="344"/>
      <c r="AP236" s="344"/>
      <c r="AQ236" s="344"/>
      <c r="AR236" s="344"/>
      <c r="AS236" s="344"/>
      <c r="AT236" s="344"/>
      <c r="AU236" s="344"/>
      <c r="AV236" s="344"/>
      <c r="AW236" s="344"/>
      <c r="AX236" s="344"/>
      <c r="AY236" s="344"/>
      <c r="AZ236" s="344"/>
      <c r="BA236" s="344"/>
      <c r="BB236" s="344"/>
      <c r="BC236" s="344"/>
      <c r="BD236" s="344"/>
      <c r="BE236" s="344"/>
      <c r="BF236" s="344"/>
      <c r="BG236" s="344"/>
      <c r="BH236" s="344"/>
      <c r="BI236" s="344"/>
      <c r="BJ236" s="344"/>
      <c r="BK236" s="344"/>
      <c r="BL236" s="344"/>
      <c r="BM236" s="344"/>
      <c r="BN236" s="344"/>
      <c r="BO236" s="344"/>
      <c r="BP236" s="344"/>
      <c r="BQ236" s="344"/>
      <c r="BR236" s="344"/>
      <c r="BS236" s="344"/>
      <c r="BT236" s="344"/>
      <c r="BU236" s="344"/>
      <c r="BV236" s="344"/>
      <c r="BW236" s="344"/>
      <c r="BX236" s="344"/>
      <c r="BY236" s="344"/>
      <c r="BZ236" s="344"/>
      <c r="CA236" s="344"/>
      <c r="CB236" s="344"/>
      <c r="CC236" s="344"/>
      <c r="CD236" s="344"/>
      <c r="CE236" s="344"/>
      <c r="CF236" s="344"/>
      <c r="CG236" s="344"/>
      <c r="CH236" s="344"/>
      <c r="CI236" s="344"/>
      <c r="CJ236" s="344"/>
      <c r="CK236" s="344"/>
      <c r="CL236" s="344"/>
      <c r="CM236" s="344"/>
      <c r="CN236" s="344"/>
      <c r="CO236" s="344"/>
      <c r="CP236" s="344"/>
      <c r="CQ236" s="344"/>
      <c r="CR236" s="344"/>
      <c r="CS236" s="344"/>
      <c r="CT236" s="344"/>
      <c r="CU236" s="344"/>
      <c r="CV236" s="344"/>
      <c r="CW236" s="344"/>
      <c r="CX236" s="344"/>
      <c r="CY236" s="344"/>
      <c r="CZ236" s="344"/>
      <c r="DA236" s="344"/>
      <c r="DB236" s="344"/>
      <c r="DC236" s="344"/>
      <c r="DD236" s="344"/>
      <c r="DE236" s="344"/>
      <c r="DF236" s="344"/>
      <c r="DG236" s="344"/>
      <c r="DH236" s="344"/>
      <c r="DI236" s="344"/>
      <c r="DJ236" s="344"/>
      <c r="DK236" s="344"/>
      <c r="DL236" s="344"/>
      <c r="DM236" s="344"/>
      <c r="DN236" s="344"/>
      <c r="DO236" s="344"/>
      <c r="DP236" s="344"/>
      <c r="DQ236" s="344"/>
      <c r="DR236" s="344"/>
      <c r="DS236" s="344"/>
      <c r="DT236" s="344"/>
      <c r="DU236" s="344"/>
      <c r="DV236" s="344"/>
      <c r="DW236" s="344"/>
      <c r="DX236" s="344"/>
      <c r="DY236" s="344"/>
      <c r="DZ236" s="344"/>
      <c r="EA236" s="344"/>
      <c r="EB236" s="344"/>
      <c r="EC236" s="344"/>
      <c r="ED236" s="344"/>
      <c r="EE236" s="344"/>
      <c r="EF236" s="344"/>
      <c r="EG236" s="344"/>
      <c r="EH236" s="344"/>
      <c r="EI236" s="344"/>
      <c r="EJ236" s="344"/>
      <c r="EK236" s="344"/>
      <c r="EL236" s="344"/>
      <c r="EM236" s="344"/>
      <c r="EN236" s="344"/>
      <c r="EO236" s="344"/>
      <c r="EP236" s="344"/>
      <c r="EQ236" s="344"/>
      <c r="ER236" s="344"/>
      <c r="ES236" s="344"/>
      <c r="ET236" s="344"/>
      <c r="EU236" s="344"/>
      <c r="EV236" s="344"/>
      <c r="EW236" s="344"/>
      <c r="EX236" s="344"/>
      <c r="EY236" s="344"/>
      <c r="EZ236" s="344"/>
      <c r="FA236" s="344"/>
      <c r="FB236" s="344"/>
      <c r="FC236" s="344"/>
      <c r="FD236" s="344"/>
      <c r="FE236" s="344"/>
      <c r="FF236" s="344"/>
      <c r="FG236" s="344"/>
      <c r="FH236" s="344"/>
      <c r="FI236" s="344"/>
      <c r="FJ236" s="344"/>
      <c r="FK236" s="344"/>
      <c r="FL236" s="344"/>
      <c r="FM236" s="344"/>
      <c r="FN236" s="344"/>
      <c r="FO236" s="344"/>
      <c r="FP236" s="344"/>
      <c r="FQ236" s="344"/>
      <c r="FR236" s="344"/>
      <c r="FS236" s="344"/>
      <c r="FT236" s="344"/>
      <c r="FU236" s="344"/>
      <c r="FV236" s="344"/>
      <c r="FW236" s="344"/>
      <c r="FX236" s="344"/>
      <c r="FY236" s="344"/>
      <c r="FZ236" s="344"/>
      <c r="GA236" s="344"/>
      <c r="GB236" s="344"/>
      <c r="GC236" s="344"/>
      <c r="GD236" s="344"/>
      <c r="GE236" s="344"/>
      <c r="GF236" s="344"/>
      <c r="GG236" s="344"/>
      <c r="GH236" s="344"/>
      <c r="GI236" s="344"/>
      <c r="GJ236" s="344"/>
      <c r="GK236" s="344"/>
      <c r="GL236" s="344"/>
      <c r="GM236" s="344"/>
      <c r="GN236" s="344"/>
      <c r="GO236" s="344"/>
      <c r="GP236" s="344"/>
      <c r="GQ236" s="344"/>
      <c r="GR236" s="344"/>
      <c r="GS236" s="344"/>
      <c r="GT236" s="344"/>
      <c r="GU236" s="344"/>
      <c r="GV236" s="344"/>
      <c r="GW236" s="344"/>
      <c r="GX236" s="344"/>
      <c r="GY236" s="344"/>
      <c r="GZ236" s="344"/>
      <c r="HA236" s="344"/>
      <c r="HB236" s="344"/>
      <c r="HC236" s="344"/>
      <c r="HD236" s="344"/>
      <c r="HE236" s="344"/>
      <c r="HF236" s="344"/>
      <c r="HG236" s="344"/>
      <c r="HH236" s="344"/>
      <c r="HI236" s="344"/>
      <c r="HJ236" s="344"/>
      <c r="HK236" s="344"/>
      <c r="HL236" s="344"/>
      <c r="HM236" s="344"/>
      <c r="HN236" s="344"/>
      <c r="HO236" s="344"/>
      <c r="HP236" s="344"/>
      <c r="HQ236" s="344"/>
      <c r="HR236" s="344"/>
      <c r="HS236" s="344"/>
      <c r="HT236" s="344"/>
      <c r="HU236" s="344"/>
      <c r="HV236" s="344"/>
      <c r="HW236" s="344"/>
      <c r="HX236" s="344"/>
      <c r="HY236" s="344"/>
      <c r="HZ236" s="344"/>
      <c r="IA236" s="344"/>
      <c r="IB236" s="344"/>
      <c r="IC236" s="344"/>
      <c r="ID236" s="344"/>
      <c r="IE236" s="344"/>
      <c r="IF236" s="344"/>
      <c r="IG236" s="344"/>
      <c r="IH236" s="344"/>
      <c r="II236" s="344"/>
      <c r="IJ236" s="344"/>
      <c r="IK236" s="344"/>
      <c r="IL236" s="344"/>
      <c r="IM236" s="344"/>
      <c r="IN236" s="344"/>
      <c r="IO236" s="344"/>
      <c r="IP236" s="344"/>
      <c r="IQ236" s="344"/>
      <c r="IR236" s="344"/>
      <c r="IS236" s="344"/>
      <c r="IT236" s="344"/>
      <c r="IU236" s="344"/>
      <c r="IV236" s="344"/>
    </row>
    <row r="237" spans="1:256" hidden="1">
      <c r="A237" s="356">
        <v>40015</v>
      </c>
      <c r="B237" s="356" t="s">
        <v>582</v>
      </c>
      <c r="C237" s="357">
        <v>35</v>
      </c>
      <c r="D237" s="356">
        <v>40050</v>
      </c>
      <c r="E237" s="360">
        <v>20</v>
      </c>
      <c r="F237" s="358">
        <v>12.0266</v>
      </c>
      <c r="G237" s="358">
        <v>0</v>
      </c>
      <c r="H237" s="358">
        <v>0</v>
      </c>
      <c r="I237" s="358">
        <v>0</v>
      </c>
      <c r="J237" s="358">
        <v>0</v>
      </c>
      <c r="L237" s="357">
        <v>3</v>
      </c>
    </row>
    <row r="238" spans="1:256" s="373" customFormat="1" hidden="1">
      <c r="A238" s="369">
        <v>40015</v>
      </c>
      <c r="B238" s="369" t="s">
        <v>583</v>
      </c>
      <c r="C238" s="370">
        <v>364</v>
      </c>
      <c r="D238" s="369">
        <v>40379</v>
      </c>
      <c r="E238" s="371">
        <v>2</v>
      </c>
      <c r="F238" s="372">
        <v>2.1061999999999999</v>
      </c>
      <c r="G238" s="372">
        <v>2</v>
      </c>
      <c r="H238" s="372">
        <v>2.9899999999999998</v>
      </c>
      <c r="I238" s="372">
        <v>2.9899999999999998</v>
      </c>
      <c r="J238" s="372">
        <v>2.9899999999999998</v>
      </c>
      <c r="L238" s="370">
        <v>2</v>
      </c>
      <c r="M238" s="344"/>
      <c r="N238" s="344"/>
      <c r="O238" s="344"/>
      <c r="P238" s="344"/>
      <c r="Q238" s="344"/>
      <c r="R238" s="344"/>
      <c r="S238" s="344"/>
      <c r="T238" s="344"/>
      <c r="U238" s="344"/>
      <c r="V238" s="344"/>
      <c r="W238" s="344"/>
      <c r="X238" s="344"/>
      <c r="Y238" s="344"/>
      <c r="Z238" s="344"/>
      <c r="AA238" s="344"/>
      <c r="AB238" s="344"/>
      <c r="AC238" s="344"/>
      <c r="AD238" s="344"/>
      <c r="AE238" s="344"/>
      <c r="AF238" s="344"/>
      <c r="AG238" s="344"/>
      <c r="AH238" s="344"/>
      <c r="AI238" s="344"/>
      <c r="AJ238" s="344"/>
      <c r="AK238" s="344"/>
      <c r="AL238" s="344"/>
      <c r="AM238" s="344"/>
      <c r="AN238" s="344"/>
      <c r="AO238" s="344"/>
      <c r="AP238" s="344"/>
      <c r="AQ238" s="344"/>
      <c r="AR238" s="344"/>
      <c r="AS238" s="344"/>
      <c r="AT238" s="344"/>
      <c r="AU238" s="344"/>
      <c r="AV238" s="344"/>
      <c r="AW238" s="344"/>
      <c r="AX238" s="344"/>
      <c r="AY238" s="344"/>
      <c r="AZ238" s="344"/>
      <c r="BA238" s="344"/>
      <c r="BB238" s="344"/>
      <c r="BC238" s="344"/>
      <c r="BD238" s="344"/>
      <c r="BE238" s="344"/>
      <c r="BF238" s="344"/>
      <c r="BG238" s="344"/>
      <c r="BH238" s="344"/>
      <c r="BI238" s="344"/>
      <c r="BJ238" s="344"/>
      <c r="BK238" s="344"/>
      <c r="BL238" s="344"/>
      <c r="BM238" s="344"/>
      <c r="BN238" s="344"/>
      <c r="BO238" s="344"/>
      <c r="BP238" s="344"/>
      <c r="BQ238" s="344"/>
      <c r="BR238" s="344"/>
      <c r="BS238" s="344"/>
      <c r="BT238" s="344"/>
      <c r="BU238" s="344"/>
      <c r="BV238" s="344"/>
      <c r="BW238" s="344"/>
      <c r="BX238" s="344"/>
      <c r="BY238" s="344"/>
      <c r="BZ238" s="344"/>
      <c r="CA238" s="344"/>
      <c r="CB238" s="344"/>
      <c r="CC238" s="344"/>
      <c r="CD238" s="344"/>
      <c r="CE238" s="344"/>
      <c r="CF238" s="344"/>
      <c r="CG238" s="344"/>
      <c r="CH238" s="344"/>
      <c r="CI238" s="344"/>
      <c r="CJ238" s="344"/>
      <c r="CK238" s="344"/>
      <c r="CL238" s="344"/>
      <c r="CM238" s="344"/>
      <c r="CN238" s="344"/>
      <c r="CO238" s="344"/>
      <c r="CP238" s="344"/>
      <c r="CQ238" s="344"/>
      <c r="CR238" s="344"/>
      <c r="CS238" s="344"/>
      <c r="CT238" s="344"/>
      <c r="CU238" s="344"/>
      <c r="CV238" s="344"/>
      <c r="CW238" s="344"/>
      <c r="CX238" s="344"/>
      <c r="CY238" s="344"/>
      <c r="CZ238" s="344"/>
      <c r="DA238" s="344"/>
      <c r="DB238" s="344"/>
      <c r="DC238" s="344"/>
      <c r="DD238" s="344"/>
      <c r="DE238" s="344"/>
      <c r="DF238" s="344"/>
      <c r="DG238" s="344"/>
      <c r="DH238" s="344"/>
      <c r="DI238" s="344"/>
      <c r="DJ238" s="344"/>
      <c r="DK238" s="344"/>
      <c r="DL238" s="344"/>
      <c r="DM238" s="344"/>
      <c r="DN238" s="344"/>
      <c r="DO238" s="344"/>
      <c r="DP238" s="344"/>
      <c r="DQ238" s="344"/>
      <c r="DR238" s="344"/>
      <c r="DS238" s="344"/>
      <c r="DT238" s="344"/>
      <c r="DU238" s="344"/>
      <c r="DV238" s="344"/>
      <c r="DW238" s="344"/>
      <c r="DX238" s="344"/>
      <c r="DY238" s="344"/>
      <c r="DZ238" s="344"/>
      <c r="EA238" s="344"/>
      <c r="EB238" s="344"/>
      <c r="EC238" s="344"/>
      <c r="ED238" s="344"/>
      <c r="EE238" s="344"/>
      <c r="EF238" s="344"/>
      <c r="EG238" s="344"/>
      <c r="EH238" s="344"/>
      <c r="EI238" s="344"/>
      <c r="EJ238" s="344"/>
      <c r="EK238" s="344"/>
      <c r="EL238" s="344"/>
      <c r="EM238" s="344"/>
      <c r="EN238" s="344"/>
      <c r="EO238" s="344"/>
      <c r="EP238" s="344"/>
      <c r="EQ238" s="344"/>
      <c r="ER238" s="344"/>
      <c r="ES238" s="344"/>
      <c r="ET238" s="344"/>
      <c r="EU238" s="344"/>
      <c r="EV238" s="344"/>
      <c r="EW238" s="344"/>
      <c r="EX238" s="344"/>
      <c r="EY238" s="344"/>
      <c r="EZ238" s="344"/>
      <c r="FA238" s="344"/>
      <c r="FB238" s="344"/>
      <c r="FC238" s="344"/>
      <c r="FD238" s="344"/>
      <c r="FE238" s="344"/>
      <c r="FF238" s="344"/>
      <c r="FG238" s="344"/>
      <c r="FH238" s="344"/>
      <c r="FI238" s="344"/>
      <c r="FJ238" s="344"/>
      <c r="FK238" s="344"/>
      <c r="FL238" s="344"/>
      <c r="FM238" s="344"/>
      <c r="FN238" s="344"/>
      <c r="FO238" s="344"/>
      <c r="FP238" s="344"/>
      <c r="FQ238" s="344"/>
      <c r="FR238" s="344"/>
      <c r="FS238" s="344"/>
      <c r="FT238" s="344"/>
      <c r="FU238" s="344"/>
      <c r="FV238" s="344"/>
      <c r="FW238" s="344"/>
      <c r="FX238" s="344"/>
      <c r="FY238" s="344"/>
      <c r="FZ238" s="344"/>
      <c r="GA238" s="344"/>
      <c r="GB238" s="344"/>
      <c r="GC238" s="344"/>
      <c r="GD238" s="344"/>
      <c r="GE238" s="344"/>
      <c r="GF238" s="344"/>
      <c r="GG238" s="344"/>
      <c r="GH238" s="344"/>
      <c r="GI238" s="344"/>
      <c r="GJ238" s="344"/>
      <c r="GK238" s="344"/>
      <c r="GL238" s="344"/>
      <c r="GM238" s="344"/>
      <c r="GN238" s="344"/>
      <c r="GO238" s="344"/>
      <c r="GP238" s="344"/>
      <c r="GQ238" s="344"/>
      <c r="GR238" s="344"/>
      <c r="GS238" s="344"/>
      <c r="GT238" s="344"/>
      <c r="GU238" s="344"/>
      <c r="GV238" s="344"/>
      <c r="GW238" s="344"/>
      <c r="GX238" s="344"/>
      <c r="GY238" s="344"/>
      <c r="GZ238" s="344"/>
      <c r="HA238" s="344"/>
      <c r="HB238" s="344"/>
      <c r="HC238" s="344"/>
      <c r="HD238" s="344"/>
      <c r="HE238" s="344"/>
      <c r="HF238" s="344"/>
      <c r="HG238" s="344"/>
      <c r="HH238" s="344"/>
      <c r="HI238" s="344"/>
      <c r="HJ238" s="344"/>
      <c r="HK238" s="344"/>
      <c r="HL238" s="344"/>
      <c r="HM238" s="344"/>
      <c r="HN238" s="344"/>
      <c r="HO238" s="344"/>
      <c r="HP238" s="344"/>
      <c r="HQ238" s="344"/>
      <c r="HR238" s="344"/>
      <c r="HS238" s="344"/>
      <c r="HT238" s="344"/>
      <c r="HU238" s="344"/>
      <c r="HV238" s="344"/>
      <c r="HW238" s="344"/>
      <c r="HX238" s="344"/>
      <c r="HY238" s="344"/>
      <c r="HZ238" s="344"/>
      <c r="IA238" s="344"/>
      <c r="IB238" s="344"/>
      <c r="IC238" s="344"/>
      <c r="ID238" s="344"/>
      <c r="IE238" s="344"/>
      <c r="IF238" s="344"/>
      <c r="IG238" s="344"/>
      <c r="IH238" s="344"/>
      <c r="II238" s="344"/>
      <c r="IJ238" s="344"/>
      <c r="IK238" s="344"/>
      <c r="IL238" s="344"/>
      <c r="IM238" s="344"/>
      <c r="IN238" s="344"/>
      <c r="IO238" s="344"/>
      <c r="IP238" s="344"/>
      <c r="IQ238" s="344"/>
      <c r="IR238" s="344"/>
      <c r="IS238" s="344"/>
      <c r="IT238" s="344"/>
      <c r="IU238" s="344"/>
      <c r="IV238" s="344"/>
    </row>
    <row r="239" spans="1:256" hidden="1">
      <c r="A239" s="356">
        <v>40018</v>
      </c>
      <c r="B239" s="356" t="s">
        <v>584</v>
      </c>
      <c r="C239" s="357">
        <v>91</v>
      </c>
      <c r="D239" s="356">
        <v>40109</v>
      </c>
      <c r="E239" s="360">
        <v>15</v>
      </c>
      <c r="F239" s="358">
        <v>3.1833999999999998</v>
      </c>
      <c r="G239" s="358">
        <v>3.1833999999999998</v>
      </c>
      <c r="H239" s="358">
        <v>1.73</v>
      </c>
      <c r="I239" s="358">
        <v>1.73</v>
      </c>
      <c r="J239" s="358">
        <v>1.73</v>
      </c>
      <c r="L239" s="357">
        <v>4</v>
      </c>
    </row>
    <row r="240" spans="1:256" s="373" customFormat="1" hidden="1">
      <c r="A240" s="369">
        <v>40022</v>
      </c>
      <c r="B240" s="369" t="s">
        <v>585</v>
      </c>
      <c r="C240" s="370">
        <v>182</v>
      </c>
      <c r="D240" s="369">
        <v>40204</v>
      </c>
      <c r="E240" s="371">
        <v>8</v>
      </c>
      <c r="F240" s="372">
        <v>5.0434000000000001</v>
      </c>
      <c r="G240" s="372">
        <v>5.0434000000000001</v>
      </c>
      <c r="H240" s="372">
        <v>2.25</v>
      </c>
      <c r="I240" s="372">
        <v>2.25</v>
      </c>
      <c r="J240" s="372">
        <v>2.25</v>
      </c>
      <c r="L240" s="370">
        <v>1</v>
      </c>
      <c r="M240" s="344"/>
      <c r="N240" s="344"/>
      <c r="O240" s="344"/>
      <c r="P240" s="344"/>
      <c r="Q240" s="344"/>
      <c r="R240" s="344"/>
      <c r="S240" s="344"/>
      <c r="T240" s="344"/>
      <c r="U240" s="344"/>
      <c r="V240" s="344"/>
      <c r="W240" s="344"/>
      <c r="X240" s="344"/>
      <c r="Y240" s="344"/>
      <c r="Z240" s="344"/>
      <c r="AA240" s="344"/>
      <c r="AB240" s="344"/>
      <c r="AC240" s="344"/>
      <c r="AD240" s="344"/>
      <c r="AE240" s="344"/>
      <c r="AF240" s="344"/>
      <c r="AG240" s="344"/>
      <c r="AH240" s="344"/>
      <c r="AI240" s="344"/>
      <c r="AJ240" s="344"/>
      <c r="AK240" s="344"/>
      <c r="AL240" s="344"/>
      <c r="AM240" s="344"/>
      <c r="AN240" s="344"/>
      <c r="AO240" s="344"/>
      <c r="AP240" s="344"/>
      <c r="AQ240" s="344"/>
      <c r="AR240" s="344"/>
      <c r="AS240" s="344"/>
      <c r="AT240" s="344"/>
      <c r="AU240" s="344"/>
      <c r="AV240" s="344"/>
      <c r="AW240" s="344"/>
      <c r="AX240" s="344"/>
      <c r="AY240" s="344"/>
      <c r="AZ240" s="344"/>
      <c r="BA240" s="344"/>
      <c r="BB240" s="344"/>
      <c r="BC240" s="344"/>
      <c r="BD240" s="344"/>
      <c r="BE240" s="344"/>
      <c r="BF240" s="344"/>
      <c r="BG240" s="344"/>
      <c r="BH240" s="344"/>
      <c r="BI240" s="344"/>
      <c r="BJ240" s="344"/>
      <c r="BK240" s="344"/>
      <c r="BL240" s="344"/>
      <c r="BM240" s="344"/>
      <c r="BN240" s="344"/>
      <c r="BO240" s="344"/>
      <c r="BP240" s="344"/>
      <c r="BQ240" s="344"/>
      <c r="BR240" s="344"/>
      <c r="BS240" s="344"/>
      <c r="BT240" s="344"/>
      <c r="BU240" s="344"/>
      <c r="BV240" s="344"/>
      <c r="BW240" s="344"/>
      <c r="BX240" s="344"/>
      <c r="BY240" s="344"/>
      <c r="BZ240" s="344"/>
      <c r="CA240" s="344"/>
      <c r="CB240" s="344"/>
      <c r="CC240" s="344"/>
      <c r="CD240" s="344"/>
      <c r="CE240" s="344"/>
      <c r="CF240" s="344"/>
      <c r="CG240" s="344"/>
      <c r="CH240" s="344"/>
      <c r="CI240" s="344"/>
      <c r="CJ240" s="344"/>
      <c r="CK240" s="344"/>
      <c r="CL240" s="344"/>
      <c r="CM240" s="344"/>
      <c r="CN240" s="344"/>
      <c r="CO240" s="344"/>
      <c r="CP240" s="344"/>
      <c r="CQ240" s="344"/>
      <c r="CR240" s="344"/>
      <c r="CS240" s="344"/>
      <c r="CT240" s="344"/>
      <c r="CU240" s="344"/>
      <c r="CV240" s="344"/>
      <c r="CW240" s="344"/>
      <c r="CX240" s="344"/>
      <c r="CY240" s="344"/>
      <c r="CZ240" s="344"/>
      <c r="DA240" s="344"/>
      <c r="DB240" s="344"/>
      <c r="DC240" s="344"/>
      <c r="DD240" s="344"/>
      <c r="DE240" s="344"/>
      <c r="DF240" s="344"/>
      <c r="DG240" s="344"/>
      <c r="DH240" s="344"/>
      <c r="DI240" s="344"/>
      <c r="DJ240" s="344"/>
      <c r="DK240" s="344"/>
      <c r="DL240" s="344"/>
      <c r="DM240" s="344"/>
      <c r="DN240" s="344"/>
      <c r="DO240" s="344"/>
      <c r="DP240" s="344"/>
      <c r="DQ240" s="344"/>
      <c r="DR240" s="344"/>
      <c r="DS240" s="344"/>
      <c r="DT240" s="344"/>
      <c r="DU240" s="344"/>
      <c r="DV240" s="344"/>
      <c r="DW240" s="344"/>
      <c r="DX240" s="344"/>
      <c r="DY240" s="344"/>
      <c r="DZ240" s="344"/>
      <c r="EA240" s="344"/>
      <c r="EB240" s="344"/>
      <c r="EC240" s="344"/>
      <c r="ED240" s="344"/>
      <c r="EE240" s="344"/>
      <c r="EF240" s="344"/>
      <c r="EG240" s="344"/>
      <c r="EH240" s="344"/>
      <c r="EI240" s="344"/>
      <c r="EJ240" s="344"/>
      <c r="EK240" s="344"/>
      <c r="EL240" s="344"/>
      <c r="EM240" s="344"/>
      <c r="EN240" s="344"/>
      <c r="EO240" s="344"/>
      <c r="EP240" s="344"/>
      <c r="EQ240" s="344"/>
      <c r="ER240" s="344"/>
      <c r="ES240" s="344"/>
      <c r="ET240" s="344"/>
      <c r="EU240" s="344"/>
      <c r="EV240" s="344"/>
      <c r="EW240" s="344"/>
      <c r="EX240" s="344"/>
      <c r="EY240" s="344"/>
      <c r="EZ240" s="344"/>
      <c r="FA240" s="344"/>
      <c r="FB240" s="344"/>
      <c r="FC240" s="344"/>
      <c r="FD240" s="344"/>
      <c r="FE240" s="344"/>
      <c r="FF240" s="344"/>
      <c r="FG240" s="344"/>
      <c r="FH240" s="344"/>
      <c r="FI240" s="344"/>
      <c r="FJ240" s="344"/>
      <c r="FK240" s="344"/>
      <c r="FL240" s="344"/>
      <c r="FM240" s="344"/>
      <c r="FN240" s="344"/>
      <c r="FO240" s="344"/>
      <c r="FP240" s="344"/>
      <c r="FQ240" s="344"/>
      <c r="FR240" s="344"/>
      <c r="FS240" s="344"/>
      <c r="FT240" s="344"/>
      <c r="FU240" s="344"/>
      <c r="FV240" s="344"/>
      <c r="FW240" s="344"/>
      <c r="FX240" s="344"/>
      <c r="FY240" s="344"/>
      <c r="FZ240" s="344"/>
      <c r="GA240" s="344"/>
      <c r="GB240" s="344"/>
      <c r="GC240" s="344"/>
      <c r="GD240" s="344"/>
      <c r="GE240" s="344"/>
      <c r="GF240" s="344"/>
      <c r="GG240" s="344"/>
      <c r="GH240" s="344"/>
      <c r="GI240" s="344"/>
      <c r="GJ240" s="344"/>
      <c r="GK240" s="344"/>
      <c r="GL240" s="344"/>
      <c r="GM240" s="344"/>
      <c r="GN240" s="344"/>
      <c r="GO240" s="344"/>
      <c r="GP240" s="344"/>
      <c r="GQ240" s="344"/>
      <c r="GR240" s="344"/>
      <c r="GS240" s="344"/>
      <c r="GT240" s="344"/>
      <c r="GU240" s="344"/>
      <c r="GV240" s="344"/>
      <c r="GW240" s="344"/>
      <c r="GX240" s="344"/>
      <c r="GY240" s="344"/>
      <c r="GZ240" s="344"/>
      <c r="HA240" s="344"/>
      <c r="HB240" s="344"/>
      <c r="HC240" s="344"/>
      <c r="HD240" s="344"/>
      <c r="HE240" s="344"/>
      <c r="HF240" s="344"/>
      <c r="HG240" s="344"/>
      <c r="HH240" s="344"/>
      <c r="HI240" s="344"/>
      <c r="HJ240" s="344"/>
      <c r="HK240" s="344"/>
      <c r="HL240" s="344"/>
      <c r="HM240" s="344"/>
      <c r="HN240" s="344"/>
      <c r="HO240" s="344"/>
      <c r="HP240" s="344"/>
      <c r="HQ240" s="344"/>
      <c r="HR240" s="344"/>
      <c r="HS240" s="344"/>
      <c r="HT240" s="344"/>
      <c r="HU240" s="344"/>
      <c r="HV240" s="344"/>
      <c r="HW240" s="344"/>
      <c r="HX240" s="344"/>
      <c r="HY240" s="344"/>
      <c r="HZ240" s="344"/>
      <c r="IA240" s="344"/>
      <c r="IB240" s="344"/>
      <c r="IC240" s="344"/>
      <c r="ID240" s="344"/>
      <c r="IE240" s="344"/>
      <c r="IF240" s="344"/>
      <c r="IG240" s="344"/>
      <c r="IH240" s="344"/>
      <c r="II240" s="344"/>
      <c r="IJ240" s="344"/>
      <c r="IK240" s="344"/>
      <c r="IL240" s="344"/>
      <c r="IM240" s="344"/>
      <c r="IN240" s="344"/>
      <c r="IO240" s="344"/>
      <c r="IP240" s="344"/>
      <c r="IQ240" s="344"/>
      <c r="IR240" s="344"/>
      <c r="IS240" s="344"/>
      <c r="IT240" s="344"/>
      <c r="IU240" s="344"/>
      <c r="IV240" s="344"/>
    </row>
    <row r="241" spans="1:12" hidden="1">
      <c r="A241" s="356">
        <v>40025</v>
      </c>
      <c r="B241" s="356" t="s">
        <v>586</v>
      </c>
      <c r="C241" s="357">
        <v>1092</v>
      </c>
      <c r="D241" s="356">
        <v>41117</v>
      </c>
      <c r="E241" s="360">
        <v>3</v>
      </c>
      <c r="F241" s="358">
        <v>3</v>
      </c>
      <c r="G241" s="358">
        <v>3</v>
      </c>
      <c r="H241" s="358">
        <v>3.5000000000000004</v>
      </c>
      <c r="I241" s="358">
        <v>3.5000000000000004</v>
      </c>
      <c r="J241" s="358">
        <v>3.5000000000000004</v>
      </c>
      <c r="L241" s="357">
        <v>1</v>
      </c>
    </row>
    <row r="242" spans="1:12" hidden="1">
      <c r="A242" s="369">
        <v>40025</v>
      </c>
      <c r="B242" s="369" t="s">
        <v>587</v>
      </c>
      <c r="C242" s="370">
        <v>728</v>
      </c>
      <c r="D242" s="369">
        <v>40753</v>
      </c>
      <c r="E242" s="371">
        <v>2</v>
      </c>
      <c r="F242" s="372">
        <v>2</v>
      </c>
      <c r="G242" s="372">
        <v>2</v>
      </c>
      <c r="H242" s="372">
        <v>3.25</v>
      </c>
      <c r="I242" s="372">
        <v>3.25</v>
      </c>
      <c r="J242" s="372">
        <v>3.25</v>
      </c>
      <c r="K242" s="373"/>
      <c r="L242" s="370">
        <v>1</v>
      </c>
    </row>
    <row r="243" spans="1:12" hidden="1">
      <c r="A243" s="356">
        <v>40029</v>
      </c>
      <c r="B243" s="356" t="s">
        <v>588</v>
      </c>
      <c r="C243" s="357">
        <v>35</v>
      </c>
      <c r="D243" s="356">
        <v>40064</v>
      </c>
      <c r="E243" s="360">
        <v>18</v>
      </c>
      <c r="F243" s="358">
        <v>11.916399999999999</v>
      </c>
      <c r="G243" s="358">
        <v>7.4711999999999996</v>
      </c>
      <c r="H243" s="358">
        <v>1.25</v>
      </c>
      <c r="I243" s="358">
        <v>1.25</v>
      </c>
      <c r="J243" s="358">
        <v>1.25</v>
      </c>
      <c r="L243" s="357">
        <v>3</v>
      </c>
    </row>
    <row r="244" spans="1:12" hidden="1">
      <c r="A244" s="369">
        <v>40029</v>
      </c>
      <c r="B244" s="369" t="s">
        <v>589</v>
      </c>
      <c r="C244" s="370">
        <v>364</v>
      </c>
      <c r="D244" s="369">
        <v>40393</v>
      </c>
      <c r="E244" s="371">
        <v>3</v>
      </c>
      <c r="F244" s="372">
        <v>3</v>
      </c>
      <c r="G244" s="372">
        <v>3</v>
      </c>
      <c r="H244" s="372">
        <v>2.9899999999999998</v>
      </c>
      <c r="I244" s="372">
        <v>2.9899999999999998</v>
      </c>
      <c r="J244" s="372">
        <v>2.9899999999999998</v>
      </c>
      <c r="K244" s="373"/>
      <c r="L244" s="370">
        <v>1</v>
      </c>
    </row>
    <row r="245" spans="1:12" hidden="1">
      <c r="A245" s="356">
        <v>40032</v>
      </c>
      <c r="B245" s="356" t="s">
        <v>590</v>
      </c>
      <c r="C245" s="357">
        <v>91</v>
      </c>
      <c r="D245" s="356">
        <v>40123</v>
      </c>
      <c r="E245" s="360">
        <v>20</v>
      </c>
      <c r="F245" s="358">
        <v>8.5462000000000007</v>
      </c>
      <c r="G245" s="358">
        <v>8.5462000000000007</v>
      </c>
      <c r="H245" s="358">
        <v>1.73</v>
      </c>
      <c r="I245" s="358">
        <v>1.73</v>
      </c>
      <c r="J245" s="358">
        <v>1.73</v>
      </c>
      <c r="L245" s="357">
        <v>3</v>
      </c>
    </row>
    <row r="246" spans="1:12" hidden="1">
      <c r="A246" s="369">
        <v>40036</v>
      </c>
      <c r="B246" s="369" t="s">
        <v>591</v>
      </c>
      <c r="C246" s="370">
        <v>182</v>
      </c>
      <c r="D246" s="369">
        <v>40218</v>
      </c>
      <c r="E246" s="371">
        <v>7</v>
      </c>
      <c r="F246" s="372">
        <v>2.6217999999999999</v>
      </c>
      <c r="G246" s="372">
        <v>2.6217999999999999</v>
      </c>
      <c r="H246" s="372">
        <v>2.21</v>
      </c>
      <c r="I246" s="372">
        <v>2.21</v>
      </c>
      <c r="J246" s="372">
        <v>2.21</v>
      </c>
      <c r="K246" s="373"/>
      <c r="L246" s="370">
        <v>2</v>
      </c>
    </row>
    <row r="247" spans="1:12" hidden="1">
      <c r="A247" s="356">
        <v>40039</v>
      </c>
      <c r="B247" s="356" t="s">
        <v>592</v>
      </c>
      <c r="C247" s="357">
        <v>728</v>
      </c>
      <c r="D247" s="356">
        <v>40767</v>
      </c>
      <c r="E247" s="360">
        <v>3</v>
      </c>
      <c r="F247" s="358">
        <v>0</v>
      </c>
      <c r="G247" s="358">
        <v>0</v>
      </c>
      <c r="H247" s="358">
        <v>0</v>
      </c>
      <c r="I247" s="358">
        <v>0</v>
      </c>
      <c r="J247" s="358">
        <v>0</v>
      </c>
      <c r="L247" s="357">
        <v>0</v>
      </c>
    </row>
    <row r="248" spans="1:12" hidden="1">
      <c r="A248" s="369">
        <v>40039</v>
      </c>
      <c r="B248" s="369" t="s">
        <v>593</v>
      </c>
      <c r="C248" s="370">
        <v>1092</v>
      </c>
      <c r="D248" s="369">
        <v>41131</v>
      </c>
      <c r="E248" s="371">
        <v>3</v>
      </c>
      <c r="F248" s="372">
        <v>0</v>
      </c>
      <c r="G248" s="372">
        <v>0</v>
      </c>
      <c r="H248" s="372">
        <v>0</v>
      </c>
      <c r="I248" s="372">
        <v>0</v>
      </c>
      <c r="J248" s="372">
        <v>0</v>
      </c>
      <c r="K248" s="373"/>
      <c r="L248" s="370">
        <v>0</v>
      </c>
    </row>
    <row r="249" spans="1:12" hidden="1">
      <c r="A249" s="356">
        <v>40043</v>
      </c>
      <c r="B249" s="356" t="s">
        <v>594</v>
      </c>
      <c r="C249" s="357">
        <v>35</v>
      </c>
      <c r="D249" s="356">
        <v>40078</v>
      </c>
      <c r="E249" s="360">
        <v>20</v>
      </c>
      <c r="F249" s="358">
        <v>12.0046</v>
      </c>
      <c r="G249" s="358">
        <v>12.0046</v>
      </c>
      <c r="H249" s="358">
        <v>1.25</v>
      </c>
      <c r="I249" s="358">
        <v>1.25</v>
      </c>
      <c r="J249" s="358">
        <v>1.25</v>
      </c>
      <c r="L249" s="357">
        <v>4</v>
      </c>
    </row>
    <row r="250" spans="1:12" hidden="1">
      <c r="A250" s="369">
        <v>40043</v>
      </c>
      <c r="B250" s="369" t="s">
        <v>595</v>
      </c>
      <c r="C250" s="370">
        <v>364</v>
      </c>
      <c r="D250" s="369">
        <v>40407</v>
      </c>
      <c r="E250" s="371">
        <v>2</v>
      </c>
      <c r="F250" s="372">
        <v>0.1024</v>
      </c>
      <c r="G250" s="372">
        <v>0</v>
      </c>
      <c r="H250" s="372">
        <v>0</v>
      </c>
      <c r="I250" s="372">
        <v>0</v>
      </c>
      <c r="J250" s="372">
        <v>0</v>
      </c>
      <c r="K250" s="373"/>
      <c r="L250" s="370">
        <v>1</v>
      </c>
    </row>
    <row r="251" spans="1:12" hidden="1">
      <c r="A251" s="356">
        <v>40046</v>
      </c>
      <c r="B251" s="356" t="s">
        <v>596</v>
      </c>
      <c r="C251" s="357">
        <v>91</v>
      </c>
      <c r="D251" s="356">
        <v>40137</v>
      </c>
      <c r="E251" s="360">
        <v>15</v>
      </c>
      <c r="F251" s="358">
        <v>6.6852</v>
      </c>
      <c r="G251" s="358">
        <v>6.6852</v>
      </c>
      <c r="H251" s="358">
        <v>1.73</v>
      </c>
      <c r="I251" s="358">
        <v>1.73</v>
      </c>
      <c r="J251" s="358">
        <v>1.73</v>
      </c>
      <c r="L251" s="357">
        <v>6</v>
      </c>
    </row>
    <row r="252" spans="1:12" hidden="1">
      <c r="A252" s="369">
        <v>40050</v>
      </c>
      <c r="B252" s="369" t="s">
        <v>597</v>
      </c>
      <c r="C252" s="370">
        <v>182</v>
      </c>
      <c r="D252" s="369">
        <v>40232</v>
      </c>
      <c r="E252" s="371">
        <v>8</v>
      </c>
      <c r="F252" s="372">
        <v>4.0347999999999997</v>
      </c>
      <c r="G252" s="372">
        <v>1.0347999999999999</v>
      </c>
      <c r="H252" s="372">
        <v>2.25</v>
      </c>
      <c r="I252" s="372">
        <v>2.25</v>
      </c>
      <c r="J252" s="372">
        <v>2.25</v>
      </c>
      <c r="K252" s="373"/>
      <c r="L252" s="370">
        <v>1</v>
      </c>
    </row>
    <row r="253" spans="1:12" hidden="1">
      <c r="A253" s="356">
        <v>40053</v>
      </c>
      <c r="B253" s="356" t="s">
        <v>598</v>
      </c>
      <c r="C253" s="357">
        <v>728</v>
      </c>
      <c r="D253" s="356">
        <v>40781</v>
      </c>
      <c r="E253" s="360">
        <v>2</v>
      </c>
      <c r="F253" s="358">
        <v>0</v>
      </c>
      <c r="G253" s="358">
        <v>0</v>
      </c>
      <c r="H253" s="358">
        <v>0</v>
      </c>
      <c r="I253" s="358">
        <v>0</v>
      </c>
      <c r="J253" s="358">
        <v>0</v>
      </c>
      <c r="L253" s="357">
        <v>0</v>
      </c>
    </row>
    <row r="254" spans="1:12" hidden="1">
      <c r="A254" s="369">
        <v>40053</v>
      </c>
      <c r="B254" s="369" t="s">
        <v>599</v>
      </c>
      <c r="C254" s="370">
        <v>1092</v>
      </c>
      <c r="D254" s="369">
        <v>41145</v>
      </c>
      <c r="E254" s="371">
        <v>3</v>
      </c>
      <c r="F254" s="372">
        <v>0</v>
      </c>
      <c r="G254" s="372">
        <v>0</v>
      </c>
      <c r="H254" s="372">
        <v>0</v>
      </c>
      <c r="I254" s="372">
        <v>0</v>
      </c>
      <c r="J254" s="372">
        <v>0</v>
      </c>
      <c r="K254" s="373"/>
      <c r="L254" s="370">
        <v>0</v>
      </c>
    </row>
    <row r="255" spans="1:12" hidden="1">
      <c r="A255" s="356">
        <v>40057</v>
      </c>
      <c r="B255" s="356" t="s">
        <v>600</v>
      </c>
      <c r="C255" s="357">
        <v>364</v>
      </c>
      <c r="D255" s="356">
        <v>40421</v>
      </c>
      <c r="E255" s="360">
        <v>3</v>
      </c>
      <c r="F255" s="358">
        <v>0</v>
      </c>
      <c r="G255" s="358">
        <v>0</v>
      </c>
      <c r="H255" s="358">
        <v>0</v>
      </c>
      <c r="I255" s="358">
        <v>0</v>
      </c>
      <c r="J255" s="358">
        <v>0</v>
      </c>
      <c r="L255" s="357">
        <v>0</v>
      </c>
    </row>
    <row r="256" spans="1:12" hidden="1">
      <c r="A256" s="369">
        <v>40057</v>
      </c>
      <c r="B256" s="369" t="s">
        <v>601</v>
      </c>
      <c r="C256" s="370">
        <v>35</v>
      </c>
      <c r="D256" s="369">
        <v>40092</v>
      </c>
      <c r="E256" s="371">
        <v>18</v>
      </c>
      <c r="F256" s="372">
        <v>9.0025999999999993</v>
      </c>
      <c r="G256" s="372">
        <v>9.0025999999999993</v>
      </c>
      <c r="H256" s="372">
        <v>1.25</v>
      </c>
      <c r="I256" s="372">
        <v>1.25</v>
      </c>
      <c r="J256" s="372">
        <v>1.25</v>
      </c>
      <c r="K256" s="373"/>
      <c r="L256" s="370">
        <v>3</v>
      </c>
    </row>
    <row r="257" spans="1:12" hidden="1">
      <c r="A257" s="356">
        <v>40060</v>
      </c>
      <c r="B257" s="356" t="s">
        <v>602</v>
      </c>
      <c r="C257" s="357">
        <v>91</v>
      </c>
      <c r="D257" s="356">
        <v>40151</v>
      </c>
      <c r="E257" s="360">
        <v>20</v>
      </c>
      <c r="F257" s="358">
        <v>11.335599999999999</v>
      </c>
      <c r="G257" s="358">
        <v>11.335599999999999</v>
      </c>
      <c r="H257" s="358">
        <v>1.73</v>
      </c>
      <c r="I257" s="358">
        <v>1.73</v>
      </c>
      <c r="J257" s="358">
        <v>1.73</v>
      </c>
      <c r="L257" s="357">
        <v>3</v>
      </c>
    </row>
    <row r="258" spans="1:12" hidden="1">
      <c r="A258" s="369">
        <v>40067</v>
      </c>
      <c r="B258" s="369" t="s">
        <v>603</v>
      </c>
      <c r="C258" s="370">
        <v>728</v>
      </c>
      <c r="D258" s="369">
        <v>40795</v>
      </c>
      <c r="E258" s="371">
        <v>3</v>
      </c>
      <c r="F258" s="372">
        <v>0</v>
      </c>
      <c r="G258" s="372">
        <v>0</v>
      </c>
      <c r="H258" s="372">
        <v>0</v>
      </c>
      <c r="I258" s="372">
        <v>0</v>
      </c>
      <c r="J258" s="372">
        <v>0</v>
      </c>
      <c r="K258" s="373"/>
      <c r="L258" s="370">
        <v>0</v>
      </c>
    </row>
    <row r="259" spans="1:12" hidden="1">
      <c r="A259" s="356">
        <v>40067</v>
      </c>
      <c r="B259" s="356" t="s">
        <v>604</v>
      </c>
      <c r="C259" s="357">
        <v>1092</v>
      </c>
      <c r="D259" s="356">
        <v>41159</v>
      </c>
      <c r="E259" s="360">
        <v>3</v>
      </c>
      <c r="F259" s="358">
        <v>0</v>
      </c>
      <c r="G259" s="358">
        <v>0</v>
      </c>
      <c r="H259" s="358">
        <v>0</v>
      </c>
      <c r="I259" s="358">
        <v>0</v>
      </c>
      <c r="J259" s="358">
        <v>0</v>
      </c>
      <c r="L259" s="357">
        <v>0</v>
      </c>
    </row>
    <row r="260" spans="1:12" hidden="1">
      <c r="A260" s="369">
        <v>40071</v>
      </c>
      <c r="B260" s="369" t="s">
        <v>605</v>
      </c>
      <c r="C260" s="370">
        <v>364</v>
      </c>
      <c r="D260" s="369">
        <v>40435</v>
      </c>
      <c r="E260" s="371">
        <v>2</v>
      </c>
      <c r="F260" s="372">
        <v>0</v>
      </c>
      <c r="G260" s="372">
        <v>0</v>
      </c>
      <c r="H260" s="372">
        <v>0</v>
      </c>
      <c r="I260" s="372">
        <v>0</v>
      </c>
      <c r="J260" s="372">
        <v>0</v>
      </c>
      <c r="K260" s="373"/>
      <c r="L260" s="370">
        <v>0</v>
      </c>
    </row>
    <row r="261" spans="1:12" hidden="1">
      <c r="A261" s="356">
        <v>40071</v>
      </c>
      <c r="B261" s="356" t="s">
        <v>606</v>
      </c>
      <c r="C261" s="357">
        <v>35</v>
      </c>
      <c r="D261" s="356">
        <v>40106</v>
      </c>
      <c r="E261" s="360">
        <v>20</v>
      </c>
      <c r="F261" s="358">
        <v>13.93</v>
      </c>
      <c r="G261" s="358">
        <v>11.9298</v>
      </c>
      <c r="H261" s="358">
        <v>1.25</v>
      </c>
      <c r="I261" s="358">
        <v>1.25</v>
      </c>
      <c r="J261" s="358">
        <v>1.25</v>
      </c>
      <c r="L261" s="357">
        <v>7</v>
      </c>
    </row>
    <row r="262" spans="1:12" hidden="1">
      <c r="A262" s="369">
        <v>40074</v>
      </c>
      <c r="B262" s="369" t="s">
        <v>607</v>
      </c>
      <c r="C262" s="370">
        <v>91</v>
      </c>
      <c r="D262" s="369">
        <v>40165</v>
      </c>
      <c r="E262" s="371">
        <v>15</v>
      </c>
      <c r="F262" s="372">
        <v>3.1736</v>
      </c>
      <c r="G262" s="372">
        <v>3.1736</v>
      </c>
      <c r="H262" s="372">
        <v>1.73</v>
      </c>
      <c r="I262" s="372">
        <v>1.73</v>
      </c>
      <c r="J262" s="372">
        <v>1.73</v>
      </c>
      <c r="K262" s="373"/>
      <c r="L262" s="370">
        <v>2</v>
      </c>
    </row>
    <row r="263" spans="1:12" hidden="1">
      <c r="A263" s="356">
        <v>40081</v>
      </c>
      <c r="B263" s="356" t="s">
        <v>608</v>
      </c>
      <c r="C263" s="357">
        <v>182</v>
      </c>
      <c r="D263" s="356">
        <v>40263</v>
      </c>
      <c r="E263" s="360">
        <v>8</v>
      </c>
      <c r="F263" s="358">
        <v>2.4209999999999998</v>
      </c>
      <c r="G263" s="358">
        <v>2.4209999999999998</v>
      </c>
      <c r="H263" s="358">
        <v>2.21</v>
      </c>
      <c r="I263" s="358">
        <v>2.21</v>
      </c>
      <c r="J263" s="358">
        <v>2.21</v>
      </c>
      <c r="L263" s="357">
        <v>3</v>
      </c>
    </row>
    <row r="264" spans="1:12" hidden="1">
      <c r="A264" s="369">
        <v>40081</v>
      </c>
      <c r="B264" s="369" t="s">
        <v>609</v>
      </c>
      <c r="C264" s="370">
        <v>728</v>
      </c>
      <c r="D264" s="369">
        <v>40809</v>
      </c>
      <c r="E264" s="371">
        <v>2</v>
      </c>
      <c r="F264" s="372">
        <v>0</v>
      </c>
      <c r="G264" s="372">
        <v>0</v>
      </c>
      <c r="H264" s="372">
        <v>0</v>
      </c>
      <c r="I264" s="372">
        <v>0</v>
      </c>
      <c r="J264" s="372">
        <v>0</v>
      </c>
      <c r="K264" s="373"/>
      <c r="L264" s="370">
        <v>0</v>
      </c>
    </row>
    <row r="265" spans="1:12" hidden="1">
      <c r="A265" s="356">
        <v>40081</v>
      </c>
      <c r="B265" s="356" t="s">
        <v>610</v>
      </c>
      <c r="C265" s="357">
        <v>1092</v>
      </c>
      <c r="D265" s="356">
        <v>41173</v>
      </c>
      <c r="E265" s="360">
        <v>3</v>
      </c>
      <c r="F265" s="358">
        <v>0</v>
      </c>
      <c r="G265" s="358">
        <v>0</v>
      </c>
      <c r="H265" s="358">
        <v>0</v>
      </c>
      <c r="I265" s="358">
        <v>0</v>
      </c>
      <c r="J265" s="358">
        <v>0</v>
      </c>
      <c r="L265" s="357">
        <v>0</v>
      </c>
    </row>
    <row r="266" spans="1:12" hidden="1">
      <c r="A266" s="369">
        <v>40092</v>
      </c>
      <c r="B266" s="369" t="s">
        <v>611</v>
      </c>
      <c r="C266" s="370">
        <v>35</v>
      </c>
      <c r="D266" s="369">
        <v>40127</v>
      </c>
      <c r="E266" s="371">
        <v>18</v>
      </c>
      <c r="F266" s="372">
        <v>9.2569999999999997</v>
      </c>
      <c r="G266" s="372">
        <v>9.2569999999999997</v>
      </c>
      <c r="H266" s="372">
        <v>1.25</v>
      </c>
      <c r="I266" s="372">
        <v>1.25</v>
      </c>
      <c r="J266" s="372">
        <v>1.25</v>
      </c>
      <c r="K266" s="373"/>
      <c r="L266" s="370">
        <v>4</v>
      </c>
    </row>
    <row r="267" spans="1:12" hidden="1">
      <c r="A267" s="356">
        <v>40092</v>
      </c>
      <c r="B267" s="356" t="s">
        <v>612</v>
      </c>
      <c r="C267" s="357">
        <v>364</v>
      </c>
      <c r="D267" s="356">
        <v>40456</v>
      </c>
      <c r="E267" s="360">
        <v>3</v>
      </c>
      <c r="F267" s="358">
        <v>0</v>
      </c>
      <c r="G267" s="358">
        <v>0</v>
      </c>
      <c r="H267" s="358">
        <v>0</v>
      </c>
      <c r="I267" s="358">
        <v>0</v>
      </c>
      <c r="J267" s="358">
        <v>0</v>
      </c>
      <c r="L267" s="357">
        <v>0</v>
      </c>
    </row>
    <row r="268" spans="1:12" hidden="1">
      <c r="A268" s="369">
        <v>40095</v>
      </c>
      <c r="B268" s="369" t="s">
        <v>613</v>
      </c>
      <c r="C268" s="370">
        <v>91</v>
      </c>
      <c r="D268" s="369">
        <v>40186</v>
      </c>
      <c r="E268" s="371">
        <v>2</v>
      </c>
      <c r="F268" s="372">
        <v>0</v>
      </c>
      <c r="G268" s="372">
        <v>0</v>
      </c>
      <c r="H268" s="372">
        <v>0</v>
      </c>
      <c r="I268" s="372">
        <v>0</v>
      </c>
      <c r="J268" s="372">
        <v>0</v>
      </c>
      <c r="K268" s="373"/>
      <c r="L268" s="370">
        <v>0</v>
      </c>
    </row>
    <row r="269" spans="1:12" hidden="1">
      <c r="A269" s="356">
        <v>40099</v>
      </c>
      <c r="B269" s="356" t="s">
        <v>614</v>
      </c>
      <c r="C269" s="357">
        <v>182</v>
      </c>
      <c r="D269" s="356">
        <v>40281</v>
      </c>
      <c r="E269" s="360">
        <v>7</v>
      </c>
      <c r="F269" s="358">
        <v>0</v>
      </c>
      <c r="G269" s="358">
        <v>0</v>
      </c>
      <c r="H269" s="358">
        <v>0</v>
      </c>
      <c r="I269" s="358">
        <v>0</v>
      </c>
      <c r="J269" s="358">
        <v>0</v>
      </c>
      <c r="L269" s="357">
        <v>0</v>
      </c>
    </row>
    <row r="270" spans="1:12" hidden="1">
      <c r="A270" s="369">
        <v>40102</v>
      </c>
      <c r="B270" s="369" t="s">
        <v>615</v>
      </c>
      <c r="C270" s="370">
        <v>1092</v>
      </c>
      <c r="D270" s="369">
        <v>41194</v>
      </c>
      <c r="E270" s="371">
        <v>3</v>
      </c>
      <c r="F270" s="372">
        <v>0</v>
      </c>
      <c r="G270" s="372">
        <v>0</v>
      </c>
      <c r="H270" s="372">
        <v>0</v>
      </c>
      <c r="I270" s="372">
        <v>0</v>
      </c>
      <c r="J270" s="372">
        <v>0</v>
      </c>
      <c r="K270" s="373"/>
      <c r="L270" s="370">
        <v>0</v>
      </c>
    </row>
    <row r="271" spans="1:12" hidden="1">
      <c r="A271" s="356">
        <v>40102</v>
      </c>
      <c r="B271" s="356" t="s">
        <v>616</v>
      </c>
      <c r="C271" s="357">
        <v>728</v>
      </c>
      <c r="D271" s="356">
        <v>40830</v>
      </c>
      <c r="E271" s="360">
        <v>3</v>
      </c>
      <c r="F271" s="358">
        <v>0</v>
      </c>
      <c r="G271" s="358">
        <v>0</v>
      </c>
      <c r="H271" s="358">
        <v>0</v>
      </c>
      <c r="I271" s="358">
        <v>0</v>
      </c>
      <c r="J271" s="358">
        <v>0</v>
      </c>
      <c r="L271" s="357">
        <v>0</v>
      </c>
    </row>
    <row r="272" spans="1:12" hidden="1">
      <c r="A272" s="369">
        <v>40106</v>
      </c>
      <c r="B272" s="369" t="s">
        <v>617</v>
      </c>
      <c r="C272" s="370">
        <v>364</v>
      </c>
      <c r="D272" s="369">
        <v>40470</v>
      </c>
      <c r="E272" s="371">
        <v>2</v>
      </c>
      <c r="F272" s="372">
        <v>0</v>
      </c>
      <c r="G272" s="372">
        <v>0</v>
      </c>
      <c r="H272" s="372">
        <v>0</v>
      </c>
      <c r="I272" s="372">
        <v>0</v>
      </c>
      <c r="J272" s="372">
        <v>0</v>
      </c>
      <c r="K272" s="373"/>
      <c r="L272" s="370">
        <v>0</v>
      </c>
    </row>
    <row r="273" spans="1:12" hidden="1">
      <c r="A273" s="356">
        <v>40106</v>
      </c>
      <c r="B273" s="356" t="s">
        <v>618</v>
      </c>
      <c r="C273" s="357">
        <v>35</v>
      </c>
      <c r="D273" s="356">
        <v>40141</v>
      </c>
      <c r="E273" s="360">
        <v>20</v>
      </c>
      <c r="F273" s="358">
        <v>11.5312</v>
      </c>
      <c r="G273" s="358">
        <v>11.5312</v>
      </c>
      <c r="H273" s="358">
        <v>1.25</v>
      </c>
      <c r="I273" s="358">
        <v>1.25</v>
      </c>
      <c r="J273" s="358">
        <v>1.25</v>
      </c>
      <c r="L273" s="357">
        <v>3</v>
      </c>
    </row>
    <row r="274" spans="1:12" hidden="1">
      <c r="A274" s="369">
        <v>40109</v>
      </c>
      <c r="B274" s="369" t="s">
        <v>619</v>
      </c>
      <c r="C274" s="370">
        <v>91</v>
      </c>
      <c r="D274" s="369">
        <v>40200</v>
      </c>
      <c r="E274" s="371">
        <v>15</v>
      </c>
      <c r="F274" s="372">
        <v>9.0366</v>
      </c>
      <c r="G274" s="372">
        <v>9.0366</v>
      </c>
      <c r="H274" s="372">
        <v>1.73</v>
      </c>
      <c r="I274" s="372">
        <v>1.73</v>
      </c>
      <c r="J274" s="372">
        <v>1.73</v>
      </c>
      <c r="K274" s="373"/>
      <c r="L274" s="370">
        <v>3</v>
      </c>
    </row>
    <row r="275" spans="1:12" hidden="1">
      <c r="A275" s="356">
        <v>40113</v>
      </c>
      <c r="B275" s="356" t="s">
        <v>620</v>
      </c>
      <c r="C275" s="357">
        <v>182</v>
      </c>
      <c r="D275" s="356">
        <v>40295</v>
      </c>
      <c r="E275" s="360">
        <v>8</v>
      </c>
      <c r="F275" s="358">
        <v>0.30299999999999999</v>
      </c>
      <c r="G275" s="358">
        <v>0.30299999999999999</v>
      </c>
      <c r="H275" s="358">
        <v>2.21</v>
      </c>
      <c r="I275" s="358">
        <v>2.21</v>
      </c>
      <c r="J275" s="358">
        <v>2.21</v>
      </c>
      <c r="L275" s="357">
        <v>1</v>
      </c>
    </row>
    <row r="276" spans="1:12" hidden="1">
      <c r="A276" s="369">
        <v>40113</v>
      </c>
      <c r="B276" s="369" t="s">
        <v>621</v>
      </c>
      <c r="C276" s="370">
        <v>364</v>
      </c>
      <c r="D276" s="369">
        <v>40477</v>
      </c>
      <c r="E276" s="371">
        <v>20</v>
      </c>
      <c r="F276" s="372">
        <v>30.0106</v>
      </c>
      <c r="G276" s="372">
        <v>20</v>
      </c>
      <c r="H276" s="372">
        <v>5</v>
      </c>
      <c r="I276" s="372">
        <v>5</v>
      </c>
      <c r="J276" s="372">
        <v>5</v>
      </c>
      <c r="K276" s="373"/>
      <c r="L276" s="370">
        <v>2</v>
      </c>
    </row>
    <row r="277" spans="1:12" hidden="1">
      <c r="A277" s="356">
        <v>40116</v>
      </c>
      <c r="B277" s="356" t="s">
        <v>622</v>
      </c>
      <c r="C277" s="357">
        <v>728</v>
      </c>
      <c r="D277" s="356">
        <v>40844</v>
      </c>
      <c r="E277" s="360">
        <v>2</v>
      </c>
      <c r="F277" s="358">
        <v>0</v>
      </c>
      <c r="G277" s="358">
        <v>0</v>
      </c>
      <c r="H277" s="358">
        <v>3.25</v>
      </c>
      <c r="I277" s="358">
        <v>3.25</v>
      </c>
      <c r="J277" s="358">
        <v>3.25</v>
      </c>
      <c r="L277" s="357">
        <v>0</v>
      </c>
    </row>
    <row r="278" spans="1:12" hidden="1">
      <c r="A278" s="369">
        <v>40116</v>
      </c>
      <c r="B278" s="369" t="s">
        <v>623</v>
      </c>
      <c r="C278" s="370">
        <v>1092</v>
      </c>
      <c r="D278" s="369">
        <v>41208</v>
      </c>
      <c r="E278" s="371">
        <v>3</v>
      </c>
      <c r="F278" s="372">
        <v>0</v>
      </c>
      <c r="G278" s="372">
        <v>0</v>
      </c>
      <c r="H278" s="372">
        <v>3.5000000000000004</v>
      </c>
      <c r="I278" s="372">
        <v>3.5000000000000004</v>
      </c>
      <c r="J278" s="372">
        <v>3.5000000000000004</v>
      </c>
      <c r="K278" s="373"/>
      <c r="L278" s="370">
        <v>0</v>
      </c>
    </row>
    <row r="279" spans="1:12" hidden="1">
      <c r="A279" s="356">
        <v>40120</v>
      </c>
      <c r="B279" s="356" t="s">
        <v>624</v>
      </c>
      <c r="C279" s="357">
        <v>364</v>
      </c>
      <c r="D279" s="356">
        <v>40484</v>
      </c>
      <c r="E279" s="360">
        <v>3</v>
      </c>
      <c r="F279" s="358">
        <v>0</v>
      </c>
      <c r="G279" s="358">
        <v>0</v>
      </c>
      <c r="H279" s="358">
        <v>0</v>
      </c>
      <c r="I279" s="358">
        <v>0</v>
      </c>
      <c r="J279" s="358">
        <v>0</v>
      </c>
      <c r="L279" s="357">
        <v>0</v>
      </c>
    </row>
    <row r="280" spans="1:12" hidden="1">
      <c r="A280" s="369">
        <v>40120</v>
      </c>
      <c r="B280" s="369" t="s">
        <v>625</v>
      </c>
      <c r="C280" s="370">
        <v>35</v>
      </c>
      <c r="D280" s="369">
        <v>40155</v>
      </c>
      <c r="E280" s="371">
        <v>20</v>
      </c>
      <c r="F280" s="372">
        <v>3.0019999999999998</v>
      </c>
      <c r="G280" s="372">
        <v>3.0019999999999998</v>
      </c>
      <c r="H280" s="372">
        <v>1.25</v>
      </c>
      <c r="I280" s="372">
        <v>1.25</v>
      </c>
      <c r="J280" s="372">
        <v>1.25</v>
      </c>
      <c r="K280" s="373"/>
      <c r="L280" s="370">
        <v>2</v>
      </c>
    </row>
    <row r="281" spans="1:12" hidden="1">
      <c r="A281" s="356">
        <v>40123</v>
      </c>
      <c r="B281" s="356" t="s">
        <v>626</v>
      </c>
      <c r="C281" s="357">
        <v>91</v>
      </c>
      <c r="D281" s="356">
        <v>40214</v>
      </c>
      <c r="E281" s="360">
        <v>20</v>
      </c>
      <c r="F281" s="358">
        <v>7.0961999999999996</v>
      </c>
      <c r="G281" s="358">
        <v>7.0961999999999996</v>
      </c>
      <c r="H281" s="358">
        <v>1.73</v>
      </c>
      <c r="I281" s="358">
        <v>1.73</v>
      </c>
      <c r="J281" s="358">
        <v>1.6500000000000001</v>
      </c>
      <c r="L281" s="357">
        <v>2</v>
      </c>
    </row>
    <row r="282" spans="1:12" hidden="1">
      <c r="A282" s="369">
        <v>40127</v>
      </c>
      <c r="B282" s="369" t="s">
        <v>627</v>
      </c>
      <c r="C282" s="370">
        <v>182</v>
      </c>
      <c r="D282" s="369">
        <v>40309</v>
      </c>
      <c r="E282" s="371">
        <v>7</v>
      </c>
      <c r="F282" s="372">
        <v>0</v>
      </c>
      <c r="G282" s="372">
        <v>0</v>
      </c>
      <c r="H282" s="372">
        <v>0</v>
      </c>
      <c r="I282" s="372">
        <v>0</v>
      </c>
      <c r="J282" s="372">
        <v>0</v>
      </c>
      <c r="K282" s="373"/>
      <c r="L282" s="370">
        <v>0</v>
      </c>
    </row>
    <row r="283" spans="1:12" hidden="1">
      <c r="A283" s="356">
        <v>40127</v>
      </c>
      <c r="B283" s="356" t="s">
        <v>628</v>
      </c>
      <c r="C283" s="357">
        <v>364</v>
      </c>
      <c r="D283" s="356">
        <v>40491</v>
      </c>
      <c r="E283" s="360">
        <v>25</v>
      </c>
      <c r="F283" s="358">
        <v>15.295</v>
      </c>
      <c r="G283" s="358">
        <v>15.295</v>
      </c>
      <c r="H283" s="358">
        <v>5</v>
      </c>
      <c r="I283" s="358">
        <v>5</v>
      </c>
      <c r="J283" s="358">
        <v>5</v>
      </c>
      <c r="L283" s="357">
        <v>4</v>
      </c>
    </row>
    <row r="284" spans="1:12" hidden="1">
      <c r="A284" s="369">
        <v>40130</v>
      </c>
      <c r="B284" s="369" t="s">
        <v>629</v>
      </c>
      <c r="C284" s="370">
        <v>1092</v>
      </c>
      <c r="D284" s="369">
        <v>41222</v>
      </c>
      <c r="E284" s="371">
        <v>3</v>
      </c>
      <c r="F284" s="372">
        <v>0</v>
      </c>
      <c r="G284" s="372">
        <v>0</v>
      </c>
      <c r="H284" s="372">
        <v>0</v>
      </c>
      <c r="I284" s="372">
        <v>0</v>
      </c>
      <c r="J284" s="372">
        <v>0</v>
      </c>
      <c r="K284" s="373"/>
      <c r="L284" s="370">
        <v>0</v>
      </c>
    </row>
    <row r="285" spans="1:12" hidden="1">
      <c r="A285" s="356">
        <v>40130</v>
      </c>
      <c r="B285" s="356" t="s">
        <v>630</v>
      </c>
      <c r="C285" s="357">
        <v>728</v>
      </c>
      <c r="D285" s="356">
        <v>40858</v>
      </c>
      <c r="E285" s="360">
        <v>3</v>
      </c>
      <c r="F285" s="358">
        <v>0</v>
      </c>
      <c r="G285" s="358">
        <v>0</v>
      </c>
      <c r="H285" s="358">
        <v>0</v>
      </c>
      <c r="I285" s="358">
        <v>0</v>
      </c>
      <c r="J285" s="358">
        <v>0</v>
      </c>
      <c r="L285" s="357">
        <v>0</v>
      </c>
    </row>
    <row r="286" spans="1:12" hidden="1">
      <c r="A286" s="369">
        <v>40134</v>
      </c>
      <c r="B286" s="369" t="s">
        <v>631</v>
      </c>
      <c r="C286" s="370">
        <v>35</v>
      </c>
      <c r="D286" s="369">
        <v>40169</v>
      </c>
      <c r="E286" s="371">
        <v>20</v>
      </c>
      <c r="F286" s="372">
        <v>5.0038</v>
      </c>
      <c r="G286" s="372">
        <v>5.0038</v>
      </c>
      <c r="H286" s="372">
        <v>1.25</v>
      </c>
      <c r="I286" s="372">
        <v>1.25</v>
      </c>
      <c r="J286" s="372">
        <v>1.25</v>
      </c>
      <c r="K286" s="373"/>
      <c r="L286" s="370">
        <v>3</v>
      </c>
    </row>
    <row r="287" spans="1:12" hidden="1">
      <c r="A287" s="356">
        <v>40134</v>
      </c>
      <c r="B287" s="356" t="s">
        <v>632</v>
      </c>
      <c r="C287" s="357">
        <v>364</v>
      </c>
      <c r="D287" s="356">
        <v>40498</v>
      </c>
      <c r="E287" s="360">
        <v>3</v>
      </c>
      <c r="F287" s="358">
        <v>0</v>
      </c>
      <c r="G287" s="358">
        <v>0</v>
      </c>
      <c r="H287" s="358">
        <v>0</v>
      </c>
      <c r="I287" s="358">
        <v>0</v>
      </c>
      <c r="J287" s="358">
        <v>0</v>
      </c>
      <c r="L287" s="357">
        <v>0</v>
      </c>
    </row>
    <row r="288" spans="1:12" hidden="1">
      <c r="A288" s="369">
        <v>40137</v>
      </c>
      <c r="B288" s="369" t="s">
        <v>633</v>
      </c>
      <c r="C288" s="370">
        <v>91</v>
      </c>
      <c r="D288" s="369">
        <v>40228</v>
      </c>
      <c r="E288" s="371">
        <v>15</v>
      </c>
      <c r="F288" s="372">
        <v>7.2855999999999996</v>
      </c>
      <c r="G288" s="372">
        <v>7.2351999999999999</v>
      </c>
      <c r="H288" s="372">
        <v>1.73</v>
      </c>
      <c r="I288" s="372">
        <v>1.73</v>
      </c>
      <c r="J288" s="372">
        <v>1.6500000000000001</v>
      </c>
      <c r="K288" s="373"/>
      <c r="L288" s="370">
        <v>4</v>
      </c>
    </row>
    <row r="289" spans="1:12" hidden="1">
      <c r="A289" s="356">
        <v>40141</v>
      </c>
      <c r="B289" s="356" t="s">
        <v>634</v>
      </c>
      <c r="C289" s="357">
        <v>182</v>
      </c>
      <c r="D289" s="356">
        <v>40323</v>
      </c>
      <c r="E289" s="360">
        <v>8</v>
      </c>
      <c r="F289" s="358">
        <v>2.1978</v>
      </c>
      <c r="G289" s="358">
        <v>2.1978</v>
      </c>
      <c r="H289" s="358">
        <v>2.21</v>
      </c>
      <c r="I289" s="358">
        <v>2.21</v>
      </c>
      <c r="J289" s="358">
        <v>2.21</v>
      </c>
      <c r="L289" s="357">
        <v>1</v>
      </c>
    </row>
    <row r="290" spans="1:12" hidden="1">
      <c r="A290" s="369">
        <v>40141</v>
      </c>
      <c r="B290" s="369" t="s">
        <v>635</v>
      </c>
      <c r="C290" s="370">
        <v>364</v>
      </c>
      <c r="D290" s="369">
        <v>40505</v>
      </c>
      <c r="E290" s="371">
        <v>25</v>
      </c>
      <c r="F290" s="372">
        <v>6.4459999999999997</v>
      </c>
      <c r="G290" s="372">
        <v>6.4459999999999997</v>
      </c>
      <c r="H290" s="372">
        <v>3.75</v>
      </c>
      <c r="I290" s="372">
        <v>3.75</v>
      </c>
      <c r="J290" s="372">
        <v>3.75</v>
      </c>
      <c r="K290" s="373"/>
      <c r="L290" s="370">
        <v>2</v>
      </c>
    </row>
    <row r="291" spans="1:12" hidden="1">
      <c r="A291" s="356">
        <v>40143</v>
      </c>
      <c r="B291" s="356" t="s">
        <v>636</v>
      </c>
      <c r="C291" s="357">
        <v>728</v>
      </c>
      <c r="D291" s="356">
        <v>40871</v>
      </c>
      <c r="E291" s="360">
        <v>2</v>
      </c>
      <c r="F291" s="358">
        <v>0</v>
      </c>
      <c r="G291" s="358">
        <v>0</v>
      </c>
      <c r="H291" s="358">
        <v>3.25</v>
      </c>
      <c r="I291" s="358">
        <v>3.25</v>
      </c>
      <c r="J291" s="358">
        <v>3.25</v>
      </c>
      <c r="L291" s="357">
        <v>0</v>
      </c>
    </row>
    <row r="292" spans="1:12" hidden="1">
      <c r="A292" s="369">
        <v>40143</v>
      </c>
      <c r="B292" s="369" t="s">
        <v>637</v>
      </c>
      <c r="C292" s="370">
        <v>1092</v>
      </c>
      <c r="D292" s="369">
        <v>41235</v>
      </c>
      <c r="E292" s="371">
        <v>3</v>
      </c>
      <c r="F292" s="372">
        <v>0</v>
      </c>
      <c r="G292" s="372">
        <v>0</v>
      </c>
      <c r="H292" s="372">
        <v>3.5000000000000004</v>
      </c>
      <c r="I292" s="372">
        <v>3.5000000000000004</v>
      </c>
      <c r="J292" s="372">
        <v>3.5000000000000004</v>
      </c>
      <c r="K292" s="373"/>
      <c r="L292" s="370">
        <v>0</v>
      </c>
    </row>
    <row r="293" spans="1:12" hidden="1">
      <c r="A293" s="356">
        <v>40148</v>
      </c>
      <c r="B293" s="356" t="s">
        <v>638</v>
      </c>
      <c r="C293" s="357">
        <v>35</v>
      </c>
      <c r="D293" s="356">
        <v>40183</v>
      </c>
      <c r="E293" s="360">
        <v>20</v>
      </c>
      <c r="F293" s="358">
        <v>5.0754000000000001</v>
      </c>
      <c r="G293" s="358">
        <v>5.0754000000000001</v>
      </c>
      <c r="H293" s="358">
        <v>1.25</v>
      </c>
      <c r="I293" s="358">
        <v>1.25</v>
      </c>
      <c r="J293" s="358">
        <v>1.25</v>
      </c>
      <c r="L293" s="357">
        <v>5</v>
      </c>
    </row>
    <row r="294" spans="1:12" hidden="1">
      <c r="A294" s="369">
        <v>40148</v>
      </c>
      <c r="B294" s="369" t="s">
        <v>639</v>
      </c>
      <c r="C294" s="370">
        <v>364</v>
      </c>
      <c r="D294" s="369">
        <v>40512</v>
      </c>
      <c r="E294" s="371">
        <v>3</v>
      </c>
      <c r="F294" s="372">
        <v>3</v>
      </c>
      <c r="G294" s="372">
        <v>3</v>
      </c>
      <c r="H294" s="372">
        <v>2.9899999999999998</v>
      </c>
      <c r="I294" s="372">
        <v>2.9899999999999998</v>
      </c>
      <c r="J294" s="372">
        <v>2.9899999999999998</v>
      </c>
      <c r="K294" s="373"/>
      <c r="L294" s="370">
        <v>1</v>
      </c>
    </row>
    <row r="295" spans="1:12" hidden="1">
      <c r="A295" s="356">
        <v>40155</v>
      </c>
      <c r="B295" s="356" t="s">
        <v>640</v>
      </c>
      <c r="C295" s="357">
        <v>182</v>
      </c>
      <c r="D295" s="356">
        <v>40337</v>
      </c>
      <c r="E295" s="360">
        <v>7</v>
      </c>
      <c r="F295" s="358">
        <v>0.35060000000000002</v>
      </c>
      <c r="G295" s="358">
        <v>0</v>
      </c>
      <c r="H295" s="358">
        <v>0</v>
      </c>
      <c r="I295" s="358">
        <v>0</v>
      </c>
      <c r="J295" s="358">
        <v>0</v>
      </c>
      <c r="L295" s="357">
        <v>0</v>
      </c>
    </row>
    <row r="296" spans="1:12" hidden="1">
      <c r="A296" s="369">
        <v>40155</v>
      </c>
      <c r="B296" s="369" t="s">
        <v>641</v>
      </c>
      <c r="C296" s="370">
        <v>364</v>
      </c>
      <c r="D296" s="369">
        <v>40519</v>
      </c>
      <c r="E296" s="371">
        <v>15</v>
      </c>
      <c r="F296" s="372">
        <v>5.7850000000000001</v>
      </c>
      <c r="G296" s="372">
        <v>5.7850000000000001</v>
      </c>
      <c r="H296" s="372">
        <v>3.75</v>
      </c>
      <c r="I296" s="372">
        <v>3.75</v>
      </c>
      <c r="J296" s="372">
        <v>3.75</v>
      </c>
      <c r="K296" s="373"/>
      <c r="L296" s="370">
        <v>2</v>
      </c>
    </row>
    <row r="297" spans="1:12" hidden="1">
      <c r="A297" s="356">
        <v>40158</v>
      </c>
      <c r="B297" s="356" t="s">
        <v>642</v>
      </c>
      <c r="C297" s="357">
        <v>1090</v>
      </c>
      <c r="D297" s="356">
        <v>41248</v>
      </c>
      <c r="E297" s="360">
        <v>3</v>
      </c>
      <c r="F297" s="358">
        <v>0</v>
      </c>
      <c r="G297" s="358">
        <v>0</v>
      </c>
      <c r="H297" s="358">
        <v>3.5000000000000004</v>
      </c>
      <c r="I297" s="358">
        <v>3.5000000000000004</v>
      </c>
      <c r="J297" s="358">
        <v>3.5000000000000004</v>
      </c>
      <c r="L297" s="357">
        <v>0</v>
      </c>
    </row>
    <row r="298" spans="1:12" hidden="1">
      <c r="A298" s="369">
        <v>40158</v>
      </c>
      <c r="B298" s="369" t="s">
        <v>643</v>
      </c>
      <c r="C298" s="370">
        <v>728</v>
      </c>
      <c r="D298" s="369">
        <v>40886</v>
      </c>
      <c r="E298" s="371">
        <v>3</v>
      </c>
      <c r="F298" s="372">
        <v>0</v>
      </c>
      <c r="G298" s="372">
        <v>0</v>
      </c>
      <c r="H298" s="372">
        <v>3.25</v>
      </c>
      <c r="I298" s="372">
        <v>3.25</v>
      </c>
      <c r="J298" s="372">
        <v>3.25</v>
      </c>
      <c r="K298" s="373"/>
      <c r="L298" s="370">
        <v>0</v>
      </c>
    </row>
    <row r="299" spans="1:12" hidden="1">
      <c r="A299" s="356">
        <v>40162</v>
      </c>
      <c r="B299" s="356" t="s">
        <v>644</v>
      </c>
      <c r="C299" s="357">
        <v>35</v>
      </c>
      <c r="D299" s="356">
        <v>40197</v>
      </c>
      <c r="E299" s="360">
        <v>20</v>
      </c>
      <c r="F299" s="358">
        <v>4.4715999999999996</v>
      </c>
      <c r="G299" s="358">
        <v>4.4715999999999996</v>
      </c>
      <c r="H299" s="358">
        <v>0.67999999999999994</v>
      </c>
      <c r="I299" s="358">
        <v>0.67999999999999994</v>
      </c>
      <c r="J299" s="358">
        <v>0.67999999999999994</v>
      </c>
      <c r="L299" s="357">
        <v>2</v>
      </c>
    </row>
    <row r="300" spans="1:12" hidden="1">
      <c r="A300" s="369">
        <v>40162</v>
      </c>
      <c r="B300" s="369" t="s">
        <v>645</v>
      </c>
      <c r="C300" s="370">
        <v>364</v>
      </c>
      <c r="D300" s="369">
        <v>40526</v>
      </c>
      <c r="E300" s="371">
        <v>3</v>
      </c>
      <c r="F300" s="372">
        <v>0</v>
      </c>
      <c r="G300" s="372">
        <v>0</v>
      </c>
      <c r="H300" s="372">
        <v>0</v>
      </c>
      <c r="I300" s="372">
        <v>0</v>
      </c>
      <c r="J300" s="372">
        <v>0</v>
      </c>
      <c r="K300" s="373"/>
      <c r="L300" s="370">
        <v>0</v>
      </c>
    </row>
    <row r="301" spans="1:12" hidden="1">
      <c r="A301" s="356">
        <v>40165</v>
      </c>
      <c r="B301" s="356" t="s">
        <v>646</v>
      </c>
      <c r="C301" s="357">
        <v>91</v>
      </c>
      <c r="D301" s="356">
        <v>40256</v>
      </c>
      <c r="E301" s="360">
        <v>15</v>
      </c>
      <c r="F301" s="358">
        <v>0</v>
      </c>
      <c r="G301" s="358">
        <v>0</v>
      </c>
      <c r="H301" s="358">
        <v>0</v>
      </c>
      <c r="I301" s="358">
        <v>0</v>
      </c>
      <c r="J301" s="358">
        <v>0</v>
      </c>
      <c r="L301" s="357">
        <v>0</v>
      </c>
    </row>
    <row r="302" spans="1:12" hidden="1">
      <c r="A302" s="369">
        <v>40169</v>
      </c>
      <c r="B302" s="369" t="s">
        <v>647</v>
      </c>
      <c r="C302" s="370">
        <v>182</v>
      </c>
      <c r="D302" s="369">
        <v>40351</v>
      </c>
      <c r="E302" s="371">
        <v>8</v>
      </c>
      <c r="F302" s="372">
        <v>0</v>
      </c>
      <c r="G302" s="372">
        <v>0</v>
      </c>
      <c r="H302" s="372">
        <v>0</v>
      </c>
      <c r="I302" s="372">
        <v>0</v>
      </c>
      <c r="J302" s="372">
        <v>0</v>
      </c>
      <c r="K302" s="373"/>
      <c r="L302" s="370">
        <v>0</v>
      </c>
    </row>
    <row r="303" spans="1:12" hidden="1">
      <c r="A303" s="356">
        <v>40169</v>
      </c>
      <c r="B303" s="356" t="s">
        <v>648</v>
      </c>
      <c r="C303" s="357">
        <v>364</v>
      </c>
      <c r="D303" s="356">
        <v>40533</v>
      </c>
      <c r="E303" s="360">
        <v>15</v>
      </c>
      <c r="F303" s="358">
        <v>3.6568000000000001</v>
      </c>
      <c r="G303" s="358">
        <v>3.6568000000000001</v>
      </c>
      <c r="H303" s="358">
        <v>3.75</v>
      </c>
      <c r="I303" s="358">
        <v>3.75</v>
      </c>
      <c r="J303" s="358">
        <v>3.75</v>
      </c>
      <c r="L303" s="357">
        <v>3</v>
      </c>
    </row>
    <row r="304" spans="1:12" hidden="1">
      <c r="A304" s="369">
        <v>40172</v>
      </c>
      <c r="B304" s="369" t="s">
        <v>649</v>
      </c>
      <c r="C304" s="370">
        <v>1092</v>
      </c>
      <c r="D304" s="369">
        <v>41264</v>
      </c>
      <c r="E304" s="371">
        <v>3</v>
      </c>
      <c r="F304" s="372">
        <v>0</v>
      </c>
      <c r="G304" s="372">
        <v>0</v>
      </c>
      <c r="H304" s="372">
        <v>0</v>
      </c>
      <c r="I304" s="372">
        <v>0</v>
      </c>
      <c r="J304" s="372">
        <v>0</v>
      </c>
      <c r="K304" s="373"/>
      <c r="L304" s="370">
        <v>0</v>
      </c>
    </row>
    <row r="305" spans="1:12" hidden="1">
      <c r="A305" s="356">
        <v>40172</v>
      </c>
      <c r="B305" s="356" t="s">
        <v>650</v>
      </c>
      <c r="C305" s="357">
        <v>728</v>
      </c>
      <c r="D305" s="356">
        <v>40900</v>
      </c>
      <c r="E305" s="360">
        <v>2</v>
      </c>
      <c r="F305" s="358">
        <v>0</v>
      </c>
      <c r="G305" s="358">
        <v>0</v>
      </c>
      <c r="H305" s="358">
        <v>0</v>
      </c>
      <c r="I305" s="358">
        <v>0</v>
      </c>
      <c r="J305" s="358">
        <v>0</v>
      </c>
      <c r="L305" s="357">
        <v>0</v>
      </c>
    </row>
    <row r="306" spans="1:12" hidden="1">
      <c r="A306" s="369">
        <v>0</v>
      </c>
      <c r="B306" s="369" t="s">
        <v>1785</v>
      </c>
      <c r="C306" s="370">
        <v>0</v>
      </c>
      <c r="D306" s="369">
        <v>0</v>
      </c>
      <c r="E306" s="371">
        <v>1288</v>
      </c>
      <c r="F306" s="372">
        <v>563.01699999999994</v>
      </c>
      <c r="G306" s="372">
        <v>487.91760000000022</v>
      </c>
      <c r="H306" s="372">
        <v>4.0000000000000036</v>
      </c>
      <c r="I306" s="372">
        <v>4.0000000000000036</v>
      </c>
      <c r="J306" s="372">
        <v>3.9669879518072335</v>
      </c>
      <c r="K306" s="373"/>
      <c r="L306" s="370">
        <v>0</v>
      </c>
    </row>
    <row r="307" spans="1:12" hidden="1">
      <c r="A307" s="356">
        <v>40186</v>
      </c>
      <c r="B307" s="356" t="s">
        <v>651</v>
      </c>
      <c r="C307" s="357">
        <v>35</v>
      </c>
      <c r="D307" s="356">
        <v>40221</v>
      </c>
      <c r="E307" s="360">
        <v>20</v>
      </c>
      <c r="F307" s="358">
        <v>0</v>
      </c>
      <c r="G307" s="358">
        <v>0</v>
      </c>
      <c r="H307" s="358">
        <v>1</v>
      </c>
      <c r="I307" s="358">
        <v>1</v>
      </c>
      <c r="J307" s="358">
        <v>1</v>
      </c>
      <c r="L307" s="357">
        <v>0</v>
      </c>
    </row>
    <row r="308" spans="1:12" hidden="1">
      <c r="A308" s="369">
        <v>40197</v>
      </c>
      <c r="B308" s="369" t="s">
        <v>652</v>
      </c>
      <c r="C308" s="370">
        <v>35</v>
      </c>
      <c r="D308" s="369">
        <v>40232</v>
      </c>
      <c r="E308" s="371">
        <v>18</v>
      </c>
      <c r="F308" s="372">
        <v>13.0076</v>
      </c>
      <c r="G308" s="372">
        <v>3.0005999999999999</v>
      </c>
      <c r="H308" s="372">
        <v>0.73</v>
      </c>
      <c r="I308" s="372">
        <v>0.73</v>
      </c>
      <c r="J308" s="372">
        <v>0.73</v>
      </c>
      <c r="K308" s="373"/>
      <c r="L308" s="370">
        <v>2</v>
      </c>
    </row>
    <row r="309" spans="1:12" hidden="1">
      <c r="A309" s="356">
        <v>40197</v>
      </c>
      <c r="B309" s="356" t="s">
        <v>653</v>
      </c>
      <c r="C309" s="357">
        <v>364</v>
      </c>
      <c r="D309" s="356">
        <v>40561</v>
      </c>
      <c r="E309" s="360">
        <v>3</v>
      </c>
      <c r="F309" s="358">
        <v>0</v>
      </c>
      <c r="G309" s="358">
        <v>0</v>
      </c>
      <c r="H309" s="358">
        <v>0</v>
      </c>
      <c r="I309" s="358">
        <v>0</v>
      </c>
      <c r="J309" s="358">
        <v>0</v>
      </c>
      <c r="L309" s="357">
        <v>0</v>
      </c>
    </row>
    <row r="310" spans="1:12" hidden="1">
      <c r="A310" s="369">
        <v>40200</v>
      </c>
      <c r="B310" s="369" t="s">
        <v>654</v>
      </c>
      <c r="C310" s="370">
        <v>91</v>
      </c>
      <c r="D310" s="369">
        <v>40291</v>
      </c>
      <c r="E310" s="371">
        <v>25</v>
      </c>
      <c r="F310" s="372">
        <v>3.3769999999999998</v>
      </c>
      <c r="G310" s="372">
        <v>3.3769999999999998</v>
      </c>
      <c r="H310" s="372">
        <v>1.41</v>
      </c>
      <c r="I310" s="372">
        <v>1.41</v>
      </c>
      <c r="J310" s="372">
        <v>1.41</v>
      </c>
      <c r="K310" s="373"/>
      <c r="L310" s="370">
        <v>1</v>
      </c>
    </row>
    <row r="311" spans="1:12" hidden="1">
      <c r="A311" s="356">
        <v>40204</v>
      </c>
      <c r="B311" s="356" t="s">
        <v>655</v>
      </c>
      <c r="C311" s="357">
        <v>182</v>
      </c>
      <c r="D311" s="356">
        <v>40386</v>
      </c>
      <c r="E311" s="360">
        <v>15</v>
      </c>
      <c r="F311" s="358">
        <v>0</v>
      </c>
      <c r="G311" s="358">
        <v>0</v>
      </c>
      <c r="H311" s="358">
        <v>0</v>
      </c>
      <c r="I311" s="358">
        <v>0</v>
      </c>
      <c r="J311" s="358">
        <v>0</v>
      </c>
      <c r="L311" s="357">
        <v>0</v>
      </c>
    </row>
    <row r="312" spans="1:12" hidden="1">
      <c r="A312" s="369">
        <v>40204</v>
      </c>
      <c r="B312" s="369" t="s">
        <v>656</v>
      </c>
      <c r="C312" s="370">
        <v>364</v>
      </c>
      <c r="D312" s="369">
        <v>40568</v>
      </c>
      <c r="E312" s="371">
        <v>4</v>
      </c>
      <c r="F312" s="372">
        <v>9.4184000000000001</v>
      </c>
      <c r="G312" s="372">
        <v>4</v>
      </c>
      <c r="H312" s="372">
        <v>3.75</v>
      </c>
      <c r="I312" s="372">
        <v>3.75</v>
      </c>
      <c r="J312" s="372">
        <v>3.75</v>
      </c>
      <c r="K312" s="373"/>
      <c r="L312" s="370">
        <v>3</v>
      </c>
    </row>
    <row r="313" spans="1:12" hidden="1">
      <c r="A313" s="356">
        <v>40211</v>
      </c>
      <c r="B313" s="356" t="s">
        <v>657</v>
      </c>
      <c r="C313" s="357">
        <v>35</v>
      </c>
      <c r="D313" s="356">
        <v>40246</v>
      </c>
      <c r="E313" s="360">
        <v>18</v>
      </c>
      <c r="F313" s="358">
        <v>0</v>
      </c>
      <c r="G313" s="358">
        <v>0</v>
      </c>
      <c r="H313" s="358">
        <v>0</v>
      </c>
      <c r="I313" s="358">
        <v>0</v>
      </c>
      <c r="J313" s="358">
        <v>0</v>
      </c>
      <c r="L313" s="357">
        <v>0</v>
      </c>
    </row>
    <row r="314" spans="1:12" hidden="1">
      <c r="A314" s="369">
        <v>40211</v>
      </c>
      <c r="B314" s="369" t="s">
        <v>658</v>
      </c>
      <c r="C314" s="370">
        <v>364</v>
      </c>
      <c r="D314" s="369">
        <v>40575</v>
      </c>
      <c r="E314" s="371">
        <v>3</v>
      </c>
      <c r="F314" s="372">
        <v>0</v>
      </c>
      <c r="G314" s="372">
        <v>0</v>
      </c>
      <c r="H314" s="372">
        <v>0</v>
      </c>
      <c r="I314" s="372">
        <v>0</v>
      </c>
      <c r="J314" s="372">
        <v>0</v>
      </c>
      <c r="K314" s="373"/>
      <c r="L314" s="370">
        <v>0</v>
      </c>
    </row>
    <row r="315" spans="1:12" hidden="1">
      <c r="A315" s="356">
        <v>40214</v>
      </c>
      <c r="B315" s="356" t="s">
        <v>659</v>
      </c>
      <c r="C315" s="357">
        <v>91</v>
      </c>
      <c r="D315" s="356">
        <v>40305</v>
      </c>
      <c r="E315" s="360">
        <v>18</v>
      </c>
      <c r="F315" s="358">
        <v>0</v>
      </c>
      <c r="G315" s="358">
        <v>0</v>
      </c>
      <c r="H315" s="358">
        <v>0</v>
      </c>
      <c r="I315" s="358">
        <v>0</v>
      </c>
      <c r="J315" s="358">
        <v>0</v>
      </c>
      <c r="L315" s="357">
        <v>0</v>
      </c>
    </row>
    <row r="316" spans="1:12" hidden="1">
      <c r="A316" s="369">
        <v>40218</v>
      </c>
      <c r="B316" s="369" t="s">
        <v>660</v>
      </c>
      <c r="C316" s="370">
        <v>182</v>
      </c>
      <c r="D316" s="369">
        <v>40400</v>
      </c>
      <c r="E316" s="371">
        <v>7</v>
      </c>
      <c r="F316" s="372">
        <v>0</v>
      </c>
      <c r="G316" s="372">
        <v>0</v>
      </c>
      <c r="H316" s="372">
        <v>0</v>
      </c>
      <c r="I316" s="372">
        <v>0</v>
      </c>
      <c r="J316" s="372">
        <v>0</v>
      </c>
      <c r="K316" s="373"/>
      <c r="L316" s="370">
        <v>0</v>
      </c>
    </row>
    <row r="317" spans="1:12" hidden="1">
      <c r="A317" s="356">
        <v>40218</v>
      </c>
      <c r="B317" s="356" t="s">
        <v>661</v>
      </c>
      <c r="C317" s="357">
        <v>364</v>
      </c>
      <c r="D317" s="356">
        <v>40582</v>
      </c>
      <c r="E317" s="360">
        <v>4</v>
      </c>
      <c r="F317" s="358">
        <v>6.5</v>
      </c>
      <c r="G317" s="358">
        <v>4</v>
      </c>
      <c r="H317" s="358">
        <v>3.75</v>
      </c>
      <c r="I317" s="358">
        <v>3.75</v>
      </c>
      <c r="J317" s="358">
        <v>3.75</v>
      </c>
      <c r="L317" s="357">
        <v>3</v>
      </c>
    </row>
    <row r="318" spans="1:12" hidden="1">
      <c r="A318" s="369">
        <v>40221</v>
      </c>
      <c r="B318" s="369" t="s">
        <v>662</v>
      </c>
      <c r="C318" s="370">
        <v>728</v>
      </c>
      <c r="D318" s="369">
        <v>40949</v>
      </c>
      <c r="E318" s="371">
        <v>2</v>
      </c>
      <c r="F318" s="372">
        <v>0</v>
      </c>
      <c r="G318" s="372">
        <v>0</v>
      </c>
      <c r="H318" s="372">
        <v>0</v>
      </c>
      <c r="I318" s="372">
        <v>0</v>
      </c>
      <c r="J318" s="372">
        <v>0</v>
      </c>
      <c r="K318" s="373"/>
      <c r="L318" s="370">
        <v>0</v>
      </c>
    </row>
    <row r="319" spans="1:12" hidden="1">
      <c r="A319" s="356">
        <v>40225</v>
      </c>
      <c r="B319" s="356" t="s">
        <v>663</v>
      </c>
      <c r="C319" s="357">
        <v>364</v>
      </c>
      <c r="D319" s="356">
        <v>40589</v>
      </c>
      <c r="E319" s="360">
        <v>2</v>
      </c>
      <c r="F319" s="358">
        <v>0</v>
      </c>
      <c r="G319" s="358">
        <v>0</v>
      </c>
      <c r="H319" s="358">
        <v>0</v>
      </c>
      <c r="I319" s="358">
        <v>0</v>
      </c>
      <c r="J319" s="358">
        <v>0</v>
      </c>
      <c r="L319" s="357">
        <v>0</v>
      </c>
    </row>
    <row r="320" spans="1:12" hidden="1">
      <c r="A320" s="369">
        <v>40228</v>
      </c>
      <c r="B320" s="369" t="s">
        <v>664</v>
      </c>
      <c r="C320" s="370">
        <v>91</v>
      </c>
      <c r="D320" s="369">
        <v>40319</v>
      </c>
      <c r="E320" s="371">
        <v>15</v>
      </c>
      <c r="F320" s="372">
        <v>0</v>
      </c>
      <c r="G320" s="372">
        <v>0</v>
      </c>
      <c r="H320" s="372">
        <v>0</v>
      </c>
      <c r="I320" s="372">
        <v>0</v>
      </c>
      <c r="J320" s="372">
        <v>0</v>
      </c>
      <c r="K320" s="373"/>
      <c r="L320" s="370">
        <v>0</v>
      </c>
    </row>
    <row r="321" spans="1:12" hidden="1">
      <c r="A321" s="356">
        <v>40232</v>
      </c>
      <c r="B321" s="356" t="s">
        <v>665</v>
      </c>
      <c r="C321" s="357">
        <v>182</v>
      </c>
      <c r="D321" s="356">
        <v>40414</v>
      </c>
      <c r="E321" s="360">
        <v>8</v>
      </c>
      <c r="F321" s="358">
        <v>0</v>
      </c>
      <c r="G321" s="358">
        <v>0</v>
      </c>
      <c r="H321" s="358">
        <v>0</v>
      </c>
      <c r="I321" s="358">
        <v>0</v>
      </c>
      <c r="J321" s="358">
        <v>0</v>
      </c>
      <c r="L321" s="357">
        <v>0</v>
      </c>
    </row>
    <row r="322" spans="1:12" hidden="1">
      <c r="A322" s="369">
        <v>40232</v>
      </c>
      <c r="B322" s="369" t="s">
        <v>666</v>
      </c>
      <c r="C322" s="370">
        <v>364</v>
      </c>
      <c r="D322" s="369">
        <v>40596</v>
      </c>
      <c r="E322" s="371">
        <v>4</v>
      </c>
      <c r="F322" s="372">
        <v>4</v>
      </c>
      <c r="G322" s="372">
        <v>4</v>
      </c>
      <c r="H322" s="372">
        <v>3.75</v>
      </c>
      <c r="I322" s="372">
        <v>3.75</v>
      </c>
      <c r="J322" s="372">
        <v>3.75</v>
      </c>
      <c r="K322" s="373"/>
      <c r="L322" s="370">
        <v>1</v>
      </c>
    </row>
    <row r="323" spans="1:12" hidden="1">
      <c r="A323" s="356">
        <v>40235</v>
      </c>
      <c r="B323" s="356" t="s">
        <v>667</v>
      </c>
      <c r="C323" s="357">
        <v>728</v>
      </c>
      <c r="D323" s="356">
        <v>40963</v>
      </c>
      <c r="E323" s="360">
        <v>2</v>
      </c>
      <c r="F323" s="358">
        <v>0</v>
      </c>
      <c r="G323" s="358">
        <v>0</v>
      </c>
      <c r="H323" s="358">
        <v>0</v>
      </c>
      <c r="I323" s="358">
        <v>0</v>
      </c>
      <c r="J323" s="358">
        <v>0</v>
      </c>
      <c r="L323" s="357">
        <v>0</v>
      </c>
    </row>
    <row r="324" spans="1:12" hidden="1">
      <c r="A324" s="369">
        <v>40239</v>
      </c>
      <c r="B324" s="369" t="s">
        <v>668</v>
      </c>
      <c r="C324" s="370">
        <v>35</v>
      </c>
      <c r="D324" s="369">
        <v>40274</v>
      </c>
      <c r="E324" s="371">
        <v>18</v>
      </c>
      <c r="F324" s="372">
        <v>0</v>
      </c>
      <c r="G324" s="372">
        <v>0</v>
      </c>
      <c r="H324" s="372">
        <v>0</v>
      </c>
      <c r="I324" s="372">
        <v>0</v>
      </c>
      <c r="J324" s="372">
        <v>0</v>
      </c>
      <c r="K324" s="373"/>
      <c r="L324" s="370">
        <v>0</v>
      </c>
    </row>
    <row r="325" spans="1:12" hidden="1">
      <c r="A325" s="356">
        <v>40239</v>
      </c>
      <c r="B325" s="356" t="s">
        <v>669</v>
      </c>
      <c r="C325" s="357">
        <v>364</v>
      </c>
      <c r="D325" s="356">
        <v>40603</v>
      </c>
      <c r="E325" s="360">
        <v>3</v>
      </c>
      <c r="F325" s="358">
        <v>0</v>
      </c>
      <c r="G325" s="358">
        <v>0</v>
      </c>
      <c r="H325" s="358">
        <v>0</v>
      </c>
      <c r="I325" s="358">
        <v>0</v>
      </c>
      <c r="J325" s="358">
        <v>0</v>
      </c>
      <c r="L325" s="357">
        <v>0</v>
      </c>
    </row>
    <row r="326" spans="1:12" hidden="1">
      <c r="A326" s="369">
        <v>40242</v>
      </c>
      <c r="B326" s="369" t="s">
        <v>670</v>
      </c>
      <c r="C326" s="370">
        <v>91</v>
      </c>
      <c r="D326" s="369">
        <v>40333</v>
      </c>
      <c r="E326" s="371">
        <v>18</v>
      </c>
      <c r="F326" s="372">
        <v>0</v>
      </c>
      <c r="G326" s="372">
        <v>0</v>
      </c>
      <c r="H326" s="372">
        <v>0</v>
      </c>
      <c r="I326" s="372">
        <v>0</v>
      </c>
      <c r="J326" s="372">
        <v>0</v>
      </c>
      <c r="K326" s="373"/>
      <c r="L326" s="370">
        <v>0</v>
      </c>
    </row>
    <row r="327" spans="1:12" hidden="1">
      <c r="A327" s="356">
        <v>40246</v>
      </c>
      <c r="B327" s="356" t="s">
        <v>671</v>
      </c>
      <c r="C327" s="357">
        <v>182</v>
      </c>
      <c r="D327" s="356">
        <v>40428</v>
      </c>
      <c r="E327" s="360">
        <v>7</v>
      </c>
      <c r="F327" s="358">
        <v>0</v>
      </c>
      <c r="G327" s="358">
        <v>0</v>
      </c>
      <c r="H327" s="358">
        <v>0</v>
      </c>
      <c r="I327" s="358">
        <v>0</v>
      </c>
      <c r="J327" s="358">
        <v>0</v>
      </c>
      <c r="L327" s="357">
        <v>0</v>
      </c>
    </row>
    <row r="328" spans="1:12" hidden="1">
      <c r="A328" s="369">
        <v>40249</v>
      </c>
      <c r="B328" s="369" t="s">
        <v>672</v>
      </c>
      <c r="C328" s="370">
        <v>728</v>
      </c>
      <c r="D328" s="369">
        <v>40977</v>
      </c>
      <c r="E328" s="371">
        <v>3</v>
      </c>
      <c r="F328" s="372">
        <v>0</v>
      </c>
      <c r="G328" s="372">
        <v>0</v>
      </c>
      <c r="H328" s="372">
        <v>0</v>
      </c>
      <c r="I328" s="372">
        <v>0</v>
      </c>
      <c r="J328" s="372">
        <v>0</v>
      </c>
      <c r="K328" s="373"/>
      <c r="L328" s="370">
        <v>0</v>
      </c>
    </row>
    <row r="329" spans="1:12" hidden="1">
      <c r="A329" s="356">
        <v>40249</v>
      </c>
      <c r="B329" s="356" t="s">
        <v>673</v>
      </c>
      <c r="C329" s="357">
        <v>364</v>
      </c>
      <c r="D329" s="356">
        <v>40613</v>
      </c>
      <c r="E329" s="360">
        <v>4</v>
      </c>
      <c r="F329" s="358">
        <v>6.2992999999999997</v>
      </c>
      <c r="G329" s="358">
        <v>4</v>
      </c>
      <c r="H329" s="358">
        <v>3.75</v>
      </c>
      <c r="I329" s="358">
        <v>3.75</v>
      </c>
      <c r="J329" s="358">
        <v>3.75</v>
      </c>
      <c r="L329" s="357">
        <v>3</v>
      </c>
    </row>
    <row r="330" spans="1:12" hidden="1">
      <c r="A330" s="369">
        <v>40253</v>
      </c>
      <c r="B330" s="369" t="s">
        <v>674</v>
      </c>
      <c r="C330" s="370">
        <v>35</v>
      </c>
      <c r="D330" s="369">
        <v>40288</v>
      </c>
      <c r="E330" s="371">
        <v>20</v>
      </c>
      <c r="F330" s="372">
        <v>8.8030000000000008</v>
      </c>
      <c r="G330" s="372">
        <v>5.8010999999999999</v>
      </c>
      <c r="H330" s="372">
        <v>0.73</v>
      </c>
      <c r="I330" s="372">
        <v>0.73</v>
      </c>
      <c r="J330" s="372">
        <v>0.73</v>
      </c>
      <c r="K330" s="373"/>
      <c r="L330" s="370">
        <v>3</v>
      </c>
    </row>
    <row r="331" spans="1:12" hidden="1">
      <c r="A331" s="356">
        <v>40253</v>
      </c>
      <c r="B331" s="356" t="s">
        <v>675</v>
      </c>
      <c r="C331" s="357">
        <v>364</v>
      </c>
      <c r="D331" s="356">
        <v>40617</v>
      </c>
      <c r="E331" s="360">
        <v>2</v>
      </c>
      <c r="F331" s="358">
        <v>0</v>
      </c>
      <c r="G331" s="358">
        <v>0</v>
      </c>
      <c r="H331" s="358">
        <v>0</v>
      </c>
      <c r="I331" s="358">
        <v>0</v>
      </c>
      <c r="J331" s="358">
        <v>0</v>
      </c>
      <c r="L331" s="357">
        <v>0</v>
      </c>
    </row>
    <row r="332" spans="1:12" hidden="1">
      <c r="A332" s="369">
        <v>40256</v>
      </c>
      <c r="B332" s="369" t="s">
        <v>676</v>
      </c>
      <c r="C332" s="370">
        <v>91</v>
      </c>
      <c r="D332" s="369">
        <v>40347</v>
      </c>
      <c r="E332" s="371">
        <v>15</v>
      </c>
      <c r="F332" s="372">
        <v>0</v>
      </c>
      <c r="G332" s="372">
        <v>0</v>
      </c>
      <c r="H332" s="372">
        <v>0</v>
      </c>
      <c r="I332" s="372">
        <v>0</v>
      </c>
      <c r="J332" s="372">
        <v>0</v>
      </c>
      <c r="K332" s="373"/>
      <c r="L332" s="370">
        <v>0</v>
      </c>
    </row>
    <row r="333" spans="1:12" hidden="1">
      <c r="A333" s="356">
        <v>40256</v>
      </c>
      <c r="B333" s="356" t="s">
        <v>677</v>
      </c>
      <c r="C333" s="357">
        <v>364</v>
      </c>
      <c r="D333" s="356">
        <v>40620</v>
      </c>
      <c r="E333" s="360">
        <v>4</v>
      </c>
      <c r="F333" s="358">
        <v>5.8</v>
      </c>
      <c r="G333" s="358">
        <v>4</v>
      </c>
      <c r="H333" s="358">
        <v>3.75</v>
      </c>
      <c r="I333" s="358">
        <v>3.75</v>
      </c>
      <c r="J333" s="358">
        <v>3.75</v>
      </c>
      <c r="L333" s="357">
        <v>2</v>
      </c>
    </row>
    <row r="334" spans="1:12" hidden="1">
      <c r="A334" s="369">
        <v>40256</v>
      </c>
      <c r="B334" s="369" t="s">
        <v>678</v>
      </c>
      <c r="C334" s="370">
        <v>182</v>
      </c>
      <c r="D334" s="369">
        <v>40438</v>
      </c>
      <c r="E334" s="371">
        <v>8</v>
      </c>
      <c r="F334" s="372">
        <v>1.4046000000000001</v>
      </c>
      <c r="G334" s="372">
        <v>1.4046000000000001</v>
      </c>
      <c r="H334" s="372">
        <v>1.1100000000000001</v>
      </c>
      <c r="I334" s="372">
        <v>1.1100000000000001</v>
      </c>
      <c r="J334" s="372">
        <v>1.01</v>
      </c>
      <c r="K334" s="373"/>
      <c r="L334" s="370">
        <v>3</v>
      </c>
    </row>
    <row r="335" spans="1:12" hidden="1">
      <c r="A335" s="356">
        <v>40274</v>
      </c>
      <c r="B335" s="356" t="s">
        <v>679</v>
      </c>
      <c r="C335" s="357">
        <v>364</v>
      </c>
      <c r="D335" s="356">
        <v>40638</v>
      </c>
      <c r="E335" s="360">
        <v>3</v>
      </c>
      <c r="F335" s="358">
        <v>2.8755000000000002</v>
      </c>
      <c r="G335" s="358">
        <v>2.8755000000000002</v>
      </c>
      <c r="H335" s="358">
        <v>2.88</v>
      </c>
      <c r="I335" s="358">
        <v>2.88</v>
      </c>
      <c r="J335" s="358">
        <v>2.86</v>
      </c>
      <c r="L335" s="357">
        <v>2</v>
      </c>
    </row>
    <row r="336" spans="1:12" hidden="1">
      <c r="A336" s="369">
        <v>40274</v>
      </c>
      <c r="B336" s="369" t="s">
        <v>680</v>
      </c>
      <c r="C336" s="370">
        <v>35</v>
      </c>
      <c r="D336" s="369">
        <v>40309</v>
      </c>
      <c r="E336" s="371">
        <v>18</v>
      </c>
      <c r="F336" s="372">
        <v>5.3018000000000001</v>
      </c>
      <c r="G336" s="372">
        <v>5.3018000000000001</v>
      </c>
      <c r="H336" s="372">
        <v>1.04</v>
      </c>
      <c r="I336" s="372">
        <v>1.04</v>
      </c>
      <c r="J336" s="372">
        <v>0.94000000000000006</v>
      </c>
      <c r="K336" s="373"/>
      <c r="L336" s="370">
        <v>2</v>
      </c>
    </row>
    <row r="337" spans="1:12" hidden="1">
      <c r="A337" s="356">
        <v>40277</v>
      </c>
      <c r="B337" s="356" t="s">
        <v>681</v>
      </c>
      <c r="C337" s="357">
        <v>91</v>
      </c>
      <c r="D337" s="356">
        <v>40368</v>
      </c>
      <c r="E337" s="360">
        <v>18</v>
      </c>
      <c r="F337" s="358">
        <v>3.0053999999999998</v>
      </c>
      <c r="G337" s="358">
        <v>3.0053999999999998</v>
      </c>
      <c r="H337" s="358">
        <v>1.3299999999999998</v>
      </c>
      <c r="I337" s="358">
        <v>1.3299999999999998</v>
      </c>
      <c r="J337" s="358">
        <v>1.3299999999999998</v>
      </c>
      <c r="L337" s="357">
        <v>1</v>
      </c>
    </row>
    <row r="338" spans="1:12" hidden="1">
      <c r="A338" s="369">
        <v>40281</v>
      </c>
      <c r="B338" s="369" t="s">
        <v>682</v>
      </c>
      <c r="C338" s="370">
        <v>182</v>
      </c>
      <c r="D338" s="369">
        <v>40463</v>
      </c>
      <c r="E338" s="371">
        <v>7</v>
      </c>
      <c r="F338" s="372">
        <v>0</v>
      </c>
      <c r="G338" s="372">
        <v>0</v>
      </c>
      <c r="H338" s="372">
        <v>0</v>
      </c>
      <c r="I338" s="372">
        <v>0</v>
      </c>
      <c r="J338" s="372">
        <v>0</v>
      </c>
      <c r="K338" s="373"/>
      <c r="L338" s="370">
        <v>0</v>
      </c>
    </row>
    <row r="339" spans="1:12" hidden="1">
      <c r="A339" s="356">
        <v>40281</v>
      </c>
      <c r="B339" s="356" t="s">
        <v>683</v>
      </c>
      <c r="C339" s="357">
        <v>364</v>
      </c>
      <c r="D339" s="356">
        <v>40645</v>
      </c>
      <c r="E339" s="360">
        <v>4</v>
      </c>
      <c r="F339" s="358">
        <v>0</v>
      </c>
      <c r="G339" s="358">
        <v>0</v>
      </c>
      <c r="H339" s="358">
        <v>0</v>
      </c>
      <c r="I339" s="358">
        <v>0</v>
      </c>
      <c r="J339" s="358">
        <v>0</v>
      </c>
      <c r="L339" s="357">
        <v>0</v>
      </c>
    </row>
    <row r="340" spans="1:12" hidden="1">
      <c r="A340" s="369">
        <v>40281</v>
      </c>
      <c r="B340" s="369" t="s">
        <v>684</v>
      </c>
      <c r="C340" s="370">
        <v>1800</v>
      </c>
      <c r="D340" s="369">
        <v>42101</v>
      </c>
      <c r="E340" s="371">
        <v>500</v>
      </c>
      <c r="F340" s="372">
        <v>40</v>
      </c>
      <c r="G340" s="372">
        <v>40</v>
      </c>
      <c r="H340" s="372">
        <v>2</v>
      </c>
      <c r="I340" s="372">
        <v>2</v>
      </c>
      <c r="J340" s="372">
        <v>2</v>
      </c>
      <c r="K340" s="373"/>
      <c r="L340" s="370">
        <v>1</v>
      </c>
    </row>
    <row r="341" spans="1:12" hidden="1">
      <c r="A341" s="356">
        <v>40284</v>
      </c>
      <c r="B341" s="356" t="s">
        <v>685</v>
      </c>
      <c r="C341" s="357">
        <v>728</v>
      </c>
      <c r="D341" s="356">
        <v>41012</v>
      </c>
      <c r="E341" s="360">
        <v>2</v>
      </c>
      <c r="F341" s="358">
        <v>0</v>
      </c>
      <c r="G341" s="358">
        <v>0</v>
      </c>
      <c r="H341" s="358">
        <v>0</v>
      </c>
      <c r="I341" s="358">
        <v>0</v>
      </c>
      <c r="J341" s="358">
        <v>0</v>
      </c>
      <c r="L341" s="357">
        <v>0</v>
      </c>
    </row>
    <row r="342" spans="1:12" hidden="1">
      <c r="A342" s="369">
        <v>40284</v>
      </c>
      <c r="B342" s="369" t="s">
        <v>686</v>
      </c>
      <c r="C342" s="370">
        <v>1092</v>
      </c>
      <c r="D342" s="369">
        <v>41376</v>
      </c>
      <c r="E342" s="371">
        <v>2</v>
      </c>
      <c r="F342" s="372">
        <v>2</v>
      </c>
      <c r="G342" s="372">
        <v>2</v>
      </c>
      <c r="H342" s="372">
        <v>4.5</v>
      </c>
      <c r="I342" s="372">
        <v>4.5</v>
      </c>
      <c r="J342" s="372">
        <v>4.5</v>
      </c>
      <c r="K342" s="373"/>
      <c r="L342" s="370">
        <v>1</v>
      </c>
    </row>
    <row r="343" spans="1:12" hidden="1">
      <c r="A343" s="356">
        <v>40288</v>
      </c>
      <c r="B343" s="356" t="s">
        <v>687</v>
      </c>
      <c r="C343" s="357">
        <v>35</v>
      </c>
      <c r="D343" s="356">
        <v>40323</v>
      </c>
      <c r="E343" s="360">
        <v>20</v>
      </c>
      <c r="F343" s="358">
        <v>9.0070999999999994</v>
      </c>
      <c r="G343" s="358">
        <v>6.0046999999999997</v>
      </c>
      <c r="H343" s="358">
        <v>1.1499999999999999</v>
      </c>
      <c r="I343" s="358">
        <v>1.1499999999999999</v>
      </c>
      <c r="J343" s="358">
        <v>1.04</v>
      </c>
      <c r="L343" s="357">
        <v>3</v>
      </c>
    </row>
    <row r="344" spans="1:12" hidden="1">
      <c r="A344" s="369">
        <v>40288</v>
      </c>
      <c r="B344" s="369" t="s">
        <v>688</v>
      </c>
      <c r="C344" s="370">
        <v>364</v>
      </c>
      <c r="D344" s="369">
        <v>40652</v>
      </c>
      <c r="E344" s="371">
        <v>2</v>
      </c>
      <c r="F344" s="372">
        <v>0</v>
      </c>
      <c r="G344" s="372">
        <v>0</v>
      </c>
      <c r="H344" s="372">
        <v>0</v>
      </c>
      <c r="I344" s="372">
        <v>0</v>
      </c>
      <c r="J344" s="372">
        <v>0</v>
      </c>
      <c r="K344" s="373"/>
      <c r="L344" s="370">
        <v>0</v>
      </c>
    </row>
    <row r="345" spans="1:12" hidden="1">
      <c r="A345" s="356">
        <v>40291</v>
      </c>
      <c r="B345" s="356" t="s">
        <v>689</v>
      </c>
      <c r="C345" s="357">
        <v>91</v>
      </c>
      <c r="D345" s="356">
        <v>40382</v>
      </c>
      <c r="E345" s="360">
        <v>15</v>
      </c>
      <c r="F345" s="358">
        <v>4.0393999999999997</v>
      </c>
      <c r="G345" s="358">
        <v>4.0393999999999997</v>
      </c>
      <c r="H345" s="358">
        <v>1.3299999999999998</v>
      </c>
      <c r="I345" s="358">
        <v>1.3299999999999998</v>
      </c>
      <c r="J345" s="358">
        <v>1.3299999999999998</v>
      </c>
      <c r="L345" s="357">
        <v>2</v>
      </c>
    </row>
    <row r="346" spans="1:12" hidden="1">
      <c r="A346" s="369">
        <v>40295</v>
      </c>
      <c r="B346" s="369" t="s">
        <v>690</v>
      </c>
      <c r="C346" s="370">
        <v>182</v>
      </c>
      <c r="D346" s="369">
        <v>40477</v>
      </c>
      <c r="E346" s="371">
        <v>8</v>
      </c>
      <c r="F346" s="372">
        <v>0</v>
      </c>
      <c r="G346" s="372">
        <v>0</v>
      </c>
      <c r="H346" s="372">
        <v>0</v>
      </c>
      <c r="I346" s="372">
        <v>0</v>
      </c>
      <c r="J346" s="372">
        <v>0</v>
      </c>
      <c r="K346" s="373"/>
      <c r="L346" s="370">
        <v>0</v>
      </c>
    </row>
    <row r="347" spans="1:12" hidden="1">
      <c r="A347" s="356">
        <v>40295</v>
      </c>
      <c r="B347" s="356" t="s">
        <v>691</v>
      </c>
      <c r="C347" s="357">
        <v>364</v>
      </c>
      <c r="D347" s="356">
        <v>40659</v>
      </c>
      <c r="E347" s="360">
        <v>4</v>
      </c>
      <c r="F347" s="358">
        <v>5.04</v>
      </c>
      <c r="G347" s="358">
        <v>4</v>
      </c>
      <c r="H347" s="358">
        <v>3.75</v>
      </c>
      <c r="I347" s="358">
        <v>3.75</v>
      </c>
      <c r="J347" s="358">
        <v>3.75</v>
      </c>
      <c r="L347" s="357">
        <v>2</v>
      </c>
    </row>
    <row r="348" spans="1:12" hidden="1">
      <c r="A348" s="369">
        <v>40298</v>
      </c>
      <c r="B348" s="369" t="s">
        <v>692</v>
      </c>
      <c r="C348" s="370">
        <v>728</v>
      </c>
      <c r="D348" s="369">
        <v>41026</v>
      </c>
      <c r="E348" s="371">
        <v>2</v>
      </c>
      <c r="F348" s="372">
        <v>0</v>
      </c>
      <c r="G348" s="372">
        <v>0</v>
      </c>
      <c r="H348" s="372">
        <v>0</v>
      </c>
      <c r="I348" s="372">
        <v>0</v>
      </c>
      <c r="J348" s="372">
        <v>0</v>
      </c>
      <c r="K348" s="373"/>
      <c r="L348" s="370">
        <v>0</v>
      </c>
    </row>
    <row r="349" spans="1:12" hidden="1">
      <c r="A349" s="356">
        <v>40298</v>
      </c>
      <c r="B349" s="356" t="s">
        <v>693</v>
      </c>
      <c r="C349" s="357">
        <v>1092</v>
      </c>
      <c r="D349" s="356">
        <v>41390</v>
      </c>
      <c r="E349" s="360">
        <v>3</v>
      </c>
      <c r="F349" s="358">
        <v>0</v>
      </c>
      <c r="G349" s="358">
        <v>0</v>
      </c>
      <c r="H349" s="358">
        <v>0</v>
      </c>
      <c r="I349" s="358">
        <v>0</v>
      </c>
      <c r="J349" s="358">
        <v>0</v>
      </c>
      <c r="L349" s="357">
        <v>0</v>
      </c>
    </row>
    <row r="350" spans="1:12" hidden="1">
      <c r="A350" s="369">
        <v>40302</v>
      </c>
      <c r="B350" s="369" t="s">
        <v>694</v>
      </c>
      <c r="C350" s="370">
        <v>35</v>
      </c>
      <c r="D350" s="369">
        <v>40337</v>
      </c>
      <c r="E350" s="371">
        <v>18</v>
      </c>
      <c r="F350" s="372">
        <v>2.1105999999999998</v>
      </c>
      <c r="G350" s="372">
        <v>2.1105999999999998</v>
      </c>
      <c r="H350" s="372">
        <v>1.1499999999999999</v>
      </c>
      <c r="I350" s="372">
        <v>1.1499999999999999</v>
      </c>
      <c r="J350" s="372">
        <v>1.1499999999999999</v>
      </c>
      <c r="K350" s="373"/>
      <c r="L350" s="370">
        <v>2</v>
      </c>
    </row>
    <row r="351" spans="1:12" hidden="1">
      <c r="A351" s="356">
        <v>40302</v>
      </c>
      <c r="B351" s="356" t="s">
        <v>695</v>
      </c>
      <c r="C351" s="357">
        <v>364</v>
      </c>
      <c r="D351" s="356">
        <v>40666</v>
      </c>
      <c r="E351" s="360">
        <v>3</v>
      </c>
      <c r="F351" s="358">
        <v>0</v>
      </c>
      <c r="G351" s="358">
        <v>0</v>
      </c>
      <c r="H351" s="358">
        <v>0</v>
      </c>
      <c r="I351" s="358">
        <v>0</v>
      </c>
      <c r="J351" s="358">
        <v>0</v>
      </c>
      <c r="L351" s="357">
        <v>0</v>
      </c>
    </row>
    <row r="352" spans="1:12" hidden="1">
      <c r="A352" s="369">
        <v>40305</v>
      </c>
      <c r="B352" s="369" t="s">
        <v>696</v>
      </c>
      <c r="C352" s="370">
        <v>91</v>
      </c>
      <c r="D352" s="369">
        <v>40396</v>
      </c>
      <c r="E352" s="371">
        <v>18</v>
      </c>
      <c r="F352" s="372">
        <v>0</v>
      </c>
      <c r="G352" s="372">
        <v>0</v>
      </c>
      <c r="H352" s="372">
        <v>0</v>
      </c>
      <c r="I352" s="372">
        <v>0</v>
      </c>
      <c r="J352" s="372">
        <v>0</v>
      </c>
      <c r="K352" s="373"/>
      <c r="L352" s="370">
        <v>0</v>
      </c>
    </row>
    <row r="353" spans="1:12" hidden="1">
      <c r="A353" s="356">
        <v>40309</v>
      </c>
      <c r="B353" s="356" t="s">
        <v>697</v>
      </c>
      <c r="C353" s="357">
        <v>182</v>
      </c>
      <c r="D353" s="356">
        <v>40491</v>
      </c>
      <c r="E353" s="360">
        <v>7</v>
      </c>
      <c r="F353" s="358">
        <v>0</v>
      </c>
      <c r="G353" s="358">
        <v>0</v>
      </c>
      <c r="H353" s="358">
        <v>0</v>
      </c>
      <c r="I353" s="358">
        <v>0</v>
      </c>
      <c r="J353" s="358">
        <v>0</v>
      </c>
      <c r="L353" s="357">
        <v>0</v>
      </c>
    </row>
    <row r="354" spans="1:12" hidden="1">
      <c r="A354" s="369">
        <v>40309</v>
      </c>
      <c r="B354" s="369" t="s">
        <v>698</v>
      </c>
      <c r="C354" s="370">
        <v>364</v>
      </c>
      <c r="D354" s="369">
        <v>40673</v>
      </c>
      <c r="E354" s="371">
        <v>4</v>
      </c>
      <c r="F354" s="372">
        <v>0</v>
      </c>
      <c r="G354" s="372">
        <v>0</v>
      </c>
      <c r="H354" s="372">
        <v>0</v>
      </c>
      <c r="I354" s="372">
        <v>0</v>
      </c>
      <c r="J354" s="372">
        <v>0</v>
      </c>
      <c r="K354" s="373"/>
      <c r="L354" s="370">
        <v>0</v>
      </c>
    </row>
    <row r="355" spans="1:12" hidden="1">
      <c r="A355" s="356">
        <v>40312</v>
      </c>
      <c r="B355" s="356" t="s">
        <v>699</v>
      </c>
      <c r="C355" s="357">
        <v>728</v>
      </c>
      <c r="D355" s="356">
        <v>41040</v>
      </c>
      <c r="E355" s="360">
        <v>2</v>
      </c>
      <c r="F355" s="358">
        <v>0</v>
      </c>
      <c r="G355" s="358">
        <v>0</v>
      </c>
      <c r="H355" s="358">
        <v>0</v>
      </c>
      <c r="I355" s="358">
        <v>0</v>
      </c>
      <c r="J355" s="358">
        <v>0</v>
      </c>
      <c r="L355" s="357">
        <v>0</v>
      </c>
    </row>
    <row r="356" spans="1:12" hidden="1">
      <c r="A356" s="369">
        <v>40312</v>
      </c>
      <c r="B356" s="369" t="s">
        <v>700</v>
      </c>
      <c r="C356" s="370">
        <v>1092</v>
      </c>
      <c r="D356" s="369">
        <v>41404</v>
      </c>
      <c r="E356" s="371">
        <v>2</v>
      </c>
      <c r="F356" s="372">
        <v>0</v>
      </c>
      <c r="G356" s="372">
        <v>0</v>
      </c>
      <c r="H356" s="372">
        <v>0</v>
      </c>
      <c r="I356" s="372">
        <v>0</v>
      </c>
      <c r="J356" s="372">
        <v>0</v>
      </c>
      <c r="K356" s="373"/>
      <c r="L356" s="370">
        <v>0</v>
      </c>
    </row>
    <row r="357" spans="1:12" hidden="1">
      <c r="A357" s="356">
        <v>40316</v>
      </c>
      <c r="B357" s="356" t="s">
        <v>701</v>
      </c>
      <c r="C357" s="357">
        <v>35</v>
      </c>
      <c r="D357" s="356">
        <v>40351</v>
      </c>
      <c r="E357" s="360">
        <v>20</v>
      </c>
      <c r="F357" s="358">
        <v>0</v>
      </c>
      <c r="G357" s="358">
        <v>0</v>
      </c>
      <c r="H357" s="358">
        <v>0</v>
      </c>
      <c r="I357" s="358">
        <v>0</v>
      </c>
      <c r="J357" s="358">
        <v>0</v>
      </c>
      <c r="L357" s="357">
        <v>0</v>
      </c>
    </row>
    <row r="358" spans="1:12" hidden="1">
      <c r="A358" s="369">
        <v>40316</v>
      </c>
      <c r="B358" s="369" t="s">
        <v>702</v>
      </c>
      <c r="C358" s="370">
        <v>364</v>
      </c>
      <c r="D358" s="369">
        <v>40680</v>
      </c>
      <c r="E358" s="371">
        <v>2</v>
      </c>
      <c r="F358" s="372">
        <v>2.0588000000000002</v>
      </c>
      <c r="G358" s="372">
        <v>2</v>
      </c>
      <c r="H358" s="372">
        <v>3.45</v>
      </c>
      <c r="I358" s="372">
        <v>3.45</v>
      </c>
      <c r="J358" s="372">
        <v>3.4000000000000004</v>
      </c>
      <c r="K358" s="373"/>
      <c r="L358" s="370">
        <v>2</v>
      </c>
    </row>
    <row r="359" spans="1:12" hidden="1">
      <c r="A359" s="356">
        <v>40319</v>
      </c>
      <c r="B359" s="356" t="s">
        <v>703</v>
      </c>
      <c r="C359" s="357">
        <v>91</v>
      </c>
      <c r="D359" s="356">
        <v>40410</v>
      </c>
      <c r="E359" s="360">
        <v>15</v>
      </c>
      <c r="F359" s="358">
        <v>0</v>
      </c>
      <c r="G359" s="358">
        <v>0</v>
      </c>
      <c r="H359" s="358">
        <v>0</v>
      </c>
      <c r="I359" s="358">
        <v>0</v>
      </c>
      <c r="J359" s="358">
        <v>0</v>
      </c>
      <c r="L359" s="357">
        <v>0</v>
      </c>
    </row>
    <row r="360" spans="1:12" hidden="1">
      <c r="A360" s="369">
        <v>40323</v>
      </c>
      <c r="B360" s="369" t="s">
        <v>704</v>
      </c>
      <c r="C360" s="370">
        <v>182</v>
      </c>
      <c r="D360" s="369">
        <v>40505</v>
      </c>
      <c r="E360" s="371">
        <v>8</v>
      </c>
      <c r="F360" s="372">
        <v>0.19600000000000001</v>
      </c>
      <c r="G360" s="372">
        <v>0</v>
      </c>
      <c r="H360" s="372">
        <v>1.92</v>
      </c>
      <c r="I360" s="372">
        <v>1.92</v>
      </c>
      <c r="J360" s="372">
        <v>0</v>
      </c>
      <c r="K360" s="373"/>
      <c r="L360" s="370">
        <v>1</v>
      </c>
    </row>
    <row r="361" spans="1:12" hidden="1">
      <c r="A361" s="356">
        <v>40323</v>
      </c>
      <c r="B361" s="356" t="s">
        <v>705</v>
      </c>
      <c r="C361" s="357">
        <v>364</v>
      </c>
      <c r="D361" s="356">
        <v>40687</v>
      </c>
      <c r="E361" s="360">
        <v>4</v>
      </c>
      <c r="F361" s="358">
        <v>0.25</v>
      </c>
      <c r="G361" s="358">
        <v>0</v>
      </c>
      <c r="H361" s="358">
        <v>3.75</v>
      </c>
      <c r="I361" s="358">
        <v>3.75</v>
      </c>
      <c r="J361" s="358">
        <v>0</v>
      </c>
      <c r="L361" s="357">
        <v>0</v>
      </c>
    </row>
    <row r="362" spans="1:12" hidden="1">
      <c r="A362" s="369">
        <v>40323</v>
      </c>
      <c r="B362" s="369" t="s">
        <v>706</v>
      </c>
      <c r="C362" s="370">
        <v>728</v>
      </c>
      <c r="D362" s="369">
        <v>41051</v>
      </c>
      <c r="E362" s="371">
        <v>2</v>
      </c>
      <c r="F362" s="372">
        <v>0</v>
      </c>
      <c r="G362" s="372">
        <v>0</v>
      </c>
      <c r="H362" s="372">
        <v>0</v>
      </c>
      <c r="I362" s="372">
        <v>0</v>
      </c>
      <c r="J362" s="372">
        <v>0</v>
      </c>
      <c r="K362" s="373"/>
      <c r="L362" s="370">
        <v>0</v>
      </c>
    </row>
    <row r="363" spans="1:12" hidden="1">
      <c r="A363" s="356">
        <v>40323</v>
      </c>
      <c r="B363" s="356" t="s">
        <v>707</v>
      </c>
      <c r="C363" s="357">
        <v>1092</v>
      </c>
      <c r="D363" s="356">
        <v>41415</v>
      </c>
      <c r="E363" s="360">
        <v>3</v>
      </c>
      <c r="F363" s="358">
        <v>0</v>
      </c>
      <c r="G363" s="358">
        <v>0</v>
      </c>
      <c r="H363" s="358">
        <v>0</v>
      </c>
      <c r="I363" s="358">
        <v>0</v>
      </c>
      <c r="J363" s="358">
        <v>0</v>
      </c>
      <c r="L363" s="357">
        <v>0</v>
      </c>
    </row>
    <row r="364" spans="1:12" hidden="1">
      <c r="A364" s="369">
        <v>40330</v>
      </c>
      <c r="B364" s="369" t="s">
        <v>708</v>
      </c>
      <c r="C364" s="370">
        <v>364</v>
      </c>
      <c r="D364" s="369">
        <v>40694</v>
      </c>
      <c r="E364" s="371">
        <v>3</v>
      </c>
      <c r="F364" s="372">
        <v>0</v>
      </c>
      <c r="G364" s="372">
        <v>0</v>
      </c>
      <c r="H364" s="372">
        <v>0</v>
      </c>
      <c r="I364" s="372">
        <v>0</v>
      </c>
      <c r="J364" s="372">
        <v>0</v>
      </c>
      <c r="K364" s="373"/>
      <c r="L364" s="370">
        <v>0</v>
      </c>
    </row>
    <row r="365" spans="1:12" hidden="1">
      <c r="A365" s="356">
        <v>40330</v>
      </c>
      <c r="B365" s="356" t="s">
        <v>709</v>
      </c>
      <c r="C365" s="357">
        <v>35</v>
      </c>
      <c r="D365" s="356">
        <v>40365</v>
      </c>
      <c r="E365" s="360">
        <v>18</v>
      </c>
      <c r="F365" s="358">
        <v>0</v>
      </c>
      <c r="G365" s="358">
        <v>0</v>
      </c>
      <c r="H365" s="358">
        <v>0</v>
      </c>
      <c r="I365" s="358">
        <v>0</v>
      </c>
      <c r="J365" s="358">
        <v>0</v>
      </c>
      <c r="L365" s="357">
        <v>0</v>
      </c>
    </row>
    <row r="366" spans="1:12" hidden="1">
      <c r="A366" s="369">
        <v>40333</v>
      </c>
      <c r="B366" s="369" t="s">
        <v>710</v>
      </c>
      <c r="C366" s="370">
        <v>91</v>
      </c>
      <c r="D366" s="369">
        <v>40424</v>
      </c>
      <c r="E366" s="371">
        <v>18</v>
      </c>
      <c r="F366" s="372">
        <v>0</v>
      </c>
      <c r="G366" s="372">
        <v>0</v>
      </c>
      <c r="H366" s="372">
        <v>0</v>
      </c>
      <c r="I366" s="372">
        <v>0</v>
      </c>
      <c r="J366" s="372">
        <v>0</v>
      </c>
      <c r="K366" s="373"/>
      <c r="L366" s="370">
        <v>0</v>
      </c>
    </row>
    <row r="367" spans="1:12" hidden="1">
      <c r="A367" s="356">
        <v>40337</v>
      </c>
      <c r="B367" s="356" t="s">
        <v>711</v>
      </c>
      <c r="C367" s="357">
        <v>182</v>
      </c>
      <c r="D367" s="356">
        <v>40519</v>
      </c>
      <c r="E367" s="360">
        <v>7</v>
      </c>
      <c r="F367" s="358">
        <v>0</v>
      </c>
      <c r="G367" s="358">
        <v>0</v>
      </c>
      <c r="H367" s="358">
        <v>0</v>
      </c>
      <c r="I367" s="358">
        <v>0</v>
      </c>
      <c r="J367" s="358">
        <v>0</v>
      </c>
      <c r="L367" s="357">
        <v>0</v>
      </c>
    </row>
    <row r="368" spans="1:12" hidden="1">
      <c r="A368" s="369">
        <v>40337</v>
      </c>
      <c r="B368" s="369" t="s">
        <v>712</v>
      </c>
      <c r="C368" s="370">
        <v>364</v>
      </c>
      <c r="D368" s="369">
        <v>40701</v>
      </c>
      <c r="E368" s="371">
        <v>4</v>
      </c>
      <c r="F368" s="372">
        <v>0.1087</v>
      </c>
      <c r="G368" s="372">
        <v>0</v>
      </c>
      <c r="H368" s="372">
        <v>3.75</v>
      </c>
      <c r="I368" s="372">
        <v>3.75</v>
      </c>
      <c r="J368" s="372">
        <v>0</v>
      </c>
      <c r="K368" s="373"/>
      <c r="L368" s="370">
        <v>0</v>
      </c>
    </row>
    <row r="369" spans="1:12" hidden="1">
      <c r="A369" s="356">
        <v>40340</v>
      </c>
      <c r="B369" s="356" t="s">
        <v>713</v>
      </c>
      <c r="C369" s="357">
        <v>1092</v>
      </c>
      <c r="D369" s="356">
        <v>41432</v>
      </c>
      <c r="E369" s="360">
        <v>2</v>
      </c>
      <c r="F369" s="358">
        <v>0</v>
      </c>
      <c r="G369" s="358">
        <v>0</v>
      </c>
      <c r="H369" s="358">
        <v>4.5</v>
      </c>
      <c r="I369" s="358">
        <v>4.5</v>
      </c>
      <c r="J369" s="358">
        <v>0</v>
      </c>
      <c r="L369" s="357">
        <v>0</v>
      </c>
    </row>
    <row r="370" spans="1:12" hidden="1">
      <c r="A370" s="369">
        <v>40340</v>
      </c>
      <c r="B370" s="369" t="s">
        <v>714</v>
      </c>
      <c r="C370" s="370">
        <v>728</v>
      </c>
      <c r="D370" s="369">
        <v>41068</v>
      </c>
      <c r="E370" s="371">
        <v>2</v>
      </c>
      <c r="F370" s="372">
        <v>0</v>
      </c>
      <c r="G370" s="372">
        <v>0</v>
      </c>
      <c r="H370" s="372">
        <v>4</v>
      </c>
      <c r="I370" s="372">
        <v>4</v>
      </c>
      <c r="J370" s="372">
        <v>0</v>
      </c>
      <c r="K370" s="373"/>
      <c r="L370" s="370">
        <v>0</v>
      </c>
    </row>
    <row r="371" spans="1:12" hidden="1">
      <c r="A371" s="356">
        <v>40347</v>
      </c>
      <c r="B371" s="356" t="s">
        <v>715</v>
      </c>
      <c r="C371" s="357">
        <v>35</v>
      </c>
      <c r="D371" s="356">
        <v>40382</v>
      </c>
      <c r="E371" s="360">
        <v>20</v>
      </c>
      <c r="F371" s="358">
        <v>0</v>
      </c>
      <c r="G371" s="358">
        <v>0</v>
      </c>
      <c r="H371" s="358">
        <v>0</v>
      </c>
      <c r="I371" s="358">
        <v>0</v>
      </c>
      <c r="J371" s="358">
        <v>0</v>
      </c>
      <c r="L371" s="357">
        <v>0</v>
      </c>
    </row>
    <row r="372" spans="1:12" hidden="1">
      <c r="A372" s="369">
        <v>40347</v>
      </c>
      <c r="B372" s="369" t="s">
        <v>716</v>
      </c>
      <c r="C372" s="370">
        <v>91</v>
      </c>
      <c r="D372" s="369">
        <v>40438</v>
      </c>
      <c r="E372" s="371">
        <v>15</v>
      </c>
      <c r="F372" s="372">
        <v>0</v>
      </c>
      <c r="G372" s="372">
        <v>0</v>
      </c>
      <c r="H372" s="372">
        <v>0</v>
      </c>
      <c r="I372" s="372">
        <v>0</v>
      </c>
      <c r="J372" s="372">
        <v>0</v>
      </c>
      <c r="K372" s="373"/>
      <c r="L372" s="370">
        <v>0</v>
      </c>
    </row>
    <row r="373" spans="1:12" hidden="1">
      <c r="A373" s="356">
        <v>40347</v>
      </c>
      <c r="B373" s="356" t="s">
        <v>717</v>
      </c>
      <c r="C373" s="357">
        <v>364</v>
      </c>
      <c r="D373" s="356">
        <v>40711</v>
      </c>
      <c r="E373" s="360">
        <v>2</v>
      </c>
      <c r="F373" s="358">
        <v>0</v>
      </c>
      <c r="G373" s="358">
        <v>0</v>
      </c>
      <c r="H373" s="358">
        <v>0</v>
      </c>
      <c r="I373" s="358">
        <v>0</v>
      </c>
      <c r="J373" s="358">
        <v>0</v>
      </c>
      <c r="L373" s="357">
        <v>0</v>
      </c>
    </row>
    <row r="374" spans="1:12" hidden="1">
      <c r="A374" s="369">
        <v>40351</v>
      </c>
      <c r="B374" s="369" t="s">
        <v>718</v>
      </c>
      <c r="C374" s="370">
        <v>364</v>
      </c>
      <c r="D374" s="369">
        <v>40715</v>
      </c>
      <c r="E374" s="371">
        <v>4</v>
      </c>
      <c r="F374" s="372">
        <v>0</v>
      </c>
      <c r="G374" s="372">
        <v>0</v>
      </c>
      <c r="H374" s="372">
        <v>3.75</v>
      </c>
      <c r="I374" s="372">
        <v>3.75</v>
      </c>
      <c r="J374" s="372">
        <v>0</v>
      </c>
      <c r="K374" s="373"/>
      <c r="L374" s="370">
        <v>0</v>
      </c>
    </row>
    <row r="375" spans="1:12" hidden="1">
      <c r="A375" s="356">
        <v>40351</v>
      </c>
      <c r="B375" s="356" t="s">
        <v>719</v>
      </c>
      <c r="C375" s="357">
        <v>182</v>
      </c>
      <c r="D375" s="356">
        <v>40533</v>
      </c>
      <c r="E375" s="360">
        <v>8</v>
      </c>
      <c r="F375" s="358">
        <v>0</v>
      </c>
      <c r="G375" s="358">
        <v>0</v>
      </c>
      <c r="H375" s="358">
        <v>0</v>
      </c>
      <c r="I375" s="358">
        <v>0</v>
      </c>
      <c r="J375" s="358">
        <v>0</v>
      </c>
      <c r="L375" s="357">
        <v>0</v>
      </c>
    </row>
    <row r="376" spans="1:12" hidden="1">
      <c r="A376" s="369">
        <v>40354</v>
      </c>
      <c r="B376" s="369" t="s">
        <v>720</v>
      </c>
      <c r="C376" s="370">
        <v>1092</v>
      </c>
      <c r="D376" s="369">
        <v>41446</v>
      </c>
      <c r="E376" s="371">
        <v>3</v>
      </c>
      <c r="F376" s="372">
        <v>3</v>
      </c>
      <c r="G376" s="372">
        <v>3</v>
      </c>
      <c r="H376" s="372">
        <v>4.5</v>
      </c>
      <c r="I376" s="372">
        <v>4.5</v>
      </c>
      <c r="J376" s="372">
        <v>4.5</v>
      </c>
      <c r="K376" s="373"/>
      <c r="L376" s="370">
        <v>1</v>
      </c>
    </row>
    <row r="377" spans="1:12" hidden="1">
      <c r="A377" s="356">
        <v>40354</v>
      </c>
      <c r="B377" s="356" t="s">
        <v>721</v>
      </c>
      <c r="C377" s="357">
        <v>728</v>
      </c>
      <c r="D377" s="356">
        <v>41082</v>
      </c>
      <c r="E377" s="360">
        <v>2</v>
      </c>
      <c r="F377" s="358">
        <v>0</v>
      </c>
      <c r="G377" s="358">
        <v>0</v>
      </c>
      <c r="H377" s="358">
        <v>4</v>
      </c>
      <c r="I377" s="358">
        <v>4</v>
      </c>
      <c r="J377" s="358">
        <v>0</v>
      </c>
      <c r="L377" s="357">
        <v>0</v>
      </c>
    </row>
    <row r="378" spans="1:12" hidden="1">
      <c r="A378" s="369">
        <v>40365</v>
      </c>
      <c r="B378" s="369" t="s">
        <v>722</v>
      </c>
      <c r="C378" s="370">
        <v>35</v>
      </c>
      <c r="D378" s="369">
        <v>40400</v>
      </c>
      <c r="E378" s="371">
        <v>18</v>
      </c>
      <c r="F378" s="372">
        <v>2.5394000000000001</v>
      </c>
      <c r="G378" s="372">
        <v>2.5394000000000001</v>
      </c>
      <c r="H378" s="372">
        <v>1.1499999999999999</v>
      </c>
      <c r="I378" s="372">
        <v>1.1499999999999999</v>
      </c>
      <c r="J378" s="372">
        <v>1.1499999999999999</v>
      </c>
      <c r="K378" s="373"/>
      <c r="L378" s="370">
        <v>2</v>
      </c>
    </row>
    <row r="379" spans="1:12" hidden="1">
      <c r="A379" s="356">
        <v>40365</v>
      </c>
      <c r="B379" s="356" t="s">
        <v>723</v>
      </c>
      <c r="C379" s="357">
        <v>364</v>
      </c>
      <c r="D379" s="356">
        <v>40729</v>
      </c>
      <c r="E379" s="360">
        <v>3</v>
      </c>
      <c r="F379" s="358">
        <v>0</v>
      </c>
      <c r="G379" s="358">
        <v>0</v>
      </c>
      <c r="H379" s="358">
        <v>0</v>
      </c>
      <c r="I379" s="358">
        <v>0</v>
      </c>
      <c r="J379" s="358">
        <v>0</v>
      </c>
      <c r="L379" s="357">
        <v>0</v>
      </c>
    </row>
    <row r="380" spans="1:12" hidden="1">
      <c r="A380" s="369">
        <v>40368</v>
      </c>
      <c r="B380" s="369" t="s">
        <v>724</v>
      </c>
      <c r="C380" s="370">
        <v>91</v>
      </c>
      <c r="D380" s="369">
        <v>40459</v>
      </c>
      <c r="E380" s="371">
        <v>20</v>
      </c>
      <c r="F380" s="372">
        <v>4.5171999999999999</v>
      </c>
      <c r="G380" s="372">
        <v>4.5171999999999999</v>
      </c>
      <c r="H380" s="372">
        <v>1.3299999999999998</v>
      </c>
      <c r="I380" s="372">
        <v>1.3299999999999998</v>
      </c>
      <c r="J380" s="372">
        <v>1.3299999999999998</v>
      </c>
      <c r="K380" s="373"/>
      <c r="L380" s="370">
        <v>2</v>
      </c>
    </row>
    <row r="381" spans="1:12" hidden="1">
      <c r="A381" s="356">
        <v>40372</v>
      </c>
      <c r="B381" s="356" t="s">
        <v>725</v>
      </c>
      <c r="C381" s="357">
        <v>182</v>
      </c>
      <c r="D381" s="356">
        <v>40554</v>
      </c>
      <c r="E381" s="360">
        <v>7</v>
      </c>
      <c r="F381" s="358">
        <v>0</v>
      </c>
      <c r="G381" s="358">
        <v>0</v>
      </c>
      <c r="H381" s="358">
        <v>0</v>
      </c>
      <c r="I381" s="358">
        <v>0</v>
      </c>
      <c r="J381" s="358">
        <v>0</v>
      </c>
      <c r="L381" s="357">
        <v>0</v>
      </c>
    </row>
    <row r="382" spans="1:12" hidden="1">
      <c r="A382" s="369">
        <v>40372</v>
      </c>
      <c r="B382" s="369" t="s">
        <v>726</v>
      </c>
      <c r="C382" s="370">
        <v>364</v>
      </c>
      <c r="D382" s="369">
        <v>40736</v>
      </c>
      <c r="E382" s="371">
        <v>4</v>
      </c>
      <c r="F382" s="372">
        <v>0</v>
      </c>
      <c r="G382" s="372">
        <v>0</v>
      </c>
      <c r="H382" s="372">
        <v>3.75</v>
      </c>
      <c r="I382" s="372">
        <v>3.75</v>
      </c>
      <c r="J382" s="372">
        <v>0</v>
      </c>
      <c r="K382" s="373"/>
      <c r="L382" s="370">
        <v>0</v>
      </c>
    </row>
    <row r="383" spans="1:12" hidden="1">
      <c r="A383" s="356">
        <v>40375</v>
      </c>
      <c r="B383" s="356" t="s">
        <v>727</v>
      </c>
      <c r="C383" s="357">
        <v>728</v>
      </c>
      <c r="D383" s="356">
        <v>41103</v>
      </c>
      <c r="E383" s="360">
        <v>3</v>
      </c>
      <c r="F383" s="358">
        <v>0</v>
      </c>
      <c r="G383" s="358">
        <v>0</v>
      </c>
      <c r="H383" s="358">
        <v>4</v>
      </c>
      <c r="I383" s="358">
        <v>4</v>
      </c>
      <c r="J383" s="358">
        <v>0</v>
      </c>
      <c r="L383" s="357">
        <v>0</v>
      </c>
    </row>
    <row r="384" spans="1:12" hidden="1">
      <c r="A384" s="369">
        <v>40375</v>
      </c>
      <c r="B384" s="369" t="s">
        <v>728</v>
      </c>
      <c r="C384" s="370">
        <v>1092</v>
      </c>
      <c r="D384" s="369">
        <v>41467</v>
      </c>
      <c r="E384" s="371">
        <v>2</v>
      </c>
      <c r="F384" s="372">
        <v>0</v>
      </c>
      <c r="G384" s="372">
        <v>0</v>
      </c>
      <c r="H384" s="372">
        <v>4.5</v>
      </c>
      <c r="I384" s="372">
        <v>4.5</v>
      </c>
      <c r="J384" s="372">
        <v>0</v>
      </c>
      <c r="K384" s="373"/>
      <c r="L384" s="370">
        <v>0</v>
      </c>
    </row>
    <row r="385" spans="1:12" hidden="1">
      <c r="A385" s="356">
        <v>40379</v>
      </c>
      <c r="B385" s="356" t="s">
        <v>729</v>
      </c>
      <c r="C385" s="357">
        <v>364</v>
      </c>
      <c r="D385" s="356">
        <v>40743</v>
      </c>
      <c r="E385" s="360">
        <v>2</v>
      </c>
      <c r="F385" s="358">
        <v>0</v>
      </c>
      <c r="G385" s="358">
        <v>0</v>
      </c>
      <c r="H385" s="358">
        <v>0</v>
      </c>
      <c r="I385" s="358">
        <v>0</v>
      </c>
      <c r="J385" s="358">
        <v>0</v>
      </c>
      <c r="L385" s="357">
        <v>0</v>
      </c>
    </row>
    <row r="386" spans="1:12" hidden="1">
      <c r="A386" s="369">
        <v>40379</v>
      </c>
      <c r="B386" s="369" t="s">
        <v>730</v>
      </c>
      <c r="C386" s="370">
        <v>35</v>
      </c>
      <c r="D386" s="369">
        <v>40414</v>
      </c>
      <c r="E386" s="371">
        <v>20</v>
      </c>
      <c r="F386" s="372">
        <v>2.0516999999999999</v>
      </c>
      <c r="G386" s="372">
        <v>2.0516999999999999</v>
      </c>
      <c r="H386" s="372">
        <v>1.1499999999999999</v>
      </c>
      <c r="I386" s="372">
        <v>1.1499999999999999</v>
      </c>
      <c r="J386" s="372">
        <v>1.1499999999999999</v>
      </c>
      <c r="K386" s="373"/>
      <c r="L386" s="370">
        <v>2</v>
      </c>
    </row>
    <row r="387" spans="1:12" hidden="1">
      <c r="A387" s="356">
        <v>40382</v>
      </c>
      <c r="B387" s="356" t="s">
        <v>731</v>
      </c>
      <c r="C387" s="357">
        <v>91</v>
      </c>
      <c r="D387" s="356">
        <v>40473</v>
      </c>
      <c r="E387" s="360">
        <v>15</v>
      </c>
      <c r="F387" s="358">
        <v>0</v>
      </c>
      <c r="G387" s="358">
        <v>0</v>
      </c>
      <c r="H387" s="358">
        <v>0</v>
      </c>
      <c r="I387" s="358">
        <v>0</v>
      </c>
      <c r="J387" s="358">
        <v>0</v>
      </c>
      <c r="L387" s="357">
        <v>0</v>
      </c>
    </row>
    <row r="388" spans="1:12" hidden="1">
      <c r="A388" s="369">
        <v>40386</v>
      </c>
      <c r="B388" s="369" t="s">
        <v>732</v>
      </c>
      <c r="C388" s="370">
        <v>182</v>
      </c>
      <c r="D388" s="369">
        <v>40568</v>
      </c>
      <c r="E388" s="371">
        <v>8</v>
      </c>
      <c r="F388" s="372">
        <v>0.91169999999999995</v>
      </c>
      <c r="G388" s="372">
        <v>0.91169999999999995</v>
      </c>
      <c r="H388" s="372">
        <v>1.9800000000000002</v>
      </c>
      <c r="I388" s="372">
        <v>1.9800000000000002</v>
      </c>
      <c r="J388" s="372">
        <v>1.9800000000000002</v>
      </c>
      <c r="K388" s="373"/>
      <c r="L388" s="370">
        <v>1</v>
      </c>
    </row>
    <row r="389" spans="1:12" hidden="1">
      <c r="A389" s="356">
        <v>40386</v>
      </c>
      <c r="B389" s="356" t="s">
        <v>733</v>
      </c>
      <c r="C389" s="357">
        <v>364</v>
      </c>
      <c r="D389" s="356">
        <v>40750</v>
      </c>
      <c r="E389" s="360">
        <v>4</v>
      </c>
      <c r="F389" s="358">
        <v>0</v>
      </c>
      <c r="G389" s="358">
        <v>0</v>
      </c>
      <c r="H389" s="358">
        <v>3.75</v>
      </c>
      <c r="I389" s="358">
        <v>3.75</v>
      </c>
      <c r="J389" s="358">
        <v>0</v>
      </c>
      <c r="L389" s="357">
        <v>0</v>
      </c>
    </row>
    <row r="390" spans="1:12" hidden="1">
      <c r="A390" s="369">
        <v>40389</v>
      </c>
      <c r="B390" s="369" t="s">
        <v>734</v>
      </c>
      <c r="C390" s="370">
        <v>728</v>
      </c>
      <c r="D390" s="369">
        <v>41117</v>
      </c>
      <c r="E390" s="371">
        <v>2</v>
      </c>
      <c r="F390" s="372">
        <v>0</v>
      </c>
      <c r="G390" s="372">
        <v>0</v>
      </c>
      <c r="H390" s="372">
        <v>4</v>
      </c>
      <c r="I390" s="372">
        <v>4</v>
      </c>
      <c r="J390" s="372">
        <v>0</v>
      </c>
      <c r="K390" s="373"/>
      <c r="L390" s="370">
        <v>0</v>
      </c>
    </row>
    <row r="391" spans="1:12" hidden="1">
      <c r="A391" s="356">
        <v>40389</v>
      </c>
      <c r="B391" s="356" t="s">
        <v>735</v>
      </c>
      <c r="C391" s="357">
        <v>1092</v>
      </c>
      <c r="D391" s="356">
        <v>41481</v>
      </c>
      <c r="E391" s="360">
        <v>3</v>
      </c>
      <c r="F391" s="358">
        <v>0</v>
      </c>
      <c r="G391" s="358">
        <v>0</v>
      </c>
      <c r="H391" s="358">
        <v>4.5</v>
      </c>
      <c r="I391" s="358">
        <v>4.5</v>
      </c>
      <c r="J391" s="358">
        <v>0</v>
      </c>
      <c r="L391" s="357">
        <v>0</v>
      </c>
    </row>
    <row r="392" spans="1:12" hidden="1">
      <c r="A392" s="369">
        <v>40393</v>
      </c>
      <c r="B392" s="369" t="s">
        <v>736</v>
      </c>
      <c r="C392" s="370">
        <v>35</v>
      </c>
      <c r="D392" s="369">
        <v>40428</v>
      </c>
      <c r="E392" s="371">
        <v>18</v>
      </c>
      <c r="F392" s="372">
        <v>0</v>
      </c>
      <c r="G392" s="372">
        <v>0</v>
      </c>
      <c r="H392" s="372">
        <v>0</v>
      </c>
      <c r="I392" s="372">
        <v>0</v>
      </c>
      <c r="J392" s="372">
        <v>0</v>
      </c>
      <c r="K392" s="373"/>
      <c r="L392" s="370">
        <v>0</v>
      </c>
    </row>
    <row r="393" spans="1:12" hidden="1">
      <c r="A393" s="356">
        <v>40393</v>
      </c>
      <c r="B393" s="356" t="s">
        <v>737</v>
      </c>
      <c r="C393" s="357">
        <v>364</v>
      </c>
      <c r="D393" s="356">
        <v>40757</v>
      </c>
      <c r="E393" s="360">
        <v>3</v>
      </c>
      <c r="F393" s="358">
        <v>0</v>
      </c>
      <c r="G393" s="358">
        <v>0</v>
      </c>
      <c r="H393" s="358">
        <v>3.75</v>
      </c>
      <c r="I393" s="358">
        <v>3.75</v>
      </c>
      <c r="J393" s="358">
        <v>0</v>
      </c>
      <c r="L393" s="357">
        <v>0</v>
      </c>
    </row>
    <row r="394" spans="1:12" hidden="1">
      <c r="A394" s="369">
        <v>40400</v>
      </c>
      <c r="B394" s="369" t="s">
        <v>738</v>
      </c>
      <c r="C394" s="370">
        <v>364</v>
      </c>
      <c r="D394" s="369">
        <v>40764</v>
      </c>
      <c r="E394" s="371">
        <v>4</v>
      </c>
      <c r="F394" s="372">
        <v>0</v>
      </c>
      <c r="G394" s="372">
        <v>0</v>
      </c>
      <c r="H394" s="372">
        <v>3.75</v>
      </c>
      <c r="I394" s="372">
        <v>3.75</v>
      </c>
      <c r="J394" s="372">
        <v>0</v>
      </c>
      <c r="K394" s="373"/>
      <c r="L394" s="370">
        <v>0</v>
      </c>
    </row>
    <row r="395" spans="1:12" hidden="1">
      <c r="A395" s="356">
        <v>40400</v>
      </c>
      <c r="B395" s="356" t="s">
        <v>739</v>
      </c>
      <c r="C395" s="357">
        <v>182</v>
      </c>
      <c r="D395" s="356">
        <v>40582</v>
      </c>
      <c r="E395" s="360">
        <v>7</v>
      </c>
      <c r="F395" s="358">
        <v>1.8144</v>
      </c>
      <c r="G395" s="358">
        <v>1.8144</v>
      </c>
      <c r="H395" s="358">
        <v>1.9800000000000002</v>
      </c>
      <c r="I395" s="358">
        <v>1.9800000000000002</v>
      </c>
      <c r="J395" s="358">
        <v>1.9800000000000002</v>
      </c>
      <c r="L395" s="357">
        <v>2</v>
      </c>
    </row>
    <row r="396" spans="1:12" hidden="1">
      <c r="A396" s="369">
        <v>40403</v>
      </c>
      <c r="B396" s="369" t="s">
        <v>740</v>
      </c>
      <c r="C396" s="370">
        <v>728</v>
      </c>
      <c r="D396" s="369">
        <v>41131</v>
      </c>
      <c r="E396" s="371">
        <v>3</v>
      </c>
      <c r="F396" s="372">
        <v>0</v>
      </c>
      <c r="G396" s="372">
        <v>0</v>
      </c>
      <c r="H396" s="372">
        <v>4</v>
      </c>
      <c r="I396" s="372">
        <v>4</v>
      </c>
      <c r="J396" s="372">
        <v>0</v>
      </c>
      <c r="K396" s="373"/>
      <c r="L396" s="370">
        <v>0</v>
      </c>
    </row>
    <row r="397" spans="1:12" hidden="1">
      <c r="A397" s="356">
        <v>40403</v>
      </c>
      <c r="B397" s="356" t="s">
        <v>741</v>
      </c>
      <c r="C397" s="357">
        <v>1092</v>
      </c>
      <c r="D397" s="356">
        <v>41495</v>
      </c>
      <c r="E397" s="360">
        <v>3</v>
      </c>
      <c r="F397" s="358">
        <v>0</v>
      </c>
      <c r="G397" s="358">
        <v>0</v>
      </c>
      <c r="H397" s="358">
        <v>4.5</v>
      </c>
      <c r="I397" s="358">
        <v>4.5</v>
      </c>
      <c r="J397" s="358">
        <v>0</v>
      </c>
      <c r="L397" s="357">
        <v>0</v>
      </c>
    </row>
    <row r="398" spans="1:12" hidden="1">
      <c r="A398" s="369">
        <v>40407</v>
      </c>
      <c r="B398" s="369" t="s">
        <v>742</v>
      </c>
      <c r="C398" s="370">
        <v>35</v>
      </c>
      <c r="D398" s="369">
        <v>40442</v>
      </c>
      <c r="E398" s="371">
        <v>20</v>
      </c>
      <c r="F398" s="372">
        <v>9.0062999999999995</v>
      </c>
      <c r="G398" s="372">
        <v>9.0062999999999995</v>
      </c>
      <c r="H398" s="372">
        <v>1.1499999999999999</v>
      </c>
      <c r="I398" s="372">
        <v>1.1499999999999999</v>
      </c>
      <c r="J398" s="372">
        <v>1.1499999999999999</v>
      </c>
      <c r="K398" s="373"/>
      <c r="L398" s="370">
        <v>2</v>
      </c>
    </row>
    <row r="399" spans="1:12" hidden="1">
      <c r="A399" s="356">
        <v>40407</v>
      </c>
      <c r="B399" s="356" t="s">
        <v>743</v>
      </c>
      <c r="C399" s="357">
        <v>364</v>
      </c>
      <c r="D399" s="356">
        <v>40771</v>
      </c>
      <c r="E399" s="360">
        <v>2</v>
      </c>
      <c r="F399" s="358">
        <v>2</v>
      </c>
      <c r="G399" s="358">
        <v>2</v>
      </c>
      <c r="H399" s="358">
        <v>3.5000000000000004</v>
      </c>
      <c r="I399" s="358">
        <v>3.5000000000000004</v>
      </c>
      <c r="J399" s="358">
        <v>3.5000000000000004</v>
      </c>
      <c r="L399" s="357">
        <v>1</v>
      </c>
    </row>
    <row r="400" spans="1:12" hidden="1">
      <c r="A400" s="369">
        <v>40410</v>
      </c>
      <c r="B400" s="369" t="s">
        <v>744</v>
      </c>
      <c r="C400" s="370">
        <v>91</v>
      </c>
      <c r="D400" s="369">
        <v>40501</v>
      </c>
      <c r="E400" s="371">
        <v>15</v>
      </c>
      <c r="F400" s="372">
        <v>2.0026000000000002</v>
      </c>
      <c r="G400" s="372">
        <v>2.0026000000000002</v>
      </c>
      <c r="H400" s="372">
        <v>1.3299999999999998</v>
      </c>
      <c r="I400" s="372">
        <v>1.3299999999999998</v>
      </c>
      <c r="J400" s="372">
        <v>1.3299999999999998</v>
      </c>
      <c r="K400" s="373"/>
      <c r="L400" s="370">
        <v>2</v>
      </c>
    </row>
    <row r="401" spans="1:12" hidden="1">
      <c r="A401" s="356">
        <v>40414</v>
      </c>
      <c r="B401" s="356" t="s">
        <v>745</v>
      </c>
      <c r="C401" s="357">
        <v>182</v>
      </c>
      <c r="D401" s="356">
        <v>40596</v>
      </c>
      <c r="E401" s="360">
        <v>8</v>
      </c>
      <c r="F401" s="358">
        <v>0</v>
      </c>
      <c r="G401" s="358">
        <v>0</v>
      </c>
      <c r="H401" s="358">
        <v>0</v>
      </c>
      <c r="I401" s="358">
        <v>0</v>
      </c>
      <c r="J401" s="358">
        <v>0</v>
      </c>
      <c r="L401" s="357">
        <v>0</v>
      </c>
    </row>
    <row r="402" spans="1:12" hidden="1">
      <c r="A402" s="369">
        <v>40414</v>
      </c>
      <c r="B402" s="369" t="s">
        <v>746</v>
      </c>
      <c r="C402" s="370">
        <v>364</v>
      </c>
      <c r="D402" s="369">
        <v>40778</v>
      </c>
      <c r="E402" s="371">
        <v>4</v>
      </c>
      <c r="F402" s="372">
        <v>2.9910999999999999</v>
      </c>
      <c r="G402" s="372">
        <v>2.9910999999999999</v>
      </c>
      <c r="H402" s="372">
        <v>3.75</v>
      </c>
      <c r="I402" s="372">
        <v>3.75</v>
      </c>
      <c r="J402" s="372">
        <v>3.75</v>
      </c>
      <c r="K402" s="373"/>
      <c r="L402" s="370">
        <v>1</v>
      </c>
    </row>
    <row r="403" spans="1:12" hidden="1">
      <c r="A403" s="356">
        <v>40417</v>
      </c>
      <c r="B403" s="356" t="s">
        <v>747</v>
      </c>
      <c r="C403" s="357">
        <v>728</v>
      </c>
      <c r="D403" s="356">
        <v>41145</v>
      </c>
      <c r="E403" s="360">
        <v>2</v>
      </c>
      <c r="F403" s="358">
        <v>0</v>
      </c>
      <c r="G403" s="358">
        <v>0</v>
      </c>
      <c r="H403" s="358">
        <v>4</v>
      </c>
      <c r="I403" s="358">
        <v>4</v>
      </c>
      <c r="J403" s="358">
        <v>0</v>
      </c>
      <c r="L403" s="357">
        <v>0</v>
      </c>
    </row>
    <row r="404" spans="1:12" hidden="1">
      <c r="A404" s="369">
        <v>40417</v>
      </c>
      <c r="B404" s="369" t="s">
        <v>748</v>
      </c>
      <c r="C404" s="370">
        <v>1092</v>
      </c>
      <c r="D404" s="369">
        <v>41509</v>
      </c>
      <c r="E404" s="371">
        <v>3</v>
      </c>
      <c r="F404" s="372">
        <v>0</v>
      </c>
      <c r="G404" s="372">
        <v>0</v>
      </c>
      <c r="H404" s="372">
        <v>4.5</v>
      </c>
      <c r="I404" s="372">
        <v>4.5</v>
      </c>
      <c r="J404" s="372">
        <v>0</v>
      </c>
      <c r="K404" s="373"/>
      <c r="L404" s="370">
        <v>0</v>
      </c>
    </row>
    <row r="405" spans="1:12" hidden="1">
      <c r="A405" s="356">
        <v>40424</v>
      </c>
      <c r="B405" s="356" t="s">
        <v>749</v>
      </c>
      <c r="C405" s="357">
        <v>91</v>
      </c>
      <c r="D405" s="356">
        <v>40515</v>
      </c>
      <c r="E405" s="360">
        <v>20</v>
      </c>
      <c r="F405" s="358">
        <v>12.1358</v>
      </c>
      <c r="G405" s="358">
        <v>12.1358</v>
      </c>
      <c r="H405" s="358">
        <v>2.5</v>
      </c>
      <c r="I405" s="358">
        <v>2.5</v>
      </c>
      <c r="J405" s="358">
        <v>2.5</v>
      </c>
      <c r="L405" s="357">
        <v>3</v>
      </c>
    </row>
    <row r="406" spans="1:12" hidden="1">
      <c r="A406" s="369">
        <v>40424</v>
      </c>
      <c r="B406" s="369" t="s">
        <v>750</v>
      </c>
      <c r="C406" s="370">
        <v>35</v>
      </c>
      <c r="D406" s="369">
        <v>40459</v>
      </c>
      <c r="E406" s="371">
        <v>18</v>
      </c>
      <c r="F406" s="372">
        <v>6.0060000000000002</v>
      </c>
      <c r="G406" s="372">
        <v>6.0060000000000002</v>
      </c>
      <c r="H406" s="372">
        <v>1.46</v>
      </c>
      <c r="I406" s="372">
        <v>1.46</v>
      </c>
      <c r="J406" s="372">
        <v>1.46</v>
      </c>
      <c r="K406" s="373"/>
      <c r="L406" s="370">
        <v>3</v>
      </c>
    </row>
    <row r="407" spans="1:12" hidden="1">
      <c r="A407" s="356">
        <v>40424</v>
      </c>
      <c r="B407" s="356" t="s">
        <v>751</v>
      </c>
      <c r="C407" s="357">
        <v>364</v>
      </c>
      <c r="D407" s="356">
        <v>40788</v>
      </c>
      <c r="E407" s="360">
        <v>3</v>
      </c>
      <c r="F407" s="358">
        <v>0</v>
      </c>
      <c r="G407" s="358">
        <v>0</v>
      </c>
      <c r="H407" s="358">
        <v>0</v>
      </c>
      <c r="I407" s="358">
        <v>0</v>
      </c>
      <c r="J407" s="358">
        <v>0</v>
      </c>
      <c r="L407" s="357">
        <v>0</v>
      </c>
    </row>
    <row r="408" spans="1:12" hidden="1">
      <c r="A408" s="369">
        <v>40428</v>
      </c>
      <c r="B408" s="369" t="s">
        <v>752</v>
      </c>
      <c r="C408" s="370">
        <v>182</v>
      </c>
      <c r="D408" s="369">
        <v>40610</v>
      </c>
      <c r="E408" s="371">
        <v>7</v>
      </c>
      <c r="F408" s="372">
        <v>1.014</v>
      </c>
      <c r="G408" s="372">
        <v>4.5521000000000003</v>
      </c>
      <c r="H408" s="372">
        <v>2.9899999999999998</v>
      </c>
      <c r="I408" s="372">
        <v>2.9899999999999998</v>
      </c>
      <c r="J408" s="372">
        <v>2.9899999999999998</v>
      </c>
      <c r="K408" s="373"/>
      <c r="L408" s="370">
        <v>1</v>
      </c>
    </row>
    <row r="409" spans="1:12" hidden="1">
      <c r="A409" s="356">
        <v>40428</v>
      </c>
      <c r="B409" s="356" t="s">
        <v>753</v>
      </c>
      <c r="C409" s="357">
        <v>364</v>
      </c>
      <c r="D409" s="356">
        <v>40792</v>
      </c>
      <c r="E409" s="360">
        <v>4</v>
      </c>
      <c r="F409" s="358">
        <v>2.9923999999999999</v>
      </c>
      <c r="G409" s="358">
        <v>2.9923999999999999</v>
      </c>
      <c r="H409" s="358">
        <v>4</v>
      </c>
      <c r="I409" s="358">
        <v>4</v>
      </c>
      <c r="J409" s="358">
        <v>4</v>
      </c>
      <c r="L409" s="357">
        <v>1</v>
      </c>
    </row>
    <row r="410" spans="1:12" hidden="1">
      <c r="A410" s="369">
        <v>40428</v>
      </c>
      <c r="B410" s="369" t="s">
        <v>754</v>
      </c>
      <c r="C410" s="370">
        <v>728</v>
      </c>
      <c r="D410" s="369">
        <v>41156</v>
      </c>
      <c r="E410" s="371">
        <v>3</v>
      </c>
      <c r="F410" s="372">
        <v>0</v>
      </c>
      <c r="G410" s="372">
        <v>0</v>
      </c>
      <c r="H410" s="372">
        <v>4.5</v>
      </c>
      <c r="I410" s="372">
        <v>4.5</v>
      </c>
      <c r="J410" s="372">
        <v>0</v>
      </c>
      <c r="K410" s="373"/>
      <c r="L410" s="370">
        <v>0</v>
      </c>
    </row>
    <row r="411" spans="1:12" hidden="1">
      <c r="A411" s="356">
        <v>40428</v>
      </c>
      <c r="B411" s="356" t="s">
        <v>735</v>
      </c>
      <c r="C411" s="357">
        <v>1092</v>
      </c>
      <c r="D411" s="356">
        <v>41520</v>
      </c>
      <c r="E411" s="360">
        <v>3</v>
      </c>
      <c r="F411" s="358">
        <v>0</v>
      </c>
      <c r="G411" s="358">
        <v>0</v>
      </c>
      <c r="H411" s="358">
        <v>5</v>
      </c>
      <c r="I411" s="358">
        <v>5</v>
      </c>
      <c r="J411" s="358">
        <v>0</v>
      </c>
      <c r="L411" s="357">
        <v>0</v>
      </c>
    </row>
    <row r="412" spans="1:12" hidden="1">
      <c r="A412" s="369">
        <v>40435</v>
      </c>
      <c r="B412" s="369" t="s">
        <v>755</v>
      </c>
      <c r="C412" s="370">
        <v>35</v>
      </c>
      <c r="D412" s="369">
        <v>40470</v>
      </c>
      <c r="E412" s="371">
        <v>20</v>
      </c>
      <c r="F412" s="372">
        <v>3.0030000000000001</v>
      </c>
      <c r="G412" s="372">
        <v>3.0030000000000001</v>
      </c>
      <c r="H412" s="372">
        <v>1.46</v>
      </c>
      <c r="I412" s="372">
        <v>1.46</v>
      </c>
      <c r="J412" s="372">
        <v>1.46</v>
      </c>
      <c r="K412" s="373"/>
      <c r="L412" s="370">
        <v>2</v>
      </c>
    </row>
    <row r="413" spans="1:12" hidden="1">
      <c r="A413" s="356">
        <v>40435</v>
      </c>
      <c r="B413" s="356" t="s">
        <v>756</v>
      </c>
      <c r="C413" s="357">
        <v>364</v>
      </c>
      <c r="D413" s="356">
        <v>40799</v>
      </c>
      <c r="E413" s="360">
        <v>2</v>
      </c>
      <c r="F413" s="358">
        <v>0</v>
      </c>
      <c r="G413" s="358">
        <v>0</v>
      </c>
      <c r="H413" s="358">
        <v>0</v>
      </c>
      <c r="I413" s="358">
        <v>0</v>
      </c>
      <c r="J413" s="358">
        <v>0</v>
      </c>
      <c r="L413" s="357">
        <v>0</v>
      </c>
    </row>
    <row r="414" spans="1:12" hidden="1">
      <c r="A414" s="369">
        <v>40438</v>
      </c>
      <c r="B414" s="369" t="s">
        <v>757</v>
      </c>
      <c r="C414" s="370">
        <v>91</v>
      </c>
      <c r="D414" s="369">
        <v>40529</v>
      </c>
      <c r="E414" s="371">
        <v>15</v>
      </c>
      <c r="F414" s="372">
        <v>2.3647</v>
      </c>
      <c r="G414" s="372">
        <v>2.3647</v>
      </c>
      <c r="H414" s="372">
        <v>2.5</v>
      </c>
      <c r="I414" s="372">
        <v>2.5</v>
      </c>
      <c r="J414" s="372">
        <v>2.5</v>
      </c>
      <c r="K414" s="373"/>
      <c r="L414" s="370">
        <v>4</v>
      </c>
    </row>
    <row r="415" spans="1:12" hidden="1">
      <c r="A415" s="356">
        <v>40442</v>
      </c>
      <c r="B415" s="356" t="s">
        <v>758</v>
      </c>
      <c r="C415" s="357">
        <v>182</v>
      </c>
      <c r="D415" s="356">
        <v>40624</v>
      </c>
      <c r="E415" s="360">
        <v>8</v>
      </c>
      <c r="F415" s="358">
        <v>1.014</v>
      </c>
      <c r="G415" s="358">
        <v>1.014</v>
      </c>
      <c r="H415" s="358">
        <v>2.9899999999999998</v>
      </c>
      <c r="I415" s="358">
        <v>2.9899999999999998</v>
      </c>
      <c r="J415" s="358">
        <v>2.9899999999999998</v>
      </c>
      <c r="L415" s="357">
        <v>1</v>
      </c>
    </row>
    <row r="416" spans="1:12" hidden="1">
      <c r="A416" s="369">
        <v>40442</v>
      </c>
      <c r="B416" s="369" t="s">
        <v>759</v>
      </c>
      <c r="C416" s="370">
        <v>364</v>
      </c>
      <c r="D416" s="369">
        <v>40806</v>
      </c>
      <c r="E416" s="371">
        <v>4</v>
      </c>
      <c r="F416" s="372">
        <v>4</v>
      </c>
      <c r="G416" s="372">
        <v>4</v>
      </c>
      <c r="H416" s="372">
        <v>4</v>
      </c>
      <c r="I416" s="372">
        <v>4</v>
      </c>
      <c r="J416" s="372">
        <v>4</v>
      </c>
      <c r="K416" s="373"/>
      <c r="L416" s="370">
        <v>1</v>
      </c>
    </row>
    <row r="417" spans="1:12" hidden="1">
      <c r="A417" s="356">
        <v>40445</v>
      </c>
      <c r="B417" s="356" t="s">
        <v>760</v>
      </c>
      <c r="C417" s="357">
        <v>728</v>
      </c>
      <c r="D417" s="356">
        <v>41173</v>
      </c>
      <c r="E417" s="360">
        <v>2</v>
      </c>
      <c r="F417" s="358">
        <v>0</v>
      </c>
      <c r="G417" s="358">
        <v>0</v>
      </c>
      <c r="H417" s="358">
        <v>4.5</v>
      </c>
      <c r="I417" s="358">
        <v>4.5</v>
      </c>
      <c r="J417" s="358">
        <v>0</v>
      </c>
      <c r="L417" s="357">
        <v>0</v>
      </c>
    </row>
    <row r="418" spans="1:12" hidden="1">
      <c r="A418" s="369">
        <v>40445</v>
      </c>
      <c r="B418" s="369" t="s">
        <v>761</v>
      </c>
      <c r="C418" s="370">
        <v>1092</v>
      </c>
      <c r="D418" s="369">
        <v>41537</v>
      </c>
      <c r="E418" s="371">
        <v>3</v>
      </c>
      <c r="F418" s="372">
        <v>0</v>
      </c>
      <c r="G418" s="372">
        <v>0</v>
      </c>
      <c r="H418" s="372">
        <v>5</v>
      </c>
      <c r="I418" s="372">
        <v>5</v>
      </c>
      <c r="J418" s="372">
        <v>0</v>
      </c>
      <c r="K418" s="373"/>
      <c r="L418" s="370">
        <v>0</v>
      </c>
    </row>
    <row r="419" spans="1:12" hidden="1">
      <c r="A419" s="356">
        <v>40456</v>
      </c>
      <c r="B419" s="356" t="s">
        <v>762</v>
      </c>
      <c r="C419" s="357">
        <v>364</v>
      </c>
      <c r="D419" s="356">
        <v>40820</v>
      </c>
      <c r="E419" s="360">
        <v>3</v>
      </c>
      <c r="F419" s="358">
        <v>0</v>
      </c>
      <c r="G419" s="358">
        <v>0</v>
      </c>
      <c r="H419" s="358">
        <v>0</v>
      </c>
      <c r="I419" s="358">
        <v>0</v>
      </c>
      <c r="J419" s="358">
        <v>0</v>
      </c>
      <c r="L419" s="357">
        <v>0</v>
      </c>
    </row>
    <row r="420" spans="1:12" hidden="1">
      <c r="A420" s="369">
        <v>40456</v>
      </c>
      <c r="B420" s="369" t="s">
        <v>763</v>
      </c>
      <c r="C420" s="370">
        <v>35</v>
      </c>
      <c r="D420" s="369">
        <v>40491</v>
      </c>
      <c r="E420" s="371">
        <v>18</v>
      </c>
      <c r="F420" s="372">
        <v>6.0060000000000002</v>
      </c>
      <c r="G420" s="372">
        <v>6.0060000000000002</v>
      </c>
      <c r="H420" s="372">
        <v>1.46</v>
      </c>
      <c r="I420" s="372">
        <v>1.46</v>
      </c>
      <c r="J420" s="372">
        <v>1.46</v>
      </c>
      <c r="K420" s="373"/>
      <c r="L420" s="370">
        <v>2</v>
      </c>
    </row>
    <row r="421" spans="1:12" hidden="1">
      <c r="A421" s="356">
        <v>40459</v>
      </c>
      <c r="B421" s="356" t="s">
        <v>764</v>
      </c>
      <c r="C421" s="357">
        <v>91</v>
      </c>
      <c r="D421" s="356">
        <v>40550</v>
      </c>
      <c r="E421" s="360">
        <v>20</v>
      </c>
      <c r="F421" s="358">
        <v>8.5548999999999999</v>
      </c>
      <c r="G421" s="358">
        <v>8.5548999999999999</v>
      </c>
      <c r="H421" s="358">
        <v>2.5</v>
      </c>
      <c r="I421" s="358">
        <v>2.5</v>
      </c>
      <c r="J421" s="358">
        <v>2.5</v>
      </c>
      <c r="L421" s="357">
        <v>3</v>
      </c>
    </row>
    <row r="422" spans="1:12" hidden="1">
      <c r="A422" s="369">
        <v>40463</v>
      </c>
      <c r="B422" s="369" t="s">
        <v>765</v>
      </c>
      <c r="C422" s="370">
        <v>182</v>
      </c>
      <c r="D422" s="369">
        <v>40645</v>
      </c>
      <c r="E422" s="371">
        <v>7</v>
      </c>
      <c r="F422" s="372">
        <v>0</v>
      </c>
      <c r="G422" s="372">
        <v>0</v>
      </c>
      <c r="H422" s="372">
        <v>0</v>
      </c>
      <c r="I422" s="372">
        <v>0</v>
      </c>
      <c r="J422" s="372">
        <v>0</v>
      </c>
      <c r="K422" s="373"/>
      <c r="L422" s="370">
        <v>0</v>
      </c>
    </row>
    <row r="423" spans="1:12" hidden="1">
      <c r="A423" s="356">
        <v>40463</v>
      </c>
      <c r="B423" s="356" t="s">
        <v>766</v>
      </c>
      <c r="C423" s="357">
        <v>364</v>
      </c>
      <c r="D423" s="356">
        <v>40827</v>
      </c>
      <c r="E423" s="360">
        <v>4</v>
      </c>
      <c r="F423" s="358">
        <v>0</v>
      </c>
      <c r="G423" s="358">
        <v>0</v>
      </c>
      <c r="H423" s="358">
        <v>0</v>
      </c>
      <c r="I423" s="358">
        <v>0</v>
      </c>
      <c r="J423" s="358">
        <v>4</v>
      </c>
      <c r="L423" s="357">
        <v>0</v>
      </c>
    </row>
    <row r="424" spans="1:12" hidden="1">
      <c r="A424" s="369">
        <v>40466</v>
      </c>
      <c r="B424" s="369" t="s">
        <v>767</v>
      </c>
      <c r="C424" s="370">
        <v>1092</v>
      </c>
      <c r="D424" s="369">
        <v>41558</v>
      </c>
      <c r="E424" s="371">
        <v>3</v>
      </c>
      <c r="F424" s="372">
        <v>0</v>
      </c>
      <c r="G424" s="372">
        <v>0</v>
      </c>
      <c r="H424" s="372">
        <v>0</v>
      </c>
      <c r="I424" s="372">
        <v>0</v>
      </c>
      <c r="J424" s="372">
        <v>5</v>
      </c>
      <c r="K424" s="373"/>
      <c r="L424" s="370">
        <v>0</v>
      </c>
    </row>
    <row r="425" spans="1:12" hidden="1">
      <c r="A425" s="356">
        <v>40466</v>
      </c>
      <c r="B425" s="356" t="s">
        <v>768</v>
      </c>
      <c r="C425" s="357">
        <v>728</v>
      </c>
      <c r="D425" s="356">
        <v>41194</v>
      </c>
      <c r="E425" s="360">
        <v>3</v>
      </c>
      <c r="F425" s="358">
        <v>0</v>
      </c>
      <c r="G425" s="358">
        <v>0</v>
      </c>
      <c r="H425" s="358">
        <v>0</v>
      </c>
      <c r="I425" s="358">
        <v>0</v>
      </c>
      <c r="J425" s="358">
        <v>4.5</v>
      </c>
      <c r="L425" s="357">
        <v>0</v>
      </c>
    </row>
    <row r="426" spans="1:12" hidden="1">
      <c r="A426" s="369">
        <v>40470</v>
      </c>
      <c r="B426" s="369" t="s">
        <v>769</v>
      </c>
      <c r="C426" s="370">
        <v>35</v>
      </c>
      <c r="D426" s="369">
        <v>40505</v>
      </c>
      <c r="E426" s="371">
        <v>20</v>
      </c>
      <c r="F426" s="372">
        <v>5.0090000000000003</v>
      </c>
      <c r="G426" s="372">
        <v>5.0090000000000003</v>
      </c>
      <c r="H426" s="372">
        <v>1.46</v>
      </c>
      <c r="I426" s="372">
        <v>1.46</v>
      </c>
      <c r="J426" s="372">
        <v>1.46</v>
      </c>
      <c r="K426" s="373"/>
      <c r="L426" s="370">
        <v>3</v>
      </c>
    </row>
    <row r="427" spans="1:12" hidden="1">
      <c r="A427" s="356">
        <v>40470</v>
      </c>
      <c r="B427" s="356" t="s">
        <v>770</v>
      </c>
      <c r="C427" s="357">
        <v>91</v>
      </c>
      <c r="D427" s="356">
        <v>40561</v>
      </c>
      <c r="E427" s="360">
        <v>15</v>
      </c>
      <c r="F427" s="358">
        <v>3.02</v>
      </c>
      <c r="G427" s="358">
        <v>3.02</v>
      </c>
      <c r="H427" s="358">
        <v>2.5</v>
      </c>
      <c r="I427" s="358">
        <v>2.5</v>
      </c>
      <c r="J427" s="358">
        <v>2.5</v>
      </c>
      <c r="L427" s="357">
        <v>1</v>
      </c>
    </row>
    <row r="428" spans="1:12" hidden="1">
      <c r="A428" s="369">
        <v>40473</v>
      </c>
      <c r="B428" s="369" t="s">
        <v>771</v>
      </c>
      <c r="C428" s="370">
        <v>364</v>
      </c>
      <c r="D428" s="369">
        <v>40837</v>
      </c>
      <c r="E428" s="371">
        <v>2</v>
      </c>
      <c r="F428" s="372">
        <v>0</v>
      </c>
      <c r="G428" s="372">
        <v>0</v>
      </c>
      <c r="H428" s="372">
        <v>0</v>
      </c>
      <c r="I428" s="372">
        <v>0</v>
      </c>
      <c r="J428" s="372">
        <v>0</v>
      </c>
      <c r="K428" s="373"/>
      <c r="L428" s="370">
        <v>0</v>
      </c>
    </row>
    <row r="429" spans="1:12" hidden="1">
      <c r="A429" s="356">
        <v>40477</v>
      </c>
      <c r="B429" s="356" t="s">
        <v>772</v>
      </c>
      <c r="C429" s="357">
        <v>182</v>
      </c>
      <c r="D429" s="356">
        <v>40659</v>
      </c>
      <c r="E429" s="360">
        <v>8</v>
      </c>
      <c r="F429" s="358">
        <v>12.177099999999999</v>
      </c>
      <c r="G429" s="358">
        <v>8</v>
      </c>
      <c r="H429" s="358">
        <v>2.9899999999999998</v>
      </c>
      <c r="I429" s="358">
        <v>2.9899999999999998</v>
      </c>
      <c r="J429" s="358">
        <v>2.9899999999999998</v>
      </c>
      <c r="L429" s="357">
        <v>5</v>
      </c>
    </row>
    <row r="430" spans="1:12" hidden="1">
      <c r="A430" s="369">
        <v>40480</v>
      </c>
      <c r="B430" s="369" t="s">
        <v>773</v>
      </c>
      <c r="C430" s="370">
        <v>364</v>
      </c>
      <c r="D430" s="369">
        <v>40844</v>
      </c>
      <c r="E430" s="371">
        <v>4</v>
      </c>
      <c r="F430" s="372">
        <v>4</v>
      </c>
      <c r="G430" s="372">
        <v>4</v>
      </c>
      <c r="H430" s="372">
        <v>4</v>
      </c>
      <c r="I430" s="372">
        <v>4</v>
      </c>
      <c r="J430" s="372">
        <v>4</v>
      </c>
      <c r="K430" s="373"/>
      <c r="L430" s="370">
        <v>1</v>
      </c>
    </row>
    <row r="431" spans="1:12" hidden="1">
      <c r="A431" s="356">
        <v>40480</v>
      </c>
      <c r="B431" s="356" t="s">
        <v>774</v>
      </c>
      <c r="C431" s="357">
        <v>728</v>
      </c>
      <c r="D431" s="356">
        <v>41208</v>
      </c>
      <c r="E431" s="360">
        <v>2</v>
      </c>
      <c r="F431" s="358">
        <v>0</v>
      </c>
      <c r="G431" s="358">
        <v>0</v>
      </c>
      <c r="H431" s="358">
        <v>4.5</v>
      </c>
      <c r="I431" s="358">
        <v>4.5</v>
      </c>
      <c r="J431" s="358">
        <v>4.5</v>
      </c>
      <c r="L431" s="357">
        <v>0</v>
      </c>
    </row>
    <row r="432" spans="1:12" hidden="1">
      <c r="A432" s="369">
        <v>40480</v>
      </c>
      <c r="B432" s="369" t="s">
        <v>775</v>
      </c>
      <c r="C432" s="370">
        <v>1092</v>
      </c>
      <c r="D432" s="369">
        <v>41572</v>
      </c>
      <c r="E432" s="371">
        <v>3</v>
      </c>
      <c r="F432" s="372">
        <v>2.4937</v>
      </c>
      <c r="G432" s="372">
        <v>2.4937</v>
      </c>
      <c r="H432" s="372">
        <v>5</v>
      </c>
      <c r="I432" s="372">
        <v>5</v>
      </c>
      <c r="J432" s="372">
        <v>5</v>
      </c>
      <c r="K432" s="373"/>
      <c r="L432" s="370">
        <v>1</v>
      </c>
    </row>
    <row r="433" spans="1:12" hidden="1">
      <c r="A433" s="356">
        <v>40484</v>
      </c>
      <c r="B433" s="356" t="s">
        <v>776</v>
      </c>
      <c r="C433" s="357">
        <v>35</v>
      </c>
      <c r="D433" s="356">
        <v>40519</v>
      </c>
      <c r="E433" s="360">
        <v>20</v>
      </c>
      <c r="F433" s="358">
        <v>5.0049999999999999</v>
      </c>
      <c r="G433" s="358">
        <v>5.0049999999999999</v>
      </c>
      <c r="H433" s="358">
        <v>1.46</v>
      </c>
      <c r="I433" s="358">
        <v>1.46</v>
      </c>
      <c r="J433" s="358">
        <v>1.46</v>
      </c>
      <c r="L433" s="357">
        <v>1</v>
      </c>
    </row>
    <row r="434" spans="1:12" hidden="1">
      <c r="A434" s="369">
        <v>40484</v>
      </c>
      <c r="B434" s="369" t="s">
        <v>777</v>
      </c>
      <c r="C434" s="370">
        <v>91</v>
      </c>
      <c r="D434" s="369">
        <v>40575</v>
      </c>
      <c r="E434" s="371">
        <v>20</v>
      </c>
      <c r="F434" s="372">
        <v>8.0436999999999994</v>
      </c>
      <c r="G434" s="372">
        <v>8.0436999999999994</v>
      </c>
      <c r="H434" s="372">
        <v>2.5</v>
      </c>
      <c r="I434" s="372">
        <v>2.5</v>
      </c>
      <c r="J434" s="372">
        <v>2.46</v>
      </c>
      <c r="K434" s="373"/>
      <c r="L434" s="370">
        <v>2</v>
      </c>
    </row>
    <row r="435" spans="1:12" hidden="1">
      <c r="A435" s="356">
        <v>40487</v>
      </c>
      <c r="B435" s="356" t="s">
        <v>778</v>
      </c>
      <c r="C435" s="357">
        <v>364</v>
      </c>
      <c r="D435" s="356">
        <v>40851</v>
      </c>
      <c r="E435" s="360">
        <v>5</v>
      </c>
      <c r="F435" s="358">
        <v>0.51729999999999998</v>
      </c>
      <c r="G435" s="358">
        <v>0</v>
      </c>
      <c r="H435" s="358">
        <v>0</v>
      </c>
      <c r="I435" s="358">
        <v>0</v>
      </c>
      <c r="J435" s="358">
        <v>0</v>
      </c>
      <c r="L435" s="357">
        <v>0</v>
      </c>
    </row>
    <row r="436" spans="1:12" hidden="1">
      <c r="A436" s="369">
        <v>40494</v>
      </c>
      <c r="B436" s="369" t="s">
        <v>779</v>
      </c>
      <c r="C436" s="370">
        <v>364</v>
      </c>
      <c r="D436" s="369">
        <v>40858</v>
      </c>
      <c r="E436" s="371">
        <v>5</v>
      </c>
      <c r="F436" s="372">
        <v>11</v>
      </c>
      <c r="G436" s="372">
        <v>5</v>
      </c>
      <c r="H436" s="372">
        <v>4</v>
      </c>
      <c r="I436" s="372">
        <v>4</v>
      </c>
      <c r="J436" s="372">
        <v>4</v>
      </c>
      <c r="K436" s="373"/>
      <c r="L436" s="370">
        <v>2</v>
      </c>
    </row>
    <row r="437" spans="1:12" hidden="1">
      <c r="A437" s="356">
        <v>40494</v>
      </c>
      <c r="B437" s="356" t="s">
        <v>780</v>
      </c>
      <c r="C437" s="357">
        <v>182</v>
      </c>
      <c r="D437" s="356">
        <v>40676</v>
      </c>
      <c r="E437" s="360">
        <v>7</v>
      </c>
      <c r="F437" s="358">
        <v>10.087300000000001</v>
      </c>
      <c r="G437" s="358">
        <v>7</v>
      </c>
      <c r="H437" s="358">
        <v>2.9899999999999998</v>
      </c>
      <c r="I437" s="358">
        <v>2.9899999999999998</v>
      </c>
      <c r="J437" s="358">
        <v>2.9899999999999998</v>
      </c>
      <c r="L437" s="357">
        <v>2</v>
      </c>
    </row>
    <row r="438" spans="1:12" hidden="1">
      <c r="A438" s="369">
        <v>40494</v>
      </c>
      <c r="B438" s="369" t="s">
        <v>781</v>
      </c>
      <c r="C438" s="370">
        <v>1092</v>
      </c>
      <c r="D438" s="369">
        <v>41586</v>
      </c>
      <c r="E438" s="371">
        <v>3</v>
      </c>
      <c r="F438" s="372">
        <v>0.99750000000000005</v>
      </c>
      <c r="G438" s="372">
        <v>0.99750000000000005</v>
      </c>
      <c r="H438" s="372">
        <v>5</v>
      </c>
      <c r="I438" s="372">
        <v>5</v>
      </c>
      <c r="J438" s="372">
        <v>5</v>
      </c>
      <c r="K438" s="373"/>
      <c r="L438" s="370">
        <v>1</v>
      </c>
    </row>
    <row r="439" spans="1:12" hidden="1">
      <c r="A439" s="356">
        <v>40494</v>
      </c>
      <c r="B439" s="356" t="s">
        <v>782</v>
      </c>
      <c r="C439" s="357">
        <v>728</v>
      </c>
      <c r="D439" s="356">
        <v>41222</v>
      </c>
      <c r="E439" s="360">
        <v>3</v>
      </c>
      <c r="F439" s="358">
        <v>0</v>
      </c>
      <c r="G439" s="358">
        <v>0</v>
      </c>
      <c r="H439" s="358">
        <v>4.5</v>
      </c>
      <c r="I439" s="358">
        <v>4.5</v>
      </c>
      <c r="J439" s="358">
        <v>0</v>
      </c>
      <c r="L439" s="357">
        <v>0</v>
      </c>
    </row>
    <row r="440" spans="1:12" hidden="1">
      <c r="A440" s="369">
        <v>40501</v>
      </c>
      <c r="B440" s="369" t="s">
        <v>783</v>
      </c>
      <c r="C440" s="370">
        <v>35</v>
      </c>
      <c r="D440" s="369">
        <v>40536</v>
      </c>
      <c r="E440" s="371">
        <v>20</v>
      </c>
      <c r="F440" s="372">
        <v>12.0146</v>
      </c>
      <c r="G440" s="372">
        <v>12.0146</v>
      </c>
      <c r="H440" s="372">
        <v>1.46</v>
      </c>
      <c r="I440" s="372">
        <v>1.46</v>
      </c>
      <c r="J440" s="372">
        <v>1.46</v>
      </c>
      <c r="K440" s="373"/>
      <c r="L440" s="370">
        <v>3</v>
      </c>
    </row>
    <row r="441" spans="1:12" hidden="1">
      <c r="A441" s="356">
        <v>40501</v>
      </c>
      <c r="B441" s="356" t="s">
        <v>784</v>
      </c>
      <c r="C441" s="357">
        <v>91</v>
      </c>
      <c r="D441" s="356">
        <v>40592</v>
      </c>
      <c r="E441" s="360">
        <v>15</v>
      </c>
      <c r="F441" s="358">
        <v>22.527200000000001</v>
      </c>
      <c r="G441" s="358">
        <v>15</v>
      </c>
      <c r="H441" s="358">
        <v>2.5</v>
      </c>
      <c r="I441" s="358">
        <v>2.5</v>
      </c>
      <c r="J441" s="358">
        <v>2.46</v>
      </c>
      <c r="L441" s="357">
        <v>4</v>
      </c>
    </row>
    <row r="442" spans="1:12" hidden="1">
      <c r="A442" s="369">
        <v>40501</v>
      </c>
      <c r="B442" s="369" t="s">
        <v>785</v>
      </c>
      <c r="C442" s="370">
        <v>364</v>
      </c>
      <c r="D442" s="369">
        <v>40865</v>
      </c>
      <c r="E442" s="371">
        <v>3</v>
      </c>
      <c r="F442" s="372">
        <v>0</v>
      </c>
      <c r="G442" s="372">
        <v>0</v>
      </c>
      <c r="H442" s="372">
        <v>0</v>
      </c>
      <c r="I442" s="372">
        <v>0</v>
      </c>
      <c r="J442" s="372">
        <v>0</v>
      </c>
      <c r="K442" s="373"/>
      <c r="L442" s="370">
        <v>0</v>
      </c>
    </row>
    <row r="443" spans="1:12" hidden="1">
      <c r="A443" s="356">
        <v>40505</v>
      </c>
      <c r="B443" s="356" t="s">
        <v>786</v>
      </c>
      <c r="C443" s="357">
        <v>182</v>
      </c>
      <c r="D443" s="356">
        <v>40687</v>
      </c>
      <c r="E443" s="360">
        <v>8</v>
      </c>
      <c r="F443" s="358">
        <v>22.416699999999999</v>
      </c>
      <c r="G443" s="358">
        <v>8</v>
      </c>
      <c r="H443" s="358">
        <v>2.91</v>
      </c>
      <c r="I443" s="358">
        <v>2.91</v>
      </c>
      <c r="J443" s="358">
        <v>2.85</v>
      </c>
      <c r="L443" s="357">
        <v>8</v>
      </c>
    </row>
    <row r="444" spans="1:12" hidden="1">
      <c r="A444" s="369">
        <v>40508</v>
      </c>
      <c r="B444" s="369" t="s">
        <v>787</v>
      </c>
      <c r="C444" s="370">
        <v>91</v>
      </c>
      <c r="D444" s="369">
        <v>40599</v>
      </c>
      <c r="E444" s="371">
        <v>20</v>
      </c>
      <c r="F444" s="372">
        <v>15.7201</v>
      </c>
      <c r="G444" s="372">
        <v>15.7201</v>
      </c>
      <c r="H444" s="372">
        <v>2.5</v>
      </c>
      <c r="I444" s="372">
        <v>2.5</v>
      </c>
      <c r="J444" s="372">
        <v>2.2999999999999998</v>
      </c>
      <c r="K444" s="373"/>
      <c r="L444" s="370">
        <v>7</v>
      </c>
    </row>
    <row r="445" spans="1:12" hidden="1">
      <c r="A445" s="356">
        <v>40508</v>
      </c>
      <c r="B445" s="356" t="s">
        <v>788</v>
      </c>
      <c r="C445" s="357">
        <v>364</v>
      </c>
      <c r="D445" s="356">
        <v>40872</v>
      </c>
      <c r="E445" s="360">
        <v>5</v>
      </c>
      <c r="F445" s="358">
        <v>6</v>
      </c>
      <c r="G445" s="358">
        <v>5</v>
      </c>
      <c r="H445" s="358">
        <v>4</v>
      </c>
      <c r="I445" s="358">
        <v>4</v>
      </c>
      <c r="J445" s="358">
        <v>4</v>
      </c>
      <c r="L445" s="357">
        <v>1</v>
      </c>
    </row>
    <row r="446" spans="1:12" hidden="1">
      <c r="A446" s="369">
        <v>40508</v>
      </c>
      <c r="B446" s="369" t="s">
        <v>789</v>
      </c>
      <c r="C446" s="370">
        <v>728</v>
      </c>
      <c r="D446" s="369">
        <v>41236</v>
      </c>
      <c r="E446" s="371">
        <v>2</v>
      </c>
      <c r="F446" s="372">
        <v>0</v>
      </c>
      <c r="G446" s="372">
        <v>0</v>
      </c>
      <c r="H446" s="372">
        <v>4.5</v>
      </c>
      <c r="I446" s="372">
        <v>4.5</v>
      </c>
      <c r="J446" s="372">
        <v>0</v>
      </c>
      <c r="K446" s="373"/>
      <c r="L446" s="370">
        <v>0</v>
      </c>
    </row>
    <row r="447" spans="1:12" hidden="1">
      <c r="A447" s="356">
        <v>40508</v>
      </c>
      <c r="B447" s="356" t="s">
        <v>790</v>
      </c>
      <c r="C447" s="357">
        <v>1092</v>
      </c>
      <c r="D447" s="356">
        <v>41600</v>
      </c>
      <c r="E447" s="360">
        <v>3</v>
      </c>
      <c r="F447" s="358">
        <v>3</v>
      </c>
      <c r="G447" s="358">
        <v>3</v>
      </c>
      <c r="H447" s="358">
        <v>5</v>
      </c>
      <c r="I447" s="358">
        <v>5</v>
      </c>
      <c r="J447" s="358">
        <v>5</v>
      </c>
      <c r="L447" s="357">
        <v>1</v>
      </c>
    </row>
    <row r="448" spans="1:12" hidden="1">
      <c r="A448" s="369">
        <v>40515</v>
      </c>
      <c r="B448" s="369" t="s">
        <v>1074</v>
      </c>
      <c r="C448" s="370">
        <v>91</v>
      </c>
      <c r="D448" s="369">
        <v>40606</v>
      </c>
      <c r="E448" s="371">
        <v>20</v>
      </c>
      <c r="F448" s="372">
        <v>7.8320999999999996</v>
      </c>
      <c r="G448" s="372">
        <v>7.8320999999999996</v>
      </c>
      <c r="H448" s="372">
        <v>2.5</v>
      </c>
      <c r="I448" s="372">
        <v>2.5</v>
      </c>
      <c r="J448" s="372">
        <v>2.5</v>
      </c>
      <c r="K448" s="373"/>
      <c r="L448" s="370">
        <v>3</v>
      </c>
    </row>
    <row r="449" spans="1:12" hidden="1">
      <c r="A449" s="356">
        <v>40515</v>
      </c>
      <c r="B449" s="356" t="s">
        <v>1075</v>
      </c>
      <c r="C449" s="357">
        <v>364</v>
      </c>
      <c r="D449" s="356">
        <v>40879</v>
      </c>
      <c r="E449" s="360">
        <v>3</v>
      </c>
      <c r="F449" s="358">
        <v>0</v>
      </c>
      <c r="G449" s="358">
        <v>0</v>
      </c>
      <c r="H449" s="358">
        <v>0</v>
      </c>
      <c r="I449" s="358">
        <v>0</v>
      </c>
      <c r="J449" s="358">
        <v>0</v>
      </c>
      <c r="L449" s="357">
        <v>0</v>
      </c>
    </row>
    <row r="450" spans="1:12" hidden="1">
      <c r="A450" s="369">
        <v>40515</v>
      </c>
      <c r="B450" s="369" t="s">
        <v>1076</v>
      </c>
      <c r="C450" s="370">
        <v>35</v>
      </c>
      <c r="D450" s="369">
        <v>40550</v>
      </c>
      <c r="E450" s="371">
        <v>20</v>
      </c>
      <c r="F450" s="372">
        <v>6.0103</v>
      </c>
      <c r="G450" s="372">
        <v>6.0103</v>
      </c>
      <c r="H450" s="372">
        <v>1.46</v>
      </c>
      <c r="I450" s="372">
        <v>1.46</v>
      </c>
      <c r="J450" s="372">
        <v>1.46</v>
      </c>
      <c r="K450" s="373"/>
      <c r="L450" s="370">
        <v>2</v>
      </c>
    </row>
    <row r="451" spans="1:12" hidden="1">
      <c r="A451" s="356">
        <v>40519</v>
      </c>
      <c r="B451" s="356" t="s">
        <v>1077</v>
      </c>
      <c r="C451" s="357">
        <v>182</v>
      </c>
      <c r="D451" s="356">
        <v>40701</v>
      </c>
      <c r="E451" s="360">
        <v>7</v>
      </c>
      <c r="F451" s="358">
        <v>3.0421</v>
      </c>
      <c r="G451" s="358">
        <v>3.0421</v>
      </c>
      <c r="H451" s="358">
        <v>2.9899999999999998</v>
      </c>
      <c r="I451" s="358">
        <v>2.9899999999999998</v>
      </c>
      <c r="J451" s="358">
        <v>2.9899999999999998</v>
      </c>
      <c r="L451" s="357">
        <v>3</v>
      </c>
    </row>
    <row r="452" spans="1:12" hidden="1">
      <c r="A452" s="369">
        <v>40522</v>
      </c>
      <c r="B452" s="369" t="s">
        <v>1078</v>
      </c>
      <c r="C452" s="370">
        <v>364</v>
      </c>
      <c r="D452" s="369">
        <v>40886</v>
      </c>
      <c r="E452" s="371">
        <v>5</v>
      </c>
      <c r="F452" s="372">
        <v>6.3860000000000001</v>
      </c>
      <c r="G452" s="372">
        <v>5</v>
      </c>
      <c r="H452" s="372">
        <v>4</v>
      </c>
      <c r="I452" s="372">
        <v>4</v>
      </c>
      <c r="J452" s="372">
        <v>4</v>
      </c>
      <c r="K452" s="373"/>
      <c r="L452" s="370">
        <v>2</v>
      </c>
    </row>
    <row r="453" spans="1:12" hidden="1">
      <c r="A453" s="356">
        <v>40522</v>
      </c>
      <c r="B453" s="356" t="s">
        <v>1079</v>
      </c>
      <c r="C453" s="357">
        <v>728</v>
      </c>
      <c r="D453" s="356">
        <v>41250</v>
      </c>
      <c r="E453" s="360">
        <v>3</v>
      </c>
      <c r="F453" s="358">
        <v>0</v>
      </c>
      <c r="G453" s="358">
        <v>0</v>
      </c>
      <c r="H453" s="358">
        <v>0</v>
      </c>
      <c r="I453" s="358">
        <v>0</v>
      </c>
      <c r="J453" s="358">
        <v>0</v>
      </c>
      <c r="L453" s="357">
        <v>0</v>
      </c>
    </row>
    <row r="454" spans="1:12" hidden="1">
      <c r="A454" s="369">
        <v>40522</v>
      </c>
      <c r="B454" s="369" t="s">
        <v>1080</v>
      </c>
      <c r="C454" s="370">
        <v>1092</v>
      </c>
      <c r="D454" s="369">
        <v>41614</v>
      </c>
      <c r="E454" s="371">
        <v>3</v>
      </c>
      <c r="F454" s="372">
        <v>3</v>
      </c>
      <c r="G454" s="372">
        <v>3</v>
      </c>
      <c r="H454" s="372">
        <v>5</v>
      </c>
      <c r="I454" s="372">
        <v>5</v>
      </c>
      <c r="J454" s="372">
        <v>5</v>
      </c>
      <c r="K454" s="373"/>
      <c r="L454" s="370">
        <v>1</v>
      </c>
    </row>
    <row r="455" spans="1:12" hidden="1">
      <c r="A455" s="356">
        <v>40526</v>
      </c>
      <c r="B455" s="356" t="s">
        <v>1081</v>
      </c>
      <c r="C455" s="357">
        <v>35</v>
      </c>
      <c r="D455" s="356">
        <v>40561</v>
      </c>
      <c r="E455" s="360">
        <v>20</v>
      </c>
      <c r="F455" s="358">
        <v>11.6137</v>
      </c>
      <c r="G455" s="358">
        <v>11.6137</v>
      </c>
      <c r="H455" s="358">
        <v>1.46</v>
      </c>
      <c r="I455" s="358">
        <v>1.46</v>
      </c>
      <c r="J455" s="358">
        <v>1.46</v>
      </c>
      <c r="L455" s="357">
        <v>5</v>
      </c>
    </row>
    <row r="456" spans="1:12" hidden="1">
      <c r="A456" s="369">
        <v>40529</v>
      </c>
      <c r="B456" s="369" t="s">
        <v>1082</v>
      </c>
      <c r="C456" s="370">
        <v>91</v>
      </c>
      <c r="D456" s="369">
        <v>40620</v>
      </c>
      <c r="E456" s="371">
        <v>15</v>
      </c>
      <c r="F456" s="372">
        <v>11.159700000000001</v>
      </c>
      <c r="G456" s="372">
        <v>11.159700000000001</v>
      </c>
      <c r="H456" s="372">
        <v>2.5</v>
      </c>
      <c r="I456" s="372">
        <v>2.5</v>
      </c>
      <c r="J456" s="372">
        <v>2.5</v>
      </c>
      <c r="K456" s="373"/>
      <c r="L456" s="370">
        <v>4</v>
      </c>
    </row>
    <row r="457" spans="1:12" hidden="1">
      <c r="A457" s="356">
        <v>40529</v>
      </c>
      <c r="B457" s="356" t="s">
        <v>1083</v>
      </c>
      <c r="C457" s="357">
        <v>364</v>
      </c>
      <c r="D457" s="356">
        <v>40893</v>
      </c>
      <c r="E457" s="360">
        <v>3</v>
      </c>
      <c r="F457" s="358">
        <v>0</v>
      </c>
      <c r="G457" s="358">
        <v>0</v>
      </c>
      <c r="H457" s="358">
        <v>0</v>
      </c>
      <c r="I457" s="358">
        <v>0</v>
      </c>
      <c r="J457" s="358">
        <v>0</v>
      </c>
      <c r="L457" s="357">
        <v>0</v>
      </c>
    </row>
    <row r="458" spans="1:12" hidden="1">
      <c r="A458" s="369">
        <v>40533</v>
      </c>
      <c r="B458" s="369" t="s">
        <v>1084</v>
      </c>
      <c r="C458" s="370">
        <v>182</v>
      </c>
      <c r="D458" s="369">
        <v>40715</v>
      </c>
      <c r="E458" s="371">
        <v>8</v>
      </c>
      <c r="F458" s="372">
        <v>0</v>
      </c>
      <c r="G458" s="372">
        <v>0</v>
      </c>
      <c r="H458" s="372">
        <v>0</v>
      </c>
      <c r="I458" s="372">
        <v>0</v>
      </c>
      <c r="J458" s="372">
        <v>0</v>
      </c>
      <c r="K458" s="373"/>
      <c r="L458" s="370">
        <v>0</v>
      </c>
    </row>
    <row r="459" spans="1:12" hidden="1">
      <c r="A459" s="356">
        <v>40536</v>
      </c>
      <c r="B459" s="356" t="s">
        <v>1085</v>
      </c>
      <c r="C459" s="357">
        <v>364</v>
      </c>
      <c r="D459" s="356">
        <v>40900</v>
      </c>
      <c r="E459" s="360">
        <v>5</v>
      </c>
      <c r="F459" s="358">
        <v>5.4767999999999999</v>
      </c>
      <c r="G459" s="358">
        <v>5</v>
      </c>
      <c r="H459" s="358">
        <v>4</v>
      </c>
      <c r="I459" s="358">
        <v>4</v>
      </c>
      <c r="J459" s="358">
        <v>4</v>
      </c>
      <c r="L459" s="357">
        <v>3</v>
      </c>
    </row>
    <row r="460" spans="1:12" hidden="1">
      <c r="A460" s="369">
        <v>40536</v>
      </c>
      <c r="B460" s="369" t="s">
        <v>1086</v>
      </c>
      <c r="C460" s="370">
        <v>728</v>
      </c>
      <c r="D460" s="369">
        <v>41264</v>
      </c>
      <c r="E460" s="371">
        <v>2</v>
      </c>
      <c r="F460" s="372">
        <v>0</v>
      </c>
      <c r="G460" s="372">
        <v>0</v>
      </c>
      <c r="H460" s="372">
        <v>4.5</v>
      </c>
      <c r="I460" s="372">
        <v>4.5</v>
      </c>
      <c r="J460" s="372">
        <v>4.5</v>
      </c>
      <c r="K460" s="373"/>
      <c r="L460" s="370">
        <v>0</v>
      </c>
    </row>
    <row r="461" spans="1:12" hidden="1">
      <c r="A461" s="356">
        <v>40536</v>
      </c>
      <c r="B461" s="356" t="s">
        <v>1087</v>
      </c>
      <c r="C461" s="357">
        <v>1092</v>
      </c>
      <c r="D461" s="356">
        <v>41628</v>
      </c>
      <c r="E461" s="360">
        <v>3</v>
      </c>
      <c r="F461" s="358">
        <v>0</v>
      </c>
      <c r="G461" s="358">
        <v>0</v>
      </c>
      <c r="H461" s="358">
        <v>5</v>
      </c>
      <c r="I461" s="358">
        <v>5</v>
      </c>
      <c r="J461" s="358">
        <v>5</v>
      </c>
      <c r="L461" s="357">
        <v>0</v>
      </c>
    </row>
    <row r="462" spans="1:12" hidden="1">
      <c r="A462" s="369">
        <v>40575</v>
      </c>
      <c r="B462" s="369" t="s">
        <v>1088</v>
      </c>
      <c r="C462" s="370">
        <v>35</v>
      </c>
      <c r="D462" s="369">
        <v>40610</v>
      </c>
      <c r="E462" s="371">
        <v>10</v>
      </c>
      <c r="F462" s="372">
        <v>37.786900000000003</v>
      </c>
      <c r="G462" s="372">
        <v>10</v>
      </c>
      <c r="H462" s="372">
        <v>1.46</v>
      </c>
      <c r="I462" s="372">
        <v>1.46</v>
      </c>
      <c r="J462" s="372">
        <v>1.3599999999999999</v>
      </c>
      <c r="K462" s="373"/>
      <c r="L462" s="370">
        <v>5</v>
      </c>
    </row>
    <row r="463" spans="1:12" hidden="1">
      <c r="A463" s="356">
        <v>40578</v>
      </c>
      <c r="B463" s="356" t="s">
        <v>1089</v>
      </c>
      <c r="C463" s="357">
        <v>91</v>
      </c>
      <c r="D463" s="356">
        <v>40669</v>
      </c>
      <c r="E463" s="360">
        <v>4</v>
      </c>
      <c r="F463" s="358">
        <v>25.308399999999999</v>
      </c>
      <c r="G463" s="358">
        <v>4</v>
      </c>
      <c r="H463" s="358">
        <v>1.6099999999999999</v>
      </c>
      <c r="I463" s="358">
        <v>1.6099999999999999</v>
      </c>
      <c r="J463" s="358">
        <v>1.6099999999999999</v>
      </c>
      <c r="L463" s="357">
        <v>6</v>
      </c>
    </row>
    <row r="464" spans="1:12" hidden="1">
      <c r="A464" s="369">
        <v>40582</v>
      </c>
      <c r="B464" s="369" t="s">
        <v>1090</v>
      </c>
      <c r="C464" s="370">
        <v>182</v>
      </c>
      <c r="D464" s="369">
        <v>40764</v>
      </c>
      <c r="E464" s="371">
        <v>3</v>
      </c>
      <c r="F464" s="372">
        <v>12.611599999999999</v>
      </c>
      <c r="G464" s="372">
        <v>3</v>
      </c>
      <c r="H464" s="372">
        <v>2.0099999999999998</v>
      </c>
      <c r="I464" s="372">
        <v>2.0099999999999998</v>
      </c>
      <c r="J464" s="372">
        <v>2.0099999999999998</v>
      </c>
      <c r="K464" s="373"/>
      <c r="L464" s="370">
        <v>4</v>
      </c>
    </row>
    <row r="465" spans="1:12" hidden="1">
      <c r="A465" s="356">
        <v>40585</v>
      </c>
      <c r="B465" s="356" t="s">
        <v>1091</v>
      </c>
      <c r="C465" s="357">
        <v>364</v>
      </c>
      <c r="D465" s="356">
        <v>40949</v>
      </c>
      <c r="E465" s="360">
        <v>3</v>
      </c>
      <c r="F465" s="358">
        <v>10.628500000000001</v>
      </c>
      <c r="G465" s="358">
        <v>3</v>
      </c>
      <c r="H465" s="358">
        <v>4</v>
      </c>
      <c r="I465" s="358">
        <v>4</v>
      </c>
      <c r="J465" s="358">
        <v>4</v>
      </c>
      <c r="L465" s="357">
        <v>5</v>
      </c>
    </row>
    <row r="466" spans="1:12" hidden="1">
      <c r="A466" s="369">
        <v>40589</v>
      </c>
      <c r="B466" s="369" t="s">
        <v>1092</v>
      </c>
      <c r="C466" s="370">
        <v>91</v>
      </c>
      <c r="D466" s="369">
        <v>40680</v>
      </c>
      <c r="E466" s="371">
        <v>7</v>
      </c>
      <c r="F466" s="372">
        <v>17.824400000000001</v>
      </c>
      <c r="G466" s="372">
        <v>7</v>
      </c>
      <c r="H466" s="372">
        <v>1.6099999999999999</v>
      </c>
      <c r="I466" s="372">
        <v>1.6099999999999999</v>
      </c>
      <c r="J466" s="372">
        <v>1.49</v>
      </c>
      <c r="K466" s="373"/>
      <c r="L466" s="370">
        <v>5</v>
      </c>
    </row>
    <row r="467" spans="1:12" hidden="1">
      <c r="A467" s="356">
        <v>40592</v>
      </c>
      <c r="B467" s="356" t="s">
        <v>1093</v>
      </c>
      <c r="C467" s="357">
        <v>35</v>
      </c>
      <c r="D467" s="356">
        <v>40627</v>
      </c>
      <c r="E467" s="360">
        <v>5</v>
      </c>
      <c r="F467" s="358">
        <v>15.105700000000001</v>
      </c>
      <c r="G467" s="358">
        <v>5</v>
      </c>
      <c r="H467" s="358">
        <v>1.1499999999999999</v>
      </c>
      <c r="I467" s="358">
        <v>1.1499999999999999</v>
      </c>
      <c r="J467" s="358">
        <v>1.1499999999999999</v>
      </c>
      <c r="L467" s="357">
        <v>2</v>
      </c>
    </row>
    <row r="468" spans="1:12" hidden="1">
      <c r="A468" s="369">
        <v>40596</v>
      </c>
      <c r="B468" s="369" t="s">
        <v>1094</v>
      </c>
      <c r="C468" s="370">
        <v>182</v>
      </c>
      <c r="D468" s="369">
        <v>40778</v>
      </c>
      <c r="E468" s="371">
        <v>4</v>
      </c>
      <c r="F468" s="372">
        <v>10.5755</v>
      </c>
      <c r="G468" s="372">
        <v>4</v>
      </c>
      <c r="H468" s="372">
        <v>1.7999999999999998</v>
      </c>
      <c r="I468" s="372">
        <v>1.7999999999999998</v>
      </c>
      <c r="J468" s="372">
        <v>1.7999999999999998</v>
      </c>
      <c r="K468" s="373"/>
      <c r="L468" s="370">
        <v>3</v>
      </c>
    </row>
    <row r="469" spans="1:12" hidden="1">
      <c r="A469" s="356">
        <v>40599</v>
      </c>
      <c r="B469" s="356" t="s">
        <v>1095</v>
      </c>
      <c r="C469" s="357">
        <v>1092</v>
      </c>
      <c r="D469" s="356">
        <v>41691</v>
      </c>
      <c r="E469" s="360">
        <v>2</v>
      </c>
      <c r="F469" s="358">
        <v>13.328200000000001</v>
      </c>
      <c r="G469" s="358">
        <v>2</v>
      </c>
      <c r="H469" s="358">
        <v>5</v>
      </c>
      <c r="I469" s="358">
        <v>5</v>
      </c>
      <c r="J469" s="358">
        <v>5</v>
      </c>
      <c r="L469" s="357">
        <v>6</v>
      </c>
    </row>
    <row r="470" spans="1:12" hidden="1">
      <c r="A470" s="369">
        <v>40599</v>
      </c>
      <c r="B470" s="369" t="s">
        <v>1096</v>
      </c>
      <c r="C470" s="370">
        <v>364</v>
      </c>
      <c r="D470" s="369">
        <v>40963</v>
      </c>
      <c r="E470" s="371">
        <v>3</v>
      </c>
      <c r="F470" s="372">
        <v>6.2915000000000001</v>
      </c>
      <c r="G470" s="372">
        <v>3</v>
      </c>
      <c r="H470" s="372">
        <v>4</v>
      </c>
      <c r="I470" s="372">
        <v>4</v>
      </c>
      <c r="J470" s="372">
        <v>4</v>
      </c>
      <c r="K470" s="373"/>
      <c r="L470" s="370">
        <v>3</v>
      </c>
    </row>
    <row r="471" spans="1:12" hidden="1">
      <c r="A471" s="356">
        <v>40603</v>
      </c>
      <c r="B471" s="356" t="s">
        <v>1097</v>
      </c>
      <c r="C471" s="357">
        <v>35</v>
      </c>
      <c r="D471" s="356">
        <v>40638</v>
      </c>
      <c r="E471" s="360">
        <v>5</v>
      </c>
      <c r="F471" s="358">
        <v>18.509799999999998</v>
      </c>
      <c r="G471" s="358">
        <v>5</v>
      </c>
      <c r="H471" s="358">
        <v>1.1499999999999999</v>
      </c>
      <c r="I471" s="358">
        <v>1.1499999999999999</v>
      </c>
      <c r="J471" s="358">
        <v>1.04</v>
      </c>
      <c r="L471" s="357">
        <v>4</v>
      </c>
    </row>
    <row r="472" spans="1:12" hidden="1">
      <c r="A472" s="369">
        <v>40606</v>
      </c>
      <c r="B472" s="369" t="s">
        <v>1098</v>
      </c>
      <c r="C472" s="370">
        <v>91</v>
      </c>
      <c r="D472" s="369">
        <v>40697</v>
      </c>
      <c r="E472" s="371">
        <v>7</v>
      </c>
      <c r="F472" s="372">
        <v>13.283899999999999</v>
      </c>
      <c r="G472" s="372">
        <v>7</v>
      </c>
      <c r="H472" s="372">
        <v>2.42</v>
      </c>
      <c r="I472" s="372">
        <v>2.42</v>
      </c>
      <c r="J472" s="372">
        <v>1.81</v>
      </c>
      <c r="K472" s="373"/>
      <c r="L472" s="370">
        <v>4</v>
      </c>
    </row>
    <row r="473" spans="1:12" hidden="1">
      <c r="A473" s="356">
        <v>40613</v>
      </c>
      <c r="B473" s="356" t="s">
        <v>1099</v>
      </c>
      <c r="C473" s="357">
        <v>364</v>
      </c>
      <c r="D473" s="356">
        <v>40977</v>
      </c>
      <c r="E473" s="360">
        <v>3</v>
      </c>
      <c r="F473" s="358">
        <v>9.1008999999999993</v>
      </c>
      <c r="G473" s="358">
        <v>3</v>
      </c>
      <c r="H473" s="358">
        <v>4</v>
      </c>
      <c r="I473" s="358">
        <v>4</v>
      </c>
      <c r="J473" s="358">
        <v>4</v>
      </c>
      <c r="L473" s="357">
        <v>5</v>
      </c>
    </row>
    <row r="474" spans="1:12" hidden="1">
      <c r="A474" s="369">
        <v>40613</v>
      </c>
      <c r="B474" s="369" t="s">
        <v>1100</v>
      </c>
      <c r="C474" s="370">
        <v>182</v>
      </c>
      <c r="D474" s="369">
        <v>40795</v>
      </c>
      <c r="E474" s="371">
        <v>3</v>
      </c>
      <c r="F474" s="372">
        <v>5.0229999999999997</v>
      </c>
      <c r="G474" s="372">
        <v>3</v>
      </c>
      <c r="H474" s="372">
        <v>1.5</v>
      </c>
      <c r="I474" s="372">
        <v>1.5</v>
      </c>
      <c r="J474" s="372">
        <v>1.5</v>
      </c>
      <c r="K474" s="373"/>
      <c r="L474" s="370">
        <v>2</v>
      </c>
    </row>
    <row r="475" spans="1:12" hidden="1">
      <c r="A475" s="356">
        <v>40620</v>
      </c>
      <c r="B475" s="356" t="s">
        <v>1101</v>
      </c>
      <c r="C475" s="357">
        <v>91</v>
      </c>
      <c r="D475" s="356">
        <v>40711</v>
      </c>
      <c r="E475" s="360">
        <v>5</v>
      </c>
      <c r="F475" s="358">
        <v>10.678000000000001</v>
      </c>
      <c r="G475" s="358">
        <v>5</v>
      </c>
      <c r="H475" s="358">
        <v>1.29</v>
      </c>
      <c r="I475" s="358">
        <v>1.29</v>
      </c>
      <c r="J475" s="358">
        <v>1.25</v>
      </c>
      <c r="L475" s="357">
        <v>4</v>
      </c>
    </row>
    <row r="476" spans="1:12" hidden="1">
      <c r="A476" s="369">
        <v>40631</v>
      </c>
      <c r="B476" s="369" t="s">
        <v>1102</v>
      </c>
      <c r="C476" s="370">
        <v>364</v>
      </c>
      <c r="D476" s="369">
        <v>40995</v>
      </c>
      <c r="E476" s="371">
        <v>3</v>
      </c>
      <c r="F476" s="372">
        <v>8.4283000000000001</v>
      </c>
      <c r="G476" s="372">
        <v>3</v>
      </c>
      <c r="H476" s="372">
        <v>4</v>
      </c>
      <c r="I476" s="372">
        <v>4</v>
      </c>
      <c r="J476" s="372">
        <v>4</v>
      </c>
      <c r="K476" s="373"/>
      <c r="L476" s="370">
        <v>3</v>
      </c>
    </row>
    <row r="477" spans="1:12" hidden="1">
      <c r="A477" s="356">
        <v>40631</v>
      </c>
      <c r="B477" s="356" t="s">
        <v>1103</v>
      </c>
      <c r="C477" s="357">
        <v>182</v>
      </c>
      <c r="D477" s="356">
        <v>40813</v>
      </c>
      <c r="E477" s="360">
        <v>4</v>
      </c>
      <c r="F477" s="358">
        <v>9.8295999999999992</v>
      </c>
      <c r="G477" s="358">
        <v>4</v>
      </c>
      <c r="H477" s="358">
        <v>1.5</v>
      </c>
      <c r="I477" s="358">
        <v>1.5</v>
      </c>
      <c r="J477" s="358">
        <v>1.47</v>
      </c>
      <c r="L477" s="357">
        <v>3</v>
      </c>
    </row>
    <row r="478" spans="1:12" hidden="1">
      <c r="A478" s="369">
        <v>40638</v>
      </c>
      <c r="B478" s="369" t="s">
        <v>1104</v>
      </c>
      <c r="C478" s="370">
        <v>35</v>
      </c>
      <c r="D478" s="369">
        <v>40673</v>
      </c>
      <c r="E478" s="371">
        <v>5</v>
      </c>
      <c r="F478" s="372">
        <v>10.9954</v>
      </c>
      <c r="G478" s="372">
        <v>5</v>
      </c>
      <c r="H478" s="372">
        <v>0.94000000000000006</v>
      </c>
      <c r="I478" s="372">
        <v>0.94000000000000006</v>
      </c>
      <c r="J478" s="372">
        <v>0.94000000000000006</v>
      </c>
      <c r="K478" s="373"/>
      <c r="L478" s="370">
        <v>2</v>
      </c>
    </row>
    <row r="479" spans="1:12" hidden="1">
      <c r="A479" s="356">
        <v>40641</v>
      </c>
      <c r="B479" s="356" t="s">
        <v>1105</v>
      </c>
      <c r="C479" s="357">
        <v>91</v>
      </c>
      <c r="D479" s="356">
        <v>40732</v>
      </c>
      <c r="E479" s="360">
        <v>5</v>
      </c>
      <c r="F479" s="358">
        <v>7.5029000000000003</v>
      </c>
      <c r="G479" s="358">
        <v>5</v>
      </c>
      <c r="H479" s="358">
        <v>1.29</v>
      </c>
      <c r="I479" s="358">
        <v>1.29</v>
      </c>
      <c r="J479" s="358">
        <v>1.29</v>
      </c>
      <c r="L479" s="357">
        <v>2</v>
      </c>
    </row>
    <row r="480" spans="1:12" hidden="1">
      <c r="A480" s="369">
        <v>40645</v>
      </c>
      <c r="B480" s="369" t="s">
        <v>1106</v>
      </c>
      <c r="C480" s="370">
        <v>182</v>
      </c>
      <c r="D480" s="369">
        <v>40827</v>
      </c>
      <c r="E480" s="371">
        <v>3</v>
      </c>
      <c r="F480" s="372">
        <v>5.6193</v>
      </c>
      <c r="G480" s="372">
        <v>3</v>
      </c>
      <c r="H480" s="372">
        <v>1.5599999999999998</v>
      </c>
      <c r="I480" s="372">
        <v>1.5599999999999998</v>
      </c>
      <c r="J480" s="372">
        <v>1.5599999999999998</v>
      </c>
      <c r="K480" s="373"/>
      <c r="L480" s="370">
        <v>2</v>
      </c>
    </row>
    <row r="481" spans="1:12" hidden="1">
      <c r="A481" s="356">
        <v>40648</v>
      </c>
      <c r="B481" s="356" t="s">
        <v>1107</v>
      </c>
      <c r="C481" s="357">
        <v>364</v>
      </c>
      <c r="D481" s="356">
        <v>41012</v>
      </c>
      <c r="E481" s="360">
        <v>2</v>
      </c>
      <c r="F481" s="358">
        <v>4.9882999999999997</v>
      </c>
      <c r="G481" s="358">
        <v>2</v>
      </c>
      <c r="H481" s="358">
        <v>4</v>
      </c>
      <c r="I481" s="358">
        <v>4</v>
      </c>
      <c r="J481" s="358">
        <v>4</v>
      </c>
      <c r="L481" s="357">
        <v>3</v>
      </c>
    </row>
    <row r="482" spans="1:12" hidden="1">
      <c r="A482" s="369">
        <v>40648</v>
      </c>
      <c r="B482" s="369" t="s">
        <v>1108</v>
      </c>
      <c r="C482" s="370">
        <v>728</v>
      </c>
      <c r="D482" s="369">
        <v>41376</v>
      </c>
      <c r="E482" s="371">
        <v>2</v>
      </c>
      <c r="F482" s="372">
        <v>2.9903</v>
      </c>
      <c r="G482" s="372">
        <v>2</v>
      </c>
      <c r="H482" s="372">
        <v>4.5</v>
      </c>
      <c r="I482" s="372">
        <v>4.5</v>
      </c>
      <c r="J482" s="372">
        <v>4.5</v>
      </c>
      <c r="K482" s="373"/>
      <c r="L482" s="370">
        <v>2</v>
      </c>
    </row>
    <row r="483" spans="1:12" hidden="1">
      <c r="A483" s="356">
        <v>40652</v>
      </c>
      <c r="B483" s="356" t="s">
        <v>1109</v>
      </c>
      <c r="C483" s="357">
        <v>35</v>
      </c>
      <c r="D483" s="356">
        <v>40687</v>
      </c>
      <c r="E483" s="360">
        <v>5</v>
      </c>
      <c r="F483" s="358">
        <v>5.9904999999999999</v>
      </c>
      <c r="G483" s="358">
        <v>5</v>
      </c>
      <c r="H483" s="358">
        <v>1.04</v>
      </c>
      <c r="I483" s="358">
        <v>1.04</v>
      </c>
      <c r="J483" s="358">
        <v>1.04</v>
      </c>
      <c r="L483" s="357">
        <v>1</v>
      </c>
    </row>
    <row r="484" spans="1:12" hidden="1">
      <c r="A484" s="369">
        <v>40659</v>
      </c>
      <c r="B484" s="369" t="s">
        <v>1110</v>
      </c>
      <c r="C484" s="370">
        <v>182</v>
      </c>
      <c r="D484" s="369">
        <v>40841</v>
      </c>
      <c r="E484" s="371">
        <v>4</v>
      </c>
      <c r="F484" s="372">
        <v>5.0125000000000002</v>
      </c>
      <c r="G484" s="372">
        <v>4</v>
      </c>
      <c r="H484" s="372">
        <v>2.9899999999999998</v>
      </c>
      <c r="I484" s="372">
        <v>2.9899999999999998</v>
      </c>
      <c r="J484" s="372">
        <v>2.87</v>
      </c>
      <c r="K484" s="373"/>
      <c r="L484" s="370">
        <v>2</v>
      </c>
    </row>
    <row r="485" spans="1:12" hidden="1">
      <c r="A485" s="356">
        <v>40662</v>
      </c>
      <c r="B485" s="356" t="s">
        <v>1111</v>
      </c>
      <c r="C485" s="357">
        <v>364</v>
      </c>
      <c r="D485" s="356">
        <v>41026</v>
      </c>
      <c r="E485" s="360">
        <v>3</v>
      </c>
      <c r="F485" s="358">
        <v>8.0422999999999991</v>
      </c>
      <c r="G485" s="358">
        <v>3</v>
      </c>
      <c r="H485" s="358">
        <v>4</v>
      </c>
      <c r="I485" s="358">
        <v>4</v>
      </c>
      <c r="J485" s="358">
        <v>4</v>
      </c>
      <c r="L485" s="357">
        <v>5</v>
      </c>
    </row>
    <row r="486" spans="1:12" hidden="1">
      <c r="A486" s="369">
        <v>40662</v>
      </c>
      <c r="B486" s="369" t="s">
        <v>1112</v>
      </c>
      <c r="C486" s="370">
        <v>1092</v>
      </c>
      <c r="D486" s="369">
        <v>41754</v>
      </c>
      <c r="E486" s="371">
        <v>2</v>
      </c>
      <c r="F486" s="372">
        <v>2.3403999999999998</v>
      </c>
      <c r="G486" s="372">
        <v>2</v>
      </c>
      <c r="H486" s="372">
        <v>5</v>
      </c>
      <c r="I486" s="372">
        <v>5</v>
      </c>
      <c r="J486" s="372">
        <v>5</v>
      </c>
      <c r="K486" s="373"/>
      <c r="L486" s="370">
        <v>2</v>
      </c>
    </row>
    <row r="487" spans="1:12" hidden="1">
      <c r="A487" s="356">
        <v>40666</v>
      </c>
      <c r="B487" s="356" t="s">
        <v>1786</v>
      </c>
      <c r="C487" s="357">
        <v>35</v>
      </c>
      <c r="D487" s="356">
        <v>40701</v>
      </c>
      <c r="E487" s="360">
        <v>5</v>
      </c>
      <c r="F487" s="358">
        <v>7.0021000000000004</v>
      </c>
      <c r="G487" s="358">
        <v>1.0009999999999999</v>
      </c>
      <c r="H487" s="358">
        <v>1.46</v>
      </c>
      <c r="I487" s="358">
        <v>1.46</v>
      </c>
      <c r="J487" s="358">
        <v>1.46</v>
      </c>
      <c r="L487" s="357">
        <v>2</v>
      </c>
    </row>
    <row r="488" spans="1:12" hidden="1">
      <c r="A488" s="369">
        <v>40669</v>
      </c>
      <c r="B488" s="369" t="s">
        <v>1209</v>
      </c>
      <c r="C488" s="370">
        <v>91</v>
      </c>
      <c r="D488" s="369">
        <v>40760</v>
      </c>
      <c r="E488" s="371">
        <v>5</v>
      </c>
      <c r="F488" s="372">
        <v>5.5058999999999996</v>
      </c>
      <c r="G488" s="372">
        <v>5</v>
      </c>
      <c r="H488" s="372">
        <v>2.2200000000000002</v>
      </c>
      <c r="I488" s="372">
        <v>2.2200000000000002</v>
      </c>
      <c r="J488" s="372">
        <v>2.06</v>
      </c>
      <c r="K488" s="373"/>
      <c r="L488" s="370">
        <v>2</v>
      </c>
    </row>
    <row r="489" spans="1:12" hidden="1">
      <c r="A489" s="356">
        <v>40673</v>
      </c>
      <c r="B489" s="356" t="s">
        <v>1210</v>
      </c>
      <c r="C489" s="357">
        <v>182</v>
      </c>
      <c r="D489" s="356">
        <v>40855</v>
      </c>
      <c r="E489" s="360">
        <v>3</v>
      </c>
      <c r="F489" s="358">
        <v>3</v>
      </c>
      <c r="G489" s="358">
        <v>3</v>
      </c>
      <c r="H489" s="358">
        <v>2.9899999999999998</v>
      </c>
      <c r="I489" s="358">
        <v>2.9899999999999998</v>
      </c>
      <c r="J489" s="358">
        <v>2.9899999999999998</v>
      </c>
      <c r="L489" s="357">
        <v>1</v>
      </c>
    </row>
    <row r="490" spans="1:12" hidden="1">
      <c r="A490" s="369">
        <v>40676</v>
      </c>
      <c r="B490" s="369" t="s">
        <v>1211</v>
      </c>
      <c r="C490" s="370">
        <v>364</v>
      </c>
      <c r="D490" s="369">
        <v>41040</v>
      </c>
      <c r="E490" s="371">
        <v>3</v>
      </c>
      <c r="F490" s="372">
        <v>5.4980000000000002</v>
      </c>
      <c r="G490" s="372">
        <v>3</v>
      </c>
      <c r="H490" s="372">
        <v>4</v>
      </c>
      <c r="I490" s="372">
        <v>4</v>
      </c>
      <c r="J490" s="372">
        <v>4</v>
      </c>
      <c r="K490" s="373"/>
      <c r="L490" s="370">
        <v>3</v>
      </c>
    </row>
    <row r="491" spans="1:12" hidden="1">
      <c r="A491" s="356">
        <v>40680</v>
      </c>
      <c r="B491" s="356" t="s">
        <v>1212</v>
      </c>
      <c r="C491" s="357">
        <v>35</v>
      </c>
      <c r="D491" s="356">
        <v>40715</v>
      </c>
      <c r="E491" s="360">
        <v>8</v>
      </c>
      <c r="F491" s="358">
        <v>4.4595000000000002</v>
      </c>
      <c r="G491" s="358">
        <v>0</v>
      </c>
      <c r="H491" s="358">
        <v>0</v>
      </c>
      <c r="I491" s="358">
        <v>0</v>
      </c>
      <c r="J491" s="358">
        <v>0</v>
      </c>
      <c r="L491" s="357">
        <v>3</v>
      </c>
    </row>
    <row r="492" spans="1:12" hidden="1">
      <c r="A492" s="369">
        <v>40683</v>
      </c>
      <c r="B492" s="369" t="s">
        <v>1213</v>
      </c>
      <c r="C492" s="370">
        <v>91</v>
      </c>
      <c r="D492" s="369">
        <v>40774</v>
      </c>
      <c r="E492" s="371">
        <v>6</v>
      </c>
      <c r="F492" s="372">
        <v>9.0210000000000008</v>
      </c>
      <c r="G492" s="372">
        <v>6</v>
      </c>
      <c r="H492" s="372">
        <v>2.5</v>
      </c>
      <c r="I492" s="372">
        <v>2.5</v>
      </c>
      <c r="J492" s="372">
        <v>2.2599999999999998</v>
      </c>
      <c r="K492" s="373"/>
      <c r="L492" s="370">
        <v>2</v>
      </c>
    </row>
    <row r="493" spans="1:12" hidden="1">
      <c r="A493" s="356">
        <v>40687</v>
      </c>
      <c r="B493" s="356" t="s">
        <v>1214</v>
      </c>
      <c r="C493" s="357">
        <v>182</v>
      </c>
      <c r="D493" s="356">
        <v>40869</v>
      </c>
      <c r="E493" s="360">
        <v>4</v>
      </c>
      <c r="F493" s="358">
        <v>6.4560000000000004</v>
      </c>
      <c r="G493" s="358">
        <v>4</v>
      </c>
      <c r="H493" s="358">
        <v>2.9899999999999998</v>
      </c>
      <c r="I493" s="358">
        <v>2.9899999999999998</v>
      </c>
      <c r="J493" s="358">
        <v>2.9899999999999998</v>
      </c>
      <c r="L493" s="357">
        <v>2</v>
      </c>
    </row>
    <row r="494" spans="1:12" hidden="1">
      <c r="A494" s="369">
        <v>40690</v>
      </c>
      <c r="B494" s="369" t="s">
        <v>1215</v>
      </c>
      <c r="C494" s="370">
        <v>1092</v>
      </c>
      <c r="D494" s="369">
        <v>41782</v>
      </c>
      <c r="E494" s="371">
        <v>2</v>
      </c>
      <c r="F494" s="372">
        <v>2</v>
      </c>
      <c r="G494" s="372">
        <v>2</v>
      </c>
      <c r="H494" s="372">
        <v>5</v>
      </c>
      <c r="I494" s="372">
        <v>5</v>
      </c>
      <c r="J494" s="372">
        <v>5</v>
      </c>
      <c r="K494" s="373"/>
      <c r="L494" s="370">
        <v>1</v>
      </c>
    </row>
    <row r="495" spans="1:12" hidden="1">
      <c r="A495" s="356">
        <v>40690</v>
      </c>
      <c r="B495" s="356" t="s">
        <v>1216</v>
      </c>
      <c r="C495" s="357">
        <v>364</v>
      </c>
      <c r="D495" s="356">
        <v>41054</v>
      </c>
      <c r="E495" s="360">
        <v>4</v>
      </c>
      <c r="F495" s="358">
        <v>4</v>
      </c>
      <c r="G495" s="358">
        <v>4</v>
      </c>
      <c r="H495" s="358">
        <v>4</v>
      </c>
      <c r="I495" s="358">
        <v>4</v>
      </c>
      <c r="J495" s="358">
        <v>4</v>
      </c>
      <c r="L495" s="357">
        <v>1</v>
      </c>
    </row>
    <row r="496" spans="1:12" hidden="1">
      <c r="A496" s="369">
        <v>40697</v>
      </c>
      <c r="B496" s="369" t="s">
        <v>1217</v>
      </c>
      <c r="C496" s="370">
        <v>35</v>
      </c>
      <c r="D496" s="369">
        <v>40732</v>
      </c>
      <c r="E496" s="371">
        <v>7</v>
      </c>
      <c r="F496" s="372">
        <v>8.2035</v>
      </c>
      <c r="G496" s="372">
        <v>7</v>
      </c>
      <c r="H496" s="372">
        <v>1.46</v>
      </c>
      <c r="I496" s="372">
        <v>1.46</v>
      </c>
      <c r="J496" s="372">
        <v>1.46</v>
      </c>
      <c r="K496" s="373"/>
      <c r="L496" s="370">
        <v>3</v>
      </c>
    </row>
    <row r="497" spans="1:12" hidden="1">
      <c r="A497" s="356">
        <v>40697</v>
      </c>
      <c r="B497" s="356" t="s">
        <v>1218</v>
      </c>
      <c r="C497" s="357">
        <v>91</v>
      </c>
      <c r="D497" s="356">
        <v>40788</v>
      </c>
      <c r="E497" s="360">
        <v>6</v>
      </c>
      <c r="F497" s="358">
        <v>9.5174000000000003</v>
      </c>
      <c r="G497" s="358">
        <v>6</v>
      </c>
      <c r="H497" s="358">
        <v>2.5</v>
      </c>
      <c r="I497" s="358">
        <v>2.5</v>
      </c>
      <c r="J497" s="358">
        <v>2.34</v>
      </c>
      <c r="L497" s="357">
        <v>4</v>
      </c>
    </row>
    <row r="498" spans="1:12" hidden="1">
      <c r="A498" s="369">
        <v>40701</v>
      </c>
      <c r="B498" s="369" t="s">
        <v>1219</v>
      </c>
      <c r="C498" s="370">
        <v>182</v>
      </c>
      <c r="D498" s="369">
        <v>40883</v>
      </c>
      <c r="E498" s="371">
        <v>3</v>
      </c>
      <c r="F498" s="372">
        <v>5.4416000000000002</v>
      </c>
      <c r="G498" s="372">
        <v>3</v>
      </c>
      <c r="H498" s="372">
        <v>2.9899999999999998</v>
      </c>
      <c r="I498" s="372">
        <v>2.9899999999999998</v>
      </c>
      <c r="J498" s="372">
        <v>2.77</v>
      </c>
      <c r="K498" s="373"/>
      <c r="L498" s="370">
        <v>4</v>
      </c>
    </row>
    <row r="499" spans="1:12" hidden="1">
      <c r="A499" s="356">
        <v>40704</v>
      </c>
      <c r="B499" s="356" t="s">
        <v>1220</v>
      </c>
      <c r="C499" s="357">
        <v>364</v>
      </c>
      <c r="D499" s="356">
        <v>41068</v>
      </c>
      <c r="E499" s="360">
        <v>3</v>
      </c>
      <c r="F499" s="358">
        <v>2.4952000000000001</v>
      </c>
      <c r="G499" s="358">
        <v>2.4952000000000001</v>
      </c>
      <c r="H499" s="358">
        <v>4</v>
      </c>
      <c r="I499" s="358">
        <v>4</v>
      </c>
      <c r="J499" s="358">
        <v>4</v>
      </c>
      <c r="L499" s="357">
        <v>3</v>
      </c>
    </row>
    <row r="500" spans="1:12" hidden="1">
      <c r="A500" s="369">
        <v>40704</v>
      </c>
      <c r="B500" s="369" t="s">
        <v>1221</v>
      </c>
      <c r="C500" s="370">
        <v>728</v>
      </c>
      <c r="D500" s="369">
        <v>41432</v>
      </c>
      <c r="E500" s="371">
        <v>2</v>
      </c>
      <c r="F500" s="372">
        <v>1</v>
      </c>
      <c r="G500" s="372">
        <v>1</v>
      </c>
      <c r="H500" s="372">
        <v>4.5</v>
      </c>
      <c r="I500" s="372">
        <v>4.5</v>
      </c>
      <c r="J500" s="372">
        <v>4.5</v>
      </c>
      <c r="K500" s="373"/>
      <c r="L500" s="370">
        <v>1</v>
      </c>
    </row>
    <row r="501" spans="1:12" hidden="1">
      <c r="A501" s="356">
        <v>40708</v>
      </c>
      <c r="B501" s="356" t="s">
        <v>1222</v>
      </c>
      <c r="C501" s="357">
        <v>35</v>
      </c>
      <c r="D501" s="356">
        <v>40743</v>
      </c>
      <c r="E501" s="360">
        <v>8</v>
      </c>
      <c r="F501" s="358">
        <v>0</v>
      </c>
      <c r="G501" s="358">
        <v>0</v>
      </c>
      <c r="H501" s="358">
        <v>0</v>
      </c>
      <c r="I501" s="358">
        <v>0</v>
      </c>
      <c r="J501" s="358">
        <v>0</v>
      </c>
      <c r="L501" s="357">
        <v>0</v>
      </c>
    </row>
    <row r="502" spans="1:12" hidden="1">
      <c r="A502" s="369">
        <v>40711</v>
      </c>
      <c r="B502" s="369" t="s">
        <v>1223</v>
      </c>
      <c r="C502" s="370">
        <v>91</v>
      </c>
      <c r="D502" s="369">
        <v>40802</v>
      </c>
      <c r="E502" s="371">
        <v>6</v>
      </c>
      <c r="F502" s="372">
        <v>9.7028999999999996</v>
      </c>
      <c r="G502" s="372">
        <v>6</v>
      </c>
      <c r="H502" s="372">
        <v>2.2999999999999998</v>
      </c>
      <c r="I502" s="372">
        <v>2.2999999999999998</v>
      </c>
      <c r="J502" s="372">
        <v>2.2999999999999998</v>
      </c>
      <c r="K502" s="373"/>
      <c r="L502" s="370">
        <v>3</v>
      </c>
    </row>
    <row r="503" spans="1:12" hidden="1">
      <c r="A503" s="356">
        <v>40715</v>
      </c>
      <c r="B503" s="356" t="s">
        <v>1224</v>
      </c>
      <c r="C503" s="357">
        <v>182</v>
      </c>
      <c r="D503" s="356">
        <v>40897</v>
      </c>
      <c r="E503" s="360">
        <v>4</v>
      </c>
      <c r="F503" s="358">
        <v>4</v>
      </c>
      <c r="G503" s="358">
        <v>4</v>
      </c>
      <c r="H503" s="358">
        <v>2.9899999999999998</v>
      </c>
      <c r="I503" s="358">
        <v>2.9899999999999998</v>
      </c>
      <c r="J503" s="358">
        <v>2.9899999999999998</v>
      </c>
      <c r="L503" s="357">
        <v>1</v>
      </c>
    </row>
    <row r="504" spans="1:12" hidden="1">
      <c r="A504" s="369">
        <v>40718</v>
      </c>
      <c r="B504" s="369" t="s">
        <v>1225</v>
      </c>
      <c r="C504" s="370">
        <v>364</v>
      </c>
      <c r="D504" s="369">
        <v>41082</v>
      </c>
      <c r="E504" s="371">
        <v>3</v>
      </c>
      <c r="F504" s="372">
        <v>1.9950000000000001</v>
      </c>
      <c r="G504" s="372">
        <v>1.9950000000000001</v>
      </c>
      <c r="H504" s="372">
        <v>4</v>
      </c>
      <c r="I504" s="372">
        <v>4</v>
      </c>
      <c r="J504" s="372">
        <v>4</v>
      </c>
      <c r="K504" s="373"/>
      <c r="L504" s="370">
        <v>1</v>
      </c>
    </row>
    <row r="505" spans="1:12" hidden="1">
      <c r="A505" s="356">
        <v>40718</v>
      </c>
      <c r="B505" s="356" t="s">
        <v>1226</v>
      </c>
      <c r="C505" s="357">
        <v>1092</v>
      </c>
      <c r="D505" s="356">
        <v>41810</v>
      </c>
      <c r="E505" s="360">
        <v>2</v>
      </c>
      <c r="F505" s="358">
        <v>2</v>
      </c>
      <c r="G505" s="358">
        <v>2</v>
      </c>
      <c r="H505" s="358">
        <v>5</v>
      </c>
      <c r="I505" s="358">
        <v>5</v>
      </c>
      <c r="J505" s="358">
        <v>5</v>
      </c>
      <c r="L505" s="357">
        <v>1</v>
      </c>
    </row>
    <row r="506" spans="1:12" hidden="1">
      <c r="A506" s="369">
        <v>40729</v>
      </c>
      <c r="B506" s="369" t="s">
        <v>1237</v>
      </c>
      <c r="C506" s="370">
        <v>35</v>
      </c>
      <c r="D506" s="369">
        <v>40764</v>
      </c>
      <c r="E506" s="371">
        <v>7</v>
      </c>
      <c r="F506" s="372">
        <v>1.0009999999999999</v>
      </c>
      <c r="G506" s="372">
        <v>0</v>
      </c>
      <c r="H506" s="372">
        <v>0</v>
      </c>
      <c r="I506" s="372">
        <v>0</v>
      </c>
      <c r="J506" s="372">
        <v>0</v>
      </c>
      <c r="K506" s="373"/>
      <c r="L506" s="370">
        <v>1</v>
      </c>
    </row>
    <row r="507" spans="1:12" hidden="1">
      <c r="A507" s="356">
        <v>40732</v>
      </c>
      <c r="B507" s="356" t="s">
        <v>1238</v>
      </c>
      <c r="C507" s="357">
        <v>91</v>
      </c>
      <c r="D507" s="356">
        <v>40823</v>
      </c>
      <c r="E507" s="360">
        <v>6</v>
      </c>
      <c r="F507" s="358">
        <v>0</v>
      </c>
      <c r="G507" s="358">
        <v>0</v>
      </c>
      <c r="H507" s="358">
        <v>0</v>
      </c>
      <c r="I507" s="358">
        <v>0</v>
      </c>
      <c r="J507" s="358">
        <v>0</v>
      </c>
      <c r="L507" s="357">
        <v>0</v>
      </c>
    </row>
    <row r="508" spans="1:12" hidden="1">
      <c r="A508" s="369">
        <v>40732</v>
      </c>
      <c r="B508" s="369" t="s">
        <v>1239</v>
      </c>
      <c r="C508" s="370">
        <v>364</v>
      </c>
      <c r="D508" s="369">
        <v>41096</v>
      </c>
      <c r="E508" s="371">
        <v>2</v>
      </c>
      <c r="F508" s="372">
        <v>0</v>
      </c>
      <c r="G508" s="372">
        <v>0</v>
      </c>
      <c r="H508" s="372">
        <v>0</v>
      </c>
      <c r="I508" s="372">
        <v>0</v>
      </c>
      <c r="J508" s="372">
        <v>0</v>
      </c>
      <c r="K508" s="373"/>
      <c r="L508" s="370">
        <v>0</v>
      </c>
    </row>
    <row r="509" spans="1:12" hidden="1">
      <c r="A509" s="356">
        <v>40736</v>
      </c>
      <c r="B509" s="356" t="s">
        <v>1240</v>
      </c>
      <c r="C509" s="357">
        <v>182</v>
      </c>
      <c r="D509" s="356">
        <v>40918</v>
      </c>
      <c r="E509" s="360">
        <v>3</v>
      </c>
      <c r="F509" s="358">
        <v>0</v>
      </c>
      <c r="G509" s="358">
        <v>0</v>
      </c>
      <c r="H509" s="358">
        <v>0</v>
      </c>
      <c r="I509" s="358">
        <v>0</v>
      </c>
      <c r="J509" s="358">
        <v>0</v>
      </c>
      <c r="L509" s="357">
        <v>0</v>
      </c>
    </row>
    <row r="510" spans="1:12" hidden="1">
      <c r="A510" s="369">
        <v>40739</v>
      </c>
      <c r="B510" s="369" t="s">
        <v>1241</v>
      </c>
      <c r="C510" s="370">
        <v>364</v>
      </c>
      <c r="D510" s="369">
        <v>41103</v>
      </c>
      <c r="E510" s="371">
        <v>3</v>
      </c>
      <c r="F510" s="372">
        <v>0</v>
      </c>
      <c r="G510" s="372">
        <v>0</v>
      </c>
      <c r="H510" s="372">
        <v>4</v>
      </c>
      <c r="I510" s="372">
        <v>4</v>
      </c>
      <c r="J510" s="372">
        <v>4</v>
      </c>
      <c r="K510" s="373"/>
      <c r="L510" s="370">
        <v>0</v>
      </c>
    </row>
    <row r="511" spans="1:12" hidden="1">
      <c r="A511" s="356">
        <v>40743</v>
      </c>
      <c r="B511" s="356" t="s">
        <v>1242</v>
      </c>
      <c r="C511" s="357">
        <v>35</v>
      </c>
      <c r="D511" s="356">
        <v>40778</v>
      </c>
      <c r="E511" s="360">
        <v>8</v>
      </c>
      <c r="F511" s="358">
        <v>0</v>
      </c>
      <c r="G511" s="358">
        <v>0</v>
      </c>
      <c r="H511" s="358">
        <v>0</v>
      </c>
      <c r="I511" s="358">
        <v>0</v>
      </c>
      <c r="J511" s="358">
        <v>0</v>
      </c>
      <c r="L511" s="357">
        <v>0</v>
      </c>
    </row>
    <row r="512" spans="1:12" hidden="1">
      <c r="A512" s="369">
        <v>40746</v>
      </c>
      <c r="B512" s="369" t="s">
        <v>1243</v>
      </c>
      <c r="C512" s="370">
        <v>91</v>
      </c>
      <c r="D512" s="369">
        <v>40837</v>
      </c>
      <c r="E512" s="371">
        <v>6</v>
      </c>
      <c r="F512" s="372">
        <v>0</v>
      </c>
      <c r="G512" s="372">
        <v>0</v>
      </c>
      <c r="H512" s="372">
        <v>0</v>
      </c>
      <c r="I512" s="372">
        <v>0</v>
      </c>
      <c r="J512" s="372">
        <v>0</v>
      </c>
      <c r="K512" s="373"/>
      <c r="L512" s="370">
        <v>0</v>
      </c>
    </row>
    <row r="513" spans="1:12" hidden="1">
      <c r="A513" s="356">
        <v>40750</v>
      </c>
      <c r="B513" s="356" t="s">
        <v>1244</v>
      </c>
      <c r="C513" s="357">
        <v>182</v>
      </c>
      <c r="D513" s="356">
        <v>40932</v>
      </c>
      <c r="E513" s="360">
        <v>4</v>
      </c>
      <c r="F513" s="358">
        <v>0</v>
      </c>
      <c r="G513" s="358">
        <v>0</v>
      </c>
      <c r="H513" s="358">
        <v>0</v>
      </c>
      <c r="I513" s="358">
        <v>0</v>
      </c>
      <c r="J513" s="358">
        <v>0</v>
      </c>
      <c r="L513" s="357">
        <v>0</v>
      </c>
    </row>
    <row r="514" spans="1:12" hidden="1">
      <c r="A514" s="369">
        <v>40753</v>
      </c>
      <c r="B514" s="369" t="s">
        <v>1235</v>
      </c>
      <c r="C514" s="370">
        <v>364</v>
      </c>
      <c r="D514" s="369">
        <v>41117</v>
      </c>
      <c r="E514" s="371">
        <v>3</v>
      </c>
      <c r="F514" s="372">
        <v>3</v>
      </c>
      <c r="G514" s="372">
        <v>3</v>
      </c>
      <c r="H514" s="372">
        <v>4</v>
      </c>
      <c r="I514" s="372">
        <v>4</v>
      </c>
      <c r="J514" s="372">
        <v>4</v>
      </c>
      <c r="K514" s="373"/>
      <c r="L514" s="370">
        <v>1</v>
      </c>
    </row>
    <row r="515" spans="1:12" hidden="1">
      <c r="A515" s="356">
        <v>40753</v>
      </c>
      <c r="B515" s="356" t="s">
        <v>1236</v>
      </c>
      <c r="C515" s="357">
        <v>1092</v>
      </c>
      <c r="D515" s="356">
        <v>41845</v>
      </c>
      <c r="E515" s="360">
        <v>2</v>
      </c>
      <c r="F515" s="358">
        <v>2</v>
      </c>
      <c r="G515" s="358">
        <v>2</v>
      </c>
      <c r="H515" s="358">
        <v>5</v>
      </c>
      <c r="I515" s="358">
        <v>5</v>
      </c>
      <c r="J515" s="358">
        <v>5</v>
      </c>
      <c r="L515" s="357">
        <v>1</v>
      </c>
    </row>
    <row r="516" spans="1:12" hidden="1">
      <c r="A516" s="369">
        <v>40757</v>
      </c>
      <c r="B516" s="369" t="s">
        <v>1787</v>
      </c>
      <c r="C516" s="370">
        <v>35</v>
      </c>
      <c r="D516" s="369">
        <v>40792</v>
      </c>
      <c r="E516" s="371">
        <v>7</v>
      </c>
      <c r="F516" s="372">
        <v>0</v>
      </c>
      <c r="G516" s="372">
        <v>0</v>
      </c>
      <c r="H516" s="372">
        <v>0</v>
      </c>
      <c r="I516" s="372">
        <v>0</v>
      </c>
      <c r="J516" s="372">
        <v>0</v>
      </c>
      <c r="K516" s="373"/>
      <c r="L516" s="370">
        <v>0</v>
      </c>
    </row>
    <row r="517" spans="1:12" hidden="1">
      <c r="A517" s="356">
        <v>40760</v>
      </c>
      <c r="B517" s="356" t="s">
        <v>1788</v>
      </c>
      <c r="C517" s="357">
        <v>91</v>
      </c>
      <c r="D517" s="356">
        <v>40851</v>
      </c>
      <c r="E517" s="360">
        <v>6</v>
      </c>
      <c r="F517" s="358">
        <v>0</v>
      </c>
      <c r="G517" s="358">
        <v>0</v>
      </c>
      <c r="H517" s="358">
        <v>0</v>
      </c>
      <c r="I517" s="358">
        <v>0</v>
      </c>
      <c r="J517" s="358">
        <v>0</v>
      </c>
      <c r="L517" s="357">
        <v>0</v>
      </c>
    </row>
    <row r="518" spans="1:12" hidden="1">
      <c r="A518" s="369">
        <v>40764</v>
      </c>
      <c r="B518" s="369" t="s">
        <v>1789</v>
      </c>
      <c r="C518" s="370">
        <v>182</v>
      </c>
      <c r="D518" s="369">
        <v>40946</v>
      </c>
      <c r="E518" s="371">
        <v>3</v>
      </c>
      <c r="F518" s="372">
        <v>0</v>
      </c>
      <c r="G518" s="372">
        <v>0</v>
      </c>
      <c r="H518" s="372">
        <v>0</v>
      </c>
      <c r="I518" s="372">
        <v>0</v>
      </c>
      <c r="J518" s="372">
        <v>0</v>
      </c>
      <c r="K518" s="373"/>
      <c r="L518" s="370">
        <v>0</v>
      </c>
    </row>
    <row r="519" spans="1:12" hidden="1">
      <c r="A519" s="356">
        <v>40767</v>
      </c>
      <c r="B519" s="356" t="s">
        <v>1256</v>
      </c>
      <c r="C519" s="357">
        <v>364</v>
      </c>
      <c r="D519" s="356">
        <v>41131</v>
      </c>
      <c r="E519" s="360">
        <v>3</v>
      </c>
      <c r="F519" s="358">
        <v>3</v>
      </c>
      <c r="G519" s="358">
        <v>3</v>
      </c>
      <c r="H519" s="358">
        <v>4</v>
      </c>
      <c r="I519" s="358">
        <v>4</v>
      </c>
      <c r="J519" s="358">
        <v>4</v>
      </c>
      <c r="L519" s="357">
        <v>1</v>
      </c>
    </row>
    <row r="520" spans="1:12" hidden="1">
      <c r="A520" s="369">
        <v>40767</v>
      </c>
      <c r="B520" s="369" t="s">
        <v>1790</v>
      </c>
      <c r="C520" s="370">
        <v>728</v>
      </c>
      <c r="D520" s="369">
        <v>41495</v>
      </c>
      <c r="E520" s="371">
        <v>2</v>
      </c>
      <c r="F520" s="372">
        <v>0</v>
      </c>
      <c r="G520" s="372">
        <v>0</v>
      </c>
      <c r="H520" s="372">
        <v>4.5</v>
      </c>
      <c r="I520" s="372">
        <v>4.5</v>
      </c>
      <c r="J520" s="372">
        <v>0</v>
      </c>
      <c r="K520" s="373"/>
      <c r="L520" s="370">
        <v>0</v>
      </c>
    </row>
    <row r="521" spans="1:12" hidden="1">
      <c r="A521" s="356">
        <v>40771</v>
      </c>
      <c r="B521" s="356" t="s">
        <v>1791</v>
      </c>
      <c r="C521" s="357">
        <v>35</v>
      </c>
      <c r="D521" s="356">
        <v>40806</v>
      </c>
      <c r="E521" s="360">
        <v>10</v>
      </c>
      <c r="F521" s="358">
        <v>0</v>
      </c>
      <c r="G521" s="358">
        <v>0</v>
      </c>
      <c r="H521" s="358">
        <v>0</v>
      </c>
      <c r="I521" s="358">
        <v>0</v>
      </c>
      <c r="J521" s="358">
        <v>0</v>
      </c>
      <c r="L521" s="357">
        <v>0</v>
      </c>
    </row>
    <row r="522" spans="1:12" hidden="1">
      <c r="A522" s="369">
        <v>40774</v>
      </c>
      <c r="B522" s="369" t="s">
        <v>1257</v>
      </c>
      <c r="C522" s="370">
        <v>91</v>
      </c>
      <c r="D522" s="369">
        <v>40865</v>
      </c>
      <c r="E522" s="371">
        <v>8</v>
      </c>
      <c r="F522" s="372">
        <v>8</v>
      </c>
      <c r="G522" s="372">
        <v>8</v>
      </c>
      <c r="H522" s="372">
        <v>2.5</v>
      </c>
      <c r="I522" s="372">
        <v>2.5</v>
      </c>
      <c r="J522" s="372">
        <v>2.5</v>
      </c>
      <c r="K522" s="373"/>
      <c r="L522" s="370">
        <v>1</v>
      </c>
    </row>
    <row r="523" spans="1:12" hidden="1">
      <c r="A523" s="356">
        <v>40778</v>
      </c>
      <c r="B523" s="356" t="s">
        <v>1258</v>
      </c>
      <c r="C523" s="357">
        <v>182</v>
      </c>
      <c r="D523" s="356">
        <v>40960</v>
      </c>
      <c r="E523" s="360">
        <v>4</v>
      </c>
      <c r="F523" s="358">
        <v>4</v>
      </c>
      <c r="G523" s="358">
        <v>4</v>
      </c>
      <c r="H523" s="358">
        <v>2.9899999999999998</v>
      </c>
      <c r="I523" s="358">
        <v>2.9899999999999998</v>
      </c>
      <c r="J523" s="358">
        <v>2.9899999999999998</v>
      </c>
      <c r="L523" s="357">
        <v>1</v>
      </c>
    </row>
    <row r="524" spans="1:12" hidden="1">
      <c r="A524" s="369">
        <v>40781</v>
      </c>
      <c r="B524" s="369" t="s">
        <v>1259</v>
      </c>
      <c r="C524" s="370">
        <v>364</v>
      </c>
      <c r="D524" s="369">
        <v>41145</v>
      </c>
      <c r="E524" s="371">
        <v>3</v>
      </c>
      <c r="F524" s="372">
        <v>3</v>
      </c>
      <c r="G524" s="372">
        <v>3</v>
      </c>
      <c r="H524" s="372">
        <v>4</v>
      </c>
      <c r="I524" s="372">
        <v>4</v>
      </c>
      <c r="J524" s="372">
        <v>4</v>
      </c>
      <c r="K524" s="373"/>
      <c r="L524" s="370">
        <v>1</v>
      </c>
    </row>
    <row r="525" spans="1:12" hidden="1">
      <c r="A525" s="356">
        <v>40781</v>
      </c>
      <c r="B525" s="356" t="s">
        <v>1792</v>
      </c>
      <c r="C525" s="357">
        <v>1092</v>
      </c>
      <c r="D525" s="356">
        <v>41873</v>
      </c>
      <c r="E525" s="360">
        <v>2</v>
      </c>
      <c r="F525" s="358">
        <v>0</v>
      </c>
      <c r="G525" s="358">
        <v>0</v>
      </c>
      <c r="H525" s="358">
        <v>5</v>
      </c>
      <c r="I525" s="358">
        <v>5</v>
      </c>
      <c r="J525" s="358">
        <v>0</v>
      </c>
      <c r="L525" s="357">
        <v>0</v>
      </c>
    </row>
    <row r="526" spans="1:12" hidden="1">
      <c r="A526" s="369">
        <v>40792</v>
      </c>
      <c r="B526" s="369" t="s">
        <v>1793</v>
      </c>
      <c r="C526" s="370">
        <v>35</v>
      </c>
      <c r="D526" s="369">
        <v>40827</v>
      </c>
      <c r="E526" s="371">
        <v>8</v>
      </c>
      <c r="F526" s="372">
        <v>0</v>
      </c>
      <c r="G526" s="372">
        <v>0</v>
      </c>
      <c r="H526" s="372">
        <v>0</v>
      </c>
      <c r="I526" s="372">
        <v>0</v>
      </c>
      <c r="J526" s="372">
        <v>0</v>
      </c>
      <c r="K526" s="373"/>
      <c r="L526" s="370">
        <v>0</v>
      </c>
    </row>
    <row r="527" spans="1:12" hidden="1">
      <c r="A527" s="356">
        <v>40795</v>
      </c>
      <c r="B527" s="356" t="s">
        <v>1794</v>
      </c>
      <c r="C527" s="357">
        <v>91</v>
      </c>
      <c r="D527" s="356">
        <v>40886</v>
      </c>
      <c r="E527" s="360">
        <v>6</v>
      </c>
      <c r="F527" s="358">
        <v>0</v>
      </c>
      <c r="G527" s="358">
        <v>0</v>
      </c>
      <c r="H527" s="358">
        <v>0</v>
      </c>
      <c r="I527" s="358">
        <v>0</v>
      </c>
      <c r="J527" s="358">
        <v>0</v>
      </c>
      <c r="L527" s="357">
        <v>0</v>
      </c>
    </row>
    <row r="528" spans="1:12" hidden="1">
      <c r="A528" s="369">
        <v>40795</v>
      </c>
      <c r="B528" s="369" t="s">
        <v>1795</v>
      </c>
      <c r="C528" s="370">
        <v>364</v>
      </c>
      <c r="D528" s="369">
        <v>41159</v>
      </c>
      <c r="E528" s="371">
        <v>2</v>
      </c>
      <c r="F528" s="372">
        <v>0</v>
      </c>
      <c r="G528" s="372">
        <v>0</v>
      </c>
      <c r="H528" s="372">
        <v>0</v>
      </c>
      <c r="I528" s="372">
        <v>0</v>
      </c>
      <c r="J528" s="372">
        <v>0</v>
      </c>
      <c r="K528" s="373"/>
      <c r="L528" s="370">
        <v>0</v>
      </c>
    </row>
    <row r="529" spans="1:12" hidden="1">
      <c r="A529" s="356">
        <v>40799</v>
      </c>
      <c r="B529" s="356" t="s">
        <v>1796</v>
      </c>
      <c r="C529" s="357">
        <v>182</v>
      </c>
      <c r="D529" s="356">
        <v>40981</v>
      </c>
      <c r="E529" s="360">
        <v>3</v>
      </c>
      <c r="F529" s="358">
        <v>0</v>
      </c>
      <c r="G529" s="358">
        <v>0</v>
      </c>
      <c r="H529" s="358">
        <v>0</v>
      </c>
      <c r="I529" s="358">
        <v>0</v>
      </c>
      <c r="J529" s="358">
        <v>0</v>
      </c>
      <c r="L529" s="357">
        <v>0</v>
      </c>
    </row>
    <row r="530" spans="1:12" hidden="1">
      <c r="A530" s="369">
        <v>40802</v>
      </c>
      <c r="B530" s="369" t="s">
        <v>1265</v>
      </c>
      <c r="C530" s="370">
        <v>364</v>
      </c>
      <c r="D530" s="369">
        <v>41166</v>
      </c>
      <c r="E530" s="371">
        <v>3</v>
      </c>
      <c r="F530" s="372">
        <v>3</v>
      </c>
      <c r="G530" s="372">
        <v>3</v>
      </c>
      <c r="H530" s="372">
        <v>4</v>
      </c>
      <c r="I530" s="372">
        <v>4</v>
      </c>
      <c r="J530" s="372">
        <v>4</v>
      </c>
      <c r="K530" s="373"/>
      <c r="L530" s="370">
        <v>1</v>
      </c>
    </row>
    <row r="531" spans="1:12" hidden="1">
      <c r="A531" s="356">
        <v>40806</v>
      </c>
      <c r="B531" s="356" t="s">
        <v>1797</v>
      </c>
      <c r="C531" s="357">
        <v>35</v>
      </c>
      <c r="D531" s="356">
        <v>40841</v>
      </c>
      <c r="E531" s="360">
        <v>8</v>
      </c>
      <c r="F531" s="358">
        <v>0</v>
      </c>
      <c r="G531" s="358">
        <v>0</v>
      </c>
      <c r="H531" s="358">
        <v>0</v>
      </c>
      <c r="I531" s="358">
        <v>0</v>
      </c>
      <c r="J531" s="358">
        <v>0</v>
      </c>
      <c r="L531" s="357">
        <v>0</v>
      </c>
    </row>
    <row r="532" spans="1:12" hidden="1">
      <c r="A532" s="369">
        <v>40809</v>
      </c>
      <c r="B532" s="369" t="s">
        <v>1798</v>
      </c>
      <c r="C532" s="370">
        <v>91</v>
      </c>
      <c r="D532" s="369">
        <v>40900</v>
      </c>
      <c r="E532" s="371">
        <v>6</v>
      </c>
      <c r="F532" s="372">
        <v>0</v>
      </c>
      <c r="G532" s="372">
        <v>0</v>
      </c>
      <c r="H532" s="372">
        <v>0</v>
      </c>
      <c r="I532" s="372">
        <v>0</v>
      </c>
      <c r="J532" s="372">
        <v>0</v>
      </c>
      <c r="K532" s="373"/>
      <c r="L532" s="370">
        <v>0</v>
      </c>
    </row>
    <row r="533" spans="1:12" hidden="1">
      <c r="A533" s="356">
        <v>40813</v>
      </c>
      <c r="B533" s="356" t="s">
        <v>1799</v>
      </c>
      <c r="C533" s="357">
        <v>182</v>
      </c>
      <c r="D533" s="356">
        <v>40995</v>
      </c>
      <c r="E533" s="360">
        <v>4</v>
      </c>
      <c r="F533" s="358">
        <v>0</v>
      </c>
      <c r="G533" s="358">
        <v>0</v>
      </c>
      <c r="H533" s="358">
        <v>0</v>
      </c>
      <c r="I533" s="358">
        <v>0</v>
      </c>
      <c r="J533" s="358">
        <v>0</v>
      </c>
      <c r="L533" s="357">
        <v>0</v>
      </c>
    </row>
    <row r="534" spans="1:12" hidden="1">
      <c r="A534" s="369">
        <v>40816</v>
      </c>
      <c r="B534" s="369" t="s">
        <v>1266</v>
      </c>
      <c r="C534" s="370">
        <v>364</v>
      </c>
      <c r="D534" s="369">
        <v>41180</v>
      </c>
      <c r="E534" s="371">
        <v>3</v>
      </c>
      <c r="F534" s="372">
        <v>3</v>
      </c>
      <c r="G534" s="372">
        <v>3</v>
      </c>
      <c r="H534" s="372">
        <v>4</v>
      </c>
      <c r="I534" s="372">
        <v>4</v>
      </c>
      <c r="J534" s="372">
        <v>4</v>
      </c>
      <c r="K534" s="373"/>
      <c r="L534" s="370">
        <v>1</v>
      </c>
    </row>
    <row r="535" spans="1:12" hidden="1">
      <c r="A535" s="356">
        <v>40816</v>
      </c>
      <c r="B535" s="356" t="s">
        <v>1800</v>
      </c>
      <c r="C535" s="357">
        <v>1092</v>
      </c>
      <c r="D535" s="356">
        <v>41908</v>
      </c>
      <c r="E535" s="360">
        <v>2</v>
      </c>
      <c r="F535" s="358">
        <v>0</v>
      </c>
      <c r="G535" s="358">
        <v>0</v>
      </c>
      <c r="H535" s="358">
        <v>5</v>
      </c>
      <c r="I535" s="358">
        <v>5</v>
      </c>
      <c r="J535" s="358">
        <v>0</v>
      </c>
      <c r="L535" s="357">
        <v>0</v>
      </c>
    </row>
    <row r="536" spans="1:12" hidden="1">
      <c r="A536" s="369">
        <v>40820</v>
      </c>
      <c r="B536" s="369" t="s">
        <v>1801</v>
      </c>
      <c r="C536" s="370">
        <v>35</v>
      </c>
      <c r="D536" s="369">
        <v>40855</v>
      </c>
      <c r="E536" s="371">
        <v>7</v>
      </c>
      <c r="F536" s="372">
        <v>0</v>
      </c>
      <c r="G536" s="372">
        <v>0</v>
      </c>
      <c r="H536" s="372">
        <v>0</v>
      </c>
      <c r="I536" s="372">
        <v>0</v>
      </c>
      <c r="J536" s="372">
        <v>0</v>
      </c>
      <c r="K536" s="373"/>
      <c r="L536" s="370">
        <v>0</v>
      </c>
    </row>
    <row r="537" spans="1:12" hidden="1">
      <c r="A537" s="356">
        <v>40823</v>
      </c>
      <c r="B537" s="356" t="s">
        <v>1802</v>
      </c>
      <c r="C537" s="357">
        <v>91</v>
      </c>
      <c r="D537" s="356">
        <v>40914</v>
      </c>
      <c r="E537" s="360">
        <v>6</v>
      </c>
      <c r="F537" s="358">
        <v>0</v>
      </c>
      <c r="G537" s="358">
        <v>0</v>
      </c>
      <c r="H537" s="358">
        <v>0</v>
      </c>
      <c r="I537" s="358">
        <v>0</v>
      </c>
      <c r="J537" s="358">
        <v>0</v>
      </c>
      <c r="L537" s="357">
        <v>0</v>
      </c>
    </row>
    <row r="538" spans="1:12" hidden="1">
      <c r="A538" s="369">
        <v>40827</v>
      </c>
      <c r="B538" s="369" t="s">
        <v>1803</v>
      </c>
      <c r="C538" s="370">
        <v>182</v>
      </c>
      <c r="D538" s="369">
        <v>41009</v>
      </c>
      <c r="E538" s="371">
        <v>3</v>
      </c>
      <c r="F538" s="372">
        <v>0</v>
      </c>
      <c r="G538" s="372">
        <v>0</v>
      </c>
      <c r="H538" s="372">
        <v>0</v>
      </c>
      <c r="I538" s="372">
        <v>0</v>
      </c>
      <c r="J538" s="372">
        <v>0</v>
      </c>
      <c r="K538" s="373"/>
      <c r="L538" s="370">
        <v>0</v>
      </c>
    </row>
    <row r="539" spans="1:12" hidden="1">
      <c r="A539" s="356">
        <v>40830</v>
      </c>
      <c r="B539" s="356" t="s">
        <v>1273</v>
      </c>
      <c r="C539" s="357">
        <v>364</v>
      </c>
      <c r="D539" s="356">
        <v>41194</v>
      </c>
      <c r="E539" s="360">
        <v>3</v>
      </c>
      <c r="F539" s="358">
        <v>0.90100000000000002</v>
      </c>
      <c r="G539" s="358">
        <v>0.90100000000000002</v>
      </c>
      <c r="H539" s="358">
        <v>4</v>
      </c>
      <c r="I539" s="358">
        <v>4</v>
      </c>
      <c r="J539" s="358">
        <v>4</v>
      </c>
      <c r="L539" s="357">
        <v>1</v>
      </c>
    </row>
    <row r="540" spans="1:12" hidden="1">
      <c r="A540" s="369">
        <v>40830</v>
      </c>
      <c r="B540" s="369" t="s">
        <v>1274</v>
      </c>
      <c r="C540" s="370">
        <v>728</v>
      </c>
      <c r="D540" s="369">
        <v>41558</v>
      </c>
      <c r="E540" s="371">
        <v>2</v>
      </c>
      <c r="F540" s="372">
        <v>1.7828999999999999</v>
      </c>
      <c r="G540" s="372">
        <v>1.7828999999999999</v>
      </c>
      <c r="H540" s="372">
        <v>4.5</v>
      </c>
      <c r="I540" s="372">
        <v>4.5</v>
      </c>
      <c r="J540" s="372">
        <v>4.5</v>
      </c>
      <c r="K540" s="373"/>
      <c r="L540" s="370">
        <v>1</v>
      </c>
    </row>
    <row r="541" spans="1:12" hidden="1">
      <c r="A541" s="356">
        <v>40837</v>
      </c>
      <c r="B541" s="356" t="s">
        <v>1804</v>
      </c>
      <c r="C541" s="357">
        <v>35</v>
      </c>
      <c r="D541" s="356">
        <v>40872</v>
      </c>
      <c r="E541" s="360">
        <v>8</v>
      </c>
      <c r="F541" s="358">
        <v>0</v>
      </c>
      <c r="G541" s="358">
        <v>0</v>
      </c>
      <c r="H541" s="358">
        <v>0</v>
      </c>
      <c r="I541" s="358">
        <v>0</v>
      </c>
      <c r="J541" s="358">
        <v>0</v>
      </c>
      <c r="L541" s="357">
        <v>0</v>
      </c>
    </row>
    <row r="542" spans="1:12" hidden="1">
      <c r="A542" s="369">
        <v>40837</v>
      </c>
      <c r="B542" s="369" t="s">
        <v>1805</v>
      </c>
      <c r="C542" s="370">
        <v>91</v>
      </c>
      <c r="D542" s="369">
        <v>40928</v>
      </c>
      <c r="E542" s="371">
        <v>6</v>
      </c>
      <c r="F542" s="372">
        <v>0</v>
      </c>
      <c r="G542" s="372">
        <v>0</v>
      </c>
      <c r="H542" s="372">
        <v>0</v>
      </c>
      <c r="I542" s="372">
        <v>0</v>
      </c>
      <c r="J542" s="372">
        <v>0</v>
      </c>
      <c r="K542" s="373"/>
      <c r="L542" s="370">
        <v>0</v>
      </c>
    </row>
    <row r="543" spans="1:12" hidden="1">
      <c r="A543" s="356">
        <v>40841</v>
      </c>
      <c r="B543" s="356" t="s">
        <v>1806</v>
      </c>
      <c r="C543" s="357">
        <v>182</v>
      </c>
      <c r="D543" s="356">
        <v>41023</v>
      </c>
      <c r="E543" s="360">
        <v>4</v>
      </c>
      <c r="F543" s="358">
        <v>0</v>
      </c>
      <c r="G543" s="358">
        <v>0</v>
      </c>
      <c r="H543" s="358">
        <v>0</v>
      </c>
      <c r="I543" s="358">
        <v>0</v>
      </c>
      <c r="J543" s="358">
        <v>0</v>
      </c>
      <c r="L543" s="357">
        <v>0</v>
      </c>
    </row>
    <row r="544" spans="1:12" hidden="1">
      <c r="A544" s="369">
        <v>40844</v>
      </c>
      <c r="B544" s="369" t="s">
        <v>1275</v>
      </c>
      <c r="C544" s="370">
        <v>364</v>
      </c>
      <c r="D544" s="369">
        <v>41208</v>
      </c>
      <c r="E544" s="371">
        <v>3</v>
      </c>
      <c r="F544" s="372">
        <v>3</v>
      </c>
      <c r="G544" s="372">
        <v>3</v>
      </c>
      <c r="H544" s="372">
        <v>4</v>
      </c>
      <c r="I544" s="372">
        <v>4</v>
      </c>
      <c r="J544" s="372">
        <v>4</v>
      </c>
      <c r="K544" s="373"/>
      <c r="L544" s="370">
        <v>1</v>
      </c>
    </row>
    <row r="545" spans="1:12" hidden="1">
      <c r="A545" s="356">
        <v>40844</v>
      </c>
      <c r="B545" s="356" t="s">
        <v>1276</v>
      </c>
      <c r="C545" s="357">
        <v>1092</v>
      </c>
      <c r="D545" s="356">
        <v>41936</v>
      </c>
      <c r="E545" s="360">
        <v>2</v>
      </c>
      <c r="F545" s="358">
        <v>2</v>
      </c>
      <c r="G545" s="358">
        <v>2</v>
      </c>
      <c r="H545" s="358">
        <v>5</v>
      </c>
      <c r="I545" s="358">
        <v>5</v>
      </c>
      <c r="J545" s="358">
        <v>5</v>
      </c>
      <c r="L545" s="357">
        <v>1</v>
      </c>
    </row>
    <row r="546" spans="1:12" hidden="1">
      <c r="A546" s="369">
        <v>40848</v>
      </c>
      <c r="B546" s="369" t="s">
        <v>1278</v>
      </c>
      <c r="C546" s="370">
        <v>35</v>
      </c>
      <c r="D546" s="369">
        <v>40883</v>
      </c>
      <c r="E546" s="371">
        <v>7</v>
      </c>
      <c r="F546" s="372">
        <v>0</v>
      </c>
      <c r="G546" s="372">
        <v>0</v>
      </c>
      <c r="H546" s="372">
        <v>0</v>
      </c>
      <c r="I546" s="372">
        <v>0</v>
      </c>
      <c r="J546" s="372">
        <v>0</v>
      </c>
      <c r="K546" s="373"/>
      <c r="L546" s="370">
        <v>0</v>
      </c>
    </row>
    <row r="547" spans="1:12" hidden="1">
      <c r="A547" s="356">
        <v>40851</v>
      </c>
      <c r="B547" s="356" t="s">
        <v>1279</v>
      </c>
      <c r="C547" s="357">
        <v>91</v>
      </c>
      <c r="D547" s="356">
        <v>40942</v>
      </c>
      <c r="E547" s="360">
        <v>8</v>
      </c>
      <c r="F547" s="358">
        <v>0</v>
      </c>
      <c r="G547" s="358">
        <v>0</v>
      </c>
      <c r="H547" s="358">
        <v>0</v>
      </c>
      <c r="I547" s="358">
        <v>0</v>
      </c>
      <c r="J547" s="358">
        <v>0</v>
      </c>
      <c r="L547" s="357">
        <v>0</v>
      </c>
    </row>
    <row r="548" spans="1:12" hidden="1">
      <c r="A548" s="369">
        <v>40851</v>
      </c>
      <c r="B548" s="369" t="s">
        <v>1280</v>
      </c>
      <c r="C548" s="370">
        <v>364</v>
      </c>
      <c r="D548" s="369">
        <v>41215</v>
      </c>
      <c r="E548" s="371">
        <v>2</v>
      </c>
      <c r="F548" s="372">
        <v>2</v>
      </c>
      <c r="G548" s="372">
        <v>2</v>
      </c>
      <c r="H548" s="372">
        <v>3.5000000000000004</v>
      </c>
      <c r="I548" s="372">
        <v>3.5000000000000004</v>
      </c>
      <c r="J548" s="372">
        <v>3.5000000000000004</v>
      </c>
      <c r="K548" s="373"/>
      <c r="L548" s="370">
        <v>1</v>
      </c>
    </row>
    <row r="549" spans="1:12" hidden="1">
      <c r="A549" s="356">
        <v>40858</v>
      </c>
      <c r="B549" s="356" t="s">
        <v>1281</v>
      </c>
      <c r="C549" s="357">
        <v>182</v>
      </c>
      <c r="D549" s="356">
        <v>41040</v>
      </c>
      <c r="E549" s="360">
        <v>3</v>
      </c>
      <c r="F549" s="358">
        <v>3.5994000000000002</v>
      </c>
      <c r="G549" s="358">
        <v>3</v>
      </c>
      <c r="H549" s="358">
        <v>2.9499999999999997</v>
      </c>
      <c r="I549" s="358">
        <v>2.9499999999999997</v>
      </c>
      <c r="J549" s="358">
        <v>2.9499999999999997</v>
      </c>
      <c r="L549" s="357">
        <v>1</v>
      </c>
    </row>
    <row r="550" spans="1:12" hidden="1">
      <c r="A550" s="369">
        <v>40858</v>
      </c>
      <c r="B550" s="369" t="s">
        <v>1282</v>
      </c>
      <c r="C550" s="370">
        <v>364</v>
      </c>
      <c r="D550" s="369">
        <v>41222</v>
      </c>
      <c r="E550" s="371">
        <v>3</v>
      </c>
      <c r="F550" s="372">
        <v>9.5414999999999992</v>
      </c>
      <c r="G550" s="372">
        <v>3</v>
      </c>
      <c r="H550" s="372">
        <v>4</v>
      </c>
      <c r="I550" s="372">
        <v>4</v>
      </c>
      <c r="J550" s="372">
        <v>4</v>
      </c>
      <c r="K550" s="373"/>
      <c r="L550" s="370">
        <v>3</v>
      </c>
    </row>
    <row r="551" spans="1:12" hidden="1">
      <c r="A551" s="356">
        <v>40862</v>
      </c>
      <c r="B551" s="356" t="s">
        <v>1283</v>
      </c>
      <c r="C551" s="357">
        <v>35</v>
      </c>
      <c r="D551" s="356">
        <v>40897</v>
      </c>
      <c r="E551" s="360">
        <v>8</v>
      </c>
      <c r="F551" s="358">
        <v>0</v>
      </c>
      <c r="G551" s="358">
        <v>0</v>
      </c>
      <c r="H551" s="358">
        <v>0</v>
      </c>
      <c r="I551" s="358">
        <v>0</v>
      </c>
      <c r="J551" s="358">
        <v>0</v>
      </c>
      <c r="L551" s="357">
        <v>0</v>
      </c>
    </row>
    <row r="552" spans="1:12" hidden="1">
      <c r="A552" s="369">
        <v>40865</v>
      </c>
      <c r="B552" s="369" t="s">
        <v>1284</v>
      </c>
      <c r="C552" s="370">
        <v>91</v>
      </c>
      <c r="D552" s="369">
        <v>40956</v>
      </c>
      <c r="E552" s="371">
        <v>7</v>
      </c>
      <c r="F552" s="372">
        <v>7.5026999999999999</v>
      </c>
      <c r="G552" s="372">
        <v>7</v>
      </c>
      <c r="H552" s="372">
        <v>2.5</v>
      </c>
      <c r="I552" s="372">
        <v>2.5</v>
      </c>
      <c r="J552" s="372">
        <v>2.5</v>
      </c>
      <c r="K552" s="373"/>
      <c r="L552" s="370">
        <v>2</v>
      </c>
    </row>
    <row r="553" spans="1:12" hidden="1">
      <c r="A553" s="356">
        <v>40869</v>
      </c>
      <c r="B553" s="356" t="s">
        <v>1285</v>
      </c>
      <c r="C553" s="357">
        <v>182</v>
      </c>
      <c r="D553" s="356">
        <v>41051</v>
      </c>
      <c r="E553" s="360">
        <v>4</v>
      </c>
      <c r="F553" s="358">
        <v>1.8042</v>
      </c>
      <c r="G553" s="358">
        <v>1.8042</v>
      </c>
      <c r="H553" s="358">
        <v>2.9899999999999998</v>
      </c>
      <c r="I553" s="358">
        <v>2.9899999999999998</v>
      </c>
      <c r="J553" s="358">
        <v>2.9499999999999997</v>
      </c>
      <c r="L553" s="357">
        <v>2</v>
      </c>
    </row>
    <row r="554" spans="1:12" hidden="1">
      <c r="A554" s="369">
        <v>40872</v>
      </c>
      <c r="B554" s="369" t="s">
        <v>1286</v>
      </c>
      <c r="C554" s="370">
        <v>364</v>
      </c>
      <c r="D554" s="369">
        <v>41236</v>
      </c>
      <c r="E554" s="371">
        <v>3</v>
      </c>
      <c r="F554" s="372">
        <v>4.8963999999999999</v>
      </c>
      <c r="G554" s="372">
        <v>3</v>
      </c>
      <c r="H554" s="372">
        <v>4</v>
      </c>
      <c r="I554" s="372">
        <v>4</v>
      </c>
      <c r="J554" s="372">
        <v>4</v>
      </c>
      <c r="K554" s="373"/>
      <c r="L554" s="370">
        <v>2</v>
      </c>
    </row>
    <row r="555" spans="1:12" hidden="1">
      <c r="A555" s="356">
        <v>40872</v>
      </c>
      <c r="B555" s="236" t="s">
        <v>1287</v>
      </c>
      <c r="C555" s="357">
        <v>1092</v>
      </c>
      <c r="D555" s="356">
        <v>41964</v>
      </c>
      <c r="E555" s="360">
        <v>2</v>
      </c>
      <c r="F555" s="358">
        <v>2</v>
      </c>
      <c r="G555" s="358">
        <v>2</v>
      </c>
      <c r="H555" s="358">
        <v>5</v>
      </c>
      <c r="I555" s="358">
        <v>5</v>
      </c>
      <c r="J555" s="358">
        <v>5</v>
      </c>
      <c r="L555" s="357">
        <v>1</v>
      </c>
    </row>
    <row r="556" spans="1:12" hidden="1">
      <c r="A556" s="369">
        <v>40886</v>
      </c>
      <c r="B556" s="1781" t="s">
        <v>1297</v>
      </c>
      <c r="C556" s="370">
        <v>364</v>
      </c>
      <c r="D556" s="369">
        <v>41250</v>
      </c>
      <c r="E556" s="371">
        <v>4</v>
      </c>
      <c r="F556" s="372">
        <v>9.2670999999999992</v>
      </c>
      <c r="G556" s="372">
        <v>4</v>
      </c>
      <c r="H556" s="372">
        <v>4</v>
      </c>
      <c r="I556" s="372">
        <v>4</v>
      </c>
      <c r="J556" s="372">
        <v>4</v>
      </c>
      <c r="K556" s="373"/>
      <c r="L556" s="370">
        <v>4</v>
      </c>
    </row>
    <row r="557" spans="1:12" hidden="1">
      <c r="A557" s="356">
        <v>40890</v>
      </c>
      <c r="B557" s="236" t="s">
        <v>1298</v>
      </c>
      <c r="C557" s="357">
        <v>35</v>
      </c>
      <c r="D557" s="356">
        <v>40925</v>
      </c>
      <c r="E557" s="360">
        <v>9</v>
      </c>
      <c r="F557" s="358">
        <v>0</v>
      </c>
      <c r="G557" s="358">
        <v>0</v>
      </c>
      <c r="H557" s="358">
        <v>0</v>
      </c>
      <c r="I557" s="358">
        <v>0</v>
      </c>
      <c r="J557" s="358">
        <v>0</v>
      </c>
      <c r="L557" s="357">
        <v>0</v>
      </c>
    </row>
    <row r="558" spans="1:12" hidden="1">
      <c r="A558" s="369">
        <v>40893</v>
      </c>
      <c r="B558" s="1781" t="s">
        <v>1299</v>
      </c>
      <c r="C558" s="370">
        <v>91</v>
      </c>
      <c r="D558" s="369">
        <v>40984</v>
      </c>
      <c r="E558" s="371">
        <v>7</v>
      </c>
      <c r="F558" s="372">
        <v>0</v>
      </c>
      <c r="G558" s="372">
        <v>0</v>
      </c>
      <c r="H558" s="372">
        <v>0</v>
      </c>
      <c r="I558" s="372">
        <v>0</v>
      </c>
      <c r="J558" s="372">
        <v>0</v>
      </c>
      <c r="K558" s="373"/>
      <c r="L558" s="370">
        <v>0</v>
      </c>
    </row>
    <row r="559" spans="1:12" hidden="1">
      <c r="A559" s="356">
        <v>40900</v>
      </c>
      <c r="B559" s="236" t="s">
        <v>1300</v>
      </c>
      <c r="C559" s="357">
        <v>364</v>
      </c>
      <c r="D559" s="356">
        <v>41264</v>
      </c>
      <c r="E559" s="360">
        <v>3</v>
      </c>
      <c r="F559" s="358">
        <v>3</v>
      </c>
      <c r="G559" s="358">
        <v>3</v>
      </c>
      <c r="H559" s="358">
        <v>4</v>
      </c>
      <c r="I559" s="358">
        <v>4</v>
      </c>
      <c r="J559" s="358">
        <v>4</v>
      </c>
      <c r="L559" s="357">
        <v>1</v>
      </c>
    </row>
    <row r="560" spans="1:12" hidden="1">
      <c r="A560" s="369">
        <v>41068</v>
      </c>
      <c r="B560" s="1781">
        <v>102002364</v>
      </c>
      <c r="C560" s="370">
        <v>91</v>
      </c>
      <c r="D560" s="369">
        <v>41159</v>
      </c>
      <c r="E560" s="371">
        <v>4</v>
      </c>
      <c r="F560" s="372">
        <v>0.50209999999999999</v>
      </c>
      <c r="G560" s="372">
        <v>0</v>
      </c>
      <c r="H560" s="372">
        <v>2.02</v>
      </c>
      <c r="I560" s="372">
        <v>2.02</v>
      </c>
      <c r="J560" s="372">
        <v>2.02</v>
      </c>
      <c r="K560" s="373"/>
      <c r="L560" s="370">
        <v>1</v>
      </c>
    </row>
    <row r="561" spans="1:12" hidden="1">
      <c r="A561" s="356">
        <v>41068</v>
      </c>
      <c r="B561" s="236">
        <v>101001367</v>
      </c>
      <c r="C561" s="357">
        <v>35</v>
      </c>
      <c r="D561" s="356">
        <v>41103</v>
      </c>
      <c r="E561" s="360">
        <v>2</v>
      </c>
      <c r="F561" s="358">
        <v>1.0208999999999999</v>
      </c>
      <c r="G561" s="358">
        <v>0</v>
      </c>
      <c r="H561" s="358">
        <v>1.5699999999999998</v>
      </c>
      <c r="I561" s="358">
        <v>1.5699999999999998</v>
      </c>
      <c r="J561" s="358">
        <v>1.5699999999999998</v>
      </c>
      <c r="L561" s="357">
        <v>1</v>
      </c>
    </row>
    <row r="562" spans="1:12" hidden="1">
      <c r="A562" s="369">
        <v>41068</v>
      </c>
      <c r="B562" s="1781" t="s">
        <v>1331</v>
      </c>
      <c r="C562" s="370">
        <v>91</v>
      </c>
      <c r="D562" s="369">
        <v>41159</v>
      </c>
      <c r="E562" s="371">
        <v>4</v>
      </c>
      <c r="F562" s="372">
        <v>0</v>
      </c>
      <c r="G562" s="372">
        <v>0</v>
      </c>
      <c r="H562" s="372">
        <v>0</v>
      </c>
      <c r="I562" s="372">
        <v>0</v>
      </c>
      <c r="J562" s="372">
        <v>0</v>
      </c>
      <c r="K562" s="373"/>
      <c r="L562" s="370">
        <v>0</v>
      </c>
    </row>
    <row r="563" spans="1:12" hidden="1">
      <c r="A563" s="356">
        <v>41068</v>
      </c>
      <c r="B563" s="236" t="s">
        <v>1332</v>
      </c>
      <c r="C563" s="357">
        <v>35</v>
      </c>
      <c r="D563" s="356">
        <v>41103</v>
      </c>
      <c r="E563" s="360">
        <v>2</v>
      </c>
      <c r="F563" s="358">
        <v>0</v>
      </c>
      <c r="G563" s="358">
        <v>0</v>
      </c>
      <c r="H563" s="358">
        <v>0</v>
      </c>
      <c r="I563" s="358">
        <v>0</v>
      </c>
      <c r="J563" s="358">
        <v>0</v>
      </c>
      <c r="L563" s="357">
        <v>0</v>
      </c>
    </row>
    <row r="564" spans="1:12" hidden="1">
      <c r="A564" s="369">
        <v>41072</v>
      </c>
      <c r="B564" s="369" t="s">
        <v>1333</v>
      </c>
      <c r="C564" s="370">
        <v>364</v>
      </c>
      <c r="D564" s="369">
        <v>41436</v>
      </c>
      <c r="E564" s="371">
        <v>22</v>
      </c>
      <c r="F564" s="372">
        <v>11.749599999999999</v>
      </c>
      <c r="G564" s="372">
        <v>11.749599999999999</v>
      </c>
      <c r="H564" s="372">
        <v>4</v>
      </c>
      <c r="I564" s="372">
        <v>4</v>
      </c>
      <c r="J564" s="372">
        <v>4</v>
      </c>
      <c r="K564" s="373"/>
      <c r="L564" s="370">
        <v>4</v>
      </c>
    </row>
    <row r="565" spans="1:12" hidden="1">
      <c r="A565" s="356">
        <v>41072</v>
      </c>
      <c r="B565" s="356" t="s">
        <v>1807</v>
      </c>
      <c r="C565" s="357">
        <v>182</v>
      </c>
      <c r="D565" s="356">
        <v>41254</v>
      </c>
      <c r="E565" s="360">
        <v>7</v>
      </c>
      <c r="F565" s="358">
        <v>0</v>
      </c>
      <c r="G565" s="358">
        <v>0</v>
      </c>
      <c r="H565" s="358">
        <v>4.5</v>
      </c>
      <c r="I565" s="358">
        <v>4.5</v>
      </c>
      <c r="J565" s="358">
        <v>4.5</v>
      </c>
      <c r="L565" s="357">
        <v>0</v>
      </c>
    </row>
    <row r="566" spans="1:12" hidden="1">
      <c r="A566" s="369">
        <v>41072</v>
      </c>
      <c r="B566" s="369" t="s">
        <v>1808</v>
      </c>
      <c r="C566" s="370">
        <v>728</v>
      </c>
      <c r="D566" s="369">
        <v>41800</v>
      </c>
      <c r="E566" s="371">
        <v>3</v>
      </c>
      <c r="F566" s="372">
        <v>1.0006999999999999</v>
      </c>
      <c r="G566" s="372">
        <v>1</v>
      </c>
      <c r="H566" s="372">
        <v>4.5</v>
      </c>
      <c r="I566" s="372">
        <v>4.5</v>
      </c>
      <c r="J566" s="372">
        <v>4.5</v>
      </c>
      <c r="K566" s="373"/>
      <c r="L566" s="370">
        <v>1</v>
      </c>
    </row>
    <row r="567" spans="1:12" hidden="1">
      <c r="A567" s="356">
        <v>41079</v>
      </c>
      <c r="B567" s="236" t="s">
        <v>1809</v>
      </c>
      <c r="C567" s="357">
        <v>35</v>
      </c>
      <c r="D567" s="356">
        <v>41114</v>
      </c>
      <c r="E567" s="360">
        <v>2</v>
      </c>
      <c r="F567" s="358">
        <v>0</v>
      </c>
      <c r="G567" s="358">
        <v>0</v>
      </c>
      <c r="H567" s="358">
        <v>0</v>
      </c>
      <c r="I567" s="358">
        <v>0</v>
      </c>
      <c r="J567" s="358">
        <v>0</v>
      </c>
      <c r="L567" s="357">
        <v>0</v>
      </c>
    </row>
    <row r="568" spans="1:12" hidden="1">
      <c r="A568" s="369">
        <v>41082</v>
      </c>
      <c r="B568" s="1781" t="s">
        <v>1810</v>
      </c>
      <c r="C568" s="370">
        <v>91</v>
      </c>
      <c r="D568" s="369">
        <v>41173</v>
      </c>
      <c r="E568" s="371">
        <v>3</v>
      </c>
      <c r="F568" s="372">
        <v>1.0055000000000001</v>
      </c>
      <c r="G568" s="372">
        <v>1.0055000000000001</v>
      </c>
      <c r="H568" s="372">
        <v>2.5</v>
      </c>
      <c r="I568" s="372">
        <v>2.5</v>
      </c>
      <c r="J568" s="372">
        <v>2.5</v>
      </c>
      <c r="K568" s="373"/>
      <c r="L568" s="370">
        <v>1</v>
      </c>
    </row>
    <row r="569" spans="1:12" hidden="1">
      <c r="A569" s="356">
        <v>41089</v>
      </c>
      <c r="B569" s="236" t="s">
        <v>1811</v>
      </c>
      <c r="C569" s="357">
        <v>1092</v>
      </c>
      <c r="D569" s="356">
        <v>42181</v>
      </c>
      <c r="E569" s="360">
        <v>2</v>
      </c>
      <c r="F569" s="358">
        <v>6.5</v>
      </c>
      <c r="G569" s="358">
        <v>2</v>
      </c>
      <c r="H569" s="358">
        <v>5</v>
      </c>
      <c r="I569" s="358">
        <v>5</v>
      </c>
      <c r="J569" s="358">
        <v>5</v>
      </c>
      <c r="L569" s="357">
        <v>5</v>
      </c>
    </row>
    <row r="570" spans="1:12" hidden="1">
      <c r="A570" s="369">
        <v>41089</v>
      </c>
      <c r="B570" s="1781" t="s">
        <v>1812</v>
      </c>
      <c r="C570" s="370">
        <v>182</v>
      </c>
      <c r="D570" s="369">
        <v>41271</v>
      </c>
      <c r="E570" s="371">
        <v>6</v>
      </c>
      <c r="F570" s="372">
        <v>0</v>
      </c>
      <c r="G570" s="372">
        <v>0</v>
      </c>
      <c r="H570" s="372">
        <v>0</v>
      </c>
      <c r="I570" s="372">
        <v>0</v>
      </c>
      <c r="J570" s="372">
        <v>0</v>
      </c>
      <c r="K570" s="373"/>
      <c r="L570" s="370">
        <v>0</v>
      </c>
    </row>
    <row r="571" spans="1:12" hidden="1">
      <c r="A571" s="356">
        <v>41089</v>
      </c>
      <c r="B571" s="236" t="s">
        <v>1813</v>
      </c>
      <c r="C571" s="357">
        <v>364</v>
      </c>
      <c r="D571" s="356">
        <v>41453</v>
      </c>
      <c r="E571" s="360">
        <v>20</v>
      </c>
      <c r="F571" s="358">
        <v>20.942</v>
      </c>
      <c r="G571" s="358">
        <v>20</v>
      </c>
      <c r="H571" s="358">
        <v>4</v>
      </c>
      <c r="I571" s="358">
        <v>4</v>
      </c>
      <c r="J571" s="358">
        <v>4</v>
      </c>
      <c r="L571" s="357">
        <v>6</v>
      </c>
    </row>
    <row r="572" spans="1:12" hidden="1">
      <c r="A572" s="369">
        <v>41096</v>
      </c>
      <c r="B572" s="1781" t="s">
        <v>1334</v>
      </c>
      <c r="C572" s="370">
        <v>91</v>
      </c>
      <c r="D572" s="369">
        <v>41187</v>
      </c>
      <c r="E572" s="371">
        <v>4</v>
      </c>
      <c r="F572" s="372">
        <v>2.0106000000000002</v>
      </c>
      <c r="G572" s="372">
        <v>2.0106000000000002</v>
      </c>
      <c r="H572" s="372">
        <v>2.42</v>
      </c>
      <c r="I572" s="372">
        <v>2.42</v>
      </c>
      <c r="J572" s="372">
        <v>2.42</v>
      </c>
      <c r="K572" s="373"/>
      <c r="L572" s="370">
        <v>1</v>
      </c>
    </row>
    <row r="573" spans="1:12" hidden="1">
      <c r="A573" s="356">
        <v>41096</v>
      </c>
      <c r="B573" s="236" t="s">
        <v>1335</v>
      </c>
      <c r="C573" s="357">
        <v>364</v>
      </c>
      <c r="D573" s="356">
        <v>41460</v>
      </c>
      <c r="E573" s="360">
        <v>2</v>
      </c>
      <c r="F573" s="358">
        <v>1.6035999999999999</v>
      </c>
      <c r="G573" s="358">
        <v>1.5519000000000001</v>
      </c>
      <c r="H573" s="358">
        <v>3.73</v>
      </c>
      <c r="I573" s="358">
        <v>3.73</v>
      </c>
      <c r="J573" s="358">
        <v>3.73</v>
      </c>
      <c r="L573" s="357">
        <v>2</v>
      </c>
    </row>
    <row r="574" spans="1:12" hidden="1">
      <c r="A574" s="369">
        <v>41100</v>
      </c>
      <c r="B574" s="1781" t="s">
        <v>1336</v>
      </c>
      <c r="C574" s="370">
        <v>182</v>
      </c>
      <c r="D574" s="369">
        <v>41282</v>
      </c>
      <c r="E574" s="371">
        <v>7</v>
      </c>
      <c r="F574" s="372">
        <v>0</v>
      </c>
      <c r="G574" s="372">
        <v>0</v>
      </c>
      <c r="H574" s="372">
        <v>0</v>
      </c>
      <c r="I574" s="372">
        <v>0</v>
      </c>
      <c r="J574" s="372">
        <v>0</v>
      </c>
      <c r="K574" s="373"/>
      <c r="L574" s="370">
        <v>0</v>
      </c>
    </row>
    <row r="575" spans="1:12" hidden="1">
      <c r="A575" s="356">
        <v>41103</v>
      </c>
      <c r="B575" s="236" t="s">
        <v>1337</v>
      </c>
      <c r="C575" s="357">
        <v>1092</v>
      </c>
      <c r="D575" s="356">
        <v>42195</v>
      </c>
      <c r="E575" s="360">
        <v>2</v>
      </c>
      <c r="F575" s="358">
        <v>4</v>
      </c>
      <c r="G575" s="358">
        <v>2</v>
      </c>
      <c r="H575" s="358">
        <v>5</v>
      </c>
      <c r="I575" s="358">
        <v>5</v>
      </c>
      <c r="J575" s="358">
        <v>5</v>
      </c>
      <c r="L575" s="357">
        <v>2</v>
      </c>
    </row>
    <row r="576" spans="1:12" hidden="1">
      <c r="A576" s="369">
        <v>41103</v>
      </c>
      <c r="B576" s="369" t="s">
        <v>1338</v>
      </c>
      <c r="C576" s="370">
        <v>364</v>
      </c>
      <c r="D576" s="369">
        <v>41467</v>
      </c>
      <c r="E576" s="371">
        <v>22</v>
      </c>
      <c r="F576" s="372">
        <v>17.5061</v>
      </c>
      <c r="G576" s="372">
        <v>17.5061</v>
      </c>
      <c r="H576" s="372">
        <v>4</v>
      </c>
      <c r="I576" s="372">
        <v>4</v>
      </c>
      <c r="J576" s="372">
        <v>4</v>
      </c>
      <c r="K576" s="373"/>
      <c r="L576" s="370">
        <v>4</v>
      </c>
    </row>
    <row r="577" spans="1:12" hidden="1">
      <c r="A577" s="356">
        <v>41107</v>
      </c>
      <c r="B577" s="236" t="s">
        <v>1339</v>
      </c>
      <c r="C577" s="357">
        <v>35</v>
      </c>
      <c r="D577" s="356">
        <v>41142</v>
      </c>
      <c r="E577" s="360">
        <v>2</v>
      </c>
      <c r="F577" s="358">
        <v>0</v>
      </c>
      <c r="G577" s="358">
        <v>0</v>
      </c>
      <c r="H577" s="358">
        <v>0</v>
      </c>
      <c r="I577" s="358">
        <v>0</v>
      </c>
      <c r="J577" s="358">
        <v>0</v>
      </c>
      <c r="L577" s="357">
        <v>0</v>
      </c>
    </row>
    <row r="578" spans="1:12" hidden="1">
      <c r="A578" s="369">
        <v>41110</v>
      </c>
      <c r="B578" s="369" t="s">
        <v>1340</v>
      </c>
      <c r="C578" s="370">
        <v>91</v>
      </c>
      <c r="D578" s="369">
        <v>41201</v>
      </c>
      <c r="E578" s="371">
        <v>3</v>
      </c>
      <c r="F578" s="372">
        <v>0</v>
      </c>
      <c r="G578" s="372">
        <v>0</v>
      </c>
      <c r="H578" s="372">
        <v>0</v>
      </c>
      <c r="I578" s="372">
        <v>0</v>
      </c>
      <c r="J578" s="372">
        <v>0</v>
      </c>
      <c r="K578" s="373"/>
      <c r="L578" s="370">
        <v>0</v>
      </c>
    </row>
    <row r="579" spans="1:12" hidden="1">
      <c r="A579" s="356">
        <v>41114</v>
      </c>
      <c r="B579" s="356" t="s">
        <v>1341</v>
      </c>
      <c r="C579" s="357">
        <v>182</v>
      </c>
      <c r="D579" s="356">
        <v>41296</v>
      </c>
      <c r="E579" s="360">
        <v>6</v>
      </c>
      <c r="F579" s="358">
        <v>0</v>
      </c>
      <c r="G579" s="358">
        <v>0</v>
      </c>
      <c r="H579" s="358">
        <v>0</v>
      </c>
      <c r="I579" s="358">
        <v>0</v>
      </c>
      <c r="J579" s="358">
        <v>0</v>
      </c>
      <c r="L579" s="357">
        <v>0</v>
      </c>
    </row>
    <row r="580" spans="1:12" hidden="1">
      <c r="A580" s="369">
        <v>41117</v>
      </c>
      <c r="B580" s="369" t="s">
        <v>1342</v>
      </c>
      <c r="C580" s="370">
        <v>364</v>
      </c>
      <c r="D580" s="369">
        <v>41481</v>
      </c>
      <c r="E580" s="371">
        <v>20</v>
      </c>
      <c r="F580" s="372">
        <v>0</v>
      </c>
      <c r="G580" s="372">
        <v>0</v>
      </c>
      <c r="H580" s="372">
        <v>4</v>
      </c>
      <c r="I580" s="372">
        <v>4</v>
      </c>
      <c r="J580" s="372">
        <v>0</v>
      </c>
      <c r="K580" s="373"/>
      <c r="L580" s="370">
        <v>0</v>
      </c>
    </row>
    <row r="581" spans="1:12" hidden="1">
      <c r="A581" s="356">
        <v>41117</v>
      </c>
      <c r="B581" s="236" t="s">
        <v>1343</v>
      </c>
      <c r="C581" s="357">
        <v>1092</v>
      </c>
      <c r="D581" s="356">
        <v>42209</v>
      </c>
      <c r="E581" s="360">
        <v>1</v>
      </c>
      <c r="F581" s="358">
        <v>1</v>
      </c>
      <c r="G581" s="358">
        <v>1</v>
      </c>
      <c r="H581" s="358">
        <v>5</v>
      </c>
      <c r="I581" s="358">
        <v>5</v>
      </c>
      <c r="J581" s="358">
        <v>5</v>
      </c>
      <c r="L581" s="357">
        <v>1</v>
      </c>
    </row>
    <row r="582" spans="1:12" hidden="1">
      <c r="A582" s="369">
        <v>41124</v>
      </c>
      <c r="B582" s="1781" t="s">
        <v>1352</v>
      </c>
      <c r="C582" s="370">
        <v>364</v>
      </c>
      <c r="D582" s="369">
        <v>41488</v>
      </c>
      <c r="E582" s="371">
        <v>1</v>
      </c>
      <c r="F582" s="372">
        <v>0</v>
      </c>
      <c r="G582" s="372">
        <v>0</v>
      </c>
      <c r="H582" s="372">
        <v>0</v>
      </c>
      <c r="I582" s="372">
        <v>0</v>
      </c>
      <c r="J582" s="372">
        <v>0</v>
      </c>
      <c r="K582" s="373"/>
      <c r="L582" s="370">
        <v>0</v>
      </c>
    </row>
    <row r="583" spans="1:12" hidden="1">
      <c r="A583" s="356">
        <v>41124</v>
      </c>
      <c r="B583" s="236" t="s">
        <v>1353</v>
      </c>
      <c r="C583" s="357">
        <v>91</v>
      </c>
      <c r="D583" s="356">
        <v>41215</v>
      </c>
      <c r="E583" s="360">
        <v>4</v>
      </c>
      <c r="F583" s="358">
        <v>4</v>
      </c>
      <c r="G583" s="358">
        <v>4</v>
      </c>
      <c r="H583" s="358">
        <v>2.42</v>
      </c>
      <c r="I583" s="358">
        <v>2.42</v>
      </c>
      <c r="J583" s="358">
        <v>2.42</v>
      </c>
      <c r="L583" s="357">
        <v>1</v>
      </c>
    </row>
    <row r="584" spans="1:12" hidden="1">
      <c r="A584" s="369">
        <v>41124</v>
      </c>
      <c r="B584" s="1781" t="s">
        <v>1354</v>
      </c>
      <c r="C584" s="370">
        <v>35</v>
      </c>
      <c r="D584" s="369">
        <v>41159</v>
      </c>
      <c r="E584" s="371">
        <v>2</v>
      </c>
      <c r="F584" s="372">
        <v>1.5</v>
      </c>
      <c r="G584" s="372">
        <v>1.5</v>
      </c>
      <c r="H584" s="372">
        <v>1.46</v>
      </c>
      <c r="I584" s="372">
        <v>1.46</v>
      </c>
      <c r="J584" s="372">
        <v>1.46</v>
      </c>
      <c r="K584" s="373"/>
      <c r="L584" s="370">
        <v>1</v>
      </c>
    </row>
    <row r="585" spans="1:12" hidden="1">
      <c r="A585" s="356">
        <v>41128</v>
      </c>
      <c r="B585" s="236" t="s">
        <v>1355</v>
      </c>
      <c r="C585" s="357">
        <v>182</v>
      </c>
      <c r="D585" s="356">
        <v>41310</v>
      </c>
      <c r="E585" s="360">
        <v>7</v>
      </c>
      <c r="F585" s="358">
        <v>0</v>
      </c>
      <c r="G585" s="358">
        <v>0</v>
      </c>
      <c r="H585" s="358">
        <v>0</v>
      </c>
      <c r="I585" s="358">
        <v>0</v>
      </c>
      <c r="J585" s="358">
        <v>0</v>
      </c>
      <c r="L585" s="357">
        <v>0</v>
      </c>
    </row>
    <row r="586" spans="1:12" hidden="1">
      <c r="A586" s="369">
        <v>41131</v>
      </c>
      <c r="B586" s="1781" t="s">
        <v>1356</v>
      </c>
      <c r="C586" s="370">
        <v>364</v>
      </c>
      <c r="D586" s="369">
        <v>41495</v>
      </c>
      <c r="E586" s="371">
        <v>22</v>
      </c>
      <c r="F586" s="372">
        <v>0</v>
      </c>
      <c r="G586" s="372">
        <v>0</v>
      </c>
      <c r="H586" s="372">
        <v>4</v>
      </c>
      <c r="I586" s="372">
        <v>4</v>
      </c>
      <c r="J586" s="372">
        <v>0</v>
      </c>
      <c r="K586" s="373"/>
      <c r="L586" s="370">
        <v>0</v>
      </c>
    </row>
    <row r="587" spans="1:12" hidden="1">
      <c r="A587" s="356">
        <v>41131</v>
      </c>
      <c r="B587" s="236" t="s">
        <v>1357</v>
      </c>
      <c r="C587" s="357">
        <v>728</v>
      </c>
      <c r="D587" s="356">
        <v>41859</v>
      </c>
      <c r="E587" s="360">
        <v>1</v>
      </c>
      <c r="F587" s="358">
        <v>0.49830000000000002</v>
      </c>
      <c r="G587" s="358">
        <v>0.49830000000000002</v>
      </c>
      <c r="H587" s="358">
        <v>4.5</v>
      </c>
      <c r="I587" s="358">
        <v>4.5</v>
      </c>
      <c r="J587" s="358">
        <v>4.5</v>
      </c>
      <c r="L587" s="357">
        <v>1</v>
      </c>
    </row>
    <row r="588" spans="1:12" hidden="1">
      <c r="A588" s="369">
        <v>41135</v>
      </c>
      <c r="B588" s="1781" t="s">
        <v>1358</v>
      </c>
      <c r="C588" s="370">
        <v>35</v>
      </c>
      <c r="D588" s="369">
        <v>41170</v>
      </c>
      <c r="E588" s="371">
        <v>2</v>
      </c>
      <c r="F588" s="372">
        <v>0</v>
      </c>
      <c r="G588" s="372">
        <v>0</v>
      </c>
      <c r="H588" s="372">
        <v>0</v>
      </c>
      <c r="I588" s="372">
        <v>0</v>
      </c>
      <c r="J588" s="372">
        <v>0</v>
      </c>
      <c r="K588" s="373"/>
      <c r="L588" s="370">
        <v>0</v>
      </c>
    </row>
    <row r="589" spans="1:12" hidden="1">
      <c r="A589" s="356">
        <v>41138</v>
      </c>
      <c r="B589" s="236" t="s">
        <v>1359</v>
      </c>
      <c r="C589" s="357">
        <v>91</v>
      </c>
      <c r="D589" s="356">
        <v>41229</v>
      </c>
      <c r="E589" s="360">
        <v>3</v>
      </c>
      <c r="F589" s="358">
        <v>0</v>
      </c>
      <c r="G589" s="358">
        <v>0</v>
      </c>
      <c r="H589" s="358">
        <v>0</v>
      </c>
      <c r="I589" s="358">
        <v>0</v>
      </c>
      <c r="J589" s="358">
        <v>0</v>
      </c>
      <c r="L589" s="357">
        <v>0</v>
      </c>
    </row>
    <row r="590" spans="1:12" hidden="1">
      <c r="A590" s="369">
        <v>41145</v>
      </c>
      <c r="B590" s="369" t="s">
        <v>1360</v>
      </c>
      <c r="C590" s="370">
        <v>364</v>
      </c>
      <c r="D590" s="369">
        <v>41509</v>
      </c>
      <c r="E590" s="371">
        <v>20</v>
      </c>
      <c r="F590" s="372">
        <v>0</v>
      </c>
      <c r="G590" s="372">
        <v>0</v>
      </c>
      <c r="H590" s="372">
        <v>4</v>
      </c>
      <c r="I590" s="372">
        <v>4</v>
      </c>
      <c r="J590" s="372">
        <v>0</v>
      </c>
      <c r="K590" s="373"/>
      <c r="L590" s="370">
        <v>0</v>
      </c>
    </row>
    <row r="591" spans="1:12" hidden="1">
      <c r="A591" s="356">
        <v>41145</v>
      </c>
      <c r="B591" s="236" t="s">
        <v>1361</v>
      </c>
      <c r="C591" s="357">
        <v>1092</v>
      </c>
      <c r="D591" s="356">
        <v>42237</v>
      </c>
      <c r="E591" s="360">
        <v>2</v>
      </c>
      <c r="F591" s="358">
        <v>2.3982000000000001</v>
      </c>
      <c r="G591" s="358">
        <v>2</v>
      </c>
      <c r="H591" s="358">
        <v>5</v>
      </c>
      <c r="I591" s="358">
        <v>5</v>
      </c>
      <c r="J591" s="358">
        <v>5</v>
      </c>
      <c r="L591" s="357">
        <v>1</v>
      </c>
    </row>
    <row r="592" spans="1:12" hidden="1">
      <c r="A592" s="369">
        <v>41145</v>
      </c>
      <c r="B592" s="369" t="s">
        <v>1361</v>
      </c>
      <c r="C592" s="370">
        <v>1092</v>
      </c>
      <c r="D592" s="369">
        <v>42237</v>
      </c>
      <c r="E592" s="371">
        <v>2</v>
      </c>
      <c r="F592" s="372">
        <v>2.3982000000000001</v>
      </c>
      <c r="G592" s="372">
        <v>2</v>
      </c>
      <c r="H592" s="372">
        <v>5</v>
      </c>
      <c r="I592" s="372">
        <v>5</v>
      </c>
      <c r="J592" s="372">
        <v>5</v>
      </c>
      <c r="K592" s="373"/>
      <c r="L592" s="370">
        <v>1</v>
      </c>
    </row>
    <row r="593" spans="1:12" hidden="1">
      <c r="A593" s="356">
        <v>41156</v>
      </c>
      <c r="B593" s="356" t="s">
        <v>1366</v>
      </c>
      <c r="C593" s="357">
        <v>35</v>
      </c>
      <c r="D593" s="356">
        <v>41191</v>
      </c>
      <c r="E593" s="360">
        <v>2</v>
      </c>
      <c r="F593" s="358">
        <v>1.9999</v>
      </c>
      <c r="G593" s="358">
        <v>1.9999</v>
      </c>
      <c r="H593" s="358">
        <v>1.46</v>
      </c>
      <c r="I593" s="358">
        <v>1.46</v>
      </c>
      <c r="J593" s="358">
        <v>1.46</v>
      </c>
      <c r="L593" s="357">
        <v>1</v>
      </c>
    </row>
    <row r="594" spans="1:12" hidden="1">
      <c r="A594" s="369">
        <v>41159</v>
      </c>
      <c r="B594" s="369" t="s">
        <v>1367</v>
      </c>
      <c r="C594" s="370">
        <v>364</v>
      </c>
      <c r="D594" s="369">
        <v>41523</v>
      </c>
      <c r="E594" s="371">
        <v>1</v>
      </c>
      <c r="F594" s="372">
        <v>1</v>
      </c>
      <c r="G594" s="372">
        <v>1</v>
      </c>
      <c r="H594" s="372">
        <v>3.74</v>
      </c>
      <c r="I594" s="372">
        <v>3.74</v>
      </c>
      <c r="J594" s="372">
        <v>3.74</v>
      </c>
      <c r="K594" s="373"/>
      <c r="L594" s="370">
        <v>1</v>
      </c>
    </row>
    <row r="595" spans="1:12" hidden="1">
      <c r="A595" s="356">
        <v>41159</v>
      </c>
      <c r="B595" s="236" t="s">
        <v>1368</v>
      </c>
      <c r="C595" s="357">
        <v>91</v>
      </c>
      <c r="D595" s="356">
        <v>41250</v>
      </c>
      <c r="E595" s="360">
        <v>4</v>
      </c>
      <c r="F595" s="358">
        <v>0</v>
      </c>
      <c r="G595" s="358">
        <v>0</v>
      </c>
      <c r="H595" s="358">
        <v>0</v>
      </c>
      <c r="I595" s="358">
        <v>0</v>
      </c>
      <c r="J595" s="358">
        <v>0</v>
      </c>
      <c r="L595" s="357">
        <v>0</v>
      </c>
    </row>
    <row r="596" spans="1:12" hidden="1">
      <c r="A596" s="369">
        <v>41163</v>
      </c>
      <c r="B596" s="1781" t="s">
        <v>1369</v>
      </c>
      <c r="C596" s="370">
        <v>182</v>
      </c>
      <c r="D596" s="369">
        <v>41345</v>
      </c>
      <c r="E596" s="371">
        <v>7</v>
      </c>
      <c r="F596" s="372">
        <v>0</v>
      </c>
      <c r="G596" s="372">
        <v>0</v>
      </c>
      <c r="H596" s="372">
        <v>0</v>
      </c>
      <c r="I596" s="372">
        <v>0</v>
      </c>
      <c r="J596" s="372">
        <v>0</v>
      </c>
      <c r="K596" s="373"/>
      <c r="L596" s="370">
        <v>0</v>
      </c>
    </row>
    <row r="597" spans="1:12" hidden="1">
      <c r="A597" s="356">
        <v>41166</v>
      </c>
      <c r="B597" s="236" t="s">
        <v>1370</v>
      </c>
      <c r="C597" s="357">
        <v>364</v>
      </c>
      <c r="D597" s="356">
        <v>41530</v>
      </c>
      <c r="E597" s="360">
        <v>22</v>
      </c>
      <c r="F597" s="358">
        <v>5.7445000000000004</v>
      </c>
      <c r="G597" s="358">
        <v>5.7445000000000004</v>
      </c>
      <c r="H597" s="358">
        <v>4</v>
      </c>
      <c r="I597" s="358">
        <v>4</v>
      </c>
      <c r="J597" s="358">
        <v>4</v>
      </c>
      <c r="L597" s="357">
        <v>3</v>
      </c>
    </row>
    <row r="598" spans="1:12" hidden="1">
      <c r="A598" s="369">
        <v>41166</v>
      </c>
      <c r="B598" s="1781" t="s">
        <v>1371</v>
      </c>
      <c r="C598" s="370">
        <v>1092</v>
      </c>
      <c r="D598" s="369">
        <v>42258</v>
      </c>
      <c r="E598" s="371">
        <v>2</v>
      </c>
      <c r="F598" s="372">
        <v>4.3982000000000001</v>
      </c>
      <c r="G598" s="372">
        <v>2</v>
      </c>
      <c r="H598" s="372">
        <v>5</v>
      </c>
      <c r="I598" s="372">
        <v>5</v>
      </c>
      <c r="J598" s="372">
        <v>5</v>
      </c>
      <c r="K598" s="373"/>
      <c r="L598" s="370">
        <v>2</v>
      </c>
    </row>
    <row r="599" spans="1:12" hidden="1">
      <c r="A599" s="356">
        <v>41170</v>
      </c>
      <c r="B599" s="236" t="s">
        <v>1372</v>
      </c>
      <c r="C599" s="357">
        <v>35</v>
      </c>
      <c r="D599" s="356">
        <v>41205</v>
      </c>
      <c r="E599" s="360">
        <v>2</v>
      </c>
      <c r="F599" s="358">
        <v>0</v>
      </c>
      <c r="G599" s="358">
        <v>0</v>
      </c>
      <c r="H599" s="358">
        <v>0</v>
      </c>
      <c r="I599" s="358">
        <v>0</v>
      </c>
      <c r="J599" s="358">
        <v>0</v>
      </c>
      <c r="L599" s="357">
        <v>0</v>
      </c>
    </row>
    <row r="600" spans="1:12" hidden="1">
      <c r="A600" s="369">
        <v>41173</v>
      </c>
      <c r="B600" s="1781" t="s">
        <v>1373</v>
      </c>
      <c r="C600" s="370">
        <v>91</v>
      </c>
      <c r="D600" s="369">
        <v>41264</v>
      </c>
      <c r="E600" s="371">
        <v>3</v>
      </c>
      <c r="F600" s="372">
        <v>0</v>
      </c>
      <c r="G600" s="372">
        <v>0</v>
      </c>
      <c r="H600" s="372">
        <v>0</v>
      </c>
      <c r="I600" s="372">
        <v>0</v>
      </c>
      <c r="J600" s="372">
        <v>0</v>
      </c>
      <c r="K600" s="373"/>
      <c r="L600" s="370">
        <v>0</v>
      </c>
    </row>
    <row r="601" spans="1:12" hidden="1">
      <c r="A601" s="356">
        <v>41177</v>
      </c>
      <c r="B601" s="236" t="s">
        <v>1374</v>
      </c>
      <c r="C601" s="357">
        <v>182</v>
      </c>
      <c r="D601" s="356">
        <v>41359</v>
      </c>
      <c r="E601" s="360">
        <v>7</v>
      </c>
      <c r="F601" s="358">
        <v>0</v>
      </c>
      <c r="G601" s="358">
        <v>0</v>
      </c>
      <c r="H601" s="358">
        <v>0</v>
      </c>
      <c r="I601" s="358">
        <v>0</v>
      </c>
      <c r="J601" s="358">
        <v>0</v>
      </c>
      <c r="L601" s="357">
        <v>0</v>
      </c>
    </row>
    <row r="602" spans="1:12" hidden="1">
      <c r="A602" s="369">
        <v>41180</v>
      </c>
      <c r="B602" s="1781" t="s">
        <v>1375</v>
      </c>
      <c r="C602" s="370">
        <v>364</v>
      </c>
      <c r="D602" s="369">
        <v>41544</v>
      </c>
      <c r="E602" s="371">
        <v>20</v>
      </c>
      <c r="F602" s="372">
        <v>6.0519999999999996</v>
      </c>
      <c r="G602" s="372">
        <v>6.0519999999999996</v>
      </c>
      <c r="H602" s="372">
        <v>4</v>
      </c>
      <c r="I602" s="372">
        <v>4</v>
      </c>
      <c r="J602" s="372">
        <v>4</v>
      </c>
      <c r="K602" s="373"/>
      <c r="L602" s="370">
        <v>2</v>
      </c>
    </row>
    <row r="603" spans="1:12" hidden="1">
      <c r="A603" s="356">
        <v>41180</v>
      </c>
      <c r="B603" s="236" t="s">
        <v>1376</v>
      </c>
      <c r="C603" s="357">
        <v>1092</v>
      </c>
      <c r="D603" s="356">
        <v>42272</v>
      </c>
      <c r="E603" s="360">
        <v>1</v>
      </c>
      <c r="F603" s="358">
        <v>2.1985000000000001</v>
      </c>
      <c r="G603" s="358">
        <v>1</v>
      </c>
      <c r="H603" s="358">
        <v>5</v>
      </c>
      <c r="I603" s="358">
        <v>5</v>
      </c>
      <c r="J603" s="358">
        <v>5</v>
      </c>
      <c r="L603" s="357">
        <v>2</v>
      </c>
    </row>
    <row r="604" spans="1:12" hidden="1">
      <c r="A604" s="369">
        <v>41184</v>
      </c>
      <c r="B604" s="369" t="s">
        <v>1382</v>
      </c>
      <c r="C604" s="370">
        <v>35</v>
      </c>
      <c r="D604" s="369">
        <v>41219</v>
      </c>
      <c r="E604" s="371">
        <v>2</v>
      </c>
      <c r="F604" s="372">
        <v>0</v>
      </c>
      <c r="G604" s="372">
        <v>0</v>
      </c>
      <c r="H604" s="372">
        <v>0</v>
      </c>
      <c r="I604" s="372">
        <v>0</v>
      </c>
      <c r="J604" s="372">
        <v>0</v>
      </c>
      <c r="K604" s="373"/>
      <c r="L604" s="370">
        <v>0</v>
      </c>
    </row>
    <row r="605" spans="1:12" hidden="1">
      <c r="A605" s="356">
        <v>41187</v>
      </c>
      <c r="B605" s="236" t="s">
        <v>1383</v>
      </c>
      <c r="C605" s="357">
        <v>91</v>
      </c>
      <c r="D605" s="356">
        <v>41278</v>
      </c>
      <c r="E605" s="360">
        <v>4</v>
      </c>
      <c r="F605" s="358">
        <v>2.0217000000000001</v>
      </c>
      <c r="G605" s="358">
        <v>2.0217000000000001</v>
      </c>
      <c r="H605" s="358">
        <v>2.5</v>
      </c>
      <c r="I605" s="358">
        <v>2.5</v>
      </c>
      <c r="J605" s="358">
        <v>2.5</v>
      </c>
      <c r="L605" s="357">
        <v>1</v>
      </c>
    </row>
    <row r="606" spans="1:12" hidden="1">
      <c r="A606" s="369">
        <v>41191</v>
      </c>
      <c r="B606" s="1781" t="s">
        <v>1384</v>
      </c>
      <c r="C606" s="370">
        <v>182</v>
      </c>
      <c r="D606" s="369">
        <v>41373</v>
      </c>
      <c r="E606" s="371">
        <v>7</v>
      </c>
      <c r="F606" s="372">
        <v>0</v>
      </c>
      <c r="G606" s="372">
        <v>0</v>
      </c>
      <c r="H606" s="372">
        <v>0</v>
      </c>
      <c r="I606" s="372">
        <v>0</v>
      </c>
      <c r="J606" s="372">
        <v>0</v>
      </c>
      <c r="K606" s="373"/>
      <c r="L606" s="370">
        <v>0</v>
      </c>
    </row>
    <row r="607" spans="1:12" hidden="1">
      <c r="A607" s="356">
        <v>41194</v>
      </c>
      <c r="B607" s="236" t="s">
        <v>1385</v>
      </c>
      <c r="C607" s="357">
        <v>728</v>
      </c>
      <c r="D607" s="356">
        <v>41922</v>
      </c>
      <c r="E607" s="360">
        <v>1</v>
      </c>
      <c r="F607" s="358">
        <v>1.1991000000000001</v>
      </c>
      <c r="G607" s="358">
        <v>1.1991000000000001</v>
      </c>
      <c r="H607" s="358">
        <v>4.5</v>
      </c>
      <c r="I607" s="358">
        <v>4.5</v>
      </c>
      <c r="J607" s="358">
        <v>4.5</v>
      </c>
      <c r="L607" s="357">
        <v>1</v>
      </c>
    </row>
    <row r="608" spans="1:12" hidden="1">
      <c r="A608" s="369">
        <v>41194</v>
      </c>
      <c r="B608" s="1781" t="s">
        <v>1386</v>
      </c>
      <c r="C608" s="370">
        <v>364</v>
      </c>
      <c r="D608" s="369">
        <v>41558</v>
      </c>
      <c r="E608" s="371">
        <v>22</v>
      </c>
      <c r="F608" s="372">
        <v>0</v>
      </c>
      <c r="G608" s="372">
        <v>0</v>
      </c>
      <c r="H608" s="372">
        <v>4</v>
      </c>
      <c r="I608" s="372">
        <v>4</v>
      </c>
      <c r="J608" s="372">
        <v>0</v>
      </c>
      <c r="K608" s="373"/>
      <c r="L608" s="370">
        <v>0</v>
      </c>
    </row>
    <row r="609" spans="1:12" hidden="1">
      <c r="A609" s="356">
        <v>41198</v>
      </c>
      <c r="B609" s="236" t="s">
        <v>1387</v>
      </c>
      <c r="C609" s="357">
        <v>35</v>
      </c>
      <c r="D609" s="356">
        <v>41233</v>
      </c>
      <c r="E609" s="360">
        <v>2</v>
      </c>
      <c r="F609" s="358">
        <v>0</v>
      </c>
      <c r="G609" s="358">
        <v>0</v>
      </c>
      <c r="H609" s="358">
        <v>0</v>
      </c>
      <c r="I609" s="358">
        <v>0</v>
      </c>
      <c r="J609" s="358">
        <v>0</v>
      </c>
      <c r="L609" s="357">
        <v>0</v>
      </c>
    </row>
    <row r="610" spans="1:12" hidden="1">
      <c r="A610" s="369">
        <v>41201</v>
      </c>
      <c r="B610" s="1781" t="s">
        <v>1388</v>
      </c>
      <c r="C610" s="370">
        <v>91</v>
      </c>
      <c r="D610" s="369">
        <v>41292</v>
      </c>
      <c r="E610" s="371">
        <v>3</v>
      </c>
      <c r="F610" s="372">
        <v>0</v>
      </c>
      <c r="G610" s="372">
        <v>0</v>
      </c>
      <c r="H610" s="372">
        <v>0</v>
      </c>
      <c r="I610" s="372">
        <v>0</v>
      </c>
      <c r="J610" s="372">
        <v>0</v>
      </c>
      <c r="K610" s="373"/>
      <c r="L610" s="370">
        <v>0</v>
      </c>
    </row>
    <row r="611" spans="1:12" hidden="1">
      <c r="A611" s="356">
        <v>41205</v>
      </c>
      <c r="B611" s="236" t="s">
        <v>1389</v>
      </c>
      <c r="C611" s="357">
        <v>182</v>
      </c>
      <c r="D611" s="356">
        <v>41387</v>
      </c>
      <c r="E611" s="360">
        <v>7</v>
      </c>
      <c r="F611" s="358">
        <v>0</v>
      </c>
      <c r="G611" s="358">
        <v>0</v>
      </c>
      <c r="H611" s="358">
        <v>0</v>
      </c>
      <c r="I611" s="358">
        <v>0</v>
      </c>
      <c r="J611" s="358">
        <v>0</v>
      </c>
      <c r="L611" s="357">
        <v>0</v>
      </c>
    </row>
    <row r="612" spans="1:12" hidden="1">
      <c r="A612" s="369">
        <v>41205</v>
      </c>
      <c r="B612" s="1781" t="s">
        <v>1390</v>
      </c>
      <c r="C612" s="370">
        <v>364</v>
      </c>
      <c r="D612" s="369">
        <v>41569</v>
      </c>
      <c r="E612" s="371">
        <v>22</v>
      </c>
      <c r="F612" s="372">
        <v>0</v>
      </c>
      <c r="G612" s="372">
        <v>0</v>
      </c>
      <c r="H612" s="372">
        <v>4</v>
      </c>
      <c r="I612" s="372">
        <v>4</v>
      </c>
      <c r="J612" s="372">
        <v>0</v>
      </c>
      <c r="K612" s="373"/>
      <c r="L612" s="370">
        <v>0</v>
      </c>
    </row>
    <row r="613" spans="1:12" hidden="1">
      <c r="A613" s="356">
        <v>41205</v>
      </c>
      <c r="B613" s="236" t="s">
        <v>1391</v>
      </c>
      <c r="C613" s="357">
        <v>1092</v>
      </c>
      <c r="D613" s="356">
        <v>42297</v>
      </c>
      <c r="E613" s="360">
        <v>2</v>
      </c>
      <c r="F613" s="358">
        <v>2.8969999999999998</v>
      </c>
      <c r="G613" s="358">
        <v>2</v>
      </c>
      <c r="H613" s="358">
        <v>5</v>
      </c>
      <c r="I613" s="358">
        <v>5</v>
      </c>
      <c r="J613" s="358">
        <v>5</v>
      </c>
      <c r="L613" s="357">
        <v>2</v>
      </c>
    </row>
    <row r="614" spans="1:12" hidden="1">
      <c r="A614" s="369">
        <v>41219</v>
      </c>
      <c r="B614" s="1781" t="s">
        <v>1396</v>
      </c>
      <c r="C614" s="370">
        <v>35</v>
      </c>
      <c r="D614" s="369">
        <v>41254</v>
      </c>
      <c r="E614" s="371">
        <v>2</v>
      </c>
      <c r="F614" s="372">
        <v>0</v>
      </c>
      <c r="G614" s="372">
        <v>0</v>
      </c>
      <c r="H614" s="372">
        <v>0</v>
      </c>
      <c r="I614" s="372">
        <v>0</v>
      </c>
      <c r="J614" s="372">
        <v>0</v>
      </c>
      <c r="K614" s="373"/>
      <c r="L614" s="370">
        <v>0</v>
      </c>
    </row>
    <row r="615" spans="1:12" hidden="1">
      <c r="A615" s="356">
        <v>41221</v>
      </c>
      <c r="B615" s="236" t="s">
        <v>1397</v>
      </c>
      <c r="C615" s="357">
        <v>364</v>
      </c>
      <c r="D615" s="356">
        <v>41585</v>
      </c>
      <c r="E615" s="360">
        <v>1</v>
      </c>
      <c r="F615" s="358">
        <v>0</v>
      </c>
      <c r="G615" s="358">
        <v>0</v>
      </c>
      <c r="H615" s="358">
        <v>0</v>
      </c>
      <c r="I615" s="358">
        <v>0</v>
      </c>
      <c r="J615" s="358">
        <v>0</v>
      </c>
      <c r="L615" s="357">
        <v>0</v>
      </c>
    </row>
    <row r="616" spans="1:12" hidden="1">
      <c r="A616" s="369">
        <v>41221</v>
      </c>
      <c r="B616" s="1781" t="s">
        <v>1398</v>
      </c>
      <c r="C616" s="370">
        <v>91</v>
      </c>
      <c r="D616" s="369">
        <v>41312</v>
      </c>
      <c r="E616" s="371">
        <v>4</v>
      </c>
      <c r="F616" s="372">
        <v>0</v>
      </c>
      <c r="G616" s="372">
        <v>0</v>
      </c>
      <c r="H616" s="372">
        <v>0</v>
      </c>
      <c r="I616" s="372">
        <v>0</v>
      </c>
      <c r="J616" s="372">
        <v>0</v>
      </c>
      <c r="K616" s="373"/>
      <c r="L616" s="370">
        <v>0</v>
      </c>
    </row>
    <row r="617" spans="1:12" hidden="1">
      <c r="A617" s="356">
        <v>41226</v>
      </c>
      <c r="B617" s="236" t="s">
        <v>1399</v>
      </c>
      <c r="C617" s="357">
        <v>182</v>
      </c>
      <c r="D617" s="356">
        <v>41408</v>
      </c>
      <c r="E617" s="360">
        <v>7</v>
      </c>
      <c r="F617" s="358">
        <v>0</v>
      </c>
      <c r="G617" s="358">
        <v>0</v>
      </c>
      <c r="H617" s="358">
        <v>0</v>
      </c>
      <c r="I617" s="358">
        <v>0</v>
      </c>
      <c r="J617" s="358">
        <v>0</v>
      </c>
      <c r="L617" s="357">
        <v>0</v>
      </c>
    </row>
    <row r="618" spans="1:12" hidden="1">
      <c r="A618" s="369">
        <v>41229</v>
      </c>
      <c r="B618" s="1781" t="s">
        <v>1400</v>
      </c>
      <c r="C618" s="370">
        <v>364</v>
      </c>
      <c r="D618" s="369">
        <v>41593</v>
      </c>
      <c r="E618" s="371">
        <v>22</v>
      </c>
      <c r="F618" s="372">
        <v>0</v>
      </c>
      <c r="G618" s="372">
        <v>0</v>
      </c>
      <c r="H618" s="372">
        <v>4</v>
      </c>
      <c r="I618" s="372">
        <v>4</v>
      </c>
      <c r="J618" s="372">
        <v>0</v>
      </c>
      <c r="K618" s="373"/>
      <c r="L618" s="370">
        <v>0</v>
      </c>
    </row>
    <row r="619" spans="1:12" hidden="1">
      <c r="A619" s="356">
        <v>41229</v>
      </c>
      <c r="B619" s="236" t="s">
        <v>1401</v>
      </c>
      <c r="C619" s="357">
        <v>1092</v>
      </c>
      <c r="D619" s="356">
        <v>42321</v>
      </c>
      <c r="E619" s="360">
        <v>1</v>
      </c>
      <c r="F619" s="358">
        <v>1.1830000000000001</v>
      </c>
      <c r="G619" s="358">
        <v>1</v>
      </c>
      <c r="H619" s="358">
        <v>5</v>
      </c>
      <c r="I619" s="358">
        <v>5</v>
      </c>
      <c r="J619" s="358">
        <v>5</v>
      </c>
      <c r="L619" s="357">
        <v>1</v>
      </c>
    </row>
    <row r="620" spans="1:12" hidden="1">
      <c r="A620" s="369">
        <v>41229</v>
      </c>
      <c r="B620" s="369" t="s">
        <v>1402</v>
      </c>
      <c r="C620" s="370">
        <v>728</v>
      </c>
      <c r="D620" s="369">
        <v>41957</v>
      </c>
      <c r="E620" s="371">
        <v>1</v>
      </c>
      <c r="F620" s="372">
        <v>1.1991000000000001</v>
      </c>
      <c r="G620" s="372">
        <v>1</v>
      </c>
      <c r="H620" s="372">
        <v>4.5</v>
      </c>
      <c r="I620" s="372">
        <v>4.5</v>
      </c>
      <c r="J620" s="372">
        <v>4.5</v>
      </c>
      <c r="K620" s="373"/>
      <c r="L620" s="370">
        <v>1</v>
      </c>
    </row>
    <row r="621" spans="1:12" hidden="1">
      <c r="A621" s="356">
        <v>41233</v>
      </c>
      <c r="B621" s="236" t="s">
        <v>1403</v>
      </c>
      <c r="C621" s="357">
        <v>35</v>
      </c>
      <c r="D621" s="356">
        <v>41268</v>
      </c>
      <c r="E621" s="360">
        <v>3</v>
      </c>
      <c r="F621" s="358">
        <v>0</v>
      </c>
      <c r="G621" s="358">
        <v>0</v>
      </c>
      <c r="H621" s="358">
        <v>0</v>
      </c>
      <c r="I621" s="358">
        <v>0</v>
      </c>
      <c r="J621" s="358">
        <v>0</v>
      </c>
      <c r="L621" s="357">
        <v>0</v>
      </c>
    </row>
    <row r="622" spans="1:12" hidden="1">
      <c r="A622" s="369">
        <v>41236</v>
      </c>
      <c r="B622" s="1781" t="s">
        <v>1404</v>
      </c>
      <c r="C622" s="370">
        <v>91</v>
      </c>
      <c r="D622" s="369">
        <v>41327</v>
      </c>
      <c r="E622" s="371">
        <v>3</v>
      </c>
      <c r="F622" s="372">
        <v>0</v>
      </c>
      <c r="G622" s="372">
        <v>0</v>
      </c>
      <c r="H622" s="372">
        <v>0</v>
      </c>
      <c r="I622" s="372">
        <v>0</v>
      </c>
      <c r="J622" s="372">
        <v>0</v>
      </c>
      <c r="K622" s="373"/>
      <c r="L622" s="370">
        <v>0</v>
      </c>
    </row>
    <row r="623" spans="1:12" hidden="1">
      <c r="A623" s="356">
        <v>41240</v>
      </c>
      <c r="B623" s="236" t="s">
        <v>1405</v>
      </c>
      <c r="C623" s="357">
        <v>182</v>
      </c>
      <c r="D623" s="356">
        <v>41422</v>
      </c>
      <c r="E623" s="360">
        <v>7</v>
      </c>
      <c r="F623" s="358">
        <v>0</v>
      </c>
      <c r="G623" s="358">
        <v>0</v>
      </c>
      <c r="H623" s="358">
        <v>0</v>
      </c>
      <c r="I623" s="358">
        <v>0</v>
      </c>
      <c r="J623" s="358">
        <v>0</v>
      </c>
      <c r="L623" s="357">
        <v>0</v>
      </c>
    </row>
    <row r="624" spans="1:12" hidden="1">
      <c r="A624" s="369">
        <v>41243</v>
      </c>
      <c r="B624" s="1781" t="s">
        <v>1406</v>
      </c>
      <c r="C624" s="370">
        <v>1092</v>
      </c>
      <c r="D624" s="369">
        <v>42335</v>
      </c>
      <c r="E624" s="371">
        <v>1</v>
      </c>
      <c r="F624" s="372">
        <v>2.6941000000000002</v>
      </c>
      <c r="G624" s="372">
        <v>1</v>
      </c>
      <c r="H624" s="372">
        <v>5</v>
      </c>
      <c r="I624" s="372">
        <v>5</v>
      </c>
      <c r="J624" s="372">
        <v>5</v>
      </c>
      <c r="K624" s="373"/>
      <c r="L624" s="370">
        <v>2</v>
      </c>
    </row>
    <row r="625" spans="1:12" hidden="1">
      <c r="A625" s="356">
        <v>41243</v>
      </c>
      <c r="B625" s="236" t="s">
        <v>1407</v>
      </c>
      <c r="C625" s="357">
        <v>364</v>
      </c>
      <c r="D625" s="356">
        <v>41607</v>
      </c>
      <c r="E625" s="360">
        <v>22</v>
      </c>
      <c r="F625" s="358">
        <v>5</v>
      </c>
      <c r="G625" s="358">
        <v>5</v>
      </c>
      <c r="H625" s="358">
        <v>4</v>
      </c>
      <c r="I625" s="358">
        <v>4</v>
      </c>
      <c r="J625" s="358">
        <v>4</v>
      </c>
      <c r="L625" s="357">
        <v>1</v>
      </c>
    </row>
    <row r="626" spans="1:12" hidden="1">
      <c r="A626" s="369">
        <v>41247</v>
      </c>
      <c r="B626" s="1781" t="s">
        <v>1412</v>
      </c>
      <c r="C626" s="370">
        <v>35</v>
      </c>
      <c r="D626" s="369">
        <v>41282</v>
      </c>
      <c r="E626" s="371">
        <v>2</v>
      </c>
      <c r="F626" s="372">
        <v>0</v>
      </c>
      <c r="G626" s="372">
        <v>0</v>
      </c>
      <c r="H626" s="372">
        <v>0</v>
      </c>
      <c r="I626" s="372">
        <v>0</v>
      </c>
      <c r="J626" s="372">
        <v>0</v>
      </c>
      <c r="K626" s="373"/>
      <c r="L626" s="370">
        <v>0</v>
      </c>
    </row>
    <row r="627" spans="1:12" hidden="1">
      <c r="A627" s="356">
        <v>41250</v>
      </c>
      <c r="B627" s="236" t="s">
        <v>1413</v>
      </c>
      <c r="C627" s="357">
        <v>91</v>
      </c>
      <c r="D627" s="356">
        <v>41341</v>
      </c>
      <c r="E627" s="360">
        <v>4</v>
      </c>
      <c r="F627" s="358">
        <v>4</v>
      </c>
      <c r="G627" s="358">
        <v>4</v>
      </c>
      <c r="H627" s="358">
        <v>2.46</v>
      </c>
      <c r="I627" s="358">
        <v>2.46</v>
      </c>
      <c r="J627" s="358">
        <v>2.46</v>
      </c>
      <c r="L627" s="357">
        <v>2</v>
      </c>
    </row>
    <row r="628" spans="1:12" hidden="1">
      <c r="A628" s="369">
        <v>41257</v>
      </c>
      <c r="B628" s="1781" t="s">
        <v>1414</v>
      </c>
      <c r="C628" s="370">
        <v>364</v>
      </c>
      <c r="D628" s="369">
        <v>41621</v>
      </c>
      <c r="E628" s="371">
        <v>20</v>
      </c>
      <c r="F628" s="372">
        <v>19.805199999999999</v>
      </c>
      <c r="G628" s="372">
        <v>19.805199999999999</v>
      </c>
      <c r="H628" s="372">
        <v>4</v>
      </c>
      <c r="I628" s="372">
        <v>4</v>
      </c>
      <c r="J628" s="372">
        <v>4</v>
      </c>
      <c r="K628" s="373"/>
      <c r="L628" s="370">
        <v>4</v>
      </c>
    </row>
    <row r="629" spans="1:12" hidden="1">
      <c r="A629" s="356">
        <v>41257</v>
      </c>
      <c r="B629" s="236" t="s">
        <v>1415</v>
      </c>
      <c r="C629" s="357">
        <v>728</v>
      </c>
      <c r="D629" s="356">
        <v>41985</v>
      </c>
      <c r="E629" s="360">
        <v>1</v>
      </c>
      <c r="F629" s="358">
        <v>1</v>
      </c>
      <c r="G629" s="358">
        <v>1</v>
      </c>
      <c r="H629" s="358">
        <v>4.5</v>
      </c>
      <c r="I629" s="358">
        <v>4.5</v>
      </c>
      <c r="J629" s="358">
        <v>4.5</v>
      </c>
      <c r="L629" s="357">
        <v>2</v>
      </c>
    </row>
    <row r="630" spans="1:12" hidden="1">
      <c r="A630" s="369">
        <v>41264</v>
      </c>
      <c r="B630" s="1781" t="s">
        <v>1416</v>
      </c>
      <c r="C630" s="370">
        <v>91</v>
      </c>
      <c r="D630" s="369">
        <v>41355</v>
      </c>
      <c r="E630" s="371">
        <v>4</v>
      </c>
      <c r="F630" s="372">
        <v>0.80479999999999996</v>
      </c>
      <c r="G630" s="372">
        <v>0.80479999999999996</v>
      </c>
      <c r="H630" s="372">
        <v>2.5</v>
      </c>
      <c r="I630" s="372">
        <v>2.5</v>
      </c>
      <c r="J630" s="372">
        <v>2.5</v>
      </c>
      <c r="K630" s="373"/>
      <c r="L630" s="370">
        <v>3</v>
      </c>
    </row>
    <row r="631" spans="1:12" hidden="1">
      <c r="A631" s="356">
        <v>41268</v>
      </c>
      <c r="B631" s="236" t="s">
        <v>1417</v>
      </c>
      <c r="C631" s="357">
        <v>1092</v>
      </c>
      <c r="D631" s="356">
        <v>42360</v>
      </c>
      <c r="E631" s="360">
        <v>1</v>
      </c>
      <c r="F631" s="358">
        <v>0.05</v>
      </c>
      <c r="G631" s="358">
        <v>0.5</v>
      </c>
      <c r="H631" s="358">
        <v>5</v>
      </c>
      <c r="I631" s="358">
        <v>5</v>
      </c>
      <c r="J631" s="358">
        <v>5</v>
      </c>
      <c r="L631" s="357">
        <v>1</v>
      </c>
    </row>
    <row r="632" spans="1:12" hidden="1">
      <c r="A632" s="369">
        <v>41268</v>
      </c>
      <c r="B632" s="1781" t="s">
        <v>1418</v>
      </c>
      <c r="C632" s="370">
        <v>364</v>
      </c>
      <c r="D632" s="369">
        <v>41632</v>
      </c>
      <c r="E632" s="371">
        <v>22</v>
      </c>
      <c r="F632" s="372">
        <v>16.121700000000001</v>
      </c>
      <c r="G632" s="372">
        <v>16.121700000000001</v>
      </c>
      <c r="H632" s="372">
        <v>4</v>
      </c>
      <c r="I632" s="372">
        <v>4</v>
      </c>
      <c r="J632" s="372">
        <v>4</v>
      </c>
      <c r="K632" s="373"/>
      <c r="L632" s="370">
        <v>1</v>
      </c>
    </row>
    <row r="633" spans="1:12" hidden="1">
      <c r="A633" s="356">
        <v>41268</v>
      </c>
      <c r="B633" s="236" t="s">
        <v>1419</v>
      </c>
      <c r="C633" s="357">
        <v>182</v>
      </c>
      <c r="D633" s="356">
        <v>41450</v>
      </c>
      <c r="E633" s="360">
        <v>7</v>
      </c>
      <c r="F633" s="358">
        <v>1.0139</v>
      </c>
      <c r="G633" s="358">
        <v>1.0139</v>
      </c>
      <c r="H633" s="358">
        <v>2.97</v>
      </c>
      <c r="I633" s="358">
        <v>2.97</v>
      </c>
      <c r="J633" s="358">
        <v>2.97</v>
      </c>
      <c r="L633" s="357">
        <v>1</v>
      </c>
    </row>
    <row r="634" spans="1:12" hidden="1">
      <c r="A634" s="369"/>
      <c r="B634" s="1781"/>
      <c r="C634" s="370"/>
      <c r="D634" s="369"/>
      <c r="E634" s="371"/>
      <c r="F634" s="372"/>
      <c r="G634" s="372"/>
      <c r="H634" s="372">
        <v>0</v>
      </c>
      <c r="I634" s="372">
        <v>0</v>
      </c>
      <c r="J634" s="372">
        <v>0</v>
      </c>
      <c r="K634" s="373"/>
      <c r="L634" s="370"/>
    </row>
    <row r="635" spans="1:12" hidden="1">
      <c r="A635" s="356">
        <v>41397</v>
      </c>
      <c r="B635" s="236" t="s">
        <v>1440</v>
      </c>
      <c r="C635" s="357">
        <v>364</v>
      </c>
      <c r="D635" s="356">
        <v>41761</v>
      </c>
      <c r="E635" s="360">
        <v>2</v>
      </c>
      <c r="F635" s="358">
        <v>2</v>
      </c>
      <c r="G635" s="358">
        <v>2</v>
      </c>
      <c r="H635" s="358">
        <v>3.25</v>
      </c>
      <c r="I635" s="358">
        <v>3.25</v>
      </c>
      <c r="J635" s="358">
        <v>3.25</v>
      </c>
      <c r="L635" s="357">
        <v>1</v>
      </c>
    </row>
    <row r="636" spans="1:12" hidden="1">
      <c r="A636" s="369">
        <v>41397</v>
      </c>
      <c r="B636" s="1781" t="s">
        <v>1441</v>
      </c>
      <c r="C636" s="370">
        <v>728</v>
      </c>
      <c r="D636" s="369">
        <v>42125</v>
      </c>
      <c r="E636" s="371">
        <v>2</v>
      </c>
      <c r="F636" s="372">
        <v>4.3924000000000003</v>
      </c>
      <c r="G636" s="372">
        <v>2</v>
      </c>
      <c r="H636" s="372">
        <v>3.75</v>
      </c>
      <c r="I636" s="372">
        <v>3.75</v>
      </c>
      <c r="J636" s="372">
        <v>3.75</v>
      </c>
      <c r="K636" s="373"/>
      <c r="L636" s="370">
        <v>2</v>
      </c>
    </row>
    <row r="637" spans="1:12" hidden="1">
      <c r="A637" s="356">
        <v>41397</v>
      </c>
      <c r="B637" s="236" t="s">
        <v>1442</v>
      </c>
      <c r="C637" s="357">
        <v>1092</v>
      </c>
      <c r="D637" s="356">
        <v>42489</v>
      </c>
      <c r="E637" s="360">
        <v>3</v>
      </c>
      <c r="F637" s="358">
        <v>6.5869</v>
      </c>
      <c r="G637" s="358">
        <v>3</v>
      </c>
      <c r="H637" s="358">
        <v>4.25</v>
      </c>
      <c r="I637" s="358">
        <v>4.25</v>
      </c>
      <c r="J637" s="358">
        <v>4.25</v>
      </c>
      <c r="L637" s="357">
        <v>2</v>
      </c>
    </row>
    <row r="638" spans="1:12" hidden="1">
      <c r="A638" s="369">
        <v>41397</v>
      </c>
      <c r="B638" s="1781" t="s">
        <v>1443</v>
      </c>
      <c r="C638" s="370">
        <v>182</v>
      </c>
      <c r="D638" s="369">
        <v>41579</v>
      </c>
      <c r="E638" s="371">
        <v>1</v>
      </c>
      <c r="F638" s="372">
        <v>0.29759999999999998</v>
      </c>
      <c r="G638" s="372">
        <v>0.29759999999999998</v>
      </c>
      <c r="H638" s="372">
        <v>2.0099999999999998</v>
      </c>
      <c r="I638" s="372">
        <v>2.0099999999999998</v>
      </c>
      <c r="J638" s="372">
        <v>2.0099999999999998</v>
      </c>
      <c r="K638" s="373"/>
      <c r="L638" s="370">
        <v>1</v>
      </c>
    </row>
    <row r="639" spans="1:12" hidden="1">
      <c r="A639" s="356">
        <v>41401</v>
      </c>
      <c r="B639" s="236" t="s">
        <v>1444</v>
      </c>
      <c r="C639" s="357">
        <v>91</v>
      </c>
      <c r="D639" s="356">
        <v>41492</v>
      </c>
      <c r="E639" s="360">
        <v>3</v>
      </c>
      <c r="F639" s="358">
        <v>2.5099999999999998</v>
      </c>
      <c r="G639" s="358">
        <v>2.5099999999999998</v>
      </c>
      <c r="H639" s="358">
        <v>1.8900000000000001</v>
      </c>
      <c r="I639" s="358">
        <v>1.8900000000000001</v>
      </c>
      <c r="J639" s="358">
        <v>1.8900000000000001</v>
      </c>
      <c r="L639" s="357">
        <v>1</v>
      </c>
    </row>
    <row r="640" spans="1:12" hidden="1">
      <c r="A640" s="369">
        <v>41401</v>
      </c>
      <c r="B640" s="1781" t="s">
        <v>1445</v>
      </c>
      <c r="C640" s="370">
        <v>35</v>
      </c>
      <c r="D640" s="369">
        <v>41436</v>
      </c>
      <c r="E640" s="371">
        <v>3</v>
      </c>
      <c r="F640" s="372">
        <v>0</v>
      </c>
      <c r="G640" s="372">
        <v>0</v>
      </c>
      <c r="H640" s="372">
        <v>0</v>
      </c>
      <c r="I640" s="372">
        <v>0</v>
      </c>
      <c r="J640" s="372">
        <v>0</v>
      </c>
      <c r="K640" s="373"/>
      <c r="L640" s="370">
        <v>0</v>
      </c>
    </row>
    <row r="641" spans="1:12" hidden="1">
      <c r="A641" s="356">
        <v>41404</v>
      </c>
      <c r="B641" s="236" t="s">
        <v>1446</v>
      </c>
      <c r="C641" s="357">
        <v>364</v>
      </c>
      <c r="D641" s="356">
        <v>41768</v>
      </c>
      <c r="E641" s="360">
        <v>1</v>
      </c>
      <c r="F641" s="358">
        <v>0</v>
      </c>
      <c r="G641" s="358">
        <v>0</v>
      </c>
      <c r="H641" s="358">
        <v>0</v>
      </c>
      <c r="I641" s="358">
        <v>0</v>
      </c>
      <c r="J641" s="358">
        <v>0</v>
      </c>
      <c r="L641" s="357">
        <v>0</v>
      </c>
    </row>
    <row r="642" spans="1:12" hidden="1">
      <c r="A642" s="369">
        <v>41408</v>
      </c>
      <c r="B642" s="1781" t="s">
        <v>1447</v>
      </c>
      <c r="C642" s="370">
        <v>364</v>
      </c>
      <c r="D642" s="369">
        <v>41772</v>
      </c>
      <c r="E642" s="371">
        <v>10</v>
      </c>
      <c r="F642" s="372">
        <v>0</v>
      </c>
      <c r="G642" s="372">
        <v>0</v>
      </c>
      <c r="H642" s="372">
        <v>3.25</v>
      </c>
      <c r="I642" s="372">
        <v>3.25</v>
      </c>
      <c r="J642" s="372">
        <v>0</v>
      </c>
      <c r="K642" s="373"/>
      <c r="L642" s="370">
        <v>0</v>
      </c>
    </row>
    <row r="643" spans="1:12" hidden="1">
      <c r="A643" s="356">
        <v>41408</v>
      </c>
      <c r="B643" s="236" t="s">
        <v>1448</v>
      </c>
      <c r="C643" s="357">
        <v>182</v>
      </c>
      <c r="D643" s="356">
        <v>41590</v>
      </c>
      <c r="E643" s="360">
        <v>3</v>
      </c>
      <c r="F643" s="358">
        <v>0</v>
      </c>
      <c r="G643" s="358">
        <v>0</v>
      </c>
      <c r="H643" s="358">
        <v>0</v>
      </c>
      <c r="I643" s="358">
        <v>0</v>
      </c>
      <c r="J643" s="358">
        <v>0</v>
      </c>
      <c r="L643" s="357">
        <v>0</v>
      </c>
    </row>
    <row r="644" spans="1:12" hidden="1">
      <c r="A644" s="369">
        <v>41411</v>
      </c>
      <c r="B644" s="1781" t="s">
        <v>1449</v>
      </c>
      <c r="C644" s="370">
        <v>728</v>
      </c>
      <c r="D644" s="369">
        <v>42139</v>
      </c>
      <c r="E644" s="371">
        <v>3</v>
      </c>
      <c r="F644" s="372">
        <v>2.399</v>
      </c>
      <c r="G644" s="372">
        <v>2.399</v>
      </c>
      <c r="H644" s="372">
        <v>3.75</v>
      </c>
      <c r="I644" s="372">
        <v>3.75</v>
      </c>
      <c r="J644" s="372">
        <v>3.75</v>
      </c>
      <c r="K644" s="373"/>
      <c r="L644" s="370">
        <v>1</v>
      </c>
    </row>
    <row r="645" spans="1:12" hidden="1">
      <c r="A645" s="356">
        <v>41411</v>
      </c>
      <c r="B645" s="236" t="s">
        <v>1450</v>
      </c>
      <c r="C645" s="357">
        <v>1092</v>
      </c>
      <c r="D645" s="356">
        <v>42503</v>
      </c>
      <c r="E645" s="360">
        <v>8</v>
      </c>
      <c r="F645" s="358">
        <v>9.9964999999999993</v>
      </c>
      <c r="G645" s="358">
        <v>8</v>
      </c>
      <c r="H645" s="358">
        <v>4.25</v>
      </c>
      <c r="I645" s="358">
        <v>4.25</v>
      </c>
      <c r="J645" s="358">
        <v>4.25</v>
      </c>
      <c r="L645" s="357">
        <v>2</v>
      </c>
    </row>
    <row r="646" spans="1:12" hidden="1">
      <c r="A646" s="369">
        <v>41415</v>
      </c>
      <c r="B646" s="1781" t="s">
        <v>1451</v>
      </c>
      <c r="C646" s="370">
        <v>35</v>
      </c>
      <c r="D646" s="369">
        <v>41450</v>
      </c>
      <c r="E646" s="371">
        <v>3</v>
      </c>
      <c r="F646" s="372">
        <v>0</v>
      </c>
      <c r="G646" s="372">
        <v>0</v>
      </c>
      <c r="H646" s="372">
        <v>0</v>
      </c>
      <c r="I646" s="372">
        <v>0</v>
      </c>
      <c r="J646" s="372">
        <v>0</v>
      </c>
      <c r="K646" s="373"/>
      <c r="L646" s="370">
        <v>0</v>
      </c>
    </row>
    <row r="647" spans="1:12" hidden="1">
      <c r="A647" s="356">
        <v>41415</v>
      </c>
      <c r="B647" s="236" t="s">
        <v>1452</v>
      </c>
      <c r="C647" s="357">
        <v>91</v>
      </c>
      <c r="D647" s="356">
        <v>41506</v>
      </c>
      <c r="E647" s="360">
        <v>3</v>
      </c>
      <c r="F647" s="358">
        <v>1.004</v>
      </c>
      <c r="G647" s="358">
        <v>1.004</v>
      </c>
      <c r="H647" s="358">
        <v>1.8900000000000001</v>
      </c>
      <c r="I647" s="358">
        <v>1.8900000000000001</v>
      </c>
      <c r="J647" s="358">
        <v>1.8900000000000001</v>
      </c>
      <c r="L647" s="357">
        <v>1</v>
      </c>
    </row>
    <row r="648" spans="1:12" hidden="1">
      <c r="A648" s="369">
        <v>41418</v>
      </c>
      <c r="B648" s="1781" t="s">
        <v>1453</v>
      </c>
      <c r="C648" s="370">
        <v>364</v>
      </c>
      <c r="D648" s="369">
        <v>41782</v>
      </c>
      <c r="E648" s="371">
        <v>2</v>
      </c>
      <c r="F648" s="372">
        <v>0</v>
      </c>
      <c r="G648" s="372">
        <v>0</v>
      </c>
      <c r="H648" s="372">
        <v>0</v>
      </c>
      <c r="I648" s="372">
        <v>0</v>
      </c>
      <c r="J648" s="372">
        <v>0</v>
      </c>
      <c r="K648" s="373"/>
      <c r="L648" s="370">
        <v>0</v>
      </c>
    </row>
    <row r="649" spans="1:12" hidden="1">
      <c r="A649" s="356">
        <v>41425</v>
      </c>
      <c r="B649" s="236" t="s">
        <v>1454</v>
      </c>
      <c r="C649" s="357">
        <v>1092</v>
      </c>
      <c r="D649" s="356">
        <v>42517</v>
      </c>
      <c r="E649" s="360">
        <v>7</v>
      </c>
      <c r="F649" s="358">
        <v>7.5674999999999999</v>
      </c>
      <c r="G649" s="358">
        <v>7</v>
      </c>
      <c r="H649" s="358">
        <v>4.25</v>
      </c>
      <c r="I649" s="358">
        <v>4.25</v>
      </c>
      <c r="J649" s="358">
        <v>4.25</v>
      </c>
      <c r="L649" s="357">
        <v>2</v>
      </c>
    </row>
    <row r="650" spans="1:12" hidden="1">
      <c r="A650" s="369">
        <v>41425</v>
      </c>
      <c r="B650" s="1781" t="s">
        <v>1455</v>
      </c>
      <c r="C650" s="370">
        <v>728</v>
      </c>
      <c r="D650" s="369">
        <v>42153</v>
      </c>
      <c r="E650" s="371">
        <v>3</v>
      </c>
      <c r="F650" s="372">
        <v>0</v>
      </c>
      <c r="G650" s="372">
        <v>0</v>
      </c>
      <c r="H650" s="372">
        <v>3.75</v>
      </c>
      <c r="I650" s="372">
        <v>3.75</v>
      </c>
      <c r="J650" s="372">
        <v>0</v>
      </c>
      <c r="K650" s="373"/>
      <c r="L650" s="370">
        <v>0</v>
      </c>
    </row>
    <row r="651" spans="1:12" hidden="1">
      <c r="A651" s="356">
        <v>41425</v>
      </c>
      <c r="B651" s="236" t="s">
        <v>1456</v>
      </c>
      <c r="C651" s="357">
        <v>364</v>
      </c>
      <c r="D651" s="356">
        <v>41789</v>
      </c>
      <c r="E651" s="360">
        <v>12</v>
      </c>
      <c r="F651" s="358">
        <v>0.30020000000000002</v>
      </c>
      <c r="G651" s="358">
        <v>0.30020000000000002</v>
      </c>
      <c r="H651" s="358">
        <v>3.25</v>
      </c>
      <c r="I651" s="358">
        <v>3.25</v>
      </c>
      <c r="J651" s="358">
        <v>3.25</v>
      </c>
      <c r="L651" s="357">
        <v>1</v>
      </c>
    </row>
    <row r="652" spans="1:12" hidden="1">
      <c r="A652" s="369">
        <v>41425</v>
      </c>
      <c r="B652" s="1781" t="s">
        <v>1457</v>
      </c>
      <c r="C652" s="370">
        <v>182</v>
      </c>
      <c r="D652" s="369">
        <v>41607</v>
      </c>
      <c r="E652" s="371">
        <v>3</v>
      </c>
      <c r="F652" s="372">
        <v>0</v>
      </c>
      <c r="G652" s="372">
        <v>0</v>
      </c>
      <c r="H652" s="372">
        <v>0</v>
      </c>
      <c r="I652" s="372">
        <v>0</v>
      </c>
      <c r="J652" s="372">
        <v>0</v>
      </c>
      <c r="K652" s="373"/>
      <c r="L652" s="370">
        <v>0</v>
      </c>
    </row>
    <row r="653" spans="1:12" hidden="1">
      <c r="A653" s="356">
        <v>41429</v>
      </c>
      <c r="B653" s="236" t="s">
        <v>1494</v>
      </c>
      <c r="C653" s="357">
        <v>35</v>
      </c>
      <c r="D653" s="356">
        <v>41464</v>
      </c>
      <c r="E653" s="360">
        <v>3</v>
      </c>
      <c r="F653" s="358">
        <v>0</v>
      </c>
      <c r="G653" s="358">
        <v>0</v>
      </c>
      <c r="H653" s="358">
        <v>0</v>
      </c>
      <c r="I653" s="358">
        <v>0</v>
      </c>
      <c r="J653" s="358">
        <v>0</v>
      </c>
      <c r="L653" s="357">
        <v>0</v>
      </c>
    </row>
    <row r="654" spans="1:12" hidden="1">
      <c r="A654" s="369">
        <v>41429</v>
      </c>
      <c r="B654" s="1781" t="s">
        <v>1495</v>
      </c>
      <c r="C654" s="370">
        <v>91</v>
      </c>
      <c r="D654" s="369">
        <v>41520</v>
      </c>
      <c r="E654" s="371">
        <v>3</v>
      </c>
      <c r="F654" s="372">
        <v>0.502</v>
      </c>
      <c r="G654" s="372">
        <v>0.502</v>
      </c>
      <c r="H654" s="372">
        <v>1.8900000000000001</v>
      </c>
      <c r="I654" s="372">
        <v>1.8900000000000001</v>
      </c>
      <c r="J654" s="372">
        <v>1.8900000000000001</v>
      </c>
      <c r="K654" s="373"/>
      <c r="L654" s="370">
        <v>1</v>
      </c>
    </row>
    <row r="655" spans="1:12" hidden="1">
      <c r="A655" s="356">
        <v>41432</v>
      </c>
      <c r="B655" s="236" t="s">
        <v>1496</v>
      </c>
      <c r="C655" s="357">
        <v>364</v>
      </c>
      <c r="D655" s="356">
        <v>41796</v>
      </c>
      <c r="E655" s="360">
        <v>1</v>
      </c>
      <c r="F655" s="358">
        <v>0</v>
      </c>
      <c r="G655" s="358">
        <v>0</v>
      </c>
      <c r="H655" s="358">
        <v>0</v>
      </c>
      <c r="I655" s="358">
        <v>0</v>
      </c>
      <c r="J655" s="358">
        <v>0</v>
      </c>
      <c r="L655" s="357">
        <v>0</v>
      </c>
    </row>
    <row r="656" spans="1:12" hidden="1">
      <c r="A656" s="369">
        <v>41436</v>
      </c>
      <c r="B656" s="1781" t="s">
        <v>1497</v>
      </c>
      <c r="C656" s="370">
        <v>182</v>
      </c>
      <c r="D656" s="369">
        <v>41618</v>
      </c>
      <c r="E656" s="371">
        <v>3</v>
      </c>
      <c r="F656" s="372">
        <v>0</v>
      </c>
      <c r="G656" s="372">
        <v>0</v>
      </c>
      <c r="H656" s="372">
        <v>0</v>
      </c>
      <c r="I656" s="372">
        <v>0</v>
      </c>
      <c r="J656" s="372">
        <v>0</v>
      </c>
      <c r="K656" s="373"/>
      <c r="L656" s="370">
        <v>0</v>
      </c>
    </row>
    <row r="657" spans="1:12" hidden="1">
      <c r="A657" s="356">
        <v>41436</v>
      </c>
      <c r="B657" s="236" t="s">
        <v>1498</v>
      </c>
      <c r="C657" s="357">
        <v>364</v>
      </c>
      <c r="D657" s="356">
        <v>41800</v>
      </c>
      <c r="E657" s="360">
        <v>10</v>
      </c>
      <c r="F657" s="358">
        <v>0.75080000000000002</v>
      </c>
      <c r="G657" s="358">
        <v>0.75080000000000002</v>
      </c>
      <c r="H657" s="358">
        <v>3.25</v>
      </c>
      <c r="I657" s="358">
        <v>3.25</v>
      </c>
      <c r="J657" s="358">
        <v>3.25</v>
      </c>
      <c r="L657" s="357">
        <v>1</v>
      </c>
    </row>
    <row r="658" spans="1:12" hidden="1">
      <c r="A658" s="369">
        <v>41439</v>
      </c>
      <c r="B658" s="1781" t="s">
        <v>1499</v>
      </c>
      <c r="C658" s="370">
        <v>1092</v>
      </c>
      <c r="D658" s="369">
        <v>42531</v>
      </c>
      <c r="E658" s="371">
        <v>8</v>
      </c>
      <c r="F658" s="372">
        <v>9.5000999999999998</v>
      </c>
      <c r="G658" s="372">
        <v>8</v>
      </c>
      <c r="H658" s="372">
        <v>4.25</v>
      </c>
      <c r="I658" s="372">
        <v>4.25</v>
      </c>
      <c r="J658" s="372">
        <v>4.25</v>
      </c>
      <c r="K658" s="373"/>
      <c r="L658" s="370">
        <v>2</v>
      </c>
    </row>
    <row r="659" spans="1:12" hidden="1">
      <c r="A659" s="356">
        <v>41439</v>
      </c>
      <c r="B659" s="236" t="s">
        <v>1500</v>
      </c>
      <c r="C659" s="357">
        <v>728</v>
      </c>
      <c r="D659" s="356">
        <v>42167</v>
      </c>
      <c r="E659" s="360">
        <v>3</v>
      </c>
      <c r="F659" s="358">
        <v>0</v>
      </c>
      <c r="G659" s="358">
        <v>0</v>
      </c>
      <c r="H659" s="358">
        <v>3.75</v>
      </c>
      <c r="I659" s="358">
        <v>3.75</v>
      </c>
      <c r="J659" s="358">
        <v>0</v>
      </c>
      <c r="L659" s="357">
        <v>0</v>
      </c>
    </row>
    <row r="660" spans="1:12" hidden="1">
      <c r="A660" s="369">
        <v>41443</v>
      </c>
      <c r="B660" s="1781" t="s">
        <v>1501</v>
      </c>
      <c r="C660" s="370">
        <v>35</v>
      </c>
      <c r="D660" s="369">
        <v>41478</v>
      </c>
      <c r="E660" s="371">
        <v>3</v>
      </c>
      <c r="F660" s="372">
        <v>0</v>
      </c>
      <c r="G660" s="372">
        <v>0</v>
      </c>
      <c r="H660" s="372">
        <v>0</v>
      </c>
      <c r="I660" s="372">
        <v>0</v>
      </c>
      <c r="J660" s="372">
        <v>0</v>
      </c>
      <c r="K660" s="373"/>
      <c r="L660" s="370">
        <v>0</v>
      </c>
    </row>
    <row r="661" spans="1:12" hidden="1">
      <c r="A661" s="356">
        <v>41446</v>
      </c>
      <c r="B661" s="236" t="s">
        <v>1502</v>
      </c>
      <c r="C661" s="357">
        <v>91</v>
      </c>
      <c r="D661" s="356">
        <v>41537</v>
      </c>
      <c r="E661" s="360">
        <v>3</v>
      </c>
      <c r="F661" s="358">
        <v>0</v>
      </c>
      <c r="G661" s="358">
        <v>0</v>
      </c>
      <c r="H661" s="358">
        <v>0</v>
      </c>
      <c r="I661" s="358">
        <v>0</v>
      </c>
      <c r="J661" s="358">
        <v>0</v>
      </c>
      <c r="L661" s="357">
        <v>0</v>
      </c>
    </row>
    <row r="662" spans="1:12" hidden="1">
      <c r="A662" s="369">
        <v>41446</v>
      </c>
      <c r="B662" s="1781" t="s">
        <v>1503</v>
      </c>
      <c r="C662" s="370">
        <v>364</v>
      </c>
      <c r="D662" s="369">
        <v>41810</v>
      </c>
      <c r="E662" s="371">
        <v>1</v>
      </c>
      <c r="F662" s="372">
        <v>0</v>
      </c>
      <c r="G662" s="372">
        <v>0</v>
      </c>
      <c r="H662" s="372">
        <v>0</v>
      </c>
      <c r="I662" s="372">
        <v>0</v>
      </c>
      <c r="J662" s="372">
        <v>0</v>
      </c>
      <c r="K662" s="373"/>
      <c r="L662" s="370">
        <v>0</v>
      </c>
    </row>
    <row r="663" spans="1:12" hidden="1">
      <c r="A663" s="356">
        <v>41450</v>
      </c>
      <c r="B663" s="236" t="s">
        <v>1504</v>
      </c>
      <c r="C663" s="357">
        <v>364</v>
      </c>
      <c r="D663" s="356">
        <v>41814</v>
      </c>
      <c r="E663" s="360">
        <v>12</v>
      </c>
      <c r="F663" s="358">
        <v>0</v>
      </c>
      <c r="G663" s="358">
        <v>0</v>
      </c>
      <c r="H663" s="358">
        <v>3.25</v>
      </c>
      <c r="I663" s="358">
        <v>3.25</v>
      </c>
      <c r="J663" s="358">
        <v>0</v>
      </c>
      <c r="L663" s="357">
        <v>0</v>
      </c>
    </row>
    <row r="664" spans="1:12" hidden="1">
      <c r="A664" s="369">
        <v>41450</v>
      </c>
      <c r="B664" s="1781" t="s">
        <v>1505</v>
      </c>
      <c r="C664" s="370">
        <v>182</v>
      </c>
      <c r="D664" s="369">
        <v>41632</v>
      </c>
      <c r="E664" s="371">
        <v>3</v>
      </c>
      <c r="F664" s="372">
        <v>0.35420000000000001</v>
      </c>
      <c r="G664" s="372">
        <v>0.35420000000000001</v>
      </c>
      <c r="H664" s="372">
        <v>2</v>
      </c>
      <c r="I664" s="372">
        <v>2</v>
      </c>
      <c r="J664" s="372">
        <v>2</v>
      </c>
      <c r="K664" s="373"/>
      <c r="L664" s="370">
        <v>1</v>
      </c>
    </row>
    <row r="665" spans="1:12" hidden="1">
      <c r="A665" s="356">
        <v>41453</v>
      </c>
      <c r="B665" s="236" t="s">
        <v>1506</v>
      </c>
      <c r="C665" s="357">
        <v>1092</v>
      </c>
      <c r="D665" s="356">
        <v>42545</v>
      </c>
      <c r="E665" s="360">
        <v>7</v>
      </c>
      <c r="F665" s="358">
        <v>6.4809000000000001</v>
      </c>
      <c r="G665" s="358">
        <v>6.4809000000000001</v>
      </c>
      <c r="H665" s="358">
        <v>4.25</v>
      </c>
      <c r="I665" s="358">
        <v>4.25</v>
      </c>
      <c r="J665" s="358">
        <v>4.25</v>
      </c>
      <c r="L665" s="357">
        <v>3</v>
      </c>
    </row>
    <row r="666" spans="1:12" hidden="1">
      <c r="A666" s="369">
        <v>41453</v>
      </c>
      <c r="B666" s="1781" t="s">
        <v>1507</v>
      </c>
      <c r="C666" s="370">
        <v>728</v>
      </c>
      <c r="D666" s="369">
        <v>42181</v>
      </c>
      <c r="E666" s="371">
        <v>3</v>
      </c>
      <c r="F666" s="372">
        <v>2</v>
      </c>
      <c r="G666" s="372">
        <v>2</v>
      </c>
      <c r="H666" s="372">
        <v>3.75</v>
      </c>
      <c r="I666" s="372">
        <v>3.75</v>
      </c>
      <c r="J666" s="372">
        <v>3.75</v>
      </c>
      <c r="K666" s="373"/>
      <c r="L666" s="370">
        <v>1</v>
      </c>
    </row>
    <row r="667" spans="1:12" hidden="1">
      <c r="A667" s="356">
        <v>41457</v>
      </c>
      <c r="B667" s="236" t="s">
        <v>1814</v>
      </c>
      <c r="C667" s="357">
        <v>35</v>
      </c>
      <c r="D667" s="356">
        <v>41492</v>
      </c>
      <c r="E667" s="360">
        <v>3</v>
      </c>
      <c r="F667" s="358">
        <v>0</v>
      </c>
      <c r="G667" s="358">
        <v>0</v>
      </c>
      <c r="H667" s="358">
        <v>0</v>
      </c>
      <c r="I667" s="358">
        <v>0</v>
      </c>
      <c r="J667" s="358">
        <v>0</v>
      </c>
      <c r="L667" s="357">
        <v>0</v>
      </c>
    </row>
    <row r="668" spans="1:12" hidden="1">
      <c r="A668" s="369">
        <v>41457</v>
      </c>
      <c r="B668" s="1781" t="s">
        <v>1815</v>
      </c>
      <c r="C668" s="370">
        <v>91</v>
      </c>
      <c r="D668" s="369">
        <v>41548</v>
      </c>
      <c r="E668" s="371">
        <v>4</v>
      </c>
      <c r="F668" s="372">
        <v>0</v>
      </c>
      <c r="G668" s="372">
        <v>0</v>
      </c>
      <c r="H668" s="372">
        <v>0</v>
      </c>
      <c r="I668" s="372">
        <v>0</v>
      </c>
      <c r="J668" s="372">
        <v>0</v>
      </c>
      <c r="K668" s="373"/>
      <c r="L668" s="370">
        <v>0</v>
      </c>
    </row>
    <row r="669" spans="1:12" hidden="1">
      <c r="A669" s="369">
        <v>41460</v>
      </c>
      <c r="B669" s="1781" t="s">
        <v>1517</v>
      </c>
      <c r="C669" s="370">
        <v>364</v>
      </c>
      <c r="D669" s="369">
        <v>41824</v>
      </c>
      <c r="E669" s="371">
        <v>1</v>
      </c>
      <c r="F669" s="372">
        <v>0.51880000000000004</v>
      </c>
      <c r="G669" s="372">
        <v>0.51880000000000004</v>
      </c>
      <c r="H669" s="372">
        <v>3.7900000000000005</v>
      </c>
      <c r="I669" s="372">
        <v>3.7900000000000005</v>
      </c>
      <c r="J669" s="372">
        <v>3.7900000000000005</v>
      </c>
      <c r="K669" s="373"/>
      <c r="L669" s="370">
        <v>1</v>
      </c>
    </row>
    <row r="670" spans="1:12" hidden="1">
      <c r="A670" s="369">
        <v>41464</v>
      </c>
      <c r="B670" s="1781" t="s">
        <v>1816</v>
      </c>
      <c r="C670" s="370">
        <v>182</v>
      </c>
      <c r="D670" s="369">
        <v>41646</v>
      </c>
      <c r="E670" s="371">
        <v>3</v>
      </c>
      <c r="F670" s="372">
        <v>0</v>
      </c>
      <c r="G670" s="372">
        <v>0</v>
      </c>
      <c r="H670" s="372">
        <v>0</v>
      </c>
      <c r="I670" s="372">
        <v>0</v>
      </c>
      <c r="J670" s="372">
        <v>0</v>
      </c>
      <c r="K670" s="373"/>
      <c r="L670" s="370">
        <v>0</v>
      </c>
    </row>
    <row r="671" spans="1:12" hidden="1">
      <c r="A671" s="369">
        <v>41464</v>
      </c>
      <c r="B671" s="1781" t="s">
        <v>1817</v>
      </c>
      <c r="C671" s="370">
        <v>364</v>
      </c>
      <c r="D671" s="369">
        <v>41828</v>
      </c>
      <c r="E671" s="371">
        <v>0</v>
      </c>
      <c r="F671" s="372">
        <v>0</v>
      </c>
      <c r="G671" s="372">
        <v>0</v>
      </c>
      <c r="H671" s="372">
        <v>3.25</v>
      </c>
      <c r="I671" s="372">
        <v>3.25</v>
      </c>
      <c r="J671" s="372">
        <v>0</v>
      </c>
      <c r="K671" s="373"/>
      <c r="L671" s="370">
        <v>0</v>
      </c>
    </row>
    <row r="672" spans="1:12" hidden="1">
      <c r="A672" s="356">
        <v>41467</v>
      </c>
      <c r="B672" s="236" t="s">
        <v>1518</v>
      </c>
      <c r="C672" s="357">
        <v>1092</v>
      </c>
      <c r="D672" s="356">
        <v>42559</v>
      </c>
      <c r="E672" s="360">
        <v>8</v>
      </c>
      <c r="F672" s="358">
        <v>8</v>
      </c>
      <c r="G672" s="358">
        <v>8</v>
      </c>
      <c r="H672" s="358">
        <v>4.25</v>
      </c>
      <c r="I672" s="358">
        <v>4.25</v>
      </c>
      <c r="J672" s="358">
        <v>4.25</v>
      </c>
      <c r="L672" s="357">
        <v>2</v>
      </c>
    </row>
    <row r="673" spans="1:12" hidden="1">
      <c r="A673" s="369">
        <v>41467</v>
      </c>
      <c r="B673" s="1781" t="s">
        <v>1818</v>
      </c>
      <c r="C673" s="370">
        <v>728</v>
      </c>
      <c r="D673" s="369">
        <v>42195</v>
      </c>
      <c r="E673" s="371">
        <v>4</v>
      </c>
      <c r="F673" s="372">
        <v>0</v>
      </c>
      <c r="G673" s="372">
        <v>0</v>
      </c>
      <c r="H673" s="372">
        <v>3.75</v>
      </c>
      <c r="I673" s="372">
        <v>3.75</v>
      </c>
      <c r="J673" s="372">
        <v>0</v>
      </c>
      <c r="K673" s="373"/>
      <c r="L673" s="370">
        <v>0</v>
      </c>
    </row>
    <row r="674" spans="1:12" hidden="1">
      <c r="A674" s="356">
        <v>41471</v>
      </c>
      <c r="B674" s="236" t="s">
        <v>1819</v>
      </c>
      <c r="C674" s="357">
        <v>35</v>
      </c>
      <c r="D674" s="356">
        <v>41506</v>
      </c>
      <c r="E674" s="360">
        <v>4</v>
      </c>
      <c r="F674" s="358">
        <v>0</v>
      </c>
      <c r="G674" s="358">
        <v>0</v>
      </c>
      <c r="H674" s="358">
        <v>0</v>
      </c>
      <c r="I674" s="358">
        <v>0</v>
      </c>
      <c r="J674" s="358">
        <v>0</v>
      </c>
      <c r="L674" s="357">
        <v>0</v>
      </c>
    </row>
    <row r="675" spans="1:12" hidden="1">
      <c r="A675" s="369">
        <v>41471</v>
      </c>
      <c r="B675" s="1781" t="s">
        <v>1820</v>
      </c>
      <c r="C675" s="370">
        <v>91</v>
      </c>
      <c r="D675" s="369">
        <v>41562</v>
      </c>
      <c r="E675" s="371">
        <v>3</v>
      </c>
      <c r="F675" s="372">
        <v>0</v>
      </c>
      <c r="G675" s="372">
        <v>0</v>
      </c>
      <c r="H675" s="372">
        <v>0</v>
      </c>
      <c r="I675" s="372">
        <v>0</v>
      </c>
      <c r="J675" s="372">
        <v>0</v>
      </c>
      <c r="K675" s="373"/>
      <c r="L675" s="370">
        <v>0</v>
      </c>
    </row>
    <row r="676" spans="1:12" hidden="1">
      <c r="A676" s="356">
        <v>41474</v>
      </c>
      <c r="B676" s="236" t="s">
        <v>1519</v>
      </c>
      <c r="C676" s="357">
        <v>364</v>
      </c>
      <c r="D676" s="356">
        <v>41838</v>
      </c>
      <c r="E676" s="360">
        <v>1</v>
      </c>
      <c r="F676" s="358">
        <v>0.6905</v>
      </c>
      <c r="G676" s="358">
        <v>0.6905</v>
      </c>
      <c r="H676" s="358">
        <v>3.7900000000000005</v>
      </c>
      <c r="I676" s="358">
        <v>3.7900000000000005</v>
      </c>
      <c r="J676" s="358">
        <v>3.7900000000000005</v>
      </c>
      <c r="L676" s="357">
        <v>2</v>
      </c>
    </row>
    <row r="677" spans="1:12" hidden="1">
      <c r="A677" s="369">
        <v>41478</v>
      </c>
      <c r="B677" s="1781" t="s">
        <v>1821</v>
      </c>
      <c r="C677" s="370">
        <v>364</v>
      </c>
      <c r="D677" s="369">
        <v>41842</v>
      </c>
      <c r="E677" s="371">
        <v>12</v>
      </c>
      <c r="F677" s="372">
        <v>0</v>
      </c>
      <c r="G677" s="372">
        <v>0</v>
      </c>
      <c r="H677" s="372">
        <v>3.25</v>
      </c>
      <c r="I677" s="372">
        <v>3.25</v>
      </c>
      <c r="J677" s="372">
        <v>0</v>
      </c>
      <c r="K677" s="373"/>
      <c r="L677" s="370">
        <v>0</v>
      </c>
    </row>
    <row r="678" spans="1:12" hidden="1">
      <c r="A678" s="356">
        <v>41478</v>
      </c>
      <c r="B678" s="236" t="s">
        <v>1817</v>
      </c>
      <c r="C678" s="357">
        <v>182</v>
      </c>
      <c r="D678" s="356">
        <v>41660</v>
      </c>
      <c r="E678" s="360">
        <v>4</v>
      </c>
      <c r="F678" s="358">
        <v>0</v>
      </c>
      <c r="G678" s="358">
        <v>0</v>
      </c>
      <c r="H678" s="358">
        <v>0</v>
      </c>
      <c r="I678" s="358">
        <v>0</v>
      </c>
      <c r="J678" s="358">
        <v>0</v>
      </c>
      <c r="L678" s="357">
        <v>0</v>
      </c>
    </row>
    <row r="679" spans="1:12" hidden="1">
      <c r="A679" s="369">
        <v>41481</v>
      </c>
      <c r="B679" s="1781" t="s">
        <v>1520</v>
      </c>
      <c r="C679" s="370">
        <v>1092</v>
      </c>
      <c r="D679" s="369">
        <v>42573</v>
      </c>
      <c r="E679" s="371">
        <v>7</v>
      </c>
      <c r="F679" s="372">
        <v>4.76</v>
      </c>
      <c r="G679" s="372">
        <v>4.76</v>
      </c>
      <c r="H679" s="372">
        <v>4.25</v>
      </c>
      <c r="I679" s="372">
        <v>4.25</v>
      </c>
      <c r="J679" s="372">
        <v>4.25</v>
      </c>
      <c r="K679" s="373"/>
      <c r="L679" s="370">
        <v>2</v>
      </c>
    </row>
    <row r="680" spans="1:12" hidden="1">
      <c r="A680" s="356">
        <v>41481</v>
      </c>
      <c r="B680" s="236" t="s">
        <v>1822</v>
      </c>
      <c r="C680" s="357">
        <v>728</v>
      </c>
      <c r="D680" s="356">
        <v>42209</v>
      </c>
      <c r="E680" s="360">
        <v>3</v>
      </c>
      <c r="F680" s="358">
        <v>0</v>
      </c>
      <c r="G680" s="358">
        <v>0</v>
      </c>
      <c r="H680" s="358">
        <v>3.75</v>
      </c>
      <c r="I680" s="358">
        <v>3.75</v>
      </c>
      <c r="J680" s="358">
        <v>0</v>
      </c>
      <c r="L680" s="357">
        <v>0</v>
      </c>
    </row>
    <row r="681" spans="1:12" hidden="1">
      <c r="A681" s="369">
        <v>41502</v>
      </c>
      <c r="B681" s="1781" t="s">
        <v>1527</v>
      </c>
      <c r="C681" s="370">
        <v>1092</v>
      </c>
      <c r="D681" s="369">
        <v>42594</v>
      </c>
      <c r="E681" s="371">
        <v>3</v>
      </c>
      <c r="F681" s="372">
        <v>1.25</v>
      </c>
      <c r="G681" s="372">
        <v>1.25</v>
      </c>
      <c r="H681" s="372">
        <v>4.25</v>
      </c>
      <c r="I681" s="372">
        <v>4.25</v>
      </c>
      <c r="J681" s="372">
        <v>4.25</v>
      </c>
      <c r="K681" s="373"/>
      <c r="L681" s="370">
        <v>1</v>
      </c>
    </row>
    <row r="682" spans="1:12" hidden="1">
      <c r="A682" s="356">
        <v>41523</v>
      </c>
      <c r="B682" s="236" t="s">
        <v>1528</v>
      </c>
      <c r="C682" s="357">
        <v>35</v>
      </c>
      <c r="D682" s="356">
        <v>41558</v>
      </c>
      <c r="E682" s="360">
        <v>3</v>
      </c>
      <c r="F682" s="358">
        <v>0</v>
      </c>
      <c r="G682" s="358">
        <v>0</v>
      </c>
      <c r="H682" s="358">
        <v>0</v>
      </c>
      <c r="I682" s="358">
        <v>0</v>
      </c>
      <c r="J682" s="358">
        <v>0</v>
      </c>
      <c r="L682" s="357">
        <v>0</v>
      </c>
    </row>
    <row r="683" spans="1:12" hidden="1">
      <c r="A683" s="369">
        <v>41523</v>
      </c>
      <c r="B683" s="1781" t="s">
        <v>1529</v>
      </c>
      <c r="C683" s="370">
        <v>91</v>
      </c>
      <c r="D683" s="369">
        <v>41614</v>
      </c>
      <c r="E683" s="371">
        <v>4</v>
      </c>
      <c r="F683" s="372">
        <v>0</v>
      </c>
      <c r="G683" s="372">
        <v>0</v>
      </c>
      <c r="H683" s="372">
        <v>0</v>
      </c>
      <c r="I683" s="372">
        <v>0</v>
      </c>
      <c r="J683" s="372">
        <v>0</v>
      </c>
      <c r="K683" s="373"/>
      <c r="L683" s="370">
        <v>0</v>
      </c>
    </row>
    <row r="684" spans="1:12" hidden="1">
      <c r="A684" s="356">
        <v>41523</v>
      </c>
      <c r="B684" s="236" t="s">
        <v>1530</v>
      </c>
      <c r="C684" s="357">
        <v>364</v>
      </c>
      <c r="D684" s="356">
        <v>41887</v>
      </c>
      <c r="E684" s="360">
        <v>1</v>
      </c>
      <c r="F684" s="358">
        <v>0</v>
      </c>
      <c r="G684" s="358">
        <v>0</v>
      </c>
      <c r="H684" s="358">
        <v>0</v>
      </c>
      <c r="I684" s="358">
        <v>0</v>
      </c>
      <c r="J684" s="358">
        <v>0</v>
      </c>
      <c r="L684" s="357">
        <v>0</v>
      </c>
    </row>
    <row r="685" spans="1:12" hidden="1">
      <c r="A685" s="369">
        <v>41526</v>
      </c>
      <c r="B685" s="1781" t="s">
        <v>1531</v>
      </c>
      <c r="C685" s="370">
        <v>364</v>
      </c>
      <c r="D685" s="369">
        <v>41890</v>
      </c>
      <c r="E685" s="371">
        <v>10</v>
      </c>
      <c r="F685" s="372">
        <v>0</v>
      </c>
      <c r="G685" s="372">
        <v>0</v>
      </c>
      <c r="H685" s="372">
        <v>3.25</v>
      </c>
      <c r="I685" s="372">
        <v>3.25</v>
      </c>
      <c r="J685" s="372">
        <v>3.25</v>
      </c>
      <c r="K685" s="373"/>
      <c r="L685" s="370">
        <v>0</v>
      </c>
    </row>
    <row r="686" spans="1:12" hidden="1">
      <c r="A686" s="356">
        <v>41526</v>
      </c>
      <c r="B686" s="236" t="s">
        <v>1532</v>
      </c>
      <c r="C686" s="357">
        <v>182</v>
      </c>
      <c r="D686" s="356">
        <v>41708</v>
      </c>
      <c r="E686" s="360">
        <v>3</v>
      </c>
      <c r="F686" s="358">
        <v>0</v>
      </c>
      <c r="G686" s="358">
        <v>0</v>
      </c>
      <c r="H686" s="358">
        <v>0</v>
      </c>
      <c r="I686" s="358">
        <v>0</v>
      </c>
      <c r="J686" s="358">
        <v>0</v>
      </c>
      <c r="L686" s="357">
        <v>0</v>
      </c>
    </row>
    <row r="687" spans="1:12" hidden="1">
      <c r="A687" s="369">
        <v>41530</v>
      </c>
      <c r="B687" s="1781" t="s">
        <v>1533</v>
      </c>
      <c r="C687" s="370">
        <v>1092</v>
      </c>
      <c r="D687" s="369">
        <v>42622</v>
      </c>
      <c r="E687" s="371">
        <v>8</v>
      </c>
      <c r="F687" s="372">
        <v>0</v>
      </c>
      <c r="G687" s="372">
        <v>0</v>
      </c>
      <c r="H687" s="372">
        <v>4.25</v>
      </c>
      <c r="I687" s="372">
        <v>4.25</v>
      </c>
      <c r="J687" s="372">
        <v>4.25</v>
      </c>
      <c r="K687" s="373"/>
      <c r="L687" s="370">
        <v>0</v>
      </c>
    </row>
    <row r="688" spans="1:12" hidden="1">
      <c r="A688" s="369">
        <v>41530</v>
      </c>
      <c r="B688" s="1781" t="s">
        <v>1534</v>
      </c>
      <c r="C688" s="370">
        <v>728</v>
      </c>
      <c r="D688" s="369">
        <v>42258</v>
      </c>
      <c r="E688" s="371">
        <v>4</v>
      </c>
      <c r="F688" s="372">
        <v>0</v>
      </c>
      <c r="G688" s="372">
        <v>0</v>
      </c>
      <c r="H688" s="372">
        <v>3.75</v>
      </c>
      <c r="I688" s="372">
        <v>3.75</v>
      </c>
      <c r="J688" s="372">
        <v>3.75</v>
      </c>
      <c r="K688" s="373"/>
      <c r="L688" s="370">
        <v>0</v>
      </c>
    </row>
    <row r="689" spans="1:12" hidden="1">
      <c r="A689" s="369">
        <v>41534</v>
      </c>
      <c r="B689" s="1781" t="s">
        <v>1535</v>
      </c>
      <c r="C689" s="370">
        <v>35</v>
      </c>
      <c r="D689" s="369">
        <v>41569</v>
      </c>
      <c r="E689" s="371">
        <v>4</v>
      </c>
      <c r="F689" s="372">
        <v>0</v>
      </c>
      <c r="G689" s="372">
        <v>0</v>
      </c>
      <c r="H689" s="372">
        <v>0</v>
      </c>
      <c r="I689" s="372">
        <v>0</v>
      </c>
      <c r="J689" s="372">
        <v>0</v>
      </c>
      <c r="K689" s="373"/>
      <c r="L689" s="370">
        <v>0</v>
      </c>
    </row>
    <row r="690" spans="1:12" hidden="1">
      <c r="A690" s="356">
        <v>41534</v>
      </c>
      <c r="B690" s="236" t="s">
        <v>1536</v>
      </c>
      <c r="C690" s="357">
        <v>91</v>
      </c>
      <c r="D690" s="356">
        <v>41625</v>
      </c>
      <c r="E690" s="360">
        <v>3</v>
      </c>
      <c r="F690" s="358">
        <v>1.0046999999999999</v>
      </c>
      <c r="G690" s="358">
        <v>1.0046999999999999</v>
      </c>
      <c r="H690" s="358">
        <v>1.8900000000000001</v>
      </c>
      <c r="I690" s="358">
        <v>1.8900000000000001</v>
      </c>
      <c r="J690" s="358">
        <v>1.8900000000000001</v>
      </c>
      <c r="L690" s="357">
        <v>1</v>
      </c>
    </row>
    <row r="691" spans="1:12" hidden="1">
      <c r="A691" s="369">
        <v>41537</v>
      </c>
      <c r="B691" s="1781" t="s">
        <v>1537</v>
      </c>
      <c r="C691" s="370">
        <v>364</v>
      </c>
      <c r="D691" s="369">
        <v>41901</v>
      </c>
      <c r="E691" s="371">
        <v>1</v>
      </c>
      <c r="F691" s="372">
        <v>0</v>
      </c>
      <c r="G691" s="372">
        <v>0</v>
      </c>
      <c r="H691" s="372">
        <v>0</v>
      </c>
      <c r="I691" s="372">
        <v>0</v>
      </c>
      <c r="J691" s="372">
        <v>0</v>
      </c>
      <c r="K691" s="373"/>
      <c r="L691" s="370">
        <v>0</v>
      </c>
    </row>
    <row r="692" spans="1:12" hidden="1">
      <c r="A692" s="356">
        <v>41541</v>
      </c>
      <c r="B692" s="236" t="s">
        <v>1538</v>
      </c>
      <c r="C692" s="357">
        <v>364</v>
      </c>
      <c r="D692" s="356">
        <v>41905</v>
      </c>
      <c r="E692" s="360">
        <v>12</v>
      </c>
      <c r="F692" s="358">
        <v>0</v>
      </c>
      <c r="G692" s="358">
        <v>0</v>
      </c>
      <c r="H692" s="358">
        <v>3.25</v>
      </c>
      <c r="I692" s="358">
        <v>3.25</v>
      </c>
      <c r="J692" s="358">
        <v>3.25</v>
      </c>
      <c r="L692" s="357">
        <v>0</v>
      </c>
    </row>
    <row r="693" spans="1:12" hidden="1">
      <c r="A693" s="369">
        <v>41541</v>
      </c>
      <c r="B693" s="1781" t="s">
        <v>1539</v>
      </c>
      <c r="C693" s="370">
        <v>182</v>
      </c>
      <c r="D693" s="369">
        <v>41723</v>
      </c>
      <c r="E693" s="371">
        <v>4</v>
      </c>
      <c r="F693" s="372">
        <v>0</v>
      </c>
      <c r="G693" s="372">
        <v>0</v>
      </c>
      <c r="H693" s="372">
        <v>0</v>
      </c>
      <c r="I693" s="372">
        <v>0</v>
      </c>
      <c r="J693" s="372">
        <v>0</v>
      </c>
      <c r="K693" s="373"/>
      <c r="L693" s="370">
        <v>0</v>
      </c>
    </row>
    <row r="694" spans="1:12" hidden="1">
      <c r="A694" s="356">
        <v>41544</v>
      </c>
      <c r="B694" s="236" t="s">
        <v>1823</v>
      </c>
      <c r="C694" s="357">
        <v>728</v>
      </c>
      <c r="D694" s="356">
        <v>42272</v>
      </c>
      <c r="E694" s="360">
        <v>3</v>
      </c>
      <c r="F694" s="358">
        <v>0</v>
      </c>
      <c r="G694" s="358">
        <v>0</v>
      </c>
      <c r="H694" s="358">
        <v>3.75</v>
      </c>
      <c r="I694" s="358">
        <v>3.75</v>
      </c>
      <c r="J694" s="358">
        <v>3.75</v>
      </c>
      <c r="L694" s="357">
        <v>0</v>
      </c>
    </row>
    <row r="695" spans="1:12" hidden="1">
      <c r="A695" s="369">
        <v>41544</v>
      </c>
      <c r="B695" s="1781" t="s">
        <v>1824</v>
      </c>
      <c r="C695" s="370">
        <v>1092</v>
      </c>
      <c r="D695" s="369">
        <v>42636</v>
      </c>
      <c r="E695" s="371">
        <v>8</v>
      </c>
      <c r="F695" s="372">
        <v>5</v>
      </c>
      <c r="G695" s="372">
        <v>5</v>
      </c>
      <c r="H695" s="372">
        <v>4.25</v>
      </c>
      <c r="I695" s="372">
        <v>4.25</v>
      </c>
      <c r="J695" s="372">
        <v>4.25</v>
      </c>
      <c r="K695" s="373"/>
      <c r="L695" s="370">
        <v>1</v>
      </c>
    </row>
    <row r="696" spans="1:12" hidden="1">
      <c r="A696" s="356">
        <v>41555</v>
      </c>
      <c r="B696" s="236" t="s">
        <v>1545</v>
      </c>
      <c r="C696" s="357">
        <v>182</v>
      </c>
      <c r="D696" s="356">
        <v>41737</v>
      </c>
      <c r="E696" s="360">
        <v>3</v>
      </c>
      <c r="F696" s="358">
        <v>0</v>
      </c>
      <c r="G696" s="358">
        <v>0</v>
      </c>
      <c r="H696" s="358">
        <v>0</v>
      </c>
      <c r="I696" s="358">
        <v>0</v>
      </c>
      <c r="J696" s="358">
        <v>0</v>
      </c>
      <c r="L696" s="357">
        <v>0</v>
      </c>
    </row>
    <row r="697" spans="1:12" hidden="1">
      <c r="A697" s="369">
        <v>41555</v>
      </c>
      <c r="B697" s="1781" t="s">
        <v>1546</v>
      </c>
      <c r="C697" s="370">
        <v>364</v>
      </c>
      <c r="D697" s="369">
        <v>41919</v>
      </c>
      <c r="E697" s="371">
        <v>10</v>
      </c>
      <c r="F697" s="372">
        <v>0</v>
      </c>
      <c r="G697" s="372">
        <v>0</v>
      </c>
      <c r="H697" s="372">
        <v>3.25</v>
      </c>
      <c r="I697" s="372">
        <v>3.25</v>
      </c>
      <c r="J697" s="372">
        <v>3.25</v>
      </c>
      <c r="K697" s="373"/>
      <c r="L697" s="370">
        <v>0</v>
      </c>
    </row>
    <row r="698" spans="1:12" hidden="1">
      <c r="A698" s="356">
        <v>41558</v>
      </c>
      <c r="B698" s="236" t="s">
        <v>1547</v>
      </c>
      <c r="C698" s="357">
        <v>728</v>
      </c>
      <c r="D698" s="356">
        <v>42286</v>
      </c>
      <c r="E698" s="360">
        <v>4</v>
      </c>
      <c r="F698" s="358">
        <v>0</v>
      </c>
      <c r="G698" s="358">
        <v>0</v>
      </c>
      <c r="H698" s="358">
        <v>3.75</v>
      </c>
      <c r="I698" s="358">
        <v>3.75</v>
      </c>
      <c r="J698" s="358">
        <v>3.75</v>
      </c>
      <c r="L698" s="357">
        <v>0</v>
      </c>
    </row>
    <row r="699" spans="1:12" hidden="1">
      <c r="A699" s="369">
        <v>41558</v>
      </c>
      <c r="B699" s="1781" t="s">
        <v>1548</v>
      </c>
      <c r="C699" s="370">
        <v>1092</v>
      </c>
      <c r="D699" s="369">
        <v>42650</v>
      </c>
      <c r="E699" s="371">
        <v>8</v>
      </c>
      <c r="F699" s="372">
        <v>11</v>
      </c>
      <c r="G699" s="372">
        <v>8</v>
      </c>
      <c r="H699" s="372">
        <v>4.25</v>
      </c>
      <c r="I699" s="372">
        <v>4.25</v>
      </c>
      <c r="J699" s="372">
        <v>4.25</v>
      </c>
      <c r="K699" s="373"/>
      <c r="L699" s="370">
        <v>2</v>
      </c>
    </row>
    <row r="700" spans="1:12" hidden="1">
      <c r="A700" s="356">
        <v>41565</v>
      </c>
      <c r="B700" s="236" t="s">
        <v>1549</v>
      </c>
      <c r="C700" s="357">
        <v>364</v>
      </c>
      <c r="D700" s="356">
        <v>41929</v>
      </c>
      <c r="E700" s="360">
        <v>1</v>
      </c>
      <c r="F700" s="358">
        <v>0</v>
      </c>
      <c r="G700" s="358">
        <v>0</v>
      </c>
      <c r="H700" s="358">
        <v>0</v>
      </c>
      <c r="I700" s="358">
        <v>0</v>
      </c>
      <c r="J700" s="358">
        <v>0</v>
      </c>
      <c r="L700" s="357">
        <v>0</v>
      </c>
    </row>
    <row r="701" spans="1:12" hidden="1">
      <c r="A701" s="369">
        <v>41565</v>
      </c>
      <c r="B701" s="1781" t="s">
        <v>1550</v>
      </c>
      <c r="C701" s="370">
        <v>35</v>
      </c>
      <c r="D701" s="369">
        <v>41600</v>
      </c>
      <c r="E701" s="371">
        <v>4</v>
      </c>
      <c r="F701" s="372">
        <v>0</v>
      </c>
      <c r="G701" s="372">
        <v>0</v>
      </c>
      <c r="H701" s="372">
        <v>0</v>
      </c>
      <c r="I701" s="372">
        <v>0</v>
      </c>
      <c r="J701" s="372">
        <v>0</v>
      </c>
      <c r="K701" s="373"/>
      <c r="L701" s="370">
        <v>0</v>
      </c>
    </row>
    <row r="702" spans="1:12" hidden="1">
      <c r="A702" s="356">
        <v>41565</v>
      </c>
      <c r="B702" s="236" t="s">
        <v>1551</v>
      </c>
      <c r="C702" s="357">
        <v>91</v>
      </c>
      <c r="D702" s="356">
        <v>41656</v>
      </c>
      <c r="E702" s="360">
        <v>3</v>
      </c>
      <c r="F702" s="358">
        <v>0</v>
      </c>
      <c r="G702" s="358">
        <v>0</v>
      </c>
      <c r="H702" s="358">
        <v>0</v>
      </c>
      <c r="I702" s="358">
        <v>0</v>
      </c>
      <c r="J702" s="358">
        <v>0</v>
      </c>
      <c r="L702" s="357">
        <v>0</v>
      </c>
    </row>
    <row r="703" spans="1:12" hidden="1">
      <c r="A703" s="369">
        <v>41569</v>
      </c>
      <c r="B703" s="1781" t="s">
        <v>1552</v>
      </c>
      <c r="C703" s="370">
        <v>182</v>
      </c>
      <c r="D703" s="369">
        <v>41751</v>
      </c>
      <c r="E703" s="371">
        <v>4</v>
      </c>
      <c r="F703" s="372">
        <v>0</v>
      </c>
      <c r="G703" s="372">
        <v>0</v>
      </c>
      <c r="H703" s="372">
        <v>0</v>
      </c>
      <c r="I703" s="372">
        <v>0</v>
      </c>
      <c r="J703" s="372">
        <v>0</v>
      </c>
      <c r="K703" s="373"/>
      <c r="L703" s="370">
        <v>0</v>
      </c>
    </row>
    <row r="704" spans="1:12" hidden="1">
      <c r="A704" s="356">
        <v>41569</v>
      </c>
      <c r="B704" s="236" t="s">
        <v>1553</v>
      </c>
      <c r="C704" s="357">
        <v>364</v>
      </c>
      <c r="D704" s="356">
        <v>41933</v>
      </c>
      <c r="E704" s="360">
        <v>12</v>
      </c>
      <c r="F704" s="358">
        <v>0</v>
      </c>
      <c r="G704" s="358">
        <v>0</v>
      </c>
      <c r="H704" s="358">
        <v>3.25</v>
      </c>
      <c r="I704" s="358">
        <v>3.25</v>
      </c>
      <c r="J704" s="358">
        <v>3.25</v>
      </c>
      <c r="L704" s="357">
        <v>0</v>
      </c>
    </row>
    <row r="705" spans="1:12" hidden="1">
      <c r="A705" s="369">
        <v>41572</v>
      </c>
      <c r="B705" s="1781" t="s">
        <v>1554</v>
      </c>
      <c r="C705" s="370">
        <v>728</v>
      </c>
      <c r="D705" s="369">
        <v>42300</v>
      </c>
      <c r="E705" s="371">
        <v>3</v>
      </c>
      <c r="F705" s="372">
        <v>0</v>
      </c>
      <c r="G705" s="372">
        <v>0</v>
      </c>
      <c r="H705" s="372">
        <v>3.75</v>
      </c>
      <c r="I705" s="372">
        <v>3.75</v>
      </c>
      <c r="J705" s="372">
        <v>3.75</v>
      </c>
      <c r="K705" s="373"/>
      <c r="L705" s="370">
        <v>0</v>
      </c>
    </row>
    <row r="706" spans="1:12" hidden="1">
      <c r="A706" s="356">
        <v>41572</v>
      </c>
      <c r="B706" s="236" t="s">
        <v>1555</v>
      </c>
      <c r="C706" s="357">
        <v>1092</v>
      </c>
      <c r="D706" s="356">
        <v>42664</v>
      </c>
      <c r="E706" s="360">
        <v>8</v>
      </c>
      <c r="F706" s="358">
        <v>5.55</v>
      </c>
      <c r="G706" s="358">
        <v>5.55</v>
      </c>
      <c r="H706" s="358">
        <v>4.2799999999999994</v>
      </c>
      <c r="I706" s="358">
        <v>4.2799999999999994</v>
      </c>
      <c r="J706" s="358">
        <v>4.25</v>
      </c>
      <c r="L706" s="357">
        <v>2</v>
      </c>
    </row>
    <row r="707" spans="1:12" hidden="1">
      <c r="A707" s="369">
        <v>41583</v>
      </c>
      <c r="B707" s="1781" t="s">
        <v>1601</v>
      </c>
      <c r="C707" s="370">
        <v>91</v>
      </c>
      <c r="D707" s="369">
        <v>41674</v>
      </c>
      <c r="E707" s="371">
        <v>4</v>
      </c>
      <c r="F707" s="372">
        <v>0</v>
      </c>
      <c r="G707" s="372">
        <v>0</v>
      </c>
      <c r="H707" s="372">
        <v>0</v>
      </c>
      <c r="I707" s="372">
        <v>0</v>
      </c>
      <c r="J707" s="372">
        <v>0</v>
      </c>
      <c r="K707" s="373"/>
      <c r="L707" s="370">
        <v>0</v>
      </c>
    </row>
    <row r="708" spans="1:12" hidden="1">
      <c r="A708" s="356">
        <v>41583</v>
      </c>
      <c r="B708" s="236" t="s">
        <v>1602</v>
      </c>
      <c r="C708" s="357">
        <v>35</v>
      </c>
      <c r="D708" s="356">
        <v>41618</v>
      </c>
      <c r="E708" s="360">
        <v>3</v>
      </c>
      <c r="F708" s="358">
        <v>0</v>
      </c>
      <c r="G708" s="358">
        <v>0</v>
      </c>
      <c r="H708" s="358">
        <v>0</v>
      </c>
      <c r="I708" s="358">
        <v>0</v>
      </c>
      <c r="J708" s="358">
        <v>0</v>
      </c>
      <c r="L708" s="357">
        <v>0</v>
      </c>
    </row>
    <row r="709" spans="1:12" hidden="1">
      <c r="A709" s="369">
        <v>41586</v>
      </c>
      <c r="B709" s="1781" t="s">
        <v>1603</v>
      </c>
      <c r="C709" s="370">
        <v>364</v>
      </c>
      <c r="D709" s="369">
        <v>41950</v>
      </c>
      <c r="E709" s="371">
        <v>1</v>
      </c>
      <c r="F709" s="372">
        <v>0.30890000000000001</v>
      </c>
      <c r="G709" s="372">
        <v>0.30890000000000001</v>
      </c>
      <c r="H709" s="372">
        <v>3.25</v>
      </c>
      <c r="I709" s="372">
        <v>3.25</v>
      </c>
      <c r="J709" s="372">
        <v>2.9899999999999998</v>
      </c>
      <c r="K709" s="373"/>
      <c r="L709" s="370">
        <v>2</v>
      </c>
    </row>
    <row r="710" spans="1:12" hidden="1">
      <c r="A710" s="356">
        <v>41590</v>
      </c>
      <c r="B710" s="236" t="s">
        <v>1604</v>
      </c>
      <c r="C710" s="357">
        <v>364</v>
      </c>
      <c r="D710" s="356">
        <v>41954</v>
      </c>
      <c r="E710" s="360">
        <v>10</v>
      </c>
      <c r="F710" s="358">
        <v>0</v>
      </c>
      <c r="G710" s="358">
        <v>0</v>
      </c>
      <c r="H710" s="358">
        <v>3.25</v>
      </c>
      <c r="I710" s="358">
        <v>3.25</v>
      </c>
      <c r="J710" s="358">
        <v>3.25</v>
      </c>
      <c r="L710" s="357">
        <v>0</v>
      </c>
    </row>
    <row r="711" spans="1:12" hidden="1">
      <c r="A711" s="369">
        <v>41590</v>
      </c>
      <c r="B711" s="1781" t="s">
        <v>1605</v>
      </c>
      <c r="C711" s="370">
        <v>182</v>
      </c>
      <c r="D711" s="369">
        <v>41772</v>
      </c>
      <c r="E711" s="371">
        <v>3</v>
      </c>
      <c r="F711" s="372">
        <v>0</v>
      </c>
      <c r="G711" s="372">
        <v>0</v>
      </c>
      <c r="H711" s="372">
        <v>0</v>
      </c>
      <c r="I711" s="372">
        <v>0</v>
      </c>
      <c r="J711" s="372">
        <v>0</v>
      </c>
      <c r="K711" s="373"/>
      <c r="L711" s="370">
        <v>0</v>
      </c>
    </row>
    <row r="712" spans="1:12" hidden="1">
      <c r="A712" s="369">
        <v>41593</v>
      </c>
      <c r="B712" s="1781" t="s">
        <v>1606</v>
      </c>
      <c r="C712" s="370">
        <v>728</v>
      </c>
      <c r="D712" s="369">
        <v>42321</v>
      </c>
      <c r="E712" s="371">
        <v>4</v>
      </c>
      <c r="F712" s="372">
        <v>0</v>
      </c>
      <c r="G712" s="372">
        <v>0</v>
      </c>
      <c r="H712" s="372">
        <v>3.75</v>
      </c>
      <c r="I712" s="372">
        <v>3.75</v>
      </c>
      <c r="J712" s="372">
        <v>3.75</v>
      </c>
      <c r="K712" s="373"/>
      <c r="L712" s="370">
        <v>0</v>
      </c>
    </row>
    <row r="713" spans="1:12" hidden="1">
      <c r="A713" s="369">
        <v>41593</v>
      </c>
      <c r="B713" s="1781" t="s">
        <v>1607</v>
      </c>
      <c r="C713" s="370">
        <v>1092</v>
      </c>
      <c r="D713" s="369">
        <v>42685</v>
      </c>
      <c r="E713" s="371">
        <v>8</v>
      </c>
      <c r="F713" s="372">
        <v>0</v>
      </c>
      <c r="G713" s="372">
        <v>0</v>
      </c>
      <c r="H713" s="372">
        <v>4.25</v>
      </c>
      <c r="I713" s="372">
        <v>4.25</v>
      </c>
      <c r="J713" s="372">
        <v>4.25</v>
      </c>
      <c r="K713" s="373"/>
      <c r="L713" s="370">
        <v>0</v>
      </c>
    </row>
    <row r="714" spans="1:12" hidden="1">
      <c r="A714" s="356">
        <v>41597</v>
      </c>
      <c r="B714" s="236" t="s">
        <v>1608</v>
      </c>
      <c r="C714" s="357">
        <v>91</v>
      </c>
      <c r="D714" s="356">
        <v>41688</v>
      </c>
      <c r="E714" s="360">
        <v>3</v>
      </c>
      <c r="F714" s="358">
        <v>0</v>
      </c>
      <c r="G714" s="358">
        <v>0</v>
      </c>
      <c r="H714" s="358">
        <v>0</v>
      </c>
      <c r="I714" s="358">
        <v>0</v>
      </c>
      <c r="J714" s="358">
        <v>0</v>
      </c>
      <c r="L714" s="357">
        <v>0</v>
      </c>
    </row>
    <row r="715" spans="1:12" hidden="1">
      <c r="A715" s="369">
        <v>41597</v>
      </c>
      <c r="B715" s="1781" t="s">
        <v>1609</v>
      </c>
      <c r="C715" s="370">
        <v>35</v>
      </c>
      <c r="D715" s="369">
        <v>41632</v>
      </c>
      <c r="E715" s="371">
        <v>4</v>
      </c>
      <c r="F715" s="372">
        <v>4.0056000000000003</v>
      </c>
      <c r="G715" s="372">
        <v>4</v>
      </c>
      <c r="H715" s="372">
        <v>1.46</v>
      </c>
      <c r="I715" s="372">
        <v>1.46</v>
      </c>
      <c r="J715" s="372">
        <v>1.46</v>
      </c>
      <c r="K715" s="373"/>
      <c r="L715" s="370">
        <v>1</v>
      </c>
    </row>
    <row r="716" spans="1:12" hidden="1">
      <c r="A716" s="356">
        <v>41600</v>
      </c>
      <c r="B716" s="236" t="s">
        <v>1610</v>
      </c>
      <c r="C716" s="357">
        <v>364</v>
      </c>
      <c r="D716" s="356">
        <v>41964</v>
      </c>
      <c r="E716" s="360">
        <v>1</v>
      </c>
      <c r="F716" s="358">
        <v>0</v>
      </c>
      <c r="G716" s="358">
        <v>0</v>
      </c>
      <c r="H716" s="358">
        <v>0</v>
      </c>
      <c r="I716" s="358">
        <v>0</v>
      </c>
      <c r="J716" s="358">
        <v>0</v>
      </c>
      <c r="L716" s="357">
        <v>0</v>
      </c>
    </row>
    <row r="717" spans="1:12" hidden="1">
      <c r="A717" s="369">
        <v>41604</v>
      </c>
      <c r="B717" s="1781" t="s">
        <v>1611</v>
      </c>
      <c r="C717" s="370">
        <v>182</v>
      </c>
      <c r="D717" s="369">
        <v>41786</v>
      </c>
      <c r="E717" s="371">
        <v>4</v>
      </c>
      <c r="F717" s="372">
        <v>0</v>
      </c>
      <c r="G717" s="372">
        <v>0</v>
      </c>
      <c r="H717" s="372">
        <v>0</v>
      </c>
      <c r="I717" s="372">
        <v>0</v>
      </c>
      <c r="J717" s="372">
        <v>0</v>
      </c>
      <c r="K717" s="373"/>
      <c r="L717" s="370">
        <v>0</v>
      </c>
    </row>
    <row r="718" spans="1:12" hidden="1">
      <c r="A718" s="356">
        <v>41604</v>
      </c>
      <c r="B718" s="236" t="s">
        <v>1612</v>
      </c>
      <c r="C718" s="357">
        <v>364</v>
      </c>
      <c r="D718" s="356">
        <v>41968</v>
      </c>
      <c r="E718" s="360">
        <v>12</v>
      </c>
      <c r="F718" s="358">
        <v>0</v>
      </c>
      <c r="G718" s="358">
        <v>0</v>
      </c>
      <c r="H718" s="358">
        <v>3.25</v>
      </c>
      <c r="I718" s="358">
        <v>3.25</v>
      </c>
      <c r="J718" s="358">
        <v>3.25</v>
      </c>
      <c r="L718" s="357">
        <v>0</v>
      </c>
    </row>
    <row r="719" spans="1:12" hidden="1">
      <c r="A719" s="369">
        <v>41607</v>
      </c>
      <c r="B719" s="1781" t="s">
        <v>1613</v>
      </c>
      <c r="C719" s="370">
        <v>1092</v>
      </c>
      <c r="D719" s="369">
        <v>42699</v>
      </c>
      <c r="E719" s="371">
        <v>8</v>
      </c>
      <c r="F719" s="372">
        <v>0</v>
      </c>
      <c r="G719" s="372">
        <v>0</v>
      </c>
      <c r="H719" s="372">
        <v>4.25</v>
      </c>
      <c r="I719" s="372">
        <v>4.25</v>
      </c>
      <c r="J719" s="372">
        <v>4.25</v>
      </c>
      <c r="K719" s="373"/>
      <c r="L719" s="370">
        <v>0</v>
      </c>
    </row>
    <row r="720" spans="1:12" hidden="1">
      <c r="A720" s="356">
        <v>41607</v>
      </c>
      <c r="B720" s="236" t="s">
        <v>1614</v>
      </c>
      <c r="C720" s="357">
        <v>728</v>
      </c>
      <c r="D720" s="356">
        <v>42335</v>
      </c>
      <c r="E720" s="360">
        <v>3</v>
      </c>
      <c r="F720" s="358">
        <v>3</v>
      </c>
      <c r="G720" s="358">
        <v>3</v>
      </c>
      <c r="H720" s="358">
        <v>3.75</v>
      </c>
      <c r="I720" s="358">
        <v>3.75</v>
      </c>
      <c r="J720" s="358">
        <v>3.75</v>
      </c>
      <c r="L720" s="357">
        <v>1</v>
      </c>
    </row>
    <row r="721" spans="1:12" hidden="1">
      <c r="A721" s="369">
        <v>41614</v>
      </c>
      <c r="B721" s="1781" t="s">
        <v>1619</v>
      </c>
      <c r="C721" s="370">
        <v>364</v>
      </c>
      <c r="D721" s="369">
        <v>41978</v>
      </c>
      <c r="E721" s="371">
        <v>1</v>
      </c>
      <c r="F721" s="372">
        <v>0</v>
      </c>
      <c r="G721" s="372">
        <v>0</v>
      </c>
      <c r="H721" s="372">
        <v>0</v>
      </c>
      <c r="I721" s="372">
        <v>0</v>
      </c>
      <c r="J721" s="372">
        <v>0</v>
      </c>
      <c r="K721" s="373"/>
      <c r="L721" s="370">
        <v>0</v>
      </c>
    </row>
    <row r="722" spans="1:12" hidden="1">
      <c r="A722" s="356">
        <v>41618</v>
      </c>
      <c r="B722" s="236" t="s">
        <v>1620</v>
      </c>
      <c r="C722" s="357">
        <v>364</v>
      </c>
      <c r="D722" s="356">
        <v>41982</v>
      </c>
      <c r="E722" s="360">
        <v>12</v>
      </c>
      <c r="F722" s="358">
        <v>0</v>
      </c>
      <c r="G722" s="358">
        <v>0</v>
      </c>
      <c r="H722" s="358">
        <v>0</v>
      </c>
      <c r="I722" s="358">
        <v>0</v>
      </c>
      <c r="J722" s="358">
        <v>0</v>
      </c>
      <c r="L722" s="357">
        <v>0</v>
      </c>
    </row>
    <row r="723" spans="1:12" hidden="1">
      <c r="A723" s="369">
        <v>41618</v>
      </c>
      <c r="B723" s="1781" t="s">
        <v>1621</v>
      </c>
      <c r="C723" s="370">
        <v>182</v>
      </c>
      <c r="D723" s="369">
        <v>41800</v>
      </c>
      <c r="E723" s="371">
        <v>3</v>
      </c>
      <c r="F723" s="372">
        <v>0</v>
      </c>
      <c r="G723" s="372">
        <v>0</v>
      </c>
      <c r="H723" s="372">
        <v>3.25</v>
      </c>
      <c r="I723" s="372">
        <v>3.25</v>
      </c>
      <c r="J723" s="372">
        <v>3.25</v>
      </c>
      <c r="K723" s="373"/>
      <c r="L723" s="370">
        <v>0</v>
      </c>
    </row>
    <row r="724" spans="1:12" hidden="1">
      <c r="A724" s="356">
        <v>41621</v>
      </c>
      <c r="B724" s="236" t="s">
        <v>1622</v>
      </c>
      <c r="C724" s="357">
        <v>728</v>
      </c>
      <c r="D724" s="356">
        <v>42349</v>
      </c>
      <c r="E724" s="360">
        <v>4</v>
      </c>
      <c r="F724" s="358">
        <v>0</v>
      </c>
      <c r="G724" s="358">
        <v>0</v>
      </c>
      <c r="H724" s="358">
        <v>3.75</v>
      </c>
      <c r="I724" s="358">
        <v>3.75</v>
      </c>
      <c r="J724" s="358">
        <v>3.75</v>
      </c>
      <c r="L724" s="357">
        <v>0</v>
      </c>
    </row>
    <row r="725" spans="1:12" hidden="1">
      <c r="A725" s="369">
        <v>41621</v>
      </c>
      <c r="B725" s="1781" t="s">
        <v>1623</v>
      </c>
      <c r="C725" s="370">
        <v>1092</v>
      </c>
      <c r="D725" s="369">
        <v>42713</v>
      </c>
      <c r="E725" s="371">
        <v>8</v>
      </c>
      <c r="F725" s="372">
        <v>1.6001000000000001</v>
      </c>
      <c r="G725" s="372">
        <v>1.6001000000000001</v>
      </c>
      <c r="H725" s="372">
        <v>4.25</v>
      </c>
      <c r="I725" s="372">
        <v>4.25</v>
      </c>
      <c r="J725" s="372">
        <v>4.25</v>
      </c>
      <c r="K725" s="373"/>
      <c r="L725" s="370">
        <v>2</v>
      </c>
    </row>
    <row r="726" spans="1:12" hidden="1">
      <c r="A726" s="356">
        <v>41625</v>
      </c>
      <c r="B726" s="236" t="s">
        <v>1624</v>
      </c>
      <c r="C726" s="357">
        <v>35</v>
      </c>
      <c r="D726" s="356">
        <v>41660</v>
      </c>
      <c r="E726" s="360">
        <v>4</v>
      </c>
      <c r="F726" s="358">
        <v>0</v>
      </c>
      <c r="G726" s="358">
        <v>0</v>
      </c>
      <c r="H726" s="358">
        <v>0</v>
      </c>
      <c r="I726" s="358">
        <v>0</v>
      </c>
      <c r="J726" s="358">
        <v>0</v>
      </c>
      <c r="L726" s="357">
        <v>0</v>
      </c>
    </row>
    <row r="727" spans="1:12" hidden="1">
      <c r="A727" s="369">
        <v>41625</v>
      </c>
      <c r="B727" s="1781" t="s">
        <v>1625</v>
      </c>
      <c r="C727" s="370">
        <v>91</v>
      </c>
      <c r="D727" s="369">
        <v>41716</v>
      </c>
      <c r="E727" s="371">
        <v>3</v>
      </c>
      <c r="F727" s="372">
        <v>0</v>
      </c>
      <c r="G727" s="372">
        <v>0</v>
      </c>
      <c r="H727" s="372">
        <v>0</v>
      </c>
      <c r="I727" s="372">
        <v>0</v>
      </c>
      <c r="J727" s="372">
        <v>0</v>
      </c>
      <c r="K727" s="373"/>
      <c r="L727" s="370">
        <v>0</v>
      </c>
    </row>
    <row r="728" spans="1:12" hidden="1">
      <c r="A728" s="356">
        <v>41628</v>
      </c>
      <c r="B728" s="236" t="s">
        <v>1626</v>
      </c>
      <c r="C728" s="357">
        <v>364</v>
      </c>
      <c r="D728" s="356">
        <v>41992</v>
      </c>
      <c r="E728" s="360">
        <v>1</v>
      </c>
      <c r="F728" s="358">
        <v>0</v>
      </c>
      <c r="G728" s="358">
        <v>0</v>
      </c>
      <c r="H728" s="358">
        <v>0</v>
      </c>
      <c r="I728" s="358">
        <v>0</v>
      </c>
      <c r="J728" s="358">
        <v>0</v>
      </c>
      <c r="L728" s="357">
        <v>0</v>
      </c>
    </row>
    <row r="729" spans="1:12" hidden="1">
      <c r="A729" s="369">
        <v>41632</v>
      </c>
      <c r="B729" s="1781" t="s">
        <v>1627</v>
      </c>
      <c r="C729" s="370">
        <v>364</v>
      </c>
      <c r="D729" s="369">
        <v>41996</v>
      </c>
      <c r="E729" s="371">
        <v>12</v>
      </c>
      <c r="F729" s="372">
        <v>0</v>
      </c>
      <c r="G729" s="372">
        <v>0</v>
      </c>
      <c r="H729" s="372">
        <v>3.25</v>
      </c>
      <c r="I729" s="372">
        <v>3.25</v>
      </c>
      <c r="J729" s="372">
        <v>3.25</v>
      </c>
      <c r="K729" s="373"/>
      <c r="L729" s="370">
        <v>0</v>
      </c>
    </row>
    <row r="730" spans="1:12" hidden="1">
      <c r="A730" s="356">
        <v>41635</v>
      </c>
      <c r="B730" s="236" t="s">
        <v>1628</v>
      </c>
      <c r="C730" s="357">
        <v>1092</v>
      </c>
      <c r="D730" s="356">
        <v>42727</v>
      </c>
      <c r="E730" s="360">
        <v>8</v>
      </c>
      <c r="F730" s="358">
        <v>2</v>
      </c>
      <c r="G730" s="358">
        <v>7.8014000000000001</v>
      </c>
      <c r="H730" s="358">
        <v>4.25</v>
      </c>
      <c r="I730" s="358">
        <v>4.25</v>
      </c>
      <c r="J730" s="358">
        <v>4.25</v>
      </c>
      <c r="L730" s="357">
        <v>2</v>
      </c>
    </row>
    <row r="731" spans="1:12" hidden="1">
      <c r="A731" s="369">
        <v>41635</v>
      </c>
      <c r="B731" s="1781" t="s">
        <v>1629</v>
      </c>
      <c r="C731" s="370">
        <v>728</v>
      </c>
      <c r="D731" s="369">
        <v>42363</v>
      </c>
      <c r="E731" s="371">
        <v>3</v>
      </c>
      <c r="F731" s="372">
        <v>0</v>
      </c>
      <c r="G731" s="372">
        <v>0</v>
      </c>
      <c r="H731" s="372">
        <v>3.75</v>
      </c>
      <c r="I731" s="372">
        <v>3.75</v>
      </c>
      <c r="J731" s="372">
        <v>0</v>
      </c>
      <c r="K731" s="373"/>
      <c r="L731" s="370">
        <v>0</v>
      </c>
    </row>
    <row r="732" spans="1:12" hidden="1">
      <c r="A732" s="356">
        <v>41765</v>
      </c>
      <c r="B732" s="236" t="s">
        <v>1652</v>
      </c>
      <c r="C732" s="357">
        <v>35</v>
      </c>
      <c r="D732" s="356">
        <v>41800</v>
      </c>
      <c r="E732" s="360">
        <v>5</v>
      </c>
      <c r="F732" s="358">
        <v>10.005000000000001</v>
      </c>
      <c r="G732" s="358">
        <v>5</v>
      </c>
      <c r="H732" s="358">
        <v>1.46</v>
      </c>
      <c r="I732" s="358">
        <v>1.46</v>
      </c>
      <c r="J732" s="358">
        <v>1.46</v>
      </c>
      <c r="L732" s="357">
        <v>2</v>
      </c>
    </row>
    <row r="733" spans="1:12" hidden="1">
      <c r="A733" s="369">
        <v>41765</v>
      </c>
      <c r="B733" s="1781" t="s">
        <v>1653</v>
      </c>
      <c r="C733" s="370">
        <v>91</v>
      </c>
      <c r="D733" s="369">
        <v>41856</v>
      </c>
      <c r="E733" s="371">
        <v>5</v>
      </c>
      <c r="F733" s="372">
        <v>5.5023999999999997</v>
      </c>
      <c r="G733" s="372">
        <v>5</v>
      </c>
      <c r="H733" s="372">
        <v>1.8900000000000001</v>
      </c>
      <c r="I733" s="372">
        <v>1.8900000000000001</v>
      </c>
      <c r="J733" s="372">
        <v>1.8900000000000001</v>
      </c>
      <c r="K733" s="373"/>
      <c r="L733" s="370">
        <v>2</v>
      </c>
    </row>
    <row r="734" spans="1:12" hidden="1">
      <c r="A734" s="356">
        <v>41765</v>
      </c>
      <c r="B734" s="236" t="s">
        <v>1654</v>
      </c>
      <c r="C734" s="357">
        <v>364</v>
      </c>
      <c r="D734" s="356">
        <v>42129</v>
      </c>
      <c r="E734" s="360">
        <v>1</v>
      </c>
      <c r="F734" s="358">
        <v>2.0289999999999999</v>
      </c>
      <c r="G734" s="358">
        <v>1</v>
      </c>
      <c r="H734" s="358">
        <v>2.9000000000000004</v>
      </c>
      <c r="I734" s="358">
        <v>2.9000000000000004</v>
      </c>
      <c r="J734" s="358">
        <v>2.9000000000000004</v>
      </c>
      <c r="L734" s="357">
        <v>2</v>
      </c>
    </row>
    <row r="735" spans="1:12" hidden="1">
      <c r="A735" s="369">
        <v>41772</v>
      </c>
      <c r="B735" s="1781" t="s">
        <v>1655</v>
      </c>
      <c r="C735" s="370">
        <v>182</v>
      </c>
      <c r="D735" s="369">
        <v>41954</v>
      </c>
      <c r="E735" s="371">
        <v>3</v>
      </c>
      <c r="F735" s="372">
        <v>3</v>
      </c>
      <c r="G735" s="372">
        <v>3</v>
      </c>
      <c r="H735" s="372">
        <v>1.9800000000000002</v>
      </c>
      <c r="I735" s="372">
        <v>1.9800000000000002</v>
      </c>
      <c r="J735" s="372">
        <v>1.66</v>
      </c>
      <c r="K735" s="373"/>
      <c r="L735" s="370">
        <v>1</v>
      </c>
    </row>
    <row r="736" spans="1:12" hidden="1">
      <c r="A736" s="356">
        <v>41772</v>
      </c>
      <c r="B736" s="236" t="s">
        <v>1656</v>
      </c>
      <c r="C736" s="357">
        <v>364</v>
      </c>
      <c r="D736" s="356">
        <v>42136</v>
      </c>
      <c r="E736" s="360">
        <v>12</v>
      </c>
      <c r="F736" s="358">
        <v>12</v>
      </c>
      <c r="G736" s="358">
        <v>11</v>
      </c>
      <c r="H736" s="358">
        <v>3.25</v>
      </c>
      <c r="I736" s="358">
        <v>3.25</v>
      </c>
      <c r="J736" s="358">
        <v>3.25</v>
      </c>
      <c r="L736" s="357">
        <v>1</v>
      </c>
    </row>
    <row r="737" spans="1:12" hidden="1">
      <c r="A737" s="369">
        <v>41775</v>
      </c>
      <c r="B737" s="1781" t="s">
        <v>1657</v>
      </c>
      <c r="C737" s="370">
        <v>728</v>
      </c>
      <c r="D737" s="369">
        <v>42503</v>
      </c>
      <c r="E737" s="371">
        <v>4</v>
      </c>
      <c r="F737" s="372">
        <v>5</v>
      </c>
      <c r="G737" s="372">
        <v>4</v>
      </c>
      <c r="H737" s="372">
        <v>3.75</v>
      </c>
      <c r="I737" s="372">
        <v>3.75</v>
      </c>
      <c r="J737" s="372">
        <v>3.75</v>
      </c>
      <c r="K737" s="373"/>
      <c r="L737" s="370">
        <v>2</v>
      </c>
    </row>
    <row r="738" spans="1:12" hidden="1">
      <c r="A738" s="356">
        <v>41775</v>
      </c>
      <c r="B738" s="236" t="s">
        <v>1658</v>
      </c>
      <c r="C738" s="357">
        <v>1092</v>
      </c>
      <c r="D738" s="356">
        <v>42867</v>
      </c>
      <c r="E738" s="360">
        <v>9</v>
      </c>
      <c r="F738" s="358">
        <v>9</v>
      </c>
      <c r="G738" s="358">
        <v>9</v>
      </c>
      <c r="H738" s="358">
        <v>4.25</v>
      </c>
      <c r="I738" s="358">
        <v>4.25</v>
      </c>
      <c r="J738" s="358">
        <v>4.25</v>
      </c>
      <c r="L738" s="357">
        <v>3</v>
      </c>
    </row>
    <row r="739" spans="1:12" hidden="1">
      <c r="A739" s="369">
        <v>41779</v>
      </c>
      <c r="B739" s="1781" t="s">
        <v>1659</v>
      </c>
      <c r="C739" s="370">
        <v>35</v>
      </c>
      <c r="D739" s="369">
        <v>41814</v>
      </c>
      <c r="E739" s="371">
        <v>5</v>
      </c>
      <c r="F739" s="372">
        <v>1.502</v>
      </c>
      <c r="G739" s="372">
        <v>1.502</v>
      </c>
      <c r="H739" s="372">
        <v>1.46</v>
      </c>
      <c r="I739" s="372">
        <v>1.46</v>
      </c>
      <c r="J739" s="372">
        <v>1.46</v>
      </c>
      <c r="K739" s="373"/>
      <c r="L739" s="370">
        <v>1</v>
      </c>
    </row>
    <row r="740" spans="1:12" hidden="1">
      <c r="A740" s="356">
        <v>41779</v>
      </c>
      <c r="B740" s="236" t="s">
        <v>1825</v>
      </c>
      <c r="C740" s="357">
        <v>91</v>
      </c>
      <c r="D740" s="356">
        <v>41870</v>
      </c>
      <c r="E740" s="360">
        <v>5</v>
      </c>
      <c r="F740" s="358">
        <v>0</v>
      </c>
      <c r="G740" s="358">
        <v>0</v>
      </c>
      <c r="H740" s="358">
        <v>0</v>
      </c>
      <c r="I740" s="358">
        <v>0</v>
      </c>
      <c r="J740" s="358">
        <v>0</v>
      </c>
      <c r="L740" s="357">
        <v>0</v>
      </c>
    </row>
    <row r="741" spans="1:12" hidden="1">
      <c r="A741" s="369">
        <v>41782</v>
      </c>
      <c r="B741" s="1781" t="s">
        <v>1826</v>
      </c>
      <c r="C741" s="370">
        <v>364</v>
      </c>
      <c r="D741" s="369">
        <v>42146</v>
      </c>
      <c r="E741" s="371">
        <v>1</v>
      </c>
      <c r="F741" s="372">
        <v>0</v>
      </c>
      <c r="G741" s="372">
        <v>0</v>
      </c>
      <c r="H741" s="372">
        <v>0</v>
      </c>
      <c r="I741" s="372">
        <v>0</v>
      </c>
      <c r="J741" s="372">
        <v>0</v>
      </c>
      <c r="K741" s="373"/>
      <c r="L741" s="370">
        <v>0</v>
      </c>
    </row>
    <row r="742" spans="1:12" hidden="1">
      <c r="A742" s="356">
        <v>41786</v>
      </c>
      <c r="B742" s="236" t="s">
        <v>1660</v>
      </c>
      <c r="C742" s="357">
        <v>182</v>
      </c>
      <c r="D742" s="356">
        <v>41968</v>
      </c>
      <c r="E742" s="360">
        <v>3</v>
      </c>
      <c r="F742" s="358">
        <v>2</v>
      </c>
      <c r="G742" s="358">
        <v>2</v>
      </c>
      <c r="H742" s="358">
        <v>1.9800000000000002</v>
      </c>
      <c r="I742" s="358">
        <v>1.9800000000000002</v>
      </c>
      <c r="J742" s="358">
        <v>1.9800000000000002</v>
      </c>
      <c r="L742" s="357">
        <v>1</v>
      </c>
    </row>
    <row r="743" spans="1:12" hidden="1">
      <c r="A743" s="369">
        <v>41786</v>
      </c>
      <c r="B743" s="1781" t="s">
        <v>1827</v>
      </c>
      <c r="C743" s="370">
        <v>364</v>
      </c>
      <c r="D743" s="369">
        <v>42150</v>
      </c>
      <c r="E743" s="371">
        <v>12</v>
      </c>
      <c r="F743" s="372">
        <v>0</v>
      </c>
      <c r="G743" s="372">
        <v>0</v>
      </c>
      <c r="H743" s="372">
        <v>3.25</v>
      </c>
      <c r="I743" s="372">
        <v>3.25</v>
      </c>
      <c r="J743" s="372">
        <v>0</v>
      </c>
      <c r="K743" s="373"/>
      <c r="L743" s="370">
        <v>0</v>
      </c>
    </row>
    <row r="744" spans="1:12" hidden="1">
      <c r="A744" s="356">
        <v>41789</v>
      </c>
      <c r="B744" s="236" t="s">
        <v>1828</v>
      </c>
      <c r="C744" s="357">
        <v>728</v>
      </c>
      <c r="D744" s="356">
        <v>42517</v>
      </c>
      <c r="E744" s="360">
        <v>3</v>
      </c>
      <c r="F744" s="358">
        <v>0</v>
      </c>
      <c r="G744" s="358">
        <v>0</v>
      </c>
      <c r="H744" s="358">
        <v>3.75</v>
      </c>
      <c r="I744" s="358">
        <v>3.75</v>
      </c>
      <c r="J744" s="358">
        <v>0</v>
      </c>
      <c r="L744" s="357">
        <v>0</v>
      </c>
    </row>
    <row r="745" spans="1:12" hidden="1">
      <c r="A745" s="369">
        <v>41789</v>
      </c>
      <c r="B745" s="1781" t="s">
        <v>1661</v>
      </c>
      <c r="C745" s="370">
        <v>1092</v>
      </c>
      <c r="D745" s="369">
        <v>42881</v>
      </c>
      <c r="E745" s="371">
        <v>8</v>
      </c>
      <c r="F745" s="372">
        <v>2.7</v>
      </c>
      <c r="G745" s="372">
        <v>2.7</v>
      </c>
      <c r="H745" s="372">
        <v>4.25</v>
      </c>
      <c r="I745" s="372">
        <v>4.25</v>
      </c>
      <c r="J745" s="372">
        <v>4.25</v>
      </c>
      <c r="K745" s="373"/>
      <c r="L745" s="370">
        <v>1</v>
      </c>
    </row>
    <row r="746" spans="1:12" hidden="1">
      <c r="A746" s="356">
        <v>41793</v>
      </c>
      <c r="B746" s="236" t="s">
        <v>1669</v>
      </c>
      <c r="C746" s="357">
        <v>35</v>
      </c>
      <c r="D746" s="356">
        <v>41828</v>
      </c>
      <c r="E746" s="360">
        <v>3</v>
      </c>
      <c r="F746" s="358">
        <v>0</v>
      </c>
      <c r="G746" s="358">
        <v>0</v>
      </c>
      <c r="H746" s="358">
        <v>0</v>
      </c>
      <c r="I746" s="358">
        <v>0</v>
      </c>
      <c r="J746" s="358">
        <v>0</v>
      </c>
      <c r="L746" s="357">
        <v>0</v>
      </c>
    </row>
    <row r="747" spans="1:12" hidden="1">
      <c r="A747" s="369">
        <v>41793</v>
      </c>
      <c r="B747" s="1781" t="s">
        <v>1670</v>
      </c>
      <c r="C747" s="370">
        <v>91</v>
      </c>
      <c r="D747" s="369">
        <v>41884</v>
      </c>
      <c r="E747" s="371">
        <v>3</v>
      </c>
      <c r="F747" s="372">
        <v>0</v>
      </c>
      <c r="G747" s="372">
        <v>0</v>
      </c>
      <c r="H747" s="372">
        <v>0</v>
      </c>
      <c r="I747" s="372">
        <v>0</v>
      </c>
      <c r="J747" s="372">
        <v>0</v>
      </c>
      <c r="K747" s="373"/>
      <c r="L747" s="370">
        <v>0</v>
      </c>
    </row>
    <row r="748" spans="1:12" hidden="1">
      <c r="A748" s="356">
        <v>41796</v>
      </c>
      <c r="B748" s="236" t="s">
        <v>1671</v>
      </c>
      <c r="C748" s="357">
        <v>364</v>
      </c>
      <c r="D748" s="356">
        <v>42160</v>
      </c>
      <c r="E748" s="360">
        <v>1</v>
      </c>
      <c r="F748" s="358">
        <v>0</v>
      </c>
      <c r="G748" s="358">
        <v>0</v>
      </c>
      <c r="H748" s="358">
        <v>0</v>
      </c>
      <c r="I748" s="358">
        <v>0</v>
      </c>
      <c r="J748" s="358">
        <v>0</v>
      </c>
      <c r="L748" s="357">
        <v>0</v>
      </c>
    </row>
    <row r="749" spans="1:12" hidden="1">
      <c r="A749" s="369">
        <v>41800</v>
      </c>
      <c r="B749" s="1781" t="s">
        <v>1672</v>
      </c>
      <c r="C749" s="370">
        <v>182</v>
      </c>
      <c r="D749" s="369">
        <v>41982</v>
      </c>
      <c r="E749" s="371">
        <v>3</v>
      </c>
      <c r="F749" s="372">
        <v>0</v>
      </c>
      <c r="G749" s="372">
        <v>0</v>
      </c>
      <c r="H749" s="372">
        <v>0</v>
      </c>
      <c r="I749" s="372">
        <v>0</v>
      </c>
      <c r="J749" s="372">
        <v>0</v>
      </c>
      <c r="K749" s="373"/>
      <c r="L749" s="370">
        <v>0</v>
      </c>
    </row>
    <row r="750" spans="1:12" hidden="1">
      <c r="A750" s="356">
        <v>41800</v>
      </c>
      <c r="B750" s="236" t="s">
        <v>1673</v>
      </c>
      <c r="C750" s="357">
        <v>364</v>
      </c>
      <c r="D750" s="356">
        <v>42164</v>
      </c>
      <c r="E750" s="360">
        <v>12</v>
      </c>
      <c r="F750" s="358">
        <v>0</v>
      </c>
      <c r="G750" s="358">
        <v>0</v>
      </c>
      <c r="H750" s="358">
        <v>3.25</v>
      </c>
      <c r="I750" s="358">
        <v>3.25</v>
      </c>
      <c r="J750" s="358">
        <v>0</v>
      </c>
      <c r="L750" s="357">
        <v>0</v>
      </c>
    </row>
    <row r="751" spans="1:12" hidden="1">
      <c r="A751" s="369">
        <v>41803</v>
      </c>
      <c r="B751" s="1781" t="s">
        <v>1674</v>
      </c>
      <c r="C751" s="370">
        <v>1092</v>
      </c>
      <c r="D751" s="369">
        <v>42895</v>
      </c>
      <c r="E751" s="371">
        <v>9</v>
      </c>
      <c r="F751" s="372">
        <v>3.1</v>
      </c>
      <c r="G751" s="372">
        <v>3.1</v>
      </c>
      <c r="H751" s="372">
        <v>4.25</v>
      </c>
      <c r="I751" s="372">
        <v>4.25</v>
      </c>
      <c r="J751" s="372">
        <v>4.25</v>
      </c>
      <c r="K751" s="373"/>
      <c r="L751" s="370">
        <v>2</v>
      </c>
    </row>
    <row r="752" spans="1:12" hidden="1">
      <c r="A752" s="356">
        <v>41803</v>
      </c>
      <c r="B752" s="236" t="s">
        <v>1675</v>
      </c>
      <c r="C752" s="357">
        <v>728</v>
      </c>
      <c r="D752" s="356">
        <v>42531</v>
      </c>
      <c r="E752" s="360">
        <v>4</v>
      </c>
      <c r="F752" s="358">
        <v>0</v>
      </c>
      <c r="G752" s="358">
        <v>0</v>
      </c>
      <c r="H752" s="358">
        <v>3.75</v>
      </c>
      <c r="I752" s="358">
        <v>3.75</v>
      </c>
      <c r="J752" s="358">
        <v>0</v>
      </c>
      <c r="L752" s="357">
        <v>0</v>
      </c>
    </row>
    <row r="753" spans="1:12" hidden="1">
      <c r="A753" s="369">
        <v>41807</v>
      </c>
      <c r="B753" s="1781" t="s">
        <v>1676</v>
      </c>
      <c r="C753" s="370">
        <v>91</v>
      </c>
      <c r="D753" s="369">
        <v>41898</v>
      </c>
      <c r="E753" s="371">
        <v>4</v>
      </c>
      <c r="F753" s="372">
        <v>0</v>
      </c>
      <c r="G753" s="372">
        <v>0</v>
      </c>
      <c r="H753" s="372">
        <v>0</v>
      </c>
      <c r="I753" s="372">
        <v>0</v>
      </c>
      <c r="J753" s="372">
        <v>0</v>
      </c>
      <c r="K753" s="373"/>
      <c r="L753" s="370">
        <v>0</v>
      </c>
    </row>
    <row r="754" spans="1:12" hidden="1">
      <c r="A754" s="356">
        <v>41807</v>
      </c>
      <c r="B754" s="236" t="s">
        <v>1677</v>
      </c>
      <c r="C754" s="357">
        <v>35</v>
      </c>
      <c r="D754" s="356">
        <v>41842</v>
      </c>
      <c r="E754" s="360">
        <v>4</v>
      </c>
      <c r="F754" s="358">
        <v>0</v>
      </c>
      <c r="G754" s="358">
        <v>0</v>
      </c>
      <c r="H754" s="358">
        <v>0</v>
      </c>
      <c r="I754" s="358">
        <v>0</v>
      </c>
      <c r="J754" s="358">
        <v>0</v>
      </c>
      <c r="L754" s="357">
        <v>0</v>
      </c>
    </row>
    <row r="755" spans="1:12" hidden="1">
      <c r="A755" s="369">
        <v>41810</v>
      </c>
      <c r="B755" s="1781" t="s">
        <v>1678</v>
      </c>
      <c r="C755" s="370">
        <v>364</v>
      </c>
      <c r="D755" s="369">
        <v>42174</v>
      </c>
      <c r="E755" s="371">
        <v>1</v>
      </c>
      <c r="F755" s="372">
        <v>0.77239999999999998</v>
      </c>
      <c r="G755" s="372">
        <v>0.77239999999999998</v>
      </c>
      <c r="H755" s="372">
        <v>2.9000000000000004</v>
      </c>
      <c r="I755" s="372">
        <v>2.9000000000000004</v>
      </c>
      <c r="J755" s="372">
        <v>2.9000000000000004</v>
      </c>
      <c r="K755" s="373"/>
      <c r="L755" s="370">
        <v>1</v>
      </c>
    </row>
    <row r="756" spans="1:12" hidden="1">
      <c r="A756" s="356">
        <v>41814</v>
      </c>
      <c r="B756" s="236" t="s">
        <v>1679</v>
      </c>
      <c r="C756" s="357">
        <v>182</v>
      </c>
      <c r="D756" s="356">
        <v>41996</v>
      </c>
      <c r="E756" s="360">
        <v>3</v>
      </c>
      <c r="F756" s="358">
        <v>0</v>
      </c>
      <c r="G756" s="358">
        <v>0</v>
      </c>
      <c r="H756" s="358">
        <v>0</v>
      </c>
      <c r="I756" s="358">
        <v>0</v>
      </c>
      <c r="J756" s="358">
        <v>0</v>
      </c>
      <c r="L756" s="357">
        <v>0</v>
      </c>
    </row>
    <row r="757" spans="1:12" hidden="1">
      <c r="A757" s="369">
        <v>41814</v>
      </c>
      <c r="B757" s="1781" t="s">
        <v>1680</v>
      </c>
      <c r="C757" s="370">
        <v>364</v>
      </c>
      <c r="D757" s="369">
        <v>42178</v>
      </c>
      <c r="E757" s="371">
        <v>12</v>
      </c>
      <c r="F757" s="372">
        <v>0</v>
      </c>
      <c r="G757" s="372">
        <v>0</v>
      </c>
      <c r="H757" s="372">
        <v>3.25</v>
      </c>
      <c r="I757" s="372">
        <v>3.25</v>
      </c>
      <c r="J757" s="372">
        <v>0</v>
      </c>
      <c r="K757" s="373"/>
      <c r="L757" s="370">
        <v>0</v>
      </c>
    </row>
    <row r="758" spans="1:12" hidden="1">
      <c r="A758" s="356">
        <v>41817</v>
      </c>
      <c r="B758" s="236" t="s">
        <v>1681</v>
      </c>
      <c r="C758" s="357">
        <v>1092</v>
      </c>
      <c r="D758" s="356">
        <v>42909</v>
      </c>
      <c r="E758" s="360">
        <v>8</v>
      </c>
      <c r="F758" s="358">
        <v>0</v>
      </c>
      <c r="G758" s="358">
        <v>0</v>
      </c>
      <c r="H758" s="358">
        <v>4.25</v>
      </c>
      <c r="I758" s="358">
        <v>4.25</v>
      </c>
      <c r="J758" s="358">
        <v>0</v>
      </c>
      <c r="L758" s="357">
        <v>0</v>
      </c>
    </row>
    <row r="759" spans="1:12" hidden="1">
      <c r="A759" s="369">
        <v>41817</v>
      </c>
      <c r="B759" s="1781" t="s">
        <v>1682</v>
      </c>
      <c r="C759" s="370">
        <v>728</v>
      </c>
      <c r="D759" s="369">
        <v>42545</v>
      </c>
      <c r="E759" s="371">
        <v>3</v>
      </c>
      <c r="F759" s="372">
        <v>0</v>
      </c>
      <c r="G759" s="372">
        <v>0</v>
      </c>
      <c r="H759" s="372">
        <v>3.75</v>
      </c>
      <c r="I759" s="372">
        <v>3.75</v>
      </c>
      <c r="J759" s="372">
        <v>0</v>
      </c>
      <c r="K759" s="373"/>
      <c r="L759" s="370">
        <v>0</v>
      </c>
    </row>
    <row r="760" spans="1:12" hidden="1">
      <c r="A760" s="356">
        <v>41821</v>
      </c>
      <c r="B760" s="236" t="s">
        <v>1687</v>
      </c>
      <c r="C760" s="357">
        <v>91</v>
      </c>
      <c r="D760" s="356">
        <v>41912</v>
      </c>
      <c r="E760" s="360">
        <v>3</v>
      </c>
      <c r="F760" s="358">
        <v>0</v>
      </c>
      <c r="G760" s="358">
        <v>0</v>
      </c>
      <c r="H760" s="358">
        <v>0</v>
      </c>
      <c r="I760" s="358">
        <v>0</v>
      </c>
      <c r="J760" s="358">
        <v>0</v>
      </c>
      <c r="L760" s="357">
        <v>0</v>
      </c>
    </row>
    <row r="761" spans="1:12" hidden="1">
      <c r="A761" s="369">
        <v>41821</v>
      </c>
      <c r="B761" s="1781" t="s">
        <v>1688</v>
      </c>
      <c r="C761" s="370">
        <v>35</v>
      </c>
      <c r="D761" s="369">
        <v>41856</v>
      </c>
      <c r="E761" s="371">
        <v>3</v>
      </c>
      <c r="F761" s="372">
        <v>0</v>
      </c>
      <c r="G761" s="372">
        <v>0</v>
      </c>
      <c r="H761" s="372">
        <v>0</v>
      </c>
      <c r="I761" s="372">
        <v>0</v>
      </c>
      <c r="J761" s="372">
        <v>0</v>
      </c>
      <c r="K761" s="373"/>
      <c r="L761" s="370">
        <v>0</v>
      </c>
    </row>
    <row r="762" spans="1:12" hidden="1">
      <c r="A762" s="356">
        <v>41824</v>
      </c>
      <c r="B762" s="236" t="s">
        <v>1689</v>
      </c>
      <c r="C762" s="357">
        <v>364</v>
      </c>
      <c r="D762" s="356">
        <v>42188</v>
      </c>
      <c r="E762" s="360">
        <v>1</v>
      </c>
      <c r="F762" s="358">
        <v>0.31919999999999998</v>
      </c>
      <c r="G762" s="358">
        <v>0.31919999999999998</v>
      </c>
      <c r="H762" s="358">
        <v>2.9899999999999998</v>
      </c>
      <c r="I762" s="358">
        <v>2.9899999999999998</v>
      </c>
      <c r="J762" s="358">
        <v>2.9899999999999998</v>
      </c>
      <c r="L762" s="357">
        <v>1</v>
      </c>
    </row>
    <row r="763" spans="1:12" hidden="1">
      <c r="A763" s="369">
        <v>41828</v>
      </c>
      <c r="B763" s="1781" t="s">
        <v>1690</v>
      </c>
      <c r="C763" s="370">
        <v>182</v>
      </c>
      <c r="D763" s="369">
        <v>42010</v>
      </c>
      <c r="E763" s="371">
        <v>4</v>
      </c>
      <c r="F763" s="372">
        <v>0</v>
      </c>
      <c r="G763" s="372">
        <v>0</v>
      </c>
      <c r="H763" s="372">
        <v>0</v>
      </c>
      <c r="I763" s="372">
        <v>0</v>
      </c>
      <c r="J763" s="372">
        <v>0</v>
      </c>
      <c r="K763" s="373"/>
      <c r="L763" s="370">
        <v>0</v>
      </c>
    </row>
    <row r="764" spans="1:12" hidden="1">
      <c r="A764" s="356">
        <v>41828</v>
      </c>
      <c r="B764" s="236" t="s">
        <v>1691</v>
      </c>
      <c r="C764" s="357">
        <v>364</v>
      </c>
      <c r="D764" s="356">
        <v>42192</v>
      </c>
      <c r="E764" s="360">
        <v>12</v>
      </c>
      <c r="F764" s="358">
        <v>0</v>
      </c>
      <c r="G764" s="358">
        <v>0</v>
      </c>
      <c r="H764" s="358">
        <v>0</v>
      </c>
      <c r="I764" s="358">
        <v>0</v>
      </c>
      <c r="J764" s="358">
        <v>0</v>
      </c>
      <c r="L764" s="357">
        <v>0</v>
      </c>
    </row>
    <row r="765" spans="1:12" hidden="1">
      <c r="A765" s="369">
        <v>41831</v>
      </c>
      <c r="B765" s="1781" t="s">
        <v>1692</v>
      </c>
      <c r="C765" s="370">
        <v>728</v>
      </c>
      <c r="D765" s="369">
        <v>42559</v>
      </c>
      <c r="E765" s="371">
        <v>4</v>
      </c>
      <c r="F765" s="372">
        <v>0</v>
      </c>
      <c r="G765" s="372">
        <v>0</v>
      </c>
      <c r="H765" s="372">
        <v>3.75</v>
      </c>
      <c r="I765" s="372">
        <v>3.75</v>
      </c>
      <c r="J765" s="372">
        <v>0</v>
      </c>
      <c r="K765" s="373"/>
      <c r="L765" s="370">
        <v>0</v>
      </c>
    </row>
    <row r="766" spans="1:12" hidden="1">
      <c r="A766" s="356">
        <v>41831</v>
      </c>
      <c r="B766" s="236" t="s">
        <v>1693</v>
      </c>
      <c r="C766" s="357">
        <v>1092</v>
      </c>
      <c r="D766" s="356">
        <v>42923</v>
      </c>
      <c r="E766" s="360">
        <v>9</v>
      </c>
      <c r="F766" s="358">
        <v>6.5</v>
      </c>
      <c r="G766" s="358">
        <v>6.5</v>
      </c>
      <c r="H766" s="358">
        <v>4.25</v>
      </c>
      <c r="I766" s="358">
        <v>4.25</v>
      </c>
      <c r="J766" s="358">
        <v>4.25</v>
      </c>
      <c r="L766" s="357">
        <v>2</v>
      </c>
    </row>
    <row r="767" spans="1:12" hidden="1">
      <c r="A767" s="369">
        <v>41835</v>
      </c>
      <c r="B767" s="1781" t="s">
        <v>1694</v>
      </c>
      <c r="C767" s="370">
        <v>35</v>
      </c>
      <c r="D767" s="369">
        <v>41870</v>
      </c>
      <c r="E767" s="371">
        <v>4</v>
      </c>
      <c r="F767" s="372">
        <v>0</v>
      </c>
      <c r="G767" s="372">
        <v>0</v>
      </c>
      <c r="H767" s="372">
        <v>0</v>
      </c>
      <c r="I767" s="372">
        <v>0</v>
      </c>
      <c r="J767" s="372">
        <v>0</v>
      </c>
      <c r="K767" s="373"/>
      <c r="L767" s="370">
        <v>0</v>
      </c>
    </row>
    <row r="768" spans="1:12" hidden="1">
      <c r="A768" s="356">
        <v>41835</v>
      </c>
      <c r="B768" s="236" t="s">
        <v>1695</v>
      </c>
      <c r="C768" s="357">
        <v>91</v>
      </c>
      <c r="D768" s="356">
        <v>41926</v>
      </c>
      <c r="E768" s="360">
        <v>4</v>
      </c>
      <c r="F768" s="358">
        <v>0</v>
      </c>
      <c r="G768" s="358">
        <v>0</v>
      </c>
      <c r="H768" s="358">
        <v>0</v>
      </c>
      <c r="I768" s="358">
        <v>0</v>
      </c>
      <c r="J768" s="358">
        <v>0</v>
      </c>
      <c r="L768" s="357">
        <v>0</v>
      </c>
    </row>
    <row r="769" spans="1:12" hidden="1">
      <c r="A769" s="369">
        <v>41838</v>
      </c>
      <c r="B769" s="1781" t="s">
        <v>1696</v>
      </c>
      <c r="C769" s="370">
        <v>364</v>
      </c>
      <c r="D769" s="369">
        <v>42202</v>
      </c>
      <c r="E769" s="371">
        <v>1</v>
      </c>
      <c r="F769" s="372">
        <v>0</v>
      </c>
      <c r="G769" s="372">
        <v>0</v>
      </c>
      <c r="H769" s="372">
        <v>0</v>
      </c>
      <c r="I769" s="372">
        <v>0</v>
      </c>
      <c r="J769" s="372">
        <v>0</v>
      </c>
      <c r="K769" s="373"/>
      <c r="L769" s="370">
        <v>0</v>
      </c>
    </row>
    <row r="770" spans="1:12" hidden="1">
      <c r="A770" s="356">
        <v>41842</v>
      </c>
      <c r="B770" s="236" t="s">
        <v>1697</v>
      </c>
      <c r="C770" s="357">
        <v>182</v>
      </c>
      <c r="D770" s="356">
        <v>42024</v>
      </c>
      <c r="E770" s="360">
        <v>4</v>
      </c>
      <c r="F770" s="358">
        <v>0</v>
      </c>
      <c r="G770" s="358">
        <v>0</v>
      </c>
      <c r="H770" s="358">
        <v>0</v>
      </c>
      <c r="I770" s="358">
        <v>0</v>
      </c>
      <c r="J770" s="358">
        <v>0</v>
      </c>
      <c r="L770" s="357">
        <v>0</v>
      </c>
    </row>
    <row r="771" spans="1:12" hidden="1">
      <c r="A771" s="369">
        <v>41842</v>
      </c>
      <c r="B771" s="1781" t="s">
        <v>1698</v>
      </c>
      <c r="C771" s="370">
        <v>364</v>
      </c>
      <c r="D771" s="369">
        <v>42206</v>
      </c>
      <c r="E771" s="371">
        <v>12</v>
      </c>
      <c r="F771" s="372">
        <v>0</v>
      </c>
      <c r="G771" s="372">
        <v>0</v>
      </c>
      <c r="H771" s="372">
        <v>3.25</v>
      </c>
      <c r="I771" s="372">
        <v>3.25</v>
      </c>
      <c r="J771" s="372">
        <v>0</v>
      </c>
      <c r="K771" s="373"/>
      <c r="L771" s="370">
        <v>0</v>
      </c>
    </row>
    <row r="772" spans="1:12" hidden="1">
      <c r="A772" s="356">
        <v>41845</v>
      </c>
      <c r="B772" s="236" t="s">
        <v>1699</v>
      </c>
      <c r="C772" s="357">
        <v>728</v>
      </c>
      <c r="D772" s="356">
        <v>42573</v>
      </c>
      <c r="E772" s="360">
        <v>3</v>
      </c>
      <c r="F772" s="358">
        <v>0</v>
      </c>
      <c r="G772" s="358">
        <v>0</v>
      </c>
      <c r="H772" s="358">
        <v>3.75</v>
      </c>
      <c r="I772" s="358">
        <v>3.75</v>
      </c>
      <c r="J772" s="358">
        <v>0</v>
      </c>
      <c r="L772" s="357">
        <v>0</v>
      </c>
    </row>
    <row r="773" spans="1:12" hidden="1">
      <c r="A773" s="369">
        <v>41845</v>
      </c>
      <c r="B773" s="1781" t="s">
        <v>1700</v>
      </c>
      <c r="C773" s="370">
        <v>1092</v>
      </c>
      <c r="D773" s="369">
        <v>42937</v>
      </c>
      <c r="E773" s="371">
        <v>8</v>
      </c>
      <c r="F773" s="372">
        <v>2</v>
      </c>
      <c r="G773" s="372">
        <v>2</v>
      </c>
      <c r="H773" s="372">
        <v>4.25</v>
      </c>
      <c r="I773" s="372">
        <v>4.25</v>
      </c>
      <c r="J773" s="372">
        <v>4.25</v>
      </c>
      <c r="K773" s="373"/>
      <c r="L773" s="370">
        <v>1</v>
      </c>
    </row>
    <row r="774" spans="1:12" hidden="1">
      <c r="A774" s="356">
        <v>41863</v>
      </c>
      <c r="B774" s="236" t="s">
        <v>1706</v>
      </c>
      <c r="C774" s="357">
        <v>182</v>
      </c>
      <c r="D774" s="356">
        <v>42045</v>
      </c>
      <c r="E774" s="360">
        <v>4</v>
      </c>
      <c r="F774" s="358">
        <v>0</v>
      </c>
      <c r="G774" s="358">
        <v>0</v>
      </c>
      <c r="H774" s="358">
        <v>0</v>
      </c>
      <c r="I774" s="358">
        <v>0</v>
      </c>
      <c r="J774" s="358">
        <v>0</v>
      </c>
      <c r="L774" s="357">
        <v>0</v>
      </c>
    </row>
    <row r="775" spans="1:12" hidden="1">
      <c r="A775" s="369">
        <v>41863</v>
      </c>
      <c r="B775" s="1781" t="s">
        <v>1707</v>
      </c>
      <c r="C775" s="370">
        <v>364</v>
      </c>
      <c r="D775" s="369">
        <v>42227</v>
      </c>
      <c r="E775" s="371">
        <v>12</v>
      </c>
      <c r="F775" s="372">
        <v>0</v>
      </c>
      <c r="G775" s="372">
        <v>0</v>
      </c>
      <c r="H775" s="372">
        <v>3.25</v>
      </c>
      <c r="I775" s="372">
        <v>3.25</v>
      </c>
      <c r="J775" s="372">
        <v>3.25</v>
      </c>
      <c r="K775" s="373"/>
      <c r="L775" s="370">
        <v>0</v>
      </c>
    </row>
    <row r="776" spans="1:12" hidden="1">
      <c r="A776" s="356">
        <v>41866</v>
      </c>
      <c r="B776" s="236" t="s">
        <v>1708</v>
      </c>
      <c r="C776" s="357">
        <v>728</v>
      </c>
      <c r="D776" s="356">
        <v>42594</v>
      </c>
      <c r="E776" s="360">
        <v>4</v>
      </c>
      <c r="F776" s="358">
        <v>0</v>
      </c>
      <c r="G776" s="358">
        <v>0</v>
      </c>
      <c r="H776" s="358">
        <v>3.75</v>
      </c>
      <c r="I776" s="358">
        <v>3.75</v>
      </c>
      <c r="J776" s="358">
        <v>3.75</v>
      </c>
      <c r="L776" s="357">
        <v>0</v>
      </c>
    </row>
    <row r="777" spans="1:12" hidden="1">
      <c r="A777" s="369">
        <v>41866</v>
      </c>
      <c r="B777" s="1781" t="s">
        <v>1709</v>
      </c>
      <c r="C777" s="370">
        <v>1092</v>
      </c>
      <c r="D777" s="369">
        <v>42958</v>
      </c>
      <c r="E777" s="371">
        <v>9</v>
      </c>
      <c r="F777" s="372">
        <v>1.8</v>
      </c>
      <c r="G777" s="372">
        <v>1.8</v>
      </c>
      <c r="H777" s="372">
        <v>4.25</v>
      </c>
      <c r="I777" s="372">
        <v>4.25</v>
      </c>
      <c r="J777" s="372">
        <v>4.25</v>
      </c>
      <c r="K777" s="373"/>
      <c r="L777" s="370">
        <v>1</v>
      </c>
    </row>
    <row r="778" spans="1:12" hidden="1">
      <c r="A778" s="356">
        <v>41884</v>
      </c>
      <c r="B778" s="236" t="s">
        <v>1715</v>
      </c>
      <c r="C778" s="357">
        <v>35</v>
      </c>
      <c r="D778" s="356">
        <v>41919</v>
      </c>
      <c r="E778" s="360">
        <v>3</v>
      </c>
      <c r="F778" s="358">
        <v>0</v>
      </c>
      <c r="G778" s="358">
        <v>0</v>
      </c>
      <c r="H778" s="358">
        <v>0</v>
      </c>
      <c r="I778" s="358">
        <v>0</v>
      </c>
      <c r="J778" s="358">
        <v>0</v>
      </c>
      <c r="L778" s="357">
        <v>0</v>
      </c>
    </row>
    <row r="779" spans="1:12" hidden="1">
      <c r="A779" s="369">
        <v>41884</v>
      </c>
      <c r="B779" s="1781" t="s">
        <v>1716</v>
      </c>
      <c r="C779" s="370">
        <v>91</v>
      </c>
      <c r="D779" s="369">
        <v>41975</v>
      </c>
      <c r="E779" s="371">
        <v>3</v>
      </c>
      <c r="F779" s="372">
        <v>0</v>
      </c>
      <c r="G779" s="372">
        <v>0</v>
      </c>
      <c r="H779" s="372">
        <v>0</v>
      </c>
      <c r="I779" s="372">
        <v>0</v>
      </c>
      <c r="J779" s="372">
        <v>0</v>
      </c>
      <c r="K779" s="373"/>
      <c r="L779" s="370">
        <v>0</v>
      </c>
    </row>
    <row r="780" spans="1:12" hidden="1">
      <c r="A780" s="356">
        <v>41887</v>
      </c>
      <c r="B780" s="236" t="s">
        <v>1717</v>
      </c>
      <c r="C780" s="357">
        <v>364</v>
      </c>
      <c r="D780" s="356">
        <v>42251</v>
      </c>
      <c r="E780" s="360">
        <v>1</v>
      </c>
      <c r="F780" s="358">
        <v>0</v>
      </c>
      <c r="G780" s="358">
        <v>0</v>
      </c>
      <c r="H780" s="358">
        <v>0</v>
      </c>
      <c r="I780" s="358">
        <v>0</v>
      </c>
      <c r="J780" s="358">
        <v>0</v>
      </c>
      <c r="L780" s="357">
        <v>0</v>
      </c>
    </row>
    <row r="781" spans="1:12" hidden="1">
      <c r="A781" s="369">
        <v>41891</v>
      </c>
      <c r="B781" s="1781" t="s">
        <v>1718</v>
      </c>
      <c r="C781" s="370">
        <v>182</v>
      </c>
      <c r="D781" s="369">
        <v>42073</v>
      </c>
      <c r="E781" s="371">
        <v>4</v>
      </c>
      <c r="F781" s="372">
        <v>0</v>
      </c>
      <c r="G781" s="372">
        <v>0</v>
      </c>
      <c r="H781" s="372">
        <v>0</v>
      </c>
      <c r="I781" s="372">
        <v>0</v>
      </c>
      <c r="J781" s="372">
        <v>0</v>
      </c>
      <c r="K781" s="373"/>
      <c r="L781" s="370">
        <v>0</v>
      </c>
    </row>
    <row r="782" spans="1:12" hidden="1">
      <c r="A782" s="356">
        <v>41891</v>
      </c>
      <c r="B782" s="236" t="s">
        <v>1719</v>
      </c>
      <c r="C782" s="357">
        <v>364</v>
      </c>
      <c r="D782" s="356">
        <v>42255</v>
      </c>
      <c r="E782" s="360">
        <v>12</v>
      </c>
      <c r="F782" s="358">
        <v>0</v>
      </c>
      <c r="G782" s="358">
        <v>0</v>
      </c>
      <c r="H782" s="358">
        <v>3.25</v>
      </c>
      <c r="I782" s="358">
        <v>3.25</v>
      </c>
      <c r="J782" s="358">
        <v>3.25</v>
      </c>
      <c r="L782" s="357">
        <v>0</v>
      </c>
    </row>
    <row r="783" spans="1:12" hidden="1">
      <c r="A783" s="369">
        <v>41894</v>
      </c>
      <c r="B783" s="1781" t="s">
        <v>1720</v>
      </c>
      <c r="C783" s="370">
        <v>728</v>
      </c>
      <c r="D783" s="369">
        <v>42622</v>
      </c>
      <c r="E783" s="371">
        <v>4</v>
      </c>
      <c r="F783" s="372">
        <v>0</v>
      </c>
      <c r="G783" s="372">
        <v>0</v>
      </c>
      <c r="H783" s="372">
        <v>3.75</v>
      </c>
      <c r="I783" s="372">
        <v>3.75</v>
      </c>
      <c r="J783" s="372">
        <v>3.75</v>
      </c>
      <c r="K783" s="373"/>
      <c r="L783" s="370">
        <v>0</v>
      </c>
    </row>
    <row r="784" spans="1:12" hidden="1">
      <c r="A784" s="356">
        <v>41894</v>
      </c>
      <c r="B784" s="236" t="s">
        <v>1721</v>
      </c>
      <c r="C784" s="357">
        <v>1092</v>
      </c>
      <c r="D784" s="356">
        <v>42986</v>
      </c>
      <c r="E784" s="360">
        <v>9</v>
      </c>
      <c r="F784" s="358">
        <v>3</v>
      </c>
      <c r="G784" s="358">
        <v>3</v>
      </c>
      <c r="H784" s="358">
        <v>4.25</v>
      </c>
      <c r="I784" s="358">
        <v>4.25</v>
      </c>
      <c r="J784" s="358">
        <v>4.25</v>
      </c>
      <c r="L784" s="357">
        <v>1</v>
      </c>
    </row>
    <row r="785" spans="1:12" hidden="1">
      <c r="A785" s="369">
        <v>41898</v>
      </c>
      <c r="B785" s="1781" t="s">
        <v>1722</v>
      </c>
      <c r="C785" s="370">
        <v>35</v>
      </c>
      <c r="D785" s="369">
        <v>41933</v>
      </c>
      <c r="E785" s="371">
        <v>4</v>
      </c>
      <c r="F785" s="372">
        <v>0</v>
      </c>
      <c r="G785" s="372">
        <v>0</v>
      </c>
      <c r="H785" s="372">
        <v>0</v>
      </c>
      <c r="I785" s="372">
        <v>0</v>
      </c>
      <c r="J785" s="372">
        <v>0</v>
      </c>
      <c r="K785" s="373"/>
      <c r="L785" s="370">
        <v>0</v>
      </c>
    </row>
    <row r="786" spans="1:12" hidden="1">
      <c r="A786" s="356">
        <v>41898</v>
      </c>
      <c r="B786" s="236" t="s">
        <v>1723</v>
      </c>
      <c r="C786" s="357">
        <v>91</v>
      </c>
      <c r="D786" s="356">
        <v>41989</v>
      </c>
      <c r="E786" s="360">
        <v>4</v>
      </c>
      <c r="F786" s="358">
        <v>0</v>
      </c>
      <c r="G786" s="358">
        <v>0</v>
      </c>
      <c r="H786" s="358">
        <v>0</v>
      </c>
      <c r="I786" s="358">
        <v>0</v>
      </c>
      <c r="J786" s="358">
        <v>0</v>
      </c>
      <c r="L786" s="357">
        <v>0</v>
      </c>
    </row>
    <row r="787" spans="1:12" hidden="1">
      <c r="A787" s="369">
        <v>41901</v>
      </c>
      <c r="B787" s="1781" t="s">
        <v>1724</v>
      </c>
      <c r="C787" s="370">
        <v>364</v>
      </c>
      <c r="D787" s="369">
        <v>42265</v>
      </c>
      <c r="E787" s="371">
        <v>2</v>
      </c>
      <c r="F787" s="372">
        <v>0</v>
      </c>
      <c r="G787" s="372">
        <v>0</v>
      </c>
      <c r="H787" s="372">
        <v>0</v>
      </c>
      <c r="I787" s="372">
        <v>0</v>
      </c>
      <c r="J787" s="372">
        <v>0</v>
      </c>
      <c r="K787" s="373"/>
      <c r="L787" s="370">
        <v>0</v>
      </c>
    </row>
    <row r="788" spans="1:12" hidden="1">
      <c r="A788" s="356">
        <v>41905</v>
      </c>
      <c r="B788" s="236" t="s">
        <v>1725</v>
      </c>
      <c r="C788" s="357">
        <v>182</v>
      </c>
      <c r="D788" s="356">
        <v>42087</v>
      </c>
      <c r="E788" s="360">
        <v>4</v>
      </c>
      <c r="F788" s="358">
        <v>0</v>
      </c>
      <c r="G788" s="358">
        <v>0</v>
      </c>
      <c r="H788" s="358">
        <v>0</v>
      </c>
      <c r="I788" s="358">
        <v>0</v>
      </c>
      <c r="J788" s="358">
        <v>0</v>
      </c>
      <c r="L788" s="357">
        <v>0</v>
      </c>
    </row>
    <row r="789" spans="1:12" hidden="1">
      <c r="A789" s="369">
        <v>41905</v>
      </c>
      <c r="B789" s="1781" t="s">
        <v>1726</v>
      </c>
      <c r="C789" s="370">
        <v>364</v>
      </c>
      <c r="D789" s="369">
        <v>42269</v>
      </c>
      <c r="E789" s="371">
        <v>14</v>
      </c>
      <c r="F789" s="372">
        <v>0</v>
      </c>
      <c r="G789" s="372">
        <v>0</v>
      </c>
      <c r="H789" s="372">
        <v>3.25</v>
      </c>
      <c r="I789" s="372">
        <v>3.25</v>
      </c>
      <c r="J789" s="372">
        <v>3.25</v>
      </c>
      <c r="K789" s="373"/>
      <c r="L789" s="370">
        <v>0</v>
      </c>
    </row>
    <row r="790" spans="1:12" hidden="1">
      <c r="A790" s="356">
        <v>41908</v>
      </c>
      <c r="B790" s="236" t="s">
        <v>1727</v>
      </c>
      <c r="C790" s="357">
        <v>728</v>
      </c>
      <c r="D790" s="356">
        <v>42636</v>
      </c>
      <c r="E790" s="360">
        <v>4</v>
      </c>
      <c r="F790" s="358">
        <v>1.0024</v>
      </c>
      <c r="G790" s="358">
        <v>1.0024</v>
      </c>
      <c r="H790" s="358">
        <v>3.75</v>
      </c>
      <c r="I790" s="358">
        <v>3.75</v>
      </c>
      <c r="J790" s="358">
        <v>3.75</v>
      </c>
      <c r="L790" s="357">
        <v>1</v>
      </c>
    </row>
    <row r="791" spans="1:12" hidden="1">
      <c r="A791" s="369">
        <v>41908</v>
      </c>
      <c r="B791" s="1781" t="s">
        <v>1728</v>
      </c>
      <c r="C791" s="370">
        <v>1092</v>
      </c>
      <c r="D791" s="369">
        <v>43000</v>
      </c>
      <c r="E791" s="371">
        <v>9</v>
      </c>
      <c r="F791" s="372">
        <v>0</v>
      </c>
      <c r="G791" s="372">
        <v>0</v>
      </c>
      <c r="H791" s="372">
        <v>4.25</v>
      </c>
      <c r="I791" s="372">
        <v>4.25</v>
      </c>
      <c r="J791" s="372">
        <v>4.25</v>
      </c>
      <c r="K791" s="373"/>
      <c r="L791" s="370">
        <v>0</v>
      </c>
    </row>
    <row r="792" spans="1:12" hidden="1">
      <c r="A792" s="356">
        <v>41915</v>
      </c>
      <c r="B792" s="236" t="s">
        <v>1733</v>
      </c>
      <c r="C792" s="357">
        <v>35</v>
      </c>
      <c r="D792" s="356">
        <v>41950</v>
      </c>
      <c r="E792" s="360">
        <v>3</v>
      </c>
      <c r="F792" s="358">
        <v>2.0028000000000001</v>
      </c>
      <c r="G792" s="358">
        <v>2.0028000000000001</v>
      </c>
      <c r="H792" s="358">
        <v>1.46</v>
      </c>
      <c r="I792" s="358">
        <v>1.46</v>
      </c>
      <c r="J792" s="358">
        <v>1.46</v>
      </c>
      <c r="L792" s="357">
        <v>1</v>
      </c>
    </row>
    <row r="793" spans="1:12" hidden="1">
      <c r="A793" s="369">
        <v>41915</v>
      </c>
      <c r="B793" s="1781" t="s">
        <v>1733</v>
      </c>
      <c r="C793" s="370">
        <v>91</v>
      </c>
      <c r="D793" s="369">
        <v>42006</v>
      </c>
      <c r="E793" s="371">
        <v>3</v>
      </c>
      <c r="F793" s="372">
        <v>0</v>
      </c>
      <c r="G793" s="372">
        <v>0</v>
      </c>
      <c r="H793" s="372">
        <v>0</v>
      </c>
      <c r="I793" s="372">
        <v>0</v>
      </c>
      <c r="J793" s="372">
        <v>0</v>
      </c>
      <c r="K793" s="373"/>
      <c r="L793" s="370">
        <v>0</v>
      </c>
    </row>
    <row r="794" spans="1:12" hidden="1">
      <c r="A794" s="356">
        <v>41922</v>
      </c>
      <c r="B794" s="236" t="s">
        <v>1734</v>
      </c>
      <c r="C794" s="357">
        <v>364</v>
      </c>
      <c r="D794" s="356">
        <v>42286</v>
      </c>
      <c r="E794" s="360">
        <v>1</v>
      </c>
      <c r="F794" s="358">
        <v>0</v>
      </c>
      <c r="G794" s="358">
        <v>0</v>
      </c>
      <c r="H794" s="358">
        <v>0</v>
      </c>
      <c r="I794" s="358">
        <v>0</v>
      </c>
      <c r="J794" s="358">
        <v>0</v>
      </c>
      <c r="L794" s="357">
        <v>0</v>
      </c>
    </row>
    <row r="795" spans="1:12" hidden="1">
      <c r="A795" s="369">
        <v>41926</v>
      </c>
      <c r="B795" s="1781" t="s">
        <v>1735</v>
      </c>
      <c r="C795" s="370">
        <v>182</v>
      </c>
      <c r="D795" s="369">
        <v>42108</v>
      </c>
      <c r="E795" s="371">
        <v>4</v>
      </c>
      <c r="F795" s="372">
        <v>0</v>
      </c>
      <c r="G795" s="372">
        <v>0</v>
      </c>
      <c r="H795" s="372">
        <v>0</v>
      </c>
      <c r="I795" s="372">
        <v>0</v>
      </c>
      <c r="J795" s="372">
        <v>0</v>
      </c>
      <c r="K795" s="373"/>
      <c r="L795" s="370">
        <v>0</v>
      </c>
    </row>
    <row r="796" spans="1:12" hidden="1">
      <c r="A796" s="356">
        <v>41926</v>
      </c>
      <c r="B796" s="236" t="s">
        <v>1736</v>
      </c>
      <c r="C796" s="357">
        <v>364</v>
      </c>
      <c r="D796" s="356">
        <v>42290</v>
      </c>
      <c r="E796" s="360">
        <v>12</v>
      </c>
      <c r="F796" s="358">
        <v>0</v>
      </c>
      <c r="G796" s="358">
        <v>0</v>
      </c>
      <c r="H796" s="358">
        <v>3.25</v>
      </c>
      <c r="I796" s="358">
        <v>3.25</v>
      </c>
      <c r="J796" s="358">
        <v>3.25</v>
      </c>
      <c r="L796" s="357">
        <v>0</v>
      </c>
    </row>
    <row r="797" spans="1:12" hidden="1">
      <c r="A797" s="369">
        <v>41929</v>
      </c>
      <c r="B797" s="1781" t="s">
        <v>1734</v>
      </c>
      <c r="C797" s="370">
        <v>728</v>
      </c>
      <c r="D797" s="369">
        <v>42657</v>
      </c>
      <c r="E797" s="371">
        <v>4</v>
      </c>
      <c r="F797" s="372">
        <v>0</v>
      </c>
      <c r="G797" s="372">
        <v>0</v>
      </c>
      <c r="H797" s="372">
        <v>3.75</v>
      </c>
      <c r="I797" s="372">
        <v>3.75</v>
      </c>
      <c r="J797" s="372">
        <v>3.75</v>
      </c>
      <c r="K797" s="373"/>
      <c r="L797" s="370">
        <v>0</v>
      </c>
    </row>
    <row r="798" spans="1:12" hidden="1">
      <c r="A798" s="356">
        <v>41929</v>
      </c>
      <c r="B798" s="236" t="s">
        <v>1737</v>
      </c>
      <c r="C798" s="357">
        <v>1092</v>
      </c>
      <c r="D798" s="356">
        <v>43021</v>
      </c>
      <c r="E798" s="360">
        <v>9</v>
      </c>
      <c r="F798" s="358">
        <v>5.3</v>
      </c>
      <c r="G798" s="358">
        <v>5.3</v>
      </c>
      <c r="H798" s="358">
        <v>4.25</v>
      </c>
      <c r="I798" s="358">
        <v>4.25</v>
      </c>
      <c r="J798" s="358">
        <v>4.25</v>
      </c>
      <c r="L798" s="357">
        <v>1</v>
      </c>
    </row>
    <row r="799" spans="1:12" hidden="1">
      <c r="A799" s="369">
        <v>41933</v>
      </c>
      <c r="B799" s="1781" t="s">
        <v>1738</v>
      </c>
      <c r="C799" s="370">
        <v>35</v>
      </c>
      <c r="D799" s="369">
        <v>41968</v>
      </c>
      <c r="E799" s="371">
        <v>4</v>
      </c>
      <c r="F799" s="372">
        <v>0</v>
      </c>
      <c r="G799" s="372">
        <v>0</v>
      </c>
      <c r="H799" s="372">
        <v>0</v>
      </c>
      <c r="I799" s="372">
        <v>0</v>
      </c>
      <c r="J799" s="372">
        <v>0</v>
      </c>
      <c r="K799" s="373"/>
      <c r="L799" s="370">
        <v>0</v>
      </c>
    </row>
    <row r="800" spans="1:12" hidden="1">
      <c r="A800" s="356">
        <v>41933</v>
      </c>
      <c r="B800" s="236" t="s">
        <v>1739</v>
      </c>
      <c r="C800" s="357">
        <v>91</v>
      </c>
      <c r="D800" s="356">
        <v>42024</v>
      </c>
      <c r="E800" s="360">
        <v>4</v>
      </c>
      <c r="F800" s="358">
        <v>0</v>
      </c>
      <c r="G800" s="358">
        <v>0</v>
      </c>
      <c r="H800" s="358">
        <v>0</v>
      </c>
      <c r="I800" s="358">
        <v>0</v>
      </c>
      <c r="J800" s="358">
        <v>0</v>
      </c>
      <c r="L800" s="357">
        <v>0</v>
      </c>
    </row>
    <row r="801" spans="1:12" hidden="1">
      <c r="A801" s="369">
        <v>41936</v>
      </c>
      <c r="B801" s="1781" t="s">
        <v>1740</v>
      </c>
      <c r="C801" s="370">
        <v>364</v>
      </c>
      <c r="D801" s="369">
        <v>42300</v>
      </c>
      <c r="E801" s="371">
        <v>2</v>
      </c>
      <c r="F801" s="372">
        <v>0</v>
      </c>
      <c r="G801" s="372">
        <v>0</v>
      </c>
      <c r="H801" s="372">
        <v>0</v>
      </c>
      <c r="I801" s="372">
        <v>0</v>
      </c>
      <c r="J801" s="372">
        <v>0</v>
      </c>
      <c r="K801" s="373"/>
      <c r="L801" s="370">
        <v>0</v>
      </c>
    </row>
    <row r="802" spans="1:12" hidden="1">
      <c r="A802" s="356">
        <v>41940</v>
      </c>
      <c r="B802" s="236" t="s">
        <v>1741</v>
      </c>
      <c r="C802" s="357">
        <v>182</v>
      </c>
      <c r="D802" s="356">
        <v>42122</v>
      </c>
      <c r="E802" s="360">
        <v>4</v>
      </c>
      <c r="F802" s="358">
        <v>0</v>
      </c>
      <c r="G802" s="358">
        <v>0</v>
      </c>
      <c r="H802" s="358">
        <v>0</v>
      </c>
      <c r="I802" s="358">
        <v>0</v>
      </c>
      <c r="J802" s="358">
        <v>0</v>
      </c>
      <c r="L802" s="357">
        <v>0</v>
      </c>
    </row>
    <row r="803" spans="1:12" hidden="1">
      <c r="A803" s="369">
        <v>41940</v>
      </c>
      <c r="B803" s="1781" t="s">
        <v>1742</v>
      </c>
      <c r="C803" s="370">
        <v>364</v>
      </c>
      <c r="D803" s="369">
        <v>42304</v>
      </c>
      <c r="E803" s="371">
        <v>14</v>
      </c>
      <c r="F803" s="372">
        <v>0</v>
      </c>
      <c r="G803" s="372">
        <v>0</v>
      </c>
      <c r="H803" s="372">
        <v>3.25</v>
      </c>
      <c r="I803" s="372">
        <v>3.25</v>
      </c>
      <c r="J803" s="372">
        <v>3.25</v>
      </c>
      <c r="K803" s="373"/>
      <c r="L803" s="370">
        <v>0</v>
      </c>
    </row>
    <row r="804" spans="1:12" hidden="1">
      <c r="A804" s="356">
        <v>41943</v>
      </c>
      <c r="B804" s="236" t="s">
        <v>1743</v>
      </c>
      <c r="C804" s="357">
        <v>728</v>
      </c>
      <c r="D804" s="356">
        <v>42671</v>
      </c>
      <c r="E804" s="360">
        <v>4</v>
      </c>
      <c r="F804" s="358">
        <v>0</v>
      </c>
      <c r="G804" s="358">
        <v>0</v>
      </c>
      <c r="H804" s="358">
        <v>3.75</v>
      </c>
      <c r="I804" s="358">
        <v>3.75</v>
      </c>
      <c r="J804" s="358">
        <v>3.75</v>
      </c>
      <c r="L804" s="357">
        <v>0</v>
      </c>
    </row>
    <row r="805" spans="1:12" hidden="1">
      <c r="A805" s="369">
        <v>41943</v>
      </c>
      <c r="B805" s="1781" t="s">
        <v>1744</v>
      </c>
      <c r="C805" s="370">
        <v>1092</v>
      </c>
      <c r="D805" s="369">
        <v>43035</v>
      </c>
      <c r="E805" s="371">
        <v>9</v>
      </c>
      <c r="F805" s="372">
        <v>0</v>
      </c>
      <c r="G805" s="372">
        <v>0</v>
      </c>
      <c r="H805" s="372">
        <v>4.25</v>
      </c>
      <c r="I805" s="372">
        <v>4.25</v>
      </c>
      <c r="J805" s="372">
        <v>4.25</v>
      </c>
      <c r="K805" s="373"/>
      <c r="L805" s="370">
        <v>0</v>
      </c>
    </row>
    <row r="806" spans="1:12" hidden="1">
      <c r="A806" s="369">
        <v>41957</v>
      </c>
      <c r="B806" s="1781" t="s">
        <v>1751</v>
      </c>
      <c r="C806" s="370">
        <v>728</v>
      </c>
      <c r="D806" s="369">
        <v>42685</v>
      </c>
      <c r="E806" s="371">
        <v>4</v>
      </c>
      <c r="F806" s="372">
        <v>0</v>
      </c>
      <c r="G806" s="372">
        <v>0</v>
      </c>
      <c r="H806" s="372"/>
      <c r="I806" s="372">
        <v>3.75</v>
      </c>
      <c r="J806" s="372">
        <v>3.75</v>
      </c>
      <c r="K806" s="373"/>
      <c r="L806" s="370">
        <v>0</v>
      </c>
    </row>
    <row r="807" spans="1:12" hidden="1">
      <c r="A807" s="356">
        <v>41957</v>
      </c>
      <c r="B807" s="236" t="s">
        <v>1752</v>
      </c>
      <c r="C807" s="357">
        <v>1092</v>
      </c>
      <c r="D807" s="356">
        <v>43049</v>
      </c>
      <c r="E807" s="360">
        <v>9</v>
      </c>
      <c r="F807" s="358">
        <v>0</v>
      </c>
      <c r="G807" s="358">
        <v>0</v>
      </c>
      <c r="H807" s="358"/>
      <c r="I807" s="358">
        <v>4.25</v>
      </c>
      <c r="J807" s="358">
        <v>4.25</v>
      </c>
      <c r="L807" s="357">
        <v>0</v>
      </c>
    </row>
    <row r="808" spans="1:12" hidden="1">
      <c r="A808" s="369">
        <v>41961</v>
      </c>
      <c r="B808" s="1781" t="s">
        <v>1753</v>
      </c>
      <c r="C808" s="370">
        <v>35</v>
      </c>
      <c r="D808" s="369">
        <v>41996</v>
      </c>
      <c r="E808" s="371">
        <v>35</v>
      </c>
      <c r="F808" s="372">
        <v>0</v>
      </c>
      <c r="G808" s="372">
        <v>0</v>
      </c>
      <c r="H808" s="372"/>
      <c r="I808" s="372">
        <v>0</v>
      </c>
      <c r="J808" s="372">
        <v>0</v>
      </c>
      <c r="K808" s="373"/>
      <c r="L808" s="370">
        <v>0</v>
      </c>
    </row>
    <row r="809" spans="1:12" hidden="1">
      <c r="A809" s="350">
        <v>41961</v>
      </c>
      <c r="B809" s="351" t="s">
        <v>1754</v>
      </c>
      <c r="C809" s="352">
        <v>91</v>
      </c>
      <c r="D809" s="350">
        <v>42052</v>
      </c>
      <c r="E809" s="353">
        <v>91</v>
      </c>
      <c r="F809" s="354">
        <v>0</v>
      </c>
      <c r="G809" s="354">
        <v>0</v>
      </c>
      <c r="H809" s="354"/>
      <c r="I809" s="354">
        <v>0</v>
      </c>
      <c r="J809" s="354">
        <v>0</v>
      </c>
      <c r="L809" s="352">
        <v>0</v>
      </c>
    </row>
    <row r="810" spans="1:12" hidden="1">
      <c r="A810" s="1782">
        <v>41964</v>
      </c>
      <c r="B810" s="1783" t="s">
        <v>1755</v>
      </c>
      <c r="C810" s="1784">
        <v>364</v>
      </c>
      <c r="D810" s="1782">
        <v>42328</v>
      </c>
      <c r="E810" s="1785">
        <v>2</v>
      </c>
      <c r="F810" s="1786">
        <v>0</v>
      </c>
      <c r="G810" s="1786">
        <v>0</v>
      </c>
      <c r="H810" s="1786"/>
      <c r="I810" s="1786">
        <v>0</v>
      </c>
      <c r="J810" s="1786">
        <v>0</v>
      </c>
      <c r="K810" s="1787"/>
      <c r="L810" s="1784">
        <v>0</v>
      </c>
    </row>
    <row r="811" spans="1:12" hidden="1">
      <c r="A811" s="1782">
        <v>41968</v>
      </c>
      <c r="B811" s="1783" t="s">
        <v>1756</v>
      </c>
      <c r="C811" s="1784">
        <v>182</v>
      </c>
      <c r="D811" s="1782">
        <v>42150</v>
      </c>
      <c r="E811" s="1785">
        <v>4</v>
      </c>
      <c r="F811" s="1786">
        <v>0</v>
      </c>
      <c r="G811" s="1786">
        <v>0</v>
      </c>
      <c r="H811" s="1786"/>
      <c r="I811" s="1786">
        <v>0</v>
      </c>
      <c r="J811" s="1786">
        <v>0</v>
      </c>
      <c r="K811" s="1787"/>
      <c r="L811" s="1784">
        <v>0</v>
      </c>
    </row>
    <row r="812" spans="1:12" hidden="1">
      <c r="A812" s="1782">
        <v>41968</v>
      </c>
      <c r="B812" s="1783" t="s">
        <v>1757</v>
      </c>
      <c r="C812" s="1784">
        <v>364</v>
      </c>
      <c r="D812" s="1782">
        <v>42332</v>
      </c>
      <c r="E812" s="1785">
        <v>14</v>
      </c>
      <c r="F812" s="1786">
        <v>0</v>
      </c>
      <c r="G812" s="1786">
        <v>0</v>
      </c>
      <c r="H812" s="1786"/>
      <c r="I812" s="1786">
        <v>3.25</v>
      </c>
      <c r="J812" s="1786">
        <v>3.25</v>
      </c>
      <c r="K812" s="1787"/>
      <c r="L812" s="1784">
        <v>0</v>
      </c>
    </row>
    <row r="813" spans="1:12" hidden="1">
      <c r="A813" s="1782">
        <v>41971</v>
      </c>
      <c r="B813" s="1783" t="s">
        <v>1758</v>
      </c>
      <c r="C813" s="1784">
        <v>728</v>
      </c>
      <c r="D813" s="1782">
        <v>42699</v>
      </c>
      <c r="E813" s="1785">
        <v>4</v>
      </c>
      <c r="F813" s="1786">
        <v>0</v>
      </c>
      <c r="G813" s="1786">
        <v>0</v>
      </c>
      <c r="H813" s="1786"/>
      <c r="I813" s="1786">
        <v>3.75</v>
      </c>
      <c r="J813" s="1786">
        <v>3.75</v>
      </c>
      <c r="K813" s="1787"/>
      <c r="L813" s="1784">
        <v>0</v>
      </c>
    </row>
    <row r="814" spans="1:12" hidden="1">
      <c r="A814" s="1782">
        <v>41971</v>
      </c>
      <c r="B814" s="1783" t="s">
        <v>1759</v>
      </c>
      <c r="C814" s="1784">
        <v>1092</v>
      </c>
      <c r="D814" s="1782">
        <v>43063</v>
      </c>
      <c r="E814" s="1785">
        <v>9</v>
      </c>
      <c r="F814" s="1786">
        <v>6.3</v>
      </c>
      <c r="G814" s="1786">
        <v>6.3</v>
      </c>
      <c r="H814" s="1786"/>
      <c r="I814" s="1786">
        <v>4.25</v>
      </c>
      <c r="J814" s="1786">
        <v>4.25</v>
      </c>
      <c r="K814" s="1787"/>
      <c r="L814" s="1784">
        <v>2</v>
      </c>
    </row>
    <row r="815" spans="1:12" hidden="1">
      <c r="A815" s="1782">
        <v>41975</v>
      </c>
      <c r="B815" s="1783" t="s">
        <v>1769</v>
      </c>
      <c r="C815" s="1784">
        <v>35</v>
      </c>
      <c r="D815" s="1782">
        <v>42010</v>
      </c>
      <c r="E815" s="1785">
        <v>4</v>
      </c>
      <c r="F815" s="1786">
        <v>0</v>
      </c>
      <c r="G815" s="1786">
        <v>0</v>
      </c>
      <c r="H815" s="1786"/>
      <c r="I815" s="1786">
        <v>0</v>
      </c>
      <c r="J815" s="1786">
        <v>0</v>
      </c>
      <c r="K815" s="1787"/>
      <c r="L815" s="1784">
        <v>0</v>
      </c>
    </row>
    <row r="816" spans="1:12" hidden="1">
      <c r="A816" s="1782">
        <v>41975</v>
      </c>
      <c r="B816" s="1783" t="s">
        <v>1770</v>
      </c>
      <c r="C816" s="1784">
        <v>91</v>
      </c>
      <c r="D816" s="1782">
        <v>42066</v>
      </c>
      <c r="E816" s="1785">
        <v>4</v>
      </c>
      <c r="F816" s="1786">
        <v>0</v>
      </c>
      <c r="G816" s="1786">
        <v>0</v>
      </c>
      <c r="H816" s="1786"/>
      <c r="I816" s="1786">
        <v>0</v>
      </c>
      <c r="J816" s="1786">
        <v>0</v>
      </c>
      <c r="K816" s="1787"/>
      <c r="L816" s="1784">
        <v>0</v>
      </c>
    </row>
    <row r="817" spans="1:12" hidden="1">
      <c r="A817" s="1782">
        <v>41978</v>
      </c>
      <c r="B817" s="1783" t="s">
        <v>1771</v>
      </c>
      <c r="C817" s="1784">
        <v>364</v>
      </c>
      <c r="D817" s="1782">
        <v>42342</v>
      </c>
      <c r="E817" s="1785">
        <v>1</v>
      </c>
      <c r="F817" s="1786">
        <v>0</v>
      </c>
      <c r="G817" s="1786">
        <v>0</v>
      </c>
      <c r="H817" s="1786"/>
      <c r="I817" s="1786">
        <v>0</v>
      </c>
      <c r="J817" s="1786">
        <v>0</v>
      </c>
      <c r="K817" s="1787"/>
      <c r="L817" s="1784">
        <v>0</v>
      </c>
    </row>
    <row r="818" spans="1:12" hidden="1">
      <c r="A818" s="1782">
        <v>41982</v>
      </c>
      <c r="B818" s="1783" t="s">
        <v>1772</v>
      </c>
      <c r="C818" s="1784">
        <v>182</v>
      </c>
      <c r="D818" s="1782">
        <v>42164</v>
      </c>
      <c r="E818" s="1785">
        <v>4</v>
      </c>
      <c r="F818" s="1786">
        <v>0</v>
      </c>
      <c r="G818" s="1786">
        <v>0</v>
      </c>
      <c r="H818" s="1786"/>
      <c r="I818" s="1786">
        <v>0</v>
      </c>
      <c r="J818" s="1786">
        <v>0</v>
      </c>
      <c r="K818" s="1787"/>
      <c r="L818" s="1784">
        <v>0</v>
      </c>
    </row>
    <row r="819" spans="1:12" hidden="1">
      <c r="A819" s="1782">
        <v>41982</v>
      </c>
      <c r="B819" s="1783" t="s">
        <v>1773</v>
      </c>
      <c r="C819" s="1784">
        <v>364</v>
      </c>
      <c r="D819" s="1782">
        <v>42346</v>
      </c>
      <c r="E819" s="1785">
        <v>12</v>
      </c>
      <c r="F819" s="1786">
        <v>0</v>
      </c>
      <c r="G819" s="1786">
        <v>0</v>
      </c>
      <c r="H819" s="1786"/>
      <c r="I819" s="1786">
        <v>3.25</v>
      </c>
      <c r="J819" s="1786">
        <v>3.25</v>
      </c>
      <c r="K819" s="1787"/>
      <c r="L819" s="1784">
        <v>0</v>
      </c>
    </row>
    <row r="820" spans="1:12" hidden="1">
      <c r="A820" s="1782">
        <v>41985</v>
      </c>
      <c r="B820" s="1783" t="s">
        <v>1774</v>
      </c>
      <c r="C820" s="1784">
        <v>728</v>
      </c>
      <c r="D820" s="1782">
        <v>42713</v>
      </c>
      <c r="E820" s="1785">
        <v>4</v>
      </c>
      <c r="F820" s="1786">
        <v>0</v>
      </c>
      <c r="G820" s="1786">
        <v>0</v>
      </c>
      <c r="H820" s="1786"/>
      <c r="I820" s="1786">
        <v>3.75</v>
      </c>
      <c r="J820" s="1786">
        <v>3.75</v>
      </c>
      <c r="K820" s="1787"/>
      <c r="L820" s="1784">
        <v>0</v>
      </c>
    </row>
    <row r="821" spans="1:12" hidden="1">
      <c r="A821" s="1782">
        <v>41985</v>
      </c>
      <c r="B821" s="1783" t="s">
        <v>1775</v>
      </c>
      <c r="C821" s="1784">
        <v>1092</v>
      </c>
      <c r="D821" s="1782">
        <v>43077</v>
      </c>
      <c r="E821" s="1785">
        <v>9</v>
      </c>
      <c r="F821" s="1786">
        <v>0</v>
      </c>
      <c r="G821" s="1786">
        <v>0</v>
      </c>
      <c r="H821" s="1786"/>
      <c r="I821" s="1786">
        <v>4.25</v>
      </c>
      <c r="J821" s="1786">
        <v>4.25</v>
      </c>
      <c r="K821" s="1787"/>
      <c r="L821" s="1784">
        <v>0</v>
      </c>
    </row>
    <row r="822" spans="1:12" hidden="1">
      <c r="A822" s="1782">
        <v>41989</v>
      </c>
      <c r="B822" s="1783" t="s">
        <v>1776</v>
      </c>
      <c r="C822" s="1784">
        <v>35</v>
      </c>
      <c r="D822" s="1782">
        <v>42024</v>
      </c>
      <c r="E822" s="1785">
        <v>4</v>
      </c>
      <c r="F822" s="1786">
        <v>0.65090000000000003</v>
      </c>
      <c r="G822" s="1786">
        <v>0.65090000000000003</v>
      </c>
      <c r="H822" s="1786"/>
      <c r="I822" s="1786">
        <v>1.44</v>
      </c>
      <c r="J822" s="1786">
        <v>1.44</v>
      </c>
      <c r="K822" s="1787"/>
      <c r="L822" s="1784">
        <v>1</v>
      </c>
    </row>
    <row r="823" spans="1:12" hidden="1">
      <c r="A823" s="1782">
        <v>41989</v>
      </c>
      <c r="B823" s="1783" t="s">
        <v>1777</v>
      </c>
      <c r="C823" s="1784">
        <v>91</v>
      </c>
      <c r="D823" s="1782">
        <v>42080</v>
      </c>
      <c r="E823" s="1785">
        <v>4</v>
      </c>
      <c r="F823" s="1786">
        <v>0</v>
      </c>
      <c r="G823" s="1786">
        <v>0</v>
      </c>
      <c r="H823" s="1786"/>
      <c r="I823" s="1786">
        <v>0</v>
      </c>
      <c r="J823" s="1786">
        <v>0</v>
      </c>
      <c r="K823" s="1787"/>
      <c r="L823" s="1784">
        <v>0</v>
      </c>
    </row>
    <row r="824" spans="1:12" hidden="1">
      <c r="A824" s="1782">
        <v>41992</v>
      </c>
      <c r="B824" s="1783" t="s">
        <v>1778</v>
      </c>
      <c r="C824" s="1784">
        <v>364</v>
      </c>
      <c r="D824" s="1782">
        <v>42356</v>
      </c>
      <c r="E824" s="1785">
        <v>2</v>
      </c>
      <c r="F824" s="1786">
        <v>0</v>
      </c>
      <c r="G824" s="1786">
        <v>0</v>
      </c>
      <c r="H824" s="1786"/>
      <c r="I824" s="1786">
        <v>0</v>
      </c>
      <c r="J824" s="1786">
        <v>0</v>
      </c>
      <c r="K824" s="1787"/>
      <c r="L824" s="1784">
        <v>0</v>
      </c>
    </row>
    <row r="825" spans="1:12" hidden="1">
      <c r="A825" s="1782">
        <v>41996</v>
      </c>
      <c r="B825" s="1783" t="s">
        <v>1779</v>
      </c>
      <c r="C825" s="1784">
        <v>182</v>
      </c>
      <c r="D825" s="1782">
        <v>42178</v>
      </c>
      <c r="E825" s="1785">
        <v>4</v>
      </c>
      <c r="F825" s="1786">
        <v>0</v>
      </c>
      <c r="G825" s="1786">
        <v>0</v>
      </c>
      <c r="H825" s="1786"/>
      <c r="I825" s="1786">
        <v>0</v>
      </c>
      <c r="J825" s="1786">
        <v>0</v>
      </c>
      <c r="K825" s="1787"/>
      <c r="L825" s="1784">
        <v>0</v>
      </c>
    </row>
    <row r="826" spans="1:12" hidden="1">
      <c r="A826" s="1782">
        <v>41996</v>
      </c>
      <c r="B826" s="1783" t="s">
        <v>1780</v>
      </c>
      <c r="C826" s="1784">
        <v>364</v>
      </c>
      <c r="D826" s="1782">
        <v>42360</v>
      </c>
      <c r="E826" s="1785">
        <v>14</v>
      </c>
      <c r="F826" s="1786">
        <v>0</v>
      </c>
      <c r="G826" s="1786">
        <v>0</v>
      </c>
      <c r="H826" s="1786"/>
      <c r="I826" s="1786">
        <v>3.25</v>
      </c>
      <c r="J826" s="1786">
        <v>3.25</v>
      </c>
      <c r="K826" s="1787"/>
      <c r="L826" s="1784">
        <v>0</v>
      </c>
    </row>
    <row r="827" spans="1:12" hidden="1">
      <c r="A827" s="1782">
        <v>41999</v>
      </c>
      <c r="B827" s="1783" t="s">
        <v>1781</v>
      </c>
      <c r="C827" s="1784">
        <v>728</v>
      </c>
      <c r="D827" s="1782">
        <v>42727</v>
      </c>
      <c r="E827" s="1785">
        <v>4</v>
      </c>
      <c r="F827" s="1786">
        <v>0</v>
      </c>
      <c r="G827" s="1786">
        <v>0</v>
      </c>
      <c r="H827" s="1786"/>
      <c r="I827" s="1786">
        <v>3.75</v>
      </c>
      <c r="J827" s="1786">
        <v>3.75</v>
      </c>
      <c r="K827" s="1787"/>
      <c r="L827" s="1784">
        <v>0</v>
      </c>
    </row>
    <row r="828" spans="1:12" hidden="1">
      <c r="A828" s="1782">
        <v>41999</v>
      </c>
      <c r="B828" s="1783" t="s">
        <v>1782</v>
      </c>
      <c r="C828" s="1784">
        <v>1092</v>
      </c>
      <c r="D828" s="1782">
        <v>43091</v>
      </c>
      <c r="E828" s="1785">
        <v>9</v>
      </c>
      <c r="F828" s="1786">
        <v>3.5011000000000001</v>
      </c>
      <c r="G828" s="1786">
        <v>3.5011000000000001</v>
      </c>
      <c r="H828" s="1786"/>
      <c r="I828" s="1786">
        <v>4.25</v>
      </c>
      <c r="J828" s="1786">
        <v>4.25</v>
      </c>
      <c r="K828" s="1787"/>
      <c r="L828" s="1784">
        <v>2</v>
      </c>
    </row>
    <row r="829" spans="1:12" hidden="1">
      <c r="A829" s="1782">
        <v>42405</v>
      </c>
      <c r="B829" s="1783" t="s">
        <v>1853</v>
      </c>
      <c r="C829" s="1784">
        <v>182</v>
      </c>
      <c r="D829" s="1782">
        <v>42587</v>
      </c>
      <c r="E829" s="1785">
        <v>5</v>
      </c>
      <c r="F829" s="1786">
        <v>5</v>
      </c>
      <c r="G829" s="1786">
        <v>5</v>
      </c>
      <c r="H829" s="1786"/>
      <c r="I829" s="1786">
        <v>7.79</v>
      </c>
      <c r="J829" s="1786">
        <v>7.79</v>
      </c>
      <c r="K829" s="1787"/>
      <c r="L829" s="1784">
        <v>1</v>
      </c>
    </row>
    <row r="830" spans="1:12" hidden="1">
      <c r="A830" s="1782">
        <v>42405</v>
      </c>
      <c r="B830" s="1783" t="s">
        <v>1854</v>
      </c>
      <c r="C830" s="1784">
        <v>364</v>
      </c>
      <c r="D830" s="1782">
        <v>42769</v>
      </c>
      <c r="E830" s="1785">
        <v>15</v>
      </c>
      <c r="F830" s="1786">
        <v>15</v>
      </c>
      <c r="G830" s="1786">
        <v>15</v>
      </c>
      <c r="H830" s="1786"/>
      <c r="I830" s="1786">
        <v>8.7999999999999989</v>
      </c>
      <c r="J830" s="1786">
        <v>8.7900000000000009</v>
      </c>
      <c r="K830" s="1787"/>
      <c r="L830" s="1784">
        <v>1</v>
      </c>
    </row>
    <row r="831" spans="1:12" hidden="1">
      <c r="A831" s="1782">
        <v>42412</v>
      </c>
      <c r="B831" s="1783" t="s">
        <v>1855</v>
      </c>
      <c r="C831" s="1784">
        <v>182</v>
      </c>
      <c r="D831" s="1782">
        <v>42594</v>
      </c>
      <c r="E831" s="1785">
        <v>5</v>
      </c>
      <c r="F831" s="1786" t="s">
        <v>93</v>
      </c>
      <c r="G831" s="1786" t="s">
        <v>93</v>
      </c>
      <c r="H831" s="1786"/>
      <c r="I831" s="1786" t="s">
        <v>93</v>
      </c>
      <c r="J831" s="1786" t="s">
        <v>93</v>
      </c>
      <c r="K831" s="1787"/>
      <c r="L831" s="1784" t="s">
        <v>93</v>
      </c>
    </row>
    <row r="832" spans="1:12" hidden="1">
      <c r="A832" s="1782">
        <v>42412</v>
      </c>
      <c r="B832" s="1783" t="s">
        <v>1856</v>
      </c>
      <c r="C832" s="1784">
        <v>364</v>
      </c>
      <c r="D832" s="1782">
        <v>42776</v>
      </c>
      <c r="E832" s="1785">
        <v>15</v>
      </c>
      <c r="F832" s="1786" t="s">
        <v>93</v>
      </c>
      <c r="G832" s="1786" t="s">
        <v>93</v>
      </c>
      <c r="H832" s="1786"/>
      <c r="I832" s="1786" t="s">
        <v>93</v>
      </c>
      <c r="J832" s="1786" t="s">
        <v>93</v>
      </c>
      <c r="K832" s="1787"/>
      <c r="L832" s="1784" t="s">
        <v>93</v>
      </c>
    </row>
    <row r="833" spans="1:12" hidden="1">
      <c r="A833" s="1782">
        <v>42430</v>
      </c>
      <c r="B833" s="1783" t="s">
        <v>1857</v>
      </c>
      <c r="C833" s="1784">
        <v>91</v>
      </c>
      <c r="D833" s="1782">
        <v>42521</v>
      </c>
      <c r="E833" s="1785">
        <v>15</v>
      </c>
      <c r="F833" s="1786">
        <v>39.7455</v>
      </c>
      <c r="G833" s="1786">
        <v>15</v>
      </c>
      <c r="H833" s="1786"/>
      <c r="I833" s="1786">
        <v>17.046400000000002</v>
      </c>
      <c r="J833" s="1786">
        <v>16.6112</v>
      </c>
      <c r="K833" s="1787"/>
      <c r="L833" s="1784">
        <v>6</v>
      </c>
    </row>
    <row r="834" spans="1:12" hidden="1">
      <c r="A834" s="1782">
        <v>42444</v>
      </c>
      <c r="B834" s="1783" t="s">
        <v>1881</v>
      </c>
      <c r="C834" s="1784">
        <v>182</v>
      </c>
      <c r="D834" s="1782">
        <v>42626</v>
      </c>
      <c r="E834" s="1785">
        <v>10</v>
      </c>
      <c r="F834" s="1786">
        <v>35.819200000000002</v>
      </c>
      <c r="G834" s="1786">
        <v>10</v>
      </c>
      <c r="H834" s="1786"/>
      <c r="I834" s="1786">
        <v>15.2201</v>
      </c>
      <c r="J834" s="1786">
        <v>13.801600000000001</v>
      </c>
      <c r="K834" s="1787"/>
      <c r="L834" s="1784">
        <v>10</v>
      </c>
    </row>
    <row r="835" spans="1:12" hidden="1">
      <c r="A835" s="1782">
        <v>42465</v>
      </c>
      <c r="B835" s="1783" t="s">
        <v>1882</v>
      </c>
      <c r="C835" s="1784">
        <v>91</v>
      </c>
      <c r="D835" s="1782">
        <v>42556</v>
      </c>
      <c r="E835" s="1785">
        <v>15</v>
      </c>
      <c r="F835" s="1786">
        <v>56.508499999999998</v>
      </c>
      <c r="G835" s="1786">
        <v>15</v>
      </c>
      <c r="H835" s="1786"/>
      <c r="I835" s="1786">
        <v>12.1455</v>
      </c>
      <c r="J835" s="1786">
        <v>11.136100000000001</v>
      </c>
      <c r="K835" s="1787"/>
      <c r="L835" s="1784">
        <v>9</v>
      </c>
    </row>
    <row r="836" spans="1:12" hidden="1">
      <c r="A836" s="1782">
        <v>42479</v>
      </c>
      <c r="B836" s="1783" t="s">
        <v>1883</v>
      </c>
      <c r="C836" s="1784">
        <v>364</v>
      </c>
      <c r="D836" s="1782">
        <v>42843</v>
      </c>
      <c r="E836" s="1785">
        <v>10</v>
      </c>
      <c r="F836" s="1786">
        <v>12.0497</v>
      </c>
      <c r="G836" s="1786">
        <v>10</v>
      </c>
      <c r="H836" s="1786"/>
      <c r="I836" s="1786">
        <v>15.0115</v>
      </c>
      <c r="J836" s="1786">
        <v>11.3482</v>
      </c>
      <c r="K836" s="1787"/>
      <c r="L836" s="1784">
        <v>6</v>
      </c>
    </row>
    <row r="837" spans="1:12" hidden="1">
      <c r="A837" s="1782">
        <v>42479</v>
      </c>
      <c r="B837" s="1783" t="s">
        <v>1884</v>
      </c>
      <c r="C837" s="1784">
        <v>182</v>
      </c>
      <c r="D837" s="1782">
        <v>42661</v>
      </c>
      <c r="E837" s="1785">
        <v>10</v>
      </c>
      <c r="F837" s="1786">
        <v>26.464300000000001</v>
      </c>
      <c r="G837" s="1786">
        <v>10</v>
      </c>
      <c r="H837" s="1786"/>
      <c r="I837" s="1786">
        <v>13.143599999999999</v>
      </c>
      <c r="J837" s="1786">
        <v>12.1753</v>
      </c>
      <c r="K837" s="1787"/>
      <c r="L837" s="1784">
        <v>6</v>
      </c>
    </row>
    <row r="838" spans="1:12" hidden="1">
      <c r="A838" s="1782">
        <v>42493</v>
      </c>
      <c r="B838" s="1783" t="s">
        <v>1885</v>
      </c>
      <c r="C838" s="1784">
        <v>91</v>
      </c>
      <c r="D838" s="1782">
        <v>42584</v>
      </c>
      <c r="E838" s="1785">
        <v>15</v>
      </c>
      <c r="F838" s="1786">
        <v>44.451099999999997</v>
      </c>
      <c r="G838" s="1786">
        <v>15</v>
      </c>
      <c r="H838" s="1786"/>
      <c r="I838" s="1786">
        <v>12.0075</v>
      </c>
      <c r="J838" s="1786">
        <v>11.5524</v>
      </c>
      <c r="K838" s="1787"/>
      <c r="L838" s="1784">
        <v>7</v>
      </c>
    </row>
    <row r="839" spans="1:12" hidden="1">
      <c r="A839" s="1782">
        <v>42507</v>
      </c>
      <c r="B839" s="1783" t="s">
        <v>1886</v>
      </c>
      <c r="C839" s="1784">
        <v>364</v>
      </c>
      <c r="D839" s="1782">
        <v>42871</v>
      </c>
      <c r="E839" s="1785">
        <v>10</v>
      </c>
      <c r="F839" s="1786">
        <v>20.249199999999998</v>
      </c>
      <c r="G839" s="1786">
        <v>10</v>
      </c>
      <c r="H839" s="1786"/>
      <c r="I839" s="1786">
        <v>20.110199999999999</v>
      </c>
      <c r="J839" s="1786">
        <v>11.9056</v>
      </c>
      <c r="K839" s="1787"/>
      <c r="L839" s="1784">
        <v>6</v>
      </c>
    </row>
    <row r="840" spans="1:12" hidden="1">
      <c r="A840" s="1782">
        <v>42507</v>
      </c>
      <c r="B840" s="1783" t="s">
        <v>1887</v>
      </c>
      <c r="C840" s="1784">
        <v>182</v>
      </c>
      <c r="D840" s="1782">
        <v>42689</v>
      </c>
      <c r="E840" s="1785">
        <v>10</v>
      </c>
      <c r="F840" s="1786">
        <v>26.177700000000002</v>
      </c>
      <c r="G840" s="1786">
        <v>10</v>
      </c>
      <c r="H840" s="1786"/>
      <c r="I840" s="1786">
        <v>12.930300000000001</v>
      </c>
      <c r="J840" s="1786">
        <v>12.0854</v>
      </c>
      <c r="K840" s="1787"/>
      <c r="L840" s="1784">
        <v>6</v>
      </c>
    </row>
    <row r="841" spans="1:12" hidden="1">
      <c r="A841" s="1782">
        <v>42521</v>
      </c>
      <c r="B841" s="1783" t="s">
        <v>1888</v>
      </c>
      <c r="C841" s="1784">
        <v>91</v>
      </c>
      <c r="D841" s="1782">
        <v>42612</v>
      </c>
      <c r="E841" s="1785">
        <v>5</v>
      </c>
      <c r="F841" s="1786">
        <v>25.840699999999998</v>
      </c>
      <c r="G841" s="1786">
        <v>5</v>
      </c>
      <c r="H841" s="1786"/>
      <c r="I841" s="1786">
        <v>10.1387</v>
      </c>
      <c r="J841" s="1786">
        <v>9.0093000000000014</v>
      </c>
      <c r="K841" s="1787"/>
      <c r="L841" s="1784">
        <v>10</v>
      </c>
    </row>
    <row r="842" spans="1:12" hidden="1">
      <c r="A842" s="1782">
        <v>42542</v>
      </c>
      <c r="B842" s="1783" t="s">
        <v>1871</v>
      </c>
      <c r="C842" s="1784">
        <v>182</v>
      </c>
      <c r="D842" s="1782">
        <v>42724</v>
      </c>
      <c r="E842" s="1785">
        <v>10</v>
      </c>
      <c r="F842" s="1786">
        <v>52.814500000000002</v>
      </c>
      <c r="G842" s="1786">
        <v>10</v>
      </c>
      <c r="H842" s="1786"/>
      <c r="I842" s="1786">
        <v>8.5571000000000002</v>
      </c>
      <c r="J842" s="1786">
        <v>8.5571000000000002</v>
      </c>
      <c r="K842" s="1787"/>
      <c r="L842" s="1784">
        <v>12</v>
      </c>
    </row>
    <row r="843" spans="1:12" hidden="1">
      <c r="A843" s="1782">
        <v>42542</v>
      </c>
      <c r="B843" s="1783" t="s">
        <v>1872</v>
      </c>
      <c r="C843" s="1784">
        <v>364</v>
      </c>
      <c r="D843" s="1782">
        <v>42906</v>
      </c>
      <c r="E843" s="1785">
        <v>10</v>
      </c>
      <c r="F843" s="1786">
        <v>36.436999999999998</v>
      </c>
      <c r="G843" s="1786">
        <v>10</v>
      </c>
      <c r="H843" s="1786"/>
      <c r="I843" s="1786">
        <v>9.4970999999999997</v>
      </c>
      <c r="J843" s="1786">
        <v>9.4761000000000006</v>
      </c>
      <c r="K843" s="1787"/>
      <c r="L843" s="1784">
        <v>11</v>
      </c>
    </row>
    <row r="844" spans="1:12" hidden="1">
      <c r="A844" s="1782">
        <v>42556</v>
      </c>
      <c r="B844" s="1783" t="s">
        <v>1873</v>
      </c>
      <c r="C844" s="1784">
        <v>91</v>
      </c>
      <c r="D844" s="1782">
        <v>42647</v>
      </c>
      <c r="E844" s="1785">
        <v>20</v>
      </c>
      <c r="F844" s="1786">
        <v>67.259699999999995</v>
      </c>
      <c r="G844" s="1786">
        <v>20</v>
      </c>
      <c r="H844" s="1786"/>
      <c r="I844" s="1786">
        <v>7.0971999999999991</v>
      </c>
      <c r="J844" s="1786">
        <v>6.8553000000000006</v>
      </c>
      <c r="K844" s="1787"/>
      <c r="L844" s="1784">
        <v>11</v>
      </c>
    </row>
    <row r="845" spans="1:12" hidden="1">
      <c r="A845" s="1782">
        <v>42577</v>
      </c>
      <c r="B845" s="1783" t="s">
        <v>1874</v>
      </c>
      <c r="C845" s="1784">
        <v>91</v>
      </c>
      <c r="D845" s="1782">
        <v>42654</v>
      </c>
      <c r="E845" s="1785">
        <v>10</v>
      </c>
      <c r="F845" s="1786">
        <v>40.993299999999998</v>
      </c>
      <c r="G845" s="1786">
        <v>10</v>
      </c>
      <c r="H845" s="1786"/>
      <c r="I845" s="1786">
        <v>6.0667</v>
      </c>
      <c r="J845" s="1786">
        <v>5.5103</v>
      </c>
      <c r="K845" s="1787"/>
      <c r="L845" s="1784">
        <v>8</v>
      </c>
    </row>
    <row r="846" spans="1:12" hidden="1">
      <c r="A846" s="1782">
        <v>42577</v>
      </c>
      <c r="B846" s="1783" t="s">
        <v>1875</v>
      </c>
      <c r="C846" s="1784">
        <v>182</v>
      </c>
      <c r="D846" s="1782">
        <v>42759</v>
      </c>
      <c r="E846" s="1785">
        <v>15</v>
      </c>
      <c r="F846" s="1786">
        <v>25.240600000000001</v>
      </c>
      <c r="G846" s="1786">
        <v>4.7816000000000001</v>
      </c>
      <c r="H846" s="1786"/>
      <c r="I846" s="1786">
        <v>10.9003</v>
      </c>
      <c r="J846" s="1786">
        <v>7.9070999999999998</v>
      </c>
      <c r="K846" s="1787"/>
      <c r="L846" s="1784">
        <v>7</v>
      </c>
    </row>
    <row r="847" spans="1:12" hidden="1">
      <c r="A847" s="1782">
        <v>42584</v>
      </c>
      <c r="B847" s="1783" t="s">
        <v>1876</v>
      </c>
      <c r="C847" s="1784">
        <v>91</v>
      </c>
      <c r="D847" s="1782">
        <v>42675</v>
      </c>
      <c r="E847" s="1785">
        <v>20</v>
      </c>
      <c r="F847" s="1786">
        <v>35.409999999999997</v>
      </c>
      <c r="G847" s="1786">
        <v>15.186299999999999</v>
      </c>
      <c r="H847" s="1786"/>
      <c r="I847" s="1786">
        <v>11.0108</v>
      </c>
      <c r="J847" s="1786">
        <v>8.4576999999999991</v>
      </c>
      <c r="K847" s="1787"/>
      <c r="L847" s="1784">
        <v>5</v>
      </c>
    </row>
    <row r="848" spans="1:12" hidden="1">
      <c r="A848" s="1782">
        <v>42591</v>
      </c>
      <c r="B848" s="1783" t="s">
        <v>1877</v>
      </c>
      <c r="C848" s="1784">
        <v>91</v>
      </c>
      <c r="D848" s="1782">
        <v>42682</v>
      </c>
      <c r="E848" s="1785">
        <v>10</v>
      </c>
      <c r="F848" s="1786">
        <v>27.419</v>
      </c>
      <c r="G848" s="1786">
        <v>10</v>
      </c>
      <c r="H848" s="1786"/>
      <c r="I848" s="1786">
        <v>10.000399999999999</v>
      </c>
      <c r="J848" s="1786">
        <v>9.8694000000000006</v>
      </c>
      <c r="K848" s="1787"/>
      <c r="L848" s="1784">
        <v>7</v>
      </c>
    </row>
    <row r="849" spans="1:12" hidden="1">
      <c r="A849" s="1782">
        <v>42605</v>
      </c>
      <c r="B849" s="1783" t="s">
        <v>1878</v>
      </c>
      <c r="C849" s="1784">
        <v>182</v>
      </c>
      <c r="D849" s="1782">
        <v>42787</v>
      </c>
      <c r="E849" s="1785">
        <v>10</v>
      </c>
      <c r="F849" s="1786">
        <v>14.005699999999999</v>
      </c>
      <c r="G849" s="1786">
        <v>7.3201999999999998</v>
      </c>
      <c r="H849" s="1786"/>
      <c r="I849" s="1786">
        <v>11.0017</v>
      </c>
      <c r="J849" s="1786">
        <v>9.251199999999999</v>
      </c>
      <c r="K849" s="1787"/>
      <c r="L849" s="1784">
        <v>6</v>
      </c>
    </row>
    <row r="850" spans="1:12" hidden="1">
      <c r="A850" s="1782">
        <v>42605</v>
      </c>
      <c r="B850" s="1783" t="s">
        <v>1879</v>
      </c>
      <c r="C850" s="1784">
        <v>364</v>
      </c>
      <c r="D850" s="1782">
        <v>42969</v>
      </c>
      <c r="E850" s="1785">
        <v>10</v>
      </c>
      <c r="F850" s="1786">
        <v>16.123200000000001</v>
      </c>
      <c r="G850" s="1786">
        <v>5.4733999999999998</v>
      </c>
      <c r="H850" s="1786"/>
      <c r="I850" s="1786">
        <v>9.5212000000000003</v>
      </c>
      <c r="J850" s="1786">
        <v>9.5212000000000003</v>
      </c>
      <c r="K850" s="1787"/>
      <c r="L850" s="1784">
        <v>5</v>
      </c>
    </row>
    <row r="851" spans="1:12" hidden="1">
      <c r="A851" s="1782">
        <v>42612</v>
      </c>
      <c r="B851" s="1783" t="s">
        <v>1880</v>
      </c>
      <c r="C851" s="1784">
        <v>91</v>
      </c>
      <c r="D851" s="1782">
        <v>42703</v>
      </c>
      <c r="E851" s="1785">
        <v>10</v>
      </c>
      <c r="F851" s="1786">
        <v>33.714500000000001</v>
      </c>
      <c r="G851" s="1786">
        <v>10</v>
      </c>
      <c r="H851" s="1786"/>
      <c r="I851" s="1786">
        <v>9.9001000000000001</v>
      </c>
      <c r="J851" s="1786">
        <v>9.3264999999999993</v>
      </c>
      <c r="K851" s="1787"/>
      <c r="L851" s="1784">
        <v>8</v>
      </c>
    </row>
    <row r="852" spans="1:12" hidden="1">
      <c r="A852" s="1782">
        <v>42619</v>
      </c>
      <c r="B852" s="1783" t="s">
        <v>1889</v>
      </c>
      <c r="C852" s="1784">
        <v>364</v>
      </c>
      <c r="D852" s="1782">
        <v>42983</v>
      </c>
      <c r="E852" s="1785">
        <v>10</v>
      </c>
      <c r="F852" s="1786">
        <v>8.1966999999999999</v>
      </c>
      <c r="G852" s="1786">
        <v>5.4733999999999998</v>
      </c>
      <c r="H852" s="1786"/>
      <c r="I852" s="1786">
        <v>9.5212000000000003</v>
      </c>
      <c r="J852" s="1786">
        <v>9.5212000000000003</v>
      </c>
      <c r="K852" s="1787"/>
      <c r="L852" s="1784">
        <v>2</v>
      </c>
    </row>
    <row r="853" spans="1:12" hidden="1">
      <c r="A853" s="1782">
        <v>42619</v>
      </c>
      <c r="B853" s="1783" t="s">
        <v>1890</v>
      </c>
      <c r="C853" s="1784">
        <v>182</v>
      </c>
      <c r="D853" s="1782">
        <v>42801</v>
      </c>
      <c r="E853" s="1785">
        <v>20</v>
      </c>
      <c r="F853" s="1786">
        <v>2.9535</v>
      </c>
      <c r="G853" s="1786">
        <v>1.0535000000000001</v>
      </c>
      <c r="H853" s="1786"/>
      <c r="I853" s="1786">
        <v>10.792400000000001</v>
      </c>
      <c r="J853" s="1786">
        <v>10.792400000000001</v>
      </c>
      <c r="K853" s="1787"/>
      <c r="L853" s="1784">
        <v>2</v>
      </c>
    </row>
    <row r="854" spans="1:12" hidden="1">
      <c r="A854" s="1782">
        <v>42633</v>
      </c>
      <c r="B854" s="1783" t="s">
        <v>1891</v>
      </c>
      <c r="C854" s="1784">
        <v>364</v>
      </c>
      <c r="D854" s="1782">
        <v>42997</v>
      </c>
      <c r="E854" s="1785">
        <v>10</v>
      </c>
      <c r="F854" s="1786">
        <v>19.349499999999999</v>
      </c>
      <c r="G854" s="1786">
        <v>10</v>
      </c>
      <c r="H854" s="1786"/>
      <c r="I854" s="1786">
        <v>16.990600000000001</v>
      </c>
      <c r="J854" s="1786">
        <v>15.380599999999999</v>
      </c>
      <c r="K854" s="1787"/>
      <c r="L854" s="1784">
        <v>6</v>
      </c>
    </row>
    <row r="855" spans="1:12" hidden="1">
      <c r="A855" s="1782">
        <v>42647</v>
      </c>
      <c r="B855" s="1783" t="s">
        <v>1892</v>
      </c>
      <c r="C855" s="1784">
        <v>91</v>
      </c>
      <c r="D855" s="1782">
        <v>42738</v>
      </c>
      <c r="E855" s="1785">
        <v>22</v>
      </c>
      <c r="F855" s="1786">
        <v>5.3319999999999999</v>
      </c>
      <c r="G855" s="1786">
        <v>5.3319999999999999</v>
      </c>
      <c r="H855" s="1786"/>
      <c r="I855" s="1786">
        <v>18.45</v>
      </c>
      <c r="J855" s="1786">
        <v>14.937800000000001</v>
      </c>
      <c r="K855" s="1787"/>
      <c r="L855" s="1784">
        <v>3</v>
      </c>
    </row>
    <row r="856" spans="1:12" hidden="1">
      <c r="A856" s="1782">
        <v>42654</v>
      </c>
      <c r="B856" s="1783" t="s">
        <v>1893</v>
      </c>
      <c r="C856" s="1784">
        <v>364</v>
      </c>
      <c r="D856" s="1782">
        <v>43018</v>
      </c>
      <c r="E856" s="1785">
        <v>15</v>
      </c>
      <c r="F856" s="1786">
        <v>37.543900000000001</v>
      </c>
      <c r="G856" s="1786">
        <v>15</v>
      </c>
      <c r="H856" s="1786"/>
      <c r="I856" s="1786">
        <v>15.0413</v>
      </c>
      <c r="J856" s="1786">
        <v>14.970800000000001</v>
      </c>
      <c r="K856" s="1787"/>
      <c r="L856" s="1784">
        <v>8</v>
      </c>
    </row>
    <row r="857" spans="1:12" hidden="1">
      <c r="A857" s="1782">
        <v>42661</v>
      </c>
      <c r="B857" s="1783" t="s">
        <v>1894</v>
      </c>
      <c r="C857" s="1784">
        <v>182</v>
      </c>
      <c r="D857" s="1782">
        <v>42843</v>
      </c>
      <c r="E857" s="1785">
        <v>20</v>
      </c>
      <c r="F857" s="1786">
        <v>7.1361999999999997</v>
      </c>
      <c r="G857" s="1786">
        <v>7.1361999999999997</v>
      </c>
      <c r="H857" s="1786"/>
      <c r="I857" s="1786">
        <v>19.215900000000001</v>
      </c>
      <c r="J857" s="1786">
        <v>17.160800000000002</v>
      </c>
      <c r="K857" s="1787"/>
      <c r="L857" s="1784">
        <v>4</v>
      </c>
    </row>
    <row r="858" spans="1:12" hidden="1">
      <c r="A858" s="1782">
        <v>42668</v>
      </c>
      <c r="B858" s="1783" t="s">
        <v>1895</v>
      </c>
      <c r="C858" s="1784">
        <v>364</v>
      </c>
      <c r="D858" s="1782">
        <v>43032</v>
      </c>
      <c r="E858" s="1785">
        <v>10</v>
      </c>
      <c r="F858" s="1786">
        <v>17.736799999999999</v>
      </c>
      <c r="G858" s="1786">
        <v>10</v>
      </c>
      <c r="H858" s="1786"/>
      <c r="I858" s="1786">
        <v>15.0413</v>
      </c>
      <c r="J858" s="1786">
        <v>15.035599999999999</v>
      </c>
      <c r="K858" s="1787"/>
      <c r="L858" s="1784">
        <v>4</v>
      </c>
    </row>
    <row r="859" spans="1:12" hidden="1">
      <c r="A859" s="1782">
        <v>42668</v>
      </c>
      <c r="B859" s="1783" t="s">
        <v>1896</v>
      </c>
      <c r="C859" s="1784">
        <v>182</v>
      </c>
      <c r="D859" s="1782">
        <v>42850</v>
      </c>
      <c r="E859" s="1785">
        <v>17</v>
      </c>
      <c r="F859" s="1786">
        <v>23.338100000000001</v>
      </c>
      <c r="G859" s="1786">
        <v>17</v>
      </c>
      <c r="H859" s="1786"/>
      <c r="I859" s="1786">
        <v>19.998899999999999</v>
      </c>
      <c r="J859" s="1786">
        <v>18.574999999999999</v>
      </c>
      <c r="K859" s="1787"/>
      <c r="L859" s="1784">
        <v>6</v>
      </c>
    </row>
    <row r="860" spans="1:12" hidden="1">
      <c r="A860" s="1782">
        <v>42675</v>
      </c>
      <c r="B860" s="1783" t="s">
        <v>1897</v>
      </c>
      <c r="C860" s="1784">
        <v>91</v>
      </c>
      <c r="D860" s="1782">
        <v>42766</v>
      </c>
      <c r="E860" s="1785">
        <v>22</v>
      </c>
      <c r="F860" s="1786">
        <v>63.266100000000002</v>
      </c>
      <c r="G860" s="1786">
        <v>22</v>
      </c>
      <c r="H860" s="1786"/>
      <c r="I860" s="1786">
        <v>18.995100000000001</v>
      </c>
      <c r="J860" s="1786">
        <v>18.442900000000002</v>
      </c>
      <c r="K860" s="1787"/>
      <c r="L860" s="1784">
        <v>8</v>
      </c>
    </row>
    <row r="861" spans="1:12" hidden="1">
      <c r="A861" s="1782">
        <v>42682</v>
      </c>
      <c r="B861" s="1783" t="s">
        <v>1898</v>
      </c>
      <c r="C861" s="1784">
        <v>364</v>
      </c>
      <c r="D861" s="1782">
        <v>43046</v>
      </c>
      <c r="E861" s="1785">
        <v>15</v>
      </c>
      <c r="F861" s="1786">
        <v>34.070999999999998</v>
      </c>
      <c r="G861" s="1786">
        <v>15</v>
      </c>
      <c r="H861" s="1786"/>
      <c r="I861" s="1786">
        <v>15.082799999999999</v>
      </c>
      <c r="J861" s="1786">
        <v>14.971699999999998</v>
      </c>
      <c r="K861" s="1787"/>
      <c r="L861" s="1784">
        <v>6</v>
      </c>
    </row>
    <row r="862" spans="1:12" hidden="1">
      <c r="A862" s="1782">
        <v>42689</v>
      </c>
      <c r="B862" s="1783" t="s">
        <v>1899</v>
      </c>
      <c r="C862" s="1784">
        <v>182</v>
      </c>
      <c r="D862" s="1782">
        <v>42871</v>
      </c>
      <c r="E862" s="1785">
        <v>19</v>
      </c>
      <c r="F862" s="1786">
        <v>33.380299999999998</v>
      </c>
      <c r="G862" s="1786">
        <v>19</v>
      </c>
      <c r="H862" s="1786"/>
      <c r="I862" s="1786">
        <v>17.997399999999999</v>
      </c>
      <c r="J862" s="1786">
        <v>15.8499</v>
      </c>
      <c r="K862" s="1787"/>
      <c r="L862" s="1784">
        <v>6</v>
      </c>
    </row>
    <row r="863" spans="1:12" hidden="1">
      <c r="A863" s="1782">
        <v>42703</v>
      </c>
      <c r="B863" s="1783" t="s">
        <v>1900</v>
      </c>
      <c r="C863" s="1784">
        <v>182</v>
      </c>
      <c r="D863" s="1782">
        <v>42885</v>
      </c>
      <c r="E863" s="1785">
        <v>20</v>
      </c>
      <c r="F863" s="1786">
        <v>35.011499999999998</v>
      </c>
      <c r="G863" s="1786">
        <v>20</v>
      </c>
      <c r="H863" s="1786"/>
      <c r="I863" s="1786">
        <v>18.4998</v>
      </c>
      <c r="J863" s="1786">
        <v>18.1082</v>
      </c>
      <c r="K863" s="1787"/>
      <c r="L863" s="1784">
        <v>7</v>
      </c>
    </row>
    <row r="864" spans="1:12" hidden="1">
      <c r="A864" s="1782">
        <v>42717</v>
      </c>
      <c r="B864" s="1783" t="s">
        <v>1906</v>
      </c>
      <c r="C864" s="1784">
        <v>91</v>
      </c>
      <c r="D864" s="1782">
        <v>42808</v>
      </c>
      <c r="E864" s="1785">
        <v>10</v>
      </c>
      <c r="F864" s="1786">
        <v>25.734000000000002</v>
      </c>
      <c r="G864" s="1786">
        <v>10</v>
      </c>
      <c r="H864" s="1786"/>
      <c r="I864" s="1786">
        <v>18.1494</v>
      </c>
      <c r="J864" s="1786">
        <v>17.872399999999999</v>
      </c>
      <c r="K864" s="1787"/>
      <c r="L864" s="1784">
        <v>7</v>
      </c>
    </row>
    <row r="865" spans="1:12" hidden="1">
      <c r="A865" s="1782">
        <v>42724</v>
      </c>
      <c r="B865" s="1783" t="s">
        <v>1907</v>
      </c>
      <c r="C865" s="1784">
        <v>364</v>
      </c>
      <c r="D865" s="1782">
        <v>43088</v>
      </c>
      <c r="E865" s="1785">
        <v>10</v>
      </c>
      <c r="F865" s="1786">
        <v>11.585800000000001</v>
      </c>
      <c r="G865" s="1786">
        <v>0</v>
      </c>
      <c r="H865" s="1786"/>
      <c r="I865" s="1786">
        <v>0</v>
      </c>
      <c r="J865" s="1786">
        <v>0</v>
      </c>
      <c r="K865" s="1787"/>
      <c r="L865" s="1784">
        <v>0</v>
      </c>
    </row>
    <row r="866" spans="1:12" hidden="1">
      <c r="A866" s="1782">
        <v>42724</v>
      </c>
      <c r="B866" s="1783" t="s">
        <v>1908</v>
      </c>
      <c r="C866" s="1784">
        <v>182</v>
      </c>
      <c r="D866" s="1782">
        <v>42906</v>
      </c>
      <c r="E866" s="1785">
        <v>15</v>
      </c>
      <c r="F866" s="1786">
        <v>23.9602</v>
      </c>
      <c r="G866" s="1786">
        <v>15</v>
      </c>
      <c r="H866" s="1786"/>
      <c r="I866" s="1786">
        <v>18.999600000000001</v>
      </c>
      <c r="J866" s="1786">
        <v>18.2681</v>
      </c>
      <c r="K866" s="1787"/>
      <c r="L866" s="1784">
        <v>8</v>
      </c>
    </row>
    <row r="867" spans="1:12" hidden="1">
      <c r="A867" s="1782">
        <v>42731</v>
      </c>
      <c r="B867" s="1783" t="s">
        <v>1909</v>
      </c>
      <c r="C867" s="1784">
        <v>182</v>
      </c>
      <c r="D867" s="1782">
        <v>42913</v>
      </c>
      <c r="E867" s="1785">
        <v>10</v>
      </c>
      <c r="F867" s="1786">
        <v>18.284400000000002</v>
      </c>
      <c r="G867" s="1786">
        <v>10</v>
      </c>
      <c r="H867" s="1786"/>
      <c r="I867" s="1786">
        <v>18.850000000000001</v>
      </c>
      <c r="J867" s="1786">
        <v>18.224699999999999</v>
      </c>
      <c r="K867" s="1787"/>
      <c r="L867" s="1784">
        <v>6</v>
      </c>
    </row>
    <row r="868" spans="1:12" hidden="1">
      <c r="A868" s="1782">
        <v>42731</v>
      </c>
      <c r="B868" s="1783" t="s">
        <v>1910</v>
      </c>
      <c r="C868" s="1784">
        <v>364</v>
      </c>
      <c r="D868" s="1782">
        <v>43095</v>
      </c>
      <c r="E868" s="1785">
        <v>10</v>
      </c>
      <c r="F868" s="1786">
        <v>14.7433</v>
      </c>
      <c r="G868" s="1786">
        <v>10</v>
      </c>
      <c r="H868" s="1786"/>
      <c r="I868" s="1786">
        <v>20.9999</v>
      </c>
      <c r="J868" s="1786">
        <v>19.471599999999999</v>
      </c>
      <c r="K868" s="1787"/>
      <c r="L868" s="1784">
        <v>3</v>
      </c>
    </row>
    <row r="869" spans="1:12" hidden="1">
      <c r="A869" s="1782">
        <v>42769</v>
      </c>
      <c r="B869" s="1783" t="s">
        <v>1920</v>
      </c>
      <c r="C869" s="1784">
        <v>364</v>
      </c>
      <c r="D869" s="1782">
        <v>43133</v>
      </c>
      <c r="E869" s="1785">
        <v>15</v>
      </c>
      <c r="F869" s="1786">
        <v>41.646999999999998</v>
      </c>
      <c r="G869" s="1786">
        <v>15</v>
      </c>
      <c r="H869" s="1786"/>
      <c r="I869" s="1786">
        <v>18.602499999999999</v>
      </c>
      <c r="J869" s="1786">
        <v>18.3413</v>
      </c>
      <c r="K869" s="1787"/>
      <c r="L869" s="1784">
        <v>9</v>
      </c>
    </row>
    <row r="870" spans="1:12" hidden="1">
      <c r="A870" s="1782">
        <v>42787</v>
      </c>
      <c r="B870" s="1783" t="s">
        <v>1921</v>
      </c>
      <c r="C870" s="1784">
        <v>182</v>
      </c>
      <c r="D870" s="1782">
        <v>42969</v>
      </c>
      <c r="E870" s="1785">
        <v>10</v>
      </c>
      <c r="F870" s="1786">
        <v>36.215299999999999</v>
      </c>
      <c r="G870" s="1786">
        <v>10</v>
      </c>
      <c r="H870" s="1786"/>
      <c r="I870" s="1786">
        <v>16.591200000000001</v>
      </c>
      <c r="J870" s="1786">
        <v>15.7608</v>
      </c>
      <c r="K870" s="1787"/>
      <c r="L870" s="1784">
        <v>9</v>
      </c>
    </row>
    <row r="871" spans="1:12" hidden="1">
      <c r="A871" s="1782">
        <v>42794</v>
      </c>
      <c r="B871" s="1783" t="s">
        <v>1922</v>
      </c>
      <c r="C871" s="1784">
        <v>728</v>
      </c>
      <c r="D871" s="1782">
        <v>43522</v>
      </c>
      <c r="E871" s="1785">
        <v>10</v>
      </c>
      <c r="F871" s="1786">
        <v>23.5442</v>
      </c>
      <c r="G871" s="1786">
        <v>10</v>
      </c>
      <c r="H871" s="1786"/>
      <c r="I871" s="1786">
        <v>15</v>
      </c>
      <c r="J871" s="1786">
        <v>15</v>
      </c>
      <c r="K871" s="1787"/>
      <c r="L871" s="1784">
        <v>7</v>
      </c>
    </row>
    <row r="872" spans="1:12" hidden="1">
      <c r="A872" s="1782">
        <v>42801</v>
      </c>
      <c r="B872" s="1783" t="s">
        <v>1929</v>
      </c>
      <c r="C872" s="1784">
        <v>182</v>
      </c>
      <c r="D872" s="1782">
        <v>42983</v>
      </c>
      <c r="E872" s="1785">
        <v>10</v>
      </c>
      <c r="F872" s="1786">
        <v>42.909799999999997</v>
      </c>
      <c r="G872" s="1786">
        <v>10</v>
      </c>
      <c r="H872" s="1786"/>
      <c r="I872" s="1786">
        <v>15.6722</v>
      </c>
      <c r="J872" s="1786">
        <v>15.560199999999998</v>
      </c>
      <c r="K872" s="1787"/>
      <c r="L872" s="1784">
        <v>11</v>
      </c>
    </row>
    <row r="873" spans="1:12" hidden="1">
      <c r="A873" s="1782">
        <v>42808</v>
      </c>
      <c r="B873" s="1783" t="s">
        <v>1930</v>
      </c>
      <c r="C873" s="1784">
        <v>364</v>
      </c>
      <c r="D873" s="1782">
        <v>43172</v>
      </c>
      <c r="E873" s="1785">
        <v>25</v>
      </c>
      <c r="F873" s="1786">
        <v>56.398800000000001</v>
      </c>
      <c r="G873" s="1786">
        <v>25</v>
      </c>
      <c r="H873" s="1786"/>
      <c r="I873" s="1786">
        <v>17.9999</v>
      </c>
      <c r="J873" s="1786">
        <v>16.357299999999999</v>
      </c>
      <c r="K873" s="1787"/>
      <c r="L873" s="1784">
        <v>9</v>
      </c>
    </row>
    <row r="874" spans="1:12" hidden="1">
      <c r="A874" s="1782">
        <v>42822</v>
      </c>
      <c r="B874" s="1783" t="s">
        <v>1931</v>
      </c>
      <c r="C874" s="1784">
        <v>728</v>
      </c>
      <c r="D874" s="1782">
        <v>43550</v>
      </c>
      <c r="E874" s="1785">
        <v>10</v>
      </c>
      <c r="F874" s="1786">
        <v>26.5505</v>
      </c>
      <c r="G874" s="1786">
        <v>9.4984999999999999</v>
      </c>
      <c r="H874" s="1786"/>
      <c r="I874" s="1786">
        <v>15</v>
      </c>
      <c r="J874" s="1786">
        <v>14.993699999999999</v>
      </c>
      <c r="K874" s="1787"/>
      <c r="L874" s="1784">
        <v>5</v>
      </c>
    </row>
    <row r="875" spans="1:12" hidden="1">
      <c r="A875" s="1782">
        <v>42829</v>
      </c>
      <c r="B875" s="1783" t="s">
        <v>1936</v>
      </c>
      <c r="C875" s="1784">
        <v>91</v>
      </c>
      <c r="D875" s="1782">
        <v>42920</v>
      </c>
      <c r="E875" s="1785">
        <v>20</v>
      </c>
      <c r="F875" s="1786">
        <v>33.554299999999998</v>
      </c>
      <c r="G875" s="1786">
        <v>20</v>
      </c>
      <c r="H875" s="1786"/>
      <c r="I875" s="1786">
        <v>17.9998</v>
      </c>
      <c r="J875" s="1786">
        <v>16.758600000000001</v>
      </c>
      <c r="K875" s="1787"/>
      <c r="L875" s="1784">
        <v>9</v>
      </c>
    </row>
    <row r="876" spans="1:12" hidden="1">
      <c r="A876" s="1782">
        <v>42836</v>
      </c>
      <c r="B876" s="1783" t="s">
        <v>1937</v>
      </c>
      <c r="C876" s="1784">
        <v>728</v>
      </c>
      <c r="D876" s="1782">
        <v>43564</v>
      </c>
      <c r="E876" s="1785">
        <v>35</v>
      </c>
      <c r="F876" s="1786">
        <v>33.738399999999999</v>
      </c>
      <c r="G876" s="1786">
        <v>14.998699999999999</v>
      </c>
      <c r="H876" s="1786"/>
      <c r="I876" s="1786">
        <v>15</v>
      </c>
      <c r="J876" s="1786">
        <v>15</v>
      </c>
      <c r="K876" s="1787"/>
      <c r="L876" s="1784">
        <v>4</v>
      </c>
    </row>
    <row r="877" spans="1:12" hidden="1">
      <c r="A877" s="1782">
        <v>42843</v>
      </c>
      <c r="B877" s="1783" t="s">
        <v>1938</v>
      </c>
      <c r="C877" s="1784">
        <v>364</v>
      </c>
      <c r="D877" s="1782">
        <v>43207</v>
      </c>
      <c r="E877" s="1785">
        <v>60</v>
      </c>
      <c r="F877" s="1786">
        <v>79.046099999999996</v>
      </c>
      <c r="G877" s="1786">
        <v>59.72</v>
      </c>
      <c r="H877" s="1786"/>
      <c r="I877" s="1786">
        <v>18.037200000000002</v>
      </c>
      <c r="J877" s="1786">
        <v>17.3749</v>
      </c>
      <c r="K877" s="1787"/>
      <c r="L877" s="1784">
        <v>7</v>
      </c>
    </row>
    <row r="878" spans="1:12" hidden="1">
      <c r="A878" s="1782">
        <v>42843</v>
      </c>
      <c r="B878" s="1783" t="s">
        <v>1939</v>
      </c>
      <c r="C878" s="1784">
        <v>182</v>
      </c>
      <c r="D878" s="1782">
        <v>43025</v>
      </c>
      <c r="E878" s="1785">
        <v>20</v>
      </c>
      <c r="F878" s="1786">
        <v>41.430799999999998</v>
      </c>
      <c r="G878" s="1786">
        <v>20</v>
      </c>
      <c r="H878" s="1786"/>
      <c r="I878" s="1786">
        <v>16.998999999999999</v>
      </c>
      <c r="J878" s="1786">
        <v>16.547999999999998</v>
      </c>
      <c r="K878" s="1787"/>
      <c r="L878" s="1784">
        <v>6</v>
      </c>
    </row>
    <row r="879" spans="1:12" hidden="1">
      <c r="A879" s="1782">
        <v>42850</v>
      </c>
      <c r="B879" s="1783" t="s">
        <v>1940</v>
      </c>
      <c r="C879" s="1784">
        <v>364</v>
      </c>
      <c r="D879" s="1782">
        <v>43214</v>
      </c>
      <c r="E879" s="1785">
        <v>50</v>
      </c>
      <c r="F879" s="1786">
        <v>45.913200000000003</v>
      </c>
      <c r="G879" s="1786">
        <v>37.599699999999999</v>
      </c>
      <c r="H879" s="1786"/>
      <c r="I879" s="1786">
        <v>18.1632</v>
      </c>
      <c r="J879" s="1786">
        <v>17.0626</v>
      </c>
      <c r="K879" s="1787"/>
      <c r="L879" s="1784">
        <v>10</v>
      </c>
    </row>
    <row r="880" spans="1:12" hidden="1">
      <c r="A880" s="1782">
        <v>42857</v>
      </c>
      <c r="B880" s="1783" t="s">
        <v>1944</v>
      </c>
      <c r="C880" s="1784">
        <v>364</v>
      </c>
      <c r="D880" s="1782">
        <v>43221</v>
      </c>
      <c r="E880" s="1785">
        <v>25</v>
      </c>
      <c r="F880" s="1786">
        <v>50.255600000000001</v>
      </c>
      <c r="G880" s="1786">
        <v>25</v>
      </c>
      <c r="H880" s="1786"/>
      <c r="I880" s="1786">
        <v>18.2727</v>
      </c>
      <c r="J880" s="1786">
        <v>17.947199999999999</v>
      </c>
      <c r="K880" s="1787"/>
      <c r="L880" s="1784">
        <v>9</v>
      </c>
    </row>
    <row r="881" spans="1:12" hidden="1">
      <c r="A881" s="1782">
        <v>42871</v>
      </c>
      <c r="B881" s="1783" t="s">
        <v>1945</v>
      </c>
      <c r="C881" s="1784">
        <v>91</v>
      </c>
      <c r="D881" s="1782">
        <v>42962</v>
      </c>
      <c r="E881" s="1785">
        <v>10</v>
      </c>
      <c r="F881" s="1786">
        <v>39.960389999999997</v>
      </c>
      <c r="G881" s="1786">
        <v>10</v>
      </c>
      <c r="H881" s="1786"/>
      <c r="I881" s="1786">
        <v>14.491599999999998</v>
      </c>
      <c r="J881" s="1786">
        <v>13.7845</v>
      </c>
      <c r="K881" s="1787"/>
      <c r="L881" s="1784">
        <v>9</v>
      </c>
    </row>
    <row r="882" spans="1:12" hidden="1">
      <c r="A882" s="1782">
        <v>42878</v>
      </c>
      <c r="B882" s="1783" t="s">
        <v>1946</v>
      </c>
      <c r="C882" s="1784">
        <v>728</v>
      </c>
      <c r="D882" s="1782">
        <v>43606</v>
      </c>
      <c r="E882" s="1785">
        <v>20</v>
      </c>
      <c r="F882" s="1786">
        <v>3</v>
      </c>
      <c r="G882" s="1786">
        <v>3</v>
      </c>
      <c r="H882" s="1786"/>
      <c r="I882" s="1786">
        <v>15</v>
      </c>
      <c r="J882" s="1786">
        <v>15</v>
      </c>
      <c r="K882" s="1787"/>
      <c r="L882" s="1784">
        <v>1</v>
      </c>
    </row>
    <row r="883" spans="1:12" hidden="1">
      <c r="A883" s="1782">
        <v>42885</v>
      </c>
      <c r="B883" s="1783" t="s">
        <v>1947</v>
      </c>
      <c r="C883" s="1784">
        <v>364</v>
      </c>
      <c r="D883" s="1782">
        <v>43249</v>
      </c>
      <c r="E883" s="1785">
        <v>25</v>
      </c>
      <c r="F883" s="1786">
        <v>62.704799999999999</v>
      </c>
      <c r="G883" s="1786">
        <v>25</v>
      </c>
      <c r="H883" s="1786"/>
      <c r="I883" s="1786">
        <v>15</v>
      </c>
      <c r="J883" s="1786">
        <v>14.763000000000002</v>
      </c>
      <c r="K883" s="1787"/>
      <c r="L883" s="1784">
        <v>9</v>
      </c>
    </row>
    <row r="884" spans="1:12" hidden="1">
      <c r="A884" s="1782">
        <v>42892</v>
      </c>
      <c r="B884" s="1783" t="s">
        <v>1980</v>
      </c>
      <c r="C884" s="1784">
        <v>91</v>
      </c>
      <c r="D884" s="1782">
        <v>42983</v>
      </c>
      <c r="E884" s="1785">
        <v>10</v>
      </c>
      <c r="F884" s="1786">
        <v>51.712200000000003</v>
      </c>
      <c r="G884" s="1786">
        <v>10</v>
      </c>
      <c r="H884" s="1786"/>
      <c r="I884" s="1786">
        <v>12.4998</v>
      </c>
      <c r="J884" s="1786">
        <v>12.4382</v>
      </c>
      <c r="K884" s="1787"/>
      <c r="L884" s="1784">
        <v>14</v>
      </c>
    </row>
    <row r="885" spans="1:12" hidden="1">
      <c r="A885" s="1782">
        <v>42899</v>
      </c>
      <c r="B885" s="1783" t="s">
        <v>1981</v>
      </c>
      <c r="C885" s="1784">
        <v>728</v>
      </c>
      <c r="D885" s="1782">
        <v>43627</v>
      </c>
      <c r="E885" s="1785">
        <v>5</v>
      </c>
      <c r="F885" s="1786">
        <v>5</v>
      </c>
      <c r="G885" s="1786">
        <v>5</v>
      </c>
      <c r="H885" s="1786"/>
      <c r="I885" s="1786">
        <v>14.499999999999998</v>
      </c>
      <c r="J885" s="1786">
        <v>14.37</v>
      </c>
      <c r="K885" s="1787"/>
      <c r="L885" s="1784">
        <v>7</v>
      </c>
    </row>
    <row r="886" spans="1:12" hidden="1">
      <c r="A886" s="1782">
        <v>42906</v>
      </c>
      <c r="B886" s="1783" t="s">
        <v>1982</v>
      </c>
      <c r="C886" s="1784">
        <v>182</v>
      </c>
      <c r="D886" s="1782">
        <v>43088</v>
      </c>
      <c r="E886" s="1785">
        <v>10</v>
      </c>
      <c r="F886" s="1786">
        <v>29.9558</v>
      </c>
      <c r="G886" s="1786">
        <v>10</v>
      </c>
      <c r="H886" s="1786"/>
      <c r="I886" s="1786">
        <v>12.1668</v>
      </c>
      <c r="J886" s="1786">
        <v>12.059100000000001</v>
      </c>
      <c r="K886" s="1787"/>
      <c r="L886" s="1784">
        <v>9</v>
      </c>
    </row>
    <row r="887" spans="1:12" hidden="1">
      <c r="A887" s="1782">
        <v>42906</v>
      </c>
      <c r="B887" s="1783" t="s">
        <v>1983</v>
      </c>
      <c r="C887" s="1784">
        <v>364</v>
      </c>
      <c r="D887" s="1782">
        <v>43270</v>
      </c>
      <c r="E887" s="1785">
        <v>15</v>
      </c>
      <c r="F887" s="1786">
        <v>50.878900000000002</v>
      </c>
      <c r="G887" s="1786">
        <v>15</v>
      </c>
      <c r="H887" s="1786"/>
      <c r="I887" s="1786">
        <v>13.999900000000002</v>
      </c>
      <c r="J887" s="1786">
        <v>13.405800000000001</v>
      </c>
      <c r="K887" s="1787"/>
      <c r="L887" s="1784">
        <v>11</v>
      </c>
    </row>
    <row r="888" spans="1:12" hidden="1">
      <c r="A888" s="1782">
        <v>42920</v>
      </c>
      <c r="B888" s="1783" t="s">
        <v>1989</v>
      </c>
      <c r="C888" s="1784">
        <v>91</v>
      </c>
      <c r="D888" s="1782">
        <v>43011</v>
      </c>
      <c r="E888" s="1785">
        <v>10</v>
      </c>
      <c r="F888" s="1786">
        <v>64.012200000000007</v>
      </c>
      <c r="G888" s="1786">
        <v>10</v>
      </c>
      <c r="H888" s="1786"/>
      <c r="I888" s="1786">
        <v>9</v>
      </c>
      <c r="J888" s="1786">
        <v>9</v>
      </c>
      <c r="K888" s="1787"/>
      <c r="L888" s="1784">
        <v>19</v>
      </c>
    </row>
    <row r="889" spans="1:12" hidden="1">
      <c r="A889" s="1782">
        <v>42927</v>
      </c>
      <c r="B889" s="1783" t="s">
        <v>1990</v>
      </c>
      <c r="C889" s="1784">
        <v>364</v>
      </c>
      <c r="D889" s="1782">
        <v>43291</v>
      </c>
      <c r="E889" s="1785">
        <v>20</v>
      </c>
      <c r="F889" s="1786">
        <v>76.617099999999994</v>
      </c>
      <c r="G889" s="1786">
        <v>20</v>
      </c>
      <c r="H889" s="1786"/>
      <c r="I889" s="1786">
        <v>11</v>
      </c>
      <c r="J889" s="1786">
        <v>10.847199999999999</v>
      </c>
      <c r="K889" s="1787"/>
      <c r="L889" s="1784">
        <v>13</v>
      </c>
    </row>
    <row r="890" spans="1:12" hidden="1">
      <c r="A890" s="1782">
        <v>42934</v>
      </c>
      <c r="B890" s="1783" t="s">
        <v>1991</v>
      </c>
      <c r="C890" s="1784">
        <v>728</v>
      </c>
      <c r="D890" s="1782">
        <v>43662</v>
      </c>
      <c r="E890" s="1785">
        <v>5</v>
      </c>
      <c r="F890" s="1786">
        <v>29.119</v>
      </c>
      <c r="G890" s="1786">
        <v>5</v>
      </c>
      <c r="H890" s="1786"/>
      <c r="I890" s="1786">
        <v>15</v>
      </c>
      <c r="J890" s="1786">
        <v>12.8033</v>
      </c>
      <c r="K890" s="1787"/>
      <c r="L890" s="1784">
        <v>9</v>
      </c>
    </row>
    <row r="891" spans="1:12" hidden="1">
      <c r="A891" s="1782">
        <v>42941</v>
      </c>
      <c r="B891" s="1783" t="s">
        <v>1992</v>
      </c>
      <c r="C891" s="1784">
        <v>182</v>
      </c>
      <c r="D891" s="1782">
        <v>43123</v>
      </c>
      <c r="E891" s="1785">
        <v>20</v>
      </c>
      <c r="F891" s="1786">
        <v>78.979200000000006</v>
      </c>
      <c r="G891" s="1786">
        <v>20</v>
      </c>
      <c r="H891" s="1786"/>
      <c r="I891" s="1786">
        <v>15</v>
      </c>
      <c r="J891" s="1786">
        <v>8.3438999999999997</v>
      </c>
      <c r="K891" s="1787"/>
      <c r="L891" s="1784">
        <v>15</v>
      </c>
    </row>
    <row r="892" spans="1:12" hidden="1">
      <c r="A892" s="1782">
        <v>42962</v>
      </c>
      <c r="B892" s="1783" t="s">
        <v>1999</v>
      </c>
      <c r="C892" s="1784">
        <v>91</v>
      </c>
      <c r="D892" s="1782">
        <v>43053</v>
      </c>
      <c r="E892" s="1785">
        <v>10</v>
      </c>
      <c r="F892" s="1786">
        <v>36.217799999999997</v>
      </c>
      <c r="G892" s="1786">
        <v>10</v>
      </c>
      <c r="H892" s="1786"/>
      <c r="I892" s="1786">
        <v>7.8</v>
      </c>
      <c r="J892" s="1786">
        <v>7.7868999999999993</v>
      </c>
      <c r="K892" s="1787"/>
      <c r="L892" s="1784">
        <v>12</v>
      </c>
    </row>
    <row r="893" spans="1:12" hidden="1">
      <c r="A893" s="1782">
        <v>42969</v>
      </c>
      <c r="B893" s="1783" t="s">
        <v>2000</v>
      </c>
      <c r="C893" s="1784">
        <v>182</v>
      </c>
      <c r="D893" s="1782">
        <v>43151</v>
      </c>
      <c r="E893" s="1785">
        <v>20</v>
      </c>
      <c r="F893" s="1786">
        <v>56.866799999999998</v>
      </c>
      <c r="G893" s="1786">
        <v>20</v>
      </c>
      <c r="H893" s="1786"/>
      <c r="I893" s="1786">
        <v>8.9999990000000007</v>
      </c>
      <c r="J893" s="1786">
        <v>8.8749000000000002</v>
      </c>
      <c r="K893" s="1787"/>
      <c r="L893" s="1784">
        <v>12</v>
      </c>
    </row>
    <row r="894" spans="1:12" hidden="1">
      <c r="A894" s="1782">
        <v>42969</v>
      </c>
      <c r="B894" s="1783" t="s">
        <v>2001</v>
      </c>
      <c r="C894" s="1784">
        <v>364</v>
      </c>
      <c r="D894" s="1782">
        <v>43333</v>
      </c>
      <c r="E894" s="1785">
        <v>25</v>
      </c>
      <c r="F894" s="1786">
        <v>66.177599999999998</v>
      </c>
      <c r="G894" s="1786">
        <v>25</v>
      </c>
      <c r="H894" s="1786"/>
      <c r="I894" s="1786">
        <v>10.8</v>
      </c>
      <c r="J894" s="1786">
        <v>10.775700000000001</v>
      </c>
      <c r="K894" s="1787"/>
      <c r="L894" s="1784">
        <v>7</v>
      </c>
    </row>
    <row r="895" spans="1:12" hidden="1">
      <c r="A895" s="1782">
        <v>42976</v>
      </c>
      <c r="B895" s="1783" t="s">
        <v>2002</v>
      </c>
      <c r="C895" s="1784">
        <v>728</v>
      </c>
      <c r="D895" s="1782">
        <v>43704</v>
      </c>
      <c r="E895" s="1785">
        <v>5</v>
      </c>
      <c r="F895" s="1786">
        <v>80.065799999999996</v>
      </c>
      <c r="G895" s="1786">
        <v>5</v>
      </c>
      <c r="H895" s="1786"/>
      <c r="I895" s="1786">
        <v>11.799999999999999</v>
      </c>
      <c r="J895" s="1786">
        <v>11.3735</v>
      </c>
      <c r="K895" s="1787"/>
      <c r="L895" s="1784">
        <v>8</v>
      </c>
    </row>
    <row r="896" spans="1:12" hidden="1">
      <c r="A896" s="1782">
        <v>42983</v>
      </c>
      <c r="B896" s="1783" t="s">
        <v>2009</v>
      </c>
      <c r="C896" s="1784">
        <v>182</v>
      </c>
      <c r="D896" s="1782">
        <v>43165</v>
      </c>
      <c r="E896" s="1785">
        <v>15</v>
      </c>
      <c r="F896" s="1786">
        <v>33.9694</v>
      </c>
      <c r="G896" s="1786">
        <v>15</v>
      </c>
      <c r="H896" s="1786"/>
      <c r="I896" s="1786">
        <v>8.9999000000000002</v>
      </c>
      <c r="J896" s="1786">
        <v>8.9999000000000002</v>
      </c>
      <c r="K896" s="1787"/>
      <c r="L896" s="1784">
        <v>3</v>
      </c>
    </row>
    <row r="897" spans="1:12" hidden="1">
      <c r="A897" s="1782">
        <v>42983</v>
      </c>
      <c r="B897" s="1783" t="s">
        <v>2010</v>
      </c>
      <c r="C897" s="1784">
        <v>364</v>
      </c>
      <c r="D897" s="1782">
        <v>43347</v>
      </c>
      <c r="E897" s="1785">
        <v>10</v>
      </c>
      <c r="F897" s="1786">
        <v>31.341100000000001</v>
      </c>
      <c r="G897" s="1786">
        <v>10</v>
      </c>
      <c r="H897" s="1786"/>
      <c r="I897" s="1786">
        <v>9.9989999999999988</v>
      </c>
      <c r="J897" s="1786">
        <v>9.9793000000000003</v>
      </c>
      <c r="K897" s="1787"/>
      <c r="L897" s="1784">
        <v>8</v>
      </c>
    </row>
    <row r="898" spans="1:12" hidden="1">
      <c r="A898" s="1782">
        <v>42990</v>
      </c>
      <c r="B898" s="1783" t="s">
        <v>2011</v>
      </c>
      <c r="C898" s="1784">
        <v>182</v>
      </c>
      <c r="D898" s="1782">
        <v>43172</v>
      </c>
      <c r="E898" s="1785">
        <v>20</v>
      </c>
      <c r="F898" s="1786">
        <v>76.618600000000001</v>
      </c>
      <c r="G898" s="1786">
        <v>20</v>
      </c>
      <c r="H898" s="1786"/>
      <c r="I898" s="1786">
        <v>7.4998999999999993</v>
      </c>
      <c r="J898" s="1786">
        <v>7.4998999999999993</v>
      </c>
      <c r="K898" s="1787"/>
      <c r="L898" s="1784">
        <v>11</v>
      </c>
    </row>
    <row r="899" spans="1:12" hidden="1">
      <c r="A899" s="1782">
        <v>42997</v>
      </c>
      <c r="B899" s="1783" t="s">
        <v>2012</v>
      </c>
      <c r="C899" s="1784">
        <v>364</v>
      </c>
      <c r="D899" s="1782">
        <v>43361</v>
      </c>
      <c r="E899" s="1785">
        <v>15</v>
      </c>
      <c r="F899" s="1786">
        <v>69.597200000000001</v>
      </c>
      <c r="G899" s="1786">
        <v>15</v>
      </c>
      <c r="H899" s="1786"/>
      <c r="I899" s="1786">
        <v>7.9</v>
      </c>
      <c r="J899" s="1786">
        <v>7.6696999999999997</v>
      </c>
      <c r="K899" s="1787"/>
      <c r="L899" s="1784">
        <v>12</v>
      </c>
    </row>
    <row r="900" spans="1:12" hidden="1">
      <c r="A900" s="1782">
        <v>43004</v>
      </c>
      <c r="B900" s="1783" t="s">
        <v>2013</v>
      </c>
      <c r="C900" s="1784">
        <v>728</v>
      </c>
      <c r="D900" s="1782">
        <v>43732</v>
      </c>
      <c r="E900" s="1785">
        <v>5</v>
      </c>
      <c r="F900" s="1786">
        <v>17.5274</v>
      </c>
      <c r="G900" s="1786">
        <v>5</v>
      </c>
      <c r="H900" s="1786"/>
      <c r="I900" s="1786">
        <v>9.9758999999999993</v>
      </c>
      <c r="J900" s="1786">
        <v>9.1953999999999994</v>
      </c>
      <c r="K900" s="1787"/>
      <c r="L900" s="1784">
        <v>10</v>
      </c>
    </row>
    <row r="901" spans="1:12" hidden="1">
      <c r="A901" s="1782">
        <v>43011</v>
      </c>
      <c r="B901" s="1783" t="s">
        <v>2022</v>
      </c>
      <c r="C901" s="1784">
        <v>91</v>
      </c>
      <c r="D901" s="1782">
        <v>43102</v>
      </c>
      <c r="E901" s="1785">
        <v>10</v>
      </c>
      <c r="F901" s="1786">
        <v>32.4542</v>
      </c>
      <c r="G901" s="1786">
        <v>10</v>
      </c>
      <c r="H901" s="1786"/>
      <c r="I901" s="1786">
        <v>7.9997999999999996</v>
      </c>
      <c r="J901" s="1786">
        <v>4.5003000000000002</v>
      </c>
      <c r="K901" s="1787"/>
      <c r="L901" s="1784">
        <v>9</v>
      </c>
    </row>
    <row r="902" spans="1:12" hidden="1">
      <c r="A902" s="1782">
        <v>43018</v>
      </c>
      <c r="B902" s="1783" t="s">
        <v>2023</v>
      </c>
      <c r="C902" s="1784">
        <v>364</v>
      </c>
      <c r="D902" s="1782">
        <v>43382</v>
      </c>
      <c r="E902" s="1785">
        <v>25</v>
      </c>
      <c r="F902" s="1786">
        <v>25</v>
      </c>
      <c r="G902" s="1786">
        <v>25</v>
      </c>
      <c r="H902" s="1786"/>
      <c r="I902" s="1786">
        <v>6.5</v>
      </c>
      <c r="J902" s="1786">
        <v>6.2500999999999998</v>
      </c>
      <c r="K902" s="1787"/>
      <c r="L902" s="1784">
        <v>10</v>
      </c>
    </row>
    <row r="903" spans="1:12" hidden="1">
      <c r="A903" s="1782">
        <v>43025</v>
      </c>
      <c r="B903" s="1783" t="s">
        <v>2024</v>
      </c>
      <c r="C903" s="1784">
        <v>182</v>
      </c>
      <c r="D903" s="1782">
        <v>43207</v>
      </c>
      <c r="E903" s="1785">
        <v>20</v>
      </c>
      <c r="F903" s="1786">
        <v>20</v>
      </c>
      <c r="G903" s="1786">
        <v>20</v>
      </c>
      <c r="H903" s="1786"/>
      <c r="I903" s="1786">
        <v>8.5</v>
      </c>
      <c r="J903" s="1786">
        <v>8.101700000000001</v>
      </c>
      <c r="K903" s="1787"/>
      <c r="L903" s="1784">
        <v>7</v>
      </c>
    </row>
    <row r="904" spans="1:12" hidden="1">
      <c r="A904" s="1782">
        <v>43032</v>
      </c>
      <c r="B904" s="1783" t="s">
        <v>2025</v>
      </c>
      <c r="C904" s="1784">
        <v>728</v>
      </c>
      <c r="D904" s="1782">
        <v>43760</v>
      </c>
      <c r="E904" s="1785">
        <v>5</v>
      </c>
      <c r="F904" s="1786">
        <v>13.1518</v>
      </c>
      <c r="G904" s="1786">
        <v>5</v>
      </c>
      <c r="H904" s="1786"/>
      <c r="I904" s="1786">
        <v>9.9</v>
      </c>
      <c r="J904" s="1786">
        <v>9.0785</v>
      </c>
      <c r="K904" s="1787"/>
      <c r="L904" s="1784">
        <v>6</v>
      </c>
    </row>
    <row r="905" spans="1:12" hidden="1">
      <c r="A905" s="1782">
        <v>43039</v>
      </c>
      <c r="B905" s="1783" t="s">
        <v>2026</v>
      </c>
      <c r="C905" s="1784">
        <v>1092</v>
      </c>
      <c r="D905" s="1782">
        <v>44131</v>
      </c>
      <c r="E905" s="1785">
        <v>20</v>
      </c>
      <c r="F905" s="1786">
        <v>59.038800000000002</v>
      </c>
      <c r="G905" s="1786">
        <v>20</v>
      </c>
      <c r="H905" s="1786"/>
      <c r="I905" s="1786">
        <v>12.9</v>
      </c>
      <c r="J905" s="1786">
        <v>10.177999999999999</v>
      </c>
      <c r="K905" s="1787"/>
      <c r="L905" s="1784">
        <v>9</v>
      </c>
    </row>
    <row r="906" spans="1:12" hidden="1">
      <c r="A906" s="1782">
        <v>43046</v>
      </c>
      <c r="B906" s="1783" t="s">
        <v>2033</v>
      </c>
      <c r="C906" s="1784">
        <v>364</v>
      </c>
      <c r="D906" s="1782">
        <v>43410</v>
      </c>
      <c r="E906" s="1785">
        <v>45</v>
      </c>
      <c r="F906" s="1786">
        <v>150.1054</v>
      </c>
      <c r="G906" s="1786">
        <v>45</v>
      </c>
      <c r="H906" s="1786"/>
      <c r="I906" s="1786">
        <v>10.0001</v>
      </c>
      <c r="J906" s="1786">
        <v>8.9701000000000004</v>
      </c>
      <c r="K906" s="1787"/>
      <c r="L906" s="1784">
        <v>15</v>
      </c>
    </row>
    <row r="907" spans="1:12" hidden="1">
      <c r="A907" s="1782">
        <v>43053</v>
      </c>
      <c r="B907" s="1783" t="s">
        <v>2034</v>
      </c>
      <c r="C907" s="1784">
        <v>1092</v>
      </c>
      <c r="D907" s="1782">
        <v>44145</v>
      </c>
      <c r="E907" s="1785">
        <v>10</v>
      </c>
      <c r="F907" s="1786">
        <v>20.213000000000001</v>
      </c>
      <c r="G907" s="1786">
        <v>10</v>
      </c>
      <c r="H907" s="1786"/>
      <c r="I907" s="1786">
        <v>12.5999</v>
      </c>
      <c r="J907" s="1786">
        <v>11.2349</v>
      </c>
      <c r="K907" s="1787"/>
      <c r="L907" s="1784">
        <v>5</v>
      </c>
    </row>
    <row r="908" spans="1:12" hidden="1">
      <c r="A908" s="1782">
        <v>43060</v>
      </c>
      <c r="B908" s="1783" t="s">
        <v>2035</v>
      </c>
      <c r="C908" s="1784">
        <v>728</v>
      </c>
      <c r="D908" s="1782">
        <v>43788</v>
      </c>
      <c r="E908" s="1785">
        <v>30</v>
      </c>
      <c r="F908" s="1786">
        <v>547.87620000000004</v>
      </c>
      <c r="G908" s="1786">
        <v>30</v>
      </c>
      <c r="H908" s="1786"/>
      <c r="I908" s="1786">
        <v>12</v>
      </c>
      <c r="J908" s="1786">
        <v>11.632099999999999</v>
      </c>
      <c r="K908" s="1787"/>
      <c r="L908" s="1784">
        <v>9</v>
      </c>
    </row>
    <row r="909" spans="1:12" hidden="1">
      <c r="A909" s="1782">
        <v>43067</v>
      </c>
      <c r="B909" s="1783" t="s">
        <v>2036</v>
      </c>
      <c r="C909" s="1784">
        <v>182</v>
      </c>
      <c r="D909" s="1782">
        <v>43249</v>
      </c>
      <c r="E909" s="1785">
        <v>30</v>
      </c>
      <c r="F909" s="1786">
        <v>88.262900000000002</v>
      </c>
      <c r="G909" s="1786">
        <v>30</v>
      </c>
      <c r="H909" s="1786"/>
      <c r="I909" s="1786">
        <v>8.5</v>
      </c>
      <c r="J909" s="1786">
        <v>4.0277000000000003</v>
      </c>
      <c r="K909" s="1787"/>
      <c r="L909" s="1784">
        <v>12</v>
      </c>
    </row>
    <row r="910" spans="1:12" hidden="1">
      <c r="A910" s="1782">
        <v>43074</v>
      </c>
      <c r="B910" s="1783" t="s">
        <v>2043</v>
      </c>
      <c r="C910" s="1784">
        <v>1092</v>
      </c>
      <c r="D910" s="1782">
        <v>44166</v>
      </c>
      <c r="E910" s="1785">
        <v>20</v>
      </c>
      <c r="F910" s="1786">
        <v>55.351399999999998</v>
      </c>
      <c r="G910" s="1786">
        <v>20</v>
      </c>
      <c r="H910" s="1786"/>
      <c r="I910" s="1786">
        <v>12</v>
      </c>
      <c r="J910" s="1786">
        <v>11.627700000000001</v>
      </c>
      <c r="K910" s="1787"/>
      <c r="L910" s="1784">
        <v>7</v>
      </c>
    </row>
    <row r="911" spans="1:12" hidden="1">
      <c r="A911" s="1782">
        <v>43081</v>
      </c>
      <c r="B911" s="1783" t="s">
        <v>2044</v>
      </c>
      <c r="C911" s="1784">
        <v>728</v>
      </c>
      <c r="D911" s="1782">
        <v>43809</v>
      </c>
      <c r="E911" s="1785">
        <v>20</v>
      </c>
      <c r="F911" s="1786">
        <v>31.263200000000001</v>
      </c>
      <c r="G911" s="1786">
        <v>20</v>
      </c>
      <c r="H911" s="1786"/>
      <c r="I911" s="1786">
        <v>15</v>
      </c>
      <c r="J911" s="1786">
        <v>13.482800000000001</v>
      </c>
      <c r="K911" s="1787"/>
      <c r="L911" s="1784">
        <v>11</v>
      </c>
    </row>
    <row r="912" spans="1:12" hidden="1">
      <c r="A912" s="1782">
        <v>43088</v>
      </c>
      <c r="B912" s="1783" t="s">
        <v>2045</v>
      </c>
      <c r="C912" s="1784">
        <v>182</v>
      </c>
      <c r="D912" s="1782">
        <v>43270</v>
      </c>
      <c r="E912" s="1785">
        <v>30</v>
      </c>
      <c r="F912" s="1786">
        <v>78.065600000000003</v>
      </c>
      <c r="G912" s="1786">
        <v>30</v>
      </c>
      <c r="H912" s="1786"/>
      <c r="I912" s="1786">
        <v>14.000000000000002</v>
      </c>
      <c r="J912" s="1786">
        <v>12.0861</v>
      </c>
      <c r="K912" s="1787"/>
      <c r="L912" s="1784">
        <v>11</v>
      </c>
    </row>
    <row r="913" spans="1:12" hidden="1">
      <c r="A913" s="1782">
        <v>43095</v>
      </c>
      <c r="B913" s="1783" t="s">
        <v>2046</v>
      </c>
      <c r="C913" s="1784">
        <v>364</v>
      </c>
      <c r="D913" s="1782">
        <v>43459</v>
      </c>
      <c r="E913" s="1785">
        <v>70</v>
      </c>
      <c r="F913" s="1786">
        <v>224.03389999999999</v>
      </c>
      <c r="G913" s="1786">
        <v>70</v>
      </c>
      <c r="H913" s="1786"/>
      <c r="I913" s="1786">
        <v>15</v>
      </c>
      <c r="J913" s="1786">
        <v>14.330000000000002</v>
      </c>
      <c r="K913" s="1787"/>
      <c r="L913" s="1784">
        <v>25</v>
      </c>
    </row>
    <row r="914" spans="1:12">
      <c r="A914" s="1788">
        <v>2018</v>
      </c>
      <c r="B914" s="1783"/>
      <c r="C914" s="1784"/>
      <c r="D914" s="1782"/>
      <c r="E914" s="1785"/>
      <c r="F914" s="1786"/>
      <c r="G914" s="1786"/>
      <c r="H914" s="1786"/>
      <c r="I914" s="1786"/>
      <c r="J914" s="1786"/>
      <c r="K914" s="1787"/>
      <c r="L914" s="1784"/>
    </row>
    <row r="915" spans="1:12">
      <c r="A915" s="1782">
        <v>43123</v>
      </c>
      <c r="B915" s="1783" t="s">
        <v>2052</v>
      </c>
      <c r="C915" s="1784">
        <v>364</v>
      </c>
      <c r="D915" s="1782">
        <v>43487</v>
      </c>
      <c r="E915" s="1785">
        <v>35</v>
      </c>
      <c r="F915" s="1786">
        <v>95.291899999999998</v>
      </c>
      <c r="G915" s="1786">
        <v>35</v>
      </c>
      <c r="H915" s="1786"/>
      <c r="I915" s="1786">
        <v>13.99</v>
      </c>
      <c r="J915" s="1786">
        <v>13.7738</v>
      </c>
      <c r="K915" s="1787"/>
      <c r="L915" s="1784">
        <v>18</v>
      </c>
    </row>
    <row r="916" spans="1:12">
      <c r="A916" s="1782">
        <v>43130</v>
      </c>
      <c r="B916" s="1783" t="s">
        <v>2053</v>
      </c>
      <c r="C916" s="1784">
        <v>1092</v>
      </c>
      <c r="D916" s="1782">
        <v>44222</v>
      </c>
      <c r="E916" s="1785">
        <v>15</v>
      </c>
      <c r="F916" s="1786">
        <v>44.811500000000002</v>
      </c>
      <c r="G916" s="1786">
        <v>15</v>
      </c>
      <c r="H916" s="1786"/>
      <c r="I916" s="1786">
        <v>14.899999999999999</v>
      </c>
      <c r="J916" s="1786">
        <v>13.240599999999999</v>
      </c>
      <c r="K916" s="1787"/>
      <c r="L916" s="1784">
        <v>9</v>
      </c>
    </row>
    <row r="917" spans="1:12">
      <c r="A917" s="1782">
        <v>43144</v>
      </c>
      <c r="B917" s="1783" t="s">
        <v>2064</v>
      </c>
      <c r="C917" s="1784">
        <v>728</v>
      </c>
      <c r="D917" s="1782">
        <v>43872</v>
      </c>
      <c r="E917" s="1785">
        <v>30</v>
      </c>
      <c r="F917" s="1786">
        <v>128.2388</v>
      </c>
      <c r="G917" s="1786">
        <v>30</v>
      </c>
      <c r="H917" s="1786"/>
      <c r="I917" s="1786">
        <v>10</v>
      </c>
      <c r="J917" s="1786">
        <v>9.9911999999999992</v>
      </c>
      <c r="K917" s="1787"/>
      <c r="L917" s="1784">
        <v>15</v>
      </c>
    </row>
    <row r="918" spans="1:12">
      <c r="A918" s="1782">
        <v>43151</v>
      </c>
      <c r="B918" s="1783" t="s">
        <v>2065</v>
      </c>
      <c r="C918" s="1784">
        <v>364</v>
      </c>
      <c r="D918" s="1782">
        <v>43515</v>
      </c>
      <c r="E918" s="1785">
        <v>35</v>
      </c>
      <c r="F918" s="1786">
        <v>165.18989999999999</v>
      </c>
      <c r="G918" s="1786">
        <v>35</v>
      </c>
      <c r="H918" s="1786"/>
      <c r="I918" s="1786">
        <v>8.0000999999999998</v>
      </c>
      <c r="J918" s="1786">
        <v>7.9204999999999997</v>
      </c>
      <c r="K918" s="1787"/>
      <c r="L918" s="1784">
        <v>23</v>
      </c>
    </row>
    <row r="919" spans="1:12">
      <c r="A919" s="1782">
        <v>43158</v>
      </c>
      <c r="B919" s="1783" t="s">
        <v>2066</v>
      </c>
      <c r="C919" s="1784">
        <v>1092</v>
      </c>
      <c r="D919" s="1782">
        <v>44250</v>
      </c>
      <c r="E919" s="1785">
        <v>15</v>
      </c>
      <c r="F919" s="1786">
        <v>53.264699999999998</v>
      </c>
      <c r="G919" s="1786">
        <v>35</v>
      </c>
      <c r="H919" s="1786"/>
      <c r="I919" s="1786">
        <v>9.8000000000000007</v>
      </c>
      <c r="J919" s="1786">
        <v>8.9877000000000002</v>
      </c>
      <c r="K919" s="1787"/>
      <c r="L919" s="1784">
        <v>10</v>
      </c>
    </row>
    <row r="920" spans="1:12">
      <c r="A920" s="1782">
        <v>43172</v>
      </c>
      <c r="B920" s="1783" t="s">
        <v>2071</v>
      </c>
      <c r="C920" s="1784">
        <v>728</v>
      </c>
      <c r="D920" s="1782">
        <v>43900</v>
      </c>
      <c r="E920" s="1785">
        <v>30</v>
      </c>
      <c r="F920" s="1786">
        <v>106.5759</v>
      </c>
      <c r="G920" s="1786">
        <v>30</v>
      </c>
      <c r="H920" s="1786"/>
      <c r="I920" s="1786">
        <v>8</v>
      </c>
      <c r="J920" s="1786">
        <v>7.9912000000000001</v>
      </c>
      <c r="K920" s="1787"/>
      <c r="L920" s="1784">
        <v>13</v>
      </c>
    </row>
    <row r="921" spans="1:12">
      <c r="A921" s="1782">
        <v>43186</v>
      </c>
      <c r="B921" s="1783" t="s">
        <v>2072</v>
      </c>
      <c r="C921" s="1784">
        <v>1092</v>
      </c>
      <c r="D921" s="1782">
        <v>44278</v>
      </c>
      <c r="E921" s="1785">
        <v>15</v>
      </c>
      <c r="F921" s="1786">
        <v>50.034300000000002</v>
      </c>
      <c r="G921" s="1786">
        <v>15</v>
      </c>
      <c r="H921" s="1786"/>
      <c r="I921" s="1786">
        <v>10.292199999999999</v>
      </c>
      <c r="J921" s="1786">
        <v>9.6989000000000001</v>
      </c>
      <c r="K921" s="1787"/>
      <c r="L921" s="1784">
        <v>10</v>
      </c>
    </row>
    <row r="922" spans="1:12">
      <c r="A922" s="1782">
        <v>43200</v>
      </c>
      <c r="B922" s="1783" t="s">
        <v>2076</v>
      </c>
      <c r="C922" s="1784">
        <v>728</v>
      </c>
      <c r="D922" s="1782">
        <v>43928</v>
      </c>
      <c r="E922" s="1785">
        <v>30</v>
      </c>
      <c r="F922" s="1786">
        <v>107.74333333600001</v>
      </c>
      <c r="G922" s="1786">
        <v>30</v>
      </c>
      <c r="H922" s="1786"/>
      <c r="I922" s="1786">
        <v>8</v>
      </c>
      <c r="J922" s="1786">
        <v>7.9984000000000002</v>
      </c>
      <c r="K922" s="1787"/>
      <c r="L922" s="1784">
        <v>10</v>
      </c>
    </row>
    <row r="923" spans="1:12">
      <c r="A923" s="1782">
        <v>43207</v>
      </c>
      <c r="B923" s="1783" t="s">
        <v>2077</v>
      </c>
      <c r="C923" s="1784">
        <v>364</v>
      </c>
      <c r="D923" s="1782">
        <v>43571</v>
      </c>
      <c r="E923" s="1785">
        <v>35</v>
      </c>
      <c r="F923" s="1786">
        <v>137.44229999999999</v>
      </c>
      <c r="G923" s="1786">
        <v>35</v>
      </c>
      <c r="H923" s="1786"/>
      <c r="I923" s="1786">
        <v>8.9</v>
      </c>
      <c r="J923" s="1786">
        <v>8.0540000000000003</v>
      </c>
      <c r="K923" s="1787"/>
      <c r="L923" s="1784">
        <v>12</v>
      </c>
    </row>
    <row r="924" spans="1:12">
      <c r="A924" s="1782">
        <v>43214</v>
      </c>
      <c r="B924" s="1783" t="s">
        <v>2078</v>
      </c>
      <c r="C924" s="1784">
        <v>1092</v>
      </c>
      <c r="D924" s="1782">
        <v>44306</v>
      </c>
      <c r="E924" s="1785">
        <v>15</v>
      </c>
      <c r="F924" s="1786">
        <v>56.747</v>
      </c>
      <c r="G924" s="1786">
        <v>15</v>
      </c>
      <c r="H924" s="1786"/>
      <c r="I924" s="1786">
        <v>10.5</v>
      </c>
      <c r="J924" s="1786">
        <v>9.8625000000000007</v>
      </c>
      <c r="K924" s="1787"/>
      <c r="L924" s="1784">
        <v>6</v>
      </c>
    </row>
    <row r="925" spans="1:12">
      <c r="A925" s="1782">
        <v>43235</v>
      </c>
      <c r="B925" s="1783" t="s">
        <v>2078</v>
      </c>
      <c r="C925" s="1784">
        <v>728</v>
      </c>
      <c r="D925" s="1782">
        <v>43963</v>
      </c>
      <c r="E925" s="1785">
        <v>30</v>
      </c>
      <c r="F925" s="1786">
        <v>76.006399999999999</v>
      </c>
      <c r="G925" s="1786">
        <v>30</v>
      </c>
      <c r="H925" s="1786"/>
      <c r="I925" s="1786">
        <v>9.25</v>
      </c>
      <c r="J925" s="1786">
        <v>8.6208000000000009</v>
      </c>
      <c r="K925" s="1787"/>
      <c r="L925" s="1784">
        <v>8</v>
      </c>
    </row>
    <row r="926" spans="1:12">
      <c r="A926" s="1782">
        <v>43242</v>
      </c>
      <c r="B926" s="1783" t="s">
        <v>2084</v>
      </c>
      <c r="C926" s="1784">
        <v>364</v>
      </c>
      <c r="D926" s="1782">
        <v>43606</v>
      </c>
      <c r="E926" s="1785">
        <v>35</v>
      </c>
      <c r="F926" s="1786">
        <v>163.9932</v>
      </c>
      <c r="G926" s="1786">
        <v>35</v>
      </c>
      <c r="H926" s="1786"/>
      <c r="I926" s="1786">
        <v>8.6</v>
      </c>
      <c r="J926" s="1786">
        <v>8.1805000000000003</v>
      </c>
      <c r="K926" s="1787"/>
      <c r="L926" s="1784">
        <v>14</v>
      </c>
    </row>
    <row r="927" spans="1:12">
      <c r="A927" s="1782">
        <v>43249</v>
      </c>
      <c r="B927" s="1783" t="s">
        <v>2085</v>
      </c>
      <c r="C927" s="1784">
        <v>1092</v>
      </c>
      <c r="D927" s="1782">
        <v>44341</v>
      </c>
      <c r="E927" s="1785">
        <v>15</v>
      </c>
      <c r="F927" s="1786">
        <v>41.955800000000004</v>
      </c>
      <c r="G927" s="1786">
        <v>15</v>
      </c>
      <c r="H927" s="1786"/>
      <c r="I927" s="1786">
        <v>9.8000000000000007</v>
      </c>
      <c r="J927" s="1786">
        <v>9.6710000000000012</v>
      </c>
      <c r="K927" s="1787"/>
      <c r="L927" s="1784">
        <v>8</v>
      </c>
    </row>
    <row r="928" spans="1:12">
      <c r="A928" s="1782">
        <v>43256</v>
      </c>
      <c r="B928" s="1783" t="s">
        <v>2093</v>
      </c>
      <c r="C928" s="1784">
        <v>364</v>
      </c>
      <c r="D928" s="1782">
        <v>43620</v>
      </c>
      <c r="E928" s="1785">
        <v>35</v>
      </c>
      <c r="F928" s="1786">
        <v>116.8086</v>
      </c>
      <c r="G928" s="1786">
        <v>35</v>
      </c>
      <c r="H928" s="1786"/>
      <c r="I928" s="1786">
        <v>8.2999000000000009</v>
      </c>
      <c r="J928" s="1786">
        <v>8.1914999999999996</v>
      </c>
      <c r="K928" s="1787"/>
      <c r="L928" s="1784">
        <v>14</v>
      </c>
    </row>
    <row r="929" spans="1:12">
      <c r="A929" s="1782">
        <v>43263</v>
      </c>
      <c r="B929" s="1783" t="s">
        <v>2094</v>
      </c>
      <c r="C929" s="1784">
        <v>728</v>
      </c>
      <c r="D929" s="1782">
        <v>43991</v>
      </c>
      <c r="E929" s="1785">
        <v>30</v>
      </c>
      <c r="F929" s="1786">
        <v>104.482</v>
      </c>
      <c r="G929" s="1786">
        <v>30</v>
      </c>
      <c r="H929" s="1786"/>
      <c r="I929" s="1786">
        <v>8.5</v>
      </c>
      <c r="J929" s="1786">
        <v>8.4034999999999993</v>
      </c>
      <c r="K929" s="1787"/>
      <c r="L929" s="1784">
        <v>13</v>
      </c>
    </row>
    <row r="930" spans="1:12">
      <c r="A930" s="1782">
        <v>43291</v>
      </c>
      <c r="B930" s="1783" t="s">
        <v>2100</v>
      </c>
      <c r="C930" s="1784">
        <v>728</v>
      </c>
      <c r="D930" s="1782">
        <v>44019</v>
      </c>
      <c r="E930" s="1785">
        <v>35</v>
      </c>
      <c r="F930" s="1786">
        <v>76.257099999999994</v>
      </c>
      <c r="G930" s="1786">
        <v>35</v>
      </c>
      <c r="H930" s="1786"/>
      <c r="I930" s="1786">
        <v>8.93</v>
      </c>
      <c r="J930" s="1786">
        <v>8.3224999999999998</v>
      </c>
      <c r="K930" s="1787"/>
      <c r="L930" s="1784">
        <v>10</v>
      </c>
    </row>
    <row r="931" spans="1:12">
      <c r="A931" s="1782">
        <v>43298</v>
      </c>
      <c r="B931" s="1783" t="s">
        <v>2101</v>
      </c>
      <c r="C931" s="1784">
        <v>364</v>
      </c>
      <c r="D931" s="1782">
        <v>43662</v>
      </c>
      <c r="E931" s="1785">
        <v>35</v>
      </c>
      <c r="F931" s="1786">
        <v>92.630099999999999</v>
      </c>
      <c r="G931" s="1786">
        <v>35</v>
      </c>
      <c r="H931" s="1786"/>
      <c r="I931" s="1786">
        <v>8.0000999999999998</v>
      </c>
      <c r="J931" s="1786">
        <v>7.9596</v>
      </c>
      <c r="K931" s="1787"/>
      <c r="L931" s="1784">
        <v>16</v>
      </c>
    </row>
    <row r="932" spans="1:12">
      <c r="A932" s="1782">
        <v>43305</v>
      </c>
      <c r="B932" s="1783" t="s">
        <v>2102</v>
      </c>
      <c r="C932" s="1784">
        <v>1092</v>
      </c>
      <c r="D932" s="1782">
        <v>44397</v>
      </c>
      <c r="E932" s="1785">
        <v>15</v>
      </c>
      <c r="F932" s="1786">
        <v>18.193000000000001</v>
      </c>
      <c r="G932" s="1786">
        <v>15</v>
      </c>
      <c r="H932" s="1786"/>
      <c r="I932" s="1786">
        <v>10.8</v>
      </c>
      <c r="J932" s="1786">
        <v>9.9315999999999995</v>
      </c>
      <c r="K932" s="1787"/>
      <c r="L932" s="1784">
        <v>7</v>
      </c>
    </row>
    <row r="933" spans="1:12">
      <c r="A933" s="1782">
        <v>43326</v>
      </c>
      <c r="B933" s="1783" t="s">
        <v>2107</v>
      </c>
      <c r="C933" s="1784">
        <v>728</v>
      </c>
      <c r="D933" s="1782">
        <v>44054</v>
      </c>
      <c r="E933" s="1785">
        <v>30</v>
      </c>
      <c r="F933" s="1786">
        <v>46.451500000000003</v>
      </c>
      <c r="G933" s="1786">
        <v>30</v>
      </c>
      <c r="H933" s="1786"/>
      <c r="I933" s="1786">
        <v>11</v>
      </c>
      <c r="J933" s="1786">
        <v>10.5867</v>
      </c>
      <c r="K933" s="1787"/>
      <c r="L933" s="1784">
        <v>11</v>
      </c>
    </row>
    <row r="934" spans="1:12">
      <c r="A934" s="1782">
        <v>43333</v>
      </c>
      <c r="B934" s="1783" t="s">
        <v>2108</v>
      </c>
      <c r="C934" s="1784">
        <v>364</v>
      </c>
      <c r="D934" s="1782">
        <v>43697</v>
      </c>
      <c r="E934" s="1785">
        <v>35</v>
      </c>
      <c r="F934" s="1786">
        <v>0</v>
      </c>
      <c r="G934" s="1786">
        <v>0</v>
      </c>
      <c r="H934" s="1786"/>
      <c r="I934" s="1786">
        <v>13.072000000000001</v>
      </c>
      <c r="J934" s="1786">
        <v>0</v>
      </c>
      <c r="K934" s="1787"/>
      <c r="L934" s="1784">
        <v>13</v>
      </c>
    </row>
    <row r="935" spans="1:12">
      <c r="A935" s="1782">
        <v>43340</v>
      </c>
      <c r="B935" s="1783" t="s">
        <v>2109</v>
      </c>
      <c r="C935" s="1784">
        <v>1092</v>
      </c>
      <c r="D935" s="1782">
        <v>44432</v>
      </c>
      <c r="E935" s="1785">
        <v>15</v>
      </c>
      <c r="F935" s="1786">
        <v>0</v>
      </c>
      <c r="G935" s="1786">
        <v>0</v>
      </c>
      <c r="H935" s="1786"/>
      <c r="I935" s="1786">
        <v>14.46</v>
      </c>
      <c r="J935" s="1786">
        <v>0</v>
      </c>
      <c r="K935" s="1787"/>
      <c r="L935" s="1784">
        <v>6</v>
      </c>
    </row>
    <row r="936" spans="1:12">
      <c r="A936" s="1782">
        <v>43354</v>
      </c>
      <c r="B936" s="1783" t="s">
        <v>2115</v>
      </c>
      <c r="C936" s="1784">
        <v>182</v>
      </c>
      <c r="D936" s="1782">
        <v>43536</v>
      </c>
      <c r="E936" s="1785">
        <v>10</v>
      </c>
      <c r="F936" s="1786">
        <v>46.160200000000003</v>
      </c>
      <c r="G936" s="1786">
        <v>10</v>
      </c>
      <c r="H936" s="1786"/>
      <c r="I936" s="1786">
        <v>7.4985999999999997</v>
      </c>
      <c r="J936" s="1786">
        <v>7.3935000000000004</v>
      </c>
      <c r="K936" s="1787"/>
      <c r="L936" s="1784">
        <v>15</v>
      </c>
    </row>
    <row r="937" spans="1:12">
      <c r="A937" s="1782">
        <v>43361</v>
      </c>
      <c r="B937" s="1783" t="s">
        <v>2116</v>
      </c>
      <c r="C937" s="1784">
        <v>182</v>
      </c>
      <c r="D937" s="1782">
        <v>43543</v>
      </c>
      <c r="E937" s="1785">
        <v>10</v>
      </c>
      <c r="F937" s="1786">
        <v>51.428899999999999</v>
      </c>
      <c r="G937" s="1786">
        <v>10</v>
      </c>
      <c r="H937" s="1786"/>
      <c r="I937" s="1786">
        <v>7.3800000000000008</v>
      </c>
      <c r="J937" s="1786">
        <v>7.3616000000000001</v>
      </c>
      <c r="K937" s="1787"/>
      <c r="L937" s="1784">
        <v>15</v>
      </c>
    </row>
    <row r="938" spans="1:12">
      <c r="A938" s="1782">
        <v>43368</v>
      </c>
      <c r="B938" s="1783" t="s">
        <v>2117</v>
      </c>
      <c r="C938" s="1784">
        <v>364</v>
      </c>
      <c r="D938" s="1782">
        <v>43732</v>
      </c>
      <c r="E938" s="1785">
        <v>15</v>
      </c>
      <c r="F938" s="1786">
        <v>44.435699999999997</v>
      </c>
      <c r="G938" s="1786">
        <v>15</v>
      </c>
      <c r="H938" s="1786"/>
      <c r="I938" s="1786">
        <v>7.9699000000000009</v>
      </c>
      <c r="J938" s="1786">
        <v>6.9696999999999996</v>
      </c>
      <c r="K938" s="1787"/>
      <c r="L938" s="1784">
        <v>12</v>
      </c>
    </row>
    <row r="939" spans="1:12">
      <c r="A939" s="1782">
        <v>43382</v>
      </c>
      <c r="B939" s="1783" t="s">
        <v>2121</v>
      </c>
      <c r="C939" s="1784">
        <v>728</v>
      </c>
      <c r="D939" s="1782">
        <v>44110</v>
      </c>
      <c r="E939" s="1785">
        <v>30</v>
      </c>
      <c r="F939" s="1786">
        <v>43.802500000000002</v>
      </c>
      <c r="G939" s="1786">
        <v>30</v>
      </c>
      <c r="H939" s="1786"/>
      <c r="I939" s="1786">
        <v>7.9</v>
      </c>
      <c r="J939" s="1786">
        <v>7.0177000000000005</v>
      </c>
      <c r="K939" s="1787"/>
      <c r="L939" s="1784">
        <v>6</v>
      </c>
    </row>
    <row r="940" spans="1:12">
      <c r="A940" s="1782">
        <v>43389</v>
      </c>
      <c r="B940" s="1783" t="s">
        <v>2122</v>
      </c>
      <c r="C940" s="1784">
        <v>364</v>
      </c>
      <c r="D940" s="1782">
        <v>43753</v>
      </c>
      <c r="E940" s="1785">
        <v>40</v>
      </c>
      <c r="F940" s="1786">
        <v>82.433800000000005</v>
      </c>
      <c r="G940" s="1786">
        <v>40</v>
      </c>
      <c r="H940" s="1786"/>
      <c r="I940" s="1786">
        <v>7.6998999999999995</v>
      </c>
      <c r="J940" s="1786">
        <v>7.1505999999999998</v>
      </c>
      <c r="K940" s="1787"/>
      <c r="L940" s="1784">
        <v>15</v>
      </c>
    </row>
    <row r="941" spans="1:12">
      <c r="A941" s="1782">
        <v>43396</v>
      </c>
      <c r="B941" s="1783" t="s">
        <v>2123</v>
      </c>
      <c r="C941" s="1784">
        <v>1092</v>
      </c>
      <c r="D941" s="1782">
        <v>44488</v>
      </c>
      <c r="E941" s="1785">
        <v>30</v>
      </c>
      <c r="F941" s="1786">
        <v>43.9619</v>
      </c>
      <c r="G941" s="1786">
        <v>30</v>
      </c>
      <c r="H941" s="1786"/>
      <c r="I941" s="1786">
        <v>8.98</v>
      </c>
      <c r="J941" s="1786">
        <v>8.98</v>
      </c>
      <c r="K941" s="1787"/>
      <c r="L941" s="1784">
        <v>5</v>
      </c>
    </row>
    <row r="942" spans="1:12">
      <c r="A942" s="1782">
        <v>43417</v>
      </c>
      <c r="B942" s="1783" t="s">
        <v>2129</v>
      </c>
      <c r="C942" s="1784">
        <v>728</v>
      </c>
      <c r="D942" s="1782">
        <v>44145</v>
      </c>
      <c r="E942" s="1785">
        <v>30</v>
      </c>
      <c r="F942" s="1786">
        <v>28.344200000000001</v>
      </c>
      <c r="G942" s="1786">
        <v>21.0716</v>
      </c>
      <c r="H942" s="1786"/>
      <c r="I942" s="1786">
        <v>8</v>
      </c>
      <c r="J942" s="1786">
        <v>7.9634999999999998</v>
      </c>
      <c r="K942" s="1787"/>
      <c r="L942" s="1784">
        <v>12</v>
      </c>
    </row>
    <row r="943" spans="1:12">
      <c r="A943" s="1782">
        <v>43424</v>
      </c>
      <c r="B943" s="1783" t="s">
        <v>2130</v>
      </c>
      <c r="C943" s="1784">
        <v>364</v>
      </c>
      <c r="D943" s="1782">
        <v>43788</v>
      </c>
      <c r="E943" s="1785">
        <v>40</v>
      </c>
      <c r="F943" s="1786">
        <v>113.3912</v>
      </c>
      <c r="G943" s="1786">
        <v>40</v>
      </c>
      <c r="H943" s="1786"/>
      <c r="I943" s="1786">
        <v>7.7</v>
      </c>
      <c r="J943" s="1786">
        <v>7.5759999999999996</v>
      </c>
      <c r="K943" s="1787"/>
      <c r="L943" s="1784">
        <v>14</v>
      </c>
    </row>
    <row r="944" spans="1:12">
      <c r="A944" s="1782">
        <v>43431</v>
      </c>
      <c r="B944" s="1783" t="s">
        <v>2131</v>
      </c>
      <c r="C944" s="1784">
        <v>1092</v>
      </c>
      <c r="D944" s="1782">
        <v>44523</v>
      </c>
      <c r="E944" s="1785">
        <v>30</v>
      </c>
      <c r="F944" s="1786">
        <v>31.834800000000001</v>
      </c>
      <c r="G944" s="1786">
        <v>20.18</v>
      </c>
      <c r="H944" s="1786"/>
      <c r="I944" s="1786">
        <v>9</v>
      </c>
      <c r="J944" s="1786">
        <v>8.9893000000000001</v>
      </c>
      <c r="K944" s="1787"/>
      <c r="L944" s="1784">
        <v>7</v>
      </c>
    </row>
    <row r="945" spans="1:12">
      <c r="A945" s="1782">
        <v>43445</v>
      </c>
      <c r="B945" s="1783" t="s">
        <v>2137</v>
      </c>
      <c r="C945" s="1784">
        <v>728</v>
      </c>
      <c r="D945" s="1782">
        <v>44173</v>
      </c>
      <c r="E945" s="1785">
        <v>30</v>
      </c>
      <c r="F945" s="1786">
        <v>18.833300000000001</v>
      </c>
      <c r="G945" s="1786">
        <v>13.881</v>
      </c>
      <c r="H945" s="1786"/>
      <c r="I945" s="1786">
        <v>8</v>
      </c>
      <c r="J945" s="1786">
        <v>7.9214999999999991</v>
      </c>
      <c r="K945" s="1787"/>
      <c r="L945" s="1784">
        <v>5</v>
      </c>
    </row>
    <row r="946" spans="1:12">
      <c r="A946" s="1782">
        <v>43452</v>
      </c>
      <c r="B946" s="1783" t="s">
        <v>2138</v>
      </c>
      <c r="C946" s="1784">
        <v>364</v>
      </c>
      <c r="D946" s="1782">
        <v>43816</v>
      </c>
      <c r="E946" s="1785">
        <v>40</v>
      </c>
      <c r="F946" s="1786">
        <v>116.1947</v>
      </c>
      <c r="G946" s="1786">
        <v>40</v>
      </c>
      <c r="H946" s="1786"/>
      <c r="I946" s="1786">
        <v>7.75</v>
      </c>
      <c r="J946" s="1786">
        <v>7.6772000000000009</v>
      </c>
      <c r="K946" s="1787"/>
      <c r="L946" s="1784">
        <v>9</v>
      </c>
    </row>
    <row r="947" spans="1:12">
      <c r="A947" s="1782">
        <v>43459</v>
      </c>
      <c r="B947" s="1783" t="s">
        <v>2139</v>
      </c>
      <c r="C947" s="1784">
        <v>1092</v>
      </c>
      <c r="D947" s="1782">
        <v>44551</v>
      </c>
      <c r="E947" s="1785">
        <v>30</v>
      </c>
      <c r="F947" s="1786">
        <v>17.9375</v>
      </c>
      <c r="G947" s="1786">
        <v>13.298400000000001</v>
      </c>
      <c r="H947" s="1786"/>
      <c r="I947" s="1786">
        <v>9</v>
      </c>
      <c r="J947" s="1786">
        <v>8.9876000000000005</v>
      </c>
      <c r="K947" s="1787"/>
      <c r="L947" s="1784">
        <v>5</v>
      </c>
    </row>
    <row r="948" spans="1:12">
      <c r="A948" s="1788">
        <v>2019</v>
      </c>
      <c r="B948" s="1783"/>
      <c r="C948" s="1784"/>
      <c r="D948" s="1782"/>
      <c r="E948" s="1785"/>
      <c r="F948" s="1786"/>
      <c r="G948" s="1786"/>
      <c r="H948" s="1786"/>
      <c r="I948" s="1786"/>
      <c r="J948" s="1786"/>
      <c r="K948" s="1787"/>
      <c r="L948" s="1784"/>
    </row>
    <row r="949" spans="1:12">
      <c r="A949" s="1782">
        <v>43487</v>
      </c>
      <c r="B949" s="1783" t="s">
        <v>2145</v>
      </c>
      <c r="C949" s="1784">
        <v>364</v>
      </c>
      <c r="D949" s="1782">
        <v>43851</v>
      </c>
      <c r="E949" s="1785">
        <v>25</v>
      </c>
      <c r="F949" s="1786">
        <v>75.164199999999994</v>
      </c>
      <c r="G949" s="1786">
        <v>25</v>
      </c>
      <c r="H949" s="1786"/>
      <c r="I949" s="1786">
        <v>7.7398999999999996</v>
      </c>
      <c r="J949" s="1786">
        <v>7.7114000000000003</v>
      </c>
      <c r="K949" s="1787"/>
      <c r="L949" s="1784">
        <v>13</v>
      </c>
    </row>
    <row r="950" spans="1:12">
      <c r="A950" s="1782">
        <v>43494</v>
      </c>
      <c r="B950" s="1783" t="s">
        <v>2146</v>
      </c>
      <c r="C950" s="1784">
        <v>1092</v>
      </c>
      <c r="D950" s="1782">
        <v>44586</v>
      </c>
      <c r="E950" s="1785">
        <v>15</v>
      </c>
      <c r="F950" s="1786">
        <v>12.5678</v>
      </c>
      <c r="G950" s="1786">
        <v>11.549200000000001</v>
      </c>
      <c r="H950" s="1786"/>
      <c r="I950" s="1786">
        <v>9</v>
      </c>
      <c r="J950" s="1786">
        <v>8.9962</v>
      </c>
      <c r="K950" s="1787"/>
      <c r="L950" s="1784">
        <v>4</v>
      </c>
    </row>
    <row r="951" spans="1:12">
      <c r="A951" s="1782">
        <v>43508</v>
      </c>
      <c r="B951" s="1783" t="s">
        <v>2156</v>
      </c>
      <c r="C951" s="1784">
        <v>728</v>
      </c>
      <c r="D951" s="1782">
        <v>44236</v>
      </c>
      <c r="E951" s="1785">
        <v>20</v>
      </c>
      <c r="F951" s="1786">
        <v>43.610399999999998</v>
      </c>
      <c r="G951" s="1786">
        <v>20</v>
      </c>
      <c r="H951" s="1786"/>
      <c r="I951" s="1786">
        <v>7.99</v>
      </c>
      <c r="J951" s="1786">
        <v>7.9755999999999991</v>
      </c>
      <c r="K951" s="1787"/>
      <c r="L951" s="1784">
        <v>7</v>
      </c>
    </row>
    <row r="952" spans="1:12">
      <c r="A952" s="1782">
        <v>43515</v>
      </c>
      <c r="B952" s="1783" t="s">
        <v>2157</v>
      </c>
      <c r="C952" s="1784">
        <v>364</v>
      </c>
      <c r="D952" s="1782">
        <v>43879</v>
      </c>
      <c r="E952" s="1785">
        <v>25</v>
      </c>
      <c r="F952" s="1786">
        <v>114.6379</v>
      </c>
      <c r="G952" s="1786">
        <v>25</v>
      </c>
      <c r="H952" s="1786"/>
      <c r="I952" s="1786">
        <v>7.2487999999999992</v>
      </c>
      <c r="J952" s="1786">
        <v>7.2176</v>
      </c>
      <c r="K952" s="1787"/>
      <c r="L952" s="1784">
        <v>22</v>
      </c>
    </row>
    <row r="953" spans="1:12">
      <c r="A953" s="1782">
        <v>43522</v>
      </c>
      <c r="B953" s="1783" t="s">
        <v>2158</v>
      </c>
      <c r="C953" s="1784">
        <v>1092</v>
      </c>
      <c r="D953" s="1782">
        <v>44614</v>
      </c>
      <c r="E953" s="1785">
        <v>15</v>
      </c>
      <c r="F953" s="1786">
        <v>25.018799999999999</v>
      </c>
      <c r="G953" s="1786">
        <v>15</v>
      </c>
      <c r="H953" s="1786"/>
      <c r="I953" s="1786">
        <v>9</v>
      </c>
      <c r="J953" s="1786">
        <v>8.9699000000000009</v>
      </c>
      <c r="K953" s="1787"/>
      <c r="L953" s="1784">
        <v>5</v>
      </c>
    </row>
    <row r="954" spans="1:12">
      <c r="A954" s="1782">
        <v>43529</v>
      </c>
      <c r="B954" s="1783" t="s">
        <v>2165</v>
      </c>
      <c r="C954" s="1784">
        <v>728</v>
      </c>
      <c r="D954" s="1782">
        <v>44257</v>
      </c>
      <c r="E954" s="1785">
        <v>20</v>
      </c>
      <c r="F954" s="1786">
        <v>64.481499999999997</v>
      </c>
      <c r="G954" s="1786">
        <v>20</v>
      </c>
      <c r="H954" s="1786"/>
      <c r="I954" s="1786">
        <v>7.5</v>
      </c>
      <c r="J954" s="1786">
        <v>7.5</v>
      </c>
      <c r="K954" s="1787"/>
      <c r="L954" s="1784">
        <v>10</v>
      </c>
    </row>
    <row r="955" spans="1:12">
      <c r="A955" s="1782">
        <v>43536</v>
      </c>
      <c r="B955" s="1783" t="s">
        <v>2166</v>
      </c>
      <c r="C955" s="1784">
        <v>364</v>
      </c>
      <c r="D955" s="1782">
        <v>43900</v>
      </c>
      <c r="E955" s="1785">
        <v>25</v>
      </c>
      <c r="F955" s="1786">
        <v>81.202600000000004</v>
      </c>
      <c r="G955" s="1786">
        <v>25</v>
      </c>
      <c r="H955" s="1786"/>
      <c r="I955" s="1786">
        <v>7.1394000000000002</v>
      </c>
      <c r="J955" s="1786">
        <v>7.0727000000000002</v>
      </c>
      <c r="K955" s="1787"/>
      <c r="L955" s="1784">
        <v>14</v>
      </c>
    </row>
    <row r="956" spans="1:12">
      <c r="A956" s="1782">
        <v>43543</v>
      </c>
      <c r="B956" s="1783" t="s">
        <v>2165</v>
      </c>
      <c r="C956" s="1784">
        <v>1092</v>
      </c>
      <c r="D956" s="1782">
        <v>44635</v>
      </c>
      <c r="E956" s="1785">
        <v>15</v>
      </c>
      <c r="F956" s="1786">
        <v>22.842300000000002</v>
      </c>
      <c r="G956" s="1786">
        <v>15</v>
      </c>
      <c r="H956" s="1786"/>
      <c r="I956" s="1786">
        <v>8.9499999999999993</v>
      </c>
      <c r="J956" s="1786">
        <v>8.9130000000000003</v>
      </c>
      <c r="K956" s="1787"/>
      <c r="L956" s="1784">
        <v>8</v>
      </c>
    </row>
    <row r="957" spans="1:12">
      <c r="A957" s="1782">
        <v>43564</v>
      </c>
      <c r="B957" s="1783" t="s">
        <v>2171</v>
      </c>
      <c r="C957" s="1784">
        <v>728</v>
      </c>
      <c r="D957" s="1782">
        <v>44292</v>
      </c>
      <c r="E957" s="1785">
        <v>20</v>
      </c>
      <c r="F957" s="1786">
        <v>29.066600000000001</v>
      </c>
      <c r="G957" s="1786">
        <v>20</v>
      </c>
      <c r="H957" s="1786"/>
      <c r="I957" s="1786">
        <v>8.09</v>
      </c>
      <c r="J957" s="1786">
        <v>8.0782999999999987</v>
      </c>
      <c r="K957" s="1787"/>
      <c r="L957" s="1784">
        <v>6</v>
      </c>
    </row>
    <row r="958" spans="1:12">
      <c r="A958" s="1782">
        <v>43571</v>
      </c>
      <c r="B958" s="1783" t="s">
        <v>2172</v>
      </c>
      <c r="C958" s="1784">
        <v>364</v>
      </c>
      <c r="D958" s="1782">
        <v>43935</v>
      </c>
      <c r="E958" s="1785">
        <v>25</v>
      </c>
      <c r="F958" s="1786">
        <v>83.441299999999998</v>
      </c>
      <c r="G958" s="1786">
        <v>25</v>
      </c>
      <c r="H958" s="1786"/>
      <c r="I958" s="1786">
        <v>8.18</v>
      </c>
      <c r="J958" s="1786">
        <v>7.5167000000000002</v>
      </c>
      <c r="K958" s="1787"/>
      <c r="L958" s="1784">
        <v>18</v>
      </c>
    </row>
    <row r="959" spans="1:12">
      <c r="A959" s="1782">
        <v>43578</v>
      </c>
      <c r="B959" s="1783" t="s">
        <v>2173</v>
      </c>
      <c r="C959" s="1784">
        <v>1092</v>
      </c>
      <c r="D959" s="1782">
        <v>44670</v>
      </c>
      <c r="E959" s="1785">
        <v>15</v>
      </c>
      <c r="F959" s="1786">
        <v>23.290500000000002</v>
      </c>
      <c r="G959" s="1786">
        <v>15</v>
      </c>
      <c r="H959" s="1786"/>
      <c r="I959" s="1786">
        <v>9.9</v>
      </c>
      <c r="J959" s="1786">
        <v>9.7031000000000009</v>
      </c>
      <c r="K959" s="1787"/>
      <c r="L959" s="1784">
        <v>7</v>
      </c>
    </row>
    <row r="960" spans="1:12">
      <c r="A960" s="1782">
        <v>43592</v>
      </c>
      <c r="B960" s="1783" t="s">
        <v>2179</v>
      </c>
      <c r="C960" s="1784">
        <v>728</v>
      </c>
      <c r="D960" s="1782">
        <v>44320</v>
      </c>
      <c r="E960" s="1785">
        <v>20</v>
      </c>
      <c r="F960" s="1786">
        <v>33.010199999999998</v>
      </c>
      <c r="G960" s="1786">
        <v>20</v>
      </c>
      <c r="H960" s="1786"/>
      <c r="I960" s="1786">
        <v>8.8800000000000008</v>
      </c>
      <c r="J960" s="1786">
        <v>8.7800000000000011</v>
      </c>
      <c r="K960" s="1787"/>
      <c r="L960" s="1784">
        <v>17</v>
      </c>
    </row>
    <row r="961" spans="1:12">
      <c r="A961" s="1782">
        <v>43599</v>
      </c>
      <c r="B961" s="1783" t="s">
        <v>2180</v>
      </c>
      <c r="C961" s="1784">
        <v>364</v>
      </c>
      <c r="D961" s="1782">
        <v>43963</v>
      </c>
      <c r="E961" s="1785">
        <v>25</v>
      </c>
      <c r="F961" s="1786">
        <v>75.228499999999997</v>
      </c>
      <c r="G961" s="1786">
        <v>25</v>
      </c>
      <c r="H961" s="1786"/>
      <c r="I961" s="1786">
        <v>7.3999999999999995</v>
      </c>
      <c r="J961" s="1786">
        <v>7.3365</v>
      </c>
      <c r="K961" s="1787"/>
      <c r="L961" s="1784">
        <v>19</v>
      </c>
    </row>
    <row r="962" spans="1:12">
      <c r="A962" s="1782">
        <v>43606</v>
      </c>
      <c r="B962" s="1783" t="s">
        <v>2181</v>
      </c>
      <c r="C962" s="1784">
        <v>1092</v>
      </c>
      <c r="D962" s="1782">
        <v>44698</v>
      </c>
      <c r="E962" s="1785">
        <v>15</v>
      </c>
      <c r="F962" s="1786">
        <v>15.7529</v>
      </c>
      <c r="G962" s="1786">
        <v>14.202</v>
      </c>
      <c r="H962" s="1786"/>
      <c r="I962" s="1786">
        <v>9.9001000000000001</v>
      </c>
      <c r="J962" s="1786">
        <v>9.6974999999999998</v>
      </c>
      <c r="K962" s="1787"/>
      <c r="L962" s="1784">
        <v>7</v>
      </c>
    </row>
    <row r="963" spans="1:12">
      <c r="A963" s="1782">
        <v>43627</v>
      </c>
      <c r="B963" s="1783" t="s">
        <v>2187</v>
      </c>
      <c r="C963" s="1784">
        <v>728</v>
      </c>
      <c r="D963" s="1782">
        <v>44355</v>
      </c>
      <c r="E963" s="1785">
        <v>20</v>
      </c>
      <c r="F963" s="1786">
        <v>96.083299999999994</v>
      </c>
      <c r="G963" s="1786">
        <v>20</v>
      </c>
      <c r="H963" s="1786"/>
      <c r="I963" s="1786">
        <v>7.3</v>
      </c>
      <c r="J963" s="1786">
        <v>7.1637000000000004</v>
      </c>
      <c r="K963" s="1787"/>
      <c r="L963" s="1784">
        <v>11</v>
      </c>
    </row>
    <row r="964" spans="1:12">
      <c r="A964" s="1782">
        <v>43634</v>
      </c>
      <c r="B964" s="1783" t="s">
        <v>2188</v>
      </c>
      <c r="C964" s="1784">
        <v>364</v>
      </c>
      <c r="D964" s="1782">
        <v>43998</v>
      </c>
      <c r="E964" s="1785">
        <v>25</v>
      </c>
      <c r="F964" s="1786">
        <v>116.9628</v>
      </c>
      <c r="G964" s="1786">
        <v>25</v>
      </c>
      <c r="H964" s="1786"/>
      <c r="I964" s="1786">
        <v>6.6999000000000004</v>
      </c>
      <c r="J964" s="1786">
        <v>6.6326000000000001</v>
      </c>
      <c r="K964" s="1787"/>
      <c r="L964" s="1784">
        <v>21</v>
      </c>
    </row>
    <row r="965" spans="1:12">
      <c r="A965" s="1782">
        <v>43641</v>
      </c>
      <c r="B965" s="1783" t="s">
        <v>2189</v>
      </c>
      <c r="C965" s="1784">
        <v>1092</v>
      </c>
      <c r="D965" s="1782">
        <v>44733</v>
      </c>
      <c r="E965" s="1785">
        <v>15</v>
      </c>
      <c r="F965" s="1786">
        <v>26.034300000000002</v>
      </c>
      <c r="G965" s="1786">
        <v>15</v>
      </c>
      <c r="H965" s="1786"/>
      <c r="I965" s="1786">
        <v>9.49</v>
      </c>
      <c r="J965" s="1786">
        <v>8.9143000000000008</v>
      </c>
      <c r="K965" s="1787"/>
      <c r="L965" s="1784">
        <v>8</v>
      </c>
    </row>
    <row r="966" spans="1:12">
      <c r="A966" s="1782">
        <v>43655</v>
      </c>
      <c r="B966" s="1783" t="s">
        <v>2194</v>
      </c>
      <c r="C966" s="1784">
        <v>1092</v>
      </c>
      <c r="D966" s="1782">
        <v>44747</v>
      </c>
      <c r="E966" s="1785">
        <v>15</v>
      </c>
      <c r="F966" s="1786">
        <v>49.6464</v>
      </c>
      <c r="G966" s="1786">
        <v>15</v>
      </c>
      <c r="H966" s="1786"/>
      <c r="I966" s="1786">
        <v>9.9</v>
      </c>
      <c r="J966" s="1786">
        <v>8.6999999999999993</v>
      </c>
      <c r="K966" s="1787"/>
      <c r="L966" s="1784">
        <v>10</v>
      </c>
    </row>
    <row r="967" spans="1:12">
      <c r="A967" s="1782">
        <v>43662</v>
      </c>
      <c r="B967" s="1783" t="s">
        <v>2195</v>
      </c>
      <c r="C967" s="1784">
        <v>728</v>
      </c>
      <c r="D967" s="1782">
        <v>44390</v>
      </c>
      <c r="E967" s="1785">
        <v>20</v>
      </c>
      <c r="F967" s="1786">
        <v>90.161100000000005</v>
      </c>
      <c r="G967" s="1786">
        <v>20</v>
      </c>
      <c r="H967" s="1786"/>
      <c r="I967" s="1786">
        <v>7.6499999999999995</v>
      </c>
      <c r="J967" s="1786">
        <v>7.5446999999999997</v>
      </c>
      <c r="K967" s="1787"/>
      <c r="L967" s="1784">
        <v>18</v>
      </c>
    </row>
    <row r="968" spans="1:12">
      <c r="A968" s="1782">
        <v>43669</v>
      </c>
      <c r="B968" s="1783" t="s">
        <v>2196</v>
      </c>
      <c r="C968" s="1784">
        <v>364</v>
      </c>
      <c r="D968" s="1782">
        <v>44033</v>
      </c>
      <c r="E968" s="1785">
        <v>25</v>
      </c>
      <c r="F968" s="1786">
        <v>106.80289999999999</v>
      </c>
      <c r="G968" s="1786">
        <v>25</v>
      </c>
      <c r="H968" s="1786"/>
      <c r="I968" s="1786">
        <v>6.1</v>
      </c>
      <c r="J968" s="1786">
        <v>6.0257900000000006</v>
      </c>
      <c r="K968" s="1787"/>
      <c r="L968" s="1784">
        <v>18</v>
      </c>
    </row>
    <row r="969" spans="1:12">
      <c r="A969" s="1782">
        <v>43676</v>
      </c>
      <c r="B969" s="1783" t="s">
        <v>2197</v>
      </c>
      <c r="C969" s="1784">
        <v>728</v>
      </c>
      <c r="D969" s="1782">
        <v>44404</v>
      </c>
      <c r="E969" s="1785">
        <v>25</v>
      </c>
      <c r="F969" s="1786">
        <v>79.118499999999997</v>
      </c>
      <c r="G969" s="1786">
        <v>25</v>
      </c>
      <c r="H969" s="1786"/>
      <c r="I969" s="1786">
        <v>10</v>
      </c>
      <c r="J969" s="1786">
        <v>7.3640999999999996</v>
      </c>
      <c r="K969" s="1787"/>
      <c r="L969" s="1784">
        <v>14</v>
      </c>
    </row>
    <row r="970" spans="1:12">
      <c r="A970" s="1782">
        <v>43683</v>
      </c>
      <c r="B970" s="1783" t="s">
        <v>2203</v>
      </c>
      <c r="C970" s="1784">
        <v>728</v>
      </c>
      <c r="D970" s="1782">
        <v>44411</v>
      </c>
      <c r="E970" s="1785">
        <v>25</v>
      </c>
      <c r="F970" s="1786">
        <v>74.144099999999995</v>
      </c>
      <c r="G970" s="1786">
        <v>25</v>
      </c>
      <c r="H970" s="1786"/>
      <c r="I970" s="1786">
        <v>10</v>
      </c>
      <c r="J970" s="1786">
        <v>7.2754000000000003</v>
      </c>
      <c r="K970" s="1787"/>
      <c r="L970" s="1784">
        <v>14</v>
      </c>
    </row>
    <row r="971" spans="1:12">
      <c r="A971" s="1782">
        <v>43697</v>
      </c>
      <c r="B971" s="1783" t="s">
        <v>2204</v>
      </c>
      <c r="C971" s="1784">
        <v>364</v>
      </c>
      <c r="D971" s="1782">
        <v>44061</v>
      </c>
      <c r="E971" s="1785">
        <v>30</v>
      </c>
      <c r="F971" s="1786">
        <v>94.869399999999999</v>
      </c>
      <c r="G971" s="1786">
        <v>30</v>
      </c>
      <c r="H971" s="1786"/>
      <c r="I971" s="1786">
        <v>6.5</v>
      </c>
      <c r="J971" s="1786">
        <v>6.43</v>
      </c>
      <c r="K971" s="1787"/>
      <c r="L971" s="1784">
        <v>10</v>
      </c>
    </row>
    <row r="972" spans="1:12">
      <c r="A972" s="1782">
        <v>43704</v>
      </c>
      <c r="B972" s="1783" t="s">
        <v>2205</v>
      </c>
      <c r="C972" s="1784">
        <v>1092</v>
      </c>
      <c r="D972" s="1782">
        <v>44796</v>
      </c>
      <c r="E972" s="1785">
        <v>20</v>
      </c>
      <c r="F972" s="1786">
        <v>41.091000000000001</v>
      </c>
      <c r="G972" s="1786">
        <v>20</v>
      </c>
      <c r="H972" s="1786"/>
      <c r="I972" s="1786">
        <v>8.57</v>
      </c>
      <c r="J972" s="1786">
        <v>8.5299999999999994</v>
      </c>
      <c r="K972" s="1787"/>
      <c r="L972" s="1784">
        <v>9</v>
      </c>
    </row>
    <row r="973" spans="1:12">
      <c r="A973" s="1782">
        <v>43718</v>
      </c>
      <c r="B973" s="1783" t="s">
        <v>2211</v>
      </c>
      <c r="C973" s="1784">
        <v>728</v>
      </c>
      <c r="D973" s="1782">
        <v>44446</v>
      </c>
      <c r="E973" s="1785">
        <v>15</v>
      </c>
      <c r="F973" s="1786">
        <v>42.665199999999999</v>
      </c>
      <c r="G973" s="1786">
        <v>15</v>
      </c>
      <c r="H973" s="1786"/>
      <c r="I973" s="1786">
        <v>7.3</v>
      </c>
      <c r="J973" s="1786">
        <v>7.23</v>
      </c>
      <c r="K973" s="1787"/>
      <c r="L973" s="1784">
        <v>12</v>
      </c>
    </row>
    <row r="974" spans="1:12">
      <c r="A974" s="1782">
        <v>43725</v>
      </c>
      <c r="B974" s="1783" t="s">
        <v>2212</v>
      </c>
      <c r="C974" s="1784">
        <v>364</v>
      </c>
      <c r="D974" s="1782">
        <v>44089</v>
      </c>
      <c r="E974" s="1785">
        <v>15</v>
      </c>
      <c r="F974" s="1786">
        <v>43.735599999999998</v>
      </c>
      <c r="G974" s="1786">
        <v>15</v>
      </c>
      <c r="H974" s="1786"/>
      <c r="I974" s="1786">
        <v>6.2599</v>
      </c>
      <c r="J974" s="1786">
        <v>6.2241999999999997</v>
      </c>
      <c r="K974" s="1787"/>
      <c r="L974" s="1784">
        <v>10</v>
      </c>
    </row>
    <row r="975" spans="1:12">
      <c r="A975" s="1782">
        <v>43732</v>
      </c>
      <c r="B975" s="1783" t="s">
        <v>2213</v>
      </c>
      <c r="C975" s="1784">
        <v>1092</v>
      </c>
      <c r="D975" s="1782">
        <v>44824</v>
      </c>
      <c r="E975" s="1785">
        <v>15</v>
      </c>
      <c r="F975" s="1786">
        <v>42.529499999999999</v>
      </c>
      <c r="G975" s="1786">
        <v>15</v>
      </c>
      <c r="H975" s="1786"/>
      <c r="I975" s="1786">
        <v>8.4</v>
      </c>
      <c r="J975" s="1786">
        <v>8.3231000000000002</v>
      </c>
      <c r="K975" s="1787"/>
      <c r="L975" s="1784">
        <v>10</v>
      </c>
    </row>
    <row r="976" spans="1:12">
      <c r="A976" s="1782">
        <v>43746</v>
      </c>
      <c r="B976" s="1783" t="s">
        <v>2364</v>
      </c>
      <c r="C976" s="1784">
        <v>728</v>
      </c>
      <c r="D976" s="1782" t="s">
        <v>2365</v>
      </c>
      <c r="E976" s="1785">
        <v>10</v>
      </c>
      <c r="F976" s="1786">
        <v>39.8339</v>
      </c>
      <c r="G976" s="1786">
        <v>10</v>
      </c>
      <c r="H976" s="1786"/>
      <c r="I976" s="1786">
        <v>7.1999999999999993</v>
      </c>
      <c r="J976" s="1786">
        <v>7.1093000000000002</v>
      </c>
      <c r="K976" s="1787"/>
      <c r="L976" s="1784">
        <v>12</v>
      </c>
    </row>
    <row r="977" spans="1:12">
      <c r="A977" s="1782">
        <v>43753</v>
      </c>
      <c r="B977" s="1783" t="s">
        <v>2366</v>
      </c>
      <c r="C977" s="1784">
        <v>364</v>
      </c>
      <c r="D977" s="1782">
        <v>44117</v>
      </c>
      <c r="E977" s="1785">
        <v>25</v>
      </c>
      <c r="F977" s="1786">
        <v>81.854799999999997</v>
      </c>
      <c r="G977" s="1786">
        <v>25</v>
      </c>
      <c r="H977" s="1786"/>
      <c r="I977" s="1786">
        <v>6.45</v>
      </c>
      <c r="J977" s="1786">
        <v>6.3505000000000003</v>
      </c>
      <c r="K977" s="1787"/>
      <c r="L977" s="1784">
        <v>12</v>
      </c>
    </row>
    <row r="978" spans="1:12">
      <c r="A978" s="1782">
        <v>43760</v>
      </c>
      <c r="B978" s="1783" t="s">
        <v>2367</v>
      </c>
      <c r="C978" s="1784">
        <v>1092</v>
      </c>
      <c r="D978" s="1782">
        <v>44852</v>
      </c>
      <c r="E978" s="1785">
        <v>15</v>
      </c>
      <c r="F978" s="1786">
        <v>41.775199999999998</v>
      </c>
      <c r="G978" s="1786">
        <v>15</v>
      </c>
      <c r="H978" s="1786"/>
      <c r="I978" s="1786">
        <v>8.5</v>
      </c>
      <c r="J978" s="1786">
        <v>8.4249000000000009</v>
      </c>
      <c r="K978" s="1787"/>
      <c r="L978" s="1784">
        <v>8</v>
      </c>
    </row>
    <row r="979" spans="1:12">
      <c r="A979" s="1782">
        <v>43781</v>
      </c>
      <c r="B979" s="1783" t="s">
        <v>2368</v>
      </c>
      <c r="C979" s="1784">
        <v>728</v>
      </c>
      <c r="D979" s="1782">
        <v>44509</v>
      </c>
      <c r="E979" s="1785">
        <v>10</v>
      </c>
      <c r="F979" s="1786">
        <v>35.619100000000003</v>
      </c>
      <c r="G979" s="1786">
        <v>10</v>
      </c>
      <c r="H979" s="1786"/>
      <c r="I979" s="1786">
        <v>7.19</v>
      </c>
      <c r="J979" s="1786">
        <v>7.0969000000000007</v>
      </c>
      <c r="K979" s="1787"/>
      <c r="L979" s="1784">
        <v>10</v>
      </c>
    </row>
    <row r="980" spans="1:12">
      <c r="A980" s="1782">
        <v>43788</v>
      </c>
      <c r="B980" s="1783" t="s">
        <v>2369</v>
      </c>
      <c r="C980" s="1784">
        <v>364</v>
      </c>
      <c r="D980" s="1782">
        <v>44152</v>
      </c>
      <c r="E980" s="1785">
        <v>25</v>
      </c>
      <c r="F980" s="1786">
        <v>125.018</v>
      </c>
      <c r="G980" s="1786">
        <v>25</v>
      </c>
      <c r="H980" s="1786"/>
      <c r="I980" s="1786">
        <v>6.05</v>
      </c>
      <c r="J980" s="1786">
        <v>6.0456000000000003</v>
      </c>
      <c r="K980" s="1787"/>
      <c r="L980" s="1784">
        <v>13</v>
      </c>
    </row>
    <row r="981" spans="1:12">
      <c r="A981" s="1782">
        <v>43795</v>
      </c>
      <c r="B981" s="1783" t="s">
        <v>2370</v>
      </c>
      <c r="C981" s="1784">
        <v>1092</v>
      </c>
      <c r="D981" s="1782">
        <v>44887</v>
      </c>
      <c r="E981" s="1785">
        <v>15</v>
      </c>
      <c r="F981" s="1786">
        <v>78.963499999999996</v>
      </c>
      <c r="G981" s="1786">
        <v>15</v>
      </c>
      <c r="H981" s="1786"/>
      <c r="I981" s="1786">
        <v>8.2000000000000011</v>
      </c>
      <c r="J981" s="1786">
        <v>8.1879999999999988</v>
      </c>
      <c r="K981" s="1787"/>
      <c r="L981" s="1784">
        <v>16</v>
      </c>
    </row>
    <row r="982" spans="1:12">
      <c r="A982" s="1782">
        <v>43809</v>
      </c>
      <c r="B982" s="1783" t="s">
        <v>2371</v>
      </c>
      <c r="C982" s="1784">
        <v>728</v>
      </c>
      <c r="D982" s="1782">
        <v>44537</v>
      </c>
      <c r="E982" s="1785">
        <v>10</v>
      </c>
      <c r="F982" s="1786">
        <v>45.445300000000003</v>
      </c>
      <c r="G982" s="1786">
        <v>10</v>
      </c>
      <c r="H982" s="1786"/>
      <c r="I982" s="1786">
        <v>7.0000000000000009</v>
      </c>
      <c r="J982" s="1786">
        <v>6.8900000000000006</v>
      </c>
      <c r="K982" s="1787"/>
      <c r="L982" s="1784">
        <v>11</v>
      </c>
    </row>
    <row r="983" spans="1:12" s="398" customFormat="1">
      <c r="A983" s="1782">
        <v>43816</v>
      </c>
      <c r="B983" s="1783" t="s">
        <v>2372</v>
      </c>
      <c r="C983" s="1784">
        <v>364</v>
      </c>
      <c r="D983" s="1782">
        <v>44180</v>
      </c>
      <c r="E983" s="1785">
        <v>15</v>
      </c>
      <c r="F983" s="1786">
        <v>85.697199999999995</v>
      </c>
      <c r="G983" s="1786">
        <v>15</v>
      </c>
      <c r="H983" s="1786"/>
      <c r="I983" s="1786">
        <v>5.5941000000000001</v>
      </c>
      <c r="J983" s="1786">
        <v>5.5135000000000005</v>
      </c>
      <c r="K983" s="1787"/>
      <c r="L983" s="1784">
        <v>18</v>
      </c>
    </row>
    <row r="984" spans="1:12">
      <c r="A984" s="1782">
        <v>43823</v>
      </c>
      <c r="B984" s="1783" t="s">
        <v>2373</v>
      </c>
      <c r="C984" s="1784">
        <v>1092</v>
      </c>
      <c r="D984" s="1782" t="s">
        <v>2374</v>
      </c>
      <c r="E984" s="1785">
        <v>10</v>
      </c>
      <c r="F984" s="1786">
        <v>40.9129</v>
      </c>
      <c r="G984" s="1786">
        <v>10</v>
      </c>
      <c r="H984" s="1786"/>
      <c r="I984" s="1786">
        <v>7.7999000000000001</v>
      </c>
      <c r="J984" s="1786">
        <v>7.7216000000000005</v>
      </c>
      <c r="K984" s="1787"/>
      <c r="L984" s="1784">
        <v>11</v>
      </c>
    </row>
    <row r="985" spans="1:12">
      <c r="A985" s="1788">
        <v>2020</v>
      </c>
      <c r="B985" s="1783"/>
      <c r="C985" s="1784"/>
      <c r="D985" s="1782"/>
      <c r="E985" s="1785"/>
      <c r="F985" s="1786"/>
      <c r="G985" s="1786"/>
      <c r="H985" s="1786"/>
      <c r="I985" s="1786"/>
      <c r="J985" s="1786"/>
      <c r="K985" s="1787"/>
      <c r="L985" s="1784"/>
    </row>
    <row r="986" spans="1:12">
      <c r="A986" s="1782">
        <v>43844</v>
      </c>
      <c r="B986" s="1783" t="s">
        <v>2379</v>
      </c>
      <c r="C986" s="1784">
        <v>728</v>
      </c>
      <c r="D986" s="1782">
        <v>44866</v>
      </c>
      <c r="E986" s="1785">
        <v>15</v>
      </c>
      <c r="F986" s="1786">
        <v>88.415499999999994</v>
      </c>
      <c r="G986" s="1786">
        <v>15</v>
      </c>
      <c r="H986" s="1786"/>
      <c r="I986" s="1786">
        <v>5.98</v>
      </c>
      <c r="J986" s="1786">
        <v>5.9417999999999997</v>
      </c>
      <c r="K986" s="1787"/>
      <c r="L986" s="1784">
        <v>18</v>
      </c>
    </row>
    <row r="987" spans="1:12">
      <c r="A987" s="1782">
        <v>43851</v>
      </c>
      <c r="B987" s="1783" t="s">
        <v>2380</v>
      </c>
      <c r="C987" s="1784">
        <v>364</v>
      </c>
      <c r="D987" s="1782" t="s">
        <v>2381</v>
      </c>
      <c r="E987" s="1785">
        <v>10</v>
      </c>
      <c r="F987" s="1786">
        <v>55.789700000000003</v>
      </c>
      <c r="G987" s="1786">
        <v>10</v>
      </c>
      <c r="H987" s="1786"/>
      <c r="I987" s="1786">
        <v>4.4997999999999996</v>
      </c>
      <c r="J987" s="1786">
        <v>4.4238999999999997</v>
      </c>
      <c r="K987" s="1787"/>
      <c r="L987" s="1784">
        <v>14</v>
      </c>
    </row>
    <row r="988" spans="1:12">
      <c r="A988" s="1782">
        <v>43858</v>
      </c>
      <c r="B988" s="1783" t="s">
        <v>2382</v>
      </c>
      <c r="C988" s="1784">
        <v>1820</v>
      </c>
      <c r="D988" s="1782" t="s">
        <v>2383</v>
      </c>
      <c r="E988" s="1785">
        <v>10</v>
      </c>
      <c r="F988" s="1786">
        <v>50.5396</v>
      </c>
      <c r="G988" s="1786">
        <v>10</v>
      </c>
      <c r="H988" s="1786"/>
      <c r="I988" s="1786">
        <v>8.44</v>
      </c>
      <c r="J988" s="1786">
        <v>8.1622000000000003</v>
      </c>
      <c r="K988" s="1787"/>
      <c r="L988" s="1784">
        <v>16</v>
      </c>
    </row>
    <row r="989" spans="1:12">
      <c r="A989" s="1782">
        <v>43866</v>
      </c>
      <c r="B989" s="1783" t="s">
        <v>2385</v>
      </c>
      <c r="C989" s="1784" t="s">
        <v>2386</v>
      </c>
      <c r="D989" s="1782">
        <v>44593</v>
      </c>
      <c r="E989" s="1785">
        <v>15</v>
      </c>
      <c r="F989" s="1786">
        <v>70.679599999999994</v>
      </c>
      <c r="G989" s="1786">
        <v>15</v>
      </c>
      <c r="H989" s="1786"/>
      <c r="I989" s="1786">
        <v>5.3399000000000001</v>
      </c>
      <c r="J989" s="1786">
        <v>5.2641999999999998</v>
      </c>
      <c r="K989" s="1787"/>
      <c r="L989" s="1784" t="s">
        <v>2387</v>
      </c>
    </row>
    <row r="990" spans="1:12">
      <c r="A990" s="1782">
        <v>43872</v>
      </c>
      <c r="B990" s="1783" t="s">
        <v>2388</v>
      </c>
      <c r="C990" s="1784" t="s">
        <v>2389</v>
      </c>
      <c r="D990" s="1782">
        <v>44236</v>
      </c>
      <c r="E990" s="1785" t="s">
        <v>2390</v>
      </c>
      <c r="F990" s="1786">
        <v>45.7639</v>
      </c>
      <c r="G990" s="1786">
        <v>10</v>
      </c>
      <c r="H990" s="1786"/>
      <c r="I990" s="1786">
        <v>3.9994999999999998</v>
      </c>
      <c r="J990" s="1786">
        <v>3.9618000000000002</v>
      </c>
      <c r="K990" s="1787"/>
      <c r="L990" s="1784" t="s">
        <v>2391</v>
      </c>
    </row>
    <row r="991" spans="1:12">
      <c r="A991" s="1782">
        <v>43879</v>
      </c>
      <c r="B991" s="1783" t="s">
        <v>2382</v>
      </c>
      <c r="C991" s="1784" t="s">
        <v>2392</v>
      </c>
      <c r="D991" s="1782">
        <v>45678</v>
      </c>
      <c r="E991" s="1785" t="s">
        <v>2390</v>
      </c>
      <c r="F991" s="1786">
        <v>55.292299999999997</v>
      </c>
      <c r="G991" s="1786">
        <v>10</v>
      </c>
      <c r="H991" s="1786"/>
      <c r="I991" s="1786">
        <v>8.3874999999999993</v>
      </c>
      <c r="J991" s="1786">
        <v>8.2102000000000004</v>
      </c>
      <c r="K991" s="1787"/>
      <c r="L991" s="1784" t="s">
        <v>2393</v>
      </c>
    </row>
    <row r="992" spans="1:12">
      <c r="A992" s="1782">
        <v>43886</v>
      </c>
      <c r="B992" s="1783" t="s">
        <v>2394</v>
      </c>
      <c r="C992" s="1784" t="s">
        <v>2395</v>
      </c>
      <c r="D992" s="1782">
        <v>44978</v>
      </c>
      <c r="E992" s="1785" t="s">
        <v>2396</v>
      </c>
      <c r="F992" s="1786">
        <v>94.805099999999996</v>
      </c>
      <c r="G992" s="1786">
        <v>25</v>
      </c>
      <c r="H992" s="1786"/>
      <c r="I992" s="1786">
        <v>6.3998999999999997</v>
      </c>
      <c r="J992" s="1786">
        <v>6.3998999999999997</v>
      </c>
      <c r="K992" s="1787"/>
      <c r="L992" s="1784" t="s">
        <v>2387</v>
      </c>
    </row>
    <row r="993" spans="1:12">
      <c r="A993" s="1782">
        <v>43893</v>
      </c>
      <c r="B993" s="1783" t="s">
        <v>2397</v>
      </c>
      <c r="C993" s="1784" t="s">
        <v>2386</v>
      </c>
      <c r="D993" s="1782">
        <v>44621</v>
      </c>
      <c r="E993" s="1785" t="s">
        <v>2398</v>
      </c>
      <c r="F993" s="1786">
        <v>42.299500000000002</v>
      </c>
      <c r="G993" s="1786">
        <v>15</v>
      </c>
      <c r="H993" s="1786"/>
      <c r="I993" s="1786">
        <v>5.1898999999999997</v>
      </c>
      <c r="J993" s="1786">
        <v>5.1898999999999997</v>
      </c>
      <c r="K993" s="1787"/>
      <c r="L993" s="1784" t="s">
        <v>2399</v>
      </c>
    </row>
    <row r="994" spans="1:12">
      <c r="A994" s="1782">
        <v>43900</v>
      </c>
      <c r="B994" s="1783" t="s">
        <v>2400</v>
      </c>
      <c r="C994" s="1784">
        <v>364</v>
      </c>
      <c r="D994" s="1782">
        <v>44264</v>
      </c>
      <c r="E994" s="1785">
        <v>10</v>
      </c>
      <c r="F994" s="1786">
        <v>26.768000000000001</v>
      </c>
      <c r="G994" s="1786">
        <v>10</v>
      </c>
      <c r="H994" s="1786"/>
      <c r="I994" s="1786">
        <v>7.99</v>
      </c>
      <c r="J994" s="1786">
        <v>7.4504999999999999</v>
      </c>
      <c r="K994" s="1787"/>
      <c r="L994" s="1784" t="s">
        <v>2401</v>
      </c>
    </row>
    <row r="995" spans="1:12">
      <c r="A995" s="1782">
        <v>43942</v>
      </c>
      <c r="B995" s="1783" t="s">
        <v>2408</v>
      </c>
      <c r="C995" s="1784">
        <v>364</v>
      </c>
      <c r="D995" s="1782">
        <v>44306</v>
      </c>
      <c r="E995" s="1785">
        <v>20</v>
      </c>
      <c r="F995" s="1786">
        <v>71.099999999999994</v>
      </c>
      <c r="G995" s="1786">
        <v>20</v>
      </c>
      <c r="H995" s="1786"/>
      <c r="I995" s="1786">
        <v>6.99</v>
      </c>
      <c r="J995" s="1786">
        <v>6.99</v>
      </c>
      <c r="K995" s="1787"/>
      <c r="L995" s="1784">
        <v>10</v>
      </c>
    </row>
    <row r="996" spans="1:12">
      <c r="A996" s="1782">
        <v>43949</v>
      </c>
      <c r="B996" s="1783" t="s">
        <v>2409</v>
      </c>
      <c r="C996" s="1784">
        <v>728</v>
      </c>
      <c r="D996" s="1782">
        <v>44677</v>
      </c>
      <c r="E996" s="1785">
        <v>15</v>
      </c>
      <c r="F996" s="1786">
        <v>17.29</v>
      </c>
      <c r="G996" s="1786">
        <v>15</v>
      </c>
      <c r="H996" s="1786"/>
      <c r="I996" s="1786">
        <v>17</v>
      </c>
      <c r="J996" s="1786">
        <v>11.92</v>
      </c>
      <c r="K996" s="1787"/>
      <c r="L996" s="1784">
        <v>6</v>
      </c>
    </row>
    <row r="997" spans="1:12">
      <c r="A997" s="1782">
        <v>43956</v>
      </c>
      <c r="B997" s="1783" t="s">
        <v>2410</v>
      </c>
      <c r="C997" s="1784">
        <v>364</v>
      </c>
      <c r="D997" s="1782">
        <v>44320</v>
      </c>
      <c r="E997" s="1785">
        <v>50</v>
      </c>
      <c r="F997" s="1786">
        <v>93.01</v>
      </c>
      <c r="G997" s="1786">
        <v>16.600000000000001</v>
      </c>
      <c r="H997" s="1786"/>
      <c r="I997" s="1786">
        <v>10.49</v>
      </c>
      <c r="J997" s="1786">
        <v>9.89</v>
      </c>
      <c r="K997" s="1787"/>
      <c r="L997" s="1784">
        <v>23</v>
      </c>
    </row>
    <row r="998" spans="1:12">
      <c r="A998" s="1782">
        <v>43963</v>
      </c>
      <c r="B998" s="1783" t="s">
        <v>2410</v>
      </c>
      <c r="C998" s="1784">
        <v>364</v>
      </c>
      <c r="D998" s="1782">
        <v>44320</v>
      </c>
      <c r="E998" s="1785">
        <v>33.39</v>
      </c>
      <c r="F998" s="1786">
        <v>36.229999999999997</v>
      </c>
      <c r="G998" s="1786">
        <v>25.74</v>
      </c>
      <c r="H998" s="1786"/>
      <c r="I998" s="1786">
        <v>10.49</v>
      </c>
      <c r="J998" s="1786">
        <v>9.89</v>
      </c>
      <c r="K998" s="1787"/>
      <c r="L998" s="1784">
        <v>13</v>
      </c>
    </row>
    <row r="999" spans="1:12">
      <c r="A999" s="1782">
        <v>43970</v>
      </c>
      <c r="B999" s="1783" t="s">
        <v>2420</v>
      </c>
      <c r="C999" s="1784">
        <v>728</v>
      </c>
      <c r="D999" s="1782">
        <v>44698</v>
      </c>
      <c r="E999" s="1785">
        <v>20</v>
      </c>
      <c r="F999" s="1786">
        <v>62.349800000000002</v>
      </c>
      <c r="G999" s="1786">
        <v>20</v>
      </c>
      <c r="H999" s="1786"/>
      <c r="I999" s="1786">
        <v>11</v>
      </c>
      <c r="J999" s="1786">
        <v>10.99</v>
      </c>
      <c r="K999" s="1787"/>
      <c r="L999" s="1784">
        <v>19</v>
      </c>
    </row>
    <row r="1000" spans="1:12">
      <c r="A1000" s="1782">
        <v>43970</v>
      </c>
      <c r="B1000" s="1783" t="s">
        <v>2410</v>
      </c>
      <c r="C1000" s="1784">
        <v>364</v>
      </c>
      <c r="D1000" s="1782">
        <v>44320</v>
      </c>
      <c r="E1000" s="1785">
        <v>7.6607000000000003</v>
      </c>
      <c r="F1000" s="1786">
        <v>19.491199999999999</v>
      </c>
      <c r="G1000" s="1786">
        <v>7.6607000000000003</v>
      </c>
      <c r="H1000" s="1786"/>
      <c r="I1000" s="1786">
        <v>8.4899000000000004</v>
      </c>
      <c r="J1000" s="1786">
        <v>8.4899000000000004</v>
      </c>
      <c r="K1000" s="1787"/>
      <c r="L1000" s="1784">
        <v>6</v>
      </c>
    </row>
    <row r="1001" spans="1:12">
      <c r="A1001" s="1782">
        <v>43991</v>
      </c>
      <c r="B1001" s="1783" t="s">
        <v>2421</v>
      </c>
      <c r="C1001" s="1784">
        <v>728</v>
      </c>
      <c r="D1001" s="1782">
        <v>44719</v>
      </c>
      <c r="E1001" s="1785">
        <v>25</v>
      </c>
      <c r="F1001" s="1786">
        <v>48.925400000000003</v>
      </c>
      <c r="G1001" s="1786">
        <v>25</v>
      </c>
      <c r="H1001" s="1786"/>
      <c r="I1001" s="1786">
        <v>10</v>
      </c>
      <c r="J1001" s="1786">
        <v>9.7989999999999995</v>
      </c>
      <c r="K1001" s="1787"/>
      <c r="L1001" s="1784">
        <v>14</v>
      </c>
    </row>
    <row r="1002" spans="1:12">
      <c r="A1002" s="1782">
        <v>43998</v>
      </c>
      <c r="B1002" s="1783" t="s">
        <v>2422</v>
      </c>
      <c r="C1002" s="1784">
        <v>364</v>
      </c>
      <c r="D1002" s="1782">
        <v>44362</v>
      </c>
      <c r="E1002" s="1785">
        <v>30</v>
      </c>
      <c r="F1002" s="1786">
        <v>36.432200000000002</v>
      </c>
      <c r="G1002" s="1786">
        <v>30</v>
      </c>
      <c r="H1002" s="1786"/>
      <c r="I1002" s="1786">
        <v>9</v>
      </c>
      <c r="J1002" s="1786">
        <v>8.4700000000000006</v>
      </c>
      <c r="K1002" s="1787"/>
      <c r="L1002" s="1784">
        <v>16</v>
      </c>
    </row>
    <row r="1003" spans="1:12">
      <c r="A1003" s="1782">
        <v>44005</v>
      </c>
      <c r="B1003" s="1783" t="s">
        <v>2427</v>
      </c>
      <c r="C1003" s="1784" t="s">
        <v>2395</v>
      </c>
      <c r="D1003" s="1782">
        <v>45097</v>
      </c>
      <c r="E1003" s="1785">
        <v>15</v>
      </c>
      <c r="F1003" s="1786">
        <v>39.375300000000003</v>
      </c>
      <c r="G1003" s="1786">
        <v>15</v>
      </c>
      <c r="H1003" s="1786"/>
      <c r="I1003" s="1786">
        <v>12.99</v>
      </c>
      <c r="J1003" s="1786">
        <v>12.1905</v>
      </c>
      <c r="K1003" s="1787"/>
      <c r="L1003" s="1784" t="s">
        <v>2391</v>
      </c>
    </row>
    <row r="1004" spans="1:12">
      <c r="A1004" s="1782">
        <v>44019</v>
      </c>
      <c r="B1004" s="1783" t="s">
        <v>2438</v>
      </c>
      <c r="C1004" s="1784">
        <v>728</v>
      </c>
      <c r="D1004" s="1782">
        <v>44747</v>
      </c>
      <c r="E1004" s="1785">
        <v>20</v>
      </c>
      <c r="F1004" s="1786">
        <v>73.02</v>
      </c>
      <c r="G1004" s="1786">
        <v>30</v>
      </c>
      <c r="H1004" s="1786"/>
      <c r="I1004" s="1786">
        <v>12.9</v>
      </c>
      <c r="J1004" s="1786">
        <v>9.4600000000000009</v>
      </c>
      <c r="K1004" s="1787"/>
      <c r="L1004" s="1784">
        <v>14</v>
      </c>
    </row>
    <row r="1005" spans="1:12">
      <c r="A1005" s="1782">
        <v>44026</v>
      </c>
      <c r="B1005" s="1783" t="s">
        <v>2439</v>
      </c>
      <c r="C1005" s="1784">
        <v>364</v>
      </c>
      <c r="D1005" s="1782">
        <v>44390</v>
      </c>
      <c r="E1005" s="1785">
        <v>30</v>
      </c>
      <c r="F1005" s="1786">
        <v>122.9</v>
      </c>
      <c r="G1005" s="1786">
        <v>45</v>
      </c>
      <c r="H1005" s="1786"/>
      <c r="I1005" s="1786">
        <v>12.06</v>
      </c>
      <c r="J1005" s="1786">
        <v>7.92</v>
      </c>
      <c r="K1005" s="1787"/>
      <c r="L1005" s="1784">
        <v>14</v>
      </c>
    </row>
    <row r="1006" spans="1:12">
      <c r="A1006" s="1782">
        <v>44033</v>
      </c>
      <c r="B1006" s="1783" t="s">
        <v>2440</v>
      </c>
      <c r="C1006" s="1784">
        <v>1092</v>
      </c>
      <c r="D1006" s="1782">
        <v>45125</v>
      </c>
      <c r="E1006" s="1785">
        <v>20</v>
      </c>
      <c r="F1006" s="1786">
        <v>87.12</v>
      </c>
      <c r="G1006" s="1786">
        <v>30</v>
      </c>
      <c r="H1006" s="1786"/>
      <c r="I1006" s="1786">
        <v>15</v>
      </c>
      <c r="J1006" s="1786">
        <v>11.9</v>
      </c>
      <c r="K1006" s="1787"/>
      <c r="L1006" s="1784">
        <v>16</v>
      </c>
    </row>
    <row r="1007" spans="1:12">
      <c r="A1007" s="1782">
        <v>44047</v>
      </c>
      <c r="B1007" s="1783" t="s">
        <v>2441</v>
      </c>
      <c r="C1007" s="1784">
        <v>728</v>
      </c>
      <c r="D1007" s="1782">
        <v>44775</v>
      </c>
      <c r="E1007" s="1785">
        <v>20</v>
      </c>
      <c r="F1007" s="1786">
        <v>90.04</v>
      </c>
      <c r="G1007" s="1786">
        <v>30</v>
      </c>
      <c r="H1007" s="1786"/>
      <c r="I1007" s="1786">
        <v>11.49</v>
      </c>
      <c r="J1007" s="1786">
        <v>8.92</v>
      </c>
      <c r="K1007" s="1787"/>
      <c r="L1007" s="1784">
        <v>14</v>
      </c>
    </row>
    <row r="1008" spans="1:12">
      <c r="A1008" s="1782">
        <v>44061</v>
      </c>
      <c r="B1008" s="1783" t="s">
        <v>2450</v>
      </c>
      <c r="C1008" s="1784" t="s">
        <v>2395</v>
      </c>
      <c r="D1008" s="1782">
        <v>45153</v>
      </c>
      <c r="E1008" s="1785">
        <v>20</v>
      </c>
      <c r="F1008" s="1786">
        <v>87.795000000000002</v>
      </c>
      <c r="G1008" s="1786">
        <v>18.9681</v>
      </c>
      <c r="H1008" s="1786"/>
      <c r="I1008" s="1786">
        <v>9</v>
      </c>
      <c r="J1008" s="1786">
        <v>8.7319999999999993</v>
      </c>
      <c r="K1008" s="1787"/>
      <c r="L1008" s="1784" t="s">
        <v>2387</v>
      </c>
    </row>
    <row r="1009" spans="1:12">
      <c r="A1009" s="1782">
        <v>44075</v>
      </c>
      <c r="B1009" s="1783" t="s">
        <v>2451</v>
      </c>
      <c r="C1009" s="1784" t="s">
        <v>2392</v>
      </c>
      <c r="D1009" s="1782">
        <v>45678</v>
      </c>
      <c r="E1009" s="1785">
        <v>10</v>
      </c>
      <c r="F1009" s="1786">
        <v>27.2331</v>
      </c>
      <c r="G1009" s="1786">
        <v>2.4163999999999999</v>
      </c>
      <c r="H1009" s="1786"/>
      <c r="I1009" s="1786">
        <v>11.2165</v>
      </c>
      <c r="J1009" s="1786">
        <v>10.952999999999999</v>
      </c>
      <c r="K1009" s="1787"/>
      <c r="L1009" s="1784" t="s">
        <v>2399</v>
      </c>
    </row>
    <row r="1010" spans="1:12">
      <c r="A1010" s="1782">
        <v>44082</v>
      </c>
      <c r="B1010" s="1783" t="s">
        <v>2452</v>
      </c>
      <c r="C1010" s="1784" t="s">
        <v>2395</v>
      </c>
      <c r="D1010" s="1782">
        <v>45174</v>
      </c>
      <c r="E1010" s="1785">
        <v>20</v>
      </c>
      <c r="F1010" s="1786">
        <v>75.490300000000005</v>
      </c>
      <c r="G1010" s="1786">
        <v>30</v>
      </c>
      <c r="H1010" s="1786"/>
      <c r="I1010" s="1786">
        <v>9.99</v>
      </c>
      <c r="J1010" s="1786">
        <v>9.8847000000000005</v>
      </c>
      <c r="K1010" s="1787"/>
      <c r="L1010" s="1784" t="s">
        <v>2387</v>
      </c>
    </row>
    <row r="1011" spans="1:12">
      <c r="A1011" s="1782">
        <v>44096</v>
      </c>
      <c r="B1011" s="1783" t="s">
        <v>2492</v>
      </c>
      <c r="C1011" s="1784">
        <v>728</v>
      </c>
      <c r="D1011" s="1782">
        <v>44824</v>
      </c>
      <c r="E1011" s="1785">
        <v>20</v>
      </c>
      <c r="F1011" s="1786">
        <v>83.99</v>
      </c>
      <c r="G1011" s="1786">
        <v>30</v>
      </c>
      <c r="H1011" s="1786"/>
      <c r="I1011" s="1786">
        <v>7.97</v>
      </c>
      <c r="J1011" s="1786">
        <v>7.96</v>
      </c>
      <c r="K1011" s="1787"/>
      <c r="L1011" s="1784">
        <v>10</v>
      </c>
    </row>
    <row r="1012" spans="1:12">
      <c r="A1012" s="1782">
        <v>44103</v>
      </c>
      <c r="B1012" s="1783" t="s">
        <v>2493</v>
      </c>
      <c r="C1012" s="1784">
        <v>364</v>
      </c>
      <c r="D1012" s="1782">
        <v>44467</v>
      </c>
      <c r="E1012" s="1785">
        <v>30</v>
      </c>
      <c r="F1012" s="1786">
        <v>101.7</v>
      </c>
      <c r="G1012" s="1786">
        <v>45</v>
      </c>
      <c r="H1012" s="1786"/>
      <c r="I1012" s="1786">
        <v>7.4</v>
      </c>
      <c r="J1012" s="1786">
        <v>7.37</v>
      </c>
      <c r="K1012" s="1787"/>
      <c r="L1012" s="1784">
        <v>13</v>
      </c>
    </row>
    <row r="1013" spans="1:12">
      <c r="A1013" s="1782">
        <v>44110</v>
      </c>
      <c r="B1013" s="1783" t="s">
        <v>2494</v>
      </c>
      <c r="C1013" s="1784">
        <v>728</v>
      </c>
      <c r="D1013" s="1782">
        <v>44838</v>
      </c>
      <c r="E1013" s="1785">
        <v>30</v>
      </c>
      <c r="F1013" s="1786">
        <v>79.69</v>
      </c>
      <c r="G1013" s="1786">
        <v>45</v>
      </c>
      <c r="H1013" s="1786"/>
      <c r="I1013" s="1786">
        <v>8</v>
      </c>
      <c r="J1013" s="1786">
        <v>7.98</v>
      </c>
      <c r="K1013" s="1787"/>
      <c r="L1013" s="1784">
        <v>11</v>
      </c>
    </row>
    <row r="1014" spans="1:12">
      <c r="A1014" s="1782">
        <v>44117</v>
      </c>
      <c r="B1014" s="1783" t="s">
        <v>2495</v>
      </c>
      <c r="C1014" s="1784">
        <v>364</v>
      </c>
      <c r="D1014" s="1782">
        <v>44481</v>
      </c>
      <c r="E1014" s="1785">
        <v>25</v>
      </c>
      <c r="F1014" s="1786">
        <v>87.89</v>
      </c>
      <c r="G1014" s="1786">
        <v>37.5</v>
      </c>
      <c r="H1014" s="1786"/>
      <c r="I1014" s="1786">
        <v>7.38</v>
      </c>
      <c r="J1014" s="1786">
        <v>7.3</v>
      </c>
      <c r="K1014" s="1787"/>
      <c r="L1014" s="1784">
        <v>14</v>
      </c>
    </row>
    <row r="1015" spans="1:12">
      <c r="A1015" s="1782">
        <v>44124</v>
      </c>
      <c r="B1015" s="1783" t="s">
        <v>2501</v>
      </c>
      <c r="C1015" s="1784">
        <v>1092</v>
      </c>
      <c r="D1015" s="1782">
        <v>45216</v>
      </c>
      <c r="E1015" s="1785">
        <v>20</v>
      </c>
      <c r="F1015" s="1786">
        <v>84.79</v>
      </c>
      <c r="G1015" s="1786">
        <v>30</v>
      </c>
      <c r="H1015" s="1786"/>
      <c r="I1015" s="1786">
        <v>9.9499999999999993</v>
      </c>
      <c r="J1015" s="1786">
        <v>9.84</v>
      </c>
      <c r="K1015" s="1787"/>
      <c r="L1015" s="1784">
        <v>13</v>
      </c>
    </row>
    <row r="1016" spans="1:12">
      <c r="A1016" s="1782">
        <v>44131</v>
      </c>
      <c r="B1016" s="1783" t="s">
        <v>2502</v>
      </c>
      <c r="C1016" s="1784">
        <v>364</v>
      </c>
      <c r="D1016" s="1782">
        <v>44495</v>
      </c>
      <c r="E1016" s="1785">
        <v>30</v>
      </c>
      <c r="F1016" s="1786">
        <v>101.82</v>
      </c>
      <c r="G1016" s="1786">
        <v>42.5</v>
      </c>
      <c r="H1016" s="1786"/>
      <c r="I1016" s="1786">
        <v>6.89</v>
      </c>
      <c r="J1016" s="1786">
        <v>6.89</v>
      </c>
      <c r="K1016" s="1787"/>
      <c r="L1016" s="1784">
        <v>16</v>
      </c>
    </row>
    <row r="1017" spans="1:12">
      <c r="A1017" s="1782">
        <v>44138</v>
      </c>
      <c r="B1017" s="1783" t="s">
        <v>2503</v>
      </c>
      <c r="C1017" s="1784">
        <v>728</v>
      </c>
      <c r="D1017" s="1782">
        <v>44866</v>
      </c>
      <c r="E1017" s="1785">
        <v>100</v>
      </c>
      <c r="F1017" s="1786">
        <v>248</v>
      </c>
      <c r="G1017" s="1786">
        <v>122.02</v>
      </c>
      <c r="H1017" s="1786"/>
      <c r="I1017" s="1786">
        <v>6.85</v>
      </c>
      <c r="J1017" s="1786">
        <v>6.84</v>
      </c>
      <c r="K1017" s="1787"/>
      <c r="L1017" s="1784">
        <v>11</v>
      </c>
    </row>
    <row r="1018" spans="1:12">
      <c r="A1018" s="1782">
        <v>44145</v>
      </c>
      <c r="B1018" s="1783" t="s">
        <v>2504</v>
      </c>
      <c r="C1018" s="1784">
        <v>1092</v>
      </c>
      <c r="D1018" s="1782">
        <v>45237</v>
      </c>
      <c r="E1018" s="1785">
        <v>15</v>
      </c>
      <c r="F1018" s="1786">
        <v>50.29</v>
      </c>
      <c r="G1018" s="1786">
        <v>8.35</v>
      </c>
      <c r="H1018" s="1786"/>
      <c r="I1018" s="1786">
        <v>7.51</v>
      </c>
      <c r="J1018" s="1786">
        <v>7.49</v>
      </c>
      <c r="K1018" s="1787"/>
      <c r="L1018" s="1784">
        <v>6</v>
      </c>
    </row>
    <row r="1019" spans="1:12">
      <c r="A1019" s="1782">
        <v>44152</v>
      </c>
      <c r="B1019" s="1783" t="s">
        <v>2514</v>
      </c>
      <c r="C1019" s="1784">
        <v>728</v>
      </c>
      <c r="D1019" s="1782">
        <v>44880</v>
      </c>
      <c r="E1019" s="1785">
        <v>100</v>
      </c>
      <c r="F1019" s="1786">
        <v>238</v>
      </c>
      <c r="G1019" s="1786">
        <v>118</v>
      </c>
      <c r="H1019" s="1786"/>
      <c r="I1019" s="1786">
        <v>14.01</v>
      </c>
      <c r="J1019" s="1786">
        <v>6.83</v>
      </c>
      <c r="K1019" s="1787"/>
      <c r="L1019" s="1784">
        <v>11</v>
      </c>
    </row>
    <row r="1020" spans="1:12">
      <c r="A1020" s="1782">
        <v>44159</v>
      </c>
      <c r="B1020" s="1783" t="s">
        <v>2515</v>
      </c>
      <c r="C1020" s="1784">
        <v>1092</v>
      </c>
      <c r="D1020" s="1782">
        <v>45251</v>
      </c>
      <c r="E1020" s="1785">
        <v>10</v>
      </c>
      <c r="F1020" s="1786">
        <v>29.8</v>
      </c>
      <c r="G1020" s="1786">
        <v>10</v>
      </c>
      <c r="H1020" s="1786"/>
      <c r="I1020" s="1786">
        <v>9</v>
      </c>
      <c r="J1020" s="1786">
        <v>8</v>
      </c>
      <c r="K1020" s="1787"/>
      <c r="L1020" s="1784">
        <v>5</v>
      </c>
    </row>
    <row r="1021" spans="1:12">
      <c r="A1021" s="1782">
        <v>44166</v>
      </c>
      <c r="B1021" s="1783" t="s">
        <v>2516</v>
      </c>
      <c r="C1021" s="1784">
        <v>728</v>
      </c>
      <c r="D1021" s="1782">
        <v>44894</v>
      </c>
      <c r="E1021" s="1785">
        <v>10</v>
      </c>
      <c r="F1021" s="1786">
        <v>42.1</v>
      </c>
      <c r="G1021" s="1786">
        <v>6.98</v>
      </c>
      <c r="H1021" s="1786"/>
      <c r="I1021" s="1786">
        <v>8</v>
      </c>
      <c r="J1021" s="1786">
        <v>6.68</v>
      </c>
      <c r="K1021" s="1787"/>
      <c r="L1021" s="1784">
        <v>9</v>
      </c>
    </row>
    <row r="1022" spans="1:12">
      <c r="A1022" s="1782">
        <v>44173</v>
      </c>
      <c r="B1022" s="1783" t="s">
        <v>2517</v>
      </c>
      <c r="C1022" s="1784">
        <v>1092</v>
      </c>
      <c r="D1022" s="1782">
        <v>45265</v>
      </c>
      <c r="E1022" s="1785">
        <v>10</v>
      </c>
      <c r="F1022" s="1786">
        <v>39.950000000000003</v>
      </c>
      <c r="G1022" s="1786">
        <v>9.1</v>
      </c>
      <c r="H1022" s="1786"/>
      <c r="I1022" s="1786">
        <v>9</v>
      </c>
      <c r="J1022" s="1786">
        <v>7.76</v>
      </c>
      <c r="K1022" s="1787"/>
      <c r="L1022" s="1784">
        <v>8</v>
      </c>
    </row>
    <row r="1023" spans="1:12">
      <c r="A1023" s="1782">
        <v>44180</v>
      </c>
      <c r="B1023" s="1783" t="s">
        <v>2518</v>
      </c>
      <c r="C1023" s="1784">
        <v>364</v>
      </c>
      <c r="D1023" s="1782">
        <v>44544</v>
      </c>
      <c r="E1023" s="1785">
        <v>20</v>
      </c>
      <c r="F1023" s="1786">
        <v>88.56</v>
      </c>
      <c r="G1023" s="1786">
        <v>30</v>
      </c>
      <c r="H1023" s="1786"/>
      <c r="I1023" s="1786">
        <v>10</v>
      </c>
      <c r="J1023" s="1786">
        <v>5.96</v>
      </c>
      <c r="K1023" s="1787"/>
      <c r="L1023" s="1784">
        <v>17</v>
      </c>
    </row>
    <row r="1024" spans="1:12">
      <c r="A1024" s="1788">
        <v>2021</v>
      </c>
      <c r="B1024" s="1783"/>
      <c r="C1024" s="1784"/>
      <c r="D1024" s="1782"/>
      <c r="E1024" s="1785"/>
      <c r="F1024" s="1786"/>
      <c r="G1024" s="1786"/>
      <c r="H1024" s="1786"/>
      <c r="I1024" s="1786"/>
      <c r="J1024" s="1786"/>
      <c r="K1024" s="1787"/>
      <c r="L1024" s="1784"/>
    </row>
    <row r="1025" spans="1:12">
      <c r="A1025" s="1782">
        <v>44201</v>
      </c>
      <c r="B1025" s="1783" t="s">
        <v>2545</v>
      </c>
      <c r="C1025" s="1784">
        <v>1092</v>
      </c>
      <c r="D1025" s="1782">
        <v>45293</v>
      </c>
      <c r="E1025" s="1785">
        <v>25</v>
      </c>
      <c r="F1025" s="1786">
        <v>71.47</v>
      </c>
      <c r="G1025" s="1786">
        <v>37.5</v>
      </c>
      <c r="H1025" s="1786"/>
      <c r="I1025" s="1786">
        <v>8.5</v>
      </c>
      <c r="J1025" s="1786">
        <v>8.2899999999999991</v>
      </c>
      <c r="K1025" s="1787"/>
      <c r="L1025" s="1784">
        <v>10</v>
      </c>
    </row>
    <row r="1026" spans="1:12">
      <c r="A1026" s="1782">
        <v>44208</v>
      </c>
      <c r="B1026" s="1783" t="s">
        <v>2546</v>
      </c>
      <c r="C1026" s="1784">
        <v>364</v>
      </c>
      <c r="D1026" s="1782">
        <v>44572</v>
      </c>
      <c r="E1026" s="1785">
        <v>20</v>
      </c>
      <c r="F1026" s="1786">
        <v>98.04</v>
      </c>
      <c r="G1026" s="1786">
        <v>30</v>
      </c>
      <c r="H1026" s="1786"/>
      <c r="I1026" s="1786">
        <v>5.98</v>
      </c>
      <c r="J1026" s="1786">
        <v>5.94</v>
      </c>
      <c r="K1026" s="1787"/>
      <c r="L1026" s="1784">
        <v>16</v>
      </c>
    </row>
    <row r="1027" spans="1:12">
      <c r="A1027" s="1782">
        <v>44215</v>
      </c>
      <c r="B1027" s="1783" t="s">
        <v>2547</v>
      </c>
      <c r="C1027" s="1784">
        <v>728</v>
      </c>
      <c r="D1027" s="1782">
        <v>44943</v>
      </c>
      <c r="E1027" s="1785">
        <v>50</v>
      </c>
      <c r="F1027" s="1786">
        <v>172.66</v>
      </c>
      <c r="G1027" s="1786">
        <v>75</v>
      </c>
      <c r="H1027" s="1786"/>
      <c r="I1027" s="1786">
        <v>7.89</v>
      </c>
      <c r="J1027" s="1786">
        <v>7.52</v>
      </c>
      <c r="K1027" s="1787"/>
      <c r="L1027" s="1784">
        <v>16</v>
      </c>
    </row>
    <row r="1028" spans="1:12">
      <c r="A1028" s="1782">
        <v>44222</v>
      </c>
      <c r="B1028" s="1783" t="s">
        <v>2548</v>
      </c>
      <c r="C1028" s="1784">
        <v>1092</v>
      </c>
      <c r="D1028" s="1782">
        <v>45314</v>
      </c>
      <c r="E1028" s="1785">
        <v>20</v>
      </c>
      <c r="F1028" s="1786">
        <v>62.554000000000002</v>
      </c>
      <c r="G1028" s="1786">
        <v>6.992</v>
      </c>
      <c r="H1028" s="1786"/>
      <c r="I1028" s="1786">
        <v>8.5</v>
      </c>
      <c r="J1028" s="1786">
        <v>8.32</v>
      </c>
      <c r="K1028" s="1787"/>
      <c r="L1028" s="1784">
        <v>15</v>
      </c>
    </row>
    <row r="1029" spans="1:12">
      <c r="A1029" s="1782">
        <v>44229</v>
      </c>
      <c r="B1029" s="1783" t="s">
        <v>2549</v>
      </c>
      <c r="C1029" s="1784">
        <v>364</v>
      </c>
      <c r="D1029" s="1782">
        <v>44593</v>
      </c>
      <c r="E1029" s="1785">
        <v>20</v>
      </c>
      <c r="F1029" s="1786">
        <v>73.947000000000003</v>
      </c>
      <c r="G1029" s="1786">
        <v>30</v>
      </c>
      <c r="H1029" s="1786"/>
      <c r="I1029" s="1786">
        <v>6.24</v>
      </c>
      <c r="J1029" s="1786">
        <v>6.1985000000000001</v>
      </c>
      <c r="K1029" s="1787"/>
      <c r="L1029" s="1784">
        <v>16</v>
      </c>
    </row>
    <row r="1030" spans="1:12">
      <c r="A1030" s="1782">
        <v>44236</v>
      </c>
      <c r="B1030" s="1783" t="s">
        <v>2550</v>
      </c>
      <c r="C1030" s="1784">
        <v>1092</v>
      </c>
      <c r="D1030" s="1782">
        <v>45328</v>
      </c>
      <c r="E1030" s="1785">
        <v>35</v>
      </c>
      <c r="F1030" s="1786">
        <v>105.29</v>
      </c>
      <c r="G1030" s="1786">
        <v>25.66</v>
      </c>
      <c r="H1030" s="1786"/>
      <c r="I1030" s="1786">
        <v>8.5</v>
      </c>
      <c r="J1030" s="1786">
        <v>8.3607999999999993</v>
      </c>
      <c r="K1030" s="1787"/>
      <c r="L1030" s="1784">
        <v>17</v>
      </c>
    </row>
    <row r="1031" spans="1:12">
      <c r="A1031" s="1782">
        <v>44243</v>
      </c>
      <c r="B1031" s="1783" t="s">
        <v>2551</v>
      </c>
      <c r="C1031" s="1784">
        <v>728</v>
      </c>
      <c r="D1031" s="1782">
        <v>44971</v>
      </c>
      <c r="E1031" s="1785">
        <v>45</v>
      </c>
      <c r="F1031" s="1786">
        <v>140.80000000000001</v>
      </c>
      <c r="G1031" s="1786">
        <v>67.5</v>
      </c>
      <c r="H1031" s="1786"/>
      <c r="I1031" s="1786">
        <v>7.89</v>
      </c>
      <c r="J1031" s="1786">
        <v>7.85</v>
      </c>
      <c r="K1031" s="1787"/>
      <c r="L1031" s="1784">
        <v>15</v>
      </c>
    </row>
    <row r="1032" spans="1:12">
      <c r="A1032" s="1782">
        <v>44250</v>
      </c>
      <c r="B1032" s="1783" t="s">
        <v>3329</v>
      </c>
      <c r="C1032" s="1784">
        <v>1092</v>
      </c>
      <c r="D1032" s="1782">
        <v>45342</v>
      </c>
      <c r="E1032" s="1785">
        <v>20</v>
      </c>
      <c r="F1032" s="1786">
        <v>75.903000000000006</v>
      </c>
      <c r="G1032" s="1786">
        <v>30</v>
      </c>
      <c r="H1032" s="1786"/>
      <c r="I1032" s="1786">
        <v>8.5</v>
      </c>
      <c r="J1032" s="1786">
        <v>8.4671000000000003</v>
      </c>
      <c r="K1032" s="1787"/>
      <c r="L1032" s="1784">
        <v>15</v>
      </c>
    </row>
    <row r="1033" spans="1:12">
      <c r="A1033" s="1782">
        <v>44257</v>
      </c>
      <c r="B1033" s="1783" t="s">
        <v>2566</v>
      </c>
      <c r="C1033" s="1784">
        <v>1092</v>
      </c>
      <c r="D1033" s="1782">
        <v>45349</v>
      </c>
      <c r="E1033" s="1785">
        <v>30</v>
      </c>
      <c r="F1033" s="1786">
        <v>111.8125</v>
      </c>
      <c r="G1033" s="1786">
        <v>45</v>
      </c>
      <c r="H1033" s="1786"/>
      <c r="I1033" s="1786">
        <v>8.4499999999999993</v>
      </c>
      <c r="J1033" s="1786">
        <v>8.4321000000000002</v>
      </c>
      <c r="K1033" s="1787"/>
      <c r="L1033" s="1784" t="s">
        <v>2398</v>
      </c>
    </row>
    <row r="1034" spans="1:12">
      <c r="A1034" s="1782">
        <v>44264</v>
      </c>
      <c r="B1034" s="1783" t="s">
        <v>2567</v>
      </c>
      <c r="C1034" s="1784">
        <v>728</v>
      </c>
      <c r="D1034" s="1782">
        <v>44992</v>
      </c>
      <c r="E1034" s="1785">
        <v>50</v>
      </c>
      <c r="F1034" s="1786">
        <v>204.03469999999999</v>
      </c>
      <c r="G1034" s="1786">
        <v>75</v>
      </c>
      <c r="H1034" s="1786"/>
      <c r="I1034" s="1786">
        <v>7.8</v>
      </c>
      <c r="J1034" s="1786">
        <v>7.7771999999999997</v>
      </c>
      <c r="K1034" s="1787"/>
      <c r="L1034" s="1784" t="s">
        <v>3330</v>
      </c>
    </row>
    <row r="1035" spans="1:12">
      <c r="A1035" s="1782">
        <v>44271</v>
      </c>
      <c r="B1035" s="1783" t="s">
        <v>2568</v>
      </c>
      <c r="C1035" s="1784" t="s">
        <v>2569</v>
      </c>
      <c r="D1035" s="1782">
        <v>45363</v>
      </c>
      <c r="E1035" s="1785">
        <v>20</v>
      </c>
      <c r="F1035" s="1786">
        <v>120.2538</v>
      </c>
      <c r="G1035" s="1786">
        <v>30</v>
      </c>
      <c r="H1035" s="1786"/>
      <c r="I1035" s="1786">
        <v>8.3491</v>
      </c>
      <c r="J1035" s="1786">
        <v>8.3065999999999995</v>
      </c>
      <c r="K1035" s="1787"/>
      <c r="L1035" s="1784">
        <v>22</v>
      </c>
    </row>
    <row r="1036" spans="1:12">
      <c r="A1036" s="1782">
        <v>44285</v>
      </c>
      <c r="B1036" s="1783" t="s">
        <v>3331</v>
      </c>
      <c r="C1036" s="1784">
        <v>364</v>
      </c>
      <c r="D1036" s="1782">
        <v>44649</v>
      </c>
      <c r="E1036" s="1785">
        <v>10</v>
      </c>
      <c r="F1036" s="1786">
        <v>99.087599999999995</v>
      </c>
      <c r="G1036" s="1786">
        <v>10</v>
      </c>
      <c r="H1036" s="1786"/>
      <c r="I1036" s="1786">
        <v>5.5</v>
      </c>
      <c r="J1036" s="1786">
        <v>5.49</v>
      </c>
      <c r="K1036" s="1787"/>
      <c r="L1036" s="1784">
        <v>19</v>
      </c>
    </row>
    <row r="1037" spans="1:12">
      <c r="A1037" s="1782">
        <v>44292</v>
      </c>
      <c r="B1037" s="1783" t="s">
        <v>2574</v>
      </c>
      <c r="C1037" s="1784">
        <v>1092</v>
      </c>
      <c r="D1037" s="1782">
        <v>45384</v>
      </c>
      <c r="E1037" s="1785">
        <v>30</v>
      </c>
      <c r="F1037" s="1786">
        <v>170.53399999999999</v>
      </c>
      <c r="G1037" s="1786">
        <v>45</v>
      </c>
      <c r="H1037" s="1786"/>
      <c r="I1037" s="1786">
        <v>7.4749999999999996</v>
      </c>
      <c r="J1037" s="1786">
        <v>7.3963000000000001</v>
      </c>
      <c r="K1037" s="1787"/>
      <c r="L1037" s="1784">
        <v>23</v>
      </c>
    </row>
    <row r="1038" spans="1:12">
      <c r="A1038" s="1782">
        <v>44299</v>
      </c>
      <c r="B1038" s="1783" t="s">
        <v>2575</v>
      </c>
      <c r="C1038" s="1784">
        <v>364</v>
      </c>
      <c r="D1038" s="1782">
        <v>44663</v>
      </c>
      <c r="E1038" s="1785">
        <v>20</v>
      </c>
      <c r="F1038" s="1786">
        <v>110.6259</v>
      </c>
      <c r="G1038" s="1786">
        <v>30</v>
      </c>
      <c r="H1038" s="1786"/>
      <c r="I1038" s="1786">
        <v>5.2999000000000001</v>
      </c>
      <c r="J1038" s="1786">
        <v>5.2733999999999996</v>
      </c>
      <c r="K1038" s="1787"/>
      <c r="L1038" s="1784">
        <v>17</v>
      </c>
    </row>
    <row r="1039" spans="1:12">
      <c r="A1039" s="1782">
        <v>44306</v>
      </c>
      <c r="B1039" s="1783" t="s">
        <v>2576</v>
      </c>
      <c r="C1039" s="1784">
        <v>728</v>
      </c>
      <c r="D1039" s="1782">
        <v>45034</v>
      </c>
      <c r="E1039" s="1785">
        <v>40</v>
      </c>
      <c r="F1039" s="1786">
        <v>228.0231</v>
      </c>
      <c r="G1039" s="1786">
        <v>60</v>
      </c>
      <c r="H1039" s="1786"/>
      <c r="I1039" s="1786">
        <v>6.9898999999999996</v>
      </c>
      <c r="J1039" s="1786">
        <v>6.9470999999999998</v>
      </c>
      <c r="K1039" s="1787"/>
      <c r="L1039" s="1784">
        <v>21</v>
      </c>
    </row>
    <row r="1040" spans="1:12">
      <c r="A1040" s="1782">
        <v>44313</v>
      </c>
      <c r="B1040" s="1783" t="s">
        <v>2577</v>
      </c>
      <c r="C1040" s="1784">
        <v>1092</v>
      </c>
      <c r="D1040" s="1782">
        <v>45405</v>
      </c>
      <c r="E1040" s="1785">
        <v>30</v>
      </c>
      <c r="F1040" s="1786">
        <v>148.6198</v>
      </c>
      <c r="G1040" s="1786">
        <v>45</v>
      </c>
      <c r="H1040" s="1786"/>
      <c r="I1040" s="1786">
        <v>7.9</v>
      </c>
      <c r="J1040" s="1786">
        <v>7.8730000000000002</v>
      </c>
      <c r="K1040" s="1787"/>
      <c r="L1040" s="1784">
        <v>18</v>
      </c>
    </row>
    <row r="1041" spans="1:12">
      <c r="A1041" s="1782">
        <v>44320</v>
      </c>
      <c r="B1041" s="1783" t="s">
        <v>2585</v>
      </c>
      <c r="C1041" s="1784">
        <v>1092</v>
      </c>
      <c r="D1041" s="1782">
        <v>45412</v>
      </c>
      <c r="E1041" s="1785">
        <v>40</v>
      </c>
      <c r="F1041" s="1786">
        <v>227.4761</v>
      </c>
      <c r="G1041" s="1786">
        <v>60</v>
      </c>
      <c r="H1041" s="1786"/>
      <c r="I1041" s="1786">
        <v>7.9191000000000003</v>
      </c>
      <c r="J1041" s="1786">
        <v>7.7401</v>
      </c>
      <c r="K1041" s="1787"/>
      <c r="L1041" s="1784">
        <v>23</v>
      </c>
    </row>
    <row r="1042" spans="1:12">
      <c r="A1042" s="1782">
        <v>44324</v>
      </c>
      <c r="B1042" s="1783" t="s">
        <v>2586</v>
      </c>
      <c r="C1042" s="1784">
        <v>360</v>
      </c>
      <c r="D1042" s="1782">
        <v>44684</v>
      </c>
      <c r="E1042" s="1785">
        <v>10</v>
      </c>
      <c r="F1042" s="1786">
        <v>60.5366</v>
      </c>
      <c r="G1042" s="1786">
        <v>15</v>
      </c>
      <c r="H1042" s="1786"/>
      <c r="I1042" s="1786">
        <v>4.4000000000000004</v>
      </c>
      <c r="J1042" s="1786">
        <v>4.4000000000000004</v>
      </c>
      <c r="K1042" s="1787"/>
      <c r="L1042" s="1784">
        <v>13</v>
      </c>
    </row>
    <row r="1043" spans="1:12">
      <c r="A1043" s="1782">
        <v>44324</v>
      </c>
      <c r="B1043" s="1783" t="s">
        <v>2587</v>
      </c>
      <c r="C1043" s="1784">
        <v>1816</v>
      </c>
      <c r="D1043" s="1782">
        <v>46140</v>
      </c>
      <c r="E1043" s="1785">
        <v>10</v>
      </c>
      <c r="F1043" s="1786">
        <v>56.452599999999997</v>
      </c>
      <c r="G1043" s="1786">
        <v>15</v>
      </c>
      <c r="H1043" s="1786"/>
      <c r="I1043" s="1786">
        <v>9.0140999999999991</v>
      </c>
      <c r="J1043" s="1786">
        <v>8.9176000000000002</v>
      </c>
      <c r="K1043" s="1787"/>
      <c r="L1043" s="1784">
        <v>16</v>
      </c>
    </row>
    <row r="1044" spans="1:12">
      <c r="A1044" s="1782">
        <v>44334</v>
      </c>
      <c r="B1044" s="1783" t="s">
        <v>2588</v>
      </c>
      <c r="C1044" s="1784">
        <v>728</v>
      </c>
      <c r="D1044" s="1782">
        <v>45062</v>
      </c>
      <c r="E1044" s="1785">
        <v>40</v>
      </c>
      <c r="F1044" s="1786">
        <v>228.73840000000001</v>
      </c>
      <c r="G1044" s="1786">
        <v>60</v>
      </c>
      <c r="H1044" s="1786"/>
      <c r="I1044" s="1786">
        <v>6.5</v>
      </c>
      <c r="J1044" s="1786">
        <v>6.4953000000000003</v>
      </c>
      <c r="K1044" s="1787"/>
      <c r="L1044" s="1784">
        <v>18</v>
      </c>
    </row>
    <row r="1045" spans="1:12">
      <c r="A1045" s="1782">
        <v>44341</v>
      </c>
      <c r="B1045" s="1783" t="s">
        <v>2589</v>
      </c>
      <c r="C1045" s="1784">
        <v>1092</v>
      </c>
      <c r="D1045" s="1782">
        <v>45433</v>
      </c>
      <c r="E1045" s="1785">
        <v>40</v>
      </c>
      <c r="F1045" s="1786">
        <v>270.82240000000002</v>
      </c>
      <c r="G1045" s="1786">
        <v>60</v>
      </c>
      <c r="H1045" s="1786"/>
      <c r="I1045" s="1786">
        <v>7.39</v>
      </c>
      <c r="J1045" s="1786">
        <v>7.3460999999999999</v>
      </c>
      <c r="K1045" s="1787"/>
      <c r="L1045" s="1784">
        <v>25</v>
      </c>
    </row>
    <row r="1046" spans="1:12">
      <c r="A1046" s="1782">
        <v>44348</v>
      </c>
      <c r="B1046" s="1783" t="s">
        <v>2596</v>
      </c>
      <c r="C1046" s="1784">
        <v>1092</v>
      </c>
      <c r="D1046" s="1782">
        <v>45440</v>
      </c>
      <c r="E1046" s="1785">
        <v>50</v>
      </c>
      <c r="F1046" s="1786">
        <v>297.24119999999999</v>
      </c>
      <c r="G1046" s="1786">
        <v>75</v>
      </c>
      <c r="H1046" s="1786"/>
      <c r="I1046" s="1786">
        <v>6.95</v>
      </c>
      <c r="J1046" s="1786">
        <v>6.9386000000000001</v>
      </c>
      <c r="K1046" s="1787"/>
      <c r="L1046" s="1784">
        <v>23</v>
      </c>
    </row>
    <row r="1047" spans="1:12">
      <c r="A1047" s="1782">
        <v>44355</v>
      </c>
      <c r="B1047" s="1783" t="s">
        <v>3332</v>
      </c>
      <c r="C1047" s="1784">
        <v>1820</v>
      </c>
      <c r="D1047" s="1782">
        <v>46205</v>
      </c>
      <c r="E1047" s="1785">
        <v>10</v>
      </c>
      <c r="F1047" s="1786">
        <v>48.600700000000003</v>
      </c>
      <c r="G1047" s="1786">
        <v>15</v>
      </c>
      <c r="H1047" s="1786"/>
      <c r="I1047" s="1786">
        <v>8.6999999999999993</v>
      </c>
      <c r="J1047" s="1786">
        <v>8.6423000000000005</v>
      </c>
      <c r="K1047" s="1787"/>
      <c r="L1047" s="1784">
        <v>17</v>
      </c>
    </row>
    <row r="1048" spans="1:12">
      <c r="A1048" s="1782">
        <v>44355</v>
      </c>
      <c r="B1048" s="1783" t="s">
        <v>2597</v>
      </c>
      <c r="C1048" s="1784">
        <v>364</v>
      </c>
      <c r="D1048" s="1782">
        <v>44748</v>
      </c>
      <c r="E1048" s="1785">
        <v>20</v>
      </c>
      <c r="F1048" s="1786">
        <v>95.969099999999997</v>
      </c>
      <c r="G1048" s="1786">
        <v>30</v>
      </c>
      <c r="H1048" s="1786"/>
      <c r="I1048" s="1786">
        <v>3.9899</v>
      </c>
      <c r="J1048" s="1786">
        <v>3.9632000000000001</v>
      </c>
      <c r="K1048" s="1787"/>
      <c r="L1048" s="1784">
        <v>9</v>
      </c>
    </row>
    <row r="1049" spans="1:12">
      <c r="A1049" s="1782">
        <v>44369</v>
      </c>
      <c r="B1049" s="1783" t="s">
        <v>2598</v>
      </c>
      <c r="C1049" s="1784">
        <v>1092</v>
      </c>
      <c r="D1049" s="1782">
        <v>45461</v>
      </c>
      <c r="E1049" s="1785">
        <v>25</v>
      </c>
      <c r="F1049" s="1786">
        <v>110.767</v>
      </c>
      <c r="G1049" s="1786">
        <v>37.5</v>
      </c>
      <c r="H1049" s="1786"/>
      <c r="I1049" s="1786">
        <v>6.4898999999999996</v>
      </c>
      <c r="J1049" s="1786">
        <v>6.4402999999999997</v>
      </c>
      <c r="K1049" s="1787"/>
      <c r="L1049" s="1784">
        <v>16</v>
      </c>
    </row>
    <row r="1050" spans="1:12">
      <c r="A1050" s="1782">
        <v>44383</v>
      </c>
      <c r="B1050" s="1783" t="s">
        <v>3333</v>
      </c>
      <c r="C1050" s="1784" t="s">
        <v>2386</v>
      </c>
      <c r="D1050" s="1782">
        <v>45111</v>
      </c>
      <c r="E1050" s="1785">
        <v>20</v>
      </c>
      <c r="F1050" s="1786">
        <v>77.666700000000006</v>
      </c>
      <c r="G1050" s="1786">
        <v>30</v>
      </c>
      <c r="H1050" s="1786"/>
      <c r="I1050" s="1786">
        <v>6</v>
      </c>
      <c r="J1050" s="1786">
        <v>5.9135</v>
      </c>
      <c r="K1050" s="1787"/>
      <c r="L1050" s="1784">
        <v>10</v>
      </c>
    </row>
    <row r="1051" spans="1:12">
      <c r="A1051" s="1782">
        <v>44390</v>
      </c>
      <c r="B1051" s="1783" t="s">
        <v>3334</v>
      </c>
      <c r="C1051" s="1784" t="s">
        <v>2395</v>
      </c>
      <c r="D1051" s="1782">
        <v>45482</v>
      </c>
      <c r="E1051" s="1785">
        <v>40</v>
      </c>
      <c r="F1051" s="1786">
        <v>149.8408</v>
      </c>
      <c r="G1051" s="1786">
        <v>40</v>
      </c>
      <c r="H1051" s="1786"/>
      <c r="I1051" s="1786">
        <v>6.39</v>
      </c>
      <c r="J1051" s="1786">
        <v>6.3722000000000003</v>
      </c>
      <c r="K1051" s="1787"/>
      <c r="L1051" s="1784">
        <v>14</v>
      </c>
    </row>
    <row r="1052" spans="1:12">
      <c r="A1052" s="1782">
        <v>44404</v>
      </c>
      <c r="B1052" s="1783" t="s">
        <v>3335</v>
      </c>
      <c r="C1052" s="1784">
        <v>1092</v>
      </c>
      <c r="D1052" s="1782">
        <v>45496</v>
      </c>
      <c r="E1052" s="1785">
        <v>20</v>
      </c>
      <c r="F1052" s="1786">
        <v>108.9448</v>
      </c>
      <c r="G1052" s="1786">
        <v>20</v>
      </c>
      <c r="H1052" s="1786"/>
      <c r="I1052" s="1786">
        <v>6.23</v>
      </c>
      <c r="J1052" s="1786">
        <v>6.1966000000000001</v>
      </c>
      <c r="K1052" s="1787"/>
      <c r="L1052" s="1784">
        <v>15</v>
      </c>
    </row>
    <row r="1053" spans="1:12">
      <c r="A1053" s="1782">
        <v>44411</v>
      </c>
      <c r="B1053" s="1783" t="s">
        <v>2615</v>
      </c>
      <c r="C1053" s="1784">
        <v>1820</v>
      </c>
      <c r="D1053" s="1782">
        <v>46231</v>
      </c>
      <c r="E1053" s="1785">
        <v>10</v>
      </c>
      <c r="F1053" s="1786">
        <v>70.739099999999993</v>
      </c>
      <c r="G1053" s="1786">
        <v>15</v>
      </c>
      <c r="H1053" s="1786"/>
      <c r="I1053" s="1786">
        <v>7.25</v>
      </c>
      <c r="J1053" s="1786">
        <v>7.1993</v>
      </c>
      <c r="K1053" s="1787"/>
      <c r="L1053" s="1784">
        <v>17</v>
      </c>
    </row>
    <row r="1054" spans="1:12">
      <c r="A1054" s="1782">
        <v>44418</v>
      </c>
      <c r="B1054" s="1783" t="s">
        <v>2616</v>
      </c>
      <c r="C1054" s="1784">
        <v>728</v>
      </c>
      <c r="D1054" s="1782">
        <v>45146</v>
      </c>
      <c r="E1054" s="1785">
        <v>10</v>
      </c>
      <c r="F1054" s="1786">
        <v>64.704800000000006</v>
      </c>
      <c r="G1054" s="1786">
        <v>10</v>
      </c>
      <c r="H1054" s="1786"/>
      <c r="I1054" s="1786">
        <v>5.4450000000000003</v>
      </c>
      <c r="J1054" s="1786">
        <v>5.2659000000000002</v>
      </c>
      <c r="K1054" s="1787"/>
      <c r="L1054" s="1784">
        <v>10</v>
      </c>
    </row>
    <row r="1055" spans="1:12">
      <c r="A1055" s="1782">
        <v>44425</v>
      </c>
      <c r="B1055" s="1783" t="s">
        <v>3336</v>
      </c>
      <c r="C1055" s="1784">
        <v>1092</v>
      </c>
      <c r="D1055" s="1782">
        <v>45517</v>
      </c>
      <c r="E1055" s="1785">
        <v>10</v>
      </c>
      <c r="F1055" s="1786">
        <v>64.626800000000003</v>
      </c>
      <c r="G1055" s="1786">
        <v>15</v>
      </c>
      <c r="H1055" s="1786"/>
      <c r="I1055" s="1786">
        <v>5.7899000000000003</v>
      </c>
      <c r="J1055" s="1786">
        <v>5.7877999999999998</v>
      </c>
      <c r="K1055" s="1787"/>
      <c r="L1055" s="1784">
        <v>12</v>
      </c>
    </row>
    <row r="1056" spans="1:12">
      <c r="A1056" s="1782">
        <v>44432</v>
      </c>
      <c r="B1056" s="1783" t="s">
        <v>3337</v>
      </c>
      <c r="C1056" s="1784">
        <v>2548</v>
      </c>
      <c r="D1056" s="1782">
        <v>46980</v>
      </c>
      <c r="E1056" s="1785">
        <v>10</v>
      </c>
      <c r="F1056" s="1786">
        <v>54.5015</v>
      </c>
      <c r="G1056" s="1786">
        <v>15</v>
      </c>
      <c r="H1056" s="1786"/>
      <c r="I1056" s="1786">
        <v>8.4699000000000009</v>
      </c>
      <c r="J1056" s="1786">
        <v>8.4123000000000001</v>
      </c>
      <c r="K1056" s="1787"/>
      <c r="L1056" s="1784">
        <v>15</v>
      </c>
    </row>
    <row r="1057" spans="1:12">
      <c r="A1057" s="1782">
        <v>44439</v>
      </c>
      <c r="B1057" s="1783" t="s">
        <v>2617</v>
      </c>
      <c r="C1057" s="1784">
        <v>1092</v>
      </c>
      <c r="D1057" s="1782">
        <v>45531</v>
      </c>
      <c r="E1057" s="1785">
        <v>10</v>
      </c>
      <c r="F1057" s="1786">
        <v>71.341999999999999</v>
      </c>
      <c r="G1057" s="1786">
        <v>15</v>
      </c>
      <c r="H1057" s="1786"/>
      <c r="I1057" s="1786">
        <v>5.3498000000000001</v>
      </c>
      <c r="J1057" s="1786">
        <v>5.3150000000000004</v>
      </c>
      <c r="K1057" s="1787"/>
      <c r="L1057" s="1784">
        <v>13</v>
      </c>
    </row>
    <row r="1058" spans="1:12">
      <c r="A1058" s="1782">
        <v>44446</v>
      </c>
      <c r="B1058" s="1783" t="s">
        <v>2665</v>
      </c>
      <c r="C1058" s="1784">
        <v>1820</v>
      </c>
      <c r="D1058" s="1782">
        <v>46266</v>
      </c>
      <c r="E1058" s="1785">
        <v>10</v>
      </c>
      <c r="F1058" s="1786">
        <v>64.472399999999993</v>
      </c>
      <c r="G1058" s="1786">
        <v>15</v>
      </c>
      <c r="H1058" s="1786"/>
      <c r="I1058" s="1786">
        <v>5.9699</v>
      </c>
      <c r="J1058" s="1786">
        <v>5.9699</v>
      </c>
      <c r="K1058" s="1787"/>
      <c r="L1058" s="1784">
        <v>12</v>
      </c>
    </row>
    <row r="1059" spans="1:12">
      <c r="A1059" s="1782">
        <v>44453</v>
      </c>
      <c r="B1059" s="1783" t="s">
        <v>2666</v>
      </c>
      <c r="C1059" s="1784">
        <v>1092</v>
      </c>
      <c r="D1059" s="1782">
        <v>45545</v>
      </c>
      <c r="E1059" s="1785">
        <v>10</v>
      </c>
      <c r="F1059" s="1786">
        <v>72.928299999999993</v>
      </c>
      <c r="G1059" s="1786">
        <v>15</v>
      </c>
      <c r="H1059" s="1786"/>
      <c r="I1059" s="1786">
        <v>4.88</v>
      </c>
      <c r="J1059" s="1786">
        <v>4.6919000000000004</v>
      </c>
      <c r="K1059" s="1787"/>
      <c r="L1059" s="1784">
        <v>12</v>
      </c>
    </row>
    <row r="1060" spans="1:12">
      <c r="A1060" s="1782">
        <v>44460</v>
      </c>
      <c r="B1060" s="1783" t="s">
        <v>2667</v>
      </c>
      <c r="C1060" s="1784">
        <v>2548</v>
      </c>
      <c r="D1060" s="1782">
        <v>47008</v>
      </c>
      <c r="E1060" s="1785">
        <v>10</v>
      </c>
      <c r="F1060" s="1786">
        <v>54.265999999999998</v>
      </c>
      <c r="G1060" s="1786">
        <v>9.9080999999999992</v>
      </c>
      <c r="H1060" s="1786"/>
      <c r="I1060" s="1786">
        <v>8.0998999999999999</v>
      </c>
      <c r="J1060" s="1786">
        <v>7.3301999999999996</v>
      </c>
      <c r="K1060" s="1787"/>
      <c r="L1060" s="1784">
        <v>12</v>
      </c>
    </row>
    <row r="1061" spans="1:12">
      <c r="A1061" s="1782">
        <v>44467</v>
      </c>
      <c r="B1061" s="1783" t="s">
        <v>2668</v>
      </c>
      <c r="C1061" s="1784">
        <v>1820</v>
      </c>
      <c r="D1061" s="1782">
        <v>46287</v>
      </c>
      <c r="E1061" s="1785">
        <v>10</v>
      </c>
      <c r="F1061" s="1786">
        <v>75.366900000000001</v>
      </c>
      <c r="G1061" s="1786">
        <v>15</v>
      </c>
      <c r="H1061" s="1786"/>
      <c r="I1061" s="1786">
        <v>5.8998999999999997</v>
      </c>
      <c r="J1061" s="1786">
        <v>5.8960999999999997</v>
      </c>
      <c r="K1061" s="1787"/>
      <c r="L1061" s="1784">
        <v>17</v>
      </c>
    </row>
    <row r="1062" spans="1:12">
      <c r="A1062" s="1782">
        <v>44474</v>
      </c>
      <c r="B1062" s="1783" t="s">
        <v>2681</v>
      </c>
      <c r="C1062" s="1784">
        <v>1820</v>
      </c>
      <c r="D1062" s="1782">
        <v>46294</v>
      </c>
      <c r="E1062" s="1785">
        <v>25</v>
      </c>
      <c r="F1062" s="1786">
        <v>118.914</v>
      </c>
      <c r="G1062" s="1786">
        <v>37.5</v>
      </c>
      <c r="H1062" s="1786"/>
      <c r="I1062" s="1786">
        <v>5.7899000000000003</v>
      </c>
      <c r="J1062" s="1786">
        <v>5.7851999999999997</v>
      </c>
      <c r="K1062" s="1787"/>
      <c r="L1062" s="1784">
        <v>12</v>
      </c>
    </row>
    <row r="1063" spans="1:12">
      <c r="A1063" s="1782">
        <v>44481</v>
      </c>
      <c r="B1063" s="1783" t="s">
        <v>2682</v>
      </c>
      <c r="C1063" s="1784">
        <v>1092</v>
      </c>
      <c r="D1063" s="1782">
        <v>45573</v>
      </c>
      <c r="E1063" s="1785">
        <v>10</v>
      </c>
      <c r="F1063" s="1786">
        <v>59.766300000000001</v>
      </c>
      <c r="G1063" s="1786">
        <v>15</v>
      </c>
      <c r="H1063" s="1786"/>
      <c r="I1063" s="1786">
        <v>4.5499000000000001</v>
      </c>
      <c r="J1063" s="1786">
        <v>4.5130999999999997</v>
      </c>
      <c r="K1063" s="1787"/>
      <c r="L1063" s="1784">
        <v>12</v>
      </c>
    </row>
    <row r="1064" spans="1:12">
      <c r="A1064" s="1782">
        <v>44488</v>
      </c>
      <c r="B1064" s="1783" t="s">
        <v>2683</v>
      </c>
      <c r="C1064" s="1784">
        <v>2548</v>
      </c>
      <c r="D1064" s="1782">
        <v>47036</v>
      </c>
      <c r="E1064" s="1785">
        <v>10</v>
      </c>
      <c r="F1064" s="1786">
        <v>33.218499999999999</v>
      </c>
      <c r="G1064" s="1786">
        <v>9.5790000000000006</v>
      </c>
      <c r="H1064" s="1786"/>
      <c r="I1064" s="1786">
        <v>7.5</v>
      </c>
      <c r="J1064" s="1786">
        <v>7.2664999999999997</v>
      </c>
      <c r="K1064" s="1787"/>
      <c r="L1064" s="1784">
        <v>11</v>
      </c>
    </row>
    <row r="1065" spans="1:12">
      <c r="A1065" s="1782">
        <v>44495</v>
      </c>
      <c r="B1065" s="1783" t="s">
        <v>2684</v>
      </c>
      <c r="C1065" s="1784">
        <v>1820</v>
      </c>
      <c r="D1065" s="1782">
        <v>46315</v>
      </c>
      <c r="E1065" s="1785">
        <v>20</v>
      </c>
      <c r="F1065" s="1786">
        <v>87.937600000000003</v>
      </c>
      <c r="G1065" s="1786">
        <v>30</v>
      </c>
      <c r="H1065" s="1786"/>
      <c r="I1065" s="1786">
        <v>5.6999000000000004</v>
      </c>
      <c r="J1065" s="1786">
        <v>5.6731999999999996</v>
      </c>
      <c r="K1065" s="1787"/>
      <c r="L1065" s="1784">
        <v>12</v>
      </c>
    </row>
    <row r="1066" spans="1:12">
      <c r="A1066" s="1782">
        <v>44502</v>
      </c>
      <c r="B1066" s="1783" t="s">
        <v>2805</v>
      </c>
      <c r="C1066" s="1784">
        <v>1820</v>
      </c>
      <c r="D1066" s="1782">
        <v>46322</v>
      </c>
      <c r="E1066" s="1785">
        <v>10</v>
      </c>
      <c r="F1066" s="1786">
        <v>51.928100000000001</v>
      </c>
      <c r="G1066" s="1786">
        <v>10</v>
      </c>
      <c r="H1066" s="1786"/>
      <c r="I1066" s="1786">
        <v>5.6498999999999997</v>
      </c>
      <c r="J1066" s="1786">
        <v>5.6363000000000003</v>
      </c>
      <c r="K1066" s="1787"/>
      <c r="L1066" s="1784">
        <v>13</v>
      </c>
    </row>
    <row r="1067" spans="1:12">
      <c r="A1067" s="1782">
        <v>44516</v>
      </c>
      <c r="B1067" s="1783" t="s">
        <v>3338</v>
      </c>
      <c r="C1067" s="1784">
        <v>1092</v>
      </c>
      <c r="D1067" s="1782">
        <v>45608</v>
      </c>
      <c r="E1067" s="1785">
        <v>10</v>
      </c>
      <c r="F1067" s="1786">
        <v>63.238700000000001</v>
      </c>
      <c r="G1067" s="1786">
        <v>10</v>
      </c>
      <c r="H1067" s="1786"/>
      <c r="I1067" s="1786">
        <v>4.4000000000000004</v>
      </c>
      <c r="J1067" s="1786">
        <v>4.3000999999999996</v>
      </c>
      <c r="K1067" s="1787"/>
      <c r="L1067" s="1784">
        <v>13</v>
      </c>
    </row>
    <row r="1068" spans="1:12">
      <c r="A1068" s="1782">
        <v>44523</v>
      </c>
      <c r="B1068" s="1783" t="s">
        <v>3339</v>
      </c>
      <c r="C1068" s="1784">
        <v>2548</v>
      </c>
      <c r="D1068" s="1782">
        <v>47071</v>
      </c>
      <c r="E1068" s="1785">
        <v>10</v>
      </c>
      <c r="F1068" s="1786">
        <v>31.409400000000002</v>
      </c>
      <c r="G1068" s="1786">
        <v>6.1</v>
      </c>
      <c r="H1068" s="1786"/>
      <c r="I1068" s="1786">
        <v>7</v>
      </c>
      <c r="J1068" s="1786">
        <v>7</v>
      </c>
      <c r="K1068" s="1787"/>
      <c r="L1068" s="1784">
        <v>11</v>
      </c>
    </row>
    <row r="1069" spans="1:12">
      <c r="A1069" s="1782">
        <v>44537</v>
      </c>
      <c r="B1069" s="1783" t="s">
        <v>2812</v>
      </c>
      <c r="C1069" s="1784">
        <v>1820</v>
      </c>
      <c r="D1069" s="1782">
        <v>46357</v>
      </c>
      <c r="E1069" s="1785">
        <v>20</v>
      </c>
      <c r="F1069" s="1786">
        <v>90.423500000000004</v>
      </c>
      <c r="G1069" s="1786">
        <v>30</v>
      </c>
      <c r="H1069" s="1786"/>
      <c r="I1069" s="1786">
        <v>5.56</v>
      </c>
      <c r="J1069" s="1786">
        <v>5.5151000000000003</v>
      </c>
      <c r="K1069" s="1787"/>
      <c r="L1069" s="1784">
        <v>14</v>
      </c>
    </row>
    <row r="1070" spans="1:12">
      <c r="A1070" s="1782">
        <v>44544</v>
      </c>
      <c r="B1070" s="1783" t="s">
        <v>3340</v>
      </c>
      <c r="C1070" s="1784">
        <v>1820</v>
      </c>
      <c r="D1070" s="1782">
        <v>46364</v>
      </c>
      <c r="E1070" s="1785">
        <v>20</v>
      </c>
      <c r="F1070" s="1786">
        <v>100.9204</v>
      </c>
      <c r="G1070" s="1786">
        <v>20</v>
      </c>
      <c r="H1070" s="1786"/>
      <c r="I1070" s="1786">
        <v>5.7</v>
      </c>
      <c r="J1070" s="1786">
        <v>5.6661000000000001</v>
      </c>
      <c r="K1070" s="1787"/>
      <c r="L1070" s="1784">
        <v>12</v>
      </c>
    </row>
    <row r="1071" spans="1:12">
      <c r="A1071" s="1782">
        <v>44551</v>
      </c>
      <c r="B1071" s="1783" t="s">
        <v>2813</v>
      </c>
      <c r="C1071" s="1784">
        <v>2548</v>
      </c>
      <c r="D1071" s="1782">
        <v>47099</v>
      </c>
      <c r="E1071" s="1785">
        <v>10</v>
      </c>
      <c r="F1071" s="1786">
        <v>21.78</v>
      </c>
      <c r="G1071" s="1786">
        <v>0.25</v>
      </c>
      <c r="H1071" s="1786"/>
      <c r="I1071" s="1786">
        <v>7</v>
      </c>
      <c r="J1071" s="1786">
        <v>7</v>
      </c>
      <c r="K1071" s="1787"/>
      <c r="L1071" s="1784">
        <v>5</v>
      </c>
    </row>
    <row r="1072" spans="1:12">
      <c r="A1072" s="1788">
        <v>2022</v>
      </c>
      <c r="B1072" s="1783"/>
      <c r="C1072" s="1784"/>
      <c r="D1072" s="1782"/>
      <c r="E1072" s="1785"/>
      <c r="F1072" s="1786"/>
      <c r="G1072" s="1786"/>
      <c r="H1072" s="1786"/>
      <c r="I1072" s="1786"/>
      <c r="J1072" s="1786"/>
      <c r="K1072" s="1787"/>
      <c r="L1072" s="1784"/>
    </row>
    <row r="1073" spans="1:12">
      <c r="A1073" s="1782">
        <v>44572</v>
      </c>
      <c r="B1073" s="1783" t="s">
        <v>2831</v>
      </c>
      <c r="C1073" s="1784">
        <v>1092</v>
      </c>
      <c r="D1073" s="1782">
        <v>45664</v>
      </c>
      <c r="E1073" s="1785">
        <v>40</v>
      </c>
      <c r="F1073" s="1786">
        <v>204.64410000000001</v>
      </c>
      <c r="G1073" s="1786">
        <v>60</v>
      </c>
      <c r="H1073" s="1786"/>
      <c r="I1073" s="1786">
        <v>4.3499999999999996</v>
      </c>
      <c r="J1073" s="1786">
        <v>4.2404000000000002</v>
      </c>
      <c r="K1073" s="1787"/>
      <c r="L1073" s="1784">
        <v>16</v>
      </c>
    </row>
    <row r="1074" spans="1:12">
      <c r="A1074" s="1782">
        <v>44579</v>
      </c>
      <c r="B1074" s="1783" t="s">
        <v>3341</v>
      </c>
      <c r="C1074" s="1784">
        <v>728</v>
      </c>
      <c r="D1074" s="1782">
        <v>45307</v>
      </c>
      <c r="E1074" s="1785">
        <v>5</v>
      </c>
      <c r="F1074" s="1786">
        <v>29.962</v>
      </c>
      <c r="G1074" s="1786">
        <v>7.5</v>
      </c>
      <c r="H1074" s="1786"/>
      <c r="I1074" s="1786">
        <v>3.5</v>
      </c>
      <c r="J1074" s="1786">
        <v>3.5</v>
      </c>
      <c r="K1074" s="1787"/>
      <c r="L1074" s="1784">
        <v>8</v>
      </c>
    </row>
    <row r="1075" spans="1:12">
      <c r="A1075" s="1782">
        <v>44586</v>
      </c>
      <c r="B1075" s="1783" t="s">
        <v>2832</v>
      </c>
      <c r="C1075" s="1784">
        <v>1820</v>
      </c>
      <c r="D1075" s="1782">
        <v>46406</v>
      </c>
      <c r="E1075" s="1785">
        <v>35</v>
      </c>
      <c r="F1075" s="1786">
        <v>136.024</v>
      </c>
      <c r="G1075" s="1786">
        <v>52.5</v>
      </c>
      <c r="H1075" s="1786"/>
      <c r="I1075" s="1786">
        <v>5.65</v>
      </c>
      <c r="J1075" s="1786">
        <v>5.6173999999999999</v>
      </c>
      <c r="K1075" s="1787"/>
      <c r="L1075" s="1784">
        <v>12</v>
      </c>
    </row>
    <row r="1076" spans="1:12">
      <c r="A1076" s="1782">
        <v>44593</v>
      </c>
      <c r="B1076" s="1783" t="s">
        <v>2838</v>
      </c>
      <c r="C1076" s="1784">
        <v>1092</v>
      </c>
      <c r="D1076" s="1782">
        <v>45685</v>
      </c>
      <c r="E1076" s="1785">
        <v>35</v>
      </c>
      <c r="F1076" s="1786">
        <v>127.61879999999999</v>
      </c>
      <c r="G1076" s="1786">
        <v>52.5</v>
      </c>
      <c r="H1076" s="1786"/>
      <c r="I1076" s="1786">
        <v>4.7489999999999997</v>
      </c>
      <c r="J1076" s="1786">
        <v>4.1192000000000002</v>
      </c>
      <c r="K1076" s="1787"/>
      <c r="L1076" s="1784">
        <v>9</v>
      </c>
    </row>
    <row r="1077" spans="1:12">
      <c r="A1077" s="1782">
        <v>44600</v>
      </c>
      <c r="B1077" s="1783" t="s">
        <v>2839</v>
      </c>
      <c r="C1077" s="1784">
        <v>2548</v>
      </c>
      <c r="D1077" s="1782">
        <v>47148</v>
      </c>
      <c r="E1077" s="1785">
        <v>20</v>
      </c>
      <c r="F1077" s="1786">
        <v>55.893500000000003</v>
      </c>
      <c r="G1077" s="1786">
        <v>1.1499999999999999</v>
      </c>
      <c r="H1077" s="1786"/>
      <c r="I1077" s="1786">
        <v>6.4733999999999998</v>
      </c>
      <c r="J1077" s="1786">
        <v>6.4733000000000001</v>
      </c>
      <c r="K1077" s="1787"/>
      <c r="L1077" s="1784">
        <v>9</v>
      </c>
    </row>
    <row r="1078" spans="1:12">
      <c r="A1078" s="1782">
        <v>44607</v>
      </c>
      <c r="B1078" s="1783" t="s">
        <v>2840</v>
      </c>
      <c r="C1078" s="1784">
        <v>1820</v>
      </c>
      <c r="D1078" s="1782">
        <v>46427</v>
      </c>
      <c r="E1078" s="1785">
        <v>25</v>
      </c>
      <c r="F1078" s="1786">
        <v>103.38209999999999</v>
      </c>
      <c r="G1078" s="1786">
        <v>37.5</v>
      </c>
      <c r="H1078" s="1786"/>
      <c r="I1078" s="1786">
        <v>5.5</v>
      </c>
      <c r="J1078" s="1786">
        <v>5.4759000000000002</v>
      </c>
      <c r="K1078" s="1787"/>
      <c r="L1078" s="1784">
        <v>14</v>
      </c>
    </row>
    <row r="1079" spans="1:12">
      <c r="A1079" s="1782">
        <v>44614</v>
      </c>
      <c r="B1079" s="1783" t="s">
        <v>2841</v>
      </c>
      <c r="C1079" s="1784">
        <v>1092</v>
      </c>
      <c r="D1079" s="1782">
        <v>45706</v>
      </c>
      <c r="E1079" s="1785">
        <v>30</v>
      </c>
      <c r="F1079" s="1786">
        <v>120.15349999999999</v>
      </c>
      <c r="G1079" s="1786">
        <v>45</v>
      </c>
      <c r="H1079" s="1786"/>
      <c r="I1079" s="1786">
        <v>4.4398</v>
      </c>
      <c r="J1079" s="1786">
        <v>4.2199</v>
      </c>
      <c r="K1079" s="1787"/>
      <c r="L1079" s="1784">
        <v>9</v>
      </c>
    </row>
    <row r="1080" spans="1:12">
      <c r="A1080" s="1782">
        <v>44621</v>
      </c>
      <c r="B1080" s="1783" t="s">
        <v>2844</v>
      </c>
      <c r="C1080" s="1784">
        <v>1092</v>
      </c>
      <c r="D1080" s="1782">
        <v>45713</v>
      </c>
      <c r="E1080" s="1785">
        <v>60</v>
      </c>
      <c r="F1080" s="1786">
        <v>209.77619999999999</v>
      </c>
      <c r="G1080" s="1786">
        <v>60</v>
      </c>
      <c r="H1080" s="1786"/>
      <c r="I1080" s="1786">
        <v>4.5</v>
      </c>
      <c r="J1080" s="1786">
        <v>4.484</v>
      </c>
      <c r="K1080" s="1787"/>
      <c r="L1080" s="1784">
        <v>11</v>
      </c>
    </row>
    <row r="1081" spans="1:12">
      <c r="A1081" s="1782">
        <v>44635</v>
      </c>
      <c r="B1081" s="1783" t="s">
        <v>2845</v>
      </c>
      <c r="C1081" s="1784">
        <v>1820</v>
      </c>
      <c r="D1081" s="1782">
        <v>46455</v>
      </c>
      <c r="E1081" s="1785">
        <v>50</v>
      </c>
      <c r="F1081" s="1786">
        <v>166.51599999999999</v>
      </c>
      <c r="G1081" s="1786">
        <v>31.9907</v>
      </c>
      <c r="H1081" s="1786"/>
      <c r="I1081" s="1786">
        <v>5.5</v>
      </c>
      <c r="J1081" s="1786">
        <v>5.5</v>
      </c>
      <c r="K1081" s="1787"/>
      <c r="L1081" s="1784">
        <v>11</v>
      </c>
    </row>
    <row r="1082" spans="1:12">
      <c r="A1082" s="1782">
        <v>44656</v>
      </c>
      <c r="B1082" s="1783" t="s">
        <v>3342</v>
      </c>
      <c r="C1082" s="1784">
        <v>728</v>
      </c>
      <c r="D1082" s="1782">
        <v>45384</v>
      </c>
      <c r="E1082" s="1785">
        <v>10</v>
      </c>
      <c r="F1082" s="1786">
        <v>35.599499999999999</v>
      </c>
      <c r="G1082" s="1786">
        <v>15</v>
      </c>
      <c r="H1082" s="1786"/>
      <c r="I1082" s="1786">
        <v>4</v>
      </c>
      <c r="J1082" s="1786">
        <v>3.8355000000000001</v>
      </c>
      <c r="K1082" s="1787"/>
      <c r="L1082" s="1784">
        <v>5</v>
      </c>
    </row>
    <row r="1083" spans="1:12">
      <c r="A1083" s="1782">
        <v>44663</v>
      </c>
      <c r="B1083" s="1783" t="s">
        <v>2851</v>
      </c>
      <c r="C1083" s="1784">
        <v>1092</v>
      </c>
      <c r="D1083" s="1782">
        <v>45755</v>
      </c>
      <c r="E1083" s="1785">
        <v>60</v>
      </c>
      <c r="F1083" s="1786">
        <v>198.68889999999999</v>
      </c>
      <c r="G1083" s="1786">
        <v>21.3596</v>
      </c>
      <c r="H1083" s="1786"/>
      <c r="I1083" s="1786">
        <v>4.5</v>
      </c>
      <c r="J1083" s="1786">
        <v>4.3015999999999996</v>
      </c>
      <c r="K1083" s="1787"/>
      <c r="L1083" s="1784">
        <v>11</v>
      </c>
    </row>
    <row r="1084" spans="1:12">
      <c r="A1084" s="1782">
        <v>44670</v>
      </c>
      <c r="B1084" s="1783" t="s">
        <v>3343</v>
      </c>
      <c r="C1084" s="1784">
        <v>1820</v>
      </c>
      <c r="D1084" s="1782">
        <v>46490</v>
      </c>
      <c r="E1084" s="1785">
        <v>30</v>
      </c>
      <c r="F1084" s="1786">
        <v>109.0372</v>
      </c>
      <c r="G1084" s="1786">
        <v>30.4785</v>
      </c>
      <c r="H1084" s="1786"/>
      <c r="I1084" s="1786">
        <v>6</v>
      </c>
      <c r="J1084" s="1786">
        <v>5.9215999999999998</v>
      </c>
      <c r="K1084" s="1787"/>
      <c r="L1084" s="1784">
        <v>10</v>
      </c>
    </row>
    <row r="1085" spans="1:12">
      <c r="A1085" s="1782">
        <v>44691</v>
      </c>
      <c r="B1085" s="1783" t="s">
        <v>3344</v>
      </c>
      <c r="C1085" s="1784">
        <v>364</v>
      </c>
      <c r="D1085" s="1782">
        <v>45055</v>
      </c>
      <c r="E1085" s="1785">
        <v>15</v>
      </c>
      <c r="F1085" s="1786">
        <v>95.346500000000006</v>
      </c>
      <c r="G1085" s="1786">
        <v>22.5</v>
      </c>
      <c r="H1085" s="1786"/>
      <c r="I1085" s="1786">
        <v>3.0998999999999999</v>
      </c>
      <c r="J1085" s="1786">
        <v>3.0428999999999999</v>
      </c>
      <c r="K1085" s="1787"/>
      <c r="L1085" s="1784">
        <v>11</v>
      </c>
    </row>
    <row r="1086" spans="1:12">
      <c r="A1086" s="1782">
        <v>44698</v>
      </c>
      <c r="B1086" s="1783" t="s">
        <v>2875</v>
      </c>
      <c r="C1086" s="1784">
        <v>1820</v>
      </c>
      <c r="D1086" s="1782">
        <v>46518</v>
      </c>
      <c r="E1086" s="1785">
        <v>40</v>
      </c>
      <c r="F1086" s="1786">
        <v>101.7466</v>
      </c>
      <c r="G1086" s="1786">
        <v>39.137599999999999</v>
      </c>
      <c r="H1086" s="1786"/>
      <c r="I1086" s="1786">
        <v>6.49</v>
      </c>
      <c r="J1086" s="1786">
        <v>6.1</v>
      </c>
      <c r="K1086" s="1787"/>
      <c r="L1086" s="1784">
        <v>11</v>
      </c>
    </row>
    <row r="1087" spans="1:12">
      <c r="A1087" s="1782">
        <v>44705</v>
      </c>
      <c r="B1087" s="1783" t="s">
        <v>2839</v>
      </c>
      <c r="C1087" s="1784">
        <v>2548</v>
      </c>
      <c r="D1087" s="1782">
        <v>47148</v>
      </c>
      <c r="E1087" s="1785">
        <v>10</v>
      </c>
      <c r="F1087" s="1786">
        <v>25.021100000000001</v>
      </c>
      <c r="G1087" s="1786">
        <v>10</v>
      </c>
      <c r="H1087" s="1786"/>
      <c r="I1087" s="1786">
        <v>7.6924000000000001</v>
      </c>
      <c r="J1087" s="1786">
        <v>7.5697999999999999</v>
      </c>
      <c r="K1087" s="1787"/>
      <c r="L1087" s="1784">
        <v>7</v>
      </c>
    </row>
    <row r="1088" spans="1:12">
      <c r="A1088" s="1782">
        <v>44712</v>
      </c>
      <c r="B1088" s="1783" t="s">
        <v>2876</v>
      </c>
      <c r="C1088" s="1784">
        <v>1092</v>
      </c>
      <c r="D1088" s="1782">
        <v>45804</v>
      </c>
      <c r="E1088" s="1785">
        <v>40</v>
      </c>
      <c r="F1088" s="1786">
        <v>163.90899999999999</v>
      </c>
      <c r="G1088" s="1786">
        <v>60</v>
      </c>
      <c r="H1088" s="1786"/>
      <c r="I1088" s="1786">
        <v>5</v>
      </c>
      <c r="J1088" s="1786">
        <v>4.9325999999999999</v>
      </c>
      <c r="K1088" s="1787"/>
      <c r="L1088" s="1784">
        <v>11</v>
      </c>
    </row>
    <row r="1089" spans="1:12">
      <c r="A1089" s="1782">
        <v>44719</v>
      </c>
      <c r="B1089" s="1783" t="s">
        <v>2884</v>
      </c>
      <c r="C1089" s="1784">
        <v>1820</v>
      </c>
      <c r="D1089" s="1782">
        <v>46539</v>
      </c>
      <c r="E1089" s="1785">
        <v>40</v>
      </c>
      <c r="F1089" s="1786">
        <v>104.2903</v>
      </c>
      <c r="G1089" s="1786">
        <v>56.532299999999999</v>
      </c>
      <c r="H1089" s="1786"/>
      <c r="I1089" s="1786">
        <v>7</v>
      </c>
      <c r="J1089" s="1786">
        <v>6.7335000000000003</v>
      </c>
      <c r="K1089" s="1787"/>
      <c r="L1089" s="1784">
        <v>12</v>
      </c>
    </row>
    <row r="1090" spans="1:12">
      <c r="A1090" s="1782">
        <v>44726</v>
      </c>
      <c r="B1090" s="1783" t="s">
        <v>2885</v>
      </c>
      <c r="C1090" s="1784">
        <v>728</v>
      </c>
      <c r="D1090" s="1782">
        <v>45454</v>
      </c>
      <c r="E1090" s="1785">
        <v>20</v>
      </c>
      <c r="F1090" s="1786">
        <v>101.1116</v>
      </c>
      <c r="G1090" s="1786">
        <v>20</v>
      </c>
      <c r="H1090" s="1786"/>
      <c r="I1090" s="1786">
        <v>5.15</v>
      </c>
      <c r="J1090" s="1786">
        <v>5.0292000000000003</v>
      </c>
      <c r="K1090" s="1787"/>
      <c r="L1090" s="1784">
        <v>14</v>
      </c>
    </row>
    <row r="1091" spans="1:12">
      <c r="A1091" s="1782">
        <v>44740</v>
      </c>
      <c r="B1091" s="1783" t="s">
        <v>2886</v>
      </c>
      <c r="C1091" s="1784">
        <v>1092</v>
      </c>
      <c r="D1091" s="1782">
        <v>45832</v>
      </c>
      <c r="E1091" s="1785">
        <v>40</v>
      </c>
      <c r="F1091" s="1786">
        <v>141.6678</v>
      </c>
      <c r="G1091" s="1786">
        <v>40.312399999999997</v>
      </c>
      <c r="H1091" s="1786"/>
      <c r="I1091" s="1786">
        <v>5.9</v>
      </c>
      <c r="J1091" s="1786">
        <v>5.4961000000000002</v>
      </c>
      <c r="K1091" s="1787"/>
      <c r="L1091" s="1784">
        <v>12</v>
      </c>
    </row>
    <row r="1092" spans="1:12">
      <c r="A1092" s="1782">
        <v>44747</v>
      </c>
      <c r="B1092" s="1783" t="s">
        <v>2888</v>
      </c>
      <c r="C1092" s="1784">
        <v>1820</v>
      </c>
      <c r="D1092" s="1782">
        <v>46567</v>
      </c>
      <c r="E1092" s="1785">
        <v>30</v>
      </c>
      <c r="F1092" s="1786">
        <v>46.2498</v>
      </c>
      <c r="G1092" s="1786">
        <v>12.4435</v>
      </c>
      <c r="H1092" s="1786"/>
      <c r="I1092" s="1786">
        <v>7.5</v>
      </c>
      <c r="J1092" s="1786">
        <v>7.3449</v>
      </c>
      <c r="K1092" s="1787"/>
      <c r="L1092" s="1784">
        <v>3</v>
      </c>
    </row>
    <row r="1093" spans="1:12">
      <c r="A1093" s="1782">
        <v>44761</v>
      </c>
      <c r="B1093" s="1783" t="s">
        <v>2889</v>
      </c>
      <c r="C1093" s="1784">
        <v>728</v>
      </c>
      <c r="D1093" s="1782">
        <v>45489</v>
      </c>
      <c r="E1093" s="1785">
        <v>20</v>
      </c>
      <c r="F1093" s="1786">
        <v>78.843599999999995</v>
      </c>
      <c r="G1093" s="1786">
        <v>20</v>
      </c>
      <c r="H1093" s="1786"/>
      <c r="I1093" s="1786">
        <v>5.4497999999999998</v>
      </c>
      <c r="J1093" s="1786">
        <v>5.1420000000000003</v>
      </c>
      <c r="K1093" s="1787"/>
      <c r="L1093" s="1784">
        <v>15</v>
      </c>
    </row>
    <row r="1094" spans="1:12">
      <c r="A1094" s="1782">
        <v>44768</v>
      </c>
      <c r="B1094" s="1783" t="s">
        <v>2886</v>
      </c>
      <c r="C1094" s="1784">
        <v>1092</v>
      </c>
      <c r="D1094" s="1782">
        <v>45832</v>
      </c>
      <c r="E1094" s="1785">
        <v>40</v>
      </c>
      <c r="F1094" s="1786">
        <v>131.4623</v>
      </c>
      <c r="G1094" s="1786">
        <v>40</v>
      </c>
      <c r="H1094" s="1786"/>
      <c r="I1094" s="1786">
        <v>5.9751000000000003</v>
      </c>
      <c r="J1094" s="1786">
        <v>5.8766999999999996</v>
      </c>
      <c r="K1094" s="1787"/>
      <c r="L1094" s="1784">
        <v>17</v>
      </c>
    </row>
    <row r="1095" spans="1:12">
      <c r="A1095" s="1782">
        <v>44775</v>
      </c>
      <c r="B1095" s="1783" t="s">
        <v>2891</v>
      </c>
      <c r="C1095" s="1784">
        <v>1820</v>
      </c>
      <c r="D1095" s="1782">
        <v>46595</v>
      </c>
      <c r="E1095" s="1785">
        <v>20</v>
      </c>
      <c r="F1095" s="1786">
        <v>31.1873</v>
      </c>
      <c r="G1095" s="1786">
        <v>18.874500000000001</v>
      </c>
      <c r="H1095" s="1786"/>
      <c r="I1095" s="1786">
        <v>8</v>
      </c>
      <c r="J1095" s="1786">
        <v>7.8482000000000003</v>
      </c>
      <c r="K1095" s="1787"/>
      <c r="L1095" s="1784">
        <v>4</v>
      </c>
    </row>
    <row r="1096" spans="1:12">
      <c r="A1096" s="1782">
        <v>44782</v>
      </c>
      <c r="B1096" s="1783" t="s">
        <v>2892</v>
      </c>
      <c r="C1096" s="1784">
        <v>1092</v>
      </c>
      <c r="D1096" s="1782">
        <v>45874</v>
      </c>
      <c r="E1096" s="1785">
        <v>30</v>
      </c>
      <c r="F1096" s="1786">
        <v>108.2783</v>
      </c>
      <c r="G1096" s="1786">
        <v>39.500399999999999</v>
      </c>
      <c r="H1096" s="1786"/>
      <c r="I1096" s="1786">
        <v>6.3898999999999999</v>
      </c>
      <c r="J1096" s="1786">
        <v>5.9783999999999997</v>
      </c>
      <c r="K1096" s="1787"/>
      <c r="L1096" s="1784">
        <v>19</v>
      </c>
    </row>
    <row r="1097" spans="1:12">
      <c r="A1097" s="1782">
        <v>44789</v>
      </c>
      <c r="B1097" s="1783" t="s">
        <v>2893</v>
      </c>
      <c r="C1097" s="1784">
        <v>728</v>
      </c>
      <c r="D1097" s="1782">
        <v>45517</v>
      </c>
      <c r="E1097" s="1785">
        <v>10</v>
      </c>
      <c r="F1097" s="1786">
        <v>66.422799999999995</v>
      </c>
      <c r="G1097" s="1786">
        <v>15</v>
      </c>
      <c r="H1097" s="1786"/>
      <c r="I1097" s="1786">
        <v>5.49</v>
      </c>
      <c r="J1097" s="1786">
        <v>5.3747999999999996</v>
      </c>
      <c r="K1097" s="1787"/>
      <c r="L1097" s="1784">
        <v>15</v>
      </c>
    </row>
    <row r="1098" spans="1:12">
      <c r="A1098" s="1782">
        <v>44796</v>
      </c>
      <c r="B1098" s="1783" t="s">
        <v>2886</v>
      </c>
      <c r="C1098" s="1784">
        <v>1092</v>
      </c>
      <c r="D1098" s="1782">
        <v>45832</v>
      </c>
      <c r="E1098" s="1785">
        <v>30</v>
      </c>
      <c r="F1098" s="1786">
        <v>105.6091</v>
      </c>
      <c r="G1098" s="1786">
        <v>45</v>
      </c>
      <c r="H1098" s="1786"/>
      <c r="I1098" s="1786">
        <v>6.4272999999999998</v>
      </c>
      <c r="J1098" s="1786">
        <v>6.1252000000000004</v>
      </c>
      <c r="K1098" s="1787"/>
      <c r="L1098" s="1784">
        <v>18</v>
      </c>
    </row>
    <row r="1099" spans="1:12">
      <c r="A1099" s="1782">
        <v>44810</v>
      </c>
      <c r="B1099" s="1783" t="s">
        <v>3353</v>
      </c>
      <c r="C1099" s="1784">
        <v>1820</v>
      </c>
      <c r="D1099" s="1782">
        <v>46630</v>
      </c>
      <c r="E1099" s="1785">
        <v>10</v>
      </c>
      <c r="F1099" s="1786">
        <v>30.698499999999999</v>
      </c>
      <c r="G1099" s="1786">
        <v>10</v>
      </c>
      <c r="H1099" s="1786"/>
      <c r="I1099" s="1786">
        <v>7.99</v>
      </c>
      <c r="J1099" s="1786">
        <v>7.7446999999999999</v>
      </c>
      <c r="K1099" s="1787"/>
      <c r="L1099" s="1784">
        <v>10</v>
      </c>
    </row>
    <row r="1100" spans="1:12">
      <c r="A1100" s="1782">
        <v>44817</v>
      </c>
      <c r="B1100" s="1783" t="s">
        <v>3354</v>
      </c>
      <c r="C1100" s="1784">
        <v>1092</v>
      </c>
      <c r="D1100" s="1782">
        <v>45909</v>
      </c>
      <c r="E1100" s="1785">
        <v>20</v>
      </c>
      <c r="F1100" s="1786">
        <v>57.448700000000002</v>
      </c>
      <c r="G1100" s="1786">
        <v>20</v>
      </c>
      <c r="H1100" s="1786"/>
      <c r="I1100" s="1786">
        <v>6.4</v>
      </c>
      <c r="J1100" s="1786">
        <v>6.218</v>
      </c>
      <c r="K1100" s="1787"/>
      <c r="L1100" s="1784">
        <v>14</v>
      </c>
    </row>
    <row r="1101" spans="1:12">
      <c r="A1101" s="1782">
        <v>44824</v>
      </c>
      <c r="B1101" s="1783" t="s">
        <v>3355</v>
      </c>
      <c r="C1101" s="1784">
        <v>728</v>
      </c>
      <c r="D1101" s="1782">
        <v>45552</v>
      </c>
      <c r="E1101" s="1785">
        <v>10</v>
      </c>
      <c r="F1101" s="1786">
        <v>52.043500000000002</v>
      </c>
      <c r="G1101" s="1786">
        <v>15</v>
      </c>
      <c r="H1101" s="1786"/>
      <c r="I1101" s="1786">
        <v>5.49</v>
      </c>
      <c r="J1101" s="1786">
        <v>5.3440000000000003</v>
      </c>
      <c r="K1101" s="1787"/>
      <c r="L1101" s="1784">
        <v>16</v>
      </c>
    </row>
    <row r="1102" spans="1:12">
      <c r="A1102" s="1782">
        <v>44831</v>
      </c>
      <c r="B1102" s="1783" t="s">
        <v>2886</v>
      </c>
      <c r="C1102" s="1784">
        <v>1092</v>
      </c>
      <c r="D1102" s="1782">
        <v>45832</v>
      </c>
      <c r="E1102" s="1785">
        <v>30</v>
      </c>
      <c r="F1102" s="1786">
        <v>87.384399999999999</v>
      </c>
      <c r="G1102" s="1786">
        <v>45</v>
      </c>
      <c r="H1102" s="1786"/>
      <c r="I1102" s="1786">
        <v>6.5670999999999999</v>
      </c>
      <c r="J1102" s="1786">
        <v>6.2248999999999999</v>
      </c>
      <c r="K1102" s="1787"/>
      <c r="L1102" s="1784">
        <v>16</v>
      </c>
    </row>
    <row r="1103" spans="1:12">
      <c r="A1103" s="1782">
        <v>44838</v>
      </c>
      <c r="B1103" s="1783" t="s">
        <v>3396</v>
      </c>
      <c r="C1103" s="1784">
        <v>1820</v>
      </c>
      <c r="D1103" s="1782">
        <v>46658</v>
      </c>
      <c r="E1103" s="1785">
        <v>20</v>
      </c>
      <c r="F1103" s="1786">
        <v>32.749000000000002</v>
      </c>
      <c r="G1103" s="1786">
        <v>14.4209</v>
      </c>
      <c r="H1103" s="1786"/>
      <c r="I1103" s="1786">
        <v>9</v>
      </c>
      <c r="J1103" s="1786">
        <v>8.7613000000000003</v>
      </c>
      <c r="K1103" s="1787"/>
      <c r="L1103" s="1784">
        <v>7</v>
      </c>
    </row>
    <row r="1104" spans="1:12">
      <c r="A1104" s="1782">
        <v>44845</v>
      </c>
      <c r="B1104" s="1783" t="s">
        <v>3397</v>
      </c>
      <c r="C1104" s="1784">
        <v>1092</v>
      </c>
      <c r="D1104" s="1782">
        <v>45937</v>
      </c>
      <c r="E1104" s="1785">
        <v>50</v>
      </c>
      <c r="F1104" s="1786">
        <v>171.1713</v>
      </c>
      <c r="G1104" s="1786">
        <v>50</v>
      </c>
      <c r="H1104" s="1786"/>
      <c r="I1104" s="1786">
        <v>7.5</v>
      </c>
      <c r="J1104" s="1786">
        <v>7.4141000000000004</v>
      </c>
      <c r="K1104" s="1787"/>
      <c r="L1104" s="1784">
        <v>19</v>
      </c>
    </row>
    <row r="1105" spans="1:12">
      <c r="A1105" s="1782">
        <v>44852</v>
      </c>
      <c r="B1105" s="1783" t="s">
        <v>3398</v>
      </c>
      <c r="C1105" s="1784">
        <v>728</v>
      </c>
      <c r="D1105" s="1782">
        <v>45580</v>
      </c>
      <c r="E1105" s="1785">
        <v>15</v>
      </c>
      <c r="F1105" s="1786">
        <v>106.12009999999999</v>
      </c>
      <c r="G1105" s="1786">
        <v>15</v>
      </c>
      <c r="H1105" s="1786"/>
      <c r="I1105" s="1786">
        <v>5.49</v>
      </c>
      <c r="J1105" s="1786">
        <v>5.49</v>
      </c>
      <c r="K1105" s="1787"/>
      <c r="L1105" s="1784">
        <v>16</v>
      </c>
    </row>
    <row r="1106" spans="1:12">
      <c r="A1106" s="1782">
        <v>44859</v>
      </c>
      <c r="B1106" s="1783" t="s">
        <v>2886</v>
      </c>
      <c r="C1106" s="1784">
        <v>1092</v>
      </c>
      <c r="D1106" s="1782">
        <v>45832</v>
      </c>
      <c r="E1106" s="1785">
        <v>30</v>
      </c>
      <c r="F1106" s="1786">
        <v>109.6512</v>
      </c>
      <c r="G1106" s="1786">
        <v>45</v>
      </c>
      <c r="H1106" s="1786"/>
      <c r="I1106" s="1786">
        <v>7.7994000000000003</v>
      </c>
      <c r="J1106" s="1786">
        <v>7.4866999999999999</v>
      </c>
      <c r="K1106" s="1787"/>
      <c r="L1106" s="1784">
        <v>19</v>
      </c>
    </row>
    <row r="1107" spans="1:12">
      <c r="A1107" s="1782">
        <v>44866</v>
      </c>
      <c r="B1107" s="1783" t="s">
        <v>3418</v>
      </c>
      <c r="C1107" s="1784">
        <v>1820</v>
      </c>
      <c r="D1107" s="1782">
        <v>46686</v>
      </c>
      <c r="E1107" s="1785">
        <v>20</v>
      </c>
      <c r="F1107" s="1786">
        <v>48.350999999999999</v>
      </c>
      <c r="G1107" s="1786">
        <v>20</v>
      </c>
      <c r="H1107" s="1786"/>
      <c r="I1107" s="1786">
        <v>9.5</v>
      </c>
      <c r="J1107" s="1786">
        <v>9.3191000000000006</v>
      </c>
      <c r="K1107" s="1787"/>
      <c r="L1107" s="1784">
        <v>10</v>
      </c>
    </row>
    <row r="1108" spans="1:12">
      <c r="A1108" s="1782">
        <v>44880</v>
      </c>
      <c r="B1108" s="1783" t="s">
        <v>3419</v>
      </c>
      <c r="C1108" s="1784">
        <v>1092</v>
      </c>
      <c r="D1108" s="1782">
        <v>45972</v>
      </c>
      <c r="E1108" s="1785">
        <v>50</v>
      </c>
      <c r="F1108" s="1786">
        <v>204.679</v>
      </c>
      <c r="G1108" s="1786">
        <v>75</v>
      </c>
      <c r="H1108" s="1786"/>
      <c r="I1108" s="1786">
        <v>8.25</v>
      </c>
      <c r="J1108" s="1786">
        <v>8.0477000000000007</v>
      </c>
      <c r="K1108" s="1787"/>
      <c r="L1108" s="1784">
        <v>16</v>
      </c>
    </row>
    <row r="1109" spans="1:12">
      <c r="A1109" s="1782">
        <v>44887</v>
      </c>
      <c r="B1109" s="1783" t="s">
        <v>3420</v>
      </c>
      <c r="C1109" s="1784">
        <v>728</v>
      </c>
      <c r="D1109" s="1782">
        <v>45615</v>
      </c>
      <c r="E1109" s="1785">
        <v>30</v>
      </c>
      <c r="F1109" s="1786">
        <v>138.054</v>
      </c>
      <c r="G1109" s="1786">
        <v>45</v>
      </c>
      <c r="H1109" s="1786"/>
      <c r="I1109" s="1786">
        <v>6</v>
      </c>
      <c r="J1109" s="1786">
        <v>5.9532999999999996</v>
      </c>
      <c r="K1109" s="1787"/>
      <c r="L1109" s="1784">
        <v>17</v>
      </c>
    </row>
    <row r="1110" spans="1:12">
      <c r="A1110" s="1782">
        <v>44887</v>
      </c>
      <c r="B1110" s="1783" t="s">
        <v>3421</v>
      </c>
      <c r="C1110" s="1784">
        <v>364</v>
      </c>
      <c r="D1110" s="1782">
        <v>45251</v>
      </c>
      <c r="E1110" s="1785">
        <v>100</v>
      </c>
      <c r="F1110" s="1786">
        <v>436.03250000000003</v>
      </c>
      <c r="G1110" s="1786">
        <v>93.453199999999995</v>
      </c>
      <c r="H1110" s="1786"/>
      <c r="I1110" s="1786">
        <v>4.8998999999999997</v>
      </c>
      <c r="J1110" s="1786">
        <v>4.2451999999999996</v>
      </c>
      <c r="K1110" s="1787"/>
      <c r="L1110" s="1784">
        <v>16</v>
      </c>
    </row>
    <row r="1111" spans="1:12">
      <c r="A1111" s="1782">
        <v>44894</v>
      </c>
      <c r="B1111" s="1783" t="s">
        <v>3422</v>
      </c>
      <c r="C1111" s="1784">
        <v>364</v>
      </c>
      <c r="D1111" s="1782">
        <v>45258</v>
      </c>
      <c r="E1111" s="1785">
        <v>100</v>
      </c>
      <c r="F1111" s="1786">
        <v>466.3963</v>
      </c>
      <c r="G1111" s="1786">
        <v>150</v>
      </c>
      <c r="H1111" s="1786"/>
      <c r="I1111" s="1786">
        <v>4.4999000000000002</v>
      </c>
      <c r="J1111" s="1786">
        <v>4.3697999999999997</v>
      </c>
      <c r="K1111" s="1787"/>
      <c r="L1111" s="1784">
        <v>15</v>
      </c>
    </row>
    <row r="1112" spans="1:12">
      <c r="A1112" s="1782">
        <v>44901</v>
      </c>
      <c r="B1112" s="1783" t="s">
        <v>2886</v>
      </c>
      <c r="C1112" s="1784">
        <v>1092</v>
      </c>
      <c r="D1112" s="1782">
        <v>45832</v>
      </c>
      <c r="E1112" s="1785">
        <v>25</v>
      </c>
      <c r="F1112" s="1786">
        <v>162.9376</v>
      </c>
      <c r="G1112" s="1786">
        <v>25</v>
      </c>
      <c r="H1112" s="1786"/>
      <c r="I1112" s="1786">
        <v>7.6036000000000001</v>
      </c>
      <c r="J1112" s="1786">
        <v>7.5606999999999998</v>
      </c>
      <c r="K1112" s="1787"/>
      <c r="L1112" s="1784">
        <v>22</v>
      </c>
    </row>
    <row r="1113" spans="1:12">
      <c r="A1113" s="1782">
        <v>44915</v>
      </c>
      <c r="B1113" s="1783" t="s">
        <v>3458</v>
      </c>
      <c r="C1113" s="1784">
        <v>364</v>
      </c>
      <c r="D1113" s="1782">
        <v>45279</v>
      </c>
      <c r="E1113" s="1785">
        <v>200</v>
      </c>
      <c r="F1113" s="1786">
        <v>213.41550000000001</v>
      </c>
      <c r="G1113" s="1786">
        <v>200</v>
      </c>
      <c r="H1113" s="1786"/>
      <c r="I1113" s="1786">
        <v>7.25</v>
      </c>
      <c r="J1113" s="1786">
        <v>6.0297999999999998</v>
      </c>
      <c r="K1113" s="1787"/>
      <c r="L1113" s="1784">
        <v>14</v>
      </c>
    </row>
    <row r="1114" spans="1:12">
      <c r="A1114" s="1782">
        <v>44915</v>
      </c>
      <c r="B1114" s="1783" t="s">
        <v>3459</v>
      </c>
      <c r="C1114" s="1784">
        <v>1092</v>
      </c>
      <c r="D1114" s="1782">
        <v>46007</v>
      </c>
      <c r="E1114" s="1785">
        <v>150</v>
      </c>
      <c r="F1114" s="1786">
        <v>166.4282</v>
      </c>
      <c r="G1114" s="1786">
        <v>150</v>
      </c>
      <c r="H1114" s="1786"/>
      <c r="I1114" s="1786">
        <v>10</v>
      </c>
      <c r="J1114" s="1786">
        <v>8.8177000000000003</v>
      </c>
      <c r="K1114" s="1787"/>
      <c r="L1114" s="1784">
        <v>22</v>
      </c>
    </row>
    <row r="1115" spans="1:12">
      <c r="A1115" s="1782">
        <v>44922</v>
      </c>
      <c r="B1115" s="1783" t="s">
        <v>3460</v>
      </c>
      <c r="C1115" s="1784">
        <v>364</v>
      </c>
      <c r="D1115" s="1782">
        <v>45286</v>
      </c>
      <c r="E1115" s="1785">
        <v>150</v>
      </c>
      <c r="F1115" s="1786">
        <v>280.50049999999999</v>
      </c>
      <c r="G1115" s="1786">
        <v>120</v>
      </c>
      <c r="H1115" s="1786"/>
      <c r="I1115" s="1786">
        <v>8.49</v>
      </c>
      <c r="J1115" s="1786">
        <v>8.0086999999999993</v>
      </c>
      <c r="K1115" s="1787"/>
      <c r="L1115" s="1784">
        <v>23</v>
      </c>
    </row>
    <row r="1116" spans="1:12">
      <c r="A1116" s="1782">
        <v>44922</v>
      </c>
      <c r="B1116" s="1783" t="s">
        <v>3461</v>
      </c>
      <c r="C1116" s="1784">
        <v>728</v>
      </c>
      <c r="D1116" s="1782">
        <v>45650</v>
      </c>
      <c r="E1116" s="1785">
        <v>150</v>
      </c>
      <c r="F1116" s="1786">
        <v>137.46209999999999</v>
      </c>
      <c r="G1116" s="1786">
        <v>60</v>
      </c>
      <c r="H1116" s="1786"/>
      <c r="I1116" s="1786">
        <v>9.99</v>
      </c>
      <c r="J1116" s="1786">
        <v>9.2604000000000006</v>
      </c>
      <c r="K1116" s="1787"/>
      <c r="L1116" s="1784">
        <v>23</v>
      </c>
    </row>
    <row r="1117" spans="1:12">
      <c r="A1117" s="1782">
        <v>44924</v>
      </c>
      <c r="B1117" s="1783" t="s">
        <v>3462</v>
      </c>
      <c r="C1117" s="1784">
        <v>306</v>
      </c>
      <c r="D1117" s="1782">
        <v>45230</v>
      </c>
      <c r="E1117" s="1785">
        <v>500</v>
      </c>
      <c r="F1117" s="1786">
        <v>683.12710000000004</v>
      </c>
      <c r="G1117" s="1786">
        <v>500</v>
      </c>
      <c r="H1117" s="1786"/>
      <c r="I1117" s="1786">
        <v>4.4999000000000002</v>
      </c>
      <c r="J1117" s="1786">
        <v>4.4999000000000002</v>
      </c>
      <c r="K1117" s="1787"/>
      <c r="L1117" s="1784">
        <v>24</v>
      </c>
    </row>
    <row r="1118" spans="1:12">
      <c r="A1118" s="1343">
        <v>2023</v>
      </c>
      <c r="B1118" s="1789"/>
      <c r="C1118" s="1784"/>
      <c r="D1118" s="1782"/>
      <c r="E1118" s="1785"/>
      <c r="F1118" s="1786"/>
      <c r="G1118" s="1786"/>
      <c r="H1118" s="1786"/>
      <c r="I1118" s="1786"/>
      <c r="J1118" s="1786"/>
      <c r="K1118" s="1787"/>
      <c r="L1118" s="1784"/>
    </row>
    <row r="1119" spans="1:12">
      <c r="A1119" s="1782">
        <v>44943</v>
      </c>
      <c r="B1119" s="1783" t="s">
        <v>3531</v>
      </c>
      <c r="C1119" s="1784">
        <v>728</v>
      </c>
      <c r="D1119" s="1782">
        <v>45671</v>
      </c>
      <c r="E1119" s="1785">
        <v>50</v>
      </c>
      <c r="F1119" s="1786">
        <v>136.2852</v>
      </c>
      <c r="G1119" s="1786">
        <v>50</v>
      </c>
      <c r="H1119" s="1786"/>
      <c r="I1119" s="1786">
        <v>9.27</v>
      </c>
      <c r="J1119" s="1786">
        <v>9.1536000000000008</v>
      </c>
      <c r="K1119" s="1787"/>
      <c r="L1119" s="1784">
        <v>17</v>
      </c>
    </row>
    <row r="1120" spans="1:12">
      <c r="A1120" s="1782">
        <v>44950</v>
      </c>
      <c r="B1120" s="1783" t="s">
        <v>3532</v>
      </c>
      <c r="C1120" s="1784">
        <v>364</v>
      </c>
      <c r="D1120" s="1782">
        <v>45314</v>
      </c>
      <c r="E1120" s="1785">
        <v>50</v>
      </c>
      <c r="F1120" s="1786">
        <v>167.43299999999999</v>
      </c>
      <c r="G1120" s="1786">
        <v>50</v>
      </c>
      <c r="H1120" s="1786"/>
      <c r="I1120" s="1786">
        <v>7.92</v>
      </c>
      <c r="J1120" s="1786">
        <v>7.5391000000000004</v>
      </c>
      <c r="K1120" s="1787"/>
      <c r="L1120" s="1784">
        <v>20</v>
      </c>
    </row>
    <row r="1121" spans="1:12">
      <c r="A1121" s="1782">
        <v>44957</v>
      </c>
      <c r="B1121" s="1783" t="s">
        <v>3533</v>
      </c>
      <c r="C1121" s="1784">
        <v>1092</v>
      </c>
      <c r="D1121" s="1782">
        <v>46049</v>
      </c>
      <c r="E1121" s="1785">
        <v>50</v>
      </c>
      <c r="F1121" s="1786">
        <v>149.78469999999999</v>
      </c>
      <c r="G1121" s="1786">
        <v>50</v>
      </c>
      <c r="H1121" s="1786"/>
      <c r="I1121" s="1786">
        <v>9.99</v>
      </c>
      <c r="J1121" s="1786">
        <v>9.7223000000000006</v>
      </c>
      <c r="K1121" s="1787"/>
      <c r="L1121" s="1784">
        <v>22</v>
      </c>
    </row>
    <row r="1122" spans="1:12">
      <c r="A1122" s="1782">
        <v>44964</v>
      </c>
      <c r="B1122" s="1783" t="s">
        <v>3539</v>
      </c>
      <c r="C1122" s="1784">
        <v>364</v>
      </c>
      <c r="D1122" s="1782">
        <v>45445</v>
      </c>
      <c r="E1122" s="1785">
        <v>50</v>
      </c>
      <c r="F1122" s="1786">
        <v>199.9074</v>
      </c>
      <c r="G1122" s="1786">
        <v>50</v>
      </c>
      <c r="H1122" s="1786"/>
      <c r="I1122" s="1786">
        <v>7.75</v>
      </c>
      <c r="J1122" s="1786">
        <v>6.9678000000000004</v>
      </c>
      <c r="K1122" s="1787"/>
      <c r="L1122" s="1784">
        <v>25</v>
      </c>
    </row>
    <row r="1123" spans="1:12">
      <c r="A1123" s="1782">
        <v>44971</v>
      </c>
      <c r="B1123" s="1783" t="s">
        <v>3540</v>
      </c>
      <c r="C1123" s="1784">
        <v>1092</v>
      </c>
      <c r="D1123" s="1782">
        <v>46297</v>
      </c>
      <c r="E1123" s="1785">
        <v>40</v>
      </c>
      <c r="F1123" s="1786">
        <v>120.73050000000001</v>
      </c>
      <c r="G1123" s="1786">
        <v>60</v>
      </c>
      <c r="H1123" s="1786"/>
      <c r="I1123" s="1786">
        <v>9.99</v>
      </c>
      <c r="J1123" s="1786">
        <v>9.8650000000000002</v>
      </c>
      <c r="K1123" s="1787"/>
      <c r="L1123" s="1784">
        <v>17</v>
      </c>
    </row>
    <row r="1124" spans="1:12">
      <c r="A1124" s="1782">
        <v>44978</v>
      </c>
      <c r="B1124" s="1783" t="s">
        <v>3541</v>
      </c>
      <c r="C1124" s="1784">
        <v>728</v>
      </c>
      <c r="D1124" s="1782">
        <v>45706</v>
      </c>
      <c r="E1124" s="1785">
        <v>40</v>
      </c>
      <c r="F1124" s="1786">
        <v>144.64429999999999</v>
      </c>
      <c r="G1124" s="1786">
        <v>47.051499999999997</v>
      </c>
      <c r="H1124" s="1786"/>
      <c r="I1124" s="1786">
        <v>9.15</v>
      </c>
      <c r="J1124" s="1786">
        <v>9.0353999999999992</v>
      </c>
      <c r="K1124" s="1787"/>
      <c r="L1124" s="1784">
        <v>26</v>
      </c>
    </row>
    <row r="1125" spans="1:12">
      <c r="A1125" s="1782">
        <v>44985</v>
      </c>
      <c r="B1125" s="1783" t="s">
        <v>3542</v>
      </c>
      <c r="C1125" s="1784">
        <v>1092</v>
      </c>
      <c r="D1125" s="1782">
        <v>46077</v>
      </c>
      <c r="E1125" s="1785">
        <v>40</v>
      </c>
      <c r="F1125" s="1786">
        <v>116.758</v>
      </c>
      <c r="G1125" s="1786">
        <v>40</v>
      </c>
      <c r="H1125" s="1786"/>
      <c r="I1125" s="1786">
        <v>9.6896000000000004</v>
      </c>
      <c r="J1125" s="1786">
        <v>9.5000999999999998</v>
      </c>
      <c r="K1125" s="1787"/>
      <c r="L1125" s="1784">
        <v>22</v>
      </c>
    </row>
    <row r="1126" spans="1:12">
      <c r="A1126" s="1782">
        <v>44992</v>
      </c>
      <c r="B1126" s="1783" t="s">
        <v>3546</v>
      </c>
      <c r="C1126" s="1784">
        <v>364</v>
      </c>
      <c r="D1126" s="1782">
        <v>45415</v>
      </c>
      <c r="E1126" s="1785">
        <v>70</v>
      </c>
      <c r="F1126" s="1786">
        <v>273.95330000000001</v>
      </c>
      <c r="G1126" s="1786">
        <v>70</v>
      </c>
      <c r="H1126" s="1786"/>
      <c r="I1126" s="1786">
        <v>6.5580999999999996</v>
      </c>
      <c r="J1126" s="1786">
        <v>6.5155000000000003</v>
      </c>
      <c r="K1126" s="1787"/>
      <c r="L1126" s="1784">
        <v>27</v>
      </c>
    </row>
    <row r="1127" spans="1:12">
      <c r="A1127" s="1782">
        <v>44999</v>
      </c>
      <c r="B1127" s="1783" t="s">
        <v>3547</v>
      </c>
      <c r="C1127" s="1784">
        <v>1092</v>
      </c>
      <c r="D1127" s="1782">
        <v>46298</v>
      </c>
      <c r="E1127" s="1785">
        <v>40</v>
      </c>
      <c r="F1127" s="1786">
        <v>142.22649999999999</v>
      </c>
      <c r="G1127" s="1786">
        <v>40</v>
      </c>
      <c r="H1127" s="1786"/>
      <c r="I1127" s="1786">
        <v>9.34</v>
      </c>
      <c r="J1127" s="1786">
        <v>9.1082999999999998</v>
      </c>
      <c r="K1127" s="1787"/>
      <c r="L1127" s="1784">
        <v>28</v>
      </c>
    </row>
    <row r="1128" spans="1:12">
      <c r="A1128" s="1782">
        <v>45020</v>
      </c>
      <c r="B1128" s="1783" t="s">
        <v>3655</v>
      </c>
      <c r="C1128" s="1784" t="s">
        <v>2389</v>
      </c>
      <c r="D1128" s="1782">
        <v>45326</v>
      </c>
      <c r="E1128" s="1785">
        <v>50</v>
      </c>
      <c r="F1128" s="1786">
        <v>219.36371700000001</v>
      </c>
      <c r="G1128" s="1786">
        <v>75</v>
      </c>
      <c r="H1128" s="1786"/>
      <c r="I1128" s="1786">
        <v>5.9999000000000002</v>
      </c>
      <c r="J1128" s="1786">
        <v>5.7028999999999996</v>
      </c>
      <c r="K1128" s="1787"/>
      <c r="L1128" s="1784">
        <v>17</v>
      </c>
    </row>
    <row r="1129" spans="1:12">
      <c r="A1129" s="1782">
        <v>45027</v>
      </c>
      <c r="B1129" s="1783" t="s">
        <v>3656</v>
      </c>
      <c r="C1129" s="1784">
        <v>1092</v>
      </c>
      <c r="D1129" s="1782">
        <v>46207</v>
      </c>
      <c r="E1129" s="1785">
        <v>40</v>
      </c>
      <c r="F1129" s="1786">
        <v>181.7193</v>
      </c>
      <c r="G1129" s="1786">
        <v>60</v>
      </c>
      <c r="H1129" s="1786"/>
      <c r="I1129" s="1786">
        <v>8.75</v>
      </c>
      <c r="J1129" s="1786">
        <v>8.3712999999999997</v>
      </c>
      <c r="K1129" s="1787"/>
      <c r="L1129" s="1784">
        <v>25</v>
      </c>
    </row>
    <row r="1130" spans="1:12">
      <c r="A1130" s="1782">
        <v>45034</v>
      </c>
      <c r="B1130" s="1783" t="s">
        <v>3657</v>
      </c>
      <c r="C1130" s="1784" t="s">
        <v>3733</v>
      </c>
      <c r="D1130" s="1782">
        <v>45762</v>
      </c>
      <c r="E1130" s="1785">
        <v>30</v>
      </c>
      <c r="F1130" s="1786">
        <v>137.9145</v>
      </c>
      <c r="G1130" s="1786">
        <v>45</v>
      </c>
      <c r="H1130" s="1786"/>
      <c r="I1130" s="1786">
        <v>7.24</v>
      </c>
      <c r="J1130" s="1786">
        <v>7.1605999999999996</v>
      </c>
      <c r="K1130" s="1787"/>
      <c r="L1130" s="1784" t="s">
        <v>3734</v>
      </c>
    </row>
    <row r="1131" spans="1:12">
      <c r="A1131" s="1782">
        <v>45041</v>
      </c>
      <c r="B1131" s="1783" t="s">
        <v>3658</v>
      </c>
      <c r="C1131" s="1784" t="s">
        <v>2569</v>
      </c>
      <c r="D1131" s="1782">
        <v>46133</v>
      </c>
      <c r="E1131" s="1785">
        <v>50</v>
      </c>
      <c r="F1131" s="1786">
        <v>153.4674</v>
      </c>
      <c r="G1131" s="1786">
        <v>50</v>
      </c>
      <c r="H1131" s="1786"/>
      <c r="I1131" s="1786">
        <v>8.1999999999999993</v>
      </c>
      <c r="J1131" s="1786">
        <v>8.0004000000000008</v>
      </c>
      <c r="K1131" s="1787"/>
      <c r="L1131" s="1784" t="s">
        <v>3735</v>
      </c>
    </row>
    <row r="1132" spans="1:12">
      <c r="A1132" s="1782">
        <v>45048</v>
      </c>
      <c r="B1132" s="1783" t="s">
        <v>3736</v>
      </c>
      <c r="C1132" s="1784">
        <v>728</v>
      </c>
      <c r="D1132" s="1782">
        <v>45776</v>
      </c>
      <c r="E1132" s="1785">
        <v>30</v>
      </c>
      <c r="F1132" s="1786">
        <v>131.1354</v>
      </c>
      <c r="G1132" s="1786">
        <v>45</v>
      </c>
      <c r="H1132" s="1786"/>
      <c r="I1132" s="1786">
        <v>7.07</v>
      </c>
      <c r="J1132" s="1786">
        <v>6.9782999999999999</v>
      </c>
      <c r="K1132" s="1787"/>
      <c r="L1132" s="1784">
        <v>18</v>
      </c>
    </row>
    <row r="1133" spans="1:12">
      <c r="A1133" s="1782">
        <v>45062</v>
      </c>
      <c r="B1133" s="1783" t="s">
        <v>3737</v>
      </c>
      <c r="C1133" s="1784">
        <v>1820</v>
      </c>
      <c r="D1133" s="1782">
        <v>47001</v>
      </c>
      <c r="E1133" s="1785">
        <v>20</v>
      </c>
      <c r="F1133" s="1786">
        <v>90.863399999999999</v>
      </c>
      <c r="G1133" s="1786">
        <v>20</v>
      </c>
      <c r="H1133" s="1786"/>
      <c r="I1133" s="1786">
        <v>9.15</v>
      </c>
      <c r="J1133" s="1786">
        <v>8.7135999999999996</v>
      </c>
      <c r="K1133" s="1787"/>
      <c r="L1133" s="1784">
        <v>20</v>
      </c>
    </row>
    <row r="1134" spans="1:12">
      <c r="A1134" s="1782">
        <v>45069</v>
      </c>
      <c r="B1134" s="1783" t="s">
        <v>3738</v>
      </c>
      <c r="C1134" s="1784">
        <v>728</v>
      </c>
      <c r="D1134" s="1782">
        <v>45797</v>
      </c>
      <c r="E1134" s="1785">
        <v>30</v>
      </c>
      <c r="F1134" s="1786">
        <v>133.66120000000001</v>
      </c>
      <c r="G1134" s="1786">
        <v>45</v>
      </c>
      <c r="H1134" s="1786"/>
      <c r="I1134" s="1786">
        <v>7.3</v>
      </c>
      <c r="J1134" s="1786">
        <v>7.1890999999999998</v>
      </c>
      <c r="K1134" s="1787"/>
      <c r="L1134" s="1784">
        <v>14</v>
      </c>
    </row>
    <row r="1135" spans="1:12">
      <c r="A1135" s="1782">
        <v>45076</v>
      </c>
      <c r="B1135" s="1783" t="s">
        <v>3658</v>
      </c>
      <c r="C1135" s="1784">
        <v>1092</v>
      </c>
      <c r="D1135" s="1782">
        <v>46133</v>
      </c>
      <c r="E1135" s="1785">
        <v>50</v>
      </c>
      <c r="F1135" s="1786">
        <v>82.994399999999999</v>
      </c>
      <c r="G1135" s="1786">
        <v>45.262999999999998</v>
      </c>
      <c r="H1135" s="1786"/>
      <c r="I1135" s="1786">
        <v>9.3188999999999993</v>
      </c>
      <c r="J1135" s="1786">
        <v>8.4411000000000005</v>
      </c>
      <c r="K1135" s="1787"/>
      <c r="L1135" s="1784">
        <v>16</v>
      </c>
    </row>
    <row r="1136" spans="1:12">
      <c r="A1136" s="1782">
        <v>45083</v>
      </c>
      <c r="B1136" s="1783" t="s">
        <v>3804</v>
      </c>
      <c r="C1136" s="1784">
        <v>364</v>
      </c>
      <c r="D1136" s="1782">
        <v>45388</v>
      </c>
      <c r="E1136" s="1785">
        <v>40</v>
      </c>
      <c r="F1136" s="1786">
        <v>164.1739</v>
      </c>
      <c r="G1136" s="1786">
        <v>60</v>
      </c>
      <c r="H1136" s="1786"/>
      <c r="I1136" s="1786">
        <v>6.49</v>
      </c>
      <c r="J1136" s="1786">
        <v>6.218</v>
      </c>
      <c r="K1136" s="1787"/>
      <c r="L1136" s="1784">
        <v>15</v>
      </c>
    </row>
    <row r="1137" spans="1:12">
      <c r="A1137" s="1782">
        <v>45090</v>
      </c>
      <c r="B1137" s="1783" t="s">
        <v>3805</v>
      </c>
      <c r="C1137" s="1784">
        <v>1820</v>
      </c>
      <c r="D1137" s="1782">
        <v>46910</v>
      </c>
      <c r="E1137" s="1785">
        <v>50</v>
      </c>
      <c r="F1137" s="1786">
        <v>118.0829</v>
      </c>
      <c r="G1137" s="1786">
        <v>50</v>
      </c>
      <c r="H1137" s="1786"/>
      <c r="I1137" s="1786">
        <v>10.15</v>
      </c>
      <c r="J1137" s="1786">
        <v>9.6854999999999993</v>
      </c>
      <c r="K1137" s="1787"/>
      <c r="L1137" s="1784">
        <v>21</v>
      </c>
    </row>
    <row r="1138" spans="1:12">
      <c r="A1138" s="1782">
        <v>45097</v>
      </c>
      <c r="B1138" s="1783" t="s">
        <v>3806</v>
      </c>
      <c r="C1138" s="1784">
        <v>728</v>
      </c>
      <c r="D1138" s="1782">
        <v>45825</v>
      </c>
      <c r="E1138" s="1785">
        <v>60</v>
      </c>
      <c r="F1138" s="1786">
        <v>209.33609999999999</v>
      </c>
      <c r="G1138" s="1786">
        <v>60</v>
      </c>
      <c r="H1138" s="1786"/>
      <c r="I1138" s="1786">
        <v>8.25</v>
      </c>
      <c r="J1138" s="1786">
        <v>7.7954999999999997</v>
      </c>
      <c r="K1138" s="1787"/>
      <c r="L1138" s="1784">
        <v>20</v>
      </c>
    </row>
    <row r="1139" spans="1:12">
      <c r="A1139" s="1782">
        <v>45101</v>
      </c>
      <c r="B1139" s="1783" t="s">
        <v>3658</v>
      </c>
      <c r="C1139" s="1784">
        <v>1092</v>
      </c>
      <c r="D1139" s="1782">
        <v>46133</v>
      </c>
      <c r="E1139" s="1785">
        <v>55</v>
      </c>
      <c r="F1139" s="1786">
        <v>186.63800000000001</v>
      </c>
      <c r="G1139" s="1786">
        <v>55</v>
      </c>
      <c r="H1139" s="1786"/>
      <c r="I1139" s="1786">
        <v>9.1608999999999998</v>
      </c>
      <c r="J1139" s="1786">
        <v>8.8239999999999998</v>
      </c>
      <c r="K1139" s="1787"/>
      <c r="L1139" s="1784">
        <v>23</v>
      </c>
    </row>
    <row r="1140" spans="1:12">
      <c r="A1140" s="1782">
        <v>45111</v>
      </c>
      <c r="B1140" s="1783" t="s">
        <v>3841</v>
      </c>
      <c r="C1140" s="1784">
        <v>1092</v>
      </c>
      <c r="D1140" s="1782">
        <v>46203</v>
      </c>
      <c r="E1140" s="1785">
        <v>60</v>
      </c>
      <c r="F1140" s="1786">
        <v>177.92410000000001</v>
      </c>
      <c r="G1140" s="1786">
        <v>90</v>
      </c>
      <c r="H1140" s="1786"/>
      <c r="I1140" s="1786">
        <v>9.9</v>
      </c>
      <c r="J1140" s="1786">
        <v>9.2235999999999994</v>
      </c>
      <c r="K1140" s="1787"/>
      <c r="L1140" s="1784">
        <v>24</v>
      </c>
    </row>
    <row r="1141" spans="1:12">
      <c r="A1141" s="1782">
        <v>45125</v>
      </c>
      <c r="B1141" s="1783" t="s">
        <v>3842</v>
      </c>
      <c r="C1141" s="1784">
        <v>728</v>
      </c>
      <c r="D1141" s="1782">
        <v>45853</v>
      </c>
      <c r="E1141" s="1785">
        <v>60</v>
      </c>
      <c r="F1141" s="1786">
        <v>195.858923</v>
      </c>
      <c r="G1141" s="1786">
        <v>90</v>
      </c>
      <c r="H1141" s="1786"/>
      <c r="I1141" s="1786">
        <v>8.98</v>
      </c>
      <c r="J1141" s="1786">
        <v>8.3820999999999994</v>
      </c>
      <c r="K1141" s="1787"/>
      <c r="L1141" s="1784">
        <v>25</v>
      </c>
    </row>
    <row r="1142" spans="1:12">
      <c r="A1142" s="1782">
        <v>45132</v>
      </c>
      <c r="B1142" s="1783" t="s">
        <v>3658</v>
      </c>
      <c r="C1142" s="1784">
        <v>1092</v>
      </c>
      <c r="D1142" s="1782">
        <v>46133</v>
      </c>
      <c r="E1142" s="1785">
        <v>55</v>
      </c>
      <c r="F1142" s="1786">
        <v>191.02549999999999</v>
      </c>
      <c r="G1142" s="1786">
        <v>82.5</v>
      </c>
      <c r="H1142" s="1786"/>
      <c r="I1142" s="1786">
        <v>9.7545000000000002</v>
      </c>
      <c r="J1142" s="1786">
        <v>9.4183000000000003</v>
      </c>
      <c r="K1142" s="1787"/>
      <c r="L1142" s="1784">
        <v>32</v>
      </c>
    </row>
    <row r="1143" spans="1:12">
      <c r="A1143" s="1782">
        <v>45139</v>
      </c>
      <c r="B1143" s="1783" t="s">
        <v>3877</v>
      </c>
      <c r="C1143" s="1784">
        <v>364</v>
      </c>
      <c r="D1143" s="1782">
        <v>45503</v>
      </c>
      <c r="E1143" s="1785">
        <v>50</v>
      </c>
      <c r="F1143" s="1786">
        <v>143.4872</v>
      </c>
      <c r="G1143" s="1786">
        <v>75</v>
      </c>
      <c r="H1143" s="1786"/>
      <c r="I1143" s="1786">
        <v>6.98</v>
      </c>
      <c r="J1143" s="1786">
        <v>6.5026000000000002</v>
      </c>
      <c r="K1143" s="1787"/>
      <c r="L1143" s="1784">
        <v>13</v>
      </c>
    </row>
    <row r="1144" spans="1:12">
      <c r="A1144" s="1782">
        <v>45146</v>
      </c>
      <c r="B1144" s="1783" t="s">
        <v>3878</v>
      </c>
      <c r="C1144" s="1784">
        <v>1092</v>
      </c>
      <c r="D1144" s="1782">
        <v>46120</v>
      </c>
      <c r="E1144" s="1785">
        <v>90</v>
      </c>
      <c r="F1144" s="1786">
        <v>399.42250000000001</v>
      </c>
      <c r="G1144" s="1786">
        <v>135</v>
      </c>
      <c r="H1144" s="1786"/>
      <c r="I1144" s="1786">
        <v>9</v>
      </c>
      <c r="J1144" s="1786">
        <v>8.7661999999999995</v>
      </c>
      <c r="K1144" s="1787"/>
      <c r="L1144" s="1784">
        <v>36</v>
      </c>
    </row>
    <row r="1145" spans="1:12">
      <c r="A1145" s="1782">
        <v>45153</v>
      </c>
      <c r="B1145" s="1783" t="s">
        <v>3879</v>
      </c>
      <c r="C1145" s="1784">
        <v>728</v>
      </c>
      <c r="D1145" s="1782">
        <v>45999</v>
      </c>
      <c r="E1145" s="1785">
        <v>80</v>
      </c>
      <c r="F1145" s="1786">
        <v>345.30540000000002</v>
      </c>
      <c r="G1145" s="1786">
        <v>120</v>
      </c>
      <c r="H1145" s="1786"/>
      <c r="I1145" s="1786">
        <v>8.2499000000000002</v>
      </c>
      <c r="J1145" s="1786">
        <v>8.0507000000000009</v>
      </c>
      <c r="K1145" s="1787"/>
      <c r="L1145" s="1784">
        <v>30</v>
      </c>
    </row>
    <row r="1146" spans="1:12">
      <c r="A1146" s="1782">
        <v>45160</v>
      </c>
      <c r="B1146" s="1783" t="s">
        <v>3880</v>
      </c>
      <c r="C1146" s="1784">
        <v>1092</v>
      </c>
      <c r="D1146" s="1782">
        <v>46133</v>
      </c>
      <c r="E1146" s="1785">
        <v>55</v>
      </c>
      <c r="F1146" s="1786">
        <v>216.2337</v>
      </c>
      <c r="G1146" s="1786">
        <v>82.5</v>
      </c>
      <c r="H1146" s="1786"/>
      <c r="I1146" s="1786">
        <v>8.48</v>
      </c>
      <c r="J1146" s="1786">
        <v>8.2745999999999995</v>
      </c>
      <c r="K1146" s="1787"/>
      <c r="L1146" s="1784">
        <v>31</v>
      </c>
    </row>
    <row r="1147" spans="1:12">
      <c r="A1147" s="1782">
        <v>45167</v>
      </c>
      <c r="B1147" s="1783" t="s">
        <v>3881</v>
      </c>
      <c r="C1147" s="1784">
        <v>1092</v>
      </c>
      <c r="D1147" s="1782">
        <v>46259</v>
      </c>
      <c r="E1147" s="1785">
        <v>40</v>
      </c>
      <c r="F1147" s="1786">
        <v>198.84049999999999</v>
      </c>
      <c r="G1147" s="1786">
        <v>60</v>
      </c>
      <c r="H1147" s="1786"/>
      <c r="I1147" s="1786">
        <v>8.3800000000000008</v>
      </c>
      <c r="J1147" s="1786">
        <v>8.2582000000000004</v>
      </c>
      <c r="K1147" s="1787"/>
      <c r="L1147" s="1784">
        <v>33</v>
      </c>
    </row>
    <row r="1148" spans="1:12">
      <c r="A1148" s="1782">
        <v>45174</v>
      </c>
      <c r="B1148" s="1783" t="s">
        <v>3882</v>
      </c>
      <c r="C1148" s="1784">
        <v>364</v>
      </c>
      <c r="D1148" s="1782">
        <v>45360</v>
      </c>
      <c r="E1148" s="1785">
        <v>70</v>
      </c>
      <c r="F1148" s="1786">
        <v>226.5812</v>
      </c>
      <c r="G1148" s="1786">
        <v>105</v>
      </c>
      <c r="H1148" s="1786"/>
      <c r="I1148" s="1786">
        <v>7.2</v>
      </c>
      <c r="J1148" s="1786">
        <v>6.2614000000000001</v>
      </c>
      <c r="K1148" s="1787"/>
      <c r="L1148" s="1784">
        <v>12</v>
      </c>
    </row>
    <row r="1149" spans="1:12">
      <c r="A1149" s="1782">
        <v>45174</v>
      </c>
      <c r="B1149" s="1783" t="s">
        <v>3883</v>
      </c>
      <c r="C1149" s="1784">
        <v>728</v>
      </c>
      <c r="D1149" s="1782">
        <v>45697</v>
      </c>
      <c r="E1149" s="1785">
        <v>65</v>
      </c>
      <c r="F1149" s="1786">
        <v>224.33539999999999</v>
      </c>
      <c r="G1149" s="1786">
        <v>97.5</v>
      </c>
      <c r="H1149" s="1786"/>
      <c r="I1149" s="1786">
        <v>7.9999000000000002</v>
      </c>
      <c r="J1149" s="1786">
        <v>7.4821999999999997</v>
      </c>
      <c r="K1149" s="1787"/>
      <c r="L1149" s="1784">
        <v>25</v>
      </c>
    </row>
    <row r="1150" spans="1:12">
      <c r="A1150" s="1782">
        <v>45181</v>
      </c>
      <c r="B1150" s="1783" t="s">
        <v>3884</v>
      </c>
      <c r="C1150" s="1784">
        <v>1092</v>
      </c>
      <c r="D1150" s="1782">
        <v>46243</v>
      </c>
      <c r="E1150" s="1785">
        <v>80</v>
      </c>
      <c r="F1150" s="1786">
        <v>212.25030000000001</v>
      </c>
      <c r="G1150" s="1786">
        <v>120</v>
      </c>
      <c r="H1150" s="1786"/>
      <c r="I1150" s="1786">
        <v>8.3797999999999995</v>
      </c>
      <c r="J1150" s="1786">
        <v>8.1574000000000009</v>
      </c>
      <c r="K1150" s="1787"/>
      <c r="L1150" s="1784">
        <v>26</v>
      </c>
    </row>
    <row r="1151" spans="1:12">
      <c r="A1151" s="1782">
        <v>45188</v>
      </c>
      <c r="B1151" s="1783" t="s">
        <v>3885</v>
      </c>
      <c r="C1151" s="1784">
        <v>728</v>
      </c>
      <c r="D1151" s="1782">
        <v>45916</v>
      </c>
      <c r="E1151" s="1785">
        <v>90</v>
      </c>
      <c r="F1151" s="1786">
        <v>198.07329999999999</v>
      </c>
      <c r="G1151" s="1786">
        <v>135</v>
      </c>
      <c r="H1151" s="1786"/>
      <c r="I1151" s="1786">
        <v>8.1898</v>
      </c>
      <c r="J1151" s="1786">
        <v>8.0391999999999992</v>
      </c>
      <c r="K1151" s="1787"/>
      <c r="L1151" s="1784">
        <v>24</v>
      </c>
    </row>
    <row r="1152" spans="1:12">
      <c r="A1152" s="1782">
        <v>45195</v>
      </c>
      <c r="B1152" s="1783" t="s">
        <v>3658</v>
      </c>
      <c r="C1152" s="1784">
        <v>1092</v>
      </c>
      <c r="D1152" s="1782">
        <v>46133</v>
      </c>
      <c r="E1152" s="1785">
        <v>55</v>
      </c>
      <c r="F1152" s="1786">
        <v>141.63239999999999</v>
      </c>
      <c r="G1152" s="1786">
        <v>55</v>
      </c>
      <c r="H1152" s="1786"/>
      <c r="I1152" s="1786">
        <v>8.0436999999999994</v>
      </c>
      <c r="J1152" s="1786">
        <v>7.8663999999999996</v>
      </c>
      <c r="K1152" s="1787"/>
      <c r="L1152" s="1784">
        <v>23</v>
      </c>
    </row>
    <row r="1153" spans="1:12">
      <c r="A1153" s="1782">
        <v>45202</v>
      </c>
      <c r="B1153" s="1783" t="s">
        <v>3907</v>
      </c>
      <c r="C1153" s="1784">
        <v>364</v>
      </c>
      <c r="D1153" s="1782">
        <v>45301</v>
      </c>
      <c r="E1153" s="1785">
        <v>80</v>
      </c>
      <c r="F1153" s="1786">
        <v>247.8956</v>
      </c>
      <c r="G1153" s="1786">
        <v>80</v>
      </c>
      <c r="H1153" s="1786"/>
      <c r="I1153" s="1786">
        <v>7.99</v>
      </c>
      <c r="J1153" s="1786">
        <v>7.6108000000000002</v>
      </c>
      <c r="K1153" s="1787"/>
      <c r="L1153" s="1784">
        <v>13</v>
      </c>
    </row>
    <row r="1154" spans="1:12">
      <c r="A1154" s="1782">
        <v>45209</v>
      </c>
      <c r="B1154" s="1783" t="s">
        <v>3908</v>
      </c>
      <c r="C1154" s="1784">
        <v>1092</v>
      </c>
      <c r="D1154" s="1782">
        <v>46183</v>
      </c>
      <c r="E1154" s="1785">
        <v>90</v>
      </c>
      <c r="F1154" s="1786">
        <v>170.6583</v>
      </c>
      <c r="G1154" s="1786">
        <v>90</v>
      </c>
      <c r="H1154" s="1786"/>
      <c r="I1154" s="1786">
        <v>8.59</v>
      </c>
      <c r="J1154" s="1786">
        <v>8.2245000000000008</v>
      </c>
      <c r="K1154" s="1787"/>
      <c r="L1154" s="1784">
        <v>25</v>
      </c>
    </row>
    <row r="1155" spans="1:12">
      <c r="A1155" s="1782">
        <v>45216</v>
      </c>
      <c r="B1155" s="1783" t="s">
        <v>3909</v>
      </c>
      <c r="C1155" s="1784">
        <v>728</v>
      </c>
      <c r="D1155" s="1782">
        <v>45944</v>
      </c>
      <c r="E1155" s="1785">
        <v>90</v>
      </c>
      <c r="F1155" s="1786">
        <v>211.43430000000001</v>
      </c>
      <c r="G1155" s="1786">
        <v>135</v>
      </c>
      <c r="H1155" s="1786"/>
      <c r="I1155" s="1786">
        <v>8.4</v>
      </c>
      <c r="J1155" s="1786">
        <v>8.2215000000000007</v>
      </c>
      <c r="K1155" s="1787"/>
      <c r="L1155" s="1784">
        <v>25</v>
      </c>
    </row>
    <row r="1156" spans="1:12">
      <c r="A1156" s="1782">
        <v>45223</v>
      </c>
      <c r="B1156" s="1783" t="s">
        <v>3910</v>
      </c>
      <c r="C1156" s="1784">
        <v>364</v>
      </c>
      <c r="D1156" s="1782">
        <v>45587</v>
      </c>
      <c r="E1156" s="1785">
        <v>80</v>
      </c>
      <c r="F1156" s="1786">
        <v>227.84639999999999</v>
      </c>
      <c r="G1156" s="1786">
        <v>120</v>
      </c>
      <c r="H1156" s="1786"/>
      <c r="I1156" s="1786">
        <v>7.9999000000000002</v>
      </c>
      <c r="J1156" s="1786">
        <v>7.9039999999999999</v>
      </c>
      <c r="K1156" s="1787"/>
      <c r="L1156" s="1784">
        <v>19</v>
      </c>
    </row>
    <row r="1157" spans="1:12">
      <c r="A1157" s="1782">
        <v>45230</v>
      </c>
      <c r="B1157" s="1783" t="s">
        <v>3880</v>
      </c>
      <c r="C1157" s="1784">
        <v>1092</v>
      </c>
      <c r="D1157" s="1782">
        <v>46133</v>
      </c>
      <c r="E1157" s="1785">
        <v>55</v>
      </c>
      <c r="F1157" s="1786">
        <v>110.2243</v>
      </c>
      <c r="G1157" s="1786">
        <v>82.5</v>
      </c>
      <c r="H1157" s="1786"/>
      <c r="I1157" s="1786">
        <v>8.9764999999999997</v>
      </c>
      <c r="J1157" s="1786">
        <v>8.3127999999999993</v>
      </c>
      <c r="K1157" s="1787"/>
      <c r="L1157" s="1784">
        <v>14</v>
      </c>
    </row>
    <row r="1158" spans="1:12">
      <c r="A1158" s="1782">
        <v>45237</v>
      </c>
      <c r="B1158" s="1783" t="s">
        <v>3936</v>
      </c>
      <c r="C1158" s="1784">
        <v>1092</v>
      </c>
      <c r="D1158" s="1782">
        <v>46092</v>
      </c>
      <c r="E1158" s="1785">
        <v>90</v>
      </c>
      <c r="F1158" s="1786">
        <v>216.7783</v>
      </c>
      <c r="G1158" s="1786">
        <v>90</v>
      </c>
      <c r="H1158" s="1786"/>
      <c r="I1158" s="1786">
        <v>8.4499999999999993</v>
      </c>
      <c r="J1158" s="1786">
        <v>8.3475999999999999</v>
      </c>
      <c r="K1158" s="1787"/>
      <c r="L1158" s="1784">
        <v>22</v>
      </c>
    </row>
    <row r="1159" spans="1:12">
      <c r="A1159" s="1782">
        <v>45244</v>
      </c>
      <c r="B1159" s="1783" t="s">
        <v>3937</v>
      </c>
      <c r="C1159" s="1784">
        <v>728</v>
      </c>
      <c r="D1159" s="1782">
        <v>45972</v>
      </c>
      <c r="E1159" s="1785">
        <v>90</v>
      </c>
      <c r="F1159" s="1786">
        <v>247.30869999999999</v>
      </c>
      <c r="G1159" s="1786">
        <v>90</v>
      </c>
      <c r="H1159" s="1786"/>
      <c r="I1159" s="1786">
        <v>8.1999999999999993</v>
      </c>
      <c r="J1159" s="1786">
        <v>8.0229999999999997</v>
      </c>
      <c r="K1159" s="1787"/>
      <c r="L1159" s="1784">
        <v>26</v>
      </c>
    </row>
    <row r="1160" spans="1:12">
      <c r="A1160" s="1782">
        <v>45251</v>
      </c>
      <c r="B1160" s="1783" t="s">
        <v>3938</v>
      </c>
      <c r="C1160" s="1784">
        <v>364</v>
      </c>
      <c r="D1160" s="1782">
        <v>45615</v>
      </c>
      <c r="E1160" s="1785">
        <v>90</v>
      </c>
      <c r="F1160" s="1786">
        <v>240.32169999999999</v>
      </c>
      <c r="G1160" s="1786">
        <v>135</v>
      </c>
      <c r="H1160" s="1786"/>
      <c r="I1160" s="1786">
        <v>8.0500000000000007</v>
      </c>
      <c r="J1160" s="1786">
        <v>7.9333999999999998</v>
      </c>
      <c r="K1160" s="1787"/>
      <c r="L1160" s="1784">
        <v>20</v>
      </c>
    </row>
    <row r="1161" spans="1:12">
      <c r="A1161" s="1782">
        <v>45272</v>
      </c>
      <c r="B1161" s="1783" t="s">
        <v>3972</v>
      </c>
      <c r="C1161" s="1784">
        <v>1092</v>
      </c>
      <c r="D1161" s="1782">
        <v>46246</v>
      </c>
      <c r="E1161" s="1785">
        <v>100</v>
      </c>
      <c r="F1161" s="1786">
        <v>362.52019999999999</v>
      </c>
      <c r="G1161" s="1786">
        <v>150</v>
      </c>
      <c r="H1161" s="1786"/>
      <c r="I1161" s="1786">
        <v>6.2</v>
      </c>
      <c r="J1161" s="1786">
        <v>6.2</v>
      </c>
      <c r="K1161" s="1787"/>
      <c r="L1161" s="1784">
        <v>21</v>
      </c>
    </row>
    <row r="1162" spans="1:12">
      <c r="A1162" s="1782">
        <v>45279</v>
      </c>
      <c r="B1162" s="1783" t="s">
        <v>3973</v>
      </c>
      <c r="C1162" s="1784">
        <v>364</v>
      </c>
      <c r="D1162" s="1782" t="s">
        <v>3974</v>
      </c>
      <c r="E1162" s="1785">
        <v>150</v>
      </c>
      <c r="F1162" s="1786">
        <v>350.98509999999999</v>
      </c>
      <c r="G1162" s="1786">
        <v>161.9134</v>
      </c>
      <c r="H1162" s="1786"/>
      <c r="I1162" s="1786">
        <v>5.9999000000000002</v>
      </c>
      <c r="J1162" s="1786">
        <v>5.9972000000000003</v>
      </c>
      <c r="K1162" s="1787"/>
      <c r="L1162" s="1784">
        <v>13</v>
      </c>
    </row>
    <row r="1163" spans="1:12">
      <c r="A1163" s="1782">
        <v>45279</v>
      </c>
      <c r="B1163" s="1783" t="s">
        <v>3975</v>
      </c>
      <c r="C1163" s="1784">
        <v>728</v>
      </c>
      <c r="D1163" s="1782" t="s">
        <v>3976</v>
      </c>
      <c r="E1163" s="1785">
        <v>100</v>
      </c>
      <c r="F1163" s="1786">
        <v>166.4101</v>
      </c>
      <c r="G1163" s="1786">
        <v>100.67270000000001</v>
      </c>
      <c r="H1163" s="1786"/>
      <c r="I1163" s="1786">
        <v>6.11</v>
      </c>
      <c r="J1163" s="1786">
        <v>6.11</v>
      </c>
      <c r="K1163" s="1787"/>
      <c r="L1163" s="1784">
        <v>18</v>
      </c>
    </row>
    <row r="1164" spans="1:12">
      <c r="A1164" s="1782">
        <v>45281</v>
      </c>
      <c r="B1164" s="1783" t="s">
        <v>3977</v>
      </c>
      <c r="C1164" s="1784">
        <v>1092</v>
      </c>
      <c r="D1164" s="1782" t="s">
        <v>3978</v>
      </c>
      <c r="E1164" s="1785">
        <v>150</v>
      </c>
      <c r="F1164" s="1786">
        <v>258.03039999999999</v>
      </c>
      <c r="G1164" s="1786">
        <v>207.19390000000001</v>
      </c>
      <c r="H1164" s="1786"/>
      <c r="I1164" s="1786">
        <v>6.3</v>
      </c>
      <c r="J1164" s="1786">
        <v>6.3</v>
      </c>
      <c r="K1164" s="1787"/>
      <c r="L1164" s="1784">
        <v>10</v>
      </c>
    </row>
    <row r="1165" spans="1:12">
      <c r="A1165" s="1782">
        <v>45288</v>
      </c>
      <c r="B1165" s="1783" t="s">
        <v>3979</v>
      </c>
      <c r="C1165" s="1784">
        <v>364</v>
      </c>
      <c r="D1165" s="1782" t="s">
        <v>3980</v>
      </c>
      <c r="E1165" s="1785">
        <v>150</v>
      </c>
      <c r="F1165" s="1786">
        <v>335.29520000000002</v>
      </c>
      <c r="G1165" s="1786">
        <v>137.69999999999999</v>
      </c>
      <c r="H1165" s="1786"/>
      <c r="I1165" s="1786">
        <v>5.9999000000000002</v>
      </c>
      <c r="J1165" s="1786">
        <v>5.9898999999999996</v>
      </c>
      <c r="K1165" s="1787"/>
      <c r="L1165" s="1784">
        <v>19</v>
      </c>
    </row>
    <row r="1166" spans="1:12">
      <c r="A1166" s="1851">
        <v>2024</v>
      </c>
      <c r="B1166" s="1783"/>
      <c r="C1166" s="1784"/>
      <c r="D1166" s="1782"/>
      <c r="E1166" s="1785"/>
      <c r="F1166" s="1786"/>
      <c r="G1166" s="1786"/>
      <c r="H1166" s="1786"/>
      <c r="I1166" s="1786"/>
      <c r="J1166" s="1786"/>
      <c r="K1166" s="1787"/>
      <c r="L1166" s="1784"/>
    </row>
    <row r="1167" spans="1:12">
      <c r="A1167" s="1782">
        <v>45306</v>
      </c>
      <c r="B1167" s="1783" t="s">
        <v>3998</v>
      </c>
      <c r="C1167" s="1784">
        <v>364</v>
      </c>
      <c r="D1167" s="1782" t="s">
        <v>3999</v>
      </c>
      <c r="E1167" s="1785">
        <v>100</v>
      </c>
      <c r="F1167" s="1786">
        <v>148.5395</v>
      </c>
      <c r="G1167" s="1786">
        <v>89.024900000000002</v>
      </c>
      <c r="H1167" s="1786"/>
      <c r="I1167" s="1786">
        <v>7.0799000000000003</v>
      </c>
      <c r="J1167" s="1786">
        <v>6.7826000000000004</v>
      </c>
      <c r="K1167" s="1787"/>
      <c r="L1167" s="1784">
        <v>12</v>
      </c>
    </row>
    <row r="1168" spans="1:12">
      <c r="A1168" s="1782">
        <v>45321</v>
      </c>
      <c r="B1168" s="1783" t="s">
        <v>4000</v>
      </c>
      <c r="C1168" s="1784">
        <v>1092</v>
      </c>
      <c r="D1168" s="1782" t="s">
        <v>4001</v>
      </c>
      <c r="E1168" s="1785">
        <v>100</v>
      </c>
      <c r="F1168" s="1786">
        <v>107.87869999999999</v>
      </c>
      <c r="G1168" s="1786">
        <v>100</v>
      </c>
      <c r="H1168" s="1786"/>
      <c r="I1168" s="1786">
        <v>8.6999999999999993</v>
      </c>
      <c r="J1168" s="1786">
        <v>7.8986999999999998</v>
      </c>
      <c r="K1168" s="1787"/>
      <c r="L1168" s="1784">
        <v>24</v>
      </c>
    </row>
    <row r="1169" spans="1:12">
      <c r="A1169" s="1782">
        <v>45328</v>
      </c>
      <c r="B1169" s="1783" t="s">
        <v>4019</v>
      </c>
      <c r="C1169" s="1784">
        <v>364</v>
      </c>
      <c r="D1169" s="1782">
        <v>45749</v>
      </c>
      <c r="E1169" s="1785">
        <v>90</v>
      </c>
      <c r="F1169" s="1786">
        <v>151.74449999999999</v>
      </c>
      <c r="G1169" s="1786">
        <v>90</v>
      </c>
      <c r="H1169" s="1786"/>
      <c r="I1169" s="1786">
        <v>7.2398999999999996</v>
      </c>
      <c r="J1169" s="1786">
        <v>7.0471000000000004</v>
      </c>
      <c r="K1169" s="1787"/>
      <c r="L1169" s="1784">
        <v>20</v>
      </c>
    </row>
    <row r="1170" spans="1:12">
      <c r="A1170" s="1782">
        <v>45342</v>
      </c>
      <c r="B1170" s="1783" t="s">
        <v>4020</v>
      </c>
      <c r="C1170" s="1784">
        <v>728</v>
      </c>
      <c r="D1170" s="1782" t="s">
        <v>4021</v>
      </c>
      <c r="E1170" s="1785">
        <v>90</v>
      </c>
      <c r="F1170" s="1786">
        <v>269.81119999999999</v>
      </c>
      <c r="G1170" s="1786">
        <v>90</v>
      </c>
      <c r="H1170" s="1786"/>
      <c r="I1170" s="1786">
        <v>7.8398000000000003</v>
      </c>
      <c r="J1170" s="1786">
        <v>7.1089000000000002</v>
      </c>
      <c r="K1170" s="1787"/>
      <c r="L1170" s="1784">
        <v>23</v>
      </c>
    </row>
    <row r="1171" spans="1:12">
      <c r="A1171" s="1782">
        <v>45349</v>
      </c>
      <c r="B1171" s="1783" t="s">
        <v>4022</v>
      </c>
      <c r="C1171" s="1784">
        <v>1092</v>
      </c>
      <c r="D1171" s="1782" t="s">
        <v>4023</v>
      </c>
      <c r="E1171" s="1785">
        <v>100</v>
      </c>
      <c r="F1171" s="1786">
        <v>276.26560000000001</v>
      </c>
      <c r="G1171" s="1786">
        <v>150</v>
      </c>
      <c r="H1171" s="1786"/>
      <c r="I1171" s="1786">
        <v>8.2288999999999994</v>
      </c>
      <c r="J1171" s="1786">
        <v>8.0381</v>
      </c>
      <c r="K1171" s="1787"/>
      <c r="L1171" s="1784">
        <v>29</v>
      </c>
    </row>
    <row r="1172" spans="1:12">
      <c r="A1172" s="1782">
        <v>45356</v>
      </c>
      <c r="B1172" s="1783" t="s">
        <v>4025</v>
      </c>
      <c r="C1172" s="1784">
        <v>728</v>
      </c>
      <c r="D1172" s="1782">
        <v>46084</v>
      </c>
      <c r="E1172" s="1785">
        <v>150</v>
      </c>
      <c r="F1172" s="1786">
        <v>385.12119999999999</v>
      </c>
      <c r="G1172" s="1786">
        <v>225</v>
      </c>
      <c r="H1172" s="1786"/>
      <c r="I1172" s="1786">
        <v>8</v>
      </c>
      <c r="J1172" s="1786">
        <v>7.859</v>
      </c>
      <c r="K1172" s="1787"/>
      <c r="L1172" s="1784">
        <v>25</v>
      </c>
    </row>
    <row r="1173" spans="1:12">
      <c r="A1173" s="1782">
        <v>45370</v>
      </c>
      <c r="B1173" s="1783" t="s">
        <v>4026</v>
      </c>
      <c r="C1173" s="1784">
        <v>364</v>
      </c>
      <c r="D1173" s="1782" t="s">
        <v>4027</v>
      </c>
      <c r="E1173" s="1785">
        <v>150</v>
      </c>
      <c r="F1173" s="1786">
        <v>366.02449999999999</v>
      </c>
      <c r="G1173" s="1786">
        <v>68.452200000000005</v>
      </c>
      <c r="H1173" s="1786"/>
      <c r="I1173" s="1786">
        <v>7.1898999999999997</v>
      </c>
      <c r="J1173" s="1786">
        <v>6.9958</v>
      </c>
      <c r="K1173" s="1787"/>
      <c r="L1173" s="1784">
        <v>21</v>
      </c>
    </row>
    <row r="1174" spans="1:12">
      <c r="A1174" s="1782">
        <v>45380</v>
      </c>
      <c r="B1174" s="1783" t="s">
        <v>4028</v>
      </c>
      <c r="C1174" s="1784">
        <v>728</v>
      </c>
      <c r="D1174" s="1782" t="s">
        <v>4029</v>
      </c>
      <c r="E1174" s="1785">
        <v>150</v>
      </c>
      <c r="F1174" s="1786">
        <v>221.37309999999999</v>
      </c>
      <c r="G1174" s="1786">
        <v>86.078000000000003</v>
      </c>
      <c r="H1174" s="1786"/>
      <c r="I1174" s="1786">
        <v>8</v>
      </c>
      <c r="J1174" s="1786">
        <v>7.9241999999999999</v>
      </c>
      <c r="K1174" s="1787"/>
      <c r="L1174" s="1784">
        <v>21</v>
      </c>
    </row>
    <row r="1175" spans="1:12">
      <c r="A1175" s="1782">
        <v>45384</v>
      </c>
      <c r="B1175" s="1783" t="s">
        <v>4041</v>
      </c>
      <c r="C1175" s="1784">
        <v>364</v>
      </c>
      <c r="D1175" s="1782">
        <v>45748</v>
      </c>
      <c r="E1175" s="1785">
        <v>120</v>
      </c>
      <c r="F1175" s="1786">
        <v>166.61009999999999</v>
      </c>
      <c r="G1175" s="1786">
        <v>78.066400000000002</v>
      </c>
      <c r="H1175" s="1786"/>
      <c r="I1175" s="1786">
        <v>7.99</v>
      </c>
      <c r="J1175" s="1786">
        <v>7.2687999999999997</v>
      </c>
      <c r="K1175" s="1787"/>
      <c r="L1175" s="1784">
        <v>18</v>
      </c>
    </row>
    <row r="1176" spans="1:12">
      <c r="A1176" s="1782">
        <v>45391</v>
      </c>
      <c r="B1176" s="1783" t="s">
        <v>4042</v>
      </c>
      <c r="C1176" s="1784">
        <v>1092</v>
      </c>
      <c r="D1176" s="1782">
        <v>46483</v>
      </c>
      <c r="E1176" s="1785">
        <v>120</v>
      </c>
      <c r="F1176" s="1786">
        <v>194.91550000000001</v>
      </c>
      <c r="G1176" s="1786">
        <v>91.2834</v>
      </c>
      <c r="H1176" s="1786"/>
      <c r="I1176" s="1786">
        <v>8.0500000000000007</v>
      </c>
      <c r="J1176" s="1786">
        <v>8.0084</v>
      </c>
      <c r="K1176" s="1787"/>
      <c r="L1176" s="1784">
        <v>24</v>
      </c>
    </row>
    <row r="1177" spans="1:12">
      <c r="A1177" s="1782">
        <v>45398</v>
      </c>
      <c r="B1177" s="1783" t="s">
        <v>4043</v>
      </c>
      <c r="C1177" s="1784">
        <v>728</v>
      </c>
      <c r="D1177" s="1782">
        <v>46126</v>
      </c>
      <c r="E1177" s="1785">
        <v>90</v>
      </c>
      <c r="F1177" s="1786">
        <v>93.582999999999998</v>
      </c>
      <c r="G1177" s="1786">
        <v>45.452800000000003</v>
      </c>
      <c r="H1177" s="1786"/>
      <c r="I1177" s="1786">
        <v>8.4499999999999993</v>
      </c>
      <c r="J1177" s="1786">
        <v>8.0661000000000005</v>
      </c>
      <c r="K1177" s="1787"/>
      <c r="L1177" s="1784">
        <v>18</v>
      </c>
    </row>
    <row r="1178" spans="1:12">
      <c r="A1178" s="1782">
        <v>45405</v>
      </c>
      <c r="B1178" s="1783" t="s">
        <v>4044</v>
      </c>
      <c r="C1178" s="1784">
        <v>364</v>
      </c>
      <c r="D1178" s="1782">
        <v>45769</v>
      </c>
      <c r="E1178" s="1785">
        <v>120</v>
      </c>
      <c r="F1178" s="1786">
        <v>72.14</v>
      </c>
      <c r="G1178" s="1786">
        <v>53.868600000000001</v>
      </c>
      <c r="H1178" s="1786"/>
      <c r="I1178" s="1786">
        <v>8.24</v>
      </c>
      <c r="J1178" s="1786">
        <v>7.8891999999999998</v>
      </c>
      <c r="K1178" s="1787"/>
      <c r="L1178" s="1784">
        <v>16</v>
      </c>
    </row>
    <row r="1179" spans="1:12">
      <c r="A1179" s="1782">
        <v>45412</v>
      </c>
      <c r="B1179" s="1783" t="s">
        <v>4045</v>
      </c>
      <c r="C1179" s="1784">
        <v>1092</v>
      </c>
      <c r="D1179" s="1782">
        <v>46504</v>
      </c>
      <c r="E1179" s="1785">
        <v>120</v>
      </c>
      <c r="F1179" s="1786">
        <v>111.38890000000001</v>
      </c>
      <c r="G1179" s="1786">
        <v>81.883300000000006</v>
      </c>
      <c r="H1179" s="1786"/>
      <c r="I1179" s="1786">
        <v>8.8999000000000006</v>
      </c>
      <c r="J1179" s="1786">
        <v>8.4989000000000008</v>
      </c>
      <c r="K1179" s="1787"/>
      <c r="L1179" s="1784">
        <v>20</v>
      </c>
    </row>
    <row r="1180" spans="1:12">
      <c r="A1180" s="1782">
        <v>45419</v>
      </c>
      <c r="B1180" s="1783" t="s">
        <v>4071</v>
      </c>
      <c r="C1180" s="1784">
        <v>364</v>
      </c>
      <c r="D1180" s="1782">
        <v>45813</v>
      </c>
      <c r="E1180" s="1785">
        <v>90</v>
      </c>
      <c r="F1180" s="1786">
        <v>107.425</v>
      </c>
      <c r="G1180" s="1786">
        <v>79.712199999999996</v>
      </c>
      <c r="H1180" s="1786"/>
      <c r="I1180" s="1786">
        <v>8.3988999999999994</v>
      </c>
      <c r="J1180" s="1786">
        <v>8.2019000000000002</v>
      </c>
      <c r="K1180" s="1787"/>
      <c r="L1180" s="1784">
        <v>18</v>
      </c>
    </row>
    <row r="1181" spans="1:12">
      <c r="A1181" s="1782">
        <v>45426</v>
      </c>
      <c r="B1181" s="1783" t="s">
        <v>4072</v>
      </c>
      <c r="C1181" s="1784">
        <v>1092</v>
      </c>
      <c r="D1181" s="1782">
        <v>46696</v>
      </c>
      <c r="E1181" s="1785">
        <v>90</v>
      </c>
      <c r="F1181" s="1786">
        <v>110.3322</v>
      </c>
      <c r="G1181" s="1786">
        <v>50.000700000000002</v>
      </c>
      <c r="H1181" s="1786"/>
      <c r="I1181" s="1786">
        <v>9.0500000000000007</v>
      </c>
      <c r="J1181" s="1786">
        <v>8.7068999999999992</v>
      </c>
      <c r="K1181" s="1787"/>
      <c r="L1181" s="1784">
        <v>23</v>
      </c>
    </row>
    <row r="1182" spans="1:12">
      <c r="A1182" s="1782">
        <v>45433</v>
      </c>
      <c r="B1182" s="1783" t="s">
        <v>4073</v>
      </c>
      <c r="C1182" s="1784">
        <v>728</v>
      </c>
      <c r="D1182" s="1782">
        <v>46161</v>
      </c>
      <c r="E1182" s="1785">
        <v>50</v>
      </c>
      <c r="F1182" s="1786">
        <v>71.350399999999993</v>
      </c>
      <c r="G1182" s="1786">
        <v>42.201500000000003</v>
      </c>
      <c r="H1182" s="1786"/>
      <c r="I1182" s="1786">
        <v>8.98</v>
      </c>
      <c r="J1182" s="1786">
        <v>8.5888000000000009</v>
      </c>
      <c r="K1182" s="1787"/>
      <c r="L1182" s="1784">
        <v>17</v>
      </c>
    </row>
    <row r="1183" spans="1:12">
      <c r="A1183" s="1782">
        <v>45447</v>
      </c>
      <c r="B1183" s="1783" t="s">
        <v>4094</v>
      </c>
      <c r="C1183" s="1784">
        <v>364</v>
      </c>
      <c r="D1183" s="1782">
        <v>45811</v>
      </c>
      <c r="E1183" s="1785">
        <v>50</v>
      </c>
      <c r="F1183" s="1786">
        <v>103.99120000000001</v>
      </c>
      <c r="G1183" s="1786">
        <v>65.902799999999999</v>
      </c>
      <c r="H1183" s="1786"/>
      <c r="I1183" s="1786">
        <v>8.4801000000000002</v>
      </c>
      <c r="J1183" s="1786">
        <v>8.2611000000000008</v>
      </c>
      <c r="K1183" s="1787"/>
      <c r="L1183" s="1784">
        <v>17</v>
      </c>
    </row>
    <row r="1184" spans="1:12">
      <c r="A1184" s="1782">
        <v>45454</v>
      </c>
      <c r="B1184" s="1783" t="s">
        <v>4095</v>
      </c>
      <c r="C1184" s="1784">
        <v>1092</v>
      </c>
      <c r="D1184" s="1782">
        <v>46546</v>
      </c>
      <c r="E1184" s="1785">
        <v>70</v>
      </c>
      <c r="F1184" s="1786">
        <v>151.35830000000001</v>
      </c>
      <c r="G1184" s="1786">
        <v>70</v>
      </c>
      <c r="H1184" s="1786"/>
      <c r="I1184" s="1786">
        <v>9.23</v>
      </c>
      <c r="J1184" s="1786">
        <v>8.9869000000000003</v>
      </c>
      <c r="K1184" s="1787"/>
      <c r="L1184" s="1784">
        <v>28</v>
      </c>
    </row>
    <row r="1185" spans="1:12">
      <c r="A1185" s="1782">
        <v>45468</v>
      </c>
      <c r="B1185" s="1783" t="s">
        <v>4096</v>
      </c>
      <c r="C1185" s="1784">
        <v>1092</v>
      </c>
      <c r="D1185" s="1782">
        <v>46560</v>
      </c>
      <c r="E1185" s="1785">
        <v>50</v>
      </c>
      <c r="F1185" s="1786">
        <v>126.7675</v>
      </c>
      <c r="G1185" s="1786">
        <v>50</v>
      </c>
      <c r="H1185" s="1786"/>
      <c r="I1185" s="1786">
        <v>9.2398000000000007</v>
      </c>
      <c r="J1185" s="1786">
        <v>9.0132999999999992</v>
      </c>
      <c r="K1185" s="1787"/>
      <c r="L1185" s="1784">
        <v>24</v>
      </c>
    </row>
    <row r="1186" spans="1:12">
      <c r="A1186" s="1782">
        <v>45475</v>
      </c>
      <c r="B1186" s="1783" t="s">
        <v>4115</v>
      </c>
      <c r="C1186" s="1784">
        <v>364</v>
      </c>
      <c r="D1186" s="1782">
        <v>45839</v>
      </c>
      <c r="E1186" s="1785">
        <v>50</v>
      </c>
      <c r="F1186" s="1786">
        <v>197.8991</v>
      </c>
      <c r="G1186" s="1786">
        <v>75</v>
      </c>
      <c r="H1186" s="1786"/>
      <c r="I1186" s="1786">
        <v>8.3498999999999999</v>
      </c>
      <c r="J1186" s="1786">
        <v>8.2758000000000003</v>
      </c>
      <c r="K1186" s="1787"/>
      <c r="L1186" s="1784">
        <v>16</v>
      </c>
    </row>
    <row r="1187" spans="1:12">
      <c r="A1187" s="1782">
        <v>45482</v>
      </c>
      <c r="B1187" s="1783" t="s">
        <v>4116</v>
      </c>
      <c r="C1187" s="1784">
        <v>1092</v>
      </c>
      <c r="D1187" s="1782">
        <v>46574</v>
      </c>
      <c r="E1187" s="1785">
        <v>70</v>
      </c>
      <c r="F1187" s="1786">
        <v>155.80170000000001</v>
      </c>
      <c r="G1187" s="1786">
        <v>70</v>
      </c>
      <c r="H1187" s="1786"/>
      <c r="I1187" s="1786">
        <v>9.2495999999999992</v>
      </c>
      <c r="J1187" s="1786">
        <v>9.1509999999999998</v>
      </c>
      <c r="K1187" s="1787"/>
      <c r="L1187" s="1784">
        <v>25</v>
      </c>
    </row>
    <row r="1188" spans="1:12">
      <c r="A1188" s="1782">
        <v>45489</v>
      </c>
      <c r="B1188" s="1783" t="s">
        <v>4117</v>
      </c>
      <c r="C1188" s="1784">
        <v>728</v>
      </c>
      <c r="D1188" s="1782">
        <v>46217</v>
      </c>
      <c r="E1188" s="1785">
        <v>60</v>
      </c>
      <c r="F1188" s="1786">
        <v>139.82130000000001</v>
      </c>
      <c r="G1188" s="1786">
        <v>60</v>
      </c>
      <c r="H1188" s="1786"/>
      <c r="I1188" s="1786">
        <v>9.1999999999999993</v>
      </c>
      <c r="J1188" s="1786">
        <v>9.0570000000000004</v>
      </c>
      <c r="K1188" s="1787"/>
      <c r="L1188" s="1784">
        <v>15</v>
      </c>
    </row>
    <row r="1189" spans="1:12">
      <c r="A1189" s="1782">
        <v>45496</v>
      </c>
      <c r="B1189" s="1783" t="s">
        <v>4118</v>
      </c>
      <c r="C1189" s="1790">
        <v>1092</v>
      </c>
      <c r="D1189" s="1782">
        <v>46588</v>
      </c>
      <c r="E1189" s="1791">
        <v>70</v>
      </c>
      <c r="F1189" s="1786">
        <v>114.4679</v>
      </c>
      <c r="G1189" s="1786">
        <v>70</v>
      </c>
      <c r="H1189" s="1786"/>
      <c r="I1189" s="1786">
        <v>9.4396000000000004</v>
      </c>
      <c r="J1189" s="1786">
        <v>9.4396000000000004</v>
      </c>
      <c r="K1189" s="1787"/>
      <c r="L1189" s="1784">
        <v>18</v>
      </c>
    </row>
    <row r="1190" spans="1:12">
      <c r="A1190" s="1782">
        <v>45503</v>
      </c>
      <c r="B1190" s="1783" t="s">
        <v>4119</v>
      </c>
      <c r="C1190" s="1790">
        <v>728</v>
      </c>
      <c r="D1190" s="1782">
        <v>46231</v>
      </c>
      <c r="E1190" s="1791">
        <v>60</v>
      </c>
      <c r="F1190" s="1786">
        <v>132.71119999999999</v>
      </c>
      <c r="G1190" s="1786">
        <v>60</v>
      </c>
      <c r="H1190" s="1786"/>
      <c r="I1190" s="1786">
        <v>9.27</v>
      </c>
      <c r="J1190" s="1786">
        <v>9.1996000000000002</v>
      </c>
      <c r="K1190" s="1787"/>
      <c r="L1190" s="1784">
        <v>14</v>
      </c>
    </row>
    <row r="1191" spans="1:12">
      <c r="A1191" s="1782">
        <v>45510</v>
      </c>
      <c r="B1191" s="1783" t="s">
        <v>4131</v>
      </c>
      <c r="C1191" s="1790">
        <v>364</v>
      </c>
      <c r="D1191" s="1782">
        <v>45874</v>
      </c>
      <c r="E1191" s="1791">
        <v>50</v>
      </c>
      <c r="F1191" s="1786">
        <v>173.88550000000001</v>
      </c>
      <c r="G1191" s="1786">
        <v>75</v>
      </c>
      <c r="H1191" s="1786"/>
      <c r="I1191" s="1786">
        <v>8.3498999999999999</v>
      </c>
      <c r="J1191" s="1786">
        <v>8.2257999999999996</v>
      </c>
      <c r="K1191" s="1787"/>
      <c r="L1191" s="1784">
        <v>14</v>
      </c>
    </row>
    <row r="1192" spans="1:12">
      <c r="A1192" s="1782">
        <v>45517</v>
      </c>
      <c r="B1192" s="1783" t="s">
        <v>4132</v>
      </c>
      <c r="C1192" s="1790">
        <v>1092</v>
      </c>
      <c r="D1192" s="1782">
        <v>46609</v>
      </c>
      <c r="E1192" s="1791">
        <v>70</v>
      </c>
      <c r="F1192" s="1786">
        <v>178.97069999999999</v>
      </c>
      <c r="G1192" s="1786">
        <v>105</v>
      </c>
      <c r="H1192" s="1786"/>
      <c r="I1192" s="1786">
        <v>9.49</v>
      </c>
      <c r="J1192" s="1786">
        <v>9.4001999999999999</v>
      </c>
      <c r="K1192" s="1787"/>
      <c r="L1192" s="1784">
        <v>20</v>
      </c>
    </row>
    <row r="1193" spans="1:12">
      <c r="A1193" s="1782">
        <v>45524</v>
      </c>
      <c r="B1193" s="1783" t="s">
        <v>4133</v>
      </c>
      <c r="C1193" s="1790">
        <v>728</v>
      </c>
      <c r="D1193" s="1782">
        <v>46252</v>
      </c>
      <c r="E1193" s="1791">
        <v>60</v>
      </c>
      <c r="F1193" s="1786">
        <v>142.53620000000001</v>
      </c>
      <c r="G1193" s="1786">
        <v>90</v>
      </c>
      <c r="H1193" s="1786"/>
      <c r="I1193" s="1786">
        <v>9.34</v>
      </c>
      <c r="J1193" s="1786">
        <v>9.2759999999999998</v>
      </c>
      <c r="K1193" s="1787"/>
      <c r="L1193" s="1784">
        <v>10</v>
      </c>
    </row>
    <row r="1194" spans="1:12">
      <c r="A1194" s="1782">
        <v>45531</v>
      </c>
      <c r="B1194" s="1783" t="s">
        <v>4134</v>
      </c>
      <c r="C1194" s="1790">
        <v>1092</v>
      </c>
      <c r="D1194" s="1782">
        <v>46623</v>
      </c>
      <c r="E1194" s="1791">
        <v>70</v>
      </c>
      <c r="F1194" s="1786">
        <v>192.52170000000001</v>
      </c>
      <c r="G1194" s="1786">
        <v>105</v>
      </c>
      <c r="H1194" s="1786"/>
      <c r="I1194" s="1786">
        <v>9.49</v>
      </c>
      <c r="J1194" s="1786">
        <v>9.4618000000000002</v>
      </c>
      <c r="K1194" s="1787"/>
      <c r="L1194" s="1784">
        <v>23</v>
      </c>
    </row>
    <row r="1195" spans="1:12">
      <c r="A1195" s="1782">
        <v>45545</v>
      </c>
      <c r="B1195" s="1783" t="s">
        <v>4146</v>
      </c>
      <c r="C1195" s="1790">
        <v>1092</v>
      </c>
      <c r="D1195" s="1782">
        <v>46637</v>
      </c>
      <c r="E1195" s="1791">
        <v>120</v>
      </c>
      <c r="F1195" s="1786">
        <v>238.7098</v>
      </c>
      <c r="G1195" s="1786">
        <v>180</v>
      </c>
      <c r="H1195" s="1786"/>
      <c r="I1195" s="1786">
        <v>9.59</v>
      </c>
      <c r="J1195" s="1786">
        <v>9.2809000000000008</v>
      </c>
      <c r="K1195" s="1787"/>
      <c r="L1195" s="1784">
        <v>23</v>
      </c>
    </row>
    <row r="1196" spans="1:12">
      <c r="A1196" s="1782">
        <v>45559</v>
      </c>
      <c r="B1196" s="1783" t="s">
        <v>4147</v>
      </c>
      <c r="C1196" s="1790">
        <v>1092</v>
      </c>
      <c r="D1196" s="1782">
        <v>46651</v>
      </c>
      <c r="E1196" s="1791">
        <v>140</v>
      </c>
      <c r="F1196" s="1786">
        <v>169.0333</v>
      </c>
      <c r="G1196" s="1786">
        <v>168.75700000000001</v>
      </c>
      <c r="H1196" s="1786"/>
      <c r="I1196" s="1786">
        <v>10.5</v>
      </c>
      <c r="J1196" s="1786">
        <v>9.5654000000000003</v>
      </c>
      <c r="K1196" s="1787"/>
      <c r="L1196" s="1784">
        <v>25</v>
      </c>
    </row>
    <row r="1197" spans="1:12">
      <c r="A1197" s="1782">
        <v>45566</v>
      </c>
      <c r="B1197" s="1783" t="s">
        <v>4149</v>
      </c>
      <c r="C1197" s="1790">
        <v>1092</v>
      </c>
      <c r="D1197" s="1782">
        <v>46658</v>
      </c>
      <c r="E1197" s="1791">
        <v>150</v>
      </c>
      <c r="F1197" s="1786">
        <v>128.49879999999999</v>
      </c>
      <c r="G1197" s="1786">
        <v>100.2736</v>
      </c>
      <c r="H1197" s="1786"/>
      <c r="I1197" s="1786">
        <v>10.57</v>
      </c>
      <c r="J1197" s="1786">
        <v>10.2515</v>
      </c>
      <c r="K1197" s="1787"/>
      <c r="L1197" s="1784">
        <v>20</v>
      </c>
    </row>
    <row r="1198" spans="1:12">
      <c r="A1198" s="1782">
        <v>45573</v>
      </c>
      <c r="B1198" s="1783" t="s">
        <v>4150</v>
      </c>
      <c r="C1198" s="1790">
        <v>1092</v>
      </c>
      <c r="D1198" s="1782">
        <v>46665</v>
      </c>
      <c r="E1198" s="1791">
        <v>150</v>
      </c>
      <c r="F1198" s="1786">
        <v>134.17339999999999</v>
      </c>
      <c r="G1198" s="1786">
        <v>52.073700000000002</v>
      </c>
      <c r="H1198" s="1786"/>
      <c r="I1198" s="1786">
        <v>10.5</v>
      </c>
      <c r="J1198" s="1786">
        <v>9.5429999999999993</v>
      </c>
      <c r="K1198" s="1787"/>
      <c r="L1198" s="1784">
        <v>27</v>
      </c>
    </row>
    <row r="1199" spans="1:12">
      <c r="A1199" s="1782">
        <v>45580</v>
      </c>
      <c r="B1199" s="1783" t="s">
        <v>4151</v>
      </c>
      <c r="C1199" s="1790">
        <v>728</v>
      </c>
      <c r="D1199" s="1782">
        <v>46308</v>
      </c>
      <c r="E1199" s="1791">
        <v>120</v>
      </c>
      <c r="F1199" s="1786">
        <v>46.244700000000002</v>
      </c>
      <c r="G1199" s="1786">
        <v>29.618099999999998</v>
      </c>
      <c r="H1199" s="1786"/>
      <c r="I1199" s="1786">
        <v>10</v>
      </c>
      <c r="J1199" s="1786">
        <v>9.4671000000000003</v>
      </c>
      <c r="K1199" s="1787"/>
      <c r="L1199" s="1784">
        <v>16</v>
      </c>
    </row>
    <row r="1200" spans="1:12">
      <c r="A1200" s="1782">
        <v>45594</v>
      </c>
      <c r="B1200" s="1783" t="s">
        <v>4152</v>
      </c>
      <c r="C1200" s="1790">
        <v>1092</v>
      </c>
      <c r="D1200" s="1782">
        <v>46686</v>
      </c>
      <c r="E1200" s="1791">
        <v>50</v>
      </c>
      <c r="F1200" s="1786">
        <v>67.4285</v>
      </c>
      <c r="G1200" s="1786">
        <v>56.564999999999998</v>
      </c>
      <c r="H1200" s="1786"/>
      <c r="I1200" s="1786">
        <v>10.5</v>
      </c>
      <c r="J1200" s="1786">
        <v>10.1707</v>
      </c>
      <c r="K1200" s="1787"/>
      <c r="L1200" s="1784">
        <v>21</v>
      </c>
    </row>
    <row r="1201" spans="1:12">
      <c r="A1201" s="1782">
        <v>45601</v>
      </c>
      <c r="B1201" s="1783" t="s">
        <v>4176</v>
      </c>
      <c r="C1201" s="1790">
        <v>728</v>
      </c>
      <c r="D1201" s="1782">
        <v>46329</v>
      </c>
      <c r="E1201" s="1791">
        <v>40</v>
      </c>
      <c r="F1201" s="1786">
        <v>28.6828</v>
      </c>
      <c r="G1201" s="1786">
        <v>19.483499999999999</v>
      </c>
      <c r="H1201" s="1786"/>
      <c r="I1201" s="1786">
        <v>10</v>
      </c>
      <c r="J1201" s="1786">
        <v>9.9177999999999997</v>
      </c>
      <c r="K1201" s="1787"/>
      <c r="L1201" s="1784">
        <v>12</v>
      </c>
    </row>
    <row r="1202" spans="1:12">
      <c r="A1202" s="1782">
        <v>45603</v>
      </c>
      <c r="B1202" s="1783" t="s">
        <v>4177</v>
      </c>
      <c r="C1202" s="1790">
        <v>1092</v>
      </c>
      <c r="D1202" s="1782">
        <v>46695</v>
      </c>
      <c r="E1202" s="1791">
        <v>50</v>
      </c>
      <c r="F1202" s="1786">
        <v>64.778400000000005</v>
      </c>
      <c r="G1202" s="1786">
        <v>50</v>
      </c>
      <c r="H1202" s="1786"/>
      <c r="I1202" s="1786">
        <v>10.7</v>
      </c>
      <c r="J1202" s="1786">
        <v>10.4017</v>
      </c>
      <c r="K1202" s="1787"/>
      <c r="L1202" s="1784">
        <v>15</v>
      </c>
    </row>
    <row r="1203" spans="1:12">
      <c r="A1203" s="1782">
        <v>45617</v>
      </c>
      <c r="B1203" s="1783" t="s">
        <v>4178</v>
      </c>
      <c r="C1203" s="1790">
        <v>1092</v>
      </c>
      <c r="D1203" s="1782">
        <v>46709</v>
      </c>
      <c r="E1203" s="1791">
        <v>60</v>
      </c>
      <c r="F1203" s="1786">
        <v>88.180499999999995</v>
      </c>
      <c r="G1203" s="1786">
        <v>76.787499999999994</v>
      </c>
      <c r="H1203" s="1786"/>
      <c r="I1203" s="1786">
        <v>10.7</v>
      </c>
      <c r="J1203" s="1786">
        <v>10.2323</v>
      </c>
      <c r="K1203" s="1787"/>
      <c r="L1203" s="1784">
        <v>17</v>
      </c>
    </row>
    <row r="1204" spans="1:12">
      <c r="A1204" s="1782">
        <v>45622</v>
      </c>
      <c r="B1204" s="1783" t="s">
        <v>4179</v>
      </c>
      <c r="C1204" s="1790">
        <v>364</v>
      </c>
      <c r="D1204" s="1782">
        <v>45986</v>
      </c>
      <c r="E1204" s="1791">
        <v>50</v>
      </c>
      <c r="F1204" s="1786">
        <v>41.347900000000003</v>
      </c>
      <c r="G1204" s="1786">
        <v>35.307400000000001</v>
      </c>
      <c r="H1204" s="1786"/>
      <c r="I1204" s="1786">
        <v>9.5</v>
      </c>
      <c r="J1204" s="1786">
        <v>9.0272000000000006</v>
      </c>
      <c r="K1204" s="1787"/>
      <c r="L1204" s="1784">
        <v>8</v>
      </c>
    </row>
    <row r="1205" spans="1:12">
      <c r="A1205" s="1782">
        <v>45624</v>
      </c>
      <c r="B1205" s="1783" t="s">
        <v>4180</v>
      </c>
      <c r="C1205" s="1790">
        <v>1092</v>
      </c>
      <c r="D1205" s="1782">
        <v>46716</v>
      </c>
      <c r="E1205" s="1791">
        <v>80</v>
      </c>
      <c r="F1205" s="1786">
        <v>28.193300000000001</v>
      </c>
      <c r="G1205" s="1786">
        <v>22.4316</v>
      </c>
      <c r="H1205" s="1786"/>
      <c r="I1205" s="1786">
        <v>10.7</v>
      </c>
      <c r="J1205" s="1786">
        <v>10.5816</v>
      </c>
      <c r="K1205" s="1787"/>
      <c r="L1205" s="1784">
        <v>12</v>
      </c>
    </row>
    <row r="1206" spans="1:12">
      <c r="A1206" s="1782">
        <v>45629</v>
      </c>
      <c r="B1206" s="1783" t="s">
        <v>4208</v>
      </c>
      <c r="C1206" s="1790">
        <v>728</v>
      </c>
      <c r="D1206" s="1782">
        <v>46357</v>
      </c>
      <c r="E1206" s="1791">
        <v>70</v>
      </c>
      <c r="F1206" s="1786">
        <v>15.583299999999999</v>
      </c>
      <c r="G1206" s="1786">
        <v>15.583299999999999</v>
      </c>
      <c r="H1206" s="1786"/>
      <c r="I1206" s="1786">
        <v>10.5</v>
      </c>
      <c r="J1206" s="1786">
        <v>10.118</v>
      </c>
      <c r="K1206" s="1787"/>
      <c r="L1206" s="1784">
        <v>7</v>
      </c>
    </row>
    <row r="1207" spans="1:12">
      <c r="A1207" s="1782">
        <v>45631</v>
      </c>
      <c r="B1207" s="1783" t="s">
        <v>4209</v>
      </c>
      <c r="C1207" s="1790">
        <v>1092</v>
      </c>
      <c r="D1207" s="1782">
        <v>46723</v>
      </c>
      <c r="E1207" s="1791">
        <v>70</v>
      </c>
      <c r="F1207" s="1786">
        <v>68.448700000000002</v>
      </c>
      <c r="G1207" s="1786">
        <v>65.0548</v>
      </c>
      <c r="H1207" s="1786"/>
      <c r="I1207" s="1786">
        <v>10.99</v>
      </c>
      <c r="J1207" s="1786">
        <v>10.499000000000001</v>
      </c>
      <c r="K1207" s="1787"/>
      <c r="L1207" s="1784">
        <v>12</v>
      </c>
    </row>
    <row r="1208" spans="1:12">
      <c r="A1208" s="1782">
        <v>45636</v>
      </c>
      <c r="B1208" s="1783" t="s">
        <v>4210</v>
      </c>
      <c r="C1208" s="1790">
        <v>728</v>
      </c>
      <c r="D1208" s="1782">
        <v>46364</v>
      </c>
      <c r="E1208" s="1791">
        <v>80</v>
      </c>
      <c r="F1208" s="1786">
        <v>38.471400000000003</v>
      </c>
      <c r="G1208" s="1786">
        <v>23.679099999999998</v>
      </c>
      <c r="H1208" s="1786"/>
      <c r="I1208" s="1786">
        <v>10.7</v>
      </c>
      <c r="J1208" s="1786">
        <v>10.5098</v>
      </c>
      <c r="K1208" s="1787"/>
      <c r="L1208" s="1784">
        <v>13</v>
      </c>
    </row>
    <row r="1209" spans="1:12">
      <c r="A1209" s="1782">
        <v>45638</v>
      </c>
      <c r="B1209" s="1783" t="s">
        <v>4211</v>
      </c>
      <c r="C1209" s="1790">
        <v>1092</v>
      </c>
      <c r="D1209" s="1782">
        <v>46730</v>
      </c>
      <c r="E1209" s="1791">
        <v>100</v>
      </c>
      <c r="F1209" s="1786">
        <v>53.600499999999997</v>
      </c>
      <c r="G1209" s="1786">
        <v>53.600499999999997</v>
      </c>
      <c r="H1209" s="1786"/>
      <c r="I1209" s="1786">
        <v>11</v>
      </c>
      <c r="J1209" s="1786">
        <v>10.901999999999999</v>
      </c>
      <c r="K1209" s="1787"/>
      <c r="L1209" s="1784">
        <v>11</v>
      </c>
    </row>
    <row r="1210" spans="1:12">
      <c r="A1210" s="1782">
        <v>45645</v>
      </c>
      <c r="B1210" s="1783" t="s">
        <v>4212</v>
      </c>
      <c r="C1210" s="1790">
        <v>1092</v>
      </c>
      <c r="D1210" s="1782">
        <v>46737</v>
      </c>
      <c r="E1210" s="1791">
        <v>100</v>
      </c>
      <c r="F1210" s="1786">
        <v>49.447000000000003</v>
      </c>
      <c r="G1210" s="1786">
        <v>46.152900000000002</v>
      </c>
      <c r="H1210" s="1786"/>
      <c r="I1210" s="1786">
        <v>11</v>
      </c>
      <c r="J1210" s="1786">
        <v>10.904299999999999</v>
      </c>
      <c r="K1210" s="1787"/>
      <c r="L1210" s="1784">
        <v>13</v>
      </c>
    </row>
    <row r="1211" spans="1:12">
      <c r="A1211" s="1782">
        <v>45650</v>
      </c>
      <c r="B1211" s="1783" t="s">
        <v>4213</v>
      </c>
      <c r="C1211" s="1790">
        <v>364</v>
      </c>
      <c r="D1211" s="1782">
        <v>46014</v>
      </c>
      <c r="E1211" s="1791">
        <v>100</v>
      </c>
      <c r="F1211" s="1786">
        <v>65.068399999999997</v>
      </c>
      <c r="G1211" s="1786">
        <v>64.957700000000003</v>
      </c>
      <c r="H1211" s="1786"/>
      <c r="I1211" s="1786">
        <v>9.9870999999999999</v>
      </c>
      <c r="J1211" s="1786">
        <v>9.1687999999999992</v>
      </c>
      <c r="K1211" s="1787"/>
      <c r="L1211" s="1784">
        <v>17</v>
      </c>
    </row>
    <row r="1212" spans="1:12">
      <c r="A1212" s="1782">
        <v>45652</v>
      </c>
      <c r="B1212" s="1783" t="s">
        <v>4214</v>
      </c>
      <c r="C1212" s="1790">
        <v>1092</v>
      </c>
      <c r="D1212" s="1782">
        <v>46744</v>
      </c>
      <c r="E1212" s="1791">
        <v>50</v>
      </c>
      <c r="F1212" s="1786">
        <v>34.522799999999997</v>
      </c>
      <c r="G1212" s="1786">
        <v>32.337400000000002</v>
      </c>
      <c r="H1212" s="1786"/>
      <c r="I1212" s="1786">
        <v>11</v>
      </c>
      <c r="J1212" s="1786">
        <v>10.647399999999999</v>
      </c>
      <c r="K1212" s="1787"/>
      <c r="L1212" s="1784">
        <v>10</v>
      </c>
    </row>
    <row r="1213" spans="1:12">
      <c r="A1213" s="1782">
        <v>45654</v>
      </c>
      <c r="B1213" s="1783" t="s">
        <v>4215</v>
      </c>
      <c r="C1213" s="1790">
        <v>364</v>
      </c>
      <c r="D1213" s="1782">
        <v>46018</v>
      </c>
      <c r="E1213" s="1791">
        <v>60</v>
      </c>
      <c r="F1213" s="1786">
        <v>84.940399999999997</v>
      </c>
      <c r="G1213" s="1786">
        <v>60</v>
      </c>
      <c r="H1213" s="1786"/>
      <c r="I1213" s="1786">
        <v>9.6499000000000006</v>
      </c>
      <c r="J1213" s="1786">
        <v>9.2317999999999998</v>
      </c>
      <c r="K1213" s="1787"/>
      <c r="L1213" s="1784">
        <v>17</v>
      </c>
    </row>
    <row r="1214" spans="1:12">
      <c r="A1214" s="1782">
        <v>45654</v>
      </c>
      <c r="B1214" s="1783" t="s">
        <v>4220</v>
      </c>
      <c r="C1214" s="1790">
        <v>720</v>
      </c>
      <c r="D1214" s="1782">
        <v>46384</v>
      </c>
      <c r="E1214" s="1791">
        <v>750</v>
      </c>
      <c r="F1214" s="1786">
        <v>750</v>
      </c>
      <c r="G1214" s="1786">
        <v>750</v>
      </c>
      <c r="H1214" s="1786"/>
      <c r="I1214" s="1786">
        <v>8</v>
      </c>
      <c r="J1214" s="1786">
        <v>8</v>
      </c>
      <c r="K1214" s="1787"/>
      <c r="L1214" s="1784">
        <v>1</v>
      </c>
    </row>
    <row r="1215" spans="1:12">
      <c r="A1215" s="1792">
        <v>45654</v>
      </c>
      <c r="B1215" s="1793" t="s">
        <v>4221</v>
      </c>
      <c r="C1215" s="2110">
        <v>360</v>
      </c>
      <c r="D1215" s="1792">
        <v>46019</v>
      </c>
      <c r="E1215" s="2111">
        <v>750</v>
      </c>
      <c r="F1215" s="1795">
        <v>750</v>
      </c>
      <c r="G1215" s="1795">
        <v>750</v>
      </c>
      <c r="H1215" s="1795"/>
      <c r="I1215" s="1795">
        <v>6</v>
      </c>
      <c r="J1215" s="1795">
        <v>6</v>
      </c>
      <c r="K1215" s="1796"/>
      <c r="L1215" s="1794">
        <v>2</v>
      </c>
    </row>
    <row r="1216" spans="1:12" s="513" customFormat="1" ht="25.5" customHeight="1">
      <c r="A1216" s="2670" t="s">
        <v>2709</v>
      </c>
      <c r="B1216" s="2671"/>
      <c r="C1216" s="2671"/>
      <c r="D1216" s="2671"/>
      <c r="E1216" s="2671"/>
      <c r="F1216" s="2671"/>
      <c r="G1216" s="2671"/>
      <c r="H1216" s="2671"/>
      <c r="I1216" s="2671"/>
      <c r="J1216" s="2671"/>
      <c r="K1216" s="2671"/>
      <c r="L1216" s="2671"/>
    </row>
  </sheetData>
  <mergeCells count="23">
    <mergeCell ref="J7:J9"/>
    <mergeCell ref="A2:L2"/>
    <mergeCell ref="A3:L3"/>
    <mergeCell ref="A6:A9"/>
    <mergeCell ref="B6:B9"/>
    <mergeCell ref="C6:C9"/>
    <mergeCell ref="D6:D9"/>
    <mergeCell ref="E6:G6"/>
    <mergeCell ref="H6:J6"/>
    <mergeCell ref="K6:K9"/>
    <mergeCell ref="L6:L9"/>
    <mergeCell ref="E7:E9"/>
    <mergeCell ref="F7:F9"/>
    <mergeCell ref="G7:G9"/>
    <mergeCell ref="H7:H9"/>
    <mergeCell ref="I7:I9"/>
    <mergeCell ref="A1216:L1216"/>
    <mergeCell ref="A10:A11"/>
    <mergeCell ref="B10:B11"/>
    <mergeCell ref="C10:C11"/>
    <mergeCell ref="D10:D11"/>
    <mergeCell ref="K10:K11"/>
    <mergeCell ref="L10:L11"/>
  </mergeCells>
  <pageMargins left="0.17" right="0.17" top="0.37" bottom="0.23" header="0.17" footer="0.17"/>
  <pageSetup scale="17"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28">
    <tabColor rgb="FF92D050"/>
  </sheetPr>
  <dimension ref="A1:CI1052"/>
  <sheetViews>
    <sheetView showGridLines="0" view="pageBreakPreview" zoomScale="115" zoomScaleNormal="130" zoomScaleSheetLayoutView="115" workbookViewId="0">
      <pane ySplit="9" topLeftCell="A1032" activePane="bottomLeft" state="frozen"/>
      <selection activeCell="B39" sqref="B39"/>
      <selection pane="bottomLeft" activeCell="O1043" sqref="O1043"/>
    </sheetView>
  </sheetViews>
  <sheetFormatPr defaultColWidth="9.140625" defaultRowHeight="12.75"/>
  <cols>
    <col min="1" max="1" width="11" style="479" customWidth="1"/>
    <col min="2" max="2" width="12.28515625" style="479" customWidth="1"/>
    <col min="3" max="3" width="5.5703125" style="479" customWidth="1"/>
    <col min="4" max="4" width="10.85546875" style="480" customWidth="1"/>
    <col min="5" max="5" width="8.140625" style="479" customWidth="1"/>
    <col min="6" max="6" width="8.85546875" style="479" customWidth="1"/>
    <col min="7" max="7" width="8.28515625" style="479" customWidth="1"/>
    <col min="8" max="8" width="7.5703125" style="479" customWidth="1"/>
    <col min="9" max="9" width="9" style="479" customWidth="1"/>
    <col min="10" max="10" width="8.7109375" style="479" customWidth="1"/>
    <col min="11" max="11" width="8.140625" style="479" customWidth="1"/>
    <col min="12" max="12" width="7.140625" style="479" customWidth="1"/>
    <col min="13" max="16384" width="9.140625" style="479"/>
  </cols>
  <sheetData>
    <row r="1" spans="1:87" ht="7.5" customHeight="1"/>
    <row r="2" spans="1:87" s="496" customFormat="1" ht="15" customHeight="1">
      <c r="A2" s="2700" t="s">
        <v>2715</v>
      </c>
      <c r="B2" s="2700"/>
      <c r="C2" s="2700"/>
      <c r="D2" s="2700"/>
      <c r="E2" s="2700"/>
      <c r="F2" s="2700"/>
      <c r="G2" s="2700"/>
      <c r="H2" s="2700"/>
      <c r="I2" s="2700"/>
      <c r="J2" s="2700"/>
      <c r="K2" s="2700"/>
      <c r="L2" s="2700"/>
    </row>
    <row r="3" spans="1:87" s="496" customFormat="1" ht="21" customHeight="1">
      <c r="A3" s="2690" t="s">
        <v>3545</v>
      </c>
      <c r="B3" s="2690"/>
      <c r="C3" s="2690"/>
      <c r="D3" s="2690"/>
      <c r="E3" s="2690"/>
      <c r="F3" s="2690"/>
      <c r="G3" s="2690"/>
      <c r="H3" s="2690"/>
      <c r="I3" s="2690"/>
      <c r="J3" s="2690"/>
      <c r="K3" s="2690"/>
      <c r="L3" s="2690"/>
    </row>
    <row r="4" spans="1:87" s="496" customFormat="1" ht="12" customHeight="1">
      <c r="A4" s="546"/>
      <c r="B4" s="546"/>
      <c r="C4" s="546"/>
      <c r="D4" s="546"/>
      <c r="E4" s="546"/>
      <c r="F4" s="546"/>
      <c r="G4" s="546"/>
      <c r="H4" s="546"/>
      <c r="I4" s="546"/>
      <c r="J4" s="546"/>
      <c r="K4" s="546"/>
      <c r="L4" s="546"/>
    </row>
    <row r="5" spans="1:87" ht="12" customHeight="1">
      <c r="A5" s="2703"/>
      <c r="B5" s="2703"/>
      <c r="C5" s="2703"/>
      <c r="D5" s="2703"/>
      <c r="E5" s="2703"/>
      <c r="F5" s="2703"/>
      <c r="G5" s="2703"/>
      <c r="H5" s="2703"/>
      <c r="I5" s="2703"/>
      <c r="J5" s="2703"/>
      <c r="K5" s="2703"/>
      <c r="L5" s="2703"/>
    </row>
    <row r="6" spans="1:87" s="346" customFormat="1" ht="15" customHeight="1">
      <c r="A6" s="2702" t="s">
        <v>374</v>
      </c>
      <c r="B6" s="2704" t="s">
        <v>791</v>
      </c>
      <c r="C6" s="2708" t="s">
        <v>375</v>
      </c>
      <c r="D6" s="2707" t="s">
        <v>376</v>
      </c>
      <c r="E6" s="2702" t="s">
        <v>377</v>
      </c>
      <c r="F6" s="2702"/>
      <c r="G6" s="2702"/>
      <c r="H6" s="2702"/>
      <c r="I6" s="2702" t="s">
        <v>378</v>
      </c>
      <c r="J6" s="2702"/>
      <c r="K6" s="2702"/>
      <c r="L6" s="2709" t="s">
        <v>2652</v>
      </c>
    </row>
    <row r="7" spans="1:87" s="346" customFormat="1" ht="39.75" customHeight="1">
      <c r="A7" s="2702"/>
      <c r="B7" s="2705"/>
      <c r="C7" s="2708"/>
      <c r="D7" s="2707"/>
      <c r="E7" s="2701" t="s">
        <v>380</v>
      </c>
      <c r="F7" s="2710" t="s">
        <v>2651</v>
      </c>
      <c r="G7" s="2701" t="s">
        <v>2650</v>
      </c>
      <c r="H7" s="2701" t="s">
        <v>2418</v>
      </c>
      <c r="I7" s="2701" t="s">
        <v>382</v>
      </c>
      <c r="J7" s="2701" t="s">
        <v>383</v>
      </c>
      <c r="K7" s="2701" t="s">
        <v>384</v>
      </c>
      <c r="L7" s="2701"/>
    </row>
    <row r="8" spans="1:87" s="346" customFormat="1" ht="40.5" customHeight="1">
      <c r="A8" s="2702"/>
      <c r="B8" s="2705"/>
      <c r="C8" s="2708"/>
      <c r="D8" s="2707"/>
      <c r="E8" s="2701"/>
      <c r="F8" s="2710"/>
      <c r="G8" s="2701"/>
      <c r="H8" s="2701"/>
      <c r="I8" s="2701"/>
      <c r="J8" s="2701"/>
      <c r="K8" s="2701"/>
      <c r="L8" s="2701"/>
    </row>
    <row r="9" spans="1:87" s="346" customFormat="1" ht="69.75" customHeight="1">
      <c r="A9" s="2702"/>
      <c r="B9" s="2706"/>
      <c r="C9" s="2708"/>
      <c r="D9" s="2707"/>
      <c r="E9" s="2701"/>
      <c r="F9" s="2710"/>
      <c r="G9" s="2701"/>
      <c r="H9" s="2701"/>
      <c r="I9" s="2701"/>
      <c r="J9" s="2701"/>
      <c r="K9" s="2701"/>
      <c r="L9" s="2701"/>
      <c r="M9" s="495"/>
      <c r="N9" s="495"/>
      <c r="O9" s="495"/>
      <c r="P9" s="495"/>
      <c r="Q9" s="495"/>
      <c r="R9" s="495"/>
      <c r="S9" s="495"/>
      <c r="T9" s="495"/>
      <c r="U9" s="495"/>
      <c r="V9" s="495"/>
      <c r="W9" s="495"/>
      <c r="X9" s="495"/>
      <c r="Y9" s="495"/>
      <c r="Z9" s="495"/>
      <c r="AA9" s="495"/>
      <c r="AB9" s="495"/>
      <c r="AC9" s="495"/>
      <c r="AD9" s="495"/>
      <c r="AE9" s="495"/>
      <c r="AF9" s="495"/>
      <c r="AG9" s="495"/>
      <c r="AH9" s="495"/>
      <c r="AI9" s="495"/>
      <c r="AJ9" s="495"/>
      <c r="AK9" s="495"/>
      <c r="AL9" s="495"/>
      <c r="AM9" s="495"/>
      <c r="AN9" s="495"/>
      <c r="AO9" s="495"/>
      <c r="AP9" s="495"/>
      <c r="AQ9" s="495"/>
      <c r="AR9" s="495"/>
      <c r="AS9" s="495"/>
      <c r="AT9" s="495"/>
      <c r="AU9" s="495"/>
      <c r="AV9" s="495"/>
      <c r="AW9" s="495"/>
      <c r="AX9" s="495"/>
      <c r="AY9" s="495"/>
      <c r="AZ9" s="495"/>
      <c r="BA9" s="495"/>
      <c r="BB9" s="495"/>
      <c r="BC9" s="495"/>
      <c r="BD9" s="495"/>
      <c r="BE9" s="495"/>
      <c r="BF9" s="495"/>
      <c r="BG9" s="495"/>
      <c r="BH9" s="495"/>
      <c r="BI9" s="495"/>
      <c r="BJ9" s="495"/>
      <c r="BK9" s="495"/>
      <c r="BL9" s="495"/>
      <c r="BM9" s="495"/>
      <c r="BN9" s="495"/>
      <c r="BO9" s="495"/>
      <c r="BP9" s="495"/>
      <c r="BQ9" s="495"/>
      <c r="BR9" s="495"/>
      <c r="BS9" s="495"/>
      <c r="BT9" s="495"/>
      <c r="BU9" s="495"/>
      <c r="BV9" s="495"/>
      <c r="BW9" s="495"/>
      <c r="BX9" s="495"/>
      <c r="BY9" s="495"/>
      <c r="BZ9" s="495"/>
      <c r="CA9" s="495"/>
      <c r="CB9" s="495"/>
      <c r="CC9" s="495"/>
      <c r="CD9" s="495"/>
      <c r="CE9" s="495"/>
      <c r="CF9" s="495"/>
      <c r="CG9" s="495"/>
      <c r="CH9" s="495"/>
      <c r="CI9" s="495"/>
    </row>
    <row r="10" spans="1:87" ht="13.5" customHeight="1">
      <c r="A10" s="2692"/>
      <c r="B10" s="2693"/>
      <c r="C10" s="2693"/>
      <c r="D10" s="2693"/>
      <c r="E10" s="2693"/>
      <c r="F10" s="2693"/>
      <c r="G10" s="2693"/>
      <c r="H10" s="2693"/>
      <c r="I10" s="2693"/>
      <c r="J10" s="2693"/>
      <c r="K10" s="2693"/>
      <c r="L10" s="2693"/>
      <c r="M10" s="482"/>
      <c r="N10" s="482"/>
      <c r="O10" s="482"/>
      <c r="P10" s="482"/>
      <c r="Q10" s="482"/>
      <c r="R10" s="482"/>
      <c r="S10" s="482"/>
      <c r="T10" s="482"/>
      <c r="U10" s="482"/>
      <c r="V10" s="482"/>
      <c r="W10" s="482"/>
      <c r="X10" s="482"/>
      <c r="Y10" s="482"/>
      <c r="Z10" s="482"/>
      <c r="AA10" s="482"/>
      <c r="AB10" s="482"/>
      <c r="AC10" s="482"/>
      <c r="AD10" s="482"/>
      <c r="AE10" s="482"/>
      <c r="AF10" s="482"/>
      <c r="AG10" s="482"/>
      <c r="AH10" s="482"/>
      <c r="AI10" s="482"/>
      <c r="AJ10" s="482"/>
      <c r="AK10" s="482"/>
      <c r="AL10" s="482"/>
      <c r="AM10" s="482"/>
      <c r="AN10" s="482"/>
      <c r="AO10" s="482"/>
      <c r="AP10" s="482"/>
      <c r="AQ10" s="482"/>
      <c r="AR10" s="482"/>
      <c r="AS10" s="482"/>
      <c r="AT10" s="482"/>
      <c r="AU10" s="482"/>
      <c r="AV10" s="482"/>
      <c r="AW10" s="482"/>
      <c r="AX10" s="482"/>
      <c r="AY10" s="482"/>
      <c r="AZ10" s="482"/>
      <c r="BA10" s="482"/>
      <c r="BB10" s="482"/>
      <c r="BC10" s="482"/>
      <c r="BD10" s="482"/>
      <c r="BE10" s="482"/>
      <c r="BF10" s="482"/>
      <c r="BG10" s="482"/>
      <c r="BH10" s="482"/>
      <c r="BI10" s="482"/>
      <c r="BJ10" s="482"/>
      <c r="BK10" s="482"/>
      <c r="BL10" s="482"/>
      <c r="BM10" s="482"/>
      <c r="BN10" s="482"/>
      <c r="BO10" s="482"/>
      <c r="BP10" s="482"/>
      <c r="BQ10" s="482"/>
      <c r="BR10" s="482"/>
      <c r="BS10" s="482"/>
      <c r="BT10" s="482"/>
      <c r="BU10" s="482"/>
      <c r="BV10" s="482"/>
      <c r="BW10" s="482"/>
      <c r="BX10" s="482"/>
      <c r="BY10" s="482"/>
      <c r="BZ10" s="482"/>
      <c r="CA10" s="482"/>
      <c r="CB10" s="482"/>
      <c r="CC10" s="482"/>
      <c r="CD10" s="482"/>
      <c r="CE10" s="482"/>
      <c r="CF10" s="482"/>
      <c r="CG10" s="482"/>
      <c r="CH10" s="482"/>
      <c r="CI10" s="482"/>
    </row>
    <row r="11" spans="1:87" ht="12.75" customHeight="1">
      <c r="A11" s="2694" t="s">
        <v>385</v>
      </c>
      <c r="B11" s="2696" t="s">
        <v>792</v>
      </c>
      <c r="C11" s="2696" t="s">
        <v>793</v>
      </c>
      <c r="D11" s="2698" t="s">
        <v>387</v>
      </c>
      <c r="E11" s="493" t="s">
        <v>388</v>
      </c>
      <c r="F11" s="492" t="s">
        <v>2649</v>
      </c>
      <c r="G11" s="494"/>
      <c r="H11" s="491"/>
      <c r="I11" s="493"/>
      <c r="J11" s="492" t="s">
        <v>389</v>
      </c>
      <c r="K11" s="491"/>
      <c r="L11" s="2696" t="s">
        <v>390</v>
      </c>
      <c r="M11" s="482"/>
      <c r="N11" s="482"/>
      <c r="O11" s="482"/>
      <c r="P11" s="482"/>
      <c r="Q11" s="482"/>
      <c r="R11" s="482"/>
      <c r="S11" s="482"/>
      <c r="T11" s="482"/>
      <c r="U11" s="482"/>
      <c r="V11" s="482"/>
      <c r="W11" s="482"/>
      <c r="X11" s="482"/>
      <c r="Y11" s="482"/>
      <c r="Z11" s="482"/>
      <c r="AA11" s="482"/>
      <c r="AB11" s="482"/>
      <c r="AC11" s="482"/>
      <c r="AD11" s="482"/>
      <c r="AE11" s="482"/>
      <c r="AF11" s="482"/>
      <c r="AG11" s="482"/>
      <c r="AH11" s="482"/>
      <c r="AI11" s="482"/>
      <c r="AJ11" s="482"/>
      <c r="AK11" s="482"/>
      <c r="AL11" s="482"/>
      <c r="AM11" s="482"/>
      <c r="AN11" s="482"/>
      <c r="AO11" s="482"/>
      <c r="AP11" s="482"/>
      <c r="AQ11" s="482"/>
      <c r="AR11" s="482"/>
      <c r="AS11" s="482"/>
      <c r="AT11" s="482"/>
      <c r="AU11" s="482"/>
      <c r="AV11" s="482"/>
      <c r="AW11" s="482"/>
      <c r="AX11" s="482"/>
      <c r="AY11" s="482"/>
      <c r="AZ11" s="482"/>
      <c r="BA11" s="482"/>
      <c r="BB11" s="482"/>
      <c r="BC11" s="482"/>
      <c r="BD11" s="482"/>
      <c r="BE11" s="482"/>
      <c r="BF11" s="482"/>
      <c r="BG11" s="482"/>
      <c r="BH11" s="482"/>
      <c r="BI11" s="482"/>
      <c r="BJ11" s="482"/>
      <c r="BK11" s="482"/>
      <c r="BL11" s="482"/>
      <c r="BM11" s="482"/>
      <c r="BN11" s="482"/>
      <c r="BO11" s="482"/>
      <c r="BP11" s="482"/>
      <c r="BQ11" s="482"/>
      <c r="BR11" s="482"/>
      <c r="BS11" s="482"/>
      <c r="BT11" s="482"/>
      <c r="BU11" s="482"/>
      <c r="BV11" s="482"/>
      <c r="BW11" s="482"/>
      <c r="BX11" s="482"/>
      <c r="BY11" s="482"/>
      <c r="BZ11" s="482"/>
      <c r="CA11" s="482"/>
      <c r="CB11" s="482"/>
      <c r="CC11" s="482"/>
      <c r="CD11" s="482"/>
      <c r="CE11" s="482"/>
      <c r="CF11" s="482"/>
      <c r="CG11" s="482"/>
      <c r="CH11" s="482"/>
      <c r="CI11" s="482"/>
    </row>
    <row r="12" spans="1:87" ht="65.25" customHeight="1">
      <c r="A12" s="2695"/>
      <c r="B12" s="2697"/>
      <c r="C12" s="2697"/>
      <c r="D12" s="2699"/>
      <c r="E12" s="490" t="s">
        <v>1783</v>
      </c>
      <c r="F12" s="490" t="s">
        <v>391</v>
      </c>
      <c r="G12" s="490" t="s">
        <v>794</v>
      </c>
      <c r="H12" s="490" t="s">
        <v>795</v>
      </c>
      <c r="I12" s="964" t="s">
        <v>382</v>
      </c>
      <c r="J12" s="964" t="s">
        <v>392</v>
      </c>
      <c r="K12" s="490" t="s">
        <v>796</v>
      </c>
      <c r="L12" s="2697"/>
      <c r="M12" s="482"/>
      <c r="N12" s="482"/>
      <c r="O12" s="482"/>
      <c r="P12" s="482"/>
      <c r="Q12" s="482"/>
      <c r="R12" s="482"/>
      <c r="S12" s="482"/>
      <c r="T12" s="482"/>
      <c r="U12" s="482"/>
      <c r="V12" s="482"/>
      <c r="W12" s="482"/>
      <c r="X12" s="482"/>
      <c r="Y12" s="482"/>
      <c r="Z12" s="482"/>
      <c r="AA12" s="482"/>
      <c r="AB12" s="482"/>
      <c r="AC12" s="482"/>
      <c r="AD12" s="482"/>
      <c r="AE12" s="482"/>
      <c r="AF12" s="482"/>
      <c r="AG12" s="482"/>
      <c r="AH12" s="482"/>
      <c r="AI12" s="482"/>
      <c r="AJ12" s="482"/>
      <c r="AK12" s="482"/>
      <c r="AL12" s="482"/>
      <c r="AM12" s="482"/>
      <c r="AN12" s="482"/>
      <c r="AO12" s="482"/>
      <c r="AP12" s="482"/>
      <c r="AQ12" s="482"/>
      <c r="AR12" s="482"/>
      <c r="AS12" s="482"/>
      <c r="AT12" s="482"/>
      <c r="AU12" s="482"/>
      <c r="AV12" s="482"/>
      <c r="AW12" s="482"/>
      <c r="AX12" s="482"/>
      <c r="AY12" s="482"/>
      <c r="AZ12" s="482"/>
      <c r="BA12" s="482"/>
      <c r="BB12" s="482"/>
      <c r="BC12" s="482"/>
      <c r="BD12" s="482"/>
      <c r="BE12" s="482"/>
      <c r="BF12" s="482"/>
      <c r="BG12" s="482"/>
      <c r="BH12" s="482"/>
      <c r="BI12" s="482"/>
      <c r="BJ12" s="482"/>
      <c r="BK12" s="482"/>
      <c r="BL12" s="482"/>
      <c r="BM12" s="482"/>
      <c r="BN12" s="482"/>
      <c r="BO12" s="482"/>
      <c r="BP12" s="482"/>
      <c r="BQ12" s="482"/>
      <c r="BR12" s="482"/>
      <c r="BS12" s="482"/>
      <c r="BT12" s="482"/>
      <c r="BU12" s="482"/>
      <c r="BV12" s="482"/>
      <c r="BW12" s="482"/>
      <c r="BX12" s="482"/>
      <c r="BY12" s="482"/>
      <c r="BZ12" s="482"/>
      <c r="CA12" s="482"/>
      <c r="CB12" s="482"/>
      <c r="CC12" s="482"/>
      <c r="CD12" s="482"/>
      <c r="CE12" s="482"/>
      <c r="CF12" s="482"/>
      <c r="CG12" s="482"/>
      <c r="CH12" s="482"/>
      <c r="CI12" s="482"/>
    </row>
    <row r="13" spans="1:87" s="484" customFormat="1" ht="12" hidden="1" customHeight="1">
      <c r="A13" s="745">
        <v>39232</v>
      </c>
      <c r="B13" s="746" t="s">
        <v>797</v>
      </c>
      <c r="C13" s="747">
        <v>28</v>
      </c>
      <c r="D13" s="745">
        <v>39260</v>
      </c>
      <c r="E13" s="748">
        <v>80</v>
      </c>
      <c r="F13" s="748">
        <v>43.883400000000002</v>
      </c>
      <c r="G13" s="748">
        <v>43.833399999999997</v>
      </c>
      <c r="H13" s="748">
        <v>-5.1843999999999992</v>
      </c>
      <c r="I13" s="749">
        <v>0.11020000000000001</v>
      </c>
      <c r="J13" s="749">
        <v>0.1168</v>
      </c>
      <c r="K13" s="749">
        <v>0.11409999999999999</v>
      </c>
      <c r="L13" s="747">
        <v>11</v>
      </c>
      <c r="M13" s="482"/>
      <c r="N13" s="482"/>
      <c r="O13" s="482"/>
      <c r="P13" s="482"/>
      <c r="Q13" s="482"/>
      <c r="R13" s="482"/>
      <c r="S13" s="482"/>
      <c r="T13" s="482"/>
      <c r="U13" s="482"/>
      <c r="V13" s="482"/>
      <c r="W13" s="482"/>
      <c r="X13" s="482"/>
      <c r="Y13" s="482"/>
      <c r="Z13" s="482"/>
      <c r="AA13" s="482"/>
      <c r="AB13" s="482"/>
      <c r="AC13" s="482"/>
      <c r="AD13" s="482"/>
      <c r="AE13" s="482"/>
      <c r="AF13" s="482"/>
      <c r="AG13" s="482"/>
      <c r="AH13" s="482"/>
      <c r="AI13" s="482"/>
      <c r="AJ13" s="482"/>
      <c r="AK13" s="482"/>
      <c r="AL13" s="482"/>
      <c r="AM13" s="482"/>
      <c r="AN13" s="482"/>
      <c r="AO13" s="482"/>
      <c r="AP13" s="482"/>
      <c r="AQ13" s="482"/>
      <c r="AR13" s="482"/>
      <c r="AS13" s="482"/>
      <c r="AT13" s="482"/>
      <c r="AU13" s="482"/>
      <c r="AV13" s="482"/>
      <c r="AW13" s="482"/>
      <c r="AX13" s="482"/>
      <c r="AY13" s="482"/>
      <c r="AZ13" s="482"/>
      <c r="BA13" s="482"/>
      <c r="BB13" s="482"/>
      <c r="BC13" s="482"/>
      <c r="BD13" s="482"/>
      <c r="BE13" s="482"/>
      <c r="BF13" s="482"/>
      <c r="BG13" s="482"/>
      <c r="BH13" s="482"/>
      <c r="BI13" s="482"/>
      <c r="BJ13" s="482"/>
      <c r="BK13" s="482"/>
      <c r="BL13" s="482"/>
      <c r="BM13" s="482"/>
      <c r="BN13" s="482"/>
      <c r="BO13" s="482"/>
      <c r="BP13" s="482"/>
      <c r="BQ13" s="482"/>
      <c r="BR13" s="482"/>
      <c r="BS13" s="482"/>
      <c r="BT13" s="482"/>
      <c r="BU13" s="482"/>
      <c r="BV13" s="482"/>
      <c r="BW13" s="482"/>
      <c r="BX13" s="482"/>
      <c r="BY13" s="482"/>
      <c r="BZ13" s="482"/>
      <c r="CA13" s="482"/>
      <c r="CB13" s="482"/>
      <c r="CC13" s="482"/>
      <c r="CD13" s="482"/>
      <c r="CE13" s="482"/>
      <c r="CF13" s="482"/>
      <c r="CG13" s="482"/>
      <c r="CH13" s="482"/>
      <c r="CI13" s="482"/>
    </row>
    <row r="14" spans="1:87" s="484" customFormat="1" ht="12" hidden="1" customHeight="1">
      <c r="A14" s="745">
        <v>39239</v>
      </c>
      <c r="B14" s="746" t="s">
        <v>798</v>
      </c>
      <c r="C14" s="747">
        <v>28</v>
      </c>
      <c r="D14" s="745">
        <v>39267</v>
      </c>
      <c r="E14" s="748">
        <v>60</v>
      </c>
      <c r="F14" s="748">
        <v>27.360399999999998</v>
      </c>
      <c r="G14" s="748">
        <v>27.360399999999998</v>
      </c>
      <c r="H14" s="748">
        <v>-1.1000000000000001</v>
      </c>
      <c r="I14" s="749">
        <v>0.11409999999999999</v>
      </c>
      <c r="J14" s="749">
        <v>0.11940000000000001</v>
      </c>
      <c r="K14" s="749">
        <v>0.11550000000000001</v>
      </c>
      <c r="L14" s="747">
        <v>11</v>
      </c>
      <c r="M14" s="482"/>
      <c r="N14" s="482"/>
      <c r="O14" s="482"/>
      <c r="P14" s="482"/>
      <c r="Q14" s="482"/>
      <c r="R14" s="482"/>
      <c r="S14" s="482"/>
      <c r="T14" s="482"/>
      <c r="U14" s="482"/>
      <c r="V14" s="482"/>
      <c r="W14" s="482"/>
      <c r="X14" s="482"/>
      <c r="Y14" s="482"/>
      <c r="Z14" s="482"/>
      <c r="AA14" s="482"/>
      <c r="AB14" s="482"/>
      <c r="AC14" s="482"/>
      <c r="AD14" s="482"/>
      <c r="AE14" s="482"/>
      <c r="AF14" s="482"/>
      <c r="AG14" s="482"/>
      <c r="AH14" s="482"/>
      <c r="AI14" s="482"/>
      <c r="AJ14" s="482"/>
      <c r="AK14" s="482"/>
      <c r="AL14" s="482"/>
      <c r="AM14" s="482"/>
      <c r="AN14" s="482"/>
      <c r="AO14" s="482"/>
      <c r="AP14" s="482"/>
      <c r="AQ14" s="482"/>
      <c r="AR14" s="482"/>
      <c r="AS14" s="482"/>
      <c r="AT14" s="482"/>
      <c r="AU14" s="482"/>
      <c r="AV14" s="482"/>
      <c r="AW14" s="482"/>
      <c r="AX14" s="482"/>
      <c r="AY14" s="482"/>
      <c r="AZ14" s="482"/>
      <c r="BA14" s="482"/>
      <c r="BB14" s="482"/>
      <c r="BC14" s="482"/>
      <c r="BD14" s="482"/>
      <c r="BE14" s="482"/>
      <c r="BF14" s="482"/>
      <c r="BG14" s="482"/>
      <c r="BH14" s="482"/>
      <c r="BI14" s="482"/>
      <c r="BJ14" s="482"/>
      <c r="BK14" s="482"/>
      <c r="BL14" s="482"/>
      <c r="BM14" s="482"/>
      <c r="BN14" s="482"/>
      <c r="BO14" s="482"/>
      <c r="BP14" s="482"/>
      <c r="BQ14" s="482"/>
      <c r="BR14" s="482"/>
      <c r="BS14" s="482"/>
      <c r="BT14" s="482"/>
      <c r="BU14" s="482"/>
      <c r="BV14" s="482"/>
      <c r="BW14" s="482"/>
      <c r="BX14" s="482"/>
      <c r="BY14" s="482"/>
      <c r="BZ14" s="482"/>
      <c r="CA14" s="482"/>
      <c r="CB14" s="482"/>
      <c r="CC14" s="482"/>
      <c r="CD14" s="482"/>
      <c r="CE14" s="482"/>
      <c r="CF14" s="482"/>
      <c r="CG14" s="482"/>
      <c r="CH14" s="482"/>
      <c r="CI14" s="482"/>
    </row>
    <row r="15" spans="1:87" s="484" customFormat="1" ht="12" hidden="1" customHeight="1">
      <c r="A15" s="745">
        <v>39246</v>
      </c>
      <c r="B15" s="746" t="s">
        <v>799</v>
      </c>
      <c r="C15" s="747">
        <v>28</v>
      </c>
      <c r="D15" s="745">
        <v>39274</v>
      </c>
      <c r="E15" s="748">
        <v>60</v>
      </c>
      <c r="F15" s="748">
        <v>21.664999999999999</v>
      </c>
      <c r="G15" s="748">
        <v>21.664999999999999</v>
      </c>
      <c r="H15" s="748">
        <v>6.9011999999999993</v>
      </c>
      <c r="I15" s="749">
        <v>0.11550000000000001</v>
      </c>
      <c r="J15" s="749">
        <v>0.11550000000000001</v>
      </c>
      <c r="K15" s="749">
        <v>0.11550000000000001</v>
      </c>
      <c r="L15" s="747">
        <v>8</v>
      </c>
      <c r="M15" s="482"/>
      <c r="N15" s="482"/>
      <c r="O15" s="482"/>
      <c r="P15" s="482"/>
      <c r="Q15" s="482"/>
      <c r="R15" s="482"/>
      <c r="S15" s="482"/>
      <c r="T15" s="482"/>
      <c r="U15" s="482"/>
      <c r="V15" s="482"/>
      <c r="W15" s="482"/>
      <c r="X15" s="482"/>
      <c r="Y15" s="482"/>
      <c r="Z15" s="482"/>
      <c r="AA15" s="482"/>
      <c r="AB15" s="482"/>
      <c r="AC15" s="482"/>
      <c r="AD15" s="482"/>
      <c r="AE15" s="482"/>
      <c r="AF15" s="482"/>
      <c r="AG15" s="482"/>
      <c r="AH15" s="482"/>
      <c r="AI15" s="482"/>
      <c r="AJ15" s="482"/>
      <c r="AK15" s="482"/>
      <c r="AL15" s="482"/>
      <c r="AM15" s="482"/>
      <c r="AN15" s="482"/>
      <c r="AO15" s="482"/>
      <c r="AP15" s="482"/>
      <c r="AQ15" s="482"/>
      <c r="AR15" s="482"/>
      <c r="AS15" s="482"/>
      <c r="AT15" s="482"/>
      <c r="AU15" s="482"/>
      <c r="AV15" s="482"/>
      <c r="AW15" s="482"/>
      <c r="AX15" s="482"/>
      <c r="AY15" s="482"/>
      <c r="AZ15" s="482"/>
      <c r="BA15" s="482"/>
      <c r="BB15" s="482"/>
      <c r="BC15" s="482"/>
      <c r="BD15" s="482"/>
      <c r="BE15" s="482"/>
      <c r="BF15" s="482"/>
      <c r="BG15" s="482"/>
      <c r="BH15" s="482"/>
      <c r="BI15" s="482"/>
      <c r="BJ15" s="482"/>
      <c r="BK15" s="482"/>
      <c r="BL15" s="482"/>
      <c r="BM15" s="482"/>
      <c r="BN15" s="482"/>
      <c r="BO15" s="482"/>
      <c r="BP15" s="482"/>
      <c r="BQ15" s="482"/>
      <c r="BR15" s="482"/>
      <c r="BS15" s="482"/>
      <c r="BT15" s="482"/>
      <c r="BU15" s="482"/>
      <c r="BV15" s="482"/>
      <c r="BW15" s="482"/>
      <c r="BX15" s="482"/>
      <c r="BY15" s="482"/>
      <c r="BZ15" s="482"/>
      <c r="CA15" s="482"/>
      <c r="CB15" s="482"/>
      <c r="CC15" s="482"/>
      <c r="CD15" s="482"/>
      <c r="CE15" s="482"/>
      <c r="CF15" s="482"/>
      <c r="CG15" s="482"/>
      <c r="CH15" s="482"/>
      <c r="CI15" s="482"/>
    </row>
    <row r="16" spans="1:87" s="484" customFormat="1" ht="12" hidden="1" customHeight="1">
      <c r="A16" s="745">
        <v>39253</v>
      </c>
      <c r="B16" s="746" t="s">
        <v>800</v>
      </c>
      <c r="C16" s="747">
        <v>28</v>
      </c>
      <c r="D16" s="745">
        <v>39281</v>
      </c>
      <c r="E16" s="748">
        <v>60</v>
      </c>
      <c r="F16" s="748">
        <v>42.177399999999999</v>
      </c>
      <c r="G16" s="748">
        <v>42.177399999999999</v>
      </c>
      <c r="H16" s="748">
        <v>-1.2931999999999999</v>
      </c>
      <c r="I16" s="749">
        <v>0.11409999999999999</v>
      </c>
      <c r="J16" s="749">
        <v>0.1181</v>
      </c>
      <c r="K16" s="749">
        <v>0.11550000000000001</v>
      </c>
      <c r="L16" s="747">
        <v>9</v>
      </c>
      <c r="M16" s="482"/>
      <c r="N16" s="482"/>
      <c r="O16" s="482"/>
      <c r="P16" s="482"/>
      <c r="Q16" s="482"/>
      <c r="R16" s="482"/>
      <c r="S16" s="482"/>
      <c r="T16" s="482"/>
      <c r="U16" s="482"/>
      <c r="V16" s="482"/>
      <c r="W16" s="482"/>
      <c r="X16" s="482"/>
      <c r="Y16" s="482"/>
      <c r="Z16" s="482"/>
      <c r="AA16" s="482"/>
      <c r="AB16" s="482"/>
      <c r="AC16" s="482"/>
      <c r="AD16" s="482"/>
      <c r="AE16" s="482"/>
      <c r="AF16" s="482"/>
      <c r="AG16" s="482"/>
      <c r="AH16" s="482"/>
      <c r="AI16" s="482"/>
      <c r="AJ16" s="482"/>
      <c r="AK16" s="482"/>
      <c r="AL16" s="482"/>
      <c r="AM16" s="482"/>
      <c r="AN16" s="482"/>
      <c r="AO16" s="482"/>
      <c r="AP16" s="482"/>
      <c r="AQ16" s="482"/>
      <c r="AR16" s="482"/>
      <c r="AS16" s="482"/>
      <c r="AT16" s="482"/>
      <c r="AU16" s="482"/>
      <c r="AV16" s="482"/>
      <c r="AW16" s="482"/>
      <c r="AX16" s="482"/>
      <c r="AY16" s="482"/>
      <c r="AZ16" s="482"/>
      <c r="BA16" s="482"/>
      <c r="BB16" s="482"/>
      <c r="BC16" s="482"/>
      <c r="BD16" s="482"/>
      <c r="BE16" s="482"/>
      <c r="BF16" s="482"/>
      <c r="BG16" s="482"/>
      <c r="BH16" s="482"/>
      <c r="BI16" s="482"/>
      <c r="BJ16" s="482"/>
      <c r="BK16" s="482"/>
      <c r="BL16" s="482"/>
      <c r="BM16" s="482"/>
      <c r="BN16" s="482"/>
      <c r="BO16" s="482"/>
      <c r="BP16" s="482"/>
      <c r="BQ16" s="482"/>
      <c r="BR16" s="482"/>
      <c r="BS16" s="482"/>
      <c r="BT16" s="482"/>
      <c r="BU16" s="482"/>
      <c r="BV16" s="482"/>
      <c r="BW16" s="482"/>
      <c r="BX16" s="482"/>
      <c r="BY16" s="482"/>
      <c r="BZ16" s="482"/>
      <c r="CA16" s="482"/>
      <c r="CB16" s="482"/>
      <c r="CC16" s="482"/>
      <c r="CD16" s="482"/>
      <c r="CE16" s="482"/>
      <c r="CF16" s="482"/>
      <c r="CG16" s="482"/>
      <c r="CH16" s="482"/>
      <c r="CI16" s="482"/>
    </row>
    <row r="17" spans="1:87" s="484" customFormat="1" ht="12" hidden="1" customHeight="1">
      <c r="A17" s="745">
        <v>39260</v>
      </c>
      <c r="B17" s="746" t="s">
        <v>801</v>
      </c>
      <c r="C17" s="747">
        <v>28</v>
      </c>
      <c r="D17" s="745">
        <v>39288</v>
      </c>
      <c r="E17" s="748">
        <v>60</v>
      </c>
      <c r="F17" s="748">
        <v>31.546600000000002</v>
      </c>
      <c r="G17" s="748">
        <v>31.546599999999998</v>
      </c>
      <c r="H17" s="748">
        <v>-1.5131999999999999</v>
      </c>
      <c r="I17" s="749">
        <v>0.11550000000000001</v>
      </c>
      <c r="J17" s="749">
        <v>0.11940000000000001</v>
      </c>
      <c r="K17" s="749">
        <v>0.1168</v>
      </c>
      <c r="L17" s="747">
        <v>11</v>
      </c>
      <c r="M17" s="482"/>
      <c r="N17" s="482"/>
      <c r="O17" s="482"/>
      <c r="P17" s="482"/>
      <c r="Q17" s="482"/>
      <c r="R17" s="482"/>
      <c r="S17" s="482"/>
      <c r="T17" s="482"/>
      <c r="U17" s="482"/>
      <c r="V17" s="482"/>
      <c r="W17" s="482"/>
      <c r="X17" s="482"/>
      <c r="Y17" s="482"/>
      <c r="Z17" s="482"/>
      <c r="AA17" s="482"/>
      <c r="AB17" s="482"/>
      <c r="AC17" s="482"/>
      <c r="AD17" s="482"/>
      <c r="AE17" s="482"/>
      <c r="AF17" s="482"/>
      <c r="AG17" s="482"/>
      <c r="AH17" s="482"/>
      <c r="AI17" s="482"/>
      <c r="AJ17" s="482"/>
      <c r="AK17" s="482"/>
      <c r="AL17" s="482"/>
      <c r="AM17" s="482"/>
      <c r="AN17" s="482"/>
      <c r="AO17" s="482"/>
      <c r="AP17" s="482"/>
      <c r="AQ17" s="482"/>
      <c r="AR17" s="482"/>
      <c r="AS17" s="482"/>
      <c r="AT17" s="482"/>
      <c r="AU17" s="482"/>
      <c r="AV17" s="482"/>
      <c r="AW17" s="482"/>
      <c r="AX17" s="482"/>
      <c r="AY17" s="482"/>
      <c r="AZ17" s="482"/>
      <c r="BA17" s="482"/>
      <c r="BB17" s="482"/>
      <c r="BC17" s="482"/>
      <c r="BD17" s="482"/>
      <c r="BE17" s="482"/>
      <c r="BF17" s="482"/>
      <c r="BG17" s="482"/>
      <c r="BH17" s="482"/>
      <c r="BI17" s="482"/>
      <c r="BJ17" s="482"/>
      <c r="BK17" s="482"/>
      <c r="BL17" s="482"/>
      <c r="BM17" s="482"/>
      <c r="BN17" s="482"/>
      <c r="BO17" s="482"/>
      <c r="BP17" s="482"/>
      <c r="BQ17" s="482"/>
      <c r="BR17" s="482"/>
      <c r="BS17" s="482"/>
      <c r="BT17" s="482"/>
      <c r="BU17" s="482"/>
      <c r="BV17" s="482"/>
      <c r="BW17" s="482"/>
      <c r="BX17" s="482"/>
      <c r="BY17" s="482"/>
      <c r="BZ17" s="482"/>
      <c r="CA17" s="482"/>
      <c r="CB17" s="482"/>
      <c r="CC17" s="482"/>
      <c r="CD17" s="482"/>
      <c r="CE17" s="482"/>
      <c r="CF17" s="482"/>
      <c r="CG17" s="482"/>
      <c r="CH17" s="482"/>
      <c r="CI17" s="482"/>
    </row>
    <row r="18" spans="1:87" s="484" customFormat="1" ht="12" hidden="1" customHeight="1">
      <c r="A18" s="745">
        <v>39267</v>
      </c>
      <c r="B18" s="746" t="s">
        <v>802</v>
      </c>
      <c r="C18" s="747">
        <v>28</v>
      </c>
      <c r="D18" s="745">
        <v>39295</v>
      </c>
      <c r="E18" s="748">
        <v>60</v>
      </c>
      <c r="F18" s="748">
        <v>43.3322</v>
      </c>
      <c r="G18" s="748">
        <v>43.3322</v>
      </c>
      <c r="H18" s="748">
        <v>9.3163999999999998</v>
      </c>
      <c r="I18" s="749">
        <v>0.11550000000000001</v>
      </c>
      <c r="J18" s="749">
        <v>0.1207</v>
      </c>
      <c r="K18" s="749">
        <v>0.1181</v>
      </c>
      <c r="L18" s="747">
        <v>10</v>
      </c>
      <c r="M18" s="482"/>
      <c r="N18" s="482"/>
      <c r="O18" s="482"/>
      <c r="P18" s="482"/>
      <c r="Q18" s="482"/>
      <c r="R18" s="482"/>
      <c r="S18" s="482"/>
      <c r="T18" s="482"/>
      <c r="U18" s="482"/>
      <c r="V18" s="482"/>
      <c r="W18" s="482"/>
      <c r="X18" s="482"/>
      <c r="Y18" s="482"/>
      <c r="Z18" s="482"/>
      <c r="AA18" s="482"/>
      <c r="AB18" s="482"/>
      <c r="AC18" s="482"/>
      <c r="AD18" s="482"/>
      <c r="AE18" s="482"/>
      <c r="AF18" s="482"/>
      <c r="AG18" s="482"/>
      <c r="AH18" s="482"/>
      <c r="AI18" s="482"/>
      <c r="AJ18" s="482"/>
      <c r="AK18" s="482"/>
      <c r="AL18" s="482"/>
      <c r="AM18" s="482"/>
      <c r="AN18" s="482"/>
      <c r="AO18" s="482"/>
      <c r="AP18" s="482"/>
      <c r="AQ18" s="482"/>
      <c r="AR18" s="482"/>
      <c r="AS18" s="482"/>
      <c r="AT18" s="482"/>
      <c r="AU18" s="482"/>
      <c r="AV18" s="482"/>
      <c r="AW18" s="482"/>
      <c r="AX18" s="482"/>
      <c r="AY18" s="482"/>
      <c r="AZ18" s="482"/>
      <c r="BA18" s="482"/>
      <c r="BB18" s="482"/>
      <c r="BC18" s="482"/>
      <c r="BD18" s="482"/>
      <c r="BE18" s="482"/>
      <c r="BF18" s="482"/>
      <c r="BG18" s="482"/>
      <c r="BH18" s="482"/>
      <c r="BI18" s="482"/>
      <c r="BJ18" s="482"/>
      <c r="BK18" s="482"/>
      <c r="BL18" s="482"/>
      <c r="BM18" s="482"/>
      <c r="BN18" s="482"/>
      <c r="BO18" s="482"/>
      <c r="BP18" s="482"/>
      <c r="BQ18" s="482"/>
      <c r="BR18" s="482"/>
      <c r="BS18" s="482"/>
      <c r="BT18" s="482"/>
      <c r="BU18" s="482"/>
      <c r="BV18" s="482"/>
      <c r="BW18" s="482"/>
      <c r="BX18" s="482"/>
      <c r="BY18" s="482"/>
      <c r="BZ18" s="482"/>
      <c r="CA18" s="482"/>
      <c r="CB18" s="482"/>
      <c r="CC18" s="482"/>
      <c r="CD18" s="482"/>
      <c r="CE18" s="482"/>
      <c r="CF18" s="482"/>
      <c r="CG18" s="482"/>
      <c r="CH18" s="482"/>
      <c r="CI18" s="482"/>
    </row>
    <row r="19" spans="1:87" s="484" customFormat="1" ht="12" hidden="1" customHeight="1">
      <c r="A19" s="745">
        <v>39274</v>
      </c>
      <c r="B19" s="746" t="s">
        <v>803</v>
      </c>
      <c r="C19" s="747">
        <v>28</v>
      </c>
      <c r="D19" s="745">
        <v>39302</v>
      </c>
      <c r="E19" s="748">
        <v>60</v>
      </c>
      <c r="F19" s="748">
        <v>52.108600000000003</v>
      </c>
      <c r="G19" s="748">
        <v>30.816400000000002</v>
      </c>
      <c r="H19" s="748">
        <v>7.0094000000000003</v>
      </c>
      <c r="I19" s="749">
        <v>0.1168</v>
      </c>
      <c r="J19" s="749">
        <v>0.11940000000000001</v>
      </c>
      <c r="K19" s="749">
        <v>0.1181</v>
      </c>
      <c r="L19" s="747">
        <v>12</v>
      </c>
      <c r="M19" s="482"/>
      <c r="N19" s="482"/>
      <c r="O19" s="482"/>
      <c r="P19" s="482"/>
      <c r="Q19" s="482"/>
      <c r="R19" s="482"/>
      <c r="S19" s="482"/>
      <c r="T19" s="482"/>
      <c r="U19" s="482"/>
      <c r="V19" s="482"/>
      <c r="W19" s="482"/>
      <c r="X19" s="482"/>
      <c r="Y19" s="482"/>
      <c r="Z19" s="482"/>
      <c r="AA19" s="482"/>
      <c r="AB19" s="482"/>
      <c r="AC19" s="482"/>
      <c r="AD19" s="482"/>
      <c r="AE19" s="482"/>
      <c r="AF19" s="482"/>
      <c r="AG19" s="482"/>
      <c r="AH19" s="482"/>
      <c r="AI19" s="482"/>
      <c r="AJ19" s="482"/>
      <c r="AK19" s="482"/>
      <c r="AL19" s="482"/>
      <c r="AM19" s="482"/>
      <c r="AN19" s="482"/>
      <c r="AO19" s="482"/>
      <c r="AP19" s="482"/>
      <c r="AQ19" s="482"/>
      <c r="AR19" s="482"/>
      <c r="AS19" s="482"/>
      <c r="AT19" s="482"/>
      <c r="AU19" s="482"/>
      <c r="AV19" s="482"/>
      <c r="AW19" s="482"/>
      <c r="AX19" s="482"/>
      <c r="AY19" s="482"/>
      <c r="AZ19" s="482"/>
      <c r="BA19" s="482"/>
      <c r="BB19" s="482"/>
      <c r="BC19" s="482"/>
      <c r="BD19" s="482"/>
      <c r="BE19" s="482"/>
      <c r="BF19" s="482"/>
      <c r="BG19" s="482"/>
      <c r="BH19" s="482"/>
      <c r="BI19" s="482"/>
      <c r="BJ19" s="482"/>
      <c r="BK19" s="482"/>
      <c r="BL19" s="482"/>
      <c r="BM19" s="482"/>
      <c r="BN19" s="482"/>
      <c r="BO19" s="482"/>
      <c r="BP19" s="482"/>
      <c r="BQ19" s="482"/>
      <c r="BR19" s="482"/>
      <c r="BS19" s="482"/>
      <c r="BT19" s="482"/>
      <c r="BU19" s="482"/>
      <c r="BV19" s="482"/>
      <c r="BW19" s="482"/>
      <c r="BX19" s="482"/>
      <c r="BY19" s="482"/>
      <c r="BZ19" s="482"/>
      <c r="CA19" s="482"/>
      <c r="CB19" s="482"/>
      <c r="CC19" s="482"/>
      <c r="CD19" s="482"/>
      <c r="CE19" s="482"/>
      <c r="CF19" s="482"/>
      <c r="CG19" s="482"/>
      <c r="CH19" s="482"/>
      <c r="CI19" s="482"/>
    </row>
    <row r="20" spans="1:87" s="484" customFormat="1" ht="12" hidden="1" customHeight="1">
      <c r="A20" s="745">
        <v>39281</v>
      </c>
      <c r="B20" s="746" t="s">
        <v>804</v>
      </c>
      <c r="C20" s="747">
        <v>28</v>
      </c>
      <c r="D20" s="745">
        <v>39309</v>
      </c>
      <c r="E20" s="748">
        <v>60</v>
      </c>
      <c r="F20" s="748">
        <v>77.185000000000002</v>
      </c>
      <c r="G20" s="748">
        <v>52.193600000000004</v>
      </c>
      <c r="H20" s="748">
        <v>7.8064</v>
      </c>
      <c r="I20" s="749">
        <v>0.11550000000000001</v>
      </c>
      <c r="J20" s="749">
        <v>0.1168</v>
      </c>
      <c r="K20" s="749">
        <v>0.11550000000000001</v>
      </c>
      <c r="L20" s="747">
        <v>4</v>
      </c>
      <c r="M20" s="482"/>
      <c r="N20" s="482"/>
      <c r="O20" s="482"/>
      <c r="P20" s="482"/>
      <c r="Q20" s="482"/>
      <c r="R20" s="482"/>
      <c r="S20" s="482"/>
      <c r="T20" s="482"/>
      <c r="U20" s="482"/>
      <c r="V20" s="482"/>
      <c r="W20" s="482"/>
      <c r="X20" s="482"/>
      <c r="Y20" s="482"/>
      <c r="Z20" s="482"/>
      <c r="AA20" s="482"/>
      <c r="AB20" s="482"/>
      <c r="AC20" s="482"/>
      <c r="AD20" s="482"/>
      <c r="AE20" s="482"/>
      <c r="AF20" s="482"/>
      <c r="AG20" s="482"/>
      <c r="AH20" s="482"/>
      <c r="AI20" s="482"/>
      <c r="AJ20" s="482"/>
      <c r="AK20" s="482"/>
      <c r="AL20" s="482"/>
      <c r="AM20" s="482"/>
      <c r="AN20" s="482"/>
      <c r="AO20" s="482"/>
      <c r="AP20" s="482"/>
      <c r="AQ20" s="482"/>
      <c r="AR20" s="482"/>
      <c r="AS20" s="482"/>
      <c r="AT20" s="482"/>
      <c r="AU20" s="482"/>
      <c r="AV20" s="482"/>
      <c r="AW20" s="482"/>
      <c r="AX20" s="482"/>
      <c r="AY20" s="482"/>
      <c r="AZ20" s="482"/>
      <c r="BA20" s="482"/>
      <c r="BB20" s="482"/>
      <c r="BC20" s="482"/>
      <c r="BD20" s="482"/>
      <c r="BE20" s="482"/>
      <c r="BF20" s="482"/>
      <c r="BG20" s="482"/>
      <c r="BH20" s="482"/>
      <c r="BI20" s="482"/>
      <c r="BJ20" s="482"/>
      <c r="BK20" s="482"/>
      <c r="BL20" s="482"/>
      <c r="BM20" s="482"/>
      <c r="BN20" s="482"/>
      <c r="BO20" s="482"/>
      <c r="BP20" s="482"/>
      <c r="BQ20" s="482"/>
      <c r="BR20" s="482"/>
      <c r="BS20" s="482"/>
      <c r="BT20" s="482"/>
      <c r="BU20" s="482"/>
      <c r="BV20" s="482"/>
      <c r="BW20" s="482"/>
      <c r="BX20" s="482"/>
      <c r="BY20" s="482"/>
      <c r="BZ20" s="482"/>
      <c r="CA20" s="482"/>
      <c r="CB20" s="482"/>
      <c r="CC20" s="482"/>
      <c r="CD20" s="482"/>
      <c r="CE20" s="482"/>
      <c r="CF20" s="482"/>
      <c r="CG20" s="482"/>
      <c r="CH20" s="482"/>
      <c r="CI20" s="482"/>
    </row>
    <row r="21" spans="1:87" s="484" customFormat="1" ht="12" hidden="1" customHeight="1">
      <c r="A21" s="745">
        <v>39288</v>
      </c>
      <c r="B21" s="746" t="s">
        <v>805</v>
      </c>
      <c r="C21" s="747">
        <v>28</v>
      </c>
      <c r="D21" s="745">
        <v>39316</v>
      </c>
      <c r="E21" s="748">
        <v>30</v>
      </c>
      <c r="F21" s="748">
        <v>58.820599999999999</v>
      </c>
      <c r="G21" s="748">
        <v>30</v>
      </c>
      <c r="H21" s="748">
        <v>0</v>
      </c>
      <c r="I21" s="749">
        <v>0.11020000000000001</v>
      </c>
      <c r="J21" s="749">
        <v>0.1128</v>
      </c>
      <c r="K21" s="749">
        <v>0.1115</v>
      </c>
      <c r="L21" s="747">
        <v>8</v>
      </c>
      <c r="M21" s="482"/>
      <c r="N21" s="482"/>
      <c r="O21" s="482"/>
      <c r="P21" s="482"/>
      <c r="Q21" s="482"/>
      <c r="R21" s="482"/>
      <c r="S21" s="482"/>
      <c r="T21" s="482"/>
      <c r="U21" s="482"/>
      <c r="V21" s="482"/>
      <c r="W21" s="482"/>
      <c r="X21" s="482"/>
      <c r="Y21" s="482"/>
      <c r="Z21" s="482"/>
      <c r="AA21" s="482"/>
      <c r="AB21" s="482"/>
      <c r="AC21" s="482"/>
      <c r="AD21" s="482"/>
      <c r="AE21" s="482"/>
      <c r="AF21" s="482"/>
      <c r="AG21" s="482"/>
      <c r="AH21" s="482"/>
      <c r="AI21" s="482"/>
      <c r="AJ21" s="482"/>
      <c r="AK21" s="482"/>
      <c r="AL21" s="482"/>
      <c r="AM21" s="482"/>
      <c r="AN21" s="482"/>
      <c r="AO21" s="482"/>
      <c r="AP21" s="482"/>
      <c r="AQ21" s="482"/>
      <c r="AR21" s="482"/>
      <c r="AS21" s="482"/>
      <c r="AT21" s="482"/>
      <c r="AU21" s="482"/>
      <c r="AV21" s="482"/>
      <c r="AW21" s="482"/>
      <c r="AX21" s="482"/>
      <c r="AY21" s="482"/>
      <c r="AZ21" s="482"/>
      <c r="BA21" s="482"/>
      <c r="BB21" s="482"/>
      <c r="BC21" s="482"/>
      <c r="BD21" s="482"/>
      <c r="BE21" s="482"/>
      <c r="BF21" s="482"/>
      <c r="BG21" s="482"/>
      <c r="BH21" s="482"/>
      <c r="BI21" s="482"/>
      <c r="BJ21" s="482"/>
      <c r="BK21" s="482"/>
      <c r="BL21" s="482"/>
      <c r="BM21" s="482"/>
      <c r="BN21" s="482"/>
      <c r="BO21" s="482"/>
      <c r="BP21" s="482"/>
      <c r="BQ21" s="482"/>
      <c r="BR21" s="482"/>
      <c r="BS21" s="482"/>
      <c r="BT21" s="482"/>
      <c r="BU21" s="482"/>
      <c r="BV21" s="482"/>
      <c r="BW21" s="482"/>
      <c r="BX21" s="482"/>
      <c r="BY21" s="482"/>
      <c r="BZ21" s="482"/>
      <c r="CA21" s="482"/>
      <c r="CB21" s="482"/>
      <c r="CC21" s="482"/>
      <c r="CD21" s="482"/>
      <c r="CE21" s="482"/>
      <c r="CF21" s="482"/>
      <c r="CG21" s="482"/>
      <c r="CH21" s="482"/>
      <c r="CI21" s="482"/>
    </row>
    <row r="22" spans="1:87" s="484" customFormat="1" ht="12" hidden="1" customHeight="1">
      <c r="A22" s="745">
        <v>39295</v>
      </c>
      <c r="B22" s="746" t="s">
        <v>806</v>
      </c>
      <c r="C22" s="747">
        <v>28</v>
      </c>
      <c r="D22" s="745">
        <v>39323</v>
      </c>
      <c r="E22" s="748">
        <v>50</v>
      </c>
      <c r="F22" s="748">
        <v>81.2</v>
      </c>
      <c r="G22" s="748">
        <v>40.612000000000002</v>
      </c>
      <c r="H22" s="748">
        <v>3.8</v>
      </c>
      <c r="I22" s="749">
        <v>0.1037</v>
      </c>
      <c r="J22" s="749">
        <v>0.105</v>
      </c>
      <c r="K22" s="749">
        <v>0.105</v>
      </c>
      <c r="L22" s="747">
        <v>16</v>
      </c>
      <c r="M22" s="482"/>
      <c r="N22" s="482"/>
      <c r="O22" s="482"/>
      <c r="P22" s="482"/>
      <c r="Q22" s="482"/>
      <c r="R22" s="482"/>
      <c r="S22" s="482"/>
      <c r="T22" s="482"/>
      <c r="U22" s="482"/>
      <c r="V22" s="482"/>
      <c r="W22" s="482"/>
      <c r="X22" s="482"/>
      <c r="Y22" s="482"/>
      <c r="Z22" s="482"/>
      <c r="AA22" s="482"/>
      <c r="AB22" s="482"/>
      <c r="AC22" s="482"/>
      <c r="AD22" s="482"/>
      <c r="AE22" s="482"/>
      <c r="AF22" s="482"/>
      <c r="AG22" s="482"/>
      <c r="AH22" s="482"/>
      <c r="AI22" s="482"/>
      <c r="AJ22" s="482"/>
      <c r="AK22" s="482"/>
      <c r="AL22" s="482"/>
      <c r="AM22" s="482"/>
      <c r="AN22" s="482"/>
      <c r="AO22" s="482"/>
      <c r="AP22" s="482"/>
      <c r="AQ22" s="482"/>
      <c r="AR22" s="482"/>
      <c r="AS22" s="482"/>
      <c r="AT22" s="482"/>
      <c r="AU22" s="482"/>
      <c r="AV22" s="482"/>
      <c r="AW22" s="482"/>
      <c r="AX22" s="482"/>
      <c r="AY22" s="482"/>
      <c r="AZ22" s="482"/>
      <c r="BA22" s="482"/>
      <c r="BB22" s="482"/>
      <c r="BC22" s="482"/>
      <c r="BD22" s="482"/>
      <c r="BE22" s="482"/>
      <c r="BF22" s="482"/>
      <c r="BG22" s="482"/>
      <c r="BH22" s="482"/>
      <c r="BI22" s="482"/>
      <c r="BJ22" s="482"/>
      <c r="BK22" s="482"/>
      <c r="BL22" s="482"/>
      <c r="BM22" s="482"/>
      <c r="BN22" s="482"/>
      <c r="BO22" s="482"/>
      <c r="BP22" s="482"/>
      <c r="BQ22" s="482"/>
      <c r="BR22" s="482"/>
      <c r="BS22" s="482"/>
      <c r="BT22" s="482"/>
      <c r="BU22" s="482"/>
      <c r="BV22" s="482"/>
      <c r="BW22" s="482"/>
      <c r="BX22" s="482"/>
      <c r="BY22" s="482"/>
      <c r="BZ22" s="482"/>
      <c r="CA22" s="482"/>
      <c r="CB22" s="482"/>
      <c r="CC22" s="482"/>
      <c r="CD22" s="482"/>
      <c r="CE22" s="482"/>
      <c r="CF22" s="482"/>
      <c r="CG22" s="482"/>
      <c r="CH22" s="482"/>
      <c r="CI22" s="482"/>
    </row>
    <row r="23" spans="1:87" s="484" customFormat="1" ht="12" hidden="1" customHeight="1">
      <c r="A23" s="745">
        <v>39302</v>
      </c>
      <c r="B23" s="746" t="s">
        <v>807</v>
      </c>
      <c r="C23" s="747">
        <v>28</v>
      </c>
      <c r="D23" s="745">
        <v>39330</v>
      </c>
      <c r="E23" s="748">
        <v>40</v>
      </c>
      <c r="F23" s="748">
        <v>74.994200000000006</v>
      </c>
      <c r="G23" s="748">
        <v>30</v>
      </c>
      <c r="H23" s="748">
        <v>0</v>
      </c>
      <c r="I23" s="749">
        <v>9.06E-2</v>
      </c>
      <c r="J23" s="749">
        <v>9.4500000000000001E-2</v>
      </c>
      <c r="K23" s="749">
        <v>9.06E-2</v>
      </c>
      <c r="L23" s="747">
        <v>17</v>
      </c>
      <c r="M23" s="482"/>
      <c r="N23" s="482"/>
      <c r="O23" s="482"/>
      <c r="P23" s="482"/>
      <c r="Q23" s="482"/>
      <c r="R23" s="482"/>
      <c r="S23" s="482"/>
      <c r="T23" s="482"/>
      <c r="U23" s="482"/>
      <c r="V23" s="482"/>
      <c r="W23" s="482"/>
      <c r="X23" s="482"/>
      <c r="Y23" s="482"/>
      <c r="Z23" s="482"/>
      <c r="AA23" s="482"/>
      <c r="AB23" s="482"/>
      <c r="AC23" s="482"/>
      <c r="AD23" s="482"/>
      <c r="AE23" s="482"/>
      <c r="AF23" s="482"/>
      <c r="AG23" s="482"/>
      <c r="AH23" s="482"/>
      <c r="AI23" s="482"/>
      <c r="AJ23" s="482"/>
      <c r="AK23" s="482"/>
      <c r="AL23" s="482"/>
      <c r="AM23" s="482"/>
      <c r="AN23" s="482"/>
      <c r="AO23" s="482"/>
      <c r="AP23" s="482"/>
      <c r="AQ23" s="482"/>
      <c r="AR23" s="482"/>
      <c r="AS23" s="482"/>
      <c r="AT23" s="482"/>
      <c r="AU23" s="482"/>
      <c r="AV23" s="482"/>
      <c r="AW23" s="482"/>
      <c r="AX23" s="482"/>
      <c r="AY23" s="482"/>
      <c r="AZ23" s="482"/>
      <c r="BA23" s="482"/>
      <c r="BB23" s="482"/>
      <c r="BC23" s="482"/>
      <c r="BD23" s="482"/>
      <c r="BE23" s="482"/>
      <c r="BF23" s="482"/>
      <c r="BG23" s="482"/>
      <c r="BH23" s="482"/>
      <c r="BI23" s="482"/>
      <c r="BJ23" s="482"/>
      <c r="BK23" s="482"/>
      <c r="BL23" s="482"/>
      <c r="BM23" s="482"/>
      <c r="BN23" s="482"/>
      <c r="BO23" s="482"/>
      <c r="BP23" s="482"/>
      <c r="BQ23" s="482"/>
      <c r="BR23" s="482"/>
      <c r="BS23" s="482"/>
      <c r="BT23" s="482"/>
      <c r="BU23" s="482"/>
      <c r="BV23" s="482"/>
      <c r="BW23" s="482"/>
      <c r="BX23" s="482"/>
      <c r="BY23" s="482"/>
      <c r="BZ23" s="482"/>
      <c r="CA23" s="482"/>
      <c r="CB23" s="482"/>
      <c r="CC23" s="482"/>
      <c r="CD23" s="482"/>
      <c r="CE23" s="482"/>
      <c r="CF23" s="482"/>
      <c r="CG23" s="482"/>
      <c r="CH23" s="482"/>
      <c r="CI23" s="482"/>
    </row>
    <row r="24" spans="1:87" s="484" customFormat="1" ht="12" hidden="1" customHeight="1">
      <c r="A24" s="745">
        <v>39309</v>
      </c>
      <c r="B24" s="746" t="s">
        <v>808</v>
      </c>
      <c r="C24" s="747">
        <v>28</v>
      </c>
      <c r="D24" s="745">
        <v>39337</v>
      </c>
      <c r="E24" s="748">
        <v>65</v>
      </c>
      <c r="F24" s="748">
        <v>86.950400000000002</v>
      </c>
      <c r="G24" s="748">
        <v>60</v>
      </c>
      <c r="H24" s="748">
        <v>0</v>
      </c>
      <c r="I24" s="749">
        <v>6.9800000000000001E-2</v>
      </c>
      <c r="J24" s="749">
        <v>8.0199999999999994E-2</v>
      </c>
      <c r="K24" s="749">
        <v>7.8899999999999998E-2</v>
      </c>
      <c r="L24" s="747">
        <v>13</v>
      </c>
      <c r="M24" s="482"/>
      <c r="N24" s="482"/>
      <c r="O24" s="482"/>
      <c r="P24" s="482"/>
      <c r="Q24" s="482"/>
      <c r="R24" s="482"/>
      <c r="S24" s="482"/>
      <c r="T24" s="482"/>
      <c r="U24" s="482"/>
      <c r="V24" s="482"/>
      <c r="W24" s="482"/>
      <c r="X24" s="482"/>
      <c r="Y24" s="482"/>
      <c r="Z24" s="482"/>
      <c r="AA24" s="482"/>
      <c r="AB24" s="482"/>
      <c r="AC24" s="482"/>
      <c r="AD24" s="482"/>
      <c r="AE24" s="482"/>
      <c r="AF24" s="482"/>
      <c r="AG24" s="482"/>
      <c r="AH24" s="482"/>
      <c r="AI24" s="482"/>
      <c r="AJ24" s="482"/>
      <c r="AK24" s="482"/>
      <c r="AL24" s="482"/>
      <c r="AM24" s="482"/>
      <c r="AN24" s="482"/>
      <c r="AO24" s="482"/>
      <c r="AP24" s="482"/>
      <c r="AQ24" s="482"/>
      <c r="AR24" s="482"/>
      <c r="AS24" s="482"/>
      <c r="AT24" s="482"/>
      <c r="AU24" s="482"/>
      <c r="AV24" s="482"/>
      <c r="AW24" s="482"/>
      <c r="AX24" s="482"/>
      <c r="AY24" s="482"/>
      <c r="AZ24" s="482"/>
      <c r="BA24" s="482"/>
      <c r="BB24" s="482"/>
      <c r="BC24" s="482"/>
      <c r="BD24" s="482"/>
      <c r="BE24" s="482"/>
      <c r="BF24" s="482"/>
      <c r="BG24" s="482"/>
      <c r="BH24" s="482"/>
      <c r="BI24" s="482"/>
      <c r="BJ24" s="482"/>
      <c r="BK24" s="482"/>
      <c r="BL24" s="482"/>
      <c r="BM24" s="482"/>
      <c r="BN24" s="482"/>
      <c r="BO24" s="482"/>
      <c r="BP24" s="482"/>
      <c r="BQ24" s="482"/>
      <c r="BR24" s="482"/>
      <c r="BS24" s="482"/>
      <c r="BT24" s="482"/>
      <c r="BU24" s="482"/>
      <c r="BV24" s="482"/>
      <c r="BW24" s="482"/>
      <c r="BX24" s="482"/>
      <c r="BY24" s="482"/>
      <c r="BZ24" s="482"/>
      <c r="CA24" s="482"/>
      <c r="CB24" s="482"/>
      <c r="CC24" s="482"/>
      <c r="CD24" s="482"/>
      <c r="CE24" s="482"/>
      <c r="CF24" s="482"/>
      <c r="CG24" s="482"/>
      <c r="CH24" s="482"/>
      <c r="CI24" s="482"/>
    </row>
    <row r="25" spans="1:87" s="484" customFormat="1" ht="12" hidden="1" customHeight="1">
      <c r="A25" s="745">
        <v>39316</v>
      </c>
      <c r="B25" s="746" t="s">
        <v>809</v>
      </c>
      <c r="C25" s="747">
        <v>28</v>
      </c>
      <c r="D25" s="745">
        <v>39344</v>
      </c>
      <c r="E25" s="748">
        <v>30</v>
      </c>
      <c r="F25" s="748">
        <v>42.607799999999997</v>
      </c>
      <c r="G25" s="748">
        <v>30</v>
      </c>
      <c r="H25" s="748">
        <v>0</v>
      </c>
      <c r="I25" s="749">
        <v>5.9400000000000001E-2</v>
      </c>
      <c r="J25" s="749">
        <v>6.8500000000000005E-2</v>
      </c>
      <c r="K25" s="749">
        <v>6.4600000000000005E-2</v>
      </c>
      <c r="L25" s="747">
        <v>10</v>
      </c>
      <c r="M25" s="482"/>
      <c r="N25" s="482"/>
      <c r="O25" s="482"/>
      <c r="P25" s="482"/>
      <c r="Q25" s="482"/>
      <c r="R25" s="482"/>
      <c r="S25" s="482"/>
      <c r="T25" s="482"/>
      <c r="U25" s="482"/>
      <c r="V25" s="482"/>
      <c r="W25" s="482"/>
      <c r="X25" s="482"/>
      <c r="Y25" s="482"/>
      <c r="Z25" s="482"/>
      <c r="AA25" s="482"/>
      <c r="AB25" s="482"/>
      <c r="AC25" s="482"/>
      <c r="AD25" s="482"/>
      <c r="AE25" s="482"/>
      <c r="AF25" s="482"/>
      <c r="AG25" s="482"/>
      <c r="AH25" s="482"/>
      <c r="AI25" s="482"/>
      <c r="AJ25" s="482"/>
      <c r="AK25" s="482"/>
      <c r="AL25" s="482"/>
      <c r="AM25" s="482"/>
      <c r="AN25" s="482"/>
      <c r="AO25" s="482"/>
      <c r="AP25" s="482"/>
      <c r="AQ25" s="482"/>
      <c r="AR25" s="482"/>
      <c r="AS25" s="482"/>
      <c r="AT25" s="482"/>
      <c r="AU25" s="482"/>
      <c r="AV25" s="482"/>
      <c r="AW25" s="482"/>
      <c r="AX25" s="482"/>
      <c r="AY25" s="482"/>
      <c r="AZ25" s="482"/>
      <c r="BA25" s="482"/>
      <c r="BB25" s="482"/>
      <c r="BC25" s="482"/>
      <c r="BD25" s="482"/>
      <c r="BE25" s="482"/>
      <c r="BF25" s="482"/>
      <c r="BG25" s="482"/>
      <c r="BH25" s="482"/>
      <c r="BI25" s="482"/>
      <c r="BJ25" s="482"/>
      <c r="BK25" s="482"/>
      <c r="BL25" s="482"/>
      <c r="BM25" s="482"/>
      <c r="BN25" s="482"/>
      <c r="BO25" s="482"/>
      <c r="BP25" s="482"/>
      <c r="BQ25" s="482"/>
      <c r="BR25" s="482"/>
      <c r="BS25" s="482"/>
      <c r="BT25" s="482"/>
      <c r="BU25" s="482"/>
      <c r="BV25" s="482"/>
      <c r="BW25" s="482"/>
      <c r="BX25" s="482"/>
      <c r="BY25" s="482"/>
      <c r="BZ25" s="482"/>
      <c r="CA25" s="482"/>
      <c r="CB25" s="482"/>
      <c r="CC25" s="482"/>
      <c r="CD25" s="482"/>
      <c r="CE25" s="482"/>
      <c r="CF25" s="482"/>
      <c r="CG25" s="482"/>
      <c r="CH25" s="482"/>
      <c r="CI25" s="482"/>
    </row>
    <row r="26" spans="1:87" s="484" customFormat="1" ht="12" hidden="1" customHeight="1">
      <c r="A26" s="745">
        <v>39323</v>
      </c>
      <c r="B26" s="746" t="s">
        <v>810</v>
      </c>
      <c r="C26" s="747">
        <v>28</v>
      </c>
      <c r="D26" s="745">
        <v>39351</v>
      </c>
      <c r="E26" s="748">
        <v>60</v>
      </c>
      <c r="F26" s="748">
        <v>42.072800000000001</v>
      </c>
      <c r="G26" s="748">
        <v>42.072800000000001</v>
      </c>
      <c r="H26" s="748">
        <v>0</v>
      </c>
      <c r="I26" s="749">
        <v>5.5500000000000001E-2</v>
      </c>
      <c r="J26" s="749">
        <v>6.4600000000000005E-2</v>
      </c>
      <c r="K26" s="749">
        <v>6.3299999999999995E-2</v>
      </c>
      <c r="L26" s="747">
        <v>8</v>
      </c>
      <c r="M26" s="482"/>
      <c r="N26" s="482"/>
      <c r="O26" s="482"/>
      <c r="P26" s="482"/>
      <c r="Q26" s="482"/>
      <c r="R26" s="482"/>
      <c r="S26" s="482"/>
      <c r="T26" s="482"/>
      <c r="U26" s="482"/>
      <c r="V26" s="482"/>
      <c r="W26" s="482"/>
      <c r="X26" s="482"/>
      <c r="Y26" s="482"/>
      <c r="Z26" s="482"/>
      <c r="AA26" s="482"/>
      <c r="AB26" s="482"/>
      <c r="AC26" s="482"/>
      <c r="AD26" s="482"/>
      <c r="AE26" s="482"/>
      <c r="AF26" s="482"/>
      <c r="AG26" s="482"/>
      <c r="AH26" s="482"/>
      <c r="AI26" s="482"/>
      <c r="AJ26" s="482"/>
      <c r="AK26" s="482"/>
      <c r="AL26" s="482"/>
      <c r="AM26" s="482"/>
      <c r="AN26" s="482"/>
      <c r="AO26" s="482"/>
      <c r="AP26" s="482"/>
      <c r="AQ26" s="482"/>
      <c r="AR26" s="482"/>
      <c r="AS26" s="482"/>
      <c r="AT26" s="482"/>
      <c r="AU26" s="482"/>
      <c r="AV26" s="482"/>
      <c r="AW26" s="482"/>
      <c r="AX26" s="482"/>
      <c r="AY26" s="482"/>
      <c r="AZ26" s="482"/>
      <c r="BA26" s="482"/>
      <c r="BB26" s="482"/>
      <c r="BC26" s="482"/>
      <c r="BD26" s="482"/>
      <c r="BE26" s="482"/>
      <c r="BF26" s="482"/>
      <c r="BG26" s="482"/>
      <c r="BH26" s="482"/>
      <c r="BI26" s="482"/>
      <c r="BJ26" s="482"/>
      <c r="BK26" s="482"/>
      <c r="BL26" s="482"/>
      <c r="BM26" s="482"/>
      <c r="BN26" s="482"/>
      <c r="BO26" s="482"/>
      <c r="BP26" s="482"/>
      <c r="BQ26" s="482"/>
      <c r="BR26" s="482"/>
      <c r="BS26" s="482"/>
      <c r="BT26" s="482"/>
      <c r="BU26" s="482"/>
      <c r="BV26" s="482"/>
      <c r="BW26" s="482"/>
      <c r="BX26" s="482"/>
      <c r="BY26" s="482"/>
      <c r="BZ26" s="482"/>
      <c r="CA26" s="482"/>
      <c r="CB26" s="482"/>
      <c r="CC26" s="482"/>
      <c r="CD26" s="482"/>
      <c r="CE26" s="482"/>
      <c r="CF26" s="482"/>
      <c r="CG26" s="482"/>
      <c r="CH26" s="482"/>
      <c r="CI26" s="482"/>
    </row>
    <row r="27" spans="1:87" s="484" customFormat="1" ht="12" hidden="1" customHeight="1">
      <c r="A27" s="745">
        <v>39330</v>
      </c>
      <c r="B27" s="746" t="s">
        <v>811</v>
      </c>
      <c r="C27" s="747">
        <v>28</v>
      </c>
      <c r="D27" s="745">
        <v>39358</v>
      </c>
      <c r="E27" s="748">
        <v>50</v>
      </c>
      <c r="F27" s="748">
        <v>46.704999999999998</v>
      </c>
      <c r="G27" s="748">
        <v>35</v>
      </c>
      <c r="H27" s="748">
        <v>0</v>
      </c>
      <c r="I27" s="749">
        <v>5.8099999999999999E-2</v>
      </c>
      <c r="J27" s="749">
        <v>6.3299999999999995E-2</v>
      </c>
      <c r="K27" s="749">
        <v>6.2E-2</v>
      </c>
      <c r="L27" s="747">
        <v>8</v>
      </c>
      <c r="M27" s="482"/>
      <c r="N27" s="482"/>
      <c r="O27" s="482"/>
      <c r="P27" s="482"/>
      <c r="Q27" s="482"/>
      <c r="R27" s="482"/>
      <c r="S27" s="482"/>
      <c r="T27" s="482"/>
      <c r="U27" s="482"/>
      <c r="V27" s="482"/>
      <c r="W27" s="482"/>
      <c r="X27" s="482"/>
      <c r="Y27" s="482"/>
      <c r="Z27" s="482"/>
      <c r="AA27" s="482"/>
      <c r="AB27" s="482"/>
      <c r="AC27" s="482"/>
      <c r="AD27" s="482"/>
      <c r="AE27" s="482"/>
      <c r="AF27" s="482"/>
      <c r="AG27" s="482"/>
      <c r="AH27" s="482"/>
      <c r="AI27" s="482"/>
      <c r="AJ27" s="482"/>
      <c r="AK27" s="482"/>
      <c r="AL27" s="482"/>
      <c r="AM27" s="482"/>
      <c r="AN27" s="482"/>
      <c r="AO27" s="482"/>
      <c r="AP27" s="482"/>
      <c r="AQ27" s="482"/>
      <c r="AR27" s="482"/>
      <c r="AS27" s="482"/>
      <c r="AT27" s="482"/>
      <c r="AU27" s="482"/>
      <c r="AV27" s="482"/>
      <c r="AW27" s="482"/>
      <c r="AX27" s="482"/>
      <c r="AY27" s="482"/>
      <c r="AZ27" s="482"/>
      <c r="BA27" s="482"/>
      <c r="BB27" s="482"/>
      <c r="BC27" s="482"/>
      <c r="BD27" s="482"/>
      <c r="BE27" s="482"/>
      <c r="BF27" s="482"/>
      <c r="BG27" s="482"/>
      <c r="BH27" s="482"/>
      <c r="BI27" s="482"/>
      <c r="BJ27" s="482"/>
      <c r="BK27" s="482"/>
      <c r="BL27" s="482"/>
      <c r="BM27" s="482"/>
      <c r="BN27" s="482"/>
      <c r="BO27" s="482"/>
      <c r="BP27" s="482"/>
      <c r="BQ27" s="482"/>
      <c r="BR27" s="482"/>
      <c r="BS27" s="482"/>
      <c r="BT27" s="482"/>
      <c r="BU27" s="482"/>
      <c r="BV27" s="482"/>
      <c r="BW27" s="482"/>
      <c r="BX27" s="482"/>
      <c r="BY27" s="482"/>
      <c r="BZ27" s="482"/>
      <c r="CA27" s="482"/>
      <c r="CB27" s="482"/>
      <c r="CC27" s="482"/>
      <c r="CD27" s="482"/>
      <c r="CE27" s="482"/>
      <c r="CF27" s="482"/>
      <c r="CG27" s="482"/>
      <c r="CH27" s="482"/>
      <c r="CI27" s="482"/>
    </row>
    <row r="28" spans="1:87" s="484" customFormat="1" ht="12" hidden="1" customHeight="1">
      <c r="A28" s="745">
        <v>39337</v>
      </c>
      <c r="B28" s="746" t="s">
        <v>812</v>
      </c>
      <c r="C28" s="747">
        <v>28</v>
      </c>
      <c r="D28" s="745">
        <v>39365</v>
      </c>
      <c r="E28" s="748">
        <v>75</v>
      </c>
      <c r="F28" s="748">
        <v>76.924499999999995</v>
      </c>
      <c r="G28" s="748">
        <v>65</v>
      </c>
      <c r="H28" s="748">
        <v>-3.6614</v>
      </c>
      <c r="I28" s="749">
        <v>5.5500000000000001E-2</v>
      </c>
      <c r="J28" s="749">
        <v>6.3299999999999995E-2</v>
      </c>
      <c r="K28" s="749">
        <v>6.0699999999999997E-2</v>
      </c>
      <c r="L28" s="747">
        <v>10</v>
      </c>
      <c r="M28" s="482"/>
      <c r="N28" s="482"/>
      <c r="O28" s="482"/>
      <c r="P28" s="482"/>
      <c r="Q28" s="482"/>
      <c r="R28" s="482"/>
      <c r="S28" s="482"/>
      <c r="T28" s="482"/>
      <c r="U28" s="482"/>
      <c r="V28" s="482"/>
      <c r="W28" s="482"/>
      <c r="X28" s="482"/>
      <c r="Y28" s="482"/>
      <c r="Z28" s="482"/>
      <c r="AA28" s="482"/>
      <c r="AB28" s="482"/>
      <c r="AC28" s="482"/>
      <c r="AD28" s="482"/>
      <c r="AE28" s="482"/>
      <c r="AF28" s="482"/>
      <c r="AG28" s="482"/>
      <c r="AH28" s="482"/>
      <c r="AI28" s="482"/>
      <c r="AJ28" s="482"/>
      <c r="AK28" s="482"/>
      <c r="AL28" s="482"/>
      <c r="AM28" s="482"/>
      <c r="AN28" s="482"/>
      <c r="AO28" s="482"/>
      <c r="AP28" s="482"/>
      <c r="AQ28" s="482"/>
      <c r="AR28" s="482"/>
      <c r="AS28" s="482"/>
      <c r="AT28" s="482"/>
      <c r="AU28" s="482"/>
      <c r="AV28" s="482"/>
      <c r="AW28" s="482"/>
      <c r="AX28" s="482"/>
      <c r="AY28" s="482"/>
      <c r="AZ28" s="482"/>
      <c r="BA28" s="482"/>
      <c r="BB28" s="482"/>
      <c r="BC28" s="482"/>
      <c r="BD28" s="482"/>
      <c r="BE28" s="482"/>
      <c r="BF28" s="482"/>
      <c r="BG28" s="482"/>
      <c r="BH28" s="482"/>
      <c r="BI28" s="482"/>
      <c r="BJ28" s="482"/>
      <c r="BK28" s="482"/>
      <c r="BL28" s="482"/>
      <c r="BM28" s="482"/>
      <c r="BN28" s="482"/>
      <c r="BO28" s="482"/>
      <c r="BP28" s="482"/>
      <c r="BQ28" s="482"/>
      <c r="BR28" s="482"/>
      <c r="BS28" s="482"/>
      <c r="BT28" s="482"/>
      <c r="BU28" s="482"/>
      <c r="BV28" s="482"/>
      <c r="BW28" s="482"/>
      <c r="BX28" s="482"/>
      <c r="BY28" s="482"/>
      <c r="BZ28" s="482"/>
      <c r="CA28" s="482"/>
      <c r="CB28" s="482"/>
      <c r="CC28" s="482"/>
      <c r="CD28" s="482"/>
      <c r="CE28" s="482"/>
      <c r="CF28" s="482"/>
      <c r="CG28" s="482"/>
      <c r="CH28" s="482"/>
      <c r="CI28" s="482"/>
    </row>
    <row r="29" spans="1:87" s="484" customFormat="1" ht="12" hidden="1" customHeight="1">
      <c r="A29" s="745">
        <v>39344</v>
      </c>
      <c r="B29" s="746" t="s">
        <v>813</v>
      </c>
      <c r="C29" s="747">
        <v>28</v>
      </c>
      <c r="D29" s="745">
        <v>39372</v>
      </c>
      <c r="E29" s="748">
        <v>40</v>
      </c>
      <c r="F29" s="748">
        <v>43.058300000000003</v>
      </c>
      <c r="G29" s="748">
        <v>35</v>
      </c>
      <c r="H29" s="748">
        <v>0</v>
      </c>
      <c r="I29" s="749">
        <v>5.0299999999999997E-2</v>
      </c>
      <c r="J29" s="749">
        <v>6.3299999999999995E-2</v>
      </c>
      <c r="K29" s="749">
        <v>6.2E-2</v>
      </c>
      <c r="L29" s="747">
        <v>7</v>
      </c>
      <c r="M29" s="482"/>
      <c r="N29" s="482"/>
      <c r="O29" s="482"/>
      <c r="P29" s="482"/>
      <c r="Q29" s="482"/>
      <c r="R29" s="482"/>
      <c r="S29" s="482"/>
      <c r="T29" s="482"/>
      <c r="U29" s="482"/>
      <c r="V29" s="482"/>
      <c r="W29" s="482"/>
      <c r="X29" s="482"/>
      <c r="Y29" s="482"/>
      <c r="Z29" s="482"/>
      <c r="AA29" s="482"/>
      <c r="AB29" s="482"/>
      <c r="AC29" s="482"/>
      <c r="AD29" s="482"/>
      <c r="AE29" s="482"/>
      <c r="AF29" s="482"/>
      <c r="AG29" s="482"/>
      <c r="AH29" s="482"/>
      <c r="AI29" s="482"/>
      <c r="AJ29" s="482"/>
      <c r="AK29" s="482"/>
      <c r="AL29" s="482"/>
      <c r="AM29" s="482"/>
      <c r="AN29" s="482"/>
      <c r="AO29" s="482"/>
      <c r="AP29" s="482"/>
      <c r="AQ29" s="482"/>
      <c r="AR29" s="482"/>
      <c r="AS29" s="482"/>
      <c r="AT29" s="482"/>
      <c r="AU29" s="482"/>
      <c r="AV29" s="482"/>
      <c r="AW29" s="482"/>
      <c r="AX29" s="482"/>
      <c r="AY29" s="482"/>
      <c r="AZ29" s="482"/>
      <c r="BA29" s="482"/>
      <c r="BB29" s="482"/>
      <c r="BC29" s="482"/>
      <c r="BD29" s="482"/>
      <c r="BE29" s="482"/>
      <c r="BF29" s="482"/>
      <c r="BG29" s="482"/>
      <c r="BH29" s="482"/>
      <c r="BI29" s="482"/>
      <c r="BJ29" s="482"/>
      <c r="BK29" s="482"/>
      <c r="BL29" s="482"/>
      <c r="BM29" s="482"/>
      <c r="BN29" s="482"/>
      <c r="BO29" s="482"/>
      <c r="BP29" s="482"/>
      <c r="BQ29" s="482"/>
      <c r="BR29" s="482"/>
      <c r="BS29" s="482"/>
      <c r="BT29" s="482"/>
      <c r="BU29" s="482"/>
      <c r="BV29" s="482"/>
      <c r="BW29" s="482"/>
      <c r="BX29" s="482"/>
      <c r="BY29" s="482"/>
      <c r="BZ29" s="482"/>
      <c r="CA29" s="482"/>
      <c r="CB29" s="482"/>
      <c r="CC29" s="482"/>
      <c r="CD29" s="482"/>
      <c r="CE29" s="482"/>
      <c r="CF29" s="482"/>
      <c r="CG29" s="482"/>
      <c r="CH29" s="482"/>
      <c r="CI29" s="482"/>
    </row>
    <row r="30" spans="1:87" s="484" customFormat="1" ht="12" hidden="1" customHeight="1">
      <c r="A30" s="745">
        <v>39351</v>
      </c>
      <c r="B30" s="746" t="s">
        <v>814</v>
      </c>
      <c r="C30" s="747">
        <v>28</v>
      </c>
      <c r="D30" s="745">
        <v>39379</v>
      </c>
      <c r="E30" s="748">
        <v>55</v>
      </c>
      <c r="F30" s="748">
        <v>49.092300000000002</v>
      </c>
      <c r="G30" s="748">
        <v>45</v>
      </c>
      <c r="H30" s="748">
        <v>0</v>
      </c>
      <c r="I30" s="749">
        <v>5.9400000000000001E-2</v>
      </c>
      <c r="J30" s="749">
        <v>6.9800000000000001E-2</v>
      </c>
      <c r="K30" s="749">
        <v>6.2E-2</v>
      </c>
      <c r="L30" s="747">
        <v>9</v>
      </c>
      <c r="M30" s="482"/>
      <c r="N30" s="482"/>
      <c r="O30" s="482"/>
      <c r="P30" s="482"/>
      <c r="Q30" s="482"/>
      <c r="R30" s="482"/>
      <c r="S30" s="482"/>
      <c r="T30" s="482"/>
      <c r="U30" s="482"/>
      <c r="V30" s="482"/>
      <c r="W30" s="482"/>
      <c r="X30" s="482"/>
      <c r="Y30" s="482"/>
      <c r="Z30" s="482"/>
      <c r="AA30" s="482"/>
      <c r="AB30" s="482"/>
      <c r="AC30" s="482"/>
      <c r="AD30" s="482"/>
      <c r="AE30" s="482"/>
      <c r="AF30" s="482"/>
      <c r="AG30" s="482"/>
      <c r="AH30" s="482"/>
      <c r="AI30" s="482"/>
      <c r="AJ30" s="482"/>
      <c r="AK30" s="482"/>
      <c r="AL30" s="482"/>
      <c r="AM30" s="482"/>
      <c r="AN30" s="482"/>
      <c r="AO30" s="482"/>
      <c r="AP30" s="482"/>
      <c r="AQ30" s="482"/>
      <c r="AR30" s="482"/>
      <c r="AS30" s="482"/>
      <c r="AT30" s="482"/>
      <c r="AU30" s="482"/>
      <c r="AV30" s="482"/>
      <c r="AW30" s="482"/>
      <c r="AX30" s="482"/>
      <c r="AY30" s="482"/>
      <c r="AZ30" s="482"/>
      <c r="BA30" s="482"/>
      <c r="BB30" s="482"/>
      <c r="BC30" s="482"/>
      <c r="BD30" s="482"/>
      <c r="BE30" s="482"/>
      <c r="BF30" s="482"/>
      <c r="BG30" s="482"/>
      <c r="BH30" s="482"/>
      <c r="BI30" s="482"/>
      <c r="BJ30" s="482"/>
      <c r="BK30" s="482"/>
      <c r="BL30" s="482"/>
      <c r="BM30" s="482"/>
      <c r="BN30" s="482"/>
      <c r="BO30" s="482"/>
      <c r="BP30" s="482"/>
      <c r="BQ30" s="482"/>
      <c r="BR30" s="482"/>
      <c r="BS30" s="482"/>
      <c r="BT30" s="482"/>
      <c r="BU30" s="482"/>
      <c r="BV30" s="482"/>
      <c r="BW30" s="482"/>
      <c r="BX30" s="482"/>
      <c r="BY30" s="482"/>
      <c r="BZ30" s="482"/>
      <c r="CA30" s="482"/>
      <c r="CB30" s="482"/>
      <c r="CC30" s="482"/>
      <c r="CD30" s="482"/>
      <c r="CE30" s="482"/>
      <c r="CF30" s="482"/>
      <c r="CG30" s="482"/>
      <c r="CH30" s="482"/>
      <c r="CI30" s="482"/>
    </row>
    <row r="31" spans="1:87" s="484" customFormat="1" ht="12" hidden="1" customHeight="1">
      <c r="A31" s="745">
        <v>39358</v>
      </c>
      <c r="B31" s="746" t="s">
        <v>815</v>
      </c>
      <c r="C31" s="747">
        <v>28</v>
      </c>
      <c r="D31" s="745">
        <v>39386</v>
      </c>
      <c r="E31" s="748">
        <v>45</v>
      </c>
      <c r="F31" s="748">
        <v>45</v>
      </c>
      <c r="G31" s="748">
        <v>40</v>
      </c>
      <c r="H31" s="748">
        <v>-1.002</v>
      </c>
      <c r="I31" s="749">
        <v>6.2E-2</v>
      </c>
      <c r="J31" s="749">
        <v>6.3299999999999995E-2</v>
      </c>
      <c r="K31" s="749">
        <v>6.3299999999999995E-2</v>
      </c>
      <c r="L31" s="747">
        <v>10</v>
      </c>
      <c r="M31" s="482"/>
      <c r="N31" s="482"/>
      <c r="O31" s="482"/>
      <c r="P31" s="482"/>
      <c r="Q31" s="482"/>
      <c r="R31" s="482"/>
      <c r="S31" s="482"/>
      <c r="T31" s="482"/>
      <c r="U31" s="482"/>
      <c r="V31" s="482"/>
      <c r="W31" s="482"/>
      <c r="X31" s="482"/>
      <c r="Y31" s="482"/>
      <c r="Z31" s="482"/>
      <c r="AA31" s="482"/>
      <c r="AB31" s="482"/>
      <c r="AC31" s="482"/>
      <c r="AD31" s="482"/>
      <c r="AE31" s="482"/>
      <c r="AF31" s="482"/>
      <c r="AG31" s="482"/>
      <c r="AH31" s="482"/>
      <c r="AI31" s="482"/>
      <c r="AJ31" s="482"/>
      <c r="AK31" s="482"/>
      <c r="AL31" s="482"/>
      <c r="AM31" s="482"/>
      <c r="AN31" s="482"/>
      <c r="AO31" s="482"/>
      <c r="AP31" s="482"/>
      <c r="AQ31" s="482"/>
      <c r="AR31" s="482"/>
      <c r="AS31" s="482"/>
      <c r="AT31" s="482"/>
      <c r="AU31" s="482"/>
      <c r="AV31" s="482"/>
      <c r="AW31" s="482"/>
      <c r="AX31" s="482"/>
      <c r="AY31" s="482"/>
      <c r="AZ31" s="482"/>
      <c r="BA31" s="482"/>
      <c r="BB31" s="482"/>
      <c r="BC31" s="482"/>
      <c r="BD31" s="482"/>
      <c r="BE31" s="482"/>
      <c r="BF31" s="482"/>
      <c r="BG31" s="482"/>
      <c r="BH31" s="482"/>
      <c r="BI31" s="482"/>
      <c r="BJ31" s="482"/>
      <c r="BK31" s="482"/>
      <c r="BL31" s="482"/>
      <c r="BM31" s="482"/>
      <c r="BN31" s="482"/>
      <c r="BO31" s="482"/>
      <c r="BP31" s="482"/>
      <c r="BQ31" s="482"/>
      <c r="BR31" s="482"/>
      <c r="BS31" s="482"/>
      <c r="BT31" s="482"/>
      <c r="BU31" s="482"/>
      <c r="BV31" s="482"/>
      <c r="BW31" s="482"/>
      <c r="BX31" s="482"/>
      <c r="BY31" s="482"/>
      <c r="BZ31" s="482"/>
      <c r="CA31" s="482"/>
      <c r="CB31" s="482"/>
      <c r="CC31" s="482"/>
      <c r="CD31" s="482"/>
      <c r="CE31" s="482"/>
      <c r="CF31" s="482"/>
      <c r="CG31" s="482"/>
      <c r="CH31" s="482"/>
      <c r="CI31" s="482"/>
    </row>
    <row r="32" spans="1:87" s="484" customFormat="1" ht="12" hidden="1" customHeight="1">
      <c r="A32" s="745">
        <v>39365</v>
      </c>
      <c r="B32" s="746" t="s">
        <v>816</v>
      </c>
      <c r="C32" s="747">
        <v>28</v>
      </c>
      <c r="D32" s="745">
        <v>39393</v>
      </c>
      <c r="E32" s="748">
        <v>80</v>
      </c>
      <c r="F32" s="748">
        <v>95.164000000000001</v>
      </c>
      <c r="G32" s="748">
        <v>70</v>
      </c>
      <c r="H32" s="748">
        <v>0</v>
      </c>
      <c r="I32" s="749">
        <v>6.0699999999999997E-2</v>
      </c>
      <c r="J32" s="749">
        <v>6.3299999999999995E-2</v>
      </c>
      <c r="K32" s="749">
        <v>6.0699999999999997E-2</v>
      </c>
      <c r="L32" s="747">
        <v>6</v>
      </c>
      <c r="M32" s="482"/>
      <c r="N32" s="482"/>
      <c r="O32" s="482"/>
      <c r="P32" s="482"/>
      <c r="Q32" s="482"/>
      <c r="R32" s="482"/>
      <c r="S32" s="482"/>
      <c r="T32" s="482"/>
      <c r="U32" s="482"/>
      <c r="V32" s="482"/>
      <c r="W32" s="482"/>
      <c r="X32" s="482"/>
      <c r="Y32" s="482"/>
      <c r="Z32" s="482"/>
      <c r="AA32" s="482"/>
      <c r="AB32" s="482"/>
      <c r="AC32" s="482"/>
      <c r="AD32" s="482"/>
      <c r="AE32" s="482"/>
      <c r="AF32" s="482"/>
      <c r="AG32" s="482"/>
      <c r="AH32" s="482"/>
      <c r="AI32" s="482"/>
      <c r="AJ32" s="482"/>
      <c r="AK32" s="482"/>
      <c r="AL32" s="482"/>
      <c r="AM32" s="482"/>
      <c r="AN32" s="482"/>
      <c r="AO32" s="482"/>
      <c r="AP32" s="482"/>
      <c r="AQ32" s="482"/>
      <c r="AR32" s="482"/>
      <c r="AS32" s="482"/>
      <c r="AT32" s="482"/>
      <c r="AU32" s="482"/>
      <c r="AV32" s="482"/>
      <c r="AW32" s="482"/>
      <c r="AX32" s="482"/>
      <c r="AY32" s="482"/>
      <c r="AZ32" s="482"/>
      <c r="BA32" s="482"/>
      <c r="BB32" s="482"/>
      <c r="BC32" s="482"/>
      <c r="BD32" s="482"/>
      <c r="BE32" s="482"/>
      <c r="BF32" s="482"/>
      <c r="BG32" s="482"/>
      <c r="BH32" s="482"/>
      <c r="BI32" s="482"/>
      <c r="BJ32" s="482"/>
      <c r="BK32" s="482"/>
      <c r="BL32" s="482"/>
      <c r="BM32" s="482"/>
      <c r="BN32" s="482"/>
      <c r="BO32" s="482"/>
      <c r="BP32" s="482"/>
      <c r="BQ32" s="482"/>
      <c r="BR32" s="482"/>
      <c r="BS32" s="482"/>
      <c r="BT32" s="482"/>
      <c r="BU32" s="482"/>
      <c r="BV32" s="482"/>
      <c r="BW32" s="482"/>
      <c r="BX32" s="482"/>
      <c r="BY32" s="482"/>
      <c r="BZ32" s="482"/>
      <c r="CA32" s="482"/>
      <c r="CB32" s="482"/>
      <c r="CC32" s="482"/>
      <c r="CD32" s="482"/>
      <c r="CE32" s="482"/>
      <c r="CF32" s="482"/>
      <c r="CG32" s="482"/>
      <c r="CH32" s="482"/>
      <c r="CI32" s="482"/>
    </row>
    <row r="33" spans="1:87" s="484" customFormat="1" ht="12" hidden="1" customHeight="1">
      <c r="A33" s="745">
        <v>39372</v>
      </c>
      <c r="B33" s="746" t="s">
        <v>817</v>
      </c>
      <c r="C33" s="747">
        <v>28</v>
      </c>
      <c r="D33" s="745">
        <v>39400</v>
      </c>
      <c r="E33" s="748">
        <v>60</v>
      </c>
      <c r="F33" s="748">
        <v>35.612000000000002</v>
      </c>
      <c r="G33" s="748">
        <v>35.611999999999995</v>
      </c>
      <c r="H33" s="748">
        <v>-1.9060000000000001</v>
      </c>
      <c r="I33" s="749">
        <v>6.0699999999999997E-2</v>
      </c>
      <c r="J33" s="749">
        <v>6.4600000000000005E-2</v>
      </c>
      <c r="K33" s="749">
        <v>6.2E-2</v>
      </c>
      <c r="L33" s="747">
        <v>9</v>
      </c>
      <c r="M33" s="482"/>
      <c r="N33" s="482"/>
      <c r="O33" s="482"/>
      <c r="P33" s="482"/>
      <c r="Q33" s="482"/>
      <c r="R33" s="482"/>
      <c r="S33" s="482"/>
      <c r="T33" s="482"/>
      <c r="U33" s="482"/>
      <c r="V33" s="482"/>
      <c r="W33" s="482"/>
      <c r="X33" s="482"/>
      <c r="Y33" s="482"/>
      <c r="Z33" s="482"/>
      <c r="AA33" s="482"/>
      <c r="AB33" s="482"/>
      <c r="AC33" s="482"/>
      <c r="AD33" s="482"/>
      <c r="AE33" s="482"/>
      <c r="AF33" s="482"/>
      <c r="AG33" s="482"/>
      <c r="AH33" s="482"/>
      <c r="AI33" s="482"/>
      <c r="AJ33" s="482"/>
      <c r="AK33" s="482"/>
      <c r="AL33" s="482"/>
      <c r="AM33" s="482"/>
      <c r="AN33" s="482"/>
      <c r="AO33" s="482"/>
      <c r="AP33" s="482"/>
      <c r="AQ33" s="482"/>
      <c r="AR33" s="482"/>
      <c r="AS33" s="482"/>
      <c r="AT33" s="482"/>
      <c r="AU33" s="482"/>
      <c r="AV33" s="482"/>
      <c r="AW33" s="482"/>
      <c r="AX33" s="482"/>
      <c r="AY33" s="482"/>
      <c r="AZ33" s="482"/>
      <c r="BA33" s="482"/>
      <c r="BB33" s="482"/>
      <c r="BC33" s="482"/>
      <c r="BD33" s="482"/>
      <c r="BE33" s="482"/>
      <c r="BF33" s="482"/>
      <c r="BG33" s="482"/>
      <c r="BH33" s="482"/>
      <c r="BI33" s="482"/>
      <c r="BJ33" s="482"/>
      <c r="BK33" s="482"/>
      <c r="BL33" s="482"/>
      <c r="BM33" s="482"/>
      <c r="BN33" s="482"/>
      <c r="BO33" s="482"/>
      <c r="BP33" s="482"/>
      <c r="BQ33" s="482"/>
      <c r="BR33" s="482"/>
      <c r="BS33" s="482"/>
      <c r="BT33" s="482"/>
      <c r="BU33" s="482"/>
      <c r="BV33" s="482"/>
      <c r="BW33" s="482"/>
      <c r="BX33" s="482"/>
      <c r="BY33" s="482"/>
      <c r="BZ33" s="482"/>
      <c r="CA33" s="482"/>
      <c r="CB33" s="482"/>
      <c r="CC33" s="482"/>
      <c r="CD33" s="482"/>
      <c r="CE33" s="482"/>
      <c r="CF33" s="482"/>
      <c r="CG33" s="482"/>
      <c r="CH33" s="482"/>
      <c r="CI33" s="482"/>
    </row>
    <row r="34" spans="1:87" s="484" customFormat="1" ht="12" hidden="1" customHeight="1">
      <c r="A34" s="745">
        <v>39379</v>
      </c>
      <c r="B34" s="746" t="s">
        <v>818</v>
      </c>
      <c r="C34" s="747">
        <v>28</v>
      </c>
      <c r="D34" s="745">
        <v>39407</v>
      </c>
      <c r="E34" s="748">
        <v>60</v>
      </c>
      <c r="F34" s="748">
        <v>39.518799999999999</v>
      </c>
      <c r="G34" s="748">
        <v>39.518799999999999</v>
      </c>
      <c r="H34" s="748">
        <v>0</v>
      </c>
      <c r="I34" s="749">
        <v>6.0699999999999997E-2</v>
      </c>
      <c r="J34" s="749">
        <v>6.59E-2</v>
      </c>
      <c r="K34" s="749">
        <v>6.3299999999999995E-2</v>
      </c>
      <c r="L34" s="747">
        <v>10</v>
      </c>
      <c r="M34" s="482"/>
      <c r="N34" s="482"/>
      <c r="O34" s="482"/>
      <c r="P34" s="482"/>
      <c r="Q34" s="482"/>
      <c r="R34" s="482"/>
      <c r="S34" s="482"/>
      <c r="T34" s="482"/>
      <c r="U34" s="482"/>
      <c r="V34" s="482"/>
      <c r="W34" s="482"/>
      <c r="X34" s="482"/>
      <c r="Y34" s="482"/>
      <c r="Z34" s="482"/>
      <c r="AA34" s="482"/>
      <c r="AB34" s="482"/>
      <c r="AC34" s="482"/>
      <c r="AD34" s="482"/>
      <c r="AE34" s="482"/>
      <c r="AF34" s="482"/>
      <c r="AG34" s="482"/>
      <c r="AH34" s="482"/>
      <c r="AI34" s="482"/>
      <c r="AJ34" s="482"/>
      <c r="AK34" s="482"/>
      <c r="AL34" s="482"/>
      <c r="AM34" s="482"/>
      <c r="AN34" s="482"/>
      <c r="AO34" s="482"/>
      <c r="AP34" s="482"/>
      <c r="AQ34" s="482"/>
      <c r="AR34" s="482"/>
      <c r="AS34" s="482"/>
      <c r="AT34" s="482"/>
      <c r="AU34" s="482"/>
      <c r="AV34" s="482"/>
      <c r="AW34" s="482"/>
      <c r="AX34" s="482"/>
      <c r="AY34" s="482"/>
      <c r="AZ34" s="482"/>
      <c r="BA34" s="482"/>
      <c r="BB34" s="482"/>
      <c r="BC34" s="482"/>
      <c r="BD34" s="482"/>
      <c r="BE34" s="482"/>
      <c r="BF34" s="482"/>
      <c r="BG34" s="482"/>
      <c r="BH34" s="482"/>
      <c r="BI34" s="482"/>
      <c r="BJ34" s="482"/>
      <c r="BK34" s="482"/>
      <c r="BL34" s="482"/>
      <c r="BM34" s="482"/>
      <c r="BN34" s="482"/>
      <c r="BO34" s="482"/>
      <c r="BP34" s="482"/>
      <c r="BQ34" s="482"/>
      <c r="BR34" s="482"/>
      <c r="BS34" s="482"/>
      <c r="BT34" s="482"/>
      <c r="BU34" s="482"/>
      <c r="BV34" s="482"/>
      <c r="BW34" s="482"/>
      <c r="BX34" s="482"/>
      <c r="BY34" s="482"/>
      <c r="BZ34" s="482"/>
      <c r="CA34" s="482"/>
      <c r="CB34" s="482"/>
      <c r="CC34" s="482"/>
      <c r="CD34" s="482"/>
      <c r="CE34" s="482"/>
      <c r="CF34" s="482"/>
      <c r="CG34" s="482"/>
      <c r="CH34" s="482"/>
      <c r="CI34" s="482"/>
    </row>
    <row r="35" spans="1:87" s="484" customFormat="1" ht="12" hidden="1" customHeight="1">
      <c r="A35" s="745">
        <v>39386</v>
      </c>
      <c r="B35" s="746" t="s">
        <v>819</v>
      </c>
      <c r="C35" s="747">
        <v>28</v>
      </c>
      <c r="D35" s="745">
        <v>39414</v>
      </c>
      <c r="E35" s="748">
        <v>50</v>
      </c>
      <c r="F35" s="748">
        <v>43.074599999999997</v>
      </c>
      <c r="G35" s="748">
        <v>43.074600000000004</v>
      </c>
      <c r="H35" s="748">
        <v>0</v>
      </c>
      <c r="I35" s="749">
        <v>6.3299999999999995E-2</v>
      </c>
      <c r="J35" s="749">
        <v>7.8899999999999998E-2</v>
      </c>
      <c r="K35" s="749">
        <v>6.59E-2</v>
      </c>
      <c r="L35" s="747">
        <v>7</v>
      </c>
      <c r="M35" s="482"/>
      <c r="N35" s="482"/>
      <c r="O35" s="482"/>
      <c r="P35" s="482"/>
      <c r="Q35" s="482"/>
      <c r="R35" s="482"/>
      <c r="S35" s="482"/>
      <c r="T35" s="482"/>
      <c r="U35" s="482"/>
      <c r="V35" s="482"/>
      <c r="W35" s="482"/>
      <c r="X35" s="482"/>
      <c r="Y35" s="482"/>
      <c r="Z35" s="482"/>
      <c r="AA35" s="482"/>
      <c r="AB35" s="482"/>
      <c r="AC35" s="482"/>
      <c r="AD35" s="482"/>
      <c r="AE35" s="482"/>
      <c r="AF35" s="482"/>
      <c r="AG35" s="482"/>
      <c r="AH35" s="482"/>
      <c r="AI35" s="482"/>
      <c r="AJ35" s="482"/>
      <c r="AK35" s="482"/>
      <c r="AL35" s="482"/>
      <c r="AM35" s="482"/>
      <c r="AN35" s="482"/>
      <c r="AO35" s="482"/>
      <c r="AP35" s="482"/>
      <c r="AQ35" s="482"/>
      <c r="AR35" s="482"/>
      <c r="AS35" s="482"/>
      <c r="AT35" s="482"/>
      <c r="AU35" s="482"/>
      <c r="AV35" s="482"/>
      <c r="AW35" s="482"/>
      <c r="AX35" s="482"/>
      <c r="AY35" s="482"/>
      <c r="AZ35" s="482"/>
      <c r="BA35" s="482"/>
      <c r="BB35" s="482"/>
      <c r="BC35" s="482"/>
      <c r="BD35" s="482"/>
      <c r="BE35" s="482"/>
      <c r="BF35" s="482"/>
      <c r="BG35" s="482"/>
      <c r="BH35" s="482"/>
      <c r="BI35" s="482"/>
      <c r="BJ35" s="482"/>
      <c r="BK35" s="482"/>
      <c r="BL35" s="482"/>
      <c r="BM35" s="482"/>
      <c r="BN35" s="482"/>
      <c r="BO35" s="482"/>
      <c r="BP35" s="482"/>
      <c r="BQ35" s="482"/>
      <c r="BR35" s="482"/>
      <c r="BS35" s="482"/>
      <c r="BT35" s="482"/>
      <c r="BU35" s="482"/>
      <c r="BV35" s="482"/>
      <c r="BW35" s="482"/>
      <c r="BX35" s="482"/>
      <c r="BY35" s="482"/>
      <c r="BZ35" s="482"/>
      <c r="CA35" s="482"/>
      <c r="CB35" s="482"/>
      <c r="CC35" s="482"/>
      <c r="CD35" s="482"/>
      <c r="CE35" s="482"/>
      <c r="CF35" s="482"/>
      <c r="CG35" s="482"/>
      <c r="CH35" s="482"/>
      <c r="CI35" s="482"/>
    </row>
    <row r="36" spans="1:87" s="484" customFormat="1" ht="12" hidden="1" customHeight="1">
      <c r="A36" s="745">
        <v>39393</v>
      </c>
      <c r="B36" s="746" t="s">
        <v>820</v>
      </c>
      <c r="C36" s="747">
        <v>28</v>
      </c>
      <c r="D36" s="745">
        <v>39421</v>
      </c>
      <c r="E36" s="748">
        <v>80</v>
      </c>
      <c r="F36" s="748">
        <v>62.8048</v>
      </c>
      <c r="G36" s="748">
        <v>62.8048</v>
      </c>
      <c r="H36" s="748">
        <v>0</v>
      </c>
      <c r="I36" s="749">
        <v>7.1099999999999997E-2</v>
      </c>
      <c r="J36" s="749">
        <v>8.5400000000000004E-2</v>
      </c>
      <c r="K36" s="749">
        <v>7.8899999999999998E-2</v>
      </c>
      <c r="L36" s="747">
        <v>6</v>
      </c>
      <c r="M36" s="482"/>
      <c r="N36" s="482"/>
      <c r="O36" s="482"/>
      <c r="P36" s="482"/>
      <c r="Q36" s="482"/>
      <c r="R36" s="482"/>
      <c r="S36" s="482"/>
      <c r="T36" s="482"/>
      <c r="U36" s="482"/>
      <c r="V36" s="482"/>
      <c r="W36" s="482"/>
      <c r="X36" s="482"/>
      <c r="Y36" s="482"/>
      <c r="Z36" s="482"/>
      <c r="AA36" s="482"/>
      <c r="AB36" s="482"/>
      <c r="AC36" s="482"/>
      <c r="AD36" s="482"/>
      <c r="AE36" s="482"/>
      <c r="AF36" s="482"/>
      <c r="AG36" s="482"/>
      <c r="AH36" s="482"/>
      <c r="AI36" s="482"/>
      <c r="AJ36" s="482"/>
      <c r="AK36" s="482"/>
      <c r="AL36" s="482"/>
      <c r="AM36" s="482"/>
      <c r="AN36" s="482"/>
      <c r="AO36" s="482"/>
      <c r="AP36" s="482"/>
      <c r="AQ36" s="482"/>
      <c r="AR36" s="482"/>
      <c r="AS36" s="482"/>
      <c r="AT36" s="482"/>
      <c r="AU36" s="482"/>
      <c r="AV36" s="482"/>
      <c r="AW36" s="482"/>
      <c r="AX36" s="482"/>
      <c r="AY36" s="482"/>
      <c r="AZ36" s="482"/>
      <c r="BA36" s="482"/>
      <c r="BB36" s="482"/>
      <c r="BC36" s="482"/>
      <c r="BD36" s="482"/>
      <c r="BE36" s="482"/>
      <c r="BF36" s="482"/>
      <c r="BG36" s="482"/>
      <c r="BH36" s="482"/>
      <c r="BI36" s="482"/>
      <c r="BJ36" s="482"/>
      <c r="BK36" s="482"/>
      <c r="BL36" s="482"/>
      <c r="BM36" s="482"/>
      <c r="BN36" s="482"/>
      <c r="BO36" s="482"/>
      <c r="BP36" s="482"/>
      <c r="BQ36" s="482"/>
      <c r="BR36" s="482"/>
      <c r="BS36" s="482"/>
      <c r="BT36" s="482"/>
      <c r="BU36" s="482"/>
      <c r="BV36" s="482"/>
      <c r="BW36" s="482"/>
      <c r="BX36" s="482"/>
      <c r="BY36" s="482"/>
      <c r="BZ36" s="482"/>
      <c r="CA36" s="482"/>
      <c r="CB36" s="482"/>
      <c r="CC36" s="482"/>
      <c r="CD36" s="482"/>
      <c r="CE36" s="482"/>
      <c r="CF36" s="482"/>
      <c r="CG36" s="482"/>
      <c r="CH36" s="482"/>
      <c r="CI36" s="482"/>
    </row>
    <row r="37" spans="1:87" s="484" customFormat="1" ht="12" hidden="1" customHeight="1">
      <c r="A37" s="745">
        <v>39400</v>
      </c>
      <c r="B37" s="746" t="s">
        <v>821</v>
      </c>
      <c r="C37" s="747">
        <v>28</v>
      </c>
      <c r="D37" s="745">
        <v>39428</v>
      </c>
      <c r="E37" s="748">
        <v>50</v>
      </c>
      <c r="F37" s="748">
        <v>36.760800000000003</v>
      </c>
      <c r="G37" s="748">
        <v>36.760799999999996</v>
      </c>
      <c r="H37" s="748">
        <v>0</v>
      </c>
      <c r="I37" s="749">
        <v>7.4999999999999997E-2</v>
      </c>
      <c r="J37" s="749">
        <v>8.7999999999999995E-2</v>
      </c>
      <c r="K37" s="749">
        <v>8.1500000000000003E-2</v>
      </c>
      <c r="L37" s="747">
        <v>8</v>
      </c>
      <c r="M37" s="482"/>
      <c r="N37" s="482"/>
      <c r="O37" s="482"/>
      <c r="P37" s="482"/>
      <c r="Q37" s="482"/>
      <c r="R37" s="482"/>
      <c r="S37" s="482"/>
      <c r="T37" s="482"/>
      <c r="U37" s="482"/>
      <c r="V37" s="482"/>
      <c r="W37" s="482"/>
      <c r="X37" s="482"/>
      <c r="Y37" s="482"/>
      <c r="Z37" s="482"/>
      <c r="AA37" s="482"/>
      <c r="AB37" s="482"/>
      <c r="AC37" s="482"/>
      <c r="AD37" s="482"/>
      <c r="AE37" s="482"/>
      <c r="AF37" s="482"/>
      <c r="AG37" s="482"/>
      <c r="AH37" s="482"/>
      <c r="AI37" s="482"/>
      <c r="AJ37" s="482"/>
      <c r="AK37" s="482"/>
      <c r="AL37" s="482"/>
      <c r="AM37" s="482"/>
      <c r="AN37" s="482"/>
      <c r="AO37" s="482"/>
      <c r="AP37" s="482"/>
      <c r="AQ37" s="482"/>
      <c r="AR37" s="482"/>
      <c r="AS37" s="482"/>
      <c r="AT37" s="482"/>
      <c r="AU37" s="482"/>
      <c r="AV37" s="482"/>
      <c r="AW37" s="482"/>
      <c r="AX37" s="482"/>
      <c r="AY37" s="482"/>
      <c r="AZ37" s="482"/>
      <c r="BA37" s="482"/>
      <c r="BB37" s="482"/>
      <c r="BC37" s="482"/>
      <c r="BD37" s="482"/>
      <c r="BE37" s="482"/>
      <c r="BF37" s="482"/>
      <c r="BG37" s="482"/>
      <c r="BH37" s="482"/>
      <c r="BI37" s="482"/>
      <c r="BJ37" s="482"/>
      <c r="BK37" s="482"/>
      <c r="BL37" s="482"/>
      <c r="BM37" s="482"/>
      <c r="BN37" s="482"/>
      <c r="BO37" s="482"/>
      <c r="BP37" s="482"/>
      <c r="BQ37" s="482"/>
      <c r="BR37" s="482"/>
      <c r="BS37" s="482"/>
      <c r="BT37" s="482"/>
      <c r="BU37" s="482"/>
      <c r="BV37" s="482"/>
      <c r="BW37" s="482"/>
      <c r="BX37" s="482"/>
      <c r="BY37" s="482"/>
      <c r="BZ37" s="482"/>
      <c r="CA37" s="482"/>
      <c r="CB37" s="482"/>
      <c r="CC37" s="482"/>
      <c r="CD37" s="482"/>
      <c r="CE37" s="482"/>
      <c r="CF37" s="482"/>
      <c r="CG37" s="482"/>
      <c r="CH37" s="482"/>
      <c r="CI37" s="482"/>
    </row>
    <row r="38" spans="1:87" s="484" customFormat="1" ht="12" hidden="1" customHeight="1">
      <c r="A38" s="745">
        <v>39407</v>
      </c>
      <c r="B38" s="746" t="s">
        <v>822</v>
      </c>
      <c r="C38" s="747">
        <v>28</v>
      </c>
      <c r="D38" s="745">
        <v>39435</v>
      </c>
      <c r="E38" s="748">
        <v>40</v>
      </c>
      <c r="F38" s="748">
        <v>29.311</v>
      </c>
      <c r="G38" s="748">
        <v>29.311</v>
      </c>
      <c r="H38" s="748">
        <v>0</v>
      </c>
      <c r="I38" s="749">
        <v>8.0199999999999994E-2</v>
      </c>
      <c r="J38" s="749">
        <v>9.98E-2</v>
      </c>
      <c r="K38" s="749">
        <v>8.9300000000000004E-2</v>
      </c>
      <c r="L38" s="747">
        <v>7</v>
      </c>
      <c r="M38" s="482"/>
      <c r="N38" s="482"/>
      <c r="O38" s="482"/>
      <c r="P38" s="482"/>
      <c r="Q38" s="482"/>
      <c r="R38" s="482"/>
      <c r="S38" s="482"/>
      <c r="T38" s="482"/>
      <c r="U38" s="482"/>
      <c r="V38" s="482"/>
      <c r="W38" s="482"/>
      <c r="X38" s="482"/>
      <c r="Y38" s="482"/>
      <c r="Z38" s="482"/>
      <c r="AA38" s="482"/>
      <c r="AB38" s="482"/>
      <c r="AC38" s="482"/>
      <c r="AD38" s="482"/>
      <c r="AE38" s="482"/>
      <c r="AF38" s="482"/>
      <c r="AG38" s="482"/>
      <c r="AH38" s="482"/>
      <c r="AI38" s="482"/>
      <c r="AJ38" s="482"/>
      <c r="AK38" s="482"/>
      <c r="AL38" s="482"/>
      <c r="AM38" s="482"/>
      <c r="AN38" s="482"/>
      <c r="AO38" s="482"/>
      <c r="AP38" s="482"/>
      <c r="AQ38" s="482"/>
      <c r="AR38" s="482"/>
      <c r="AS38" s="482"/>
      <c r="AT38" s="482"/>
      <c r="AU38" s="482"/>
      <c r="AV38" s="482"/>
      <c r="AW38" s="482"/>
      <c r="AX38" s="482"/>
      <c r="AY38" s="482"/>
      <c r="AZ38" s="482"/>
      <c r="BA38" s="482"/>
      <c r="BB38" s="482"/>
      <c r="BC38" s="482"/>
      <c r="BD38" s="482"/>
      <c r="BE38" s="482"/>
      <c r="BF38" s="482"/>
      <c r="BG38" s="482"/>
      <c r="BH38" s="482"/>
      <c r="BI38" s="482"/>
      <c r="BJ38" s="482"/>
      <c r="BK38" s="482"/>
      <c r="BL38" s="482"/>
      <c r="BM38" s="482"/>
      <c r="BN38" s="482"/>
      <c r="BO38" s="482"/>
      <c r="BP38" s="482"/>
      <c r="BQ38" s="482"/>
      <c r="BR38" s="482"/>
      <c r="BS38" s="482"/>
      <c r="BT38" s="482"/>
      <c r="BU38" s="482"/>
      <c r="BV38" s="482"/>
      <c r="BW38" s="482"/>
      <c r="BX38" s="482"/>
      <c r="BY38" s="482"/>
      <c r="BZ38" s="482"/>
      <c r="CA38" s="482"/>
      <c r="CB38" s="482"/>
      <c r="CC38" s="482"/>
      <c r="CD38" s="482"/>
      <c r="CE38" s="482"/>
      <c r="CF38" s="482"/>
      <c r="CG38" s="482"/>
      <c r="CH38" s="482"/>
      <c r="CI38" s="482"/>
    </row>
    <row r="39" spans="1:87" s="484" customFormat="1" ht="12" hidden="1" customHeight="1">
      <c r="A39" s="745">
        <v>39414</v>
      </c>
      <c r="B39" s="746" t="s">
        <v>823</v>
      </c>
      <c r="C39" s="747">
        <v>28</v>
      </c>
      <c r="D39" s="745">
        <v>39442</v>
      </c>
      <c r="E39" s="748">
        <v>50</v>
      </c>
      <c r="F39" s="748">
        <v>42.091200000000001</v>
      </c>
      <c r="G39" s="748">
        <v>42.091200000000001</v>
      </c>
      <c r="H39" s="748">
        <v>-5.0430000000000001</v>
      </c>
      <c r="I39" s="749">
        <v>8.9300000000000004E-2</v>
      </c>
      <c r="J39" s="749">
        <v>0.11940000000000001</v>
      </c>
      <c r="K39" s="749">
        <v>0.105</v>
      </c>
      <c r="L39" s="747">
        <v>7</v>
      </c>
      <c r="M39" s="482"/>
      <c r="N39" s="482"/>
      <c r="O39" s="482"/>
      <c r="P39" s="482"/>
      <c r="Q39" s="482"/>
      <c r="R39" s="482"/>
      <c r="S39" s="482"/>
      <c r="T39" s="482"/>
      <c r="U39" s="482"/>
      <c r="V39" s="482"/>
      <c r="W39" s="482"/>
      <c r="X39" s="482"/>
      <c r="Y39" s="482"/>
      <c r="Z39" s="482"/>
      <c r="AA39" s="482"/>
      <c r="AB39" s="482"/>
      <c r="AC39" s="482"/>
      <c r="AD39" s="482"/>
      <c r="AE39" s="482"/>
      <c r="AF39" s="482"/>
      <c r="AG39" s="482"/>
      <c r="AH39" s="482"/>
      <c r="AI39" s="482"/>
      <c r="AJ39" s="482"/>
      <c r="AK39" s="482"/>
      <c r="AL39" s="482"/>
      <c r="AM39" s="482"/>
      <c r="AN39" s="482"/>
      <c r="AO39" s="482"/>
      <c r="AP39" s="482"/>
      <c r="AQ39" s="482"/>
      <c r="AR39" s="482"/>
      <c r="AS39" s="482"/>
      <c r="AT39" s="482"/>
      <c r="AU39" s="482"/>
      <c r="AV39" s="482"/>
      <c r="AW39" s="482"/>
      <c r="AX39" s="482"/>
      <c r="AY39" s="482"/>
      <c r="AZ39" s="482"/>
      <c r="BA39" s="482"/>
      <c r="BB39" s="482"/>
      <c r="BC39" s="482"/>
      <c r="BD39" s="482"/>
      <c r="BE39" s="482"/>
      <c r="BF39" s="482"/>
      <c r="BG39" s="482"/>
      <c r="BH39" s="482"/>
      <c r="BI39" s="482"/>
      <c r="BJ39" s="482"/>
      <c r="BK39" s="482"/>
      <c r="BL39" s="482"/>
      <c r="BM39" s="482"/>
      <c r="BN39" s="482"/>
      <c r="BO39" s="482"/>
      <c r="BP39" s="482"/>
      <c r="BQ39" s="482"/>
      <c r="BR39" s="482"/>
      <c r="BS39" s="482"/>
      <c r="BT39" s="482"/>
      <c r="BU39" s="482"/>
      <c r="BV39" s="482"/>
      <c r="BW39" s="482"/>
      <c r="BX39" s="482"/>
      <c r="BY39" s="482"/>
      <c r="BZ39" s="482"/>
      <c r="CA39" s="482"/>
      <c r="CB39" s="482"/>
      <c r="CC39" s="482"/>
      <c r="CD39" s="482"/>
      <c r="CE39" s="482"/>
      <c r="CF39" s="482"/>
      <c r="CG39" s="482"/>
      <c r="CH39" s="482"/>
      <c r="CI39" s="482"/>
    </row>
    <row r="40" spans="1:87" s="484" customFormat="1" ht="12" hidden="1" customHeight="1">
      <c r="A40" s="745">
        <v>39421</v>
      </c>
      <c r="B40" s="746" t="s">
        <v>824</v>
      </c>
      <c r="C40" s="747">
        <v>29</v>
      </c>
      <c r="D40" s="745">
        <v>39450</v>
      </c>
      <c r="E40" s="748">
        <v>70</v>
      </c>
      <c r="F40" s="748">
        <v>67.5535</v>
      </c>
      <c r="G40" s="748">
        <v>61.107600000000005</v>
      </c>
      <c r="H40" s="748">
        <v>0</v>
      </c>
      <c r="I40" s="749">
        <v>0.11020000000000001</v>
      </c>
      <c r="J40" s="749">
        <v>0.12790000000000001</v>
      </c>
      <c r="K40" s="749">
        <v>0.1191</v>
      </c>
      <c r="L40" s="747">
        <v>6</v>
      </c>
      <c r="M40" s="482"/>
      <c r="N40" s="482"/>
      <c r="O40" s="482"/>
      <c r="P40" s="482"/>
      <c r="Q40" s="482"/>
      <c r="R40" s="482"/>
      <c r="S40" s="482"/>
      <c r="T40" s="482"/>
      <c r="U40" s="482"/>
      <c r="V40" s="482"/>
      <c r="W40" s="482"/>
      <c r="X40" s="482"/>
      <c r="Y40" s="482"/>
      <c r="Z40" s="482"/>
      <c r="AA40" s="482"/>
      <c r="AB40" s="482"/>
      <c r="AC40" s="482"/>
      <c r="AD40" s="482"/>
      <c r="AE40" s="482"/>
      <c r="AF40" s="482"/>
      <c r="AG40" s="482"/>
      <c r="AH40" s="482"/>
      <c r="AI40" s="482"/>
      <c r="AJ40" s="482"/>
      <c r="AK40" s="482"/>
      <c r="AL40" s="482"/>
      <c r="AM40" s="482"/>
      <c r="AN40" s="482"/>
      <c r="AO40" s="482"/>
      <c r="AP40" s="482"/>
      <c r="AQ40" s="482"/>
      <c r="AR40" s="482"/>
      <c r="AS40" s="482"/>
      <c r="AT40" s="482"/>
      <c r="AU40" s="482"/>
      <c r="AV40" s="482"/>
      <c r="AW40" s="482"/>
      <c r="AX40" s="482"/>
      <c r="AY40" s="482"/>
      <c r="AZ40" s="482"/>
      <c r="BA40" s="482"/>
      <c r="BB40" s="482"/>
      <c r="BC40" s="482"/>
      <c r="BD40" s="482"/>
      <c r="BE40" s="482"/>
      <c r="BF40" s="482"/>
      <c r="BG40" s="482"/>
      <c r="BH40" s="482"/>
      <c r="BI40" s="482"/>
      <c r="BJ40" s="482"/>
      <c r="BK40" s="482"/>
      <c r="BL40" s="482"/>
      <c r="BM40" s="482"/>
      <c r="BN40" s="482"/>
      <c r="BO40" s="482"/>
      <c r="BP40" s="482"/>
      <c r="BQ40" s="482"/>
      <c r="BR40" s="482"/>
      <c r="BS40" s="482"/>
      <c r="BT40" s="482"/>
      <c r="BU40" s="482"/>
      <c r="BV40" s="482"/>
      <c r="BW40" s="482"/>
      <c r="BX40" s="482"/>
      <c r="BY40" s="482"/>
      <c r="BZ40" s="482"/>
      <c r="CA40" s="482"/>
      <c r="CB40" s="482"/>
      <c r="CC40" s="482"/>
      <c r="CD40" s="482"/>
      <c r="CE40" s="482"/>
      <c r="CF40" s="482"/>
      <c r="CG40" s="482"/>
      <c r="CH40" s="482"/>
      <c r="CI40" s="482"/>
    </row>
    <row r="41" spans="1:87" s="484" customFormat="1" ht="12" hidden="1" customHeight="1">
      <c r="A41" s="745">
        <v>39428</v>
      </c>
      <c r="B41" s="746" t="s">
        <v>825</v>
      </c>
      <c r="C41" s="747">
        <v>28</v>
      </c>
      <c r="D41" s="745">
        <v>39456</v>
      </c>
      <c r="E41" s="748">
        <v>70</v>
      </c>
      <c r="F41" s="748">
        <v>73.377600000000001</v>
      </c>
      <c r="G41" s="748">
        <v>70</v>
      </c>
      <c r="H41" s="748">
        <v>0</v>
      </c>
      <c r="I41" s="749">
        <v>0.1128</v>
      </c>
      <c r="J41" s="749">
        <v>0.1128</v>
      </c>
      <c r="K41" s="749">
        <v>0.1128</v>
      </c>
      <c r="L41" s="747">
        <v>10</v>
      </c>
      <c r="M41" s="482"/>
      <c r="N41" s="482"/>
      <c r="O41" s="482"/>
      <c r="P41" s="482"/>
      <c r="Q41" s="482"/>
      <c r="R41" s="482"/>
      <c r="S41" s="482"/>
      <c r="T41" s="482"/>
      <c r="U41" s="482"/>
      <c r="V41" s="482"/>
      <c r="W41" s="482"/>
      <c r="X41" s="482"/>
      <c r="Y41" s="482"/>
      <c r="Z41" s="482"/>
      <c r="AA41" s="482"/>
      <c r="AB41" s="482"/>
      <c r="AC41" s="482"/>
      <c r="AD41" s="482"/>
      <c r="AE41" s="482"/>
      <c r="AF41" s="482"/>
      <c r="AG41" s="482"/>
      <c r="AH41" s="482"/>
      <c r="AI41" s="482"/>
      <c r="AJ41" s="482"/>
      <c r="AK41" s="482"/>
      <c r="AL41" s="482"/>
      <c r="AM41" s="482"/>
      <c r="AN41" s="482"/>
      <c r="AO41" s="482"/>
      <c r="AP41" s="482"/>
      <c r="AQ41" s="482"/>
      <c r="AR41" s="482"/>
      <c r="AS41" s="482"/>
      <c r="AT41" s="482"/>
      <c r="AU41" s="482"/>
      <c r="AV41" s="482"/>
      <c r="AW41" s="482"/>
      <c r="AX41" s="482"/>
      <c r="AY41" s="482"/>
      <c r="AZ41" s="482"/>
      <c r="BA41" s="482"/>
      <c r="BB41" s="482"/>
      <c r="BC41" s="482"/>
      <c r="BD41" s="482"/>
      <c r="BE41" s="482"/>
      <c r="BF41" s="482"/>
      <c r="BG41" s="482"/>
      <c r="BH41" s="482"/>
      <c r="BI41" s="482"/>
      <c r="BJ41" s="482"/>
      <c r="BK41" s="482"/>
      <c r="BL41" s="482"/>
      <c r="BM41" s="482"/>
      <c r="BN41" s="482"/>
      <c r="BO41" s="482"/>
      <c r="BP41" s="482"/>
      <c r="BQ41" s="482"/>
      <c r="BR41" s="482"/>
      <c r="BS41" s="482"/>
      <c r="BT41" s="482"/>
      <c r="BU41" s="482"/>
      <c r="BV41" s="482"/>
      <c r="BW41" s="482"/>
      <c r="BX41" s="482"/>
      <c r="BY41" s="482"/>
      <c r="BZ41" s="482"/>
      <c r="CA41" s="482"/>
      <c r="CB41" s="482"/>
      <c r="CC41" s="482"/>
      <c r="CD41" s="482"/>
      <c r="CE41" s="482"/>
      <c r="CF41" s="482"/>
      <c r="CG41" s="482"/>
      <c r="CH41" s="482"/>
      <c r="CI41" s="482"/>
    </row>
    <row r="42" spans="1:87" s="484" customFormat="1" ht="12" hidden="1" customHeight="1">
      <c r="A42" s="745">
        <v>39435</v>
      </c>
      <c r="B42" s="746" t="s">
        <v>826</v>
      </c>
      <c r="C42" s="747">
        <v>28</v>
      </c>
      <c r="D42" s="745">
        <v>39463</v>
      </c>
      <c r="E42" s="748">
        <v>80</v>
      </c>
      <c r="F42" s="748">
        <v>54.659199999999998</v>
      </c>
      <c r="G42" s="748">
        <v>50</v>
      </c>
      <c r="H42" s="748">
        <v>28.401399999999995</v>
      </c>
      <c r="I42" s="749">
        <v>0.1115</v>
      </c>
      <c r="J42" s="749">
        <v>0.1115</v>
      </c>
      <c r="K42" s="749">
        <v>0.1115</v>
      </c>
      <c r="L42" s="747">
        <v>13</v>
      </c>
      <c r="M42" s="482"/>
      <c r="N42" s="482"/>
      <c r="O42" s="482"/>
      <c r="P42" s="482"/>
      <c r="Q42" s="482"/>
      <c r="R42" s="482"/>
      <c r="S42" s="482"/>
      <c r="T42" s="482"/>
      <c r="U42" s="482"/>
      <c r="V42" s="482"/>
      <c r="W42" s="482"/>
      <c r="X42" s="482"/>
      <c r="Y42" s="482"/>
      <c r="Z42" s="482"/>
      <c r="AA42" s="482"/>
      <c r="AB42" s="482"/>
      <c r="AC42" s="482"/>
      <c r="AD42" s="482"/>
      <c r="AE42" s="482"/>
      <c r="AF42" s="482"/>
      <c r="AG42" s="482"/>
      <c r="AH42" s="482"/>
      <c r="AI42" s="482"/>
      <c r="AJ42" s="482"/>
      <c r="AK42" s="482"/>
      <c r="AL42" s="482"/>
      <c r="AM42" s="482"/>
      <c r="AN42" s="482"/>
      <c r="AO42" s="482"/>
      <c r="AP42" s="482"/>
      <c r="AQ42" s="482"/>
      <c r="AR42" s="482"/>
      <c r="AS42" s="482"/>
      <c r="AT42" s="482"/>
      <c r="AU42" s="482"/>
      <c r="AV42" s="482"/>
      <c r="AW42" s="482"/>
      <c r="AX42" s="482"/>
      <c r="AY42" s="482"/>
      <c r="AZ42" s="482"/>
      <c r="BA42" s="482"/>
      <c r="BB42" s="482"/>
      <c r="BC42" s="482"/>
      <c r="BD42" s="482"/>
      <c r="BE42" s="482"/>
      <c r="BF42" s="482"/>
      <c r="BG42" s="482"/>
      <c r="BH42" s="482"/>
      <c r="BI42" s="482"/>
      <c r="BJ42" s="482"/>
      <c r="BK42" s="482"/>
      <c r="BL42" s="482"/>
      <c r="BM42" s="482"/>
      <c r="BN42" s="482"/>
      <c r="BO42" s="482"/>
      <c r="BP42" s="482"/>
      <c r="BQ42" s="482"/>
      <c r="BR42" s="482"/>
      <c r="BS42" s="482"/>
      <c r="BT42" s="482"/>
      <c r="BU42" s="482"/>
      <c r="BV42" s="482"/>
      <c r="BW42" s="482"/>
      <c r="BX42" s="482"/>
      <c r="BY42" s="482"/>
      <c r="BZ42" s="482"/>
      <c r="CA42" s="482"/>
      <c r="CB42" s="482"/>
      <c r="CC42" s="482"/>
      <c r="CD42" s="482"/>
      <c r="CE42" s="482"/>
      <c r="CF42" s="482"/>
      <c r="CG42" s="482"/>
      <c r="CH42" s="482"/>
      <c r="CI42" s="482"/>
    </row>
    <row r="43" spans="1:87" s="484" customFormat="1" ht="12" hidden="1" customHeight="1">
      <c r="A43" s="745">
        <v>39442</v>
      </c>
      <c r="B43" s="746" t="s">
        <v>827</v>
      </c>
      <c r="C43" s="747">
        <v>28</v>
      </c>
      <c r="D43" s="745">
        <v>39470</v>
      </c>
      <c r="E43" s="748">
        <v>70</v>
      </c>
      <c r="F43" s="748">
        <v>36.127200000000002</v>
      </c>
      <c r="G43" s="748">
        <v>36.127200000000002</v>
      </c>
      <c r="H43" s="748">
        <v>0.502</v>
      </c>
      <c r="I43" s="749">
        <v>0.1089</v>
      </c>
      <c r="J43" s="749">
        <v>0.1089</v>
      </c>
      <c r="K43" s="749">
        <v>0.1089</v>
      </c>
      <c r="L43" s="747">
        <v>5</v>
      </c>
      <c r="M43" s="482"/>
      <c r="N43" s="482"/>
      <c r="O43" s="482"/>
      <c r="P43" s="482"/>
      <c r="Q43" s="482"/>
      <c r="R43" s="482"/>
      <c r="S43" s="482"/>
      <c r="T43" s="482"/>
      <c r="U43" s="482"/>
      <c r="V43" s="482"/>
      <c r="W43" s="482"/>
      <c r="X43" s="482"/>
      <c r="Y43" s="482"/>
      <c r="Z43" s="482"/>
      <c r="AA43" s="482"/>
      <c r="AB43" s="482"/>
      <c r="AC43" s="482"/>
      <c r="AD43" s="482"/>
      <c r="AE43" s="482"/>
      <c r="AF43" s="482"/>
      <c r="AG43" s="482"/>
      <c r="AH43" s="482"/>
      <c r="AI43" s="482"/>
      <c r="AJ43" s="482"/>
      <c r="AK43" s="482"/>
      <c r="AL43" s="482"/>
      <c r="AM43" s="482"/>
      <c r="AN43" s="482"/>
      <c r="AO43" s="482"/>
      <c r="AP43" s="482"/>
      <c r="AQ43" s="482"/>
      <c r="AR43" s="482"/>
      <c r="AS43" s="482"/>
      <c r="AT43" s="482"/>
      <c r="AU43" s="482"/>
      <c r="AV43" s="482"/>
      <c r="AW43" s="482"/>
      <c r="AX43" s="482"/>
      <c r="AY43" s="482"/>
      <c r="AZ43" s="482"/>
      <c r="BA43" s="482"/>
      <c r="BB43" s="482"/>
      <c r="BC43" s="482"/>
      <c r="BD43" s="482"/>
      <c r="BE43" s="482"/>
      <c r="BF43" s="482"/>
      <c r="BG43" s="482"/>
      <c r="BH43" s="482"/>
      <c r="BI43" s="482"/>
      <c r="BJ43" s="482"/>
      <c r="BK43" s="482"/>
      <c r="BL43" s="482"/>
      <c r="BM43" s="482"/>
      <c r="BN43" s="482"/>
      <c r="BO43" s="482"/>
      <c r="BP43" s="482"/>
      <c r="BQ43" s="482"/>
      <c r="BR43" s="482"/>
      <c r="BS43" s="482"/>
      <c r="BT43" s="482"/>
      <c r="BU43" s="482"/>
      <c r="BV43" s="482"/>
      <c r="BW43" s="482"/>
      <c r="BX43" s="482"/>
      <c r="BY43" s="482"/>
      <c r="BZ43" s="482"/>
      <c r="CA43" s="482"/>
      <c r="CB43" s="482"/>
      <c r="CC43" s="482"/>
      <c r="CD43" s="482"/>
      <c r="CE43" s="482"/>
      <c r="CF43" s="482"/>
      <c r="CG43" s="482"/>
      <c r="CH43" s="482"/>
      <c r="CI43" s="482"/>
    </row>
    <row r="44" spans="1:87" s="484" customFormat="1" ht="12" hidden="1" customHeight="1">
      <c r="A44" s="745">
        <v>39445</v>
      </c>
      <c r="B44" s="746" t="s">
        <v>828</v>
      </c>
      <c r="C44" s="747">
        <v>32</v>
      </c>
      <c r="D44" s="745">
        <v>39477</v>
      </c>
      <c r="E44" s="748">
        <v>100</v>
      </c>
      <c r="F44" s="748">
        <v>68.132999999999996</v>
      </c>
      <c r="G44" s="748">
        <v>68.132999999999996</v>
      </c>
      <c r="H44" s="748">
        <v>-5.7696000000000005</v>
      </c>
      <c r="I44" s="749">
        <v>9.9900000000000003E-2</v>
      </c>
      <c r="J44" s="749">
        <v>0.1113</v>
      </c>
      <c r="K44" s="749">
        <v>0.1056</v>
      </c>
      <c r="L44" s="747">
        <v>11</v>
      </c>
      <c r="M44" s="482"/>
      <c r="N44" s="482"/>
      <c r="O44" s="482"/>
      <c r="P44" s="482"/>
      <c r="Q44" s="482"/>
      <c r="R44" s="482"/>
      <c r="S44" s="482"/>
      <c r="T44" s="482"/>
      <c r="U44" s="482"/>
      <c r="V44" s="482"/>
      <c r="W44" s="482"/>
      <c r="X44" s="482"/>
      <c r="Y44" s="482"/>
      <c r="Z44" s="482"/>
      <c r="AA44" s="482"/>
      <c r="AB44" s="482"/>
      <c r="AC44" s="482"/>
      <c r="AD44" s="482"/>
      <c r="AE44" s="482"/>
      <c r="AF44" s="482"/>
      <c r="AG44" s="482"/>
      <c r="AH44" s="482"/>
      <c r="AI44" s="482"/>
      <c r="AJ44" s="482"/>
      <c r="AK44" s="482"/>
      <c r="AL44" s="482"/>
      <c r="AM44" s="482"/>
      <c r="AN44" s="482"/>
      <c r="AO44" s="482"/>
      <c r="AP44" s="482"/>
      <c r="AQ44" s="482"/>
      <c r="AR44" s="482"/>
      <c r="AS44" s="482"/>
      <c r="AT44" s="482"/>
      <c r="AU44" s="482"/>
      <c r="AV44" s="482"/>
      <c r="AW44" s="482"/>
      <c r="AX44" s="482"/>
      <c r="AY44" s="482"/>
      <c r="AZ44" s="482"/>
      <c r="BA44" s="482"/>
      <c r="BB44" s="482"/>
      <c r="BC44" s="482"/>
      <c r="BD44" s="482"/>
      <c r="BE44" s="482"/>
      <c r="BF44" s="482"/>
      <c r="BG44" s="482"/>
      <c r="BH44" s="482"/>
      <c r="BI44" s="482"/>
      <c r="BJ44" s="482"/>
      <c r="BK44" s="482"/>
      <c r="BL44" s="482"/>
      <c r="BM44" s="482"/>
      <c r="BN44" s="482"/>
      <c r="BO44" s="482"/>
      <c r="BP44" s="482"/>
      <c r="BQ44" s="482"/>
      <c r="BR44" s="482"/>
      <c r="BS44" s="482"/>
      <c r="BT44" s="482"/>
      <c r="BU44" s="482"/>
      <c r="BV44" s="482"/>
      <c r="BW44" s="482"/>
      <c r="BX44" s="482"/>
      <c r="BY44" s="482"/>
      <c r="BZ44" s="482"/>
      <c r="CA44" s="482"/>
      <c r="CB44" s="482"/>
      <c r="CC44" s="482"/>
      <c r="CD44" s="482"/>
      <c r="CE44" s="482"/>
      <c r="CF44" s="482"/>
      <c r="CG44" s="482"/>
      <c r="CH44" s="482"/>
      <c r="CI44" s="482"/>
    </row>
    <row r="45" spans="1:87" s="484" customFormat="1" ht="12" hidden="1" customHeight="1">
      <c r="A45" s="745">
        <v>39456</v>
      </c>
      <c r="B45" s="746" t="s">
        <v>829</v>
      </c>
      <c r="C45" s="747">
        <v>28</v>
      </c>
      <c r="D45" s="745">
        <v>39484</v>
      </c>
      <c r="E45" s="748">
        <v>100</v>
      </c>
      <c r="F45" s="748">
        <v>70</v>
      </c>
      <c r="G45" s="748">
        <v>70</v>
      </c>
      <c r="H45" s="748">
        <v>-1.004</v>
      </c>
      <c r="I45" s="749">
        <v>0.105</v>
      </c>
      <c r="J45" s="749">
        <v>0.1115</v>
      </c>
      <c r="K45" s="749">
        <v>0.1089</v>
      </c>
      <c r="L45" s="747">
        <v>13</v>
      </c>
      <c r="M45" s="482"/>
      <c r="N45" s="482"/>
      <c r="O45" s="482"/>
      <c r="P45" s="482"/>
      <c r="Q45" s="482"/>
      <c r="R45" s="482"/>
      <c r="S45" s="482"/>
      <c r="T45" s="482"/>
      <c r="U45" s="482"/>
      <c r="V45" s="482"/>
      <c r="W45" s="482"/>
      <c r="X45" s="482"/>
      <c r="Y45" s="482"/>
      <c r="Z45" s="482"/>
      <c r="AA45" s="482"/>
      <c r="AB45" s="482"/>
      <c r="AC45" s="482"/>
      <c r="AD45" s="482"/>
      <c r="AE45" s="482"/>
      <c r="AF45" s="482"/>
      <c r="AG45" s="482"/>
      <c r="AH45" s="482"/>
      <c r="AI45" s="482"/>
      <c r="AJ45" s="482"/>
      <c r="AK45" s="482"/>
      <c r="AL45" s="482"/>
      <c r="AM45" s="482"/>
      <c r="AN45" s="482"/>
      <c r="AO45" s="482"/>
      <c r="AP45" s="482"/>
      <c r="AQ45" s="482"/>
      <c r="AR45" s="482"/>
      <c r="AS45" s="482"/>
      <c r="AT45" s="482"/>
      <c r="AU45" s="482"/>
      <c r="AV45" s="482"/>
      <c r="AW45" s="482"/>
      <c r="AX45" s="482"/>
      <c r="AY45" s="482"/>
      <c r="AZ45" s="482"/>
      <c r="BA45" s="482"/>
      <c r="BB45" s="482"/>
      <c r="BC45" s="482"/>
      <c r="BD45" s="482"/>
      <c r="BE45" s="482"/>
      <c r="BF45" s="482"/>
      <c r="BG45" s="482"/>
      <c r="BH45" s="482"/>
      <c r="BI45" s="482"/>
      <c r="BJ45" s="482"/>
      <c r="BK45" s="482"/>
      <c r="BL45" s="482"/>
      <c r="BM45" s="482"/>
      <c r="BN45" s="482"/>
      <c r="BO45" s="482"/>
      <c r="BP45" s="482"/>
      <c r="BQ45" s="482"/>
      <c r="BR45" s="482"/>
      <c r="BS45" s="482"/>
      <c r="BT45" s="482"/>
      <c r="BU45" s="482"/>
      <c r="BV45" s="482"/>
      <c r="BW45" s="482"/>
      <c r="BX45" s="482"/>
      <c r="BY45" s="482"/>
      <c r="BZ45" s="482"/>
      <c r="CA45" s="482"/>
      <c r="CB45" s="482"/>
      <c r="CC45" s="482"/>
      <c r="CD45" s="482"/>
      <c r="CE45" s="482"/>
      <c r="CF45" s="482"/>
      <c r="CG45" s="482"/>
      <c r="CH45" s="482"/>
      <c r="CI45" s="482"/>
    </row>
    <row r="46" spans="1:87" s="484" customFormat="1" ht="12" hidden="1" customHeight="1">
      <c r="A46" s="745">
        <v>39463</v>
      </c>
      <c r="B46" s="746" t="s">
        <v>830</v>
      </c>
      <c r="C46" s="747">
        <v>28</v>
      </c>
      <c r="D46" s="745">
        <v>39491</v>
      </c>
      <c r="E46" s="748">
        <v>100</v>
      </c>
      <c r="F46" s="748">
        <v>70.409800000000004</v>
      </c>
      <c r="G46" s="748">
        <v>70.409800000000004</v>
      </c>
      <c r="H46" s="748">
        <v>-0.20119999999999999</v>
      </c>
      <c r="I46" s="749">
        <v>0.105</v>
      </c>
      <c r="J46" s="749">
        <v>0.1115</v>
      </c>
      <c r="K46" s="749">
        <v>0.1089</v>
      </c>
      <c r="L46" s="747">
        <v>10</v>
      </c>
      <c r="M46" s="482"/>
      <c r="N46" s="482"/>
      <c r="O46" s="482"/>
      <c r="P46" s="482"/>
      <c r="Q46" s="482"/>
      <c r="R46" s="482"/>
      <c r="S46" s="482"/>
      <c r="T46" s="482"/>
      <c r="U46" s="482"/>
      <c r="V46" s="482"/>
      <c r="W46" s="482"/>
      <c r="X46" s="482"/>
      <c r="Y46" s="482"/>
      <c r="Z46" s="482"/>
      <c r="AA46" s="482"/>
      <c r="AB46" s="482"/>
      <c r="AC46" s="482"/>
      <c r="AD46" s="482"/>
      <c r="AE46" s="482"/>
      <c r="AF46" s="482"/>
      <c r="AG46" s="482"/>
      <c r="AH46" s="482"/>
      <c r="AI46" s="482"/>
      <c r="AJ46" s="482"/>
      <c r="AK46" s="482"/>
      <c r="AL46" s="482"/>
      <c r="AM46" s="482"/>
      <c r="AN46" s="482"/>
      <c r="AO46" s="482"/>
      <c r="AP46" s="482"/>
      <c r="AQ46" s="482"/>
      <c r="AR46" s="482"/>
      <c r="AS46" s="482"/>
      <c r="AT46" s="482"/>
      <c r="AU46" s="482"/>
      <c r="AV46" s="482"/>
      <c r="AW46" s="482"/>
      <c r="AX46" s="482"/>
      <c r="AY46" s="482"/>
      <c r="AZ46" s="482"/>
      <c r="BA46" s="482"/>
      <c r="BB46" s="482"/>
      <c r="BC46" s="482"/>
      <c r="BD46" s="482"/>
      <c r="BE46" s="482"/>
      <c r="BF46" s="482"/>
      <c r="BG46" s="482"/>
      <c r="BH46" s="482"/>
      <c r="BI46" s="482"/>
      <c r="BJ46" s="482"/>
      <c r="BK46" s="482"/>
      <c r="BL46" s="482"/>
      <c r="BM46" s="482"/>
      <c r="BN46" s="482"/>
      <c r="BO46" s="482"/>
      <c r="BP46" s="482"/>
      <c r="BQ46" s="482"/>
      <c r="BR46" s="482"/>
      <c r="BS46" s="482"/>
      <c r="BT46" s="482"/>
      <c r="BU46" s="482"/>
      <c r="BV46" s="482"/>
      <c r="BW46" s="482"/>
      <c r="BX46" s="482"/>
      <c r="BY46" s="482"/>
      <c r="BZ46" s="482"/>
      <c r="CA46" s="482"/>
      <c r="CB46" s="482"/>
      <c r="CC46" s="482"/>
      <c r="CD46" s="482"/>
      <c r="CE46" s="482"/>
      <c r="CF46" s="482"/>
      <c r="CG46" s="482"/>
      <c r="CH46" s="482"/>
      <c r="CI46" s="482"/>
    </row>
    <row r="47" spans="1:87" s="484" customFormat="1" ht="12" hidden="1" customHeight="1">
      <c r="A47" s="745">
        <v>39470</v>
      </c>
      <c r="B47" s="746" t="s">
        <v>831</v>
      </c>
      <c r="C47" s="747">
        <v>28</v>
      </c>
      <c r="D47" s="745">
        <v>39498</v>
      </c>
      <c r="E47" s="748">
        <v>50</v>
      </c>
      <c r="F47" s="748">
        <v>59.509399999999999</v>
      </c>
      <c r="G47" s="748">
        <v>32</v>
      </c>
      <c r="H47" s="748">
        <v>0</v>
      </c>
      <c r="I47" s="749">
        <v>0.10630000000000001</v>
      </c>
      <c r="J47" s="749">
        <v>0.1089</v>
      </c>
      <c r="K47" s="749">
        <v>0.10630000000000001</v>
      </c>
      <c r="L47" s="747">
        <v>8</v>
      </c>
      <c r="M47" s="482"/>
      <c r="N47" s="482"/>
      <c r="O47" s="482"/>
      <c r="P47" s="482"/>
      <c r="Q47" s="482"/>
      <c r="R47" s="482"/>
      <c r="S47" s="482"/>
      <c r="T47" s="482"/>
      <c r="U47" s="482"/>
      <c r="V47" s="482"/>
      <c r="W47" s="482"/>
      <c r="X47" s="482"/>
      <c r="Y47" s="482"/>
      <c r="Z47" s="482"/>
      <c r="AA47" s="482"/>
      <c r="AB47" s="482"/>
      <c r="AC47" s="482"/>
      <c r="AD47" s="482"/>
      <c r="AE47" s="482"/>
      <c r="AF47" s="482"/>
      <c r="AG47" s="482"/>
      <c r="AH47" s="482"/>
      <c r="AI47" s="482"/>
      <c r="AJ47" s="482"/>
      <c r="AK47" s="482"/>
      <c r="AL47" s="482"/>
      <c r="AM47" s="482"/>
      <c r="AN47" s="482"/>
      <c r="AO47" s="482"/>
      <c r="AP47" s="482"/>
      <c r="AQ47" s="482"/>
      <c r="AR47" s="482"/>
      <c r="AS47" s="482"/>
      <c r="AT47" s="482"/>
      <c r="AU47" s="482"/>
      <c r="AV47" s="482"/>
      <c r="AW47" s="482"/>
      <c r="AX47" s="482"/>
      <c r="AY47" s="482"/>
      <c r="AZ47" s="482"/>
      <c r="BA47" s="482"/>
      <c r="BB47" s="482"/>
      <c r="BC47" s="482"/>
      <c r="BD47" s="482"/>
      <c r="BE47" s="482"/>
      <c r="BF47" s="482"/>
      <c r="BG47" s="482"/>
      <c r="BH47" s="482"/>
      <c r="BI47" s="482"/>
      <c r="BJ47" s="482"/>
      <c r="BK47" s="482"/>
      <c r="BL47" s="482"/>
      <c r="BM47" s="482"/>
      <c r="BN47" s="482"/>
      <c r="BO47" s="482"/>
      <c r="BP47" s="482"/>
      <c r="BQ47" s="482"/>
      <c r="BR47" s="482"/>
      <c r="BS47" s="482"/>
      <c r="BT47" s="482"/>
      <c r="BU47" s="482"/>
      <c r="BV47" s="482"/>
      <c r="BW47" s="482"/>
      <c r="BX47" s="482"/>
      <c r="BY47" s="482"/>
      <c r="BZ47" s="482"/>
      <c r="CA47" s="482"/>
      <c r="CB47" s="482"/>
      <c r="CC47" s="482"/>
      <c r="CD47" s="482"/>
      <c r="CE47" s="482"/>
      <c r="CF47" s="482"/>
      <c r="CG47" s="482"/>
      <c r="CH47" s="482"/>
      <c r="CI47" s="482"/>
    </row>
    <row r="48" spans="1:87" s="484" customFormat="1" ht="12" hidden="1" customHeight="1">
      <c r="A48" s="745">
        <v>39477</v>
      </c>
      <c r="B48" s="746" t="s">
        <v>832</v>
      </c>
      <c r="C48" s="747">
        <v>28</v>
      </c>
      <c r="D48" s="745">
        <v>39505</v>
      </c>
      <c r="E48" s="748">
        <v>65</v>
      </c>
      <c r="F48" s="748">
        <v>41.542999999999999</v>
      </c>
      <c r="G48" s="748">
        <v>41.542999999999999</v>
      </c>
      <c r="H48" s="748">
        <v>0</v>
      </c>
      <c r="I48" s="749">
        <v>0.1024</v>
      </c>
      <c r="J48" s="749">
        <v>0.11020000000000001</v>
      </c>
      <c r="K48" s="749">
        <v>0.1076</v>
      </c>
      <c r="L48" s="747">
        <v>11</v>
      </c>
      <c r="M48" s="482"/>
      <c r="N48" s="482"/>
      <c r="O48" s="482"/>
      <c r="P48" s="482"/>
      <c r="Q48" s="482"/>
      <c r="R48" s="482"/>
      <c r="S48" s="482"/>
      <c r="T48" s="482"/>
      <c r="U48" s="482"/>
      <c r="V48" s="482"/>
      <c r="W48" s="482"/>
      <c r="X48" s="482"/>
      <c r="Y48" s="482"/>
      <c r="Z48" s="482"/>
      <c r="AA48" s="482"/>
      <c r="AB48" s="482"/>
      <c r="AC48" s="482"/>
      <c r="AD48" s="482"/>
      <c r="AE48" s="482"/>
      <c r="AF48" s="482"/>
      <c r="AG48" s="482"/>
      <c r="AH48" s="482"/>
      <c r="AI48" s="482"/>
      <c r="AJ48" s="482"/>
      <c r="AK48" s="482"/>
      <c r="AL48" s="482"/>
      <c r="AM48" s="482"/>
      <c r="AN48" s="482"/>
      <c r="AO48" s="482"/>
      <c r="AP48" s="482"/>
      <c r="AQ48" s="482"/>
      <c r="AR48" s="482"/>
      <c r="AS48" s="482"/>
      <c r="AT48" s="482"/>
      <c r="AU48" s="482"/>
      <c r="AV48" s="482"/>
      <c r="AW48" s="482"/>
      <c r="AX48" s="482"/>
      <c r="AY48" s="482"/>
      <c r="AZ48" s="482"/>
      <c r="BA48" s="482"/>
      <c r="BB48" s="482"/>
      <c r="BC48" s="482"/>
      <c r="BD48" s="482"/>
      <c r="BE48" s="482"/>
      <c r="BF48" s="482"/>
      <c r="BG48" s="482"/>
      <c r="BH48" s="482"/>
      <c r="BI48" s="482"/>
      <c r="BJ48" s="482"/>
      <c r="BK48" s="482"/>
      <c r="BL48" s="482"/>
      <c r="BM48" s="482"/>
      <c r="BN48" s="482"/>
      <c r="BO48" s="482"/>
      <c r="BP48" s="482"/>
      <c r="BQ48" s="482"/>
      <c r="BR48" s="482"/>
      <c r="BS48" s="482"/>
      <c r="BT48" s="482"/>
      <c r="BU48" s="482"/>
      <c r="BV48" s="482"/>
      <c r="BW48" s="482"/>
      <c r="BX48" s="482"/>
      <c r="BY48" s="482"/>
      <c r="BZ48" s="482"/>
      <c r="CA48" s="482"/>
      <c r="CB48" s="482"/>
      <c r="CC48" s="482"/>
      <c r="CD48" s="482"/>
      <c r="CE48" s="482"/>
      <c r="CF48" s="482"/>
      <c r="CG48" s="482"/>
      <c r="CH48" s="482"/>
      <c r="CI48" s="482"/>
    </row>
    <row r="49" spans="1:87" s="484" customFormat="1" ht="12" hidden="1" customHeight="1">
      <c r="A49" s="745">
        <v>39484</v>
      </c>
      <c r="B49" s="746" t="s">
        <v>833</v>
      </c>
      <c r="C49" s="747">
        <v>28</v>
      </c>
      <c r="D49" s="745">
        <v>39512</v>
      </c>
      <c r="E49" s="748">
        <v>60</v>
      </c>
      <c r="F49" s="748">
        <v>48.953400000000002</v>
      </c>
      <c r="G49" s="748">
        <v>48.953400000000002</v>
      </c>
      <c r="H49" s="748">
        <v>0</v>
      </c>
      <c r="I49" s="749">
        <v>0.10630000000000001</v>
      </c>
      <c r="J49" s="749">
        <v>0.11020000000000001</v>
      </c>
      <c r="K49" s="749">
        <v>0.1076</v>
      </c>
      <c r="L49" s="747">
        <v>11</v>
      </c>
      <c r="M49" s="482"/>
      <c r="N49" s="482"/>
      <c r="O49" s="482"/>
      <c r="P49" s="482"/>
      <c r="Q49" s="482"/>
      <c r="R49" s="482"/>
      <c r="S49" s="482"/>
      <c r="T49" s="482"/>
      <c r="U49" s="482"/>
      <c r="V49" s="482"/>
      <c r="W49" s="482"/>
      <c r="X49" s="482"/>
      <c r="Y49" s="482"/>
      <c r="Z49" s="482"/>
      <c r="AA49" s="482"/>
      <c r="AB49" s="482"/>
      <c r="AC49" s="482"/>
      <c r="AD49" s="482"/>
      <c r="AE49" s="482"/>
      <c r="AF49" s="482"/>
      <c r="AG49" s="482"/>
      <c r="AH49" s="482"/>
      <c r="AI49" s="482"/>
      <c r="AJ49" s="482"/>
      <c r="AK49" s="482"/>
      <c r="AL49" s="482"/>
      <c r="AM49" s="482"/>
      <c r="AN49" s="482"/>
      <c r="AO49" s="482"/>
      <c r="AP49" s="482"/>
      <c r="AQ49" s="482"/>
      <c r="AR49" s="482"/>
      <c r="AS49" s="482"/>
      <c r="AT49" s="482"/>
      <c r="AU49" s="482"/>
      <c r="AV49" s="482"/>
      <c r="AW49" s="482"/>
      <c r="AX49" s="482"/>
      <c r="AY49" s="482"/>
      <c r="AZ49" s="482"/>
      <c r="BA49" s="482"/>
      <c r="BB49" s="482"/>
      <c r="BC49" s="482"/>
      <c r="BD49" s="482"/>
      <c r="BE49" s="482"/>
      <c r="BF49" s="482"/>
      <c r="BG49" s="482"/>
      <c r="BH49" s="482"/>
      <c r="BI49" s="482"/>
      <c r="BJ49" s="482"/>
      <c r="BK49" s="482"/>
      <c r="BL49" s="482"/>
      <c r="BM49" s="482"/>
      <c r="BN49" s="482"/>
      <c r="BO49" s="482"/>
      <c r="BP49" s="482"/>
      <c r="BQ49" s="482"/>
      <c r="BR49" s="482"/>
      <c r="BS49" s="482"/>
      <c r="BT49" s="482"/>
      <c r="BU49" s="482"/>
      <c r="BV49" s="482"/>
      <c r="BW49" s="482"/>
      <c r="BX49" s="482"/>
      <c r="BY49" s="482"/>
      <c r="BZ49" s="482"/>
      <c r="CA49" s="482"/>
      <c r="CB49" s="482"/>
      <c r="CC49" s="482"/>
      <c r="CD49" s="482"/>
      <c r="CE49" s="482"/>
      <c r="CF49" s="482"/>
      <c r="CG49" s="482"/>
      <c r="CH49" s="482"/>
      <c r="CI49" s="482"/>
    </row>
    <row r="50" spans="1:87" s="484" customFormat="1" ht="12" hidden="1" customHeight="1">
      <c r="A50" s="745">
        <v>39491</v>
      </c>
      <c r="B50" s="746" t="s">
        <v>834</v>
      </c>
      <c r="C50" s="747">
        <v>28</v>
      </c>
      <c r="D50" s="745">
        <v>39519</v>
      </c>
      <c r="E50" s="748">
        <v>80</v>
      </c>
      <c r="F50" s="748">
        <v>45.758600000000001</v>
      </c>
      <c r="G50" s="748">
        <v>41.7196</v>
      </c>
      <c r="H50" s="748">
        <v>0</v>
      </c>
      <c r="I50" s="749">
        <v>0.10630000000000001</v>
      </c>
      <c r="J50" s="749">
        <v>0.11020000000000001</v>
      </c>
      <c r="K50" s="749">
        <v>0.1089</v>
      </c>
      <c r="L50" s="747">
        <v>15</v>
      </c>
      <c r="M50" s="482"/>
      <c r="N50" s="482"/>
      <c r="O50" s="482"/>
      <c r="P50" s="482"/>
      <c r="Q50" s="482"/>
      <c r="R50" s="482"/>
      <c r="S50" s="482"/>
      <c r="T50" s="482"/>
      <c r="U50" s="482"/>
      <c r="V50" s="482"/>
      <c r="W50" s="482"/>
      <c r="X50" s="482"/>
      <c r="Y50" s="482"/>
      <c r="Z50" s="482"/>
      <c r="AA50" s="482"/>
      <c r="AB50" s="482"/>
      <c r="AC50" s="482"/>
      <c r="AD50" s="482"/>
      <c r="AE50" s="482"/>
      <c r="AF50" s="482"/>
      <c r="AG50" s="482"/>
      <c r="AH50" s="482"/>
      <c r="AI50" s="482"/>
      <c r="AJ50" s="482"/>
      <c r="AK50" s="482"/>
      <c r="AL50" s="482"/>
      <c r="AM50" s="482"/>
      <c r="AN50" s="482"/>
      <c r="AO50" s="482"/>
      <c r="AP50" s="482"/>
      <c r="AQ50" s="482"/>
      <c r="AR50" s="482"/>
      <c r="AS50" s="482"/>
      <c r="AT50" s="482"/>
      <c r="AU50" s="482"/>
      <c r="AV50" s="482"/>
      <c r="AW50" s="482"/>
      <c r="AX50" s="482"/>
      <c r="AY50" s="482"/>
      <c r="AZ50" s="482"/>
      <c r="BA50" s="482"/>
      <c r="BB50" s="482"/>
      <c r="BC50" s="482"/>
      <c r="BD50" s="482"/>
      <c r="BE50" s="482"/>
      <c r="BF50" s="482"/>
      <c r="BG50" s="482"/>
      <c r="BH50" s="482"/>
      <c r="BI50" s="482"/>
      <c r="BJ50" s="482"/>
      <c r="BK50" s="482"/>
      <c r="BL50" s="482"/>
      <c r="BM50" s="482"/>
      <c r="BN50" s="482"/>
      <c r="BO50" s="482"/>
      <c r="BP50" s="482"/>
      <c r="BQ50" s="482"/>
      <c r="BR50" s="482"/>
      <c r="BS50" s="482"/>
      <c r="BT50" s="482"/>
      <c r="BU50" s="482"/>
      <c r="BV50" s="482"/>
      <c r="BW50" s="482"/>
      <c r="BX50" s="482"/>
      <c r="BY50" s="482"/>
      <c r="BZ50" s="482"/>
      <c r="CA50" s="482"/>
      <c r="CB50" s="482"/>
      <c r="CC50" s="482"/>
      <c r="CD50" s="482"/>
      <c r="CE50" s="482"/>
      <c r="CF50" s="482"/>
      <c r="CG50" s="482"/>
      <c r="CH50" s="482"/>
      <c r="CI50" s="482"/>
    </row>
    <row r="51" spans="1:87" s="484" customFormat="1" ht="12" hidden="1" customHeight="1">
      <c r="A51" s="745">
        <v>39498</v>
      </c>
      <c r="B51" s="746" t="s">
        <v>835</v>
      </c>
      <c r="C51" s="747">
        <v>28</v>
      </c>
      <c r="D51" s="745">
        <v>39526</v>
      </c>
      <c r="E51" s="748">
        <v>40</v>
      </c>
      <c r="F51" s="748">
        <v>59.083599999999997</v>
      </c>
      <c r="G51" s="748">
        <v>25</v>
      </c>
      <c r="H51" s="748">
        <v>0</v>
      </c>
      <c r="I51" s="749">
        <v>0.105</v>
      </c>
      <c r="J51" s="749">
        <v>0.105</v>
      </c>
      <c r="K51" s="749">
        <v>0.105</v>
      </c>
      <c r="L51" s="747">
        <v>6</v>
      </c>
      <c r="M51" s="482"/>
      <c r="N51" s="482"/>
      <c r="O51" s="482"/>
      <c r="P51" s="482"/>
      <c r="Q51" s="482"/>
      <c r="R51" s="482"/>
      <c r="S51" s="482"/>
      <c r="T51" s="482"/>
      <c r="U51" s="482"/>
      <c r="V51" s="482"/>
      <c r="W51" s="482"/>
      <c r="X51" s="482"/>
      <c r="Y51" s="482"/>
      <c r="Z51" s="482"/>
      <c r="AA51" s="482"/>
      <c r="AB51" s="482"/>
      <c r="AC51" s="482"/>
      <c r="AD51" s="482"/>
      <c r="AE51" s="482"/>
      <c r="AF51" s="482"/>
      <c r="AG51" s="482"/>
      <c r="AH51" s="482"/>
      <c r="AI51" s="482"/>
      <c r="AJ51" s="482"/>
      <c r="AK51" s="482"/>
      <c r="AL51" s="482"/>
      <c r="AM51" s="482"/>
      <c r="AN51" s="482"/>
      <c r="AO51" s="482"/>
      <c r="AP51" s="482"/>
      <c r="AQ51" s="482"/>
      <c r="AR51" s="482"/>
      <c r="AS51" s="482"/>
      <c r="AT51" s="482"/>
      <c r="AU51" s="482"/>
      <c r="AV51" s="482"/>
      <c r="AW51" s="482"/>
      <c r="AX51" s="482"/>
      <c r="AY51" s="482"/>
      <c r="AZ51" s="482"/>
      <c r="BA51" s="482"/>
      <c r="BB51" s="482"/>
      <c r="BC51" s="482"/>
      <c r="BD51" s="482"/>
      <c r="BE51" s="482"/>
      <c r="BF51" s="482"/>
      <c r="BG51" s="482"/>
      <c r="BH51" s="482"/>
      <c r="BI51" s="482"/>
      <c r="BJ51" s="482"/>
      <c r="BK51" s="482"/>
      <c r="BL51" s="482"/>
      <c r="BM51" s="482"/>
      <c r="BN51" s="482"/>
      <c r="BO51" s="482"/>
      <c r="BP51" s="482"/>
      <c r="BQ51" s="482"/>
      <c r="BR51" s="482"/>
      <c r="BS51" s="482"/>
      <c r="BT51" s="482"/>
      <c r="BU51" s="482"/>
      <c r="BV51" s="482"/>
      <c r="BW51" s="482"/>
      <c r="BX51" s="482"/>
      <c r="BY51" s="482"/>
      <c r="BZ51" s="482"/>
      <c r="CA51" s="482"/>
      <c r="CB51" s="482"/>
      <c r="CC51" s="482"/>
      <c r="CD51" s="482"/>
      <c r="CE51" s="482"/>
      <c r="CF51" s="482"/>
      <c r="CG51" s="482"/>
      <c r="CH51" s="482"/>
      <c r="CI51" s="482"/>
    </row>
    <row r="52" spans="1:87" s="484" customFormat="1" ht="12" hidden="1" customHeight="1">
      <c r="A52" s="745">
        <v>39505</v>
      </c>
      <c r="B52" s="746" t="s">
        <v>836</v>
      </c>
      <c r="C52" s="747">
        <v>29</v>
      </c>
      <c r="D52" s="745">
        <v>39534</v>
      </c>
      <c r="E52" s="748">
        <v>40</v>
      </c>
      <c r="F52" s="748">
        <v>103.55549999999999</v>
      </c>
      <c r="G52" s="748">
        <v>35</v>
      </c>
      <c r="H52" s="748">
        <v>-0.58160000000000001</v>
      </c>
      <c r="I52" s="749">
        <v>9.1899999999999996E-2</v>
      </c>
      <c r="J52" s="749">
        <v>9.3200000000000005E-2</v>
      </c>
      <c r="K52" s="749">
        <v>9.3200000000000005E-2</v>
      </c>
      <c r="L52" s="747">
        <v>12</v>
      </c>
      <c r="M52" s="482"/>
      <c r="N52" s="482"/>
      <c r="O52" s="482"/>
      <c r="P52" s="482"/>
      <c r="Q52" s="482"/>
      <c r="R52" s="482"/>
      <c r="S52" s="482"/>
      <c r="T52" s="482"/>
      <c r="U52" s="482"/>
      <c r="V52" s="482"/>
      <c r="W52" s="482"/>
      <c r="X52" s="482"/>
      <c r="Y52" s="482"/>
      <c r="Z52" s="482"/>
      <c r="AA52" s="482"/>
      <c r="AB52" s="482"/>
      <c r="AC52" s="482"/>
      <c r="AD52" s="482"/>
      <c r="AE52" s="482"/>
      <c r="AF52" s="482"/>
      <c r="AG52" s="482"/>
      <c r="AH52" s="482"/>
      <c r="AI52" s="482"/>
      <c r="AJ52" s="482"/>
      <c r="AK52" s="482"/>
      <c r="AL52" s="482"/>
      <c r="AM52" s="482"/>
      <c r="AN52" s="482"/>
      <c r="AO52" s="482"/>
      <c r="AP52" s="482"/>
      <c r="AQ52" s="482"/>
      <c r="AR52" s="482"/>
      <c r="AS52" s="482"/>
      <c r="AT52" s="482"/>
      <c r="AU52" s="482"/>
      <c r="AV52" s="482"/>
      <c r="AW52" s="482"/>
      <c r="AX52" s="482"/>
      <c r="AY52" s="482"/>
      <c r="AZ52" s="482"/>
      <c r="BA52" s="482"/>
      <c r="BB52" s="482"/>
      <c r="BC52" s="482"/>
      <c r="BD52" s="482"/>
      <c r="BE52" s="482"/>
      <c r="BF52" s="482"/>
      <c r="BG52" s="482"/>
      <c r="BH52" s="482"/>
      <c r="BI52" s="482"/>
      <c r="BJ52" s="482"/>
      <c r="BK52" s="482"/>
      <c r="BL52" s="482"/>
      <c r="BM52" s="482"/>
      <c r="BN52" s="482"/>
      <c r="BO52" s="482"/>
      <c r="BP52" s="482"/>
      <c r="BQ52" s="482"/>
      <c r="BR52" s="482"/>
      <c r="BS52" s="482"/>
      <c r="BT52" s="482"/>
      <c r="BU52" s="482"/>
      <c r="BV52" s="482"/>
      <c r="BW52" s="482"/>
      <c r="BX52" s="482"/>
      <c r="BY52" s="482"/>
      <c r="BZ52" s="482"/>
      <c r="CA52" s="482"/>
      <c r="CB52" s="482"/>
      <c r="CC52" s="482"/>
      <c r="CD52" s="482"/>
      <c r="CE52" s="482"/>
      <c r="CF52" s="482"/>
      <c r="CG52" s="482"/>
      <c r="CH52" s="482"/>
      <c r="CI52" s="482"/>
    </row>
    <row r="53" spans="1:87" s="484" customFormat="1" ht="12" hidden="1" customHeight="1">
      <c r="A53" s="745">
        <v>39512</v>
      </c>
      <c r="B53" s="746" t="s">
        <v>837</v>
      </c>
      <c r="C53" s="747">
        <v>28</v>
      </c>
      <c r="D53" s="745">
        <v>39540</v>
      </c>
      <c r="E53" s="748">
        <v>60</v>
      </c>
      <c r="F53" s="748">
        <v>87.842700000000008</v>
      </c>
      <c r="G53" s="748">
        <v>50</v>
      </c>
      <c r="H53" s="748">
        <v>-2.4176000000000002</v>
      </c>
      <c r="I53" s="749">
        <v>7.8899999999999998E-2</v>
      </c>
      <c r="J53" s="749">
        <v>9.4500000000000001E-2</v>
      </c>
      <c r="K53" s="749">
        <v>8.6699999999999999E-2</v>
      </c>
      <c r="L53" s="747">
        <v>11</v>
      </c>
      <c r="M53" s="482"/>
      <c r="N53" s="482"/>
      <c r="O53" s="482"/>
      <c r="P53" s="482"/>
      <c r="Q53" s="482"/>
      <c r="R53" s="482"/>
      <c r="S53" s="482"/>
      <c r="T53" s="482"/>
      <c r="U53" s="482"/>
      <c r="V53" s="482"/>
      <c r="W53" s="482"/>
      <c r="X53" s="482"/>
      <c r="Y53" s="482"/>
      <c r="Z53" s="482"/>
      <c r="AA53" s="482"/>
      <c r="AB53" s="482"/>
      <c r="AC53" s="482"/>
      <c r="AD53" s="482"/>
      <c r="AE53" s="482"/>
      <c r="AF53" s="482"/>
      <c r="AG53" s="482"/>
      <c r="AH53" s="482"/>
      <c r="AI53" s="482"/>
      <c r="AJ53" s="482"/>
      <c r="AK53" s="482"/>
      <c r="AL53" s="482"/>
      <c r="AM53" s="482"/>
      <c r="AN53" s="482"/>
      <c r="AO53" s="482"/>
      <c r="AP53" s="482"/>
      <c r="AQ53" s="482"/>
      <c r="AR53" s="482"/>
      <c r="AS53" s="482"/>
      <c r="AT53" s="482"/>
      <c r="AU53" s="482"/>
      <c r="AV53" s="482"/>
      <c r="AW53" s="482"/>
      <c r="AX53" s="482"/>
      <c r="AY53" s="482"/>
      <c r="AZ53" s="482"/>
      <c r="BA53" s="482"/>
      <c r="BB53" s="482"/>
      <c r="BC53" s="482"/>
      <c r="BD53" s="482"/>
      <c r="BE53" s="482"/>
      <c r="BF53" s="482"/>
      <c r="BG53" s="482"/>
      <c r="BH53" s="482"/>
      <c r="BI53" s="482"/>
      <c r="BJ53" s="482"/>
      <c r="BK53" s="482"/>
      <c r="BL53" s="482"/>
      <c r="BM53" s="482"/>
      <c r="BN53" s="482"/>
      <c r="BO53" s="482"/>
      <c r="BP53" s="482"/>
      <c r="BQ53" s="482"/>
      <c r="BR53" s="482"/>
      <c r="BS53" s="482"/>
      <c r="BT53" s="482"/>
      <c r="BU53" s="482"/>
      <c r="BV53" s="482"/>
      <c r="BW53" s="482"/>
      <c r="BX53" s="482"/>
      <c r="BY53" s="482"/>
      <c r="BZ53" s="482"/>
      <c r="CA53" s="482"/>
      <c r="CB53" s="482"/>
      <c r="CC53" s="482"/>
      <c r="CD53" s="482"/>
      <c r="CE53" s="482"/>
      <c r="CF53" s="482"/>
      <c r="CG53" s="482"/>
      <c r="CH53" s="482"/>
      <c r="CI53" s="482"/>
    </row>
    <row r="54" spans="1:87" s="484" customFormat="1" ht="12" hidden="1" customHeight="1">
      <c r="A54" s="745">
        <v>39519</v>
      </c>
      <c r="B54" s="746" t="s">
        <v>838</v>
      </c>
      <c r="C54" s="747">
        <v>28</v>
      </c>
      <c r="D54" s="745">
        <v>39547</v>
      </c>
      <c r="E54" s="748">
        <v>55</v>
      </c>
      <c r="F54" s="748">
        <v>92.868800000000007</v>
      </c>
      <c r="G54" s="748">
        <v>50</v>
      </c>
      <c r="H54" s="748">
        <v>-0.40100000000000008</v>
      </c>
      <c r="I54" s="749">
        <v>8.5400000000000004E-2</v>
      </c>
      <c r="J54" s="749">
        <v>9.3200000000000005E-2</v>
      </c>
      <c r="K54" s="749">
        <v>9.06E-2</v>
      </c>
      <c r="L54" s="747">
        <v>13</v>
      </c>
      <c r="M54" s="482"/>
      <c r="N54" s="482"/>
      <c r="O54" s="482"/>
      <c r="P54" s="482"/>
      <c r="Q54" s="482"/>
      <c r="R54" s="482"/>
      <c r="S54" s="482"/>
      <c r="T54" s="482"/>
      <c r="U54" s="482"/>
      <c r="V54" s="482"/>
      <c r="W54" s="482"/>
      <c r="X54" s="482"/>
      <c r="Y54" s="482"/>
      <c r="Z54" s="482"/>
      <c r="AA54" s="482"/>
      <c r="AB54" s="482"/>
      <c r="AC54" s="482"/>
      <c r="AD54" s="482"/>
      <c r="AE54" s="482"/>
      <c r="AF54" s="482"/>
      <c r="AG54" s="482"/>
      <c r="AH54" s="482"/>
      <c r="AI54" s="482"/>
      <c r="AJ54" s="482"/>
      <c r="AK54" s="482"/>
      <c r="AL54" s="482"/>
      <c r="AM54" s="482"/>
      <c r="AN54" s="482"/>
      <c r="AO54" s="482"/>
      <c r="AP54" s="482"/>
      <c r="AQ54" s="482"/>
      <c r="AR54" s="482"/>
      <c r="AS54" s="482"/>
      <c r="AT54" s="482"/>
      <c r="AU54" s="482"/>
      <c r="AV54" s="482"/>
      <c r="AW54" s="482"/>
      <c r="AX54" s="482"/>
      <c r="AY54" s="482"/>
      <c r="AZ54" s="482"/>
      <c r="BA54" s="482"/>
      <c r="BB54" s="482"/>
      <c r="BC54" s="482"/>
      <c r="BD54" s="482"/>
      <c r="BE54" s="482"/>
      <c r="BF54" s="482"/>
      <c r="BG54" s="482"/>
      <c r="BH54" s="482"/>
      <c r="BI54" s="482"/>
      <c r="BJ54" s="482"/>
      <c r="BK54" s="482"/>
      <c r="BL54" s="482"/>
      <c r="BM54" s="482"/>
      <c r="BN54" s="482"/>
      <c r="BO54" s="482"/>
      <c r="BP54" s="482"/>
      <c r="BQ54" s="482"/>
      <c r="BR54" s="482"/>
      <c r="BS54" s="482"/>
      <c r="BT54" s="482"/>
      <c r="BU54" s="482"/>
      <c r="BV54" s="482"/>
      <c r="BW54" s="482"/>
      <c r="BX54" s="482"/>
      <c r="BY54" s="482"/>
      <c r="BZ54" s="482"/>
      <c r="CA54" s="482"/>
      <c r="CB54" s="482"/>
      <c r="CC54" s="482"/>
      <c r="CD54" s="482"/>
      <c r="CE54" s="482"/>
      <c r="CF54" s="482"/>
      <c r="CG54" s="482"/>
      <c r="CH54" s="482"/>
      <c r="CI54" s="482"/>
    </row>
    <row r="55" spans="1:87" s="484" customFormat="1" ht="12" hidden="1" customHeight="1">
      <c r="A55" s="745">
        <v>39526</v>
      </c>
      <c r="B55" s="746" t="s">
        <v>839</v>
      </c>
      <c r="C55" s="747">
        <v>28</v>
      </c>
      <c r="D55" s="745">
        <v>39554</v>
      </c>
      <c r="E55" s="748">
        <v>35</v>
      </c>
      <c r="F55" s="748">
        <v>54.475999999999999</v>
      </c>
      <c r="G55" s="748">
        <v>35</v>
      </c>
      <c r="H55" s="748">
        <v>0</v>
      </c>
      <c r="I55" s="749">
        <v>7.4999999999999997E-2</v>
      </c>
      <c r="J55" s="749">
        <v>9.3200000000000005E-2</v>
      </c>
      <c r="K55" s="749">
        <v>8.9300000000000004E-2</v>
      </c>
      <c r="L55" s="747">
        <v>8</v>
      </c>
      <c r="M55" s="482"/>
      <c r="N55" s="482"/>
      <c r="O55" s="482"/>
      <c r="P55" s="482"/>
      <c r="Q55" s="482"/>
      <c r="R55" s="482"/>
      <c r="S55" s="482"/>
      <c r="T55" s="482"/>
      <c r="U55" s="482"/>
      <c r="V55" s="482"/>
      <c r="W55" s="482"/>
      <c r="X55" s="482"/>
      <c r="Y55" s="482"/>
      <c r="Z55" s="482"/>
      <c r="AA55" s="482"/>
      <c r="AB55" s="482"/>
      <c r="AC55" s="482"/>
      <c r="AD55" s="482"/>
      <c r="AE55" s="482"/>
      <c r="AF55" s="482"/>
      <c r="AG55" s="482"/>
      <c r="AH55" s="482"/>
      <c r="AI55" s="482"/>
      <c r="AJ55" s="482"/>
      <c r="AK55" s="482"/>
      <c r="AL55" s="482"/>
      <c r="AM55" s="482"/>
      <c r="AN55" s="482"/>
      <c r="AO55" s="482"/>
      <c r="AP55" s="482"/>
      <c r="AQ55" s="482"/>
      <c r="AR55" s="482"/>
      <c r="AS55" s="482"/>
      <c r="AT55" s="482"/>
      <c r="AU55" s="482"/>
      <c r="AV55" s="482"/>
      <c r="AW55" s="482"/>
      <c r="AX55" s="482"/>
      <c r="AY55" s="482"/>
      <c r="AZ55" s="482"/>
      <c r="BA55" s="482"/>
      <c r="BB55" s="482"/>
      <c r="BC55" s="482"/>
      <c r="BD55" s="482"/>
      <c r="BE55" s="482"/>
      <c r="BF55" s="482"/>
      <c r="BG55" s="482"/>
      <c r="BH55" s="482"/>
      <c r="BI55" s="482"/>
      <c r="BJ55" s="482"/>
      <c r="BK55" s="482"/>
      <c r="BL55" s="482"/>
      <c r="BM55" s="482"/>
      <c r="BN55" s="482"/>
      <c r="BO55" s="482"/>
      <c r="BP55" s="482"/>
      <c r="BQ55" s="482"/>
      <c r="BR55" s="482"/>
      <c r="BS55" s="482"/>
      <c r="BT55" s="482"/>
      <c r="BU55" s="482"/>
      <c r="BV55" s="482"/>
      <c r="BW55" s="482"/>
      <c r="BX55" s="482"/>
      <c r="BY55" s="482"/>
      <c r="BZ55" s="482"/>
      <c r="CA55" s="482"/>
      <c r="CB55" s="482"/>
      <c r="CC55" s="482"/>
      <c r="CD55" s="482"/>
      <c r="CE55" s="482"/>
      <c r="CF55" s="482"/>
      <c r="CG55" s="482"/>
      <c r="CH55" s="482"/>
      <c r="CI55" s="482"/>
    </row>
    <row r="56" spans="1:87" s="484" customFormat="1" ht="12" hidden="1" customHeight="1">
      <c r="A56" s="745">
        <v>39536</v>
      </c>
      <c r="B56" s="746" t="s">
        <v>840</v>
      </c>
      <c r="C56" s="747">
        <v>25</v>
      </c>
      <c r="D56" s="745">
        <v>39561</v>
      </c>
      <c r="E56" s="748">
        <v>50</v>
      </c>
      <c r="F56" s="748">
        <v>35.657600000000002</v>
      </c>
      <c r="G56" s="748">
        <v>35.657600000000002</v>
      </c>
      <c r="H56" s="748">
        <v>-2.5069999999999997</v>
      </c>
      <c r="I56" s="749">
        <v>8.5500000000000007E-2</v>
      </c>
      <c r="J56" s="749">
        <v>0.1103</v>
      </c>
      <c r="K56" s="749">
        <v>9.2799999999999994E-2</v>
      </c>
      <c r="L56" s="747">
        <v>5</v>
      </c>
      <c r="M56" s="482"/>
      <c r="N56" s="482"/>
      <c r="O56" s="482"/>
      <c r="P56" s="482"/>
      <c r="Q56" s="482"/>
      <c r="R56" s="482"/>
      <c r="S56" s="482"/>
      <c r="T56" s="482"/>
      <c r="U56" s="482"/>
      <c r="V56" s="482"/>
      <c r="W56" s="482"/>
      <c r="X56" s="482"/>
      <c r="Y56" s="482"/>
      <c r="Z56" s="482"/>
      <c r="AA56" s="482"/>
      <c r="AB56" s="482"/>
      <c r="AC56" s="482"/>
      <c r="AD56" s="482"/>
      <c r="AE56" s="482"/>
      <c r="AF56" s="482"/>
      <c r="AG56" s="482"/>
      <c r="AH56" s="482"/>
      <c r="AI56" s="482"/>
      <c r="AJ56" s="482"/>
      <c r="AK56" s="482"/>
      <c r="AL56" s="482"/>
      <c r="AM56" s="482"/>
      <c r="AN56" s="482"/>
      <c r="AO56" s="482"/>
      <c r="AP56" s="482"/>
      <c r="AQ56" s="482"/>
      <c r="AR56" s="482"/>
      <c r="AS56" s="482"/>
      <c r="AT56" s="482"/>
      <c r="AU56" s="482"/>
      <c r="AV56" s="482"/>
      <c r="AW56" s="482"/>
      <c r="AX56" s="482"/>
      <c r="AY56" s="482"/>
      <c r="AZ56" s="482"/>
      <c r="BA56" s="482"/>
      <c r="BB56" s="482"/>
      <c r="BC56" s="482"/>
      <c r="BD56" s="482"/>
      <c r="BE56" s="482"/>
      <c r="BF56" s="482"/>
      <c r="BG56" s="482"/>
      <c r="BH56" s="482"/>
      <c r="BI56" s="482"/>
      <c r="BJ56" s="482"/>
      <c r="BK56" s="482"/>
      <c r="BL56" s="482"/>
      <c r="BM56" s="482"/>
      <c r="BN56" s="482"/>
      <c r="BO56" s="482"/>
      <c r="BP56" s="482"/>
      <c r="BQ56" s="482"/>
      <c r="BR56" s="482"/>
      <c r="BS56" s="482"/>
      <c r="BT56" s="482"/>
      <c r="BU56" s="482"/>
      <c r="BV56" s="482"/>
      <c r="BW56" s="482"/>
      <c r="BX56" s="482"/>
      <c r="BY56" s="482"/>
      <c r="BZ56" s="482"/>
      <c r="CA56" s="482"/>
      <c r="CB56" s="482"/>
      <c r="CC56" s="482"/>
      <c r="CD56" s="482"/>
      <c r="CE56" s="482"/>
      <c r="CF56" s="482"/>
      <c r="CG56" s="482"/>
      <c r="CH56" s="482"/>
      <c r="CI56" s="482"/>
    </row>
    <row r="57" spans="1:87" s="484" customFormat="1" ht="12" hidden="1" customHeight="1">
      <c r="A57" s="745">
        <v>39540</v>
      </c>
      <c r="B57" s="746" t="s">
        <v>841</v>
      </c>
      <c r="C57" s="747">
        <v>28</v>
      </c>
      <c r="D57" s="745">
        <v>39568</v>
      </c>
      <c r="E57" s="748">
        <v>55</v>
      </c>
      <c r="F57" s="748">
        <v>70.306600000000003</v>
      </c>
      <c r="G57" s="748">
        <v>50</v>
      </c>
      <c r="H57" s="748">
        <v>-15.0052</v>
      </c>
      <c r="I57" s="749">
        <v>9.1899999999999996E-2</v>
      </c>
      <c r="J57" s="749">
        <v>0.1037</v>
      </c>
      <c r="K57" s="749">
        <v>0.1024</v>
      </c>
      <c r="L57" s="747">
        <v>13</v>
      </c>
      <c r="M57" s="482"/>
      <c r="N57" s="482"/>
      <c r="O57" s="482"/>
      <c r="P57" s="482"/>
      <c r="Q57" s="482"/>
      <c r="R57" s="482"/>
      <c r="S57" s="482"/>
      <c r="T57" s="482"/>
      <c r="U57" s="482"/>
      <c r="V57" s="482"/>
      <c r="W57" s="482"/>
      <c r="X57" s="482"/>
      <c r="Y57" s="482"/>
      <c r="Z57" s="482"/>
      <c r="AA57" s="482"/>
      <c r="AB57" s="482"/>
      <c r="AC57" s="482"/>
      <c r="AD57" s="482"/>
      <c r="AE57" s="482"/>
      <c r="AF57" s="482"/>
      <c r="AG57" s="482"/>
      <c r="AH57" s="482"/>
      <c r="AI57" s="482"/>
      <c r="AJ57" s="482"/>
      <c r="AK57" s="482"/>
      <c r="AL57" s="482"/>
      <c r="AM57" s="482"/>
      <c r="AN57" s="482"/>
      <c r="AO57" s="482"/>
      <c r="AP57" s="482"/>
      <c r="AQ57" s="482"/>
      <c r="AR57" s="482"/>
      <c r="AS57" s="482"/>
      <c r="AT57" s="482"/>
      <c r="AU57" s="482"/>
      <c r="AV57" s="482"/>
      <c r="AW57" s="482"/>
      <c r="AX57" s="482"/>
      <c r="AY57" s="482"/>
      <c r="AZ57" s="482"/>
      <c r="BA57" s="482"/>
      <c r="BB57" s="482"/>
      <c r="BC57" s="482"/>
      <c r="BD57" s="482"/>
      <c r="BE57" s="482"/>
      <c r="BF57" s="482"/>
      <c r="BG57" s="482"/>
      <c r="BH57" s="482"/>
      <c r="BI57" s="482"/>
      <c r="BJ57" s="482"/>
      <c r="BK57" s="482"/>
      <c r="BL57" s="482"/>
      <c r="BM57" s="482"/>
      <c r="BN57" s="482"/>
      <c r="BO57" s="482"/>
      <c r="BP57" s="482"/>
      <c r="BQ57" s="482"/>
      <c r="BR57" s="482"/>
      <c r="BS57" s="482"/>
      <c r="BT57" s="482"/>
      <c r="BU57" s="482"/>
      <c r="BV57" s="482"/>
      <c r="BW57" s="482"/>
      <c r="BX57" s="482"/>
      <c r="BY57" s="482"/>
      <c r="BZ57" s="482"/>
      <c r="CA57" s="482"/>
      <c r="CB57" s="482"/>
      <c r="CC57" s="482"/>
      <c r="CD57" s="482"/>
      <c r="CE57" s="482"/>
      <c r="CF57" s="482"/>
      <c r="CG57" s="482"/>
      <c r="CH57" s="482"/>
      <c r="CI57" s="482"/>
    </row>
    <row r="58" spans="1:87" s="484" customFormat="1" ht="12" hidden="1" customHeight="1">
      <c r="A58" s="745">
        <v>39547</v>
      </c>
      <c r="B58" s="746" t="s">
        <v>842</v>
      </c>
      <c r="C58" s="747">
        <v>28</v>
      </c>
      <c r="D58" s="745">
        <v>39575</v>
      </c>
      <c r="E58" s="748">
        <v>60</v>
      </c>
      <c r="F58" s="748">
        <v>68.849000000000004</v>
      </c>
      <c r="G58" s="748">
        <v>50</v>
      </c>
      <c r="H58" s="748">
        <v>-1.9104000000000001</v>
      </c>
      <c r="I58" s="749">
        <v>9.4500000000000001E-2</v>
      </c>
      <c r="J58" s="749">
        <v>0.1024</v>
      </c>
      <c r="K58" s="749">
        <v>9.98E-2</v>
      </c>
      <c r="L58" s="747">
        <v>12</v>
      </c>
      <c r="M58" s="482"/>
      <c r="N58" s="482"/>
      <c r="O58" s="482"/>
      <c r="P58" s="482"/>
      <c r="Q58" s="482"/>
      <c r="R58" s="482"/>
      <c r="S58" s="482"/>
      <c r="T58" s="482"/>
      <c r="U58" s="482"/>
      <c r="V58" s="482"/>
      <c r="W58" s="482"/>
      <c r="X58" s="482"/>
      <c r="Y58" s="482"/>
      <c r="Z58" s="482"/>
      <c r="AA58" s="482"/>
      <c r="AB58" s="482"/>
      <c r="AC58" s="482"/>
      <c r="AD58" s="482"/>
      <c r="AE58" s="482"/>
      <c r="AF58" s="482"/>
      <c r="AG58" s="482"/>
      <c r="AH58" s="482"/>
      <c r="AI58" s="482"/>
      <c r="AJ58" s="482"/>
      <c r="AK58" s="482"/>
      <c r="AL58" s="482"/>
      <c r="AM58" s="482"/>
      <c r="AN58" s="482"/>
      <c r="AO58" s="482"/>
      <c r="AP58" s="482"/>
      <c r="AQ58" s="482"/>
      <c r="AR58" s="482"/>
      <c r="AS58" s="482"/>
      <c r="AT58" s="482"/>
      <c r="AU58" s="482"/>
      <c r="AV58" s="482"/>
      <c r="AW58" s="482"/>
      <c r="AX58" s="482"/>
      <c r="AY58" s="482"/>
      <c r="AZ58" s="482"/>
      <c r="BA58" s="482"/>
      <c r="BB58" s="482"/>
      <c r="BC58" s="482"/>
      <c r="BD58" s="482"/>
      <c r="BE58" s="482"/>
      <c r="BF58" s="482"/>
      <c r="BG58" s="482"/>
      <c r="BH58" s="482"/>
      <c r="BI58" s="482"/>
      <c r="BJ58" s="482"/>
      <c r="BK58" s="482"/>
      <c r="BL58" s="482"/>
      <c r="BM58" s="482"/>
      <c r="BN58" s="482"/>
      <c r="BO58" s="482"/>
      <c r="BP58" s="482"/>
      <c r="BQ58" s="482"/>
      <c r="BR58" s="482"/>
      <c r="BS58" s="482"/>
      <c r="BT58" s="482"/>
      <c r="BU58" s="482"/>
      <c r="BV58" s="482"/>
      <c r="BW58" s="482"/>
      <c r="BX58" s="482"/>
      <c r="BY58" s="482"/>
      <c r="BZ58" s="482"/>
      <c r="CA58" s="482"/>
      <c r="CB58" s="482"/>
      <c r="CC58" s="482"/>
      <c r="CD58" s="482"/>
      <c r="CE58" s="482"/>
      <c r="CF58" s="482"/>
      <c r="CG58" s="482"/>
      <c r="CH58" s="482"/>
      <c r="CI58" s="482"/>
    </row>
    <row r="59" spans="1:87" s="484" customFormat="1" ht="12" hidden="1" customHeight="1">
      <c r="A59" s="745">
        <v>39554</v>
      </c>
      <c r="B59" s="746" t="s">
        <v>843</v>
      </c>
      <c r="C59" s="747">
        <v>28</v>
      </c>
      <c r="D59" s="745">
        <v>39582</v>
      </c>
      <c r="E59" s="748">
        <v>50</v>
      </c>
      <c r="F59" s="748">
        <v>32.110999999999997</v>
      </c>
      <c r="G59" s="748">
        <v>32.110999999999997</v>
      </c>
      <c r="H59" s="748">
        <v>0</v>
      </c>
      <c r="I59" s="749">
        <v>9.1899999999999996E-2</v>
      </c>
      <c r="J59" s="749">
        <v>0.1024</v>
      </c>
      <c r="K59" s="749">
        <v>0.1011</v>
      </c>
      <c r="L59" s="747">
        <v>7</v>
      </c>
      <c r="M59" s="482"/>
      <c r="N59" s="482"/>
      <c r="O59" s="482"/>
      <c r="P59" s="482"/>
      <c r="Q59" s="482"/>
      <c r="R59" s="482"/>
      <c r="S59" s="482"/>
      <c r="T59" s="482"/>
      <c r="U59" s="482"/>
      <c r="V59" s="482"/>
      <c r="W59" s="482"/>
      <c r="X59" s="482"/>
      <c r="Y59" s="482"/>
      <c r="Z59" s="482"/>
      <c r="AA59" s="482"/>
      <c r="AB59" s="482"/>
      <c r="AC59" s="482"/>
      <c r="AD59" s="482"/>
      <c r="AE59" s="482"/>
      <c r="AF59" s="482"/>
      <c r="AG59" s="482"/>
      <c r="AH59" s="482"/>
      <c r="AI59" s="482"/>
      <c r="AJ59" s="482"/>
      <c r="AK59" s="482"/>
      <c r="AL59" s="482"/>
      <c r="AM59" s="482"/>
      <c r="AN59" s="482"/>
      <c r="AO59" s="482"/>
      <c r="AP59" s="482"/>
      <c r="AQ59" s="482"/>
      <c r="AR59" s="482"/>
      <c r="AS59" s="482"/>
      <c r="AT59" s="482"/>
      <c r="AU59" s="482"/>
      <c r="AV59" s="482"/>
      <c r="AW59" s="482"/>
      <c r="AX59" s="482"/>
      <c r="AY59" s="482"/>
      <c r="AZ59" s="482"/>
      <c r="BA59" s="482"/>
      <c r="BB59" s="482"/>
      <c r="BC59" s="482"/>
      <c r="BD59" s="482"/>
      <c r="BE59" s="482"/>
      <c r="BF59" s="482"/>
      <c r="BG59" s="482"/>
      <c r="BH59" s="482"/>
      <c r="BI59" s="482"/>
      <c r="BJ59" s="482"/>
      <c r="BK59" s="482"/>
      <c r="BL59" s="482"/>
      <c r="BM59" s="482"/>
      <c r="BN59" s="482"/>
      <c r="BO59" s="482"/>
      <c r="BP59" s="482"/>
      <c r="BQ59" s="482"/>
      <c r="BR59" s="482"/>
      <c r="BS59" s="482"/>
      <c r="BT59" s="482"/>
      <c r="BU59" s="482"/>
      <c r="BV59" s="482"/>
      <c r="BW59" s="482"/>
      <c r="BX59" s="482"/>
      <c r="BY59" s="482"/>
      <c r="BZ59" s="482"/>
      <c r="CA59" s="482"/>
      <c r="CB59" s="482"/>
      <c r="CC59" s="482"/>
      <c r="CD59" s="482"/>
      <c r="CE59" s="482"/>
      <c r="CF59" s="482"/>
      <c r="CG59" s="482"/>
      <c r="CH59" s="482"/>
      <c r="CI59" s="482"/>
    </row>
    <row r="60" spans="1:87" s="484" customFormat="1" ht="12" hidden="1" customHeight="1">
      <c r="A60" s="745">
        <v>39561</v>
      </c>
      <c r="B60" s="746" t="s">
        <v>844</v>
      </c>
      <c r="C60" s="747">
        <v>28</v>
      </c>
      <c r="D60" s="745">
        <v>39589</v>
      </c>
      <c r="E60" s="748">
        <v>50</v>
      </c>
      <c r="F60" s="748">
        <v>24.9084</v>
      </c>
      <c r="G60" s="748">
        <v>24.9084</v>
      </c>
      <c r="H60" s="748">
        <v>-0.60499999999999998</v>
      </c>
      <c r="I60" s="749">
        <v>9.8500000000000004E-2</v>
      </c>
      <c r="J60" s="749">
        <v>0.105</v>
      </c>
      <c r="K60" s="749">
        <v>0.1024</v>
      </c>
      <c r="L60" s="747">
        <v>7</v>
      </c>
      <c r="M60" s="482"/>
      <c r="N60" s="482"/>
      <c r="O60" s="482"/>
      <c r="P60" s="482"/>
      <c r="Q60" s="482"/>
      <c r="R60" s="482"/>
      <c r="S60" s="482"/>
      <c r="T60" s="482"/>
      <c r="U60" s="482"/>
      <c r="V60" s="482"/>
      <c r="W60" s="482"/>
      <c r="X60" s="482"/>
      <c r="Y60" s="482"/>
      <c r="Z60" s="482"/>
      <c r="AA60" s="482"/>
      <c r="AB60" s="482"/>
      <c r="AC60" s="482"/>
      <c r="AD60" s="482"/>
      <c r="AE60" s="482"/>
      <c r="AF60" s="482"/>
      <c r="AG60" s="482"/>
      <c r="AH60" s="482"/>
      <c r="AI60" s="482"/>
      <c r="AJ60" s="482"/>
      <c r="AK60" s="482"/>
      <c r="AL60" s="482"/>
      <c r="AM60" s="482"/>
      <c r="AN60" s="482"/>
      <c r="AO60" s="482"/>
      <c r="AP60" s="482"/>
      <c r="AQ60" s="482"/>
      <c r="AR60" s="482"/>
      <c r="AS60" s="482"/>
      <c r="AT60" s="482"/>
      <c r="AU60" s="482"/>
      <c r="AV60" s="482"/>
      <c r="AW60" s="482"/>
      <c r="AX60" s="482"/>
      <c r="AY60" s="482"/>
      <c r="AZ60" s="482"/>
      <c r="BA60" s="482"/>
      <c r="BB60" s="482"/>
      <c r="BC60" s="482"/>
      <c r="BD60" s="482"/>
      <c r="BE60" s="482"/>
      <c r="BF60" s="482"/>
      <c r="BG60" s="482"/>
      <c r="BH60" s="482"/>
      <c r="BI60" s="482"/>
      <c r="BJ60" s="482"/>
      <c r="BK60" s="482"/>
      <c r="BL60" s="482"/>
      <c r="BM60" s="482"/>
      <c r="BN60" s="482"/>
      <c r="BO60" s="482"/>
      <c r="BP60" s="482"/>
      <c r="BQ60" s="482"/>
      <c r="BR60" s="482"/>
      <c r="BS60" s="482"/>
      <c r="BT60" s="482"/>
      <c r="BU60" s="482"/>
      <c r="BV60" s="482"/>
      <c r="BW60" s="482"/>
      <c r="BX60" s="482"/>
      <c r="BY60" s="482"/>
      <c r="BZ60" s="482"/>
      <c r="CA60" s="482"/>
      <c r="CB60" s="482"/>
      <c r="CC60" s="482"/>
      <c r="CD60" s="482"/>
      <c r="CE60" s="482"/>
      <c r="CF60" s="482"/>
      <c r="CG60" s="482"/>
      <c r="CH60" s="482"/>
      <c r="CI60" s="482"/>
    </row>
    <row r="61" spans="1:87" s="484" customFormat="1" ht="12" hidden="1" customHeight="1">
      <c r="A61" s="745">
        <v>39568</v>
      </c>
      <c r="B61" s="746" t="s">
        <v>845</v>
      </c>
      <c r="C61" s="747">
        <v>29</v>
      </c>
      <c r="D61" s="745">
        <v>39597</v>
      </c>
      <c r="E61" s="748">
        <v>50</v>
      </c>
      <c r="F61" s="748">
        <v>37.738399999999999</v>
      </c>
      <c r="G61" s="748">
        <v>37.738399999999999</v>
      </c>
      <c r="H61" s="748">
        <v>-9.7103999999999999</v>
      </c>
      <c r="I61" s="749">
        <v>9.5100000000000004E-2</v>
      </c>
      <c r="J61" s="749">
        <v>0.1052</v>
      </c>
      <c r="K61" s="749">
        <v>0.1026</v>
      </c>
      <c r="L61" s="747">
        <v>9</v>
      </c>
      <c r="M61" s="482"/>
      <c r="N61" s="482"/>
      <c r="O61" s="482"/>
      <c r="P61" s="482"/>
      <c r="Q61" s="482"/>
      <c r="R61" s="482"/>
      <c r="S61" s="482"/>
      <c r="T61" s="482"/>
      <c r="U61" s="482"/>
      <c r="V61" s="482"/>
      <c r="W61" s="482"/>
      <c r="X61" s="482"/>
      <c r="Y61" s="482"/>
      <c r="Z61" s="482"/>
      <c r="AA61" s="482"/>
      <c r="AB61" s="482"/>
      <c r="AC61" s="482"/>
      <c r="AD61" s="482"/>
      <c r="AE61" s="482"/>
      <c r="AF61" s="482"/>
      <c r="AG61" s="482"/>
      <c r="AH61" s="482"/>
      <c r="AI61" s="482"/>
      <c r="AJ61" s="482"/>
      <c r="AK61" s="482"/>
      <c r="AL61" s="482"/>
      <c r="AM61" s="482"/>
      <c r="AN61" s="482"/>
      <c r="AO61" s="482"/>
      <c r="AP61" s="482"/>
      <c r="AQ61" s="482"/>
      <c r="AR61" s="482"/>
      <c r="AS61" s="482"/>
      <c r="AT61" s="482"/>
      <c r="AU61" s="482"/>
      <c r="AV61" s="482"/>
      <c r="AW61" s="482"/>
      <c r="AX61" s="482"/>
      <c r="AY61" s="482"/>
      <c r="AZ61" s="482"/>
      <c r="BA61" s="482"/>
      <c r="BB61" s="482"/>
      <c r="BC61" s="482"/>
      <c r="BD61" s="482"/>
      <c r="BE61" s="482"/>
      <c r="BF61" s="482"/>
      <c r="BG61" s="482"/>
      <c r="BH61" s="482"/>
      <c r="BI61" s="482"/>
      <c r="BJ61" s="482"/>
      <c r="BK61" s="482"/>
      <c r="BL61" s="482"/>
      <c r="BM61" s="482"/>
      <c r="BN61" s="482"/>
      <c r="BO61" s="482"/>
      <c r="BP61" s="482"/>
      <c r="BQ61" s="482"/>
      <c r="BR61" s="482"/>
      <c r="BS61" s="482"/>
      <c r="BT61" s="482"/>
      <c r="BU61" s="482"/>
      <c r="BV61" s="482"/>
      <c r="BW61" s="482"/>
      <c r="BX61" s="482"/>
      <c r="BY61" s="482"/>
      <c r="BZ61" s="482"/>
      <c r="CA61" s="482"/>
      <c r="CB61" s="482"/>
      <c r="CC61" s="482"/>
      <c r="CD61" s="482"/>
      <c r="CE61" s="482"/>
      <c r="CF61" s="482"/>
      <c r="CG61" s="482"/>
      <c r="CH61" s="482"/>
      <c r="CI61" s="482"/>
    </row>
    <row r="62" spans="1:87" s="484" customFormat="1" ht="12" hidden="1" customHeight="1">
      <c r="A62" s="745">
        <v>39575</v>
      </c>
      <c r="B62" s="746" t="s">
        <v>846</v>
      </c>
      <c r="C62" s="747">
        <v>28</v>
      </c>
      <c r="D62" s="745">
        <v>39603</v>
      </c>
      <c r="E62" s="748">
        <v>60</v>
      </c>
      <c r="F62" s="748">
        <v>63.486600000000003</v>
      </c>
      <c r="G62" s="748">
        <v>50</v>
      </c>
      <c r="H62" s="748">
        <v>0</v>
      </c>
      <c r="I62" s="749">
        <v>9.8500000000000004E-2</v>
      </c>
      <c r="J62" s="749">
        <v>0.1011</v>
      </c>
      <c r="K62" s="749">
        <v>9.98E-2</v>
      </c>
      <c r="L62" s="747">
        <v>12</v>
      </c>
      <c r="M62" s="482"/>
      <c r="N62" s="482"/>
      <c r="O62" s="482"/>
      <c r="P62" s="482"/>
      <c r="Q62" s="482"/>
      <c r="R62" s="482"/>
      <c r="S62" s="482"/>
      <c r="T62" s="482"/>
      <c r="U62" s="482"/>
      <c r="V62" s="482"/>
      <c r="W62" s="482"/>
      <c r="X62" s="482"/>
      <c r="Y62" s="482"/>
      <c r="Z62" s="482"/>
      <c r="AA62" s="482"/>
      <c r="AB62" s="482"/>
      <c r="AC62" s="482"/>
      <c r="AD62" s="482"/>
      <c r="AE62" s="482"/>
      <c r="AF62" s="482"/>
      <c r="AG62" s="482"/>
      <c r="AH62" s="482"/>
      <c r="AI62" s="482"/>
      <c r="AJ62" s="482"/>
      <c r="AK62" s="482"/>
      <c r="AL62" s="482"/>
      <c r="AM62" s="482"/>
      <c r="AN62" s="482"/>
      <c r="AO62" s="482"/>
      <c r="AP62" s="482"/>
      <c r="AQ62" s="482"/>
      <c r="AR62" s="482"/>
      <c r="AS62" s="482"/>
      <c r="AT62" s="482"/>
      <c r="AU62" s="482"/>
      <c r="AV62" s="482"/>
      <c r="AW62" s="482"/>
      <c r="AX62" s="482"/>
      <c r="AY62" s="482"/>
      <c r="AZ62" s="482"/>
      <c r="BA62" s="482"/>
      <c r="BB62" s="482"/>
      <c r="BC62" s="482"/>
      <c r="BD62" s="482"/>
      <c r="BE62" s="482"/>
      <c r="BF62" s="482"/>
      <c r="BG62" s="482"/>
      <c r="BH62" s="482"/>
      <c r="BI62" s="482"/>
      <c r="BJ62" s="482"/>
      <c r="BK62" s="482"/>
      <c r="BL62" s="482"/>
      <c r="BM62" s="482"/>
      <c r="BN62" s="482"/>
      <c r="BO62" s="482"/>
      <c r="BP62" s="482"/>
      <c r="BQ62" s="482"/>
      <c r="BR62" s="482"/>
      <c r="BS62" s="482"/>
      <c r="BT62" s="482"/>
      <c r="BU62" s="482"/>
      <c r="BV62" s="482"/>
      <c r="BW62" s="482"/>
      <c r="BX62" s="482"/>
      <c r="BY62" s="482"/>
      <c r="BZ62" s="482"/>
      <c r="CA62" s="482"/>
      <c r="CB62" s="482"/>
      <c r="CC62" s="482"/>
      <c r="CD62" s="482"/>
      <c r="CE62" s="482"/>
      <c r="CF62" s="482"/>
      <c r="CG62" s="482"/>
      <c r="CH62" s="482"/>
      <c r="CI62" s="482"/>
    </row>
    <row r="63" spans="1:87" s="484" customFormat="1" ht="12" hidden="1" customHeight="1">
      <c r="A63" s="745">
        <v>39582</v>
      </c>
      <c r="B63" s="746" t="s">
        <v>847</v>
      </c>
      <c r="C63" s="747">
        <v>28</v>
      </c>
      <c r="D63" s="745">
        <v>39610</v>
      </c>
      <c r="E63" s="748">
        <v>50</v>
      </c>
      <c r="F63" s="748">
        <v>27.9376</v>
      </c>
      <c r="G63" s="748">
        <v>27.9376</v>
      </c>
      <c r="H63" s="748">
        <v>-22.972000000000001</v>
      </c>
      <c r="I63" s="749">
        <v>9.8500000000000004E-2</v>
      </c>
      <c r="J63" s="749">
        <v>0.1024</v>
      </c>
      <c r="K63" s="749">
        <v>0.1011</v>
      </c>
      <c r="L63" s="747">
        <v>4</v>
      </c>
      <c r="M63" s="482"/>
      <c r="N63" s="482"/>
      <c r="O63" s="482"/>
      <c r="P63" s="482"/>
      <c r="Q63" s="482"/>
      <c r="R63" s="482"/>
      <c r="S63" s="482"/>
      <c r="T63" s="482"/>
      <c r="U63" s="482"/>
      <c r="V63" s="482"/>
      <c r="W63" s="482"/>
      <c r="X63" s="482"/>
      <c r="Y63" s="482"/>
      <c r="Z63" s="482"/>
      <c r="AA63" s="482"/>
      <c r="AB63" s="482"/>
      <c r="AC63" s="482"/>
      <c r="AD63" s="482"/>
      <c r="AE63" s="482"/>
      <c r="AF63" s="482"/>
      <c r="AG63" s="482"/>
      <c r="AH63" s="482"/>
      <c r="AI63" s="482"/>
      <c r="AJ63" s="482"/>
      <c r="AK63" s="482"/>
      <c r="AL63" s="482"/>
      <c r="AM63" s="482"/>
      <c r="AN63" s="482"/>
      <c r="AO63" s="482"/>
      <c r="AP63" s="482"/>
      <c r="AQ63" s="482"/>
      <c r="AR63" s="482"/>
      <c r="AS63" s="482"/>
      <c r="AT63" s="482"/>
      <c r="AU63" s="482"/>
      <c r="AV63" s="482"/>
      <c r="AW63" s="482"/>
      <c r="AX63" s="482"/>
      <c r="AY63" s="482"/>
      <c r="AZ63" s="482"/>
      <c r="BA63" s="482"/>
      <c r="BB63" s="482"/>
      <c r="BC63" s="482"/>
      <c r="BD63" s="482"/>
      <c r="BE63" s="482"/>
      <c r="BF63" s="482"/>
      <c r="BG63" s="482"/>
      <c r="BH63" s="482"/>
      <c r="BI63" s="482"/>
      <c r="BJ63" s="482"/>
      <c r="BK63" s="482"/>
      <c r="BL63" s="482"/>
      <c r="BM63" s="482"/>
      <c r="BN63" s="482"/>
      <c r="BO63" s="482"/>
      <c r="BP63" s="482"/>
      <c r="BQ63" s="482"/>
      <c r="BR63" s="482"/>
      <c r="BS63" s="482"/>
      <c r="BT63" s="482"/>
      <c r="BU63" s="482"/>
      <c r="BV63" s="482"/>
      <c r="BW63" s="482"/>
      <c r="BX63" s="482"/>
      <c r="BY63" s="482"/>
      <c r="BZ63" s="482"/>
      <c r="CA63" s="482"/>
      <c r="CB63" s="482"/>
      <c r="CC63" s="482"/>
      <c r="CD63" s="482"/>
      <c r="CE63" s="482"/>
      <c r="CF63" s="482"/>
      <c r="CG63" s="482"/>
      <c r="CH63" s="482"/>
      <c r="CI63" s="482"/>
    </row>
    <row r="64" spans="1:87" ht="12" hidden="1" customHeight="1">
      <c r="A64" s="488"/>
      <c r="B64" s="489"/>
      <c r="C64" s="485"/>
      <c r="D64" s="488"/>
      <c r="E64" s="487"/>
      <c r="F64" s="487"/>
      <c r="G64" s="487"/>
      <c r="H64" s="487"/>
      <c r="I64" s="486"/>
      <c r="J64" s="486"/>
      <c r="K64" s="486"/>
      <c r="L64" s="485"/>
      <c r="M64" s="482"/>
      <c r="N64" s="482"/>
      <c r="O64" s="482"/>
      <c r="P64" s="482"/>
      <c r="Q64" s="482"/>
      <c r="R64" s="482"/>
      <c r="S64" s="482"/>
      <c r="T64" s="482"/>
      <c r="U64" s="482"/>
      <c r="V64" s="482"/>
      <c r="W64" s="482"/>
      <c r="X64" s="482"/>
      <c r="Y64" s="482"/>
      <c r="Z64" s="482"/>
      <c r="AA64" s="482"/>
      <c r="AB64" s="482"/>
      <c r="AC64" s="482"/>
      <c r="AD64" s="482"/>
      <c r="AE64" s="482"/>
      <c r="AF64" s="482"/>
      <c r="AG64" s="482"/>
      <c r="AH64" s="482"/>
      <c r="AI64" s="482"/>
      <c r="AJ64" s="482"/>
      <c r="AK64" s="482"/>
      <c r="AL64" s="482"/>
      <c r="AM64" s="482"/>
      <c r="AN64" s="482"/>
      <c r="AO64" s="482"/>
      <c r="AP64" s="482"/>
      <c r="AQ64" s="482"/>
      <c r="AR64" s="482"/>
      <c r="AS64" s="482"/>
      <c r="AT64" s="482"/>
      <c r="AU64" s="482"/>
      <c r="AV64" s="482"/>
      <c r="AW64" s="482"/>
      <c r="AX64" s="482"/>
      <c r="AY64" s="482"/>
      <c r="AZ64" s="482"/>
      <c r="BA64" s="482"/>
      <c r="BB64" s="482"/>
      <c r="BC64" s="482"/>
      <c r="BD64" s="482"/>
      <c r="BE64" s="482"/>
      <c r="BF64" s="482"/>
      <c r="BG64" s="482"/>
      <c r="BH64" s="482"/>
      <c r="BI64" s="482"/>
      <c r="BJ64" s="482"/>
      <c r="BK64" s="482"/>
      <c r="BL64" s="482"/>
      <c r="BM64" s="482"/>
      <c r="BN64" s="482"/>
      <c r="BO64" s="482"/>
      <c r="BP64" s="482"/>
      <c r="BQ64" s="482"/>
      <c r="BR64" s="482"/>
      <c r="BS64" s="482"/>
      <c r="BT64" s="482"/>
      <c r="BU64" s="482"/>
      <c r="BV64" s="482"/>
      <c r="BW64" s="482"/>
      <c r="BX64" s="482"/>
      <c r="BY64" s="482"/>
      <c r="BZ64" s="482"/>
      <c r="CA64" s="482"/>
      <c r="CB64" s="482"/>
      <c r="CC64" s="482"/>
      <c r="CD64" s="482"/>
      <c r="CE64" s="482"/>
      <c r="CF64" s="482"/>
      <c r="CG64" s="482"/>
      <c r="CH64" s="482"/>
      <c r="CI64" s="482"/>
    </row>
    <row r="65" spans="1:87" ht="12" hidden="1" customHeight="1">
      <c r="A65" s="485">
        <v>2008</v>
      </c>
      <c r="B65" s="489"/>
      <c r="C65" s="485"/>
      <c r="D65" s="488"/>
      <c r="E65" s="487"/>
      <c r="F65" s="487"/>
      <c r="G65" s="487"/>
      <c r="H65" s="487"/>
      <c r="I65" s="486"/>
      <c r="J65" s="486"/>
      <c r="K65" s="486"/>
      <c r="L65" s="485"/>
      <c r="M65" s="482"/>
      <c r="N65" s="482"/>
      <c r="O65" s="482"/>
      <c r="P65" s="482"/>
      <c r="Q65" s="482"/>
      <c r="R65" s="482"/>
      <c r="S65" s="482"/>
      <c r="T65" s="482"/>
      <c r="U65" s="482"/>
      <c r="V65" s="482"/>
      <c r="W65" s="482"/>
      <c r="X65" s="482"/>
      <c r="Y65" s="482"/>
      <c r="Z65" s="482"/>
      <c r="AA65" s="482"/>
      <c r="AB65" s="482"/>
      <c r="AC65" s="482"/>
      <c r="AD65" s="482"/>
      <c r="AE65" s="482"/>
      <c r="AF65" s="482"/>
      <c r="AG65" s="482"/>
      <c r="AH65" s="482"/>
      <c r="AI65" s="482"/>
      <c r="AJ65" s="482"/>
      <c r="AK65" s="482"/>
      <c r="AL65" s="482"/>
      <c r="AM65" s="482"/>
      <c r="AN65" s="482"/>
      <c r="AO65" s="482"/>
      <c r="AP65" s="482"/>
      <c r="AQ65" s="482"/>
      <c r="AR65" s="482"/>
      <c r="AS65" s="482"/>
      <c r="AT65" s="482"/>
      <c r="AU65" s="482"/>
      <c r="AV65" s="482"/>
      <c r="AW65" s="482"/>
      <c r="AX65" s="482"/>
      <c r="AY65" s="482"/>
      <c r="AZ65" s="482"/>
      <c r="BA65" s="482"/>
      <c r="BB65" s="482"/>
      <c r="BC65" s="482"/>
      <c r="BD65" s="482"/>
      <c r="BE65" s="482"/>
      <c r="BF65" s="482"/>
      <c r="BG65" s="482"/>
      <c r="BH65" s="482"/>
      <c r="BI65" s="482"/>
      <c r="BJ65" s="482"/>
      <c r="BK65" s="482"/>
      <c r="BL65" s="482"/>
      <c r="BM65" s="482"/>
      <c r="BN65" s="482"/>
      <c r="BO65" s="482"/>
      <c r="BP65" s="482"/>
      <c r="BQ65" s="482"/>
      <c r="BR65" s="482"/>
      <c r="BS65" s="482"/>
      <c r="BT65" s="482"/>
      <c r="BU65" s="482"/>
      <c r="BV65" s="482"/>
      <c r="BW65" s="482"/>
      <c r="BX65" s="482"/>
      <c r="BY65" s="482"/>
      <c r="BZ65" s="482"/>
      <c r="CA65" s="482"/>
      <c r="CB65" s="482"/>
      <c r="CC65" s="482"/>
      <c r="CD65" s="482"/>
      <c r="CE65" s="482"/>
      <c r="CF65" s="482"/>
      <c r="CG65" s="482"/>
      <c r="CH65" s="482"/>
      <c r="CI65" s="482"/>
    </row>
    <row r="66" spans="1:87" s="484" customFormat="1" ht="12" hidden="1" customHeight="1">
      <c r="A66" s="745">
        <v>39597</v>
      </c>
      <c r="B66" s="746" t="s">
        <v>848</v>
      </c>
      <c r="C66" s="747">
        <v>27</v>
      </c>
      <c r="D66" s="745">
        <v>39624</v>
      </c>
      <c r="E66" s="748">
        <v>40</v>
      </c>
      <c r="F66" s="748">
        <v>34.417499999999997</v>
      </c>
      <c r="G66" s="748">
        <v>30</v>
      </c>
      <c r="H66" s="748">
        <v>-3.7113999999999998</v>
      </c>
      <c r="I66" s="749">
        <v>9.8000000000000004E-2</v>
      </c>
      <c r="J66" s="749">
        <v>0.1008</v>
      </c>
      <c r="K66" s="749">
        <v>0.1008</v>
      </c>
      <c r="L66" s="747">
        <v>9</v>
      </c>
      <c r="M66" s="482"/>
      <c r="N66" s="482"/>
      <c r="O66" s="482"/>
      <c r="P66" s="482"/>
      <c r="Q66" s="482"/>
      <c r="R66" s="482"/>
      <c r="S66" s="482"/>
      <c r="T66" s="482"/>
      <c r="U66" s="482"/>
      <c r="V66" s="482"/>
      <c r="W66" s="482"/>
      <c r="X66" s="482"/>
      <c r="Y66" s="482"/>
      <c r="Z66" s="482"/>
      <c r="AA66" s="482"/>
      <c r="AB66" s="482"/>
      <c r="AC66" s="482"/>
      <c r="AD66" s="482"/>
      <c r="AE66" s="482"/>
      <c r="AF66" s="482"/>
      <c r="AG66" s="482"/>
      <c r="AH66" s="482"/>
      <c r="AI66" s="482"/>
      <c r="AJ66" s="482"/>
      <c r="AK66" s="482"/>
      <c r="AL66" s="482"/>
      <c r="AM66" s="482"/>
      <c r="AN66" s="482"/>
      <c r="AO66" s="482"/>
      <c r="AP66" s="482"/>
      <c r="AQ66" s="482"/>
      <c r="AR66" s="482"/>
      <c r="AS66" s="482"/>
      <c r="AT66" s="482"/>
      <c r="AU66" s="482"/>
      <c r="AV66" s="482"/>
      <c r="AW66" s="482"/>
      <c r="AX66" s="482"/>
      <c r="AY66" s="482"/>
      <c r="AZ66" s="482"/>
      <c r="BA66" s="482"/>
      <c r="BB66" s="482"/>
      <c r="BC66" s="482"/>
      <c r="BD66" s="482"/>
      <c r="BE66" s="482"/>
      <c r="BF66" s="482"/>
      <c r="BG66" s="482"/>
      <c r="BH66" s="482"/>
      <c r="BI66" s="482"/>
      <c r="BJ66" s="482"/>
      <c r="BK66" s="482"/>
      <c r="BL66" s="482"/>
      <c r="BM66" s="482"/>
      <c r="BN66" s="482"/>
      <c r="BO66" s="482"/>
      <c r="BP66" s="482"/>
      <c r="BQ66" s="482"/>
      <c r="BR66" s="482"/>
      <c r="BS66" s="482"/>
      <c r="BT66" s="482"/>
      <c r="BU66" s="482"/>
      <c r="BV66" s="482"/>
      <c r="BW66" s="482"/>
      <c r="BX66" s="482"/>
      <c r="BY66" s="482"/>
      <c r="BZ66" s="482"/>
      <c r="CA66" s="482"/>
      <c r="CB66" s="482"/>
      <c r="CC66" s="482"/>
      <c r="CD66" s="482"/>
      <c r="CE66" s="482"/>
      <c r="CF66" s="482"/>
      <c r="CG66" s="482"/>
      <c r="CH66" s="482"/>
      <c r="CI66" s="482"/>
    </row>
    <row r="67" spans="1:87" ht="12" hidden="1" customHeight="1">
      <c r="A67" s="750">
        <v>39603</v>
      </c>
      <c r="B67" s="751" t="s">
        <v>849</v>
      </c>
      <c r="C67" s="752">
        <v>28</v>
      </c>
      <c r="D67" s="750">
        <v>39631</v>
      </c>
      <c r="E67" s="753">
        <v>60</v>
      </c>
      <c r="F67" s="753">
        <v>30.401800000000001</v>
      </c>
      <c r="G67" s="753">
        <v>30.401800000000001</v>
      </c>
      <c r="H67" s="753">
        <v>-2.0217999999999998</v>
      </c>
      <c r="I67" s="754">
        <v>9.7199999999999995E-2</v>
      </c>
      <c r="J67" s="754">
        <v>0.1024</v>
      </c>
      <c r="K67" s="754">
        <v>0.1011</v>
      </c>
      <c r="L67" s="752">
        <v>8</v>
      </c>
      <c r="M67" s="482"/>
      <c r="N67" s="482"/>
      <c r="O67" s="482"/>
      <c r="P67" s="482"/>
      <c r="Q67" s="482"/>
      <c r="R67" s="482"/>
      <c r="S67" s="482"/>
      <c r="T67" s="482"/>
      <c r="U67" s="482"/>
      <c r="V67" s="482"/>
      <c r="W67" s="482"/>
      <c r="X67" s="482"/>
      <c r="Y67" s="482"/>
      <c r="Z67" s="482"/>
      <c r="AA67" s="482"/>
      <c r="AB67" s="482"/>
      <c r="AC67" s="482"/>
      <c r="AD67" s="482"/>
      <c r="AE67" s="482"/>
      <c r="AF67" s="482"/>
      <c r="AG67" s="482"/>
      <c r="AH67" s="482"/>
      <c r="AI67" s="482"/>
      <c r="AJ67" s="482"/>
      <c r="AK67" s="482"/>
      <c r="AL67" s="482"/>
      <c r="AM67" s="482"/>
      <c r="AN67" s="482"/>
      <c r="AO67" s="482"/>
      <c r="AP67" s="482"/>
      <c r="AQ67" s="482"/>
      <c r="AR67" s="482"/>
      <c r="AS67" s="482"/>
      <c r="AT67" s="482"/>
      <c r="AU67" s="482"/>
      <c r="AV67" s="482"/>
      <c r="AW67" s="482"/>
      <c r="AX67" s="482"/>
      <c r="AY67" s="482"/>
      <c r="AZ67" s="482"/>
      <c r="BA67" s="482"/>
      <c r="BB67" s="482"/>
      <c r="BC67" s="482"/>
      <c r="BD67" s="482"/>
      <c r="BE67" s="482"/>
      <c r="BF67" s="482"/>
      <c r="BG67" s="482"/>
      <c r="BH67" s="482"/>
      <c r="BI67" s="482"/>
      <c r="BJ67" s="482"/>
      <c r="BK67" s="482"/>
      <c r="BL67" s="482"/>
      <c r="BM67" s="482"/>
      <c r="BN67" s="482"/>
      <c r="BO67" s="482"/>
      <c r="BP67" s="482"/>
      <c r="BQ67" s="482"/>
      <c r="BR67" s="482"/>
      <c r="BS67" s="482"/>
      <c r="BT67" s="482"/>
      <c r="BU67" s="482"/>
      <c r="BV67" s="482"/>
      <c r="BW67" s="482"/>
      <c r="BX67" s="482"/>
      <c r="BY67" s="482"/>
      <c r="BZ67" s="482"/>
      <c r="CA67" s="482"/>
      <c r="CB67" s="482"/>
      <c r="CC67" s="482"/>
      <c r="CD67" s="482"/>
      <c r="CE67" s="482"/>
      <c r="CF67" s="482"/>
      <c r="CG67" s="482"/>
      <c r="CH67" s="482"/>
      <c r="CI67" s="482"/>
    </row>
    <row r="68" spans="1:87" s="484" customFormat="1" ht="12" hidden="1" customHeight="1">
      <c r="A68" s="750">
        <v>39610</v>
      </c>
      <c r="B68" s="751" t="s">
        <v>850</v>
      </c>
      <c r="C68" s="752">
        <v>28</v>
      </c>
      <c r="D68" s="750">
        <v>39638</v>
      </c>
      <c r="E68" s="753">
        <v>20</v>
      </c>
      <c r="F68" s="753">
        <v>13.8094</v>
      </c>
      <c r="G68" s="753">
        <v>13.8094</v>
      </c>
      <c r="H68" s="753">
        <v>-2.0142000000000002</v>
      </c>
      <c r="I68" s="754">
        <v>9.98E-2</v>
      </c>
      <c r="J68" s="754">
        <v>0.1115</v>
      </c>
      <c r="K68" s="754">
        <v>0.10630000000000001</v>
      </c>
      <c r="L68" s="752">
        <v>7</v>
      </c>
      <c r="M68" s="482"/>
      <c r="N68" s="482"/>
      <c r="O68" s="482"/>
      <c r="P68" s="482"/>
      <c r="Q68" s="482"/>
      <c r="R68" s="482"/>
      <c r="S68" s="482"/>
      <c r="T68" s="482"/>
      <c r="U68" s="482"/>
      <c r="V68" s="482"/>
      <c r="W68" s="482"/>
      <c r="X68" s="482"/>
      <c r="Y68" s="482"/>
      <c r="Z68" s="482"/>
      <c r="AA68" s="482"/>
      <c r="AB68" s="482"/>
      <c r="AC68" s="482"/>
      <c r="AD68" s="482"/>
      <c r="AE68" s="482"/>
      <c r="AF68" s="482"/>
      <c r="AG68" s="482"/>
      <c r="AH68" s="482"/>
      <c r="AI68" s="482"/>
      <c r="AJ68" s="482"/>
      <c r="AK68" s="482"/>
      <c r="AL68" s="482"/>
      <c r="AM68" s="482"/>
      <c r="AN68" s="482"/>
      <c r="AO68" s="482"/>
      <c r="AP68" s="482"/>
      <c r="AQ68" s="482"/>
      <c r="AR68" s="482"/>
      <c r="AS68" s="482"/>
      <c r="AT68" s="482"/>
      <c r="AU68" s="482"/>
      <c r="AV68" s="482"/>
      <c r="AW68" s="482"/>
      <c r="AX68" s="482"/>
      <c r="AY68" s="482"/>
      <c r="AZ68" s="482"/>
      <c r="BA68" s="482"/>
      <c r="BB68" s="482"/>
      <c r="BC68" s="482"/>
      <c r="BD68" s="482"/>
      <c r="BE68" s="482"/>
      <c r="BF68" s="482"/>
      <c r="BG68" s="482"/>
      <c r="BH68" s="482"/>
      <c r="BI68" s="482"/>
      <c r="BJ68" s="482"/>
      <c r="BK68" s="482"/>
      <c r="BL68" s="482"/>
      <c r="BM68" s="482"/>
      <c r="BN68" s="482"/>
      <c r="BO68" s="482"/>
      <c r="BP68" s="482"/>
      <c r="BQ68" s="482"/>
      <c r="BR68" s="482"/>
      <c r="BS68" s="482"/>
      <c r="BT68" s="482"/>
      <c r="BU68" s="482"/>
      <c r="BV68" s="482"/>
      <c r="BW68" s="482"/>
      <c r="BX68" s="482"/>
      <c r="BY68" s="482"/>
      <c r="BZ68" s="482"/>
      <c r="CA68" s="482"/>
      <c r="CB68" s="482"/>
      <c r="CC68" s="482"/>
      <c r="CD68" s="482"/>
      <c r="CE68" s="482"/>
      <c r="CF68" s="482"/>
      <c r="CG68" s="482"/>
      <c r="CH68" s="482"/>
      <c r="CI68" s="482"/>
    </row>
    <row r="69" spans="1:87" ht="12" hidden="1" customHeight="1">
      <c r="A69" s="750">
        <v>39617</v>
      </c>
      <c r="B69" s="751" t="s">
        <v>851</v>
      </c>
      <c r="C69" s="752">
        <v>28</v>
      </c>
      <c r="D69" s="750">
        <v>39645</v>
      </c>
      <c r="E69" s="753">
        <v>20</v>
      </c>
      <c r="F69" s="753">
        <v>43.156199999999998</v>
      </c>
      <c r="G69" s="753">
        <v>20</v>
      </c>
      <c r="H69" s="753">
        <v>-1.3557999999999999</v>
      </c>
      <c r="I69" s="754">
        <v>9.8500000000000004E-2</v>
      </c>
      <c r="J69" s="754">
        <v>0.1076</v>
      </c>
      <c r="K69" s="754">
        <v>0.1037</v>
      </c>
      <c r="L69" s="752">
        <v>11</v>
      </c>
      <c r="M69" s="482"/>
      <c r="N69" s="482"/>
      <c r="O69" s="482"/>
      <c r="P69" s="482"/>
      <c r="Q69" s="482"/>
      <c r="R69" s="482"/>
      <c r="S69" s="482"/>
      <c r="T69" s="482"/>
      <c r="U69" s="482"/>
      <c r="V69" s="482"/>
      <c r="W69" s="482"/>
      <c r="X69" s="482"/>
      <c r="Y69" s="482"/>
      <c r="Z69" s="482"/>
      <c r="AA69" s="482"/>
      <c r="AB69" s="482"/>
      <c r="AC69" s="482"/>
      <c r="AD69" s="482"/>
      <c r="AE69" s="482"/>
      <c r="AF69" s="482"/>
      <c r="AG69" s="482"/>
      <c r="AH69" s="482"/>
      <c r="AI69" s="482"/>
      <c r="AJ69" s="482"/>
      <c r="AK69" s="482"/>
      <c r="AL69" s="482"/>
      <c r="AM69" s="482"/>
      <c r="AN69" s="482"/>
      <c r="AO69" s="482"/>
      <c r="AP69" s="482"/>
      <c r="AQ69" s="482"/>
      <c r="AR69" s="482"/>
      <c r="AS69" s="482"/>
      <c r="AT69" s="482"/>
      <c r="AU69" s="482"/>
      <c r="AV69" s="482"/>
      <c r="AW69" s="482"/>
      <c r="AX69" s="482"/>
      <c r="AY69" s="482"/>
      <c r="AZ69" s="482"/>
      <c r="BA69" s="482"/>
      <c r="BB69" s="482"/>
      <c r="BC69" s="482"/>
      <c r="BD69" s="482"/>
      <c r="BE69" s="482"/>
      <c r="BF69" s="482"/>
      <c r="BG69" s="482"/>
      <c r="BH69" s="482"/>
      <c r="BI69" s="482"/>
      <c r="BJ69" s="482"/>
      <c r="BK69" s="482"/>
      <c r="BL69" s="482"/>
      <c r="BM69" s="482"/>
      <c r="BN69" s="482"/>
      <c r="BO69" s="482"/>
      <c r="BP69" s="482"/>
      <c r="BQ69" s="482"/>
      <c r="BR69" s="482"/>
      <c r="BS69" s="482"/>
      <c r="BT69" s="482"/>
      <c r="BU69" s="482"/>
      <c r="BV69" s="482"/>
      <c r="BW69" s="482"/>
      <c r="BX69" s="482"/>
      <c r="BY69" s="482"/>
      <c r="BZ69" s="482"/>
      <c r="CA69" s="482"/>
      <c r="CB69" s="482"/>
      <c r="CC69" s="482"/>
      <c r="CD69" s="482"/>
      <c r="CE69" s="482"/>
      <c r="CF69" s="482"/>
      <c r="CG69" s="482"/>
      <c r="CH69" s="482"/>
      <c r="CI69" s="482"/>
    </row>
    <row r="70" spans="1:87" s="484" customFormat="1" ht="12" hidden="1" customHeight="1">
      <c r="A70" s="750">
        <v>39624</v>
      </c>
      <c r="B70" s="751" t="s">
        <v>852</v>
      </c>
      <c r="C70" s="752">
        <v>28</v>
      </c>
      <c r="D70" s="750">
        <v>39652</v>
      </c>
      <c r="E70" s="753">
        <v>60</v>
      </c>
      <c r="F70" s="753">
        <v>85.871799999999993</v>
      </c>
      <c r="G70" s="753">
        <v>40</v>
      </c>
      <c r="H70" s="753">
        <v>-10.710599999999999</v>
      </c>
      <c r="I70" s="754">
        <v>8.9300000000000004E-2</v>
      </c>
      <c r="J70" s="754">
        <v>9.7199999999999995E-2</v>
      </c>
      <c r="K70" s="754">
        <v>9.4500000000000001E-2</v>
      </c>
      <c r="L70" s="752">
        <v>18</v>
      </c>
      <c r="M70" s="482"/>
      <c r="N70" s="482"/>
      <c r="O70" s="482"/>
      <c r="P70" s="482"/>
      <c r="Q70" s="482"/>
      <c r="R70" s="482"/>
      <c r="S70" s="482"/>
      <c r="T70" s="482"/>
      <c r="U70" s="482"/>
      <c r="V70" s="482"/>
      <c r="W70" s="482"/>
      <c r="X70" s="482"/>
      <c r="Y70" s="482"/>
      <c r="Z70" s="482"/>
      <c r="AA70" s="482"/>
      <c r="AB70" s="482"/>
      <c r="AC70" s="482"/>
      <c r="AD70" s="482"/>
      <c r="AE70" s="482"/>
      <c r="AF70" s="482"/>
      <c r="AG70" s="482"/>
      <c r="AH70" s="482"/>
      <c r="AI70" s="482"/>
      <c r="AJ70" s="482"/>
      <c r="AK70" s="482"/>
      <c r="AL70" s="482"/>
      <c r="AM70" s="482"/>
      <c r="AN70" s="482"/>
      <c r="AO70" s="482"/>
      <c r="AP70" s="482"/>
      <c r="AQ70" s="482"/>
      <c r="AR70" s="482"/>
      <c r="AS70" s="482"/>
      <c r="AT70" s="482"/>
      <c r="AU70" s="482"/>
      <c r="AV70" s="482"/>
      <c r="AW70" s="482"/>
      <c r="AX70" s="482"/>
      <c r="AY70" s="482"/>
      <c r="AZ70" s="482"/>
      <c r="BA70" s="482"/>
      <c r="BB70" s="482"/>
      <c r="BC70" s="482"/>
      <c r="BD70" s="482"/>
      <c r="BE70" s="482"/>
      <c r="BF70" s="482"/>
      <c r="BG70" s="482"/>
      <c r="BH70" s="482"/>
      <c r="BI70" s="482"/>
      <c r="BJ70" s="482"/>
      <c r="BK70" s="482"/>
      <c r="BL70" s="482"/>
      <c r="BM70" s="482"/>
      <c r="BN70" s="482"/>
      <c r="BO70" s="482"/>
      <c r="BP70" s="482"/>
      <c r="BQ70" s="482"/>
      <c r="BR70" s="482"/>
      <c r="BS70" s="482"/>
      <c r="BT70" s="482"/>
      <c r="BU70" s="482"/>
      <c r="BV70" s="482"/>
      <c r="BW70" s="482"/>
      <c r="BX70" s="482"/>
      <c r="BY70" s="482"/>
      <c r="BZ70" s="482"/>
      <c r="CA70" s="482"/>
      <c r="CB70" s="482"/>
      <c r="CC70" s="482"/>
      <c r="CD70" s="482"/>
      <c r="CE70" s="482"/>
      <c r="CF70" s="482"/>
      <c r="CG70" s="482"/>
      <c r="CH70" s="482"/>
      <c r="CI70" s="482"/>
    </row>
    <row r="71" spans="1:87" ht="12" hidden="1" customHeight="1">
      <c r="A71" s="750">
        <v>39631</v>
      </c>
      <c r="B71" s="751" t="s">
        <v>853</v>
      </c>
      <c r="C71" s="752">
        <v>28</v>
      </c>
      <c r="D71" s="750">
        <v>39659</v>
      </c>
      <c r="E71" s="753">
        <v>60</v>
      </c>
      <c r="F71" s="753">
        <v>37.665399999999998</v>
      </c>
      <c r="G71" s="753">
        <v>37.665399999999998</v>
      </c>
      <c r="H71" s="753">
        <v>-10.7</v>
      </c>
      <c r="I71" s="754">
        <v>9.06E-2</v>
      </c>
      <c r="J71" s="754">
        <v>0.1076</v>
      </c>
      <c r="K71" s="754">
        <v>9.8500000000000004E-2</v>
      </c>
      <c r="L71" s="752">
        <v>10</v>
      </c>
      <c r="M71" s="482"/>
      <c r="N71" s="482"/>
      <c r="O71" s="482"/>
      <c r="P71" s="482"/>
      <c r="Q71" s="482"/>
      <c r="R71" s="482"/>
      <c r="S71" s="482"/>
      <c r="T71" s="482"/>
      <c r="U71" s="482"/>
      <c r="V71" s="482"/>
      <c r="W71" s="482"/>
      <c r="X71" s="482"/>
      <c r="Y71" s="482"/>
      <c r="Z71" s="482"/>
      <c r="AA71" s="482"/>
      <c r="AB71" s="482"/>
      <c r="AC71" s="482"/>
      <c r="AD71" s="482"/>
      <c r="AE71" s="482"/>
      <c r="AF71" s="482"/>
      <c r="AG71" s="482"/>
      <c r="AH71" s="482"/>
      <c r="AI71" s="482"/>
      <c r="AJ71" s="482"/>
      <c r="AK71" s="482"/>
      <c r="AL71" s="482"/>
      <c r="AM71" s="482"/>
      <c r="AN71" s="482"/>
      <c r="AO71" s="482"/>
      <c r="AP71" s="482"/>
      <c r="AQ71" s="482"/>
      <c r="AR71" s="482"/>
      <c r="AS71" s="482"/>
      <c r="AT71" s="482"/>
      <c r="AU71" s="482"/>
      <c r="AV71" s="482"/>
      <c r="AW71" s="482"/>
      <c r="AX71" s="482"/>
      <c r="AY71" s="482"/>
      <c r="AZ71" s="482"/>
      <c r="BA71" s="482"/>
      <c r="BB71" s="482"/>
      <c r="BC71" s="482"/>
      <c r="BD71" s="482"/>
      <c r="BE71" s="482"/>
      <c r="BF71" s="482"/>
      <c r="BG71" s="482"/>
      <c r="BH71" s="482"/>
      <c r="BI71" s="482"/>
      <c r="BJ71" s="482"/>
      <c r="BK71" s="482"/>
      <c r="BL71" s="482"/>
      <c r="BM71" s="482"/>
      <c r="BN71" s="482"/>
      <c r="BO71" s="482"/>
      <c r="BP71" s="482"/>
      <c r="BQ71" s="482"/>
      <c r="BR71" s="482"/>
      <c r="BS71" s="482"/>
      <c r="BT71" s="482"/>
      <c r="BU71" s="482"/>
      <c r="BV71" s="482"/>
      <c r="BW71" s="482"/>
      <c r="BX71" s="482"/>
      <c r="BY71" s="482"/>
      <c r="BZ71" s="482"/>
      <c r="CA71" s="482"/>
      <c r="CB71" s="482"/>
      <c r="CC71" s="482"/>
      <c r="CD71" s="482"/>
      <c r="CE71" s="482"/>
      <c r="CF71" s="482"/>
      <c r="CG71" s="482"/>
      <c r="CH71" s="482"/>
      <c r="CI71" s="482"/>
    </row>
    <row r="72" spans="1:87" s="484" customFormat="1" ht="12" hidden="1" customHeight="1">
      <c r="A72" s="750">
        <v>39638</v>
      </c>
      <c r="B72" s="751" t="s">
        <v>854</v>
      </c>
      <c r="C72" s="752">
        <v>28</v>
      </c>
      <c r="D72" s="750">
        <v>39666</v>
      </c>
      <c r="E72" s="753">
        <v>30</v>
      </c>
      <c r="F72" s="753">
        <v>20.498999999999999</v>
      </c>
      <c r="G72" s="753">
        <v>20</v>
      </c>
      <c r="H72" s="753">
        <v>-5.8402000000000003</v>
      </c>
      <c r="I72" s="754">
        <v>9.4500000000000001E-2</v>
      </c>
      <c r="J72" s="754">
        <v>0.1089</v>
      </c>
      <c r="K72" s="754">
        <v>9.8500000000000004E-2</v>
      </c>
      <c r="L72" s="752">
        <v>11</v>
      </c>
      <c r="M72" s="482"/>
      <c r="N72" s="482"/>
      <c r="O72" s="482"/>
      <c r="P72" s="482"/>
      <c r="Q72" s="482"/>
      <c r="R72" s="482"/>
      <c r="S72" s="482"/>
      <c r="T72" s="482"/>
      <c r="U72" s="482"/>
      <c r="V72" s="482"/>
      <c r="W72" s="482"/>
      <c r="X72" s="482"/>
      <c r="Y72" s="482"/>
      <c r="Z72" s="482"/>
      <c r="AA72" s="482"/>
      <c r="AB72" s="482"/>
      <c r="AC72" s="482"/>
      <c r="AD72" s="482"/>
      <c r="AE72" s="482"/>
      <c r="AF72" s="482"/>
      <c r="AG72" s="482"/>
      <c r="AH72" s="482"/>
      <c r="AI72" s="482"/>
      <c r="AJ72" s="482"/>
      <c r="AK72" s="482"/>
      <c r="AL72" s="482"/>
      <c r="AM72" s="482"/>
      <c r="AN72" s="482"/>
      <c r="AO72" s="482"/>
      <c r="AP72" s="482"/>
      <c r="AQ72" s="482"/>
      <c r="AR72" s="482"/>
      <c r="AS72" s="482"/>
      <c r="AT72" s="482"/>
      <c r="AU72" s="482"/>
      <c r="AV72" s="482"/>
      <c r="AW72" s="482"/>
      <c r="AX72" s="482"/>
      <c r="AY72" s="482"/>
      <c r="AZ72" s="482"/>
      <c r="BA72" s="482"/>
      <c r="BB72" s="482"/>
      <c r="BC72" s="482"/>
      <c r="BD72" s="482"/>
      <c r="BE72" s="482"/>
      <c r="BF72" s="482"/>
      <c r="BG72" s="482"/>
      <c r="BH72" s="482"/>
      <c r="BI72" s="482"/>
      <c r="BJ72" s="482"/>
      <c r="BK72" s="482"/>
      <c r="BL72" s="482"/>
      <c r="BM72" s="482"/>
      <c r="BN72" s="482"/>
      <c r="BO72" s="482"/>
      <c r="BP72" s="482"/>
      <c r="BQ72" s="482"/>
      <c r="BR72" s="482"/>
      <c r="BS72" s="482"/>
      <c r="BT72" s="482"/>
      <c r="BU72" s="482"/>
      <c r="BV72" s="482"/>
      <c r="BW72" s="482"/>
      <c r="BX72" s="482"/>
      <c r="BY72" s="482"/>
      <c r="BZ72" s="482"/>
      <c r="CA72" s="482"/>
      <c r="CB72" s="482"/>
      <c r="CC72" s="482"/>
      <c r="CD72" s="482"/>
      <c r="CE72" s="482"/>
      <c r="CF72" s="482"/>
      <c r="CG72" s="482"/>
      <c r="CH72" s="482"/>
      <c r="CI72" s="482"/>
    </row>
    <row r="73" spans="1:87" ht="12" hidden="1" customHeight="1">
      <c r="A73" s="750">
        <v>39645</v>
      </c>
      <c r="B73" s="751" t="s">
        <v>855</v>
      </c>
      <c r="C73" s="752">
        <v>28</v>
      </c>
      <c r="D73" s="750">
        <v>39673</v>
      </c>
      <c r="E73" s="753">
        <v>50</v>
      </c>
      <c r="F73" s="753">
        <v>21.052800000000001</v>
      </c>
      <c r="G73" s="753">
        <v>21.052800000000001</v>
      </c>
      <c r="H73" s="753">
        <v>-4.5286</v>
      </c>
      <c r="I73" s="754">
        <v>9.98E-2</v>
      </c>
      <c r="J73" s="754">
        <v>0.1128</v>
      </c>
      <c r="K73" s="754">
        <v>0.10630000000000001</v>
      </c>
      <c r="L73" s="752">
        <v>8</v>
      </c>
      <c r="M73" s="482"/>
      <c r="N73" s="482"/>
      <c r="O73" s="482"/>
      <c r="P73" s="482"/>
      <c r="Q73" s="482"/>
      <c r="R73" s="482"/>
      <c r="S73" s="482"/>
      <c r="T73" s="482"/>
      <c r="U73" s="482"/>
      <c r="V73" s="482"/>
      <c r="W73" s="482"/>
      <c r="X73" s="482"/>
      <c r="Y73" s="482"/>
      <c r="Z73" s="482"/>
      <c r="AA73" s="482"/>
      <c r="AB73" s="482"/>
      <c r="AC73" s="482"/>
      <c r="AD73" s="482"/>
      <c r="AE73" s="482"/>
      <c r="AF73" s="482"/>
      <c r="AG73" s="482"/>
      <c r="AH73" s="482"/>
      <c r="AI73" s="482"/>
      <c r="AJ73" s="482"/>
      <c r="AK73" s="482"/>
      <c r="AL73" s="482"/>
      <c r="AM73" s="482"/>
      <c r="AN73" s="482"/>
      <c r="AO73" s="482"/>
      <c r="AP73" s="482"/>
      <c r="AQ73" s="482"/>
      <c r="AR73" s="482"/>
      <c r="AS73" s="482"/>
      <c r="AT73" s="482"/>
      <c r="AU73" s="482"/>
      <c r="AV73" s="482"/>
      <c r="AW73" s="482"/>
      <c r="AX73" s="482"/>
      <c r="AY73" s="482"/>
      <c r="AZ73" s="482"/>
      <c r="BA73" s="482"/>
      <c r="BB73" s="482"/>
      <c r="BC73" s="482"/>
      <c r="BD73" s="482"/>
      <c r="BE73" s="482"/>
      <c r="BF73" s="482"/>
      <c r="BG73" s="482"/>
      <c r="BH73" s="482"/>
      <c r="BI73" s="482"/>
      <c r="BJ73" s="482"/>
      <c r="BK73" s="482"/>
      <c r="BL73" s="482"/>
      <c r="BM73" s="482"/>
      <c r="BN73" s="482"/>
      <c r="BO73" s="482"/>
      <c r="BP73" s="482"/>
      <c r="BQ73" s="482"/>
      <c r="BR73" s="482"/>
      <c r="BS73" s="482"/>
      <c r="BT73" s="482"/>
      <c r="BU73" s="482"/>
      <c r="BV73" s="482"/>
      <c r="BW73" s="482"/>
      <c r="BX73" s="482"/>
      <c r="BY73" s="482"/>
      <c r="BZ73" s="482"/>
      <c r="CA73" s="482"/>
      <c r="CB73" s="482"/>
      <c r="CC73" s="482"/>
      <c r="CD73" s="482"/>
      <c r="CE73" s="482"/>
      <c r="CF73" s="482"/>
      <c r="CG73" s="482"/>
      <c r="CH73" s="482"/>
      <c r="CI73" s="482"/>
    </row>
    <row r="74" spans="1:87" s="484" customFormat="1" ht="12" hidden="1" customHeight="1">
      <c r="A74" s="750">
        <v>39652</v>
      </c>
      <c r="B74" s="751" t="s">
        <v>856</v>
      </c>
      <c r="C74" s="752">
        <v>28</v>
      </c>
      <c r="D74" s="750">
        <v>39680</v>
      </c>
      <c r="E74" s="753">
        <v>60</v>
      </c>
      <c r="F74" s="753">
        <v>32.717199999999998</v>
      </c>
      <c r="G74" s="753">
        <v>31.197199999999999</v>
      </c>
      <c r="H74" s="753">
        <v>-4.6349999999999998</v>
      </c>
      <c r="I74" s="754">
        <v>9.98E-2</v>
      </c>
      <c r="J74" s="754">
        <v>0.1168</v>
      </c>
      <c r="K74" s="754">
        <v>0.11020000000000001</v>
      </c>
      <c r="L74" s="752">
        <v>14</v>
      </c>
      <c r="M74" s="482"/>
      <c r="N74" s="482"/>
      <c r="O74" s="482"/>
      <c r="P74" s="482"/>
      <c r="Q74" s="482"/>
      <c r="R74" s="482"/>
      <c r="S74" s="482"/>
      <c r="T74" s="482"/>
      <c r="U74" s="482"/>
      <c r="V74" s="482"/>
      <c r="W74" s="482"/>
      <c r="X74" s="482"/>
      <c r="Y74" s="482"/>
      <c r="Z74" s="482"/>
      <c r="AA74" s="482"/>
      <c r="AB74" s="482"/>
      <c r="AC74" s="482"/>
      <c r="AD74" s="482"/>
      <c r="AE74" s="482"/>
      <c r="AF74" s="482"/>
      <c r="AG74" s="482"/>
      <c r="AH74" s="482"/>
      <c r="AI74" s="482"/>
      <c r="AJ74" s="482"/>
      <c r="AK74" s="482"/>
      <c r="AL74" s="482"/>
      <c r="AM74" s="482"/>
      <c r="AN74" s="482"/>
      <c r="AO74" s="482"/>
      <c r="AP74" s="482"/>
      <c r="AQ74" s="482"/>
      <c r="AR74" s="482"/>
      <c r="AS74" s="482"/>
      <c r="AT74" s="482"/>
      <c r="AU74" s="482"/>
      <c r="AV74" s="482"/>
      <c r="AW74" s="482"/>
      <c r="AX74" s="482"/>
      <c r="AY74" s="482"/>
      <c r="AZ74" s="482"/>
      <c r="BA74" s="482"/>
      <c r="BB74" s="482"/>
      <c r="BC74" s="482"/>
      <c r="BD74" s="482"/>
      <c r="BE74" s="482"/>
      <c r="BF74" s="482"/>
      <c r="BG74" s="482"/>
      <c r="BH74" s="482"/>
      <c r="BI74" s="482"/>
      <c r="BJ74" s="482"/>
      <c r="BK74" s="482"/>
      <c r="BL74" s="482"/>
      <c r="BM74" s="482"/>
      <c r="BN74" s="482"/>
      <c r="BO74" s="482"/>
      <c r="BP74" s="482"/>
      <c r="BQ74" s="482"/>
      <c r="BR74" s="482"/>
      <c r="BS74" s="482"/>
      <c r="BT74" s="482"/>
      <c r="BU74" s="482"/>
      <c r="BV74" s="482"/>
      <c r="BW74" s="482"/>
      <c r="BX74" s="482"/>
      <c r="BY74" s="482"/>
      <c r="BZ74" s="482"/>
      <c r="CA74" s="482"/>
      <c r="CB74" s="482"/>
      <c r="CC74" s="482"/>
      <c r="CD74" s="482"/>
      <c r="CE74" s="482"/>
      <c r="CF74" s="482"/>
      <c r="CG74" s="482"/>
      <c r="CH74" s="482"/>
      <c r="CI74" s="482"/>
    </row>
    <row r="75" spans="1:87" ht="12" hidden="1" customHeight="1">
      <c r="A75" s="750">
        <v>39659</v>
      </c>
      <c r="B75" s="751" t="s">
        <v>857</v>
      </c>
      <c r="C75" s="752">
        <v>28</v>
      </c>
      <c r="D75" s="750">
        <v>39687</v>
      </c>
      <c r="E75" s="753">
        <v>40</v>
      </c>
      <c r="F75" s="753">
        <v>28.450199999999999</v>
      </c>
      <c r="G75" s="753">
        <v>28.450199999999999</v>
      </c>
      <c r="H75" s="753">
        <v>-10.951599999999999</v>
      </c>
      <c r="I75" s="754">
        <v>0.1011</v>
      </c>
      <c r="J75" s="754">
        <v>0.1168</v>
      </c>
      <c r="K75" s="754">
        <v>0.1089</v>
      </c>
      <c r="L75" s="752">
        <v>10</v>
      </c>
      <c r="M75" s="482"/>
      <c r="N75" s="482"/>
      <c r="O75" s="482"/>
      <c r="P75" s="482"/>
      <c r="Q75" s="482"/>
      <c r="R75" s="482"/>
      <c r="S75" s="482"/>
      <c r="T75" s="482"/>
      <c r="U75" s="482"/>
      <c r="V75" s="482"/>
      <c r="W75" s="482"/>
      <c r="X75" s="482"/>
      <c r="Y75" s="482"/>
      <c r="Z75" s="482"/>
      <c r="AA75" s="482"/>
      <c r="AB75" s="482"/>
      <c r="AC75" s="482"/>
      <c r="AD75" s="482"/>
      <c r="AE75" s="482"/>
      <c r="AF75" s="482"/>
      <c r="AG75" s="482"/>
      <c r="AH75" s="482"/>
      <c r="AI75" s="482"/>
      <c r="AJ75" s="482"/>
      <c r="AK75" s="482"/>
      <c r="AL75" s="482"/>
      <c r="AM75" s="482"/>
      <c r="AN75" s="482"/>
      <c r="AO75" s="482"/>
      <c r="AP75" s="482"/>
      <c r="AQ75" s="482"/>
      <c r="AR75" s="482"/>
      <c r="AS75" s="482"/>
      <c r="AT75" s="482"/>
      <c r="AU75" s="482"/>
      <c r="AV75" s="482"/>
      <c r="AW75" s="482"/>
      <c r="AX75" s="482"/>
      <c r="AY75" s="482"/>
      <c r="AZ75" s="482"/>
      <c r="BA75" s="482"/>
      <c r="BB75" s="482"/>
      <c r="BC75" s="482"/>
      <c r="BD75" s="482"/>
      <c r="BE75" s="482"/>
      <c r="BF75" s="482"/>
      <c r="BG75" s="482"/>
      <c r="BH75" s="482"/>
      <c r="BI75" s="482"/>
      <c r="BJ75" s="482"/>
      <c r="BK75" s="482"/>
      <c r="BL75" s="482"/>
      <c r="BM75" s="482"/>
      <c r="BN75" s="482"/>
      <c r="BO75" s="482"/>
      <c r="BP75" s="482"/>
      <c r="BQ75" s="482"/>
      <c r="BR75" s="482"/>
      <c r="BS75" s="482"/>
      <c r="BT75" s="482"/>
      <c r="BU75" s="482"/>
      <c r="BV75" s="482"/>
      <c r="BW75" s="482"/>
      <c r="BX75" s="482"/>
      <c r="BY75" s="482"/>
      <c r="BZ75" s="482"/>
      <c r="CA75" s="482"/>
      <c r="CB75" s="482"/>
      <c r="CC75" s="482"/>
      <c r="CD75" s="482"/>
      <c r="CE75" s="482"/>
      <c r="CF75" s="482"/>
      <c r="CG75" s="482"/>
      <c r="CH75" s="482"/>
      <c r="CI75" s="482"/>
    </row>
    <row r="76" spans="1:87" s="484" customFormat="1" ht="12" hidden="1" customHeight="1">
      <c r="A76" s="750">
        <v>39666</v>
      </c>
      <c r="B76" s="751" t="s">
        <v>858</v>
      </c>
      <c r="C76" s="752">
        <v>28</v>
      </c>
      <c r="D76" s="750">
        <v>39694</v>
      </c>
      <c r="E76" s="753">
        <v>40</v>
      </c>
      <c r="F76" s="753">
        <v>6.3785999999999996</v>
      </c>
      <c r="G76" s="753">
        <v>6.3785999999999996</v>
      </c>
      <c r="H76" s="753">
        <v>-3.8540000000000001</v>
      </c>
      <c r="I76" s="754">
        <v>0.1089</v>
      </c>
      <c r="J76" s="754">
        <v>0.1207</v>
      </c>
      <c r="K76" s="754">
        <v>0.1168</v>
      </c>
      <c r="L76" s="752">
        <v>4</v>
      </c>
      <c r="M76" s="482"/>
      <c r="N76" s="482"/>
      <c r="O76" s="482"/>
      <c r="P76" s="482"/>
      <c r="Q76" s="482"/>
      <c r="R76" s="482"/>
      <c r="S76" s="482"/>
      <c r="T76" s="482"/>
      <c r="U76" s="482"/>
      <c r="V76" s="482"/>
      <c r="W76" s="482"/>
      <c r="X76" s="482"/>
      <c r="Y76" s="482"/>
      <c r="Z76" s="482"/>
      <c r="AA76" s="482"/>
      <c r="AB76" s="482"/>
      <c r="AC76" s="482"/>
      <c r="AD76" s="482"/>
      <c r="AE76" s="482"/>
      <c r="AF76" s="482"/>
      <c r="AG76" s="482"/>
      <c r="AH76" s="482"/>
      <c r="AI76" s="482"/>
      <c r="AJ76" s="482"/>
      <c r="AK76" s="482"/>
      <c r="AL76" s="482"/>
      <c r="AM76" s="482"/>
      <c r="AN76" s="482"/>
      <c r="AO76" s="482"/>
      <c r="AP76" s="482"/>
      <c r="AQ76" s="482"/>
      <c r="AR76" s="482"/>
      <c r="AS76" s="482"/>
      <c r="AT76" s="482"/>
      <c r="AU76" s="482"/>
      <c r="AV76" s="482"/>
      <c r="AW76" s="482"/>
      <c r="AX76" s="482"/>
      <c r="AY76" s="482"/>
      <c r="AZ76" s="482"/>
      <c r="BA76" s="482"/>
      <c r="BB76" s="482"/>
      <c r="BC76" s="482"/>
      <c r="BD76" s="482"/>
      <c r="BE76" s="482"/>
      <c r="BF76" s="482"/>
      <c r="BG76" s="482"/>
      <c r="BH76" s="482"/>
      <c r="BI76" s="482"/>
      <c r="BJ76" s="482"/>
      <c r="BK76" s="482"/>
      <c r="BL76" s="482"/>
      <c r="BM76" s="482"/>
      <c r="BN76" s="482"/>
      <c r="BO76" s="482"/>
      <c r="BP76" s="482"/>
      <c r="BQ76" s="482"/>
      <c r="BR76" s="482"/>
      <c r="BS76" s="482"/>
      <c r="BT76" s="482"/>
      <c r="BU76" s="482"/>
      <c r="BV76" s="482"/>
      <c r="BW76" s="482"/>
      <c r="BX76" s="482"/>
      <c r="BY76" s="482"/>
      <c r="BZ76" s="482"/>
      <c r="CA76" s="482"/>
      <c r="CB76" s="482"/>
      <c r="CC76" s="482"/>
      <c r="CD76" s="482"/>
      <c r="CE76" s="482"/>
      <c r="CF76" s="482"/>
      <c r="CG76" s="482"/>
      <c r="CH76" s="482"/>
      <c r="CI76" s="482"/>
    </row>
    <row r="77" spans="1:87" ht="12" hidden="1" customHeight="1">
      <c r="A77" s="750">
        <v>39673</v>
      </c>
      <c r="B77" s="751" t="s">
        <v>859</v>
      </c>
      <c r="C77" s="752">
        <v>28</v>
      </c>
      <c r="D77" s="750">
        <v>39701</v>
      </c>
      <c r="E77" s="753">
        <v>30</v>
      </c>
      <c r="F77" s="753">
        <v>12.202400000000001</v>
      </c>
      <c r="G77" s="753">
        <v>11.6944</v>
      </c>
      <c r="H77" s="753">
        <v>-1.732</v>
      </c>
      <c r="I77" s="754">
        <v>0.1076</v>
      </c>
      <c r="J77" s="754">
        <v>0.11940000000000001</v>
      </c>
      <c r="K77" s="754">
        <v>0.1128</v>
      </c>
      <c r="L77" s="752">
        <v>6</v>
      </c>
      <c r="M77" s="482"/>
      <c r="N77" s="482"/>
      <c r="O77" s="482"/>
      <c r="P77" s="482"/>
      <c r="Q77" s="482"/>
      <c r="R77" s="482"/>
      <c r="S77" s="482"/>
      <c r="T77" s="482"/>
      <c r="U77" s="482"/>
      <c r="V77" s="482"/>
      <c r="W77" s="482"/>
      <c r="X77" s="482"/>
      <c r="Y77" s="482"/>
      <c r="Z77" s="482"/>
      <c r="AA77" s="482"/>
      <c r="AB77" s="482"/>
      <c r="AC77" s="482"/>
      <c r="AD77" s="482"/>
      <c r="AE77" s="482"/>
      <c r="AF77" s="482"/>
      <c r="AG77" s="482"/>
      <c r="AH77" s="482"/>
      <c r="AI77" s="482"/>
      <c r="AJ77" s="482"/>
      <c r="AK77" s="482"/>
      <c r="AL77" s="482"/>
      <c r="AM77" s="482"/>
      <c r="AN77" s="482"/>
      <c r="AO77" s="482"/>
      <c r="AP77" s="482"/>
      <c r="AQ77" s="482"/>
      <c r="AR77" s="482"/>
      <c r="AS77" s="482"/>
      <c r="AT77" s="482"/>
      <c r="AU77" s="482"/>
      <c r="AV77" s="482"/>
      <c r="AW77" s="482"/>
      <c r="AX77" s="482"/>
      <c r="AY77" s="482"/>
      <c r="AZ77" s="482"/>
      <c r="BA77" s="482"/>
      <c r="BB77" s="482"/>
      <c r="BC77" s="482"/>
      <c r="BD77" s="482"/>
      <c r="BE77" s="482"/>
      <c r="BF77" s="482"/>
      <c r="BG77" s="482"/>
      <c r="BH77" s="482"/>
      <c r="BI77" s="482"/>
      <c r="BJ77" s="482"/>
      <c r="BK77" s="482"/>
      <c r="BL77" s="482"/>
      <c r="BM77" s="482"/>
      <c r="BN77" s="482"/>
      <c r="BO77" s="482"/>
      <c r="BP77" s="482"/>
      <c r="BQ77" s="482"/>
      <c r="BR77" s="482"/>
      <c r="BS77" s="482"/>
      <c r="BT77" s="482"/>
      <c r="BU77" s="482"/>
      <c r="BV77" s="482"/>
      <c r="BW77" s="482"/>
      <c r="BX77" s="482"/>
      <c r="BY77" s="482"/>
      <c r="BZ77" s="482"/>
      <c r="CA77" s="482"/>
      <c r="CB77" s="482"/>
      <c r="CC77" s="482"/>
      <c r="CD77" s="482"/>
      <c r="CE77" s="482"/>
      <c r="CF77" s="482"/>
      <c r="CG77" s="482"/>
      <c r="CH77" s="482"/>
      <c r="CI77" s="482"/>
    </row>
    <row r="78" spans="1:87" s="484" customFormat="1" ht="12" hidden="1" customHeight="1">
      <c r="A78" s="750">
        <v>39680</v>
      </c>
      <c r="B78" s="751" t="s">
        <v>860</v>
      </c>
      <c r="C78" s="752">
        <v>28</v>
      </c>
      <c r="D78" s="750">
        <v>39708</v>
      </c>
      <c r="E78" s="753">
        <v>35</v>
      </c>
      <c r="F78" s="753">
        <v>12.664400000000001</v>
      </c>
      <c r="G78" s="753">
        <v>12.664400000000001</v>
      </c>
      <c r="H78" s="753">
        <v>-2.032</v>
      </c>
      <c r="I78" s="754">
        <v>0.1089</v>
      </c>
      <c r="J78" s="754">
        <v>0.11940000000000001</v>
      </c>
      <c r="K78" s="754">
        <v>0.11409999999999999</v>
      </c>
      <c r="L78" s="752">
        <v>8</v>
      </c>
      <c r="M78" s="482"/>
      <c r="N78" s="482"/>
      <c r="O78" s="482"/>
      <c r="P78" s="482"/>
      <c r="Q78" s="482"/>
      <c r="R78" s="482"/>
      <c r="S78" s="482"/>
      <c r="T78" s="482"/>
      <c r="U78" s="482"/>
      <c r="V78" s="482"/>
      <c r="W78" s="482"/>
      <c r="X78" s="482"/>
      <c r="Y78" s="482"/>
      <c r="Z78" s="482"/>
      <c r="AA78" s="482"/>
      <c r="AB78" s="482"/>
      <c r="AC78" s="482"/>
      <c r="AD78" s="482"/>
      <c r="AE78" s="482"/>
      <c r="AF78" s="482"/>
      <c r="AG78" s="482"/>
      <c r="AH78" s="482"/>
      <c r="AI78" s="482"/>
      <c r="AJ78" s="482"/>
      <c r="AK78" s="482"/>
      <c r="AL78" s="482"/>
      <c r="AM78" s="482"/>
      <c r="AN78" s="482"/>
      <c r="AO78" s="482"/>
      <c r="AP78" s="482"/>
      <c r="AQ78" s="482"/>
      <c r="AR78" s="482"/>
      <c r="AS78" s="482"/>
      <c r="AT78" s="482"/>
      <c r="AU78" s="482"/>
      <c r="AV78" s="482"/>
      <c r="AW78" s="482"/>
      <c r="AX78" s="482"/>
      <c r="AY78" s="482"/>
      <c r="AZ78" s="482"/>
      <c r="BA78" s="482"/>
      <c r="BB78" s="482"/>
      <c r="BC78" s="482"/>
      <c r="BD78" s="482"/>
      <c r="BE78" s="482"/>
      <c r="BF78" s="482"/>
      <c r="BG78" s="482"/>
      <c r="BH78" s="482"/>
      <c r="BI78" s="482"/>
      <c r="BJ78" s="482"/>
      <c r="BK78" s="482"/>
      <c r="BL78" s="482"/>
      <c r="BM78" s="482"/>
      <c r="BN78" s="482"/>
      <c r="BO78" s="482"/>
      <c r="BP78" s="482"/>
      <c r="BQ78" s="482"/>
      <c r="BR78" s="482"/>
      <c r="BS78" s="482"/>
      <c r="BT78" s="482"/>
      <c r="BU78" s="482"/>
      <c r="BV78" s="482"/>
      <c r="BW78" s="482"/>
      <c r="BX78" s="482"/>
      <c r="BY78" s="482"/>
      <c r="BZ78" s="482"/>
      <c r="CA78" s="482"/>
      <c r="CB78" s="482"/>
      <c r="CC78" s="482"/>
      <c r="CD78" s="482"/>
      <c r="CE78" s="482"/>
      <c r="CF78" s="482"/>
      <c r="CG78" s="482"/>
      <c r="CH78" s="482"/>
      <c r="CI78" s="482"/>
    </row>
    <row r="79" spans="1:87" ht="12" hidden="1" customHeight="1">
      <c r="A79" s="750">
        <v>39687</v>
      </c>
      <c r="B79" s="751" t="s">
        <v>861</v>
      </c>
      <c r="C79" s="752">
        <v>28</v>
      </c>
      <c r="D79" s="750">
        <v>39715</v>
      </c>
      <c r="E79" s="753">
        <v>30</v>
      </c>
      <c r="F79" s="753">
        <v>12.6472</v>
      </c>
      <c r="G79" s="753">
        <v>12.6472</v>
      </c>
      <c r="H79" s="753">
        <v>-0.25219999999999998</v>
      </c>
      <c r="I79" s="754">
        <v>0.11020000000000001</v>
      </c>
      <c r="J79" s="754">
        <v>0.11940000000000001</v>
      </c>
      <c r="K79" s="754">
        <v>0.11409999999999999</v>
      </c>
      <c r="L79" s="752">
        <v>8</v>
      </c>
      <c r="M79" s="482"/>
      <c r="N79" s="482"/>
      <c r="O79" s="482"/>
      <c r="P79" s="482"/>
      <c r="Q79" s="482"/>
      <c r="R79" s="482"/>
      <c r="S79" s="482"/>
      <c r="T79" s="482"/>
      <c r="U79" s="482"/>
      <c r="V79" s="482"/>
      <c r="W79" s="482"/>
      <c r="X79" s="482"/>
      <c r="Y79" s="482"/>
      <c r="Z79" s="482"/>
      <c r="AA79" s="482"/>
      <c r="AB79" s="482"/>
      <c r="AC79" s="482"/>
      <c r="AD79" s="482"/>
      <c r="AE79" s="482"/>
      <c r="AF79" s="482"/>
      <c r="AG79" s="482"/>
      <c r="AH79" s="482"/>
      <c r="AI79" s="482"/>
      <c r="AJ79" s="482"/>
      <c r="AK79" s="482"/>
      <c r="AL79" s="482"/>
      <c r="AM79" s="482"/>
      <c r="AN79" s="482"/>
      <c r="AO79" s="482"/>
      <c r="AP79" s="482"/>
      <c r="AQ79" s="482"/>
      <c r="AR79" s="482"/>
      <c r="AS79" s="482"/>
      <c r="AT79" s="482"/>
      <c r="AU79" s="482"/>
      <c r="AV79" s="482"/>
      <c r="AW79" s="482"/>
      <c r="AX79" s="482"/>
      <c r="AY79" s="482"/>
      <c r="AZ79" s="482"/>
      <c r="BA79" s="482"/>
      <c r="BB79" s="482"/>
      <c r="BC79" s="482"/>
      <c r="BD79" s="482"/>
      <c r="BE79" s="482"/>
      <c r="BF79" s="482"/>
      <c r="BG79" s="482"/>
      <c r="BH79" s="482"/>
      <c r="BI79" s="482"/>
      <c r="BJ79" s="482"/>
      <c r="BK79" s="482"/>
      <c r="BL79" s="482"/>
      <c r="BM79" s="482"/>
      <c r="BN79" s="482"/>
      <c r="BO79" s="482"/>
      <c r="BP79" s="482"/>
      <c r="BQ79" s="482"/>
      <c r="BR79" s="482"/>
      <c r="BS79" s="482"/>
      <c r="BT79" s="482"/>
      <c r="BU79" s="482"/>
      <c r="BV79" s="482"/>
      <c r="BW79" s="482"/>
      <c r="BX79" s="482"/>
      <c r="BY79" s="482"/>
      <c r="BZ79" s="482"/>
      <c r="CA79" s="482"/>
      <c r="CB79" s="482"/>
      <c r="CC79" s="482"/>
      <c r="CD79" s="482"/>
      <c r="CE79" s="482"/>
      <c r="CF79" s="482"/>
      <c r="CG79" s="482"/>
      <c r="CH79" s="482"/>
      <c r="CI79" s="482"/>
    </row>
    <row r="80" spans="1:87" s="484" customFormat="1" ht="12" hidden="1" customHeight="1">
      <c r="A80" s="750">
        <v>39694</v>
      </c>
      <c r="B80" s="751" t="s">
        <v>862</v>
      </c>
      <c r="C80" s="752">
        <v>29</v>
      </c>
      <c r="D80" s="750">
        <v>39723</v>
      </c>
      <c r="E80" s="753">
        <v>30</v>
      </c>
      <c r="F80" s="753">
        <v>0.504</v>
      </c>
      <c r="G80" s="753">
        <v>0.504</v>
      </c>
      <c r="H80" s="753">
        <v>0</v>
      </c>
      <c r="I80" s="754">
        <v>0.11020000000000001</v>
      </c>
      <c r="J80" s="754">
        <v>0.11020000000000001</v>
      </c>
      <c r="K80" s="754">
        <v>0.11020000000000001</v>
      </c>
      <c r="L80" s="752">
        <v>1</v>
      </c>
      <c r="M80" s="482"/>
      <c r="N80" s="482"/>
      <c r="O80" s="482"/>
      <c r="P80" s="482"/>
      <c r="Q80" s="482"/>
      <c r="R80" s="482"/>
      <c r="S80" s="482"/>
      <c r="T80" s="482"/>
      <c r="U80" s="482"/>
      <c r="V80" s="482"/>
      <c r="W80" s="482"/>
      <c r="X80" s="482"/>
      <c r="Y80" s="482"/>
      <c r="Z80" s="482"/>
      <c r="AA80" s="482"/>
      <c r="AB80" s="482"/>
      <c r="AC80" s="482"/>
      <c r="AD80" s="482"/>
      <c r="AE80" s="482"/>
      <c r="AF80" s="482"/>
      <c r="AG80" s="482"/>
      <c r="AH80" s="482"/>
      <c r="AI80" s="482"/>
      <c r="AJ80" s="482"/>
      <c r="AK80" s="482"/>
      <c r="AL80" s="482"/>
      <c r="AM80" s="482"/>
      <c r="AN80" s="482"/>
      <c r="AO80" s="482"/>
      <c r="AP80" s="482"/>
      <c r="AQ80" s="482"/>
      <c r="AR80" s="482"/>
      <c r="AS80" s="482"/>
      <c r="AT80" s="482"/>
      <c r="AU80" s="482"/>
      <c r="AV80" s="482"/>
      <c r="AW80" s="482"/>
      <c r="AX80" s="482"/>
      <c r="AY80" s="482"/>
      <c r="AZ80" s="482"/>
      <c r="BA80" s="482"/>
      <c r="BB80" s="482"/>
      <c r="BC80" s="482"/>
      <c r="BD80" s="482"/>
      <c r="BE80" s="482"/>
      <c r="BF80" s="482"/>
      <c r="BG80" s="482"/>
      <c r="BH80" s="482"/>
      <c r="BI80" s="482"/>
      <c r="BJ80" s="482"/>
      <c r="BK80" s="482"/>
      <c r="BL80" s="482"/>
      <c r="BM80" s="482"/>
      <c r="BN80" s="482"/>
      <c r="BO80" s="482"/>
      <c r="BP80" s="482"/>
      <c r="BQ80" s="482"/>
      <c r="BR80" s="482"/>
      <c r="BS80" s="482"/>
      <c r="BT80" s="482"/>
      <c r="BU80" s="482"/>
      <c r="BV80" s="482"/>
      <c r="BW80" s="482"/>
      <c r="BX80" s="482"/>
      <c r="BY80" s="482"/>
      <c r="BZ80" s="482"/>
      <c r="CA80" s="482"/>
      <c r="CB80" s="482"/>
      <c r="CC80" s="482"/>
      <c r="CD80" s="482"/>
      <c r="CE80" s="482"/>
      <c r="CF80" s="482"/>
      <c r="CG80" s="482"/>
      <c r="CH80" s="482"/>
      <c r="CI80" s="482"/>
    </row>
    <row r="81" spans="1:87" ht="12" hidden="1" customHeight="1">
      <c r="A81" s="750">
        <v>39701</v>
      </c>
      <c r="B81" s="751" t="s">
        <v>863</v>
      </c>
      <c r="C81" s="752">
        <v>28</v>
      </c>
      <c r="D81" s="750">
        <v>39729</v>
      </c>
      <c r="E81" s="753">
        <v>30</v>
      </c>
      <c r="F81" s="753">
        <v>45.877200000000002</v>
      </c>
      <c r="G81" s="753">
        <v>30</v>
      </c>
      <c r="H81" s="753">
        <v>0</v>
      </c>
      <c r="I81" s="754">
        <v>0.11020000000000001</v>
      </c>
      <c r="J81" s="754">
        <v>0.11020000000000001</v>
      </c>
      <c r="K81" s="754">
        <v>0.11020000000000001</v>
      </c>
      <c r="L81" s="752">
        <v>8</v>
      </c>
      <c r="M81" s="482"/>
      <c r="N81" s="482"/>
      <c r="O81" s="482"/>
      <c r="P81" s="482"/>
      <c r="Q81" s="482"/>
      <c r="R81" s="482"/>
      <c r="S81" s="482"/>
      <c r="T81" s="482"/>
      <c r="U81" s="482"/>
      <c r="V81" s="482"/>
      <c r="W81" s="482"/>
      <c r="X81" s="482"/>
      <c r="Y81" s="482"/>
      <c r="Z81" s="482"/>
      <c r="AA81" s="482"/>
      <c r="AB81" s="482"/>
      <c r="AC81" s="482"/>
      <c r="AD81" s="482"/>
      <c r="AE81" s="482"/>
      <c r="AF81" s="482"/>
      <c r="AG81" s="482"/>
      <c r="AH81" s="482"/>
      <c r="AI81" s="482"/>
      <c r="AJ81" s="482"/>
      <c r="AK81" s="482"/>
      <c r="AL81" s="482"/>
      <c r="AM81" s="482"/>
      <c r="AN81" s="482"/>
      <c r="AO81" s="482"/>
      <c r="AP81" s="482"/>
      <c r="AQ81" s="482"/>
      <c r="AR81" s="482"/>
      <c r="AS81" s="482"/>
      <c r="AT81" s="482"/>
      <c r="AU81" s="482"/>
      <c r="AV81" s="482"/>
      <c r="AW81" s="482"/>
      <c r="AX81" s="482"/>
      <c r="AY81" s="482"/>
      <c r="AZ81" s="482"/>
      <c r="BA81" s="482"/>
      <c r="BB81" s="482"/>
      <c r="BC81" s="482"/>
      <c r="BD81" s="482"/>
      <c r="BE81" s="482"/>
      <c r="BF81" s="482"/>
      <c r="BG81" s="482"/>
      <c r="BH81" s="482"/>
      <c r="BI81" s="482"/>
      <c r="BJ81" s="482"/>
      <c r="BK81" s="482"/>
      <c r="BL81" s="482"/>
      <c r="BM81" s="482"/>
      <c r="BN81" s="482"/>
      <c r="BO81" s="482"/>
      <c r="BP81" s="482"/>
      <c r="BQ81" s="482"/>
      <c r="BR81" s="482"/>
      <c r="BS81" s="482"/>
      <c r="BT81" s="482"/>
      <c r="BU81" s="482"/>
      <c r="BV81" s="482"/>
      <c r="BW81" s="482"/>
      <c r="BX81" s="482"/>
      <c r="BY81" s="482"/>
      <c r="BZ81" s="482"/>
      <c r="CA81" s="482"/>
      <c r="CB81" s="482"/>
      <c r="CC81" s="482"/>
      <c r="CD81" s="482"/>
      <c r="CE81" s="482"/>
      <c r="CF81" s="482"/>
      <c r="CG81" s="482"/>
      <c r="CH81" s="482"/>
      <c r="CI81" s="482"/>
    </row>
    <row r="82" spans="1:87" s="484" customFormat="1" ht="12" hidden="1" customHeight="1">
      <c r="A82" s="750">
        <v>39708</v>
      </c>
      <c r="B82" s="751" t="s">
        <v>864</v>
      </c>
      <c r="C82" s="752">
        <v>28</v>
      </c>
      <c r="D82" s="750">
        <v>39736</v>
      </c>
      <c r="E82" s="753">
        <v>30</v>
      </c>
      <c r="F82" s="753">
        <v>29.015599999999999</v>
      </c>
      <c r="G82" s="753">
        <v>20</v>
      </c>
      <c r="H82" s="753">
        <v>0</v>
      </c>
      <c r="I82" s="754">
        <v>0.1011</v>
      </c>
      <c r="J82" s="754">
        <v>0.10630000000000001</v>
      </c>
      <c r="K82" s="754">
        <v>0.1024</v>
      </c>
      <c r="L82" s="752">
        <v>8</v>
      </c>
      <c r="M82" s="482"/>
      <c r="N82" s="482"/>
      <c r="O82" s="482"/>
      <c r="P82" s="482"/>
      <c r="Q82" s="482"/>
      <c r="R82" s="482"/>
      <c r="S82" s="482"/>
      <c r="T82" s="482"/>
      <c r="U82" s="482"/>
      <c r="V82" s="482"/>
      <c r="W82" s="482"/>
      <c r="X82" s="482"/>
      <c r="Y82" s="482"/>
      <c r="Z82" s="482"/>
      <c r="AA82" s="482"/>
      <c r="AB82" s="482"/>
      <c r="AC82" s="482"/>
      <c r="AD82" s="482"/>
      <c r="AE82" s="482"/>
      <c r="AF82" s="482"/>
      <c r="AG82" s="482"/>
      <c r="AH82" s="482"/>
      <c r="AI82" s="482"/>
      <c r="AJ82" s="482"/>
      <c r="AK82" s="482"/>
      <c r="AL82" s="482"/>
      <c r="AM82" s="482"/>
      <c r="AN82" s="482"/>
      <c r="AO82" s="482"/>
      <c r="AP82" s="482"/>
      <c r="AQ82" s="482"/>
      <c r="AR82" s="482"/>
      <c r="AS82" s="482"/>
      <c r="AT82" s="482"/>
      <c r="AU82" s="482"/>
      <c r="AV82" s="482"/>
      <c r="AW82" s="482"/>
      <c r="AX82" s="482"/>
      <c r="AY82" s="482"/>
      <c r="AZ82" s="482"/>
      <c r="BA82" s="482"/>
      <c r="BB82" s="482"/>
      <c r="BC82" s="482"/>
      <c r="BD82" s="482"/>
      <c r="BE82" s="482"/>
      <c r="BF82" s="482"/>
      <c r="BG82" s="482"/>
      <c r="BH82" s="482"/>
      <c r="BI82" s="482"/>
      <c r="BJ82" s="482"/>
      <c r="BK82" s="482"/>
      <c r="BL82" s="482"/>
      <c r="BM82" s="482"/>
      <c r="BN82" s="482"/>
      <c r="BO82" s="482"/>
      <c r="BP82" s="482"/>
      <c r="BQ82" s="482"/>
      <c r="BR82" s="482"/>
      <c r="BS82" s="482"/>
      <c r="BT82" s="482"/>
      <c r="BU82" s="482"/>
      <c r="BV82" s="482"/>
      <c r="BW82" s="482"/>
      <c r="BX82" s="482"/>
      <c r="BY82" s="482"/>
      <c r="BZ82" s="482"/>
      <c r="CA82" s="482"/>
      <c r="CB82" s="482"/>
      <c r="CC82" s="482"/>
      <c r="CD82" s="482"/>
      <c r="CE82" s="482"/>
      <c r="CF82" s="482"/>
      <c r="CG82" s="482"/>
      <c r="CH82" s="482"/>
      <c r="CI82" s="482"/>
    </row>
    <row r="83" spans="1:87" ht="12" hidden="1" customHeight="1">
      <c r="A83" s="750">
        <v>39715</v>
      </c>
      <c r="B83" s="751" t="s">
        <v>865</v>
      </c>
      <c r="C83" s="752">
        <v>28</v>
      </c>
      <c r="D83" s="750">
        <v>39743</v>
      </c>
      <c r="E83" s="753">
        <v>40</v>
      </c>
      <c r="F83" s="753">
        <v>33.222200000000001</v>
      </c>
      <c r="G83" s="753">
        <v>30</v>
      </c>
      <c r="H83" s="753">
        <v>0</v>
      </c>
      <c r="I83" s="754">
        <v>9.3200000000000005E-2</v>
      </c>
      <c r="J83" s="754">
        <v>0.105</v>
      </c>
      <c r="K83" s="754">
        <v>9.4500000000000001E-2</v>
      </c>
      <c r="L83" s="752">
        <v>9</v>
      </c>
      <c r="M83" s="482"/>
      <c r="N83" s="482"/>
      <c r="O83" s="482"/>
      <c r="P83" s="482"/>
      <c r="Q83" s="482"/>
      <c r="R83" s="482"/>
      <c r="S83" s="482"/>
      <c r="T83" s="482"/>
      <c r="U83" s="482"/>
      <c r="V83" s="482"/>
      <c r="W83" s="482"/>
      <c r="X83" s="482"/>
      <c r="Y83" s="482"/>
      <c r="Z83" s="482"/>
      <c r="AA83" s="482"/>
      <c r="AB83" s="482"/>
      <c r="AC83" s="482"/>
      <c r="AD83" s="482"/>
      <c r="AE83" s="482"/>
      <c r="AF83" s="482"/>
      <c r="AG83" s="482"/>
      <c r="AH83" s="482"/>
      <c r="AI83" s="482"/>
      <c r="AJ83" s="482"/>
      <c r="AK83" s="482"/>
      <c r="AL83" s="482"/>
      <c r="AM83" s="482"/>
      <c r="AN83" s="482"/>
      <c r="AO83" s="482"/>
      <c r="AP83" s="482"/>
      <c r="AQ83" s="482"/>
      <c r="AR83" s="482"/>
      <c r="AS83" s="482"/>
      <c r="AT83" s="482"/>
      <c r="AU83" s="482"/>
      <c r="AV83" s="482"/>
      <c r="AW83" s="482"/>
      <c r="AX83" s="482"/>
      <c r="AY83" s="482"/>
      <c r="AZ83" s="482"/>
      <c r="BA83" s="482"/>
      <c r="BB83" s="482"/>
      <c r="BC83" s="482"/>
      <c r="BD83" s="482"/>
      <c r="BE83" s="482"/>
      <c r="BF83" s="482"/>
      <c r="BG83" s="482"/>
      <c r="BH83" s="482"/>
      <c r="BI83" s="482"/>
      <c r="BJ83" s="482"/>
      <c r="BK83" s="482"/>
      <c r="BL83" s="482"/>
      <c r="BM83" s="482"/>
      <c r="BN83" s="482"/>
      <c r="BO83" s="482"/>
      <c r="BP83" s="482"/>
      <c r="BQ83" s="482"/>
      <c r="BR83" s="482"/>
      <c r="BS83" s="482"/>
      <c r="BT83" s="482"/>
      <c r="BU83" s="482"/>
      <c r="BV83" s="482"/>
      <c r="BW83" s="482"/>
      <c r="BX83" s="482"/>
      <c r="BY83" s="482"/>
      <c r="BZ83" s="482"/>
      <c r="CA83" s="482"/>
      <c r="CB83" s="482"/>
      <c r="CC83" s="482"/>
      <c r="CD83" s="482"/>
      <c r="CE83" s="482"/>
      <c r="CF83" s="482"/>
      <c r="CG83" s="482"/>
      <c r="CH83" s="482"/>
      <c r="CI83" s="482"/>
    </row>
    <row r="84" spans="1:87" s="484" customFormat="1" ht="12" hidden="1" customHeight="1">
      <c r="A84" s="750">
        <v>39723</v>
      </c>
      <c r="B84" s="751" t="s">
        <v>866</v>
      </c>
      <c r="C84" s="752">
        <v>27</v>
      </c>
      <c r="D84" s="750">
        <v>39750</v>
      </c>
      <c r="E84" s="753">
        <v>50</v>
      </c>
      <c r="F84" s="753">
        <v>21.464600000000001</v>
      </c>
      <c r="G84" s="753">
        <v>20.759399999999999</v>
      </c>
      <c r="H84" s="753">
        <v>0</v>
      </c>
      <c r="I84" s="754">
        <v>9.6699999999999994E-2</v>
      </c>
      <c r="J84" s="754">
        <v>0.1062</v>
      </c>
      <c r="K84" s="754">
        <v>0.1021</v>
      </c>
      <c r="L84" s="752">
        <v>9</v>
      </c>
      <c r="M84" s="482"/>
      <c r="N84" s="482"/>
      <c r="O84" s="482"/>
      <c r="P84" s="482"/>
      <c r="Q84" s="482"/>
      <c r="R84" s="482"/>
      <c r="S84" s="482"/>
      <c r="T84" s="482"/>
      <c r="U84" s="482"/>
      <c r="V84" s="482"/>
      <c r="W84" s="482"/>
      <c r="X84" s="482"/>
      <c r="Y84" s="482"/>
      <c r="Z84" s="482"/>
      <c r="AA84" s="482"/>
      <c r="AB84" s="482"/>
      <c r="AC84" s="482"/>
      <c r="AD84" s="482"/>
      <c r="AE84" s="482"/>
      <c r="AF84" s="482"/>
      <c r="AG84" s="482"/>
      <c r="AH84" s="482"/>
      <c r="AI84" s="482"/>
      <c r="AJ84" s="482"/>
      <c r="AK84" s="482"/>
      <c r="AL84" s="482"/>
      <c r="AM84" s="482"/>
      <c r="AN84" s="482"/>
      <c r="AO84" s="482"/>
      <c r="AP84" s="482"/>
      <c r="AQ84" s="482"/>
      <c r="AR84" s="482"/>
      <c r="AS84" s="482"/>
      <c r="AT84" s="482"/>
      <c r="AU84" s="482"/>
      <c r="AV84" s="482"/>
      <c r="AW84" s="482"/>
      <c r="AX84" s="482"/>
      <c r="AY84" s="482"/>
      <c r="AZ84" s="482"/>
      <c r="BA84" s="482"/>
      <c r="BB84" s="482"/>
      <c r="BC84" s="482"/>
      <c r="BD84" s="482"/>
      <c r="BE84" s="482"/>
      <c r="BF84" s="482"/>
      <c r="BG84" s="482"/>
      <c r="BH84" s="482"/>
      <c r="BI84" s="482"/>
      <c r="BJ84" s="482"/>
      <c r="BK84" s="482"/>
      <c r="BL84" s="482"/>
      <c r="BM84" s="482"/>
      <c r="BN84" s="482"/>
      <c r="BO84" s="482"/>
      <c r="BP84" s="482"/>
      <c r="BQ84" s="482"/>
      <c r="BR84" s="482"/>
      <c r="BS84" s="482"/>
      <c r="BT84" s="482"/>
      <c r="BU84" s="482"/>
      <c r="BV84" s="482"/>
      <c r="BW84" s="482"/>
      <c r="BX84" s="482"/>
      <c r="BY84" s="482"/>
      <c r="BZ84" s="482"/>
      <c r="CA84" s="482"/>
      <c r="CB84" s="482"/>
      <c r="CC84" s="482"/>
      <c r="CD84" s="482"/>
      <c r="CE84" s="482"/>
      <c r="CF84" s="482"/>
      <c r="CG84" s="482"/>
      <c r="CH84" s="482"/>
      <c r="CI84" s="482"/>
    </row>
    <row r="85" spans="1:87" ht="12" hidden="1" customHeight="1">
      <c r="A85" s="750">
        <v>39729</v>
      </c>
      <c r="B85" s="751" t="s">
        <v>867</v>
      </c>
      <c r="C85" s="752">
        <v>28</v>
      </c>
      <c r="D85" s="750">
        <v>39757</v>
      </c>
      <c r="E85" s="753">
        <v>50</v>
      </c>
      <c r="F85" s="753">
        <v>48.946199999999997</v>
      </c>
      <c r="G85" s="753">
        <v>30</v>
      </c>
      <c r="H85" s="753">
        <v>0</v>
      </c>
      <c r="I85" s="754">
        <v>9.4500000000000001E-2</v>
      </c>
      <c r="J85" s="754">
        <v>0.10630000000000001</v>
      </c>
      <c r="K85" s="754">
        <v>9.8500000000000004E-2</v>
      </c>
      <c r="L85" s="752">
        <v>9</v>
      </c>
      <c r="M85" s="482"/>
      <c r="N85" s="482"/>
      <c r="O85" s="482"/>
      <c r="P85" s="482"/>
      <c r="Q85" s="482"/>
      <c r="R85" s="482"/>
      <c r="S85" s="482"/>
      <c r="T85" s="482"/>
      <c r="U85" s="482"/>
      <c r="V85" s="482"/>
      <c r="W85" s="482"/>
      <c r="X85" s="482"/>
      <c r="Y85" s="482"/>
      <c r="Z85" s="482"/>
      <c r="AA85" s="482"/>
      <c r="AB85" s="482"/>
      <c r="AC85" s="482"/>
      <c r="AD85" s="482"/>
      <c r="AE85" s="482"/>
      <c r="AF85" s="482"/>
      <c r="AG85" s="482"/>
      <c r="AH85" s="482"/>
      <c r="AI85" s="482"/>
      <c r="AJ85" s="482"/>
      <c r="AK85" s="482"/>
      <c r="AL85" s="482"/>
      <c r="AM85" s="482"/>
      <c r="AN85" s="482"/>
      <c r="AO85" s="482"/>
      <c r="AP85" s="482"/>
      <c r="AQ85" s="482"/>
      <c r="AR85" s="482"/>
      <c r="AS85" s="482"/>
      <c r="AT85" s="482"/>
      <c r="AU85" s="482"/>
      <c r="AV85" s="482"/>
      <c r="AW85" s="482"/>
      <c r="AX85" s="482"/>
      <c r="AY85" s="482"/>
      <c r="AZ85" s="482"/>
      <c r="BA85" s="482"/>
      <c r="BB85" s="482"/>
      <c r="BC85" s="482"/>
      <c r="BD85" s="482"/>
      <c r="BE85" s="482"/>
      <c r="BF85" s="482"/>
      <c r="BG85" s="482"/>
      <c r="BH85" s="482"/>
      <c r="BI85" s="482"/>
      <c r="BJ85" s="482"/>
      <c r="BK85" s="482"/>
      <c r="BL85" s="482"/>
      <c r="BM85" s="482"/>
      <c r="BN85" s="482"/>
      <c r="BO85" s="482"/>
      <c r="BP85" s="482"/>
      <c r="BQ85" s="482"/>
      <c r="BR85" s="482"/>
      <c r="BS85" s="482"/>
      <c r="BT85" s="482"/>
      <c r="BU85" s="482"/>
      <c r="BV85" s="482"/>
      <c r="BW85" s="482"/>
      <c r="BX85" s="482"/>
      <c r="BY85" s="482"/>
      <c r="BZ85" s="482"/>
      <c r="CA85" s="482"/>
      <c r="CB85" s="482"/>
      <c r="CC85" s="482"/>
      <c r="CD85" s="482"/>
      <c r="CE85" s="482"/>
      <c r="CF85" s="482"/>
      <c r="CG85" s="482"/>
      <c r="CH85" s="482"/>
      <c r="CI85" s="482"/>
    </row>
    <row r="86" spans="1:87" s="484" customFormat="1" ht="12" hidden="1" customHeight="1">
      <c r="A86" s="750">
        <v>39737</v>
      </c>
      <c r="B86" s="751" t="s">
        <v>868</v>
      </c>
      <c r="C86" s="752">
        <v>27</v>
      </c>
      <c r="D86" s="750">
        <v>39764</v>
      </c>
      <c r="E86" s="753">
        <v>50</v>
      </c>
      <c r="F86" s="753">
        <v>28.395600000000002</v>
      </c>
      <c r="G86" s="753">
        <v>20</v>
      </c>
      <c r="H86" s="753">
        <v>0</v>
      </c>
      <c r="I86" s="754">
        <v>9.1300000000000006E-2</v>
      </c>
      <c r="J86" s="754">
        <v>9.6699999999999994E-2</v>
      </c>
      <c r="K86" s="754">
        <v>9.4E-2</v>
      </c>
      <c r="L86" s="752">
        <v>8</v>
      </c>
      <c r="M86" s="482"/>
      <c r="N86" s="482"/>
      <c r="O86" s="482"/>
      <c r="P86" s="482"/>
      <c r="Q86" s="482"/>
      <c r="R86" s="482"/>
      <c r="S86" s="482"/>
      <c r="T86" s="482"/>
      <c r="U86" s="482"/>
      <c r="V86" s="482"/>
      <c r="W86" s="482"/>
      <c r="X86" s="482"/>
      <c r="Y86" s="482"/>
      <c r="Z86" s="482"/>
      <c r="AA86" s="482"/>
      <c r="AB86" s="482"/>
      <c r="AC86" s="482"/>
      <c r="AD86" s="482"/>
      <c r="AE86" s="482"/>
      <c r="AF86" s="482"/>
      <c r="AG86" s="482"/>
      <c r="AH86" s="482"/>
      <c r="AI86" s="482"/>
      <c r="AJ86" s="482"/>
      <c r="AK86" s="482"/>
      <c r="AL86" s="482"/>
      <c r="AM86" s="482"/>
      <c r="AN86" s="482"/>
      <c r="AO86" s="482"/>
      <c r="AP86" s="482"/>
      <c r="AQ86" s="482"/>
      <c r="AR86" s="482"/>
      <c r="AS86" s="482"/>
      <c r="AT86" s="482"/>
      <c r="AU86" s="482"/>
      <c r="AV86" s="482"/>
      <c r="AW86" s="482"/>
      <c r="AX86" s="482"/>
      <c r="AY86" s="482"/>
      <c r="AZ86" s="482"/>
      <c r="BA86" s="482"/>
      <c r="BB86" s="482"/>
      <c r="BC86" s="482"/>
      <c r="BD86" s="482"/>
      <c r="BE86" s="482"/>
      <c r="BF86" s="482"/>
      <c r="BG86" s="482"/>
      <c r="BH86" s="482"/>
      <c r="BI86" s="482"/>
      <c r="BJ86" s="482"/>
      <c r="BK86" s="482"/>
      <c r="BL86" s="482"/>
      <c r="BM86" s="482"/>
      <c r="BN86" s="482"/>
      <c r="BO86" s="482"/>
      <c r="BP86" s="482"/>
      <c r="BQ86" s="482"/>
      <c r="BR86" s="482"/>
      <c r="BS86" s="482"/>
      <c r="BT86" s="482"/>
      <c r="BU86" s="482"/>
      <c r="BV86" s="482"/>
      <c r="BW86" s="482"/>
      <c r="BX86" s="482"/>
      <c r="BY86" s="482"/>
      <c r="BZ86" s="482"/>
      <c r="CA86" s="482"/>
      <c r="CB86" s="482"/>
      <c r="CC86" s="482"/>
      <c r="CD86" s="482"/>
      <c r="CE86" s="482"/>
      <c r="CF86" s="482"/>
      <c r="CG86" s="482"/>
      <c r="CH86" s="482"/>
      <c r="CI86" s="482"/>
    </row>
    <row r="87" spans="1:87" ht="12" hidden="1" customHeight="1">
      <c r="A87" s="750">
        <v>39743</v>
      </c>
      <c r="B87" s="751" t="s">
        <v>869</v>
      </c>
      <c r="C87" s="752">
        <v>28</v>
      </c>
      <c r="D87" s="750">
        <v>39771</v>
      </c>
      <c r="E87" s="753">
        <v>50</v>
      </c>
      <c r="F87" s="753">
        <v>73.463999999999999</v>
      </c>
      <c r="G87" s="753">
        <v>25</v>
      </c>
      <c r="H87" s="753">
        <v>0</v>
      </c>
      <c r="I87" s="754">
        <v>8.2799999999999999E-2</v>
      </c>
      <c r="J87" s="754">
        <v>9.7199999999999995E-2</v>
      </c>
      <c r="K87" s="754">
        <v>8.4099999999999994E-2</v>
      </c>
      <c r="L87" s="752">
        <v>13</v>
      </c>
      <c r="M87" s="482"/>
      <c r="N87" s="482"/>
      <c r="O87" s="482"/>
      <c r="P87" s="482"/>
      <c r="Q87" s="482"/>
      <c r="R87" s="482"/>
      <c r="S87" s="482"/>
      <c r="T87" s="482"/>
      <c r="U87" s="482"/>
      <c r="V87" s="482"/>
      <c r="W87" s="482"/>
      <c r="X87" s="482"/>
      <c r="Y87" s="482"/>
      <c r="Z87" s="482"/>
      <c r="AA87" s="482"/>
      <c r="AB87" s="482"/>
      <c r="AC87" s="482"/>
      <c r="AD87" s="482"/>
      <c r="AE87" s="482"/>
      <c r="AF87" s="482"/>
      <c r="AG87" s="482"/>
      <c r="AH87" s="482"/>
      <c r="AI87" s="482"/>
      <c r="AJ87" s="482"/>
      <c r="AK87" s="482"/>
      <c r="AL87" s="482"/>
      <c r="AM87" s="482"/>
      <c r="AN87" s="482"/>
      <c r="AO87" s="482"/>
      <c r="AP87" s="482"/>
      <c r="AQ87" s="482"/>
      <c r="AR87" s="482"/>
      <c r="AS87" s="482"/>
      <c r="AT87" s="482"/>
      <c r="AU87" s="482"/>
      <c r="AV87" s="482"/>
      <c r="AW87" s="482"/>
      <c r="AX87" s="482"/>
      <c r="AY87" s="482"/>
      <c r="AZ87" s="482"/>
      <c r="BA87" s="482"/>
      <c r="BB87" s="482"/>
      <c r="BC87" s="482"/>
      <c r="BD87" s="482"/>
      <c r="BE87" s="482"/>
      <c r="BF87" s="482"/>
      <c r="BG87" s="482"/>
      <c r="BH87" s="482"/>
      <c r="BI87" s="482"/>
      <c r="BJ87" s="482"/>
      <c r="BK87" s="482"/>
      <c r="BL87" s="482"/>
      <c r="BM87" s="482"/>
      <c r="BN87" s="482"/>
      <c r="BO87" s="482"/>
      <c r="BP87" s="482"/>
      <c r="BQ87" s="482"/>
      <c r="BR87" s="482"/>
      <c r="BS87" s="482"/>
      <c r="BT87" s="482"/>
      <c r="BU87" s="482"/>
      <c r="BV87" s="482"/>
      <c r="BW87" s="482"/>
      <c r="BX87" s="482"/>
      <c r="BY87" s="482"/>
      <c r="BZ87" s="482"/>
      <c r="CA87" s="482"/>
      <c r="CB87" s="482"/>
      <c r="CC87" s="482"/>
      <c r="CD87" s="482"/>
      <c r="CE87" s="482"/>
      <c r="CF87" s="482"/>
      <c r="CG87" s="482"/>
      <c r="CH87" s="482"/>
      <c r="CI87" s="482"/>
    </row>
    <row r="88" spans="1:87" ht="12.75" hidden="1" customHeight="1">
      <c r="A88" s="750">
        <v>39750</v>
      </c>
      <c r="B88" s="751" t="s">
        <v>870</v>
      </c>
      <c r="C88" s="752">
        <v>28</v>
      </c>
      <c r="D88" s="750">
        <v>39778</v>
      </c>
      <c r="E88" s="753">
        <v>30</v>
      </c>
      <c r="F88" s="753">
        <v>63.082500000000003</v>
      </c>
      <c r="G88" s="753">
        <v>25</v>
      </c>
      <c r="H88" s="753">
        <v>0</v>
      </c>
      <c r="I88" s="754">
        <v>6.2E-2</v>
      </c>
      <c r="J88" s="754">
        <v>9.5899999999999999E-2</v>
      </c>
      <c r="K88" s="754">
        <v>6.3299999999999995E-2</v>
      </c>
      <c r="L88" s="752">
        <v>7</v>
      </c>
    </row>
    <row r="89" spans="1:87" ht="12.75" hidden="1" customHeight="1">
      <c r="A89" s="750">
        <v>39757</v>
      </c>
      <c r="B89" s="751" t="s">
        <v>871</v>
      </c>
      <c r="C89" s="752">
        <v>28</v>
      </c>
      <c r="D89" s="750">
        <v>39785</v>
      </c>
      <c r="E89" s="753">
        <v>50</v>
      </c>
      <c r="F89" s="753">
        <v>45.357799999999997</v>
      </c>
      <c r="G89" s="753">
        <v>35</v>
      </c>
      <c r="H89" s="753">
        <v>0</v>
      </c>
      <c r="I89" s="754">
        <v>0.04</v>
      </c>
      <c r="J89" s="754">
        <v>8.0199999999999994E-2</v>
      </c>
      <c r="K89" s="754">
        <v>5.8099999999999999E-2</v>
      </c>
      <c r="L89" s="752">
        <v>9</v>
      </c>
    </row>
    <row r="90" spans="1:87" ht="12" hidden="1" customHeight="1">
      <c r="A90" s="750">
        <v>39764</v>
      </c>
      <c r="B90" s="751" t="s">
        <v>872</v>
      </c>
      <c r="C90" s="752">
        <v>28</v>
      </c>
      <c r="D90" s="750">
        <v>39792</v>
      </c>
      <c r="E90" s="753">
        <v>50</v>
      </c>
      <c r="F90" s="753">
        <v>40.959400000000002</v>
      </c>
      <c r="G90" s="753">
        <v>30</v>
      </c>
      <c r="H90" s="753">
        <v>0</v>
      </c>
      <c r="I90" s="754">
        <v>0.04</v>
      </c>
      <c r="J90" s="754">
        <v>8.1500000000000003E-2</v>
      </c>
      <c r="K90" s="754">
        <v>7.6300000000000007E-2</v>
      </c>
      <c r="L90" s="752">
        <v>10</v>
      </c>
    </row>
    <row r="91" spans="1:87" ht="12.75" hidden="1" customHeight="1">
      <c r="A91" s="750">
        <v>39771</v>
      </c>
      <c r="B91" s="751" t="s">
        <v>873</v>
      </c>
      <c r="C91" s="752">
        <v>28</v>
      </c>
      <c r="D91" s="750">
        <v>39799</v>
      </c>
      <c r="E91" s="753">
        <v>50</v>
      </c>
      <c r="F91" s="753">
        <v>79.031400000000005</v>
      </c>
      <c r="G91" s="753">
        <v>30</v>
      </c>
      <c r="H91" s="753">
        <v>0</v>
      </c>
      <c r="I91" s="754">
        <v>5.9400000000000001E-2</v>
      </c>
      <c r="J91" s="754">
        <v>6.0699999999999997E-2</v>
      </c>
      <c r="K91" s="754">
        <v>5.9400000000000001E-2</v>
      </c>
      <c r="L91" s="752">
        <v>10</v>
      </c>
    </row>
    <row r="92" spans="1:87" ht="12" hidden="1" customHeight="1">
      <c r="A92" s="750">
        <v>39778</v>
      </c>
      <c r="B92" s="751" t="s">
        <v>874</v>
      </c>
      <c r="C92" s="752">
        <v>28</v>
      </c>
      <c r="D92" s="750">
        <v>39806</v>
      </c>
      <c r="E92" s="753">
        <v>50</v>
      </c>
      <c r="F92" s="753">
        <v>49.840800000000002</v>
      </c>
      <c r="G92" s="753">
        <v>30</v>
      </c>
      <c r="H92" s="753">
        <v>0</v>
      </c>
      <c r="I92" s="754">
        <v>5.0299999999999997E-2</v>
      </c>
      <c r="J92" s="754">
        <v>5.5500000000000001E-2</v>
      </c>
      <c r="K92" s="754">
        <v>5.4199999999999998E-2</v>
      </c>
      <c r="L92" s="752">
        <v>10</v>
      </c>
    </row>
    <row r="93" spans="1:87" ht="12.75" hidden="1" customHeight="1">
      <c r="A93" s="750">
        <v>39785</v>
      </c>
      <c r="B93" s="751" t="s">
        <v>875</v>
      </c>
      <c r="C93" s="752">
        <v>27</v>
      </c>
      <c r="D93" s="750">
        <v>39812</v>
      </c>
      <c r="E93" s="753">
        <v>50</v>
      </c>
      <c r="F93" s="753">
        <v>56.777200000000001</v>
      </c>
      <c r="G93" s="753">
        <v>40</v>
      </c>
      <c r="H93" s="753">
        <v>0</v>
      </c>
      <c r="I93" s="754">
        <v>4.0099999999999997E-2</v>
      </c>
      <c r="J93" s="754">
        <v>4.82E-2</v>
      </c>
      <c r="K93" s="754">
        <v>4.41E-2</v>
      </c>
      <c r="L93" s="752">
        <v>8</v>
      </c>
    </row>
    <row r="94" spans="1:87" ht="12" hidden="1" customHeight="1">
      <c r="A94" s="750">
        <v>39792</v>
      </c>
      <c r="B94" s="751" t="s">
        <v>876</v>
      </c>
      <c r="C94" s="752">
        <v>28</v>
      </c>
      <c r="D94" s="750">
        <v>39820</v>
      </c>
      <c r="E94" s="753">
        <v>50</v>
      </c>
      <c r="F94" s="753">
        <v>43.443199999999997</v>
      </c>
      <c r="G94" s="753">
        <v>38</v>
      </c>
      <c r="H94" s="753">
        <v>0</v>
      </c>
      <c r="I94" s="754">
        <v>0.04</v>
      </c>
      <c r="J94" s="754">
        <v>4.65E-2</v>
      </c>
      <c r="K94" s="754">
        <v>4.2599999999999999E-2</v>
      </c>
      <c r="L94" s="752">
        <v>8</v>
      </c>
    </row>
    <row r="95" spans="1:87" ht="12.75" hidden="1" customHeight="1">
      <c r="A95" s="750">
        <v>39799</v>
      </c>
      <c r="B95" s="751" t="s">
        <v>877</v>
      </c>
      <c r="C95" s="752">
        <v>28</v>
      </c>
      <c r="D95" s="750">
        <v>39827</v>
      </c>
      <c r="E95" s="753">
        <v>50</v>
      </c>
      <c r="F95" s="753">
        <v>42.690399999999997</v>
      </c>
      <c r="G95" s="753">
        <v>40</v>
      </c>
      <c r="H95" s="753">
        <v>0</v>
      </c>
      <c r="I95" s="754">
        <v>0.04</v>
      </c>
      <c r="J95" s="754">
        <v>4.2599999999999999E-2</v>
      </c>
      <c r="K95" s="754">
        <v>4.1300000000000003E-2</v>
      </c>
      <c r="L95" s="752">
        <v>6</v>
      </c>
    </row>
    <row r="96" spans="1:87" ht="12" hidden="1" customHeight="1">
      <c r="A96" s="750">
        <v>39806</v>
      </c>
      <c r="B96" s="751" t="s">
        <v>878</v>
      </c>
      <c r="C96" s="752">
        <v>28</v>
      </c>
      <c r="D96" s="750">
        <v>39834</v>
      </c>
      <c r="E96" s="753">
        <v>50</v>
      </c>
      <c r="F96" s="753">
        <v>57.232599999999998</v>
      </c>
      <c r="G96" s="753">
        <v>40</v>
      </c>
      <c r="H96" s="753">
        <v>0</v>
      </c>
      <c r="I96" s="754">
        <v>3.7400000000000003E-2</v>
      </c>
      <c r="J96" s="754">
        <v>5.5500000000000001E-2</v>
      </c>
      <c r="K96" s="754">
        <v>5.16E-2</v>
      </c>
      <c r="L96" s="752">
        <v>8</v>
      </c>
    </row>
    <row r="97" spans="1:12" ht="12.75" hidden="1" customHeight="1">
      <c r="A97" s="750">
        <v>39812</v>
      </c>
      <c r="B97" s="751" t="s">
        <v>879</v>
      </c>
      <c r="C97" s="752">
        <v>29</v>
      </c>
      <c r="D97" s="750">
        <v>39841</v>
      </c>
      <c r="E97" s="753">
        <v>50</v>
      </c>
      <c r="F97" s="753">
        <v>31.8766</v>
      </c>
      <c r="G97" s="753">
        <v>31.8766</v>
      </c>
      <c r="H97" s="753">
        <v>0</v>
      </c>
      <c r="I97" s="754">
        <v>4.1099999999999998E-2</v>
      </c>
      <c r="J97" s="754">
        <v>5.4899999999999997E-2</v>
      </c>
      <c r="K97" s="754">
        <v>4.7399999999999998E-2</v>
      </c>
      <c r="L97" s="752">
        <v>6</v>
      </c>
    </row>
    <row r="98" spans="1:12" ht="12.75" hidden="1" customHeight="1">
      <c r="A98" s="750">
        <v>39820</v>
      </c>
      <c r="B98" s="751" t="s">
        <v>880</v>
      </c>
      <c r="C98" s="752">
        <v>28</v>
      </c>
      <c r="D98" s="750">
        <v>39848</v>
      </c>
      <c r="E98" s="753">
        <v>50</v>
      </c>
      <c r="F98" s="753">
        <v>66.069999999999993</v>
      </c>
      <c r="G98" s="753">
        <v>40</v>
      </c>
      <c r="H98" s="753">
        <v>0</v>
      </c>
      <c r="I98" s="754">
        <v>4.1300000000000003E-2</v>
      </c>
      <c r="J98" s="754">
        <v>4.2599999999999999E-2</v>
      </c>
      <c r="K98" s="754">
        <v>4.2599999999999999E-2</v>
      </c>
      <c r="L98" s="752">
        <v>10</v>
      </c>
    </row>
    <row r="99" spans="1:12" ht="12" hidden="1" customHeight="1">
      <c r="A99" s="750">
        <v>39827</v>
      </c>
      <c r="B99" s="751" t="s">
        <v>881</v>
      </c>
      <c r="C99" s="752">
        <v>28</v>
      </c>
      <c r="D99" s="750">
        <v>39855</v>
      </c>
      <c r="E99" s="753">
        <v>60</v>
      </c>
      <c r="F99" s="753">
        <v>18.383600000000001</v>
      </c>
      <c r="G99" s="753">
        <v>18.383600000000001</v>
      </c>
      <c r="H99" s="753">
        <v>0</v>
      </c>
      <c r="I99" s="754">
        <v>0.04</v>
      </c>
      <c r="J99" s="754">
        <v>5.9400000000000001E-2</v>
      </c>
      <c r="K99" s="754">
        <v>4.5199999999999997E-2</v>
      </c>
      <c r="L99" s="752">
        <v>6</v>
      </c>
    </row>
    <row r="100" spans="1:12" ht="12.75" hidden="1" customHeight="1">
      <c r="A100" s="750">
        <v>39834</v>
      </c>
      <c r="B100" s="751" t="s">
        <v>882</v>
      </c>
      <c r="C100" s="752">
        <v>28</v>
      </c>
      <c r="D100" s="750">
        <v>39862</v>
      </c>
      <c r="E100" s="753">
        <v>60</v>
      </c>
      <c r="F100" s="753">
        <v>31.502310000000001</v>
      </c>
      <c r="G100" s="753">
        <v>22.69</v>
      </c>
      <c r="H100" s="753">
        <v>-16.034199999999998</v>
      </c>
      <c r="I100" s="754">
        <v>4.3900000000000002E-2</v>
      </c>
      <c r="J100" s="754">
        <v>4.65E-2</v>
      </c>
      <c r="K100" s="754">
        <v>4.5199999999999997E-2</v>
      </c>
      <c r="L100" s="752">
        <v>6</v>
      </c>
    </row>
    <row r="101" spans="1:12" ht="12" hidden="1" customHeight="1">
      <c r="A101" s="750">
        <v>39841</v>
      </c>
      <c r="B101" s="751" t="s">
        <v>883</v>
      </c>
      <c r="C101" s="752">
        <v>28</v>
      </c>
      <c r="D101" s="750">
        <v>39869</v>
      </c>
      <c r="E101" s="753">
        <v>30</v>
      </c>
      <c r="F101" s="753">
        <v>35.134234999999997</v>
      </c>
      <c r="G101" s="753">
        <v>20</v>
      </c>
      <c r="H101" s="753">
        <v>-2.4868000000000001</v>
      </c>
      <c r="I101" s="754">
        <v>3.8699999999999998E-2</v>
      </c>
      <c r="J101" s="754">
        <v>0.04</v>
      </c>
      <c r="K101" s="754">
        <v>3.8699999999999998E-2</v>
      </c>
      <c r="L101" s="752">
        <v>8</v>
      </c>
    </row>
    <row r="102" spans="1:12" ht="12" hidden="1" customHeight="1">
      <c r="A102" s="750">
        <v>39848</v>
      </c>
      <c r="B102" s="751" t="s">
        <v>884</v>
      </c>
      <c r="C102" s="752">
        <v>28</v>
      </c>
      <c r="D102" s="750">
        <v>39876</v>
      </c>
      <c r="E102" s="753">
        <v>50</v>
      </c>
      <c r="F102" s="753">
        <v>47.456000000000003</v>
      </c>
      <c r="G102" s="753">
        <v>30</v>
      </c>
      <c r="H102" s="753">
        <v>-5.7148000000000003</v>
      </c>
      <c r="I102" s="754">
        <v>2.58E-2</v>
      </c>
      <c r="J102" s="754">
        <v>3.2199999999999999E-2</v>
      </c>
      <c r="K102" s="754">
        <v>3.09E-2</v>
      </c>
      <c r="L102" s="752">
        <v>6</v>
      </c>
    </row>
    <row r="103" spans="1:12" ht="12" hidden="1" customHeight="1">
      <c r="A103" s="750">
        <v>39855</v>
      </c>
      <c r="B103" s="751" t="s">
        <v>885</v>
      </c>
      <c r="C103" s="752">
        <v>28</v>
      </c>
      <c r="D103" s="750">
        <v>39883</v>
      </c>
      <c r="E103" s="753">
        <v>40</v>
      </c>
      <c r="F103" s="753">
        <v>2.0036</v>
      </c>
      <c r="G103" s="753">
        <v>2.0036</v>
      </c>
      <c r="H103" s="753">
        <v>0</v>
      </c>
      <c r="I103" s="754">
        <v>2.9600000000000001E-2</v>
      </c>
      <c r="J103" s="754">
        <v>2.9600000000000001E-2</v>
      </c>
      <c r="K103" s="754">
        <v>2.9600000000000001E-2</v>
      </c>
      <c r="L103" s="752">
        <v>1</v>
      </c>
    </row>
    <row r="104" spans="1:12" ht="12" hidden="1" customHeight="1">
      <c r="A104" s="750">
        <v>39862</v>
      </c>
      <c r="B104" s="751" t="s">
        <v>526</v>
      </c>
      <c r="C104" s="752">
        <v>27</v>
      </c>
      <c r="D104" s="750">
        <v>39889</v>
      </c>
      <c r="E104" s="753">
        <v>20</v>
      </c>
      <c r="F104" s="753">
        <v>8.3133999999999997</v>
      </c>
      <c r="G104" s="753">
        <v>8.3133999999999997</v>
      </c>
      <c r="H104" s="753">
        <v>0</v>
      </c>
      <c r="I104" s="754">
        <v>4.0099999999999997E-2</v>
      </c>
      <c r="J104" s="754">
        <v>4.82E-2</v>
      </c>
      <c r="K104" s="754">
        <v>4.5499999999999999E-2</v>
      </c>
      <c r="L104" s="752">
        <v>3</v>
      </c>
    </row>
    <row r="105" spans="1:12" ht="12" hidden="1" customHeight="1">
      <c r="A105" s="750">
        <v>39869</v>
      </c>
      <c r="B105" s="751" t="s">
        <v>886</v>
      </c>
      <c r="C105" s="752">
        <v>28</v>
      </c>
      <c r="D105" s="750">
        <v>39897</v>
      </c>
      <c r="E105" s="753">
        <v>20</v>
      </c>
      <c r="F105" s="753">
        <v>3.0095999999999998</v>
      </c>
      <c r="G105" s="753">
        <v>3.0096000000000003</v>
      </c>
      <c r="H105" s="753">
        <v>0</v>
      </c>
      <c r="I105" s="754">
        <v>4.1300000000000003E-2</v>
      </c>
      <c r="J105" s="754">
        <v>4.9000000000000002E-2</v>
      </c>
      <c r="K105" s="754">
        <v>4.5199999999999997E-2</v>
      </c>
      <c r="L105" s="752">
        <v>3</v>
      </c>
    </row>
    <row r="106" spans="1:12" ht="12" hidden="1" customHeight="1">
      <c r="A106" s="750">
        <v>39876</v>
      </c>
      <c r="B106" s="751" t="s">
        <v>887</v>
      </c>
      <c r="C106" s="752">
        <v>28</v>
      </c>
      <c r="D106" s="750">
        <v>39904</v>
      </c>
      <c r="E106" s="753">
        <v>20</v>
      </c>
      <c r="F106" s="753">
        <v>20.960999999999999</v>
      </c>
      <c r="G106" s="753">
        <v>10</v>
      </c>
      <c r="H106" s="753">
        <v>-3.1859999999999999</v>
      </c>
      <c r="I106" s="754">
        <v>2.7099999999999999E-2</v>
      </c>
      <c r="J106" s="754">
        <v>2.9600000000000001E-2</v>
      </c>
      <c r="K106" s="754">
        <v>2.8299999999999999E-2</v>
      </c>
      <c r="L106" s="752">
        <v>4</v>
      </c>
    </row>
    <row r="107" spans="1:12" ht="12" hidden="1" customHeight="1">
      <c r="A107" s="750">
        <v>39883</v>
      </c>
      <c r="B107" s="751" t="s">
        <v>888</v>
      </c>
      <c r="C107" s="752">
        <v>28</v>
      </c>
      <c r="D107" s="750">
        <v>39911</v>
      </c>
      <c r="E107" s="753">
        <v>10</v>
      </c>
      <c r="F107" s="753">
        <v>11.014799999999999</v>
      </c>
      <c r="G107" s="753">
        <v>5</v>
      </c>
      <c r="H107" s="753">
        <v>0</v>
      </c>
      <c r="I107" s="754">
        <v>2.8299999999999999E-2</v>
      </c>
      <c r="J107" s="754">
        <v>2.8299999999999999E-2</v>
      </c>
      <c r="K107" s="754">
        <v>2.8299999999999999E-2</v>
      </c>
      <c r="L107" s="752">
        <v>2</v>
      </c>
    </row>
    <row r="108" spans="1:12" ht="12" hidden="1" customHeight="1">
      <c r="A108" s="750">
        <v>39889</v>
      </c>
      <c r="B108" s="751" t="s">
        <v>889</v>
      </c>
      <c r="C108" s="752">
        <v>29</v>
      </c>
      <c r="D108" s="750">
        <v>39918</v>
      </c>
      <c r="E108" s="753">
        <v>15</v>
      </c>
      <c r="F108" s="753">
        <v>3.0392000000000001</v>
      </c>
      <c r="G108" s="753">
        <v>3.0392000000000001</v>
      </c>
      <c r="H108" s="753">
        <v>0</v>
      </c>
      <c r="I108" s="754">
        <v>2.6100000000000002E-2</v>
      </c>
      <c r="J108" s="754">
        <v>2.7400000000000001E-2</v>
      </c>
      <c r="K108" s="754">
        <v>2.6100000000000002E-2</v>
      </c>
      <c r="L108" s="752">
        <v>2</v>
      </c>
    </row>
    <row r="109" spans="1:12" ht="12" hidden="1" customHeight="1">
      <c r="A109" s="750">
        <v>39904</v>
      </c>
      <c r="B109" s="751" t="s">
        <v>890</v>
      </c>
      <c r="C109" s="752">
        <v>28</v>
      </c>
      <c r="D109" s="750">
        <v>39932</v>
      </c>
      <c r="E109" s="753">
        <v>20</v>
      </c>
      <c r="F109" s="753">
        <v>16.745000000000001</v>
      </c>
      <c r="G109" s="753">
        <v>5</v>
      </c>
      <c r="H109" s="753">
        <v>0</v>
      </c>
      <c r="I109" s="754">
        <v>2.4500000000000001E-2</v>
      </c>
      <c r="J109" s="754">
        <v>2.4500000000000001E-2</v>
      </c>
      <c r="K109" s="754">
        <v>2.4500000000000001E-2</v>
      </c>
      <c r="L109" s="752">
        <v>3</v>
      </c>
    </row>
    <row r="110" spans="1:12" ht="12" hidden="1" customHeight="1">
      <c r="A110" s="750">
        <v>39911</v>
      </c>
      <c r="B110" s="751" t="s">
        <v>891</v>
      </c>
      <c r="C110" s="752">
        <v>28</v>
      </c>
      <c r="D110" s="750">
        <v>39939</v>
      </c>
      <c r="E110" s="753">
        <v>5</v>
      </c>
      <c r="F110" s="753">
        <v>9.0175999999999998</v>
      </c>
      <c r="G110" s="753">
        <v>5</v>
      </c>
      <c r="H110" s="753">
        <v>0</v>
      </c>
      <c r="I110" s="754">
        <v>2.06E-2</v>
      </c>
      <c r="J110" s="754">
        <v>2.4500000000000001E-2</v>
      </c>
      <c r="K110" s="754">
        <v>2.1899999999999999E-2</v>
      </c>
      <c r="L110" s="752">
        <v>3</v>
      </c>
    </row>
    <row r="111" spans="1:12" ht="12" hidden="1" customHeight="1">
      <c r="A111" s="750">
        <v>39918</v>
      </c>
      <c r="B111" s="751" t="s">
        <v>892</v>
      </c>
      <c r="C111" s="752">
        <v>28</v>
      </c>
      <c r="D111" s="750">
        <v>39946</v>
      </c>
      <c r="E111" s="753">
        <v>5</v>
      </c>
      <c r="F111" s="753">
        <v>8.7363999999999997</v>
      </c>
      <c r="G111" s="753">
        <v>5</v>
      </c>
      <c r="H111" s="753">
        <v>0</v>
      </c>
      <c r="I111" s="754">
        <v>2.3199999999999998E-2</v>
      </c>
      <c r="J111" s="754">
        <v>2.7099999999999999E-2</v>
      </c>
      <c r="K111" s="754">
        <v>2.58E-2</v>
      </c>
      <c r="L111" s="752">
        <v>4</v>
      </c>
    </row>
    <row r="112" spans="1:12" ht="12" hidden="1" customHeight="1">
      <c r="A112" s="750">
        <v>39925</v>
      </c>
      <c r="B112" s="751" t="s">
        <v>893</v>
      </c>
      <c r="C112" s="752">
        <v>28</v>
      </c>
      <c r="D112" s="750">
        <v>39953</v>
      </c>
      <c r="E112" s="753">
        <v>5</v>
      </c>
      <c r="F112" s="753">
        <v>9.0117999999999991</v>
      </c>
      <c r="G112" s="753">
        <v>5</v>
      </c>
      <c r="H112" s="753">
        <v>0</v>
      </c>
      <c r="I112" s="754">
        <v>2.4500000000000001E-2</v>
      </c>
      <c r="J112" s="754">
        <v>2.7099999999999999E-2</v>
      </c>
      <c r="K112" s="754">
        <v>2.58E-2</v>
      </c>
      <c r="L112" s="752">
        <v>4</v>
      </c>
    </row>
    <row r="113" spans="1:12" ht="12" hidden="1" customHeight="1">
      <c r="A113" s="750">
        <v>39932</v>
      </c>
      <c r="B113" s="751" t="s">
        <v>894</v>
      </c>
      <c r="C113" s="752">
        <v>28</v>
      </c>
      <c r="D113" s="750">
        <v>39960</v>
      </c>
      <c r="E113" s="753">
        <v>4</v>
      </c>
      <c r="F113" s="753">
        <v>10.016</v>
      </c>
      <c r="G113" s="753">
        <v>4</v>
      </c>
      <c r="H113" s="753">
        <v>0</v>
      </c>
      <c r="I113" s="754">
        <v>2.3199999999999998E-2</v>
      </c>
      <c r="J113" s="754">
        <v>2.4500000000000001E-2</v>
      </c>
      <c r="K113" s="754">
        <v>2.3199999999999998E-2</v>
      </c>
      <c r="L113" s="752">
        <v>5</v>
      </c>
    </row>
    <row r="114" spans="1:12" ht="12" hidden="1" customHeight="1">
      <c r="A114" s="750">
        <v>39939</v>
      </c>
      <c r="B114" s="751" t="s">
        <v>895</v>
      </c>
      <c r="C114" s="752">
        <v>28</v>
      </c>
      <c r="D114" s="750">
        <v>39967</v>
      </c>
      <c r="E114" s="753">
        <v>5</v>
      </c>
      <c r="F114" s="753">
        <v>9.3989999999999991</v>
      </c>
      <c r="G114" s="753">
        <v>4</v>
      </c>
      <c r="H114" s="753">
        <v>0</v>
      </c>
      <c r="I114" s="754">
        <v>2.06E-2</v>
      </c>
      <c r="J114" s="754">
        <v>2.06E-2</v>
      </c>
      <c r="K114" s="754">
        <v>2.06E-2</v>
      </c>
      <c r="L114" s="752">
        <v>3</v>
      </c>
    </row>
    <row r="115" spans="1:12" ht="12" hidden="1" customHeight="1">
      <c r="A115" s="750">
        <v>39946</v>
      </c>
      <c r="B115" s="751" t="s">
        <v>896</v>
      </c>
      <c r="C115" s="752">
        <v>28</v>
      </c>
      <c r="D115" s="750">
        <v>39974</v>
      </c>
      <c r="E115" s="753">
        <v>5</v>
      </c>
      <c r="F115" s="753">
        <v>9.8331999999999997</v>
      </c>
      <c r="G115" s="753">
        <v>4</v>
      </c>
      <c r="H115" s="753">
        <v>0</v>
      </c>
      <c r="I115" s="754">
        <v>1.7999999999999999E-2</v>
      </c>
      <c r="J115" s="754">
        <v>1.9300000000000001E-2</v>
      </c>
      <c r="K115" s="754">
        <v>1.9300000000000001E-2</v>
      </c>
      <c r="L115" s="752">
        <v>4</v>
      </c>
    </row>
    <row r="116" spans="1:12" ht="12" hidden="1" customHeight="1">
      <c r="A116" s="750">
        <v>39953</v>
      </c>
      <c r="B116" s="751" t="s">
        <v>897</v>
      </c>
      <c r="C116" s="752">
        <v>28</v>
      </c>
      <c r="D116" s="750">
        <v>39981</v>
      </c>
      <c r="E116" s="753">
        <v>5</v>
      </c>
      <c r="F116" s="753">
        <v>14.9474</v>
      </c>
      <c r="G116" s="753">
        <v>4</v>
      </c>
      <c r="H116" s="753">
        <v>0</v>
      </c>
      <c r="I116" s="754">
        <v>1.4200000000000001E-2</v>
      </c>
      <c r="J116" s="754">
        <v>1.67E-2</v>
      </c>
      <c r="K116" s="754">
        <v>1.4200000000000001E-2</v>
      </c>
      <c r="L116" s="752">
        <v>5</v>
      </c>
    </row>
    <row r="117" spans="1:12" ht="12" hidden="1" customHeight="1">
      <c r="A117" s="750">
        <v>39967</v>
      </c>
      <c r="B117" s="751" t="s">
        <v>898</v>
      </c>
      <c r="C117" s="752">
        <v>28</v>
      </c>
      <c r="D117" s="750">
        <v>39995</v>
      </c>
      <c r="E117" s="753">
        <v>5</v>
      </c>
      <c r="F117" s="753">
        <v>9.8274000000000008</v>
      </c>
      <c r="G117" s="753">
        <v>4</v>
      </c>
      <c r="H117" s="753">
        <v>0</v>
      </c>
      <c r="I117" s="754">
        <v>1.03E-2</v>
      </c>
      <c r="J117" s="754">
        <v>1.1599999999999999E-2</v>
      </c>
      <c r="K117" s="754">
        <v>1.03E-2</v>
      </c>
      <c r="L117" s="752">
        <v>3</v>
      </c>
    </row>
    <row r="118" spans="1:12" ht="12" hidden="1" customHeight="1">
      <c r="A118" s="750">
        <v>39974</v>
      </c>
      <c r="B118" s="751" t="s">
        <v>899</v>
      </c>
      <c r="C118" s="752">
        <v>28</v>
      </c>
      <c r="D118" s="750">
        <v>40002</v>
      </c>
      <c r="E118" s="753">
        <v>5</v>
      </c>
      <c r="F118" s="753">
        <v>6.6021999999999998</v>
      </c>
      <c r="G118" s="753">
        <v>4</v>
      </c>
      <c r="H118" s="753">
        <v>0</v>
      </c>
      <c r="I118" s="754">
        <v>1.1599999999999999E-2</v>
      </c>
      <c r="J118" s="754">
        <v>1.1599999999999999E-2</v>
      </c>
      <c r="K118" s="754">
        <v>1.1599999999999999E-2</v>
      </c>
      <c r="L118" s="752">
        <v>2</v>
      </c>
    </row>
    <row r="119" spans="1:12" ht="12" hidden="1" customHeight="1">
      <c r="A119" s="750">
        <v>39981</v>
      </c>
      <c r="B119" s="751" t="s">
        <v>900</v>
      </c>
      <c r="C119" s="752">
        <v>28</v>
      </c>
      <c r="D119" s="750">
        <v>40009</v>
      </c>
      <c r="E119" s="753">
        <v>5</v>
      </c>
      <c r="F119" s="753">
        <v>4.0128000000000004</v>
      </c>
      <c r="G119" s="753">
        <v>4</v>
      </c>
      <c r="H119" s="753">
        <v>0</v>
      </c>
      <c r="I119" s="754">
        <v>1.03E-2</v>
      </c>
      <c r="J119" s="754">
        <v>1.1599999999999999E-2</v>
      </c>
      <c r="K119" s="754">
        <v>1.03E-2</v>
      </c>
      <c r="L119" s="752">
        <v>2</v>
      </c>
    </row>
    <row r="120" spans="1:12" ht="12" hidden="1" customHeight="1">
      <c r="A120" s="750">
        <v>39988</v>
      </c>
      <c r="B120" s="751" t="s">
        <v>901</v>
      </c>
      <c r="C120" s="752">
        <v>28</v>
      </c>
      <c r="D120" s="750">
        <v>40016</v>
      </c>
      <c r="E120" s="753">
        <v>5</v>
      </c>
      <c r="F120" s="753">
        <v>5.8</v>
      </c>
      <c r="G120" s="753">
        <v>4</v>
      </c>
      <c r="H120" s="753">
        <v>0</v>
      </c>
      <c r="I120" s="754">
        <v>1.03E-2</v>
      </c>
      <c r="J120" s="754">
        <v>1.4200000000000001E-2</v>
      </c>
      <c r="K120" s="754">
        <v>1.1599999999999999E-2</v>
      </c>
      <c r="L120" s="752">
        <v>2</v>
      </c>
    </row>
    <row r="121" spans="1:12" ht="12" hidden="1" customHeight="1">
      <c r="A121" s="750">
        <v>39995</v>
      </c>
      <c r="B121" s="751" t="s">
        <v>902</v>
      </c>
      <c r="C121" s="752">
        <v>28</v>
      </c>
      <c r="D121" s="750">
        <v>40023</v>
      </c>
      <c r="E121" s="753">
        <v>5</v>
      </c>
      <c r="F121" s="753">
        <v>9.2256</v>
      </c>
      <c r="G121" s="753">
        <v>4</v>
      </c>
      <c r="H121" s="753">
        <v>0</v>
      </c>
      <c r="I121" s="754">
        <v>1.29E-2</v>
      </c>
      <c r="J121" s="754">
        <v>1.4200000000000001E-2</v>
      </c>
      <c r="K121" s="754">
        <v>1.29E-2</v>
      </c>
      <c r="L121" s="752">
        <v>3</v>
      </c>
    </row>
    <row r="122" spans="1:12" ht="12" hidden="1" customHeight="1">
      <c r="A122" s="750">
        <v>40002</v>
      </c>
      <c r="B122" s="751" t="s">
        <v>903</v>
      </c>
      <c r="C122" s="752">
        <v>28</v>
      </c>
      <c r="D122" s="750">
        <v>40030</v>
      </c>
      <c r="E122" s="753">
        <v>5</v>
      </c>
      <c r="F122" s="753">
        <v>10.004200000000001</v>
      </c>
      <c r="G122" s="753">
        <v>4</v>
      </c>
      <c r="H122" s="753">
        <v>0</v>
      </c>
      <c r="I122" s="754">
        <v>1.03E-2</v>
      </c>
      <c r="J122" s="754">
        <v>1.1599999999999999E-2</v>
      </c>
      <c r="K122" s="754">
        <v>1.03E-2</v>
      </c>
      <c r="L122" s="752">
        <v>3</v>
      </c>
    </row>
    <row r="123" spans="1:12" ht="12" hidden="1" customHeight="1">
      <c r="A123" s="750">
        <v>40009</v>
      </c>
      <c r="B123" s="751" t="s">
        <v>904</v>
      </c>
      <c r="C123" s="752">
        <v>28</v>
      </c>
      <c r="D123" s="750">
        <v>40037</v>
      </c>
      <c r="E123" s="753">
        <v>5</v>
      </c>
      <c r="F123" s="753">
        <v>3.9054000000000002</v>
      </c>
      <c r="G123" s="753">
        <v>3.9054000000000002</v>
      </c>
      <c r="H123" s="753">
        <v>0</v>
      </c>
      <c r="I123" s="754">
        <v>1.03E-2</v>
      </c>
      <c r="J123" s="754">
        <v>1.03E-2</v>
      </c>
      <c r="K123" s="754">
        <v>1.03E-2</v>
      </c>
      <c r="L123" s="752">
        <v>1</v>
      </c>
    </row>
    <row r="124" spans="1:12" ht="12" hidden="1" customHeight="1">
      <c r="A124" s="750">
        <v>40016</v>
      </c>
      <c r="B124" s="751" t="s">
        <v>905</v>
      </c>
      <c r="C124" s="752">
        <v>28</v>
      </c>
      <c r="D124" s="750">
        <v>40044</v>
      </c>
      <c r="E124" s="753">
        <v>5</v>
      </c>
      <c r="F124" s="753">
        <v>8.5508000000000006</v>
      </c>
      <c r="G124" s="753">
        <v>4</v>
      </c>
      <c r="H124" s="753">
        <v>0</v>
      </c>
      <c r="I124" s="754">
        <v>1.03E-2</v>
      </c>
      <c r="J124" s="754">
        <v>1.03E-2</v>
      </c>
      <c r="K124" s="754">
        <v>1.03E-2</v>
      </c>
      <c r="L124" s="752">
        <v>2</v>
      </c>
    </row>
    <row r="125" spans="1:12" ht="12" hidden="1" customHeight="1">
      <c r="A125" s="750">
        <v>40023</v>
      </c>
      <c r="B125" s="751" t="s">
        <v>906</v>
      </c>
      <c r="C125" s="752">
        <v>28</v>
      </c>
      <c r="D125" s="750">
        <v>40051</v>
      </c>
      <c r="E125" s="753">
        <v>5</v>
      </c>
      <c r="F125" s="753">
        <v>10.012</v>
      </c>
      <c r="G125" s="753">
        <v>0</v>
      </c>
      <c r="H125" s="753">
        <v>0</v>
      </c>
      <c r="I125" s="754">
        <v>0</v>
      </c>
      <c r="J125" s="754">
        <v>0</v>
      </c>
      <c r="K125" s="754">
        <v>0</v>
      </c>
      <c r="L125" s="752">
        <v>3</v>
      </c>
    </row>
    <row r="126" spans="1:12" ht="12" hidden="1" customHeight="1">
      <c r="A126" s="750">
        <v>40030</v>
      </c>
      <c r="B126" s="751" t="s">
        <v>907</v>
      </c>
      <c r="C126" s="752">
        <v>28</v>
      </c>
      <c r="D126" s="750">
        <v>40058</v>
      </c>
      <c r="E126" s="753">
        <v>5</v>
      </c>
      <c r="F126" s="753">
        <v>6.4020000000000001</v>
      </c>
      <c r="G126" s="753">
        <v>4</v>
      </c>
      <c r="H126" s="753">
        <v>0</v>
      </c>
      <c r="I126" s="754">
        <v>1.0500000000000001E-2</v>
      </c>
      <c r="J126" s="754">
        <v>1.0500000000000001E-2</v>
      </c>
      <c r="K126" s="754">
        <v>1.0500000000000001E-2</v>
      </c>
      <c r="L126" s="752">
        <v>5</v>
      </c>
    </row>
    <row r="127" spans="1:12" ht="12" hidden="1" customHeight="1">
      <c r="A127" s="750">
        <v>40037</v>
      </c>
      <c r="B127" s="751" t="s">
        <v>908</v>
      </c>
      <c r="C127" s="752">
        <v>28</v>
      </c>
      <c r="D127" s="750">
        <v>40065</v>
      </c>
      <c r="E127" s="753">
        <v>5</v>
      </c>
      <c r="F127" s="753">
        <v>7.8011999999999997</v>
      </c>
      <c r="G127" s="753">
        <v>4</v>
      </c>
      <c r="H127" s="753">
        <v>0</v>
      </c>
      <c r="I127" s="754">
        <v>1.0500000000000001E-2</v>
      </c>
      <c r="J127" s="754">
        <v>1.0500000000000001E-2</v>
      </c>
      <c r="K127" s="754">
        <v>1.0500000000000001E-2</v>
      </c>
      <c r="L127" s="752">
        <v>3</v>
      </c>
    </row>
    <row r="128" spans="1:12" ht="12" hidden="1" customHeight="1">
      <c r="A128" s="750">
        <v>40044</v>
      </c>
      <c r="B128" s="751" t="s">
        <v>909</v>
      </c>
      <c r="C128" s="752">
        <v>28</v>
      </c>
      <c r="D128" s="750">
        <v>40072</v>
      </c>
      <c r="E128" s="753">
        <v>5</v>
      </c>
      <c r="F128" s="753">
        <v>11.0038</v>
      </c>
      <c r="G128" s="753">
        <v>4</v>
      </c>
      <c r="H128" s="753">
        <v>0</v>
      </c>
      <c r="I128" s="754">
        <v>1.0500000000000001E-2</v>
      </c>
      <c r="J128" s="754">
        <v>1.0500000000000001E-2</v>
      </c>
      <c r="K128" s="754">
        <v>1.0500000000000001E-2</v>
      </c>
      <c r="L128" s="752">
        <v>4</v>
      </c>
    </row>
    <row r="129" spans="1:12" ht="12" hidden="1" customHeight="1">
      <c r="A129" s="750">
        <v>40051</v>
      </c>
      <c r="B129" s="751" t="s">
        <v>910</v>
      </c>
      <c r="C129" s="752">
        <v>28</v>
      </c>
      <c r="D129" s="750">
        <v>40079</v>
      </c>
      <c r="E129" s="753">
        <v>5</v>
      </c>
      <c r="F129" s="753">
        <v>6.3655999999999997</v>
      </c>
      <c r="G129" s="753">
        <v>0</v>
      </c>
      <c r="H129" s="753">
        <v>0</v>
      </c>
      <c r="I129" s="754">
        <v>0</v>
      </c>
      <c r="J129" s="754">
        <v>0</v>
      </c>
      <c r="K129" s="754">
        <v>0</v>
      </c>
      <c r="L129" s="752">
        <v>1</v>
      </c>
    </row>
    <row r="130" spans="1:12" ht="12" hidden="1" customHeight="1">
      <c r="A130" s="750">
        <v>40058</v>
      </c>
      <c r="B130" s="751" t="s">
        <v>911</v>
      </c>
      <c r="C130" s="752">
        <v>28</v>
      </c>
      <c r="D130" s="750">
        <v>40086</v>
      </c>
      <c r="E130" s="753">
        <v>5</v>
      </c>
      <c r="F130" s="753">
        <v>11.0938</v>
      </c>
      <c r="G130" s="753">
        <v>4</v>
      </c>
      <c r="H130" s="753">
        <v>0</v>
      </c>
      <c r="I130" s="754">
        <v>0.01</v>
      </c>
      <c r="J130" s="754">
        <v>0.01</v>
      </c>
      <c r="K130" s="754">
        <v>0.01</v>
      </c>
      <c r="L130" s="752">
        <v>3</v>
      </c>
    </row>
    <row r="131" spans="1:12" ht="12" hidden="1" customHeight="1">
      <c r="A131" s="750">
        <v>40065</v>
      </c>
      <c r="B131" s="751" t="s">
        <v>912</v>
      </c>
      <c r="C131" s="752">
        <v>28</v>
      </c>
      <c r="D131" s="750">
        <v>40093</v>
      </c>
      <c r="E131" s="753">
        <v>5</v>
      </c>
      <c r="F131" s="753">
        <v>4.8726000000000003</v>
      </c>
      <c r="G131" s="753">
        <v>4</v>
      </c>
      <c r="H131" s="753">
        <v>0</v>
      </c>
      <c r="I131" s="754">
        <v>0.01</v>
      </c>
      <c r="J131" s="754">
        <v>0.01</v>
      </c>
      <c r="K131" s="754">
        <v>0.01</v>
      </c>
      <c r="L131" s="752">
        <v>3</v>
      </c>
    </row>
    <row r="132" spans="1:12" ht="12" hidden="1" customHeight="1">
      <c r="A132" s="750">
        <v>40072</v>
      </c>
      <c r="B132" s="751" t="s">
        <v>913</v>
      </c>
      <c r="C132" s="752">
        <v>28</v>
      </c>
      <c r="D132" s="750">
        <v>40100</v>
      </c>
      <c r="E132" s="753">
        <v>5</v>
      </c>
      <c r="F132" s="753">
        <v>8.4725000000000001</v>
      </c>
      <c r="G132" s="753">
        <v>4</v>
      </c>
      <c r="H132" s="753">
        <v>0</v>
      </c>
      <c r="I132" s="754">
        <v>0.01</v>
      </c>
      <c r="J132" s="754">
        <v>0.01</v>
      </c>
      <c r="K132" s="754">
        <v>0.01</v>
      </c>
      <c r="L132" s="752">
        <v>3</v>
      </c>
    </row>
    <row r="133" spans="1:12" ht="12" hidden="1" customHeight="1">
      <c r="A133" s="750">
        <v>40079</v>
      </c>
      <c r="B133" s="751" t="s">
        <v>914</v>
      </c>
      <c r="C133" s="752">
        <v>28</v>
      </c>
      <c r="D133" s="750">
        <v>40107</v>
      </c>
      <c r="E133" s="753">
        <v>5</v>
      </c>
      <c r="F133" s="753">
        <v>4.8529999999999998</v>
      </c>
      <c r="G133" s="753">
        <v>4</v>
      </c>
      <c r="H133" s="753">
        <v>0</v>
      </c>
      <c r="I133" s="754">
        <v>0.01</v>
      </c>
      <c r="J133" s="754">
        <v>0.01</v>
      </c>
      <c r="K133" s="754">
        <v>0.01</v>
      </c>
      <c r="L133" s="752">
        <v>2</v>
      </c>
    </row>
    <row r="134" spans="1:12" ht="12" hidden="1" customHeight="1">
      <c r="A134" s="750">
        <v>40086</v>
      </c>
      <c r="B134" s="751" t="s">
        <v>915</v>
      </c>
      <c r="C134" s="752">
        <v>28</v>
      </c>
      <c r="D134" s="750">
        <v>40114</v>
      </c>
      <c r="E134" s="753">
        <v>5</v>
      </c>
      <c r="F134" s="753">
        <v>12.0016</v>
      </c>
      <c r="G134" s="753">
        <v>3</v>
      </c>
      <c r="H134" s="753">
        <v>0</v>
      </c>
      <c r="I134" s="754">
        <v>0.01</v>
      </c>
      <c r="J134" s="754">
        <v>0.01</v>
      </c>
      <c r="K134" s="754">
        <v>0.01</v>
      </c>
      <c r="L134" s="752">
        <v>2</v>
      </c>
    </row>
    <row r="135" spans="1:12" ht="12" hidden="1" customHeight="1">
      <c r="A135" s="750">
        <v>40093</v>
      </c>
      <c r="B135" s="751" t="s">
        <v>916</v>
      </c>
      <c r="C135" s="752">
        <v>28</v>
      </c>
      <c r="D135" s="750">
        <v>40121</v>
      </c>
      <c r="E135" s="753">
        <v>4</v>
      </c>
      <c r="F135" s="753">
        <v>3.548</v>
      </c>
      <c r="G135" s="753">
        <v>3</v>
      </c>
      <c r="H135" s="753">
        <v>0</v>
      </c>
      <c r="I135" s="754">
        <v>0.01</v>
      </c>
      <c r="J135" s="754">
        <v>0.01</v>
      </c>
      <c r="K135" s="754">
        <v>0.01</v>
      </c>
      <c r="L135" s="752">
        <v>2</v>
      </c>
    </row>
    <row r="136" spans="1:12" ht="12" hidden="1" customHeight="1">
      <c r="A136" s="750">
        <v>40100</v>
      </c>
      <c r="B136" s="751" t="s">
        <v>917</v>
      </c>
      <c r="C136" s="752">
        <v>28</v>
      </c>
      <c r="D136" s="750">
        <v>40128</v>
      </c>
      <c r="E136" s="753">
        <v>4</v>
      </c>
      <c r="F136" s="753">
        <v>2.907</v>
      </c>
      <c r="G136" s="753">
        <v>0</v>
      </c>
      <c r="H136" s="753">
        <v>0</v>
      </c>
      <c r="I136" s="754">
        <v>0</v>
      </c>
      <c r="J136" s="754">
        <v>0</v>
      </c>
      <c r="K136" s="754">
        <v>0</v>
      </c>
      <c r="L136" s="752">
        <v>1</v>
      </c>
    </row>
    <row r="137" spans="1:12" ht="12" hidden="1" customHeight="1">
      <c r="A137" s="750">
        <v>40107</v>
      </c>
      <c r="B137" s="751" t="s">
        <v>918</v>
      </c>
      <c r="C137" s="752">
        <v>28</v>
      </c>
      <c r="D137" s="750">
        <v>40135</v>
      </c>
      <c r="E137" s="753">
        <v>4</v>
      </c>
      <c r="F137" s="753">
        <v>3</v>
      </c>
      <c r="G137" s="753">
        <v>0</v>
      </c>
      <c r="H137" s="753">
        <v>0</v>
      </c>
      <c r="I137" s="754">
        <v>0</v>
      </c>
      <c r="J137" s="754">
        <v>0</v>
      </c>
      <c r="K137" s="754">
        <v>0</v>
      </c>
      <c r="L137" s="752">
        <v>1</v>
      </c>
    </row>
    <row r="138" spans="1:12" ht="12" hidden="1" customHeight="1">
      <c r="A138" s="750">
        <v>40114</v>
      </c>
      <c r="B138" s="751" t="s">
        <v>1113</v>
      </c>
      <c r="C138" s="752">
        <v>28</v>
      </c>
      <c r="D138" s="750">
        <v>40142</v>
      </c>
      <c r="E138" s="753">
        <v>4</v>
      </c>
      <c r="F138" s="753">
        <v>14.003399999999999</v>
      </c>
      <c r="G138" s="753">
        <v>3</v>
      </c>
      <c r="H138" s="753">
        <v>0</v>
      </c>
      <c r="I138" s="754">
        <v>0.01</v>
      </c>
      <c r="J138" s="754">
        <v>0.01</v>
      </c>
      <c r="K138" s="754">
        <v>0.01</v>
      </c>
      <c r="L138" s="752">
        <v>3</v>
      </c>
    </row>
    <row r="139" spans="1:12" ht="12" hidden="1" customHeight="1">
      <c r="A139" s="750">
        <v>40121</v>
      </c>
      <c r="B139" s="751" t="s">
        <v>919</v>
      </c>
      <c r="C139" s="752">
        <v>28</v>
      </c>
      <c r="D139" s="750">
        <v>40149</v>
      </c>
      <c r="E139" s="753">
        <v>4</v>
      </c>
      <c r="F139" s="753">
        <v>22.956600000000002</v>
      </c>
      <c r="G139" s="753">
        <v>3</v>
      </c>
      <c r="H139" s="753">
        <v>0</v>
      </c>
      <c r="I139" s="754">
        <v>0.01</v>
      </c>
      <c r="J139" s="754">
        <v>0.01</v>
      </c>
      <c r="K139" s="754">
        <v>0.01</v>
      </c>
      <c r="L139" s="752">
        <v>2</v>
      </c>
    </row>
    <row r="140" spans="1:12" ht="12" hidden="1" customHeight="1">
      <c r="A140" s="750">
        <v>40128</v>
      </c>
      <c r="B140" s="751" t="s">
        <v>920</v>
      </c>
      <c r="C140" s="752">
        <v>28</v>
      </c>
      <c r="D140" s="750">
        <v>40156</v>
      </c>
      <c r="E140" s="753">
        <v>4</v>
      </c>
      <c r="F140" s="753">
        <v>9.0022000000000002</v>
      </c>
      <c r="G140" s="753">
        <v>3</v>
      </c>
      <c r="H140" s="753">
        <v>0</v>
      </c>
      <c r="I140" s="754">
        <v>0.01</v>
      </c>
      <c r="J140" s="754">
        <v>0.01</v>
      </c>
      <c r="K140" s="754">
        <v>0.01</v>
      </c>
      <c r="L140" s="752">
        <v>2</v>
      </c>
    </row>
    <row r="141" spans="1:12" ht="12" hidden="1" customHeight="1">
      <c r="A141" s="750">
        <v>40135</v>
      </c>
      <c r="B141" s="751" t="s">
        <v>921</v>
      </c>
      <c r="C141" s="752">
        <v>28</v>
      </c>
      <c r="D141" s="750">
        <v>40163</v>
      </c>
      <c r="E141" s="753">
        <v>4</v>
      </c>
      <c r="F141" s="753">
        <v>1.4979</v>
      </c>
      <c r="G141" s="753">
        <v>0</v>
      </c>
      <c r="H141" s="753">
        <v>0</v>
      </c>
      <c r="I141" s="754">
        <v>0</v>
      </c>
      <c r="J141" s="754">
        <v>0</v>
      </c>
      <c r="K141" s="754">
        <v>0</v>
      </c>
      <c r="L141" s="752">
        <v>1</v>
      </c>
    </row>
    <row r="142" spans="1:12" ht="12" hidden="1" customHeight="1">
      <c r="A142" s="750">
        <v>40142</v>
      </c>
      <c r="B142" s="751" t="s">
        <v>922</v>
      </c>
      <c r="C142" s="752">
        <v>28</v>
      </c>
      <c r="D142" s="750">
        <v>40170</v>
      </c>
      <c r="E142" s="753">
        <v>4</v>
      </c>
      <c r="F142" s="753">
        <v>2.5007999999999999</v>
      </c>
      <c r="G142" s="753">
        <v>2.5007999999999999</v>
      </c>
      <c r="H142" s="753">
        <v>0</v>
      </c>
      <c r="I142" s="754">
        <v>0.01</v>
      </c>
      <c r="J142" s="754">
        <v>0.01</v>
      </c>
      <c r="K142" s="754">
        <v>0.01</v>
      </c>
      <c r="L142" s="752">
        <v>2</v>
      </c>
    </row>
    <row r="143" spans="1:12" ht="12" hidden="1" customHeight="1">
      <c r="A143" s="750">
        <v>40149</v>
      </c>
      <c r="B143" s="751" t="s">
        <v>923</v>
      </c>
      <c r="C143" s="752">
        <v>28</v>
      </c>
      <c r="D143" s="750">
        <v>40177</v>
      </c>
      <c r="E143" s="753">
        <v>4</v>
      </c>
      <c r="F143" s="753">
        <v>0</v>
      </c>
      <c r="G143" s="753">
        <v>0</v>
      </c>
      <c r="H143" s="753">
        <v>0</v>
      </c>
      <c r="I143" s="754">
        <v>0</v>
      </c>
      <c r="J143" s="754">
        <v>0</v>
      </c>
      <c r="K143" s="754">
        <v>0</v>
      </c>
      <c r="L143" s="752">
        <v>0</v>
      </c>
    </row>
    <row r="144" spans="1:12" ht="12" hidden="1" customHeight="1">
      <c r="A144" s="750">
        <v>40156</v>
      </c>
      <c r="B144" s="751" t="s">
        <v>924</v>
      </c>
      <c r="C144" s="752">
        <v>28</v>
      </c>
      <c r="D144" s="750">
        <v>40184</v>
      </c>
      <c r="E144" s="753">
        <v>4</v>
      </c>
      <c r="F144" s="753">
        <v>3.5644</v>
      </c>
      <c r="G144" s="753">
        <v>0</v>
      </c>
      <c r="H144" s="753">
        <v>0</v>
      </c>
      <c r="I144" s="754">
        <v>0</v>
      </c>
      <c r="J144" s="754">
        <v>0</v>
      </c>
      <c r="K144" s="754">
        <v>0</v>
      </c>
      <c r="L144" s="752">
        <v>1</v>
      </c>
    </row>
    <row r="145" spans="1:12" ht="12" hidden="1" customHeight="1">
      <c r="A145" s="750">
        <v>40163</v>
      </c>
      <c r="B145" s="751" t="s">
        <v>925</v>
      </c>
      <c r="C145" s="752">
        <v>28</v>
      </c>
      <c r="D145" s="750">
        <v>40191</v>
      </c>
      <c r="E145" s="753">
        <v>5</v>
      </c>
      <c r="F145" s="753">
        <v>4.0477999999999996</v>
      </c>
      <c r="G145" s="753">
        <v>4</v>
      </c>
      <c r="H145" s="753">
        <v>0</v>
      </c>
      <c r="I145" s="754">
        <v>0.01</v>
      </c>
      <c r="J145" s="754">
        <v>0.01</v>
      </c>
      <c r="K145" s="754">
        <v>0.01</v>
      </c>
      <c r="L145" s="752">
        <v>2</v>
      </c>
    </row>
    <row r="146" spans="1:12" ht="12" hidden="1" customHeight="1">
      <c r="A146" s="750">
        <v>40171</v>
      </c>
      <c r="B146" s="751" t="s">
        <v>926</v>
      </c>
      <c r="C146" s="752">
        <v>28</v>
      </c>
      <c r="D146" s="750">
        <v>40199</v>
      </c>
      <c r="E146" s="753">
        <v>5</v>
      </c>
      <c r="F146" s="753">
        <v>0</v>
      </c>
      <c r="G146" s="753">
        <v>0</v>
      </c>
      <c r="H146" s="753">
        <v>0</v>
      </c>
      <c r="I146" s="754">
        <v>0</v>
      </c>
      <c r="J146" s="754">
        <v>0</v>
      </c>
      <c r="K146" s="754">
        <v>0</v>
      </c>
      <c r="L146" s="752">
        <v>0</v>
      </c>
    </row>
    <row r="147" spans="1:12" ht="12" hidden="1" customHeight="1">
      <c r="A147" s="750">
        <v>40177</v>
      </c>
      <c r="B147" s="751" t="s">
        <v>927</v>
      </c>
      <c r="C147" s="752">
        <v>28</v>
      </c>
      <c r="D147" s="750">
        <v>40205</v>
      </c>
      <c r="E147" s="753">
        <v>5</v>
      </c>
      <c r="F147" s="753">
        <v>4.9957000000000003</v>
      </c>
      <c r="G147" s="753">
        <v>4</v>
      </c>
      <c r="H147" s="753">
        <v>0</v>
      </c>
      <c r="I147" s="754">
        <v>0.01</v>
      </c>
      <c r="J147" s="754">
        <v>0.01</v>
      </c>
      <c r="K147" s="754">
        <v>0.01</v>
      </c>
      <c r="L147" s="752">
        <v>3</v>
      </c>
    </row>
    <row r="148" spans="1:12" ht="12" hidden="1" customHeight="1">
      <c r="A148" s="750">
        <v>40184</v>
      </c>
      <c r="B148" s="751" t="s">
        <v>928</v>
      </c>
      <c r="C148" s="752">
        <v>28</v>
      </c>
      <c r="D148" s="750">
        <v>40212</v>
      </c>
      <c r="E148" s="753">
        <v>5</v>
      </c>
      <c r="F148" s="753">
        <v>1.6003000000000001</v>
      </c>
      <c r="G148" s="753">
        <v>1.6003000000000001</v>
      </c>
      <c r="H148" s="753">
        <v>0</v>
      </c>
      <c r="I148" s="754">
        <v>0.01</v>
      </c>
      <c r="J148" s="754">
        <v>0.01</v>
      </c>
      <c r="K148" s="754">
        <v>0.01</v>
      </c>
      <c r="L148" s="752">
        <v>2</v>
      </c>
    </row>
    <row r="149" spans="1:12" ht="12" hidden="1" customHeight="1">
      <c r="A149" s="750">
        <v>40191</v>
      </c>
      <c r="B149" s="751" t="s">
        <v>929</v>
      </c>
      <c r="C149" s="752">
        <v>28</v>
      </c>
      <c r="D149" s="750">
        <v>40219</v>
      </c>
      <c r="E149" s="753">
        <v>5</v>
      </c>
      <c r="F149" s="753">
        <v>6.9625000000000004</v>
      </c>
      <c r="G149" s="753">
        <v>4</v>
      </c>
      <c r="H149" s="753">
        <v>0</v>
      </c>
      <c r="I149" s="754">
        <v>0.01</v>
      </c>
      <c r="J149" s="754">
        <v>0.01</v>
      </c>
      <c r="K149" s="754">
        <v>0.01</v>
      </c>
      <c r="L149" s="752">
        <v>3</v>
      </c>
    </row>
    <row r="150" spans="1:12" ht="12" hidden="1" customHeight="1">
      <c r="A150" s="750">
        <v>40199</v>
      </c>
      <c r="B150" s="751" t="s">
        <v>930</v>
      </c>
      <c r="C150" s="752">
        <v>27</v>
      </c>
      <c r="D150" s="750">
        <v>40226</v>
      </c>
      <c r="E150" s="753">
        <v>5</v>
      </c>
      <c r="F150" s="753">
        <v>6.5008999999999997</v>
      </c>
      <c r="G150" s="753">
        <v>4</v>
      </c>
      <c r="H150" s="753">
        <v>0</v>
      </c>
      <c r="I150" s="754">
        <v>0.01</v>
      </c>
      <c r="J150" s="754">
        <v>0.01</v>
      </c>
      <c r="K150" s="754">
        <v>0.01</v>
      </c>
      <c r="L150" s="752">
        <v>2</v>
      </c>
    </row>
    <row r="151" spans="1:12" ht="12" hidden="1" customHeight="1">
      <c r="A151" s="750">
        <v>40205</v>
      </c>
      <c r="B151" s="751" t="s">
        <v>931</v>
      </c>
      <c r="C151" s="752">
        <v>28</v>
      </c>
      <c r="D151" s="750">
        <v>40233</v>
      </c>
      <c r="E151" s="753">
        <v>5</v>
      </c>
      <c r="F151" s="753">
        <v>8.0024999999999995</v>
      </c>
      <c r="G151" s="753">
        <v>4</v>
      </c>
      <c r="H151" s="753">
        <v>0</v>
      </c>
      <c r="I151" s="754">
        <v>0.01</v>
      </c>
      <c r="J151" s="754">
        <v>0.01</v>
      </c>
      <c r="K151" s="754">
        <v>0.01</v>
      </c>
      <c r="L151" s="752">
        <v>2</v>
      </c>
    </row>
    <row r="152" spans="1:12" ht="12" hidden="1" customHeight="1">
      <c r="A152" s="750">
        <v>40212</v>
      </c>
      <c r="B152" s="751" t="s">
        <v>932</v>
      </c>
      <c r="C152" s="752">
        <v>28</v>
      </c>
      <c r="D152" s="750">
        <v>40240</v>
      </c>
      <c r="E152" s="753">
        <v>5</v>
      </c>
      <c r="F152" s="753">
        <v>27.0062</v>
      </c>
      <c r="G152" s="753">
        <v>4</v>
      </c>
      <c r="H152" s="753">
        <v>0</v>
      </c>
      <c r="I152" s="754">
        <v>0.01</v>
      </c>
      <c r="J152" s="754">
        <v>0.01</v>
      </c>
      <c r="K152" s="754">
        <v>0.01</v>
      </c>
      <c r="L152" s="752">
        <v>2</v>
      </c>
    </row>
    <row r="153" spans="1:12" ht="12" hidden="1" customHeight="1">
      <c r="A153" s="750">
        <v>40219</v>
      </c>
      <c r="B153" s="751" t="s">
        <v>933</v>
      </c>
      <c r="C153" s="752">
        <v>28</v>
      </c>
      <c r="D153" s="750">
        <v>40247</v>
      </c>
      <c r="E153" s="753">
        <v>5</v>
      </c>
      <c r="F153" s="753">
        <v>11.6073</v>
      </c>
      <c r="G153" s="753">
        <v>4</v>
      </c>
      <c r="H153" s="753">
        <v>0</v>
      </c>
      <c r="I153" s="754">
        <v>0.01</v>
      </c>
      <c r="J153" s="754">
        <v>0.01</v>
      </c>
      <c r="K153" s="754">
        <v>0.01</v>
      </c>
      <c r="L153" s="752">
        <v>2</v>
      </c>
    </row>
    <row r="154" spans="1:12" ht="12" hidden="1" customHeight="1">
      <c r="A154" s="750">
        <v>40226</v>
      </c>
      <c r="B154" s="751" t="s">
        <v>934</v>
      </c>
      <c r="C154" s="752">
        <v>28</v>
      </c>
      <c r="D154" s="750">
        <v>40254</v>
      </c>
      <c r="E154" s="753">
        <v>5</v>
      </c>
      <c r="F154" s="753">
        <v>52.011699999999998</v>
      </c>
      <c r="G154" s="753">
        <v>4</v>
      </c>
      <c r="H154" s="753">
        <v>0</v>
      </c>
      <c r="I154" s="754">
        <v>0.01</v>
      </c>
      <c r="J154" s="754">
        <v>0.01</v>
      </c>
      <c r="K154" s="754">
        <v>0.01</v>
      </c>
      <c r="L154" s="752">
        <v>5</v>
      </c>
    </row>
    <row r="155" spans="1:12" ht="12" hidden="1" customHeight="1">
      <c r="A155" s="750">
        <v>40233</v>
      </c>
      <c r="B155" s="751" t="s">
        <v>935</v>
      </c>
      <c r="C155" s="752">
        <v>33</v>
      </c>
      <c r="D155" s="750">
        <v>40266</v>
      </c>
      <c r="E155" s="753">
        <v>5</v>
      </c>
      <c r="F155" s="753">
        <v>38.916200000000003</v>
      </c>
      <c r="G155" s="753">
        <v>4</v>
      </c>
      <c r="H155" s="753">
        <v>0</v>
      </c>
      <c r="I155" s="754">
        <v>0.01</v>
      </c>
      <c r="J155" s="754">
        <v>0.01</v>
      </c>
      <c r="K155" s="754">
        <v>0.01</v>
      </c>
      <c r="L155" s="752">
        <v>3</v>
      </c>
    </row>
    <row r="156" spans="1:12" ht="12" hidden="1" customHeight="1">
      <c r="A156" s="750">
        <v>40240</v>
      </c>
      <c r="B156" s="751" t="s">
        <v>936</v>
      </c>
      <c r="C156" s="752">
        <v>28</v>
      </c>
      <c r="D156" s="750">
        <v>40268</v>
      </c>
      <c r="E156" s="753">
        <v>5</v>
      </c>
      <c r="F156" s="753">
        <v>37.018225700000002</v>
      </c>
      <c r="G156" s="753">
        <v>4</v>
      </c>
      <c r="H156" s="753">
        <v>0</v>
      </c>
      <c r="I156" s="754">
        <v>0.01</v>
      </c>
      <c r="J156" s="754">
        <v>0.01</v>
      </c>
      <c r="K156" s="754">
        <v>0.01</v>
      </c>
      <c r="L156" s="752">
        <v>3</v>
      </c>
    </row>
    <row r="157" spans="1:12" ht="12" hidden="1" customHeight="1">
      <c r="A157" s="750">
        <v>40247</v>
      </c>
      <c r="B157" s="751" t="s">
        <v>937</v>
      </c>
      <c r="C157" s="752">
        <v>28</v>
      </c>
      <c r="D157" s="750">
        <v>40275</v>
      </c>
      <c r="E157" s="753">
        <v>5</v>
      </c>
      <c r="F157" s="753">
        <v>60.016100000000002</v>
      </c>
      <c r="G157" s="753">
        <v>4</v>
      </c>
      <c r="H157" s="753">
        <v>0</v>
      </c>
      <c r="I157" s="754">
        <v>0.01</v>
      </c>
      <c r="J157" s="754">
        <v>0.01</v>
      </c>
      <c r="K157" s="754">
        <v>0.01</v>
      </c>
      <c r="L157" s="752">
        <v>4</v>
      </c>
    </row>
    <row r="158" spans="1:12" ht="12" hidden="1" customHeight="1">
      <c r="A158" s="750">
        <v>40254</v>
      </c>
      <c r="B158" s="751" t="s">
        <v>938</v>
      </c>
      <c r="C158" s="752">
        <v>28</v>
      </c>
      <c r="D158" s="750">
        <v>40282</v>
      </c>
      <c r="E158" s="753">
        <v>5</v>
      </c>
      <c r="F158" s="753">
        <v>17.712800000000001</v>
      </c>
      <c r="G158" s="753">
        <v>4</v>
      </c>
      <c r="H158" s="753">
        <v>0</v>
      </c>
      <c r="I158" s="754">
        <v>0.01</v>
      </c>
      <c r="J158" s="754">
        <v>0.01</v>
      </c>
      <c r="K158" s="754">
        <v>0.01</v>
      </c>
      <c r="L158" s="752">
        <v>4</v>
      </c>
    </row>
    <row r="159" spans="1:12" ht="12" hidden="1" customHeight="1">
      <c r="A159" s="750">
        <v>40268</v>
      </c>
      <c r="B159" s="751" t="s">
        <v>939</v>
      </c>
      <c r="C159" s="752">
        <v>28</v>
      </c>
      <c r="D159" s="750">
        <v>40296</v>
      </c>
      <c r="E159" s="753">
        <v>5</v>
      </c>
      <c r="F159" s="753">
        <v>44.011000000000003</v>
      </c>
      <c r="G159" s="753">
        <v>4</v>
      </c>
      <c r="H159" s="753">
        <v>0</v>
      </c>
      <c r="I159" s="754">
        <v>0.01</v>
      </c>
      <c r="J159" s="754">
        <v>0.01</v>
      </c>
      <c r="K159" s="754">
        <v>0.01</v>
      </c>
      <c r="L159" s="752">
        <v>5</v>
      </c>
    </row>
    <row r="160" spans="1:12" ht="12" hidden="1" customHeight="1">
      <c r="A160" s="750">
        <v>40275</v>
      </c>
      <c r="B160" s="751" t="s">
        <v>940</v>
      </c>
      <c r="C160" s="752">
        <v>28</v>
      </c>
      <c r="D160" s="750">
        <v>40303</v>
      </c>
      <c r="E160" s="753">
        <v>5</v>
      </c>
      <c r="F160" s="753">
        <v>42.011000000000003</v>
      </c>
      <c r="G160" s="753">
        <v>4</v>
      </c>
      <c r="H160" s="753">
        <v>0</v>
      </c>
      <c r="I160" s="754">
        <v>0.01</v>
      </c>
      <c r="J160" s="754">
        <v>0.01</v>
      </c>
      <c r="K160" s="754">
        <v>0.01</v>
      </c>
      <c r="L160" s="752">
        <v>4</v>
      </c>
    </row>
    <row r="161" spans="1:12" ht="12" hidden="1" customHeight="1">
      <c r="A161" s="750">
        <v>40282</v>
      </c>
      <c r="B161" s="751" t="s">
        <v>941</v>
      </c>
      <c r="C161" s="752">
        <v>28</v>
      </c>
      <c r="D161" s="750">
        <v>40310</v>
      </c>
      <c r="E161" s="753">
        <v>5</v>
      </c>
      <c r="F161" s="753">
        <v>31.6921</v>
      </c>
      <c r="G161" s="753">
        <v>4</v>
      </c>
      <c r="H161" s="753">
        <v>0</v>
      </c>
      <c r="I161" s="754">
        <v>0.01</v>
      </c>
      <c r="J161" s="754">
        <v>0.01</v>
      </c>
      <c r="K161" s="754">
        <v>0.01</v>
      </c>
      <c r="L161" s="752">
        <v>3</v>
      </c>
    </row>
    <row r="162" spans="1:12" ht="12" hidden="1" customHeight="1">
      <c r="A162" s="750">
        <v>40289</v>
      </c>
      <c r="B162" s="751" t="s">
        <v>942</v>
      </c>
      <c r="C162" s="752">
        <v>28</v>
      </c>
      <c r="D162" s="750">
        <v>40317</v>
      </c>
      <c r="E162" s="753">
        <v>5</v>
      </c>
      <c r="F162" s="753">
        <v>24.0002</v>
      </c>
      <c r="G162" s="753">
        <v>4</v>
      </c>
      <c r="H162" s="753">
        <v>0</v>
      </c>
      <c r="I162" s="754">
        <v>0.01</v>
      </c>
      <c r="J162" s="754">
        <v>0.01</v>
      </c>
      <c r="K162" s="754">
        <v>0.01</v>
      </c>
      <c r="L162" s="752">
        <v>2</v>
      </c>
    </row>
    <row r="163" spans="1:12" ht="12" hidden="1" customHeight="1">
      <c r="A163" s="750">
        <v>40296</v>
      </c>
      <c r="B163" s="751" t="s">
        <v>943</v>
      </c>
      <c r="C163" s="752">
        <v>28</v>
      </c>
      <c r="D163" s="750">
        <v>40324</v>
      </c>
      <c r="E163" s="753">
        <v>5</v>
      </c>
      <c r="F163" s="753">
        <v>24.299800000000001</v>
      </c>
      <c r="G163" s="753">
        <v>4</v>
      </c>
      <c r="H163" s="753">
        <v>0</v>
      </c>
      <c r="I163" s="754">
        <v>0.01</v>
      </c>
      <c r="J163" s="754">
        <v>0.01</v>
      </c>
      <c r="K163" s="754">
        <v>0.01</v>
      </c>
      <c r="L163" s="752">
        <v>2</v>
      </c>
    </row>
    <row r="164" spans="1:12" ht="12" hidden="1" customHeight="1">
      <c r="A164" s="750">
        <v>40303</v>
      </c>
      <c r="B164" s="751" t="s">
        <v>944</v>
      </c>
      <c r="C164" s="752">
        <v>28</v>
      </c>
      <c r="D164" s="750">
        <v>40331</v>
      </c>
      <c r="E164" s="753">
        <v>5</v>
      </c>
      <c r="F164" s="753">
        <v>26.717500000000001</v>
      </c>
      <c r="G164" s="753">
        <v>4</v>
      </c>
      <c r="H164" s="753">
        <v>0</v>
      </c>
      <c r="I164" s="754">
        <v>0.01</v>
      </c>
      <c r="J164" s="754">
        <v>0.01</v>
      </c>
      <c r="K164" s="754">
        <v>0.01</v>
      </c>
      <c r="L164" s="752">
        <v>2</v>
      </c>
    </row>
    <row r="165" spans="1:12" ht="12" hidden="1" customHeight="1">
      <c r="A165" s="750">
        <v>40310</v>
      </c>
      <c r="B165" s="751" t="s">
        <v>945</v>
      </c>
      <c r="C165" s="752">
        <v>28</v>
      </c>
      <c r="D165" s="750">
        <v>40338</v>
      </c>
      <c r="E165" s="753">
        <v>5</v>
      </c>
      <c r="F165" s="753">
        <v>28.006599999999999</v>
      </c>
      <c r="G165" s="753">
        <v>4</v>
      </c>
      <c r="H165" s="753">
        <v>0</v>
      </c>
      <c r="I165" s="754">
        <v>0.01</v>
      </c>
      <c r="J165" s="754">
        <v>0.01</v>
      </c>
      <c r="K165" s="754">
        <v>0.01</v>
      </c>
      <c r="L165" s="752">
        <v>2</v>
      </c>
    </row>
    <row r="166" spans="1:12" ht="12" hidden="1" customHeight="1">
      <c r="A166" s="750">
        <v>40317</v>
      </c>
      <c r="B166" s="751" t="s">
        <v>946</v>
      </c>
      <c r="C166" s="752">
        <v>28</v>
      </c>
      <c r="D166" s="750">
        <v>40345</v>
      </c>
      <c r="E166" s="753">
        <v>5</v>
      </c>
      <c r="F166" s="753">
        <v>28.984400000000001</v>
      </c>
      <c r="G166" s="753">
        <v>4</v>
      </c>
      <c r="H166" s="753">
        <v>0</v>
      </c>
      <c r="I166" s="754">
        <v>0.01</v>
      </c>
      <c r="J166" s="754">
        <v>0.01</v>
      </c>
      <c r="K166" s="754">
        <v>0.01</v>
      </c>
      <c r="L166" s="752">
        <v>3</v>
      </c>
    </row>
    <row r="167" spans="1:12" ht="12" hidden="1" customHeight="1">
      <c r="A167" s="750">
        <v>40331</v>
      </c>
      <c r="B167" s="751" t="s">
        <v>947</v>
      </c>
      <c r="C167" s="752">
        <v>28</v>
      </c>
      <c r="D167" s="750">
        <v>40359</v>
      </c>
      <c r="E167" s="753">
        <v>6</v>
      </c>
      <c r="F167" s="753">
        <v>16.003299999999999</v>
      </c>
      <c r="G167" s="753">
        <v>6</v>
      </c>
      <c r="H167" s="753">
        <v>0</v>
      </c>
      <c r="I167" s="754">
        <v>0.01</v>
      </c>
      <c r="J167" s="754">
        <v>0.01</v>
      </c>
      <c r="K167" s="754">
        <v>0.01</v>
      </c>
      <c r="L167" s="752">
        <v>2</v>
      </c>
    </row>
    <row r="168" spans="1:12" ht="12" hidden="1" customHeight="1">
      <c r="A168" s="750">
        <v>40338</v>
      </c>
      <c r="B168" s="751" t="s">
        <v>948</v>
      </c>
      <c r="C168" s="752">
        <v>28</v>
      </c>
      <c r="D168" s="750">
        <v>40366</v>
      </c>
      <c r="E168" s="753">
        <v>6</v>
      </c>
      <c r="F168" s="753">
        <v>24.006</v>
      </c>
      <c r="G168" s="753">
        <v>6</v>
      </c>
      <c r="H168" s="753">
        <v>0</v>
      </c>
      <c r="I168" s="754">
        <v>0.01</v>
      </c>
      <c r="J168" s="754">
        <v>0.01</v>
      </c>
      <c r="K168" s="754">
        <v>0.01</v>
      </c>
      <c r="L168" s="752">
        <v>3</v>
      </c>
    </row>
    <row r="169" spans="1:12" ht="12" hidden="1" customHeight="1">
      <c r="A169" s="750">
        <v>40345</v>
      </c>
      <c r="B169" s="751" t="s">
        <v>949</v>
      </c>
      <c r="C169" s="752">
        <v>28</v>
      </c>
      <c r="D169" s="750">
        <v>40373</v>
      </c>
      <c r="E169" s="753">
        <v>6</v>
      </c>
      <c r="F169" s="753">
        <v>12.003</v>
      </c>
      <c r="G169" s="753">
        <v>6</v>
      </c>
      <c r="H169" s="753">
        <v>0</v>
      </c>
      <c r="I169" s="754">
        <v>0.01</v>
      </c>
      <c r="J169" s="754">
        <v>0.01</v>
      </c>
      <c r="K169" s="754">
        <v>0.01</v>
      </c>
      <c r="L169" s="752">
        <v>3</v>
      </c>
    </row>
    <row r="170" spans="1:12" ht="12" hidden="1" customHeight="1">
      <c r="A170" s="750">
        <v>40352</v>
      </c>
      <c r="B170" s="751" t="s">
        <v>950</v>
      </c>
      <c r="C170" s="752">
        <v>28</v>
      </c>
      <c r="D170" s="750">
        <v>40380</v>
      </c>
      <c r="E170" s="753">
        <v>7</v>
      </c>
      <c r="F170" s="753">
        <v>9.3459000000000003</v>
      </c>
      <c r="G170" s="753">
        <v>6</v>
      </c>
      <c r="H170" s="753">
        <v>0</v>
      </c>
      <c r="I170" s="754">
        <v>0.01</v>
      </c>
      <c r="J170" s="754">
        <v>0.01</v>
      </c>
      <c r="K170" s="754">
        <v>0.01</v>
      </c>
      <c r="L170" s="752">
        <v>2</v>
      </c>
    </row>
    <row r="171" spans="1:12" ht="12" hidden="1" customHeight="1">
      <c r="A171" s="750">
        <v>40359</v>
      </c>
      <c r="B171" s="751" t="s">
        <v>951</v>
      </c>
      <c r="C171" s="752">
        <v>28</v>
      </c>
      <c r="D171" s="750">
        <v>40387</v>
      </c>
      <c r="E171" s="753">
        <v>7</v>
      </c>
      <c r="F171" s="753">
        <v>9.1273999999999997</v>
      </c>
      <c r="G171" s="753">
        <v>6</v>
      </c>
      <c r="H171" s="753">
        <v>0</v>
      </c>
      <c r="I171" s="754">
        <v>0.01</v>
      </c>
      <c r="J171" s="754">
        <v>0.01</v>
      </c>
      <c r="K171" s="754">
        <v>0.01</v>
      </c>
      <c r="L171" s="752">
        <v>2</v>
      </c>
    </row>
    <row r="172" spans="1:12" ht="12" hidden="1" customHeight="1">
      <c r="A172" s="750">
        <v>40366</v>
      </c>
      <c r="B172" s="751" t="s">
        <v>952</v>
      </c>
      <c r="C172" s="752">
        <v>28</v>
      </c>
      <c r="D172" s="750">
        <v>40394</v>
      </c>
      <c r="E172" s="753">
        <v>6</v>
      </c>
      <c r="F172" s="753">
        <v>7.9946999999999999</v>
      </c>
      <c r="G172" s="753">
        <v>5</v>
      </c>
      <c r="H172" s="753">
        <v>0</v>
      </c>
      <c r="I172" s="754">
        <v>0.01</v>
      </c>
      <c r="J172" s="754">
        <v>0.01</v>
      </c>
      <c r="K172" s="754">
        <v>0.01</v>
      </c>
      <c r="L172" s="752">
        <v>2</v>
      </c>
    </row>
    <row r="173" spans="1:12" ht="12" hidden="1" customHeight="1">
      <c r="A173" s="750">
        <v>40373</v>
      </c>
      <c r="B173" s="751" t="s">
        <v>953</v>
      </c>
      <c r="C173" s="752">
        <v>28</v>
      </c>
      <c r="D173" s="750">
        <v>40401</v>
      </c>
      <c r="E173" s="753">
        <v>6</v>
      </c>
      <c r="F173" s="753">
        <v>10.918200000000001</v>
      </c>
      <c r="G173" s="753">
        <v>5</v>
      </c>
      <c r="H173" s="753">
        <v>-0.20930000000000001</v>
      </c>
      <c r="I173" s="754">
        <v>0.01</v>
      </c>
      <c r="J173" s="754">
        <v>0.01</v>
      </c>
      <c r="K173" s="754">
        <v>0.01</v>
      </c>
      <c r="L173" s="752">
        <v>2</v>
      </c>
    </row>
    <row r="174" spans="1:12" ht="12" hidden="1" customHeight="1">
      <c r="A174" s="750">
        <v>40380</v>
      </c>
      <c r="B174" s="751" t="s">
        <v>954</v>
      </c>
      <c r="C174" s="752">
        <v>28</v>
      </c>
      <c r="D174" s="750">
        <v>40408</v>
      </c>
      <c r="E174" s="753">
        <v>6</v>
      </c>
      <c r="F174" s="753">
        <v>0</v>
      </c>
      <c r="G174" s="753">
        <v>0</v>
      </c>
      <c r="H174" s="753">
        <v>0</v>
      </c>
      <c r="I174" s="754">
        <v>0</v>
      </c>
      <c r="J174" s="754">
        <v>0</v>
      </c>
      <c r="K174" s="754">
        <v>0</v>
      </c>
      <c r="L174" s="752">
        <v>0</v>
      </c>
    </row>
    <row r="175" spans="1:12" ht="12" hidden="1" customHeight="1">
      <c r="A175" s="750">
        <v>40387</v>
      </c>
      <c r="B175" s="751" t="s">
        <v>955</v>
      </c>
      <c r="C175" s="752">
        <v>28</v>
      </c>
      <c r="D175" s="750">
        <v>40415</v>
      </c>
      <c r="E175" s="753">
        <v>6</v>
      </c>
      <c r="F175" s="753">
        <v>2.0230999999999999</v>
      </c>
      <c r="G175" s="753">
        <v>1.9731000000000001</v>
      </c>
      <c r="H175" s="753">
        <v>0</v>
      </c>
      <c r="I175" s="754">
        <v>0.01</v>
      </c>
      <c r="J175" s="754">
        <v>0.01</v>
      </c>
      <c r="K175" s="754">
        <v>0.01</v>
      </c>
      <c r="L175" s="752">
        <v>2</v>
      </c>
    </row>
    <row r="176" spans="1:12" ht="12" hidden="1" customHeight="1">
      <c r="A176" s="750">
        <v>40394</v>
      </c>
      <c r="B176" s="751" t="s">
        <v>956</v>
      </c>
      <c r="C176" s="752">
        <v>28</v>
      </c>
      <c r="D176" s="750">
        <v>40422</v>
      </c>
      <c r="E176" s="753">
        <v>5</v>
      </c>
      <c r="F176" s="753">
        <v>13.290324999999999</v>
      </c>
      <c r="G176" s="753">
        <v>4</v>
      </c>
      <c r="H176" s="753">
        <v>0</v>
      </c>
      <c r="I176" s="754">
        <v>0.01</v>
      </c>
      <c r="J176" s="754">
        <v>0.01</v>
      </c>
      <c r="K176" s="754">
        <v>0.01</v>
      </c>
      <c r="L176" s="752">
        <v>2</v>
      </c>
    </row>
    <row r="177" spans="1:12" ht="12" hidden="1" customHeight="1">
      <c r="A177" s="750">
        <v>40401</v>
      </c>
      <c r="B177" s="751" t="s">
        <v>957</v>
      </c>
      <c r="C177" s="752">
        <v>28</v>
      </c>
      <c r="D177" s="750">
        <v>40429</v>
      </c>
      <c r="E177" s="753">
        <v>6</v>
      </c>
      <c r="F177" s="753">
        <v>15.89756036</v>
      </c>
      <c r="G177" s="753">
        <v>5</v>
      </c>
      <c r="H177" s="753">
        <v>0</v>
      </c>
      <c r="I177" s="754">
        <v>0.01</v>
      </c>
      <c r="J177" s="754">
        <v>0.01</v>
      </c>
      <c r="K177" s="754">
        <v>0.01</v>
      </c>
      <c r="L177" s="752">
        <v>2</v>
      </c>
    </row>
    <row r="178" spans="1:12" ht="12" hidden="1" customHeight="1">
      <c r="A178" s="750">
        <v>40408</v>
      </c>
      <c r="B178" s="751" t="s">
        <v>958</v>
      </c>
      <c r="C178" s="752">
        <v>28</v>
      </c>
      <c r="D178" s="750">
        <v>40436</v>
      </c>
      <c r="E178" s="753">
        <v>5</v>
      </c>
      <c r="F178" s="753">
        <v>9.4017999999999997</v>
      </c>
      <c r="G178" s="753">
        <v>4</v>
      </c>
      <c r="H178" s="753">
        <v>0</v>
      </c>
      <c r="I178" s="754">
        <v>0.01</v>
      </c>
      <c r="J178" s="754">
        <v>0.01</v>
      </c>
      <c r="K178" s="754">
        <v>0.01</v>
      </c>
      <c r="L178" s="752">
        <v>2</v>
      </c>
    </row>
    <row r="179" spans="1:12" ht="12" hidden="1" customHeight="1">
      <c r="A179" s="750">
        <v>40415</v>
      </c>
      <c r="B179" s="751" t="s">
        <v>959</v>
      </c>
      <c r="C179" s="752">
        <v>28</v>
      </c>
      <c r="D179" s="750">
        <v>40443</v>
      </c>
      <c r="E179" s="753">
        <v>5</v>
      </c>
      <c r="F179" s="753">
        <v>15.9764</v>
      </c>
      <c r="G179" s="753">
        <v>4</v>
      </c>
      <c r="H179" s="753">
        <v>0</v>
      </c>
      <c r="I179" s="754">
        <v>0.01</v>
      </c>
      <c r="J179" s="754">
        <v>0.01</v>
      </c>
      <c r="K179" s="754">
        <v>0.01</v>
      </c>
      <c r="L179" s="752">
        <v>2</v>
      </c>
    </row>
    <row r="180" spans="1:12" ht="12" hidden="1" customHeight="1">
      <c r="A180" s="750">
        <v>40422</v>
      </c>
      <c r="B180" s="751" t="s">
        <v>960</v>
      </c>
      <c r="C180" s="752">
        <v>28</v>
      </c>
      <c r="D180" s="750">
        <v>40450</v>
      </c>
      <c r="E180" s="753">
        <v>5</v>
      </c>
      <c r="F180" s="753">
        <v>12.3727</v>
      </c>
      <c r="G180" s="753">
        <v>4</v>
      </c>
      <c r="H180" s="753">
        <v>0</v>
      </c>
      <c r="I180" s="754">
        <v>0.01</v>
      </c>
      <c r="J180" s="754">
        <v>0.01</v>
      </c>
      <c r="K180" s="754">
        <v>0.01</v>
      </c>
      <c r="L180" s="752">
        <v>2</v>
      </c>
    </row>
    <row r="181" spans="1:12" ht="12" hidden="1" customHeight="1">
      <c r="A181" s="750">
        <v>40429</v>
      </c>
      <c r="B181" s="751" t="s">
        <v>961</v>
      </c>
      <c r="C181" s="752">
        <v>28</v>
      </c>
      <c r="D181" s="750">
        <v>40457</v>
      </c>
      <c r="E181" s="753">
        <v>6</v>
      </c>
      <c r="F181" s="753">
        <v>12</v>
      </c>
      <c r="G181" s="753">
        <v>5</v>
      </c>
      <c r="H181" s="753">
        <v>0</v>
      </c>
      <c r="I181" s="754">
        <v>0.01</v>
      </c>
      <c r="J181" s="754">
        <v>0.01</v>
      </c>
      <c r="K181" s="754">
        <v>0.01</v>
      </c>
      <c r="L181" s="752">
        <v>2</v>
      </c>
    </row>
    <row r="182" spans="1:12" ht="12" hidden="1" customHeight="1">
      <c r="A182" s="750">
        <v>40436</v>
      </c>
      <c r="B182" s="751" t="s">
        <v>962</v>
      </c>
      <c r="C182" s="752">
        <v>28</v>
      </c>
      <c r="D182" s="750">
        <v>40464</v>
      </c>
      <c r="E182" s="753">
        <v>6</v>
      </c>
      <c r="F182" s="753">
        <v>11.5039</v>
      </c>
      <c r="G182" s="753">
        <v>4</v>
      </c>
      <c r="H182" s="753">
        <v>0</v>
      </c>
      <c r="I182" s="754">
        <v>0.01</v>
      </c>
      <c r="J182" s="754">
        <v>0.01</v>
      </c>
      <c r="K182" s="754">
        <v>0.01</v>
      </c>
      <c r="L182" s="752">
        <v>3</v>
      </c>
    </row>
    <row r="183" spans="1:12" ht="12" hidden="1" customHeight="1">
      <c r="A183" s="750">
        <v>40443</v>
      </c>
      <c r="B183" s="751" t="s">
        <v>963</v>
      </c>
      <c r="C183" s="752">
        <v>28</v>
      </c>
      <c r="D183" s="750">
        <v>40471</v>
      </c>
      <c r="E183" s="753">
        <v>6</v>
      </c>
      <c r="F183" s="753">
        <v>13.0007</v>
      </c>
      <c r="G183" s="753">
        <v>5</v>
      </c>
      <c r="H183" s="753">
        <v>0</v>
      </c>
      <c r="I183" s="754">
        <v>0.01</v>
      </c>
      <c r="J183" s="754">
        <v>0.01</v>
      </c>
      <c r="K183" s="754">
        <v>0.01</v>
      </c>
      <c r="L183" s="752">
        <v>2</v>
      </c>
    </row>
    <row r="184" spans="1:12" ht="12" hidden="1" customHeight="1">
      <c r="A184" s="750">
        <v>40450</v>
      </c>
      <c r="B184" s="751" t="s">
        <v>964</v>
      </c>
      <c r="C184" s="752">
        <v>28</v>
      </c>
      <c r="D184" s="750">
        <v>40478</v>
      </c>
      <c r="E184" s="753">
        <v>6</v>
      </c>
      <c r="F184" s="753">
        <v>15.003299999999999</v>
      </c>
      <c r="G184" s="753">
        <v>4</v>
      </c>
      <c r="H184" s="753">
        <v>0</v>
      </c>
      <c r="I184" s="754">
        <v>0.01</v>
      </c>
      <c r="J184" s="754">
        <v>0.01</v>
      </c>
      <c r="K184" s="754">
        <v>0.01</v>
      </c>
      <c r="L184" s="752">
        <v>2</v>
      </c>
    </row>
    <row r="185" spans="1:12" ht="12" hidden="1" customHeight="1">
      <c r="A185" s="750">
        <v>40457</v>
      </c>
      <c r="B185" s="751" t="s">
        <v>965</v>
      </c>
      <c r="C185" s="752">
        <v>28</v>
      </c>
      <c r="D185" s="750">
        <v>40485</v>
      </c>
      <c r="E185" s="753">
        <v>6</v>
      </c>
      <c r="F185" s="753">
        <v>10.2502</v>
      </c>
      <c r="G185" s="753">
        <v>6</v>
      </c>
      <c r="H185" s="753">
        <v>0</v>
      </c>
      <c r="I185" s="754">
        <v>0.01</v>
      </c>
      <c r="J185" s="754">
        <v>0.01</v>
      </c>
      <c r="K185" s="754">
        <v>0.01</v>
      </c>
      <c r="L185" s="752">
        <v>2</v>
      </c>
    </row>
    <row r="186" spans="1:12" ht="12" hidden="1" customHeight="1">
      <c r="A186" s="750">
        <v>40464</v>
      </c>
      <c r="B186" s="751" t="s">
        <v>966</v>
      </c>
      <c r="C186" s="752">
        <v>28</v>
      </c>
      <c r="D186" s="750">
        <v>40492</v>
      </c>
      <c r="E186" s="753">
        <v>6</v>
      </c>
      <c r="F186" s="753">
        <v>7.7526000000000002</v>
      </c>
      <c r="G186" s="753">
        <v>5</v>
      </c>
      <c r="H186" s="753">
        <v>0</v>
      </c>
      <c r="I186" s="754">
        <v>0.01</v>
      </c>
      <c r="J186" s="754">
        <v>0.01</v>
      </c>
      <c r="K186" s="754">
        <v>0.01</v>
      </c>
      <c r="L186" s="752">
        <v>2</v>
      </c>
    </row>
    <row r="187" spans="1:12" ht="12" hidden="1" customHeight="1">
      <c r="A187" s="750">
        <v>40471</v>
      </c>
      <c r="B187" s="751" t="s">
        <v>967</v>
      </c>
      <c r="C187" s="752">
        <v>29</v>
      </c>
      <c r="D187" s="750">
        <v>40500</v>
      </c>
      <c r="E187" s="753">
        <v>7</v>
      </c>
      <c r="F187" s="753">
        <v>3.8170000000000002</v>
      </c>
      <c r="G187" s="753">
        <v>0</v>
      </c>
      <c r="H187" s="753">
        <v>0</v>
      </c>
      <c r="I187" s="754">
        <v>0</v>
      </c>
      <c r="J187" s="754">
        <v>0</v>
      </c>
      <c r="K187" s="754">
        <v>0</v>
      </c>
      <c r="L187" s="752">
        <v>1</v>
      </c>
    </row>
    <row r="188" spans="1:12" ht="12" hidden="1" customHeight="1">
      <c r="A188" s="750">
        <v>40478</v>
      </c>
      <c r="B188" s="751" t="s">
        <v>968</v>
      </c>
      <c r="C188" s="752">
        <v>28</v>
      </c>
      <c r="D188" s="750">
        <v>40506</v>
      </c>
      <c r="E188" s="753">
        <v>10</v>
      </c>
      <c r="F188" s="753">
        <v>7</v>
      </c>
      <c r="G188" s="753">
        <v>0</v>
      </c>
      <c r="H188" s="753">
        <v>0</v>
      </c>
      <c r="I188" s="754">
        <v>0</v>
      </c>
      <c r="J188" s="754">
        <v>0</v>
      </c>
      <c r="K188" s="754">
        <v>0</v>
      </c>
      <c r="L188" s="752">
        <v>1</v>
      </c>
    </row>
    <row r="189" spans="1:12" ht="12" hidden="1" customHeight="1">
      <c r="A189" s="750">
        <v>40485</v>
      </c>
      <c r="B189" s="751" t="s">
        <v>969</v>
      </c>
      <c r="C189" s="752">
        <v>28</v>
      </c>
      <c r="D189" s="750">
        <v>40513</v>
      </c>
      <c r="E189" s="753">
        <v>7</v>
      </c>
      <c r="F189" s="753">
        <v>7</v>
      </c>
      <c r="G189" s="753">
        <v>7</v>
      </c>
      <c r="H189" s="753">
        <v>0</v>
      </c>
      <c r="I189" s="754">
        <v>1.29E-2</v>
      </c>
      <c r="J189" s="754">
        <v>1.4200000000000001E-2</v>
      </c>
      <c r="K189" s="754">
        <v>1.3100000000000001E-2</v>
      </c>
      <c r="L189" s="752">
        <v>2</v>
      </c>
    </row>
    <row r="190" spans="1:12" ht="12" hidden="1" customHeight="1">
      <c r="A190" s="750">
        <v>40492</v>
      </c>
      <c r="B190" s="751" t="s">
        <v>970</v>
      </c>
      <c r="C190" s="752">
        <v>28</v>
      </c>
      <c r="D190" s="750">
        <v>40520</v>
      </c>
      <c r="E190" s="753">
        <v>7</v>
      </c>
      <c r="F190" s="753">
        <v>7.8986999999999998</v>
      </c>
      <c r="G190" s="753">
        <v>7</v>
      </c>
      <c r="H190" s="753">
        <v>0</v>
      </c>
      <c r="I190" s="754">
        <v>1.29E-2</v>
      </c>
      <c r="J190" s="754">
        <v>1.95E-2</v>
      </c>
      <c r="K190" s="754">
        <v>1.8700000000000001E-2</v>
      </c>
      <c r="L190" s="752">
        <v>2</v>
      </c>
    </row>
    <row r="191" spans="1:12" ht="12" hidden="1" customHeight="1">
      <c r="A191" s="750">
        <v>40500</v>
      </c>
      <c r="B191" s="751" t="s">
        <v>971</v>
      </c>
      <c r="C191" s="752">
        <v>27</v>
      </c>
      <c r="D191" s="750">
        <v>40527</v>
      </c>
      <c r="E191" s="753">
        <v>5</v>
      </c>
      <c r="F191" s="753">
        <v>12.6069</v>
      </c>
      <c r="G191" s="753">
        <v>2</v>
      </c>
      <c r="H191" s="753">
        <v>0</v>
      </c>
      <c r="I191" s="754">
        <v>1.29E-2</v>
      </c>
      <c r="J191" s="754">
        <v>1.29E-2</v>
      </c>
      <c r="K191" s="754">
        <v>1.29E-2</v>
      </c>
      <c r="L191" s="752">
        <v>3</v>
      </c>
    </row>
    <row r="192" spans="1:12" ht="12" hidden="1" customHeight="1">
      <c r="A192" s="750">
        <v>40506</v>
      </c>
      <c r="B192" s="751" t="s">
        <v>972</v>
      </c>
      <c r="C192" s="752">
        <v>28</v>
      </c>
      <c r="D192" s="750">
        <v>40534</v>
      </c>
      <c r="E192" s="753">
        <v>10</v>
      </c>
      <c r="F192" s="753">
        <v>17.488900000000001</v>
      </c>
      <c r="G192" s="753">
        <v>3</v>
      </c>
      <c r="H192" s="753">
        <v>0</v>
      </c>
      <c r="I192" s="754">
        <v>1.29E-2</v>
      </c>
      <c r="J192" s="754">
        <v>1.29E-2</v>
      </c>
      <c r="K192" s="754">
        <v>1.29E-2</v>
      </c>
      <c r="L192" s="752">
        <v>4</v>
      </c>
    </row>
    <row r="193" spans="1:12" ht="12" hidden="1" customHeight="1">
      <c r="A193" s="750">
        <v>40513</v>
      </c>
      <c r="B193" s="751" t="s">
        <v>1114</v>
      </c>
      <c r="C193" s="752">
        <v>28</v>
      </c>
      <c r="D193" s="750">
        <v>40541</v>
      </c>
      <c r="E193" s="753">
        <v>7</v>
      </c>
      <c r="F193" s="753">
        <v>0.99870000000000003</v>
      </c>
      <c r="G193" s="753">
        <v>0</v>
      </c>
      <c r="H193" s="753">
        <v>0</v>
      </c>
      <c r="I193" s="754">
        <v>0</v>
      </c>
      <c r="J193" s="754">
        <v>0</v>
      </c>
      <c r="K193" s="754">
        <v>0</v>
      </c>
      <c r="L193" s="752">
        <v>1</v>
      </c>
    </row>
    <row r="194" spans="1:12" ht="12" hidden="1" customHeight="1">
      <c r="A194" s="750">
        <v>40520</v>
      </c>
      <c r="B194" s="751" t="s">
        <v>1115</v>
      </c>
      <c r="C194" s="752">
        <v>28</v>
      </c>
      <c r="D194" s="750">
        <v>40548</v>
      </c>
      <c r="E194" s="753">
        <v>10</v>
      </c>
      <c r="F194" s="753">
        <v>14.9053</v>
      </c>
      <c r="G194" s="753">
        <v>10</v>
      </c>
      <c r="H194" s="753">
        <v>0</v>
      </c>
      <c r="I194" s="754">
        <v>1.2E-2</v>
      </c>
      <c r="J194" s="754">
        <v>1.9900000000000001E-2</v>
      </c>
      <c r="K194" s="754">
        <v>1.4E-2</v>
      </c>
      <c r="L194" s="752">
        <v>4</v>
      </c>
    </row>
    <row r="195" spans="1:12" ht="12" hidden="1" customHeight="1">
      <c r="A195" s="750">
        <v>40527</v>
      </c>
      <c r="B195" s="751" t="s">
        <v>1116</v>
      </c>
      <c r="C195" s="752">
        <v>28</v>
      </c>
      <c r="D195" s="750">
        <v>40555</v>
      </c>
      <c r="E195" s="753">
        <v>10</v>
      </c>
      <c r="F195" s="753">
        <v>15.111000000000001</v>
      </c>
      <c r="G195" s="753">
        <v>10</v>
      </c>
      <c r="H195" s="753">
        <v>0</v>
      </c>
      <c r="I195" s="754">
        <v>1.2200000000000001E-2</v>
      </c>
      <c r="J195" s="754">
        <v>2.0199999999999999E-2</v>
      </c>
      <c r="K195" s="754">
        <v>1.7299999999999999E-2</v>
      </c>
      <c r="L195" s="752">
        <v>5</v>
      </c>
    </row>
    <row r="196" spans="1:12" ht="12" hidden="1" customHeight="1">
      <c r="A196" s="750">
        <v>40534</v>
      </c>
      <c r="B196" s="751" t="s">
        <v>1117</v>
      </c>
      <c r="C196" s="752">
        <v>28</v>
      </c>
      <c r="D196" s="750">
        <v>40562</v>
      </c>
      <c r="E196" s="753">
        <v>10</v>
      </c>
      <c r="F196" s="753">
        <v>4.218</v>
      </c>
      <c r="G196" s="753">
        <v>4.218</v>
      </c>
      <c r="H196" s="753">
        <v>0</v>
      </c>
      <c r="I196" s="754">
        <v>1.9800000000000002E-2</v>
      </c>
      <c r="J196" s="754">
        <v>2.1999999999999999E-2</v>
      </c>
      <c r="K196" s="754">
        <v>2.1399999999999999E-2</v>
      </c>
      <c r="L196" s="752">
        <v>2</v>
      </c>
    </row>
    <row r="197" spans="1:12" ht="12" hidden="1" customHeight="1">
      <c r="A197" s="750">
        <v>40541</v>
      </c>
      <c r="B197" s="751" t="s">
        <v>1118</v>
      </c>
      <c r="C197" s="752">
        <v>28</v>
      </c>
      <c r="D197" s="750">
        <v>40569</v>
      </c>
      <c r="E197" s="753">
        <v>10</v>
      </c>
      <c r="F197" s="753">
        <v>20</v>
      </c>
      <c r="G197" s="753">
        <v>10</v>
      </c>
      <c r="H197" s="753">
        <v>0</v>
      </c>
      <c r="I197" s="754">
        <v>0.02</v>
      </c>
      <c r="J197" s="754">
        <v>2.1999999999999999E-2</v>
      </c>
      <c r="K197" s="754">
        <v>2.0799999999999999E-2</v>
      </c>
      <c r="L197" s="752">
        <v>3</v>
      </c>
    </row>
    <row r="198" spans="1:12" ht="12" hidden="1" customHeight="1">
      <c r="A198" s="750">
        <v>40548</v>
      </c>
      <c r="B198" s="751" t="s">
        <v>1119</v>
      </c>
      <c r="C198" s="752">
        <v>28</v>
      </c>
      <c r="D198" s="750">
        <v>40576</v>
      </c>
      <c r="E198" s="753">
        <v>10</v>
      </c>
      <c r="F198" s="753">
        <v>13.396699999999999</v>
      </c>
      <c r="G198" s="753">
        <v>10</v>
      </c>
      <c r="H198" s="753">
        <v>0</v>
      </c>
      <c r="I198" s="754">
        <v>2.1999999999999999E-2</v>
      </c>
      <c r="J198" s="754">
        <v>2.1999999999999999E-2</v>
      </c>
      <c r="K198" s="754">
        <v>2.1999999999999999E-2</v>
      </c>
      <c r="L198" s="752">
        <v>3</v>
      </c>
    </row>
    <row r="199" spans="1:12" ht="12" hidden="1" customHeight="1">
      <c r="A199" s="750">
        <v>40555</v>
      </c>
      <c r="B199" s="751" t="s">
        <v>1120</v>
      </c>
      <c r="C199" s="752">
        <v>28</v>
      </c>
      <c r="D199" s="750">
        <v>40583</v>
      </c>
      <c r="E199" s="753">
        <v>12</v>
      </c>
      <c r="F199" s="753">
        <v>40.637700000000002</v>
      </c>
      <c r="G199" s="753">
        <v>12</v>
      </c>
      <c r="H199" s="753">
        <v>0</v>
      </c>
      <c r="I199" s="754">
        <v>0.02</v>
      </c>
      <c r="J199" s="754">
        <v>0.02</v>
      </c>
      <c r="K199" s="754">
        <v>0.02</v>
      </c>
      <c r="L199" s="752">
        <v>6</v>
      </c>
    </row>
    <row r="200" spans="1:12" ht="12" hidden="1" customHeight="1">
      <c r="A200" s="750">
        <v>40562</v>
      </c>
      <c r="B200" s="751" t="s">
        <v>1121</v>
      </c>
      <c r="C200" s="752">
        <v>28</v>
      </c>
      <c r="D200" s="750">
        <v>40590</v>
      </c>
      <c r="E200" s="753">
        <v>15</v>
      </c>
      <c r="F200" s="753">
        <v>48.584400000000002</v>
      </c>
      <c r="G200" s="753">
        <v>12</v>
      </c>
      <c r="H200" s="753">
        <v>0</v>
      </c>
      <c r="I200" s="754">
        <v>1.7999999999999999E-2</v>
      </c>
      <c r="J200" s="754">
        <v>1.8800000000000001E-2</v>
      </c>
      <c r="K200" s="754">
        <v>1.9E-2</v>
      </c>
      <c r="L200" s="752">
        <v>9</v>
      </c>
    </row>
    <row r="201" spans="1:12" ht="12" hidden="1" customHeight="1">
      <c r="A201" s="750">
        <v>40569</v>
      </c>
      <c r="B201" s="751" t="s">
        <v>1122</v>
      </c>
      <c r="C201" s="752">
        <v>28</v>
      </c>
      <c r="D201" s="750">
        <v>40597</v>
      </c>
      <c r="E201" s="753">
        <v>20</v>
      </c>
      <c r="F201" s="753">
        <v>51.126399999999997</v>
      </c>
      <c r="G201" s="753">
        <v>15</v>
      </c>
      <c r="H201" s="753">
        <v>0</v>
      </c>
      <c r="I201" s="754">
        <v>1.61E-2</v>
      </c>
      <c r="J201" s="754">
        <v>1.6500000000000001E-2</v>
      </c>
      <c r="K201" s="754">
        <v>1.6500000000000001E-2</v>
      </c>
      <c r="L201" s="752">
        <v>6</v>
      </c>
    </row>
    <row r="202" spans="1:12" ht="12" hidden="1" customHeight="1">
      <c r="A202" s="750">
        <v>40576</v>
      </c>
      <c r="B202" s="751" t="s">
        <v>1123</v>
      </c>
      <c r="C202" s="752">
        <v>28</v>
      </c>
      <c r="D202" s="750">
        <v>40604</v>
      </c>
      <c r="E202" s="753">
        <v>30</v>
      </c>
      <c r="F202" s="753">
        <v>54.067399999999999</v>
      </c>
      <c r="G202" s="753">
        <v>20</v>
      </c>
      <c r="H202" s="753">
        <v>0</v>
      </c>
      <c r="I202" s="754">
        <v>1.35E-2</v>
      </c>
      <c r="J202" s="754">
        <v>1.5800000000000002E-2</v>
      </c>
      <c r="K202" s="754">
        <v>1.4200000000000001E-2</v>
      </c>
      <c r="L202" s="752">
        <v>6</v>
      </c>
    </row>
    <row r="203" spans="1:12" ht="12" hidden="1" customHeight="1">
      <c r="A203" s="750">
        <v>40583</v>
      </c>
      <c r="B203" s="751" t="s">
        <v>1124</v>
      </c>
      <c r="C203" s="752">
        <v>28</v>
      </c>
      <c r="D203" s="750">
        <v>40611</v>
      </c>
      <c r="E203" s="753">
        <v>30</v>
      </c>
      <c r="F203" s="753">
        <v>57.121699999999997</v>
      </c>
      <c r="G203" s="753">
        <v>20</v>
      </c>
      <c r="H203" s="753">
        <v>0</v>
      </c>
      <c r="I203" s="754">
        <v>1.29E-2</v>
      </c>
      <c r="J203" s="754">
        <v>1.4800000000000001E-2</v>
      </c>
      <c r="K203" s="754">
        <v>1.32E-2</v>
      </c>
      <c r="L203" s="752">
        <v>7</v>
      </c>
    </row>
    <row r="204" spans="1:12" ht="12" hidden="1" customHeight="1">
      <c r="A204" s="750">
        <v>40590</v>
      </c>
      <c r="B204" s="751" t="s">
        <v>1125</v>
      </c>
      <c r="C204" s="752">
        <v>28</v>
      </c>
      <c r="D204" s="750">
        <v>40618</v>
      </c>
      <c r="E204" s="753">
        <v>30</v>
      </c>
      <c r="F204" s="753">
        <v>46.122799999999998</v>
      </c>
      <c r="G204" s="753">
        <v>15</v>
      </c>
      <c r="H204" s="753">
        <v>0</v>
      </c>
      <c r="I204" s="754">
        <v>1.2500000000000001E-2</v>
      </c>
      <c r="J204" s="754">
        <v>1.26E-2</v>
      </c>
      <c r="K204" s="754">
        <v>1.2500000000000001E-2</v>
      </c>
      <c r="L204" s="752">
        <v>6</v>
      </c>
    </row>
    <row r="205" spans="1:12" ht="12" hidden="1" customHeight="1">
      <c r="A205" s="750">
        <v>40597</v>
      </c>
      <c r="B205" s="751" t="s">
        <v>1126</v>
      </c>
      <c r="C205" s="752">
        <v>28</v>
      </c>
      <c r="D205" s="750">
        <v>40625</v>
      </c>
      <c r="E205" s="753">
        <v>20</v>
      </c>
      <c r="F205" s="753">
        <v>35.390500000000003</v>
      </c>
      <c r="G205" s="753">
        <v>15</v>
      </c>
      <c r="H205" s="753">
        <v>0</v>
      </c>
      <c r="I205" s="754">
        <v>1.1599999999999999E-2</v>
      </c>
      <c r="J205" s="754">
        <v>1.1599999999999999E-2</v>
      </c>
      <c r="K205" s="754">
        <v>1.1599999999999999E-2</v>
      </c>
      <c r="L205" s="752">
        <v>7</v>
      </c>
    </row>
    <row r="206" spans="1:12" ht="12" hidden="1" customHeight="1">
      <c r="A206" s="750">
        <v>40604</v>
      </c>
      <c r="B206" s="751" t="s">
        <v>1127</v>
      </c>
      <c r="C206" s="752">
        <v>28</v>
      </c>
      <c r="D206" s="750">
        <v>40632</v>
      </c>
      <c r="E206" s="753">
        <v>30</v>
      </c>
      <c r="F206" s="753">
        <v>36.023699999999998</v>
      </c>
      <c r="G206" s="753">
        <v>20</v>
      </c>
      <c r="H206" s="753">
        <v>0</v>
      </c>
      <c r="I206" s="754">
        <v>0.01</v>
      </c>
      <c r="J206" s="754">
        <v>1.26E-2</v>
      </c>
      <c r="K206" s="754">
        <v>1.14E-2</v>
      </c>
      <c r="L206" s="752">
        <v>6</v>
      </c>
    </row>
    <row r="207" spans="1:12" ht="12" hidden="1" customHeight="1">
      <c r="A207" s="750">
        <v>40611</v>
      </c>
      <c r="B207" s="751" t="s">
        <v>1128</v>
      </c>
      <c r="C207" s="752">
        <v>28</v>
      </c>
      <c r="D207" s="750">
        <v>40639</v>
      </c>
      <c r="E207" s="753">
        <v>30</v>
      </c>
      <c r="F207" s="753">
        <v>40.1995</v>
      </c>
      <c r="G207" s="753">
        <v>20</v>
      </c>
      <c r="H207" s="753">
        <v>0</v>
      </c>
      <c r="I207" s="754">
        <v>0.01</v>
      </c>
      <c r="J207" s="754">
        <v>1.06E-2</v>
      </c>
      <c r="K207" s="754">
        <v>1.04E-2</v>
      </c>
      <c r="L207" s="752">
        <v>7</v>
      </c>
    </row>
    <row r="208" spans="1:12" ht="12" hidden="1" customHeight="1">
      <c r="A208" s="750">
        <v>40618</v>
      </c>
      <c r="B208" s="751" t="s">
        <v>1129</v>
      </c>
      <c r="C208" s="752">
        <v>28</v>
      </c>
      <c r="D208" s="750">
        <v>40646</v>
      </c>
      <c r="E208" s="753">
        <v>30</v>
      </c>
      <c r="F208" s="753">
        <v>31.979299999999999</v>
      </c>
      <c r="G208" s="753">
        <v>15</v>
      </c>
      <c r="H208" s="753">
        <v>0</v>
      </c>
      <c r="I208" s="754">
        <v>0.01</v>
      </c>
      <c r="J208" s="754">
        <v>1.01E-2</v>
      </c>
      <c r="K208" s="754">
        <v>0.01</v>
      </c>
      <c r="L208" s="752">
        <v>6</v>
      </c>
    </row>
    <row r="209" spans="1:12" ht="12" hidden="1" customHeight="1">
      <c r="A209" s="750">
        <v>40632</v>
      </c>
      <c r="B209" s="751" t="s">
        <v>1130</v>
      </c>
      <c r="C209" s="752">
        <v>28</v>
      </c>
      <c r="D209" s="750">
        <v>40660</v>
      </c>
      <c r="E209" s="753">
        <v>50</v>
      </c>
      <c r="F209" s="753">
        <v>61.913699999999999</v>
      </c>
      <c r="G209" s="753">
        <v>35</v>
      </c>
      <c r="H209" s="753">
        <v>0</v>
      </c>
      <c r="I209" s="754">
        <v>0.01</v>
      </c>
      <c r="J209" s="754">
        <v>1.3100000000000001E-2</v>
      </c>
      <c r="K209" s="754">
        <v>1.21E-2</v>
      </c>
      <c r="L209" s="752">
        <v>5</v>
      </c>
    </row>
    <row r="210" spans="1:12" ht="12" hidden="1" customHeight="1">
      <c r="A210" s="750">
        <v>40639</v>
      </c>
      <c r="B210" s="751" t="s">
        <v>1131</v>
      </c>
      <c r="C210" s="752">
        <v>28</v>
      </c>
      <c r="D210" s="750">
        <v>40667</v>
      </c>
      <c r="E210" s="753">
        <v>30</v>
      </c>
      <c r="F210" s="753">
        <v>52.511899999999997</v>
      </c>
      <c r="G210" s="753">
        <v>20</v>
      </c>
      <c r="H210" s="753">
        <v>0</v>
      </c>
      <c r="I210" s="754">
        <v>0.01</v>
      </c>
      <c r="J210" s="754">
        <v>1.03E-2</v>
      </c>
      <c r="K210" s="754">
        <v>0.01</v>
      </c>
      <c r="L210" s="752">
        <v>7</v>
      </c>
    </row>
    <row r="211" spans="1:12" ht="12" hidden="1" customHeight="1">
      <c r="A211" s="750">
        <v>40646</v>
      </c>
      <c r="B211" s="751" t="s">
        <v>1132</v>
      </c>
      <c r="C211" s="752">
        <v>28</v>
      </c>
      <c r="D211" s="750">
        <v>40674</v>
      </c>
      <c r="E211" s="753">
        <v>30</v>
      </c>
      <c r="F211" s="753">
        <v>49.2164</v>
      </c>
      <c r="G211" s="753">
        <v>20</v>
      </c>
      <c r="H211" s="753">
        <v>0</v>
      </c>
      <c r="I211" s="754">
        <v>0.01</v>
      </c>
      <c r="J211" s="754">
        <v>0.01</v>
      </c>
      <c r="K211" s="754">
        <v>0.01</v>
      </c>
      <c r="L211" s="752">
        <v>6</v>
      </c>
    </row>
    <row r="212" spans="1:12" ht="12" hidden="1" customHeight="1">
      <c r="A212" s="750">
        <v>40653</v>
      </c>
      <c r="B212" s="751" t="s">
        <v>1133</v>
      </c>
      <c r="C212" s="752">
        <v>28</v>
      </c>
      <c r="D212" s="750">
        <v>40681</v>
      </c>
      <c r="E212" s="753">
        <v>30</v>
      </c>
      <c r="F212" s="753">
        <v>33.004399999999997</v>
      </c>
      <c r="G212" s="753">
        <v>20</v>
      </c>
      <c r="H212" s="753">
        <v>0</v>
      </c>
      <c r="I212" s="754">
        <v>0.01</v>
      </c>
      <c r="J212" s="754">
        <v>1.66E-2</v>
      </c>
      <c r="K212" s="754">
        <v>1.29E-2</v>
      </c>
      <c r="L212" s="752">
        <v>6</v>
      </c>
    </row>
    <row r="213" spans="1:12" ht="12" hidden="1" customHeight="1">
      <c r="A213" s="750">
        <v>40660</v>
      </c>
      <c r="B213" s="751" t="s">
        <v>1134</v>
      </c>
      <c r="C213" s="752">
        <v>28</v>
      </c>
      <c r="D213" s="750">
        <v>40688</v>
      </c>
      <c r="E213" s="753">
        <v>50</v>
      </c>
      <c r="F213" s="753">
        <v>71.380799999999994</v>
      </c>
      <c r="G213" s="753">
        <v>35</v>
      </c>
      <c r="H213" s="753">
        <v>0</v>
      </c>
      <c r="I213" s="754">
        <v>0.01</v>
      </c>
      <c r="J213" s="754">
        <v>0.02</v>
      </c>
      <c r="K213" s="754">
        <v>1.5100000000000001E-2</v>
      </c>
      <c r="L213" s="752">
        <v>5</v>
      </c>
    </row>
    <row r="214" spans="1:12" ht="12" hidden="1" customHeight="1">
      <c r="A214" s="750">
        <v>40667</v>
      </c>
      <c r="B214" s="751" t="s">
        <v>2648</v>
      </c>
      <c r="C214" s="752">
        <v>28</v>
      </c>
      <c r="D214" s="750">
        <v>40695</v>
      </c>
      <c r="E214" s="753">
        <v>35</v>
      </c>
      <c r="F214" s="753">
        <v>27.723600000000001</v>
      </c>
      <c r="G214" s="753">
        <v>25</v>
      </c>
      <c r="H214" s="753">
        <v>0</v>
      </c>
      <c r="I214" s="754">
        <v>1.29E-2</v>
      </c>
      <c r="J214" s="754">
        <v>2.1999999999999999E-2</v>
      </c>
      <c r="K214" s="754">
        <v>1.8100000000000002E-2</v>
      </c>
      <c r="L214" s="752">
        <v>5</v>
      </c>
    </row>
    <row r="215" spans="1:12" ht="12" hidden="1" customHeight="1">
      <c r="A215" s="750">
        <v>40674</v>
      </c>
      <c r="B215" s="751" t="s">
        <v>2647</v>
      </c>
      <c r="C215" s="752">
        <v>28</v>
      </c>
      <c r="D215" s="750">
        <v>40702</v>
      </c>
      <c r="E215" s="753">
        <v>30</v>
      </c>
      <c r="F215" s="753">
        <v>17.803999999999998</v>
      </c>
      <c r="G215" s="753">
        <v>17.803999999999998</v>
      </c>
      <c r="H215" s="753">
        <v>0</v>
      </c>
      <c r="I215" s="754">
        <v>1.4800000000000001E-2</v>
      </c>
      <c r="J215" s="754">
        <v>2.5000000000000001E-2</v>
      </c>
      <c r="K215" s="754">
        <v>2.0400000000000001E-2</v>
      </c>
      <c r="L215" s="752">
        <v>6</v>
      </c>
    </row>
    <row r="216" spans="1:12" ht="12" hidden="1" customHeight="1">
      <c r="A216" s="750">
        <v>40681</v>
      </c>
      <c r="B216" s="751" t="s">
        <v>2646</v>
      </c>
      <c r="C216" s="752">
        <v>29</v>
      </c>
      <c r="D216" s="750">
        <v>40710</v>
      </c>
      <c r="E216" s="753">
        <v>30</v>
      </c>
      <c r="F216" s="753">
        <v>31.025300000000001</v>
      </c>
      <c r="G216" s="753">
        <v>15</v>
      </c>
      <c r="H216" s="753">
        <v>0</v>
      </c>
      <c r="I216" s="754">
        <v>1.9300000000000001E-2</v>
      </c>
      <c r="J216" s="754">
        <v>2.3E-2</v>
      </c>
      <c r="K216" s="754">
        <v>2.0799999999999999E-2</v>
      </c>
      <c r="L216" s="752">
        <v>6</v>
      </c>
    </row>
    <row r="217" spans="1:12" ht="12" hidden="1" customHeight="1">
      <c r="A217" s="750">
        <v>40695</v>
      </c>
      <c r="B217" s="751" t="s">
        <v>2645</v>
      </c>
      <c r="C217" s="752">
        <v>28</v>
      </c>
      <c r="D217" s="750">
        <v>40723</v>
      </c>
      <c r="E217" s="753">
        <v>35</v>
      </c>
      <c r="F217" s="753">
        <v>42.0441</v>
      </c>
      <c r="G217" s="753">
        <v>20</v>
      </c>
      <c r="H217" s="753">
        <v>0</v>
      </c>
      <c r="I217" s="754">
        <v>1.4999999999999999E-2</v>
      </c>
      <c r="J217" s="754">
        <v>2.1999999999999999E-2</v>
      </c>
      <c r="K217" s="754">
        <v>1.9E-2</v>
      </c>
      <c r="L217" s="752">
        <v>5</v>
      </c>
    </row>
    <row r="218" spans="1:12" ht="12" hidden="1" customHeight="1">
      <c r="A218" s="750">
        <v>40702</v>
      </c>
      <c r="B218" s="751" t="s">
        <v>2644</v>
      </c>
      <c r="C218" s="752">
        <v>28</v>
      </c>
      <c r="D218" s="750">
        <v>40730</v>
      </c>
      <c r="E218" s="753">
        <v>30</v>
      </c>
      <c r="F218" s="753">
        <v>24.659099999999999</v>
      </c>
      <c r="G218" s="753">
        <v>20</v>
      </c>
      <c r="H218" s="753">
        <v>0</v>
      </c>
      <c r="I218" s="754">
        <v>1.54E-2</v>
      </c>
      <c r="J218" s="754">
        <v>2.1000000000000001E-2</v>
      </c>
      <c r="K218" s="754">
        <v>1.8499999999999999E-2</v>
      </c>
      <c r="L218" s="752">
        <v>6</v>
      </c>
    </row>
    <row r="219" spans="1:12" ht="12" hidden="1" customHeight="1">
      <c r="A219" s="750">
        <v>40710</v>
      </c>
      <c r="B219" s="751" t="s">
        <v>2643</v>
      </c>
      <c r="C219" s="752">
        <v>27</v>
      </c>
      <c r="D219" s="750">
        <v>40737</v>
      </c>
      <c r="E219" s="753">
        <v>30</v>
      </c>
      <c r="F219" s="753">
        <v>13.748799999999999</v>
      </c>
      <c r="G219" s="753">
        <v>11.748800000000001</v>
      </c>
      <c r="H219" s="753">
        <v>0</v>
      </c>
      <c r="I219" s="754">
        <v>1.6E-2</v>
      </c>
      <c r="J219" s="754">
        <v>2.5000000000000001E-2</v>
      </c>
      <c r="K219" s="754">
        <v>1.9599999999999999E-2</v>
      </c>
      <c r="L219" s="752">
        <v>5</v>
      </c>
    </row>
    <row r="220" spans="1:12" ht="12" hidden="1" customHeight="1">
      <c r="A220" s="750">
        <v>40716</v>
      </c>
      <c r="B220" s="751" t="s">
        <v>2642</v>
      </c>
      <c r="C220" s="752">
        <v>28</v>
      </c>
      <c r="D220" s="750">
        <v>40744</v>
      </c>
      <c r="E220" s="753">
        <v>50</v>
      </c>
      <c r="F220" s="753">
        <v>19.507100000000001</v>
      </c>
      <c r="G220" s="753">
        <v>19.507100000000001</v>
      </c>
      <c r="H220" s="753">
        <v>0</v>
      </c>
      <c r="I220" s="754">
        <v>0.02</v>
      </c>
      <c r="J220" s="754">
        <v>3.5000000000000003E-2</v>
      </c>
      <c r="K220" s="754">
        <v>2.5600000000000001E-2</v>
      </c>
      <c r="L220" s="752">
        <v>5</v>
      </c>
    </row>
    <row r="221" spans="1:12" ht="12" hidden="1" customHeight="1">
      <c r="A221" s="750">
        <v>40723</v>
      </c>
      <c r="B221" s="751" t="s">
        <v>2641</v>
      </c>
      <c r="C221" s="752">
        <v>28</v>
      </c>
      <c r="D221" s="750">
        <v>40751</v>
      </c>
      <c r="E221" s="753">
        <v>35</v>
      </c>
      <c r="F221" s="753">
        <v>39.027500000000003</v>
      </c>
      <c r="G221" s="753">
        <v>15</v>
      </c>
      <c r="H221" s="753">
        <v>0</v>
      </c>
      <c r="I221" s="754">
        <v>2.5000000000000001E-2</v>
      </c>
      <c r="J221" s="754">
        <v>2.5000000000000001E-2</v>
      </c>
      <c r="K221" s="754">
        <v>2.5000000000000001E-2</v>
      </c>
      <c r="L221" s="752">
        <v>6</v>
      </c>
    </row>
    <row r="222" spans="1:12" ht="12" hidden="1" customHeight="1">
      <c r="A222" s="750">
        <v>40730</v>
      </c>
      <c r="B222" s="751" t="s">
        <v>1245</v>
      </c>
      <c r="C222" s="752">
        <v>28</v>
      </c>
      <c r="D222" s="750">
        <v>40758</v>
      </c>
      <c r="E222" s="753">
        <v>30</v>
      </c>
      <c r="F222" s="753">
        <v>11.1031</v>
      </c>
      <c r="G222" s="753">
        <v>9.0977999999999994</v>
      </c>
      <c r="H222" s="753">
        <v>0</v>
      </c>
      <c r="I222" s="754">
        <v>0.02</v>
      </c>
      <c r="J222" s="754">
        <v>2.8299999999999999E-2</v>
      </c>
      <c r="K222" s="754">
        <v>2.2100000000000002E-2</v>
      </c>
      <c r="L222" s="752">
        <v>4</v>
      </c>
    </row>
    <row r="223" spans="1:12" ht="12" hidden="1" customHeight="1">
      <c r="A223" s="750">
        <v>40737</v>
      </c>
      <c r="B223" s="751" t="s">
        <v>1246</v>
      </c>
      <c r="C223" s="752">
        <v>28</v>
      </c>
      <c r="D223" s="750">
        <v>40765</v>
      </c>
      <c r="E223" s="753">
        <v>20</v>
      </c>
      <c r="F223" s="753">
        <v>7.1147999999999998</v>
      </c>
      <c r="G223" s="753">
        <v>5.1081000000000003</v>
      </c>
      <c r="H223" s="753">
        <v>0</v>
      </c>
      <c r="I223" s="754">
        <v>2.3E-2</v>
      </c>
      <c r="J223" s="754">
        <v>3.1600000000000003E-2</v>
      </c>
      <c r="K223" s="754">
        <v>2.7300000000000001E-2</v>
      </c>
      <c r="L223" s="752">
        <v>3</v>
      </c>
    </row>
    <row r="224" spans="1:12" ht="12" hidden="1" customHeight="1">
      <c r="A224" s="750">
        <v>40744</v>
      </c>
      <c r="B224" s="751" t="s">
        <v>1247</v>
      </c>
      <c r="C224" s="752">
        <v>28</v>
      </c>
      <c r="D224" s="750">
        <v>40772</v>
      </c>
      <c r="E224" s="753">
        <v>20</v>
      </c>
      <c r="F224" s="753">
        <v>5.5124000000000004</v>
      </c>
      <c r="G224" s="753">
        <v>0.502</v>
      </c>
      <c r="H224" s="753">
        <v>0</v>
      </c>
      <c r="I224" s="754">
        <v>2.98E-2</v>
      </c>
      <c r="J224" s="754">
        <v>2.98E-2</v>
      </c>
      <c r="K224" s="754">
        <v>2.98E-2</v>
      </c>
      <c r="L224" s="752">
        <v>2</v>
      </c>
    </row>
    <row r="225" spans="1:12" ht="12" hidden="1" customHeight="1">
      <c r="A225" s="750">
        <v>40751</v>
      </c>
      <c r="B225" s="751" t="s">
        <v>1248</v>
      </c>
      <c r="C225" s="752">
        <v>28</v>
      </c>
      <c r="D225" s="750">
        <v>40779</v>
      </c>
      <c r="E225" s="753">
        <v>15</v>
      </c>
      <c r="F225" s="753">
        <v>21.163</v>
      </c>
      <c r="G225" s="753">
        <v>5</v>
      </c>
      <c r="H225" s="753">
        <v>0</v>
      </c>
      <c r="I225" s="754">
        <v>2.4E-2</v>
      </c>
      <c r="J225" s="754">
        <v>0.03</v>
      </c>
      <c r="K225" s="754">
        <v>2.8199999999999999E-2</v>
      </c>
      <c r="L225" s="752">
        <v>4</v>
      </c>
    </row>
    <row r="226" spans="1:12" ht="12" hidden="1" customHeight="1">
      <c r="A226" s="750">
        <v>40758</v>
      </c>
      <c r="B226" s="751" t="s">
        <v>1252</v>
      </c>
      <c r="C226" s="752">
        <v>28</v>
      </c>
      <c r="D226" s="750">
        <v>40786</v>
      </c>
      <c r="E226" s="753">
        <v>15</v>
      </c>
      <c r="F226" s="753">
        <v>19.427199999999999</v>
      </c>
      <c r="G226" s="753">
        <v>10</v>
      </c>
      <c r="H226" s="753">
        <v>0</v>
      </c>
      <c r="I226" s="754">
        <v>2.5000000000000001E-2</v>
      </c>
      <c r="J226" s="754">
        <v>0.03</v>
      </c>
      <c r="K226" s="754">
        <v>2.8500000000000001E-2</v>
      </c>
      <c r="L226" s="752">
        <v>5</v>
      </c>
    </row>
    <row r="227" spans="1:12" ht="12" hidden="1" customHeight="1">
      <c r="A227" s="750">
        <v>40765</v>
      </c>
      <c r="B227" s="751" t="s">
        <v>1253</v>
      </c>
      <c r="C227" s="752">
        <v>28</v>
      </c>
      <c r="D227" s="750">
        <v>40793</v>
      </c>
      <c r="E227" s="753">
        <v>15</v>
      </c>
      <c r="F227" s="753">
        <v>21.0303</v>
      </c>
      <c r="G227" s="753">
        <v>5</v>
      </c>
      <c r="H227" s="753">
        <v>0</v>
      </c>
      <c r="I227" s="754">
        <v>2.5000000000000001E-2</v>
      </c>
      <c r="J227" s="754">
        <v>2.9000000000000001E-2</v>
      </c>
      <c r="K227" s="754">
        <v>2.7E-2</v>
      </c>
      <c r="L227" s="752">
        <v>5</v>
      </c>
    </row>
    <row r="228" spans="1:12" ht="12" hidden="1" customHeight="1">
      <c r="A228" s="750">
        <v>40772</v>
      </c>
      <c r="B228" s="751" t="s">
        <v>1254</v>
      </c>
      <c r="C228" s="752">
        <v>28</v>
      </c>
      <c r="D228" s="750">
        <v>40800</v>
      </c>
      <c r="E228" s="753">
        <v>10</v>
      </c>
      <c r="F228" s="753">
        <v>16.514299999999999</v>
      </c>
      <c r="G228" s="753">
        <v>5</v>
      </c>
      <c r="H228" s="753">
        <v>0</v>
      </c>
      <c r="I228" s="754">
        <v>2.3199999999999998E-2</v>
      </c>
      <c r="J228" s="754">
        <v>2.4799999999999999E-2</v>
      </c>
      <c r="K228" s="754">
        <v>2.35E-2</v>
      </c>
      <c r="L228" s="752">
        <v>5</v>
      </c>
    </row>
    <row r="229" spans="1:12" ht="12" hidden="1" customHeight="1">
      <c r="A229" s="750">
        <v>40779</v>
      </c>
      <c r="B229" s="751" t="s">
        <v>1255</v>
      </c>
      <c r="C229" s="752">
        <v>28</v>
      </c>
      <c r="D229" s="750">
        <v>40807</v>
      </c>
      <c r="E229" s="753">
        <v>15</v>
      </c>
      <c r="F229" s="753">
        <v>9</v>
      </c>
      <c r="G229" s="753">
        <v>5</v>
      </c>
      <c r="H229" s="753">
        <v>0</v>
      </c>
      <c r="I229" s="754">
        <v>2.06E-2</v>
      </c>
      <c r="J229" s="754">
        <v>2.4E-2</v>
      </c>
      <c r="K229" s="754">
        <v>2.1299999999999999E-2</v>
      </c>
      <c r="L229" s="752">
        <v>2</v>
      </c>
    </row>
    <row r="230" spans="1:12" ht="12" hidden="1" customHeight="1">
      <c r="A230" s="750">
        <v>40787</v>
      </c>
      <c r="B230" s="751" t="s">
        <v>1260</v>
      </c>
      <c r="C230" s="752">
        <v>27</v>
      </c>
      <c r="D230" s="750">
        <v>40814</v>
      </c>
      <c r="E230" s="753">
        <v>15</v>
      </c>
      <c r="F230" s="753">
        <v>6.9165999999999999</v>
      </c>
      <c r="G230" s="753">
        <v>2.9066999999999998</v>
      </c>
      <c r="H230" s="753">
        <v>0</v>
      </c>
      <c r="I230" s="754">
        <v>0.02</v>
      </c>
      <c r="J230" s="754">
        <v>2.3E-2</v>
      </c>
      <c r="K230" s="754">
        <v>2.2100000000000002E-2</v>
      </c>
      <c r="L230" s="752">
        <v>2</v>
      </c>
    </row>
    <row r="231" spans="1:12" ht="12" hidden="1" customHeight="1">
      <c r="A231" s="750">
        <v>40793</v>
      </c>
      <c r="B231" s="751" t="s">
        <v>1261</v>
      </c>
      <c r="C231" s="752">
        <v>28</v>
      </c>
      <c r="D231" s="750">
        <v>40821</v>
      </c>
      <c r="E231" s="753">
        <v>15</v>
      </c>
      <c r="F231" s="753">
        <v>2.5072999999999999</v>
      </c>
      <c r="G231" s="753">
        <v>1.5055000000000001</v>
      </c>
      <c r="H231" s="753">
        <v>0</v>
      </c>
      <c r="I231" s="754">
        <v>2.1499999999999998E-2</v>
      </c>
      <c r="J231" s="754">
        <v>2.4E-2</v>
      </c>
      <c r="K231" s="754">
        <v>2.23E-2</v>
      </c>
      <c r="L231" s="752">
        <v>3</v>
      </c>
    </row>
    <row r="232" spans="1:12" ht="12" hidden="1" customHeight="1">
      <c r="A232" s="750">
        <v>40800</v>
      </c>
      <c r="B232" s="751" t="s">
        <v>1262</v>
      </c>
      <c r="C232" s="752">
        <v>28</v>
      </c>
      <c r="D232" s="750">
        <v>40828</v>
      </c>
      <c r="E232" s="753">
        <v>15</v>
      </c>
      <c r="F232" s="753">
        <v>3.0032999999999999</v>
      </c>
      <c r="G232" s="753">
        <v>3.0032999999999999</v>
      </c>
      <c r="H232" s="753">
        <v>0</v>
      </c>
      <c r="I232" s="754">
        <v>2.4E-2</v>
      </c>
      <c r="J232" s="754">
        <v>2.9000000000000001E-2</v>
      </c>
      <c r="K232" s="754">
        <v>2.6700000000000002E-2</v>
      </c>
      <c r="L232" s="752">
        <v>2</v>
      </c>
    </row>
    <row r="233" spans="1:12" ht="12" hidden="1" customHeight="1">
      <c r="A233" s="750">
        <v>40807</v>
      </c>
      <c r="B233" s="751" t="s">
        <v>1263</v>
      </c>
      <c r="C233" s="752">
        <v>28</v>
      </c>
      <c r="D233" s="750">
        <v>40835</v>
      </c>
      <c r="E233" s="753">
        <v>15</v>
      </c>
      <c r="F233" s="753">
        <v>4.5026000000000002</v>
      </c>
      <c r="G233" s="753">
        <v>4.5026000000000002</v>
      </c>
      <c r="H233" s="753">
        <v>0</v>
      </c>
      <c r="I233" s="754">
        <v>2.58E-2</v>
      </c>
      <c r="J233" s="754">
        <v>2.9499999999999998E-2</v>
      </c>
      <c r="K233" s="754">
        <v>2.7E-2</v>
      </c>
      <c r="L233" s="752">
        <v>2</v>
      </c>
    </row>
    <row r="234" spans="1:12" ht="12" hidden="1" customHeight="1">
      <c r="A234" s="750">
        <v>40814</v>
      </c>
      <c r="B234" s="751" t="s">
        <v>1264</v>
      </c>
      <c r="C234" s="752">
        <v>28</v>
      </c>
      <c r="D234" s="750">
        <v>40842</v>
      </c>
      <c r="E234" s="753">
        <v>15</v>
      </c>
      <c r="F234" s="753">
        <v>5.1094999999999997</v>
      </c>
      <c r="G234" s="753">
        <v>5</v>
      </c>
      <c r="H234" s="753">
        <v>0</v>
      </c>
      <c r="I234" s="754">
        <v>2.58E-2</v>
      </c>
      <c r="J234" s="754">
        <v>2.9399999999999999E-2</v>
      </c>
      <c r="K234" s="754">
        <v>2.7199999999999998E-2</v>
      </c>
      <c r="L234" s="752">
        <v>3</v>
      </c>
    </row>
    <row r="235" spans="1:12" ht="12" hidden="1" customHeight="1">
      <c r="A235" s="750">
        <v>40821</v>
      </c>
      <c r="B235" s="751" t="s">
        <v>1269</v>
      </c>
      <c r="C235" s="752">
        <v>28</v>
      </c>
      <c r="D235" s="750">
        <v>40849</v>
      </c>
      <c r="E235" s="753">
        <v>20</v>
      </c>
      <c r="F235" s="753">
        <v>2.5034999999999998</v>
      </c>
      <c r="G235" s="753">
        <v>2.5034999999999998</v>
      </c>
      <c r="H235" s="753">
        <v>0</v>
      </c>
      <c r="I235" s="754">
        <v>2.7E-2</v>
      </c>
      <c r="J235" s="754">
        <v>2.9399999999999999E-2</v>
      </c>
      <c r="K235" s="754">
        <v>2.87E-2</v>
      </c>
      <c r="L235" s="752">
        <v>2</v>
      </c>
    </row>
    <row r="236" spans="1:12" ht="12" hidden="1" customHeight="1">
      <c r="A236" s="750">
        <v>40828</v>
      </c>
      <c r="B236" s="751" t="s">
        <v>1270</v>
      </c>
      <c r="C236" s="752">
        <v>29</v>
      </c>
      <c r="D236" s="750">
        <v>40857</v>
      </c>
      <c r="E236" s="753">
        <v>15</v>
      </c>
      <c r="F236" s="753">
        <v>4.5091000000000001</v>
      </c>
      <c r="G236" s="753">
        <v>4.5091000000000001</v>
      </c>
      <c r="H236" s="753">
        <v>0</v>
      </c>
      <c r="I236" s="754">
        <v>2.7400000000000001E-2</v>
      </c>
      <c r="J236" s="754">
        <v>2.8400000000000002E-2</v>
      </c>
      <c r="K236" s="754">
        <v>2.8000000000000001E-2</v>
      </c>
      <c r="L236" s="752">
        <v>3</v>
      </c>
    </row>
    <row r="237" spans="1:12" ht="12" hidden="1" customHeight="1">
      <c r="A237" s="750">
        <v>40835</v>
      </c>
      <c r="B237" s="751" t="s">
        <v>1271</v>
      </c>
      <c r="C237" s="752">
        <v>28</v>
      </c>
      <c r="D237" s="750">
        <v>40863</v>
      </c>
      <c r="E237" s="753">
        <v>20</v>
      </c>
      <c r="F237" s="753">
        <v>5.5045999999999999</v>
      </c>
      <c r="G237" s="753">
        <v>5.5045999999999999</v>
      </c>
      <c r="H237" s="753">
        <v>0</v>
      </c>
      <c r="I237" s="754">
        <v>2.8299999999999999E-2</v>
      </c>
      <c r="J237" s="754">
        <v>2.9399999999999999E-2</v>
      </c>
      <c r="K237" s="754">
        <v>2.87E-2</v>
      </c>
      <c r="L237" s="752">
        <v>2</v>
      </c>
    </row>
    <row r="238" spans="1:12" ht="12" hidden="1" customHeight="1">
      <c r="A238" s="750">
        <v>40842</v>
      </c>
      <c r="B238" s="751" t="s">
        <v>1272</v>
      </c>
      <c r="C238" s="752">
        <v>28</v>
      </c>
      <c r="D238" s="750">
        <v>40870</v>
      </c>
      <c r="E238" s="753">
        <v>20</v>
      </c>
      <c r="F238" s="753">
        <v>4.0050999999999997</v>
      </c>
      <c r="G238" s="753">
        <v>4.0050999999999997</v>
      </c>
      <c r="H238" s="753">
        <v>0</v>
      </c>
      <c r="I238" s="754">
        <v>2.8299999999999999E-2</v>
      </c>
      <c r="J238" s="754" t="s">
        <v>2640</v>
      </c>
      <c r="K238" s="754">
        <v>2.8799999999999999E-2</v>
      </c>
      <c r="L238" s="752">
        <v>3</v>
      </c>
    </row>
    <row r="239" spans="1:12" ht="12" hidden="1" customHeight="1">
      <c r="A239" s="750">
        <v>40849</v>
      </c>
      <c r="B239" s="751" t="s">
        <v>1288</v>
      </c>
      <c r="C239" s="752">
        <v>28</v>
      </c>
      <c r="D239" s="750">
        <v>40877</v>
      </c>
      <c r="E239" s="753">
        <v>25</v>
      </c>
      <c r="F239" s="753">
        <v>1.8021</v>
      </c>
      <c r="G239" s="753">
        <v>1.8021</v>
      </c>
      <c r="H239" s="753">
        <v>0</v>
      </c>
      <c r="I239" s="754">
        <v>2.9000000000000001E-2</v>
      </c>
      <c r="J239" s="754">
        <v>0.03</v>
      </c>
      <c r="K239" s="754">
        <v>2.9499999999999998E-2</v>
      </c>
      <c r="L239" s="752">
        <v>2</v>
      </c>
    </row>
    <row r="240" spans="1:12" ht="12" hidden="1" customHeight="1">
      <c r="A240" s="750">
        <v>40857</v>
      </c>
      <c r="B240" s="751" t="s">
        <v>1289</v>
      </c>
      <c r="C240" s="752">
        <v>27</v>
      </c>
      <c r="D240" s="750">
        <v>40884</v>
      </c>
      <c r="E240" s="753">
        <v>20</v>
      </c>
      <c r="F240" s="753">
        <v>3.5104000000000002</v>
      </c>
      <c r="G240" s="753">
        <v>3.5104000000000002</v>
      </c>
      <c r="H240" s="753">
        <v>0</v>
      </c>
      <c r="I240" s="754">
        <v>3.0599999999999999E-2</v>
      </c>
      <c r="J240" s="754">
        <v>3.1099999999999999E-2</v>
      </c>
      <c r="K240" s="754">
        <v>3.09E-2</v>
      </c>
      <c r="L240" s="752">
        <v>2</v>
      </c>
    </row>
    <row r="241" spans="1:12" ht="12" hidden="1" customHeight="1">
      <c r="A241" s="750">
        <v>40863</v>
      </c>
      <c r="B241" s="751" t="s">
        <v>1290</v>
      </c>
      <c r="C241" s="752">
        <v>28</v>
      </c>
      <c r="D241" s="750">
        <v>40891</v>
      </c>
      <c r="E241" s="753">
        <v>25</v>
      </c>
      <c r="F241" s="753">
        <v>8.7095000000000002</v>
      </c>
      <c r="G241" s="753">
        <v>8.7095000000000002</v>
      </c>
      <c r="H241" s="753">
        <v>0</v>
      </c>
      <c r="I241" s="754">
        <v>2.9100000000000001E-2</v>
      </c>
      <c r="J241" s="754">
        <v>3.1300000000000001E-2</v>
      </c>
      <c r="K241" s="754">
        <v>2.9100000000000001E-2</v>
      </c>
      <c r="L241" s="752">
        <v>3</v>
      </c>
    </row>
    <row r="242" spans="1:12" ht="12" hidden="1" customHeight="1">
      <c r="A242" s="750">
        <v>40870</v>
      </c>
      <c r="B242" s="751" t="s">
        <v>1291</v>
      </c>
      <c r="C242" s="752">
        <v>28</v>
      </c>
      <c r="D242" s="750">
        <v>40898</v>
      </c>
      <c r="E242" s="753">
        <v>25</v>
      </c>
      <c r="F242" s="753">
        <v>16.633900000000001</v>
      </c>
      <c r="G242" s="753">
        <v>10</v>
      </c>
      <c r="H242" s="753">
        <v>0</v>
      </c>
      <c r="I242" s="754">
        <v>2.8299999999999999E-2</v>
      </c>
      <c r="J242" s="754">
        <v>2.98E-2</v>
      </c>
      <c r="K242" s="754">
        <v>2.9100000000000001E-2</v>
      </c>
      <c r="L242" s="752">
        <v>3</v>
      </c>
    </row>
    <row r="243" spans="1:12" ht="12" hidden="1" customHeight="1">
      <c r="A243" s="750">
        <v>40877</v>
      </c>
      <c r="B243" s="751" t="s">
        <v>1292</v>
      </c>
      <c r="C243" s="752">
        <v>28</v>
      </c>
      <c r="D243" s="750">
        <v>40905</v>
      </c>
      <c r="E243" s="753">
        <v>30</v>
      </c>
      <c r="F243" s="753">
        <v>8.0053999999999998</v>
      </c>
      <c r="G243" s="753">
        <v>8.0053999999999998</v>
      </c>
      <c r="H243" s="753">
        <v>0</v>
      </c>
      <c r="I243" s="754">
        <v>2.58E-2</v>
      </c>
      <c r="J243" s="754">
        <v>3.0499999999999999E-2</v>
      </c>
      <c r="K243" s="754">
        <v>2.8400000000000002E-2</v>
      </c>
      <c r="L243" s="752">
        <v>3</v>
      </c>
    </row>
    <row r="244" spans="1:12" ht="12" hidden="1" customHeight="1">
      <c r="A244" s="750">
        <v>40884</v>
      </c>
      <c r="B244" s="751" t="s">
        <v>1293</v>
      </c>
      <c r="C244" s="752">
        <v>29</v>
      </c>
      <c r="D244" s="750">
        <v>40913</v>
      </c>
      <c r="E244" s="753">
        <v>25</v>
      </c>
      <c r="F244" s="753">
        <v>21.5321</v>
      </c>
      <c r="G244" s="753">
        <v>15</v>
      </c>
      <c r="H244" s="753">
        <v>0</v>
      </c>
      <c r="I244" s="754">
        <v>2.4899999999999999E-2</v>
      </c>
      <c r="J244" s="754">
        <v>2.9700000000000001E-2</v>
      </c>
      <c r="K244" s="754">
        <v>2.8500000000000001E-2</v>
      </c>
      <c r="L244" s="752">
        <v>5</v>
      </c>
    </row>
    <row r="245" spans="1:12" ht="12" hidden="1" customHeight="1">
      <c r="A245" s="750">
        <v>40891</v>
      </c>
      <c r="B245" s="751" t="s">
        <v>1294</v>
      </c>
      <c r="C245" s="752">
        <v>28</v>
      </c>
      <c r="D245" s="750">
        <v>40919</v>
      </c>
      <c r="E245" s="753">
        <v>30</v>
      </c>
      <c r="F245" s="753">
        <v>11.222200000000001</v>
      </c>
      <c r="G245" s="753">
        <v>11.222200000000001</v>
      </c>
      <c r="H245" s="753">
        <v>0</v>
      </c>
      <c r="I245" s="754">
        <v>2.5999999999999999E-2</v>
      </c>
      <c r="J245" s="754">
        <v>0.03</v>
      </c>
      <c r="K245" s="754">
        <v>2.7699999999999999E-2</v>
      </c>
      <c r="L245" s="752">
        <v>4</v>
      </c>
    </row>
    <row r="246" spans="1:12" ht="12" hidden="1" customHeight="1">
      <c r="A246" s="750">
        <v>40898</v>
      </c>
      <c r="B246" s="751" t="s">
        <v>1295</v>
      </c>
      <c r="C246" s="752">
        <v>28</v>
      </c>
      <c r="D246" s="750">
        <v>40926</v>
      </c>
      <c r="E246" s="753">
        <v>30</v>
      </c>
      <c r="F246" s="753">
        <v>19.366</v>
      </c>
      <c r="G246" s="753">
        <v>15</v>
      </c>
      <c r="H246" s="753">
        <v>0</v>
      </c>
      <c r="I246" s="754">
        <v>2.6800000000000001E-2</v>
      </c>
      <c r="J246" s="754">
        <v>0.03</v>
      </c>
      <c r="K246" s="754">
        <v>2.76E-2</v>
      </c>
      <c r="L246" s="752">
        <v>4</v>
      </c>
    </row>
    <row r="247" spans="1:12" ht="12" hidden="1" customHeight="1">
      <c r="A247" s="750">
        <v>40905</v>
      </c>
      <c r="B247" s="751" t="s">
        <v>1296</v>
      </c>
      <c r="C247" s="752">
        <v>28</v>
      </c>
      <c r="D247" s="750">
        <v>40933</v>
      </c>
      <c r="E247" s="753">
        <v>35</v>
      </c>
      <c r="F247" s="753">
        <v>9.0113000000000003</v>
      </c>
      <c r="G247" s="753">
        <v>9.0113000000000003</v>
      </c>
      <c r="H247" s="753">
        <v>0</v>
      </c>
      <c r="I247" s="754">
        <v>2.6499999999999999E-2</v>
      </c>
      <c r="J247" s="754">
        <v>0.03</v>
      </c>
      <c r="K247" s="754">
        <v>2.7699999999999999E-2</v>
      </c>
      <c r="L247" s="752">
        <v>3</v>
      </c>
    </row>
    <row r="248" spans="1:12" ht="12" hidden="1" customHeight="1">
      <c r="A248" s="750">
        <v>40913</v>
      </c>
      <c r="B248" s="751" t="s">
        <v>1302</v>
      </c>
      <c r="C248" s="752">
        <v>27</v>
      </c>
      <c r="D248" s="750">
        <v>40940</v>
      </c>
      <c r="E248" s="753">
        <v>30</v>
      </c>
      <c r="F248" s="753">
        <v>47.409100000000002</v>
      </c>
      <c r="G248" s="753">
        <v>20</v>
      </c>
      <c r="H248" s="753">
        <v>0</v>
      </c>
      <c r="I248" s="754">
        <v>2.7E-2</v>
      </c>
      <c r="J248" s="754">
        <v>2.9700000000000001E-2</v>
      </c>
      <c r="K248" s="754">
        <v>2.8400000000000002E-2</v>
      </c>
      <c r="L248" s="752">
        <v>3</v>
      </c>
    </row>
    <row r="249" spans="1:12" ht="12" hidden="1" customHeight="1">
      <c r="A249" s="750">
        <v>40919</v>
      </c>
      <c r="B249" s="751" t="s">
        <v>1303</v>
      </c>
      <c r="C249" s="752">
        <v>28</v>
      </c>
      <c r="D249" s="750">
        <v>40947</v>
      </c>
      <c r="E249" s="753">
        <v>40</v>
      </c>
      <c r="F249" s="753">
        <v>70.286100000000005</v>
      </c>
      <c r="G249" s="753">
        <v>30</v>
      </c>
      <c r="H249" s="753">
        <v>0</v>
      </c>
      <c r="I249" s="754">
        <v>2.5999999999999999E-2</v>
      </c>
      <c r="J249" s="754">
        <v>2.8000000000000001E-2</v>
      </c>
      <c r="K249" s="754">
        <v>2.76E-2</v>
      </c>
      <c r="L249" s="752">
        <v>8</v>
      </c>
    </row>
    <row r="250" spans="1:12" ht="12" hidden="1" customHeight="1">
      <c r="A250" s="750">
        <v>40926</v>
      </c>
      <c r="B250" s="751" t="s">
        <v>1304</v>
      </c>
      <c r="C250" s="752">
        <v>28</v>
      </c>
      <c r="D250" s="750">
        <v>40954</v>
      </c>
      <c r="E250" s="753">
        <v>30</v>
      </c>
      <c r="F250" s="753">
        <v>40.888300000000001</v>
      </c>
      <c r="G250" s="753">
        <v>15</v>
      </c>
      <c r="H250" s="753">
        <v>0</v>
      </c>
      <c r="I250" s="754">
        <v>2.0199999999999999E-2</v>
      </c>
      <c r="J250" s="754">
        <v>2.7E-2</v>
      </c>
      <c r="K250" s="754">
        <v>2.1899999999999999E-2</v>
      </c>
      <c r="L250" s="752">
        <v>6</v>
      </c>
    </row>
    <row r="251" spans="1:12" ht="12" hidden="1" customHeight="1">
      <c r="A251" s="750">
        <v>40933</v>
      </c>
      <c r="B251" s="751" t="s">
        <v>1305</v>
      </c>
      <c r="C251" s="752">
        <v>28</v>
      </c>
      <c r="D251" s="750">
        <v>40961</v>
      </c>
      <c r="E251" s="753">
        <v>35</v>
      </c>
      <c r="F251" s="753">
        <v>33.4604</v>
      </c>
      <c r="G251" s="753">
        <v>20</v>
      </c>
      <c r="H251" s="753">
        <v>0</v>
      </c>
      <c r="I251" s="754">
        <v>0.02</v>
      </c>
      <c r="J251" s="754">
        <v>2.1000000000000001E-2</v>
      </c>
      <c r="K251" s="754">
        <v>2.0199999999999999E-2</v>
      </c>
      <c r="L251" s="752">
        <v>5</v>
      </c>
    </row>
    <row r="252" spans="1:12" ht="12" hidden="1" customHeight="1">
      <c r="A252" s="750">
        <v>40940</v>
      </c>
      <c r="B252" s="751" t="s">
        <v>1306</v>
      </c>
      <c r="C252" s="752">
        <v>28</v>
      </c>
      <c r="D252" s="750">
        <v>40968</v>
      </c>
      <c r="E252" s="753">
        <v>30</v>
      </c>
      <c r="F252" s="753">
        <v>36.435899999999997</v>
      </c>
      <c r="G252" s="753">
        <v>20</v>
      </c>
      <c r="H252" s="753">
        <v>0</v>
      </c>
      <c r="I252" s="754">
        <v>1.7399999999999999E-2</v>
      </c>
      <c r="J252" s="754">
        <v>0.02</v>
      </c>
      <c r="K252" s="754">
        <v>1.9900000000000001E-2</v>
      </c>
      <c r="L252" s="752">
        <v>4</v>
      </c>
    </row>
    <row r="253" spans="1:12" ht="12" hidden="1" customHeight="1">
      <c r="A253" s="750">
        <v>40947</v>
      </c>
      <c r="B253" s="751" t="s">
        <v>1307</v>
      </c>
      <c r="C253" s="752">
        <v>28</v>
      </c>
      <c r="D253" s="750">
        <v>40975</v>
      </c>
      <c r="E253" s="753">
        <v>45</v>
      </c>
      <c r="F253" s="753">
        <v>70.038799999999995</v>
      </c>
      <c r="G253" s="753">
        <v>35</v>
      </c>
      <c r="H253" s="753">
        <v>0</v>
      </c>
      <c r="I253" s="754">
        <v>1.7999999999999999E-2</v>
      </c>
      <c r="J253" s="754">
        <v>2.0799999999999999E-2</v>
      </c>
      <c r="K253" s="754">
        <v>1.9599999999999999E-2</v>
      </c>
      <c r="L253" s="752">
        <v>7</v>
      </c>
    </row>
    <row r="254" spans="1:12" ht="12" hidden="1" customHeight="1">
      <c r="A254" s="750">
        <v>40954</v>
      </c>
      <c r="B254" s="751" t="s">
        <v>1308</v>
      </c>
      <c r="C254" s="752">
        <v>28</v>
      </c>
      <c r="D254" s="750">
        <v>40982</v>
      </c>
      <c r="E254" s="753">
        <v>35</v>
      </c>
      <c r="F254" s="753">
        <v>49.061100000000003</v>
      </c>
      <c r="G254" s="753">
        <v>20</v>
      </c>
      <c r="H254" s="753">
        <v>0</v>
      </c>
      <c r="I254" s="754">
        <v>1.7999999999999999E-2</v>
      </c>
      <c r="J254" s="754">
        <v>1.95E-2</v>
      </c>
      <c r="K254" s="754">
        <v>1.9E-2</v>
      </c>
      <c r="L254" s="752">
        <v>7</v>
      </c>
    </row>
    <row r="255" spans="1:12" ht="12" hidden="1" customHeight="1">
      <c r="A255" s="750">
        <v>40961</v>
      </c>
      <c r="B255" s="751" t="s">
        <v>1309</v>
      </c>
      <c r="C255" s="752">
        <v>26</v>
      </c>
      <c r="D255" s="750">
        <v>40987</v>
      </c>
      <c r="E255" s="753">
        <v>35</v>
      </c>
      <c r="F255" s="753">
        <v>54.948300000000003</v>
      </c>
      <c r="G255" s="753">
        <v>20</v>
      </c>
      <c r="H255" s="753">
        <v>0</v>
      </c>
      <c r="I255" s="754">
        <v>1.61E-2</v>
      </c>
      <c r="J255" s="754">
        <v>1.7899999999999999E-2</v>
      </c>
      <c r="K255" s="754">
        <v>1.7399999999999999E-2</v>
      </c>
      <c r="L255" s="752">
        <v>8</v>
      </c>
    </row>
    <row r="256" spans="1:12" ht="12" hidden="1" customHeight="1">
      <c r="A256" s="750">
        <v>40968</v>
      </c>
      <c r="B256" s="751" t="s">
        <v>1310</v>
      </c>
      <c r="C256" s="752">
        <v>28</v>
      </c>
      <c r="D256" s="750">
        <v>40996</v>
      </c>
      <c r="E256" s="753">
        <v>30</v>
      </c>
      <c r="F256" s="753">
        <v>40.298299999999998</v>
      </c>
      <c r="G256" s="753">
        <v>20</v>
      </c>
      <c r="H256" s="753">
        <v>0</v>
      </c>
      <c r="I256" s="754">
        <v>1.54E-2</v>
      </c>
      <c r="J256" s="754">
        <v>1.7000000000000001E-2</v>
      </c>
      <c r="K256" s="754">
        <v>1.66E-2</v>
      </c>
      <c r="L256" s="752">
        <v>5</v>
      </c>
    </row>
    <row r="257" spans="1:12" ht="12" hidden="1" customHeight="1">
      <c r="A257" s="750">
        <v>40968</v>
      </c>
      <c r="B257" s="751" t="s">
        <v>1310</v>
      </c>
      <c r="C257" s="752">
        <v>28</v>
      </c>
      <c r="D257" s="750">
        <v>40996</v>
      </c>
      <c r="E257" s="753">
        <v>30</v>
      </c>
      <c r="F257" s="753">
        <v>40.298299999999998</v>
      </c>
      <c r="G257" s="753">
        <v>20</v>
      </c>
      <c r="H257" s="753">
        <v>0</v>
      </c>
      <c r="I257" s="754">
        <v>1.54E-2</v>
      </c>
      <c r="J257" s="754">
        <v>1.7000000000000001E-2</v>
      </c>
      <c r="K257" s="754">
        <v>1.66E-2</v>
      </c>
      <c r="L257" s="752">
        <v>5</v>
      </c>
    </row>
    <row r="258" spans="1:12" ht="12" hidden="1" customHeight="1">
      <c r="A258" s="750">
        <v>40975</v>
      </c>
      <c r="B258" s="751" t="s">
        <v>1312</v>
      </c>
      <c r="C258" s="752">
        <v>28</v>
      </c>
      <c r="D258" s="750">
        <v>41003</v>
      </c>
      <c r="E258" s="753">
        <v>50</v>
      </c>
      <c r="F258" s="753">
        <v>78.960800000000006</v>
      </c>
      <c r="G258" s="753">
        <v>35</v>
      </c>
      <c r="H258" s="753">
        <v>0</v>
      </c>
      <c r="I258" s="754">
        <v>1.0999999999999999E-2</v>
      </c>
      <c r="J258" s="754">
        <v>1.6799999999999999E-2</v>
      </c>
      <c r="K258" s="754">
        <v>1.5599999999999999E-2</v>
      </c>
      <c r="L258" s="752">
        <v>8</v>
      </c>
    </row>
    <row r="259" spans="1:12" ht="12" hidden="1" customHeight="1">
      <c r="A259" s="750">
        <v>40982</v>
      </c>
      <c r="B259" s="751" t="s">
        <v>1313</v>
      </c>
      <c r="C259" s="752">
        <v>28</v>
      </c>
      <c r="D259" s="750">
        <v>41010</v>
      </c>
      <c r="E259" s="753">
        <v>35</v>
      </c>
      <c r="F259" s="753">
        <v>41.396500000000003</v>
      </c>
      <c r="G259" s="753">
        <v>20</v>
      </c>
      <c r="H259" s="753">
        <v>0</v>
      </c>
      <c r="I259" s="754">
        <v>1.4500000000000001E-2</v>
      </c>
      <c r="J259" s="754">
        <v>1.6E-2</v>
      </c>
      <c r="K259" s="754">
        <v>1.4800000000000001E-2</v>
      </c>
      <c r="L259" s="752">
        <v>6</v>
      </c>
    </row>
    <row r="260" spans="1:12" ht="12" hidden="1" customHeight="1">
      <c r="A260" s="750">
        <v>40987</v>
      </c>
      <c r="B260" s="751" t="s">
        <v>1314</v>
      </c>
      <c r="C260" s="752">
        <v>30</v>
      </c>
      <c r="D260" s="750">
        <v>41017</v>
      </c>
      <c r="E260" s="753">
        <v>35</v>
      </c>
      <c r="F260" s="753">
        <v>41.713299999999997</v>
      </c>
      <c r="G260" s="753">
        <v>20</v>
      </c>
      <c r="H260" s="753">
        <v>0</v>
      </c>
      <c r="I260" s="754">
        <v>0.01</v>
      </c>
      <c r="J260" s="754">
        <v>1.4999999999999999E-2</v>
      </c>
      <c r="K260" s="754">
        <v>1.32E-2</v>
      </c>
      <c r="L260" s="752">
        <v>5</v>
      </c>
    </row>
    <row r="261" spans="1:12" ht="12" hidden="1" customHeight="1">
      <c r="A261" s="750">
        <v>40996</v>
      </c>
      <c r="B261" s="751" t="s">
        <v>1315</v>
      </c>
      <c r="C261" s="752">
        <v>28</v>
      </c>
      <c r="D261" s="750">
        <v>41024</v>
      </c>
      <c r="E261" s="753">
        <v>35</v>
      </c>
      <c r="F261" s="753">
        <v>46.808300000000003</v>
      </c>
      <c r="G261" s="753">
        <v>20</v>
      </c>
      <c r="H261" s="753">
        <v>0</v>
      </c>
      <c r="I261" s="754">
        <v>1.2800000000000001E-2</v>
      </c>
      <c r="J261" s="754">
        <v>1.29E-2</v>
      </c>
      <c r="K261" s="754">
        <v>1.2800000000000001E-2</v>
      </c>
      <c r="L261" s="752">
        <v>4</v>
      </c>
    </row>
    <row r="262" spans="1:12" ht="12" hidden="1" customHeight="1">
      <c r="A262" s="750">
        <v>41003</v>
      </c>
      <c r="B262" s="751" t="s">
        <v>1316</v>
      </c>
      <c r="C262" s="752">
        <v>28</v>
      </c>
      <c r="D262" s="750">
        <v>41031</v>
      </c>
      <c r="E262" s="753">
        <v>40</v>
      </c>
      <c r="F262" s="753">
        <v>50.090800000000002</v>
      </c>
      <c r="G262" s="753">
        <v>35</v>
      </c>
      <c r="H262" s="753">
        <v>0</v>
      </c>
      <c r="I262" s="754">
        <v>0.01</v>
      </c>
      <c r="J262" s="754">
        <v>1.15E-2</v>
      </c>
      <c r="K262" s="754">
        <v>1.0800000000000001E-2</v>
      </c>
      <c r="L262" s="752">
        <v>5</v>
      </c>
    </row>
    <row r="263" spans="1:12" ht="12" hidden="1" customHeight="1">
      <c r="A263" s="750">
        <v>41010</v>
      </c>
      <c r="B263" s="751" t="s">
        <v>1317</v>
      </c>
      <c r="C263" s="752">
        <v>29</v>
      </c>
      <c r="D263" s="750">
        <v>41039</v>
      </c>
      <c r="E263" s="753">
        <v>35</v>
      </c>
      <c r="F263" s="753">
        <v>61.238999999999997</v>
      </c>
      <c r="G263" s="753">
        <v>20</v>
      </c>
      <c r="H263" s="753">
        <v>0</v>
      </c>
      <c r="I263" s="754">
        <v>9.7000000000000003E-3</v>
      </c>
      <c r="J263" s="754">
        <v>1.2500000000000001E-2</v>
      </c>
      <c r="K263" s="754">
        <v>1.12E-2</v>
      </c>
      <c r="L263" s="752">
        <v>5</v>
      </c>
    </row>
    <row r="264" spans="1:12" ht="12" hidden="1" customHeight="1">
      <c r="A264" s="750">
        <v>41017</v>
      </c>
      <c r="B264" s="751" t="s">
        <v>1318</v>
      </c>
      <c r="C264" s="752">
        <v>28</v>
      </c>
      <c r="D264" s="750">
        <v>41045</v>
      </c>
      <c r="E264" s="753">
        <v>35</v>
      </c>
      <c r="F264" s="753">
        <v>40.2057</v>
      </c>
      <c r="G264" s="753">
        <v>20</v>
      </c>
      <c r="H264" s="753">
        <v>0</v>
      </c>
      <c r="I264" s="754">
        <v>1.2E-2</v>
      </c>
      <c r="J264" s="754">
        <v>1.3100000000000001E-2</v>
      </c>
      <c r="K264" s="754">
        <v>1.2699999999999999E-2</v>
      </c>
      <c r="L264" s="752">
        <v>3</v>
      </c>
    </row>
    <row r="265" spans="1:12" ht="12" hidden="1" customHeight="1">
      <c r="A265" s="750">
        <v>41024</v>
      </c>
      <c r="B265" s="751" t="s">
        <v>1319</v>
      </c>
      <c r="C265" s="752">
        <v>28</v>
      </c>
      <c r="D265" s="750">
        <v>41052</v>
      </c>
      <c r="E265" s="753">
        <v>35</v>
      </c>
      <c r="F265" s="753">
        <v>30.318000000000001</v>
      </c>
      <c r="G265" s="753">
        <v>20</v>
      </c>
      <c r="H265" s="753">
        <v>0</v>
      </c>
      <c r="I265" s="754">
        <v>1.3100000000000001E-2</v>
      </c>
      <c r="J265" s="754">
        <v>1.34E-2</v>
      </c>
      <c r="K265" s="754">
        <v>1.34E-2</v>
      </c>
      <c r="L265" s="752">
        <v>2</v>
      </c>
    </row>
    <row r="266" spans="1:12" ht="12" hidden="1" customHeight="1">
      <c r="A266" s="750">
        <v>41031</v>
      </c>
      <c r="B266" s="751" t="s">
        <v>1322</v>
      </c>
      <c r="C266" s="752">
        <v>28</v>
      </c>
      <c r="D266" s="750">
        <v>41059</v>
      </c>
      <c r="E266" s="753">
        <v>40</v>
      </c>
      <c r="F266" s="753">
        <v>42.525300000000001</v>
      </c>
      <c r="G266" s="753">
        <v>35</v>
      </c>
      <c r="H266" s="753">
        <v>0</v>
      </c>
      <c r="I266" s="754">
        <v>1.15E-2</v>
      </c>
      <c r="J266" s="754">
        <v>1.4200000000000001E-2</v>
      </c>
      <c r="K266" s="754">
        <v>1.35E-2</v>
      </c>
      <c r="L266" s="752">
        <v>4</v>
      </c>
    </row>
    <row r="267" spans="1:12" ht="12" hidden="1" customHeight="1">
      <c r="A267" s="750">
        <v>41039</v>
      </c>
      <c r="B267" s="751" t="s">
        <v>1323</v>
      </c>
      <c r="C267" s="752">
        <v>27</v>
      </c>
      <c r="D267" s="750">
        <v>41066</v>
      </c>
      <c r="E267" s="753">
        <v>35</v>
      </c>
      <c r="F267" s="753">
        <v>35.733699999999999</v>
      </c>
      <c r="G267" s="753">
        <v>20</v>
      </c>
      <c r="H267" s="753">
        <v>0</v>
      </c>
      <c r="I267" s="754">
        <v>1.15E-2</v>
      </c>
      <c r="J267" s="754">
        <v>1.4800000000000001E-2</v>
      </c>
      <c r="K267" s="754">
        <v>1.3899999999999999E-2</v>
      </c>
      <c r="L267" s="752">
        <v>5</v>
      </c>
    </row>
    <row r="268" spans="1:12" ht="12" hidden="1" customHeight="1">
      <c r="A268" s="750">
        <v>41045</v>
      </c>
      <c r="B268" s="751" t="s">
        <v>1324</v>
      </c>
      <c r="C268" s="752">
        <v>28</v>
      </c>
      <c r="D268" s="750">
        <v>41073</v>
      </c>
      <c r="E268" s="753">
        <v>35</v>
      </c>
      <c r="F268" s="753">
        <v>48.054600000000001</v>
      </c>
      <c r="G268" s="753">
        <v>15</v>
      </c>
      <c r="H268" s="753">
        <v>0</v>
      </c>
      <c r="I268" s="754">
        <v>1.35E-2</v>
      </c>
      <c r="J268" s="754">
        <v>1.4E-2</v>
      </c>
      <c r="K268" s="754">
        <v>1.37E-2</v>
      </c>
      <c r="L268" s="752">
        <v>2</v>
      </c>
    </row>
    <row r="269" spans="1:12" ht="12" hidden="1" customHeight="1">
      <c r="A269" s="750">
        <v>41052</v>
      </c>
      <c r="B269" s="751" t="s">
        <v>1325</v>
      </c>
      <c r="C269" s="752">
        <v>28</v>
      </c>
      <c r="D269" s="750">
        <v>41080</v>
      </c>
      <c r="E269" s="753">
        <v>35</v>
      </c>
      <c r="F269" s="753">
        <v>55.060400000000001</v>
      </c>
      <c r="G269" s="753">
        <v>20</v>
      </c>
      <c r="H269" s="753">
        <v>0</v>
      </c>
      <c r="I269" s="754">
        <v>1.35E-2</v>
      </c>
      <c r="J269" s="754">
        <v>1.3899999999999999E-2</v>
      </c>
      <c r="K269" s="754">
        <v>1.3599999999999999E-2</v>
      </c>
      <c r="L269" s="752">
        <v>2</v>
      </c>
    </row>
    <row r="270" spans="1:12" ht="12" hidden="1" customHeight="1">
      <c r="A270" s="750">
        <v>41059</v>
      </c>
      <c r="B270" s="751" t="s">
        <v>1326</v>
      </c>
      <c r="C270" s="752">
        <v>28</v>
      </c>
      <c r="D270" s="750">
        <v>41087</v>
      </c>
      <c r="E270" s="753">
        <v>40</v>
      </c>
      <c r="F270" s="753">
        <v>73.561000000000007</v>
      </c>
      <c r="G270" s="753">
        <v>35</v>
      </c>
      <c r="H270" s="753">
        <v>0</v>
      </c>
      <c r="I270" s="754">
        <v>1.26E-2</v>
      </c>
      <c r="J270" s="754">
        <v>1.4E-2</v>
      </c>
      <c r="K270" s="754">
        <v>1.3599999999999999E-2</v>
      </c>
      <c r="L270" s="752">
        <v>4</v>
      </c>
    </row>
    <row r="271" spans="1:12" ht="12" hidden="1" customHeight="1">
      <c r="A271" s="750">
        <v>41066</v>
      </c>
      <c r="B271" s="751" t="s">
        <v>1327</v>
      </c>
      <c r="C271" s="752">
        <v>28</v>
      </c>
      <c r="D271" s="750">
        <v>41094</v>
      </c>
      <c r="E271" s="753">
        <v>35</v>
      </c>
      <c r="F271" s="753">
        <v>40.300600000000003</v>
      </c>
      <c r="G271" s="753">
        <v>20</v>
      </c>
      <c r="H271" s="753">
        <v>0</v>
      </c>
      <c r="I271" s="754">
        <v>1.26E-2</v>
      </c>
      <c r="J271" s="754">
        <v>1.4E-2</v>
      </c>
      <c r="K271" s="754">
        <v>1.37E-2</v>
      </c>
      <c r="L271" s="752">
        <v>3</v>
      </c>
    </row>
    <row r="272" spans="1:12" ht="12" hidden="1" customHeight="1">
      <c r="A272" s="750">
        <v>41073</v>
      </c>
      <c r="B272" s="751" t="s">
        <v>1328</v>
      </c>
      <c r="C272" s="752">
        <v>28</v>
      </c>
      <c r="D272" s="750">
        <v>41101</v>
      </c>
      <c r="E272" s="753">
        <v>35</v>
      </c>
      <c r="F272" s="753">
        <v>42.043799999999997</v>
      </c>
      <c r="G272" s="753">
        <v>15</v>
      </c>
      <c r="H272" s="753">
        <v>0</v>
      </c>
      <c r="I272" s="754">
        <v>1.35E-2</v>
      </c>
      <c r="J272" s="754">
        <v>1.37E-2</v>
      </c>
      <c r="K272" s="754">
        <v>1.3599999999999999E-2</v>
      </c>
      <c r="L272" s="752">
        <v>3</v>
      </c>
    </row>
    <row r="273" spans="1:12" ht="12" hidden="1" customHeight="1">
      <c r="A273" s="750">
        <v>41080</v>
      </c>
      <c r="B273" s="751" t="s">
        <v>1329</v>
      </c>
      <c r="C273" s="752">
        <v>28</v>
      </c>
      <c r="D273" s="750">
        <v>41108</v>
      </c>
      <c r="E273" s="753">
        <v>35</v>
      </c>
      <c r="F273" s="753">
        <v>38.033700000000003</v>
      </c>
      <c r="G273" s="753">
        <v>20</v>
      </c>
      <c r="H273" s="753">
        <v>0</v>
      </c>
      <c r="I273" s="754">
        <v>1.2999999999999999E-2</v>
      </c>
      <c r="J273" s="754">
        <v>1.4E-2</v>
      </c>
      <c r="K273" s="754">
        <v>1.3599999999999999E-2</v>
      </c>
      <c r="L273" s="752">
        <v>3</v>
      </c>
    </row>
    <row r="274" spans="1:12" ht="12" hidden="1" customHeight="1">
      <c r="A274" s="750">
        <v>41087</v>
      </c>
      <c r="B274" s="751" t="s">
        <v>1330</v>
      </c>
      <c r="C274" s="752">
        <v>28</v>
      </c>
      <c r="D274" s="750">
        <v>41115</v>
      </c>
      <c r="E274" s="753">
        <v>40</v>
      </c>
      <c r="F274" s="753">
        <v>47.604100000000003</v>
      </c>
      <c r="G274" s="753">
        <v>35</v>
      </c>
      <c r="H274" s="753">
        <v>0</v>
      </c>
      <c r="I274" s="754">
        <v>1.32E-2</v>
      </c>
      <c r="J274" s="754">
        <v>1.41E-2</v>
      </c>
      <c r="K274" s="754">
        <v>1.38E-2</v>
      </c>
      <c r="L274" s="752">
        <v>4</v>
      </c>
    </row>
    <row r="275" spans="1:12" ht="12" hidden="1" customHeight="1">
      <c r="A275" s="750">
        <v>41101</v>
      </c>
      <c r="B275" s="751" t="s">
        <v>1344</v>
      </c>
      <c r="C275" s="752">
        <v>28</v>
      </c>
      <c r="D275" s="750">
        <v>41129</v>
      </c>
      <c r="E275" s="753">
        <v>35</v>
      </c>
      <c r="F275" s="753">
        <v>24.0245</v>
      </c>
      <c r="G275" s="753">
        <v>10</v>
      </c>
      <c r="H275" s="753">
        <v>0</v>
      </c>
      <c r="I275" s="754">
        <v>1.2999999999999999E-2</v>
      </c>
      <c r="J275" s="754">
        <v>1.43E-2</v>
      </c>
      <c r="K275" s="754">
        <v>1.4E-2</v>
      </c>
      <c r="L275" s="752">
        <v>2</v>
      </c>
    </row>
    <row r="276" spans="1:12" ht="12" hidden="1" customHeight="1">
      <c r="A276" s="750">
        <v>41108</v>
      </c>
      <c r="B276" s="751" t="s">
        <v>1345</v>
      </c>
      <c r="C276" s="752">
        <v>28</v>
      </c>
      <c r="D276" s="750">
        <v>41136</v>
      </c>
      <c r="E276" s="753">
        <v>35</v>
      </c>
      <c r="F276" s="753">
        <v>28.523399999999999</v>
      </c>
      <c r="G276" s="753">
        <v>20</v>
      </c>
      <c r="H276" s="753">
        <v>0</v>
      </c>
      <c r="I276" s="754">
        <v>1.2999999999999999E-2</v>
      </c>
      <c r="J276" s="754">
        <v>1.46E-2</v>
      </c>
      <c r="K276" s="754">
        <v>1.3899999999999999E-2</v>
      </c>
      <c r="L276" s="752">
        <v>3</v>
      </c>
    </row>
    <row r="277" spans="1:12" ht="12" hidden="1" customHeight="1">
      <c r="A277" s="750">
        <v>41115</v>
      </c>
      <c r="B277" s="751" t="s">
        <v>1346</v>
      </c>
      <c r="C277" s="752">
        <v>28</v>
      </c>
      <c r="D277" s="750">
        <v>41143</v>
      </c>
      <c r="E277" s="753">
        <v>40</v>
      </c>
      <c r="F277" s="753">
        <v>46.553956319999998</v>
      </c>
      <c r="G277" s="753">
        <v>35</v>
      </c>
      <c r="H277" s="753">
        <v>0</v>
      </c>
      <c r="I277" s="754">
        <v>1.29E-2</v>
      </c>
      <c r="J277" s="754">
        <v>1.47E-2</v>
      </c>
      <c r="K277" s="754">
        <v>1.4500000000000001E-2</v>
      </c>
      <c r="L277" s="752">
        <v>2</v>
      </c>
    </row>
    <row r="278" spans="1:12" ht="12" hidden="1" customHeight="1">
      <c r="A278" s="750">
        <v>41122</v>
      </c>
      <c r="B278" s="751" t="s">
        <v>1347</v>
      </c>
      <c r="C278" s="752">
        <v>28</v>
      </c>
      <c r="D278" s="750">
        <v>41150</v>
      </c>
      <c r="E278" s="753">
        <v>35</v>
      </c>
      <c r="F278" s="753">
        <v>16.99997308</v>
      </c>
      <c r="G278" s="753">
        <v>10</v>
      </c>
      <c r="H278" s="753">
        <v>0</v>
      </c>
      <c r="I278" s="754">
        <v>1.4200000000000001E-2</v>
      </c>
      <c r="J278" s="754">
        <v>1.47E-2</v>
      </c>
      <c r="K278" s="754">
        <v>1.4500000000000001E-2</v>
      </c>
      <c r="L278" s="752">
        <v>2</v>
      </c>
    </row>
    <row r="279" spans="1:12" ht="12" hidden="1" customHeight="1">
      <c r="A279" s="750">
        <v>41129</v>
      </c>
      <c r="B279" s="751" t="s">
        <v>1348</v>
      </c>
      <c r="C279" s="752">
        <v>28</v>
      </c>
      <c r="D279" s="750">
        <v>41157</v>
      </c>
      <c r="E279" s="753">
        <v>35</v>
      </c>
      <c r="F279" s="753">
        <v>4.0011999999999999</v>
      </c>
      <c r="G279" s="753">
        <v>4.0011999999999999</v>
      </c>
      <c r="H279" s="753">
        <v>0</v>
      </c>
      <c r="I279" s="754">
        <v>1.4E-2</v>
      </c>
      <c r="J279" s="754">
        <v>1.4500000000000001E-2</v>
      </c>
      <c r="K279" s="754">
        <v>1.43E-2</v>
      </c>
      <c r="L279" s="752">
        <v>2</v>
      </c>
    </row>
    <row r="280" spans="1:12" ht="12" hidden="1" customHeight="1">
      <c r="A280" s="750">
        <v>41136</v>
      </c>
      <c r="B280" s="751" t="s">
        <v>1349</v>
      </c>
      <c r="C280" s="752">
        <v>28</v>
      </c>
      <c r="D280" s="750">
        <v>41164</v>
      </c>
      <c r="E280" s="753">
        <v>35</v>
      </c>
      <c r="F280" s="753">
        <v>8.5008999999999997</v>
      </c>
      <c r="G280" s="753">
        <v>8.5008999999999997</v>
      </c>
      <c r="H280" s="753">
        <v>0</v>
      </c>
      <c r="I280" s="754">
        <v>1.4200000000000001E-2</v>
      </c>
      <c r="J280" s="754">
        <v>1.4999999999999999E-2</v>
      </c>
      <c r="K280" s="754">
        <v>1.43E-2</v>
      </c>
      <c r="L280" s="752">
        <v>2</v>
      </c>
    </row>
    <row r="281" spans="1:12" ht="12" hidden="1" customHeight="1">
      <c r="A281" s="750">
        <v>41143</v>
      </c>
      <c r="B281" s="751" t="s">
        <v>1350</v>
      </c>
      <c r="C281" s="752">
        <v>28</v>
      </c>
      <c r="D281" s="750">
        <v>41171</v>
      </c>
      <c r="E281" s="753">
        <v>40</v>
      </c>
      <c r="F281" s="753">
        <v>0</v>
      </c>
      <c r="G281" s="753">
        <v>0</v>
      </c>
      <c r="H281" s="753">
        <v>0</v>
      </c>
      <c r="I281" s="754">
        <v>0</v>
      </c>
      <c r="J281" s="754">
        <v>0</v>
      </c>
      <c r="K281" s="754">
        <v>0</v>
      </c>
      <c r="L281" s="752">
        <v>0</v>
      </c>
    </row>
    <row r="282" spans="1:12" ht="12" hidden="1" customHeight="1">
      <c r="A282" s="750">
        <v>41150</v>
      </c>
      <c r="B282" s="751" t="s">
        <v>1351</v>
      </c>
      <c r="C282" s="752">
        <v>28</v>
      </c>
      <c r="D282" s="750">
        <v>41178</v>
      </c>
      <c r="E282" s="753">
        <v>35</v>
      </c>
      <c r="F282" s="753">
        <v>3.5507</v>
      </c>
      <c r="G282" s="753">
        <v>3.5507</v>
      </c>
      <c r="H282" s="753">
        <v>0</v>
      </c>
      <c r="I282" s="754">
        <v>1.4E-2</v>
      </c>
      <c r="J282" s="754">
        <v>1.54E-2</v>
      </c>
      <c r="K282" s="754">
        <v>1.49E-2</v>
      </c>
      <c r="L282" s="752">
        <v>3</v>
      </c>
    </row>
    <row r="283" spans="1:12" ht="12" hidden="1" customHeight="1">
      <c r="A283" s="750">
        <v>41157</v>
      </c>
      <c r="B283" s="751" t="s">
        <v>1362</v>
      </c>
      <c r="C283" s="752">
        <v>28</v>
      </c>
      <c r="D283" s="750">
        <v>41185</v>
      </c>
      <c r="E283" s="753">
        <v>35</v>
      </c>
      <c r="F283" s="753">
        <v>0</v>
      </c>
      <c r="G283" s="753">
        <v>0</v>
      </c>
      <c r="H283" s="753">
        <v>0</v>
      </c>
      <c r="I283" s="754">
        <v>0</v>
      </c>
      <c r="J283" s="754">
        <v>0</v>
      </c>
      <c r="K283" s="754">
        <v>0</v>
      </c>
      <c r="L283" s="752">
        <v>1</v>
      </c>
    </row>
    <row r="284" spans="1:12" ht="12" hidden="1" customHeight="1">
      <c r="A284" s="750">
        <v>41164</v>
      </c>
      <c r="B284" s="751" t="s">
        <v>1363</v>
      </c>
      <c r="C284" s="752">
        <v>28</v>
      </c>
      <c r="D284" s="750">
        <v>41192</v>
      </c>
      <c r="E284" s="753">
        <v>35</v>
      </c>
      <c r="F284" s="753">
        <v>8.0007000000000001</v>
      </c>
      <c r="G284" s="753">
        <v>8.0007000000000001</v>
      </c>
      <c r="H284" s="753">
        <v>0</v>
      </c>
      <c r="I284" s="754">
        <v>1.4E-2</v>
      </c>
      <c r="J284" s="754">
        <v>1.61E-2</v>
      </c>
      <c r="K284" s="754">
        <v>1.43E-2</v>
      </c>
      <c r="L284" s="752">
        <v>2</v>
      </c>
    </row>
    <row r="285" spans="1:12" ht="12" hidden="1" customHeight="1">
      <c r="A285" s="750">
        <v>41171</v>
      </c>
      <c r="B285" s="751" t="s">
        <v>1364</v>
      </c>
      <c r="C285" s="752">
        <v>28</v>
      </c>
      <c r="D285" s="750">
        <v>41199</v>
      </c>
      <c r="E285" s="753">
        <v>35</v>
      </c>
      <c r="F285" s="753">
        <v>0</v>
      </c>
      <c r="G285" s="753">
        <v>0</v>
      </c>
      <c r="H285" s="753">
        <v>0</v>
      </c>
      <c r="I285" s="754">
        <v>0</v>
      </c>
      <c r="J285" s="754">
        <v>0</v>
      </c>
      <c r="K285" s="754">
        <v>0</v>
      </c>
      <c r="L285" s="752">
        <v>0</v>
      </c>
    </row>
    <row r="286" spans="1:12" ht="12" hidden="1" customHeight="1">
      <c r="A286" s="750">
        <v>41178</v>
      </c>
      <c r="B286" s="751" t="s">
        <v>1365</v>
      </c>
      <c r="C286" s="752">
        <v>28</v>
      </c>
      <c r="D286" s="750">
        <v>41206</v>
      </c>
      <c r="E286" s="753">
        <v>35</v>
      </c>
      <c r="F286" s="753">
        <v>3.7551000000000001</v>
      </c>
      <c r="G286" s="753">
        <v>3.7550999999999997</v>
      </c>
      <c r="H286" s="753">
        <v>0</v>
      </c>
      <c r="I286" s="754">
        <v>1.5100000000000001E-2</v>
      </c>
      <c r="J286" s="754">
        <v>3.5000000000000003E-2</v>
      </c>
      <c r="K286" s="754">
        <v>2.1999999999999999E-2</v>
      </c>
      <c r="L286" s="752">
        <v>3</v>
      </c>
    </row>
    <row r="287" spans="1:12" ht="12" hidden="1" customHeight="1">
      <c r="A287" s="750">
        <v>41185</v>
      </c>
      <c r="B287" s="751" t="s">
        <v>1377</v>
      </c>
      <c r="C287" s="752">
        <v>28</v>
      </c>
      <c r="D287" s="750">
        <v>41213</v>
      </c>
      <c r="E287" s="753">
        <v>35</v>
      </c>
      <c r="F287" s="753">
        <v>7.0034000000000001</v>
      </c>
      <c r="G287" s="753">
        <v>5</v>
      </c>
      <c r="H287" s="753">
        <v>0</v>
      </c>
      <c r="I287" s="754">
        <v>2.8000000000000001E-2</v>
      </c>
      <c r="J287" s="754">
        <v>2.8000000000000001E-2</v>
      </c>
      <c r="K287" s="754">
        <v>2.8000000000000001E-2</v>
      </c>
      <c r="L287" s="752">
        <v>2</v>
      </c>
    </row>
    <row r="288" spans="1:12" ht="12" hidden="1" customHeight="1">
      <c r="A288" s="750">
        <v>41192</v>
      </c>
      <c r="B288" s="751" t="s">
        <v>1378</v>
      </c>
      <c r="C288" s="752">
        <v>28</v>
      </c>
      <c r="D288" s="750">
        <v>41220</v>
      </c>
      <c r="E288" s="753">
        <v>35</v>
      </c>
      <c r="F288" s="753">
        <v>16.003</v>
      </c>
      <c r="G288" s="753">
        <v>10</v>
      </c>
      <c r="H288" s="753">
        <v>0</v>
      </c>
      <c r="I288" s="754">
        <v>2.7E-2</v>
      </c>
      <c r="J288" s="754">
        <v>2.7E-2</v>
      </c>
      <c r="K288" s="754">
        <v>2.7E-2</v>
      </c>
      <c r="L288" s="752">
        <v>3</v>
      </c>
    </row>
    <row r="289" spans="1:12" ht="12" hidden="1" customHeight="1">
      <c r="A289" s="750">
        <v>41199</v>
      </c>
      <c r="B289" s="751" t="s">
        <v>1379</v>
      </c>
      <c r="C289" s="752">
        <v>28</v>
      </c>
      <c r="D289" s="750">
        <v>41227</v>
      </c>
      <c r="E289" s="753">
        <v>35</v>
      </c>
      <c r="F289" s="753">
        <v>14</v>
      </c>
      <c r="G289" s="753">
        <v>10</v>
      </c>
      <c r="H289" s="753">
        <v>0</v>
      </c>
      <c r="I289" s="754">
        <v>2.5999999999999999E-2</v>
      </c>
      <c r="J289" s="754">
        <v>2.7E-2</v>
      </c>
      <c r="K289" s="754">
        <v>2.6700000000000002E-2</v>
      </c>
      <c r="L289" s="752">
        <v>2</v>
      </c>
    </row>
    <row r="290" spans="1:12" ht="12" hidden="1" customHeight="1">
      <c r="A290" s="750">
        <v>41206</v>
      </c>
      <c r="B290" s="751" t="s">
        <v>1380</v>
      </c>
      <c r="C290" s="752">
        <v>28</v>
      </c>
      <c r="D290" s="750">
        <v>41234</v>
      </c>
      <c r="E290" s="753">
        <v>35</v>
      </c>
      <c r="F290" s="753">
        <v>19.557500000000001</v>
      </c>
      <c r="G290" s="753">
        <v>10</v>
      </c>
      <c r="H290" s="753">
        <v>4.4528999999999996</v>
      </c>
      <c r="I290" s="754">
        <v>2.5700000000000001E-2</v>
      </c>
      <c r="J290" s="754">
        <v>2.8000000000000001E-2</v>
      </c>
      <c r="K290" s="754">
        <v>2.75E-2</v>
      </c>
      <c r="L290" s="752">
        <v>5</v>
      </c>
    </row>
    <row r="291" spans="1:12" ht="12" hidden="1" customHeight="1">
      <c r="A291" s="750">
        <v>41213</v>
      </c>
      <c r="B291" s="751" t="s">
        <v>1381</v>
      </c>
      <c r="C291" s="752">
        <v>28</v>
      </c>
      <c r="D291" s="750">
        <v>41241</v>
      </c>
      <c r="E291" s="753">
        <v>35</v>
      </c>
      <c r="F291" s="753">
        <v>13.5151</v>
      </c>
      <c r="G291" s="753">
        <v>10</v>
      </c>
      <c r="H291" s="753">
        <v>24.999600000000001</v>
      </c>
      <c r="I291" s="754">
        <v>2.5700000000000001E-2</v>
      </c>
      <c r="J291" s="754">
        <v>2.75E-2</v>
      </c>
      <c r="K291" s="754">
        <v>2.7099999999999999E-2</v>
      </c>
      <c r="L291" s="752">
        <v>3</v>
      </c>
    </row>
    <row r="292" spans="1:12" ht="12" hidden="1" customHeight="1">
      <c r="A292" s="750">
        <v>41220</v>
      </c>
      <c r="B292" s="751" t="s">
        <v>1392</v>
      </c>
      <c r="C292" s="752">
        <v>28</v>
      </c>
      <c r="D292" s="750">
        <v>41248</v>
      </c>
      <c r="E292" s="753">
        <v>35</v>
      </c>
      <c r="F292" s="753">
        <v>11.009</v>
      </c>
      <c r="G292" s="753">
        <v>10</v>
      </c>
      <c r="H292" s="753">
        <v>21.492999999999999</v>
      </c>
      <c r="I292" s="754">
        <v>2.58E-2</v>
      </c>
      <c r="J292" s="754">
        <v>3.1600000000000003E-2</v>
      </c>
      <c r="K292" s="754">
        <v>2.7300000000000001E-2</v>
      </c>
      <c r="L292" s="752">
        <v>4</v>
      </c>
    </row>
    <row r="293" spans="1:12" ht="12" hidden="1" customHeight="1">
      <c r="A293" s="750">
        <v>41227</v>
      </c>
      <c r="B293" s="751" t="s">
        <v>1393</v>
      </c>
      <c r="C293" s="752">
        <v>28</v>
      </c>
      <c r="D293" s="750">
        <v>41255</v>
      </c>
      <c r="E293" s="753">
        <v>35</v>
      </c>
      <c r="F293" s="753">
        <v>16.576499999999999</v>
      </c>
      <c r="G293" s="753">
        <v>10</v>
      </c>
      <c r="H293" s="753">
        <v>25</v>
      </c>
      <c r="I293" s="754">
        <v>2.5999999999999999E-2</v>
      </c>
      <c r="J293" s="754">
        <v>0.03</v>
      </c>
      <c r="K293" s="754">
        <v>2.8500000000000001E-2</v>
      </c>
      <c r="L293" s="752">
        <v>4</v>
      </c>
    </row>
    <row r="294" spans="1:12" ht="12" hidden="1" customHeight="1">
      <c r="A294" s="750">
        <v>41234</v>
      </c>
      <c r="B294" s="751" t="s">
        <v>1394</v>
      </c>
      <c r="C294" s="752">
        <v>28</v>
      </c>
      <c r="D294" s="750">
        <v>41262</v>
      </c>
      <c r="E294" s="753">
        <v>35</v>
      </c>
      <c r="F294" s="753">
        <v>21.950406990000001</v>
      </c>
      <c r="G294" s="753">
        <v>10</v>
      </c>
      <c r="H294" s="753">
        <v>24.9999</v>
      </c>
      <c r="I294" s="754">
        <v>2.9499999999999998E-2</v>
      </c>
      <c r="J294" s="754">
        <v>3.1E-2</v>
      </c>
      <c r="K294" s="754">
        <v>3.0700000000000002E-2</v>
      </c>
      <c r="L294" s="752">
        <v>3</v>
      </c>
    </row>
    <row r="295" spans="1:12" ht="12" hidden="1" customHeight="1">
      <c r="A295" s="750">
        <v>41241</v>
      </c>
      <c r="B295" s="751" t="s">
        <v>1395</v>
      </c>
      <c r="C295" s="752">
        <v>28</v>
      </c>
      <c r="D295" s="750">
        <v>41269</v>
      </c>
      <c r="E295" s="753">
        <v>35</v>
      </c>
      <c r="F295" s="753">
        <v>17.17124797</v>
      </c>
      <c r="G295" s="753">
        <v>10</v>
      </c>
      <c r="H295" s="753">
        <v>24.999600000000001</v>
      </c>
      <c r="I295" s="754">
        <v>2.7400000000000001E-2</v>
      </c>
      <c r="J295" s="754">
        <v>3.4200000000000001E-2</v>
      </c>
      <c r="K295" s="754">
        <v>3.1699999999999999E-2</v>
      </c>
      <c r="L295" s="752">
        <v>5</v>
      </c>
    </row>
    <row r="296" spans="1:12" ht="12" hidden="1" customHeight="1">
      <c r="A296" s="750">
        <v>41248</v>
      </c>
      <c r="B296" s="751" t="s">
        <v>1408</v>
      </c>
      <c r="C296" s="752">
        <v>29</v>
      </c>
      <c r="D296" s="750">
        <v>41277</v>
      </c>
      <c r="E296" s="753">
        <v>30</v>
      </c>
      <c r="F296" s="753">
        <v>21.0732</v>
      </c>
      <c r="G296" s="753">
        <v>8</v>
      </c>
      <c r="H296" s="753">
        <v>22</v>
      </c>
      <c r="I296" s="754">
        <v>2.5100000000000001E-2</v>
      </c>
      <c r="J296" s="754">
        <v>2.7400000000000001E-2</v>
      </c>
      <c r="K296" s="754">
        <v>2.5600000000000001E-2</v>
      </c>
      <c r="L296" s="752">
        <v>4</v>
      </c>
    </row>
    <row r="297" spans="1:12" ht="12" hidden="1" customHeight="1">
      <c r="A297" s="750">
        <v>41255</v>
      </c>
      <c r="B297" s="751" t="s">
        <v>1409</v>
      </c>
      <c r="C297" s="752">
        <v>28</v>
      </c>
      <c r="D297" s="750">
        <v>41283</v>
      </c>
      <c r="E297" s="753">
        <v>30</v>
      </c>
      <c r="F297" s="753">
        <v>38.4542</v>
      </c>
      <c r="G297" s="753">
        <v>10</v>
      </c>
      <c r="H297" s="753">
        <v>20</v>
      </c>
      <c r="I297" s="754">
        <v>2.1499999999999998E-2</v>
      </c>
      <c r="J297" s="754">
        <v>2.1999999999999999E-2</v>
      </c>
      <c r="K297" s="754">
        <v>2.1999999999999999E-2</v>
      </c>
      <c r="L297" s="752">
        <v>6</v>
      </c>
    </row>
    <row r="298" spans="1:12" ht="12" hidden="1" customHeight="1">
      <c r="A298" s="750">
        <v>41262</v>
      </c>
      <c r="B298" s="751" t="s">
        <v>1410</v>
      </c>
      <c r="C298" s="752">
        <v>28</v>
      </c>
      <c r="D298" s="750">
        <v>41290</v>
      </c>
      <c r="E298" s="753">
        <v>30</v>
      </c>
      <c r="F298" s="753">
        <v>23.9633</v>
      </c>
      <c r="G298" s="753">
        <v>10</v>
      </c>
      <c r="H298" s="753">
        <v>20</v>
      </c>
      <c r="I298" s="754">
        <v>1.4200000000000001E-2</v>
      </c>
      <c r="J298" s="754">
        <v>1.4200000000000001E-2</v>
      </c>
      <c r="K298" s="754">
        <v>1.4200000000000001E-2</v>
      </c>
      <c r="L298" s="752">
        <v>2</v>
      </c>
    </row>
    <row r="299" spans="1:12" ht="12" hidden="1" customHeight="1">
      <c r="A299" s="750">
        <v>41269</v>
      </c>
      <c r="B299" s="751" t="s">
        <v>1411</v>
      </c>
      <c r="C299" s="752">
        <v>28</v>
      </c>
      <c r="D299" s="750">
        <v>41297</v>
      </c>
      <c r="E299" s="753">
        <v>30</v>
      </c>
      <c r="F299" s="753">
        <v>19.483839669999998</v>
      </c>
      <c r="G299" s="753">
        <v>10</v>
      </c>
      <c r="H299" s="753">
        <v>20</v>
      </c>
      <c r="I299" s="754">
        <v>1.2E-2</v>
      </c>
      <c r="J299" s="754">
        <v>2.6499999999999999E-2</v>
      </c>
      <c r="K299" s="754">
        <v>1.8700000000000001E-2</v>
      </c>
      <c r="L299" s="752">
        <v>5</v>
      </c>
    </row>
    <row r="300" spans="1:12" ht="11.25" hidden="1" customHeight="1">
      <c r="A300" s="750">
        <v>41283</v>
      </c>
      <c r="B300" s="751" t="s">
        <v>1424</v>
      </c>
      <c r="C300" s="752">
        <v>28</v>
      </c>
      <c r="D300" s="750">
        <v>41311</v>
      </c>
      <c r="E300" s="753">
        <v>30</v>
      </c>
      <c r="F300" s="753">
        <v>17.003399999999999</v>
      </c>
      <c r="G300" s="753">
        <v>10</v>
      </c>
      <c r="H300" s="753">
        <v>20</v>
      </c>
      <c r="I300" s="754">
        <v>1.2999999999999999E-2</v>
      </c>
      <c r="J300" s="754">
        <v>2.2200000000000001E-2</v>
      </c>
      <c r="K300" s="754">
        <v>1.7600000000000001E-2</v>
      </c>
      <c r="L300" s="752">
        <v>3</v>
      </c>
    </row>
    <row r="301" spans="1:12" ht="12" hidden="1" customHeight="1">
      <c r="A301" s="750">
        <v>41290</v>
      </c>
      <c r="B301" s="751" t="s">
        <v>1425</v>
      </c>
      <c r="C301" s="752">
        <v>28</v>
      </c>
      <c r="D301" s="750">
        <v>41318</v>
      </c>
      <c r="E301" s="753">
        <v>30</v>
      </c>
      <c r="F301" s="753">
        <v>16.978899999999999</v>
      </c>
      <c r="G301" s="753">
        <v>10</v>
      </c>
      <c r="H301" s="753">
        <v>20</v>
      </c>
      <c r="I301" s="754">
        <v>1.61E-2</v>
      </c>
      <c r="J301" s="754">
        <v>1.9800000000000002E-2</v>
      </c>
      <c r="K301" s="754">
        <v>1.7500000000000002E-2</v>
      </c>
      <c r="L301" s="752">
        <v>2</v>
      </c>
    </row>
    <row r="302" spans="1:12" ht="11.25" hidden="1" customHeight="1">
      <c r="A302" s="750">
        <v>41297</v>
      </c>
      <c r="B302" s="751" t="s">
        <v>1426</v>
      </c>
      <c r="C302" s="752">
        <v>28</v>
      </c>
      <c r="D302" s="750">
        <v>41325</v>
      </c>
      <c r="E302" s="753">
        <v>30</v>
      </c>
      <c r="F302" s="753">
        <v>25.226300000000002</v>
      </c>
      <c r="G302" s="753">
        <v>10</v>
      </c>
      <c r="H302" s="753">
        <v>0</v>
      </c>
      <c r="I302" s="754">
        <v>1.54E-2</v>
      </c>
      <c r="J302" s="754">
        <v>1.95E-2</v>
      </c>
      <c r="K302" s="754">
        <v>1.7600000000000001E-2</v>
      </c>
      <c r="L302" s="752">
        <v>6</v>
      </c>
    </row>
    <row r="303" spans="1:12" ht="12" hidden="1" customHeight="1">
      <c r="A303" s="750">
        <v>41304</v>
      </c>
      <c r="B303" s="751" t="s">
        <v>1427</v>
      </c>
      <c r="C303" s="752">
        <v>28</v>
      </c>
      <c r="D303" s="750">
        <v>41332</v>
      </c>
      <c r="E303" s="753">
        <v>30</v>
      </c>
      <c r="F303" s="753">
        <v>18.002700000000001</v>
      </c>
      <c r="G303" s="753">
        <v>10</v>
      </c>
      <c r="H303" s="753">
        <v>0</v>
      </c>
      <c r="I303" s="754">
        <v>1.46E-2</v>
      </c>
      <c r="J303" s="754">
        <v>1.46E-2</v>
      </c>
      <c r="K303" s="754">
        <v>1.46E-2</v>
      </c>
      <c r="L303" s="752">
        <v>4</v>
      </c>
    </row>
    <row r="304" spans="1:12" ht="12" hidden="1" customHeight="1">
      <c r="A304" s="750">
        <v>41311</v>
      </c>
      <c r="B304" s="751" t="s">
        <v>1428</v>
      </c>
      <c r="C304" s="752">
        <v>28</v>
      </c>
      <c r="D304" s="750">
        <v>41339</v>
      </c>
      <c r="E304" s="753">
        <v>30</v>
      </c>
      <c r="F304" s="753">
        <v>20.979299999999999</v>
      </c>
      <c r="G304" s="753">
        <v>10</v>
      </c>
      <c r="H304" s="753">
        <v>0</v>
      </c>
      <c r="I304" s="754">
        <v>1.2999999999999999E-2</v>
      </c>
      <c r="J304" s="754">
        <v>1.35E-2</v>
      </c>
      <c r="K304" s="754">
        <v>1.32E-2</v>
      </c>
      <c r="L304" s="752">
        <v>3</v>
      </c>
    </row>
    <row r="305" spans="1:12" ht="12" hidden="1" customHeight="1">
      <c r="A305" s="750">
        <v>41318</v>
      </c>
      <c r="B305" s="751" t="s">
        <v>1429</v>
      </c>
      <c r="C305" s="752">
        <v>28</v>
      </c>
      <c r="D305" s="750">
        <v>41346</v>
      </c>
      <c r="E305" s="753">
        <v>30</v>
      </c>
      <c r="F305" s="753">
        <v>23.976611999999999</v>
      </c>
      <c r="G305" s="753">
        <v>10</v>
      </c>
      <c r="H305" s="753">
        <v>0</v>
      </c>
      <c r="I305" s="754">
        <v>1.21E-2</v>
      </c>
      <c r="J305" s="754">
        <v>1.21E-2</v>
      </c>
      <c r="K305" s="754">
        <v>1.21E-2</v>
      </c>
      <c r="L305" s="752">
        <v>2</v>
      </c>
    </row>
    <row r="306" spans="1:12" ht="12" hidden="1" customHeight="1">
      <c r="A306" s="750">
        <v>41325</v>
      </c>
      <c r="B306" s="751" t="s">
        <v>1430</v>
      </c>
      <c r="C306" s="752">
        <v>27</v>
      </c>
      <c r="D306" s="750">
        <v>41352</v>
      </c>
      <c r="E306" s="753">
        <v>30</v>
      </c>
      <c r="F306" s="753">
        <v>29.2182</v>
      </c>
      <c r="G306" s="753">
        <v>10</v>
      </c>
      <c r="H306" s="753">
        <v>0</v>
      </c>
      <c r="I306" s="754">
        <v>1.2E-2</v>
      </c>
      <c r="J306" s="754">
        <v>1.3299999999999999E-2</v>
      </c>
      <c r="K306" s="754">
        <v>1.2E-2</v>
      </c>
      <c r="L306" s="752">
        <v>4</v>
      </c>
    </row>
    <row r="307" spans="1:12" ht="12" hidden="1" customHeight="1">
      <c r="A307" s="750">
        <v>41332</v>
      </c>
      <c r="B307" s="751" t="s">
        <v>1431</v>
      </c>
      <c r="C307" s="752">
        <v>28</v>
      </c>
      <c r="D307" s="750">
        <v>41360</v>
      </c>
      <c r="E307" s="753">
        <v>30</v>
      </c>
      <c r="F307" s="753">
        <v>18.002800000000001</v>
      </c>
      <c r="G307" s="753">
        <v>10</v>
      </c>
      <c r="H307" s="753">
        <v>0</v>
      </c>
      <c r="I307" s="754">
        <v>1.2E-2</v>
      </c>
      <c r="J307" s="754">
        <v>1.3100000000000001E-2</v>
      </c>
      <c r="K307" s="754">
        <v>1.2500000000000001E-2</v>
      </c>
      <c r="L307" s="752">
        <v>3</v>
      </c>
    </row>
    <row r="308" spans="1:12" ht="12" hidden="1" customHeight="1">
      <c r="A308" s="750">
        <v>41339</v>
      </c>
      <c r="B308" s="751" t="s">
        <v>1432</v>
      </c>
      <c r="C308" s="752">
        <v>28</v>
      </c>
      <c r="D308" s="750">
        <v>41367</v>
      </c>
      <c r="E308" s="753">
        <v>30</v>
      </c>
      <c r="F308" s="753">
        <v>25.008500000000002</v>
      </c>
      <c r="G308" s="753">
        <v>10</v>
      </c>
      <c r="H308" s="753">
        <v>0</v>
      </c>
      <c r="I308" s="754">
        <v>1.2E-2</v>
      </c>
      <c r="J308" s="754">
        <v>1.2699999999999999E-2</v>
      </c>
      <c r="K308" s="754">
        <v>1.24E-2</v>
      </c>
      <c r="L308" s="752">
        <v>5</v>
      </c>
    </row>
    <row r="309" spans="1:12" ht="12" hidden="1" customHeight="1">
      <c r="A309" s="750">
        <v>41346</v>
      </c>
      <c r="B309" s="751" t="s">
        <v>1433</v>
      </c>
      <c r="C309" s="752">
        <v>28</v>
      </c>
      <c r="D309" s="750">
        <v>41374</v>
      </c>
      <c r="E309" s="753">
        <v>30</v>
      </c>
      <c r="F309" s="753">
        <v>21.004000000000001</v>
      </c>
      <c r="G309" s="753">
        <v>10</v>
      </c>
      <c r="H309" s="753">
        <v>4.0095000000000001</v>
      </c>
      <c r="I309" s="754">
        <v>1.2E-2</v>
      </c>
      <c r="J309" s="754">
        <v>1.21E-2</v>
      </c>
      <c r="K309" s="754">
        <v>1.21E-2</v>
      </c>
      <c r="L309" s="752">
        <v>3</v>
      </c>
    </row>
    <row r="310" spans="1:12" ht="12" hidden="1" customHeight="1">
      <c r="A310" s="750">
        <v>41352</v>
      </c>
      <c r="B310" s="751" t="s">
        <v>1434</v>
      </c>
      <c r="C310" s="752">
        <v>29</v>
      </c>
      <c r="D310" s="750">
        <v>41381</v>
      </c>
      <c r="E310" s="753">
        <v>30</v>
      </c>
      <c r="F310" s="753">
        <v>27.2164</v>
      </c>
      <c r="G310" s="753">
        <v>10</v>
      </c>
      <c r="H310" s="753">
        <v>0</v>
      </c>
      <c r="I310" s="754">
        <v>1.14E-2</v>
      </c>
      <c r="J310" s="754">
        <v>1.21E-2</v>
      </c>
      <c r="K310" s="754">
        <v>1.18E-2</v>
      </c>
      <c r="L310" s="752">
        <v>6</v>
      </c>
    </row>
    <row r="311" spans="1:12" ht="12" hidden="1" customHeight="1">
      <c r="A311" s="750">
        <v>41360</v>
      </c>
      <c r="B311" s="751" t="s">
        <v>1435</v>
      </c>
      <c r="C311" s="752">
        <v>28</v>
      </c>
      <c r="D311" s="750">
        <v>41388</v>
      </c>
      <c r="E311" s="753">
        <v>30</v>
      </c>
      <c r="F311" s="753">
        <v>10.002800000000001</v>
      </c>
      <c r="G311" s="753">
        <v>10</v>
      </c>
      <c r="H311" s="753">
        <v>0</v>
      </c>
      <c r="I311" s="754">
        <v>1.2E-2</v>
      </c>
      <c r="J311" s="754">
        <v>1.2500000000000001E-2</v>
      </c>
      <c r="K311" s="754">
        <v>1.2200000000000001E-2</v>
      </c>
      <c r="L311" s="752">
        <v>3</v>
      </c>
    </row>
    <row r="312" spans="1:12" ht="12" hidden="1" customHeight="1">
      <c r="A312" s="750">
        <v>41367</v>
      </c>
      <c r="B312" s="751" t="s">
        <v>1436</v>
      </c>
      <c r="C312" s="752">
        <v>28</v>
      </c>
      <c r="D312" s="750">
        <v>41395</v>
      </c>
      <c r="E312" s="753">
        <v>30</v>
      </c>
      <c r="F312" s="753">
        <v>10.506600000000001</v>
      </c>
      <c r="G312" s="753">
        <v>10</v>
      </c>
      <c r="H312" s="753">
        <v>0</v>
      </c>
      <c r="I312" s="754">
        <v>1.2E-2</v>
      </c>
      <c r="J312" s="754">
        <v>1.35E-2</v>
      </c>
      <c r="K312" s="754">
        <v>1.23E-2</v>
      </c>
      <c r="L312" s="752">
        <v>4</v>
      </c>
    </row>
    <row r="313" spans="1:12" ht="12" hidden="1" customHeight="1">
      <c r="A313" s="750">
        <v>41374</v>
      </c>
      <c r="B313" s="751" t="s">
        <v>1437</v>
      </c>
      <c r="C313" s="752">
        <v>28</v>
      </c>
      <c r="D313" s="750">
        <v>41402</v>
      </c>
      <c r="E313" s="753">
        <v>30</v>
      </c>
      <c r="F313" s="753">
        <v>14.5046</v>
      </c>
      <c r="G313" s="753">
        <v>10</v>
      </c>
      <c r="H313" s="753">
        <v>0</v>
      </c>
      <c r="I313" s="754">
        <v>1.0999999999999999E-2</v>
      </c>
      <c r="J313" s="754">
        <v>1.2E-2</v>
      </c>
      <c r="K313" s="754">
        <v>1.12E-2</v>
      </c>
      <c r="L313" s="752">
        <v>3</v>
      </c>
    </row>
    <row r="314" spans="1:12" ht="12" hidden="1" customHeight="1">
      <c r="A314" s="750">
        <v>41381</v>
      </c>
      <c r="B314" s="751" t="s">
        <v>1438</v>
      </c>
      <c r="C314" s="752">
        <v>28</v>
      </c>
      <c r="D314" s="750">
        <v>41409</v>
      </c>
      <c r="E314" s="753">
        <v>30</v>
      </c>
      <c r="F314" s="753">
        <v>8.2124000000000006</v>
      </c>
      <c r="G314" s="753">
        <v>8.2124000000000006</v>
      </c>
      <c r="H314" s="753">
        <v>0</v>
      </c>
      <c r="I314" s="754">
        <v>1.0999999999999999E-2</v>
      </c>
      <c r="J314" s="754">
        <v>1.21E-2</v>
      </c>
      <c r="K314" s="754">
        <v>1.1599999999999999E-2</v>
      </c>
      <c r="L314" s="752">
        <v>4</v>
      </c>
    </row>
    <row r="315" spans="1:12" ht="12" hidden="1" customHeight="1">
      <c r="A315" s="750">
        <v>41388</v>
      </c>
      <c r="B315" s="751" t="s">
        <v>1439</v>
      </c>
      <c r="C315" s="752">
        <v>28</v>
      </c>
      <c r="D315" s="750">
        <v>41416</v>
      </c>
      <c r="E315" s="753">
        <v>30</v>
      </c>
      <c r="F315" s="753">
        <v>5.0027999999999997</v>
      </c>
      <c r="G315" s="753">
        <v>3.9028</v>
      </c>
      <c r="H315" s="753">
        <v>0</v>
      </c>
      <c r="I315" s="754">
        <v>1.2E-2</v>
      </c>
      <c r="J315" s="754">
        <v>1.35E-2</v>
      </c>
      <c r="K315" s="754">
        <v>1.24E-2</v>
      </c>
      <c r="L315" s="752">
        <v>2</v>
      </c>
    </row>
    <row r="316" spans="1:12" ht="12" hidden="1" customHeight="1">
      <c r="A316" s="750">
        <v>41395</v>
      </c>
      <c r="B316" s="751" t="s">
        <v>1458</v>
      </c>
      <c r="C316" s="752">
        <v>28</v>
      </c>
      <c r="D316" s="750">
        <v>41423</v>
      </c>
      <c r="E316" s="753">
        <v>30</v>
      </c>
      <c r="F316" s="753">
        <v>7.5060000000000002</v>
      </c>
      <c r="G316" s="753">
        <v>5</v>
      </c>
      <c r="H316" s="753">
        <v>0</v>
      </c>
      <c r="I316" s="754">
        <v>1.2E-2</v>
      </c>
      <c r="J316" s="754">
        <v>1.2E-2</v>
      </c>
      <c r="K316" s="754">
        <v>1.2E-2</v>
      </c>
      <c r="L316" s="752">
        <v>2</v>
      </c>
    </row>
    <row r="317" spans="1:12" ht="12" hidden="1" customHeight="1">
      <c r="A317" s="750">
        <v>41402</v>
      </c>
      <c r="B317" s="751" t="s">
        <v>1459</v>
      </c>
      <c r="C317" s="752">
        <v>28</v>
      </c>
      <c r="D317" s="750">
        <v>41430</v>
      </c>
      <c r="E317" s="753">
        <v>30</v>
      </c>
      <c r="F317" s="753">
        <v>0</v>
      </c>
      <c r="G317" s="753">
        <v>0</v>
      </c>
      <c r="H317" s="753">
        <v>0</v>
      </c>
      <c r="I317" s="754">
        <v>0</v>
      </c>
      <c r="J317" s="754">
        <v>0</v>
      </c>
      <c r="K317" s="754">
        <v>0</v>
      </c>
      <c r="L317" s="752">
        <v>0</v>
      </c>
    </row>
    <row r="318" spans="1:12" ht="12" hidden="1" customHeight="1">
      <c r="A318" s="750">
        <v>41409</v>
      </c>
      <c r="B318" s="751" t="s">
        <v>1460</v>
      </c>
      <c r="C318" s="752">
        <v>28</v>
      </c>
      <c r="D318" s="750">
        <v>41437</v>
      </c>
      <c r="E318" s="753">
        <v>30</v>
      </c>
      <c r="F318" s="753">
        <v>6.2118000000000002</v>
      </c>
      <c r="G318" s="753">
        <v>5</v>
      </c>
      <c r="H318" s="753">
        <v>0</v>
      </c>
      <c r="I318" s="754">
        <v>1.2E-2</v>
      </c>
      <c r="J318" s="754">
        <v>1.21E-2</v>
      </c>
      <c r="K318" s="754">
        <v>1.2E-2</v>
      </c>
      <c r="L318" s="752">
        <v>4</v>
      </c>
    </row>
    <row r="319" spans="1:12" ht="12" hidden="1" customHeight="1">
      <c r="A319" s="750">
        <v>41416</v>
      </c>
      <c r="B319" s="751" t="s">
        <v>1461</v>
      </c>
      <c r="C319" s="752">
        <v>28</v>
      </c>
      <c r="D319" s="750">
        <v>41444</v>
      </c>
      <c r="E319" s="753">
        <v>30</v>
      </c>
      <c r="F319" s="753">
        <v>3.1027999999999998</v>
      </c>
      <c r="G319" s="753">
        <v>3.0028000000000001</v>
      </c>
      <c r="H319" s="753">
        <v>0</v>
      </c>
      <c r="I319" s="754">
        <v>1.2E-2</v>
      </c>
      <c r="J319" s="754">
        <v>1.2E-2</v>
      </c>
      <c r="K319" s="754">
        <v>1.2E-2</v>
      </c>
      <c r="L319" s="752">
        <v>2</v>
      </c>
    </row>
    <row r="320" spans="1:12" ht="12" hidden="1" customHeight="1">
      <c r="A320" s="750">
        <v>41423</v>
      </c>
      <c r="B320" s="751" t="s">
        <v>1462</v>
      </c>
      <c r="C320" s="752">
        <v>29</v>
      </c>
      <c r="D320" s="750">
        <v>41452</v>
      </c>
      <c r="E320" s="753">
        <v>30</v>
      </c>
      <c r="F320" s="753">
        <v>0</v>
      </c>
      <c r="G320" s="753">
        <v>0</v>
      </c>
      <c r="H320" s="753">
        <v>0</v>
      </c>
      <c r="I320" s="754">
        <v>0</v>
      </c>
      <c r="J320" s="754">
        <v>0</v>
      </c>
      <c r="K320" s="754">
        <v>0</v>
      </c>
      <c r="L320" s="752">
        <v>0</v>
      </c>
    </row>
    <row r="321" spans="1:12" ht="12" hidden="1" customHeight="1">
      <c r="A321" s="750">
        <v>41430</v>
      </c>
      <c r="B321" s="751" t="s">
        <v>1508</v>
      </c>
      <c r="C321" s="752">
        <v>28</v>
      </c>
      <c r="D321" s="750">
        <v>41458</v>
      </c>
      <c r="E321" s="753">
        <v>30</v>
      </c>
      <c r="F321" s="753">
        <v>8.5</v>
      </c>
      <c r="G321" s="753">
        <v>5</v>
      </c>
      <c r="H321" s="753">
        <v>0</v>
      </c>
      <c r="I321" s="754">
        <v>1.2E-2</v>
      </c>
      <c r="J321" s="754">
        <v>1.2E-2</v>
      </c>
      <c r="K321" s="754">
        <v>1.2E-2</v>
      </c>
      <c r="L321" s="752">
        <v>2</v>
      </c>
    </row>
    <row r="322" spans="1:12" ht="12" hidden="1" customHeight="1">
      <c r="A322" s="750">
        <v>41437</v>
      </c>
      <c r="B322" s="751" t="s">
        <v>1509</v>
      </c>
      <c r="C322" s="752">
        <v>28</v>
      </c>
      <c r="D322" s="750">
        <v>41465</v>
      </c>
      <c r="E322" s="753">
        <v>30</v>
      </c>
      <c r="F322" s="753">
        <v>10.203200000000001</v>
      </c>
      <c r="G322" s="753">
        <v>5</v>
      </c>
      <c r="H322" s="753">
        <v>0</v>
      </c>
      <c r="I322" s="754">
        <v>1.2E-2</v>
      </c>
      <c r="J322" s="754">
        <v>1.2E-2</v>
      </c>
      <c r="K322" s="754">
        <v>1.2E-2</v>
      </c>
      <c r="L322" s="752">
        <v>3</v>
      </c>
    </row>
    <row r="323" spans="1:12" ht="12" hidden="1" customHeight="1">
      <c r="A323" s="750">
        <v>41444</v>
      </c>
      <c r="B323" s="751" t="s">
        <v>1510</v>
      </c>
      <c r="C323" s="752">
        <v>28</v>
      </c>
      <c r="D323" s="750">
        <v>41472</v>
      </c>
      <c r="E323" s="753">
        <v>30</v>
      </c>
      <c r="F323" s="753">
        <v>8.0045000000000002</v>
      </c>
      <c r="G323" s="753">
        <v>5</v>
      </c>
      <c r="H323" s="753">
        <v>0</v>
      </c>
      <c r="I323" s="754">
        <v>1.2E-2</v>
      </c>
      <c r="J323" s="754">
        <v>1.2E-2</v>
      </c>
      <c r="K323" s="754">
        <v>1.2E-2</v>
      </c>
      <c r="L323" s="752">
        <v>2</v>
      </c>
    </row>
    <row r="324" spans="1:12" ht="12" hidden="1" customHeight="1">
      <c r="A324" s="750">
        <v>41450</v>
      </c>
      <c r="B324" s="751" t="s">
        <v>1511</v>
      </c>
      <c r="C324" s="752">
        <v>29</v>
      </c>
      <c r="D324" s="750">
        <v>41479</v>
      </c>
      <c r="E324" s="753">
        <v>30</v>
      </c>
      <c r="F324" s="753">
        <v>0</v>
      </c>
      <c r="G324" s="753">
        <v>0</v>
      </c>
      <c r="H324" s="753">
        <v>0</v>
      </c>
      <c r="I324" s="754">
        <v>0</v>
      </c>
      <c r="J324" s="754">
        <v>0</v>
      </c>
      <c r="K324" s="754">
        <v>0</v>
      </c>
      <c r="L324" s="752">
        <v>0</v>
      </c>
    </row>
    <row r="325" spans="1:12" ht="12" hidden="1" customHeight="1">
      <c r="A325" s="750">
        <v>41458</v>
      </c>
      <c r="B325" s="751" t="s">
        <v>1512</v>
      </c>
      <c r="C325" s="752">
        <v>28</v>
      </c>
      <c r="D325" s="750">
        <v>41486</v>
      </c>
      <c r="E325" s="753">
        <v>30</v>
      </c>
      <c r="F325" s="753">
        <v>8.5060000000000002</v>
      </c>
      <c r="G325" s="753">
        <v>5</v>
      </c>
      <c r="H325" s="753">
        <v>0</v>
      </c>
      <c r="I325" s="754">
        <v>1.2E-2</v>
      </c>
      <c r="J325" s="754">
        <v>1.2E-2</v>
      </c>
      <c r="K325" s="754">
        <v>1.2E-2</v>
      </c>
      <c r="L325" s="752">
        <v>3</v>
      </c>
    </row>
    <row r="326" spans="1:12" ht="12" hidden="1" customHeight="1">
      <c r="A326" s="750">
        <v>41465</v>
      </c>
      <c r="B326" s="751" t="s">
        <v>1513</v>
      </c>
      <c r="C326" s="752">
        <v>28</v>
      </c>
      <c r="D326" s="750">
        <v>41493</v>
      </c>
      <c r="E326" s="753">
        <v>30</v>
      </c>
      <c r="F326" s="753">
        <v>6.3009000000000004</v>
      </c>
      <c r="G326" s="753">
        <v>5</v>
      </c>
      <c r="H326" s="753">
        <v>0</v>
      </c>
      <c r="I326" s="754">
        <v>1.2E-2</v>
      </c>
      <c r="J326" s="754">
        <v>1.2E-2</v>
      </c>
      <c r="K326" s="754">
        <v>1.2E-2</v>
      </c>
      <c r="L326" s="752">
        <v>2</v>
      </c>
    </row>
    <row r="327" spans="1:12" ht="12" hidden="1" customHeight="1">
      <c r="A327" s="750">
        <v>41472</v>
      </c>
      <c r="B327" s="751" t="s">
        <v>1514</v>
      </c>
      <c r="C327" s="752">
        <v>28</v>
      </c>
      <c r="D327" s="750">
        <v>41500</v>
      </c>
      <c r="E327" s="753">
        <v>30</v>
      </c>
      <c r="F327" s="753">
        <v>8.004543</v>
      </c>
      <c r="G327" s="753">
        <v>5</v>
      </c>
      <c r="H327" s="753">
        <v>0</v>
      </c>
      <c r="I327" s="754">
        <v>1.2E-2</v>
      </c>
      <c r="J327" s="754">
        <v>1.2E-2</v>
      </c>
      <c r="K327" s="754">
        <v>1.2E-2</v>
      </c>
      <c r="L327" s="752">
        <v>2</v>
      </c>
    </row>
    <row r="328" spans="1:12" ht="12" hidden="1" customHeight="1">
      <c r="A328" s="750">
        <v>41479</v>
      </c>
      <c r="B328" s="751" t="s">
        <v>1515</v>
      </c>
      <c r="C328" s="752">
        <v>28</v>
      </c>
      <c r="D328" s="750">
        <v>41507</v>
      </c>
      <c r="E328" s="753">
        <v>30</v>
      </c>
      <c r="F328" s="753">
        <v>0</v>
      </c>
      <c r="G328" s="753">
        <v>0</v>
      </c>
      <c r="H328" s="753">
        <v>0</v>
      </c>
      <c r="I328" s="754">
        <v>0</v>
      </c>
      <c r="J328" s="754">
        <v>0</v>
      </c>
      <c r="K328" s="754">
        <v>0</v>
      </c>
      <c r="L328" s="752">
        <v>0</v>
      </c>
    </row>
    <row r="329" spans="1:12" ht="12" hidden="1" customHeight="1">
      <c r="A329" s="750">
        <v>41486</v>
      </c>
      <c r="B329" s="751" t="s">
        <v>1516</v>
      </c>
      <c r="C329" s="752">
        <v>28</v>
      </c>
      <c r="D329" s="750">
        <v>41514</v>
      </c>
      <c r="E329" s="753">
        <v>30</v>
      </c>
      <c r="F329" s="753">
        <v>7.9929800000000002</v>
      </c>
      <c r="G329" s="753">
        <v>5</v>
      </c>
      <c r="H329" s="753">
        <v>0</v>
      </c>
      <c r="I329" s="754">
        <v>1.2E-2</v>
      </c>
      <c r="J329" s="754">
        <v>1.2E-2</v>
      </c>
      <c r="K329" s="754">
        <v>1.2E-2</v>
      </c>
      <c r="L329" s="752">
        <v>2</v>
      </c>
    </row>
    <row r="330" spans="1:12" ht="12" hidden="1" customHeight="1">
      <c r="A330" s="750">
        <v>41493</v>
      </c>
      <c r="B330" s="751" t="s">
        <v>1521</v>
      </c>
      <c r="C330" s="752">
        <v>28</v>
      </c>
      <c r="D330" s="750">
        <v>41521</v>
      </c>
      <c r="E330" s="753">
        <v>30</v>
      </c>
      <c r="F330" s="753">
        <v>12.007199999999999</v>
      </c>
      <c r="G330" s="753">
        <v>5</v>
      </c>
      <c r="H330" s="753">
        <v>0</v>
      </c>
      <c r="I330" s="754">
        <v>1.15E-2</v>
      </c>
      <c r="J330" s="754">
        <v>1.2E-2</v>
      </c>
      <c r="K330" s="754">
        <v>1.1599999999999999E-2</v>
      </c>
      <c r="L330" s="752">
        <v>3</v>
      </c>
    </row>
    <row r="331" spans="1:12" ht="12" hidden="1" customHeight="1">
      <c r="A331" s="750">
        <v>41500</v>
      </c>
      <c r="B331" s="751" t="s">
        <v>1522</v>
      </c>
      <c r="C331" s="752">
        <v>28</v>
      </c>
      <c r="D331" s="750">
        <v>41528</v>
      </c>
      <c r="E331" s="753">
        <v>30</v>
      </c>
      <c r="F331" s="753">
        <v>10.0052</v>
      </c>
      <c r="G331" s="753">
        <v>5</v>
      </c>
      <c r="H331" s="753">
        <v>0</v>
      </c>
      <c r="I331" s="754">
        <v>1.15E-2</v>
      </c>
      <c r="J331" s="754">
        <v>1.18E-2</v>
      </c>
      <c r="K331" s="754">
        <v>1.15E-2</v>
      </c>
      <c r="L331" s="752">
        <v>2</v>
      </c>
    </row>
    <row r="332" spans="1:12" ht="12" hidden="1" customHeight="1">
      <c r="A332" s="750">
        <v>41507</v>
      </c>
      <c r="B332" s="751" t="s">
        <v>1523</v>
      </c>
      <c r="C332" s="752">
        <v>28</v>
      </c>
      <c r="D332" s="750">
        <v>41535</v>
      </c>
      <c r="E332" s="753">
        <v>30</v>
      </c>
      <c r="F332" s="753">
        <v>8.0054999999999996</v>
      </c>
      <c r="G332" s="753">
        <v>5</v>
      </c>
      <c r="H332" s="753">
        <v>0</v>
      </c>
      <c r="I332" s="754">
        <v>1.1299999999999999E-2</v>
      </c>
      <c r="J332" s="754">
        <v>1.15E-2</v>
      </c>
      <c r="K332" s="754">
        <v>1.14E-2</v>
      </c>
      <c r="L332" s="752">
        <v>2</v>
      </c>
    </row>
    <row r="333" spans="1:12" ht="12" hidden="1" customHeight="1">
      <c r="A333" s="750">
        <v>41514</v>
      </c>
      <c r="B333" s="751" t="s">
        <v>1524</v>
      </c>
      <c r="C333" s="752">
        <v>28</v>
      </c>
      <c r="D333" s="750">
        <v>41542</v>
      </c>
      <c r="E333" s="753">
        <v>30</v>
      </c>
      <c r="F333" s="753">
        <v>11.006399999999999</v>
      </c>
      <c r="G333" s="753">
        <v>5</v>
      </c>
      <c r="H333" s="753">
        <v>0</v>
      </c>
      <c r="I333" s="754">
        <v>1.1299999999999999E-2</v>
      </c>
      <c r="J333" s="754">
        <v>1.15E-2</v>
      </c>
      <c r="K333" s="754">
        <v>1.15E-2</v>
      </c>
      <c r="L333" s="752">
        <v>2</v>
      </c>
    </row>
    <row r="334" spans="1:12" ht="12" hidden="1" customHeight="1">
      <c r="A334" s="750">
        <v>41521</v>
      </c>
      <c r="B334" s="751" t="s">
        <v>1540</v>
      </c>
      <c r="C334" s="752">
        <v>28</v>
      </c>
      <c r="D334" s="750">
        <v>41549</v>
      </c>
      <c r="E334" s="753">
        <v>30</v>
      </c>
      <c r="F334" s="753">
        <v>0</v>
      </c>
      <c r="G334" s="753">
        <v>0</v>
      </c>
      <c r="H334" s="753">
        <v>0</v>
      </c>
      <c r="I334" s="754">
        <v>0</v>
      </c>
      <c r="J334" s="754">
        <v>0</v>
      </c>
      <c r="K334" s="754">
        <v>0</v>
      </c>
      <c r="L334" s="752">
        <v>0</v>
      </c>
    </row>
    <row r="335" spans="1:12" ht="12" hidden="1" customHeight="1">
      <c r="A335" s="750">
        <v>41528</v>
      </c>
      <c r="B335" s="751" t="s">
        <v>1541</v>
      </c>
      <c r="C335" s="752">
        <v>28</v>
      </c>
      <c r="D335" s="750">
        <v>41556</v>
      </c>
      <c r="E335" s="753">
        <v>30</v>
      </c>
      <c r="F335" s="753">
        <v>7.9930000000000003</v>
      </c>
      <c r="G335" s="753">
        <v>5</v>
      </c>
      <c r="H335" s="753">
        <v>0</v>
      </c>
      <c r="I335" s="754">
        <v>1.0999999999999999E-2</v>
      </c>
      <c r="J335" s="754">
        <v>1.15E-2</v>
      </c>
      <c r="K335" s="754">
        <v>1.11E-2</v>
      </c>
      <c r="L335" s="752">
        <v>2</v>
      </c>
    </row>
    <row r="336" spans="1:12" ht="12" hidden="1" customHeight="1">
      <c r="A336" s="750">
        <v>41535</v>
      </c>
      <c r="B336" s="751" t="s">
        <v>1542</v>
      </c>
      <c r="C336" s="752">
        <v>28</v>
      </c>
      <c r="D336" s="750">
        <v>41563</v>
      </c>
      <c r="E336" s="753">
        <v>30</v>
      </c>
      <c r="F336" s="753">
        <v>13.0016</v>
      </c>
      <c r="G336" s="753">
        <v>5</v>
      </c>
      <c r="H336" s="753">
        <v>0</v>
      </c>
      <c r="I336" s="754">
        <v>1.1299999999999999E-2</v>
      </c>
      <c r="J336" s="754">
        <v>1.1299999999999999E-2</v>
      </c>
      <c r="K336" s="754">
        <v>1.1299999999999999E-2</v>
      </c>
      <c r="L336" s="752">
        <v>2</v>
      </c>
    </row>
    <row r="337" spans="1:12" ht="12" hidden="1" customHeight="1">
      <c r="A337" s="750">
        <v>41542</v>
      </c>
      <c r="B337" s="751" t="s">
        <v>1543</v>
      </c>
      <c r="C337" s="752">
        <v>28</v>
      </c>
      <c r="D337" s="750">
        <v>41570</v>
      </c>
      <c r="E337" s="753">
        <v>30</v>
      </c>
      <c r="F337" s="753">
        <v>15.003500000000001</v>
      </c>
      <c r="G337" s="753">
        <v>5</v>
      </c>
      <c r="H337" s="753">
        <v>0</v>
      </c>
      <c r="I337" s="754">
        <v>1.1299999999999999E-2</v>
      </c>
      <c r="J337" s="754">
        <v>1.1299999999999999E-2</v>
      </c>
      <c r="K337" s="754">
        <v>1.1299999999999999E-2</v>
      </c>
      <c r="L337" s="752">
        <v>2</v>
      </c>
    </row>
    <row r="338" spans="1:12" ht="12" hidden="1" customHeight="1">
      <c r="A338" s="750">
        <v>41549</v>
      </c>
      <c r="B338" s="751" t="s">
        <v>1556</v>
      </c>
      <c r="C338" s="752">
        <v>28</v>
      </c>
      <c r="D338" s="750">
        <v>41577</v>
      </c>
      <c r="E338" s="753">
        <v>30</v>
      </c>
      <c r="F338" s="753">
        <v>10.001799999999999</v>
      </c>
      <c r="G338" s="753">
        <v>5</v>
      </c>
      <c r="H338" s="753">
        <v>0</v>
      </c>
      <c r="I338" s="754">
        <v>1.1299999999999999E-2</v>
      </c>
      <c r="J338" s="754">
        <v>1.1299999999999999E-2</v>
      </c>
      <c r="K338" s="754">
        <v>1.1299999999999999E-2</v>
      </c>
      <c r="L338" s="752">
        <v>2</v>
      </c>
    </row>
    <row r="339" spans="1:12" ht="12" hidden="1" customHeight="1">
      <c r="A339" s="750">
        <v>41557</v>
      </c>
      <c r="B339" s="751" t="s">
        <v>1557</v>
      </c>
      <c r="C339" s="752">
        <v>27</v>
      </c>
      <c r="D339" s="750">
        <v>41584</v>
      </c>
      <c r="E339" s="753">
        <v>30</v>
      </c>
      <c r="F339" s="753">
        <v>15.005800000000001</v>
      </c>
      <c r="G339" s="753">
        <v>5</v>
      </c>
      <c r="H339" s="753">
        <v>0</v>
      </c>
      <c r="I339" s="754">
        <v>1.17E-2</v>
      </c>
      <c r="J339" s="754">
        <v>1.17E-2</v>
      </c>
      <c r="K339" s="754">
        <v>1.17E-2</v>
      </c>
      <c r="L339" s="752">
        <v>3</v>
      </c>
    </row>
    <row r="340" spans="1:12" ht="12" hidden="1" customHeight="1">
      <c r="A340" s="750">
        <v>41564</v>
      </c>
      <c r="B340" s="751" t="s">
        <v>1558</v>
      </c>
      <c r="C340" s="752">
        <v>27</v>
      </c>
      <c r="D340" s="750">
        <v>41591</v>
      </c>
      <c r="E340" s="753">
        <v>30</v>
      </c>
      <c r="F340" s="753">
        <v>10.001799999999999</v>
      </c>
      <c r="G340" s="753">
        <v>5</v>
      </c>
      <c r="H340" s="753">
        <v>0</v>
      </c>
      <c r="I340" s="754">
        <v>1.1599999999999999E-2</v>
      </c>
      <c r="J340" s="754">
        <v>1.1599999999999999E-2</v>
      </c>
      <c r="K340" s="754">
        <v>1.1599999999999999E-2</v>
      </c>
      <c r="L340" s="752">
        <v>2</v>
      </c>
    </row>
    <row r="341" spans="1:12" ht="12" hidden="1" customHeight="1">
      <c r="A341" s="750">
        <v>41570</v>
      </c>
      <c r="B341" s="751" t="s">
        <v>1559</v>
      </c>
      <c r="C341" s="752">
        <v>28</v>
      </c>
      <c r="D341" s="750">
        <v>41598</v>
      </c>
      <c r="E341" s="753">
        <v>30</v>
      </c>
      <c r="F341" s="753">
        <v>10.001799999999999</v>
      </c>
      <c r="G341" s="753">
        <v>5</v>
      </c>
      <c r="H341" s="753">
        <v>0</v>
      </c>
      <c r="I341" s="754">
        <v>1.1299999999999999E-2</v>
      </c>
      <c r="J341" s="754">
        <v>1.1299999999999999E-2</v>
      </c>
      <c r="K341" s="754">
        <v>1.1299999999999999E-2</v>
      </c>
      <c r="L341" s="752">
        <v>2</v>
      </c>
    </row>
    <row r="342" spans="1:12" ht="12" hidden="1" customHeight="1">
      <c r="A342" s="750">
        <v>41577</v>
      </c>
      <c r="B342" s="751" t="s">
        <v>1560</v>
      </c>
      <c r="C342" s="752">
        <v>28</v>
      </c>
      <c r="D342" s="750">
        <v>41605</v>
      </c>
      <c r="E342" s="753">
        <v>30</v>
      </c>
      <c r="F342" s="753">
        <v>10.0022</v>
      </c>
      <c r="G342" s="753">
        <v>5</v>
      </c>
      <c r="H342" s="753">
        <v>0</v>
      </c>
      <c r="I342" s="754">
        <v>1.09E-2</v>
      </c>
      <c r="J342" s="754">
        <v>1.09E-2</v>
      </c>
      <c r="K342" s="754">
        <v>1.09E-2</v>
      </c>
      <c r="L342" s="752">
        <v>2</v>
      </c>
    </row>
    <row r="343" spans="1:12" ht="12" hidden="1" customHeight="1">
      <c r="A343" s="750">
        <v>41584</v>
      </c>
      <c r="B343" s="751" t="s">
        <v>1615</v>
      </c>
      <c r="C343" s="752">
        <v>28</v>
      </c>
      <c r="D343" s="750">
        <v>41612</v>
      </c>
      <c r="E343" s="753">
        <v>30</v>
      </c>
      <c r="F343" s="753">
        <v>10.2987</v>
      </c>
      <c r="G343" s="753">
        <v>5</v>
      </c>
      <c r="H343" s="753">
        <v>0</v>
      </c>
      <c r="I343" s="754">
        <v>1.0999999999999999E-2</v>
      </c>
      <c r="J343" s="754">
        <v>1.0999999999999999E-2</v>
      </c>
      <c r="K343" s="754">
        <v>1.0999999999999999E-2</v>
      </c>
      <c r="L343" s="752">
        <v>2</v>
      </c>
    </row>
    <row r="344" spans="1:12" ht="12" hidden="1" customHeight="1">
      <c r="A344" s="750">
        <v>41591</v>
      </c>
      <c r="B344" s="751" t="s">
        <v>1616</v>
      </c>
      <c r="C344" s="752">
        <v>28</v>
      </c>
      <c r="D344" s="750">
        <v>41619</v>
      </c>
      <c r="E344" s="753">
        <v>30</v>
      </c>
      <c r="F344" s="753">
        <v>10.0017</v>
      </c>
      <c r="G344" s="753">
        <v>5</v>
      </c>
      <c r="H344" s="753">
        <v>0</v>
      </c>
      <c r="I344" s="754">
        <v>1.09E-2</v>
      </c>
      <c r="J344" s="754">
        <v>1.09E-2</v>
      </c>
      <c r="K344" s="754">
        <v>1.09E-2</v>
      </c>
      <c r="L344" s="752">
        <v>2</v>
      </c>
    </row>
    <row r="345" spans="1:12" ht="12" hidden="1" customHeight="1">
      <c r="A345" s="750">
        <v>41598</v>
      </c>
      <c r="B345" s="751" t="s">
        <v>1617</v>
      </c>
      <c r="C345" s="752">
        <v>28</v>
      </c>
      <c r="D345" s="750">
        <v>41626</v>
      </c>
      <c r="E345" s="753">
        <v>30</v>
      </c>
      <c r="F345" s="753">
        <v>10.0021</v>
      </c>
      <c r="G345" s="753">
        <v>5</v>
      </c>
      <c r="H345" s="753">
        <v>0</v>
      </c>
      <c r="I345" s="754">
        <v>1.09E-2</v>
      </c>
      <c r="J345" s="754">
        <v>1.09E-2</v>
      </c>
      <c r="K345" s="754">
        <v>1.09E-2</v>
      </c>
      <c r="L345" s="752">
        <v>2</v>
      </c>
    </row>
    <row r="346" spans="1:12" ht="12" hidden="1" customHeight="1">
      <c r="A346" s="750">
        <v>41605</v>
      </c>
      <c r="B346" s="751" t="s">
        <v>1618</v>
      </c>
      <c r="C346" s="752">
        <v>28</v>
      </c>
      <c r="D346" s="750">
        <v>41633</v>
      </c>
      <c r="E346" s="753">
        <v>30</v>
      </c>
      <c r="F346" s="753">
        <v>10.0017</v>
      </c>
      <c r="G346" s="753">
        <v>5</v>
      </c>
      <c r="H346" s="753">
        <v>0</v>
      </c>
      <c r="I346" s="754">
        <v>1.0800000000000001E-2</v>
      </c>
      <c r="J346" s="754">
        <v>1.0800000000000001E-2</v>
      </c>
      <c r="K346" s="754">
        <v>1.0800000000000001E-2</v>
      </c>
      <c r="L346" s="752">
        <v>2</v>
      </c>
    </row>
    <row r="347" spans="1:12" ht="12" hidden="1" customHeight="1">
      <c r="A347" s="750">
        <v>41612</v>
      </c>
      <c r="B347" s="751" t="s">
        <v>1630</v>
      </c>
      <c r="C347" s="752">
        <v>30</v>
      </c>
      <c r="D347" s="750">
        <v>41642</v>
      </c>
      <c r="E347" s="753">
        <v>30</v>
      </c>
      <c r="F347" s="753">
        <v>10.001899999999999</v>
      </c>
      <c r="G347" s="753">
        <v>5</v>
      </c>
      <c r="H347" s="753">
        <v>0</v>
      </c>
      <c r="I347" s="754">
        <v>0.01</v>
      </c>
      <c r="J347" s="754">
        <v>0.01</v>
      </c>
      <c r="K347" s="754">
        <v>0.01</v>
      </c>
      <c r="L347" s="752">
        <v>2</v>
      </c>
    </row>
    <row r="348" spans="1:12" ht="12" hidden="1" customHeight="1">
      <c r="A348" s="750">
        <v>41619</v>
      </c>
      <c r="B348" s="751" t="s">
        <v>1631</v>
      </c>
      <c r="C348" s="752">
        <v>28</v>
      </c>
      <c r="D348" s="750">
        <v>41647</v>
      </c>
      <c r="E348" s="753">
        <v>30</v>
      </c>
      <c r="F348" s="753">
        <v>10.0016</v>
      </c>
      <c r="G348" s="753">
        <v>5</v>
      </c>
      <c r="H348" s="753">
        <v>0</v>
      </c>
      <c r="I348" s="754">
        <v>1.0699999999999999E-2</v>
      </c>
      <c r="J348" s="754">
        <v>1.0699999999999999E-2</v>
      </c>
      <c r="K348" s="754">
        <v>1.0699999999999999E-2</v>
      </c>
      <c r="L348" s="752">
        <v>2</v>
      </c>
    </row>
    <row r="349" spans="1:12" ht="12" hidden="1" customHeight="1">
      <c r="A349" s="750">
        <v>41626</v>
      </c>
      <c r="B349" s="751" t="s">
        <v>1632</v>
      </c>
      <c r="C349" s="752">
        <v>28</v>
      </c>
      <c r="D349" s="750">
        <v>41654</v>
      </c>
      <c r="E349" s="753">
        <v>30</v>
      </c>
      <c r="F349" s="753">
        <v>10.0016</v>
      </c>
      <c r="G349" s="753">
        <v>5</v>
      </c>
      <c r="H349" s="753">
        <v>0</v>
      </c>
      <c r="I349" s="754">
        <v>1.0699999999999999E-2</v>
      </c>
      <c r="J349" s="754">
        <v>1.0699999999999999E-2</v>
      </c>
      <c r="K349" s="754">
        <v>1.0699999999999999E-2</v>
      </c>
      <c r="L349" s="752">
        <v>2</v>
      </c>
    </row>
    <row r="350" spans="1:12" ht="12" hidden="1" customHeight="1">
      <c r="A350" s="750">
        <v>41633</v>
      </c>
      <c r="B350" s="751" t="s">
        <v>1633</v>
      </c>
      <c r="C350" s="752">
        <v>28</v>
      </c>
      <c r="D350" s="750">
        <v>41661</v>
      </c>
      <c r="E350" s="753">
        <v>30</v>
      </c>
      <c r="F350" s="753">
        <v>7.0033000000000003</v>
      </c>
      <c r="G350" s="753">
        <v>5</v>
      </c>
      <c r="H350" s="753">
        <v>0</v>
      </c>
      <c r="I350" s="754">
        <v>1.0500000000000001E-2</v>
      </c>
      <c r="J350" s="754">
        <v>1.0699999999999999E-2</v>
      </c>
      <c r="K350" s="754">
        <v>1.06E-2</v>
      </c>
      <c r="L350" s="752">
        <v>2</v>
      </c>
    </row>
    <row r="351" spans="1:12" ht="12" hidden="1" customHeight="1">
      <c r="A351" s="750">
        <v>41647</v>
      </c>
      <c r="B351" s="751" t="s">
        <v>1636</v>
      </c>
      <c r="C351" s="752">
        <v>28</v>
      </c>
      <c r="D351" s="750">
        <v>41675</v>
      </c>
      <c r="E351" s="753">
        <v>30</v>
      </c>
      <c r="F351" s="753">
        <v>10.002000000000001</v>
      </c>
      <c r="G351" s="753">
        <v>5</v>
      </c>
      <c r="H351" s="753">
        <v>0</v>
      </c>
      <c r="I351" s="754">
        <v>1.0699999999999999E-2</v>
      </c>
      <c r="J351" s="754">
        <v>1.0699999999999999E-2</v>
      </c>
      <c r="K351" s="754">
        <v>1.0699999999999999E-2</v>
      </c>
      <c r="L351" s="752">
        <v>2</v>
      </c>
    </row>
    <row r="352" spans="1:12" ht="12" hidden="1" customHeight="1">
      <c r="A352" s="750">
        <v>41654</v>
      </c>
      <c r="B352" s="751" t="s">
        <v>1637</v>
      </c>
      <c r="C352" s="752">
        <v>28</v>
      </c>
      <c r="D352" s="750">
        <v>41682</v>
      </c>
      <c r="E352" s="753">
        <v>30</v>
      </c>
      <c r="F352" s="753">
        <v>10.0016</v>
      </c>
      <c r="G352" s="753">
        <v>5</v>
      </c>
      <c r="H352" s="753">
        <v>0</v>
      </c>
      <c r="I352" s="754">
        <v>1.0699999999999999E-2</v>
      </c>
      <c r="J352" s="754">
        <v>1.0699999999999999E-2</v>
      </c>
      <c r="K352" s="754">
        <v>1.0699999999999999E-2</v>
      </c>
      <c r="L352" s="752">
        <v>2</v>
      </c>
    </row>
    <row r="353" spans="1:12" ht="12" hidden="1" customHeight="1">
      <c r="A353" s="750">
        <v>41661</v>
      </c>
      <c r="B353" s="751" t="s">
        <v>1638</v>
      </c>
      <c r="C353" s="752">
        <v>28</v>
      </c>
      <c r="D353" s="750">
        <v>41689</v>
      </c>
      <c r="E353" s="753">
        <v>30</v>
      </c>
      <c r="F353" s="753">
        <v>9.0039999999999996</v>
      </c>
      <c r="G353" s="753">
        <v>8</v>
      </c>
      <c r="H353" s="753">
        <v>0</v>
      </c>
      <c r="I353" s="754">
        <v>1.0500000000000001E-2</v>
      </c>
      <c r="J353" s="754">
        <v>1.0699999999999999E-2</v>
      </c>
      <c r="K353" s="754">
        <v>1.06E-2</v>
      </c>
      <c r="L353" s="752">
        <v>3</v>
      </c>
    </row>
    <row r="354" spans="1:12" ht="12" hidden="1" customHeight="1">
      <c r="A354" s="750">
        <v>41668</v>
      </c>
      <c r="B354" s="751" t="s">
        <v>1639</v>
      </c>
      <c r="C354" s="752">
        <v>28</v>
      </c>
      <c r="D354" s="750">
        <v>41696</v>
      </c>
      <c r="E354" s="753">
        <v>30</v>
      </c>
      <c r="F354" s="753">
        <v>7.0030999999999999</v>
      </c>
      <c r="G354" s="753">
        <v>7.0030999999999999</v>
      </c>
      <c r="H354" s="753">
        <v>0</v>
      </c>
      <c r="I354" s="754">
        <v>1.06E-2</v>
      </c>
      <c r="J354" s="754">
        <v>1.0699999999999999E-2</v>
      </c>
      <c r="K354" s="754">
        <v>1.0699999999999999E-2</v>
      </c>
      <c r="L354" s="752">
        <v>2</v>
      </c>
    </row>
    <row r="355" spans="1:12" ht="12" hidden="1" customHeight="1">
      <c r="A355" s="750">
        <v>41675</v>
      </c>
      <c r="B355" s="751" t="s">
        <v>1640</v>
      </c>
      <c r="C355" s="752">
        <v>28</v>
      </c>
      <c r="D355" s="750">
        <v>41703</v>
      </c>
      <c r="E355" s="753">
        <v>30</v>
      </c>
      <c r="F355" s="753">
        <v>7.0030999999999999</v>
      </c>
      <c r="G355" s="753">
        <v>5</v>
      </c>
      <c r="H355" s="753">
        <v>0</v>
      </c>
      <c r="I355" s="754">
        <v>1.06E-2</v>
      </c>
      <c r="J355" s="754">
        <v>1.0699999999999999E-2</v>
      </c>
      <c r="K355" s="754">
        <v>1.0699999999999999E-2</v>
      </c>
      <c r="L355" s="752">
        <v>2</v>
      </c>
    </row>
    <row r="356" spans="1:12" ht="12" hidden="1" customHeight="1">
      <c r="A356" s="750">
        <v>41682</v>
      </c>
      <c r="B356" s="751" t="s">
        <v>1641</v>
      </c>
      <c r="C356" s="752">
        <v>28</v>
      </c>
      <c r="D356" s="750">
        <v>41710</v>
      </c>
      <c r="E356" s="753">
        <v>30</v>
      </c>
      <c r="F356" s="753">
        <v>12.007199999999999</v>
      </c>
      <c r="G356" s="753">
        <v>5</v>
      </c>
      <c r="H356" s="753">
        <v>0</v>
      </c>
      <c r="I356" s="754">
        <v>0.01</v>
      </c>
      <c r="J356" s="754">
        <v>1.04E-2</v>
      </c>
      <c r="K356" s="754">
        <v>4.0399299999997022E-3</v>
      </c>
      <c r="L356" s="752">
        <v>2</v>
      </c>
    </row>
    <row r="357" spans="1:12" ht="12" hidden="1" customHeight="1">
      <c r="A357" s="750">
        <v>41689</v>
      </c>
      <c r="B357" s="751" t="s">
        <v>1642</v>
      </c>
      <c r="C357" s="752">
        <v>28</v>
      </c>
      <c r="D357" s="750">
        <v>41717</v>
      </c>
      <c r="E357" s="753">
        <v>30</v>
      </c>
      <c r="F357" s="753">
        <v>25.009699999999999</v>
      </c>
      <c r="G357" s="753">
        <v>5</v>
      </c>
      <c r="H357" s="753">
        <v>4.9992999999999999</v>
      </c>
      <c r="I357" s="754">
        <v>0.01</v>
      </c>
      <c r="J357" s="754">
        <v>0.01</v>
      </c>
      <c r="K357" s="754">
        <v>0.01</v>
      </c>
      <c r="L357" s="752">
        <v>3</v>
      </c>
    </row>
    <row r="358" spans="1:12" ht="12" hidden="1" customHeight="1">
      <c r="A358" s="750">
        <v>41696</v>
      </c>
      <c r="B358" s="751" t="s">
        <v>1643</v>
      </c>
      <c r="C358" s="752">
        <v>29</v>
      </c>
      <c r="D358" s="750">
        <v>41725</v>
      </c>
      <c r="E358" s="753">
        <v>30</v>
      </c>
      <c r="F358" s="753">
        <v>14.010400000000001</v>
      </c>
      <c r="G358" s="753">
        <v>5</v>
      </c>
      <c r="H358" s="753">
        <v>5.0049999999999999</v>
      </c>
      <c r="I358" s="754">
        <v>0.01</v>
      </c>
      <c r="J358" s="754">
        <v>0.01</v>
      </c>
      <c r="K358" s="754">
        <v>0.01</v>
      </c>
      <c r="L358" s="752">
        <v>3</v>
      </c>
    </row>
    <row r="359" spans="1:12" ht="12" hidden="1" customHeight="1">
      <c r="A359" s="750">
        <v>41703</v>
      </c>
      <c r="B359" s="751" t="s">
        <v>1645</v>
      </c>
      <c r="C359" s="752">
        <v>28</v>
      </c>
      <c r="D359" s="750">
        <v>41731</v>
      </c>
      <c r="E359" s="753">
        <v>30</v>
      </c>
      <c r="F359" s="753">
        <v>0</v>
      </c>
      <c r="G359" s="753">
        <v>0</v>
      </c>
      <c r="H359" s="753">
        <v>0</v>
      </c>
      <c r="I359" s="754">
        <v>0</v>
      </c>
      <c r="J359" s="754">
        <v>0</v>
      </c>
      <c r="K359" s="754">
        <v>0</v>
      </c>
      <c r="L359" s="752">
        <v>0</v>
      </c>
    </row>
    <row r="360" spans="1:12" ht="12" hidden="1" customHeight="1">
      <c r="A360" s="750">
        <v>41710</v>
      </c>
      <c r="B360" s="751" t="s">
        <v>1646</v>
      </c>
      <c r="C360" s="752">
        <v>28</v>
      </c>
      <c r="D360" s="750">
        <v>41738</v>
      </c>
      <c r="E360" s="753">
        <v>30</v>
      </c>
      <c r="F360" s="753">
        <v>12.506500000000001</v>
      </c>
      <c r="G360" s="753">
        <v>5</v>
      </c>
      <c r="H360" s="753">
        <v>25</v>
      </c>
      <c r="I360" s="754">
        <v>0.01</v>
      </c>
      <c r="J360" s="754">
        <v>0.01</v>
      </c>
      <c r="K360" s="754">
        <v>0.01</v>
      </c>
      <c r="L360" s="752">
        <v>3</v>
      </c>
    </row>
    <row r="361" spans="1:12" ht="12" hidden="1" customHeight="1">
      <c r="A361" s="750">
        <v>41717</v>
      </c>
      <c r="B361" s="751" t="s">
        <v>1647</v>
      </c>
      <c r="C361" s="752">
        <v>28</v>
      </c>
      <c r="D361" s="750">
        <v>41745</v>
      </c>
      <c r="E361" s="753">
        <v>30</v>
      </c>
      <c r="F361" s="753">
        <v>10.7019</v>
      </c>
      <c r="G361" s="753">
        <v>5</v>
      </c>
      <c r="H361" s="753">
        <v>25</v>
      </c>
      <c r="I361" s="754">
        <v>0.01</v>
      </c>
      <c r="J361" s="754">
        <v>0.01</v>
      </c>
      <c r="K361" s="754">
        <v>0.01</v>
      </c>
      <c r="L361" s="752">
        <v>3</v>
      </c>
    </row>
    <row r="362" spans="1:12" ht="12" hidden="1" customHeight="1">
      <c r="A362" s="750">
        <v>41725</v>
      </c>
      <c r="B362" s="751" t="s">
        <v>1648</v>
      </c>
      <c r="C362" s="752">
        <v>27</v>
      </c>
      <c r="D362" s="750">
        <v>41752</v>
      </c>
      <c r="E362" s="753">
        <v>30</v>
      </c>
      <c r="F362" s="753">
        <v>10.0017</v>
      </c>
      <c r="G362" s="753">
        <v>5</v>
      </c>
      <c r="H362" s="753">
        <v>25</v>
      </c>
      <c r="I362" s="754">
        <v>0.01</v>
      </c>
      <c r="J362" s="754">
        <v>0.01</v>
      </c>
      <c r="K362" s="754">
        <v>0.01</v>
      </c>
      <c r="L362" s="752">
        <v>3</v>
      </c>
    </row>
    <row r="363" spans="1:12" ht="12" hidden="1" customHeight="1">
      <c r="A363" s="750">
        <v>41731</v>
      </c>
      <c r="B363" s="751" t="s">
        <v>1649</v>
      </c>
      <c r="C363" s="752">
        <v>28</v>
      </c>
      <c r="D363" s="750">
        <v>41759</v>
      </c>
      <c r="E363" s="753">
        <v>30</v>
      </c>
      <c r="F363" s="753">
        <v>8.0013000000000005</v>
      </c>
      <c r="G363" s="753">
        <v>5</v>
      </c>
      <c r="H363" s="753">
        <v>25</v>
      </c>
      <c r="I363" s="754">
        <v>0.01</v>
      </c>
      <c r="J363" s="754">
        <v>0.01</v>
      </c>
      <c r="K363" s="754">
        <v>0.01</v>
      </c>
      <c r="L363" s="752">
        <v>2</v>
      </c>
    </row>
    <row r="364" spans="1:12" ht="12" hidden="1" customHeight="1">
      <c r="A364" s="750">
        <v>41738</v>
      </c>
      <c r="B364" s="751" t="s">
        <v>1650</v>
      </c>
      <c r="C364" s="752">
        <v>28</v>
      </c>
      <c r="D364" s="750">
        <v>41766</v>
      </c>
      <c r="E364" s="753">
        <v>30</v>
      </c>
      <c r="F364" s="753">
        <v>11.002800000000001</v>
      </c>
      <c r="G364" s="753">
        <v>5</v>
      </c>
      <c r="H364" s="753">
        <v>25</v>
      </c>
      <c r="I364" s="754">
        <v>0.01</v>
      </c>
      <c r="J364" s="754">
        <v>0.01</v>
      </c>
      <c r="K364" s="754">
        <v>0.01</v>
      </c>
      <c r="L364" s="752">
        <v>4</v>
      </c>
    </row>
    <row r="365" spans="1:12" ht="12" hidden="1" customHeight="1">
      <c r="A365" s="750">
        <v>41745</v>
      </c>
      <c r="B365" s="751" t="s">
        <v>1651</v>
      </c>
      <c r="C365" s="752">
        <v>28</v>
      </c>
      <c r="D365" s="750">
        <v>41773</v>
      </c>
      <c r="E365" s="753">
        <v>30</v>
      </c>
      <c r="F365" s="753">
        <v>8.5027000000000008</v>
      </c>
      <c r="G365" s="753">
        <v>5</v>
      </c>
      <c r="H365" s="753">
        <v>25</v>
      </c>
      <c r="I365" s="754">
        <v>0.01</v>
      </c>
      <c r="J365" s="754">
        <v>0.01</v>
      </c>
      <c r="K365" s="754">
        <v>0.01</v>
      </c>
      <c r="L365" s="752">
        <v>2</v>
      </c>
    </row>
    <row r="366" spans="1:12" ht="12" hidden="1" customHeight="1">
      <c r="A366" s="750">
        <v>41752</v>
      </c>
      <c r="B366" s="751" t="s">
        <v>1662</v>
      </c>
      <c r="C366" s="752">
        <v>28</v>
      </c>
      <c r="D366" s="750">
        <v>41780</v>
      </c>
      <c r="E366" s="753">
        <v>30</v>
      </c>
      <c r="F366" s="753">
        <v>9.3168600000000001</v>
      </c>
      <c r="G366" s="753">
        <v>5</v>
      </c>
      <c r="H366" s="753">
        <v>25</v>
      </c>
      <c r="I366" s="754">
        <v>0.01</v>
      </c>
      <c r="J366" s="754">
        <v>1.09E-2</v>
      </c>
      <c r="K366" s="754">
        <v>4.2200899999998509E-3</v>
      </c>
      <c r="L366" s="752">
        <v>2</v>
      </c>
    </row>
    <row r="367" spans="1:12" ht="12" hidden="1" customHeight="1">
      <c r="A367" s="750">
        <v>41759</v>
      </c>
      <c r="B367" s="751" t="s">
        <v>1663</v>
      </c>
      <c r="C367" s="752">
        <v>28</v>
      </c>
      <c r="D367" s="750">
        <v>41787</v>
      </c>
      <c r="E367" s="753">
        <v>30</v>
      </c>
      <c r="F367" s="753">
        <v>10</v>
      </c>
      <c r="G367" s="753">
        <v>5</v>
      </c>
      <c r="H367" s="753">
        <v>25</v>
      </c>
      <c r="I367" s="754">
        <v>1.06E-2</v>
      </c>
      <c r="J367" s="754">
        <v>1.06E-2</v>
      </c>
      <c r="K367" s="754">
        <v>4.1000000000000003E-3</v>
      </c>
      <c r="L367" s="752">
        <v>2</v>
      </c>
    </row>
    <row r="368" spans="1:12" ht="12" hidden="1" customHeight="1">
      <c r="A368" s="750">
        <v>41773</v>
      </c>
      <c r="B368" s="751" t="s">
        <v>1664</v>
      </c>
      <c r="C368" s="752">
        <v>28</v>
      </c>
      <c r="D368" s="750">
        <v>41801</v>
      </c>
      <c r="E368" s="753">
        <v>30</v>
      </c>
      <c r="F368" s="753">
        <v>10.001300000000001</v>
      </c>
      <c r="G368" s="753">
        <v>5</v>
      </c>
      <c r="H368" s="753">
        <v>15</v>
      </c>
      <c r="I368" s="754">
        <v>9.9000000000000008E-3</v>
      </c>
      <c r="J368" s="754">
        <v>9.9000000000000008E-3</v>
      </c>
      <c r="K368" s="754">
        <v>9.9000000000000008E-3</v>
      </c>
      <c r="L368" s="752">
        <v>2</v>
      </c>
    </row>
    <row r="369" spans="1:15" ht="12" hidden="1" customHeight="1">
      <c r="A369" s="750">
        <v>41780</v>
      </c>
      <c r="B369" s="751" t="s">
        <v>1665</v>
      </c>
      <c r="C369" s="752">
        <v>28</v>
      </c>
      <c r="D369" s="750">
        <v>41808</v>
      </c>
      <c r="E369" s="753">
        <v>30</v>
      </c>
      <c r="F369" s="753">
        <v>9.1697000000000006</v>
      </c>
      <c r="G369" s="753">
        <v>5</v>
      </c>
      <c r="H369" s="753">
        <v>25</v>
      </c>
      <c r="I369" s="754">
        <v>9.9000000000000008E-3</v>
      </c>
      <c r="J369" s="754">
        <v>1.0999999999999999E-2</v>
      </c>
      <c r="K369" s="754">
        <v>9.9000000000000008E-3</v>
      </c>
      <c r="L369" s="752">
        <v>2</v>
      </c>
    </row>
    <row r="370" spans="1:15" ht="12" hidden="1" customHeight="1">
      <c r="A370" s="750">
        <v>41788</v>
      </c>
      <c r="B370" s="751" t="s">
        <v>1666</v>
      </c>
      <c r="C370" s="752">
        <v>27</v>
      </c>
      <c r="D370" s="750">
        <v>41815</v>
      </c>
      <c r="E370" s="753">
        <v>30</v>
      </c>
      <c r="F370" s="753">
        <v>10.001200000000001</v>
      </c>
      <c r="G370" s="753">
        <v>5</v>
      </c>
      <c r="H370" s="753">
        <v>25</v>
      </c>
      <c r="I370" s="754">
        <v>9.9000000000000008E-3</v>
      </c>
      <c r="J370" s="754">
        <v>9.9000000000000008E-3</v>
      </c>
      <c r="K370" s="754">
        <v>9.9000000000000008E-3</v>
      </c>
      <c r="L370" s="752">
        <v>2</v>
      </c>
    </row>
    <row r="371" spans="1:15" ht="12" hidden="1" customHeight="1">
      <c r="A371" s="750">
        <v>41794</v>
      </c>
      <c r="B371" s="751" t="s">
        <v>1683</v>
      </c>
      <c r="C371" s="752">
        <v>28</v>
      </c>
      <c r="D371" s="750">
        <v>41822</v>
      </c>
      <c r="E371" s="753">
        <v>30</v>
      </c>
      <c r="F371" s="753">
        <v>0</v>
      </c>
      <c r="G371" s="753">
        <v>0</v>
      </c>
      <c r="H371" s="753">
        <v>0</v>
      </c>
      <c r="I371" s="754">
        <v>0</v>
      </c>
      <c r="J371" s="754">
        <v>0</v>
      </c>
      <c r="K371" s="754">
        <v>0</v>
      </c>
      <c r="L371" s="752">
        <v>0</v>
      </c>
    </row>
    <row r="372" spans="1:15" ht="12.75" hidden="1" customHeight="1">
      <c r="A372" s="750">
        <v>41801</v>
      </c>
      <c r="B372" s="751" t="s">
        <v>1684</v>
      </c>
      <c r="C372" s="752">
        <v>28</v>
      </c>
      <c r="D372" s="750">
        <v>41829</v>
      </c>
      <c r="E372" s="753">
        <v>30</v>
      </c>
      <c r="F372" s="753">
        <v>0</v>
      </c>
      <c r="G372" s="753">
        <v>0</v>
      </c>
      <c r="H372" s="753">
        <v>0</v>
      </c>
      <c r="I372" s="754">
        <v>0</v>
      </c>
      <c r="J372" s="754">
        <v>0</v>
      </c>
      <c r="K372" s="754">
        <v>0</v>
      </c>
      <c r="L372" s="752">
        <v>0</v>
      </c>
      <c r="M372" s="483"/>
      <c r="N372" s="483"/>
      <c r="O372" s="483"/>
    </row>
    <row r="373" spans="1:15" hidden="1">
      <c r="A373" s="750">
        <v>41808</v>
      </c>
      <c r="B373" s="751" t="s">
        <v>1685</v>
      </c>
      <c r="C373" s="752">
        <v>28</v>
      </c>
      <c r="D373" s="750">
        <v>41836</v>
      </c>
      <c r="E373" s="753">
        <v>30</v>
      </c>
      <c r="F373" s="753">
        <v>5.1729000000000003</v>
      </c>
      <c r="G373" s="753">
        <v>4.1729000000000003</v>
      </c>
      <c r="H373" s="753">
        <v>0</v>
      </c>
      <c r="I373" s="754">
        <v>9.9000000000000008E-3</v>
      </c>
      <c r="J373" s="754">
        <v>9.9000000000000008E-3</v>
      </c>
      <c r="K373" s="754">
        <v>9.9000000000000008E-3</v>
      </c>
      <c r="L373" s="752">
        <v>2</v>
      </c>
    </row>
    <row r="374" spans="1:15" hidden="1">
      <c r="A374" s="750">
        <v>41815</v>
      </c>
      <c r="B374" s="751" t="s">
        <v>1686</v>
      </c>
      <c r="C374" s="752">
        <v>28</v>
      </c>
      <c r="D374" s="750">
        <v>41843</v>
      </c>
      <c r="E374" s="753">
        <v>30</v>
      </c>
      <c r="F374" s="753">
        <v>6.0012999999999996</v>
      </c>
      <c r="G374" s="753">
        <v>5</v>
      </c>
      <c r="H374" s="753">
        <v>0</v>
      </c>
      <c r="I374" s="754">
        <v>9.9000000000000008E-3</v>
      </c>
      <c r="J374" s="754">
        <v>9.9000000000000008E-3</v>
      </c>
      <c r="K374" s="754">
        <v>9.9000000000000008E-3</v>
      </c>
      <c r="L374" s="752">
        <v>2</v>
      </c>
    </row>
    <row r="375" spans="1:15" ht="12" hidden="1" customHeight="1">
      <c r="A375" s="750">
        <v>41822</v>
      </c>
      <c r="B375" s="751" t="s">
        <v>1701</v>
      </c>
      <c r="C375" s="752">
        <v>28</v>
      </c>
      <c r="D375" s="750">
        <v>41850</v>
      </c>
      <c r="E375" s="753">
        <v>30</v>
      </c>
      <c r="F375" s="753">
        <v>7.0023999999999997</v>
      </c>
      <c r="G375" s="753">
        <v>5</v>
      </c>
      <c r="H375" s="753">
        <v>0</v>
      </c>
      <c r="I375" s="754">
        <v>9.9000000000000008E-3</v>
      </c>
      <c r="J375" s="754">
        <v>9.9000000000000008E-3</v>
      </c>
      <c r="K375" s="754">
        <v>9.8818749942820618E-3</v>
      </c>
      <c r="L375" s="752">
        <v>3</v>
      </c>
    </row>
    <row r="376" spans="1:15" ht="12" hidden="1" customHeight="1">
      <c r="A376" s="750">
        <v>41836</v>
      </c>
      <c r="B376" s="751" t="s">
        <v>1702</v>
      </c>
      <c r="C376" s="752">
        <v>28</v>
      </c>
      <c r="D376" s="750">
        <v>41864</v>
      </c>
      <c r="E376" s="753">
        <v>30</v>
      </c>
      <c r="F376" s="753">
        <v>0</v>
      </c>
      <c r="G376" s="753">
        <v>0</v>
      </c>
      <c r="H376" s="753">
        <v>0</v>
      </c>
      <c r="I376" s="754">
        <v>0</v>
      </c>
      <c r="J376" s="754">
        <v>0</v>
      </c>
      <c r="K376" s="754">
        <v>0</v>
      </c>
      <c r="L376" s="752">
        <v>0</v>
      </c>
    </row>
    <row r="377" spans="1:15" ht="12" hidden="1" customHeight="1">
      <c r="A377" s="750">
        <v>41843</v>
      </c>
      <c r="B377" s="751" t="s">
        <v>1703</v>
      </c>
      <c r="C377" s="752">
        <v>28</v>
      </c>
      <c r="D377" s="750">
        <v>41871</v>
      </c>
      <c r="E377" s="753">
        <v>30</v>
      </c>
      <c r="F377" s="753">
        <v>0</v>
      </c>
      <c r="G377" s="753">
        <v>0</v>
      </c>
      <c r="H377" s="753">
        <v>0</v>
      </c>
      <c r="I377" s="754">
        <v>0</v>
      </c>
      <c r="J377" s="754">
        <v>0</v>
      </c>
      <c r="K377" s="754">
        <v>0</v>
      </c>
      <c r="L377" s="752">
        <v>0</v>
      </c>
    </row>
    <row r="378" spans="1:15" ht="12" hidden="1" customHeight="1">
      <c r="A378" s="750">
        <v>41850</v>
      </c>
      <c r="B378" s="751" t="s">
        <v>1704</v>
      </c>
      <c r="C378" s="752">
        <v>28</v>
      </c>
      <c r="D378" s="750">
        <v>41878</v>
      </c>
      <c r="E378" s="753">
        <v>30</v>
      </c>
      <c r="F378" s="753">
        <v>0</v>
      </c>
      <c r="G378" s="753">
        <v>0</v>
      </c>
      <c r="H378" s="753">
        <v>0</v>
      </c>
      <c r="I378" s="754">
        <v>0</v>
      </c>
      <c r="J378" s="754">
        <v>0</v>
      </c>
      <c r="K378" s="754">
        <v>0</v>
      </c>
      <c r="L378" s="752">
        <v>0</v>
      </c>
    </row>
    <row r="379" spans="1:15" ht="12" hidden="1" customHeight="1">
      <c r="A379" s="750">
        <v>41857</v>
      </c>
      <c r="B379" s="751" t="s">
        <v>1710</v>
      </c>
      <c r="C379" s="752">
        <v>28</v>
      </c>
      <c r="D379" s="750">
        <v>41885</v>
      </c>
      <c r="E379" s="753">
        <v>30</v>
      </c>
      <c r="F379" s="753">
        <v>5.1379999999999999</v>
      </c>
      <c r="G379" s="753">
        <v>5</v>
      </c>
      <c r="H379" s="753">
        <v>0</v>
      </c>
      <c r="I379" s="754">
        <v>9.9000000000000008E-3</v>
      </c>
      <c r="J379" s="754">
        <v>9.9000000000000008E-3</v>
      </c>
      <c r="K379" s="754">
        <v>9.9000000000000008E-3</v>
      </c>
      <c r="L379" s="752">
        <v>2</v>
      </c>
    </row>
    <row r="380" spans="1:15" ht="12.75" hidden="1" customHeight="1">
      <c r="A380" s="750">
        <v>41864</v>
      </c>
      <c r="B380" s="751" t="s">
        <v>1711</v>
      </c>
      <c r="C380" s="752">
        <v>28</v>
      </c>
      <c r="D380" s="750">
        <v>41892</v>
      </c>
      <c r="E380" s="753">
        <v>30</v>
      </c>
      <c r="F380" s="753">
        <v>4.0998447000000002</v>
      </c>
      <c r="G380" s="753">
        <v>4.0034000000000001</v>
      </c>
      <c r="H380" s="753">
        <v>0</v>
      </c>
      <c r="I380" s="754">
        <v>1.0999999999999999E-2</v>
      </c>
      <c r="J380" s="754">
        <v>1.0999999999999999E-2</v>
      </c>
      <c r="K380" s="754">
        <v>1.0999999999999999E-2</v>
      </c>
      <c r="L380" s="752">
        <v>2</v>
      </c>
      <c r="M380" s="483"/>
      <c r="N380" s="483"/>
      <c r="O380" s="483"/>
    </row>
    <row r="381" spans="1:15" hidden="1">
      <c r="A381" s="750">
        <v>41871</v>
      </c>
      <c r="B381" s="751" t="s">
        <v>1712</v>
      </c>
      <c r="C381" s="752">
        <v>28</v>
      </c>
      <c r="D381" s="750">
        <v>41899</v>
      </c>
      <c r="E381" s="753">
        <v>30</v>
      </c>
      <c r="F381" s="753">
        <v>0</v>
      </c>
      <c r="G381" s="753">
        <v>0</v>
      </c>
      <c r="H381" s="753">
        <v>0</v>
      </c>
      <c r="I381" s="754">
        <v>0</v>
      </c>
      <c r="J381" s="754">
        <v>0</v>
      </c>
      <c r="K381" s="754">
        <v>0</v>
      </c>
      <c r="L381" s="752">
        <v>0</v>
      </c>
    </row>
    <row r="382" spans="1:15" hidden="1">
      <c r="A382" s="750">
        <v>41878</v>
      </c>
      <c r="B382" s="751" t="s">
        <v>1713</v>
      </c>
      <c r="C382" s="752">
        <v>28</v>
      </c>
      <c r="D382" s="750">
        <v>41906</v>
      </c>
      <c r="E382" s="753">
        <v>30</v>
      </c>
      <c r="F382" s="753">
        <v>0</v>
      </c>
      <c r="G382" s="753">
        <v>0</v>
      </c>
      <c r="H382" s="753">
        <v>0</v>
      </c>
      <c r="I382" s="754">
        <v>0</v>
      </c>
      <c r="J382" s="754">
        <v>0</v>
      </c>
      <c r="K382" s="754">
        <v>0</v>
      </c>
      <c r="L382" s="752">
        <v>0</v>
      </c>
    </row>
    <row r="383" spans="1:15" ht="12" hidden="1" customHeight="1">
      <c r="A383" s="750">
        <v>41885</v>
      </c>
      <c r="B383" s="751" t="s">
        <v>1729</v>
      </c>
      <c r="C383" s="752">
        <v>28</v>
      </c>
      <c r="D383" s="750">
        <v>41913</v>
      </c>
      <c r="E383" s="753">
        <v>30</v>
      </c>
      <c r="F383" s="753">
        <v>0</v>
      </c>
      <c r="G383" s="753">
        <v>0</v>
      </c>
      <c r="H383" s="753">
        <v>0</v>
      </c>
      <c r="I383" s="754">
        <v>0</v>
      </c>
      <c r="J383" s="754">
        <v>0</v>
      </c>
      <c r="K383" s="754">
        <v>0</v>
      </c>
      <c r="L383" s="752">
        <v>0</v>
      </c>
    </row>
    <row r="384" spans="1:15" ht="12.75" hidden="1" customHeight="1">
      <c r="A384" s="750">
        <v>41892</v>
      </c>
      <c r="B384" s="751" t="s">
        <v>1730</v>
      </c>
      <c r="C384" s="752">
        <v>28</v>
      </c>
      <c r="D384" s="750">
        <v>41920</v>
      </c>
      <c r="E384" s="753">
        <v>30</v>
      </c>
      <c r="F384" s="753">
        <v>14.0137</v>
      </c>
      <c r="G384" s="753">
        <v>5</v>
      </c>
      <c r="H384" s="753">
        <v>5.0019999999999998</v>
      </c>
      <c r="I384" s="754">
        <v>1.0500000000000001E-2</v>
      </c>
      <c r="J384" s="754">
        <v>1.0500000000000001E-2</v>
      </c>
      <c r="K384" s="754">
        <v>1.0500000000000001E-2</v>
      </c>
      <c r="L384" s="752">
        <v>3</v>
      </c>
      <c r="M384" s="483"/>
      <c r="N384" s="483"/>
      <c r="O384" s="483"/>
    </row>
    <row r="385" spans="1:15" hidden="1">
      <c r="A385" s="750">
        <v>41899</v>
      </c>
      <c r="B385" s="751" t="s">
        <v>1731</v>
      </c>
      <c r="C385" s="752">
        <v>28</v>
      </c>
      <c r="D385" s="750">
        <v>41927</v>
      </c>
      <c r="E385" s="753">
        <v>30</v>
      </c>
      <c r="F385" s="753">
        <v>6.5026999999999999</v>
      </c>
      <c r="G385" s="753">
        <v>5</v>
      </c>
      <c r="H385" s="753">
        <v>0</v>
      </c>
      <c r="I385" s="754">
        <v>1.0500000000000001E-2</v>
      </c>
      <c r="J385" s="754">
        <v>1.0500000000000001E-2</v>
      </c>
      <c r="K385" s="754">
        <v>1.0500000000000001E-2</v>
      </c>
      <c r="L385" s="752">
        <v>2</v>
      </c>
    </row>
    <row r="386" spans="1:15" hidden="1">
      <c r="A386" s="750">
        <v>41906</v>
      </c>
      <c r="B386" s="751" t="s">
        <v>1732</v>
      </c>
      <c r="C386" s="752">
        <v>28</v>
      </c>
      <c r="D386" s="750">
        <v>41934</v>
      </c>
      <c r="E386" s="753">
        <v>30</v>
      </c>
      <c r="F386" s="753">
        <v>0</v>
      </c>
      <c r="G386" s="753">
        <v>0</v>
      </c>
      <c r="H386" s="753">
        <v>0</v>
      </c>
      <c r="I386" s="754">
        <v>0</v>
      </c>
      <c r="J386" s="754">
        <v>0</v>
      </c>
      <c r="K386" s="754">
        <v>0</v>
      </c>
      <c r="L386" s="752">
        <v>0</v>
      </c>
    </row>
    <row r="387" spans="1:15" ht="12" hidden="1" customHeight="1">
      <c r="A387" s="750">
        <v>41913</v>
      </c>
      <c r="B387" s="751" t="s">
        <v>1745</v>
      </c>
      <c r="C387" s="752">
        <v>28</v>
      </c>
      <c r="D387" s="750">
        <v>41941</v>
      </c>
      <c r="E387" s="753">
        <v>30</v>
      </c>
      <c r="F387" s="753">
        <v>0</v>
      </c>
      <c r="G387" s="753">
        <v>0</v>
      </c>
      <c r="H387" s="753">
        <v>0</v>
      </c>
      <c r="I387" s="754">
        <v>0</v>
      </c>
      <c r="J387" s="754">
        <v>0</v>
      </c>
      <c r="K387" s="754">
        <v>0</v>
      </c>
      <c r="L387" s="752">
        <v>0</v>
      </c>
    </row>
    <row r="388" spans="1:15" ht="12.75" hidden="1" customHeight="1">
      <c r="A388" s="750">
        <v>41920</v>
      </c>
      <c r="B388" s="751" t="s">
        <v>1746</v>
      </c>
      <c r="C388" s="752">
        <v>28</v>
      </c>
      <c r="D388" s="750">
        <v>41948</v>
      </c>
      <c r="E388" s="753">
        <v>30</v>
      </c>
      <c r="F388" s="753">
        <v>0</v>
      </c>
      <c r="G388" s="753">
        <v>0</v>
      </c>
      <c r="H388" s="753">
        <v>0</v>
      </c>
      <c r="I388" s="754">
        <v>0</v>
      </c>
      <c r="J388" s="754">
        <v>0</v>
      </c>
      <c r="K388" s="754">
        <v>0</v>
      </c>
      <c r="L388" s="752">
        <v>0</v>
      </c>
      <c r="M388" s="483"/>
      <c r="N388" s="483"/>
      <c r="O388" s="483"/>
    </row>
    <row r="389" spans="1:15" hidden="1">
      <c r="A389" s="750">
        <v>41927</v>
      </c>
      <c r="B389" s="751" t="s">
        <v>1747</v>
      </c>
      <c r="C389" s="752">
        <v>28</v>
      </c>
      <c r="D389" s="750">
        <v>41955</v>
      </c>
      <c r="E389" s="753">
        <v>30</v>
      </c>
      <c r="F389" s="753">
        <v>0</v>
      </c>
      <c r="G389" s="753">
        <v>0</v>
      </c>
      <c r="H389" s="753">
        <v>0</v>
      </c>
      <c r="I389" s="754">
        <v>0</v>
      </c>
      <c r="J389" s="754">
        <v>0</v>
      </c>
      <c r="K389" s="754">
        <v>0</v>
      </c>
      <c r="L389" s="752">
        <v>0</v>
      </c>
    </row>
    <row r="390" spans="1:15" hidden="1">
      <c r="A390" s="750">
        <v>41934</v>
      </c>
      <c r="B390" s="751" t="s">
        <v>1748</v>
      </c>
      <c r="C390" s="752">
        <v>28</v>
      </c>
      <c r="D390" s="750">
        <v>41962</v>
      </c>
      <c r="E390" s="753">
        <v>30</v>
      </c>
      <c r="F390" s="753">
        <v>0</v>
      </c>
      <c r="G390" s="753">
        <v>0</v>
      </c>
      <c r="H390" s="753">
        <v>0</v>
      </c>
      <c r="I390" s="754">
        <v>0</v>
      </c>
      <c r="J390" s="754">
        <v>0</v>
      </c>
      <c r="K390" s="754">
        <v>0</v>
      </c>
      <c r="L390" s="752">
        <v>0</v>
      </c>
    </row>
    <row r="391" spans="1:15" hidden="1">
      <c r="A391" s="750">
        <v>41941</v>
      </c>
      <c r="B391" s="751" t="s">
        <v>1749</v>
      </c>
      <c r="C391" s="752">
        <v>28</v>
      </c>
      <c r="D391" s="750">
        <v>41969</v>
      </c>
      <c r="E391" s="753">
        <v>30</v>
      </c>
      <c r="F391" s="753">
        <v>10.0015</v>
      </c>
      <c r="G391" s="753">
        <v>5</v>
      </c>
      <c r="H391" s="753">
        <v>5</v>
      </c>
      <c r="I391" s="754">
        <v>9.7000000000000003E-3</v>
      </c>
      <c r="J391" s="754">
        <v>9.7000000000000003E-3</v>
      </c>
      <c r="K391" s="754">
        <v>9.7000000000000003E-3</v>
      </c>
      <c r="L391" s="752">
        <v>2</v>
      </c>
    </row>
    <row r="392" spans="1:15" ht="12.75" hidden="1" customHeight="1">
      <c r="A392" s="750">
        <v>41948</v>
      </c>
      <c r="B392" s="751" t="s">
        <v>1760</v>
      </c>
      <c r="C392" s="752">
        <v>28</v>
      </c>
      <c r="D392" s="750">
        <v>41976</v>
      </c>
      <c r="E392" s="753">
        <v>30</v>
      </c>
      <c r="F392" s="753">
        <v>5.0999999999999996</v>
      </c>
      <c r="G392" s="753">
        <v>5</v>
      </c>
      <c r="H392" s="753">
        <v>5.0030000000000001</v>
      </c>
      <c r="I392" s="754">
        <v>9.7000000000000003E-3</v>
      </c>
      <c r="J392" s="754">
        <v>9.7000000000000003E-3</v>
      </c>
      <c r="K392" s="754">
        <v>9.7000000000000003E-3</v>
      </c>
      <c r="L392" s="752">
        <v>2</v>
      </c>
      <c r="M392" s="483"/>
      <c r="N392" s="483"/>
      <c r="O392" s="483"/>
    </row>
    <row r="393" spans="1:15" hidden="1">
      <c r="A393" s="750">
        <v>41955</v>
      </c>
      <c r="B393" s="751" t="s">
        <v>1761</v>
      </c>
      <c r="C393" s="752">
        <v>28</v>
      </c>
      <c r="D393" s="750">
        <v>41983</v>
      </c>
      <c r="E393" s="753">
        <v>30</v>
      </c>
      <c r="F393" s="753">
        <v>10.001200000000001</v>
      </c>
      <c r="G393" s="753">
        <v>5</v>
      </c>
      <c r="H393" s="753">
        <v>15.0032</v>
      </c>
      <c r="I393" s="754">
        <v>9.5999999999999992E-3</v>
      </c>
      <c r="J393" s="754">
        <v>9.5999999999999992E-3</v>
      </c>
      <c r="K393" s="754">
        <v>9.5999999999999992E-3</v>
      </c>
      <c r="L393" s="752">
        <v>2</v>
      </c>
    </row>
    <row r="394" spans="1:15" hidden="1">
      <c r="A394" s="750">
        <v>41962</v>
      </c>
      <c r="B394" s="751" t="s">
        <v>1762</v>
      </c>
      <c r="C394" s="752">
        <v>28</v>
      </c>
      <c r="D394" s="750">
        <v>41990</v>
      </c>
      <c r="E394" s="753">
        <v>30</v>
      </c>
      <c r="F394" s="753">
        <v>0</v>
      </c>
      <c r="G394" s="753">
        <v>0</v>
      </c>
      <c r="H394" s="753">
        <v>0</v>
      </c>
      <c r="I394" s="754">
        <v>0</v>
      </c>
      <c r="J394" s="754">
        <v>0</v>
      </c>
      <c r="K394" s="754">
        <v>0</v>
      </c>
      <c r="L394" s="752">
        <v>0</v>
      </c>
    </row>
    <row r="395" spans="1:15" hidden="1">
      <c r="A395" s="750">
        <v>41969</v>
      </c>
      <c r="B395" s="751" t="s">
        <v>1763</v>
      </c>
      <c r="C395" s="752">
        <v>28</v>
      </c>
      <c r="D395" s="750">
        <v>41997</v>
      </c>
      <c r="E395" s="753">
        <v>30</v>
      </c>
      <c r="F395" s="753">
        <v>0</v>
      </c>
      <c r="G395" s="753">
        <v>0</v>
      </c>
      <c r="H395" s="753">
        <v>0</v>
      </c>
      <c r="I395" s="754">
        <v>0</v>
      </c>
      <c r="J395" s="754">
        <v>0</v>
      </c>
      <c r="K395" s="754">
        <v>0</v>
      </c>
      <c r="L395" s="752">
        <v>0</v>
      </c>
    </row>
    <row r="396" spans="1:15" hidden="1">
      <c r="A396" s="750">
        <v>41976</v>
      </c>
      <c r="B396" s="751" t="s">
        <v>1764</v>
      </c>
      <c r="C396" s="752">
        <v>27</v>
      </c>
      <c r="D396" s="750">
        <v>42003</v>
      </c>
      <c r="E396" s="753">
        <v>30</v>
      </c>
      <c r="F396" s="753">
        <v>0</v>
      </c>
      <c r="G396" s="753">
        <v>0</v>
      </c>
      <c r="H396" s="753">
        <v>0</v>
      </c>
      <c r="I396" s="754">
        <v>0</v>
      </c>
      <c r="J396" s="754">
        <v>0</v>
      </c>
      <c r="K396" s="754">
        <v>0</v>
      </c>
      <c r="L396" s="752">
        <v>0</v>
      </c>
    </row>
    <row r="397" spans="1:15" hidden="1">
      <c r="A397" s="750">
        <v>41983</v>
      </c>
      <c r="B397" s="751" t="s">
        <v>1765</v>
      </c>
      <c r="C397" s="752">
        <v>28</v>
      </c>
      <c r="D397" s="750">
        <v>42011</v>
      </c>
      <c r="E397" s="753">
        <v>30</v>
      </c>
      <c r="F397" s="753">
        <v>0</v>
      </c>
      <c r="G397" s="753">
        <v>0</v>
      </c>
      <c r="H397" s="753">
        <v>0</v>
      </c>
      <c r="I397" s="754">
        <v>0</v>
      </c>
      <c r="J397" s="754">
        <v>0</v>
      </c>
      <c r="K397" s="754">
        <v>0</v>
      </c>
      <c r="L397" s="752">
        <v>0</v>
      </c>
    </row>
    <row r="398" spans="1:15" ht="12.75" hidden="1" customHeight="1">
      <c r="A398" s="750">
        <v>41990</v>
      </c>
      <c r="B398" s="751" t="s">
        <v>1766</v>
      </c>
      <c r="C398" s="752">
        <v>28</v>
      </c>
      <c r="D398" s="750">
        <v>42018</v>
      </c>
      <c r="E398" s="753">
        <v>30</v>
      </c>
      <c r="F398" s="753">
        <v>5.0999999999999996</v>
      </c>
      <c r="G398" s="753">
        <v>5</v>
      </c>
      <c r="H398" s="753">
        <v>15.013999999999999</v>
      </c>
      <c r="I398" s="754">
        <v>9.7000000000000003E-3</v>
      </c>
      <c r="J398" s="754">
        <v>9.7000000000000003E-3</v>
      </c>
      <c r="K398" s="754">
        <v>9.6500947138926964E-3</v>
      </c>
      <c r="L398" s="752">
        <v>2</v>
      </c>
      <c r="M398" s="483"/>
      <c r="N398" s="483"/>
      <c r="O398" s="483"/>
    </row>
    <row r="399" spans="1:15" hidden="1">
      <c r="A399" s="750">
        <v>41997</v>
      </c>
      <c r="B399" s="751" t="s">
        <v>1767</v>
      </c>
      <c r="C399" s="752">
        <v>28</v>
      </c>
      <c r="D399" s="750">
        <v>42025</v>
      </c>
      <c r="E399" s="753">
        <v>30</v>
      </c>
      <c r="F399" s="753">
        <v>6.9961052500000003</v>
      </c>
      <c r="G399" s="753">
        <v>5</v>
      </c>
      <c r="H399" s="753">
        <v>2.0034999999999998</v>
      </c>
      <c r="I399" s="754">
        <v>8.0000000000000002E-3</v>
      </c>
      <c r="J399" s="754">
        <v>9.14793275161482E-3</v>
      </c>
      <c r="K399" s="754">
        <v>3.5538300000000746E-3</v>
      </c>
      <c r="L399" s="752">
        <v>2</v>
      </c>
    </row>
    <row r="400" spans="1:15" hidden="1">
      <c r="A400" s="750">
        <v>42003</v>
      </c>
      <c r="B400" s="751" t="s">
        <v>1768</v>
      </c>
      <c r="C400" s="752">
        <v>29</v>
      </c>
      <c r="D400" s="750">
        <v>42032</v>
      </c>
      <c r="E400" s="753">
        <v>30</v>
      </c>
      <c r="F400" s="753">
        <v>0</v>
      </c>
      <c r="G400" s="753">
        <v>0</v>
      </c>
      <c r="H400" s="753">
        <v>0</v>
      </c>
      <c r="I400" s="754">
        <v>0</v>
      </c>
      <c r="J400" s="754">
        <v>0</v>
      </c>
      <c r="K400" s="754">
        <v>0</v>
      </c>
      <c r="L400" s="752">
        <v>0</v>
      </c>
    </row>
    <row r="401" spans="1:15" hidden="1">
      <c r="A401" s="750">
        <v>42025</v>
      </c>
      <c r="B401" s="751" t="s">
        <v>1830</v>
      </c>
      <c r="C401" s="752">
        <v>28</v>
      </c>
      <c r="D401" s="750">
        <v>42053</v>
      </c>
      <c r="E401" s="753">
        <v>30</v>
      </c>
      <c r="F401" s="753">
        <v>0</v>
      </c>
      <c r="G401" s="753">
        <v>0</v>
      </c>
      <c r="H401" s="753">
        <v>0</v>
      </c>
      <c r="I401" s="754">
        <v>0</v>
      </c>
      <c r="J401" s="754">
        <v>0</v>
      </c>
      <c r="K401" s="754">
        <v>0</v>
      </c>
      <c r="L401" s="752">
        <v>0</v>
      </c>
    </row>
    <row r="402" spans="1:15" hidden="1">
      <c r="A402" s="750">
        <v>42032</v>
      </c>
      <c r="B402" s="751" t="s">
        <v>1831</v>
      </c>
      <c r="C402" s="752">
        <v>28</v>
      </c>
      <c r="D402" s="750">
        <v>42060</v>
      </c>
      <c r="E402" s="753">
        <v>30</v>
      </c>
      <c r="F402" s="753">
        <v>0</v>
      </c>
      <c r="G402" s="753">
        <v>0</v>
      </c>
      <c r="H402" s="753">
        <v>0</v>
      </c>
      <c r="I402" s="754">
        <v>0</v>
      </c>
      <c r="J402" s="754">
        <v>0</v>
      </c>
      <c r="K402" s="754">
        <v>0</v>
      </c>
      <c r="L402" s="752">
        <v>0</v>
      </c>
    </row>
    <row r="403" spans="1:15" hidden="1">
      <c r="A403" s="750">
        <v>42039</v>
      </c>
      <c r="B403" s="751" t="s">
        <v>1833</v>
      </c>
      <c r="C403" s="752">
        <v>28</v>
      </c>
      <c r="D403" s="750">
        <v>42067</v>
      </c>
      <c r="E403" s="753">
        <v>30</v>
      </c>
      <c r="F403" s="753">
        <v>0</v>
      </c>
      <c r="G403" s="753">
        <v>0</v>
      </c>
      <c r="H403" s="753">
        <v>0</v>
      </c>
      <c r="I403" s="754">
        <v>0</v>
      </c>
      <c r="J403" s="754">
        <v>0</v>
      </c>
      <c r="K403" s="754">
        <v>0</v>
      </c>
      <c r="L403" s="752">
        <v>0</v>
      </c>
    </row>
    <row r="404" spans="1:15" ht="12.75" hidden="1" customHeight="1">
      <c r="A404" s="750">
        <v>42046</v>
      </c>
      <c r="B404" s="751" t="s">
        <v>1834</v>
      </c>
      <c r="C404" s="752">
        <v>28</v>
      </c>
      <c r="D404" s="750">
        <v>42074</v>
      </c>
      <c r="E404" s="753">
        <v>30</v>
      </c>
      <c r="F404" s="753">
        <v>0</v>
      </c>
      <c r="G404" s="753">
        <v>0</v>
      </c>
      <c r="H404" s="753">
        <v>0</v>
      </c>
      <c r="I404" s="754">
        <v>0</v>
      </c>
      <c r="J404" s="754">
        <v>0</v>
      </c>
      <c r="K404" s="754">
        <v>0</v>
      </c>
      <c r="L404" s="752">
        <v>0</v>
      </c>
      <c r="M404" s="483"/>
      <c r="N404" s="483"/>
      <c r="O404" s="483"/>
    </row>
    <row r="405" spans="1:15" hidden="1">
      <c r="A405" s="750">
        <v>42053</v>
      </c>
      <c r="B405" s="751" t="s">
        <v>1835</v>
      </c>
      <c r="C405" s="752">
        <v>28</v>
      </c>
      <c r="D405" s="750">
        <v>42081</v>
      </c>
      <c r="E405" s="753">
        <v>30</v>
      </c>
      <c r="F405" s="753">
        <v>0</v>
      </c>
      <c r="G405" s="753">
        <v>0</v>
      </c>
      <c r="H405" s="753">
        <v>0</v>
      </c>
      <c r="I405" s="754">
        <v>0</v>
      </c>
      <c r="J405" s="754">
        <v>0</v>
      </c>
      <c r="K405" s="754">
        <v>0</v>
      </c>
      <c r="L405" s="752">
        <v>0</v>
      </c>
    </row>
    <row r="406" spans="1:15" hidden="1">
      <c r="A406" s="750">
        <v>42060</v>
      </c>
      <c r="B406" s="751" t="s">
        <v>1836</v>
      </c>
      <c r="C406" s="752">
        <v>32</v>
      </c>
      <c r="D406" s="750">
        <v>42092</v>
      </c>
      <c r="E406" s="753">
        <v>30</v>
      </c>
      <c r="F406" s="753">
        <v>0</v>
      </c>
      <c r="G406" s="753">
        <v>0</v>
      </c>
      <c r="H406" s="753">
        <v>0</v>
      </c>
      <c r="I406" s="754">
        <v>0</v>
      </c>
      <c r="J406" s="754">
        <v>0</v>
      </c>
      <c r="K406" s="754">
        <v>0</v>
      </c>
      <c r="L406" s="752">
        <v>0</v>
      </c>
    </row>
    <row r="407" spans="1:15" hidden="1">
      <c r="A407" s="750">
        <v>42067</v>
      </c>
      <c r="B407" s="751" t="s">
        <v>1841</v>
      </c>
      <c r="C407" s="752">
        <v>28</v>
      </c>
      <c r="D407" s="750">
        <v>42095</v>
      </c>
      <c r="E407" s="753">
        <v>30</v>
      </c>
      <c r="F407" s="753">
        <v>0</v>
      </c>
      <c r="G407" s="753">
        <v>0</v>
      </c>
      <c r="H407" s="753">
        <v>0</v>
      </c>
      <c r="I407" s="754">
        <v>0</v>
      </c>
      <c r="J407" s="754">
        <v>0</v>
      </c>
      <c r="K407" s="754">
        <v>0</v>
      </c>
      <c r="L407" s="752">
        <v>0</v>
      </c>
    </row>
    <row r="408" spans="1:15" hidden="1">
      <c r="A408" s="750">
        <v>42074</v>
      </c>
      <c r="B408" s="751" t="s">
        <v>1842</v>
      </c>
      <c r="C408" s="752">
        <v>28</v>
      </c>
      <c r="D408" s="750">
        <v>42102</v>
      </c>
      <c r="E408" s="753">
        <v>30</v>
      </c>
      <c r="F408" s="753">
        <v>0</v>
      </c>
      <c r="G408" s="753">
        <v>0</v>
      </c>
      <c r="H408" s="753">
        <v>0</v>
      </c>
      <c r="I408" s="754">
        <v>0</v>
      </c>
      <c r="J408" s="754">
        <v>0</v>
      </c>
      <c r="K408" s="754">
        <v>0</v>
      </c>
      <c r="L408" s="752">
        <v>0</v>
      </c>
    </row>
    <row r="409" spans="1:15" hidden="1">
      <c r="A409" s="750">
        <v>42081</v>
      </c>
      <c r="B409" s="751" t="s">
        <v>1843</v>
      </c>
      <c r="C409" s="752">
        <v>28</v>
      </c>
      <c r="D409" s="750">
        <v>42109</v>
      </c>
      <c r="E409" s="753">
        <v>30</v>
      </c>
      <c r="F409" s="753">
        <v>0</v>
      </c>
      <c r="G409" s="753">
        <v>0</v>
      </c>
      <c r="H409" s="753">
        <v>0</v>
      </c>
      <c r="I409" s="754">
        <v>0</v>
      </c>
      <c r="J409" s="754">
        <v>0</v>
      </c>
      <c r="K409" s="754">
        <v>0</v>
      </c>
      <c r="L409" s="752">
        <v>0</v>
      </c>
    </row>
    <row r="410" spans="1:15" hidden="1">
      <c r="A410" s="750">
        <v>42095</v>
      </c>
      <c r="B410" s="751" t="s">
        <v>1860</v>
      </c>
      <c r="C410" s="752">
        <v>28</v>
      </c>
      <c r="D410" s="750">
        <v>42123</v>
      </c>
      <c r="E410" s="753">
        <v>30</v>
      </c>
      <c r="F410" s="753">
        <v>0</v>
      </c>
      <c r="G410" s="753">
        <v>0</v>
      </c>
      <c r="H410" s="753">
        <v>0</v>
      </c>
      <c r="I410" s="754">
        <v>0</v>
      </c>
      <c r="J410" s="754">
        <v>0</v>
      </c>
      <c r="K410" s="754">
        <v>0</v>
      </c>
      <c r="L410" s="752">
        <v>0</v>
      </c>
    </row>
    <row r="411" spans="1:15" hidden="1">
      <c r="A411" s="750">
        <v>42102</v>
      </c>
      <c r="B411" s="751" t="s">
        <v>1861</v>
      </c>
      <c r="C411" s="752">
        <v>28</v>
      </c>
      <c r="D411" s="750">
        <v>42130</v>
      </c>
      <c r="E411" s="753">
        <v>30</v>
      </c>
      <c r="F411" s="753">
        <v>0</v>
      </c>
      <c r="G411" s="753">
        <v>0</v>
      </c>
      <c r="H411" s="753">
        <v>0</v>
      </c>
      <c r="I411" s="754">
        <v>0</v>
      </c>
      <c r="J411" s="754">
        <v>0</v>
      </c>
      <c r="K411" s="754">
        <v>0</v>
      </c>
      <c r="L411" s="752">
        <v>0</v>
      </c>
    </row>
    <row r="412" spans="1:15" hidden="1">
      <c r="A412" s="750">
        <v>42109</v>
      </c>
      <c r="B412" s="751" t="s">
        <v>1862</v>
      </c>
      <c r="C412" s="752">
        <v>28</v>
      </c>
      <c r="D412" s="750">
        <v>42137</v>
      </c>
      <c r="E412" s="753">
        <v>30</v>
      </c>
      <c r="F412" s="753">
        <v>0</v>
      </c>
      <c r="G412" s="753">
        <v>0</v>
      </c>
      <c r="H412" s="753">
        <v>0</v>
      </c>
      <c r="I412" s="754">
        <v>0</v>
      </c>
      <c r="J412" s="754">
        <v>0</v>
      </c>
      <c r="K412" s="754">
        <v>0</v>
      </c>
      <c r="L412" s="752">
        <v>0</v>
      </c>
    </row>
    <row r="413" spans="1:15" hidden="1">
      <c r="A413" s="750">
        <v>42116</v>
      </c>
      <c r="B413" s="751" t="s">
        <v>1863</v>
      </c>
      <c r="C413" s="752">
        <v>28</v>
      </c>
      <c r="D413" s="750">
        <v>42144</v>
      </c>
      <c r="E413" s="753">
        <v>30</v>
      </c>
      <c r="F413" s="753">
        <v>0</v>
      </c>
      <c r="G413" s="753">
        <v>0</v>
      </c>
      <c r="H413" s="753">
        <v>0</v>
      </c>
      <c r="I413" s="754">
        <v>0</v>
      </c>
      <c r="J413" s="754">
        <v>0</v>
      </c>
      <c r="K413" s="754">
        <v>0</v>
      </c>
      <c r="L413" s="752">
        <v>0</v>
      </c>
    </row>
    <row r="414" spans="1:15" hidden="1">
      <c r="A414" s="750">
        <v>42123</v>
      </c>
      <c r="B414" s="751" t="s">
        <v>1864</v>
      </c>
      <c r="C414" s="752">
        <v>28</v>
      </c>
      <c r="D414" s="750">
        <v>42151</v>
      </c>
      <c r="E414" s="753">
        <v>30</v>
      </c>
      <c r="F414" s="753">
        <v>0</v>
      </c>
      <c r="G414" s="753">
        <v>0</v>
      </c>
      <c r="H414" s="753">
        <v>0</v>
      </c>
      <c r="I414" s="754">
        <v>0</v>
      </c>
      <c r="J414" s="754">
        <v>0</v>
      </c>
      <c r="K414" s="754">
        <v>0</v>
      </c>
      <c r="L414" s="752">
        <v>0</v>
      </c>
    </row>
    <row r="415" spans="1:15" hidden="1">
      <c r="A415" s="750">
        <v>42676</v>
      </c>
      <c r="B415" s="751" t="s">
        <v>1901</v>
      </c>
      <c r="C415" s="752">
        <v>28</v>
      </c>
      <c r="D415" s="750">
        <v>42704</v>
      </c>
      <c r="E415" s="753">
        <v>50</v>
      </c>
      <c r="F415" s="753">
        <v>64.2363</v>
      </c>
      <c r="G415" s="753">
        <v>50</v>
      </c>
      <c r="H415" s="753">
        <v>0</v>
      </c>
      <c r="I415" s="754">
        <v>0.14000000000000001</v>
      </c>
      <c r="J415" s="754">
        <v>0.14979999999999999</v>
      </c>
      <c r="K415" s="754">
        <v>0.14710000000000001</v>
      </c>
      <c r="L415" s="752">
        <v>3</v>
      </c>
    </row>
    <row r="416" spans="1:15" hidden="1">
      <c r="A416" s="750">
        <v>42684</v>
      </c>
      <c r="B416" s="751" t="s">
        <v>1902</v>
      </c>
      <c r="C416" s="752">
        <v>27</v>
      </c>
      <c r="D416" s="750">
        <v>42711</v>
      </c>
      <c r="E416" s="753">
        <v>75</v>
      </c>
      <c r="F416" s="753">
        <v>26.718499999999999</v>
      </c>
      <c r="G416" s="753">
        <v>26.718499999999999</v>
      </c>
      <c r="H416" s="753">
        <v>0</v>
      </c>
      <c r="I416" s="754">
        <v>0.14269999999999999</v>
      </c>
      <c r="J416" s="754">
        <v>0.14990000000000001</v>
      </c>
      <c r="K416" s="754">
        <v>0.14949999999999999</v>
      </c>
      <c r="L416" s="752">
        <v>3</v>
      </c>
    </row>
    <row r="417" spans="1:12" hidden="1">
      <c r="A417" s="750">
        <v>42690</v>
      </c>
      <c r="B417" s="751" t="s">
        <v>1903</v>
      </c>
      <c r="C417" s="752">
        <v>28</v>
      </c>
      <c r="D417" s="750">
        <v>42718</v>
      </c>
      <c r="E417" s="753">
        <v>75</v>
      </c>
      <c r="F417" s="753">
        <v>30.338200000000001</v>
      </c>
      <c r="G417" s="753">
        <v>30.338200000000001</v>
      </c>
      <c r="H417" s="753">
        <v>0</v>
      </c>
      <c r="I417" s="754">
        <v>0.14499999999999999</v>
      </c>
      <c r="J417" s="754">
        <v>0.14499999999999999</v>
      </c>
      <c r="K417" s="754">
        <v>0.14499999999999999</v>
      </c>
      <c r="L417" s="752">
        <v>1</v>
      </c>
    </row>
    <row r="418" spans="1:12" hidden="1">
      <c r="A418" s="750">
        <v>42697</v>
      </c>
      <c r="B418" s="751" t="s">
        <v>1904</v>
      </c>
      <c r="C418" s="752">
        <v>28</v>
      </c>
      <c r="D418" s="750">
        <v>42725</v>
      </c>
      <c r="E418" s="753">
        <v>75</v>
      </c>
      <c r="F418" s="753">
        <v>5.0583</v>
      </c>
      <c r="G418" s="753">
        <v>5.0583</v>
      </c>
      <c r="H418" s="753">
        <v>0</v>
      </c>
      <c r="I418" s="754">
        <v>0.14990000000000001</v>
      </c>
      <c r="J418" s="754">
        <v>0.14990000000000001</v>
      </c>
      <c r="K418" s="754">
        <v>0.14990000000000001</v>
      </c>
      <c r="L418" s="752">
        <v>1</v>
      </c>
    </row>
    <row r="419" spans="1:12" hidden="1">
      <c r="A419" s="750">
        <v>42704</v>
      </c>
      <c r="B419" s="751" t="s">
        <v>1905</v>
      </c>
      <c r="C419" s="752">
        <v>28</v>
      </c>
      <c r="D419" s="750">
        <v>42732</v>
      </c>
      <c r="E419" s="753">
        <v>75</v>
      </c>
      <c r="F419" s="753">
        <v>50.116599999999998</v>
      </c>
      <c r="G419" s="753">
        <v>50.116599999999998</v>
      </c>
      <c r="H419" s="753">
        <v>0</v>
      </c>
      <c r="I419" s="754">
        <v>0.14990000000000001</v>
      </c>
      <c r="J419" s="754">
        <v>0.14990000000000001</v>
      </c>
      <c r="K419" s="754">
        <v>0.14990000000000001</v>
      </c>
      <c r="L419" s="752">
        <v>1</v>
      </c>
    </row>
    <row r="420" spans="1:12" hidden="1">
      <c r="A420" s="750">
        <v>42711</v>
      </c>
      <c r="B420" s="751" t="s">
        <v>1911</v>
      </c>
      <c r="C420" s="752">
        <v>29</v>
      </c>
      <c r="D420" s="750">
        <v>42740</v>
      </c>
      <c r="E420" s="753">
        <v>75</v>
      </c>
      <c r="F420" s="753">
        <v>3.2370000000000001</v>
      </c>
      <c r="G420" s="753">
        <v>3.2370000000000001</v>
      </c>
      <c r="H420" s="753">
        <v>0</v>
      </c>
      <c r="I420" s="754">
        <v>0.1406</v>
      </c>
      <c r="J420" s="754">
        <v>0.1457</v>
      </c>
      <c r="K420" s="754">
        <v>0.14249999999999999</v>
      </c>
      <c r="L420" s="752">
        <v>2</v>
      </c>
    </row>
    <row r="421" spans="1:12" hidden="1">
      <c r="A421" s="750">
        <v>42718</v>
      </c>
      <c r="B421" s="751" t="s">
        <v>1912</v>
      </c>
      <c r="C421" s="752">
        <v>28</v>
      </c>
      <c r="D421" s="750">
        <v>42746</v>
      </c>
      <c r="E421" s="753">
        <v>75</v>
      </c>
      <c r="F421" s="753">
        <v>50.583100000000002</v>
      </c>
      <c r="G421" s="753">
        <v>50.583100000000002</v>
      </c>
      <c r="H421" s="753">
        <v>0</v>
      </c>
      <c r="I421" s="754">
        <v>0.14990000000000001</v>
      </c>
      <c r="J421" s="754">
        <v>0.14990000000000001</v>
      </c>
      <c r="K421" s="754">
        <v>0.14990000000000001</v>
      </c>
      <c r="L421" s="752">
        <v>2</v>
      </c>
    </row>
    <row r="422" spans="1:12" hidden="1">
      <c r="A422" s="750">
        <v>42725</v>
      </c>
      <c r="B422" s="751" t="s">
        <v>1913</v>
      </c>
      <c r="C422" s="752">
        <v>28</v>
      </c>
      <c r="D422" s="750">
        <v>42753</v>
      </c>
      <c r="E422" s="753">
        <v>50</v>
      </c>
      <c r="F422" s="753">
        <v>45.5777</v>
      </c>
      <c r="G422" s="753">
        <v>45.5777</v>
      </c>
      <c r="H422" s="753">
        <v>0</v>
      </c>
      <c r="I422" s="754">
        <v>0.14990000000000001</v>
      </c>
      <c r="J422" s="754">
        <v>0.14990000000000001</v>
      </c>
      <c r="K422" s="754">
        <v>0.14990000000000001</v>
      </c>
      <c r="L422" s="752">
        <v>2</v>
      </c>
    </row>
    <row r="423" spans="1:12" hidden="1">
      <c r="A423" s="750">
        <v>42732</v>
      </c>
      <c r="B423" s="751" t="s">
        <v>1914</v>
      </c>
      <c r="C423" s="752">
        <v>28</v>
      </c>
      <c r="D423" s="750">
        <v>42760</v>
      </c>
      <c r="E423" s="753">
        <v>50</v>
      </c>
      <c r="F423" s="753">
        <v>10.2227</v>
      </c>
      <c r="G423" s="753">
        <v>10.2227</v>
      </c>
      <c r="H423" s="753">
        <v>0</v>
      </c>
      <c r="I423" s="754">
        <v>0.14990000000000001</v>
      </c>
      <c r="J423" s="754">
        <v>0.14990000000000001</v>
      </c>
      <c r="K423" s="754">
        <v>0.14990000000000001</v>
      </c>
      <c r="L423" s="752">
        <v>1</v>
      </c>
    </row>
    <row r="424" spans="1:12">
      <c r="A424" s="963">
        <v>2017</v>
      </c>
      <c r="B424" s="751"/>
      <c r="C424" s="752"/>
      <c r="D424" s="750"/>
      <c r="E424" s="753"/>
      <c r="F424" s="753"/>
      <c r="G424" s="753"/>
      <c r="H424" s="753"/>
      <c r="I424" s="754"/>
      <c r="J424" s="754"/>
      <c r="K424" s="754"/>
      <c r="L424" s="752"/>
    </row>
    <row r="425" spans="1:12">
      <c r="A425" s="750">
        <v>42740</v>
      </c>
      <c r="B425" s="751" t="s">
        <v>1916</v>
      </c>
      <c r="C425" s="752">
        <v>27</v>
      </c>
      <c r="D425" s="750">
        <v>42767</v>
      </c>
      <c r="E425" s="753">
        <v>5</v>
      </c>
      <c r="F425" s="753">
        <v>3.5074999999999998</v>
      </c>
      <c r="G425" s="753">
        <v>3.5074999999999998</v>
      </c>
      <c r="H425" s="753">
        <v>0</v>
      </c>
      <c r="I425" s="754">
        <v>0.14990000000000001</v>
      </c>
      <c r="J425" s="754">
        <v>0.14990000000000001</v>
      </c>
      <c r="K425" s="754">
        <v>0.14990000000000001</v>
      </c>
      <c r="L425" s="752">
        <v>2</v>
      </c>
    </row>
    <row r="426" spans="1:12">
      <c r="A426" s="750">
        <v>42746</v>
      </c>
      <c r="B426" s="751" t="s">
        <v>1917</v>
      </c>
      <c r="C426" s="752">
        <v>28</v>
      </c>
      <c r="D426" s="750">
        <v>42774</v>
      </c>
      <c r="E426" s="753">
        <v>5</v>
      </c>
      <c r="F426" s="753">
        <v>10</v>
      </c>
      <c r="G426" s="753">
        <v>5</v>
      </c>
      <c r="H426" s="753">
        <v>0</v>
      </c>
      <c r="I426" s="754">
        <v>0.14280000000000001</v>
      </c>
      <c r="J426" s="754">
        <v>0.14560000000000001</v>
      </c>
      <c r="K426" s="754">
        <v>0.14399999999999999</v>
      </c>
      <c r="L426" s="752">
        <v>2</v>
      </c>
    </row>
    <row r="427" spans="1:12">
      <c r="A427" s="750">
        <v>42753</v>
      </c>
      <c r="B427" s="751" t="s">
        <v>1918</v>
      </c>
      <c r="C427" s="752">
        <v>28</v>
      </c>
      <c r="D427" s="750">
        <v>42781</v>
      </c>
      <c r="E427" s="753">
        <v>5</v>
      </c>
      <c r="F427" s="753">
        <v>10</v>
      </c>
      <c r="G427" s="753">
        <v>5</v>
      </c>
      <c r="H427" s="753">
        <v>0</v>
      </c>
      <c r="I427" s="754">
        <v>0.1201</v>
      </c>
      <c r="J427" s="754">
        <v>0.1201</v>
      </c>
      <c r="K427" s="754">
        <v>0.1201</v>
      </c>
      <c r="L427" s="752">
        <v>2</v>
      </c>
    </row>
    <row r="428" spans="1:12">
      <c r="A428" s="750">
        <v>42761</v>
      </c>
      <c r="B428" s="751" t="s">
        <v>1919</v>
      </c>
      <c r="C428" s="752">
        <v>28</v>
      </c>
      <c r="D428" s="750">
        <v>42789</v>
      </c>
      <c r="E428" s="753">
        <v>25</v>
      </c>
      <c r="F428" s="753">
        <v>53.033900000000003</v>
      </c>
      <c r="G428" s="753">
        <v>25</v>
      </c>
      <c r="H428" s="753">
        <v>0</v>
      </c>
      <c r="I428" s="754">
        <v>0.125</v>
      </c>
      <c r="J428" s="754">
        <v>0.125</v>
      </c>
      <c r="K428" s="754">
        <v>0.125</v>
      </c>
      <c r="L428" s="752">
        <v>4</v>
      </c>
    </row>
    <row r="429" spans="1:12">
      <c r="A429" s="750">
        <v>42767</v>
      </c>
      <c r="B429" s="751" t="s">
        <v>1923</v>
      </c>
      <c r="C429" s="752">
        <v>28</v>
      </c>
      <c r="D429" s="750">
        <v>42795</v>
      </c>
      <c r="E429" s="753">
        <v>50</v>
      </c>
      <c r="F429" s="753">
        <v>29.616</v>
      </c>
      <c r="G429" s="753">
        <v>29.616</v>
      </c>
      <c r="H429" s="753">
        <v>0</v>
      </c>
      <c r="I429" s="754">
        <v>0.13</v>
      </c>
      <c r="J429" s="754">
        <v>0.13</v>
      </c>
      <c r="K429" s="754">
        <v>0.13</v>
      </c>
      <c r="L429" s="752">
        <v>5</v>
      </c>
    </row>
    <row r="430" spans="1:12">
      <c r="A430" s="750">
        <v>42774</v>
      </c>
      <c r="B430" s="751" t="s">
        <v>1924</v>
      </c>
      <c r="C430" s="752">
        <v>29</v>
      </c>
      <c r="D430" s="750">
        <v>42803</v>
      </c>
      <c r="E430" s="753">
        <v>50</v>
      </c>
      <c r="F430" s="753">
        <v>22.759</v>
      </c>
      <c r="G430" s="753">
        <v>22.759</v>
      </c>
      <c r="H430" s="753">
        <v>0</v>
      </c>
      <c r="I430" s="754">
        <v>0.12989999999999999</v>
      </c>
      <c r="J430" s="754">
        <v>0.14499999999999999</v>
      </c>
      <c r="K430" s="754">
        <v>0.13880000000000001</v>
      </c>
      <c r="L430" s="752">
        <v>3</v>
      </c>
    </row>
    <row r="431" spans="1:12">
      <c r="A431" s="750">
        <v>42781</v>
      </c>
      <c r="B431" s="751" t="s">
        <v>1925</v>
      </c>
      <c r="C431" s="752">
        <v>28</v>
      </c>
      <c r="D431" s="750">
        <v>42809</v>
      </c>
      <c r="E431" s="753">
        <v>50</v>
      </c>
      <c r="F431" s="753">
        <v>25.291499999999999</v>
      </c>
      <c r="G431" s="753">
        <v>25.291499999999999</v>
      </c>
      <c r="H431" s="753">
        <v>0</v>
      </c>
      <c r="I431" s="754">
        <v>0.1305</v>
      </c>
      <c r="J431" s="754">
        <v>0.14990000000000001</v>
      </c>
      <c r="K431" s="754">
        <v>0.14560000000000001</v>
      </c>
      <c r="L431" s="752">
        <v>1</v>
      </c>
    </row>
    <row r="432" spans="1:12">
      <c r="A432" s="750">
        <v>42788</v>
      </c>
      <c r="B432" s="751" t="s">
        <v>1926</v>
      </c>
      <c r="C432" s="752">
        <v>35</v>
      </c>
      <c r="D432" s="750">
        <v>42823</v>
      </c>
      <c r="E432" s="753">
        <v>50</v>
      </c>
      <c r="F432" s="753">
        <v>12.3756</v>
      </c>
      <c r="G432" s="753">
        <v>12.3756</v>
      </c>
      <c r="H432" s="753">
        <v>0</v>
      </c>
      <c r="I432" s="754">
        <v>0.14180000000000001</v>
      </c>
      <c r="J432" s="754">
        <v>0.14480000000000001</v>
      </c>
      <c r="K432" s="754">
        <v>0.14480000000000001</v>
      </c>
      <c r="L432" s="752">
        <v>4</v>
      </c>
    </row>
    <row r="433" spans="1:12">
      <c r="A433" s="750">
        <v>42795</v>
      </c>
      <c r="B433" s="751" t="s">
        <v>1932</v>
      </c>
      <c r="C433" s="752">
        <v>28</v>
      </c>
      <c r="D433" s="750">
        <v>42823</v>
      </c>
      <c r="E433" s="753">
        <v>50</v>
      </c>
      <c r="F433" s="753">
        <v>11.7456</v>
      </c>
      <c r="G433" s="753">
        <v>11.7456</v>
      </c>
      <c r="H433" s="753">
        <v>0</v>
      </c>
      <c r="I433" s="754">
        <v>0.13020000000000001</v>
      </c>
      <c r="J433" s="754">
        <v>0.14990000000000001</v>
      </c>
      <c r="K433" s="754">
        <v>0.14829999999999999</v>
      </c>
      <c r="L433" s="752">
        <v>2</v>
      </c>
    </row>
    <row r="434" spans="1:12">
      <c r="A434" s="750">
        <v>42803</v>
      </c>
      <c r="B434" s="751" t="s">
        <v>1933</v>
      </c>
      <c r="C434" s="752">
        <v>27</v>
      </c>
      <c r="D434" s="750">
        <v>42830</v>
      </c>
      <c r="E434" s="753">
        <v>50</v>
      </c>
      <c r="F434" s="753">
        <v>9.3712999999999997</v>
      </c>
      <c r="G434" s="753">
        <v>9.3712999999999997</v>
      </c>
      <c r="H434" s="753">
        <v>0</v>
      </c>
      <c r="I434" s="754">
        <v>0.14430000000000001</v>
      </c>
      <c r="J434" s="754">
        <v>0.14990000000000001</v>
      </c>
      <c r="K434" s="754">
        <v>0.1492</v>
      </c>
      <c r="L434" s="752">
        <v>3</v>
      </c>
    </row>
    <row r="435" spans="1:12">
      <c r="A435" s="750">
        <v>42809</v>
      </c>
      <c r="B435" s="751" t="s">
        <v>1934</v>
      </c>
      <c r="C435" s="752">
        <v>28</v>
      </c>
      <c r="D435" s="750">
        <v>42837</v>
      </c>
      <c r="E435" s="753">
        <v>50</v>
      </c>
      <c r="F435" s="753">
        <v>26.303100000000001</v>
      </c>
      <c r="G435" s="753">
        <v>26.303100000000001</v>
      </c>
      <c r="H435" s="753">
        <v>0</v>
      </c>
      <c r="I435" s="754">
        <v>0.14560000000000001</v>
      </c>
      <c r="J435" s="754">
        <v>0.14990000000000001</v>
      </c>
      <c r="K435" s="754">
        <v>0.14799999999999999</v>
      </c>
      <c r="L435" s="752">
        <v>2</v>
      </c>
    </row>
    <row r="436" spans="1:12">
      <c r="A436" s="750">
        <v>42823</v>
      </c>
      <c r="B436" s="751" t="s">
        <v>1935</v>
      </c>
      <c r="C436" s="752">
        <v>28</v>
      </c>
      <c r="D436" s="750">
        <v>42851</v>
      </c>
      <c r="E436" s="753">
        <v>50</v>
      </c>
      <c r="F436" s="753">
        <v>33.423999999999999</v>
      </c>
      <c r="G436" s="753">
        <v>33.423999999999999</v>
      </c>
      <c r="H436" s="753">
        <v>0</v>
      </c>
      <c r="I436" s="754">
        <v>0.14990000000000001</v>
      </c>
      <c r="J436" s="754">
        <v>0.14990000000000001</v>
      </c>
      <c r="K436" s="754">
        <v>0.14990000000000001</v>
      </c>
      <c r="L436" s="752">
        <v>4</v>
      </c>
    </row>
    <row r="437" spans="1:12">
      <c r="A437" s="750">
        <v>42830</v>
      </c>
      <c r="B437" s="751" t="s">
        <v>1941</v>
      </c>
      <c r="C437" s="752">
        <v>28</v>
      </c>
      <c r="D437" s="750">
        <v>42858</v>
      </c>
      <c r="E437" s="753">
        <v>50</v>
      </c>
      <c r="F437" s="753">
        <v>27.867999999999999</v>
      </c>
      <c r="G437" s="753">
        <v>27.867999999999999</v>
      </c>
      <c r="H437" s="753">
        <v>0</v>
      </c>
      <c r="I437" s="754">
        <v>0.14599999999999999</v>
      </c>
      <c r="J437" s="754">
        <v>0.14990000000000001</v>
      </c>
      <c r="K437" s="754">
        <v>0.1497</v>
      </c>
      <c r="L437" s="752">
        <v>2</v>
      </c>
    </row>
    <row r="438" spans="1:12">
      <c r="A438" s="750">
        <v>42837</v>
      </c>
      <c r="B438" s="751" t="s">
        <v>1942</v>
      </c>
      <c r="C438" s="752">
        <v>28</v>
      </c>
      <c r="D438" s="750">
        <v>42865</v>
      </c>
      <c r="E438" s="753">
        <v>25</v>
      </c>
      <c r="F438" s="753">
        <v>60.112699999999997</v>
      </c>
      <c r="G438" s="753">
        <v>25</v>
      </c>
      <c r="H438" s="753">
        <v>0</v>
      </c>
      <c r="I438" s="754">
        <v>0.14799999999999999</v>
      </c>
      <c r="J438" s="754">
        <v>0.14990000000000001</v>
      </c>
      <c r="K438" s="754">
        <v>0.14979999999999999</v>
      </c>
      <c r="L438" s="752">
        <v>3</v>
      </c>
    </row>
    <row r="439" spans="1:12">
      <c r="A439" s="750">
        <v>42851</v>
      </c>
      <c r="B439" s="751" t="s">
        <v>1943</v>
      </c>
      <c r="C439" s="752">
        <v>28</v>
      </c>
      <c r="D439" s="750">
        <v>42879</v>
      </c>
      <c r="E439" s="753">
        <v>25</v>
      </c>
      <c r="F439" s="753">
        <v>21.81</v>
      </c>
      <c r="G439" s="753">
        <v>21.81</v>
      </c>
      <c r="H439" s="753">
        <v>0</v>
      </c>
      <c r="I439" s="754">
        <v>0.1389</v>
      </c>
      <c r="J439" s="754">
        <v>0.1389</v>
      </c>
      <c r="K439" s="754">
        <v>0.1389</v>
      </c>
      <c r="L439" s="752">
        <v>3</v>
      </c>
    </row>
    <row r="440" spans="1:12">
      <c r="A440" s="750">
        <v>42858</v>
      </c>
      <c r="B440" s="751" t="s">
        <v>1948</v>
      </c>
      <c r="C440" s="752">
        <v>28</v>
      </c>
      <c r="D440" s="750">
        <v>42886</v>
      </c>
      <c r="E440" s="753">
        <v>25</v>
      </c>
      <c r="F440" s="753">
        <v>52.18</v>
      </c>
      <c r="G440" s="753">
        <v>25</v>
      </c>
      <c r="H440" s="753">
        <v>0</v>
      </c>
      <c r="I440" s="754">
        <v>0.129</v>
      </c>
      <c r="J440" s="754">
        <v>0.14990000000000001</v>
      </c>
      <c r="K440" s="754">
        <v>0.14580000000000001</v>
      </c>
      <c r="L440" s="752">
        <v>3</v>
      </c>
    </row>
    <row r="441" spans="1:12">
      <c r="A441" s="750">
        <v>42865</v>
      </c>
      <c r="B441" s="751" t="s">
        <v>1949</v>
      </c>
      <c r="C441" s="752">
        <v>28</v>
      </c>
      <c r="D441" s="750">
        <v>42893</v>
      </c>
      <c r="E441" s="753">
        <v>25</v>
      </c>
      <c r="F441" s="753">
        <v>75.253699999999995</v>
      </c>
      <c r="G441" s="753">
        <v>25</v>
      </c>
      <c r="H441" s="753">
        <v>0</v>
      </c>
      <c r="I441" s="754">
        <v>0.14560000000000001</v>
      </c>
      <c r="J441" s="754">
        <v>0.14799999999999999</v>
      </c>
      <c r="K441" s="754">
        <v>0.1479</v>
      </c>
      <c r="L441" s="752">
        <v>5</v>
      </c>
    </row>
    <row r="442" spans="1:12">
      <c r="A442" s="750">
        <v>42872</v>
      </c>
      <c r="B442" s="751" t="s">
        <v>1950</v>
      </c>
      <c r="C442" s="752">
        <v>28</v>
      </c>
      <c r="D442" s="750">
        <v>42900</v>
      </c>
      <c r="E442" s="753">
        <v>25</v>
      </c>
      <c r="F442" s="753">
        <v>117.6808</v>
      </c>
      <c r="G442" s="753">
        <v>25</v>
      </c>
      <c r="H442" s="753">
        <v>0</v>
      </c>
      <c r="I442" s="754">
        <v>0.124</v>
      </c>
      <c r="J442" s="754">
        <v>0.13900000000000001</v>
      </c>
      <c r="K442" s="754">
        <v>0.13059999999999999</v>
      </c>
      <c r="L442" s="752">
        <v>8</v>
      </c>
    </row>
    <row r="443" spans="1:12">
      <c r="A443" s="750">
        <v>42879</v>
      </c>
      <c r="B443" s="751" t="s">
        <v>1951</v>
      </c>
      <c r="C443" s="752">
        <v>28</v>
      </c>
      <c r="D443" s="750">
        <v>42907</v>
      </c>
      <c r="E443" s="753">
        <v>25</v>
      </c>
      <c r="F443" s="753">
        <v>115.1399</v>
      </c>
      <c r="G443" s="753">
        <v>25</v>
      </c>
      <c r="H443" s="753">
        <v>0</v>
      </c>
      <c r="I443" s="754">
        <v>0.1201</v>
      </c>
      <c r="J443" s="754">
        <v>0.1201</v>
      </c>
      <c r="K443" s="754">
        <v>0.1201</v>
      </c>
      <c r="L443" s="752">
        <v>6</v>
      </c>
    </row>
    <row r="444" spans="1:12">
      <c r="A444" s="750">
        <v>42886</v>
      </c>
      <c r="B444" s="751" t="s">
        <v>1952</v>
      </c>
      <c r="C444" s="752">
        <v>29</v>
      </c>
      <c r="D444" s="750">
        <v>42915</v>
      </c>
      <c r="E444" s="753">
        <v>50</v>
      </c>
      <c r="F444" s="753">
        <v>108.6514</v>
      </c>
      <c r="G444" s="753">
        <v>50</v>
      </c>
      <c r="H444" s="753">
        <v>0</v>
      </c>
      <c r="I444" s="754">
        <v>0.1201</v>
      </c>
      <c r="J444" s="754">
        <v>0.1201</v>
      </c>
      <c r="K444" s="754">
        <v>0.1201</v>
      </c>
      <c r="L444" s="752">
        <v>5</v>
      </c>
    </row>
    <row r="445" spans="1:12">
      <c r="A445" s="750">
        <v>42893</v>
      </c>
      <c r="B445" s="751" t="s">
        <v>1984</v>
      </c>
      <c r="C445" s="752">
        <v>28</v>
      </c>
      <c r="D445" s="750">
        <v>42921</v>
      </c>
      <c r="E445" s="753">
        <v>50</v>
      </c>
      <c r="F445" s="753">
        <v>179.98589999999999</v>
      </c>
      <c r="G445" s="753">
        <v>50</v>
      </c>
      <c r="H445" s="753">
        <v>0</v>
      </c>
      <c r="I445" s="754">
        <v>0.1201</v>
      </c>
      <c r="J445" s="754">
        <v>0.1201</v>
      </c>
      <c r="K445" s="754">
        <v>0.1201</v>
      </c>
      <c r="L445" s="752">
        <v>10</v>
      </c>
    </row>
    <row r="446" spans="1:12">
      <c r="A446" s="750">
        <v>42900</v>
      </c>
      <c r="B446" s="751" t="s">
        <v>1985</v>
      </c>
      <c r="C446" s="752">
        <v>28</v>
      </c>
      <c r="D446" s="750">
        <v>42928</v>
      </c>
      <c r="E446" s="753">
        <v>100</v>
      </c>
      <c r="F446" s="753">
        <v>245.763091</v>
      </c>
      <c r="G446" s="753">
        <v>100</v>
      </c>
      <c r="H446" s="753">
        <v>0</v>
      </c>
      <c r="I446" s="754">
        <v>0.1201</v>
      </c>
      <c r="J446" s="754">
        <v>0.1201</v>
      </c>
      <c r="K446" s="754">
        <v>0.1201</v>
      </c>
      <c r="L446" s="752">
        <v>10</v>
      </c>
    </row>
    <row r="447" spans="1:12">
      <c r="A447" s="750">
        <v>42907</v>
      </c>
      <c r="B447" s="751" t="s">
        <v>1986</v>
      </c>
      <c r="C447" s="752">
        <v>28</v>
      </c>
      <c r="D447" s="750">
        <v>42935</v>
      </c>
      <c r="E447" s="753">
        <v>150</v>
      </c>
      <c r="F447" s="753">
        <v>171.840182</v>
      </c>
      <c r="G447" s="753">
        <v>150</v>
      </c>
      <c r="H447" s="753">
        <v>0</v>
      </c>
      <c r="I447" s="754">
        <v>0.1201</v>
      </c>
      <c r="J447" s="754">
        <v>0.1201</v>
      </c>
      <c r="K447" s="754">
        <v>0.1201</v>
      </c>
      <c r="L447" s="752">
        <v>8</v>
      </c>
    </row>
    <row r="448" spans="1:12">
      <c r="A448" s="750">
        <v>42915</v>
      </c>
      <c r="B448" s="751" t="s">
        <v>1987</v>
      </c>
      <c r="C448" s="752">
        <v>27</v>
      </c>
      <c r="D448" s="750">
        <v>42942</v>
      </c>
      <c r="E448" s="753">
        <v>150</v>
      </c>
      <c r="F448" s="753">
        <v>163.619</v>
      </c>
      <c r="G448" s="753">
        <v>50</v>
      </c>
      <c r="H448" s="753">
        <v>0</v>
      </c>
      <c r="I448" s="754">
        <v>0.1201</v>
      </c>
      <c r="J448" s="754">
        <v>0.13500000000000001</v>
      </c>
      <c r="K448" s="754">
        <v>0.123852</v>
      </c>
      <c r="L448" s="752">
        <v>7</v>
      </c>
    </row>
    <row r="449" spans="1:12">
      <c r="A449" s="750">
        <v>42921</v>
      </c>
      <c r="B449" s="751" t="s">
        <v>1993</v>
      </c>
      <c r="C449" s="752">
        <v>28</v>
      </c>
      <c r="D449" s="750">
        <v>42949</v>
      </c>
      <c r="E449" s="753">
        <v>100</v>
      </c>
      <c r="F449" s="753">
        <v>320.27398499999998</v>
      </c>
      <c r="G449" s="753">
        <v>100</v>
      </c>
      <c r="H449" s="753">
        <v>0</v>
      </c>
      <c r="I449" s="754">
        <v>0.10009999999999999</v>
      </c>
      <c r="J449" s="754">
        <v>0.10009999999999999</v>
      </c>
      <c r="K449" s="754">
        <v>0.10009999999999999</v>
      </c>
      <c r="L449" s="752">
        <v>7</v>
      </c>
    </row>
    <row r="450" spans="1:12">
      <c r="A450" s="750">
        <v>42928</v>
      </c>
      <c r="B450" s="751" t="s">
        <v>1994</v>
      </c>
      <c r="C450" s="752">
        <v>28</v>
      </c>
      <c r="D450" s="750">
        <v>42956</v>
      </c>
      <c r="E450" s="753">
        <v>100</v>
      </c>
      <c r="F450" s="753">
        <v>417.2346</v>
      </c>
      <c r="G450" s="753">
        <v>100</v>
      </c>
      <c r="H450" s="753">
        <v>0</v>
      </c>
      <c r="I450" s="754">
        <v>0.10009999999999999</v>
      </c>
      <c r="J450" s="754">
        <v>0.10009999999999999</v>
      </c>
      <c r="K450" s="754">
        <v>0.10009999999999999</v>
      </c>
      <c r="L450" s="752">
        <v>15</v>
      </c>
    </row>
    <row r="451" spans="1:12">
      <c r="A451" s="750">
        <v>42935</v>
      </c>
      <c r="B451" s="751" t="s">
        <v>1995</v>
      </c>
      <c r="C451" s="752">
        <v>28</v>
      </c>
      <c r="D451" s="750">
        <v>42963</v>
      </c>
      <c r="E451" s="753">
        <v>200</v>
      </c>
      <c r="F451" s="753">
        <v>431.46600000000001</v>
      </c>
      <c r="G451" s="753">
        <v>200</v>
      </c>
      <c r="H451" s="753">
        <v>0</v>
      </c>
      <c r="I451" s="754">
        <v>0.10009999999999999</v>
      </c>
      <c r="J451" s="754">
        <v>0.10009999999999999</v>
      </c>
      <c r="K451" s="754">
        <v>0.10009999999999999</v>
      </c>
      <c r="L451" s="752">
        <v>15</v>
      </c>
    </row>
    <row r="452" spans="1:12">
      <c r="A452" s="750">
        <v>42942</v>
      </c>
      <c r="B452" s="751" t="s">
        <v>1996</v>
      </c>
      <c r="C452" s="752">
        <v>28</v>
      </c>
      <c r="D452" s="750">
        <v>42970</v>
      </c>
      <c r="E452" s="753">
        <v>150</v>
      </c>
      <c r="F452" s="753">
        <v>127.648</v>
      </c>
      <c r="G452" s="753">
        <v>50</v>
      </c>
      <c r="H452" s="753">
        <v>0</v>
      </c>
      <c r="I452" s="754">
        <v>0.10009999999999999</v>
      </c>
      <c r="J452" s="754">
        <v>0.10009999999999999</v>
      </c>
      <c r="K452" s="754">
        <v>0.10009999999999999</v>
      </c>
      <c r="L452" s="752">
        <v>7</v>
      </c>
    </row>
    <row r="453" spans="1:12">
      <c r="A453" s="750">
        <v>42949</v>
      </c>
      <c r="B453" s="751" t="s">
        <v>2003</v>
      </c>
      <c r="C453" s="752">
        <v>28</v>
      </c>
      <c r="D453" s="750">
        <v>42977</v>
      </c>
      <c r="E453" s="753">
        <v>150</v>
      </c>
      <c r="F453" s="753">
        <v>337.19</v>
      </c>
      <c r="G453" s="753">
        <v>149.999</v>
      </c>
      <c r="H453" s="753">
        <v>0</v>
      </c>
      <c r="I453" s="754">
        <v>0.10009999999999999</v>
      </c>
      <c r="J453" s="754">
        <v>0.10009999999999999</v>
      </c>
      <c r="K453" s="754">
        <v>0.10009999999999999</v>
      </c>
      <c r="L453" s="755">
        <v>10</v>
      </c>
    </row>
    <row r="454" spans="1:12">
      <c r="A454" s="750">
        <v>42956</v>
      </c>
      <c r="B454" s="751" t="s">
        <v>2004</v>
      </c>
      <c r="C454" s="752">
        <v>28</v>
      </c>
      <c r="D454" s="750">
        <v>42984</v>
      </c>
      <c r="E454" s="753">
        <v>100</v>
      </c>
      <c r="F454" s="753">
        <v>260.41059999999999</v>
      </c>
      <c r="G454" s="753">
        <v>100</v>
      </c>
      <c r="H454" s="753">
        <v>0</v>
      </c>
      <c r="I454" s="754">
        <v>0.10009999999999999</v>
      </c>
      <c r="J454" s="754">
        <v>0.10009999999999999</v>
      </c>
      <c r="K454" s="754">
        <v>0.10009999999999999</v>
      </c>
      <c r="L454" s="755">
        <v>13</v>
      </c>
    </row>
    <row r="455" spans="1:12">
      <c r="A455" s="750">
        <v>42963</v>
      </c>
      <c r="B455" s="751" t="s">
        <v>2005</v>
      </c>
      <c r="C455" s="752">
        <v>28</v>
      </c>
      <c r="D455" s="750">
        <v>42991</v>
      </c>
      <c r="E455" s="753">
        <v>200</v>
      </c>
      <c r="F455" s="753">
        <v>541.378063</v>
      </c>
      <c r="G455" s="753">
        <v>200</v>
      </c>
      <c r="H455" s="753">
        <v>0</v>
      </c>
      <c r="I455" s="754">
        <v>0.10009999999999999</v>
      </c>
      <c r="J455" s="754">
        <v>0.10009999999999999</v>
      </c>
      <c r="K455" s="754">
        <v>0.10009999999999999</v>
      </c>
      <c r="L455" s="752">
        <v>15</v>
      </c>
    </row>
    <row r="456" spans="1:12">
      <c r="A456" s="750">
        <v>42970</v>
      </c>
      <c r="B456" s="751" t="s">
        <v>2006</v>
      </c>
      <c r="C456" s="752">
        <v>28</v>
      </c>
      <c r="D456" s="750">
        <v>42998</v>
      </c>
      <c r="E456" s="753">
        <v>100</v>
      </c>
      <c r="F456" s="753">
        <v>421.09892600000001</v>
      </c>
      <c r="G456" s="753">
        <v>100</v>
      </c>
      <c r="H456" s="753">
        <v>0</v>
      </c>
      <c r="I456" s="754">
        <v>0.10009999999999999</v>
      </c>
      <c r="J456" s="754">
        <v>0.10009999999999999</v>
      </c>
      <c r="K456" s="754">
        <v>0.10009999999999999</v>
      </c>
      <c r="L456" s="752">
        <v>15</v>
      </c>
    </row>
    <row r="457" spans="1:12">
      <c r="A457" s="750">
        <v>42977</v>
      </c>
      <c r="B457" s="751" t="s">
        <v>2007</v>
      </c>
      <c r="C457" s="752">
        <v>28</v>
      </c>
      <c r="D457" s="750">
        <v>43005</v>
      </c>
      <c r="E457" s="753">
        <v>150</v>
      </c>
      <c r="F457" s="753">
        <v>463.04234300000002</v>
      </c>
      <c r="G457" s="753">
        <v>150</v>
      </c>
      <c r="H457" s="753">
        <v>0</v>
      </c>
      <c r="I457" s="754">
        <v>0.10009999999999999</v>
      </c>
      <c r="J457" s="754">
        <v>0.10009999999999999</v>
      </c>
      <c r="K457" s="754">
        <v>0.10009999999999999</v>
      </c>
      <c r="L457" s="752">
        <v>15</v>
      </c>
    </row>
    <row r="458" spans="1:12">
      <c r="A458" s="750">
        <v>42984</v>
      </c>
      <c r="B458" s="751" t="s">
        <v>2014</v>
      </c>
      <c r="C458" s="752">
        <v>28</v>
      </c>
      <c r="D458" s="750">
        <v>43012</v>
      </c>
      <c r="E458" s="753">
        <v>150</v>
      </c>
      <c r="F458" s="753">
        <v>452.77697999999998</v>
      </c>
      <c r="G458" s="753">
        <v>150</v>
      </c>
      <c r="H458" s="753">
        <v>0</v>
      </c>
      <c r="I458" s="754">
        <v>0.10009999999999999</v>
      </c>
      <c r="J458" s="754">
        <v>0.10009999999999999</v>
      </c>
      <c r="K458" s="754">
        <v>0.10009999999999999</v>
      </c>
      <c r="L458" s="755">
        <v>17</v>
      </c>
    </row>
    <row r="459" spans="1:12">
      <c r="A459" s="750">
        <v>42991</v>
      </c>
      <c r="B459" s="751" t="s">
        <v>2015</v>
      </c>
      <c r="C459" s="752">
        <v>28</v>
      </c>
      <c r="D459" s="750">
        <v>43019</v>
      </c>
      <c r="E459" s="753">
        <v>150</v>
      </c>
      <c r="F459" s="753">
        <v>492.54790000000003</v>
      </c>
      <c r="G459" s="753">
        <v>150</v>
      </c>
      <c r="H459" s="753">
        <v>0</v>
      </c>
      <c r="I459" s="754">
        <v>0.10009999999999999</v>
      </c>
      <c r="J459" s="754">
        <v>0.10009999999999999</v>
      </c>
      <c r="K459" s="754">
        <v>0.10009999999999999</v>
      </c>
      <c r="L459" s="752">
        <v>17</v>
      </c>
    </row>
    <row r="460" spans="1:12">
      <c r="A460" s="750">
        <v>42998</v>
      </c>
      <c r="B460" s="751" t="s">
        <v>2016</v>
      </c>
      <c r="C460" s="752">
        <v>28</v>
      </c>
      <c r="D460" s="750">
        <v>43026</v>
      </c>
      <c r="E460" s="753">
        <v>100</v>
      </c>
      <c r="F460" s="753">
        <v>380.82170000000002</v>
      </c>
      <c r="G460" s="753">
        <v>100</v>
      </c>
      <c r="H460" s="753">
        <v>0</v>
      </c>
      <c r="I460" s="754">
        <v>0.10009999999999999</v>
      </c>
      <c r="J460" s="754">
        <v>0.10009999999999999</v>
      </c>
      <c r="K460" s="754">
        <v>0.10009999999999999</v>
      </c>
      <c r="L460" s="752">
        <v>17</v>
      </c>
    </row>
    <row r="461" spans="1:12">
      <c r="A461" s="750">
        <v>43005</v>
      </c>
      <c r="B461" s="751" t="s">
        <v>2017</v>
      </c>
      <c r="C461" s="752">
        <v>28</v>
      </c>
      <c r="D461" s="750">
        <v>43033</v>
      </c>
      <c r="E461" s="753">
        <v>200</v>
      </c>
      <c r="F461" s="753">
        <v>550.31979999999999</v>
      </c>
      <c r="G461" s="753">
        <v>200</v>
      </c>
      <c r="H461" s="753">
        <v>0</v>
      </c>
      <c r="I461" s="754">
        <v>0.10009999999999999</v>
      </c>
      <c r="J461" s="754">
        <v>0.10009999999999999</v>
      </c>
      <c r="K461" s="754">
        <v>0.10009999999999999</v>
      </c>
      <c r="L461" s="752">
        <v>18</v>
      </c>
    </row>
    <row r="462" spans="1:12">
      <c r="A462" s="750">
        <v>43012</v>
      </c>
      <c r="B462" s="751" t="s">
        <v>2027</v>
      </c>
      <c r="C462" s="752">
        <v>28</v>
      </c>
      <c r="D462" s="750">
        <v>43040</v>
      </c>
      <c r="E462" s="753">
        <v>250</v>
      </c>
      <c r="F462" s="753">
        <v>445.61673300000001</v>
      </c>
      <c r="G462" s="753">
        <v>250</v>
      </c>
      <c r="H462" s="753">
        <v>0</v>
      </c>
      <c r="I462" s="754">
        <v>0.10009999999999999</v>
      </c>
      <c r="J462" s="754">
        <v>0.10009999999999999</v>
      </c>
      <c r="K462" s="754">
        <v>0.10009999999999999</v>
      </c>
      <c r="L462" s="755">
        <v>17</v>
      </c>
    </row>
    <row r="463" spans="1:12">
      <c r="A463" s="750">
        <v>43019</v>
      </c>
      <c r="B463" s="751" t="s">
        <v>2028</v>
      </c>
      <c r="C463" s="752">
        <v>28</v>
      </c>
      <c r="D463" s="750">
        <v>43047</v>
      </c>
      <c r="E463" s="753">
        <v>150</v>
      </c>
      <c r="F463" s="753">
        <v>443.73849999999999</v>
      </c>
      <c r="G463" s="753">
        <v>150</v>
      </c>
      <c r="H463" s="753">
        <v>0</v>
      </c>
      <c r="I463" s="754">
        <v>0.10009999999999999</v>
      </c>
      <c r="J463" s="754">
        <v>0.10009999999999999</v>
      </c>
      <c r="K463" s="754">
        <v>0.10009999999999999</v>
      </c>
      <c r="L463" s="752">
        <v>15</v>
      </c>
    </row>
    <row r="464" spans="1:12">
      <c r="A464" s="750">
        <v>43026</v>
      </c>
      <c r="B464" s="751" t="s">
        <v>2029</v>
      </c>
      <c r="C464" s="752">
        <v>28</v>
      </c>
      <c r="D464" s="750">
        <v>43054</v>
      </c>
      <c r="E464" s="753">
        <v>100</v>
      </c>
      <c r="F464" s="753">
        <v>422.48970000000003</v>
      </c>
      <c r="G464" s="753">
        <v>100</v>
      </c>
      <c r="H464" s="753">
        <v>0</v>
      </c>
      <c r="I464" s="754">
        <v>0.10009999999999999</v>
      </c>
      <c r="J464" s="754">
        <v>0.10009999999999999</v>
      </c>
      <c r="K464" s="754">
        <v>0.10009999999999999</v>
      </c>
      <c r="L464" s="752">
        <v>15</v>
      </c>
    </row>
    <row r="465" spans="1:12">
      <c r="A465" s="750">
        <v>43033</v>
      </c>
      <c r="B465" s="751" t="s">
        <v>2030</v>
      </c>
      <c r="C465" s="752">
        <v>28</v>
      </c>
      <c r="D465" s="750">
        <v>43061</v>
      </c>
      <c r="E465" s="753">
        <v>200</v>
      </c>
      <c r="F465" s="753">
        <v>540.47249999999997</v>
      </c>
      <c r="G465" s="753">
        <v>200</v>
      </c>
      <c r="H465" s="753">
        <v>0</v>
      </c>
      <c r="I465" s="754">
        <v>0.10009999999999999</v>
      </c>
      <c r="J465" s="754">
        <v>0.10009999999999999</v>
      </c>
      <c r="K465" s="754">
        <v>0.10009999999999999</v>
      </c>
      <c r="L465" s="752">
        <v>16</v>
      </c>
    </row>
    <row r="466" spans="1:12">
      <c r="A466" s="750">
        <v>43040</v>
      </c>
      <c r="B466" s="751" t="s">
        <v>2037</v>
      </c>
      <c r="C466" s="752">
        <v>28</v>
      </c>
      <c r="D466" s="750">
        <v>43068</v>
      </c>
      <c r="E466" s="753">
        <v>250</v>
      </c>
      <c r="F466" s="753">
        <v>539.56550000000004</v>
      </c>
      <c r="G466" s="753">
        <v>250</v>
      </c>
      <c r="H466" s="753">
        <v>0</v>
      </c>
      <c r="I466" s="754">
        <v>0.10009999999999999</v>
      </c>
      <c r="J466" s="754">
        <v>0.10009999999999999</v>
      </c>
      <c r="K466" s="754">
        <v>0.10009999999999999</v>
      </c>
      <c r="L466" s="752">
        <v>15</v>
      </c>
    </row>
    <row r="467" spans="1:12">
      <c r="A467" s="750">
        <v>43047</v>
      </c>
      <c r="B467" s="751" t="s">
        <v>2038</v>
      </c>
      <c r="C467" s="752">
        <v>28</v>
      </c>
      <c r="D467" s="750">
        <v>43075</v>
      </c>
      <c r="E467" s="753">
        <v>150</v>
      </c>
      <c r="F467" s="753">
        <v>544.50350000000003</v>
      </c>
      <c r="G467" s="753">
        <v>150</v>
      </c>
      <c r="H467" s="753">
        <v>0</v>
      </c>
      <c r="I467" s="754">
        <v>0.10009999999999999</v>
      </c>
      <c r="J467" s="754">
        <v>0.10009999999999999</v>
      </c>
      <c r="K467" s="754">
        <v>0.10009999999999999</v>
      </c>
      <c r="L467" s="752">
        <v>16</v>
      </c>
    </row>
    <row r="468" spans="1:12">
      <c r="A468" s="750">
        <v>43054</v>
      </c>
      <c r="B468" s="751" t="s">
        <v>2039</v>
      </c>
      <c r="C468" s="752">
        <v>28</v>
      </c>
      <c r="D468" s="750">
        <v>43082</v>
      </c>
      <c r="E468" s="753">
        <v>100</v>
      </c>
      <c r="F468" s="753">
        <v>499.39429999999999</v>
      </c>
      <c r="G468" s="753">
        <v>100</v>
      </c>
      <c r="H468" s="753">
        <v>0</v>
      </c>
      <c r="I468" s="754">
        <v>0.10009999999999999</v>
      </c>
      <c r="J468" s="754">
        <v>0.10009999999999999</v>
      </c>
      <c r="K468" s="754">
        <v>0.10009999999999999</v>
      </c>
      <c r="L468" s="755">
        <v>14</v>
      </c>
    </row>
    <row r="469" spans="1:12">
      <c r="A469" s="750">
        <v>43061</v>
      </c>
      <c r="B469" s="751" t="s">
        <v>2040</v>
      </c>
      <c r="C469" s="752">
        <v>28</v>
      </c>
      <c r="D469" s="750">
        <v>43089</v>
      </c>
      <c r="E469" s="753">
        <v>200</v>
      </c>
      <c r="F469" s="753">
        <v>763.66089999999997</v>
      </c>
      <c r="G469" s="753">
        <v>200</v>
      </c>
      <c r="H469" s="753">
        <v>0</v>
      </c>
      <c r="I469" s="754">
        <v>0.10009999999999999</v>
      </c>
      <c r="J469" s="754">
        <v>0.10009999999999999</v>
      </c>
      <c r="K469" s="754">
        <v>0.10009999999999999</v>
      </c>
      <c r="L469" s="752">
        <v>17</v>
      </c>
    </row>
    <row r="470" spans="1:12">
      <c r="A470" s="750">
        <v>43068</v>
      </c>
      <c r="B470" s="751" t="s">
        <v>2041</v>
      </c>
      <c r="C470" s="752">
        <v>28</v>
      </c>
      <c r="D470" s="750">
        <v>43096</v>
      </c>
      <c r="E470" s="753">
        <v>350</v>
      </c>
      <c r="F470" s="753">
        <v>701.22460000000001</v>
      </c>
      <c r="G470" s="753">
        <v>350</v>
      </c>
      <c r="H470" s="753">
        <v>0</v>
      </c>
      <c r="I470" s="754">
        <v>0.10009999999999999</v>
      </c>
      <c r="J470" s="754">
        <v>0.10009999999999999</v>
      </c>
      <c r="K470" s="754">
        <v>0.10009999999999999</v>
      </c>
      <c r="L470" s="752">
        <v>18</v>
      </c>
    </row>
    <row r="471" spans="1:12">
      <c r="A471" s="750">
        <v>43075</v>
      </c>
      <c r="B471" s="751" t="s">
        <v>2047</v>
      </c>
      <c r="C471" s="752">
        <v>29</v>
      </c>
      <c r="D471" s="750">
        <v>43104</v>
      </c>
      <c r="E471" s="753">
        <v>250</v>
      </c>
      <c r="F471" s="753">
        <v>464.83139999999997</v>
      </c>
      <c r="G471" s="753">
        <v>250</v>
      </c>
      <c r="H471" s="753">
        <v>0</v>
      </c>
      <c r="I471" s="754">
        <v>0.10009999999999999</v>
      </c>
      <c r="J471" s="754">
        <v>0.10009999999999999</v>
      </c>
      <c r="K471" s="754">
        <v>0.10009999999999999</v>
      </c>
      <c r="L471" s="752">
        <v>16</v>
      </c>
    </row>
    <row r="472" spans="1:12">
      <c r="A472" s="750">
        <v>43082</v>
      </c>
      <c r="B472" s="751" t="s">
        <v>2048</v>
      </c>
      <c r="C472" s="752">
        <v>28</v>
      </c>
      <c r="D472" s="750">
        <v>43110</v>
      </c>
      <c r="E472" s="753">
        <v>300</v>
      </c>
      <c r="F472" s="753">
        <v>147.35759999999999</v>
      </c>
      <c r="G472" s="753">
        <v>147.35759999999999</v>
      </c>
      <c r="H472" s="753">
        <v>-20.084900000000001</v>
      </c>
      <c r="I472" s="754">
        <v>0.10009999999999999</v>
      </c>
      <c r="J472" s="754">
        <v>0.10009999999999999</v>
      </c>
      <c r="K472" s="754">
        <v>0.10009999999999999</v>
      </c>
      <c r="L472" s="752">
        <v>11</v>
      </c>
    </row>
    <row r="473" spans="1:12">
      <c r="A473" s="750">
        <v>43089</v>
      </c>
      <c r="B473" s="751" t="s">
        <v>2049</v>
      </c>
      <c r="C473" s="752">
        <v>28</v>
      </c>
      <c r="D473" s="750">
        <v>43117</v>
      </c>
      <c r="E473" s="753">
        <v>200</v>
      </c>
      <c r="F473" s="753">
        <v>206.83330000000001</v>
      </c>
      <c r="G473" s="753">
        <v>200</v>
      </c>
      <c r="H473" s="753">
        <v>0</v>
      </c>
      <c r="I473" s="754">
        <v>0.10009999999999999</v>
      </c>
      <c r="J473" s="754">
        <v>0.149946</v>
      </c>
      <c r="K473" s="754">
        <v>0.124061</v>
      </c>
      <c r="L473" s="752">
        <v>10</v>
      </c>
    </row>
    <row r="474" spans="1:12">
      <c r="A474" s="750">
        <v>43096</v>
      </c>
      <c r="B474" s="751" t="s">
        <v>2050</v>
      </c>
      <c r="C474" s="752">
        <v>28</v>
      </c>
      <c r="D474" s="750">
        <v>43124</v>
      </c>
      <c r="E474" s="753">
        <v>350</v>
      </c>
      <c r="F474" s="753">
        <v>348.33879999999999</v>
      </c>
      <c r="G474" s="753">
        <v>348.33879999999999</v>
      </c>
      <c r="H474" s="753">
        <v>0</v>
      </c>
      <c r="I474" s="754">
        <v>0.10009999999999999</v>
      </c>
      <c r="J474" s="754">
        <v>0.14990000000000001</v>
      </c>
      <c r="K474" s="754">
        <v>0.12609999999999999</v>
      </c>
      <c r="L474" s="755">
        <v>14</v>
      </c>
    </row>
    <row r="475" spans="1:12">
      <c r="A475" s="963">
        <v>2018</v>
      </c>
      <c r="B475" s="751"/>
      <c r="C475" s="752"/>
      <c r="D475" s="750"/>
      <c r="E475" s="753"/>
      <c r="F475" s="753"/>
      <c r="G475" s="753"/>
      <c r="H475" s="753"/>
      <c r="I475" s="754"/>
      <c r="J475" s="754"/>
      <c r="K475" s="754"/>
      <c r="L475" s="755"/>
    </row>
    <row r="476" spans="1:12">
      <c r="A476" s="750">
        <v>43104</v>
      </c>
      <c r="B476" s="751" t="s">
        <v>2054</v>
      </c>
      <c r="C476" s="752">
        <v>27</v>
      </c>
      <c r="D476" s="750">
        <v>43131</v>
      </c>
      <c r="E476" s="753">
        <v>250</v>
      </c>
      <c r="F476" s="753">
        <v>80.062299999999993</v>
      </c>
      <c r="G476" s="753">
        <v>80.062299999999993</v>
      </c>
      <c r="H476" s="753">
        <v>0</v>
      </c>
      <c r="I476" s="754">
        <v>0.10536124695995054</v>
      </c>
      <c r="J476" s="754">
        <v>0.11154774471780478</v>
      </c>
      <c r="K476" s="754">
        <v>0.10899901952106085</v>
      </c>
      <c r="L476" s="752">
        <v>7</v>
      </c>
    </row>
    <row r="477" spans="1:12">
      <c r="A477" s="750">
        <v>43110</v>
      </c>
      <c r="B477" s="751" t="s">
        <v>2055</v>
      </c>
      <c r="C477" s="752">
        <v>28</v>
      </c>
      <c r="D477" s="750">
        <v>43138</v>
      </c>
      <c r="E477" s="753">
        <v>150</v>
      </c>
      <c r="F477" s="753">
        <v>150.68620000000001</v>
      </c>
      <c r="G477" s="753">
        <v>150</v>
      </c>
      <c r="H477" s="753">
        <v>0</v>
      </c>
      <c r="I477" s="754">
        <v>0.13009999999999999</v>
      </c>
      <c r="J477" s="754">
        <v>0.14460000000000001</v>
      </c>
      <c r="K477" s="754">
        <v>0.1401</v>
      </c>
      <c r="L477" s="755">
        <v>15</v>
      </c>
    </row>
    <row r="478" spans="1:12">
      <c r="A478" s="750">
        <v>43117</v>
      </c>
      <c r="B478" s="751" t="s">
        <v>2056</v>
      </c>
      <c r="C478" s="752">
        <v>28</v>
      </c>
      <c r="D478" s="750">
        <v>43145</v>
      </c>
      <c r="E478" s="753">
        <v>250</v>
      </c>
      <c r="F478" s="753">
        <v>290.96170000000001</v>
      </c>
      <c r="G478" s="753">
        <v>250</v>
      </c>
      <c r="H478" s="753">
        <v>0</v>
      </c>
      <c r="I478" s="754">
        <v>0.12</v>
      </c>
      <c r="J478" s="754">
        <v>0.14990000000000001</v>
      </c>
      <c r="K478" s="754">
        <v>0.14660000000000001</v>
      </c>
      <c r="L478" s="752">
        <v>13</v>
      </c>
    </row>
    <row r="479" spans="1:12">
      <c r="A479" s="750">
        <v>43124</v>
      </c>
      <c r="B479" s="751" t="s">
        <v>2057</v>
      </c>
      <c r="C479" s="752">
        <v>28</v>
      </c>
      <c r="D479" s="750">
        <v>43152</v>
      </c>
      <c r="E479" s="753">
        <v>250</v>
      </c>
      <c r="F479" s="753">
        <v>381.62139999999999</v>
      </c>
      <c r="G479" s="753">
        <v>250</v>
      </c>
      <c r="H479" s="753">
        <v>0</v>
      </c>
      <c r="I479" s="754">
        <v>0.1391</v>
      </c>
      <c r="J479" s="754">
        <v>0.14499999999999999</v>
      </c>
      <c r="K479" s="754">
        <v>0.1444</v>
      </c>
      <c r="L479" s="755">
        <v>14</v>
      </c>
    </row>
    <row r="480" spans="1:12">
      <c r="A480" s="750">
        <v>43131</v>
      </c>
      <c r="B480" s="751" t="s">
        <v>2058</v>
      </c>
      <c r="C480" s="752">
        <v>28</v>
      </c>
      <c r="D480" s="750">
        <v>43159</v>
      </c>
      <c r="E480" s="753">
        <v>250</v>
      </c>
      <c r="F480" s="753">
        <v>416.7901</v>
      </c>
      <c r="G480" s="753">
        <v>250</v>
      </c>
      <c r="H480" s="753">
        <v>0</v>
      </c>
      <c r="I480" s="754">
        <v>0.12989999999999999</v>
      </c>
      <c r="J480" s="754">
        <v>0.14180000000000001</v>
      </c>
      <c r="K480" s="754">
        <v>0.1401</v>
      </c>
      <c r="L480" s="752">
        <v>15</v>
      </c>
    </row>
    <row r="481" spans="1:12">
      <c r="A481" s="750">
        <v>43138</v>
      </c>
      <c r="B481" s="751" t="s">
        <v>2067</v>
      </c>
      <c r="C481" s="752">
        <v>28</v>
      </c>
      <c r="D481" s="750">
        <v>43166</v>
      </c>
      <c r="E481" s="753">
        <v>150</v>
      </c>
      <c r="F481" s="753">
        <v>414.0215</v>
      </c>
      <c r="G481" s="753">
        <v>150</v>
      </c>
      <c r="H481" s="753">
        <v>0</v>
      </c>
      <c r="I481" s="754">
        <v>0.10009999999999999</v>
      </c>
      <c r="J481" s="754">
        <v>0.10009999999999999</v>
      </c>
      <c r="K481" s="754">
        <v>0.10009999999999999</v>
      </c>
      <c r="L481" s="752">
        <v>17</v>
      </c>
    </row>
    <row r="482" spans="1:12">
      <c r="A482" s="750">
        <v>43145</v>
      </c>
      <c r="B482" s="751" t="s">
        <v>2068</v>
      </c>
      <c r="C482" s="752">
        <v>28</v>
      </c>
      <c r="D482" s="750">
        <v>43173</v>
      </c>
      <c r="E482" s="753">
        <v>200</v>
      </c>
      <c r="F482" s="753">
        <v>704.23979999999995</v>
      </c>
      <c r="G482" s="753">
        <v>200</v>
      </c>
      <c r="H482" s="753">
        <v>0</v>
      </c>
      <c r="I482" s="754">
        <v>0.10009999999999999</v>
      </c>
      <c r="J482" s="754">
        <v>0.10009999999999999</v>
      </c>
      <c r="K482" s="754">
        <v>0.10009999999999999</v>
      </c>
      <c r="L482" s="752">
        <v>18</v>
      </c>
    </row>
    <row r="483" spans="1:12">
      <c r="A483" s="750">
        <v>43152</v>
      </c>
      <c r="B483" s="751" t="s">
        <v>2069</v>
      </c>
      <c r="C483" s="752">
        <v>28</v>
      </c>
      <c r="D483" s="750">
        <v>43180</v>
      </c>
      <c r="E483" s="753">
        <v>250</v>
      </c>
      <c r="F483" s="753">
        <v>819.26819999999998</v>
      </c>
      <c r="G483" s="753">
        <v>250</v>
      </c>
      <c r="H483" s="753">
        <v>0</v>
      </c>
      <c r="I483" s="754">
        <v>8.0100000000000005E-2</v>
      </c>
      <c r="J483" s="754">
        <v>8.0100000000000005E-2</v>
      </c>
      <c r="K483" s="754">
        <v>8.0100000000000005E-2</v>
      </c>
      <c r="L483" s="752">
        <v>19</v>
      </c>
    </row>
    <row r="484" spans="1:12">
      <c r="A484" s="750">
        <v>43159</v>
      </c>
      <c r="B484" s="751" t="s">
        <v>2070</v>
      </c>
      <c r="C484" s="752">
        <v>28</v>
      </c>
      <c r="D484" s="750">
        <v>43187</v>
      </c>
      <c r="E484" s="753">
        <v>250</v>
      </c>
      <c r="F484" s="753">
        <v>942.3741</v>
      </c>
      <c r="G484" s="753">
        <v>250</v>
      </c>
      <c r="H484" s="753">
        <v>0</v>
      </c>
      <c r="I484" s="754">
        <v>8.0100000000000005E-2</v>
      </c>
      <c r="J484" s="754">
        <v>8.0100000000000005E-2</v>
      </c>
      <c r="K484" s="754">
        <v>8.0100000000000005E-2</v>
      </c>
      <c r="L484" s="752">
        <v>20</v>
      </c>
    </row>
    <row r="485" spans="1:12">
      <c r="A485" s="750">
        <v>43166</v>
      </c>
      <c r="B485" s="751" t="s">
        <v>2073</v>
      </c>
      <c r="C485" s="752">
        <v>28</v>
      </c>
      <c r="D485" s="750">
        <v>43194</v>
      </c>
      <c r="E485" s="753">
        <v>150</v>
      </c>
      <c r="F485" s="753">
        <v>830.86469999999997</v>
      </c>
      <c r="G485" s="753">
        <v>150</v>
      </c>
      <c r="H485" s="753">
        <v>0</v>
      </c>
      <c r="I485" s="754">
        <v>8.0100000000000005E-2</v>
      </c>
      <c r="J485" s="754">
        <v>8.0100000000000005E-2</v>
      </c>
      <c r="K485" s="754">
        <v>8.0100000000000005E-2</v>
      </c>
      <c r="L485" s="752">
        <v>20</v>
      </c>
    </row>
    <row r="486" spans="1:12">
      <c r="A486" s="750">
        <v>43173</v>
      </c>
      <c r="B486" s="751" t="s">
        <v>2074</v>
      </c>
      <c r="C486" s="752">
        <v>28</v>
      </c>
      <c r="D486" s="750">
        <v>43201</v>
      </c>
      <c r="E486" s="753">
        <v>200</v>
      </c>
      <c r="F486" s="753">
        <v>1039.2405000000001</v>
      </c>
      <c r="G486" s="753">
        <v>200</v>
      </c>
      <c r="H486" s="753">
        <v>0</v>
      </c>
      <c r="I486" s="754">
        <v>8.0100000000000005E-2</v>
      </c>
      <c r="J486" s="754">
        <v>8.0100000000000005E-2</v>
      </c>
      <c r="K486" s="754">
        <v>8.0100000000000005E-2</v>
      </c>
      <c r="L486" s="752">
        <v>22</v>
      </c>
    </row>
    <row r="487" spans="1:12">
      <c r="A487" s="750">
        <v>43187</v>
      </c>
      <c r="B487" s="751" t="s">
        <v>2075</v>
      </c>
      <c r="C487" s="752">
        <v>28</v>
      </c>
      <c r="D487" s="750">
        <v>43215</v>
      </c>
      <c r="E487" s="753">
        <v>250</v>
      </c>
      <c r="F487" s="753">
        <v>822.428</v>
      </c>
      <c r="G487" s="753">
        <v>250</v>
      </c>
      <c r="H487" s="753">
        <v>0</v>
      </c>
      <c r="I487" s="754">
        <v>8.0100000000000005E-2</v>
      </c>
      <c r="J487" s="754">
        <v>8.0100000000000005E-2</v>
      </c>
      <c r="K487" s="754">
        <v>8.0100000000000005E-2</v>
      </c>
      <c r="L487" s="752">
        <v>18</v>
      </c>
    </row>
    <row r="488" spans="1:12">
      <c r="A488" s="750">
        <v>43194</v>
      </c>
      <c r="B488" s="751" t="s">
        <v>2079</v>
      </c>
      <c r="C488" s="752">
        <v>28</v>
      </c>
      <c r="D488" s="750">
        <v>43222</v>
      </c>
      <c r="E488" s="753">
        <v>150</v>
      </c>
      <c r="F488" s="753">
        <v>788.035347</v>
      </c>
      <c r="G488" s="753">
        <v>150</v>
      </c>
      <c r="H488" s="753">
        <v>0</v>
      </c>
      <c r="I488" s="754">
        <v>8.0100000000000005E-2</v>
      </c>
      <c r="J488" s="754">
        <v>8.0100000000000005E-2</v>
      </c>
      <c r="K488" s="754">
        <v>8.0100000000000005E-2</v>
      </c>
      <c r="L488" s="752">
        <v>18</v>
      </c>
    </row>
    <row r="489" spans="1:12">
      <c r="A489" s="750">
        <v>43202</v>
      </c>
      <c r="B489" s="751" t="s">
        <v>2080</v>
      </c>
      <c r="C489" s="752">
        <v>28</v>
      </c>
      <c r="D489" s="750">
        <v>43230</v>
      </c>
      <c r="E489" s="753">
        <v>200</v>
      </c>
      <c r="F489" s="753">
        <v>591.72659999999996</v>
      </c>
      <c r="G489" s="753">
        <v>200</v>
      </c>
      <c r="H489" s="753">
        <v>0</v>
      </c>
      <c r="I489" s="754">
        <v>8.0100000000000005E-2</v>
      </c>
      <c r="J489" s="754">
        <v>8.0100000000000005E-2</v>
      </c>
      <c r="K489" s="754">
        <v>8.0100000000000005E-2</v>
      </c>
      <c r="L489" s="752">
        <v>13</v>
      </c>
    </row>
    <row r="490" spans="1:12">
      <c r="A490" s="750">
        <v>43208</v>
      </c>
      <c r="B490" s="751" t="s">
        <v>2081</v>
      </c>
      <c r="C490" s="752">
        <v>28</v>
      </c>
      <c r="D490" s="750">
        <v>43236</v>
      </c>
      <c r="E490" s="753">
        <v>250</v>
      </c>
      <c r="F490" s="753">
        <v>718.9479</v>
      </c>
      <c r="G490" s="753">
        <v>250</v>
      </c>
      <c r="H490" s="753">
        <v>0</v>
      </c>
      <c r="I490" s="754">
        <v>8.0100000000000005E-2</v>
      </c>
      <c r="J490" s="754">
        <v>8.0100000000000005E-2</v>
      </c>
      <c r="K490" s="754">
        <v>8.0100000000000005E-2</v>
      </c>
      <c r="L490" s="752">
        <v>17</v>
      </c>
    </row>
    <row r="491" spans="1:12">
      <c r="A491" s="750">
        <v>43215</v>
      </c>
      <c r="B491" s="751" t="s">
        <v>2082</v>
      </c>
      <c r="C491" s="752">
        <v>28</v>
      </c>
      <c r="D491" s="750">
        <v>43243</v>
      </c>
      <c r="E491" s="753">
        <v>300</v>
      </c>
      <c r="F491" s="753">
        <v>681.86839999999995</v>
      </c>
      <c r="G491" s="753">
        <v>300</v>
      </c>
      <c r="H491" s="753">
        <v>0</v>
      </c>
      <c r="I491" s="754">
        <v>8.0100000000000005E-2</v>
      </c>
      <c r="J491" s="754">
        <v>8.0100000000000005E-2</v>
      </c>
      <c r="K491" s="754">
        <v>8.0100000000000005E-2</v>
      </c>
      <c r="L491" s="752">
        <v>13</v>
      </c>
    </row>
    <row r="492" spans="1:12">
      <c r="A492" s="750">
        <v>43222</v>
      </c>
      <c r="B492" s="751" t="s">
        <v>2086</v>
      </c>
      <c r="C492" s="752">
        <v>28</v>
      </c>
      <c r="D492" s="750">
        <v>43250</v>
      </c>
      <c r="E492" s="753">
        <v>250</v>
      </c>
      <c r="F492" s="753">
        <v>630.97239999999999</v>
      </c>
      <c r="G492" s="753">
        <v>250</v>
      </c>
      <c r="H492" s="753">
        <v>0</v>
      </c>
      <c r="I492" s="754">
        <v>8.0100000000000005E-2</v>
      </c>
      <c r="J492" s="754">
        <v>8.0100000000000005E-2</v>
      </c>
      <c r="K492" s="754">
        <v>8.0100000000000005E-2</v>
      </c>
      <c r="L492" s="752">
        <v>14</v>
      </c>
    </row>
    <row r="493" spans="1:12">
      <c r="A493" s="750">
        <v>43230</v>
      </c>
      <c r="B493" s="751" t="s">
        <v>2087</v>
      </c>
      <c r="C493" s="752">
        <v>27</v>
      </c>
      <c r="D493" s="750">
        <v>43257</v>
      </c>
      <c r="E493" s="753">
        <v>200</v>
      </c>
      <c r="F493" s="753">
        <v>527.66869999999994</v>
      </c>
      <c r="G493" s="753">
        <v>200</v>
      </c>
      <c r="H493" s="753">
        <v>0</v>
      </c>
      <c r="I493" s="754">
        <v>8.0100000000000005E-2</v>
      </c>
      <c r="J493" s="754">
        <v>8.0100000000000005E-2</v>
      </c>
      <c r="K493" s="754">
        <v>8.0100000000000005E-2</v>
      </c>
      <c r="L493" s="752">
        <v>13</v>
      </c>
    </row>
    <row r="494" spans="1:12">
      <c r="A494" s="750">
        <v>43236</v>
      </c>
      <c r="B494" s="751" t="s">
        <v>2088</v>
      </c>
      <c r="C494" s="752">
        <v>28</v>
      </c>
      <c r="D494" s="750">
        <v>43264</v>
      </c>
      <c r="E494" s="753">
        <v>250</v>
      </c>
      <c r="F494" s="753">
        <v>626.17340000000002</v>
      </c>
      <c r="G494" s="753">
        <v>250</v>
      </c>
      <c r="H494" s="753">
        <v>0</v>
      </c>
      <c r="I494" s="754">
        <v>8.0100000000000005E-2</v>
      </c>
      <c r="J494" s="754">
        <v>8.0100000000000005E-2</v>
      </c>
      <c r="K494" s="754">
        <v>8.0100000000000005E-2</v>
      </c>
      <c r="L494" s="752">
        <v>15</v>
      </c>
    </row>
    <row r="495" spans="1:12">
      <c r="A495" s="750">
        <v>43243</v>
      </c>
      <c r="B495" s="751" t="s">
        <v>2089</v>
      </c>
      <c r="C495" s="752">
        <v>28</v>
      </c>
      <c r="D495" s="750">
        <v>43271</v>
      </c>
      <c r="E495" s="753">
        <v>300</v>
      </c>
      <c r="F495" s="753">
        <v>535.66340000000002</v>
      </c>
      <c r="G495" s="753">
        <v>300</v>
      </c>
      <c r="H495" s="753">
        <v>0</v>
      </c>
      <c r="I495" s="754">
        <v>8.0100000000000005E-2</v>
      </c>
      <c r="J495" s="754">
        <v>8.0100000000000005E-2</v>
      </c>
      <c r="K495" s="754">
        <v>8.0100000000000005E-2</v>
      </c>
      <c r="L495" s="752">
        <v>17</v>
      </c>
    </row>
    <row r="496" spans="1:12">
      <c r="A496" s="750">
        <v>43250</v>
      </c>
      <c r="B496" s="751" t="s">
        <v>2090</v>
      </c>
      <c r="C496" s="752">
        <v>28</v>
      </c>
      <c r="D496" s="750">
        <v>43278</v>
      </c>
      <c r="E496" s="753">
        <v>250</v>
      </c>
      <c r="F496" s="753">
        <v>621.38520000000005</v>
      </c>
      <c r="G496" s="753">
        <v>250</v>
      </c>
      <c r="H496" s="753">
        <v>0</v>
      </c>
      <c r="I496" s="754">
        <v>8.0100000000000005E-2</v>
      </c>
      <c r="J496" s="754">
        <v>8.0100000000000005E-2</v>
      </c>
      <c r="K496" s="754">
        <v>8.0100000000000005E-2</v>
      </c>
      <c r="L496" s="752">
        <v>15</v>
      </c>
    </row>
    <row r="497" spans="1:12">
      <c r="A497" s="750">
        <v>43257</v>
      </c>
      <c r="B497" s="751" t="s">
        <v>2095</v>
      </c>
      <c r="C497" s="752">
        <v>28</v>
      </c>
      <c r="D497" s="750">
        <v>43285</v>
      </c>
      <c r="E497" s="753">
        <v>200</v>
      </c>
      <c r="F497" s="753">
        <v>531.09789999999998</v>
      </c>
      <c r="G497" s="753">
        <v>200</v>
      </c>
      <c r="H497" s="753">
        <v>0</v>
      </c>
      <c r="I497" s="754">
        <v>8.0100000000000005E-2</v>
      </c>
      <c r="J497" s="754">
        <v>8.0100000000000005E-2</v>
      </c>
      <c r="K497" s="754">
        <v>8.0100000000000005E-2</v>
      </c>
      <c r="L497" s="752">
        <v>13</v>
      </c>
    </row>
    <row r="498" spans="1:12">
      <c r="A498" s="750">
        <v>43264</v>
      </c>
      <c r="B498" s="751" t="s">
        <v>2096</v>
      </c>
      <c r="C498" s="752">
        <v>28</v>
      </c>
      <c r="D498" s="750">
        <v>43292</v>
      </c>
      <c r="E498" s="753">
        <v>250</v>
      </c>
      <c r="F498" s="753">
        <v>564.99490000000003</v>
      </c>
      <c r="G498" s="753">
        <v>250</v>
      </c>
      <c r="H498" s="753">
        <v>0</v>
      </c>
      <c r="I498" s="754">
        <v>8.0100000000000005E-2</v>
      </c>
      <c r="J498" s="754">
        <v>8.0100000000000005E-2</v>
      </c>
      <c r="K498" s="754">
        <v>8.0100000000000005E-2</v>
      </c>
      <c r="L498" s="752">
        <v>15</v>
      </c>
    </row>
    <row r="499" spans="1:12">
      <c r="A499" s="750">
        <v>43271</v>
      </c>
      <c r="B499" s="751" t="s">
        <v>2097</v>
      </c>
      <c r="C499" s="752">
        <v>28</v>
      </c>
      <c r="D499" s="750">
        <v>43299</v>
      </c>
      <c r="E499" s="753">
        <v>300</v>
      </c>
      <c r="F499" s="753">
        <v>431.36799999999999</v>
      </c>
      <c r="G499" s="753">
        <v>300</v>
      </c>
      <c r="H499" s="753">
        <v>0</v>
      </c>
      <c r="I499" s="754">
        <v>8.0100000000000005E-2</v>
      </c>
      <c r="J499" s="754">
        <v>8.0100000000000005E-2</v>
      </c>
      <c r="K499" s="754">
        <v>8.0100000000000005E-2</v>
      </c>
      <c r="L499" s="752">
        <v>13</v>
      </c>
    </row>
    <row r="500" spans="1:12">
      <c r="A500" s="750">
        <v>43278</v>
      </c>
      <c r="B500" s="751" t="s">
        <v>2098</v>
      </c>
      <c r="C500" s="752">
        <v>28</v>
      </c>
      <c r="D500" s="750">
        <v>43306</v>
      </c>
      <c r="E500" s="753">
        <v>250</v>
      </c>
      <c r="F500" s="753">
        <v>603.52750000000003</v>
      </c>
      <c r="G500" s="753">
        <v>250</v>
      </c>
      <c r="H500" s="753">
        <v>0</v>
      </c>
      <c r="I500" s="754">
        <v>8.0100000000000005E-2</v>
      </c>
      <c r="J500" s="754">
        <v>8.0100000000000005E-2</v>
      </c>
      <c r="K500" s="754">
        <v>8.0100000000000005E-2</v>
      </c>
      <c r="L500" s="752">
        <v>15</v>
      </c>
    </row>
    <row r="501" spans="1:12">
      <c r="A501" s="750">
        <v>43285</v>
      </c>
      <c r="B501" s="751" t="s">
        <v>2103</v>
      </c>
      <c r="C501" s="752">
        <v>28</v>
      </c>
      <c r="D501" s="750">
        <v>43313</v>
      </c>
      <c r="E501" s="753">
        <v>200</v>
      </c>
      <c r="F501" s="753">
        <v>578.62940000000003</v>
      </c>
      <c r="G501" s="753">
        <v>200</v>
      </c>
      <c r="H501" s="753">
        <v>0</v>
      </c>
      <c r="I501" s="754">
        <v>8.0100000000000005E-2</v>
      </c>
      <c r="J501" s="754">
        <v>8.0100000000000005E-2</v>
      </c>
      <c r="K501" s="754">
        <v>8.0100000000000005E-2</v>
      </c>
      <c r="L501" s="752">
        <v>16</v>
      </c>
    </row>
    <row r="502" spans="1:12">
      <c r="A502" s="750">
        <v>43292</v>
      </c>
      <c r="B502" s="751" t="s">
        <v>2104</v>
      </c>
      <c r="C502" s="752">
        <v>28</v>
      </c>
      <c r="D502" s="750">
        <v>43320</v>
      </c>
      <c r="E502" s="753">
        <v>250</v>
      </c>
      <c r="F502" s="753">
        <v>658.68499999999995</v>
      </c>
      <c r="G502" s="753">
        <v>250</v>
      </c>
      <c r="H502" s="753">
        <v>0</v>
      </c>
      <c r="I502" s="754">
        <v>8.0100000000000005E-2</v>
      </c>
      <c r="J502" s="754">
        <v>8.0100000000000005E-2</v>
      </c>
      <c r="K502" s="754">
        <v>8.0100000000000005E-2</v>
      </c>
      <c r="L502" s="752">
        <v>16</v>
      </c>
    </row>
    <row r="503" spans="1:12">
      <c r="A503" s="750">
        <v>43299</v>
      </c>
      <c r="B503" s="751" t="s">
        <v>2639</v>
      </c>
      <c r="C503" s="752">
        <v>28</v>
      </c>
      <c r="D503" s="750">
        <v>43327</v>
      </c>
      <c r="E503" s="753">
        <v>300</v>
      </c>
      <c r="F503" s="753">
        <v>720.4325</v>
      </c>
      <c r="G503" s="753">
        <v>300</v>
      </c>
      <c r="H503" s="753">
        <v>0</v>
      </c>
      <c r="I503" s="754">
        <v>8.0100000000000005E-2</v>
      </c>
      <c r="J503" s="754">
        <v>8.0100000000000005E-2</v>
      </c>
      <c r="K503" s="754">
        <v>8.0100000000000005E-2</v>
      </c>
      <c r="L503" s="752">
        <v>14</v>
      </c>
    </row>
    <row r="504" spans="1:12">
      <c r="A504" s="750">
        <v>43306</v>
      </c>
      <c r="B504" s="751" t="s">
        <v>2105</v>
      </c>
      <c r="C504" s="752">
        <v>28</v>
      </c>
      <c r="D504" s="750">
        <v>43334</v>
      </c>
      <c r="E504" s="753">
        <v>250</v>
      </c>
      <c r="F504" s="753">
        <v>466.26600000000002</v>
      </c>
      <c r="G504" s="753">
        <v>250</v>
      </c>
      <c r="H504" s="753">
        <v>0</v>
      </c>
      <c r="I504" s="754">
        <v>8.0100000000000005E-2</v>
      </c>
      <c r="J504" s="754">
        <v>8.0100000000000005E-2</v>
      </c>
      <c r="K504" s="754">
        <v>8.0100000000000005E-2</v>
      </c>
      <c r="L504" s="752">
        <v>14</v>
      </c>
    </row>
    <row r="505" spans="1:12">
      <c r="A505" s="750">
        <v>43313</v>
      </c>
      <c r="B505" s="751" t="s">
        <v>2110</v>
      </c>
      <c r="C505" s="752">
        <v>28</v>
      </c>
      <c r="D505" s="750">
        <v>43341</v>
      </c>
      <c r="E505" s="753">
        <v>200</v>
      </c>
      <c r="F505" s="753">
        <v>583.85739999999998</v>
      </c>
      <c r="G505" s="753">
        <v>200</v>
      </c>
      <c r="H505" s="753">
        <v>0</v>
      </c>
      <c r="I505" s="754">
        <v>8.0100000000000005E-2</v>
      </c>
      <c r="J505" s="754">
        <v>8.0100000000000005E-2</v>
      </c>
      <c r="K505" s="754">
        <v>8.0100000000000005E-2</v>
      </c>
      <c r="L505" s="752">
        <v>16</v>
      </c>
    </row>
    <row r="506" spans="1:12">
      <c r="A506" s="750">
        <v>43320</v>
      </c>
      <c r="B506" s="751" t="s">
        <v>2111</v>
      </c>
      <c r="C506" s="752">
        <v>28</v>
      </c>
      <c r="D506" s="750">
        <v>43348</v>
      </c>
      <c r="E506" s="753">
        <v>300</v>
      </c>
      <c r="F506" s="753">
        <v>704.69780000000003</v>
      </c>
      <c r="G506" s="753">
        <v>300</v>
      </c>
      <c r="H506" s="753">
        <v>0</v>
      </c>
      <c r="I506" s="754">
        <v>8.0100000000000005E-2</v>
      </c>
      <c r="J506" s="754">
        <v>8.0100000000000005E-2</v>
      </c>
      <c r="K506" s="754">
        <v>8.0100000000000005E-2</v>
      </c>
      <c r="L506" s="752">
        <v>15</v>
      </c>
    </row>
    <row r="507" spans="1:12">
      <c r="A507" s="750">
        <v>43327</v>
      </c>
      <c r="B507" s="751" t="s">
        <v>2112</v>
      </c>
      <c r="C507" s="752">
        <v>28</v>
      </c>
      <c r="D507" s="750">
        <v>43355</v>
      </c>
      <c r="E507" s="753">
        <v>300</v>
      </c>
      <c r="F507" s="753">
        <v>383.62299999999999</v>
      </c>
      <c r="G507" s="753">
        <v>300</v>
      </c>
      <c r="H507" s="753">
        <v>0</v>
      </c>
      <c r="I507" s="754">
        <v>8.0100000000000005E-2</v>
      </c>
      <c r="J507" s="754">
        <v>8.9899999999999994E-2</v>
      </c>
      <c r="K507" s="754">
        <v>8.3699999999999997E-2</v>
      </c>
      <c r="L507" s="752">
        <v>12</v>
      </c>
    </row>
    <row r="508" spans="1:12">
      <c r="A508" s="750">
        <v>43336</v>
      </c>
      <c r="B508" s="751" t="s">
        <v>2113</v>
      </c>
      <c r="C508" s="752">
        <v>26</v>
      </c>
      <c r="D508" s="750">
        <v>43362</v>
      </c>
      <c r="E508" s="753">
        <v>250</v>
      </c>
      <c r="F508" s="753">
        <v>368.11590000000001</v>
      </c>
      <c r="G508" s="753">
        <v>250</v>
      </c>
      <c r="H508" s="753">
        <v>0</v>
      </c>
      <c r="I508" s="754">
        <v>8.0100000000000005E-2</v>
      </c>
      <c r="J508" s="754">
        <v>8.0100000000000005E-2</v>
      </c>
      <c r="K508" s="754">
        <v>8.0100000000000005E-2</v>
      </c>
      <c r="L508" s="752">
        <v>11</v>
      </c>
    </row>
    <row r="509" spans="1:12">
      <c r="A509" s="750">
        <v>43341</v>
      </c>
      <c r="B509" s="751" t="s">
        <v>2114</v>
      </c>
      <c r="C509" s="752">
        <v>28</v>
      </c>
      <c r="D509" s="750">
        <v>43369</v>
      </c>
      <c r="E509" s="753">
        <v>200</v>
      </c>
      <c r="F509" s="753">
        <v>347.4606</v>
      </c>
      <c r="G509" s="753">
        <v>200</v>
      </c>
      <c r="H509" s="753">
        <v>0</v>
      </c>
      <c r="I509" s="754">
        <v>8.0100000000000005E-2</v>
      </c>
      <c r="J509" s="754">
        <v>8.0100000000000005E-2</v>
      </c>
      <c r="K509" s="754">
        <v>8.0100000000000005E-2</v>
      </c>
      <c r="L509" s="752">
        <v>9</v>
      </c>
    </row>
    <row r="510" spans="1:12">
      <c r="A510" s="750">
        <v>43348</v>
      </c>
      <c r="B510" s="751" t="s">
        <v>2118</v>
      </c>
      <c r="C510" s="752">
        <v>28</v>
      </c>
      <c r="D510" s="750">
        <v>43376</v>
      </c>
      <c r="E510" s="753">
        <v>300</v>
      </c>
      <c r="F510" s="753">
        <v>463.61219999999997</v>
      </c>
      <c r="G510" s="753">
        <v>300</v>
      </c>
      <c r="H510" s="753">
        <v>0</v>
      </c>
      <c r="I510" s="754">
        <v>8.0100000000000005E-2</v>
      </c>
      <c r="J510" s="754">
        <v>8.0100000000000005E-2</v>
      </c>
      <c r="K510" s="754">
        <v>8.0100000000000005E-2</v>
      </c>
      <c r="L510" s="752">
        <v>13</v>
      </c>
    </row>
    <row r="511" spans="1:12">
      <c r="A511" s="750">
        <v>43355</v>
      </c>
      <c r="B511" s="751" t="s">
        <v>2119</v>
      </c>
      <c r="C511" s="752">
        <v>28</v>
      </c>
      <c r="D511" s="750">
        <v>43383</v>
      </c>
      <c r="E511" s="753">
        <v>300</v>
      </c>
      <c r="F511" s="753">
        <v>512.6816</v>
      </c>
      <c r="G511" s="753">
        <v>300</v>
      </c>
      <c r="H511" s="753">
        <v>0</v>
      </c>
      <c r="I511" s="754">
        <v>8.0100000000000005E-2</v>
      </c>
      <c r="J511" s="754">
        <v>8.0100000000000005E-2</v>
      </c>
      <c r="K511" s="754">
        <v>8.0100000000000005E-2</v>
      </c>
      <c r="L511" s="752">
        <v>14</v>
      </c>
    </row>
    <row r="512" spans="1:12">
      <c r="A512" s="750">
        <v>43362</v>
      </c>
      <c r="B512" s="751" t="s">
        <v>2120</v>
      </c>
      <c r="C512" s="752">
        <v>28</v>
      </c>
      <c r="D512" s="750">
        <v>43390</v>
      </c>
      <c r="E512" s="753">
        <v>250</v>
      </c>
      <c r="F512" s="753">
        <v>426.14569999999998</v>
      </c>
      <c r="G512" s="753">
        <v>250</v>
      </c>
      <c r="H512" s="753">
        <v>0</v>
      </c>
      <c r="I512" s="754">
        <v>8.0100000000000005E-2</v>
      </c>
      <c r="J512" s="754">
        <v>8.0100000000000005E-2</v>
      </c>
      <c r="K512" s="754">
        <v>8.0100000000000005E-2</v>
      </c>
      <c r="L512" s="752">
        <v>15</v>
      </c>
    </row>
    <row r="513" spans="1:12">
      <c r="A513" s="750">
        <v>43369</v>
      </c>
      <c r="B513" s="751" t="s">
        <v>2638</v>
      </c>
      <c r="C513" s="752">
        <v>28</v>
      </c>
      <c r="D513" s="750">
        <v>43397</v>
      </c>
      <c r="E513" s="753">
        <v>200</v>
      </c>
      <c r="F513" s="753">
        <v>504.98360000000002</v>
      </c>
      <c r="G513" s="753">
        <v>200</v>
      </c>
      <c r="H513" s="753">
        <v>0</v>
      </c>
      <c r="I513" s="754">
        <v>8.0100000000000005E-2</v>
      </c>
      <c r="J513" s="754">
        <v>8.0100000000000005E-2</v>
      </c>
      <c r="K513" s="754">
        <v>8.0100000000000005E-2</v>
      </c>
      <c r="L513" s="752">
        <v>13</v>
      </c>
    </row>
    <row r="514" spans="1:12">
      <c r="A514" s="750">
        <v>43376</v>
      </c>
      <c r="B514" s="751" t="s">
        <v>2124</v>
      </c>
      <c r="C514" s="752">
        <v>28</v>
      </c>
      <c r="D514" s="750">
        <v>43404</v>
      </c>
      <c r="E514" s="753">
        <v>300</v>
      </c>
      <c r="F514" s="753">
        <v>984.60289999999998</v>
      </c>
      <c r="G514" s="753">
        <v>300</v>
      </c>
      <c r="H514" s="753">
        <v>0</v>
      </c>
      <c r="I514" s="754">
        <v>8.0100000000000005E-2</v>
      </c>
      <c r="J514" s="754">
        <v>8.0100000000000005E-2</v>
      </c>
      <c r="K514" s="754">
        <v>8.0100000000000005E-2</v>
      </c>
      <c r="L514" s="752">
        <v>17</v>
      </c>
    </row>
    <row r="515" spans="1:12">
      <c r="A515" s="750">
        <v>43383</v>
      </c>
      <c r="B515" s="751" t="s">
        <v>2125</v>
      </c>
      <c r="C515" s="752">
        <v>28</v>
      </c>
      <c r="D515" s="750">
        <v>43411</v>
      </c>
      <c r="E515" s="753">
        <v>300</v>
      </c>
      <c r="F515" s="753">
        <v>996.65009999999995</v>
      </c>
      <c r="G515" s="753">
        <v>300</v>
      </c>
      <c r="H515" s="753">
        <v>0</v>
      </c>
      <c r="I515" s="754">
        <v>8.0100000000000005E-2</v>
      </c>
      <c r="J515" s="754">
        <v>8.0100000000000005E-2</v>
      </c>
      <c r="K515" s="754">
        <v>8.0100000000000005E-2</v>
      </c>
      <c r="L515" s="752">
        <v>15</v>
      </c>
    </row>
    <row r="516" spans="1:12">
      <c r="A516" s="750">
        <v>43390</v>
      </c>
      <c r="B516" s="751" t="s">
        <v>2126</v>
      </c>
      <c r="C516" s="752">
        <v>28</v>
      </c>
      <c r="D516" s="750">
        <v>43418</v>
      </c>
      <c r="E516" s="753">
        <v>250</v>
      </c>
      <c r="F516" s="753">
        <v>845.47730000000001</v>
      </c>
      <c r="G516" s="753">
        <v>250</v>
      </c>
      <c r="H516" s="753">
        <v>0</v>
      </c>
      <c r="I516" s="754">
        <v>8.0100000000000005E-2</v>
      </c>
      <c r="J516" s="754">
        <v>8.0100000000000005E-2</v>
      </c>
      <c r="K516" s="754">
        <v>8.0100000000000005E-2</v>
      </c>
      <c r="L516" s="752">
        <v>15</v>
      </c>
    </row>
    <row r="517" spans="1:12">
      <c r="A517" s="750">
        <v>43397</v>
      </c>
      <c r="B517" s="751" t="s">
        <v>2127</v>
      </c>
      <c r="C517" s="752">
        <v>28</v>
      </c>
      <c r="D517" s="750">
        <v>43425</v>
      </c>
      <c r="E517" s="753">
        <v>200</v>
      </c>
      <c r="F517" s="753">
        <v>758.32370000000003</v>
      </c>
      <c r="G517" s="753">
        <v>200</v>
      </c>
      <c r="H517" s="753">
        <v>0</v>
      </c>
      <c r="I517" s="754">
        <v>8.0100000000000005E-2</v>
      </c>
      <c r="J517" s="754">
        <v>8.0100000000000005E-2</v>
      </c>
      <c r="K517" s="754">
        <v>8.0100000000000005E-2</v>
      </c>
      <c r="L517" s="752">
        <v>15</v>
      </c>
    </row>
    <row r="518" spans="1:12">
      <c r="A518" s="750">
        <v>43404</v>
      </c>
      <c r="B518" s="751" t="s">
        <v>2128</v>
      </c>
      <c r="C518" s="752">
        <v>28</v>
      </c>
      <c r="D518" s="750">
        <v>43432</v>
      </c>
      <c r="E518" s="753">
        <v>400</v>
      </c>
      <c r="F518" s="753">
        <v>1123.0248999999999</v>
      </c>
      <c r="G518" s="753">
        <v>300</v>
      </c>
      <c r="H518" s="753">
        <v>0</v>
      </c>
      <c r="I518" s="754">
        <v>7.7600000000000002E-2</v>
      </c>
      <c r="J518" s="754">
        <v>7.7600000000000002E-2</v>
      </c>
      <c r="K518" s="754">
        <v>7.7600000000000002E-2</v>
      </c>
      <c r="L518" s="752">
        <v>16</v>
      </c>
    </row>
    <row r="519" spans="1:12">
      <c r="A519" s="750">
        <v>43411</v>
      </c>
      <c r="B519" s="751" t="s">
        <v>2132</v>
      </c>
      <c r="C519" s="752">
        <v>28</v>
      </c>
      <c r="D519" s="750">
        <v>43439</v>
      </c>
      <c r="E519" s="753">
        <v>300</v>
      </c>
      <c r="F519" s="753">
        <v>1214.7958000000001</v>
      </c>
      <c r="G519" s="753">
        <v>300</v>
      </c>
      <c r="H519" s="753">
        <v>0</v>
      </c>
      <c r="I519" s="754">
        <v>7.7600000000000002E-2</v>
      </c>
      <c r="J519" s="754">
        <v>7.7600000000000002E-2</v>
      </c>
      <c r="K519" s="754">
        <v>7.7600000000000002E-2</v>
      </c>
      <c r="L519" s="752">
        <v>16</v>
      </c>
    </row>
    <row r="520" spans="1:12">
      <c r="A520" s="750">
        <v>43418</v>
      </c>
      <c r="B520" s="751" t="s">
        <v>2133</v>
      </c>
      <c r="C520" s="752">
        <v>28</v>
      </c>
      <c r="D520" s="750">
        <v>43446</v>
      </c>
      <c r="E520" s="753">
        <v>250</v>
      </c>
      <c r="F520" s="753">
        <v>858.99400000000003</v>
      </c>
      <c r="G520" s="753">
        <v>250</v>
      </c>
      <c r="H520" s="753">
        <v>0</v>
      </c>
      <c r="I520" s="754">
        <v>7.7600000000000002E-2</v>
      </c>
      <c r="J520" s="754">
        <v>7.7600000000000002E-2</v>
      </c>
      <c r="K520" s="754">
        <v>7.7600000000000002E-2</v>
      </c>
      <c r="L520" s="752">
        <v>15</v>
      </c>
    </row>
    <row r="521" spans="1:12">
      <c r="A521" s="750">
        <v>43425</v>
      </c>
      <c r="B521" s="751" t="s">
        <v>2134</v>
      </c>
      <c r="C521" s="752">
        <v>28</v>
      </c>
      <c r="D521" s="750">
        <v>43453</v>
      </c>
      <c r="E521" s="753">
        <v>200</v>
      </c>
      <c r="F521" s="753">
        <v>834.36540000000002</v>
      </c>
      <c r="G521" s="753">
        <v>200</v>
      </c>
      <c r="H521" s="753">
        <v>0</v>
      </c>
      <c r="I521" s="754">
        <v>7.7600000000000002E-2</v>
      </c>
      <c r="J521" s="754">
        <v>7.7600000000000002E-2</v>
      </c>
      <c r="K521" s="754">
        <v>7.7600000000000002E-2</v>
      </c>
      <c r="L521" s="752">
        <v>16</v>
      </c>
    </row>
    <row r="522" spans="1:12">
      <c r="A522" s="750">
        <v>43432</v>
      </c>
      <c r="B522" s="751" t="s">
        <v>2135</v>
      </c>
      <c r="C522" s="752">
        <v>28</v>
      </c>
      <c r="D522" s="750">
        <v>43460</v>
      </c>
      <c r="E522" s="753">
        <v>400</v>
      </c>
      <c r="F522" s="753">
        <v>787.63459999999998</v>
      </c>
      <c r="G522" s="753">
        <v>300</v>
      </c>
      <c r="H522" s="753">
        <v>0</v>
      </c>
      <c r="I522" s="754">
        <v>7.7600000000000002E-2</v>
      </c>
      <c r="J522" s="754">
        <v>7.7600000000000002E-2</v>
      </c>
      <c r="K522" s="754">
        <v>7.7600000000000002E-2</v>
      </c>
      <c r="L522" s="752">
        <v>14</v>
      </c>
    </row>
    <row r="523" spans="1:12">
      <c r="A523" s="750">
        <v>43439</v>
      </c>
      <c r="B523" s="751" t="s">
        <v>2140</v>
      </c>
      <c r="C523" s="752">
        <v>28</v>
      </c>
      <c r="D523" s="750">
        <v>43467</v>
      </c>
      <c r="E523" s="753">
        <v>300</v>
      </c>
      <c r="F523" s="753">
        <v>747.30349999999999</v>
      </c>
      <c r="G523" s="753">
        <v>300</v>
      </c>
      <c r="H523" s="753">
        <v>0</v>
      </c>
      <c r="I523" s="754">
        <v>7.7600000000000002E-2</v>
      </c>
      <c r="J523" s="754">
        <v>7.7600000000000002E-2</v>
      </c>
      <c r="K523" s="754">
        <v>7.7600000000000002E-2</v>
      </c>
      <c r="L523" s="752">
        <v>13</v>
      </c>
    </row>
    <row r="524" spans="1:12">
      <c r="A524" s="750">
        <v>43446</v>
      </c>
      <c r="B524" s="751" t="s">
        <v>2141</v>
      </c>
      <c r="C524" s="752">
        <v>28</v>
      </c>
      <c r="D524" s="750">
        <v>43474</v>
      </c>
      <c r="E524" s="753">
        <v>250</v>
      </c>
      <c r="F524" s="753">
        <v>499.29910000000001</v>
      </c>
      <c r="G524" s="753">
        <v>250</v>
      </c>
      <c r="H524" s="753">
        <v>0</v>
      </c>
      <c r="I524" s="754">
        <v>7.7600000000000002E-2</v>
      </c>
      <c r="J524" s="754">
        <v>7.7600000000000002E-2</v>
      </c>
      <c r="K524" s="754">
        <v>7.7600000000000002E-2</v>
      </c>
      <c r="L524" s="752">
        <v>12</v>
      </c>
    </row>
    <row r="525" spans="1:12">
      <c r="A525" s="750">
        <v>43453</v>
      </c>
      <c r="B525" s="751" t="s">
        <v>2142</v>
      </c>
      <c r="C525" s="752">
        <v>28</v>
      </c>
      <c r="D525" s="750">
        <v>43481</v>
      </c>
      <c r="E525" s="753">
        <v>200</v>
      </c>
      <c r="F525" s="753">
        <v>158.2679</v>
      </c>
      <c r="G525" s="753">
        <v>158.2679</v>
      </c>
      <c r="H525" s="753">
        <v>0</v>
      </c>
      <c r="I525" s="754">
        <v>7.7600000000000002E-2</v>
      </c>
      <c r="J525" s="754">
        <v>7.7600000000000002E-2</v>
      </c>
      <c r="K525" s="754">
        <v>8.7415000000000007E-2</v>
      </c>
      <c r="L525" s="752">
        <v>8</v>
      </c>
    </row>
    <row r="526" spans="1:12">
      <c r="A526" s="750">
        <v>43460</v>
      </c>
      <c r="B526" s="751" t="s">
        <v>2143</v>
      </c>
      <c r="C526" s="752">
        <v>28</v>
      </c>
      <c r="D526" s="750">
        <v>43488</v>
      </c>
      <c r="E526" s="753">
        <v>400</v>
      </c>
      <c r="F526" s="753">
        <v>498.94409999999999</v>
      </c>
      <c r="G526" s="753">
        <v>300</v>
      </c>
      <c r="H526" s="753">
        <v>0</v>
      </c>
      <c r="I526" s="754">
        <v>7.7600000000000002E-2</v>
      </c>
      <c r="J526" s="754">
        <v>9.4E-2</v>
      </c>
      <c r="K526" s="754">
        <v>9.3359999999999999E-2</v>
      </c>
      <c r="L526" s="752">
        <v>12</v>
      </c>
    </row>
    <row r="527" spans="1:12">
      <c r="A527" s="963">
        <v>2019</v>
      </c>
      <c r="B527" s="751"/>
      <c r="C527" s="752"/>
      <c r="D527" s="750"/>
      <c r="E527" s="753"/>
      <c r="F527" s="753"/>
      <c r="G527" s="753"/>
      <c r="H527" s="753"/>
      <c r="I527" s="754"/>
      <c r="J527" s="754"/>
      <c r="K527" s="754"/>
      <c r="L527" s="752"/>
    </row>
    <row r="528" spans="1:12">
      <c r="A528" s="750">
        <v>43468</v>
      </c>
      <c r="B528" s="751" t="s">
        <v>2147</v>
      </c>
      <c r="C528" s="752">
        <v>27</v>
      </c>
      <c r="D528" s="750">
        <v>43495</v>
      </c>
      <c r="E528" s="753">
        <v>300</v>
      </c>
      <c r="F528" s="753">
        <v>475.8646</v>
      </c>
      <c r="G528" s="753">
        <v>300</v>
      </c>
      <c r="H528" s="753">
        <v>0</v>
      </c>
      <c r="I528" s="754">
        <v>7.7600000000000002E-2</v>
      </c>
      <c r="J528" s="754">
        <v>9.7000000000000003E-2</v>
      </c>
      <c r="K528" s="754">
        <v>8.6900000000000005E-2</v>
      </c>
      <c r="L528" s="752">
        <v>10</v>
      </c>
    </row>
    <row r="529" spans="1:12">
      <c r="A529" s="750">
        <v>43474</v>
      </c>
      <c r="B529" s="751" t="s">
        <v>2148</v>
      </c>
      <c r="C529" s="752">
        <v>28</v>
      </c>
      <c r="D529" s="750">
        <v>43502</v>
      </c>
      <c r="E529" s="753">
        <v>250</v>
      </c>
      <c r="F529" s="753">
        <v>534.04639999999995</v>
      </c>
      <c r="G529" s="753">
        <v>250</v>
      </c>
      <c r="H529" s="753">
        <v>0</v>
      </c>
      <c r="I529" s="754">
        <v>7.7600000000000002E-2</v>
      </c>
      <c r="J529" s="754">
        <v>7.7600000000000002E-2</v>
      </c>
      <c r="K529" s="754">
        <v>7.7600000000000002E-2</v>
      </c>
      <c r="L529" s="752">
        <v>13</v>
      </c>
    </row>
    <row r="530" spans="1:12">
      <c r="A530" s="750">
        <v>43481</v>
      </c>
      <c r="B530" s="751" t="s">
        <v>2149</v>
      </c>
      <c r="C530" s="752">
        <v>28</v>
      </c>
      <c r="D530" s="750">
        <v>43509</v>
      </c>
      <c r="E530" s="753">
        <v>200</v>
      </c>
      <c r="F530" s="753">
        <v>483.61399999999998</v>
      </c>
      <c r="G530" s="753">
        <v>200</v>
      </c>
      <c r="H530" s="753">
        <v>0</v>
      </c>
      <c r="I530" s="754">
        <v>7.7600000000000002E-2</v>
      </c>
      <c r="J530" s="754">
        <v>7.7600000000000002E-2</v>
      </c>
      <c r="K530" s="754">
        <v>7.7600000000000002E-2</v>
      </c>
      <c r="L530" s="752">
        <v>12</v>
      </c>
    </row>
    <row r="531" spans="1:12">
      <c r="A531" s="750">
        <v>43488</v>
      </c>
      <c r="B531" s="751" t="s">
        <v>2150</v>
      </c>
      <c r="C531" s="752">
        <v>28</v>
      </c>
      <c r="D531" s="750">
        <v>43516</v>
      </c>
      <c r="E531" s="753">
        <v>400</v>
      </c>
      <c r="F531" s="753">
        <v>618.12310000000002</v>
      </c>
      <c r="G531" s="753">
        <v>300</v>
      </c>
      <c r="H531" s="753">
        <v>0</v>
      </c>
      <c r="I531" s="754">
        <v>7.7600000000000002E-2</v>
      </c>
      <c r="J531" s="754">
        <v>7.7600000000000002E-2</v>
      </c>
      <c r="K531" s="754">
        <v>7.7600000000000002E-2</v>
      </c>
      <c r="L531" s="752">
        <v>15</v>
      </c>
    </row>
    <row r="532" spans="1:12">
      <c r="A532" s="750">
        <v>43495</v>
      </c>
      <c r="B532" s="751" t="s">
        <v>2151</v>
      </c>
      <c r="C532" s="752">
        <v>28</v>
      </c>
      <c r="D532" s="750">
        <v>43523</v>
      </c>
      <c r="E532" s="753">
        <v>300</v>
      </c>
      <c r="F532" s="753">
        <v>660.08050000000003</v>
      </c>
      <c r="G532" s="753">
        <v>300</v>
      </c>
      <c r="H532" s="753">
        <v>0</v>
      </c>
      <c r="I532" s="754">
        <v>7.7600000000000002E-2</v>
      </c>
      <c r="J532" s="754">
        <v>7.7600000000000002E-2</v>
      </c>
      <c r="K532" s="754">
        <v>7.7600000000000002E-2</v>
      </c>
      <c r="L532" s="752">
        <v>14</v>
      </c>
    </row>
    <row r="533" spans="1:12">
      <c r="A533" s="750">
        <v>43502</v>
      </c>
      <c r="B533" s="751" t="s">
        <v>2159</v>
      </c>
      <c r="C533" s="752">
        <v>28</v>
      </c>
      <c r="D533" s="750">
        <v>43530</v>
      </c>
      <c r="E533" s="753">
        <v>250</v>
      </c>
      <c r="F533" s="753">
        <v>576.86149999999998</v>
      </c>
      <c r="G533" s="753">
        <v>250</v>
      </c>
      <c r="H533" s="753">
        <v>0</v>
      </c>
      <c r="I533" s="754">
        <v>7.2599999999999998E-2</v>
      </c>
      <c r="J533" s="754">
        <v>7.2599999999999998E-2</v>
      </c>
      <c r="K533" s="754">
        <v>7.2599999999999998E-2</v>
      </c>
      <c r="L533" s="752">
        <v>12</v>
      </c>
    </row>
    <row r="534" spans="1:12">
      <c r="A534" s="750">
        <v>43509</v>
      </c>
      <c r="B534" s="751" t="s">
        <v>2160</v>
      </c>
      <c r="C534" s="752">
        <v>28</v>
      </c>
      <c r="D534" s="750">
        <v>43537</v>
      </c>
      <c r="E534" s="753">
        <v>200</v>
      </c>
      <c r="F534" s="753">
        <v>515.57169999999996</v>
      </c>
      <c r="G534" s="753">
        <v>200</v>
      </c>
      <c r="H534" s="753">
        <v>0</v>
      </c>
      <c r="I534" s="754">
        <v>7.2599999999999998E-2</v>
      </c>
      <c r="J534" s="754">
        <v>7.2599999999999998E-2</v>
      </c>
      <c r="K534" s="754">
        <v>7.2599999999999998E-2</v>
      </c>
      <c r="L534" s="752">
        <v>13</v>
      </c>
    </row>
    <row r="535" spans="1:12">
      <c r="A535" s="750">
        <v>43516</v>
      </c>
      <c r="B535" s="751" t="s">
        <v>2161</v>
      </c>
      <c r="C535" s="752">
        <v>27</v>
      </c>
      <c r="D535" s="750">
        <v>43543</v>
      </c>
      <c r="E535" s="753">
        <v>400</v>
      </c>
      <c r="F535" s="753">
        <v>757.3075</v>
      </c>
      <c r="G535" s="753">
        <v>300</v>
      </c>
      <c r="H535" s="753">
        <v>0</v>
      </c>
      <c r="I535" s="754">
        <v>7.2599999999999998E-2</v>
      </c>
      <c r="J535" s="754">
        <v>7.2599999999999998E-2</v>
      </c>
      <c r="K535" s="754">
        <v>7.2599999999999998E-2</v>
      </c>
      <c r="L535" s="752">
        <v>15</v>
      </c>
    </row>
    <row r="536" spans="1:12">
      <c r="A536" s="750">
        <v>43523</v>
      </c>
      <c r="B536" s="751" t="s">
        <v>2162</v>
      </c>
      <c r="C536" s="752">
        <v>28</v>
      </c>
      <c r="D536" s="750">
        <v>43551</v>
      </c>
      <c r="E536" s="753">
        <v>300</v>
      </c>
      <c r="F536" s="753">
        <v>853.51009999999997</v>
      </c>
      <c r="G536" s="753">
        <v>300</v>
      </c>
      <c r="H536" s="753">
        <v>0</v>
      </c>
      <c r="I536" s="754">
        <v>7.2599999999999998E-2</v>
      </c>
      <c r="J536" s="754">
        <v>7.2599999999999998E-2</v>
      </c>
      <c r="K536" s="754">
        <v>7.2599999999999998E-2</v>
      </c>
      <c r="L536" s="752">
        <v>14</v>
      </c>
    </row>
    <row r="537" spans="1:12">
      <c r="A537" s="750">
        <v>43530</v>
      </c>
      <c r="B537" s="751" t="s">
        <v>2167</v>
      </c>
      <c r="C537" s="752">
        <v>28</v>
      </c>
      <c r="D537" s="750">
        <v>43558</v>
      </c>
      <c r="E537" s="753">
        <v>250</v>
      </c>
      <c r="F537" s="753">
        <v>673.95299999999997</v>
      </c>
      <c r="G537" s="753">
        <v>250</v>
      </c>
      <c r="H537" s="753">
        <v>0</v>
      </c>
      <c r="I537" s="754">
        <v>7.2599999999999998E-2</v>
      </c>
      <c r="J537" s="754">
        <v>7.2599999999999998E-2</v>
      </c>
      <c r="K537" s="754">
        <v>7.2599999999999998E-2</v>
      </c>
      <c r="L537" s="752">
        <v>13</v>
      </c>
    </row>
    <row r="538" spans="1:12">
      <c r="A538" s="750">
        <v>43537</v>
      </c>
      <c r="B538" s="751" t="s">
        <v>2168</v>
      </c>
      <c r="C538" s="752">
        <v>28</v>
      </c>
      <c r="D538" s="750">
        <v>43565</v>
      </c>
      <c r="E538" s="753">
        <v>200</v>
      </c>
      <c r="F538" s="753">
        <v>340.63780000000003</v>
      </c>
      <c r="G538" s="753">
        <v>200</v>
      </c>
      <c r="H538" s="753">
        <v>0</v>
      </c>
      <c r="I538" s="754">
        <v>7.2599999999999998E-2</v>
      </c>
      <c r="J538" s="754">
        <v>7.2599999999999998E-2</v>
      </c>
      <c r="K538" s="754">
        <v>7.2599999999999998E-2</v>
      </c>
      <c r="L538" s="752">
        <v>12</v>
      </c>
    </row>
    <row r="539" spans="1:12">
      <c r="A539" s="750">
        <v>43543</v>
      </c>
      <c r="B539" s="751" t="s">
        <v>2169</v>
      </c>
      <c r="C539" s="752">
        <v>29</v>
      </c>
      <c r="D539" s="750">
        <v>43572</v>
      </c>
      <c r="E539" s="753">
        <v>400</v>
      </c>
      <c r="F539" s="753">
        <v>233.32900000000001</v>
      </c>
      <c r="G539" s="753">
        <v>233.32900000000001</v>
      </c>
      <c r="H539" s="753">
        <v>0</v>
      </c>
      <c r="I539" s="754">
        <v>7.0099999999999996E-2</v>
      </c>
      <c r="J539" s="754">
        <v>8.9899999999999994E-2</v>
      </c>
      <c r="K539" s="754">
        <v>8.7400000000000005E-2</v>
      </c>
      <c r="L539" s="752">
        <v>12</v>
      </c>
    </row>
    <row r="540" spans="1:12">
      <c r="A540" s="750">
        <v>43551</v>
      </c>
      <c r="B540" s="751" t="s">
        <v>2170</v>
      </c>
      <c r="C540" s="752">
        <v>28</v>
      </c>
      <c r="D540" s="750">
        <v>43579</v>
      </c>
      <c r="E540" s="753">
        <v>300</v>
      </c>
      <c r="F540" s="753">
        <v>359.43599999999998</v>
      </c>
      <c r="G540" s="753">
        <v>300</v>
      </c>
      <c r="H540" s="753">
        <v>0</v>
      </c>
      <c r="I540" s="754">
        <v>7.0099999999999996E-2</v>
      </c>
      <c r="J540" s="754">
        <v>8.9800000000000005E-2</v>
      </c>
      <c r="K540" s="754">
        <v>8.7800000000000003E-2</v>
      </c>
      <c r="L540" s="752">
        <v>10</v>
      </c>
    </row>
    <row r="541" spans="1:12">
      <c r="A541" s="750">
        <v>43558</v>
      </c>
      <c r="B541" s="751" t="s">
        <v>2174</v>
      </c>
      <c r="C541" s="752">
        <v>28</v>
      </c>
      <c r="D541" s="750">
        <v>43586</v>
      </c>
      <c r="E541" s="753">
        <v>250</v>
      </c>
      <c r="F541" s="753">
        <v>371.30720000000002</v>
      </c>
      <c r="G541" s="753">
        <v>250</v>
      </c>
      <c r="H541" s="753">
        <v>-28.062799999999999</v>
      </c>
      <c r="I541" s="754">
        <v>7.0099999999999996E-2</v>
      </c>
      <c r="J541" s="754">
        <v>7.0099999999999996E-2</v>
      </c>
      <c r="K541" s="754">
        <v>7.0099999999999996E-2</v>
      </c>
      <c r="L541" s="752">
        <v>10</v>
      </c>
    </row>
    <row r="542" spans="1:12">
      <c r="A542" s="750">
        <v>43565</v>
      </c>
      <c r="B542" s="751" t="s">
        <v>2175</v>
      </c>
      <c r="C542" s="752">
        <v>28</v>
      </c>
      <c r="D542" s="750">
        <v>43593</v>
      </c>
      <c r="E542" s="753">
        <v>200</v>
      </c>
      <c r="F542" s="753">
        <v>167.27760000000001</v>
      </c>
      <c r="G542" s="753">
        <v>167.27760000000001</v>
      </c>
      <c r="H542" s="753">
        <v>0</v>
      </c>
      <c r="I542" s="754">
        <v>7.0099999999999996E-2</v>
      </c>
      <c r="J542" s="754">
        <v>8.9899999999999994E-2</v>
      </c>
      <c r="K542" s="754">
        <v>7.9500000000000001E-2</v>
      </c>
      <c r="L542" s="752">
        <v>10</v>
      </c>
    </row>
    <row r="543" spans="1:12">
      <c r="A543" s="750">
        <v>43572</v>
      </c>
      <c r="B543" s="751" t="s">
        <v>2176</v>
      </c>
      <c r="C543" s="752">
        <v>28</v>
      </c>
      <c r="D543" s="750">
        <v>43600</v>
      </c>
      <c r="E543" s="753">
        <v>400</v>
      </c>
      <c r="F543" s="753">
        <v>199.5264</v>
      </c>
      <c r="G543" s="753">
        <v>199.5264</v>
      </c>
      <c r="H543" s="753">
        <v>0</v>
      </c>
      <c r="I543" s="754">
        <v>7.0099999999999996E-2</v>
      </c>
      <c r="J543" s="754">
        <v>8.9899999999999994E-2</v>
      </c>
      <c r="K543" s="754">
        <v>8.7999999999999995E-2</v>
      </c>
      <c r="L543" s="752">
        <v>11</v>
      </c>
    </row>
    <row r="544" spans="1:12">
      <c r="A544" s="750">
        <v>43579</v>
      </c>
      <c r="B544" s="751" t="s">
        <v>2177</v>
      </c>
      <c r="C544" s="752">
        <v>28</v>
      </c>
      <c r="D544" s="750">
        <v>43607</v>
      </c>
      <c r="E544" s="753">
        <v>300</v>
      </c>
      <c r="F544" s="753">
        <v>285.62459999999999</v>
      </c>
      <c r="G544" s="753">
        <v>285.62459999999999</v>
      </c>
      <c r="H544" s="753">
        <v>0</v>
      </c>
      <c r="I544" s="754">
        <v>8.2500000000000004E-2</v>
      </c>
      <c r="J544" s="754">
        <v>8.9899999999999994E-2</v>
      </c>
      <c r="K544" s="754">
        <v>8.9099999999999999E-2</v>
      </c>
      <c r="L544" s="752">
        <v>12</v>
      </c>
    </row>
    <row r="545" spans="1:12">
      <c r="A545" s="750">
        <v>43586</v>
      </c>
      <c r="B545" s="751" t="s">
        <v>2182</v>
      </c>
      <c r="C545" s="752">
        <v>28</v>
      </c>
      <c r="D545" s="750">
        <v>43614</v>
      </c>
      <c r="E545" s="753">
        <v>200</v>
      </c>
      <c r="F545" s="753">
        <v>525.74710000000005</v>
      </c>
      <c r="G545" s="753">
        <v>200</v>
      </c>
      <c r="H545" s="753">
        <v>0</v>
      </c>
      <c r="I545" s="754">
        <v>6.7599999999999993E-2</v>
      </c>
      <c r="J545" s="754">
        <v>6.7599999999999993E-2</v>
      </c>
      <c r="K545" s="754">
        <v>6.7599999999999993E-2</v>
      </c>
      <c r="L545" s="752">
        <v>12</v>
      </c>
    </row>
    <row r="546" spans="1:12">
      <c r="A546" s="750">
        <v>43593</v>
      </c>
      <c r="B546" s="751" t="s">
        <v>2183</v>
      </c>
      <c r="C546" s="752">
        <v>27</v>
      </c>
      <c r="D546" s="750">
        <v>43620</v>
      </c>
      <c r="E546" s="753">
        <v>200</v>
      </c>
      <c r="F546" s="753">
        <v>552.8845</v>
      </c>
      <c r="G546" s="753">
        <v>200</v>
      </c>
      <c r="H546" s="753">
        <v>0</v>
      </c>
      <c r="I546" s="754">
        <v>6.7599999999999993E-2</v>
      </c>
      <c r="J546" s="754">
        <v>6.7599999999999993E-2</v>
      </c>
      <c r="K546" s="754">
        <v>6.7599999999999993E-2</v>
      </c>
      <c r="L546" s="752">
        <v>14</v>
      </c>
    </row>
    <row r="547" spans="1:12">
      <c r="A547" s="750">
        <v>43600</v>
      </c>
      <c r="B547" s="751" t="s">
        <v>2184</v>
      </c>
      <c r="C547" s="752">
        <v>28</v>
      </c>
      <c r="D547" s="750">
        <v>43628</v>
      </c>
      <c r="E547" s="753">
        <v>200</v>
      </c>
      <c r="F547" s="753">
        <v>720.09839999999997</v>
      </c>
      <c r="G547" s="753">
        <v>200</v>
      </c>
      <c r="H547" s="753">
        <v>0</v>
      </c>
      <c r="I547" s="754">
        <v>6.7599999999999993E-2</v>
      </c>
      <c r="J547" s="754">
        <v>6.7599999999999993E-2</v>
      </c>
      <c r="K547" s="754">
        <v>6.7599999999999993E-2</v>
      </c>
      <c r="L547" s="752">
        <v>15</v>
      </c>
    </row>
    <row r="548" spans="1:12">
      <c r="A548" s="750">
        <v>43607</v>
      </c>
      <c r="B548" s="751" t="s">
        <v>2185</v>
      </c>
      <c r="C548" s="752">
        <v>28</v>
      </c>
      <c r="D548" s="750">
        <v>43635</v>
      </c>
      <c r="E548" s="753">
        <v>200</v>
      </c>
      <c r="F548" s="753">
        <v>785.59249999999997</v>
      </c>
      <c r="G548" s="753">
        <v>200</v>
      </c>
      <c r="H548" s="753">
        <v>0</v>
      </c>
      <c r="I548" s="754">
        <v>6.7599999999999993E-2</v>
      </c>
      <c r="J548" s="754">
        <v>6.7599999999999993E-2</v>
      </c>
      <c r="K548" s="754">
        <v>6.7599999999999993E-2</v>
      </c>
      <c r="L548" s="752">
        <v>18</v>
      </c>
    </row>
    <row r="549" spans="1:12">
      <c r="A549" s="750">
        <v>43614</v>
      </c>
      <c r="B549" s="751" t="s">
        <v>2186</v>
      </c>
      <c r="C549" s="752">
        <v>27</v>
      </c>
      <c r="D549" s="750">
        <v>43641</v>
      </c>
      <c r="E549" s="753">
        <v>200</v>
      </c>
      <c r="F549" s="753">
        <v>875.1019</v>
      </c>
      <c r="G549" s="753">
        <v>200</v>
      </c>
      <c r="H549" s="753">
        <v>0</v>
      </c>
      <c r="I549" s="754">
        <v>6.7599999999999993E-2</v>
      </c>
      <c r="J549" s="754">
        <v>6.7599999999999993E-2</v>
      </c>
      <c r="K549" s="754">
        <v>6.7599999999999993E-2</v>
      </c>
      <c r="L549" s="752">
        <v>19</v>
      </c>
    </row>
    <row r="550" spans="1:12">
      <c r="A550" s="750">
        <v>43620</v>
      </c>
      <c r="B550" s="751" t="s">
        <v>2190</v>
      </c>
      <c r="C550" s="752">
        <v>29</v>
      </c>
      <c r="D550" s="750">
        <v>43649</v>
      </c>
      <c r="E550" s="753">
        <v>200</v>
      </c>
      <c r="F550" s="753">
        <v>571.46479999999997</v>
      </c>
      <c r="G550" s="753">
        <v>100</v>
      </c>
      <c r="H550" s="753">
        <v>0</v>
      </c>
      <c r="I550" s="754">
        <v>6.7599999999999993E-2</v>
      </c>
      <c r="J550" s="754">
        <v>6.7599999999999993E-2</v>
      </c>
      <c r="K550" s="754">
        <v>6.7599999999999993E-2</v>
      </c>
      <c r="L550" s="752">
        <v>15</v>
      </c>
    </row>
    <row r="551" spans="1:12">
      <c r="A551" s="750">
        <v>43628</v>
      </c>
      <c r="B551" s="751" t="s">
        <v>2191</v>
      </c>
      <c r="C551" s="752">
        <v>28</v>
      </c>
      <c r="D551" s="750">
        <v>43656</v>
      </c>
      <c r="E551" s="753">
        <v>200</v>
      </c>
      <c r="F551" s="753">
        <v>936.81719999999996</v>
      </c>
      <c r="G551" s="753">
        <v>200</v>
      </c>
      <c r="H551" s="753">
        <v>0</v>
      </c>
      <c r="I551" s="754">
        <v>6.5100000000000005E-2</v>
      </c>
      <c r="J551" s="754">
        <v>6.5100000000000005E-2</v>
      </c>
      <c r="K551" s="754">
        <v>6.5100000000000005E-2</v>
      </c>
      <c r="L551" s="752">
        <v>17</v>
      </c>
    </row>
    <row r="552" spans="1:12">
      <c r="A552" s="750">
        <v>43635</v>
      </c>
      <c r="B552" s="751" t="s">
        <v>2192</v>
      </c>
      <c r="C552" s="752">
        <v>28</v>
      </c>
      <c r="D552" s="750">
        <v>43663</v>
      </c>
      <c r="E552" s="753">
        <v>200</v>
      </c>
      <c r="F552" s="753">
        <v>799.00139999999999</v>
      </c>
      <c r="G552" s="753">
        <v>200</v>
      </c>
      <c r="H552" s="753">
        <v>0</v>
      </c>
      <c r="I552" s="754">
        <v>6.5100000000000005E-2</v>
      </c>
      <c r="J552" s="754">
        <v>6.5100000000000005E-2</v>
      </c>
      <c r="K552" s="754">
        <v>6.5100000000000005E-2</v>
      </c>
      <c r="L552" s="752">
        <v>17</v>
      </c>
    </row>
    <row r="553" spans="1:12">
      <c r="A553" s="750">
        <v>43641</v>
      </c>
      <c r="B553" s="751" t="s">
        <v>2193</v>
      </c>
      <c r="C553" s="752">
        <v>29</v>
      </c>
      <c r="D553" s="750">
        <v>43670</v>
      </c>
      <c r="E553" s="753">
        <v>200</v>
      </c>
      <c r="F553" s="753">
        <v>727.69269999999995</v>
      </c>
      <c r="G553" s="753">
        <v>200</v>
      </c>
      <c r="H553" s="753">
        <v>0</v>
      </c>
      <c r="I553" s="754">
        <v>6.5100000000000005E-2</v>
      </c>
      <c r="J553" s="754">
        <v>6.5100000000000005E-2</v>
      </c>
      <c r="K553" s="754">
        <v>6.5100000000000005E-2</v>
      </c>
      <c r="L553" s="752">
        <v>16</v>
      </c>
    </row>
    <row r="554" spans="1:12">
      <c r="A554" s="750">
        <v>43649</v>
      </c>
      <c r="B554" s="751" t="s">
        <v>2198</v>
      </c>
      <c r="C554" s="752">
        <v>28</v>
      </c>
      <c r="D554" s="750">
        <v>43677</v>
      </c>
      <c r="E554" s="753">
        <v>100</v>
      </c>
      <c r="F554" s="753">
        <v>629.43439999999998</v>
      </c>
      <c r="G554" s="753">
        <v>100</v>
      </c>
      <c r="H554" s="753">
        <v>0</v>
      </c>
      <c r="I554" s="754">
        <v>6.5100000000000005E-2</v>
      </c>
      <c r="J554" s="754">
        <v>6.5100000000000005E-2</v>
      </c>
      <c r="K554" s="754">
        <v>6.5100000000000005E-2</v>
      </c>
      <c r="L554" s="752">
        <v>17</v>
      </c>
    </row>
    <row r="555" spans="1:12">
      <c r="A555" s="750">
        <v>43656</v>
      </c>
      <c r="B555" s="751" t="s">
        <v>2199</v>
      </c>
      <c r="C555" s="752">
        <v>28</v>
      </c>
      <c r="D555" s="750">
        <v>43684</v>
      </c>
      <c r="E555" s="753">
        <v>200</v>
      </c>
      <c r="F555" s="753">
        <v>939.91139999999996</v>
      </c>
      <c r="G555" s="753">
        <v>200</v>
      </c>
      <c r="H555" s="753">
        <v>0</v>
      </c>
      <c r="I555" s="754">
        <v>6.5100000000000005E-2</v>
      </c>
      <c r="J555" s="754">
        <v>6.5100000000000005E-2</v>
      </c>
      <c r="K555" s="754">
        <v>6.5100000000000005E-2</v>
      </c>
      <c r="L555" s="752">
        <v>16</v>
      </c>
    </row>
    <row r="556" spans="1:12">
      <c r="A556" s="750">
        <v>43663</v>
      </c>
      <c r="B556" s="751" t="s">
        <v>2200</v>
      </c>
      <c r="C556" s="752">
        <v>28</v>
      </c>
      <c r="D556" s="750">
        <v>43691</v>
      </c>
      <c r="E556" s="753">
        <v>200</v>
      </c>
      <c r="F556" s="753">
        <v>975.16899999999998</v>
      </c>
      <c r="G556" s="753">
        <v>200</v>
      </c>
      <c r="H556" s="753">
        <v>0</v>
      </c>
      <c r="I556" s="754">
        <v>6.5100000000000005E-2</v>
      </c>
      <c r="J556" s="754">
        <v>6.5100000000000005E-2</v>
      </c>
      <c r="K556" s="754">
        <v>6.5100000000000005E-2</v>
      </c>
      <c r="L556" s="752">
        <v>20</v>
      </c>
    </row>
    <row r="557" spans="1:12">
      <c r="A557" s="750">
        <v>43670</v>
      </c>
      <c r="B557" s="751" t="s">
        <v>2201</v>
      </c>
      <c r="C557" s="752">
        <v>28</v>
      </c>
      <c r="D557" s="750">
        <v>43698</v>
      </c>
      <c r="E557" s="753">
        <v>200</v>
      </c>
      <c r="F557" s="753">
        <v>729.7944</v>
      </c>
      <c r="G557" s="753">
        <v>200</v>
      </c>
      <c r="H557" s="753">
        <v>0</v>
      </c>
      <c r="I557" s="754">
        <v>6.5100000000000005E-2</v>
      </c>
      <c r="J557" s="754">
        <v>6.5100000000000005E-2</v>
      </c>
      <c r="K557" s="754">
        <v>6.5100000000000005E-2</v>
      </c>
      <c r="L557" s="752">
        <v>17</v>
      </c>
    </row>
    <row r="558" spans="1:12">
      <c r="A558" s="750">
        <v>43677</v>
      </c>
      <c r="B558" s="751" t="s">
        <v>2202</v>
      </c>
      <c r="C558" s="752">
        <v>28</v>
      </c>
      <c r="D558" s="750">
        <v>43705</v>
      </c>
      <c r="E558" s="753">
        <v>100</v>
      </c>
      <c r="F558" s="753">
        <v>652.99199999999996</v>
      </c>
      <c r="G558" s="753">
        <v>100</v>
      </c>
      <c r="H558" s="753">
        <v>0</v>
      </c>
      <c r="I558" s="754">
        <v>6.2600000000000003E-2</v>
      </c>
      <c r="J558" s="754">
        <v>6.2600000000000003E-2</v>
      </c>
      <c r="K558" s="754">
        <v>6.2600000000000003E-2</v>
      </c>
      <c r="L558" s="752">
        <v>16</v>
      </c>
    </row>
    <row r="559" spans="1:12">
      <c r="A559" s="750">
        <v>43684</v>
      </c>
      <c r="B559" s="751" t="s">
        <v>2206</v>
      </c>
      <c r="C559" s="752">
        <v>28</v>
      </c>
      <c r="D559" s="750">
        <v>43712</v>
      </c>
      <c r="E559" s="753">
        <v>200</v>
      </c>
      <c r="F559" s="753">
        <v>656.72450000000003</v>
      </c>
      <c r="G559" s="753">
        <v>200</v>
      </c>
      <c r="H559" s="753">
        <v>0</v>
      </c>
      <c r="I559" s="754">
        <v>6.2600000000000003E-2</v>
      </c>
      <c r="J559" s="754">
        <v>6.2600000000000003E-2</v>
      </c>
      <c r="K559" s="754">
        <v>6.2600000000000003E-2</v>
      </c>
      <c r="L559" s="752">
        <v>14</v>
      </c>
    </row>
    <row r="560" spans="1:12">
      <c r="A560" s="750">
        <v>43691</v>
      </c>
      <c r="B560" s="751" t="s">
        <v>2207</v>
      </c>
      <c r="C560" s="752">
        <v>28</v>
      </c>
      <c r="D560" s="750">
        <v>43719</v>
      </c>
      <c r="E560" s="753">
        <v>200</v>
      </c>
      <c r="F560" s="753">
        <v>585.66920000000005</v>
      </c>
      <c r="G560" s="753">
        <v>200</v>
      </c>
      <c r="H560" s="753">
        <v>0</v>
      </c>
      <c r="I560" s="754">
        <v>6.2600000000000003E-2</v>
      </c>
      <c r="J560" s="754">
        <v>6.2600000000000003E-2</v>
      </c>
      <c r="K560" s="754">
        <v>6.2600000000000003E-2</v>
      </c>
      <c r="L560" s="752">
        <v>14</v>
      </c>
    </row>
    <row r="561" spans="1:12">
      <c r="A561" s="750">
        <v>43698</v>
      </c>
      <c r="B561" s="751" t="s">
        <v>2208</v>
      </c>
      <c r="C561" s="752">
        <v>28</v>
      </c>
      <c r="D561" s="750">
        <v>43726</v>
      </c>
      <c r="E561" s="753">
        <v>200</v>
      </c>
      <c r="F561" s="753">
        <v>617.58889999999997</v>
      </c>
      <c r="G561" s="753">
        <v>200</v>
      </c>
      <c r="H561" s="753">
        <v>0</v>
      </c>
      <c r="I561" s="754">
        <v>6.2600000000000003E-2</v>
      </c>
      <c r="J561" s="754">
        <v>6.2600000000000003E-2</v>
      </c>
      <c r="K561" s="754">
        <v>6.2600000000000003E-2</v>
      </c>
      <c r="L561" s="752">
        <v>16</v>
      </c>
    </row>
    <row r="562" spans="1:12">
      <c r="A562" s="750">
        <v>43705</v>
      </c>
      <c r="B562" s="751" t="s">
        <v>2209</v>
      </c>
      <c r="C562" s="752">
        <v>28</v>
      </c>
      <c r="D562" s="750">
        <v>43733</v>
      </c>
      <c r="E562" s="753">
        <v>100</v>
      </c>
      <c r="F562" s="753">
        <v>595.09360000000004</v>
      </c>
      <c r="G562" s="753">
        <v>100</v>
      </c>
      <c r="H562" s="753">
        <v>0</v>
      </c>
      <c r="I562" s="754">
        <v>6.2600000000000003E-2</v>
      </c>
      <c r="J562" s="754">
        <v>6.2600000000000003E-2</v>
      </c>
      <c r="K562" s="754">
        <v>6.2600000000000003E-2</v>
      </c>
      <c r="L562" s="752">
        <v>17</v>
      </c>
    </row>
    <row r="563" spans="1:12">
      <c r="A563" s="750">
        <v>43712</v>
      </c>
      <c r="B563" s="751" t="s">
        <v>2214</v>
      </c>
      <c r="C563" s="752">
        <v>28</v>
      </c>
      <c r="D563" s="750">
        <v>43740</v>
      </c>
      <c r="E563" s="753">
        <v>200</v>
      </c>
      <c r="F563" s="753">
        <v>595.60919999999999</v>
      </c>
      <c r="G563" s="753">
        <v>200</v>
      </c>
      <c r="H563" s="753">
        <v>0</v>
      </c>
      <c r="I563" s="754">
        <v>6.2600000000000003E-2</v>
      </c>
      <c r="J563" s="754">
        <v>6.2600000000000003E-2</v>
      </c>
      <c r="K563" s="754">
        <v>6.2600000000000003E-2</v>
      </c>
      <c r="L563" s="752">
        <v>16</v>
      </c>
    </row>
    <row r="564" spans="1:12">
      <c r="A564" s="750">
        <v>43719</v>
      </c>
      <c r="B564" s="751" t="s">
        <v>2215</v>
      </c>
      <c r="C564" s="752">
        <v>28</v>
      </c>
      <c r="D564" s="750">
        <v>43747</v>
      </c>
      <c r="E564" s="753">
        <v>200</v>
      </c>
      <c r="F564" s="753">
        <v>710.03660000000002</v>
      </c>
      <c r="G564" s="753">
        <v>200</v>
      </c>
      <c r="H564" s="753">
        <v>0</v>
      </c>
      <c r="I564" s="754">
        <v>6.2600000000000003E-2</v>
      </c>
      <c r="J564" s="754">
        <v>6.2600000000000003E-2</v>
      </c>
      <c r="K564" s="754">
        <v>6.2600000000000003E-2</v>
      </c>
      <c r="L564" s="752">
        <v>16</v>
      </c>
    </row>
    <row r="565" spans="1:12">
      <c r="A565" s="750">
        <v>43726</v>
      </c>
      <c r="B565" s="751" t="s">
        <v>2216</v>
      </c>
      <c r="C565" s="752">
        <v>28</v>
      </c>
      <c r="D565" s="750">
        <v>43755</v>
      </c>
      <c r="E565" s="753">
        <v>200</v>
      </c>
      <c r="F565" s="753">
        <v>676.77589999999998</v>
      </c>
      <c r="G565" s="753">
        <v>170</v>
      </c>
      <c r="H565" s="753">
        <v>0</v>
      </c>
      <c r="I565" s="754">
        <v>6.2600000000000003E-2</v>
      </c>
      <c r="J565" s="754">
        <v>6.2600000000000003E-2</v>
      </c>
      <c r="K565" s="754">
        <v>6.2600000000000003E-2</v>
      </c>
      <c r="L565" s="752">
        <v>16</v>
      </c>
    </row>
    <row r="566" spans="1:12">
      <c r="A566" s="750">
        <v>43728</v>
      </c>
      <c r="B566" s="751" t="s">
        <v>2217</v>
      </c>
      <c r="C566" s="752">
        <v>84</v>
      </c>
      <c r="D566" s="750">
        <v>43815</v>
      </c>
      <c r="E566" s="753">
        <v>30</v>
      </c>
      <c r="F566" s="753">
        <v>147.59219999999999</v>
      </c>
      <c r="G566" s="753">
        <v>30</v>
      </c>
      <c r="H566" s="753">
        <v>0</v>
      </c>
      <c r="I566" s="754">
        <v>0.06</v>
      </c>
      <c r="J566" s="754">
        <v>6.0400000000000002E-2</v>
      </c>
      <c r="K566" s="754">
        <v>6.0299999999999999E-2</v>
      </c>
      <c r="L566" s="752">
        <v>10</v>
      </c>
    </row>
    <row r="567" spans="1:12">
      <c r="A567" s="750">
        <v>43733</v>
      </c>
      <c r="B567" s="751" t="s">
        <v>2218</v>
      </c>
      <c r="C567" s="752">
        <v>28</v>
      </c>
      <c r="D567" s="750">
        <v>43762</v>
      </c>
      <c r="E567" s="753">
        <v>100</v>
      </c>
      <c r="F567" s="753">
        <v>521.02120000000002</v>
      </c>
      <c r="G567" s="753">
        <v>100</v>
      </c>
      <c r="H567" s="753">
        <v>0</v>
      </c>
      <c r="I567" s="754">
        <v>6.2600000000000003E-2</v>
      </c>
      <c r="J567" s="754">
        <v>6.2600000000000003E-2</v>
      </c>
      <c r="K567" s="754">
        <v>6.2600000000000003E-2</v>
      </c>
      <c r="L567" s="752">
        <v>16</v>
      </c>
    </row>
    <row r="568" spans="1:12">
      <c r="A568" s="750">
        <v>43740</v>
      </c>
      <c r="B568" s="751" t="s">
        <v>2219</v>
      </c>
      <c r="C568" s="752">
        <v>28</v>
      </c>
      <c r="D568" s="750">
        <v>43769</v>
      </c>
      <c r="E568" s="753">
        <v>170</v>
      </c>
      <c r="F568" s="753">
        <v>515.09320000000002</v>
      </c>
      <c r="G568" s="753">
        <v>170</v>
      </c>
      <c r="H568" s="753">
        <v>0</v>
      </c>
      <c r="I568" s="754">
        <v>6.2600000000000003E-2</v>
      </c>
      <c r="J568" s="754">
        <v>6.2600000000000003E-2</v>
      </c>
      <c r="K568" s="754">
        <v>6.2600000000000003E-2</v>
      </c>
      <c r="L568" s="752">
        <v>15</v>
      </c>
    </row>
    <row r="569" spans="1:12">
      <c r="A569" s="750">
        <v>43742</v>
      </c>
      <c r="B569" s="751" t="s">
        <v>2220</v>
      </c>
      <c r="C569" s="752">
        <v>168</v>
      </c>
      <c r="D569" s="750">
        <v>43913</v>
      </c>
      <c r="E569" s="753">
        <v>30</v>
      </c>
      <c r="F569" s="753">
        <v>117.325</v>
      </c>
      <c r="G569" s="753">
        <v>30</v>
      </c>
      <c r="H569" s="753">
        <v>0</v>
      </c>
      <c r="I569" s="754">
        <v>5.8000000000000003E-2</v>
      </c>
      <c r="J569" s="754">
        <v>6.1400000000000003E-2</v>
      </c>
      <c r="K569" s="754">
        <v>6.0600000000000001E-2</v>
      </c>
      <c r="L569" s="752">
        <v>9</v>
      </c>
    </row>
    <row r="570" spans="1:12">
      <c r="A570" s="750">
        <v>43747</v>
      </c>
      <c r="B570" s="751" t="s">
        <v>2221</v>
      </c>
      <c r="C570" s="752">
        <v>28</v>
      </c>
      <c r="D570" s="750">
        <v>43776</v>
      </c>
      <c r="E570" s="753">
        <v>170</v>
      </c>
      <c r="F570" s="753">
        <v>647.71220000000005</v>
      </c>
      <c r="G570" s="753">
        <v>170</v>
      </c>
      <c r="H570" s="753">
        <v>0</v>
      </c>
      <c r="I570" s="754">
        <v>6.2600000000000003E-2</v>
      </c>
      <c r="J570" s="754">
        <v>6.2600000000000003E-2</v>
      </c>
      <c r="K570" s="754">
        <v>6.2600000000000003E-2</v>
      </c>
      <c r="L570" s="752">
        <v>14</v>
      </c>
    </row>
    <row r="571" spans="1:12">
      <c r="A571" s="750">
        <v>43749</v>
      </c>
      <c r="B571" s="751" t="s">
        <v>2222</v>
      </c>
      <c r="C571" s="752">
        <v>252</v>
      </c>
      <c r="D571" s="750">
        <v>44004</v>
      </c>
      <c r="E571" s="753">
        <v>30</v>
      </c>
      <c r="F571" s="753">
        <v>116.8794</v>
      </c>
      <c r="G571" s="753">
        <v>30</v>
      </c>
      <c r="H571" s="753">
        <v>0</v>
      </c>
      <c r="I571" s="754">
        <v>0.06</v>
      </c>
      <c r="J571" s="754">
        <v>6.1499999999999999E-2</v>
      </c>
      <c r="K571" s="754">
        <v>6.1400000000000003E-2</v>
      </c>
      <c r="L571" s="752">
        <v>7</v>
      </c>
    </row>
    <row r="572" spans="1:12">
      <c r="A572" s="750">
        <v>43754</v>
      </c>
      <c r="B572" s="751" t="s">
        <v>2223</v>
      </c>
      <c r="C572" s="752">
        <v>28</v>
      </c>
      <c r="D572" s="750">
        <v>43783</v>
      </c>
      <c r="E572" s="753">
        <v>170</v>
      </c>
      <c r="F572" s="753">
        <v>547.24869999999999</v>
      </c>
      <c r="G572" s="753">
        <v>170</v>
      </c>
      <c r="H572" s="753">
        <v>0</v>
      </c>
      <c r="I572" s="754">
        <v>6.2600000000000003E-2</v>
      </c>
      <c r="J572" s="754">
        <v>6.2600000000000003E-2</v>
      </c>
      <c r="K572" s="754">
        <v>6.2600000000000003E-2</v>
      </c>
      <c r="L572" s="752">
        <v>14</v>
      </c>
    </row>
    <row r="573" spans="1:12">
      <c r="A573" s="750">
        <v>43761</v>
      </c>
      <c r="B573" s="751" t="s">
        <v>2224</v>
      </c>
      <c r="C573" s="752">
        <v>28</v>
      </c>
      <c r="D573" s="750">
        <v>43790</v>
      </c>
      <c r="E573" s="753">
        <v>100</v>
      </c>
      <c r="F573" s="753">
        <v>470.81040000000002</v>
      </c>
      <c r="G573" s="753">
        <v>100</v>
      </c>
      <c r="H573" s="753">
        <v>0</v>
      </c>
      <c r="I573" s="754">
        <v>6.2600000000000003E-2</v>
      </c>
      <c r="J573" s="754">
        <v>6.2600000000000003E-2</v>
      </c>
      <c r="K573" s="754">
        <v>6.2600000000000003E-2</v>
      </c>
      <c r="L573" s="752">
        <v>13</v>
      </c>
    </row>
    <row r="574" spans="1:12">
      <c r="A574" s="750">
        <v>43768</v>
      </c>
      <c r="B574" s="751" t="s">
        <v>2225</v>
      </c>
      <c r="C574" s="752">
        <v>28</v>
      </c>
      <c r="D574" s="750">
        <v>43797</v>
      </c>
      <c r="E574" s="753">
        <v>170</v>
      </c>
      <c r="F574" s="753">
        <v>665.99120000000005</v>
      </c>
      <c r="G574" s="753">
        <v>170</v>
      </c>
      <c r="H574" s="753">
        <v>0</v>
      </c>
      <c r="I574" s="754">
        <v>6.0100000000000001E-2</v>
      </c>
      <c r="J574" s="754">
        <v>6.0100000000000001E-2</v>
      </c>
      <c r="K574" s="754">
        <v>6.0100000000000001E-2</v>
      </c>
      <c r="L574" s="752">
        <v>14</v>
      </c>
    </row>
    <row r="575" spans="1:12">
      <c r="A575" s="750">
        <v>43775</v>
      </c>
      <c r="B575" s="751" t="s">
        <v>2227</v>
      </c>
      <c r="C575" s="752">
        <v>28</v>
      </c>
      <c r="D575" s="750">
        <v>43804</v>
      </c>
      <c r="E575" s="753">
        <v>170</v>
      </c>
      <c r="F575" s="753">
        <v>664.08630000000005</v>
      </c>
      <c r="G575" s="753">
        <v>170</v>
      </c>
      <c r="H575" s="753">
        <v>0</v>
      </c>
      <c r="I575" s="754">
        <v>6.0100000000000001E-2</v>
      </c>
      <c r="J575" s="754">
        <v>6.0100000000000001E-2</v>
      </c>
      <c r="K575" s="754">
        <v>6.0100000000000001E-2</v>
      </c>
      <c r="L575" s="752">
        <v>14</v>
      </c>
    </row>
    <row r="576" spans="1:12">
      <c r="A576" s="750">
        <v>43782</v>
      </c>
      <c r="B576" s="751" t="s">
        <v>2228</v>
      </c>
      <c r="C576" s="752">
        <v>28</v>
      </c>
      <c r="D576" s="750">
        <v>43811</v>
      </c>
      <c r="E576" s="753">
        <v>170</v>
      </c>
      <c r="F576" s="753">
        <v>773.34690000000001</v>
      </c>
      <c r="G576" s="753">
        <v>170</v>
      </c>
      <c r="H576" s="753">
        <v>0</v>
      </c>
      <c r="I576" s="754">
        <v>6.0100000000000001E-2</v>
      </c>
      <c r="J576" s="754">
        <v>6.0100000000000001E-2</v>
      </c>
      <c r="K576" s="754">
        <v>6.0100000000000001E-2</v>
      </c>
      <c r="L576" s="752">
        <v>14</v>
      </c>
    </row>
    <row r="577" spans="1:12">
      <c r="A577" s="750">
        <v>43789</v>
      </c>
      <c r="B577" s="751" t="s">
        <v>2229</v>
      </c>
      <c r="C577" s="752">
        <v>28</v>
      </c>
      <c r="D577" s="750">
        <v>43818</v>
      </c>
      <c r="E577" s="753">
        <v>100</v>
      </c>
      <c r="F577" s="753">
        <v>661.61</v>
      </c>
      <c r="G577" s="753">
        <v>100</v>
      </c>
      <c r="H577" s="753">
        <v>0</v>
      </c>
      <c r="I577" s="754">
        <v>6.0100000000000001E-2</v>
      </c>
      <c r="J577" s="754">
        <v>6.0100000000000001E-2</v>
      </c>
      <c r="K577" s="754">
        <v>6.0100000000000001E-2</v>
      </c>
      <c r="L577" s="752">
        <v>15</v>
      </c>
    </row>
    <row r="578" spans="1:12">
      <c r="A578" s="750">
        <v>43796</v>
      </c>
      <c r="B578" s="751" t="s">
        <v>2230</v>
      </c>
      <c r="C578" s="752">
        <v>28</v>
      </c>
      <c r="D578" s="750">
        <v>43825</v>
      </c>
      <c r="E578" s="753">
        <v>170</v>
      </c>
      <c r="F578" s="753">
        <v>858.91160000000002</v>
      </c>
      <c r="G578" s="753">
        <v>170</v>
      </c>
      <c r="H578" s="753">
        <v>0</v>
      </c>
      <c r="I578" s="754">
        <v>6.0100000000000001E-2</v>
      </c>
      <c r="J578" s="754">
        <v>6.0100000000000001E-2</v>
      </c>
      <c r="K578" s="754">
        <v>6.0100000000000001E-2</v>
      </c>
      <c r="L578" s="752">
        <v>15</v>
      </c>
    </row>
    <row r="579" spans="1:12" s="482" customFormat="1">
      <c r="A579" s="750">
        <v>43803</v>
      </c>
      <c r="B579" s="751" t="s">
        <v>2359</v>
      </c>
      <c r="C579" s="752">
        <v>29</v>
      </c>
      <c r="D579" s="750">
        <v>43833</v>
      </c>
      <c r="E579" s="753">
        <v>170</v>
      </c>
      <c r="F579" s="753">
        <v>879.09469999999999</v>
      </c>
      <c r="G579" s="753">
        <v>170</v>
      </c>
      <c r="H579" s="753">
        <v>0</v>
      </c>
      <c r="I579" s="754">
        <v>6.0100000000000001E-2</v>
      </c>
      <c r="J579" s="754">
        <v>6.0100000000000001E-2</v>
      </c>
      <c r="K579" s="754">
        <v>6.0100000000000001E-2</v>
      </c>
      <c r="L579" s="752">
        <v>16</v>
      </c>
    </row>
    <row r="580" spans="1:12">
      <c r="A580" s="750">
        <v>43810</v>
      </c>
      <c r="B580" s="751" t="s">
        <v>2360</v>
      </c>
      <c r="C580" s="752">
        <v>28</v>
      </c>
      <c r="D580" s="750">
        <v>43839</v>
      </c>
      <c r="E580" s="753">
        <v>170</v>
      </c>
      <c r="F580" s="753">
        <v>991.84730000000002</v>
      </c>
      <c r="G580" s="753">
        <v>170</v>
      </c>
      <c r="H580" s="753">
        <v>0</v>
      </c>
      <c r="I580" s="754">
        <v>6.0100000000000001E-2</v>
      </c>
      <c r="J580" s="754">
        <v>6.0100000000000001E-2</v>
      </c>
      <c r="K580" s="754">
        <v>6.0100000000000001E-2</v>
      </c>
      <c r="L580" s="752">
        <v>17</v>
      </c>
    </row>
    <row r="581" spans="1:12" s="482" customFormat="1">
      <c r="A581" s="750">
        <v>43812</v>
      </c>
      <c r="B581" s="751" t="s">
        <v>2361</v>
      </c>
      <c r="C581" s="752">
        <v>84</v>
      </c>
      <c r="D581" s="750">
        <v>43899</v>
      </c>
      <c r="E581" s="753">
        <v>50</v>
      </c>
      <c r="F581" s="753">
        <v>162.3313</v>
      </c>
      <c r="G581" s="753">
        <v>30</v>
      </c>
      <c r="H581" s="753">
        <v>0</v>
      </c>
      <c r="I581" s="754">
        <v>5.5E-2</v>
      </c>
      <c r="J581" s="754">
        <v>5.5E-2</v>
      </c>
      <c r="K581" s="754">
        <v>5.5E-2</v>
      </c>
      <c r="L581" s="752">
        <v>12</v>
      </c>
    </row>
    <row r="582" spans="1:12">
      <c r="A582" s="750">
        <v>43817</v>
      </c>
      <c r="B582" s="751" t="s">
        <v>2362</v>
      </c>
      <c r="C582" s="752">
        <v>28</v>
      </c>
      <c r="D582" s="750">
        <v>43846</v>
      </c>
      <c r="E582" s="753">
        <v>100</v>
      </c>
      <c r="F582" s="753">
        <v>779.08900000000006</v>
      </c>
      <c r="G582" s="753">
        <v>100</v>
      </c>
      <c r="H582" s="753">
        <v>0</v>
      </c>
      <c r="I582" s="754">
        <v>5.7599999999999998E-2</v>
      </c>
      <c r="J582" s="754">
        <v>5.7599999999999998E-2</v>
      </c>
      <c r="K582" s="754">
        <v>5.7599999999999998E-2</v>
      </c>
      <c r="L582" s="752">
        <v>15</v>
      </c>
    </row>
    <row r="583" spans="1:12" s="481" customFormat="1">
      <c r="A583" s="750">
        <v>43824</v>
      </c>
      <c r="B583" s="751" t="s">
        <v>2363</v>
      </c>
      <c r="C583" s="752">
        <v>28</v>
      </c>
      <c r="D583" s="750">
        <v>43853</v>
      </c>
      <c r="E583" s="753">
        <v>170</v>
      </c>
      <c r="F583" s="753">
        <v>940.89739999999995</v>
      </c>
      <c r="G583" s="753">
        <v>170</v>
      </c>
      <c r="H583" s="753">
        <v>0</v>
      </c>
      <c r="I583" s="754">
        <v>5.7599999999999998E-2</v>
      </c>
      <c r="J583" s="754">
        <v>5.7599999999999998E-2</v>
      </c>
      <c r="K583" s="754">
        <v>5.7599999999999998E-2</v>
      </c>
      <c r="L583" s="752">
        <v>13</v>
      </c>
    </row>
    <row r="584" spans="1:12" s="481" customFormat="1">
      <c r="A584" s="963">
        <v>2020</v>
      </c>
      <c r="B584" s="751"/>
      <c r="C584" s="752"/>
      <c r="D584" s="750"/>
      <c r="E584" s="753"/>
      <c r="F584" s="753"/>
      <c r="G584" s="753"/>
      <c r="H584" s="753"/>
      <c r="I584" s="754"/>
      <c r="J584" s="754"/>
      <c r="K584" s="754"/>
      <c r="L584" s="752"/>
    </row>
    <row r="585" spans="1:12" s="482" customFormat="1">
      <c r="A585" s="750">
        <v>43840</v>
      </c>
      <c r="B585" s="751" t="s">
        <v>2376</v>
      </c>
      <c r="C585" s="752">
        <v>84</v>
      </c>
      <c r="D585" s="750">
        <v>43927</v>
      </c>
      <c r="E585" s="753">
        <v>50</v>
      </c>
      <c r="F585" s="753">
        <v>371.39929999999998</v>
      </c>
      <c r="G585" s="753">
        <v>50</v>
      </c>
      <c r="H585" s="753">
        <v>0</v>
      </c>
      <c r="I585" s="754">
        <v>4.7500000000000001E-2</v>
      </c>
      <c r="J585" s="754">
        <v>0.05</v>
      </c>
      <c r="K585" s="754">
        <v>4.9299999999999997E-2</v>
      </c>
      <c r="L585" s="752">
        <v>16</v>
      </c>
    </row>
    <row r="586" spans="1:12" s="481" customFormat="1">
      <c r="A586" s="750">
        <v>43847</v>
      </c>
      <c r="B586" s="751" t="s">
        <v>2377</v>
      </c>
      <c r="C586" s="752">
        <v>168</v>
      </c>
      <c r="D586" s="750">
        <v>44018</v>
      </c>
      <c r="E586" s="753">
        <v>50</v>
      </c>
      <c r="F586" s="753">
        <v>269.2527</v>
      </c>
      <c r="G586" s="753">
        <v>50</v>
      </c>
      <c r="H586" s="753">
        <v>0</v>
      </c>
      <c r="I586" s="754">
        <v>4.48E-2</v>
      </c>
      <c r="J586" s="754">
        <v>4.4999999999999998E-2</v>
      </c>
      <c r="K586" s="754">
        <v>4.48E-2</v>
      </c>
      <c r="L586" s="752">
        <v>15</v>
      </c>
    </row>
    <row r="587" spans="1:12">
      <c r="A587" s="750">
        <v>43854</v>
      </c>
      <c r="B587" s="751" t="s">
        <v>2378</v>
      </c>
      <c r="C587" s="752">
        <v>252</v>
      </c>
      <c r="D587" s="750">
        <v>44109</v>
      </c>
      <c r="E587" s="753">
        <v>30</v>
      </c>
      <c r="F587" s="753">
        <v>151.86660000000001</v>
      </c>
      <c r="G587" s="753">
        <v>30</v>
      </c>
      <c r="H587" s="753">
        <v>0</v>
      </c>
      <c r="I587" s="754">
        <v>4.1000000000000002E-2</v>
      </c>
      <c r="J587" s="754">
        <v>4.1000000000000002E-2</v>
      </c>
      <c r="K587" s="754">
        <v>4.1000000000000002E-2</v>
      </c>
      <c r="L587" s="752">
        <v>15</v>
      </c>
    </row>
    <row r="588" spans="1:12" s="481" customFormat="1">
      <c r="A588" s="750">
        <v>43868</v>
      </c>
      <c r="B588" s="751" t="s">
        <v>2637</v>
      </c>
      <c r="C588" s="752">
        <v>84</v>
      </c>
      <c r="D588" s="750">
        <v>43955</v>
      </c>
      <c r="E588" s="753">
        <v>50</v>
      </c>
      <c r="F588" s="753">
        <v>265.37180000000001</v>
      </c>
      <c r="G588" s="753">
        <v>50</v>
      </c>
      <c r="H588" s="753">
        <v>-6.6306000000000003</v>
      </c>
      <c r="I588" s="754">
        <v>3.6900000000000002E-2</v>
      </c>
      <c r="J588" s="754">
        <v>3.6999999999999998E-2</v>
      </c>
      <c r="K588" s="754">
        <v>3.6900000000000002E-2</v>
      </c>
      <c r="L588" s="752">
        <v>15</v>
      </c>
    </row>
    <row r="589" spans="1:12">
      <c r="A589" s="750">
        <v>43875</v>
      </c>
      <c r="B589" s="751" t="s">
        <v>2636</v>
      </c>
      <c r="C589" s="752">
        <v>168</v>
      </c>
      <c r="D589" s="750">
        <v>44046</v>
      </c>
      <c r="E589" s="753">
        <v>50</v>
      </c>
      <c r="F589" s="753">
        <v>193.89320000000001</v>
      </c>
      <c r="G589" s="753">
        <v>50</v>
      </c>
      <c r="H589" s="753">
        <v>-1.0177</v>
      </c>
      <c r="I589" s="754">
        <v>3.5000000000000003E-2</v>
      </c>
      <c r="J589" s="754">
        <v>3.7999999999999999E-2</v>
      </c>
      <c r="K589" s="754">
        <v>3.7900000000000003E-2</v>
      </c>
      <c r="L589" s="752">
        <v>12</v>
      </c>
    </row>
    <row r="590" spans="1:12" s="481" customFormat="1">
      <c r="A590" s="750">
        <v>43882</v>
      </c>
      <c r="B590" s="751" t="s">
        <v>2635</v>
      </c>
      <c r="C590" s="752">
        <v>252</v>
      </c>
      <c r="D590" s="750">
        <v>44137</v>
      </c>
      <c r="E590" s="753">
        <v>30</v>
      </c>
      <c r="F590" s="753">
        <v>101.6311</v>
      </c>
      <c r="G590" s="753">
        <v>30</v>
      </c>
      <c r="H590" s="753">
        <v>-1.0270999999999999</v>
      </c>
      <c r="I590" s="754">
        <v>3.6999999999999998E-2</v>
      </c>
      <c r="J590" s="754">
        <v>3.8899999999999997E-2</v>
      </c>
      <c r="K590" s="754">
        <v>3.85E-2</v>
      </c>
      <c r="L590" s="752">
        <v>8</v>
      </c>
    </row>
    <row r="591" spans="1:12">
      <c r="A591" s="750">
        <v>43896</v>
      </c>
      <c r="B591" s="751" t="s">
        <v>2405</v>
      </c>
      <c r="C591" s="752">
        <v>84</v>
      </c>
      <c r="D591" s="750">
        <v>43983</v>
      </c>
      <c r="E591" s="753">
        <v>50</v>
      </c>
      <c r="F591" s="753">
        <v>217.51920000000001</v>
      </c>
      <c r="G591" s="753">
        <v>50</v>
      </c>
      <c r="H591" s="753">
        <v>-9.0625</v>
      </c>
      <c r="I591" s="754">
        <v>2.9100000000000001E-2</v>
      </c>
      <c r="J591" s="754">
        <v>3.5400000000000001E-2</v>
      </c>
      <c r="K591" s="754">
        <v>3.4299999999999997E-2</v>
      </c>
      <c r="L591" s="752">
        <v>11</v>
      </c>
    </row>
    <row r="592" spans="1:12">
      <c r="A592" s="750">
        <v>43922</v>
      </c>
      <c r="B592" s="751" t="s">
        <v>2413</v>
      </c>
      <c r="C592" s="752">
        <v>28</v>
      </c>
      <c r="D592" s="750">
        <v>43950</v>
      </c>
      <c r="E592" s="753">
        <v>200</v>
      </c>
      <c r="F592" s="753">
        <v>37.701500000000003</v>
      </c>
      <c r="G592" s="753">
        <v>37.701500000000003</v>
      </c>
      <c r="H592" s="753">
        <v>0</v>
      </c>
      <c r="I592" s="754">
        <v>6.7599999999999993E-2</v>
      </c>
      <c r="J592" s="754">
        <v>7.22E-2</v>
      </c>
      <c r="K592" s="754">
        <v>6.9099999999999995E-2</v>
      </c>
      <c r="L592" s="752">
        <v>3</v>
      </c>
    </row>
    <row r="593" spans="1:12">
      <c r="A593" s="750">
        <v>43929</v>
      </c>
      <c r="B593" s="751" t="s">
        <v>2414</v>
      </c>
      <c r="C593" s="752">
        <v>28</v>
      </c>
      <c r="D593" s="750">
        <v>43957</v>
      </c>
      <c r="E593" s="753">
        <v>100</v>
      </c>
      <c r="F593" s="753">
        <v>104.5647</v>
      </c>
      <c r="G593" s="753">
        <v>100</v>
      </c>
      <c r="H593" s="753">
        <v>0</v>
      </c>
      <c r="I593" s="754">
        <v>6.7599999999999993E-2</v>
      </c>
      <c r="J593" s="754">
        <v>7.2400000000000006E-2</v>
      </c>
      <c r="K593" s="754">
        <v>6.9699999999999998E-2</v>
      </c>
      <c r="L593" s="752">
        <v>5</v>
      </c>
    </row>
    <row r="594" spans="1:12">
      <c r="A594" s="750">
        <v>43936</v>
      </c>
      <c r="B594" s="751" t="s">
        <v>2415</v>
      </c>
      <c r="C594" s="752">
        <v>28</v>
      </c>
      <c r="D594" s="750">
        <v>43964</v>
      </c>
      <c r="E594" s="753">
        <v>200</v>
      </c>
      <c r="F594" s="753">
        <v>253.87129999999999</v>
      </c>
      <c r="G594" s="753">
        <v>200</v>
      </c>
      <c r="H594" s="753">
        <v>0</v>
      </c>
      <c r="I594" s="754">
        <v>6.7599999999999993E-2</v>
      </c>
      <c r="J594" s="754">
        <v>6.9800000000000001E-2</v>
      </c>
      <c r="K594" s="754">
        <v>6.9500000000000006E-2</v>
      </c>
      <c r="L594" s="752">
        <v>8</v>
      </c>
    </row>
    <row r="595" spans="1:12">
      <c r="A595" s="750">
        <v>43943</v>
      </c>
      <c r="B595" s="751" t="s">
        <v>2416</v>
      </c>
      <c r="C595" s="752">
        <v>28</v>
      </c>
      <c r="D595" s="750">
        <v>43971</v>
      </c>
      <c r="E595" s="753">
        <v>200</v>
      </c>
      <c r="F595" s="753">
        <v>308.02629999999999</v>
      </c>
      <c r="G595" s="753">
        <v>200</v>
      </c>
      <c r="H595" s="753">
        <v>0</v>
      </c>
      <c r="I595" s="754">
        <v>6.7599999999999993E-2</v>
      </c>
      <c r="J595" s="754">
        <v>6.7599999999999993E-2</v>
      </c>
      <c r="K595" s="754">
        <v>6.7599999999999993E-2</v>
      </c>
      <c r="L595" s="752">
        <v>10</v>
      </c>
    </row>
    <row r="596" spans="1:12">
      <c r="A596" s="750">
        <v>43950</v>
      </c>
      <c r="B596" s="751" t="s">
        <v>2417</v>
      </c>
      <c r="C596" s="752">
        <v>28</v>
      </c>
      <c r="D596" s="750">
        <v>43978</v>
      </c>
      <c r="E596" s="753">
        <v>200</v>
      </c>
      <c r="F596" s="753">
        <v>333.09539999999998</v>
      </c>
      <c r="G596" s="753">
        <v>100</v>
      </c>
      <c r="H596" s="753">
        <v>0</v>
      </c>
      <c r="I596" s="754">
        <v>6.7599999999999993E-2</v>
      </c>
      <c r="J596" s="754">
        <v>6.7599999999999993E-2</v>
      </c>
      <c r="K596" s="754">
        <v>6.7599999999999993E-2</v>
      </c>
      <c r="L596" s="752">
        <v>11</v>
      </c>
    </row>
    <row r="597" spans="1:12">
      <c r="A597" s="750">
        <v>43957</v>
      </c>
      <c r="B597" s="751" t="s">
        <v>2423</v>
      </c>
      <c r="C597" s="752">
        <v>28</v>
      </c>
      <c r="D597" s="750">
        <v>43985</v>
      </c>
      <c r="E597" s="753">
        <v>150</v>
      </c>
      <c r="F597" s="753">
        <v>224.55719999999999</v>
      </c>
      <c r="G597" s="753">
        <v>150</v>
      </c>
      <c r="H597" s="753">
        <v>0</v>
      </c>
      <c r="I597" s="754">
        <v>6.7599999999999993E-2</v>
      </c>
      <c r="J597" s="754">
        <v>6.7599999999999993E-2</v>
      </c>
      <c r="K597" s="754">
        <v>6.7599999999999993E-2</v>
      </c>
      <c r="L597" s="752">
        <v>7</v>
      </c>
    </row>
    <row r="598" spans="1:12">
      <c r="A598" s="750">
        <v>43964</v>
      </c>
      <c r="B598" s="751" t="s">
        <v>2424</v>
      </c>
      <c r="C598" s="752">
        <v>28</v>
      </c>
      <c r="D598" s="750">
        <v>43992</v>
      </c>
      <c r="E598" s="753">
        <v>200</v>
      </c>
      <c r="F598" s="753">
        <v>136.53059999999999</v>
      </c>
      <c r="G598" s="753">
        <v>136.53059999999999</v>
      </c>
      <c r="H598" s="753">
        <v>0</v>
      </c>
      <c r="I598" s="754">
        <v>6.7599999999999993E-2</v>
      </c>
      <c r="J598" s="754">
        <v>7.0000000000000007E-2</v>
      </c>
      <c r="K598" s="754">
        <v>6.9199999999999998E-2</v>
      </c>
      <c r="L598" s="752">
        <v>4</v>
      </c>
    </row>
    <row r="599" spans="1:12">
      <c r="A599" s="750">
        <v>43971</v>
      </c>
      <c r="B599" s="751" t="s">
        <v>2425</v>
      </c>
      <c r="C599" s="752">
        <v>28</v>
      </c>
      <c r="D599" s="750">
        <v>43999</v>
      </c>
      <c r="E599" s="753">
        <v>200</v>
      </c>
      <c r="F599" s="753">
        <v>337.66469999999998</v>
      </c>
      <c r="G599" s="753">
        <v>200</v>
      </c>
      <c r="H599" s="753">
        <v>0</v>
      </c>
      <c r="I599" s="754">
        <v>6.7599999999999993E-2</v>
      </c>
      <c r="J599" s="754">
        <v>6.7599999999999993E-2</v>
      </c>
      <c r="K599" s="754">
        <v>6.7599999999999993E-2</v>
      </c>
      <c r="L599" s="752">
        <v>10</v>
      </c>
    </row>
    <row r="600" spans="1:12">
      <c r="A600" s="750">
        <v>43985</v>
      </c>
      <c r="B600" s="751" t="s">
        <v>2428</v>
      </c>
      <c r="C600" s="752">
        <v>28</v>
      </c>
      <c r="D600" s="750">
        <v>44013</v>
      </c>
      <c r="E600" s="753">
        <v>250</v>
      </c>
      <c r="F600" s="753">
        <v>539.31880000000001</v>
      </c>
      <c r="G600" s="753">
        <v>250</v>
      </c>
      <c r="H600" s="753">
        <v>0</v>
      </c>
      <c r="I600" s="754">
        <v>6.7599999999999993E-2</v>
      </c>
      <c r="J600" s="754">
        <v>6.7599999999999993E-2</v>
      </c>
      <c r="K600" s="754">
        <v>6.7599999999999993E-2</v>
      </c>
      <c r="L600" s="752">
        <v>12</v>
      </c>
    </row>
    <row r="601" spans="1:12">
      <c r="A601" s="750">
        <v>43992</v>
      </c>
      <c r="B601" s="751" t="s">
        <v>2429</v>
      </c>
      <c r="C601" s="752">
        <v>28</v>
      </c>
      <c r="D601" s="750">
        <v>44020</v>
      </c>
      <c r="E601" s="753">
        <v>100</v>
      </c>
      <c r="F601" s="753">
        <v>98.266199999999998</v>
      </c>
      <c r="G601" s="753">
        <v>98.266199999999998</v>
      </c>
      <c r="H601" s="753">
        <v>0</v>
      </c>
      <c r="I601" s="754">
        <v>6.7599999999999993E-2</v>
      </c>
      <c r="J601" s="754">
        <v>6.7599999999999993E-2</v>
      </c>
      <c r="K601" s="754">
        <v>6.7599999999999993E-2</v>
      </c>
      <c r="L601" s="752">
        <v>8</v>
      </c>
    </row>
    <row r="602" spans="1:12">
      <c r="A602" s="750">
        <v>43999</v>
      </c>
      <c r="B602" s="751" t="s">
        <v>2430</v>
      </c>
      <c r="C602" s="752">
        <v>28</v>
      </c>
      <c r="D602" s="750">
        <v>44027</v>
      </c>
      <c r="E602" s="753">
        <v>200</v>
      </c>
      <c r="F602" s="753">
        <v>408.54129999999998</v>
      </c>
      <c r="G602" s="753">
        <v>200</v>
      </c>
      <c r="H602" s="753">
        <v>0</v>
      </c>
      <c r="I602" s="754">
        <v>6.7599999999999993E-2</v>
      </c>
      <c r="J602" s="754">
        <v>6.7599999999999993E-2</v>
      </c>
      <c r="K602" s="754">
        <v>6.7599999999999993E-2</v>
      </c>
      <c r="L602" s="752">
        <v>12</v>
      </c>
    </row>
    <row r="603" spans="1:12">
      <c r="A603" s="750">
        <v>44006</v>
      </c>
      <c r="B603" s="751" t="s">
        <v>2431</v>
      </c>
      <c r="C603" s="752">
        <v>28</v>
      </c>
      <c r="D603" s="750">
        <v>44034</v>
      </c>
      <c r="E603" s="753">
        <v>100</v>
      </c>
      <c r="F603" s="753">
        <v>314.21390000000002</v>
      </c>
      <c r="G603" s="753">
        <v>100</v>
      </c>
      <c r="H603" s="753">
        <v>0</v>
      </c>
      <c r="I603" s="754">
        <v>6.5100000000000005E-2</v>
      </c>
      <c r="J603" s="754">
        <v>6.5100000000000005E-2</v>
      </c>
      <c r="K603" s="754">
        <v>6.5100000000000005E-2</v>
      </c>
      <c r="L603" s="752">
        <v>12</v>
      </c>
    </row>
    <row r="604" spans="1:12">
      <c r="A604" s="750">
        <v>44013</v>
      </c>
      <c r="B604" s="751" t="s">
        <v>2433</v>
      </c>
      <c r="C604" s="752">
        <v>28</v>
      </c>
      <c r="D604" s="750">
        <v>44041</v>
      </c>
      <c r="E604" s="753">
        <v>200</v>
      </c>
      <c r="F604" s="753">
        <v>525.94150000000002</v>
      </c>
      <c r="G604" s="753">
        <v>200</v>
      </c>
      <c r="H604" s="753">
        <v>0</v>
      </c>
      <c r="I604" s="754">
        <v>6.5100000000000005E-2</v>
      </c>
      <c r="J604" s="754">
        <v>6.5100000000000005E-2</v>
      </c>
      <c r="K604" s="754">
        <v>6.5100000000000005E-2</v>
      </c>
      <c r="L604" s="752">
        <v>11</v>
      </c>
    </row>
    <row r="605" spans="1:12">
      <c r="A605" s="750">
        <v>44020</v>
      </c>
      <c r="B605" s="751" t="s">
        <v>2434</v>
      </c>
      <c r="C605" s="752">
        <v>28</v>
      </c>
      <c r="D605" s="750">
        <v>44048</v>
      </c>
      <c r="E605" s="753">
        <v>100</v>
      </c>
      <c r="F605" s="753">
        <v>435.98399999999998</v>
      </c>
      <c r="G605" s="753">
        <v>100</v>
      </c>
      <c r="H605" s="753">
        <v>0</v>
      </c>
      <c r="I605" s="754">
        <v>6.5100000000000005E-2</v>
      </c>
      <c r="J605" s="754">
        <v>6.5100000000000005E-2</v>
      </c>
      <c r="K605" s="754">
        <v>6.5100000000000005E-2</v>
      </c>
      <c r="L605" s="752">
        <v>15</v>
      </c>
    </row>
    <row r="606" spans="1:12">
      <c r="A606" s="750">
        <v>44027</v>
      </c>
      <c r="B606" s="751" t="s">
        <v>2435</v>
      </c>
      <c r="C606" s="752">
        <v>28</v>
      </c>
      <c r="D606" s="750">
        <v>44055</v>
      </c>
      <c r="E606" s="753">
        <v>200</v>
      </c>
      <c r="F606" s="753">
        <v>554.49069999999995</v>
      </c>
      <c r="G606" s="753">
        <v>200</v>
      </c>
      <c r="H606" s="753">
        <v>0</v>
      </c>
      <c r="I606" s="754">
        <v>6.5100000000000005E-2</v>
      </c>
      <c r="J606" s="754">
        <v>6.5100000000000005E-2</v>
      </c>
      <c r="K606" s="754">
        <v>6.5100000000000005E-2</v>
      </c>
      <c r="L606" s="752">
        <v>11</v>
      </c>
    </row>
    <row r="607" spans="1:12">
      <c r="A607" s="750">
        <v>44034</v>
      </c>
      <c r="B607" s="751" t="s">
        <v>2436</v>
      </c>
      <c r="C607" s="752">
        <v>28</v>
      </c>
      <c r="D607" s="750">
        <v>44062</v>
      </c>
      <c r="E607" s="753">
        <v>100</v>
      </c>
      <c r="F607" s="753">
        <v>407.75229999999999</v>
      </c>
      <c r="G607" s="753">
        <v>100</v>
      </c>
      <c r="H607" s="753">
        <v>0</v>
      </c>
      <c r="I607" s="754">
        <v>6.5100000000000005E-2</v>
      </c>
      <c r="J607" s="754">
        <v>6.5100000000000005E-2</v>
      </c>
      <c r="K607" s="754">
        <v>6.5100000000000005E-2</v>
      </c>
      <c r="L607" s="752">
        <v>15</v>
      </c>
    </row>
    <row r="608" spans="1:12">
      <c r="A608" s="750">
        <v>44041</v>
      </c>
      <c r="B608" s="751" t="s">
        <v>2437</v>
      </c>
      <c r="C608" s="752">
        <v>28</v>
      </c>
      <c r="D608" s="750">
        <v>44069</v>
      </c>
      <c r="E608" s="753">
        <v>200</v>
      </c>
      <c r="F608" s="753">
        <v>623.6454</v>
      </c>
      <c r="G608" s="753">
        <v>200</v>
      </c>
      <c r="H608" s="753">
        <v>0</v>
      </c>
      <c r="I608" s="754">
        <v>6.5100000000000005E-2</v>
      </c>
      <c r="J608" s="754">
        <v>6.5100000000000005E-2</v>
      </c>
      <c r="K608" s="754">
        <v>6.5100000000000005E-2</v>
      </c>
      <c r="L608" s="752">
        <v>14</v>
      </c>
    </row>
    <row r="609" spans="1:12">
      <c r="A609" s="750">
        <v>44048</v>
      </c>
      <c r="B609" s="751" t="s">
        <v>2446</v>
      </c>
      <c r="C609" s="752">
        <v>28</v>
      </c>
      <c r="D609" s="750">
        <v>44076</v>
      </c>
      <c r="E609" s="753">
        <v>150</v>
      </c>
      <c r="F609" s="753">
        <v>556.17259999999999</v>
      </c>
      <c r="G609" s="753">
        <v>150</v>
      </c>
      <c r="H609" s="753">
        <v>0</v>
      </c>
      <c r="I609" s="754">
        <v>6.2600000000000003E-2</v>
      </c>
      <c r="J609" s="754">
        <v>6.2600000000000003E-2</v>
      </c>
      <c r="K609" s="754">
        <v>6.2600000000000003E-2</v>
      </c>
      <c r="L609" s="752">
        <v>15</v>
      </c>
    </row>
    <row r="610" spans="1:12">
      <c r="A610" s="750">
        <v>44055</v>
      </c>
      <c r="B610" s="751" t="s">
        <v>2447</v>
      </c>
      <c r="C610" s="752">
        <v>28</v>
      </c>
      <c r="D610" s="750">
        <v>44083</v>
      </c>
      <c r="E610" s="753">
        <v>200</v>
      </c>
      <c r="F610" s="753">
        <v>629.35329999999999</v>
      </c>
      <c r="G610" s="753">
        <v>200</v>
      </c>
      <c r="H610" s="753">
        <v>0</v>
      </c>
      <c r="I610" s="754">
        <v>6.2600000000000003E-2</v>
      </c>
      <c r="J610" s="754">
        <v>6.2600000000000003E-2</v>
      </c>
      <c r="K610" s="754">
        <v>6.2600000000000003E-2</v>
      </c>
      <c r="L610" s="752">
        <v>14</v>
      </c>
    </row>
    <row r="611" spans="1:12">
      <c r="A611" s="750">
        <v>44062</v>
      </c>
      <c r="B611" s="751" t="s">
        <v>2448</v>
      </c>
      <c r="C611" s="752">
        <v>28</v>
      </c>
      <c r="D611" s="750">
        <v>44090</v>
      </c>
      <c r="E611" s="753">
        <v>100</v>
      </c>
      <c r="F611" s="753">
        <v>468.09730000000002</v>
      </c>
      <c r="G611" s="753">
        <v>100</v>
      </c>
      <c r="H611" s="753">
        <v>0</v>
      </c>
      <c r="I611" s="754">
        <v>6.2600000000000003E-2</v>
      </c>
      <c r="J611" s="754">
        <v>6.2600000000000003E-2</v>
      </c>
      <c r="K611" s="754">
        <v>6.2600000000000003E-2</v>
      </c>
      <c r="L611" s="752">
        <v>14</v>
      </c>
    </row>
    <row r="612" spans="1:12">
      <c r="A612" s="750">
        <v>44069</v>
      </c>
      <c r="B612" s="751" t="s">
        <v>2449</v>
      </c>
      <c r="C612" s="752">
        <v>28</v>
      </c>
      <c r="D612" s="750">
        <v>44097</v>
      </c>
      <c r="E612" s="753">
        <v>200</v>
      </c>
      <c r="F612" s="753">
        <v>693.35670000000005</v>
      </c>
      <c r="G612" s="753">
        <v>200</v>
      </c>
      <c r="H612" s="753">
        <v>0</v>
      </c>
      <c r="I612" s="754">
        <v>6.2600000000000003E-2</v>
      </c>
      <c r="J612" s="754">
        <v>6.2600000000000003E-2</v>
      </c>
      <c r="K612" s="754">
        <v>6.2600000000000003E-2</v>
      </c>
      <c r="L612" s="752">
        <v>14</v>
      </c>
    </row>
    <row r="613" spans="1:12">
      <c r="A613" s="750">
        <v>44076</v>
      </c>
      <c r="B613" s="751" t="s">
        <v>2496</v>
      </c>
      <c r="C613" s="752">
        <v>28</v>
      </c>
      <c r="D613" s="750">
        <v>44104</v>
      </c>
      <c r="E613" s="753">
        <v>150</v>
      </c>
      <c r="F613" s="753">
        <v>590.35720000000003</v>
      </c>
      <c r="G613" s="753">
        <v>150</v>
      </c>
      <c r="H613" s="753">
        <v>0</v>
      </c>
      <c r="I613" s="754">
        <v>6.2600000000000003E-2</v>
      </c>
      <c r="J613" s="754">
        <v>6.2600000000000003E-2</v>
      </c>
      <c r="K613" s="754">
        <v>6.2600000000000003E-2</v>
      </c>
      <c r="L613" s="752">
        <v>15</v>
      </c>
    </row>
    <row r="614" spans="1:12">
      <c r="A614" s="750">
        <v>44083</v>
      </c>
      <c r="B614" s="751" t="s">
        <v>2497</v>
      </c>
      <c r="C614" s="752">
        <v>28</v>
      </c>
      <c r="D614" s="750">
        <v>44111</v>
      </c>
      <c r="E614" s="753">
        <v>200</v>
      </c>
      <c r="F614" s="753">
        <v>806.90599999999995</v>
      </c>
      <c r="G614" s="753">
        <v>200</v>
      </c>
      <c r="H614" s="753">
        <v>0</v>
      </c>
      <c r="I614" s="754">
        <v>6.2600000000000003E-2</v>
      </c>
      <c r="J614" s="754">
        <v>6.2600000000000003E-2</v>
      </c>
      <c r="K614" s="754">
        <v>6.2600000000000003E-2</v>
      </c>
      <c r="L614" s="752">
        <v>15</v>
      </c>
    </row>
    <row r="615" spans="1:12">
      <c r="A615" s="750">
        <v>44090</v>
      </c>
      <c r="B615" s="751" t="s">
        <v>2498</v>
      </c>
      <c r="C615" s="752">
        <v>28</v>
      </c>
      <c r="D615" s="750">
        <v>44118</v>
      </c>
      <c r="E615" s="753">
        <v>100</v>
      </c>
      <c r="F615" s="753">
        <v>643.61530000000005</v>
      </c>
      <c r="G615" s="753">
        <v>100</v>
      </c>
      <c r="H615" s="753">
        <v>0</v>
      </c>
      <c r="I615" s="754">
        <v>6.2600000000000003E-2</v>
      </c>
      <c r="J615" s="754">
        <v>6.2600000000000003E-2</v>
      </c>
      <c r="K615" s="754">
        <v>6.2600000000000003E-2</v>
      </c>
      <c r="L615" s="752">
        <v>18</v>
      </c>
    </row>
    <row r="616" spans="1:12">
      <c r="A616" s="750">
        <v>44097</v>
      </c>
      <c r="B616" s="751" t="s">
        <v>2499</v>
      </c>
      <c r="C616" s="752">
        <v>28</v>
      </c>
      <c r="D616" s="750">
        <v>44125</v>
      </c>
      <c r="E616" s="753">
        <v>200</v>
      </c>
      <c r="F616" s="753">
        <v>947.58100000000002</v>
      </c>
      <c r="G616" s="753">
        <v>200</v>
      </c>
      <c r="H616" s="753">
        <v>0</v>
      </c>
      <c r="I616" s="754">
        <v>6.0100000000000001E-2</v>
      </c>
      <c r="J616" s="754">
        <v>6.0100000000000001E-2</v>
      </c>
      <c r="K616" s="754">
        <v>6.0100000000000001E-2</v>
      </c>
      <c r="L616" s="752">
        <v>15</v>
      </c>
    </row>
    <row r="617" spans="1:12">
      <c r="A617" s="750">
        <v>44104</v>
      </c>
      <c r="B617" s="751" t="s">
        <v>2500</v>
      </c>
      <c r="C617" s="752">
        <v>28</v>
      </c>
      <c r="D617" s="750">
        <v>44132</v>
      </c>
      <c r="E617" s="753">
        <v>150</v>
      </c>
      <c r="F617" s="753">
        <v>693.92550000000006</v>
      </c>
      <c r="G617" s="753">
        <v>150</v>
      </c>
      <c r="H617" s="753">
        <v>0</v>
      </c>
      <c r="I617" s="754">
        <v>6.0100000000000001E-2</v>
      </c>
      <c r="J617" s="754">
        <v>6.0100000000000001E-2</v>
      </c>
      <c r="K617" s="754">
        <v>6.0100000000000001E-2</v>
      </c>
      <c r="L617" s="752">
        <v>14</v>
      </c>
    </row>
    <row r="618" spans="1:12">
      <c r="A618" s="750">
        <v>44111</v>
      </c>
      <c r="B618" s="751" t="s">
        <v>2505</v>
      </c>
      <c r="C618" s="752">
        <v>28</v>
      </c>
      <c r="D618" s="750">
        <v>44111</v>
      </c>
      <c r="E618" s="753">
        <v>250</v>
      </c>
      <c r="F618" s="753">
        <v>725.88810000000001</v>
      </c>
      <c r="G618" s="753">
        <v>200</v>
      </c>
      <c r="H618" s="753">
        <v>0</v>
      </c>
      <c r="I618" s="754">
        <v>6.0100000000000001E-2</v>
      </c>
      <c r="J618" s="754">
        <v>6.0100000000000001E-2</v>
      </c>
      <c r="K618" s="754">
        <v>6.0100000000000001E-2</v>
      </c>
      <c r="L618" s="752">
        <v>14</v>
      </c>
    </row>
    <row r="619" spans="1:12">
      <c r="A619" s="750">
        <v>44118</v>
      </c>
      <c r="B619" s="751" t="s">
        <v>2506</v>
      </c>
      <c r="C619" s="752">
        <v>28</v>
      </c>
      <c r="D619" s="750">
        <v>44118</v>
      </c>
      <c r="E619" s="753">
        <v>100</v>
      </c>
      <c r="F619" s="753">
        <v>582.49390000000005</v>
      </c>
      <c r="G619" s="753">
        <v>100</v>
      </c>
      <c r="H619" s="753">
        <v>0</v>
      </c>
      <c r="I619" s="754">
        <v>6.0100000000000001E-2</v>
      </c>
      <c r="J619" s="754">
        <v>6.0100000000000001E-2</v>
      </c>
      <c r="K619" s="754">
        <v>6.0100000000000001E-2</v>
      </c>
      <c r="L619" s="752">
        <v>16</v>
      </c>
    </row>
    <row r="620" spans="1:12">
      <c r="A620" s="750">
        <v>44125</v>
      </c>
      <c r="B620" s="751" t="s">
        <v>2507</v>
      </c>
      <c r="C620" s="752">
        <v>28</v>
      </c>
      <c r="D620" s="750">
        <v>44125</v>
      </c>
      <c r="E620" s="753">
        <v>200</v>
      </c>
      <c r="F620" s="753">
        <v>898.54859999999996</v>
      </c>
      <c r="G620" s="753">
        <v>200</v>
      </c>
      <c r="H620" s="753">
        <v>0</v>
      </c>
      <c r="I620" s="754">
        <v>6.0100000000000001E-2</v>
      </c>
      <c r="J620" s="754">
        <v>6.0100000000000001E-2</v>
      </c>
      <c r="K620" s="754">
        <v>6.0100000000000001E-2</v>
      </c>
      <c r="L620" s="752">
        <v>16</v>
      </c>
    </row>
    <row r="621" spans="1:12">
      <c r="A621" s="750">
        <v>44132</v>
      </c>
      <c r="B621" s="751" t="s">
        <v>2508</v>
      </c>
      <c r="C621" s="752">
        <v>28</v>
      </c>
      <c r="D621" s="750">
        <v>44132</v>
      </c>
      <c r="E621" s="753">
        <v>150</v>
      </c>
      <c r="F621" s="753">
        <v>740.21569999999997</v>
      </c>
      <c r="G621" s="753">
        <v>150</v>
      </c>
      <c r="H621" s="753">
        <v>0</v>
      </c>
      <c r="I621" s="754">
        <v>6.0100000000000001E-2</v>
      </c>
      <c r="J621" s="754">
        <v>6.0100000000000001E-2</v>
      </c>
      <c r="K621" s="754">
        <v>6.0100000000000001E-2</v>
      </c>
      <c r="L621" s="752">
        <v>13</v>
      </c>
    </row>
    <row r="622" spans="1:12">
      <c r="A622" s="750">
        <v>44139</v>
      </c>
      <c r="B622" s="751" t="s">
        <v>2510</v>
      </c>
      <c r="C622" s="752">
        <v>28</v>
      </c>
      <c r="D622" s="750">
        <v>44167</v>
      </c>
      <c r="E622" s="753">
        <v>200</v>
      </c>
      <c r="F622" s="753">
        <v>877.27869999999996</v>
      </c>
      <c r="G622" s="753">
        <v>200</v>
      </c>
      <c r="H622" s="753">
        <v>0</v>
      </c>
      <c r="I622" s="754">
        <v>6.0100000000000001E-2</v>
      </c>
      <c r="J622" s="754">
        <v>6.0100000000000001E-2</v>
      </c>
      <c r="K622" s="754">
        <v>6.0100000000000001E-2</v>
      </c>
      <c r="L622" s="752">
        <v>14</v>
      </c>
    </row>
    <row r="623" spans="1:12">
      <c r="A623" s="750">
        <v>44146</v>
      </c>
      <c r="B623" s="751" t="s">
        <v>2511</v>
      </c>
      <c r="C623" s="752">
        <v>28</v>
      </c>
      <c r="D623" s="750">
        <v>44174</v>
      </c>
      <c r="E623" s="753">
        <v>100</v>
      </c>
      <c r="F623" s="753">
        <v>462.07459999999998</v>
      </c>
      <c r="G623" s="753">
        <v>100</v>
      </c>
      <c r="H623" s="753">
        <v>0</v>
      </c>
      <c r="I623" s="754">
        <v>6.0100000000000001E-2</v>
      </c>
      <c r="J623" s="754">
        <v>6.0100000000000001E-2</v>
      </c>
      <c r="K623" s="754">
        <v>6.0100000000000001E-2</v>
      </c>
      <c r="L623" s="752">
        <v>13</v>
      </c>
    </row>
    <row r="624" spans="1:12">
      <c r="A624" s="750">
        <v>44153</v>
      </c>
      <c r="B624" s="751" t="s">
        <v>2512</v>
      </c>
      <c r="C624" s="752">
        <v>28</v>
      </c>
      <c r="D624" s="750">
        <v>44181</v>
      </c>
      <c r="E624" s="753">
        <v>200</v>
      </c>
      <c r="F624" s="753">
        <v>693.95519999999999</v>
      </c>
      <c r="G624" s="753">
        <v>200</v>
      </c>
      <c r="H624" s="753">
        <v>0</v>
      </c>
      <c r="I624" s="754">
        <v>6.0100000000000001E-2</v>
      </c>
      <c r="J624" s="754">
        <v>6.0100000000000001E-2</v>
      </c>
      <c r="K624" s="754">
        <v>6.0100000000000001E-2</v>
      </c>
      <c r="L624" s="752">
        <v>14</v>
      </c>
    </row>
    <row r="625" spans="1:12">
      <c r="A625" s="750">
        <v>44160</v>
      </c>
      <c r="B625" s="751" t="s">
        <v>2513</v>
      </c>
      <c r="C625" s="752">
        <v>28</v>
      </c>
      <c r="D625" s="750">
        <v>44188</v>
      </c>
      <c r="E625" s="753">
        <v>150</v>
      </c>
      <c r="F625" s="753">
        <v>805.29200000000003</v>
      </c>
      <c r="G625" s="753">
        <v>150</v>
      </c>
      <c r="H625" s="753">
        <v>0</v>
      </c>
      <c r="I625" s="754">
        <v>6.0100000000000001E-2</v>
      </c>
      <c r="J625" s="754">
        <v>6.0100000000000001E-2</v>
      </c>
      <c r="K625" s="754">
        <v>6.0100000000000001E-2</v>
      </c>
      <c r="L625" s="752">
        <v>14</v>
      </c>
    </row>
    <row r="626" spans="1:12">
      <c r="A626" s="750">
        <v>44167</v>
      </c>
      <c r="B626" s="751" t="s">
        <v>2532</v>
      </c>
      <c r="C626" s="752">
        <v>28</v>
      </c>
      <c r="D626" s="750">
        <v>44195</v>
      </c>
      <c r="E626" s="753">
        <v>200</v>
      </c>
      <c r="F626" s="753">
        <v>728.73919999999998</v>
      </c>
      <c r="G626" s="753">
        <v>200</v>
      </c>
      <c r="H626" s="753">
        <v>0</v>
      </c>
      <c r="I626" s="754">
        <v>6.0100000000000001E-2</v>
      </c>
      <c r="J626" s="754">
        <v>6.0100000000000001E-2</v>
      </c>
      <c r="K626" s="754">
        <v>6.0100000000000001E-2</v>
      </c>
      <c r="L626" s="752">
        <v>17</v>
      </c>
    </row>
    <row r="627" spans="1:12">
      <c r="A627" s="750">
        <v>44174</v>
      </c>
      <c r="B627" s="751" t="s">
        <v>2533</v>
      </c>
      <c r="C627" s="752">
        <v>28</v>
      </c>
      <c r="D627" s="750">
        <v>44202</v>
      </c>
      <c r="E627" s="753">
        <v>100</v>
      </c>
      <c r="F627" s="753">
        <v>438.7799</v>
      </c>
      <c r="G627" s="753">
        <v>100</v>
      </c>
      <c r="H627" s="753">
        <v>0</v>
      </c>
      <c r="I627" s="754">
        <v>6.0100000000000001E-2</v>
      </c>
      <c r="J627" s="754">
        <v>6.0100000000000001E-2</v>
      </c>
      <c r="K627" s="754">
        <v>6.0100000000000001E-2</v>
      </c>
      <c r="L627" s="752">
        <v>10</v>
      </c>
    </row>
    <row r="628" spans="1:12">
      <c r="A628" s="750">
        <v>44181</v>
      </c>
      <c r="B628" s="751" t="s">
        <v>2534</v>
      </c>
      <c r="C628" s="752">
        <v>28</v>
      </c>
      <c r="D628" s="750">
        <v>44209</v>
      </c>
      <c r="E628" s="753">
        <v>200</v>
      </c>
      <c r="F628" s="753">
        <v>895.50750000000005</v>
      </c>
      <c r="G628" s="753">
        <v>200</v>
      </c>
      <c r="H628" s="753">
        <v>0</v>
      </c>
      <c r="I628" s="754">
        <v>6.0100000000000001E-2</v>
      </c>
      <c r="J628" s="754">
        <v>6.0100000000000001E-2</v>
      </c>
      <c r="K628" s="754">
        <v>6.0100000000000001E-2</v>
      </c>
      <c r="L628" s="752">
        <v>15</v>
      </c>
    </row>
    <row r="629" spans="1:12">
      <c r="A629" s="750">
        <v>44188</v>
      </c>
      <c r="B629" s="751" t="s">
        <v>2535</v>
      </c>
      <c r="C629" s="752">
        <v>28</v>
      </c>
      <c r="D629" s="750">
        <v>44216</v>
      </c>
      <c r="E629" s="753">
        <v>150</v>
      </c>
      <c r="F629" s="753">
        <v>841.46510000000001</v>
      </c>
      <c r="G629" s="753">
        <v>150</v>
      </c>
      <c r="H629" s="753">
        <v>0</v>
      </c>
      <c r="I629" s="754">
        <v>5.7599999999999998E-2</v>
      </c>
      <c r="J629" s="754">
        <v>5.7599999999999998E-2</v>
      </c>
      <c r="K629" s="754">
        <v>5.7599999999999998E-2</v>
      </c>
      <c r="L629" s="752">
        <v>16</v>
      </c>
    </row>
    <row r="630" spans="1:12">
      <c r="A630" s="750">
        <v>44195</v>
      </c>
      <c r="B630" s="751" t="s">
        <v>2536</v>
      </c>
      <c r="C630" s="752">
        <v>28</v>
      </c>
      <c r="D630" s="750">
        <v>44223</v>
      </c>
      <c r="E630" s="753">
        <v>200</v>
      </c>
      <c r="F630" s="753">
        <v>847.33600000000001</v>
      </c>
      <c r="G630" s="753">
        <v>150</v>
      </c>
      <c r="H630" s="753">
        <v>0</v>
      </c>
      <c r="I630" s="754">
        <v>5.7599999999999998E-2</v>
      </c>
      <c r="J630" s="754">
        <v>5.7599999999999998E-2</v>
      </c>
      <c r="K630" s="754">
        <v>5.7599999999999998E-2</v>
      </c>
      <c r="L630" s="752">
        <v>16</v>
      </c>
    </row>
    <row r="631" spans="1:12">
      <c r="A631" s="963">
        <v>2021</v>
      </c>
      <c r="B631" s="751"/>
      <c r="C631" s="752"/>
      <c r="D631" s="750"/>
      <c r="E631" s="753"/>
      <c r="F631" s="753"/>
      <c r="G631" s="753"/>
      <c r="H631" s="753"/>
      <c r="I631" s="754"/>
      <c r="J631" s="754"/>
      <c r="K631" s="754"/>
      <c r="L631" s="752"/>
    </row>
    <row r="632" spans="1:12">
      <c r="A632" s="750">
        <v>44202</v>
      </c>
      <c r="B632" s="751" t="s">
        <v>2538</v>
      </c>
      <c r="C632" s="752">
        <v>28</v>
      </c>
      <c r="D632" s="750">
        <v>44230</v>
      </c>
      <c r="E632" s="753">
        <v>250</v>
      </c>
      <c r="F632" s="753">
        <v>1000.3454</v>
      </c>
      <c r="G632" s="753">
        <v>250</v>
      </c>
      <c r="H632" s="753">
        <v>0</v>
      </c>
      <c r="I632" s="754">
        <v>5.7599999999999998E-2</v>
      </c>
      <c r="J632" s="754">
        <v>5.7599999999999998E-2</v>
      </c>
      <c r="K632" s="754">
        <v>5.7599999999999998E-2</v>
      </c>
      <c r="L632" s="752">
        <v>16</v>
      </c>
    </row>
    <row r="633" spans="1:12">
      <c r="A633" s="750">
        <v>44204</v>
      </c>
      <c r="B633" s="751" t="s">
        <v>2539</v>
      </c>
      <c r="C633" s="752">
        <v>84</v>
      </c>
      <c r="D633" s="750">
        <v>44288</v>
      </c>
      <c r="E633" s="753">
        <v>150</v>
      </c>
      <c r="F633" s="753">
        <v>442.50869999999998</v>
      </c>
      <c r="G633" s="753">
        <v>150</v>
      </c>
      <c r="H633" s="753">
        <v>0</v>
      </c>
      <c r="I633" s="754">
        <v>4.9000000000000002E-2</v>
      </c>
      <c r="J633" s="754">
        <v>0.06</v>
      </c>
      <c r="K633" s="754">
        <v>5.6800000000000003E-2</v>
      </c>
      <c r="L633" s="752">
        <v>13</v>
      </c>
    </row>
    <row r="634" spans="1:12">
      <c r="A634" s="750">
        <v>44211</v>
      </c>
      <c r="B634" s="751" t="s">
        <v>2540</v>
      </c>
      <c r="C634" s="752">
        <v>168</v>
      </c>
      <c r="D634" s="750">
        <v>44379</v>
      </c>
      <c r="E634" s="753">
        <v>120</v>
      </c>
      <c r="F634" s="753">
        <v>293.08080000000001</v>
      </c>
      <c r="G634" s="753">
        <v>120</v>
      </c>
      <c r="H634" s="753">
        <v>0</v>
      </c>
      <c r="I634" s="754">
        <v>5.74E-2</v>
      </c>
      <c r="J634" s="754">
        <v>5.7500000000000002E-2</v>
      </c>
      <c r="K634" s="754">
        <v>5.7500000000000002E-2</v>
      </c>
      <c r="L634" s="752">
        <v>10</v>
      </c>
    </row>
    <row r="635" spans="1:12">
      <c r="A635" s="750">
        <v>44217</v>
      </c>
      <c r="B635" s="751" t="s">
        <v>2541</v>
      </c>
      <c r="C635" s="752">
        <v>28</v>
      </c>
      <c r="D635" s="750">
        <v>44244</v>
      </c>
      <c r="E635" s="753">
        <v>200</v>
      </c>
      <c r="F635" s="753">
        <v>864.18939999999998</v>
      </c>
      <c r="G635" s="753">
        <v>200</v>
      </c>
      <c r="H635" s="753">
        <v>0</v>
      </c>
      <c r="I635" s="754">
        <v>5.7599999999999998E-2</v>
      </c>
      <c r="J635" s="754">
        <v>5.7599999999999998E-2</v>
      </c>
      <c r="K635" s="754">
        <v>5.7599999999999998E-2</v>
      </c>
      <c r="L635" s="752">
        <v>17</v>
      </c>
    </row>
    <row r="636" spans="1:12">
      <c r="A636" s="750">
        <v>44218</v>
      </c>
      <c r="B636" s="751" t="s">
        <v>2542</v>
      </c>
      <c r="C636" s="752">
        <v>252</v>
      </c>
      <c r="D636" s="750">
        <v>44470</v>
      </c>
      <c r="E636" s="753">
        <v>100</v>
      </c>
      <c r="F636" s="753">
        <v>222.11670000000001</v>
      </c>
      <c r="G636" s="753">
        <v>100</v>
      </c>
      <c r="H636" s="753">
        <v>0</v>
      </c>
      <c r="I636" s="754">
        <v>5.7500000000000002E-2</v>
      </c>
      <c r="J636" s="754">
        <v>6.2399999999999997E-2</v>
      </c>
      <c r="K636" s="754">
        <v>6.2100000000000002E-2</v>
      </c>
      <c r="L636" s="752">
        <v>7</v>
      </c>
    </row>
    <row r="637" spans="1:12">
      <c r="A637" s="750">
        <v>44223</v>
      </c>
      <c r="B637" s="751" t="s">
        <v>2543</v>
      </c>
      <c r="C637" s="752">
        <v>28</v>
      </c>
      <c r="D637" s="750">
        <v>44251</v>
      </c>
      <c r="E637" s="753">
        <v>200</v>
      </c>
      <c r="F637" s="753">
        <v>760.46770000000004</v>
      </c>
      <c r="G637" s="753">
        <v>200</v>
      </c>
      <c r="H637" s="753">
        <v>0</v>
      </c>
      <c r="I637" s="754">
        <v>5.7599999999999998E-2</v>
      </c>
      <c r="J637" s="754">
        <v>5.7599999999999998E-2</v>
      </c>
      <c r="K637" s="754">
        <v>5.7599999999999998E-2</v>
      </c>
      <c r="L637" s="752">
        <v>16</v>
      </c>
    </row>
    <row r="638" spans="1:12">
      <c r="A638" s="750">
        <v>44230</v>
      </c>
      <c r="B638" s="751" t="s">
        <v>2552</v>
      </c>
      <c r="C638" s="752">
        <v>28</v>
      </c>
      <c r="D638" s="750">
        <v>44258</v>
      </c>
      <c r="E638" s="753">
        <v>150</v>
      </c>
      <c r="F638" s="753">
        <v>573.31010000000003</v>
      </c>
      <c r="G638" s="753">
        <v>150</v>
      </c>
      <c r="H638" s="753">
        <v>0</v>
      </c>
      <c r="I638" s="754">
        <v>5.7599999999999998E-2</v>
      </c>
      <c r="J638" s="754">
        <v>5.7599999999999998E-2</v>
      </c>
      <c r="K638" s="754">
        <v>5.7599999999999998E-2</v>
      </c>
      <c r="L638" s="752">
        <v>14</v>
      </c>
    </row>
    <row r="639" spans="1:12">
      <c r="A639" s="750">
        <v>44237</v>
      </c>
      <c r="B639" s="751" t="s">
        <v>2553</v>
      </c>
      <c r="C639" s="752">
        <v>28</v>
      </c>
      <c r="D639" s="750">
        <v>44265</v>
      </c>
      <c r="E639" s="753">
        <v>100</v>
      </c>
      <c r="F639" s="753">
        <v>371.10320000000002</v>
      </c>
      <c r="G639" s="753">
        <v>100</v>
      </c>
      <c r="H639" s="753">
        <v>0</v>
      </c>
      <c r="I639" s="754">
        <v>5.7599999999999998E-2</v>
      </c>
      <c r="J639" s="754">
        <v>5.7599999999999998E-2</v>
      </c>
      <c r="K639" s="754">
        <v>5.7599999999999998E-2</v>
      </c>
      <c r="L639" s="752">
        <v>13</v>
      </c>
    </row>
    <row r="640" spans="1:12">
      <c r="A640" s="750">
        <v>44244</v>
      </c>
      <c r="B640" s="751" t="s">
        <v>2554</v>
      </c>
      <c r="C640" s="752">
        <v>28</v>
      </c>
      <c r="D640" s="750">
        <v>44272</v>
      </c>
      <c r="E640" s="753">
        <v>200</v>
      </c>
      <c r="F640" s="753">
        <v>597.19470000000001</v>
      </c>
      <c r="G640" s="753">
        <v>200</v>
      </c>
      <c r="H640" s="753">
        <v>0</v>
      </c>
      <c r="I640" s="754">
        <v>5.7599999999999998E-2</v>
      </c>
      <c r="J640" s="754">
        <v>5.7599999999999998E-2</v>
      </c>
      <c r="K640" s="754">
        <v>5.7599999999999998E-2</v>
      </c>
      <c r="L640" s="752">
        <v>11</v>
      </c>
    </row>
    <row r="641" spans="1:12">
      <c r="A641" s="750">
        <v>44251</v>
      </c>
      <c r="B641" s="751" t="s">
        <v>2555</v>
      </c>
      <c r="C641" s="752">
        <v>28</v>
      </c>
      <c r="D641" s="750">
        <v>44279</v>
      </c>
      <c r="E641" s="753">
        <v>200</v>
      </c>
      <c r="F641" s="753">
        <v>642.31910000000005</v>
      </c>
      <c r="G641" s="753">
        <v>200</v>
      </c>
      <c r="H641" s="753">
        <v>0</v>
      </c>
      <c r="I641" s="754">
        <v>5.7599999999999998E-2</v>
      </c>
      <c r="J641" s="754">
        <v>5.7599999999999998E-2</v>
      </c>
      <c r="K641" s="754">
        <v>5.7599999999999998E-2</v>
      </c>
      <c r="L641" s="752">
        <v>14</v>
      </c>
    </row>
    <row r="642" spans="1:12">
      <c r="A642" s="750">
        <v>44258</v>
      </c>
      <c r="B642" s="751" t="s">
        <v>2561</v>
      </c>
      <c r="C642" s="752">
        <v>28</v>
      </c>
      <c r="D642" s="750">
        <v>44286</v>
      </c>
      <c r="E642" s="753">
        <v>150</v>
      </c>
      <c r="F642" s="753">
        <v>572.28800000000001</v>
      </c>
      <c r="G642" s="753">
        <v>150</v>
      </c>
      <c r="H642" s="753">
        <v>0</v>
      </c>
      <c r="I642" s="754">
        <v>5.7599999999999998E-2</v>
      </c>
      <c r="J642" s="754">
        <v>5.7599999999999998E-2</v>
      </c>
      <c r="K642" s="754">
        <v>5.7599999999999998E-2</v>
      </c>
      <c r="L642" s="752">
        <v>14</v>
      </c>
    </row>
    <row r="643" spans="1:12">
      <c r="A643" s="750">
        <v>44265</v>
      </c>
      <c r="B643" s="751" t="s">
        <v>2562</v>
      </c>
      <c r="C643" s="752">
        <v>28</v>
      </c>
      <c r="D643" s="750">
        <v>44293</v>
      </c>
      <c r="E643" s="753">
        <v>150</v>
      </c>
      <c r="F643" s="753">
        <v>501.697</v>
      </c>
      <c r="G643" s="753">
        <v>100</v>
      </c>
      <c r="H643" s="753">
        <v>0</v>
      </c>
      <c r="I643" s="754">
        <v>5.7599999999999998E-2</v>
      </c>
      <c r="J643" s="754">
        <v>5.7599999999999998E-2</v>
      </c>
      <c r="K643" s="754">
        <v>5.7599999999999998E-2</v>
      </c>
      <c r="L643" s="752">
        <v>13</v>
      </c>
    </row>
    <row r="644" spans="1:12">
      <c r="A644" s="750">
        <v>44272</v>
      </c>
      <c r="B644" s="751" t="s">
        <v>2563</v>
      </c>
      <c r="C644" s="752">
        <v>28</v>
      </c>
      <c r="D644" s="750">
        <v>44300</v>
      </c>
      <c r="E644" s="753">
        <v>200</v>
      </c>
      <c r="F644" s="753">
        <v>801.89469999999994</v>
      </c>
      <c r="G644" s="753">
        <v>200</v>
      </c>
      <c r="H644" s="753">
        <v>0</v>
      </c>
      <c r="I644" s="754">
        <v>5.7599999999999998E-2</v>
      </c>
      <c r="J644" s="754">
        <v>5.7599999999999998E-2</v>
      </c>
      <c r="K644" s="754">
        <v>5.7599999999999998E-2</v>
      </c>
      <c r="L644" s="752">
        <v>13</v>
      </c>
    </row>
    <row r="645" spans="1:12">
      <c r="A645" s="750">
        <v>44286</v>
      </c>
      <c r="B645" s="751" t="s">
        <v>2564</v>
      </c>
      <c r="C645" s="752">
        <v>28</v>
      </c>
      <c r="D645" s="750">
        <v>44314</v>
      </c>
      <c r="E645" s="753">
        <v>150</v>
      </c>
      <c r="F645" s="753">
        <v>860.72400000000005</v>
      </c>
      <c r="G645" s="753">
        <v>150</v>
      </c>
      <c r="H645" s="753">
        <v>0</v>
      </c>
      <c r="I645" s="754">
        <v>5.7599999999999998E-2</v>
      </c>
      <c r="J645" s="754">
        <v>5.7599999999999998E-2</v>
      </c>
      <c r="K645" s="754">
        <v>5.7599999999999998E-2</v>
      </c>
      <c r="L645" s="752">
        <v>16</v>
      </c>
    </row>
    <row r="646" spans="1:12">
      <c r="A646" s="750">
        <v>44293</v>
      </c>
      <c r="B646" s="751" t="s">
        <v>2570</v>
      </c>
      <c r="C646" s="752">
        <v>28</v>
      </c>
      <c r="D646" s="750">
        <v>44321</v>
      </c>
      <c r="E646" s="753">
        <v>100</v>
      </c>
      <c r="F646" s="753">
        <v>1000.4962</v>
      </c>
      <c r="G646" s="753">
        <v>100</v>
      </c>
      <c r="H646" s="753">
        <v>0</v>
      </c>
      <c r="I646" s="754">
        <v>5.7599999999999998E-2</v>
      </c>
      <c r="J646" s="754">
        <v>5.7599999999999998E-2</v>
      </c>
      <c r="K646" s="754">
        <v>5.7599999999999998E-2</v>
      </c>
      <c r="L646" s="752">
        <v>19</v>
      </c>
    </row>
    <row r="647" spans="1:12">
      <c r="A647" s="750">
        <v>44300</v>
      </c>
      <c r="B647" s="751" t="s">
        <v>2571</v>
      </c>
      <c r="C647" s="752">
        <v>28</v>
      </c>
      <c r="D647" s="750">
        <v>44328</v>
      </c>
      <c r="E647" s="753">
        <v>100</v>
      </c>
      <c r="F647" s="753">
        <v>842.42719999999997</v>
      </c>
      <c r="G647" s="753">
        <v>100</v>
      </c>
      <c r="H647" s="753">
        <v>0</v>
      </c>
      <c r="I647" s="754">
        <v>5.7599999999999998E-2</v>
      </c>
      <c r="J647" s="754">
        <v>5.7599999999999998E-2</v>
      </c>
      <c r="K647" s="754">
        <v>5.7599999999999998E-2</v>
      </c>
      <c r="L647" s="752">
        <v>17</v>
      </c>
    </row>
    <row r="648" spans="1:12">
      <c r="A648" s="750">
        <v>44307</v>
      </c>
      <c r="B648" s="751" t="s">
        <v>2572</v>
      </c>
      <c r="C648" s="752">
        <v>28</v>
      </c>
      <c r="D648" s="750">
        <v>44335</v>
      </c>
      <c r="E648" s="753">
        <v>100</v>
      </c>
      <c r="F648" s="753">
        <v>859.13070000000005</v>
      </c>
      <c r="G648" s="753">
        <v>100</v>
      </c>
      <c r="H648" s="753">
        <v>0</v>
      </c>
      <c r="I648" s="754">
        <v>5.7599999999999998E-2</v>
      </c>
      <c r="J648" s="754">
        <v>5.7599999999999998E-2</v>
      </c>
      <c r="K648" s="754">
        <v>5.7599999999999998E-2</v>
      </c>
      <c r="L648" s="752">
        <v>18</v>
      </c>
    </row>
    <row r="649" spans="1:12">
      <c r="A649" s="750">
        <v>44314</v>
      </c>
      <c r="B649" s="751" t="s">
        <v>2573</v>
      </c>
      <c r="C649" s="752">
        <v>28</v>
      </c>
      <c r="D649" s="750">
        <v>44342</v>
      </c>
      <c r="E649" s="753">
        <v>150</v>
      </c>
      <c r="F649" s="753">
        <v>915.27850000000001</v>
      </c>
      <c r="G649" s="753">
        <v>150</v>
      </c>
      <c r="H649" s="753">
        <v>0</v>
      </c>
      <c r="I649" s="754">
        <v>5.7599999999999998E-2</v>
      </c>
      <c r="J649" s="754">
        <v>5.7599999999999998E-2</v>
      </c>
      <c r="K649" s="754">
        <v>5.7599999999999998E-2</v>
      </c>
      <c r="L649" s="752">
        <v>19</v>
      </c>
    </row>
    <row r="650" spans="1:12">
      <c r="A650" s="750">
        <v>44321</v>
      </c>
      <c r="B650" s="751" t="s">
        <v>2581</v>
      </c>
      <c r="C650" s="752">
        <v>28</v>
      </c>
      <c r="D650" s="750">
        <v>44349</v>
      </c>
      <c r="E650" s="753">
        <v>100</v>
      </c>
      <c r="F650" s="753">
        <v>632.81920000000002</v>
      </c>
      <c r="G650" s="753">
        <v>100</v>
      </c>
      <c r="H650" s="753">
        <v>0</v>
      </c>
      <c r="I650" s="754">
        <v>5.7599999999999998E-2</v>
      </c>
      <c r="J650" s="754">
        <v>5.7599999999999998E-2</v>
      </c>
      <c r="K650" s="754">
        <v>5.7599999999999998E-2</v>
      </c>
      <c r="L650" s="752">
        <v>19</v>
      </c>
    </row>
    <row r="651" spans="1:12">
      <c r="A651" s="750">
        <v>44335</v>
      </c>
      <c r="B651" s="751" t="s">
        <v>2582</v>
      </c>
      <c r="C651" s="752">
        <v>28</v>
      </c>
      <c r="D651" s="750">
        <v>44363</v>
      </c>
      <c r="E651" s="753">
        <v>100</v>
      </c>
      <c r="F651" s="753">
        <v>738.75670000000002</v>
      </c>
      <c r="G651" s="753">
        <v>100</v>
      </c>
      <c r="H651" s="753">
        <v>0</v>
      </c>
      <c r="I651" s="754">
        <v>5.7599999999999998E-2</v>
      </c>
      <c r="J651" s="754">
        <v>5.7599999999999998E-2</v>
      </c>
      <c r="K651" s="754">
        <v>5.7599999999999998E-2</v>
      </c>
      <c r="L651" s="752">
        <v>18</v>
      </c>
    </row>
    <row r="652" spans="1:12">
      <c r="A652" s="750">
        <v>44342</v>
      </c>
      <c r="B652" s="751" t="s">
        <v>2583</v>
      </c>
      <c r="C652" s="752">
        <v>28</v>
      </c>
      <c r="D652" s="750">
        <v>44370</v>
      </c>
      <c r="E652" s="753">
        <v>100</v>
      </c>
      <c r="F652" s="753">
        <v>782.72220000000004</v>
      </c>
      <c r="G652" s="753">
        <v>100</v>
      </c>
      <c r="H652" s="753">
        <v>0</v>
      </c>
      <c r="I652" s="754">
        <v>5.7599999999999998E-2</v>
      </c>
      <c r="J652" s="754">
        <v>5.7599999999999998E-2</v>
      </c>
      <c r="K652" s="754">
        <v>5.7599999999999998E-2</v>
      </c>
      <c r="L652" s="752">
        <v>18</v>
      </c>
    </row>
    <row r="653" spans="1:12">
      <c r="A653" s="750">
        <v>44349</v>
      </c>
      <c r="B653" s="751" t="s">
        <v>2592</v>
      </c>
      <c r="C653" s="752">
        <v>28</v>
      </c>
      <c r="D653" s="750">
        <v>44377</v>
      </c>
      <c r="E653" s="753">
        <v>100</v>
      </c>
      <c r="F653" s="753">
        <v>776.37699999999995</v>
      </c>
      <c r="G653" s="753">
        <v>100</v>
      </c>
      <c r="H653" s="753">
        <v>0</v>
      </c>
      <c r="I653" s="754">
        <v>5.7599999999999998E-2</v>
      </c>
      <c r="J653" s="754">
        <v>5.7599999999999998E-2</v>
      </c>
      <c r="K653" s="754">
        <v>5.7599999999999998E-2</v>
      </c>
      <c r="L653" s="752">
        <v>17</v>
      </c>
    </row>
    <row r="654" spans="1:12">
      <c r="A654" s="750">
        <v>44363</v>
      </c>
      <c r="B654" s="751" t="s">
        <v>2593</v>
      </c>
      <c r="C654" s="752">
        <v>28</v>
      </c>
      <c r="D654" s="750">
        <v>44391</v>
      </c>
      <c r="E654" s="753">
        <v>100</v>
      </c>
      <c r="F654" s="753">
        <v>812.37139999999999</v>
      </c>
      <c r="G654" s="753">
        <v>100</v>
      </c>
      <c r="H654" s="753">
        <v>0</v>
      </c>
      <c r="I654" s="754">
        <v>5.7599999999999998E-2</v>
      </c>
      <c r="J654" s="754">
        <v>5.7599999999999998E-2</v>
      </c>
      <c r="K654" s="754">
        <v>5.7599999999999998E-2</v>
      </c>
      <c r="L654" s="752">
        <v>19</v>
      </c>
    </row>
    <row r="655" spans="1:12">
      <c r="A655" s="750">
        <v>44370</v>
      </c>
      <c r="B655" s="751" t="s">
        <v>2594</v>
      </c>
      <c r="C655" s="752">
        <v>28</v>
      </c>
      <c r="D655" s="750">
        <v>44398</v>
      </c>
      <c r="E655" s="753">
        <v>100</v>
      </c>
      <c r="F655" s="753">
        <v>868.29589999999996</v>
      </c>
      <c r="G655" s="753">
        <v>100</v>
      </c>
      <c r="H655" s="753">
        <v>0</v>
      </c>
      <c r="I655" s="754">
        <v>5.7599999999999998E-2</v>
      </c>
      <c r="J655" s="754">
        <v>5.7599999999999998E-2</v>
      </c>
      <c r="K655" s="754">
        <v>5.7599999999999998E-2</v>
      </c>
      <c r="L655" s="752">
        <v>19</v>
      </c>
    </row>
    <row r="656" spans="1:12">
      <c r="A656" s="750">
        <v>44377</v>
      </c>
      <c r="B656" s="751" t="s">
        <v>2595</v>
      </c>
      <c r="C656" s="752">
        <v>28</v>
      </c>
      <c r="D656" s="750">
        <v>44405</v>
      </c>
      <c r="E656" s="753">
        <v>100</v>
      </c>
      <c r="F656" s="753">
        <v>830.46119999999996</v>
      </c>
      <c r="G656" s="753">
        <v>100</v>
      </c>
      <c r="H656" s="753">
        <v>0</v>
      </c>
      <c r="I656" s="754">
        <v>5.7599999999999998E-2</v>
      </c>
      <c r="J656" s="754">
        <v>5.7599999999999998E-2</v>
      </c>
      <c r="K656" s="754">
        <v>5.7599999999999998E-2</v>
      </c>
      <c r="L656" s="752">
        <v>19</v>
      </c>
    </row>
    <row r="657" spans="1:12">
      <c r="A657" s="750">
        <v>44391</v>
      </c>
      <c r="B657" s="751" t="s">
        <v>2600</v>
      </c>
      <c r="C657" s="752">
        <v>28</v>
      </c>
      <c r="D657" s="750">
        <v>44419</v>
      </c>
      <c r="E657" s="753">
        <v>100</v>
      </c>
      <c r="F657" s="753">
        <v>805.73559999999998</v>
      </c>
      <c r="G657" s="753">
        <v>100</v>
      </c>
      <c r="H657" s="753">
        <v>0</v>
      </c>
      <c r="I657" s="754">
        <v>5.7599999999999998E-2</v>
      </c>
      <c r="J657" s="754">
        <v>5.7599999999999998E-2</v>
      </c>
      <c r="K657" s="754">
        <v>5.7599999999999998E-2</v>
      </c>
      <c r="L657" s="752">
        <v>17</v>
      </c>
    </row>
    <row r="658" spans="1:12">
      <c r="A658" s="750">
        <v>44405</v>
      </c>
      <c r="B658" s="751" t="s">
        <v>2601</v>
      </c>
      <c r="C658" s="752">
        <v>28</v>
      </c>
      <c r="D658" s="750">
        <v>44433</v>
      </c>
      <c r="E658" s="753">
        <v>100</v>
      </c>
      <c r="F658" s="753">
        <v>954.41859999999997</v>
      </c>
      <c r="G658" s="753">
        <v>100</v>
      </c>
      <c r="H658" s="753">
        <v>0</v>
      </c>
      <c r="I658" s="754">
        <v>5.7599999999999998E-2</v>
      </c>
      <c r="J658" s="754">
        <v>5.7599999999999998E-2</v>
      </c>
      <c r="K658" s="754">
        <v>5.7599999999999998E-2</v>
      </c>
      <c r="L658" s="752">
        <v>20</v>
      </c>
    </row>
    <row r="659" spans="1:12">
      <c r="A659" s="750">
        <v>44419</v>
      </c>
      <c r="B659" s="751" t="s">
        <v>2602</v>
      </c>
      <c r="C659" s="752">
        <v>28</v>
      </c>
      <c r="D659" s="750">
        <v>44447</v>
      </c>
      <c r="E659" s="753">
        <v>100</v>
      </c>
      <c r="F659" s="753">
        <v>1013.4641</v>
      </c>
      <c r="G659" s="753">
        <v>100</v>
      </c>
      <c r="H659" s="753">
        <v>0</v>
      </c>
      <c r="I659" s="754">
        <v>5.7599999999999998E-2</v>
      </c>
      <c r="J659" s="754">
        <v>5.7599999999999998E-2</v>
      </c>
      <c r="K659" s="754">
        <v>5.7599999999999998E-2</v>
      </c>
      <c r="L659" s="752">
        <v>19</v>
      </c>
    </row>
    <row r="660" spans="1:12">
      <c r="A660" s="750">
        <v>44433</v>
      </c>
      <c r="B660" s="751" t="s">
        <v>2603</v>
      </c>
      <c r="C660" s="752">
        <v>28</v>
      </c>
      <c r="D660" s="750">
        <v>44461</v>
      </c>
      <c r="E660" s="753">
        <v>100</v>
      </c>
      <c r="F660" s="753">
        <v>1066.8135</v>
      </c>
      <c r="G660" s="753">
        <v>100</v>
      </c>
      <c r="H660" s="753">
        <v>0</v>
      </c>
      <c r="I660" s="754">
        <v>5.7599999999999998E-2</v>
      </c>
      <c r="J660" s="754">
        <v>5.7599999999999998E-2</v>
      </c>
      <c r="K660" s="754">
        <v>5.7599999999999998E-2</v>
      </c>
      <c r="L660" s="752">
        <v>20</v>
      </c>
    </row>
    <row r="661" spans="1:12">
      <c r="A661" s="750">
        <v>44447</v>
      </c>
      <c r="B661" s="751" t="s">
        <v>2634</v>
      </c>
      <c r="C661" s="752">
        <v>28</v>
      </c>
      <c r="D661" s="750">
        <v>44475</v>
      </c>
      <c r="E661" s="753">
        <v>100</v>
      </c>
      <c r="F661" s="753">
        <v>1120.4809</v>
      </c>
      <c r="G661" s="753">
        <v>100</v>
      </c>
      <c r="H661" s="753">
        <v>0</v>
      </c>
      <c r="I661" s="754">
        <v>5.7599999999999998E-2</v>
      </c>
      <c r="J661" s="754">
        <v>5.7599999999999998E-2</v>
      </c>
      <c r="K661" s="754">
        <v>5.7599999999999998E-2</v>
      </c>
      <c r="L661" s="752">
        <v>21</v>
      </c>
    </row>
    <row r="662" spans="1:12">
      <c r="A662" s="750">
        <v>44461</v>
      </c>
      <c r="B662" s="751" t="s">
        <v>2633</v>
      </c>
      <c r="C662" s="752">
        <v>28</v>
      </c>
      <c r="D662" s="750">
        <v>44489</v>
      </c>
      <c r="E662" s="753">
        <v>100</v>
      </c>
      <c r="F662" s="753">
        <v>1178.633</v>
      </c>
      <c r="G662" s="753">
        <v>100</v>
      </c>
      <c r="H662" s="753">
        <v>0</v>
      </c>
      <c r="I662" s="754">
        <v>6.0100000000000001E-2</v>
      </c>
      <c r="J662" s="754">
        <v>6.0100000000000001E-2</v>
      </c>
      <c r="K662" s="754">
        <v>6.0100000000000001E-2</v>
      </c>
      <c r="L662" s="752">
        <v>22</v>
      </c>
    </row>
    <row r="663" spans="1:12">
      <c r="A663" s="750">
        <v>44475</v>
      </c>
      <c r="B663" s="751" t="s">
        <v>2679</v>
      </c>
      <c r="C663" s="752">
        <v>28</v>
      </c>
      <c r="D663" s="750">
        <v>44503</v>
      </c>
      <c r="E663" s="753">
        <v>100</v>
      </c>
      <c r="F663" s="753">
        <v>1129.2218</v>
      </c>
      <c r="G663" s="753">
        <v>100</v>
      </c>
      <c r="H663" s="753">
        <v>0</v>
      </c>
      <c r="I663" s="754">
        <v>6.0100000000000001E-2</v>
      </c>
      <c r="J663" s="754">
        <v>6.0100000000000001E-2</v>
      </c>
      <c r="K663" s="754">
        <v>6.0100000000000001E-2</v>
      </c>
      <c r="L663" s="752">
        <v>19</v>
      </c>
    </row>
    <row r="664" spans="1:12">
      <c r="A664" s="750">
        <v>44489</v>
      </c>
      <c r="B664" s="751" t="s">
        <v>2680</v>
      </c>
      <c r="C664" s="752">
        <v>28</v>
      </c>
      <c r="D664" s="750">
        <v>44517</v>
      </c>
      <c r="E664" s="753">
        <v>100</v>
      </c>
      <c r="F664" s="753">
        <v>1136.8507</v>
      </c>
      <c r="G664" s="753">
        <v>100</v>
      </c>
      <c r="H664" s="753">
        <v>0</v>
      </c>
      <c r="I664" s="754">
        <v>6.0100000000000001E-2</v>
      </c>
      <c r="J664" s="754">
        <v>6.0100000000000001E-2</v>
      </c>
      <c r="K664" s="754">
        <v>6.0100000000000001E-2</v>
      </c>
      <c r="L664" s="752">
        <v>20</v>
      </c>
    </row>
    <row r="665" spans="1:12">
      <c r="A665" s="750">
        <v>44503</v>
      </c>
      <c r="B665" s="751" t="s">
        <v>2803</v>
      </c>
      <c r="C665" s="752">
        <v>28</v>
      </c>
      <c r="D665" s="750">
        <v>44531</v>
      </c>
      <c r="E665" s="753">
        <v>100</v>
      </c>
      <c r="F665" s="753">
        <v>1067.5462</v>
      </c>
      <c r="G665" s="753">
        <v>100</v>
      </c>
      <c r="H665" s="753">
        <v>0</v>
      </c>
      <c r="I665" s="754">
        <v>6.0100000000000001E-2</v>
      </c>
      <c r="J665" s="754">
        <v>6.0100000000000001E-2</v>
      </c>
      <c r="K665" s="754">
        <v>6.0100000000000001E-2</v>
      </c>
      <c r="L665" s="752">
        <v>20</v>
      </c>
    </row>
    <row r="666" spans="1:12">
      <c r="A666" s="750">
        <v>44517</v>
      </c>
      <c r="B666" s="751" t="s">
        <v>2804</v>
      </c>
      <c r="C666" s="752">
        <v>28</v>
      </c>
      <c r="D666" s="750">
        <v>44545</v>
      </c>
      <c r="E666" s="753">
        <v>100</v>
      </c>
      <c r="F666" s="753">
        <v>1126.5908999999999</v>
      </c>
      <c r="G666" s="753">
        <v>100</v>
      </c>
      <c r="H666" s="753">
        <v>0</v>
      </c>
      <c r="I666" s="754">
        <v>6.0100000000000001E-2</v>
      </c>
      <c r="J666" s="754">
        <v>6.0100000000000001E-2</v>
      </c>
      <c r="K666" s="754">
        <v>6.0100000000000001E-2</v>
      </c>
      <c r="L666" s="752">
        <v>19</v>
      </c>
    </row>
    <row r="667" spans="1:12">
      <c r="A667" s="750">
        <v>44531</v>
      </c>
      <c r="B667" s="751" t="s">
        <v>2814</v>
      </c>
      <c r="C667" s="752">
        <v>28</v>
      </c>
      <c r="D667" s="750">
        <v>44559</v>
      </c>
      <c r="E667" s="753">
        <v>100</v>
      </c>
      <c r="F667" s="753">
        <v>1037.4885999999999</v>
      </c>
      <c r="G667" s="753">
        <v>100</v>
      </c>
      <c r="H667" s="753">
        <v>0</v>
      </c>
      <c r="I667" s="754">
        <v>6.0100000000000001E-2</v>
      </c>
      <c r="J667" s="754">
        <v>6.0100000000000001E-2</v>
      </c>
      <c r="K667" s="754">
        <v>6.0100000000000001E-2</v>
      </c>
      <c r="L667" s="752">
        <v>19</v>
      </c>
    </row>
    <row r="668" spans="1:12">
      <c r="A668" s="750">
        <v>44545</v>
      </c>
      <c r="B668" s="751" t="s">
        <v>2815</v>
      </c>
      <c r="C668" s="752">
        <v>28</v>
      </c>
      <c r="D668" s="750">
        <v>44573</v>
      </c>
      <c r="E668" s="753">
        <v>100</v>
      </c>
      <c r="F668" s="753">
        <v>1058.0833</v>
      </c>
      <c r="G668" s="753">
        <v>100</v>
      </c>
      <c r="H668" s="753">
        <v>0</v>
      </c>
      <c r="I668" s="754">
        <v>6.0100000000000001E-2</v>
      </c>
      <c r="J668" s="754">
        <v>6.0100000000000001E-2</v>
      </c>
      <c r="K668" s="754">
        <v>6.0100000000000001E-2</v>
      </c>
      <c r="L668" s="752">
        <v>19</v>
      </c>
    </row>
    <row r="669" spans="1:12">
      <c r="A669" s="750">
        <v>44559</v>
      </c>
      <c r="B669" s="751" t="s">
        <v>2816</v>
      </c>
      <c r="C669" s="752">
        <v>28</v>
      </c>
      <c r="D669" s="750">
        <v>44587</v>
      </c>
      <c r="E669" s="753">
        <v>100</v>
      </c>
      <c r="F669" s="753">
        <v>1153.3874000000001</v>
      </c>
      <c r="G669" s="753">
        <v>100</v>
      </c>
      <c r="H669" s="753">
        <v>0</v>
      </c>
      <c r="I669" s="754">
        <v>6.0100000000000001E-2</v>
      </c>
      <c r="J669" s="754">
        <v>6.0100000000000001E-2</v>
      </c>
      <c r="K669" s="754">
        <v>6.0100000000000001E-2</v>
      </c>
      <c r="L669" s="752">
        <v>19</v>
      </c>
    </row>
    <row r="670" spans="1:12">
      <c r="A670" s="963">
        <v>2022</v>
      </c>
      <c r="B670" s="751"/>
      <c r="C670" s="752"/>
      <c r="D670" s="750"/>
      <c r="E670" s="753"/>
      <c r="F670" s="753"/>
      <c r="G670" s="753"/>
      <c r="H670" s="753"/>
      <c r="I670" s="754"/>
      <c r="J670" s="754"/>
      <c r="K670" s="754"/>
      <c r="L670" s="752"/>
    </row>
    <row r="671" spans="1:12">
      <c r="A671" s="750">
        <v>44573</v>
      </c>
      <c r="B671" s="751" t="s">
        <v>2828</v>
      </c>
      <c r="C671" s="752">
        <v>28</v>
      </c>
      <c r="D671" s="750">
        <v>44601</v>
      </c>
      <c r="E671" s="753">
        <v>100</v>
      </c>
      <c r="F671" s="753">
        <v>1072.6333999999999</v>
      </c>
      <c r="G671" s="753">
        <v>100</v>
      </c>
      <c r="H671" s="753">
        <v>0</v>
      </c>
      <c r="I671" s="754">
        <v>6.0100000000000001E-2</v>
      </c>
      <c r="J671" s="754">
        <v>6.0100000000000001E-2</v>
      </c>
      <c r="K671" s="754">
        <v>6.0100000000000001E-2</v>
      </c>
      <c r="L671" s="752">
        <v>20</v>
      </c>
    </row>
    <row r="672" spans="1:12">
      <c r="A672" s="750">
        <v>44587</v>
      </c>
      <c r="B672" s="751" t="s">
        <v>2829</v>
      </c>
      <c r="C672" s="752">
        <v>28</v>
      </c>
      <c r="D672" s="750">
        <v>44615</v>
      </c>
      <c r="E672" s="753">
        <v>250</v>
      </c>
      <c r="F672" s="753">
        <v>1730.5652</v>
      </c>
      <c r="G672" s="753">
        <v>300</v>
      </c>
      <c r="H672" s="753">
        <v>0</v>
      </c>
      <c r="I672" s="754">
        <v>6.0100000000000001E-2</v>
      </c>
      <c r="J672" s="754">
        <v>6.0100000000000001E-2</v>
      </c>
      <c r="K672" s="754">
        <v>6.0100000000000001E-2</v>
      </c>
      <c r="L672" s="752">
        <v>18</v>
      </c>
    </row>
    <row r="673" spans="1:12">
      <c r="A673" s="750">
        <v>44589</v>
      </c>
      <c r="B673" s="751" t="s">
        <v>2830</v>
      </c>
      <c r="C673" s="752">
        <v>84</v>
      </c>
      <c r="D673" s="750">
        <v>44673</v>
      </c>
      <c r="E673" s="753">
        <v>30</v>
      </c>
      <c r="F673" s="753">
        <v>279.7638</v>
      </c>
      <c r="G673" s="753">
        <v>30</v>
      </c>
      <c r="H673" s="753">
        <v>0</v>
      </c>
      <c r="I673" s="754">
        <v>3.4000000000000002E-2</v>
      </c>
      <c r="J673" s="754">
        <v>3.4000000000000002E-2</v>
      </c>
      <c r="K673" s="754">
        <v>3.4000000000000002E-2</v>
      </c>
      <c r="L673" s="752">
        <v>17</v>
      </c>
    </row>
    <row r="674" spans="1:12">
      <c r="A674" s="750">
        <v>44594</v>
      </c>
      <c r="B674" s="751" t="s">
        <v>2833</v>
      </c>
      <c r="C674" s="752">
        <v>28</v>
      </c>
      <c r="D674" s="750">
        <v>44622</v>
      </c>
      <c r="E674" s="753">
        <v>250</v>
      </c>
      <c r="F674" s="753">
        <v>1483.0735999999999</v>
      </c>
      <c r="G674" s="753">
        <v>240</v>
      </c>
      <c r="H674" s="753">
        <v>0</v>
      </c>
      <c r="I674" s="754">
        <v>6.0100000000000001E-2</v>
      </c>
      <c r="J674" s="754">
        <v>6.0100000000000001E-2</v>
      </c>
      <c r="K674" s="754">
        <v>6.0100000000000001E-2</v>
      </c>
      <c r="L674" s="752">
        <v>19</v>
      </c>
    </row>
    <row r="675" spans="1:12">
      <c r="A675" s="750">
        <v>44596</v>
      </c>
      <c r="B675" s="751" t="s">
        <v>2834</v>
      </c>
      <c r="C675" s="752">
        <v>168</v>
      </c>
      <c r="D675" s="750">
        <v>44764</v>
      </c>
      <c r="E675" s="753">
        <v>50</v>
      </c>
      <c r="F675" s="753">
        <v>156.29640000000001</v>
      </c>
      <c r="G675" s="753">
        <v>30</v>
      </c>
      <c r="H675" s="753">
        <v>0</v>
      </c>
      <c r="I675" s="754">
        <v>3.9899999999999998E-2</v>
      </c>
      <c r="J675" s="754">
        <v>0.04</v>
      </c>
      <c r="K675" s="754">
        <v>0.04</v>
      </c>
      <c r="L675" s="752">
        <v>9</v>
      </c>
    </row>
    <row r="676" spans="1:12">
      <c r="A676" s="750">
        <v>44601</v>
      </c>
      <c r="B676" s="751" t="s">
        <v>2835</v>
      </c>
      <c r="C676" s="752">
        <v>28</v>
      </c>
      <c r="D676" s="750">
        <v>44629</v>
      </c>
      <c r="E676" s="753">
        <v>150</v>
      </c>
      <c r="F676" s="753">
        <v>1060.6493</v>
      </c>
      <c r="G676" s="753">
        <v>100</v>
      </c>
      <c r="H676" s="753">
        <v>0</v>
      </c>
      <c r="I676" s="754">
        <v>6.0100000000000001E-2</v>
      </c>
      <c r="J676" s="754">
        <v>6.0100000000000001E-2</v>
      </c>
      <c r="K676" s="754">
        <v>6.0100000000000001E-2</v>
      </c>
      <c r="L676" s="752">
        <v>18</v>
      </c>
    </row>
    <row r="677" spans="1:12">
      <c r="A677" s="750">
        <v>44608</v>
      </c>
      <c r="B677" s="751" t="s">
        <v>2836</v>
      </c>
      <c r="C677" s="752">
        <v>28</v>
      </c>
      <c r="D677" s="750">
        <v>44636</v>
      </c>
      <c r="E677" s="753">
        <v>150</v>
      </c>
      <c r="F677" s="753">
        <v>1243.289</v>
      </c>
      <c r="G677" s="753">
        <v>150</v>
      </c>
      <c r="H677" s="753">
        <v>0</v>
      </c>
      <c r="I677" s="754">
        <v>6.0100000000000001E-2</v>
      </c>
      <c r="J677" s="754">
        <v>6.0100000000000001E-2</v>
      </c>
      <c r="K677" s="754">
        <v>6.0100000000000001E-2</v>
      </c>
      <c r="L677" s="752">
        <v>17</v>
      </c>
    </row>
    <row r="678" spans="1:12">
      <c r="A678" s="750">
        <v>44615</v>
      </c>
      <c r="B678" s="751" t="s">
        <v>2837</v>
      </c>
      <c r="C678" s="752">
        <v>28</v>
      </c>
      <c r="D678" s="750">
        <v>44643</v>
      </c>
      <c r="E678" s="753">
        <v>300</v>
      </c>
      <c r="F678" s="753">
        <v>1934.6605</v>
      </c>
      <c r="G678" s="753">
        <v>300</v>
      </c>
      <c r="H678" s="753">
        <v>0</v>
      </c>
      <c r="I678" s="754">
        <v>6.0100000000000001E-2</v>
      </c>
      <c r="J678" s="754">
        <v>6.0100000000000001E-2</v>
      </c>
      <c r="K678" s="754">
        <v>6.0100000000000001E-2</v>
      </c>
      <c r="L678" s="752">
        <v>20</v>
      </c>
    </row>
    <row r="679" spans="1:12">
      <c r="A679" s="750">
        <v>44622</v>
      </c>
      <c r="B679" s="751" t="s">
        <v>2846</v>
      </c>
      <c r="C679" s="752">
        <v>28</v>
      </c>
      <c r="D679" s="750">
        <v>44650</v>
      </c>
      <c r="E679" s="753">
        <v>240</v>
      </c>
      <c r="F679" s="753">
        <v>1728.6329000000001</v>
      </c>
      <c r="G679" s="753">
        <v>240</v>
      </c>
      <c r="H679" s="753">
        <v>0</v>
      </c>
      <c r="I679" s="754">
        <v>6.0100000000000001E-2</v>
      </c>
      <c r="J679" s="754">
        <v>6.0100000000000001E-2</v>
      </c>
      <c r="K679" s="754">
        <v>6.0100000000000001E-2</v>
      </c>
      <c r="L679" s="752">
        <v>19</v>
      </c>
    </row>
    <row r="680" spans="1:12">
      <c r="A680" s="750">
        <v>44629</v>
      </c>
      <c r="B680" s="751" t="s">
        <v>2847</v>
      </c>
      <c r="C680" s="752">
        <v>28</v>
      </c>
      <c r="D680" s="750">
        <v>44657</v>
      </c>
      <c r="E680" s="753">
        <v>100</v>
      </c>
      <c r="F680" s="753">
        <v>967.80449999999996</v>
      </c>
      <c r="G680" s="753">
        <v>100</v>
      </c>
      <c r="H680" s="753">
        <v>0</v>
      </c>
      <c r="I680" s="754">
        <v>6.0100000000000001E-2</v>
      </c>
      <c r="J680" s="754">
        <v>6.0100000000000001E-2</v>
      </c>
      <c r="K680" s="754">
        <v>6.0100000000000001E-2</v>
      </c>
      <c r="L680" s="752">
        <v>19</v>
      </c>
    </row>
    <row r="681" spans="1:12">
      <c r="A681" s="750">
        <v>44636</v>
      </c>
      <c r="B681" s="751" t="s">
        <v>2848</v>
      </c>
      <c r="C681" s="752">
        <v>28</v>
      </c>
      <c r="D681" s="750">
        <v>44664</v>
      </c>
      <c r="E681" s="753">
        <v>150</v>
      </c>
      <c r="F681" s="753">
        <v>1015.0217</v>
      </c>
      <c r="G681" s="753">
        <v>150</v>
      </c>
      <c r="H681" s="753">
        <v>0</v>
      </c>
      <c r="I681" s="754">
        <v>6.0100000000000001E-2</v>
      </c>
      <c r="J681" s="754">
        <v>6.0100000000000001E-2</v>
      </c>
      <c r="K681" s="754">
        <v>6.0100000000000001E-2</v>
      </c>
      <c r="L681" s="752">
        <v>16</v>
      </c>
    </row>
    <row r="682" spans="1:12">
      <c r="A682" s="750">
        <v>44648</v>
      </c>
      <c r="B682" s="751" t="s">
        <v>2849</v>
      </c>
      <c r="C682" s="752">
        <v>23</v>
      </c>
      <c r="D682" s="750">
        <v>44671</v>
      </c>
      <c r="E682" s="753">
        <v>300</v>
      </c>
      <c r="F682" s="753">
        <v>1617.7414000000001</v>
      </c>
      <c r="G682" s="753">
        <v>300</v>
      </c>
      <c r="H682" s="753">
        <v>0</v>
      </c>
      <c r="I682" s="754">
        <v>6.2600000000000003E-2</v>
      </c>
      <c r="J682" s="754">
        <v>6.2600000000000003E-2</v>
      </c>
      <c r="K682" s="754">
        <v>6.2600000000000003E-2</v>
      </c>
      <c r="L682" s="752">
        <v>17</v>
      </c>
    </row>
    <row r="683" spans="1:12">
      <c r="A683" s="750">
        <v>44650</v>
      </c>
      <c r="B683" s="751" t="s">
        <v>2850</v>
      </c>
      <c r="C683" s="752">
        <v>28</v>
      </c>
      <c r="D683" s="750">
        <v>44678</v>
      </c>
      <c r="E683" s="753">
        <v>200</v>
      </c>
      <c r="F683" s="753">
        <v>1404.4349999999999</v>
      </c>
      <c r="G683" s="753">
        <v>200</v>
      </c>
      <c r="H683" s="753">
        <v>0</v>
      </c>
      <c r="I683" s="754">
        <v>6.2600000000000003E-2</v>
      </c>
      <c r="J683" s="754">
        <v>6.2600000000000003E-2</v>
      </c>
      <c r="K683" s="754">
        <v>6.2600000000000003E-2</v>
      </c>
      <c r="L683" s="752">
        <v>17</v>
      </c>
    </row>
    <row r="684" spans="1:12">
      <c r="A684" s="750">
        <v>44652</v>
      </c>
      <c r="B684" s="751" t="s">
        <v>2852</v>
      </c>
      <c r="C684" s="752">
        <v>84</v>
      </c>
      <c r="D684" s="750">
        <v>44736</v>
      </c>
      <c r="E684" s="753">
        <v>50</v>
      </c>
      <c r="F684" s="753">
        <v>125.4376</v>
      </c>
      <c r="G684" s="753">
        <v>30</v>
      </c>
      <c r="H684" s="753">
        <v>0</v>
      </c>
      <c r="I684" s="754">
        <v>3.3000000000000002E-2</v>
      </c>
      <c r="J684" s="754">
        <v>3.3000000000000002E-2</v>
      </c>
      <c r="K684" s="754">
        <v>3.3000000000000002E-2</v>
      </c>
      <c r="L684" s="752">
        <v>8</v>
      </c>
    </row>
    <row r="685" spans="1:12">
      <c r="A685" s="750">
        <v>44655</v>
      </c>
      <c r="B685" s="751" t="s">
        <v>2853</v>
      </c>
      <c r="C685" s="752">
        <v>84</v>
      </c>
      <c r="D685" s="750">
        <v>44739</v>
      </c>
      <c r="E685" s="753">
        <v>30</v>
      </c>
      <c r="F685" s="753">
        <v>80.214299999999994</v>
      </c>
      <c r="G685" s="753">
        <v>30</v>
      </c>
      <c r="H685" s="753">
        <v>0</v>
      </c>
      <c r="I685" s="754">
        <v>3.27E-2</v>
      </c>
      <c r="J685" s="754">
        <v>3.27E-2</v>
      </c>
      <c r="K685" s="754">
        <v>3.27E-2</v>
      </c>
      <c r="L685" s="752">
        <v>4</v>
      </c>
    </row>
    <row r="686" spans="1:12">
      <c r="A686" s="750">
        <v>44657</v>
      </c>
      <c r="B686" s="751" t="s">
        <v>2854</v>
      </c>
      <c r="C686" s="752">
        <v>168</v>
      </c>
      <c r="D686" s="750">
        <v>44825</v>
      </c>
      <c r="E686" s="753">
        <v>30</v>
      </c>
      <c r="F686" s="753">
        <v>197.54390000000001</v>
      </c>
      <c r="G686" s="753">
        <v>30</v>
      </c>
      <c r="H686" s="753">
        <v>0</v>
      </c>
      <c r="I686" s="754">
        <v>3.7999999999999999E-2</v>
      </c>
      <c r="J686" s="754">
        <v>3.85E-2</v>
      </c>
      <c r="K686" s="754">
        <v>3.8399999999999997E-2</v>
      </c>
      <c r="L686" s="752">
        <v>11</v>
      </c>
    </row>
    <row r="687" spans="1:12" s="968" customFormat="1">
      <c r="A687" s="750">
        <v>44659</v>
      </c>
      <c r="B687" s="751" t="s">
        <v>2855</v>
      </c>
      <c r="C687" s="752">
        <v>252</v>
      </c>
      <c r="D687" s="750">
        <v>44911</v>
      </c>
      <c r="E687" s="753">
        <v>30</v>
      </c>
      <c r="F687" s="753">
        <v>154.96440000000001</v>
      </c>
      <c r="G687" s="753">
        <v>30</v>
      </c>
      <c r="H687" s="753">
        <v>0</v>
      </c>
      <c r="I687" s="754">
        <v>3.7999999999999999E-2</v>
      </c>
      <c r="J687" s="754">
        <v>3.7999999999999999E-2</v>
      </c>
      <c r="K687" s="754">
        <v>3.7999999999999999E-2</v>
      </c>
      <c r="L687" s="752">
        <v>8</v>
      </c>
    </row>
    <row r="688" spans="1:12" s="968" customFormat="1">
      <c r="A688" s="750">
        <v>44662</v>
      </c>
      <c r="B688" s="751" t="s">
        <v>2856</v>
      </c>
      <c r="C688" s="752">
        <v>84</v>
      </c>
      <c r="D688" s="750">
        <v>44746</v>
      </c>
      <c r="E688" s="753">
        <v>30</v>
      </c>
      <c r="F688" s="753">
        <v>117.1713</v>
      </c>
      <c r="G688" s="753">
        <v>30</v>
      </c>
      <c r="H688" s="753">
        <v>0</v>
      </c>
      <c r="I688" s="754">
        <v>3.15E-2</v>
      </c>
      <c r="J688" s="754">
        <v>3.15E-2</v>
      </c>
      <c r="K688" s="754">
        <v>3.15E-2</v>
      </c>
      <c r="L688" s="752">
        <v>6</v>
      </c>
    </row>
    <row r="689" spans="1:25" s="968" customFormat="1">
      <c r="A689" s="750">
        <v>44664</v>
      </c>
      <c r="B689" s="751" t="s">
        <v>2857</v>
      </c>
      <c r="C689" s="752">
        <v>168</v>
      </c>
      <c r="D689" s="750">
        <v>44832</v>
      </c>
      <c r="E689" s="753">
        <v>30</v>
      </c>
      <c r="F689" s="753">
        <v>189.41419999999999</v>
      </c>
      <c r="G689" s="753">
        <v>30</v>
      </c>
      <c r="H689" s="753">
        <v>0</v>
      </c>
      <c r="I689" s="754">
        <v>3.4500000000000003E-2</v>
      </c>
      <c r="J689" s="754">
        <v>3.49E-2</v>
      </c>
      <c r="K689" s="754">
        <v>3.49E-2</v>
      </c>
      <c r="L689" s="752">
        <v>11</v>
      </c>
    </row>
    <row r="690" spans="1:25" s="968" customFormat="1">
      <c r="A690" s="750">
        <v>44666</v>
      </c>
      <c r="B690" s="751" t="s">
        <v>2858</v>
      </c>
      <c r="C690" s="752">
        <v>252</v>
      </c>
      <c r="D690" s="750">
        <v>44918</v>
      </c>
      <c r="E690" s="753">
        <v>30</v>
      </c>
      <c r="F690" s="753">
        <v>177.66890000000001</v>
      </c>
      <c r="G690" s="753">
        <v>30</v>
      </c>
      <c r="H690" s="753">
        <v>0</v>
      </c>
      <c r="I690" s="754">
        <v>3.2000000000000001E-2</v>
      </c>
      <c r="J690" s="754">
        <v>3.2500000000000001E-2</v>
      </c>
      <c r="K690" s="754">
        <v>3.2199999999999999E-2</v>
      </c>
      <c r="L690" s="752">
        <v>8</v>
      </c>
    </row>
    <row r="691" spans="1:25" s="968" customFormat="1">
      <c r="A691" s="750">
        <v>44669</v>
      </c>
      <c r="B691" s="751" t="s">
        <v>2859</v>
      </c>
      <c r="C691" s="752">
        <v>84</v>
      </c>
      <c r="D691" s="750">
        <v>44753</v>
      </c>
      <c r="E691" s="753">
        <v>30</v>
      </c>
      <c r="F691" s="753">
        <v>165.68119999999999</v>
      </c>
      <c r="G691" s="753">
        <v>30</v>
      </c>
      <c r="H691" s="753">
        <v>0</v>
      </c>
      <c r="I691" s="754">
        <v>2.9499999999999998E-2</v>
      </c>
      <c r="J691" s="754">
        <v>0.03</v>
      </c>
      <c r="K691" s="754">
        <v>2.98E-2</v>
      </c>
      <c r="L691" s="752">
        <v>9</v>
      </c>
    </row>
    <row r="692" spans="1:25" s="968" customFormat="1">
      <c r="A692" s="750">
        <v>44671</v>
      </c>
      <c r="B692" s="751" t="s">
        <v>2860</v>
      </c>
      <c r="C692" s="752">
        <v>28</v>
      </c>
      <c r="D692" s="750">
        <v>44699</v>
      </c>
      <c r="E692" s="753">
        <v>250</v>
      </c>
      <c r="F692" s="753">
        <v>1667.6235999999999</v>
      </c>
      <c r="G692" s="753">
        <v>250</v>
      </c>
      <c r="H692" s="753">
        <v>0</v>
      </c>
      <c r="I692" s="754">
        <v>6.2600000000000003E-2</v>
      </c>
      <c r="J692" s="754">
        <v>6.2600000000000003E-2</v>
      </c>
      <c r="K692" s="754">
        <v>6.2600000000000003E-2</v>
      </c>
      <c r="L692" s="752">
        <v>20</v>
      </c>
    </row>
    <row r="693" spans="1:25" s="968" customFormat="1">
      <c r="A693" s="750">
        <v>44673</v>
      </c>
      <c r="B693" s="751" t="s">
        <v>2861</v>
      </c>
      <c r="C693" s="752">
        <v>252</v>
      </c>
      <c r="D693" s="750">
        <v>44925</v>
      </c>
      <c r="E693" s="753">
        <v>30</v>
      </c>
      <c r="F693" s="753">
        <v>106.30200000000001</v>
      </c>
      <c r="G693" s="753">
        <v>30</v>
      </c>
      <c r="H693" s="753">
        <v>0</v>
      </c>
      <c r="I693" s="754">
        <v>0.03</v>
      </c>
      <c r="J693" s="754">
        <v>0.03</v>
      </c>
      <c r="K693" s="754">
        <v>0.03</v>
      </c>
      <c r="L693" s="752">
        <v>6</v>
      </c>
    </row>
    <row r="694" spans="1:25" s="968" customFormat="1">
      <c r="A694" s="750">
        <v>44676</v>
      </c>
      <c r="B694" s="751" t="s">
        <v>2862</v>
      </c>
      <c r="C694" s="752">
        <v>84</v>
      </c>
      <c r="D694" s="750">
        <v>44760</v>
      </c>
      <c r="E694" s="753">
        <v>30</v>
      </c>
      <c r="F694" s="753">
        <v>123.8061</v>
      </c>
      <c r="G694" s="753">
        <v>30</v>
      </c>
      <c r="H694" s="753">
        <v>0</v>
      </c>
      <c r="I694" s="754">
        <v>2.9499999999999998E-2</v>
      </c>
      <c r="J694" s="754">
        <v>2.9499999999999998E-2</v>
      </c>
      <c r="K694" s="754">
        <v>2.9499999999999998E-2</v>
      </c>
      <c r="L694" s="752">
        <v>7</v>
      </c>
    </row>
    <row r="695" spans="1:25" s="968" customFormat="1">
      <c r="A695" s="750">
        <v>44678</v>
      </c>
      <c r="B695" s="751" t="s">
        <v>2863</v>
      </c>
      <c r="C695" s="752">
        <v>28</v>
      </c>
      <c r="D695" s="750">
        <v>44706</v>
      </c>
      <c r="E695" s="753">
        <v>100</v>
      </c>
      <c r="F695" s="753">
        <v>999.71199999999999</v>
      </c>
      <c r="G695" s="753">
        <v>100</v>
      </c>
      <c r="H695" s="753">
        <v>0</v>
      </c>
      <c r="I695" s="754">
        <v>6.2600000000000003E-2</v>
      </c>
      <c r="J695" s="754">
        <v>6.2600000000000003E-2</v>
      </c>
      <c r="K695" s="754">
        <v>6.2600000000000003E-2</v>
      </c>
      <c r="L695" s="752">
        <v>19</v>
      </c>
      <c r="M695" s="969"/>
      <c r="N695" s="969"/>
      <c r="O695" s="969"/>
      <c r="P695" s="969"/>
      <c r="Q695" s="969"/>
      <c r="R695" s="969"/>
      <c r="S695" s="969"/>
      <c r="T695" s="969"/>
      <c r="U695" s="969"/>
      <c r="V695" s="969"/>
      <c r="W695" s="969"/>
      <c r="X695" s="969"/>
      <c r="Y695" s="969"/>
    </row>
    <row r="696" spans="1:25" s="968" customFormat="1">
      <c r="A696" s="750">
        <v>44680</v>
      </c>
      <c r="B696" s="751" t="s">
        <v>2864</v>
      </c>
      <c r="C696" s="752">
        <v>168</v>
      </c>
      <c r="D696" s="750">
        <v>44848</v>
      </c>
      <c r="E696" s="753">
        <v>30</v>
      </c>
      <c r="F696" s="753">
        <v>150.54849999999999</v>
      </c>
      <c r="G696" s="753">
        <v>30</v>
      </c>
      <c r="H696" s="753">
        <v>0</v>
      </c>
      <c r="I696" s="754">
        <v>2.98E-2</v>
      </c>
      <c r="J696" s="754">
        <v>2.98E-2</v>
      </c>
      <c r="K696" s="754">
        <v>2.98E-2</v>
      </c>
      <c r="L696" s="752">
        <v>7</v>
      </c>
      <c r="M696" s="969"/>
      <c r="N696" s="969"/>
      <c r="O696" s="969"/>
      <c r="P696" s="969"/>
      <c r="Q696" s="969"/>
      <c r="R696" s="969"/>
      <c r="S696" s="969"/>
      <c r="T696" s="969"/>
      <c r="U696" s="969"/>
      <c r="V696" s="969"/>
      <c r="W696" s="969"/>
      <c r="X696" s="969"/>
      <c r="Y696" s="969"/>
    </row>
    <row r="697" spans="1:25">
      <c r="A697" s="750">
        <v>44685</v>
      </c>
      <c r="B697" s="751" t="s">
        <v>2865</v>
      </c>
      <c r="C697" s="752">
        <v>252</v>
      </c>
      <c r="D697" s="750">
        <v>44937</v>
      </c>
      <c r="E697" s="753">
        <v>30</v>
      </c>
      <c r="F697" s="753">
        <v>124.98399999999999</v>
      </c>
      <c r="G697" s="753">
        <v>30</v>
      </c>
      <c r="H697" s="753">
        <v>0</v>
      </c>
      <c r="I697" s="754">
        <v>2.9399999999999999E-2</v>
      </c>
      <c r="J697" s="754">
        <v>0.03</v>
      </c>
      <c r="K697" s="754">
        <v>2.98E-2</v>
      </c>
      <c r="L697" s="752">
        <v>9</v>
      </c>
      <c r="M697" s="969"/>
      <c r="N697" s="969"/>
      <c r="O697" s="969"/>
      <c r="P697" s="969"/>
      <c r="Q697" s="969"/>
      <c r="R697" s="969"/>
      <c r="S697" s="969"/>
      <c r="T697" s="969"/>
      <c r="U697" s="969"/>
      <c r="V697" s="969"/>
      <c r="W697" s="969"/>
      <c r="X697" s="969"/>
      <c r="Y697" s="969"/>
    </row>
    <row r="698" spans="1:25">
      <c r="A698" s="750">
        <v>44687</v>
      </c>
      <c r="B698" s="751" t="s">
        <v>2866</v>
      </c>
      <c r="C698" s="752">
        <v>168</v>
      </c>
      <c r="D698" s="750">
        <v>44855</v>
      </c>
      <c r="E698" s="753">
        <v>30</v>
      </c>
      <c r="F698" s="753">
        <v>85.515600000000006</v>
      </c>
      <c r="G698" s="753">
        <v>30</v>
      </c>
      <c r="H698" s="753">
        <v>0</v>
      </c>
      <c r="I698" s="754">
        <v>2.9499999999999998E-2</v>
      </c>
      <c r="J698" s="754">
        <v>2.9499999999999998E-2</v>
      </c>
      <c r="K698" s="754">
        <v>2.9499999999999998E-2</v>
      </c>
      <c r="L698" s="752">
        <v>6</v>
      </c>
      <c r="M698" s="969"/>
      <c r="N698" s="969"/>
      <c r="O698" s="969"/>
      <c r="P698" s="969"/>
      <c r="Q698" s="969"/>
      <c r="R698" s="969"/>
      <c r="S698" s="969"/>
      <c r="T698" s="969"/>
      <c r="U698" s="969"/>
      <c r="V698" s="969"/>
      <c r="W698" s="969"/>
      <c r="X698" s="969"/>
      <c r="Y698" s="969"/>
    </row>
    <row r="699" spans="1:25">
      <c r="A699" s="750">
        <v>44692</v>
      </c>
      <c r="B699" s="751" t="s">
        <v>2867</v>
      </c>
      <c r="C699" s="752">
        <v>168</v>
      </c>
      <c r="D699" s="750">
        <v>44860</v>
      </c>
      <c r="E699" s="753">
        <v>30</v>
      </c>
      <c r="F699" s="753">
        <v>114.5397</v>
      </c>
      <c r="G699" s="753">
        <v>30</v>
      </c>
      <c r="H699" s="753">
        <v>0</v>
      </c>
      <c r="I699" s="754">
        <v>2.9000000000000001E-2</v>
      </c>
      <c r="J699" s="754">
        <v>2.9000000000000001E-2</v>
      </c>
      <c r="K699" s="754">
        <v>2.9000000000000001E-2</v>
      </c>
      <c r="L699" s="752">
        <v>6</v>
      </c>
      <c r="M699" s="969"/>
      <c r="N699" s="969"/>
      <c r="O699" s="969"/>
      <c r="P699" s="969"/>
      <c r="Q699" s="969"/>
      <c r="R699" s="969"/>
      <c r="S699" s="969"/>
      <c r="T699" s="969"/>
      <c r="U699" s="969"/>
      <c r="V699" s="969"/>
      <c r="W699" s="969"/>
      <c r="X699" s="969"/>
      <c r="Y699" s="969"/>
    </row>
    <row r="700" spans="1:25">
      <c r="A700" s="750">
        <v>44694</v>
      </c>
      <c r="B700" s="751" t="s">
        <v>2868</v>
      </c>
      <c r="C700" s="752">
        <v>252</v>
      </c>
      <c r="D700" s="750">
        <v>44946</v>
      </c>
      <c r="E700" s="753">
        <v>30</v>
      </c>
      <c r="F700" s="753">
        <v>84.726200000000006</v>
      </c>
      <c r="G700" s="753">
        <v>30</v>
      </c>
      <c r="H700" s="753">
        <v>0</v>
      </c>
      <c r="I700" s="754">
        <v>2.9000000000000001E-2</v>
      </c>
      <c r="J700" s="754">
        <v>2.9399999999999999E-2</v>
      </c>
      <c r="K700" s="754">
        <v>2.9399999999999999E-2</v>
      </c>
      <c r="L700" s="752">
        <v>9</v>
      </c>
      <c r="M700" s="969"/>
      <c r="N700" s="969"/>
      <c r="O700" s="969"/>
      <c r="P700" s="969"/>
      <c r="Q700" s="969"/>
      <c r="R700" s="969"/>
      <c r="S700" s="969"/>
      <c r="T700" s="969"/>
      <c r="U700" s="969"/>
      <c r="V700" s="969"/>
      <c r="W700" s="969"/>
      <c r="X700" s="969"/>
      <c r="Y700" s="969"/>
    </row>
    <row r="701" spans="1:25" s="969" customFormat="1">
      <c r="A701" s="750">
        <v>44697</v>
      </c>
      <c r="B701" s="751" t="s">
        <v>2869</v>
      </c>
      <c r="C701" s="752">
        <v>84</v>
      </c>
      <c r="D701" s="750">
        <v>44781</v>
      </c>
      <c r="E701" s="753">
        <v>30</v>
      </c>
      <c r="F701" s="753">
        <v>112.6061</v>
      </c>
      <c r="G701" s="753">
        <v>30</v>
      </c>
      <c r="H701" s="753">
        <v>0</v>
      </c>
      <c r="I701" s="754">
        <v>2.8500000000000001E-2</v>
      </c>
      <c r="J701" s="754">
        <v>2.8500000000000001E-2</v>
      </c>
      <c r="K701" s="754">
        <v>2.8500000000000001E-2</v>
      </c>
      <c r="L701" s="752">
        <v>3</v>
      </c>
    </row>
    <row r="702" spans="1:25" s="969" customFormat="1">
      <c r="A702" s="750">
        <v>44699</v>
      </c>
      <c r="B702" s="751" t="s">
        <v>2870</v>
      </c>
      <c r="C702" s="752">
        <v>28</v>
      </c>
      <c r="D702" s="750">
        <v>44727</v>
      </c>
      <c r="E702" s="753">
        <v>150</v>
      </c>
      <c r="F702" s="753">
        <v>1364.3885</v>
      </c>
      <c r="G702" s="753">
        <v>150</v>
      </c>
      <c r="H702" s="753">
        <v>0</v>
      </c>
      <c r="I702" s="754">
        <v>6.2600000000000003E-2</v>
      </c>
      <c r="J702" s="754">
        <v>6.2600000000000003E-2</v>
      </c>
      <c r="K702" s="754">
        <v>6.2600000000000003E-2</v>
      </c>
      <c r="L702" s="752">
        <v>1</v>
      </c>
    </row>
    <row r="703" spans="1:25" s="969" customFormat="1">
      <c r="A703" s="750">
        <v>44701</v>
      </c>
      <c r="B703" s="751" t="s">
        <v>2871</v>
      </c>
      <c r="C703" s="752">
        <v>252</v>
      </c>
      <c r="D703" s="750">
        <v>44953</v>
      </c>
      <c r="E703" s="753">
        <v>30</v>
      </c>
      <c r="F703" s="753">
        <v>87.762200000000007</v>
      </c>
      <c r="G703" s="753">
        <v>30</v>
      </c>
      <c r="H703" s="753">
        <v>0</v>
      </c>
      <c r="I703" s="754">
        <v>2.9000000000000001E-2</v>
      </c>
      <c r="J703" s="754">
        <v>2.9000000000000001E-2</v>
      </c>
      <c r="K703" s="754">
        <v>2.9000000000000001E-2</v>
      </c>
      <c r="L703" s="752">
        <v>9</v>
      </c>
    </row>
    <row r="704" spans="1:25" s="969" customFormat="1">
      <c r="A704" s="750">
        <v>44704</v>
      </c>
      <c r="B704" s="751" t="s">
        <v>2872</v>
      </c>
      <c r="C704" s="752">
        <v>84</v>
      </c>
      <c r="D704" s="750">
        <v>44788</v>
      </c>
      <c r="E704" s="753">
        <v>30</v>
      </c>
      <c r="F704" s="753">
        <v>121.7445</v>
      </c>
      <c r="G704" s="753">
        <v>30</v>
      </c>
      <c r="H704" s="753">
        <v>0</v>
      </c>
      <c r="I704" s="754">
        <v>2.8199999999999999E-2</v>
      </c>
      <c r="J704" s="754">
        <v>2.9499999999999998E-2</v>
      </c>
      <c r="K704" s="754">
        <v>2.92E-2</v>
      </c>
      <c r="L704" s="752">
        <v>3</v>
      </c>
    </row>
    <row r="705" spans="1:12" s="969" customFormat="1">
      <c r="A705" s="750">
        <v>44706</v>
      </c>
      <c r="B705" s="751" t="s">
        <v>2873</v>
      </c>
      <c r="C705" s="752">
        <v>168</v>
      </c>
      <c r="D705" s="750">
        <v>44874</v>
      </c>
      <c r="E705" s="753">
        <v>30</v>
      </c>
      <c r="F705" s="753">
        <v>89.530299999999997</v>
      </c>
      <c r="G705" s="753">
        <v>30</v>
      </c>
      <c r="H705" s="753">
        <v>0</v>
      </c>
      <c r="I705" s="754">
        <v>2.9000000000000001E-2</v>
      </c>
      <c r="J705" s="754">
        <v>2.9899999999999999E-2</v>
      </c>
      <c r="K705" s="754">
        <v>2.98E-2</v>
      </c>
      <c r="L705" s="752">
        <v>6</v>
      </c>
    </row>
    <row r="706" spans="1:12" s="969" customFormat="1">
      <c r="A706" s="750">
        <v>44708</v>
      </c>
      <c r="B706" s="751" t="s">
        <v>2874</v>
      </c>
      <c r="C706" s="752">
        <v>252</v>
      </c>
      <c r="D706" s="750">
        <v>44960</v>
      </c>
      <c r="E706" s="753">
        <v>30</v>
      </c>
      <c r="F706" s="753">
        <v>89.7577</v>
      </c>
      <c r="G706" s="753">
        <v>30</v>
      </c>
      <c r="H706" s="753">
        <v>0</v>
      </c>
      <c r="I706" s="754">
        <v>2.9899999999999999E-2</v>
      </c>
      <c r="J706" s="754">
        <v>3.0499999999999999E-2</v>
      </c>
      <c r="K706" s="754">
        <v>3.0300000000000001E-2</v>
      </c>
      <c r="L706" s="752">
        <v>9</v>
      </c>
    </row>
    <row r="707" spans="1:12" s="969" customFormat="1">
      <c r="A707" s="750">
        <v>44713</v>
      </c>
      <c r="B707" s="751" t="s">
        <v>2878</v>
      </c>
      <c r="C707" s="752">
        <v>168</v>
      </c>
      <c r="D707" s="750">
        <v>44881</v>
      </c>
      <c r="E707" s="753">
        <v>30</v>
      </c>
      <c r="F707" s="753">
        <v>75.878100000000003</v>
      </c>
      <c r="G707" s="753">
        <v>30</v>
      </c>
      <c r="H707" s="753">
        <v>0</v>
      </c>
      <c r="I707" s="754">
        <v>0.03</v>
      </c>
      <c r="J707" s="754">
        <v>0.03</v>
      </c>
      <c r="K707" s="754">
        <v>0.03</v>
      </c>
      <c r="L707" s="752">
        <v>6</v>
      </c>
    </row>
    <row r="708" spans="1:12" s="969" customFormat="1">
      <c r="A708" s="750">
        <v>44715</v>
      </c>
      <c r="B708" s="751" t="s">
        <v>2879</v>
      </c>
      <c r="C708" s="752">
        <v>252</v>
      </c>
      <c r="D708" s="750">
        <v>44967</v>
      </c>
      <c r="E708" s="753">
        <v>30</v>
      </c>
      <c r="F708" s="753">
        <v>81.626499999999993</v>
      </c>
      <c r="G708" s="753">
        <v>30</v>
      </c>
      <c r="H708" s="753">
        <v>0</v>
      </c>
      <c r="I708" s="754">
        <v>0.03</v>
      </c>
      <c r="J708" s="754">
        <v>3.1899999999999998E-2</v>
      </c>
      <c r="K708" s="754">
        <v>3.1699999999999999E-2</v>
      </c>
      <c r="L708" s="752">
        <v>4</v>
      </c>
    </row>
    <row r="709" spans="1:12" s="969" customFormat="1">
      <c r="A709" s="750">
        <v>44718</v>
      </c>
      <c r="B709" s="751" t="s">
        <v>2880</v>
      </c>
      <c r="C709" s="752">
        <v>168</v>
      </c>
      <c r="D709" s="750">
        <v>44886</v>
      </c>
      <c r="E709" s="753">
        <v>30</v>
      </c>
      <c r="F709" s="753">
        <v>79.354500000000002</v>
      </c>
      <c r="G709" s="753">
        <v>30</v>
      </c>
      <c r="H709" s="753">
        <v>0</v>
      </c>
      <c r="I709" s="754">
        <v>3.1E-2</v>
      </c>
      <c r="J709" s="754">
        <v>3.4000000000000002E-2</v>
      </c>
      <c r="K709" s="754">
        <v>3.39E-2</v>
      </c>
      <c r="L709" s="752">
        <v>4</v>
      </c>
    </row>
    <row r="710" spans="1:12" s="969" customFormat="1">
      <c r="A710" s="750">
        <v>44720</v>
      </c>
      <c r="B710" s="751" t="s">
        <v>2881</v>
      </c>
      <c r="C710" s="752">
        <v>252</v>
      </c>
      <c r="D710" s="750">
        <v>44972</v>
      </c>
      <c r="E710" s="753">
        <v>30</v>
      </c>
      <c r="F710" s="753">
        <v>86.967500000000001</v>
      </c>
      <c r="G710" s="753">
        <v>30</v>
      </c>
      <c r="H710" s="753">
        <v>0</v>
      </c>
      <c r="I710" s="754">
        <v>3.4000000000000002E-2</v>
      </c>
      <c r="J710" s="754">
        <v>3.5999999999999997E-2</v>
      </c>
      <c r="K710" s="754">
        <v>3.5700000000000003E-2</v>
      </c>
      <c r="L710" s="752">
        <v>6</v>
      </c>
    </row>
    <row r="711" spans="1:12" s="969" customFormat="1">
      <c r="A711" s="750">
        <v>44722</v>
      </c>
      <c r="B711" s="751" t="s">
        <v>2882</v>
      </c>
      <c r="C711" s="752">
        <v>252</v>
      </c>
      <c r="D711" s="750">
        <v>44974</v>
      </c>
      <c r="E711" s="753">
        <v>30</v>
      </c>
      <c r="F711" s="753">
        <v>116.8228</v>
      </c>
      <c r="G711" s="753">
        <v>30</v>
      </c>
      <c r="H711" s="753">
        <v>0</v>
      </c>
      <c r="I711" s="754">
        <v>3.6999999999999998E-2</v>
      </c>
      <c r="J711" s="754">
        <v>3.7999999999999999E-2</v>
      </c>
      <c r="K711" s="754">
        <v>3.78E-2</v>
      </c>
      <c r="L711" s="752">
        <v>7</v>
      </c>
    </row>
    <row r="712" spans="1:12" s="969" customFormat="1">
      <c r="A712" s="750">
        <v>44725</v>
      </c>
      <c r="B712" s="751" t="s">
        <v>2883</v>
      </c>
      <c r="C712" s="752">
        <v>168</v>
      </c>
      <c r="D712" s="750">
        <v>44893</v>
      </c>
      <c r="E712" s="753">
        <v>30</v>
      </c>
      <c r="F712" s="753">
        <v>89.581699999999998</v>
      </c>
      <c r="G712" s="753">
        <v>30</v>
      </c>
      <c r="H712" s="753">
        <v>0</v>
      </c>
      <c r="I712" s="754">
        <v>3.5000000000000003E-2</v>
      </c>
      <c r="J712" s="754">
        <v>3.5000000000000003E-2</v>
      </c>
      <c r="K712" s="754">
        <v>3.5000000000000003E-2</v>
      </c>
      <c r="L712" s="752">
        <v>7</v>
      </c>
    </row>
    <row r="713" spans="1:12" s="969" customFormat="1">
      <c r="A713" s="750">
        <v>44713</v>
      </c>
      <c r="B713" s="751" t="s">
        <v>2878</v>
      </c>
      <c r="C713" s="752">
        <v>168</v>
      </c>
      <c r="D713" s="750">
        <v>44881</v>
      </c>
      <c r="E713" s="753">
        <v>30</v>
      </c>
      <c r="F713" s="753">
        <v>75.878100000000003</v>
      </c>
      <c r="G713" s="753">
        <v>30</v>
      </c>
      <c r="H713" s="753">
        <v>0</v>
      </c>
      <c r="I713" s="754">
        <v>0.03</v>
      </c>
      <c r="J713" s="754">
        <v>0.03</v>
      </c>
      <c r="K713" s="754">
        <v>0.03</v>
      </c>
      <c r="L713" s="752">
        <v>6</v>
      </c>
    </row>
    <row r="714" spans="1:12" s="969" customFormat="1">
      <c r="A714" s="750">
        <v>44715</v>
      </c>
      <c r="B714" s="751" t="s">
        <v>2879</v>
      </c>
      <c r="C714" s="752">
        <v>252</v>
      </c>
      <c r="D714" s="750">
        <v>44967</v>
      </c>
      <c r="E714" s="753">
        <v>30</v>
      </c>
      <c r="F714" s="753">
        <v>81.626499999999993</v>
      </c>
      <c r="G714" s="753">
        <v>30</v>
      </c>
      <c r="H714" s="753">
        <v>0</v>
      </c>
      <c r="I714" s="754">
        <v>0.03</v>
      </c>
      <c r="J714" s="754">
        <v>3.1899999999999998E-2</v>
      </c>
      <c r="K714" s="754">
        <v>3.1699999999999999E-2</v>
      </c>
      <c r="L714" s="752">
        <v>4</v>
      </c>
    </row>
    <row r="715" spans="1:12" s="969" customFormat="1">
      <c r="A715" s="750">
        <v>44718</v>
      </c>
      <c r="B715" s="751" t="s">
        <v>2880</v>
      </c>
      <c r="C715" s="752">
        <v>168</v>
      </c>
      <c r="D715" s="750">
        <v>44886</v>
      </c>
      <c r="E715" s="753">
        <v>30</v>
      </c>
      <c r="F715" s="753">
        <v>79.354500000000002</v>
      </c>
      <c r="G715" s="753">
        <v>30</v>
      </c>
      <c r="H715" s="753">
        <v>0</v>
      </c>
      <c r="I715" s="754">
        <v>3.1E-2</v>
      </c>
      <c r="J715" s="754">
        <v>3.4000000000000002E-2</v>
      </c>
      <c r="K715" s="754">
        <v>3.39E-2</v>
      </c>
      <c r="L715" s="752">
        <v>4</v>
      </c>
    </row>
    <row r="716" spans="1:12" s="969" customFormat="1">
      <c r="A716" s="750">
        <v>44720</v>
      </c>
      <c r="B716" s="751" t="s">
        <v>2881</v>
      </c>
      <c r="C716" s="752">
        <v>252</v>
      </c>
      <c r="D716" s="750">
        <v>44972</v>
      </c>
      <c r="E716" s="753">
        <v>30</v>
      </c>
      <c r="F716" s="753">
        <v>86.967500000000001</v>
      </c>
      <c r="G716" s="753">
        <v>30</v>
      </c>
      <c r="H716" s="753">
        <v>0</v>
      </c>
      <c r="I716" s="754">
        <v>3.4000000000000002E-2</v>
      </c>
      <c r="J716" s="754">
        <v>3.5999999999999997E-2</v>
      </c>
      <c r="K716" s="754">
        <v>3.5700000000000003E-2</v>
      </c>
      <c r="L716" s="752">
        <v>6</v>
      </c>
    </row>
    <row r="717" spans="1:12" s="969" customFormat="1">
      <c r="A717" s="750">
        <v>44722</v>
      </c>
      <c r="B717" s="751" t="s">
        <v>2882</v>
      </c>
      <c r="C717" s="752">
        <v>252</v>
      </c>
      <c r="D717" s="750">
        <v>44974</v>
      </c>
      <c r="E717" s="753">
        <v>30</v>
      </c>
      <c r="F717" s="753">
        <v>116.8228</v>
      </c>
      <c r="G717" s="753">
        <v>30</v>
      </c>
      <c r="H717" s="753">
        <v>0</v>
      </c>
      <c r="I717" s="754">
        <v>3.6999999999999998E-2</v>
      </c>
      <c r="J717" s="754">
        <v>3.7999999999999999E-2</v>
      </c>
      <c r="K717" s="754">
        <v>3.78E-2</v>
      </c>
      <c r="L717" s="752">
        <v>7</v>
      </c>
    </row>
    <row r="718" spans="1:12" s="969" customFormat="1">
      <c r="A718" s="750">
        <v>44725</v>
      </c>
      <c r="B718" s="751" t="s">
        <v>2883</v>
      </c>
      <c r="C718" s="752">
        <v>168</v>
      </c>
      <c r="D718" s="750">
        <v>44893</v>
      </c>
      <c r="E718" s="753">
        <v>30</v>
      </c>
      <c r="F718" s="753">
        <v>89.581699999999998</v>
      </c>
      <c r="G718" s="753">
        <v>30</v>
      </c>
      <c r="H718" s="753">
        <v>0</v>
      </c>
      <c r="I718" s="754">
        <v>3.5000000000000003E-2</v>
      </c>
      <c r="J718" s="754">
        <v>3.5000000000000003E-2</v>
      </c>
      <c r="K718" s="754">
        <v>3.5000000000000003E-2</v>
      </c>
      <c r="L718" s="752">
        <v>7</v>
      </c>
    </row>
    <row r="719" spans="1:12" s="969" customFormat="1">
      <c r="A719" s="750">
        <v>44839</v>
      </c>
      <c r="B719" s="751" t="s">
        <v>3377</v>
      </c>
      <c r="C719" s="752">
        <v>28</v>
      </c>
      <c r="D719" s="750">
        <v>44867</v>
      </c>
      <c r="E719" s="753">
        <v>30</v>
      </c>
      <c r="F719" s="753">
        <v>72.1434</v>
      </c>
      <c r="G719" s="753">
        <v>30</v>
      </c>
      <c r="H719" s="753">
        <v>0</v>
      </c>
      <c r="I719" s="754">
        <v>2.9700000000000001E-2</v>
      </c>
      <c r="J719" s="754">
        <v>0.04</v>
      </c>
      <c r="K719" s="754">
        <v>3.4799999999999998E-2</v>
      </c>
      <c r="L719" s="752">
        <v>14</v>
      </c>
    </row>
    <row r="720" spans="1:12" s="969" customFormat="1">
      <c r="A720" s="750">
        <v>44839</v>
      </c>
      <c r="B720" s="751" t="s">
        <v>3378</v>
      </c>
      <c r="C720" s="752">
        <v>84</v>
      </c>
      <c r="D720" s="750">
        <v>44923</v>
      </c>
      <c r="E720" s="753">
        <v>30</v>
      </c>
      <c r="F720" s="753">
        <v>42.291499999999999</v>
      </c>
      <c r="G720" s="753">
        <v>30</v>
      </c>
      <c r="H720" s="753">
        <v>0</v>
      </c>
      <c r="I720" s="754">
        <v>3.2500000000000001E-2</v>
      </c>
      <c r="J720" s="754">
        <v>4.4499999999999998E-2</v>
      </c>
      <c r="K720" s="754">
        <v>4.1300000000000003E-2</v>
      </c>
      <c r="L720" s="752">
        <v>7</v>
      </c>
    </row>
    <row r="721" spans="1:12" s="969" customFormat="1">
      <c r="A721" s="750">
        <v>44840</v>
      </c>
      <c r="B721" s="751" t="s">
        <v>3379</v>
      </c>
      <c r="C721" s="752">
        <v>168</v>
      </c>
      <c r="D721" s="750">
        <v>45008</v>
      </c>
      <c r="E721" s="753">
        <v>30</v>
      </c>
      <c r="F721" s="753">
        <v>52.304900000000004</v>
      </c>
      <c r="G721" s="753">
        <v>30</v>
      </c>
      <c r="H721" s="753">
        <v>0</v>
      </c>
      <c r="I721" s="754">
        <v>4.5999999999999999E-2</v>
      </c>
      <c r="J721" s="754">
        <v>4.9200000000000001E-2</v>
      </c>
      <c r="K721" s="754">
        <v>4.8099999999999997E-2</v>
      </c>
      <c r="L721" s="752">
        <v>12</v>
      </c>
    </row>
    <row r="722" spans="1:12" s="969" customFormat="1">
      <c r="A722" s="750">
        <v>44840</v>
      </c>
      <c r="B722" s="751" t="s">
        <v>3380</v>
      </c>
      <c r="C722" s="752">
        <v>252</v>
      </c>
      <c r="D722" s="750">
        <v>45092</v>
      </c>
      <c r="E722" s="753">
        <v>30</v>
      </c>
      <c r="F722" s="753">
        <v>50.221800000000002</v>
      </c>
      <c r="G722" s="753">
        <v>30</v>
      </c>
      <c r="H722" s="753">
        <v>0</v>
      </c>
      <c r="I722" s="754">
        <v>4.7E-2</v>
      </c>
      <c r="J722" s="754">
        <v>5.2999999999999999E-2</v>
      </c>
      <c r="K722" s="754">
        <v>5.1999999999999998E-2</v>
      </c>
      <c r="L722" s="752">
        <v>11</v>
      </c>
    </row>
    <row r="723" spans="1:12" s="969" customFormat="1">
      <c r="A723" s="750">
        <v>44846</v>
      </c>
      <c r="B723" s="751" t="s">
        <v>3381</v>
      </c>
      <c r="C723" s="752">
        <v>28</v>
      </c>
      <c r="D723" s="750">
        <v>44874</v>
      </c>
      <c r="E723" s="753">
        <v>30</v>
      </c>
      <c r="F723" s="753">
        <v>53.516599999999997</v>
      </c>
      <c r="G723" s="753">
        <v>30</v>
      </c>
      <c r="H723" s="753">
        <v>0</v>
      </c>
      <c r="I723" s="754">
        <v>3.3000000000000002E-2</v>
      </c>
      <c r="J723" s="754">
        <v>0.04</v>
      </c>
      <c r="K723" s="754">
        <v>3.78E-2</v>
      </c>
      <c r="L723" s="752">
        <v>10</v>
      </c>
    </row>
    <row r="724" spans="1:12" s="969" customFormat="1">
      <c r="A724" s="750">
        <v>44846</v>
      </c>
      <c r="B724" s="751" t="s">
        <v>3382</v>
      </c>
      <c r="C724" s="752">
        <v>84</v>
      </c>
      <c r="D724" s="750">
        <v>44930</v>
      </c>
      <c r="E724" s="753">
        <v>30</v>
      </c>
      <c r="F724" s="753">
        <v>60.1616</v>
      </c>
      <c r="G724" s="753">
        <v>30</v>
      </c>
      <c r="H724" s="753">
        <v>0</v>
      </c>
      <c r="I724" s="754">
        <v>0.04</v>
      </c>
      <c r="J724" s="754">
        <v>4.3999999999999997E-2</v>
      </c>
      <c r="K724" s="754">
        <v>4.3099999999999999E-2</v>
      </c>
      <c r="L724" s="752">
        <v>11</v>
      </c>
    </row>
    <row r="725" spans="1:12" s="969" customFormat="1">
      <c r="A725" s="750">
        <v>44847</v>
      </c>
      <c r="B725" s="751" t="s">
        <v>3383</v>
      </c>
      <c r="C725" s="752">
        <v>168</v>
      </c>
      <c r="D725" s="750">
        <v>45015</v>
      </c>
      <c r="E725" s="753">
        <v>30</v>
      </c>
      <c r="F725" s="753">
        <v>59.381900000000002</v>
      </c>
      <c r="G725" s="753">
        <v>30</v>
      </c>
      <c r="H725" s="753">
        <v>0</v>
      </c>
      <c r="I725" s="754">
        <v>0.04</v>
      </c>
      <c r="J725" s="754">
        <v>4.9099999999999998E-2</v>
      </c>
      <c r="K725" s="754">
        <v>4.6699999999999998E-2</v>
      </c>
      <c r="L725" s="752">
        <v>11</v>
      </c>
    </row>
    <row r="726" spans="1:12" s="969" customFormat="1">
      <c r="A726" s="750">
        <v>44847</v>
      </c>
      <c r="B726" s="751" t="s">
        <v>3384</v>
      </c>
      <c r="C726" s="752">
        <v>252</v>
      </c>
      <c r="D726" s="750">
        <v>45099</v>
      </c>
      <c r="E726" s="753">
        <v>30</v>
      </c>
      <c r="F726" s="753">
        <v>47.948399999999999</v>
      </c>
      <c r="G726" s="753">
        <v>30</v>
      </c>
      <c r="H726" s="753">
        <v>0</v>
      </c>
      <c r="I726" s="754">
        <v>4.2000000000000003E-2</v>
      </c>
      <c r="J726" s="754">
        <v>5.2900000000000003E-2</v>
      </c>
      <c r="K726" s="754">
        <v>5.0200000000000002E-2</v>
      </c>
      <c r="L726" s="752">
        <v>9</v>
      </c>
    </row>
    <row r="727" spans="1:12" s="969" customFormat="1">
      <c r="A727" s="750">
        <v>44853</v>
      </c>
      <c r="B727" s="751" t="s">
        <v>3385</v>
      </c>
      <c r="C727" s="752">
        <v>28</v>
      </c>
      <c r="D727" s="750">
        <v>44881</v>
      </c>
      <c r="E727" s="753">
        <v>30</v>
      </c>
      <c r="F727" s="753">
        <v>66.016099999999994</v>
      </c>
      <c r="G727" s="753">
        <v>30</v>
      </c>
      <c r="H727" s="753">
        <v>0</v>
      </c>
      <c r="I727" s="754">
        <v>3.5000000000000003E-2</v>
      </c>
      <c r="J727" s="754">
        <v>3.5000000000000003E-2</v>
      </c>
      <c r="K727" s="754">
        <v>3.5000000000000003E-2</v>
      </c>
      <c r="L727" s="752">
        <v>10</v>
      </c>
    </row>
    <row r="728" spans="1:12" s="969" customFormat="1">
      <c r="A728" s="750">
        <v>44853</v>
      </c>
      <c r="B728" s="751" t="s">
        <v>3386</v>
      </c>
      <c r="C728" s="752">
        <v>84</v>
      </c>
      <c r="D728" s="750">
        <v>44937</v>
      </c>
      <c r="E728" s="753">
        <v>30</v>
      </c>
      <c r="F728" s="753">
        <v>69.653099999999995</v>
      </c>
      <c r="G728" s="753">
        <v>30</v>
      </c>
      <c r="H728" s="753">
        <v>0</v>
      </c>
      <c r="I728" s="754">
        <v>4.1000000000000002E-2</v>
      </c>
      <c r="J728" s="754">
        <v>4.1000000000000002E-2</v>
      </c>
      <c r="K728" s="754">
        <v>4.1000000000000002E-2</v>
      </c>
      <c r="L728" s="752">
        <v>12</v>
      </c>
    </row>
    <row r="729" spans="1:12" s="969" customFormat="1">
      <c r="A729" s="750">
        <v>44854</v>
      </c>
      <c r="B729" s="751" t="s">
        <v>3387</v>
      </c>
      <c r="C729" s="752">
        <v>168</v>
      </c>
      <c r="D729" s="750">
        <v>45022</v>
      </c>
      <c r="E729" s="753">
        <v>30</v>
      </c>
      <c r="F729" s="753">
        <v>65.529499999999999</v>
      </c>
      <c r="G729" s="753">
        <v>30</v>
      </c>
      <c r="H729" s="753">
        <v>0</v>
      </c>
      <c r="I729" s="754">
        <v>4.1000000000000002E-2</v>
      </c>
      <c r="J729" s="754">
        <v>4.4900000000000002E-2</v>
      </c>
      <c r="K729" s="754">
        <v>4.3900000000000002E-2</v>
      </c>
      <c r="L729" s="752">
        <v>12</v>
      </c>
    </row>
    <row r="730" spans="1:12" s="969" customFormat="1">
      <c r="A730" s="750">
        <v>44854</v>
      </c>
      <c r="B730" s="751" t="s">
        <v>3388</v>
      </c>
      <c r="C730" s="752">
        <v>252</v>
      </c>
      <c r="D730" s="750">
        <v>45106</v>
      </c>
      <c r="E730" s="753">
        <v>30</v>
      </c>
      <c r="F730" s="753">
        <v>67.272599999999997</v>
      </c>
      <c r="G730" s="753">
        <v>30</v>
      </c>
      <c r="H730" s="753">
        <v>0</v>
      </c>
      <c r="I730" s="754">
        <v>4.2000000000000003E-2</v>
      </c>
      <c r="J730" s="754">
        <v>4.9000000000000002E-2</v>
      </c>
      <c r="K730" s="754">
        <v>4.6899999999999997E-2</v>
      </c>
      <c r="L730" s="752">
        <v>12</v>
      </c>
    </row>
    <row r="731" spans="1:12" s="969" customFormat="1">
      <c r="A731" s="750">
        <v>44860</v>
      </c>
      <c r="B731" s="751" t="s">
        <v>3389</v>
      </c>
      <c r="C731" s="752">
        <v>28</v>
      </c>
      <c r="D731" s="750">
        <v>44888</v>
      </c>
      <c r="E731" s="753">
        <v>30</v>
      </c>
      <c r="F731" s="753">
        <v>46.026200000000003</v>
      </c>
      <c r="G731" s="753">
        <v>30</v>
      </c>
      <c r="H731" s="753">
        <v>0</v>
      </c>
      <c r="I731" s="754">
        <v>3.1E-2</v>
      </c>
      <c r="J731" s="754">
        <v>3.5000000000000003E-2</v>
      </c>
      <c r="K731" s="754">
        <v>3.39E-2</v>
      </c>
      <c r="L731" s="752">
        <v>8</v>
      </c>
    </row>
    <row r="732" spans="1:12" s="969" customFormat="1">
      <c r="A732" s="750">
        <v>44860</v>
      </c>
      <c r="B732" s="751" t="s">
        <v>3390</v>
      </c>
      <c r="C732" s="752">
        <v>84</v>
      </c>
      <c r="D732" s="750">
        <v>44944</v>
      </c>
      <c r="E732" s="753">
        <v>30</v>
      </c>
      <c r="F732" s="753">
        <v>60.174599999999998</v>
      </c>
      <c r="G732" s="753">
        <v>30</v>
      </c>
      <c r="H732" s="753">
        <v>0</v>
      </c>
      <c r="I732" s="754">
        <v>0.04</v>
      </c>
      <c r="J732" s="754">
        <v>4.0500000000000001E-2</v>
      </c>
      <c r="K732" s="754">
        <v>4.0099999999999997E-2</v>
      </c>
      <c r="L732" s="752">
        <v>11</v>
      </c>
    </row>
    <row r="733" spans="1:12" s="969" customFormat="1">
      <c r="A733" s="750">
        <v>44861</v>
      </c>
      <c r="B733" s="751" t="s">
        <v>3391</v>
      </c>
      <c r="C733" s="752">
        <v>168</v>
      </c>
      <c r="D733" s="750">
        <v>45029</v>
      </c>
      <c r="E733" s="753">
        <v>30</v>
      </c>
      <c r="F733" s="753">
        <v>64.841999999999999</v>
      </c>
      <c r="G733" s="753">
        <v>30</v>
      </c>
      <c r="H733" s="753">
        <v>0</v>
      </c>
      <c r="I733" s="754">
        <v>4.2500000000000003E-2</v>
      </c>
      <c r="J733" s="754">
        <v>4.3499999999999997E-2</v>
      </c>
      <c r="K733" s="754">
        <v>4.3200000000000002E-2</v>
      </c>
      <c r="L733" s="752">
        <v>13</v>
      </c>
    </row>
    <row r="734" spans="1:12" s="969" customFormat="1">
      <c r="A734" s="750">
        <v>44861</v>
      </c>
      <c r="B734" s="751" t="s">
        <v>3392</v>
      </c>
      <c r="C734" s="752">
        <v>252</v>
      </c>
      <c r="D734" s="750">
        <v>45113</v>
      </c>
      <c r="E734" s="753">
        <v>30</v>
      </c>
      <c r="F734" s="753">
        <v>63.841799999999999</v>
      </c>
      <c r="G734" s="753">
        <v>30</v>
      </c>
      <c r="H734" s="753">
        <v>0</v>
      </c>
      <c r="I734" s="754">
        <v>4.58E-2</v>
      </c>
      <c r="J734" s="754">
        <v>4.65E-2</v>
      </c>
      <c r="K734" s="754">
        <v>4.6300000000000001E-2</v>
      </c>
      <c r="L734" s="752">
        <v>13</v>
      </c>
    </row>
    <row r="735" spans="1:12" s="969" customFormat="1">
      <c r="A735" s="750">
        <v>44867</v>
      </c>
      <c r="B735" s="751" t="s">
        <v>3400</v>
      </c>
      <c r="C735" s="752">
        <v>28</v>
      </c>
      <c r="D735" s="750">
        <v>44895</v>
      </c>
      <c r="E735" s="753">
        <v>30</v>
      </c>
      <c r="F735" s="753">
        <v>41.501600000000003</v>
      </c>
      <c r="G735" s="753">
        <v>30</v>
      </c>
      <c r="H735" s="753">
        <v>0</v>
      </c>
      <c r="I735" s="754">
        <v>3.6999999999999998E-2</v>
      </c>
      <c r="J735" s="754">
        <v>0.04</v>
      </c>
      <c r="K735" s="754">
        <v>3.8540055318366608E-2</v>
      </c>
      <c r="L735" s="752">
        <v>7</v>
      </c>
    </row>
    <row r="736" spans="1:12" s="969" customFormat="1">
      <c r="A736" s="750">
        <v>44867</v>
      </c>
      <c r="B736" s="751" t="s">
        <v>3401</v>
      </c>
      <c r="C736" s="752">
        <v>84</v>
      </c>
      <c r="D736" s="750">
        <v>44951</v>
      </c>
      <c r="E736" s="753">
        <v>30</v>
      </c>
      <c r="F736" s="753">
        <v>54.505099999999999</v>
      </c>
      <c r="G736" s="753">
        <v>30</v>
      </c>
      <c r="H736" s="753">
        <v>0</v>
      </c>
      <c r="I736" s="754">
        <v>0.04</v>
      </c>
      <c r="J736" s="754">
        <v>4.4999999999999998E-2</v>
      </c>
      <c r="K736" s="754">
        <v>4.3434E-2</v>
      </c>
      <c r="L736" s="752">
        <v>9</v>
      </c>
    </row>
    <row r="737" spans="1:12" s="969" customFormat="1">
      <c r="A737" s="750">
        <v>44868</v>
      </c>
      <c r="B737" s="751" t="s">
        <v>3402</v>
      </c>
      <c r="C737" s="752">
        <v>168</v>
      </c>
      <c r="D737" s="750">
        <v>45036</v>
      </c>
      <c r="E737" s="753">
        <v>30</v>
      </c>
      <c r="F737" s="753">
        <v>75.257400000000004</v>
      </c>
      <c r="G737" s="753">
        <v>30</v>
      </c>
      <c r="H737" s="753">
        <v>0</v>
      </c>
      <c r="I737" s="754">
        <v>4.58E-2</v>
      </c>
      <c r="J737" s="754">
        <v>4.9500000000000002E-2</v>
      </c>
      <c r="K737" s="754">
        <v>4.7800000000000002E-2</v>
      </c>
      <c r="L737" s="752">
        <v>14</v>
      </c>
    </row>
    <row r="738" spans="1:12" s="969" customFormat="1">
      <c r="A738" s="750">
        <v>44868</v>
      </c>
      <c r="B738" s="751" t="s">
        <v>3403</v>
      </c>
      <c r="C738" s="752">
        <v>252</v>
      </c>
      <c r="D738" s="750">
        <v>45120</v>
      </c>
      <c r="E738" s="753">
        <v>30</v>
      </c>
      <c r="F738" s="753">
        <v>72.5839</v>
      </c>
      <c r="G738" s="753">
        <v>30</v>
      </c>
      <c r="H738" s="753">
        <v>0</v>
      </c>
      <c r="I738" s="754">
        <v>4.8800000000000003E-2</v>
      </c>
      <c r="J738" s="754">
        <v>5.2499999999999998E-2</v>
      </c>
      <c r="K738" s="754">
        <v>5.11E-2</v>
      </c>
      <c r="L738" s="752">
        <v>14</v>
      </c>
    </row>
    <row r="739" spans="1:12" s="969" customFormat="1">
      <c r="A739" s="750">
        <v>44875</v>
      </c>
      <c r="B739" s="751" t="s">
        <v>3404</v>
      </c>
      <c r="C739" s="752">
        <v>27</v>
      </c>
      <c r="D739" s="750">
        <v>44902</v>
      </c>
      <c r="E739" s="753">
        <v>30</v>
      </c>
      <c r="F739" s="753">
        <v>71.719099999999997</v>
      </c>
      <c r="G739" s="753">
        <v>30</v>
      </c>
      <c r="H739" s="753">
        <v>0</v>
      </c>
      <c r="I739" s="754">
        <v>3.7699999999999997E-2</v>
      </c>
      <c r="J739" s="754">
        <v>3.7999999999999999E-2</v>
      </c>
      <c r="K739" s="754">
        <v>3.7900000000000003E-2</v>
      </c>
      <c r="L739" s="752">
        <v>14</v>
      </c>
    </row>
    <row r="740" spans="1:12" s="969" customFormat="1">
      <c r="A740" s="750">
        <v>44875</v>
      </c>
      <c r="B740" s="751" t="s">
        <v>3405</v>
      </c>
      <c r="C740" s="752">
        <v>83</v>
      </c>
      <c r="D740" s="750">
        <v>44958</v>
      </c>
      <c r="E740" s="753">
        <v>30</v>
      </c>
      <c r="F740" s="753">
        <v>66.793099999999995</v>
      </c>
      <c r="G740" s="753">
        <v>30</v>
      </c>
      <c r="H740" s="753">
        <v>0</v>
      </c>
      <c r="I740" s="754">
        <v>4.1500000000000002E-2</v>
      </c>
      <c r="J740" s="754">
        <v>4.2000000000000003E-2</v>
      </c>
      <c r="K740" s="754">
        <v>4.19E-2</v>
      </c>
      <c r="L740" s="752">
        <v>13</v>
      </c>
    </row>
    <row r="741" spans="1:12" s="969" customFormat="1">
      <c r="A741" s="750">
        <v>44876</v>
      </c>
      <c r="B741" s="751" t="s">
        <v>3406</v>
      </c>
      <c r="C741" s="752">
        <v>167</v>
      </c>
      <c r="D741" s="750">
        <v>45043</v>
      </c>
      <c r="E741" s="753">
        <v>30</v>
      </c>
      <c r="F741" s="753">
        <v>48.932299999999998</v>
      </c>
      <c r="G741" s="753">
        <v>30</v>
      </c>
      <c r="H741" s="753">
        <v>0</v>
      </c>
      <c r="I741" s="754">
        <v>4.3999999999999997E-2</v>
      </c>
      <c r="J741" s="754">
        <v>4.4200000000000003E-2</v>
      </c>
      <c r="K741" s="754">
        <v>4.41E-2</v>
      </c>
      <c r="L741" s="752">
        <v>9</v>
      </c>
    </row>
    <row r="742" spans="1:12" s="969" customFormat="1">
      <c r="A742" s="750">
        <v>44876</v>
      </c>
      <c r="B742" s="751" t="s">
        <v>3407</v>
      </c>
      <c r="C742" s="752">
        <v>251</v>
      </c>
      <c r="D742" s="750">
        <v>45127</v>
      </c>
      <c r="E742" s="753">
        <v>30</v>
      </c>
      <c r="F742" s="753">
        <v>54.165300000000002</v>
      </c>
      <c r="G742" s="753">
        <v>30</v>
      </c>
      <c r="H742" s="753">
        <v>0</v>
      </c>
      <c r="I742" s="754">
        <v>4.7500000000000001E-2</v>
      </c>
      <c r="J742" s="754">
        <v>4.8000000000000001E-2</v>
      </c>
      <c r="K742" s="754">
        <v>4.7800000000000002E-2</v>
      </c>
      <c r="L742" s="752">
        <v>10</v>
      </c>
    </row>
    <row r="743" spans="1:12" s="969" customFormat="1">
      <c r="A743" s="750">
        <v>44881</v>
      </c>
      <c r="B743" s="751" t="s">
        <v>3408</v>
      </c>
      <c r="C743" s="752">
        <v>28</v>
      </c>
      <c r="D743" s="750">
        <v>44909</v>
      </c>
      <c r="E743" s="753">
        <v>30</v>
      </c>
      <c r="F743" s="753">
        <v>59.017800000000001</v>
      </c>
      <c r="G743" s="753">
        <v>30</v>
      </c>
      <c r="H743" s="753">
        <v>0</v>
      </c>
      <c r="I743" s="754">
        <v>3.4000000000000002E-2</v>
      </c>
      <c r="J743" s="754">
        <v>3.7999999999999999E-2</v>
      </c>
      <c r="K743" s="754">
        <v>3.5900000000000001E-2</v>
      </c>
      <c r="L743" s="752">
        <v>10</v>
      </c>
    </row>
    <row r="744" spans="1:12" s="969" customFormat="1">
      <c r="A744" s="750">
        <v>44881</v>
      </c>
      <c r="B744" s="751" t="s">
        <v>3409</v>
      </c>
      <c r="C744" s="752">
        <v>84</v>
      </c>
      <c r="D744" s="750">
        <v>44965</v>
      </c>
      <c r="E744" s="753">
        <v>30</v>
      </c>
      <c r="F744" s="753">
        <v>68.771000000000001</v>
      </c>
      <c r="G744" s="753">
        <v>30</v>
      </c>
      <c r="H744" s="753">
        <v>0</v>
      </c>
      <c r="I744" s="754">
        <v>3.9800000000000002E-2</v>
      </c>
      <c r="J744" s="754">
        <v>4.2000000000000003E-2</v>
      </c>
      <c r="K744" s="754">
        <v>4.0500000000000001E-2</v>
      </c>
      <c r="L744" s="752">
        <v>12</v>
      </c>
    </row>
    <row r="745" spans="1:12" s="969" customFormat="1">
      <c r="A745" s="750">
        <v>44882</v>
      </c>
      <c r="B745" s="751" t="s">
        <v>3410</v>
      </c>
      <c r="C745" s="752">
        <v>168</v>
      </c>
      <c r="D745" s="750">
        <v>45050</v>
      </c>
      <c r="E745" s="753">
        <v>30</v>
      </c>
      <c r="F745" s="753">
        <v>40.367400000000004</v>
      </c>
      <c r="G745" s="753">
        <v>30</v>
      </c>
      <c r="H745" s="753">
        <v>0</v>
      </c>
      <c r="I745" s="754">
        <v>4.1700000000000001E-2</v>
      </c>
      <c r="J745" s="754">
        <v>4.2500000000000003E-2</v>
      </c>
      <c r="K745" s="754">
        <v>4.2299999999999997E-2</v>
      </c>
      <c r="L745" s="752">
        <v>7</v>
      </c>
    </row>
    <row r="746" spans="1:12" s="969" customFormat="1">
      <c r="A746" s="750">
        <v>44882</v>
      </c>
      <c r="B746" s="751" t="s">
        <v>3411</v>
      </c>
      <c r="C746" s="752">
        <v>252</v>
      </c>
      <c r="D746" s="750">
        <v>45134</v>
      </c>
      <c r="E746" s="753">
        <v>30</v>
      </c>
      <c r="F746" s="753">
        <v>40.5807</v>
      </c>
      <c r="G746" s="753">
        <v>30</v>
      </c>
      <c r="H746" s="753">
        <v>0</v>
      </c>
      <c r="I746" s="754">
        <v>4.4499999999999998E-2</v>
      </c>
      <c r="J746" s="754">
        <v>4.7500000000000001E-2</v>
      </c>
      <c r="K746" s="754">
        <v>4.6699999999999998E-2</v>
      </c>
      <c r="L746" s="752">
        <v>7</v>
      </c>
    </row>
    <row r="747" spans="1:12" s="969" customFormat="1">
      <c r="A747" s="750">
        <v>44888</v>
      </c>
      <c r="B747" s="751" t="s">
        <v>3412</v>
      </c>
      <c r="C747" s="752">
        <v>28</v>
      </c>
      <c r="D747" s="750">
        <v>44916</v>
      </c>
      <c r="E747" s="753">
        <v>30</v>
      </c>
      <c r="F747" s="753">
        <v>52.811300000000003</v>
      </c>
      <c r="G747" s="753">
        <v>30</v>
      </c>
      <c r="H747" s="753">
        <v>0</v>
      </c>
      <c r="I747" s="754">
        <v>3.4000000000000002E-2</v>
      </c>
      <c r="J747" s="754">
        <v>3.5000000000000003E-2</v>
      </c>
      <c r="K747" s="754">
        <v>3.4599999999999999E-2</v>
      </c>
      <c r="L747" s="752">
        <v>8</v>
      </c>
    </row>
    <row r="748" spans="1:12" s="969" customFormat="1">
      <c r="A748" s="750">
        <v>44888</v>
      </c>
      <c r="B748" s="751" t="s">
        <v>3413</v>
      </c>
      <c r="C748" s="752">
        <v>84</v>
      </c>
      <c r="D748" s="750">
        <v>44972</v>
      </c>
      <c r="E748" s="753">
        <v>30</v>
      </c>
      <c r="F748" s="753">
        <v>44.901400000000002</v>
      </c>
      <c r="G748" s="753">
        <v>30</v>
      </c>
      <c r="H748" s="753">
        <v>0</v>
      </c>
      <c r="I748" s="754">
        <v>3.8699999999999998E-2</v>
      </c>
      <c r="J748" s="754">
        <v>4.1000000000000002E-2</v>
      </c>
      <c r="K748" s="754">
        <v>3.9899999999999998E-2</v>
      </c>
      <c r="L748" s="752">
        <v>7</v>
      </c>
    </row>
    <row r="749" spans="1:12" s="969" customFormat="1">
      <c r="A749" s="750">
        <v>44889</v>
      </c>
      <c r="B749" s="751" t="s">
        <v>3414</v>
      </c>
      <c r="C749" s="752">
        <v>168</v>
      </c>
      <c r="D749" s="750">
        <v>45057</v>
      </c>
      <c r="E749" s="753">
        <v>30</v>
      </c>
      <c r="F749" s="753">
        <v>37.841799999999999</v>
      </c>
      <c r="G749" s="753">
        <v>30</v>
      </c>
      <c r="H749" s="753">
        <v>0</v>
      </c>
      <c r="I749" s="754">
        <v>4.1000000000000002E-2</v>
      </c>
      <c r="J749" s="754">
        <v>4.2000000000000003E-2</v>
      </c>
      <c r="K749" s="754">
        <v>4.1200000000000001E-2</v>
      </c>
      <c r="L749" s="752">
        <v>6</v>
      </c>
    </row>
    <row r="750" spans="1:12" s="969" customFormat="1">
      <c r="A750" s="750">
        <v>44889</v>
      </c>
      <c r="B750" s="751" t="s">
        <v>3415</v>
      </c>
      <c r="C750" s="752">
        <v>252</v>
      </c>
      <c r="D750" s="750">
        <v>45141</v>
      </c>
      <c r="E750" s="753">
        <v>30</v>
      </c>
      <c r="F750" s="753">
        <v>49.133600000000001</v>
      </c>
      <c r="G750" s="753">
        <v>30</v>
      </c>
      <c r="H750" s="753">
        <v>0</v>
      </c>
      <c r="I750" s="754">
        <v>4.4699999999999997E-2</v>
      </c>
      <c r="J750" s="754">
        <v>4.5999999999999999E-2</v>
      </c>
      <c r="K750" s="754">
        <v>4.5699999999999998E-2</v>
      </c>
      <c r="L750" s="752">
        <v>8</v>
      </c>
    </row>
    <row r="751" spans="1:12" s="969" customFormat="1">
      <c r="A751" s="750">
        <v>44895</v>
      </c>
      <c r="B751" s="751" t="s">
        <v>3416</v>
      </c>
      <c r="C751" s="752">
        <v>28</v>
      </c>
      <c r="D751" s="750">
        <v>44923</v>
      </c>
      <c r="E751" s="753">
        <v>30</v>
      </c>
      <c r="F751" s="753">
        <v>49.503700000000002</v>
      </c>
      <c r="G751" s="753">
        <v>30</v>
      </c>
      <c r="H751" s="753">
        <v>0</v>
      </c>
      <c r="I751" s="754">
        <v>3.2399999999999998E-2</v>
      </c>
      <c r="J751" s="754">
        <v>3.5000000000000003E-2</v>
      </c>
      <c r="K751" s="754">
        <v>3.4200000000000001E-2</v>
      </c>
      <c r="L751" s="752">
        <v>9</v>
      </c>
    </row>
    <row r="752" spans="1:12" s="969" customFormat="1">
      <c r="A752" s="750">
        <v>44895</v>
      </c>
      <c r="B752" s="751" t="s">
        <v>3417</v>
      </c>
      <c r="C752" s="752">
        <v>84</v>
      </c>
      <c r="D752" s="750">
        <v>44979</v>
      </c>
      <c r="E752" s="753">
        <v>30</v>
      </c>
      <c r="F752" s="753">
        <v>34.538600000000002</v>
      </c>
      <c r="G752" s="753">
        <v>30</v>
      </c>
      <c r="H752" s="753">
        <v>0</v>
      </c>
      <c r="I752" s="754">
        <v>3.6799999999999999E-2</v>
      </c>
      <c r="J752" s="754">
        <v>0.05</v>
      </c>
      <c r="K752" s="754">
        <v>4.02E-2</v>
      </c>
      <c r="L752" s="752">
        <v>6</v>
      </c>
    </row>
    <row r="753" spans="1:12" s="969" customFormat="1">
      <c r="A753" s="750">
        <v>44896</v>
      </c>
      <c r="B753" s="751" t="s">
        <v>3463</v>
      </c>
      <c r="C753" s="752">
        <v>168</v>
      </c>
      <c r="D753" s="750">
        <v>45064</v>
      </c>
      <c r="E753" s="753">
        <v>30</v>
      </c>
      <c r="F753" s="753">
        <v>44.740200000000002</v>
      </c>
      <c r="G753" s="753">
        <v>30</v>
      </c>
      <c r="H753" s="753">
        <v>0</v>
      </c>
      <c r="I753" s="754">
        <v>4.4900000000000002E-2</v>
      </c>
      <c r="J753" s="754">
        <v>0.05</v>
      </c>
      <c r="K753" s="754">
        <v>4.8300000000000003E-2</v>
      </c>
      <c r="L753" s="752">
        <v>11</v>
      </c>
    </row>
    <row r="754" spans="1:12" s="969" customFormat="1">
      <c r="A754" s="750">
        <v>44896</v>
      </c>
      <c r="B754" s="751" t="s">
        <v>3464</v>
      </c>
      <c r="C754" s="752">
        <v>252</v>
      </c>
      <c r="D754" s="750">
        <v>45148</v>
      </c>
      <c r="E754" s="753">
        <v>30</v>
      </c>
      <c r="F754" s="753">
        <v>35.761499999999998</v>
      </c>
      <c r="G754" s="753">
        <v>30</v>
      </c>
      <c r="H754" s="753">
        <v>0</v>
      </c>
      <c r="I754" s="754">
        <v>5.2900000000000003E-2</v>
      </c>
      <c r="J754" s="754">
        <v>0.06</v>
      </c>
      <c r="K754" s="754">
        <v>5.5E-2</v>
      </c>
      <c r="L754" s="752">
        <v>8</v>
      </c>
    </row>
    <row r="755" spans="1:12" s="969" customFormat="1">
      <c r="A755" s="750">
        <v>44902</v>
      </c>
      <c r="B755" s="751" t="s">
        <v>3465</v>
      </c>
      <c r="C755" s="752">
        <v>28</v>
      </c>
      <c r="D755" s="750">
        <v>44930</v>
      </c>
      <c r="E755" s="753">
        <v>30</v>
      </c>
      <c r="F755" s="753">
        <v>41.514600000000002</v>
      </c>
      <c r="G755" s="753">
        <v>30</v>
      </c>
      <c r="H755" s="753">
        <v>0</v>
      </c>
      <c r="I755" s="754">
        <v>3.3799999999999997E-2</v>
      </c>
      <c r="J755" s="754">
        <v>4.3999999999999997E-2</v>
      </c>
      <c r="K755" s="754">
        <v>3.78E-2</v>
      </c>
      <c r="L755" s="752">
        <v>8</v>
      </c>
    </row>
    <row r="756" spans="1:12" s="969" customFormat="1">
      <c r="A756" s="750">
        <v>44902</v>
      </c>
      <c r="B756" s="751" t="s">
        <v>3466</v>
      </c>
      <c r="C756" s="752">
        <v>84</v>
      </c>
      <c r="D756" s="750">
        <v>44986</v>
      </c>
      <c r="E756" s="753">
        <v>30</v>
      </c>
      <c r="F756" s="753">
        <v>38.034700000000001</v>
      </c>
      <c r="G756" s="753">
        <v>30</v>
      </c>
      <c r="H756" s="753">
        <v>0</v>
      </c>
      <c r="I756" s="754">
        <v>3.8800000000000001E-2</v>
      </c>
      <c r="J756" s="754">
        <v>4.9000000000000002E-2</v>
      </c>
      <c r="K756" s="754">
        <v>4.5100000000000001E-2</v>
      </c>
      <c r="L756" s="752">
        <v>8</v>
      </c>
    </row>
    <row r="757" spans="1:12" s="969" customFormat="1">
      <c r="A757" s="750">
        <v>44903</v>
      </c>
      <c r="B757" s="751" t="s">
        <v>3467</v>
      </c>
      <c r="C757" s="752">
        <v>168</v>
      </c>
      <c r="D757" s="750">
        <v>45071</v>
      </c>
      <c r="E757" s="753">
        <v>30</v>
      </c>
      <c r="F757" s="753">
        <v>42.512700000000002</v>
      </c>
      <c r="G757" s="753">
        <v>30</v>
      </c>
      <c r="H757" s="753">
        <v>0</v>
      </c>
      <c r="I757" s="754">
        <v>0.05</v>
      </c>
      <c r="J757" s="754">
        <v>5.5E-2</v>
      </c>
      <c r="K757" s="754">
        <v>5.28E-2</v>
      </c>
      <c r="L757" s="752">
        <v>8</v>
      </c>
    </row>
    <row r="758" spans="1:12" s="969" customFormat="1">
      <c r="A758" s="750">
        <v>44903</v>
      </c>
      <c r="B758" s="751" t="s">
        <v>3468</v>
      </c>
      <c r="C758" s="752">
        <v>252</v>
      </c>
      <c r="D758" s="750">
        <v>45155</v>
      </c>
      <c r="E758" s="753">
        <v>30</v>
      </c>
      <c r="F758" s="753">
        <v>37.080100000000002</v>
      </c>
      <c r="G758" s="753">
        <v>30</v>
      </c>
      <c r="H758" s="753">
        <v>0</v>
      </c>
      <c r="I758" s="754">
        <v>5.6500000000000002E-2</v>
      </c>
      <c r="J758" s="754">
        <v>0.06</v>
      </c>
      <c r="K758" s="754">
        <v>5.9400000000000001E-2</v>
      </c>
      <c r="L758" s="752">
        <v>8</v>
      </c>
    </row>
    <row r="759" spans="1:12" s="969" customFormat="1">
      <c r="A759" s="750">
        <v>44909</v>
      </c>
      <c r="B759" s="751" t="s">
        <v>3469</v>
      </c>
      <c r="C759" s="752">
        <v>28</v>
      </c>
      <c r="D759" s="750">
        <v>44937</v>
      </c>
      <c r="E759" s="753">
        <v>30</v>
      </c>
      <c r="F759" s="753">
        <v>40.514000000000003</v>
      </c>
      <c r="G759" s="753">
        <v>30</v>
      </c>
      <c r="H759" s="753">
        <v>0</v>
      </c>
      <c r="I759" s="754">
        <v>3.85E-2</v>
      </c>
      <c r="J759" s="754">
        <v>4.9500000000000002E-2</v>
      </c>
      <c r="K759" s="754">
        <v>4.1200000000000001E-2</v>
      </c>
      <c r="L759" s="752">
        <v>7</v>
      </c>
    </row>
    <row r="760" spans="1:12" s="969" customFormat="1">
      <c r="A760" s="750">
        <v>44909</v>
      </c>
      <c r="B760" s="751" t="s">
        <v>3470</v>
      </c>
      <c r="C760" s="752">
        <v>84</v>
      </c>
      <c r="D760" s="750">
        <v>44993</v>
      </c>
      <c r="E760" s="753">
        <v>30</v>
      </c>
      <c r="F760" s="753">
        <v>26.021100000000001</v>
      </c>
      <c r="G760" s="753">
        <v>26.021100000000001</v>
      </c>
      <c r="H760" s="753">
        <v>0</v>
      </c>
      <c r="I760" s="754">
        <v>4.5999999999999999E-2</v>
      </c>
      <c r="J760" s="754">
        <v>5.8500000000000003E-2</v>
      </c>
      <c r="K760" s="754">
        <v>5.1799999999999999E-2</v>
      </c>
      <c r="L760" s="752">
        <v>6</v>
      </c>
    </row>
    <row r="761" spans="1:12" s="969" customFormat="1">
      <c r="A761" s="750">
        <v>44910</v>
      </c>
      <c r="B761" s="751" t="s">
        <v>3471</v>
      </c>
      <c r="C761" s="752">
        <v>168</v>
      </c>
      <c r="D761" s="750">
        <v>45078</v>
      </c>
      <c r="E761" s="753">
        <v>30</v>
      </c>
      <c r="F761" s="753">
        <v>43.1678</v>
      </c>
      <c r="G761" s="753">
        <v>30</v>
      </c>
      <c r="H761" s="753">
        <v>0</v>
      </c>
      <c r="I761" s="754">
        <v>5.5E-2</v>
      </c>
      <c r="J761" s="754">
        <v>6.5500000000000003E-2</v>
      </c>
      <c r="K761" s="754">
        <v>6.1400000000000003E-2</v>
      </c>
      <c r="L761" s="752">
        <v>10</v>
      </c>
    </row>
    <row r="762" spans="1:12" s="969" customFormat="1">
      <c r="A762" s="750">
        <v>44910</v>
      </c>
      <c r="B762" s="751" t="s">
        <v>3472</v>
      </c>
      <c r="C762" s="752">
        <v>252</v>
      </c>
      <c r="D762" s="750">
        <v>45162</v>
      </c>
      <c r="E762" s="753">
        <v>30</v>
      </c>
      <c r="F762" s="753">
        <v>38.567300000000003</v>
      </c>
      <c r="G762" s="753">
        <v>30</v>
      </c>
      <c r="H762" s="753">
        <v>0</v>
      </c>
      <c r="I762" s="754">
        <v>0.06</v>
      </c>
      <c r="J762" s="754">
        <v>7.3499999999999996E-2</v>
      </c>
      <c r="K762" s="754">
        <v>6.6900000000000001E-2</v>
      </c>
      <c r="L762" s="752">
        <v>9</v>
      </c>
    </row>
    <row r="763" spans="1:12" s="969" customFormat="1">
      <c r="A763" s="750">
        <v>44916</v>
      </c>
      <c r="B763" s="751" t="s">
        <v>3473</v>
      </c>
      <c r="C763" s="752">
        <v>28</v>
      </c>
      <c r="D763" s="750">
        <v>44944</v>
      </c>
      <c r="E763" s="753">
        <v>30</v>
      </c>
      <c r="F763" s="753">
        <v>27.417000000000002</v>
      </c>
      <c r="G763" s="753">
        <v>27.417000000000002</v>
      </c>
      <c r="H763" s="753">
        <v>0</v>
      </c>
      <c r="I763" s="754">
        <v>5.2499999999999998E-2</v>
      </c>
      <c r="J763" s="754">
        <v>7.4800000000000005E-2</v>
      </c>
      <c r="K763" s="754">
        <v>6.1699999999999998E-2</v>
      </c>
      <c r="L763" s="752">
        <v>8</v>
      </c>
    </row>
    <row r="764" spans="1:12" s="969" customFormat="1">
      <c r="A764" s="750">
        <v>44916</v>
      </c>
      <c r="B764" s="751" t="s">
        <v>3474</v>
      </c>
      <c r="C764" s="752">
        <v>84</v>
      </c>
      <c r="D764" s="750">
        <v>45000</v>
      </c>
      <c r="E764" s="753">
        <v>30</v>
      </c>
      <c r="F764" s="753">
        <v>25.117599999999999</v>
      </c>
      <c r="G764" s="753">
        <v>25.117599999999999</v>
      </c>
      <c r="H764" s="753">
        <v>0</v>
      </c>
      <c r="I764" s="754">
        <v>3.5499999999999997E-2</v>
      </c>
      <c r="J764" s="754">
        <v>7.5999999999999998E-2</v>
      </c>
      <c r="K764" s="754">
        <v>6.2399999999999997E-2</v>
      </c>
      <c r="L764" s="752">
        <v>5</v>
      </c>
    </row>
    <row r="765" spans="1:12" s="969" customFormat="1">
      <c r="A765" s="750">
        <v>44917</v>
      </c>
      <c r="B765" s="751" t="s">
        <v>3475</v>
      </c>
      <c r="C765" s="752">
        <v>168</v>
      </c>
      <c r="D765" s="750">
        <v>45085</v>
      </c>
      <c r="E765" s="753">
        <v>30</v>
      </c>
      <c r="F765" s="753">
        <v>39.658999999999999</v>
      </c>
      <c r="G765" s="753">
        <v>30</v>
      </c>
      <c r="H765" s="753">
        <v>0</v>
      </c>
      <c r="I765" s="754">
        <v>7.4999999999999997E-2</v>
      </c>
      <c r="J765" s="754">
        <v>8.5000000000000006E-2</v>
      </c>
      <c r="K765" s="754">
        <v>0.08</v>
      </c>
      <c r="L765" s="752">
        <v>8</v>
      </c>
    </row>
    <row r="766" spans="1:12" s="969" customFormat="1">
      <c r="A766" s="750">
        <v>44917</v>
      </c>
      <c r="B766" s="751" t="s">
        <v>3476</v>
      </c>
      <c r="C766" s="752">
        <v>252</v>
      </c>
      <c r="D766" s="750">
        <v>45169</v>
      </c>
      <c r="E766" s="753">
        <v>30</v>
      </c>
      <c r="F766" s="753">
        <v>37.261400000000002</v>
      </c>
      <c r="G766" s="753">
        <v>30</v>
      </c>
      <c r="H766" s="753">
        <v>0</v>
      </c>
      <c r="I766" s="754">
        <v>0.08</v>
      </c>
      <c r="J766" s="754">
        <v>0.09</v>
      </c>
      <c r="K766" s="754">
        <v>8.4400000000000003E-2</v>
      </c>
      <c r="L766" s="752">
        <v>7</v>
      </c>
    </row>
    <row r="767" spans="1:12" s="969" customFormat="1">
      <c r="A767" s="1345">
        <v>2023</v>
      </c>
      <c r="B767" s="1344"/>
      <c r="C767" s="752"/>
      <c r="D767" s="750"/>
      <c r="E767" s="753"/>
      <c r="F767" s="753"/>
      <c r="G767" s="753"/>
      <c r="H767" s="753"/>
      <c r="I767" s="754"/>
      <c r="J767" s="754"/>
      <c r="K767" s="754"/>
      <c r="L767" s="752"/>
    </row>
    <row r="768" spans="1:12" s="969" customFormat="1">
      <c r="A768" s="750">
        <v>44937</v>
      </c>
      <c r="B768" s="751" t="s">
        <v>3519</v>
      </c>
      <c r="C768" s="752">
        <v>28</v>
      </c>
      <c r="D768" s="750">
        <v>44965</v>
      </c>
      <c r="E768" s="753">
        <v>45</v>
      </c>
      <c r="F768" s="753">
        <v>70.56</v>
      </c>
      <c r="G768" s="753">
        <v>45</v>
      </c>
      <c r="H768" s="753">
        <v>0</v>
      </c>
      <c r="I768" s="754">
        <v>5.5E-2</v>
      </c>
      <c r="J768" s="754">
        <v>6.8000000000000005E-2</v>
      </c>
      <c r="K768" s="754">
        <v>6.3212222222222225E-2</v>
      </c>
      <c r="L768" s="752">
        <v>10</v>
      </c>
    </row>
    <row r="769" spans="1:12" s="969" customFormat="1">
      <c r="A769" s="750">
        <v>44937</v>
      </c>
      <c r="B769" s="751" t="s">
        <v>3520</v>
      </c>
      <c r="C769" s="752">
        <v>84</v>
      </c>
      <c r="D769" s="750">
        <v>45021</v>
      </c>
      <c r="E769" s="753">
        <v>45</v>
      </c>
      <c r="F769" s="753">
        <v>53.26</v>
      </c>
      <c r="G769" s="753">
        <v>45</v>
      </c>
      <c r="H769" s="753">
        <v>0</v>
      </c>
      <c r="I769" s="754">
        <v>6.0999999999999999E-2</v>
      </c>
      <c r="J769" s="754">
        <v>7.6999999999999999E-2</v>
      </c>
      <c r="K769" s="754">
        <v>7.3828444444444447E-2</v>
      </c>
      <c r="L769" s="752">
        <v>7</v>
      </c>
    </row>
    <row r="770" spans="1:12" s="969" customFormat="1">
      <c r="A770" s="750">
        <v>44938</v>
      </c>
      <c r="B770" s="751" t="s">
        <v>3521</v>
      </c>
      <c r="C770" s="752">
        <v>168</v>
      </c>
      <c r="D770" s="750">
        <v>45106</v>
      </c>
      <c r="E770" s="753">
        <v>15</v>
      </c>
      <c r="F770" s="753">
        <v>23.19</v>
      </c>
      <c r="G770" s="753">
        <v>15</v>
      </c>
      <c r="H770" s="753">
        <v>0</v>
      </c>
      <c r="I770" s="754">
        <v>7.6499999999999999E-2</v>
      </c>
      <c r="J770" s="754">
        <v>8.4000000000000005E-2</v>
      </c>
      <c r="K770" s="754">
        <v>8.1600000000000006E-2</v>
      </c>
      <c r="L770" s="752">
        <v>13</v>
      </c>
    </row>
    <row r="771" spans="1:12" s="969" customFormat="1">
      <c r="A771" s="750">
        <v>44938</v>
      </c>
      <c r="B771" s="751" t="s">
        <v>3522</v>
      </c>
      <c r="C771" s="752">
        <v>252</v>
      </c>
      <c r="D771" s="750">
        <v>45190</v>
      </c>
      <c r="E771" s="753">
        <v>15</v>
      </c>
      <c r="F771" s="753">
        <v>19.89</v>
      </c>
      <c r="G771" s="753">
        <v>15</v>
      </c>
      <c r="H771" s="753">
        <v>0</v>
      </c>
      <c r="I771" s="754">
        <v>0.08</v>
      </c>
      <c r="J771" s="754">
        <v>9.1999999999999998E-2</v>
      </c>
      <c r="K771" s="754">
        <v>8.9099999999999999E-2</v>
      </c>
      <c r="L771" s="752">
        <v>12</v>
      </c>
    </row>
    <row r="772" spans="1:12" s="969" customFormat="1">
      <c r="A772" s="750">
        <v>44944</v>
      </c>
      <c r="B772" s="751" t="s">
        <v>3523</v>
      </c>
      <c r="C772" s="752">
        <v>28</v>
      </c>
      <c r="D772" s="750">
        <v>44972</v>
      </c>
      <c r="E772" s="753">
        <v>45</v>
      </c>
      <c r="F772" s="753">
        <v>54.37</v>
      </c>
      <c r="G772" s="753">
        <v>45</v>
      </c>
      <c r="H772" s="753">
        <v>0</v>
      </c>
      <c r="I772" s="754">
        <v>6.3E-2</v>
      </c>
      <c r="J772" s="754">
        <v>6.9900000000000004E-2</v>
      </c>
      <c r="K772" s="754">
        <v>6.7000000000000004E-2</v>
      </c>
      <c r="L772" s="752">
        <v>10</v>
      </c>
    </row>
    <row r="773" spans="1:12" s="969" customFormat="1">
      <c r="A773" s="750">
        <v>44944</v>
      </c>
      <c r="B773" s="751" t="s">
        <v>3524</v>
      </c>
      <c r="C773" s="752">
        <v>84</v>
      </c>
      <c r="D773" s="750">
        <v>45028</v>
      </c>
      <c r="E773" s="753">
        <v>45</v>
      </c>
      <c r="F773" s="753">
        <v>59.08</v>
      </c>
      <c r="G773" s="753">
        <v>45</v>
      </c>
      <c r="H773" s="753">
        <v>0</v>
      </c>
      <c r="I773" s="754">
        <v>7.4899999999999994E-2</v>
      </c>
      <c r="J773" s="754">
        <v>7.8899999999999998E-2</v>
      </c>
      <c r="K773" s="754">
        <v>7.6899999999999996E-2</v>
      </c>
      <c r="L773" s="752">
        <v>11</v>
      </c>
    </row>
    <row r="774" spans="1:12" s="969" customFormat="1">
      <c r="A774" s="750">
        <v>44945</v>
      </c>
      <c r="B774" s="751" t="s">
        <v>3525</v>
      </c>
      <c r="C774" s="752">
        <v>168</v>
      </c>
      <c r="D774" s="750">
        <v>45113</v>
      </c>
      <c r="E774" s="753">
        <v>15</v>
      </c>
      <c r="F774" s="753">
        <v>18</v>
      </c>
      <c r="G774" s="753">
        <v>15</v>
      </c>
      <c r="H774" s="753">
        <v>0</v>
      </c>
      <c r="I774" s="754">
        <v>7.8E-2</v>
      </c>
      <c r="J774" s="754">
        <v>8.4500000000000006E-2</v>
      </c>
      <c r="K774" s="754">
        <v>8.2199999999999995E-2</v>
      </c>
      <c r="L774" s="752">
        <v>6</v>
      </c>
    </row>
    <row r="775" spans="1:12" s="969" customFormat="1">
      <c r="A775" s="750">
        <v>44945</v>
      </c>
      <c r="B775" s="751" t="s">
        <v>3526</v>
      </c>
      <c r="C775" s="752">
        <v>252</v>
      </c>
      <c r="D775" s="750">
        <v>45197</v>
      </c>
      <c r="E775" s="753">
        <v>15</v>
      </c>
      <c r="F775" s="753">
        <v>20.32</v>
      </c>
      <c r="G775" s="753">
        <v>15</v>
      </c>
      <c r="H775" s="753">
        <v>0</v>
      </c>
      <c r="I775" s="754">
        <v>8.3000000000000004E-2</v>
      </c>
      <c r="J775" s="754">
        <v>9.2499999999999999E-2</v>
      </c>
      <c r="K775" s="754">
        <v>8.9399999999999993E-2</v>
      </c>
      <c r="L775" s="752">
        <v>8</v>
      </c>
    </row>
    <row r="776" spans="1:12" s="969" customFormat="1">
      <c r="A776" s="750">
        <v>44951</v>
      </c>
      <c r="B776" s="751" t="s">
        <v>3527</v>
      </c>
      <c r="C776" s="752">
        <v>28</v>
      </c>
      <c r="D776" s="750">
        <v>44979</v>
      </c>
      <c r="E776" s="753">
        <v>45</v>
      </c>
      <c r="F776" s="753">
        <v>63.04</v>
      </c>
      <c r="G776" s="753">
        <v>45</v>
      </c>
      <c r="H776" s="753">
        <v>0</v>
      </c>
      <c r="I776" s="754">
        <v>6.3E-2</v>
      </c>
      <c r="J776" s="754">
        <v>6.9800000000000001E-2</v>
      </c>
      <c r="K776" s="754">
        <v>6.7100000000000007E-2</v>
      </c>
      <c r="L776" s="752">
        <v>9</v>
      </c>
    </row>
    <row r="777" spans="1:12" s="969" customFormat="1">
      <c r="A777" s="750">
        <v>44951</v>
      </c>
      <c r="B777" s="751" t="s">
        <v>3528</v>
      </c>
      <c r="C777" s="752">
        <v>84</v>
      </c>
      <c r="D777" s="750">
        <v>45035</v>
      </c>
      <c r="E777" s="753">
        <v>45</v>
      </c>
      <c r="F777" s="753">
        <v>56.12</v>
      </c>
      <c r="G777" s="753">
        <v>45</v>
      </c>
      <c r="H777" s="753">
        <v>0</v>
      </c>
      <c r="I777" s="754">
        <v>7.7899999999999997E-2</v>
      </c>
      <c r="J777" s="754">
        <v>8.1000000000000003E-2</v>
      </c>
      <c r="K777" s="754">
        <v>7.9500000000000001E-2</v>
      </c>
      <c r="L777" s="752">
        <v>9</v>
      </c>
    </row>
    <row r="778" spans="1:12" s="969" customFormat="1">
      <c r="A778" s="750">
        <v>44952</v>
      </c>
      <c r="B778" s="751" t="s">
        <v>3529</v>
      </c>
      <c r="C778" s="752">
        <v>168</v>
      </c>
      <c r="D778" s="750">
        <v>45120</v>
      </c>
      <c r="E778" s="753">
        <v>15</v>
      </c>
      <c r="F778" s="753">
        <v>18</v>
      </c>
      <c r="G778" s="753">
        <v>15</v>
      </c>
      <c r="H778" s="753">
        <v>0</v>
      </c>
      <c r="I778" s="754">
        <v>8.3900000000000002E-2</v>
      </c>
      <c r="J778" s="754">
        <v>8.7999999999999995E-2</v>
      </c>
      <c r="K778" s="754">
        <v>8.5699999999999998E-2</v>
      </c>
      <c r="L778" s="752">
        <v>6</v>
      </c>
    </row>
    <row r="779" spans="1:12" s="969" customFormat="1">
      <c r="A779" s="750">
        <v>44952</v>
      </c>
      <c r="B779" s="751" t="s">
        <v>3530</v>
      </c>
      <c r="C779" s="752">
        <v>252</v>
      </c>
      <c r="D779" s="750">
        <v>45204</v>
      </c>
      <c r="E779" s="753">
        <v>15</v>
      </c>
      <c r="F779" s="753">
        <v>22.06</v>
      </c>
      <c r="G779" s="753">
        <v>15</v>
      </c>
      <c r="H779" s="753">
        <v>0</v>
      </c>
      <c r="I779" s="754">
        <v>9.0499999999999997E-2</v>
      </c>
      <c r="J779" s="754">
        <v>9.5899999999999999E-2</v>
      </c>
      <c r="K779" s="754">
        <v>9.2899999999999996E-2</v>
      </c>
      <c r="L779" s="752">
        <v>8</v>
      </c>
    </row>
    <row r="780" spans="1:12" s="969" customFormat="1">
      <c r="A780" s="750">
        <v>45035</v>
      </c>
      <c r="B780" s="751" t="s">
        <v>3659</v>
      </c>
      <c r="C780" s="752">
        <v>28</v>
      </c>
      <c r="D780" s="750">
        <v>45063</v>
      </c>
      <c r="E780" s="753">
        <v>30</v>
      </c>
      <c r="F780" s="753">
        <v>34.840615999999997</v>
      </c>
      <c r="G780" s="753">
        <v>30</v>
      </c>
      <c r="H780" s="753">
        <v>0</v>
      </c>
      <c r="I780" s="754">
        <v>3.9899999999999998E-2</v>
      </c>
      <c r="J780" s="754">
        <v>7.0000000000000007E-2</v>
      </c>
      <c r="K780" s="754">
        <v>6.2399999999999997E-2</v>
      </c>
      <c r="L780" s="752">
        <v>14</v>
      </c>
    </row>
    <row r="781" spans="1:12" s="969" customFormat="1">
      <c r="A781" s="750">
        <v>45035</v>
      </c>
      <c r="B781" s="751" t="s">
        <v>3660</v>
      </c>
      <c r="C781" s="752">
        <v>84</v>
      </c>
      <c r="D781" s="750">
        <v>45119</v>
      </c>
      <c r="E781" s="753">
        <v>30</v>
      </c>
      <c r="F781" s="753">
        <v>35.429493000000001</v>
      </c>
      <c r="G781" s="753">
        <v>30</v>
      </c>
      <c r="H781" s="753">
        <v>0</v>
      </c>
      <c r="I781" s="754">
        <v>4.9399999999999999E-2</v>
      </c>
      <c r="J781" s="754">
        <v>0.08</v>
      </c>
      <c r="K781" s="754">
        <v>6.9000000000000006E-2</v>
      </c>
      <c r="L781" s="752">
        <v>12</v>
      </c>
    </row>
    <row r="782" spans="1:12" s="969" customFormat="1">
      <c r="A782" s="750">
        <v>45036</v>
      </c>
      <c r="B782" s="751" t="s">
        <v>3661</v>
      </c>
      <c r="C782" s="752">
        <v>168</v>
      </c>
      <c r="D782" s="750">
        <v>45204</v>
      </c>
      <c r="E782" s="753">
        <v>30</v>
      </c>
      <c r="F782" s="753">
        <v>36.808</v>
      </c>
      <c r="G782" s="753">
        <v>30</v>
      </c>
      <c r="H782" s="753">
        <v>0</v>
      </c>
      <c r="I782" s="754">
        <v>6.9900000000000004E-2</v>
      </c>
      <c r="J782" s="754">
        <v>8.3900000000000002E-2</v>
      </c>
      <c r="K782" s="754">
        <v>7.8E-2</v>
      </c>
      <c r="L782" s="752">
        <v>14</v>
      </c>
    </row>
    <row r="783" spans="1:12" s="969" customFormat="1">
      <c r="A783" s="750">
        <v>45036</v>
      </c>
      <c r="B783" s="751" t="s">
        <v>3662</v>
      </c>
      <c r="C783" s="752">
        <v>252</v>
      </c>
      <c r="D783" s="750">
        <v>45288</v>
      </c>
      <c r="E783" s="753">
        <v>30</v>
      </c>
      <c r="F783" s="753">
        <v>34.21</v>
      </c>
      <c r="G783" s="753">
        <v>30</v>
      </c>
      <c r="H783" s="753">
        <v>0</v>
      </c>
      <c r="I783" s="754">
        <v>7.8E-2</v>
      </c>
      <c r="J783" s="754">
        <v>0.09</v>
      </c>
      <c r="K783" s="754">
        <v>8.4900000000000003E-2</v>
      </c>
      <c r="L783" s="752">
        <v>12</v>
      </c>
    </row>
    <row r="784" spans="1:12" s="969" customFormat="1">
      <c r="A784" s="750">
        <v>45042</v>
      </c>
      <c r="B784" s="751" t="s">
        <v>3663</v>
      </c>
      <c r="C784" s="752">
        <v>28</v>
      </c>
      <c r="D784" s="750">
        <v>45070</v>
      </c>
      <c r="E784" s="753">
        <v>30</v>
      </c>
      <c r="F784" s="753">
        <v>37.169902</v>
      </c>
      <c r="G784" s="753">
        <v>30</v>
      </c>
      <c r="H784" s="753">
        <v>0</v>
      </c>
      <c r="I784" s="754">
        <v>5.9499999999999997E-2</v>
      </c>
      <c r="J784" s="754">
        <v>7.0000000000000007E-2</v>
      </c>
      <c r="K784" s="754">
        <v>6.6000000000000003E-2</v>
      </c>
      <c r="L784" s="752">
        <v>15</v>
      </c>
    </row>
    <row r="785" spans="1:12" s="969" customFormat="1">
      <c r="A785" s="750">
        <v>45042</v>
      </c>
      <c r="B785" s="751" t="s">
        <v>3664</v>
      </c>
      <c r="C785" s="752">
        <v>84</v>
      </c>
      <c r="D785" s="750">
        <v>45126</v>
      </c>
      <c r="E785" s="753">
        <v>30</v>
      </c>
      <c r="F785" s="753">
        <v>38.781224999999999</v>
      </c>
      <c r="G785" s="753">
        <v>30</v>
      </c>
      <c r="H785" s="753">
        <v>0</v>
      </c>
      <c r="I785" s="754">
        <v>6.6699999999999995E-2</v>
      </c>
      <c r="J785" s="754">
        <v>7.7600000000000002E-2</v>
      </c>
      <c r="K785" s="754">
        <v>7.2700000000000001E-2</v>
      </c>
      <c r="L785" s="752">
        <v>14</v>
      </c>
    </row>
    <row r="786" spans="1:12" s="969" customFormat="1">
      <c r="A786" s="750">
        <v>45043</v>
      </c>
      <c r="B786" s="751" t="s">
        <v>3665</v>
      </c>
      <c r="C786" s="752">
        <v>168</v>
      </c>
      <c r="D786" s="750">
        <v>45211</v>
      </c>
      <c r="E786" s="753">
        <v>30</v>
      </c>
      <c r="F786" s="753">
        <v>35.409999999999997</v>
      </c>
      <c r="G786" s="753">
        <v>30</v>
      </c>
      <c r="H786" s="753">
        <v>0</v>
      </c>
      <c r="I786" s="754">
        <v>7.5999999999999998E-2</v>
      </c>
      <c r="J786" s="754">
        <v>8.3699999999999997E-2</v>
      </c>
      <c r="K786" s="754">
        <v>8.0699999999999994E-2</v>
      </c>
      <c r="L786" s="752">
        <v>13</v>
      </c>
    </row>
    <row r="787" spans="1:12" s="969" customFormat="1">
      <c r="A787" s="750">
        <v>45043</v>
      </c>
      <c r="B787" s="751" t="s">
        <v>3666</v>
      </c>
      <c r="C787" s="752">
        <v>252</v>
      </c>
      <c r="D787" s="750">
        <v>45295</v>
      </c>
      <c r="E787" s="753">
        <v>30</v>
      </c>
      <c r="F787" s="753">
        <v>36.628439</v>
      </c>
      <c r="G787" s="753">
        <v>30</v>
      </c>
      <c r="H787" s="753">
        <v>0</v>
      </c>
      <c r="I787" s="754">
        <v>8.3500000000000005E-2</v>
      </c>
      <c r="J787" s="754">
        <v>8.9800000000000005E-2</v>
      </c>
      <c r="K787" s="754">
        <v>8.77E-2</v>
      </c>
      <c r="L787" s="752">
        <v>14</v>
      </c>
    </row>
    <row r="788" spans="1:12" s="969" customFormat="1">
      <c r="A788" s="750">
        <v>45049</v>
      </c>
      <c r="B788" s="751" t="s">
        <v>3739</v>
      </c>
      <c r="C788" s="752">
        <v>28</v>
      </c>
      <c r="D788" s="750">
        <v>45077</v>
      </c>
      <c r="E788" s="753">
        <v>30</v>
      </c>
      <c r="F788" s="753">
        <v>40.130000000000003</v>
      </c>
      <c r="G788" s="753">
        <v>30</v>
      </c>
      <c r="H788" s="753">
        <v>0</v>
      </c>
      <c r="I788" s="754">
        <v>6.1899999999999997E-2</v>
      </c>
      <c r="J788" s="754">
        <v>7.3999999999999996E-2</v>
      </c>
      <c r="K788" s="754">
        <v>6.8900000000000003E-2</v>
      </c>
      <c r="L788" s="752">
        <v>15</v>
      </c>
    </row>
    <row r="789" spans="1:12" s="969" customFormat="1">
      <c r="A789" s="750">
        <v>45049</v>
      </c>
      <c r="B789" s="751" t="s">
        <v>3740</v>
      </c>
      <c r="C789" s="752">
        <v>84</v>
      </c>
      <c r="D789" s="750">
        <v>45133</v>
      </c>
      <c r="E789" s="753">
        <v>30</v>
      </c>
      <c r="F789" s="753">
        <v>41.72</v>
      </c>
      <c r="G789" s="753">
        <v>30</v>
      </c>
      <c r="H789" s="753">
        <v>0</v>
      </c>
      <c r="I789" s="754">
        <v>6.8900000000000003E-2</v>
      </c>
      <c r="J789" s="754">
        <v>7.7499999999999999E-2</v>
      </c>
      <c r="K789" s="754">
        <v>7.5200000000000003E-2</v>
      </c>
      <c r="L789" s="752">
        <v>17</v>
      </c>
    </row>
    <row r="790" spans="1:12" s="969" customFormat="1">
      <c r="A790" s="750">
        <v>45050</v>
      </c>
      <c r="B790" s="751" t="s">
        <v>3741</v>
      </c>
      <c r="C790" s="752">
        <v>168</v>
      </c>
      <c r="D790" s="750">
        <v>45218</v>
      </c>
      <c r="E790" s="753">
        <v>30</v>
      </c>
      <c r="F790" s="753">
        <v>41.43</v>
      </c>
      <c r="G790" s="753">
        <v>30</v>
      </c>
      <c r="H790" s="753">
        <v>0</v>
      </c>
      <c r="I790" s="754">
        <v>7.7899999999999997E-2</v>
      </c>
      <c r="J790" s="754">
        <v>8.5800000000000001E-2</v>
      </c>
      <c r="K790" s="754">
        <v>8.2600000000000007E-2</v>
      </c>
      <c r="L790" s="752">
        <v>15</v>
      </c>
    </row>
    <row r="791" spans="1:12" s="969" customFormat="1">
      <c r="A791" s="750">
        <v>45050</v>
      </c>
      <c r="B791" s="751" t="s">
        <v>3742</v>
      </c>
      <c r="C791" s="752">
        <v>252</v>
      </c>
      <c r="D791" s="750">
        <v>45302</v>
      </c>
      <c r="E791" s="753">
        <v>30</v>
      </c>
      <c r="F791" s="753">
        <v>38.049999999999997</v>
      </c>
      <c r="G791" s="753">
        <v>30</v>
      </c>
      <c r="H791" s="753">
        <v>0</v>
      </c>
      <c r="I791" s="754">
        <v>8.4900000000000003E-2</v>
      </c>
      <c r="J791" s="754">
        <v>0.09</v>
      </c>
      <c r="K791" s="754">
        <v>8.8999999999999996E-2</v>
      </c>
      <c r="L791" s="752">
        <v>14</v>
      </c>
    </row>
    <row r="792" spans="1:12" s="969" customFormat="1">
      <c r="A792" s="750">
        <v>45056</v>
      </c>
      <c r="B792" s="751" t="s">
        <v>3743</v>
      </c>
      <c r="C792" s="752">
        <v>28</v>
      </c>
      <c r="D792" s="750">
        <v>45084</v>
      </c>
      <c r="E792" s="753">
        <v>30</v>
      </c>
      <c r="F792" s="753">
        <v>33.4</v>
      </c>
      <c r="G792" s="753">
        <v>30</v>
      </c>
      <c r="H792" s="753">
        <v>0</v>
      </c>
      <c r="I792" s="754">
        <v>6.8500000000000005E-2</v>
      </c>
      <c r="J792" s="754">
        <v>7.6999999999999999E-2</v>
      </c>
      <c r="K792" s="754">
        <v>7.3800000000000004E-2</v>
      </c>
      <c r="L792" s="752">
        <v>12</v>
      </c>
    </row>
    <row r="793" spans="1:12" s="969" customFormat="1">
      <c r="A793" s="750">
        <v>45056</v>
      </c>
      <c r="B793" s="751" t="s">
        <v>3744</v>
      </c>
      <c r="C793" s="752">
        <v>84</v>
      </c>
      <c r="D793" s="750">
        <v>45140</v>
      </c>
      <c r="E793" s="753">
        <v>30</v>
      </c>
      <c r="F793" s="753">
        <v>40.53</v>
      </c>
      <c r="G793" s="753">
        <v>30</v>
      </c>
      <c r="H793" s="753">
        <v>0</v>
      </c>
      <c r="I793" s="754">
        <v>7.4899999999999994E-2</v>
      </c>
      <c r="J793" s="754">
        <v>7.9899999999999999E-2</v>
      </c>
      <c r="K793" s="754">
        <v>7.7399999999999997E-2</v>
      </c>
      <c r="L793" s="752">
        <v>15</v>
      </c>
    </row>
    <row r="794" spans="1:12" s="969" customFormat="1">
      <c r="A794" s="750">
        <v>45057</v>
      </c>
      <c r="B794" s="751" t="s">
        <v>3745</v>
      </c>
      <c r="C794" s="752">
        <v>168</v>
      </c>
      <c r="D794" s="750">
        <v>45225</v>
      </c>
      <c r="E794" s="753">
        <v>30</v>
      </c>
      <c r="F794" s="753">
        <v>38.79</v>
      </c>
      <c r="G794" s="753">
        <v>30</v>
      </c>
      <c r="H794" s="753">
        <v>0</v>
      </c>
      <c r="I794" s="754">
        <v>8.3900000000000002E-2</v>
      </c>
      <c r="J794" s="754">
        <v>8.9599999999999999E-2</v>
      </c>
      <c r="K794" s="754">
        <v>8.6199999999999999E-2</v>
      </c>
      <c r="L794" s="752">
        <v>14</v>
      </c>
    </row>
    <row r="795" spans="1:12" s="969" customFormat="1">
      <c r="A795" s="750">
        <v>45057</v>
      </c>
      <c r="B795" s="751" t="s">
        <v>3746</v>
      </c>
      <c r="C795" s="752">
        <v>252</v>
      </c>
      <c r="D795" s="750">
        <v>45309</v>
      </c>
      <c r="E795" s="753">
        <v>30</v>
      </c>
      <c r="F795" s="753">
        <v>39.99</v>
      </c>
      <c r="G795" s="753">
        <v>30</v>
      </c>
      <c r="H795" s="753">
        <v>0</v>
      </c>
      <c r="I795" s="754">
        <v>8.7400000000000005E-2</v>
      </c>
      <c r="J795" s="754">
        <v>9.3899999999999997E-2</v>
      </c>
      <c r="K795" s="754">
        <v>9.0499999999999997E-2</v>
      </c>
      <c r="L795" s="752">
        <v>14</v>
      </c>
    </row>
    <row r="796" spans="1:12" s="969" customFormat="1">
      <c r="A796" s="750">
        <v>45063</v>
      </c>
      <c r="B796" s="751" t="s">
        <v>3747</v>
      </c>
      <c r="C796" s="752">
        <v>28</v>
      </c>
      <c r="D796" s="750">
        <v>45091</v>
      </c>
      <c r="E796" s="753">
        <v>30</v>
      </c>
      <c r="F796" s="753">
        <v>36.54</v>
      </c>
      <c r="G796" s="753">
        <v>30</v>
      </c>
      <c r="H796" s="753">
        <v>0</v>
      </c>
      <c r="I796" s="754">
        <v>7.1999999999999995E-2</v>
      </c>
      <c r="J796" s="754">
        <v>7.8700000000000006E-2</v>
      </c>
      <c r="K796" s="754">
        <v>7.5499999999999998E-2</v>
      </c>
      <c r="L796" s="752">
        <v>15</v>
      </c>
    </row>
    <row r="797" spans="1:12" s="969" customFormat="1">
      <c r="A797" s="750">
        <v>45063</v>
      </c>
      <c r="B797" s="751" t="s">
        <v>3748</v>
      </c>
      <c r="C797" s="752">
        <v>84</v>
      </c>
      <c r="D797" s="750">
        <v>45147</v>
      </c>
      <c r="E797" s="753">
        <v>30</v>
      </c>
      <c r="F797" s="753">
        <v>39.81</v>
      </c>
      <c r="G797" s="753">
        <v>30</v>
      </c>
      <c r="H797" s="753">
        <v>0</v>
      </c>
      <c r="I797" s="754">
        <v>7.5999999999999998E-2</v>
      </c>
      <c r="J797" s="754">
        <v>8.1699999999999995E-2</v>
      </c>
      <c r="K797" s="754">
        <v>7.8600000000000003E-2</v>
      </c>
      <c r="L797" s="752">
        <v>15</v>
      </c>
    </row>
    <row r="798" spans="1:12" s="969" customFormat="1">
      <c r="A798" s="750">
        <v>45064</v>
      </c>
      <c r="B798" s="751" t="s">
        <v>3749</v>
      </c>
      <c r="C798" s="752">
        <v>168</v>
      </c>
      <c r="D798" s="750">
        <v>45232</v>
      </c>
      <c r="E798" s="753">
        <v>30</v>
      </c>
      <c r="F798" s="753">
        <v>36.28</v>
      </c>
      <c r="G798" s="753">
        <v>30</v>
      </c>
      <c r="H798" s="753">
        <v>0</v>
      </c>
      <c r="I798" s="754">
        <v>4.4400000000000002E-2</v>
      </c>
      <c r="J798" s="754">
        <v>0.09</v>
      </c>
      <c r="K798" s="754">
        <v>8.43E-2</v>
      </c>
      <c r="L798" s="752">
        <v>13</v>
      </c>
    </row>
    <row r="799" spans="1:12" s="969" customFormat="1">
      <c r="A799" s="750">
        <v>45064</v>
      </c>
      <c r="B799" s="751" t="s">
        <v>3750</v>
      </c>
      <c r="C799" s="752">
        <v>252</v>
      </c>
      <c r="D799" s="750">
        <v>45316</v>
      </c>
      <c r="E799" s="753">
        <v>30</v>
      </c>
      <c r="F799" s="753">
        <v>40.35</v>
      </c>
      <c r="G799" s="753">
        <v>30</v>
      </c>
      <c r="H799" s="753">
        <v>0</v>
      </c>
      <c r="I799" s="754">
        <v>8.9899999999999994E-2</v>
      </c>
      <c r="J799" s="754">
        <v>9.5000000000000001E-2</v>
      </c>
      <c r="K799" s="754">
        <v>9.3100000000000002E-2</v>
      </c>
      <c r="L799" s="752">
        <v>14</v>
      </c>
    </row>
    <row r="800" spans="1:12" s="969" customFormat="1">
      <c r="A800" s="750">
        <v>45070</v>
      </c>
      <c r="B800" s="751" t="s">
        <v>3751</v>
      </c>
      <c r="C800" s="752">
        <v>28</v>
      </c>
      <c r="D800" s="750">
        <v>45098</v>
      </c>
      <c r="E800" s="753">
        <v>30</v>
      </c>
      <c r="F800" s="753">
        <v>32.799999999999997</v>
      </c>
      <c r="G800" s="753">
        <v>30</v>
      </c>
      <c r="H800" s="753">
        <v>0</v>
      </c>
      <c r="I800" s="754">
        <v>7.2900000000000006E-2</v>
      </c>
      <c r="J800" s="754">
        <v>7.9899999999999999E-2</v>
      </c>
      <c r="K800" s="754">
        <v>7.7399999999999997E-2</v>
      </c>
      <c r="L800" s="752">
        <v>13</v>
      </c>
    </row>
    <row r="801" spans="1:12" s="969" customFormat="1">
      <c r="A801" s="750">
        <v>45070</v>
      </c>
      <c r="B801" s="751" t="s">
        <v>3752</v>
      </c>
      <c r="C801" s="752">
        <v>84</v>
      </c>
      <c r="D801" s="750">
        <v>45154</v>
      </c>
      <c r="E801" s="753">
        <v>30</v>
      </c>
      <c r="F801" s="753">
        <v>35.880000000000003</v>
      </c>
      <c r="G801" s="753">
        <v>30</v>
      </c>
      <c r="H801" s="753">
        <v>0</v>
      </c>
      <c r="I801" s="754">
        <v>7.6899999999999996E-2</v>
      </c>
      <c r="J801" s="754">
        <v>8.2799999999999999E-2</v>
      </c>
      <c r="K801" s="754">
        <v>0.08</v>
      </c>
      <c r="L801" s="752">
        <v>14</v>
      </c>
    </row>
    <row r="802" spans="1:12" s="969" customFormat="1">
      <c r="A802" s="750">
        <v>45071</v>
      </c>
      <c r="B802" s="751" t="s">
        <v>3753</v>
      </c>
      <c r="C802" s="752">
        <v>168</v>
      </c>
      <c r="D802" s="750">
        <v>45239</v>
      </c>
      <c r="E802" s="753">
        <v>30</v>
      </c>
      <c r="F802" s="753">
        <v>29.87</v>
      </c>
      <c r="G802" s="753">
        <v>29.87</v>
      </c>
      <c r="H802" s="753">
        <v>0</v>
      </c>
      <c r="I802" s="754">
        <v>8.3900000000000002E-2</v>
      </c>
      <c r="J802" s="754">
        <v>9.2700000000000005E-2</v>
      </c>
      <c r="K802" s="754">
        <v>8.9099999999999999E-2</v>
      </c>
      <c r="L802" s="752">
        <v>13</v>
      </c>
    </row>
    <row r="803" spans="1:12" s="969" customFormat="1">
      <c r="A803" s="750">
        <v>45071</v>
      </c>
      <c r="B803" s="751" t="s">
        <v>3754</v>
      </c>
      <c r="C803" s="752">
        <v>252</v>
      </c>
      <c r="D803" s="750">
        <v>45323</v>
      </c>
      <c r="E803" s="753">
        <v>30</v>
      </c>
      <c r="F803" s="753">
        <v>30.01</v>
      </c>
      <c r="G803" s="753">
        <v>30</v>
      </c>
      <c r="H803" s="753">
        <v>0</v>
      </c>
      <c r="I803" s="754">
        <v>9.1899999999999996E-2</v>
      </c>
      <c r="J803" s="754">
        <v>9.7799999999999998E-2</v>
      </c>
      <c r="K803" s="754">
        <v>9.4200000000000006E-2</v>
      </c>
      <c r="L803" s="752">
        <v>11</v>
      </c>
    </row>
    <row r="804" spans="1:12" s="969" customFormat="1">
      <c r="A804" s="750">
        <v>45077</v>
      </c>
      <c r="B804" s="751" t="s">
        <v>3755</v>
      </c>
      <c r="C804" s="752">
        <v>28</v>
      </c>
      <c r="D804" s="750">
        <v>45105</v>
      </c>
      <c r="E804" s="753">
        <v>30</v>
      </c>
      <c r="F804" s="753">
        <v>32.75</v>
      </c>
      <c r="G804" s="753">
        <v>30</v>
      </c>
      <c r="H804" s="753">
        <v>0</v>
      </c>
      <c r="I804" s="754">
        <v>7.3200000000000001E-2</v>
      </c>
      <c r="J804" s="754">
        <v>0.09</v>
      </c>
      <c r="K804" s="754">
        <v>7.9299999999999995E-2</v>
      </c>
      <c r="L804" s="752">
        <v>13</v>
      </c>
    </row>
    <row r="805" spans="1:12" s="969" customFormat="1">
      <c r="A805" s="750">
        <v>45077</v>
      </c>
      <c r="B805" s="751" t="s">
        <v>3756</v>
      </c>
      <c r="C805" s="752">
        <v>84</v>
      </c>
      <c r="D805" s="750">
        <v>45161</v>
      </c>
      <c r="E805" s="753">
        <v>30</v>
      </c>
      <c r="F805" s="753">
        <v>36.130000000000003</v>
      </c>
      <c r="G805" s="753">
        <v>30</v>
      </c>
      <c r="H805" s="753">
        <v>0</v>
      </c>
      <c r="I805" s="754">
        <v>7.7799999999999994E-2</v>
      </c>
      <c r="J805" s="754">
        <v>8.5800000000000001E-2</v>
      </c>
      <c r="K805" s="754">
        <v>8.1799999999999998E-2</v>
      </c>
      <c r="L805" s="752">
        <v>15</v>
      </c>
    </row>
    <row r="806" spans="1:12" s="969" customFormat="1">
      <c r="A806" s="750">
        <v>45078</v>
      </c>
      <c r="B806" s="751" t="s">
        <v>3790</v>
      </c>
      <c r="C806" s="752">
        <v>168</v>
      </c>
      <c r="D806" s="750">
        <v>45246</v>
      </c>
      <c r="E806" s="753">
        <v>30</v>
      </c>
      <c r="F806" s="753">
        <v>33.14</v>
      </c>
      <c r="G806" s="753">
        <v>30</v>
      </c>
      <c r="H806" s="753">
        <v>0</v>
      </c>
      <c r="I806" s="754">
        <v>8.7499999999999994E-2</v>
      </c>
      <c r="J806" s="754">
        <v>9.8799999999999999E-2</v>
      </c>
      <c r="K806" s="754">
        <v>9.3200000000000005E-2</v>
      </c>
      <c r="L806" s="752">
        <v>14</v>
      </c>
    </row>
    <row r="807" spans="1:12" s="969" customFormat="1">
      <c r="A807" s="750">
        <v>45078</v>
      </c>
      <c r="B807" s="751" t="s">
        <v>3791</v>
      </c>
      <c r="C807" s="752">
        <v>252</v>
      </c>
      <c r="D807" s="750">
        <v>45330</v>
      </c>
      <c r="E807" s="753">
        <v>30</v>
      </c>
      <c r="F807" s="753">
        <v>34.89</v>
      </c>
      <c r="G807" s="753">
        <v>30</v>
      </c>
      <c r="H807" s="753">
        <v>0</v>
      </c>
      <c r="I807" s="754">
        <v>9.2999999999999999E-2</v>
      </c>
      <c r="J807" s="754">
        <v>0.1028</v>
      </c>
      <c r="K807" s="754">
        <v>9.74E-2</v>
      </c>
      <c r="L807" s="752">
        <v>14</v>
      </c>
    </row>
    <row r="808" spans="1:12" s="969" customFormat="1">
      <c r="A808" s="750">
        <v>45084</v>
      </c>
      <c r="B808" s="751" t="s">
        <v>3792</v>
      </c>
      <c r="C808" s="752">
        <v>28</v>
      </c>
      <c r="D808" s="750">
        <v>45112</v>
      </c>
      <c r="E808" s="753">
        <v>30</v>
      </c>
      <c r="F808" s="753">
        <v>74.67</v>
      </c>
      <c r="G808" s="753">
        <v>30</v>
      </c>
      <c r="H808" s="753">
        <v>0</v>
      </c>
      <c r="I808" s="754">
        <v>6.8000000000000005E-2</v>
      </c>
      <c r="J808" s="754">
        <v>7.6899999999999996E-2</v>
      </c>
      <c r="K808" s="754">
        <v>7.5600000000000001E-2</v>
      </c>
      <c r="L808" s="752">
        <v>12</v>
      </c>
    </row>
    <row r="809" spans="1:12" s="969" customFormat="1">
      <c r="A809" s="750">
        <v>45084</v>
      </c>
      <c r="B809" s="751" t="s">
        <v>3793</v>
      </c>
      <c r="C809" s="752">
        <v>84</v>
      </c>
      <c r="D809" s="750">
        <v>45168</v>
      </c>
      <c r="E809" s="753">
        <v>30</v>
      </c>
      <c r="F809" s="753">
        <v>77.709999999999994</v>
      </c>
      <c r="G809" s="753">
        <v>30</v>
      </c>
      <c r="H809" s="753">
        <v>0</v>
      </c>
      <c r="I809" s="754">
        <v>7.4999999999999997E-2</v>
      </c>
      <c r="J809" s="754">
        <v>7.9899999999999999E-2</v>
      </c>
      <c r="K809" s="754">
        <v>7.9399999999999998E-2</v>
      </c>
      <c r="L809" s="752">
        <v>12</v>
      </c>
    </row>
    <row r="810" spans="1:12" s="969" customFormat="1">
      <c r="A810" s="750">
        <v>45085</v>
      </c>
      <c r="B810" s="751" t="s">
        <v>3794</v>
      </c>
      <c r="C810" s="752">
        <v>168</v>
      </c>
      <c r="D810" s="750">
        <v>45253</v>
      </c>
      <c r="E810" s="753">
        <v>30</v>
      </c>
      <c r="F810" s="753">
        <v>82.26</v>
      </c>
      <c r="G810" s="753">
        <v>30</v>
      </c>
      <c r="H810" s="753">
        <v>0</v>
      </c>
      <c r="I810" s="754">
        <v>8.4000000000000005E-2</v>
      </c>
      <c r="J810" s="754">
        <v>8.7900000000000006E-2</v>
      </c>
      <c r="K810" s="754">
        <v>8.7499999999999994E-2</v>
      </c>
      <c r="L810" s="752">
        <v>13</v>
      </c>
    </row>
    <row r="811" spans="1:12" s="969" customFormat="1">
      <c r="A811" s="750">
        <v>45085</v>
      </c>
      <c r="B811" s="751" t="s">
        <v>3795</v>
      </c>
      <c r="C811" s="752">
        <v>252</v>
      </c>
      <c r="D811" s="750">
        <v>45337</v>
      </c>
      <c r="E811" s="753">
        <v>30</v>
      </c>
      <c r="F811" s="753">
        <v>89.53</v>
      </c>
      <c r="G811" s="753">
        <v>30</v>
      </c>
      <c r="H811" s="753">
        <v>0</v>
      </c>
      <c r="I811" s="754">
        <v>8.8999999999999996E-2</v>
      </c>
      <c r="J811" s="754">
        <v>9.4799999999999995E-2</v>
      </c>
      <c r="K811" s="754">
        <v>9.3899999999999997E-2</v>
      </c>
      <c r="L811" s="752">
        <v>15</v>
      </c>
    </row>
    <row r="812" spans="1:12" s="969" customFormat="1">
      <c r="A812" s="750">
        <v>45091</v>
      </c>
      <c r="B812" s="751" t="s">
        <v>3796</v>
      </c>
      <c r="C812" s="752">
        <v>28</v>
      </c>
      <c r="D812" s="750">
        <v>45119</v>
      </c>
      <c r="E812" s="753">
        <v>15</v>
      </c>
      <c r="F812" s="753">
        <v>41.85</v>
      </c>
      <c r="G812" s="753">
        <v>15</v>
      </c>
      <c r="H812" s="753">
        <v>0</v>
      </c>
      <c r="I812" s="754">
        <v>6.1499999999999999E-2</v>
      </c>
      <c r="J812" s="754">
        <v>6.1899999999999997E-2</v>
      </c>
      <c r="K812" s="754">
        <v>6.1899999999999997E-2</v>
      </c>
      <c r="L812" s="752">
        <v>7</v>
      </c>
    </row>
    <row r="813" spans="1:12" s="969" customFormat="1">
      <c r="A813" s="750">
        <v>45091</v>
      </c>
      <c r="B813" s="751" t="s">
        <v>3797</v>
      </c>
      <c r="C813" s="752">
        <v>84</v>
      </c>
      <c r="D813" s="750">
        <v>45175</v>
      </c>
      <c r="E813" s="753">
        <v>30</v>
      </c>
      <c r="F813" s="753">
        <v>74.62</v>
      </c>
      <c r="G813" s="753">
        <v>30</v>
      </c>
      <c r="H813" s="753">
        <v>0</v>
      </c>
      <c r="I813" s="754">
        <v>7.3800000000000004E-2</v>
      </c>
      <c r="J813" s="754">
        <v>7.4899999999999994E-2</v>
      </c>
      <c r="K813" s="754">
        <v>7.4700000000000003E-2</v>
      </c>
      <c r="L813" s="752">
        <v>12</v>
      </c>
    </row>
    <row r="814" spans="1:12" s="969" customFormat="1">
      <c r="A814" s="750">
        <v>45093</v>
      </c>
      <c r="B814" s="751" t="s">
        <v>3798</v>
      </c>
      <c r="C814" s="752">
        <v>167</v>
      </c>
      <c r="D814" s="750">
        <v>45260</v>
      </c>
      <c r="E814" s="753">
        <v>35</v>
      </c>
      <c r="F814" s="753">
        <v>77.599999999999994</v>
      </c>
      <c r="G814" s="753">
        <v>35</v>
      </c>
      <c r="H814" s="753">
        <v>0</v>
      </c>
      <c r="I814" s="754">
        <v>7.9899999999999999E-2</v>
      </c>
      <c r="J814" s="754">
        <v>8.5999999999999993E-2</v>
      </c>
      <c r="K814" s="754">
        <v>8.4000000000000005E-2</v>
      </c>
      <c r="L814" s="752">
        <v>12</v>
      </c>
    </row>
    <row r="815" spans="1:12" s="969" customFormat="1">
      <c r="A815" s="750">
        <v>45093</v>
      </c>
      <c r="B815" s="751" t="s">
        <v>3799</v>
      </c>
      <c r="C815" s="752">
        <v>251</v>
      </c>
      <c r="D815" s="750">
        <v>45344</v>
      </c>
      <c r="E815" s="753">
        <v>40</v>
      </c>
      <c r="F815" s="753">
        <v>75.37</v>
      </c>
      <c r="G815" s="753">
        <v>40</v>
      </c>
      <c r="H815" s="753">
        <v>0</v>
      </c>
      <c r="I815" s="754">
        <v>8.4900000000000003E-2</v>
      </c>
      <c r="J815" s="754">
        <v>9.1999999999999998E-2</v>
      </c>
      <c r="K815" s="754">
        <v>9.0200000000000002E-2</v>
      </c>
      <c r="L815" s="752">
        <v>14</v>
      </c>
    </row>
    <row r="816" spans="1:12" s="969" customFormat="1">
      <c r="A816" s="750">
        <v>45098</v>
      </c>
      <c r="B816" s="751" t="s">
        <v>3800</v>
      </c>
      <c r="C816" s="752">
        <v>28</v>
      </c>
      <c r="D816" s="750">
        <v>45126</v>
      </c>
      <c r="E816" s="753">
        <v>15</v>
      </c>
      <c r="F816" s="753">
        <v>33.43</v>
      </c>
      <c r="G816" s="753">
        <v>15</v>
      </c>
      <c r="H816" s="753">
        <v>0</v>
      </c>
      <c r="I816" s="754">
        <v>5.8900000000000001E-2</v>
      </c>
      <c r="J816" s="754">
        <v>5.8900000000000001E-2</v>
      </c>
      <c r="K816" s="754">
        <v>5.8900000000000001E-2</v>
      </c>
      <c r="L816" s="752">
        <v>7</v>
      </c>
    </row>
    <row r="817" spans="1:12" s="969" customFormat="1">
      <c r="A817" s="750">
        <v>45098</v>
      </c>
      <c r="B817" s="751" t="s">
        <v>3801</v>
      </c>
      <c r="C817" s="752">
        <v>84</v>
      </c>
      <c r="D817" s="750">
        <v>45182</v>
      </c>
      <c r="E817" s="753">
        <v>30</v>
      </c>
      <c r="F817" s="753">
        <v>66.680000000000007</v>
      </c>
      <c r="G817" s="753">
        <v>30</v>
      </c>
      <c r="H817" s="753">
        <v>0</v>
      </c>
      <c r="I817" s="754">
        <v>7.3400000000000007E-2</v>
      </c>
      <c r="J817" s="754">
        <v>7.3400000000000007E-2</v>
      </c>
      <c r="K817" s="754">
        <v>7.3400000000000007E-2</v>
      </c>
      <c r="L817" s="752">
        <v>6</v>
      </c>
    </row>
    <row r="818" spans="1:12" s="969" customFormat="1">
      <c r="A818" s="750">
        <v>45099</v>
      </c>
      <c r="B818" s="751" t="s">
        <v>3802</v>
      </c>
      <c r="C818" s="752">
        <v>168</v>
      </c>
      <c r="D818" s="750">
        <v>45267</v>
      </c>
      <c r="E818" s="753">
        <v>35</v>
      </c>
      <c r="F818" s="753">
        <v>81.22</v>
      </c>
      <c r="G818" s="753">
        <v>15</v>
      </c>
      <c r="H818" s="753">
        <v>0</v>
      </c>
      <c r="I818" s="754">
        <v>7.9000000000000001E-2</v>
      </c>
      <c r="J818" s="754">
        <v>8.3699999999999997E-2</v>
      </c>
      <c r="K818" s="754">
        <v>8.3099999999999993E-2</v>
      </c>
      <c r="L818" s="752">
        <v>13</v>
      </c>
    </row>
    <row r="819" spans="1:12" s="969" customFormat="1">
      <c r="A819" s="750">
        <v>45099</v>
      </c>
      <c r="B819" s="751" t="s">
        <v>3803</v>
      </c>
      <c r="C819" s="752">
        <v>252</v>
      </c>
      <c r="D819" s="750">
        <v>45351</v>
      </c>
      <c r="E819" s="753">
        <v>40</v>
      </c>
      <c r="F819" s="753">
        <v>87.33</v>
      </c>
      <c r="G819" s="753">
        <v>30</v>
      </c>
      <c r="H819" s="753">
        <v>0</v>
      </c>
      <c r="I819" s="754">
        <v>8.3000000000000004E-2</v>
      </c>
      <c r="J819" s="754">
        <v>9.0999999999999998E-2</v>
      </c>
      <c r="K819" s="754">
        <v>8.8499999999999995E-2</v>
      </c>
      <c r="L819" s="752">
        <v>14</v>
      </c>
    </row>
    <row r="820" spans="1:12" s="969" customFormat="1">
      <c r="A820" s="750">
        <v>45112</v>
      </c>
      <c r="B820" s="751" t="s">
        <v>3826</v>
      </c>
      <c r="C820" s="752">
        <v>28</v>
      </c>
      <c r="D820" s="750">
        <v>45140</v>
      </c>
      <c r="E820" s="753">
        <v>30</v>
      </c>
      <c r="F820" s="753">
        <v>48.08</v>
      </c>
      <c r="G820" s="753">
        <v>30</v>
      </c>
      <c r="H820" s="753">
        <v>0</v>
      </c>
      <c r="I820" s="754">
        <v>5.8700000000000002E-2</v>
      </c>
      <c r="J820" s="754">
        <v>5.8700000000000002E-2</v>
      </c>
      <c r="K820" s="754">
        <v>5.8700000000000002E-2</v>
      </c>
      <c r="L820" s="752">
        <v>6</v>
      </c>
    </row>
    <row r="821" spans="1:12" s="969" customFormat="1">
      <c r="A821" s="750">
        <v>45113</v>
      </c>
      <c r="B821" s="751" t="s">
        <v>3827</v>
      </c>
      <c r="C821" s="752">
        <v>84</v>
      </c>
      <c r="D821" s="750">
        <v>45197</v>
      </c>
      <c r="E821" s="753">
        <v>40</v>
      </c>
      <c r="F821" s="753">
        <v>56.2</v>
      </c>
      <c r="G821" s="753">
        <v>40</v>
      </c>
      <c r="H821" s="753">
        <v>0</v>
      </c>
      <c r="I821" s="754">
        <v>7.3300000000000004E-2</v>
      </c>
      <c r="J821" s="754">
        <v>7.3300000000000004E-2</v>
      </c>
      <c r="K821" s="754">
        <v>7.3300000000000004E-2</v>
      </c>
      <c r="L821" s="752">
        <v>5</v>
      </c>
    </row>
    <row r="822" spans="1:12" s="969" customFormat="1">
      <c r="A822" s="750">
        <v>45113</v>
      </c>
      <c r="B822" s="751" t="s">
        <v>3828</v>
      </c>
      <c r="C822" s="752">
        <v>252</v>
      </c>
      <c r="D822" s="750">
        <v>45365</v>
      </c>
      <c r="E822" s="753">
        <v>46.84</v>
      </c>
      <c r="F822" s="753">
        <v>46.84</v>
      </c>
      <c r="G822" s="753">
        <v>46.84</v>
      </c>
      <c r="H822" s="753">
        <v>0</v>
      </c>
      <c r="I822" s="754">
        <v>8.7499999999999994E-2</v>
      </c>
      <c r="J822" s="754">
        <v>9.9900000000000003E-2</v>
      </c>
      <c r="K822" s="754">
        <v>9.1399999999999995E-2</v>
      </c>
      <c r="L822" s="752">
        <v>11</v>
      </c>
    </row>
    <row r="823" spans="1:12" s="969" customFormat="1">
      <c r="A823" s="750">
        <v>45112</v>
      </c>
      <c r="B823" s="751" t="s">
        <v>3829</v>
      </c>
      <c r="C823" s="752">
        <v>168</v>
      </c>
      <c r="D823" s="750">
        <v>45280</v>
      </c>
      <c r="E823" s="753">
        <v>50</v>
      </c>
      <c r="F823" s="753">
        <v>67.760000000000005</v>
      </c>
      <c r="G823" s="753">
        <v>50</v>
      </c>
      <c r="H823" s="753">
        <v>0</v>
      </c>
      <c r="I823" s="754">
        <v>8.2000000000000003E-2</v>
      </c>
      <c r="J823" s="754">
        <v>8.4900000000000003E-2</v>
      </c>
      <c r="K823" s="754">
        <v>8.3799999999999999E-2</v>
      </c>
      <c r="L823" s="752">
        <v>9</v>
      </c>
    </row>
    <row r="824" spans="1:12" s="969" customFormat="1">
      <c r="A824" s="750">
        <v>45119</v>
      </c>
      <c r="B824" s="751" t="s">
        <v>3830</v>
      </c>
      <c r="C824" s="752">
        <v>168</v>
      </c>
      <c r="D824" s="750">
        <v>45287</v>
      </c>
      <c r="E824" s="753">
        <v>28.35</v>
      </c>
      <c r="F824" s="753">
        <v>28.35</v>
      </c>
      <c r="G824" s="753">
        <v>28.35</v>
      </c>
      <c r="H824" s="753">
        <v>0</v>
      </c>
      <c r="I824" s="754">
        <v>8.2799999999999999E-2</v>
      </c>
      <c r="J824" s="754">
        <v>0.09</v>
      </c>
      <c r="K824" s="754">
        <v>8.7099999999999997E-2</v>
      </c>
      <c r="L824" s="752">
        <v>8</v>
      </c>
    </row>
    <row r="825" spans="1:12" s="969" customFormat="1">
      <c r="A825" s="750">
        <v>45120</v>
      </c>
      <c r="B825" s="751" t="s">
        <v>3831</v>
      </c>
      <c r="C825" s="752">
        <v>84</v>
      </c>
      <c r="D825" s="750">
        <v>45204</v>
      </c>
      <c r="E825" s="753">
        <v>40</v>
      </c>
      <c r="F825" s="753">
        <v>54.82</v>
      </c>
      <c r="G825" s="753">
        <v>40</v>
      </c>
      <c r="H825" s="753">
        <v>0</v>
      </c>
      <c r="I825" s="754">
        <v>7.8E-2</v>
      </c>
      <c r="J825" s="754">
        <v>8.6499999999999994E-2</v>
      </c>
      <c r="K825" s="754">
        <v>8.1500000000000003E-2</v>
      </c>
      <c r="L825" s="752">
        <v>7</v>
      </c>
    </row>
    <row r="826" spans="1:12" s="969" customFormat="1">
      <c r="A826" s="750">
        <v>45120</v>
      </c>
      <c r="B826" s="751" t="s">
        <v>3832</v>
      </c>
      <c r="C826" s="752">
        <v>252</v>
      </c>
      <c r="D826" s="750">
        <v>45372</v>
      </c>
      <c r="E826" s="753">
        <v>48.25</v>
      </c>
      <c r="F826" s="753">
        <v>48.25</v>
      </c>
      <c r="G826" s="753">
        <v>48.25</v>
      </c>
      <c r="H826" s="753">
        <v>0</v>
      </c>
      <c r="I826" s="754">
        <v>0.09</v>
      </c>
      <c r="J826" s="754">
        <v>0.11</v>
      </c>
      <c r="K826" s="754">
        <v>9.9500000000000005E-2</v>
      </c>
      <c r="L826" s="752">
        <v>12</v>
      </c>
    </row>
    <row r="827" spans="1:12" s="969" customFormat="1">
      <c r="A827" s="750">
        <v>45126</v>
      </c>
      <c r="B827" s="751" t="s">
        <v>3833</v>
      </c>
      <c r="C827" s="752">
        <v>28</v>
      </c>
      <c r="D827" s="750">
        <v>45154</v>
      </c>
      <c r="E827" s="753">
        <v>30</v>
      </c>
      <c r="F827" s="753">
        <v>65.41</v>
      </c>
      <c r="G827" s="753">
        <v>30</v>
      </c>
      <c r="H827" s="753">
        <v>0</v>
      </c>
      <c r="I827" s="754">
        <v>6.4500000000000002E-2</v>
      </c>
      <c r="J827" s="754">
        <v>6.9699999999999998E-2</v>
      </c>
      <c r="K827" s="754">
        <v>6.88E-2</v>
      </c>
      <c r="L827" s="752">
        <v>12</v>
      </c>
    </row>
    <row r="828" spans="1:12" s="969" customFormat="1">
      <c r="A828" s="750">
        <v>45126</v>
      </c>
      <c r="B828" s="751" t="s">
        <v>3834</v>
      </c>
      <c r="C828" s="752">
        <v>168</v>
      </c>
      <c r="D828" s="750">
        <v>45294</v>
      </c>
      <c r="E828" s="753">
        <v>37.83</v>
      </c>
      <c r="F828" s="753">
        <v>37.83</v>
      </c>
      <c r="G828" s="753">
        <v>37.83</v>
      </c>
      <c r="H828" s="753">
        <v>0</v>
      </c>
      <c r="I828" s="754">
        <v>8.7400000000000005E-2</v>
      </c>
      <c r="J828" s="754">
        <v>9.9900000000000003E-2</v>
      </c>
      <c r="K828" s="754">
        <v>9.1700000000000004E-2</v>
      </c>
      <c r="L828" s="752">
        <v>7</v>
      </c>
    </row>
    <row r="829" spans="1:12" s="969" customFormat="1">
      <c r="A829" s="750">
        <v>45127</v>
      </c>
      <c r="B829" s="751" t="s">
        <v>3835</v>
      </c>
      <c r="C829" s="752">
        <v>84</v>
      </c>
      <c r="D829" s="750">
        <v>45211</v>
      </c>
      <c r="E829" s="753">
        <v>40</v>
      </c>
      <c r="F829" s="753">
        <v>60.24</v>
      </c>
      <c r="G829" s="753">
        <v>40</v>
      </c>
      <c r="H829" s="753">
        <v>0</v>
      </c>
      <c r="I829" s="754">
        <v>8.4900000000000003E-2</v>
      </c>
      <c r="J829" s="754">
        <v>9.5000000000000001E-2</v>
      </c>
      <c r="K829" s="754">
        <v>8.8800000000000004E-2</v>
      </c>
      <c r="L829" s="752">
        <v>8</v>
      </c>
    </row>
    <row r="830" spans="1:12" s="969" customFormat="1">
      <c r="A830" s="750">
        <v>45127</v>
      </c>
      <c r="B830" s="751" t="s">
        <v>3836</v>
      </c>
      <c r="C830" s="752">
        <v>252</v>
      </c>
      <c r="D830" s="750">
        <v>45379</v>
      </c>
      <c r="E830" s="753">
        <v>57.21</v>
      </c>
      <c r="F830" s="753">
        <v>57.21</v>
      </c>
      <c r="G830" s="753">
        <v>57.21</v>
      </c>
      <c r="H830" s="753">
        <v>0</v>
      </c>
      <c r="I830" s="754">
        <v>9.2999999999999999E-2</v>
      </c>
      <c r="J830" s="754">
        <v>0.1399</v>
      </c>
      <c r="K830" s="754">
        <v>0.1082</v>
      </c>
      <c r="L830" s="752">
        <v>11</v>
      </c>
    </row>
    <row r="831" spans="1:12" s="969" customFormat="1">
      <c r="A831" s="750">
        <v>45133</v>
      </c>
      <c r="B831" s="751" t="s">
        <v>3837</v>
      </c>
      <c r="C831" s="752">
        <v>28</v>
      </c>
      <c r="D831" s="750">
        <v>45161</v>
      </c>
      <c r="E831" s="753">
        <v>20</v>
      </c>
      <c r="F831" s="753">
        <v>76.19</v>
      </c>
      <c r="G831" s="753">
        <v>20</v>
      </c>
      <c r="H831" s="753">
        <v>0</v>
      </c>
      <c r="I831" s="754">
        <v>6.93E-2</v>
      </c>
      <c r="J831" s="754">
        <v>6.9500000000000006E-2</v>
      </c>
      <c r="K831" s="754">
        <v>6.9500000000000006E-2</v>
      </c>
      <c r="L831" s="752">
        <v>7</v>
      </c>
    </row>
    <row r="832" spans="1:12" s="969" customFormat="1">
      <c r="A832" s="750">
        <v>45133</v>
      </c>
      <c r="B832" s="751" t="s">
        <v>3838</v>
      </c>
      <c r="C832" s="752">
        <v>168</v>
      </c>
      <c r="D832" s="750">
        <v>45301</v>
      </c>
      <c r="E832" s="753">
        <v>20</v>
      </c>
      <c r="F832" s="753">
        <v>62.81</v>
      </c>
      <c r="G832" s="753">
        <v>20</v>
      </c>
      <c r="H832" s="753">
        <v>0</v>
      </c>
      <c r="I832" s="754">
        <v>9.1600000000000001E-2</v>
      </c>
      <c r="J832" s="754">
        <v>9.1600000000000001E-2</v>
      </c>
      <c r="K832" s="754">
        <v>9.1600000000000001E-2</v>
      </c>
      <c r="L832" s="752">
        <v>8</v>
      </c>
    </row>
    <row r="833" spans="1:12" s="969" customFormat="1">
      <c r="A833" s="750">
        <v>45134</v>
      </c>
      <c r="B833" s="751" t="s">
        <v>3839</v>
      </c>
      <c r="C833" s="752">
        <v>84</v>
      </c>
      <c r="D833" s="750">
        <v>45218</v>
      </c>
      <c r="E833" s="753">
        <v>20</v>
      </c>
      <c r="F833" s="753">
        <v>80.81</v>
      </c>
      <c r="G833" s="753">
        <v>20</v>
      </c>
      <c r="H833" s="753">
        <v>0</v>
      </c>
      <c r="I833" s="754">
        <v>8.4500000000000006E-2</v>
      </c>
      <c r="J833" s="754">
        <v>8.7900000000000006E-2</v>
      </c>
      <c r="K833" s="754">
        <v>8.6900000000000005E-2</v>
      </c>
      <c r="L833" s="752">
        <v>8</v>
      </c>
    </row>
    <row r="834" spans="1:12" s="969" customFormat="1">
      <c r="A834" s="750">
        <v>45134</v>
      </c>
      <c r="B834" s="751" t="s">
        <v>3840</v>
      </c>
      <c r="C834" s="752">
        <v>252</v>
      </c>
      <c r="D834" s="750">
        <v>45386</v>
      </c>
      <c r="E834" s="753">
        <v>20</v>
      </c>
      <c r="F834" s="753">
        <v>88.16</v>
      </c>
      <c r="G834" s="753">
        <v>20</v>
      </c>
      <c r="H834" s="753">
        <v>0</v>
      </c>
      <c r="I834" s="754">
        <v>9.1999999999999998E-2</v>
      </c>
      <c r="J834" s="754">
        <v>9.9900000000000003E-2</v>
      </c>
      <c r="K834" s="754">
        <v>9.8500000000000004E-2</v>
      </c>
      <c r="L834" s="752">
        <v>11</v>
      </c>
    </row>
    <row r="835" spans="1:12" s="969" customFormat="1">
      <c r="A835" s="750">
        <v>45140</v>
      </c>
      <c r="B835" s="751" t="s">
        <v>3857</v>
      </c>
      <c r="C835" s="752">
        <v>28</v>
      </c>
      <c r="D835" s="750">
        <v>45168</v>
      </c>
      <c r="E835" s="753">
        <v>20</v>
      </c>
      <c r="F835" s="753">
        <v>81.7</v>
      </c>
      <c r="G835" s="753">
        <v>20</v>
      </c>
      <c r="H835" s="753">
        <v>0</v>
      </c>
      <c r="I835" s="754">
        <v>6.6900000000000001E-2</v>
      </c>
      <c r="J835" s="754">
        <v>6.7799999999999999E-2</v>
      </c>
      <c r="K835" s="754">
        <v>6.7699999999999996E-2</v>
      </c>
      <c r="L835" s="752">
        <v>4</v>
      </c>
    </row>
    <row r="836" spans="1:12" s="969" customFormat="1">
      <c r="A836" s="750">
        <v>45140</v>
      </c>
      <c r="B836" s="751" t="s">
        <v>3858</v>
      </c>
      <c r="C836" s="752">
        <v>168</v>
      </c>
      <c r="D836" s="750">
        <v>45308</v>
      </c>
      <c r="E836" s="753">
        <v>20</v>
      </c>
      <c r="F836" s="753">
        <v>88.96</v>
      </c>
      <c r="G836" s="753">
        <v>20</v>
      </c>
      <c r="H836" s="753">
        <v>0</v>
      </c>
      <c r="I836" s="754">
        <v>8.5000000000000006E-2</v>
      </c>
      <c r="J836" s="754">
        <v>8.9800000000000005E-2</v>
      </c>
      <c r="K836" s="754">
        <v>8.8599999999999998E-2</v>
      </c>
      <c r="L836" s="752">
        <v>3</v>
      </c>
    </row>
    <row r="837" spans="1:12" s="969" customFormat="1">
      <c r="A837" s="750">
        <v>45141</v>
      </c>
      <c r="B837" s="751" t="s">
        <v>3859</v>
      </c>
      <c r="C837" s="752">
        <v>84</v>
      </c>
      <c r="D837" s="750">
        <v>45225</v>
      </c>
      <c r="E837" s="753">
        <v>20</v>
      </c>
      <c r="F837" s="753">
        <v>87.99</v>
      </c>
      <c r="G837" s="753">
        <v>20</v>
      </c>
      <c r="H837" s="753">
        <v>0</v>
      </c>
      <c r="I837" s="754">
        <v>7.9000000000000001E-2</v>
      </c>
      <c r="J837" s="754">
        <v>7.9299999999999995E-2</v>
      </c>
      <c r="K837" s="754">
        <v>7.9200000000000007E-2</v>
      </c>
      <c r="L837" s="752">
        <v>3</v>
      </c>
    </row>
    <row r="838" spans="1:12" s="969" customFormat="1">
      <c r="A838" s="750">
        <v>45141</v>
      </c>
      <c r="B838" s="751" t="s">
        <v>3860</v>
      </c>
      <c r="C838" s="752">
        <v>252</v>
      </c>
      <c r="D838" s="750">
        <v>45393</v>
      </c>
      <c r="E838" s="753">
        <v>20</v>
      </c>
      <c r="F838" s="753">
        <v>84</v>
      </c>
      <c r="G838" s="753">
        <v>20</v>
      </c>
      <c r="H838" s="753">
        <v>0</v>
      </c>
      <c r="I838" s="754">
        <v>8.9800000000000005E-2</v>
      </c>
      <c r="J838" s="754">
        <v>9.1700000000000004E-2</v>
      </c>
      <c r="K838" s="754">
        <v>9.1300000000000006E-2</v>
      </c>
      <c r="L838" s="752">
        <v>3</v>
      </c>
    </row>
    <row r="839" spans="1:12" s="969" customFormat="1">
      <c r="A839" s="750">
        <v>45147</v>
      </c>
      <c r="B839" s="751" t="s">
        <v>3861</v>
      </c>
      <c r="C839" s="752">
        <v>168</v>
      </c>
      <c r="D839" s="750">
        <v>45315</v>
      </c>
      <c r="E839" s="753">
        <v>20</v>
      </c>
      <c r="F839" s="753">
        <v>23.73</v>
      </c>
      <c r="G839" s="753">
        <v>20</v>
      </c>
      <c r="H839" s="753">
        <v>0</v>
      </c>
      <c r="I839" s="754">
        <v>8.4900000000000003E-2</v>
      </c>
      <c r="J839" s="754">
        <v>8.7999999999999995E-2</v>
      </c>
      <c r="K839" s="754">
        <v>8.7099999999999997E-2</v>
      </c>
      <c r="L839" s="752">
        <v>6</v>
      </c>
    </row>
    <row r="840" spans="1:12" s="969" customFormat="1">
      <c r="A840" s="750">
        <v>45148</v>
      </c>
      <c r="B840" s="751" t="s">
        <v>3862</v>
      </c>
      <c r="C840" s="752">
        <v>84</v>
      </c>
      <c r="D840" s="750">
        <v>45232</v>
      </c>
      <c r="E840" s="753">
        <v>20</v>
      </c>
      <c r="F840" s="753">
        <v>27.97</v>
      </c>
      <c r="G840" s="753">
        <v>20</v>
      </c>
      <c r="H840" s="753">
        <v>0</v>
      </c>
      <c r="I840" s="754">
        <v>7.4999999999999997E-2</v>
      </c>
      <c r="J840" s="754">
        <v>7.8799999999999995E-2</v>
      </c>
      <c r="K840" s="754">
        <v>7.7700000000000005E-2</v>
      </c>
      <c r="L840" s="752">
        <v>4</v>
      </c>
    </row>
    <row r="841" spans="1:12" s="969" customFormat="1">
      <c r="A841" s="750">
        <v>45148</v>
      </c>
      <c r="B841" s="751" t="s">
        <v>3863</v>
      </c>
      <c r="C841" s="752">
        <v>252</v>
      </c>
      <c r="D841" s="750">
        <v>45400</v>
      </c>
      <c r="E841" s="753">
        <v>20</v>
      </c>
      <c r="F841" s="753">
        <v>25.83</v>
      </c>
      <c r="G841" s="753">
        <v>20</v>
      </c>
      <c r="H841" s="753">
        <v>0</v>
      </c>
      <c r="I841" s="754">
        <v>8.9899999999999994E-2</v>
      </c>
      <c r="J841" s="754">
        <v>9.2700000000000005E-2</v>
      </c>
      <c r="K841" s="754">
        <v>9.0800000000000006E-2</v>
      </c>
      <c r="L841" s="752">
        <v>6</v>
      </c>
    </row>
    <row r="842" spans="1:12" s="969" customFormat="1">
      <c r="A842" s="750">
        <v>45149</v>
      </c>
      <c r="B842" s="751" t="s">
        <v>3864</v>
      </c>
      <c r="C842" s="752">
        <v>7</v>
      </c>
      <c r="D842" s="750">
        <v>45156</v>
      </c>
      <c r="E842" s="753">
        <v>30</v>
      </c>
      <c r="F842" s="753">
        <v>38.03</v>
      </c>
      <c r="G842" s="753">
        <v>30</v>
      </c>
      <c r="H842" s="753">
        <v>0</v>
      </c>
      <c r="I842" s="754">
        <v>7.51E-2</v>
      </c>
      <c r="J842" s="754">
        <v>7.8E-2</v>
      </c>
      <c r="K842" s="754">
        <v>7.6200000000000004E-2</v>
      </c>
      <c r="L842" s="752">
        <v>4</v>
      </c>
    </row>
    <row r="843" spans="1:12" s="969" customFormat="1">
      <c r="A843" s="750">
        <v>45154</v>
      </c>
      <c r="B843" s="751" t="s">
        <v>3865</v>
      </c>
      <c r="C843" s="752">
        <v>28</v>
      </c>
      <c r="D843" s="750">
        <v>45182</v>
      </c>
      <c r="E843" s="753">
        <v>20</v>
      </c>
      <c r="F843" s="753">
        <v>23.13</v>
      </c>
      <c r="G843" s="753">
        <v>20</v>
      </c>
      <c r="H843" s="753">
        <v>0</v>
      </c>
      <c r="I843" s="754">
        <v>7.4800000000000005E-2</v>
      </c>
      <c r="J843" s="754">
        <v>8.5000000000000006E-2</v>
      </c>
      <c r="K843" s="754">
        <v>8.0600000000000005E-2</v>
      </c>
      <c r="L843" s="752">
        <v>5</v>
      </c>
    </row>
    <row r="844" spans="1:12" s="969" customFormat="1">
      <c r="A844" s="750">
        <v>45154</v>
      </c>
      <c r="B844" s="751" t="s">
        <v>3866</v>
      </c>
      <c r="C844" s="752">
        <v>168</v>
      </c>
      <c r="D844" s="750">
        <v>45322</v>
      </c>
      <c r="E844" s="753">
        <v>20</v>
      </c>
      <c r="F844" s="753">
        <v>31.53</v>
      </c>
      <c r="G844" s="753">
        <v>20</v>
      </c>
      <c r="H844" s="753">
        <v>0</v>
      </c>
      <c r="I844" s="754">
        <v>8.5500000000000007E-2</v>
      </c>
      <c r="J844" s="754">
        <v>8.7999999999999995E-2</v>
      </c>
      <c r="K844" s="754">
        <v>8.6599999999999996E-2</v>
      </c>
      <c r="L844" s="752">
        <v>6</v>
      </c>
    </row>
    <row r="845" spans="1:12" s="969" customFormat="1">
      <c r="A845" s="750">
        <v>45155</v>
      </c>
      <c r="B845" s="751" t="s">
        <v>3867</v>
      </c>
      <c r="C845" s="752">
        <v>84</v>
      </c>
      <c r="D845" s="750">
        <v>45239</v>
      </c>
      <c r="E845" s="753">
        <v>20</v>
      </c>
      <c r="F845" s="753">
        <v>21.35</v>
      </c>
      <c r="G845" s="753">
        <v>20</v>
      </c>
      <c r="H845" s="753">
        <v>0</v>
      </c>
      <c r="I845" s="754">
        <v>7.8E-2</v>
      </c>
      <c r="J845" s="754">
        <v>8.7999999999999995E-2</v>
      </c>
      <c r="K845" s="754">
        <v>8.5599999999999996E-2</v>
      </c>
      <c r="L845" s="752">
        <v>7</v>
      </c>
    </row>
    <row r="846" spans="1:12" s="969" customFormat="1">
      <c r="A846" s="750">
        <v>45155</v>
      </c>
      <c r="B846" s="751" t="s">
        <v>3868</v>
      </c>
      <c r="C846" s="752">
        <v>252</v>
      </c>
      <c r="D846" s="750">
        <v>45407</v>
      </c>
      <c r="E846" s="753">
        <v>20</v>
      </c>
      <c r="F846" s="753">
        <v>25.43</v>
      </c>
      <c r="G846" s="753">
        <v>20</v>
      </c>
      <c r="H846" s="753">
        <v>0</v>
      </c>
      <c r="I846" s="754">
        <v>9.0999999999999998E-2</v>
      </c>
      <c r="J846" s="754">
        <v>9.2999999999999999E-2</v>
      </c>
      <c r="K846" s="754">
        <v>9.2299999999999993E-2</v>
      </c>
      <c r="L846" s="752">
        <v>5</v>
      </c>
    </row>
    <row r="847" spans="1:12" s="969" customFormat="1">
      <c r="A847" s="750">
        <v>45161</v>
      </c>
      <c r="B847" s="751" t="s">
        <v>3869</v>
      </c>
      <c r="C847" s="752">
        <v>28</v>
      </c>
      <c r="D847" s="750">
        <v>45189</v>
      </c>
      <c r="E847" s="753">
        <v>20</v>
      </c>
      <c r="F847" s="753">
        <v>25.43</v>
      </c>
      <c r="G847" s="753">
        <v>20</v>
      </c>
      <c r="H847" s="753">
        <v>0</v>
      </c>
      <c r="I847" s="754">
        <v>8.2699999999999996E-2</v>
      </c>
      <c r="J847" s="754">
        <v>8.3000000000000004E-2</v>
      </c>
      <c r="K847" s="754">
        <v>8.2900000000000001E-2</v>
      </c>
      <c r="L847" s="752">
        <v>2</v>
      </c>
    </row>
    <row r="848" spans="1:12" s="969" customFormat="1">
      <c r="A848" s="750">
        <v>45161</v>
      </c>
      <c r="B848" s="751" t="s">
        <v>3870</v>
      </c>
      <c r="C848" s="752">
        <v>168</v>
      </c>
      <c r="D848" s="750">
        <v>45329</v>
      </c>
      <c r="E848" s="753">
        <v>20</v>
      </c>
      <c r="F848" s="753">
        <v>5.5</v>
      </c>
      <c r="G848" s="753">
        <v>20</v>
      </c>
      <c r="H848" s="753">
        <v>0</v>
      </c>
      <c r="I848" s="754">
        <v>8.5500000000000007E-2</v>
      </c>
      <c r="J848" s="754">
        <v>8.6499999999999994E-2</v>
      </c>
      <c r="K848" s="754">
        <v>8.5900000000000004E-2</v>
      </c>
      <c r="L848" s="752">
        <v>4</v>
      </c>
    </row>
    <row r="849" spans="1:12" s="969" customFormat="1">
      <c r="A849" s="750">
        <v>45162</v>
      </c>
      <c r="B849" s="751" t="s">
        <v>3871</v>
      </c>
      <c r="C849" s="752">
        <v>84</v>
      </c>
      <c r="D849" s="750">
        <v>45246</v>
      </c>
      <c r="E849" s="753">
        <v>20</v>
      </c>
      <c r="F849" s="753">
        <v>24.45</v>
      </c>
      <c r="G849" s="753">
        <v>20</v>
      </c>
      <c r="H849" s="753">
        <v>0</v>
      </c>
      <c r="I849" s="754">
        <v>8.4699999999999998E-2</v>
      </c>
      <c r="J849" s="754">
        <v>8.5000000000000006E-2</v>
      </c>
      <c r="K849" s="754">
        <v>8.48E-2</v>
      </c>
      <c r="L849" s="752">
        <v>4</v>
      </c>
    </row>
    <row r="850" spans="1:12" s="969" customFormat="1">
      <c r="A850" s="750">
        <v>45162</v>
      </c>
      <c r="B850" s="751" t="s">
        <v>3872</v>
      </c>
      <c r="C850" s="752">
        <v>252</v>
      </c>
      <c r="D850" s="750">
        <v>45414</v>
      </c>
      <c r="E850" s="753">
        <v>20</v>
      </c>
      <c r="F850" s="753">
        <v>37.229999999999997</v>
      </c>
      <c r="G850" s="753">
        <v>20</v>
      </c>
      <c r="H850" s="753">
        <v>0</v>
      </c>
      <c r="I850" s="754">
        <v>9.1499999999999998E-2</v>
      </c>
      <c r="J850" s="754">
        <v>9.1999999999999998E-2</v>
      </c>
      <c r="K850" s="754">
        <v>9.1800000000000007E-2</v>
      </c>
      <c r="L850" s="752">
        <v>5</v>
      </c>
    </row>
    <row r="851" spans="1:12" s="969" customFormat="1">
      <c r="A851" s="750">
        <v>45168</v>
      </c>
      <c r="B851" s="751" t="s">
        <v>3873</v>
      </c>
      <c r="C851" s="752">
        <v>28</v>
      </c>
      <c r="D851" s="750">
        <v>45196</v>
      </c>
      <c r="E851" s="753">
        <v>20</v>
      </c>
      <c r="F851" s="753">
        <v>27.67</v>
      </c>
      <c r="G851" s="753">
        <v>20</v>
      </c>
      <c r="H851" s="753">
        <v>0</v>
      </c>
      <c r="I851" s="754">
        <v>8.1000000000000003E-2</v>
      </c>
      <c r="J851" s="754">
        <v>8.2900000000000001E-2</v>
      </c>
      <c r="K851" s="754">
        <v>8.2000000000000003E-2</v>
      </c>
      <c r="L851" s="752">
        <v>4</v>
      </c>
    </row>
    <row r="852" spans="1:12" s="969" customFormat="1">
      <c r="A852" s="750">
        <v>45168</v>
      </c>
      <c r="B852" s="751" t="s">
        <v>3874</v>
      </c>
      <c r="C852" s="752">
        <v>168</v>
      </c>
      <c r="D852" s="750">
        <v>45336</v>
      </c>
      <c r="E852" s="753">
        <v>20</v>
      </c>
      <c r="F852" s="753">
        <v>38.44</v>
      </c>
      <c r="G852" s="753">
        <v>20</v>
      </c>
      <c r="H852" s="753">
        <v>0</v>
      </c>
      <c r="I852" s="754">
        <v>8.3000000000000004E-2</v>
      </c>
      <c r="J852" s="754">
        <v>8.5199999999999998E-2</v>
      </c>
      <c r="K852" s="754">
        <v>8.4599999999999995E-2</v>
      </c>
      <c r="L852" s="752">
        <v>3</v>
      </c>
    </row>
    <row r="853" spans="1:12" s="969" customFormat="1">
      <c r="A853" s="750">
        <v>45169</v>
      </c>
      <c r="B853" s="751" t="s">
        <v>3875</v>
      </c>
      <c r="C853" s="752">
        <v>84</v>
      </c>
      <c r="D853" s="750">
        <v>45253</v>
      </c>
      <c r="E853" s="753">
        <v>20</v>
      </c>
      <c r="F853" s="753">
        <v>50.05</v>
      </c>
      <c r="G853" s="753">
        <v>20</v>
      </c>
      <c r="H853" s="753">
        <v>0</v>
      </c>
      <c r="I853" s="754">
        <v>0.08</v>
      </c>
      <c r="J853" s="754">
        <v>0.08</v>
      </c>
      <c r="K853" s="754">
        <v>0.08</v>
      </c>
      <c r="L853" s="752">
        <v>1</v>
      </c>
    </row>
    <row r="854" spans="1:12" s="969" customFormat="1">
      <c r="A854" s="750">
        <v>45169</v>
      </c>
      <c r="B854" s="751" t="s">
        <v>3876</v>
      </c>
      <c r="C854" s="752">
        <v>252</v>
      </c>
      <c r="D854" s="750">
        <v>45421</v>
      </c>
      <c r="E854" s="753">
        <v>20</v>
      </c>
      <c r="F854" s="753">
        <v>54.31</v>
      </c>
      <c r="G854" s="753">
        <v>20</v>
      </c>
      <c r="H854" s="753">
        <v>0</v>
      </c>
      <c r="I854" s="754">
        <v>0.09</v>
      </c>
      <c r="J854" s="754">
        <v>0.09</v>
      </c>
      <c r="K854" s="754">
        <v>0.09</v>
      </c>
      <c r="L854" s="752">
        <v>2</v>
      </c>
    </row>
    <row r="855" spans="1:12" s="969" customFormat="1">
      <c r="A855" s="750">
        <v>45170</v>
      </c>
      <c r="B855" s="751" t="s">
        <v>3890</v>
      </c>
      <c r="C855" s="752">
        <v>7</v>
      </c>
      <c r="D855" s="750">
        <v>45177</v>
      </c>
      <c r="E855" s="753">
        <v>30</v>
      </c>
      <c r="F855" s="753">
        <v>12.5</v>
      </c>
      <c r="G855" s="753">
        <v>12.5</v>
      </c>
      <c r="H855" s="753">
        <v>0</v>
      </c>
      <c r="I855" s="754">
        <v>7.9000000000000001E-2</v>
      </c>
      <c r="J855" s="754">
        <v>8.5000000000000006E-2</v>
      </c>
      <c r="K855" s="754">
        <v>8.2100000000000006E-2</v>
      </c>
      <c r="L855" s="752">
        <v>5</v>
      </c>
    </row>
    <row r="856" spans="1:12" s="969" customFormat="1">
      <c r="A856" s="750">
        <v>45175</v>
      </c>
      <c r="B856" s="751" t="s">
        <v>3891</v>
      </c>
      <c r="C856" s="752">
        <v>28</v>
      </c>
      <c r="D856" s="750">
        <v>45203</v>
      </c>
      <c r="E856" s="753">
        <v>20</v>
      </c>
      <c r="F856" s="753">
        <v>17.07</v>
      </c>
      <c r="G856" s="753">
        <v>17.07</v>
      </c>
      <c r="H856" s="753">
        <v>0</v>
      </c>
      <c r="I856" s="754">
        <v>0.08</v>
      </c>
      <c r="J856" s="754">
        <v>8.5000000000000006E-2</v>
      </c>
      <c r="K856" s="754">
        <v>8.1600000000000006E-2</v>
      </c>
      <c r="L856" s="752">
        <v>5</v>
      </c>
    </row>
    <row r="857" spans="1:12" s="969" customFormat="1">
      <c r="A857" s="750">
        <v>45175</v>
      </c>
      <c r="B857" s="751" t="s">
        <v>3892</v>
      </c>
      <c r="C857" s="752">
        <v>168</v>
      </c>
      <c r="D857" s="750">
        <v>45343</v>
      </c>
      <c r="E857" s="753">
        <v>20</v>
      </c>
      <c r="F857" s="753">
        <v>31.15</v>
      </c>
      <c r="G857" s="753">
        <v>20</v>
      </c>
      <c r="H857" s="753">
        <v>0</v>
      </c>
      <c r="I857" s="754">
        <v>8.2500000000000004E-2</v>
      </c>
      <c r="J857" s="754">
        <v>8.3000000000000004E-2</v>
      </c>
      <c r="K857" s="754">
        <v>8.2900000000000001E-2</v>
      </c>
      <c r="L857" s="752">
        <v>4</v>
      </c>
    </row>
    <row r="858" spans="1:12" s="969" customFormat="1">
      <c r="A858" s="750">
        <v>45176</v>
      </c>
      <c r="B858" s="751" t="s">
        <v>3893</v>
      </c>
      <c r="C858" s="752">
        <v>84</v>
      </c>
      <c r="D858" s="750">
        <v>45260</v>
      </c>
      <c r="E858" s="753">
        <v>20</v>
      </c>
      <c r="F858" s="753">
        <v>21.36</v>
      </c>
      <c r="G858" s="753">
        <v>20</v>
      </c>
      <c r="H858" s="753">
        <v>0</v>
      </c>
      <c r="I858" s="754">
        <v>7.9500000000000001E-2</v>
      </c>
      <c r="J858" s="754">
        <v>8.3699999999999997E-2</v>
      </c>
      <c r="K858" s="754">
        <v>8.2400000000000001E-2</v>
      </c>
      <c r="L858" s="752">
        <v>6</v>
      </c>
    </row>
    <row r="859" spans="1:12" s="969" customFormat="1">
      <c r="A859" s="750">
        <v>45176</v>
      </c>
      <c r="B859" s="751" t="s">
        <v>3894</v>
      </c>
      <c r="C859" s="752">
        <v>252</v>
      </c>
      <c r="D859" s="750">
        <v>45428</v>
      </c>
      <c r="E859" s="753">
        <v>20</v>
      </c>
      <c r="F859" s="753">
        <v>39.270000000000003</v>
      </c>
      <c r="G859" s="753">
        <v>20</v>
      </c>
      <c r="H859" s="753">
        <v>0</v>
      </c>
      <c r="I859" s="754">
        <v>8.7900000000000006E-2</v>
      </c>
      <c r="J859" s="754">
        <v>8.8999999999999996E-2</v>
      </c>
      <c r="K859" s="754">
        <v>8.8599999999999998E-2</v>
      </c>
      <c r="L859" s="752">
        <v>4</v>
      </c>
    </row>
    <row r="860" spans="1:12" s="969" customFormat="1">
      <c r="A860" s="750">
        <v>45177</v>
      </c>
      <c r="B860" s="751" t="s">
        <v>3895</v>
      </c>
      <c r="C860" s="752">
        <v>7</v>
      </c>
      <c r="D860" s="750">
        <v>45184</v>
      </c>
      <c r="E860" s="753">
        <v>20</v>
      </c>
      <c r="F860" s="753">
        <v>20.11</v>
      </c>
      <c r="G860" s="753">
        <v>20</v>
      </c>
      <c r="H860" s="753">
        <v>0</v>
      </c>
      <c r="I860" s="754">
        <v>0.08</v>
      </c>
      <c r="J860" s="754">
        <v>8.7999999999999995E-2</v>
      </c>
      <c r="K860" s="754">
        <v>8.3299999999999999E-2</v>
      </c>
      <c r="L860" s="752">
        <v>5</v>
      </c>
    </row>
    <row r="861" spans="1:12" s="969" customFormat="1">
      <c r="A861" s="750">
        <v>45182</v>
      </c>
      <c r="B861" s="751" t="s">
        <v>3896</v>
      </c>
      <c r="C861" s="752">
        <v>28</v>
      </c>
      <c r="D861" s="750">
        <v>45210</v>
      </c>
      <c r="E861" s="753">
        <v>20</v>
      </c>
      <c r="F861" s="753">
        <v>38.29</v>
      </c>
      <c r="G861" s="753">
        <v>20</v>
      </c>
      <c r="H861" s="753">
        <v>0</v>
      </c>
      <c r="I861" s="754">
        <v>8.0299999999999996E-2</v>
      </c>
      <c r="J861" s="754">
        <v>8.0299999999999996E-2</v>
      </c>
      <c r="K861" s="754">
        <v>8.0299999999999996E-2</v>
      </c>
      <c r="L861" s="752">
        <v>1</v>
      </c>
    </row>
    <row r="862" spans="1:12" s="969" customFormat="1">
      <c r="A862" s="750">
        <v>45182</v>
      </c>
      <c r="B862" s="751" t="s">
        <v>3897</v>
      </c>
      <c r="C862" s="752">
        <v>168</v>
      </c>
      <c r="D862" s="750">
        <v>45350</v>
      </c>
      <c r="E862" s="753">
        <v>20</v>
      </c>
      <c r="F862" s="753">
        <v>74.25</v>
      </c>
      <c r="G862" s="753">
        <v>20</v>
      </c>
      <c r="H862" s="753">
        <v>0</v>
      </c>
      <c r="I862" s="754">
        <v>8.1699999999999995E-2</v>
      </c>
      <c r="J862" s="754">
        <v>8.2000000000000003E-2</v>
      </c>
      <c r="K862" s="754">
        <v>8.2000000000000003E-2</v>
      </c>
      <c r="L862" s="752">
        <v>3</v>
      </c>
    </row>
    <row r="863" spans="1:12" s="969" customFormat="1">
      <c r="A863" s="750">
        <v>45183</v>
      </c>
      <c r="B863" s="751" t="s">
        <v>3898</v>
      </c>
      <c r="C863" s="752">
        <v>84</v>
      </c>
      <c r="D863" s="750">
        <v>45267</v>
      </c>
      <c r="E863" s="753">
        <v>20</v>
      </c>
      <c r="F863" s="753">
        <v>30.77</v>
      </c>
      <c r="G863" s="753">
        <v>20</v>
      </c>
      <c r="H863" s="753">
        <v>0</v>
      </c>
      <c r="I863" s="754">
        <v>8.2000000000000003E-2</v>
      </c>
      <c r="J863" s="754">
        <v>8.2100000000000006E-2</v>
      </c>
      <c r="K863" s="754">
        <v>8.2100000000000006E-2</v>
      </c>
      <c r="L863" s="752">
        <v>2</v>
      </c>
    </row>
    <row r="864" spans="1:12" s="969" customFormat="1">
      <c r="A864" s="750">
        <v>45183</v>
      </c>
      <c r="B864" s="751" t="s">
        <v>3899</v>
      </c>
      <c r="C864" s="752">
        <v>252</v>
      </c>
      <c r="D864" s="750">
        <v>45435</v>
      </c>
      <c r="E864" s="753">
        <v>20</v>
      </c>
      <c r="F864" s="753">
        <v>57.24</v>
      </c>
      <c r="G864" s="753">
        <v>20</v>
      </c>
      <c r="H864" s="753">
        <v>0</v>
      </c>
      <c r="I864" s="754">
        <v>8.5599999999999996E-2</v>
      </c>
      <c r="J864" s="754">
        <v>8.6499999999999994E-2</v>
      </c>
      <c r="K864" s="754">
        <v>8.5699999999999998E-2</v>
      </c>
      <c r="L864" s="752">
        <v>3</v>
      </c>
    </row>
    <row r="865" spans="1:12" s="969" customFormat="1">
      <c r="A865" s="750">
        <v>45189</v>
      </c>
      <c r="B865" s="751" t="s">
        <v>3900</v>
      </c>
      <c r="C865" s="752">
        <v>168</v>
      </c>
      <c r="D865" s="750">
        <v>45357</v>
      </c>
      <c r="E865" s="753">
        <v>20</v>
      </c>
      <c r="F865" s="753">
        <v>56.16</v>
      </c>
      <c r="G865" s="753">
        <v>20</v>
      </c>
      <c r="H865" s="753">
        <v>0</v>
      </c>
      <c r="I865" s="754">
        <v>8.0500000000000002E-2</v>
      </c>
      <c r="J865" s="754">
        <v>8.0500000000000002E-2</v>
      </c>
      <c r="K865" s="754">
        <v>8.0500000000000002E-2</v>
      </c>
      <c r="L865" s="752">
        <v>2</v>
      </c>
    </row>
    <row r="866" spans="1:12" s="969" customFormat="1">
      <c r="A866" s="750">
        <v>45190</v>
      </c>
      <c r="B866" s="751" t="s">
        <v>3901</v>
      </c>
      <c r="C866" s="752">
        <v>252</v>
      </c>
      <c r="D866" s="750">
        <v>45442</v>
      </c>
      <c r="E866" s="753">
        <v>20</v>
      </c>
      <c r="F866" s="753">
        <v>59.06</v>
      </c>
      <c r="G866" s="753">
        <v>20</v>
      </c>
      <c r="H866" s="753">
        <v>0</v>
      </c>
      <c r="I866" s="754">
        <v>8.4500000000000006E-2</v>
      </c>
      <c r="J866" s="754">
        <v>8.4900000000000003E-2</v>
      </c>
      <c r="K866" s="754">
        <v>8.4900000000000003E-2</v>
      </c>
      <c r="L866" s="752">
        <v>4</v>
      </c>
    </row>
    <row r="867" spans="1:12" s="969" customFormat="1">
      <c r="A867" s="750">
        <v>45196</v>
      </c>
      <c r="B867" s="751" t="s">
        <v>3902</v>
      </c>
      <c r="C867" s="752">
        <v>168</v>
      </c>
      <c r="D867" s="750">
        <v>45364</v>
      </c>
      <c r="E867" s="753">
        <v>20</v>
      </c>
      <c r="F867" s="753">
        <v>43.06</v>
      </c>
      <c r="G867" s="753">
        <v>20</v>
      </c>
      <c r="H867" s="753">
        <v>0</v>
      </c>
      <c r="I867" s="754">
        <v>8.0500000000000002E-2</v>
      </c>
      <c r="J867" s="754">
        <v>8.0500000000000002E-2</v>
      </c>
      <c r="K867" s="754">
        <v>8.0500000000000002E-2</v>
      </c>
      <c r="L867" s="752">
        <v>2</v>
      </c>
    </row>
    <row r="868" spans="1:12" s="969" customFormat="1">
      <c r="A868" s="750">
        <v>45197</v>
      </c>
      <c r="B868" s="751" t="s">
        <v>3903</v>
      </c>
      <c r="C868" s="752">
        <v>84</v>
      </c>
      <c r="D868" s="750">
        <v>45281</v>
      </c>
      <c r="E868" s="753">
        <v>20</v>
      </c>
      <c r="F868" s="753">
        <v>32.51</v>
      </c>
      <c r="G868" s="753">
        <v>20</v>
      </c>
      <c r="H868" s="753">
        <v>0</v>
      </c>
      <c r="I868" s="754">
        <v>8.1000000000000003E-2</v>
      </c>
      <c r="J868" s="754">
        <v>8.1500000000000003E-2</v>
      </c>
      <c r="K868" s="754">
        <v>8.1299999999999997E-2</v>
      </c>
      <c r="L868" s="752">
        <v>2</v>
      </c>
    </row>
    <row r="869" spans="1:12" s="969" customFormat="1">
      <c r="A869" s="750">
        <v>45197</v>
      </c>
      <c r="B869" s="751" t="s">
        <v>3904</v>
      </c>
      <c r="C869" s="752">
        <v>252</v>
      </c>
      <c r="D869" s="750">
        <v>45449</v>
      </c>
      <c r="E869" s="753">
        <v>20</v>
      </c>
      <c r="F869" s="753">
        <v>43.06</v>
      </c>
      <c r="G869" s="753">
        <v>20</v>
      </c>
      <c r="H869" s="753">
        <v>0</v>
      </c>
      <c r="I869" s="754">
        <v>8.3900000000000002E-2</v>
      </c>
      <c r="J869" s="754">
        <v>8.48E-2</v>
      </c>
      <c r="K869" s="754">
        <v>8.4599999999999995E-2</v>
      </c>
      <c r="L869" s="752">
        <v>6</v>
      </c>
    </row>
    <row r="870" spans="1:12" s="969" customFormat="1">
      <c r="A870" s="750">
        <v>45203</v>
      </c>
      <c r="B870" s="751" t="s">
        <v>3911</v>
      </c>
      <c r="C870" s="752">
        <v>168</v>
      </c>
      <c r="D870" s="750">
        <v>45371</v>
      </c>
      <c r="E870" s="753">
        <v>20</v>
      </c>
      <c r="F870" s="753">
        <v>55.13</v>
      </c>
      <c r="G870" s="753">
        <v>20</v>
      </c>
      <c r="H870" s="753">
        <v>0</v>
      </c>
      <c r="I870" s="754">
        <v>0.08</v>
      </c>
      <c r="J870" s="754">
        <v>8.1900000000000001E-2</v>
      </c>
      <c r="K870" s="754">
        <v>8.1600000000000006E-2</v>
      </c>
      <c r="L870" s="752">
        <v>5</v>
      </c>
    </row>
    <row r="871" spans="1:12" s="969" customFormat="1">
      <c r="A871" s="750">
        <v>45204</v>
      </c>
      <c r="B871" s="751" t="s">
        <v>3912</v>
      </c>
      <c r="C871" s="752">
        <v>84</v>
      </c>
      <c r="D871" s="750">
        <v>45288</v>
      </c>
      <c r="E871" s="753">
        <v>20</v>
      </c>
      <c r="F871" s="753">
        <v>33.590000000000003</v>
      </c>
      <c r="G871" s="753">
        <v>20</v>
      </c>
      <c r="H871" s="753">
        <v>0</v>
      </c>
      <c r="I871" s="754">
        <v>8.1000000000000003E-2</v>
      </c>
      <c r="J871" s="754">
        <v>8.1299999999999997E-2</v>
      </c>
      <c r="K871" s="754">
        <v>8.1100000000000005E-2</v>
      </c>
      <c r="L871" s="752">
        <v>3</v>
      </c>
    </row>
    <row r="872" spans="1:12" s="969" customFormat="1">
      <c r="A872" s="750">
        <v>45204</v>
      </c>
      <c r="B872" s="751" t="s">
        <v>3913</v>
      </c>
      <c r="C872" s="752">
        <v>252</v>
      </c>
      <c r="D872" s="750">
        <v>45456</v>
      </c>
      <c r="E872" s="753">
        <v>20</v>
      </c>
      <c r="F872" s="753">
        <v>43.16</v>
      </c>
      <c r="G872" s="753">
        <v>20</v>
      </c>
      <c r="H872" s="753">
        <v>0</v>
      </c>
      <c r="I872" s="754">
        <v>8.3500000000000005E-2</v>
      </c>
      <c r="J872" s="754">
        <v>8.3799999999999999E-2</v>
      </c>
      <c r="K872" s="754">
        <v>8.3599999999999994E-2</v>
      </c>
      <c r="L872" s="752">
        <v>2</v>
      </c>
    </row>
    <row r="873" spans="1:12" s="969" customFormat="1">
      <c r="A873" s="750">
        <v>45210</v>
      </c>
      <c r="B873" s="751" t="s">
        <v>3914</v>
      </c>
      <c r="C873" s="752">
        <v>168</v>
      </c>
      <c r="D873" s="750">
        <v>45378</v>
      </c>
      <c r="E873" s="753">
        <v>20</v>
      </c>
      <c r="F873" s="753">
        <v>55.47</v>
      </c>
      <c r="G873" s="753">
        <v>20</v>
      </c>
      <c r="H873" s="753">
        <v>0</v>
      </c>
      <c r="I873" s="754">
        <v>8.0500000000000002E-2</v>
      </c>
      <c r="J873" s="754">
        <v>8.2000000000000003E-2</v>
      </c>
      <c r="K873" s="754">
        <v>8.1699999999999995E-2</v>
      </c>
      <c r="L873" s="752">
        <v>4</v>
      </c>
    </row>
    <row r="874" spans="1:12" s="969" customFormat="1">
      <c r="A874" s="750">
        <v>45211</v>
      </c>
      <c r="B874" s="751" t="s">
        <v>3915</v>
      </c>
      <c r="C874" s="752">
        <v>84</v>
      </c>
      <c r="D874" s="750">
        <v>45295</v>
      </c>
      <c r="E874" s="753">
        <v>20</v>
      </c>
      <c r="F874" s="753">
        <v>25.03</v>
      </c>
      <c r="G874" s="753">
        <v>20</v>
      </c>
      <c r="H874" s="753">
        <v>0</v>
      </c>
      <c r="I874" s="754">
        <v>8.1000000000000003E-2</v>
      </c>
      <c r="J874" s="754">
        <v>8.1900000000000001E-2</v>
      </c>
      <c r="K874" s="754">
        <v>8.1699999999999995E-2</v>
      </c>
      <c r="L874" s="752">
        <v>4</v>
      </c>
    </row>
    <row r="875" spans="1:12" s="969" customFormat="1">
      <c r="A875" s="750">
        <v>45211</v>
      </c>
      <c r="B875" s="751" t="s">
        <v>3916</v>
      </c>
      <c r="C875" s="752">
        <v>252</v>
      </c>
      <c r="D875" s="750">
        <v>45463</v>
      </c>
      <c r="E875" s="753">
        <v>20</v>
      </c>
      <c r="F875" s="753">
        <v>55.47</v>
      </c>
      <c r="G875" s="753">
        <v>20</v>
      </c>
      <c r="H875" s="753">
        <v>0</v>
      </c>
      <c r="I875" s="754">
        <v>8.3000000000000004E-2</v>
      </c>
      <c r="J875" s="754">
        <v>8.3500000000000005E-2</v>
      </c>
      <c r="K875" s="754">
        <v>8.3400000000000002E-2</v>
      </c>
      <c r="L875" s="752">
        <v>6</v>
      </c>
    </row>
    <row r="876" spans="1:12" s="969" customFormat="1">
      <c r="A876" s="750">
        <v>45218</v>
      </c>
      <c r="B876" s="751" t="s">
        <v>3917</v>
      </c>
      <c r="C876" s="752">
        <v>84</v>
      </c>
      <c r="D876" s="750">
        <v>45302</v>
      </c>
      <c r="E876" s="753">
        <v>20</v>
      </c>
      <c r="F876" s="753">
        <v>42.39</v>
      </c>
      <c r="G876" s="753">
        <v>20</v>
      </c>
      <c r="H876" s="753">
        <v>0</v>
      </c>
      <c r="I876" s="754">
        <v>8.1500000000000003E-2</v>
      </c>
      <c r="J876" s="754">
        <v>8.1500000000000003E-2</v>
      </c>
      <c r="K876" s="754">
        <v>8.1500000000000003E-2</v>
      </c>
      <c r="L876" s="752">
        <v>3</v>
      </c>
    </row>
    <row r="877" spans="1:12" s="969" customFormat="1">
      <c r="A877" s="750">
        <v>45218</v>
      </c>
      <c r="B877" s="751" t="s">
        <v>3918</v>
      </c>
      <c r="C877" s="752">
        <v>252</v>
      </c>
      <c r="D877" s="750">
        <v>45470</v>
      </c>
      <c r="E877" s="753">
        <v>20</v>
      </c>
      <c r="F877" s="753">
        <v>36.61</v>
      </c>
      <c r="G877" s="753">
        <v>20</v>
      </c>
      <c r="H877" s="753">
        <v>0</v>
      </c>
      <c r="I877" s="754">
        <v>8.2799999999999999E-2</v>
      </c>
      <c r="J877" s="754">
        <v>8.2799999999999999E-2</v>
      </c>
      <c r="K877" s="754">
        <v>8.2799999999999999E-2</v>
      </c>
      <c r="L877" s="752">
        <v>1</v>
      </c>
    </row>
    <row r="878" spans="1:12" s="969" customFormat="1">
      <c r="A878" s="750">
        <v>45224</v>
      </c>
      <c r="B878" s="751" t="s">
        <v>3919</v>
      </c>
      <c r="C878" s="752">
        <v>168</v>
      </c>
      <c r="D878" s="750">
        <v>45392</v>
      </c>
      <c r="E878" s="753">
        <v>20</v>
      </c>
      <c r="F878" s="753">
        <v>33.19</v>
      </c>
      <c r="G878" s="753">
        <v>20</v>
      </c>
      <c r="H878" s="753">
        <v>0</v>
      </c>
      <c r="I878" s="754">
        <v>8.0500000000000002E-2</v>
      </c>
      <c r="J878" s="754">
        <v>8.1500000000000003E-2</v>
      </c>
      <c r="K878" s="754">
        <v>8.09E-2</v>
      </c>
      <c r="L878" s="752">
        <v>4</v>
      </c>
    </row>
    <row r="879" spans="1:12" s="969" customFormat="1">
      <c r="A879" s="750">
        <v>45225</v>
      </c>
      <c r="B879" s="751" t="s">
        <v>3920</v>
      </c>
      <c r="C879" s="752">
        <v>252</v>
      </c>
      <c r="D879" s="750">
        <v>45477</v>
      </c>
      <c r="E879" s="753">
        <v>20</v>
      </c>
      <c r="F879" s="753">
        <v>41.21</v>
      </c>
      <c r="G879" s="753">
        <v>20</v>
      </c>
      <c r="H879" s="753">
        <v>0</v>
      </c>
      <c r="I879" s="754">
        <v>8.1900000000000001E-2</v>
      </c>
      <c r="J879" s="754">
        <v>8.2299999999999998E-2</v>
      </c>
      <c r="K879" s="754">
        <v>8.2100000000000006E-2</v>
      </c>
      <c r="L879" s="752">
        <v>4</v>
      </c>
    </row>
    <row r="880" spans="1:12" s="969" customFormat="1">
      <c r="A880" s="750">
        <v>45232</v>
      </c>
      <c r="B880" s="751" t="s">
        <v>3930</v>
      </c>
      <c r="C880" s="752">
        <v>252</v>
      </c>
      <c r="D880" s="750">
        <v>45484</v>
      </c>
      <c r="E880" s="753">
        <v>20</v>
      </c>
      <c r="F880" s="753">
        <v>32.71</v>
      </c>
      <c r="G880" s="753">
        <v>20</v>
      </c>
      <c r="H880" s="753">
        <v>0</v>
      </c>
      <c r="I880" s="754">
        <v>7.8E-2</v>
      </c>
      <c r="J880" s="754">
        <v>8.1000000000000003E-2</v>
      </c>
      <c r="K880" s="754">
        <v>8.0199999999999994E-2</v>
      </c>
      <c r="L880" s="752">
        <v>6</v>
      </c>
    </row>
    <row r="881" spans="1:12" s="969" customFormat="1">
      <c r="A881" s="750">
        <v>45245</v>
      </c>
      <c r="B881" s="751" t="s">
        <v>3931</v>
      </c>
      <c r="C881" s="752">
        <v>168</v>
      </c>
      <c r="D881" s="750">
        <v>45413</v>
      </c>
      <c r="E881" s="753">
        <v>20</v>
      </c>
      <c r="F881" s="753">
        <v>50.36</v>
      </c>
      <c r="G881" s="753">
        <v>20</v>
      </c>
      <c r="H881" s="753">
        <v>0</v>
      </c>
      <c r="I881" s="754">
        <v>7.6799999999999993E-2</v>
      </c>
      <c r="J881" s="754">
        <v>7.6799999999999993E-2</v>
      </c>
      <c r="K881" s="754">
        <v>7.6799999999999993E-2</v>
      </c>
      <c r="L881" s="752">
        <v>5</v>
      </c>
    </row>
    <row r="882" spans="1:12" s="969" customFormat="1">
      <c r="A882" s="750">
        <v>45246</v>
      </c>
      <c r="B882" s="751" t="s">
        <v>3932</v>
      </c>
      <c r="C882" s="752">
        <v>252</v>
      </c>
      <c r="D882" s="750">
        <v>45498</v>
      </c>
      <c r="E882" s="753">
        <v>20</v>
      </c>
      <c r="F882" s="753">
        <v>57.27</v>
      </c>
      <c r="G882" s="753">
        <v>20</v>
      </c>
      <c r="H882" s="753">
        <v>0</v>
      </c>
      <c r="I882" s="754">
        <v>7.7499999999999999E-2</v>
      </c>
      <c r="J882" s="754">
        <v>7.85E-2</v>
      </c>
      <c r="K882" s="754">
        <v>7.8399999999999997E-2</v>
      </c>
      <c r="L882" s="752">
        <v>7</v>
      </c>
    </row>
    <row r="883" spans="1:12" s="969" customFormat="1">
      <c r="A883" s="750">
        <v>45252</v>
      </c>
      <c r="B883" s="751" t="s">
        <v>3933</v>
      </c>
      <c r="C883" s="752">
        <v>168</v>
      </c>
      <c r="D883" s="750">
        <v>45420</v>
      </c>
      <c r="E883" s="753">
        <v>20</v>
      </c>
      <c r="F883" s="753">
        <v>28.44</v>
      </c>
      <c r="G883" s="753">
        <v>20</v>
      </c>
      <c r="H883" s="753">
        <v>0</v>
      </c>
      <c r="I883" s="754">
        <v>7.5999999999999998E-2</v>
      </c>
      <c r="J883" s="754">
        <v>7.6999999999999999E-2</v>
      </c>
      <c r="K883" s="754">
        <v>7.6700000000000004E-2</v>
      </c>
      <c r="L883" s="752">
        <v>7</v>
      </c>
    </row>
    <row r="884" spans="1:12" s="969" customFormat="1">
      <c r="A884" s="750">
        <v>45253</v>
      </c>
      <c r="B884" s="751" t="s">
        <v>3934</v>
      </c>
      <c r="C884" s="752">
        <v>252</v>
      </c>
      <c r="D884" s="750">
        <v>45505</v>
      </c>
      <c r="E884" s="753">
        <v>20</v>
      </c>
      <c r="F884" s="753">
        <v>33.07</v>
      </c>
      <c r="G884" s="753">
        <v>20</v>
      </c>
      <c r="H884" s="753">
        <v>0</v>
      </c>
      <c r="I884" s="754">
        <v>7.8E-2</v>
      </c>
      <c r="J884" s="754">
        <v>7.8399999999999997E-2</v>
      </c>
      <c r="K884" s="754">
        <v>7.8200000000000006E-2</v>
      </c>
      <c r="L884" s="752">
        <v>8</v>
      </c>
    </row>
    <row r="885" spans="1:12" s="969" customFormat="1">
      <c r="A885" s="750">
        <v>45259</v>
      </c>
      <c r="B885" s="751" t="s">
        <v>3935</v>
      </c>
      <c r="C885" s="752">
        <v>28</v>
      </c>
      <c r="D885" s="750">
        <v>45287</v>
      </c>
      <c r="E885" s="753">
        <v>20</v>
      </c>
      <c r="F885" s="753">
        <v>38.090000000000003</v>
      </c>
      <c r="G885" s="753">
        <v>20</v>
      </c>
      <c r="H885" s="753">
        <v>0</v>
      </c>
      <c r="I885" s="754">
        <v>7.3999999999999996E-2</v>
      </c>
      <c r="J885" s="754">
        <v>7.9799999999999996E-2</v>
      </c>
      <c r="K885" s="754">
        <v>7.8600000000000003E-2</v>
      </c>
      <c r="L885" s="752">
        <v>6</v>
      </c>
    </row>
    <row r="886" spans="1:12" s="969" customFormat="1">
      <c r="A886" s="750">
        <v>45266</v>
      </c>
      <c r="B886" s="751" t="s">
        <v>3981</v>
      </c>
      <c r="C886" s="752">
        <v>168</v>
      </c>
      <c r="D886" s="750">
        <v>45434</v>
      </c>
      <c r="E886" s="753">
        <v>20</v>
      </c>
      <c r="F886" s="753">
        <v>28.45</v>
      </c>
      <c r="G886" s="753">
        <v>20</v>
      </c>
      <c r="H886" s="753">
        <v>0</v>
      </c>
      <c r="I886" s="754">
        <v>7.5999999999999998E-2</v>
      </c>
      <c r="J886" s="754">
        <v>7.8E-2</v>
      </c>
      <c r="K886" s="754">
        <v>7.7200000000000005E-2</v>
      </c>
      <c r="L886" s="752">
        <v>7</v>
      </c>
    </row>
    <row r="887" spans="1:12" s="969" customFormat="1">
      <c r="A887" s="750">
        <v>45267</v>
      </c>
      <c r="B887" s="751" t="s">
        <v>3982</v>
      </c>
      <c r="C887" s="752">
        <v>252</v>
      </c>
      <c r="D887" s="750">
        <v>45519</v>
      </c>
      <c r="E887" s="753">
        <v>20</v>
      </c>
      <c r="F887" s="753">
        <v>23.49</v>
      </c>
      <c r="G887" s="753">
        <v>20</v>
      </c>
      <c r="H887" s="753">
        <v>0</v>
      </c>
      <c r="I887" s="754">
        <v>7.5999999999999998E-2</v>
      </c>
      <c r="J887" s="754">
        <v>7.9000000000000001E-2</v>
      </c>
      <c r="K887" s="754">
        <v>7.8200000000000006E-2</v>
      </c>
      <c r="L887" s="752">
        <v>7</v>
      </c>
    </row>
    <row r="888" spans="1:12" s="969" customFormat="1">
      <c r="A888" s="750">
        <v>45273</v>
      </c>
      <c r="B888" s="751" t="s">
        <v>3983</v>
      </c>
      <c r="C888" s="752">
        <v>28</v>
      </c>
      <c r="D888" s="750">
        <v>45301</v>
      </c>
      <c r="E888" s="753">
        <v>20</v>
      </c>
      <c r="F888" s="753">
        <v>41.6</v>
      </c>
      <c r="G888" s="753">
        <v>20</v>
      </c>
      <c r="H888" s="753">
        <v>0</v>
      </c>
      <c r="I888" s="754">
        <v>7.0000000000000007E-2</v>
      </c>
      <c r="J888" s="754">
        <v>7.85E-2</v>
      </c>
      <c r="K888" s="754">
        <v>7.7600000000000002E-2</v>
      </c>
      <c r="L888" s="752">
        <v>6</v>
      </c>
    </row>
    <row r="889" spans="1:12" s="969" customFormat="1">
      <c r="A889" s="750">
        <v>45274</v>
      </c>
      <c r="B889" s="751" t="s">
        <v>3984</v>
      </c>
      <c r="C889" s="752">
        <v>84</v>
      </c>
      <c r="D889" s="750">
        <v>45358</v>
      </c>
      <c r="E889" s="753">
        <v>20</v>
      </c>
      <c r="F889" s="753">
        <v>36.770000000000003</v>
      </c>
      <c r="G889" s="753">
        <v>20</v>
      </c>
      <c r="H889" s="753">
        <v>0</v>
      </c>
      <c r="I889" s="754">
        <v>7.4999999999999997E-2</v>
      </c>
      <c r="J889" s="754">
        <v>0.08</v>
      </c>
      <c r="K889" s="754">
        <v>7.8700000000000006E-2</v>
      </c>
      <c r="L889" s="752">
        <v>6</v>
      </c>
    </row>
    <row r="890" spans="1:12" s="969" customFormat="1">
      <c r="A890" s="750">
        <v>45280</v>
      </c>
      <c r="B890" s="751" t="s">
        <v>3985</v>
      </c>
      <c r="C890" s="752">
        <v>168</v>
      </c>
      <c r="D890" s="750">
        <v>45448</v>
      </c>
      <c r="E890" s="753">
        <v>20</v>
      </c>
      <c r="F890" s="753">
        <v>37.619999999999997</v>
      </c>
      <c r="G890" s="753">
        <v>20</v>
      </c>
      <c r="H890" s="753">
        <v>0</v>
      </c>
      <c r="I890" s="754">
        <v>7.0000000000000007E-2</v>
      </c>
      <c r="J890" s="754">
        <v>7.6499999999999999E-2</v>
      </c>
      <c r="K890" s="754">
        <v>7.5399999999999995E-2</v>
      </c>
      <c r="L890" s="752">
        <v>8</v>
      </c>
    </row>
    <row r="891" spans="1:12" s="969" customFormat="1">
      <c r="A891" s="750">
        <v>45281</v>
      </c>
      <c r="B891" s="751" t="s">
        <v>3986</v>
      </c>
      <c r="C891" s="752">
        <v>252</v>
      </c>
      <c r="D891" s="750">
        <v>45533</v>
      </c>
      <c r="E891" s="753">
        <v>20</v>
      </c>
      <c r="F891" s="753">
        <v>37.67</v>
      </c>
      <c r="G891" s="753">
        <v>20</v>
      </c>
      <c r="H891" s="753">
        <v>0</v>
      </c>
      <c r="I891" s="754">
        <v>7.4999999999999997E-2</v>
      </c>
      <c r="J891" s="754">
        <v>7.4999999999999997E-2</v>
      </c>
      <c r="K891" s="754">
        <v>7.4999999999999997E-2</v>
      </c>
      <c r="L891" s="752">
        <v>7</v>
      </c>
    </row>
    <row r="892" spans="1:12" s="969" customFormat="1">
      <c r="A892" s="750">
        <v>45287</v>
      </c>
      <c r="B892" s="751" t="s">
        <v>3987</v>
      </c>
      <c r="C892" s="752">
        <v>28</v>
      </c>
      <c r="D892" s="750">
        <v>45315</v>
      </c>
      <c r="E892" s="753">
        <v>20</v>
      </c>
      <c r="F892" s="753">
        <v>55.16</v>
      </c>
      <c r="G892" s="753">
        <v>20</v>
      </c>
      <c r="H892" s="753">
        <v>0</v>
      </c>
      <c r="I892" s="754">
        <v>7.0999999999999994E-2</v>
      </c>
      <c r="J892" s="754">
        <v>7.1099999999999997E-2</v>
      </c>
      <c r="K892" s="754">
        <v>7.1099999999999997E-2</v>
      </c>
      <c r="L892" s="752">
        <v>6</v>
      </c>
    </row>
    <row r="893" spans="1:12" s="969" customFormat="1">
      <c r="A893" s="750">
        <v>45288</v>
      </c>
      <c r="B893" s="751" t="s">
        <v>3988</v>
      </c>
      <c r="C893" s="752">
        <v>84</v>
      </c>
      <c r="D893" s="750">
        <v>45372</v>
      </c>
      <c r="E893" s="753">
        <v>20</v>
      </c>
      <c r="F893" s="753">
        <v>43.27</v>
      </c>
      <c r="G893" s="753">
        <v>20</v>
      </c>
      <c r="H893" s="753">
        <v>0</v>
      </c>
      <c r="I893" s="754">
        <v>7.0000000000000007E-2</v>
      </c>
      <c r="J893" s="754">
        <v>7.3899999999999993E-2</v>
      </c>
      <c r="K893" s="754">
        <v>7.2300000000000003E-2</v>
      </c>
      <c r="L893" s="752">
        <v>6</v>
      </c>
    </row>
    <row r="894" spans="1:12" s="969" customFormat="1">
      <c r="A894" s="1850">
        <v>2024</v>
      </c>
      <c r="B894" s="751"/>
      <c r="C894" s="752"/>
      <c r="D894" s="750"/>
      <c r="E894" s="753"/>
      <c r="F894" s="753"/>
      <c r="G894" s="753"/>
      <c r="H894" s="753"/>
      <c r="I894" s="754"/>
      <c r="J894" s="754"/>
      <c r="K894" s="754"/>
      <c r="L894" s="752"/>
    </row>
    <row r="895" spans="1:12" s="969" customFormat="1">
      <c r="A895" s="750">
        <v>45301</v>
      </c>
      <c r="B895" s="751" t="s">
        <v>3990</v>
      </c>
      <c r="C895" s="752">
        <v>28</v>
      </c>
      <c r="D895" s="750">
        <v>45329</v>
      </c>
      <c r="E895" s="753">
        <v>20</v>
      </c>
      <c r="F895" s="753">
        <v>69</v>
      </c>
      <c r="G895" s="753">
        <v>20</v>
      </c>
      <c r="H895" s="753">
        <v>0</v>
      </c>
      <c r="I895" s="754">
        <v>6.9000000000000006E-2</v>
      </c>
      <c r="J895" s="754">
        <v>6.9699999999999998E-2</v>
      </c>
      <c r="K895" s="754">
        <v>6.9400000000000003E-2</v>
      </c>
      <c r="L895" s="752">
        <v>8</v>
      </c>
    </row>
    <row r="896" spans="1:12" s="969" customFormat="1">
      <c r="A896" s="750">
        <v>45302</v>
      </c>
      <c r="B896" s="751" t="s">
        <v>3991</v>
      </c>
      <c r="C896" s="752">
        <v>84</v>
      </c>
      <c r="D896" s="750">
        <v>45386</v>
      </c>
      <c r="E896" s="753">
        <v>20</v>
      </c>
      <c r="F896" s="753">
        <v>47.2</v>
      </c>
      <c r="G896" s="753">
        <v>20</v>
      </c>
      <c r="H896" s="753">
        <v>0</v>
      </c>
      <c r="I896" s="754">
        <v>6.9500000000000006E-2</v>
      </c>
      <c r="J896" s="754">
        <v>7.0000000000000007E-2</v>
      </c>
      <c r="K896" s="754">
        <v>6.9699999999999998E-2</v>
      </c>
      <c r="L896" s="752">
        <v>6</v>
      </c>
    </row>
    <row r="897" spans="1:12" s="969" customFormat="1">
      <c r="A897" s="750">
        <v>45308</v>
      </c>
      <c r="B897" s="751" t="s">
        <v>3992</v>
      </c>
      <c r="C897" s="752">
        <v>168</v>
      </c>
      <c r="D897" s="750">
        <v>45476</v>
      </c>
      <c r="E897" s="753">
        <v>20</v>
      </c>
      <c r="F897" s="753">
        <v>70.2</v>
      </c>
      <c r="G897" s="753">
        <v>20</v>
      </c>
      <c r="H897" s="753">
        <v>0</v>
      </c>
      <c r="I897" s="754">
        <v>6.9500000000000006E-2</v>
      </c>
      <c r="J897" s="754">
        <v>7.1900000000000006E-2</v>
      </c>
      <c r="K897" s="754">
        <v>7.1099999999999997E-2</v>
      </c>
      <c r="L897" s="752">
        <v>10</v>
      </c>
    </row>
    <row r="898" spans="1:12" s="969" customFormat="1">
      <c r="A898" s="750">
        <v>45309</v>
      </c>
      <c r="B898" s="751" t="s">
        <v>3993</v>
      </c>
      <c r="C898" s="752">
        <v>252</v>
      </c>
      <c r="D898" s="750">
        <v>45561</v>
      </c>
      <c r="E898" s="753">
        <v>20</v>
      </c>
      <c r="F898" s="753">
        <v>88.7</v>
      </c>
      <c r="G898" s="753">
        <v>20</v>
      </c>
      <c r="H898" s="753">
        <v>0</v>
      </c>
      <c r="I898" s="754">
        <v>7.0699999999999999E-2</v>
      </c>
      <c r="J898" s="754">
        <v>7.1300000000000002E-2</v>
      </c>
      <c r="K898" s="754">
        <v>7.0800000000000002E-2</v>
      </c>
      <c r="L898" s="752">
        <v>9</v>
      </c>
    </row>
    <row r="899" spans="1:12" s="969" customFormat="1">
      <c r="A899" s="750">
        <v>45315</v>
      </c>
      <c r="B899" s="751" t="s">
        <v>3994</v>
      </c>
      <c r="C899" s="752">
        <v>28</v>
      </c>
      <c r="D899" s="750">
        <v>45343</v>
      </c>
      <c r="E899" s="753">
        <v>20</v>
      </c>
      <c r="F899" s="753">
        <v>45.5</v>
      </c>
      <c r="G899" s="753">
        <v>20</v>
      </c>
      <c r="H899" s="753">
        <v>0</v>
      </c>
      <c r="I899" s="754">
        <v>6.8000000000000005E-2</v>
      </c>
      <c r="J899" s="754">
        <v>6.8000000000000005E-2</v>
      </c>
      <c r="K899" s="754">
        <v>6.8000000000000005E-2</v>
      </c>
      <c r="L899" s="752">
        <v>8</v>
      </c>
    </row>
    <row r="900" spans="1:12" s="969" customFormat="1">
      <c r="A900" s="750">
        <v>45316</v>
      </c>
      <c r="B900" s="751" t="s">
        <v>3995</v>
      </c>
      <c r="C900" s="752">
        <v>84</v>
      </c>
      <c r="D900" s="750">
        <v>45400</v>
      </c>
      <c r="E900" s="753">
        <v>20</v>
      </c>
      <c r="F900" s="753">
        <v>83.4</v>
      </c>
      <c r="G900" s="753">
        <v>20</v>
      </c>
      <c r="H900" s="753">
        <v>0</v>
      </c>
      <c r="I900" s="754">
        <v>6.7799999999999999E-2</v>
      </c>
      <c r="J900" s="754">
        <v>6.8000000000000005E-2</v>
      </c>
      <c r="K900" s="754">
        <v>6.8000000000000005E-2</v>
      </c>
      <c r="L900" s="752">
        <v>10</v>
      </c>
    </row>
    <row r="901" spans="1:12" s="969" customFormat="1">
      <c r="A901" s="750">
        <v>45322</v>
      </c>
      <c r="B901" s="751" t="s">
        <v>3996</v>
      </c>
      <c r="C901" s="752">
        <v>28</v>
      </c>
      <c r="D901" s="750">
        <v>45350</v>
      </c>
      <c r="E901" s="753">
        <v>30</v>
      </c>
      <c r="F901" s="753">
        <v>40.5</v>
      </c>
      <c r="G901" s="753">
        <v>30</v>
      </c>
      <c r="H901" s="753">
        <v>0</v>
      </c>
      <c r="I901" s="754">
        <v>6.6000000000000003E-2</v>
      </c>
      <c r="J901" s="754">
        <v>6.6000000000000003E-2</v>
      </c>
      <c r="K901" s="754">
        <v>6.6000000000000003E-2</v>
      </c>
      <c r="L901" s="752">
        <v>6</v>
      </c>
    </row>
    <row r="902" spans="1:12" s="969" customFormat="1">
      <c r="A902" s="750">
        <v>45322</v>
      </c>
      <c r="B902" s="751" t="s">
        <v>3997</v>
      </c>
      <c r="C902" s="752">
        <v>168</v>
      </c>
      <c r="D902" s="750">
        <v>45490</v>
      </c>
      <c r="E902" s="753">
        <v>30</v>
      </c>
      <c r="F902" s="753">
        <v>70.400000000000006</v>
      </c>
      <c r="G902" s="753">
        <v>30</v>
      </c>
      <c r="H902" s="753">
        <v>0</v>
      </c>
      <c r="I902" s="754">
        <v>6.7000000000000004E-2</v>
      </c>
      <c r="J902" s="754">
        <v>6.7900000000000002E-2</v>
      </c>
      <c r="K902" s="754">
        <v>6.7100000000000007E-2</v>
      </c>
      <c r="L902" s="752">
        <v>9</v>
      </c>
    </row>
    <row r="903" spans="1:12" s="969" customFormat="1">
      <c r="A903" s="750">
        <v>45323</v>
      </c>
      <c r="B903" s="751" t="s">
        <v>4007</v>
      </c>
      <c r="C903" s="752">
        <v>84</v>
      </c>
      <c r="D903" s="750">
        <v>45407</v>
      </c>
      <c r="E903" s="753">
        <v>30</v>
      </c>
      <c r="F903" s="753">
        <v>44</v>
      </c>
      <c r="G903" s="753">
        <v>30</v>
      </c>
      <c r="H903" s="753">
        <v>0</v>
      </c>
      <c r="I903" s="754">
        <v>6.6000000000000003E-2</v>
      </c>
      <c r="J903" s="754">
        <v>6.7000000000000004E-2</v>
      </c>
      <c r="K903" s="754">
        <v>6.6500000000000004E-2</v>
      </c>
      <c r="L903" s="752">
        <v>5</v>
      </c>
    </row>
    <row r="904" spans="1:12" s="969" customFormat="1">
      <c r="A904" s="750">
        <v>45323</v>
      </c>
      <c r="B904" s="751" t="s">
        <v>4008</v>
      </c>
      <c r="C904" s="752">
        <v>252</v>
      </c>
      <c r="D904" s="750">
        <v>45575</v>
      </c>
      <c r="E904" s="753">
        <v>30</v>
      </c>
      <c r="F904" s="753">
        <v>71.900000000000006</v>
      </c>
      <c r="G904" s="753">
        <v>30</v>
      </c>
      <c r="H904" s="753">
        <v>0</v>
      </c>
      <c r="I904" s="754">
        <v>6.7000000000000004E-2</v>
      </c>
      <c r="J904" s="754">
        <v>6.7799999999999999E-2</v>
      </c>
      <c r="K904" s="754">
        <v>6.7199999999999996E-2</v>
      </c>
      <c r="L904" s="752">
        <v>8</v>
      </c>
    </row>
    <row r="905" spans="1:12" s="969" customFormat="1">
      <c r="A905" s="750">
        <v>45330</v>
      </c>
      <c r="B905" s="751" t="s">
        <v>4009</v>
      </c>
      <c r="C905" s="752">
        <v>28</v>
      </c>
      <c r="D905" s="750">
        <v>45358</v>
      </c>
      <c r="E905" s="753">
        <v>30</v>
      </c>
      <c r="F905" s="753">
        <v>34</v>
      </c>
      <c r="G905" s="753">
        <v>30</v>
      </c>
      <c r="H905" s="753">
        <v>0</v>
      </c>
      <c r="I905" s="754">
        <v>6.25E-2</v>
      </c>
      <c r="J905" s="754">
        <v>6.4000000000000001E-2</v>
      </c>
      <c r="K905" s="754">
        <v>6.3899999999999998E-2</v>
      </c>
      <c r="L905" s="752">
        <v>5</v>
      </c>
    </row>
    <row r="906" spans="1:12" s="969" customFormat="1">
      <c r="A906" s="750">
        <v>45330</v>
      </c>
      <c r="B906" s="751" t="s">
        <v>4010</v>
      </c>
      <c r="C906" s="752">
        <v>168</v>
      </c>
      <c r="D906" s="750">
        <v>45498</v>
      </c>
      <c r="E906" s="753">
        <v>30</v>
      </c>
      <c r="F906" s="753">
        <v>35.799999999999997</v>
      </c>
      <c r="G906" s="753">
        <v>30</v>
      </c>
      <c r="H906" s="753">
        <v>0</v>
      </c>
      <c r="I906" s="754">
        <v>6.6000000000000003E-2</v>
      </c>
      <c r="J906" s="754">
        <v>6.7000000000000004E-2</v>
      </c>
      <c r="K906" s="754">
        <v>6.6199999999999995E-2</v>
      </c>
      <c r="L906" s="752">
        <v>7</v>
      </c>
    </row>
    <row r="907" spans="1:12" s="969" customFormat="1">
      <c r="A907" s="750">
        <v>45330</v>
      </c>
      <c r="B907" s="751" t="s">
        <v>4011</v>
      </c>
      <c r="C907" s="752">
        <v>252</v>
      </c>
      <c r="D907" s="750">
        <v>45582</v>
      </c>
      <c r="E907" s="753">
        <v>30</v>
      </c>
      <c r="F907" s="753">
        <v>37.299999999999997</v>
      </c>
      <c r="G907" s="753">
        <v>30</v>
      </c>
      <c r="H907" s="753">
        <v>0</v>
      </c>
      <c r="I907" s="754">
        <v>6.6500000000000004E-2</v>
      </c>
      <c r="J907" s="754">
        <v>6.7000000000000004E-2</v>
      </c>
      <c r="K907" s="754">
        <v>6.6600000000000006E-2</v>
      </c>
      <c r="L907" s="752">
        <v>8</v>
      </c>
    </row>
    <row r="908" spans="1:12" s="969" customFormat="1">
      <c r="A908" s="750">
        <v>45336</v>
      </c>
      <c r="B908" s="751" t="s">
        <v>4012</v>
      </c>
      <c r="C908" s="752">
        <v>168</v>
      </c>
      <c r="D908" s="750">
        <v>45504</v>
      </c>
      <c r="E908" s="753">
        <v>30</v>
      </c>
      <c r="F908" s="753">
        <v>32.700000000000003</v>
      </c>
      <c r="G908" s="753">
        <v>30</v>
      </c>
      <c r="H908" s="753">
        <v>0</v>
      </c>
      <c r="I908" s="754">
        <v>6.6500000000000004E-2</v>
      </c>
      <c r="J908" s="754">
        <v>6.83E-2</v>
      </c>
      <c r="K908" s="754">
        <v>6.7100000000000007E-2</v>
      </c>
      <c r="L908" s="752">
        <v>6</v>
      </c>
    </row>
    <row r="909" spans="1:12" s="969" customFormat="1">
      <c r="A909" s="750">
        <v>45337</v>
      </c>
      <c r="B909" s="751" t="s">
        <v>4013</v>
      </c>
      <c r="C909" s="752">
        <v>84</v>
      </c>
      <c r="D909" s="750">
        <v>45421</v>
      </c>
      <c r="E909" s="753">
        <v>30</v>
      </c>
      <c r="F909" s="753">
        <v>29.9</v>
      </c>
      <c r="G909" s="753">
        <v>29.9</v>
      </c>
      <c r="H909" s="753">
        <v>0</v>
      </c>
      <c r="I909" s="754">
        <v>6.2E-2</v>
      </c>
      <c r="J909" s="754">
        <v>6.7799999999999999E-2</v>
      </c>
      <c r="K909" s="754">
        <v>6.6400000000000001E-2</v>
      </c>
      <c r="L909" s="752">
        <v>5</v>
      </c>
    </row>
    <row r="910" spans="1:12" s="969" customFormat="1">
      <c r="A910" s="750">
        <v>45337</v>
      </c>
      <c r="B910" s="751" t="s">
        <v>4014</v>
      </c>
      <c r="C910" s="752">
        <v>252</v>
      </c>
      <c r="D910" s="750">
        <v>45589</v>
      </c>
      <c r="E910" s="753">
        <v>30</v>
      </c>
      <c r="F910" s="753">
        <v>41</v>
      </c>
      <c r="G910" s="753">
        <v>30</v>
      </c>
      <c r="H910" s="753">
        <v>0</v>
      </c>
      <c r="I910" s="754">
        <v>6.3E-2</v>
      </c>
      <c r="J910" s="754">
        <v>6.7000000000000004E-2</v>
      </c>
      <c r="K910" s="754">
        <v>6.6600000000000006E-2</v>
      </c>
      <c r="L910" s="752">
        <v>7</v>
      </c>
    </row>
    <row r="911" spans="1:12" s="969" customFormat="1">
      <c r="A911" s="750">
        <v>45343</v>
      </c>
      <c r="B911" s="751" t="s">
        <v>4015</v>
      </c>
      <c r="C911" s="752">
        <v>168</v>
      </c>
      <c r="D911" s="750">
        <v>45511</v>
      </c>
      <c r="E911" s="753">
        <v>30</v>
      </c>
      <c r="F911" s="753">
        <v>42.7</v>
      </c>
      <c r="G911" s="753">
        <v>30</v>
      </c>
      <c r="H911" s="753">
        <v>0</v>
      </c>
      <c r="I911" s="754">
        <v>6.7000000000000004E-2</v>
      </c>
      <c r="J911" s="754">
        <v>6.7900000000000002E-2</v>
      </c>
      <c r="K911" s="754">
        <v>6.7699999999999996E-2</v>
      </c>
      <c r="L911" s="752">
        <v>8</v>
      </c>
    </row>
    <row r="912" spans="1:12" s="969" customFormat="1">
      <c r="A912" s="750">
        <v>45344</v>
      </c>
      <c r="B912" s="751" t="s">
        <v>4016</v>
      </c>
      <c r="C912" s="752">
        <v>84</v>
      </c>
      <c r="D912" s="750">
        <v>45428</v>
      </c>
      <c r="E912" s="753">
        <v>30</v>
      </c>
      <c r="F912" s="753">
        <v>31.8</v>
      </c>
      <c r="G912" s="753">
        <v>30</v>
      </c>
      <c r="H912" s="753">
        <v>0</v>
      </c>
      <c r="I912" s="754">
        <v>6.7400000000000002E-2</v>
      </c>
      <c r="J912" s="754">
        <v>6.8000000000000005E-2</v>
      </c>
      <c r="K912" s="754">
        <v>6.7500000000000004E-2</v>
      </c>
      <c r="L912" s="752">
        <v>5</v>
      </c>
    </row>
    <row r="913" spans="1:12" s="969" customFormat="1">
      <c r="A913" s="750">
        <v>45344</v>
      </c>
      <c r="B913" s="751" t="s">
        <v>4017</v>
      </c>
      <c r="C913" s="752">
        <v>252</v>
      </c>
      <c r="D913" s="750">
        <v>45596</v>
      </c>
      <c r="E913" s="753">
        <v>30</v>
      </c>
      <c r="F913" s="753">
        <v>45.5</v>
      </c>
      <c r="G913" s="753">
        <v>30</v>
      </c>
      <c r="H913" s="753">
        <v>0</v>
      </c>
      <c r="I913" s="754">
        <v>6.7000000000000004E-2</v>
      </c>
      <c r="J913" s="754">
        <v>6.8000000000000005E-2</v>
      </c>
      <c r="K913" s="754">
        <v>6.8000000000000005E-2</v>
      </c>
      <c r="L913" s="752">
        <v>8</v>
      </c>
    </row>
    <row r="914" spans="1:12" s="969" customFormat="1">
      <c r="A914" s="750">
        <v>45350</v>
      </c>
      <c r="B914" s="751" t="s">
        <v>4018</v>
      </c>
      <c r="C914" s="752">
        <v>168</v>
      </c>
      <c r="D914" s="750">
        <v>45518</v>
      </c>
      <c r="E914" s="753">
        <v>30</v>
      </c>
      <c r="F914" s="753">
        <v>36.299999999999997</v>
      </c>
      <c r="G914" s="753">
        <v>30</v>
      </c>
      <c r="H914" s="753">
        <v>0</v>
      </c>
      <c r="I914" s="754">
        <v>6.7699999999999996E-2</v>
      </c>
      <c r="J914" s="754">
        <v>6.8000000000000005E-2</v>
      </c>
      <c r="K914" s="754">
        <v>6.7900000000000002E-2</v>
      </c>
      <c r="L914" s="752">
        <v>5</v>
      </c>
    </row>
    <row r="915" spans="1:12" s="969" customFormat="1">
      <c r="A915" s="750">
        <v>45357</v>
      </c>
      <c r="B915" s="751" t="s">
        <v>4030</v>
      </c>
      <c r="C915" s="752">
        <v>28</v>
      </c>
      <c r="D915" s="750">
        <v>45385</v>
      </c>
      <c r="E915" s="753">
        <v>30</v>
      </c>
      <c r="F915" s="753">
        <v>45.6</v>
      </c>
      <c r="G915" s="753">
        <v>30</v>
      </c>
      <c r="H915" s="753">
        <v>0</v>
      </c>
      <c r="I915" s="754">
        <v>6.4500000000000002E-2</v>
      </c>
      <c r="J915" s="754">
        <v>7.1499999999999994E-2</v>
      </c>
      <c r="K915" s="754">
        <v>6.6799999999999998E-2</v>
      </c>
      <c r="L915" s="752">
        <v>5</v>
      </c>
    </row>
    <row r="916" spans="1:12" s="969" customFormat="1">
      <c r="A916" s="750">
        <v>45358</v>
      </c>
      <c r="B916" s="751" t="s">
        <v>4031</v>
      </c>
      <c r="C916" s="752">
        <v>84</v>
      </c>
      <c r="D916" s="750">
        <v>45442</v>
      </c>
      <c r="E916" s="753">
        <v>30</v>
      </c>
      <c r="F916" s="753">
        <v>37.9</v>
      </c>
      <c r="G916" s="753">
        <v>30</v>
      </c>
      <c r="H916" s="753">
        <v>0</v>
      </c>
      <c r="I916" s="754">
        <v>6.6900000000000001E-2</v>
      </c>
      <c r="J916" s="754">
        <v>7.0999999999999994E-2</v>
      </c>
      <c r="K916" s="754">
        <v>6.83E-2</v>
      </c>
      <c r="L916" s="752">
        <v>5</v>
      </c>
    </row>
    <row r="917" spans="1:12" s="969" customFormat="1">
      <c r="A917" s="750">
        <v>45358</v>
      </c>
      <c r="B917" s="751" t="s">
        <v>4032</v>
      </c>
      <c r="C917" s="752">
        <v>252</v>
      </c>
      <c r="D917" s="750">
        <v>45610</v>
      </c>
      <c r="E917" s="753">
        <v>30</v>
      </c>
      <c r="F917" s="753">
        <v>41</v>
      </c>
      <c r="G917" s="753">
        <v>30</v>
      </c>
      <c r="H917" s="753">
        <v>0</v>
      </c>
      <c r="I917" s="754">
        <v>6.88E-2</v>
      </c>
      <c r="J917" s="754">
        <v>6.9500000000000006E-2</v>
      </c>
      <c r="K917" s="754">
        <v>6.8900000000000003E-2</v>
      </c>
      <c r="L917" s="752">
        <v>5</v>
      </c>
    </row>
    <row r="918" spans="1:12" s="969" customFormat="1">
      <c r="A918" s="750">
        <v>45364</v>
      </c>
      <c r="B918" s="751" t="s">
        <v>4033</v>
      </c>
      <c r="C918" s="752">
        <v>28</v>
      </c>
      <c r="D918" s="750">
        <v>45392</v>
      </c>
      <c r="E918" s="753">
        <v>30</v>
      </c>
      <c r="F918" s="753">
        <v>58.1</v>
      </c>
      <c r="G918" s="753">
        <v>30</v>
      </c>
      <c r="H918" s="753">
        <v>0</v>
      </c>
      <c r="I918" s="754">
        <v>6.5000000000000002E-2</v>
      </c>
      <c r="J918" s="754">
        <v>6.8900000000000003E-2</v>
      </c>
      <c r="K918" s="754">
        <v>6.8000000000000005E-2</v>
      </c>
      <c r="L918" s="752">
        <v>3</v>
      </c>
    </row>
    <row r="919" spans="1:12" s="969" customFormat="1">
      <c r="A919" s="750">
        <v>45364</v>
      </c>
      <c r="B919" s="751" t="s">
        <v>4034</v>
      </c>
      <c r="C919" s="752">
        <v>168</v>
      </c>
      <c r="D919" s="750">
        <v>45532</v>
      </c>
      <c r="E919" s="753">
        <v>30</v>
      </c>
      <c r="F919" s="753">
        <v>54.2</v>
      </c>
      <c r="G919" s="753">
        <v>30</v>
      </c>
      <c r="H919" s="753">
        <v>0</v>
      </c>
      <c r="I919" s="754">
        <v>6.8000000000000005E-2</v>
      </c>
      <c r="J919" s="754">
        <v>6.8900000000000003E-2</v>
      </c>
      <c r="K919" s="754">
        <v>6.8500000000000005E-2</v>
      </c>
      <c r="L919" s="752">
        <v>2</v>
      </c>
    </row>
    <row r="920" spans="1:12" s="969" customFormat="1">
      <c r="A920" s="750">
        <v>45365</v>
      </c>
      <c r="B920" s="751" t="s">
        <v>4035</v>
      </c>
      <c r="C920" s="752">
        <v>84</v>
      </c>
      <c r="D920" s="750">
        <v>45449</v>
      </c>
      <c r="E920" s="753">
        <v>30</v>
      </c>
      <c r="F920" s="753">
        <v>54.1</v>
      </c>
      <c r="G920" s="753">
        <v>30</v>
      </c>
      <c r="H920" s="753">
        <v>0</v>
      </c>
      <c r="I920" s="754">
        <v>6.8000000000000005E-2</v>
      </c>
      <c r="J920" s="754">
        <v>6.8900000000000003E-2</v>
      </c>
      <c r="K920" s="754">
        <v>6.8500000000000005E-2</v>
      </c>
      <c r="L920" s="752">
        <v>3</v>
      </c>
    </row>
    <row r="921" spans="1:12" s="969" customFormat="1">
      <c r="A921" s="750">
        <v>45365</v>
      </c>
      <c r="B921" s="751" t="s">
        <v>4036</v>
      </c>
      <c r="C921" s="752">
        <v>252</v>
      </c>
      <c r="D921" s="750">
        <v>45617</v>
      </c>
      <c r="E921" s="753">
        <v>30</v>
      </c>
      <c r="F921" s="753">
        <v>60.8</v>
      </c>
      <c r="G921" s="753">
        <v>30</v>
      </c>
      <c r="H921" s="753">
        <v>0</v>
      </c>
      <c r="I921" s="754">
        <v>6.8900000000000003E-2</v>
      </c>
      <c r="J921" s="754">
        <v>6.9800000000000001E-2</v>
      </c>
      <c r="K921" s="754">
        <v>6.9500000000000006E-2</v>
      </c>
      <c r="L921" s="752">
        <v>7</v>
      </c>
    </row>
    <row r="922" spans="1:12" s="969" customFormat="1">
      <c r="A922" s="750">
        <v>45378</v>
      </c>
      <c r="B922" s="751" t="s">
        <v>4037</v>
      </c>
      <c r="C922" s="752">
        <v>28</v>
      </c>
      <c r="D922" s="750">
        <v>45406</v>
      </c>
      <c r="E922" s="753">
        <v>40</v>
      </c>
      <c r="F922" s="753">
        <v>65.099999999999994</v>
      </c>
      <c r="G922" s="753">
        <v>40</v>
      </c>
      <c r="H922" s="753">
        <v>0</v>
      </c>
      <c r="I922" s="754">
        <v>6.7500000000000004E-2</v>
      </c>
      <c r="J922" s="754">
        <v>6.8900000000000003E-2</v>
      </c>
      <c r="K922" s="754">
        <v>6.8400000000000002E-2</v>
      </c>
      <c r="L922" s="752">
        <v>3</v>
      </c>
    </row>
    <row r="923" spans="1:12" s="969" customFormat="1">
      <c r="A923" s="750">
        <v>45379</v>
      </c>
      <c r="B923" s="751" t="s">
        <v>4038</v>
      </c>
      <c r="C923" s="752">
        <v>252</v>
      </c>
      <c r="D923" s="750">
        <v>45631</v>
      </c>
      <c r="E923" s="753">
        <v>40</v>
      </c>
      <c r="F923" s="753">
        <v>13.6</v>
      </c>
      <c r="G923" s="753">
        <v>40</v>
      </c>
      <c r="H923" s="753">
        <v>0</v>
      </c>
      <c r="I923" s="754">
        <v>6.9000000000000006E-2</v>
      </c>
      <c r="J923" s="754">
        <v>0.08</v>
      </c>
      <c r="K923" s="754">
        <v>7.3899999999999993E-2</v>
      </c>
      <c r="L923" s="752">
        <v>5</v>
      </c>
    </row>
    <row r="924" spans="1:12" s="969" customFormat="1">
      <c r="A924" s="750">
        <v>45385</v>
      </c>
      <c r="B924" s="751" t="s">
        <v>4046</v>
      </c>
      <c r="C924" s="752">
        <v>28</v>
      </c>
      <c r="D924" s="750">
        <v>45413</v>
      </c>
      <c r="E924" s="753">
        <v>30</v>
      </c>
      <c r="F924" s="753">
        <v>43.1</v>
      </c>
      <c r="G924" s="753">
        <v>30</v>
      </c>
      <c r="H924" s="753">
        <v>0</v>
      </c>
      <c r="I924" s="754">
        <v>6.25E-2</v>
      </c>
      <c r="J924" s="754">
        <v>7.0499999999999993E-2</v>
      </c>
      <c r="K924" s="754">
        <v>6.8400000000000002E-2</v>
      </c>
      <c r="L924" s="752">
        <v>6</v>
      </c>
    </row>
    <row r="925" spans="1:12" s="969" customFormat="1">
      <c r="A925" s="750">
        <v>45385</v>
      </c>
      <c r="B925" s="751" t="s">
        <v>4047</v>
      </c>
      <c r="C925" s="752">
        <v>168</v>
      </c>
      <c r="D925" s="750">
        <v>45553</v>
      </c>
      <c r="E925" s="753">
        <v>30</v>
      </c>
      <c r="F925" s="753">
        <v>26.5</v>
      </c>
      <c r="G925" s="753">
        <v>26.5</v>
      </c>
      <c r="H925" s="753">
        <v>0</v>
      </c>
      <c r="I925" s="754">
        <v>6.5000000000000002E-2</v>
      </c>
      <c r="J925" s="754">
        <v>7.9699999999999993E-2</v>
      </c>
      <c r="K925" s="754">
        <v>7.0199999999999999E-2</v>
      </c>
      <c r="L925" s="752">
        <v>6</v>
      </c>
    </row>
    <row r="926" spans="1:12" s="969" customFormat="1">
      <c r="A926" s="750">
        <v>45386</v>
      </c>
      <c r="B926" s="751" t="s">
        <v>4048</v>
      </c>
      <c r="C926" s="752">
        <v>84</v>
      </c>
      <c r="D926" s="750">
        <v>45470</v>
      </c>
      <c r="E926" s="753">
        <v>30</v>
      </c>
      <c r="F926" s="753">
        <v>18.8</v>
      </c>
      <c r="G926" s="753">
        <v>18.8</v>
      </c>
      <c r="H926" s="753">
        <v>0</v>
      </c>
      <c r="I926" s="754">
        <v>7.1900000000000006E-2</v>
      </c>
      <c r="J926" s="754">
        <v>7.9000000000000001E-2</v>
      </c>
      <c r="K926" s="754">
        <v>7.4200000000000002E-2</v>
      </c>
      <c r="L926" s="752">
        <v>5</v>
      </c>
    </row>
    <row r="927" spans="1:12" s="969" customFormat="1">
      <c r="A927" s="750">
        <v>45386</v>
      </c>
      <c r="B927" s="751" t="s">
        <v>4049</v>
      </c>
      <c r="C927" s="752">
        <v>252</v>
      </c>
      <c r="D927" s="750">
        <v>45638</v>
      </c>
      <c r="E927" s="753">
        <v>30</v>
      </c>
      <c r="F927" s="753">
        <v>28.3</v>
      </c>
      <c r="G927" s="753">
        <v>28.3</v>
      </c>
      <c r="H927" s="753">
        <v>0</v>
      </c>
      <c r="I927" s="754">
        <v>7.6999999999999999E-2</v>
      </c>
      <c r="J927" s="754">
        <v>8.3000000000000004E-2</v>
      </c>
      <c r="K927" s="754">
        <v>8.0100000000000005E-2</v>
      </c>
      <c r="L927" s="752">
        <v>5</v>
      </c>
    </row>
    <row r="928" spans="1:12" s="969" customFormat="1">
      <c r="A928" s="750">
        <v>45399</v>
      </c>
      <c r="B928" s="751" t="s">
        <v>4050</v>
      </c>
      <c r="C928" s="752">
        <v>28</v>
      </c>
      <c r="D928" s="750">
        <v>45427</v>
      </c>
      <c r="E928" s="753">
        <v>20</v>
      </c>
      <c r="F928" s="753">
        <v>40.200000000000003</v>
      </c>
      <c r="G928" s="753">
        <v>20</v>
      </c>
      <c r="H928" s="753">
        <v>0</v>
      </c>
      <c r="I928" s="754">
        <v>6.3E-2</v>
      </c>
      <c r="J928" s="754">
        <v>7.2300000000000003E-2</v>
      </c>
      <c r="K928" s="754">
        <v>7.1400000000000005E-2</v>
      </c>
      <c r="L928" s="752">
        <v>5</v>
      </c>
    </row>
    <row r="929" spans="1:12" s="969" customFormat="1">
      <c r="A929" s="750">
        <v>45400</v>
      </c>
      <c r="B929" s="751" t="s">
        <v>4051</v>
      </c>
      <c r="C929" s="752">
        <v>252</v>
      </c>
      <c r="D929" s="750">
        <v>45652</v>
      </c>
      <c r="E929" s="753">
        <v>15</v>
      </c>
      <c r="F929" s="753">
        <v>28.9</v>
      </c>
      <c r="G929" s="753">
        <v>15</v>
      </c>
      <c r="H929" s="753">
        <v>0</v>
      </c>
      <c r="I929" s="754">
        <v>7.1999999999999995E-2</v>
      </c>
      <c r="J929" s="754">
        <v>7.8899999999999998E-2</v>
      </c>
      <c r="K929" s="754">
        <v>7.7399999999999997E-2</v>
      </c>
      <c r="L929" s="752">
        <v>2</v>
      </c>
    </row>
    <row r="930" spans="1:12" s="969" customFormat="1">
      <c r="A930" s="750">
        <v>45406</v>
      </c>
      <c r="B930" s="751" t="s">
        <v>4052</v>
      </c>
      <c r="C930" s="752">
        <v>28</v>
      </c>
      <c r="D930" s="750">
        <v>45434</v>
      </c>
      <c r="E930" s="753">
        <v>20</v>
      </c>
      <c r="F930" s="753">
        <v>28.5</v>
      </c>
      <c r="G930" s="753">
        <v>20</v>
      </c>
      <c r="H930" s="753">
        <v>0</v>
      </c>
      <c r="I930" s="754">
        <v>6.3E-2</v>
      </c>
      <c r="J930" s="754">
        <v>7.2300000000000003E-2</v>
      </c>
      <c r="K930" s="754">
        <v>7.1499999999999994E-2</v>
      </c>
      <c r="L930" s="752">
        <v>4</v>
      </c>
    </row>
    <row r="931" spans="1:12" s="969" customFormat="1">
      <c r="A931" s="750">
        <v>45406</v>
      </c>
      <c r="B931" s="751" t="s">
        <v>4053</v>
      </c>
      <c r="C931" s="752">
        <v>168</v>
      </c>
      <c r="D931" s="750">
        <v>45574</v>
      </c>
      <c r="E931" s="753">
        <v>15</v>
      </c>
      <c r="F931" s="753">
        <v>26.2</v>
      </c>
      <c r="G931" s="753">
        <v>15</v>
      </c>
      <c r="H931" s="753">
        <v>0</v>
      </c>
      <c r="I931" s="754">
        <v>7.4899999999999994E-2</v>
      </c>
      <c r="J931" s="754">
        <v>7.4899999999999994E-2</v>
      </c>
      <c r="K931" s="754">
        <v>7.4899999999999994E-2</v>
      </c>
      <c r="L931" s="752">
        <v>1</v>
      </c>
    </row>
    <row r="932" spans="1:12" s="969" customFormat="1">
      <c r="A932" s="750">
        <v>45407</v>
      </c>
      <c r="B932" s="751" t="s">
        <v>4054</v>
      </c>
      <c r="C932" s="752">
        <v>84</v>
      </c>
      <c r="D932" s="750">
        <v>45491</v>
      </c>
      <c r="E932" s="753">
        <v>15</v>
      </c>
      <c r="F932" s="753">
        <v>24.1</v>
      </c>
      <c r="G932" s="753">
        <v>15</v>
      </c>
      <c r="H932" s="753">
        <v>0</v>
      </c>
      <c r="I932" s="754">
        <v>7.2900000000000006E-2</v>
      </c>
      <c r="J932" s="754">
        <v>7.3999999999999996E-2</v>
      </c>
      <c r="K932" s="754">
        <v>7.3700000000000002E-2</v>
      </c>
      <c r="L932" s="752">
        <v>2</v>
      </c>
    </row>
    <row r="933" spans="1:12" s="969" customFormat="1">
      <c r="A933" s="750">
        <v>45407</v>
      </c>
      <c r="B933" s="751" t="s">
        <v>4055</v>
      </c>
      <c r="C933" s="752">
        <v>252</v>
      </c>
      <c r="D933" s="750">
        <v>45659</v>
      </c>
      <c r="E933" s="753">
        <v>15</v>
      </c>
      <c r="F933" s="753">
        <v>35.9</v>
      </c>
      <c r="G933" s="753">
        <v>15</v>
      </c>
      <c r="H933" s="753">
        <v>0</v>
      </c>
      <c r="I933" s="754">
        <v>7.7899999999999997E-2</v>
      </c>
      <c r="J933" s="754">
        <v>7.7899999999999997E-2</v>
      </c>
      <c r="K933" s="754">
        <v>7.7899999999999997E-2</v>
      </c>
      <c r="L933" s="752">
        <v>1</v>
      </c>
    </row>
    <row r="934" spans="1:12" s="969" customFormat="1">
      <c r="A934" s="750">
        <v>45413</v>
      </c>
      <c r="B934" s="751" t="s">
        <v>4057</v>
      </c>
      <c r="C934" s="752">
        <v>168</v>
      </c>
      <c r="D934" s="750">
        <v>45581</v>
      </c>
      <c r="E934" s="753">
        <v>15</v>
      </c>
      <c r="F934" s="753">
        <v>23.5</v>
      </c>
      <c r="G934" s="753">
        <v>15</v>
      </c>
      <c r="H934" s="753">
        <v>0</v>
      </c>
      <c r="I934" s="754">
        <v>7.1999999999999995E-2</v>
      </c>
      <c r="J934" s="754">
        <v>7.4899999999999994E-2</v>
      </c>
      <c r="K934" s="754">
        <v>7.3899999999999993E-2</v>
      </c>
      <c r="L934" s="752">
        <v>5</v>
      </c>
    </row>
    <row r="935" spans="1:12" s="969" customFormat="1">
      <c r="A935" s="750">
        <v>45414</v>
      </c>
      <c r="B935" s="751" t="s">
        <v>4058</v>
      </c>
      <c r="C935" s="752">
        <v>84</v>
      </c>
      <c r="D935" s="750">
        <v>45498</v>
      </c>
      <c r="E935" s="753">
        <v>15</v>
      </c>
      <c r="F935" s="753">
        <v>27.5</v>
      </c>
      <c r="G935" s="753">
        <v>15</v>
      </c>
      <c r="H935" s="753">
        <v>0</v>
      </c>
      <c r="I935" s="754">
        <v>7.2499999999999995E-2</v>
      </c>
      <c r="J935" s="754">
        <v>7.3700000000000002E-2</v>
      </c>
      <c r="K935" s="754">
        <v>7.3400000000000007E-2</v>
      </c>
      <c r="L935" s="752">
        <v>5</v>
      </c>
    </row>
    <row r="936" spans="1:12" s="969" customFormat="1">
      <c r="A936" s="750">
        <v>45414</v>
      </c>
      <c r="B936" s="751" t="s">
        <v>4059</v>
      </c>
      <c r="C936" s="752">
        <v>252</v>
      </c>
      <c r="D936" s="750">
        <v>45666</v>
      </c>
      <c r="E936" s="753">
        <v>15</v>
      </c>
      <c r="F936" s="753">
        <v>22.4</v>
      </c>
      <c r="G936" s="753">
        <v>15</v>
      </c>
      <c r="H936" s="753">
        <v>0</v>
      </c>
      <c r="I936" s="754">
        <v>7.5499999999999998E-2</v>
      </c>
      <c r="J936" s="754">
        <v>7.7899999999999997E-2</v>
      </c>
      <c r="K936" s="754">
        <v>7.6300000000000007E-2</v>
      </c>
      <c r="L936" s="752">
        <v>5</v>
      </c>
    </row>
    <row r="937" spans="1:12" s="969" customFormat="1">
      <c r="A937" s="750">
        <v>45420</v>
      </c>
      <c r="B937" s="751" t="s">
        <v>4060</v>
      </c>
      <c r="C937" s="752">
        <v>28</v>
      </c>
      <c r="D937" s="750">
        <v>45448</v>
      </c>
      <c r="E937" s="753">
        <v>15</v>
      </c>
      <c r="F937" s="753">
        <v>23.5</v>
      </c>
      <c r="G937" s="753">
        <v>15</v>
      </c>
      <c r="H937" s="753">
        <v>0</v>
      </c>
      <c r="I937" s="754">
        <v>6.3E-2</v>
      </c>
      <c r="J937" s="754">
        <v>7.2300000000000003E-2</v>
      </c>
      <c r="K937" s="754">
        <v>7.1099999999999997E-2</v>
      </c>
      <c r="L937" s="752">
        <v>5</v>
      </c>
    </row>
    <row r="938" spans="1:12" s="969" customFormat="1">
      <c r="A938" s="750">
        <v>45427</v>
      </c>
      <c r="B938" s="751" t="s">
        <v>4061</v>
      </c>
      <c r="C938" s="752">
        <v>28</v>
      </c>
      <c r="D938" s="750">
        <v>45455</v>
      </c>
      <c r="E938" s="753">
        <v>15</v>
      </c>
      <c r="F938" s="753">
        <v>36</v>
      </c>
      <c r="G938" s="753">
        <v>15</v>
      </c>
      <c r="H938" s="753">
        <v>0</v>
      </c>
      <c r="I938" s="754">
        <v>6.3E-2</v>
      </c>
      <c r="J938" s="754">
        <v>7.1499999999999994E-2</v>
      </c>
      <c r="K938" s="754">
        <v>6.9000000000000006E-2</v>
      </c>
      <c r="L938" s="752">
        <v>6</v>
      </c>
    </row>
    <row r="939" spans="1:12" s="969" customFormat="1">
      <c r="A939" s="750">
        <v>45427</v>
      </c>
      <c r="B939" s="751" t="s">
        <v>4062</v>
      </c>
      <c r="C939" s="752">
        <v>168</v>
      </c>
      <c r="D939" s="750">
        <v>45595</v>
      </c>
      <c r="E939" s="753">
        <v>15</v>
      </c>
      <c r="F939" s="753">
        <v>27.1</v>
      </c>
      <c r="G939" s="753">
        <v>15</v>
      </c>
      <c r="H939" s="753">
        <v>0</v>
      </c>
      <c r="I939" s="754">
        <v>7.2999999999999995E-2</v>
      </c>
      <c r="J939" s="754">
        <v>7.4899999999999994E-2</v>
      </c>
      <c r="K939" s="754">
        <v>7.4800000000000005E-2</v>
      </c>
      <c r="L939" s="752">
        <v>6</v>
      </c>
    </row>
    <row r="940" spans="1:12" s="969" customFormat="1">
      <c r="A940" s="750">
        <v>45434</v>
      </c>
      <c r="B940" s="751" t="s">
        <v>4063</v>
      </c>
      <c r="C940" s="752">
        <v>28</v>
      </c>
      <c r="D940" s="750">
        <v>45462</v>
      </c>
      <c r="E940" s="753">
        <v>15</v>
      </c>
      <c r="F940" s="753">
        <v>30</v>
      </c>
      <c r="G940" s="753">
        <v>15</v>
      </c>
      <c r="H940" s="753">
        <v>0</v>
      </c>
      <c r="I940" s="754">
        <v>6.3E-2</v>
      </c>
      <c r="J940" s="754">
        <v>7.3899999999999993E-2</v>
      </c>
      <c r="K940" s="754">
        <v>7.1999999999999995E-2</v>
      </c>
      <c r="L940" s="752">
        <v>6</v>
      </c>
    </row>
    <row r="941" spans="1:12" s="969" customFormat="1">
      <c r="A941" s="750">
        <v>45435</v>
      </c>
      <c r="B941" s="751" t="s">
        <v>4064</v>
      </c>
      <c r="C941" s="752">
        <v>84</v>
      </c>
      <c r="D941" s="750">
        <v>45519</v>
      </c>
      <c r="E941" s="753">
        <v>15</v>
      </c>
      <c r="F941" s="753">
        <v>25</v>
      </c>
      <c r="G941" s="753">
        <v>15</v>
      </c>
      <c r="H941" s="753">
        <v>0</v>
      </c>
      <c r="I941" s="754">
        <v>7.2800000000000004E-2</v>
      </c>
      <c r="J941" s="754">
        <v>7.3400000000000007E-2</v>
      </c>
      <c r="K941" s="754">
        <v>7.3300000000000004E-2</v>
      </c>
      <c r="L941" s="752">
        <v>6</v>
      </c>
    </row>
    <row r="942" spans="1:12" s="969" customFormat="1">
      <c r="A942" s="750">
        <v>45435</v>
      </c>
      <c r="B942" s="751" t="s">
        <v>4065</v>
      </c>
      <c r="C942" s="752">
        <v>252</v>
      </c>
      <c r="D942" s="750">
        <v>45687</v>
      </c>
      <c r="E942" s="753">
        <v>15</v>
      </c>
      <c r="F942" s="753">
        <v>23.8</v>
      </c>
      <c r="G942" s="753">
        <v>15</v>
      </c>
      <c r="H942" s="753">
        <v>0</v>
      </c>
      <c r="I942" s="754">
        <v>7.4999999999999997E-2</v>
      </c>
      <c r="J942" s="754">
        <v>7.85E-2</v>
      </c>
      <c r="K942" s="754">
        <v>7.7600000000000002E-2</v>
      </c>
      <c r="L942" s="752">
        <v>7</v>
      </c>
    </row>
    <row r="943" spans="1:12" s="969" customFormat="1">
      <c r="A943" s="750">
        <v>45441</v>
      </c>
      <c r="B943" s="751" t="s">
        <v>4066</v>
      </c>
      <c r="C943" s="752">
        <v>28</v>
      </c>
      <c r="D943" s="750">
        <v>45469</v>
      </c>
      <c r="E943" s="753">
        <v>15</v>
      </c>
      <c r="F943" s="753">
        <v>33</v>
      </c>
      <c r="G943" s="753">
        <v>15</v>
      </c>
      <c r="H943" s="753">
        <v>0</v>
      </c>
      <c r="I943" s="754">
        <v>6.9800000000000001E-2</v>
      </c>
      <c r="J943" s="754">
        <v>7.1499999999999994E-2</v>
      </c>
      <c r="K943" s="754">
        <v>7.1099999999999997E-2</v>
      </c>
      <c r="L943" s="752">
        <v>6</v>
      </c>
    </row>
    <row r="944" spans="1:12" s="969" customFormat="1">
      <c r="A944" s="750">
        <v>45442</v>
      </c>
      <c r="B944" s="751" t="s">
        <v>4067</v>
      </c>
      <c r="C944" s="752">
        <v>84</v>
      </c>
      <c r="D944" s="750">
        <v>45526</v>
      </c>
      <c r="E944" s="753">
        <v>15</v>
      </c>
      <c r="F944" s="753">
        <v>25.5</v>
      </c>
      <c r="G944" s="753">
        <v>15</v>
      </c>
      <c r="H944" s="753">
        <v>0</v>
      </c>
      <c r="I944" s="754">
        <v>7.2300000000000003E-2</v>
      </c>
      <c r="J944" s="754">
        <v>7.3400000000000007E-2</v>
      </c>
      <c r="K944" s="754">
        <v>7.3099999999999998E-2</v>
      </c>
      <c r="L944" s="752">
        <v>5</v>
      </c>
    </row>
    <row r="945" spans="1:12" s="969" customFormat="1">
      <c r="A945" s="750">
        <v>45442</v>
      </c>
      <c r="B945" s="751" t="s">
        <v>4068</v>
      </c>
      <c r="C945" s="752">
        <v>252</v>
      </c>
      <c r="D945" s="750">
        <v>45694</v>
      </c>
      <c r="E945" s="753">
        <v>15</v>
      </c>
      <c r="F945" s="753">
        <v>28.9</v>
      </c>
      <c r="G945" s="753">
        <v>15</v>
      </c>
      <c r="H945" s="753">
        <v>0</v>
      </c>
      <c r="I945" s="754">
        <v>7.6499999999999999E-2</v>
      </c>
      <c r="J945" s="754">
        <v>7.6999999999999999E-2</v>
      </c>
      <c r="K945" s="754">
        <v>7.6899999999999996E-2</v>
      </c>
      <c r="L945" s="752">
        <v>7</v>
      </c>
    </row>
    <row r="946" spans="1:12" s="969" customFormat="1">
      <c r="A946" s="750">
        <v>45448</v>
      </c>
      <c r="B946" s="751" t="s">
        <v>4074</v>
      </c>
      <c r="C946" s="752">
        <v>28</v>
      </c>
      <c r="D946" s="750">
        <v>45476</v>
      </c>
      <c r="E946" s="753">
        <v>20</v>
      </c>
      <c r="F946" s="753">
        <v>37.5</v>
      </c>
      <c r="G946" s="753">
        <v>20</v>
      </c>
      <c r="H946" s="753">
        <v>0</v>
      </c>
      <c r="I946" s="754">
        <v>6.3E-2</v>
      </c>
      <c r="J946" s="754">
        <v>7.0900000000000005E-2</v>
      </c>
      <c r="K946" s="754">
        <v>7.0199999999999999E-2</v>
      </c>
      <c r="L946" s="752">
        <v>8</v>
      </c>
    </row>
    <row r="947" spans="1:12" s="969" customFormat="1">
      <c r="A947" s="750">
        <v>45448</v>
      </c>
      <c r="B947" s="751" t="s">
        <v>4075</v>
      </c>
      <c r="C947" s="752">
        <v>168</v>
      </c>
      <c r="D947" s="750">
        <v>45616</v>
      </c>
      <c r="E947" s="753">
        <v>20</v>
      </c>
      <c r="F947" s="753">
        <v>26.2</v>
      </c>
      <c r="G947" s="753">
        <v>20</v>
      </c>
      <c r="H947" s="753">
        <v>0</v>
      </c>
      <c r="I947" s="754">
        <v>7.3999999999999996E-2</v>
      </c>
      <c r="J947" s="754">
        <v>7.4999999999999997E-2</v>
      </c>
      <c r="K947" s="754">
        <v>7.4399999999999994E-2</v>
      </c>
      <c r="L947" s="752">
        <v>6</v>
      </c>
    </row>
    <row r="948" spans="1:12" s="969" customFormat="1">
      <c r="A948" s="750">
        <v>45449</v>
      </c>
      <c r="B948" s="751" t="s">
        <v>4076</v>
      </c>
      <c r="C948" s="752">
        <v>84</v>
      </c>
      <c r="D948" s="750">
        <v>45533</v>
      </c>
      <c r="E948" s="753">
        <v>20</v>
      </c>
      <c r="F948" s="753">
        <v>28.5</v>
      </c>
      <c r="G948" s="753">
        <v>20</v>
      </c>
      <c r="H948" s="753">
        <v>0</v>
      </c>
      <c r="I948" s="754">
        <v>7.2499999999999995E-2</v>
      </c>
      <c r="J948" s="754">
        <v>7.2999999999999995E-2</v>
      </c>
      <c r="K948" s="754">
        <v>7.2900000000000006E-2</v>
      </c>
      <c r="L948" s="752">
        <v>6</v>
      </c>
    </row>
    <row r="949" spans="1:12" s="969" customFormat="1">
      <c r="A949" s="750">
        <v>45449</v>
      </c>
      <c r="B949" s="751" t="s">
        <v>4077</v>
      </c>
      <c r="C949" s="752">
        <v>252</v>
      </c>
      <c r="D949" s="750">
        <v>45701</v>
      </c>
      <c r="E949" s="753">
        <v>20</v>
      </c>
      <c r="F949" s="753">
        <v>29.6</v>
      </c>
      <c r="G949" s="753">
        <v>20</v>
      </c>
      <c r="H949" s="753">
        <v>0</v>
      </c>
      <c r="I949" s="754">
        <v>7.4999999999999997E-2</v>
      </c>
      <c r="J949" s="754">
        <v>7.6499999999999999E-2</v>
      </c>
      <c r="K949" s="754">
        <v>7.6300000000000007E-2</v>
      </c>
      <c r="L949" s="752">
        <v>7</v>
      </c>
    </row>
    <row r="950" spans="1:12" s="969" customFormat="1">
      <c r="A950" s="750">
        <v>45455</v>
      </c>
      <c r="B950" s="751" t="s">
        <v>4078</v>
      </c>
      <c r="C950" s="752">
        <v>28</v>
      </c>
      <c r="D950" s="750">
        <v>45483</v>
      </c>
      <c r="E950" s="753">
        <v>25</v>
      </c>
      <c r="F950" s="753">
        <v>70</v>
      </c>
      <c r="G950" s="753">
        <v>25</v>
      </c>
      <c r="H950" s="753">
        <v>0</v>
      </c>
      <c r="I950" s="754">
        <v>6.7000000000000004E-2</v>
      </c>
      <c r="J950" s="754">
        <v>7.0000000000000007E-2</v>
      </c>
      <c r="K950" s="754">
        <v>6.9800000000000001E-2</v>
      </c>
      <c r="L950" s="752">
        <v>8</v>
      </c>
    </row>
    <row r="951" spans="1:12" s="969" customFormat="1">
      <c r="A951" s="750">
        <v>45455</v>
      </c>
      <c r="B951" s="751" t="s">
        <v>4079</v>
      </c>
      <c r="C951" s="752">
        <v>168</v>
      </c>
      <c r="D951" s="750">
        <v>45623</v>
      </c>
      <c r="E951" s="753">
        <v>25</v>
      </c>
      <c r="F951" s="753">
        <v>44.1</v>
      </c>
      <c r="G951" s="753">
        <v>25</v>
      </c>
      <c r="H951" s="753">
        <v>0</v>
      </c>
      <c r="I951" s="754">
        <v>7.3899999999999993E-2</v>
      </c>
      <c r="J951" s="754">
        <v>7.3999999999999996E-2</v>
      </c>
      <c r="K951" s="754">
        <v>7.3999999999999996E-2</v>
      </c>
      <c r="L951" s="752">
        <v>7</v>
      </c>
    </row>
    <row r="952" spans="1:12" s="969" customFormat="1">
      <c r="A952" s="750">
        <v>45456</v>
      </c>
      <c r="B952" s="751" t="s">
        <v>4080</v>
      </c>
      <c r="C952" s="752">
        <v>84</v>
      </c>
      <c r="D952" s="750">
        <v>45540</v>
      </c>
      <c r="E952" s="753">
        <v>25</v>
      </c>
      <c r="F952" s="753">
        <v>58</v>
      </c>
      <c r="G952" s="753">
        <v>25</v>
      </c>
      <c r="H952" s="753">
        <v>0</v>
      </c>
      <c r="I952" s="754">
        <v>7.17E-2</v>
      </c>
      <c r="J952" s="754">
        <v>7.1999999999999995E-2</v>
      </c>
      <c r="K952" s="754">
        <v>7.1999999999999995E-2</v>
      </c>
      <c r="L952" s="752">
        <v>7</v>
      </c>
    </row>
    <row r="953" spans="1:12" s="969" customFormat="1">
      <c r="A953" s="750">
        <v>45456</v>
      </c>
      <c r="B953" s="751" t="s">
        <v>4081</v>
      </c>
      <c r="C953" s="752">
        <v>252</v>
      </c>
      <c r="D953" s="750">
        <v>45708</v>
      </c>
      <c r="E953" s="753">
        <v>25</v>
      </c>
      <c r="F953" s="753">
        <v>30.9</v>
      </c>
      <c r="G953" s="753">
        <v>25</v>
      </c>
      <c r="H953" s="753">
        <v>0</v>
      </c>
      <c r="I953" s="754">
        <v>7.4999999999999997E-2</v>
      </c>
      <c r="J953" s="754">
        <v>7.5499999999999998E-2</v>
      </c>
      <c r="K953" s="754">
        <v>7.5200000000000003E-2</v>
      </c>
      <c r="L953" s="752">
        <v>5</v>
      </c>
    </row>
    <row r="954" spans="1:12" s="969" customFormat="1">
      <c r="A954" s="750">
        <v>45476</v>
      </c>
      <c r="B954" s="751" t="s">
        <v>4102</v>
      </c>
      <c r="C954" s="752">
        <v>28</v>
      </c>
      <c r="D954" s="750">
        <v>45504</v>
      </c>
      <c r="E954" s="753">
        <v>30</v>
      </c>
      <c r="F954" s="753">
        <v>50.5</v>
      </c>
      <c r="G954" s="753">
        <v>30</v>
      </c>
      <c r="H954" s="753">
        <v>0</v>
      </c>
      <c r="I954" s="754">
        <v>6.7000000000000004E-2</v>
      </c>
      <c r="J954" s="754">
        <v>6.9000000000000006E-2</v>
      </c>
      <c r="K954" s="754">
        <v>6.8900000000000003E-2</v>
      </c>
      <c r="L954" s="752">
        <v>8</v>
      </c>
    </row>
    <row r="955" spans="1:12" s="969" customFormat="1">
      <c r="A955" s="750">
        <v>45476</v>
      </c>
      <c r="B955" s="751" t="s">
        <v>4103</v>
      </c>
      <c r="C955" s="752">
        <v>168</v>
      </c>
      <c r="D955" s="750">
        <v>45644</v>
      </c>
      <c r="E955" s="753">
        <v>30</v>
      </c>
      <c r="F955" s="753">
        <v>39.6</v>
      </c>
      <c r="G955" s="753">
        <v>30</v>
      </c>
      <c r="H955" s="753">
        <v>0</v>
      </c>
      <c r="I955" s="754">
        <v>7.2499999999999995E-2</v>
      </c>
      <c r="J955" s="754">
        <v>7.3999999999999996E-2</v>
      </c>
      <c r="K955" s="754">
        <v>7.3099999999999998E-2</v>
      </c>
      <c r="L955" s="752">
        <v>10</v>
      </c>
    </row>
    <row r="956" spans="1:12" s="969" customFormat="1">
      <c r="A956" s="750">
        <v>45477</v>
      </c>
      <c r="B956" s="751" t="s">
        <v>4104</v>
      </c>
      <c r="C956" s="752">
        <v>84</v>
      </c>
      <c r="D956" s="750">
        <v>45561</v>
      </c>
      <c r="E956" s="753">
        <v>30</v>
      </c>
      <c r="F956" s="753">
        <v>33.799999999999997</v>
      </c>
      <c r="G956" s="753">
        <v>30</v>
      </c>
      <c r="H956" s="753">
        <v>0</v>
      </c>
      <c r="I956" s="754">
        <v>7.1300000000000002E-2</v>
      </c>
      <c r="J956" s="754">
        <v>7.1999999999999995E-2</v>
      </c>
      <c r="K956" s="754">
        <v>7.17E-2</v>
      </c>
      <c r="L956" s="752">
        <v>6</v>
      </c>
    </row>
    <row r="957" spans="1:12" s="969" customFormat="1">
      <c r="A957" s="750">
        <v>45477</v>
      </c>
      <c r="B957" s="751" t="s">
        <v>4105</v>
      </c>
      <c r="C957" s="752">
        <v>252</v>
      </c>
      <c r="D957" s="750">
        <v>45729</v>
      </c>
      <c r="E957" s="753">
        <v>30</v>
      </c>
      <c r="F957" s="753">
        <v>27.8</v>
      </c>
      <c r="G957" s="753">
        <v>27.8</v>
      </c>
      <c r="H957" s="753">
        <v>0</v>
      </c>
      <c r="I957" s="754">
        <v>7.3999999999999996E-2</v>
      </c>
      <c r="J957" s="754">
        <v>7.5700000000000003E-2</v>
      </c>
      <c r="K957" s="754">
        <v>7.4300000000000005E-2</v>
      </c>
      <c r="L957" s="752">
        <v>5</v>
      </c>
    </row>
    <row r="958" spans="1:12" s="969" customFormat="1">
      <c r="A958" s="750">
        <v>45483</v>
      </c>
      <c r="B958" s="751" t="s">
        <v>4106</v>
      </c>
      <c r="C958" s="752">
        <v>28</v>
      </c>
      <c r="D958" s="750">
        <v>45511</v>
      </c>
      <c r="E958" s="753">
        <v>30</v>
      </c>
      <c r="F958" s="753">
        <v>47.5</v>
      </c>
      <c r="G958" s="753">
        <v>30</v>
      </c>
      <c r="H958" s="753">
        <v>0</v>
      </c>
      <c r="I958" s="754">
        <v>6.7000000000000004E-2</v>
      </c>
      <c r="J958" s="754">
        <v>7.2499999999999995E-2</v>
      </c>
      <c r="K958" s="754">
        <v>7.1400000000000005E-2</v>
      </c>
      <c r="L958" s="752">
        <v>7</v>
      </c>
    </row>
    <row r="959" spans="1:12" s="969" customFormat="1">
      <c r="A959" s="750">
        <v>45484</v>
      </c>
      <c r="B959" s="751" t="s">
        <v>4107</v>
      </c>
      <c r="C959" s="752">
        <v>84</v>
      </c>
      <c r="D959" s="750">
        <v>45568</v>
      </c>
      <c r="E959" s="753">
        <v>30</v>
      </c>
      <c r="F959" s="753">
        <v>28.8</v>
      </c>
      <c r="G959" s="753">
        <v>28.8</v>
      </c>
      <c r="H959" s="753">
        <v>0</v>
      </c>
      <c r="I959" s="754">
        <v>7.1999999999999995E-2</v>
      </c>
      <c r="J959" s="754">
        <v>7.4899999999999994E-2</v>
      </c>
      <c r="K959" s="754">
        <v>7.4399999999999994E-2</v>
      </c>
      <c r="L959" s="752">
        <v>5</v>
      </c>
    </row>
    <row r="960" spans="1:12" s="969" customFormat="1">
      <c r="A960" s="750">
        <v>45484</v>
      </c>
      <c r="B960" s="751" t="s">
        <v>4108</v>
      </c>
      <c r="C960" s="752">
        <v>252</v>
      </c>
      <c r="D960" s="750">
        <v>45736</v>
      </c>
      <c r="E960" s="753">
        <v>20</v>
      </c>
      <c r="F960" s="753">
        <v>18.399999999999999</v>
      </c>
      <c r="G960" s="753">
        <v>18.399999999999999</v>
      </c>
      <c r="H960" s="753">
        <v>0</v>
      </c>
      <c r="I960" s="754">
        <v>7.4999999999999997E-2</v>
      </c>
      <c r="J960" s="754">
        <v>7.8899999999999998E-2</v>
      </c>
      <c r="K960" s="754">
        <v>7.7799999999999994E-2</v>
      </c>
      <c r="L960" s="752">
        <v>5</v>
      </c>
    </row>
    <row r="961" spans="1:12" s="969" customFormat="1">
      <c r="A961" s="750">
        <v>45490</v>
      </c>
      <c r="B961" s="751" t="s">
        <v>4109</v>
      </c>
      <c r="C961" s="752">
        <v>28</v>
      </c>
      <c r="D961" s="750">
        <v>45518</v>
      </c>
      <c r="E961" s="753">
        <v>15</v>
      </c>
      <c r="F961" s="753">
        <v>29</v>
      </c>
      <c r="G961" s="753">
        <v>15</v>
      </c>
      <c r="H961" s="753">
        <v>0</v>
      </c>
      <c r="I961" s="754">
        <v>6.7000000000000004E-2</v>
      </c>
      <c r="J961" s="754">
        <v>7.7899999999999997E-2</v>
      </c>
      <c r="K961" s="754">
        <v>7.4700000000000003E-2</v>
      </c>
      <c r="L961" s="752">
        <v>7</v>
      </c>
    </row>
    <row r="962" spans="1:12" s="969" customFormat="1">
      <c r="A962" s="750">
        <v>45491</v>
      </c>
      <c r="B962" s="751" t="s">
        <v>4110</v>
      </c>
      <c r="C962" s="752">
        <v>84</v>
      </c>
      <c r="D962" s="750">
        <v>45575</v>
      </c>
      <c r="E962" s="753">
        <v>15</v>
      </c>
      <c r="F962" s="753">
        <v>22</v>
      </c>
      <c r="G962" s="753">
        <v>15</v>
      </c>
      <c r="H962" s="753">
        <v>0</v>
      </c>
      <c r="I962" s="754">
        <v>7.4899999999999994E-2</v>
      </c>
      <c r="J962" s="754">
        <v>7.8399999999999997E-2</v>
      </c>
      <c r="K962" s="754">
        <v>7.7499999999999999E-2</v>
      </c>
      <c r="L962" s="752">
        <v>5</v>
      </c>
    </row>
    <row r="963" spans="1:12" s="969" customFormat="1">
      <c r="A963" s="750">
        <v>45491</v>
      </c>
      <c r="B963" s="751" t="s">
        <v>4111</v>
      </c>
      <c r="C963" s="752">
        <v>252</v>
      </c>
      <c r="D963" s="750">
        <v>45743</v>
      </c>
      <c r="E963" s="753">
        <v>15</v>
      </c>
      <c r="F963" s="753">
        <v>20.100000000000001</v>
      </c>
      <c r="G963" s="753">
        <v>15</v>
      </c>
      <c r="H963" s="753">
        <v>0</v>
      </c>
      <c r="I963" s="754">
        <v>7.8899999999999998E-2</v>
      </c>
      <c r="J963" s="754">
        <v>8.09E-2</v>
      </c>
      <c r="K963" s="754">
        <v>8.0500000000000002E-2</v>
      </c>
      <c r="L963" s="752">
        <v>5</v>
      </c>
    </row>
    <row r="964" spans="1:12" s="969" customFormat="1">
      <c r="A964" s="750">
        <v>45497</v>
      </c>
      <c r="B964" s="751" t="s">
        <v>4112</v>
      </c>
      <c r="C964" s="752">
        <v>28</v>
      </c>
      <c r="D964" s="750">
        <v>45525</v>
      </c>
      <c r="E964" s="753">
        <v>10</v>
      </c>
      <c r="F964" s="753">
        <v>20</v>
      </c>
      <c r="G964" s="753">
        <v>10</v>
      </c>
      <c r="H964" s="753">
        <v>0</v>
      </c>
      <c r="I964" s="754">
        <v>6.7000000000000004E-2</v>
      </c>
      <c r="J964" s="754">
        <v>0.08</v>
      </c>
      <c r="K964" s="754">
        <v>7.46E-2</v>
      </c>
      <c r="L964" s="752">
        <v>5</v>
      </c>
    </row>
    <row r="965" spans="1:12" s="969" customFormat="1">
      <c r="A965" s="750">
        <v>45504</v>
      </c>
      <c r="B965" s="751" t="s">
        <v>4113</v>
      </c>
      <c r="C965" s="752">
        <v>28</v>
      </c>
      <c r="D965" s="750">
        <v>45532</v>
      </c>
      <c r="E965" s="753">
        <v>5</v>
      </c>
      <c r="F965" s="753">
        <v>19.100000000000001</v>
      </c>
      <c r="G965" s="753">
        <v>5</v>
      </c>
      <c r="H965" s="753">
        <v>0</v>
      </c>
      <c r="I965" s="754">
        <v>6.5000000000000002E-2</v>
      </c>
      <c r="J965" s="754">
        <v>7.1999999999999995E-2</v>
      </c>
      <c r="K965" s="754">
        <v>7.0000000000000007E-2</v>
      </c>
      <c r="L965" s="752">
        <v>7</v>
      </c>
    </row>
    <row r="966" spans="1:12" s="969" customFormat="1">
      <c r="A966" s="750">
        <v>45504</v>
      </c>
      <c r="B966" s="751" t="s">
        <v>4114</v>
      </c>
      <c r="C966" s="752">
        <v>168</v>
      </c>
      <c r="D966" s="750">
        <v>45672</v>
      </c>
      <c r="E966" s="753">
        <v>5</v>
      </c>
      <c r="F966" s="753">
        <v>9.3000000000000007</v>
      </c>
      <c r="G966" s="753">
        <v>5</v>
      </c>
      <c r="H966" s="753">
        <v>0</v>
      </c>
      <c r="I966" s="754">
        <v>7.9500000000000001E-2</v>
      </c>
      <c r="J966" s="754">
        <v>8.2500000000000004E-2</v>
      </c>
      <c r="K966" s="754">
        <v>8.2000000000000003E-2</v>
      </c>
      <c r="L966" s="752">
        <v>5</v>
      </c>
    </row>
    <row r="967" spans="1:12" s="969" customFormat="1">
      <c r="A967" s="750">
        <v>45511</v>
      </c>
      <c r="B967" s="751" t="s">
        <v>4120</v>
      </c>
      <c r="C967" s="752">
        <v>28</v>
      </c>
      <c r="D967" s="750">
        <v>45539</v>
      </c>
      <c r="E967" s="753">
        <v>5</v>
      </c>
      <c r="F967" s="753">
        <v>16.5</v>
      </c>
      <c r="G967" s="753">
        <v>5</v>
      </c>
      <c r="H967" s="753">
        <v>0</v>
      </c>
      <c r="I967" s="754">
        <v>6.7000000000000004E-2</v>
      </c>
      <c r="J967" s="754">
        <v>6.9800000000000001E-2</v>
      </c>
      <c r="K967" s="754">
        <v>6.9000000000000006E-2</v>
      </c>
      <c r="L967" s="752">
        <v>7</v>
      </c>
    </row>
    <row r="968" spans="1:12" s="969" customFormat="1">
      <c r="A968" s="750">
        <v>45511</v>
      </c>
      <c r="B968" s="751" t="s">
        <v>4121</v>
      </c>
      <c r="C968" s="752">
        <v>168</v>
      </c>
      <c r="D968" s="750">
        <v>45679</v>
      </c>
      <c r="E968" s="753">
        <v>5</v>
      </c>
      <c r="F968" s="753">
        <v>11.1</v>
      </c>
      <c r="G968" s="753">
        <v>5</v>
      </c>
      <c r="H968" s="753">
        <v>0</v>
      </c>
      <c r="I968" s="754">
        <v>7.4999999999999997E-2</v>
      </c>
      <c r="J968" s="754">
        <v>8.1500000000000003E-2</v>
      </c>
      <c r="K968" s="754">
        <v>7.7499999999999999E-2</v>
      </c>
      <c r="L968" s="752">
        <v>5</v>
      </c>
    </row>
    <row r="969" spans="1:12" s="969" customFormat="1">
      <c r="A969" s="750">
        <v>45512</v>
      </c>
      <c r="B969" s="751" t="s">
        <v>4122</v>
      </c>
      <c r="C969" s="752">
        <v>84</v>
      </c>
      <c r="D969" s="750">
        <v>45596</v>
      </c>
      <c r="E969" s="753">
        <v>5</v>
      </c>
      <c r="F969" s="753">
        <v>11.8</v>
      </c>
      <c r="G969" s="753">
        <v>5</v>
      </c>
      <c r="H969" s="753">
        <v>0</v>
      </c>
      <c r="I969" s="754">
        <v>7.4999999999999997E-2</v>
      </c>
      <c r="J969" s="754">
        <v>8.0500000000000002E-2</v>
      </c>
      <c r="K969" s="754">
        <v>7.8899999999999998E-2</v>
      </c>
      <c r="L969" s="752">
        <v>7</v>
      </c>
    </row>
    <row r="970" spans="1:12" s="969" customFormat="1">
      <c r="A970" s="750">
        <v>45512</v>
      </c>
      <c r="B970" s="751" t="s">
        <v>4123</v>
      </c>
      <c r="C970" s="752">
        <v>252</v>
      </c>
      <c r="D970" s="750">
        <v>45764</v>
      </c>
      <c r="E970" s="753">
        <v>5</v>
      </c>
      <c r="F970" s="753">
        <v>10</v>
      </c>
      <c r="G970" s="753">
        <v>5</v>
      </c>
      <c r="H970" s="753">
        <v>0</v>
      </c>
      <c r="I970" s="754">
        <v>8.0500000000000002E-2</v>
      </c>
      <c r="J970" s="754">
        <v>8.2400000000000001E-2</v>
      </c>
      <c r="K970" s="754">
        <v>8.2199999999999995E-2</v>
      </c>
      <c r="L970" s="752">
        <v>6</v>
      </c>
    </row>
    <row r="971" spans="1:12" s="969" customFormat="1">
      <c r="A971" s="750">
        <v>45525</v>
      </c>
      <c r="B971" s="751" t="s">
        <v>4124</v>
      </c>
      <c r="C971" s="752">
        <v>28</v>
      </c>
      <c r="D971" s="750">
        <v>45553</v>
      </c>
      <c r="E971" s="753">
        <v>5</v>
      </c>
      <c r="F971" s="753">
        <v>26.9</v>
      </c>
      <c r="G971" s="753">
        <v>5</v>
      </c>
      <c r="H971" s="753">
        <v>0</v>
      </c>
      <c r="I971" s="754">
        <v>6.7000000000000004E-2</v>
      </c>
      <c r="J971" s="754">
        <v>6.8000000000000005E-2</v>
      </c>
      <c r="K971" s="754">
        <v>6.7699999999999996E-2</v>
      </c>
      <c r="L971" s="752">
        <v>9</v>
      </c>
    </row>
    <row r="972" spans="1:12" s="969" customFormat="1">
      <c r="A972" s="750">
        <v>45525</v>
      </c>
      <c r="B972" s="751" t="s">
        <v>4125</v>
      </c>
      <c r="C972" s="752">
        <v>168</v>
      </c>
      <c r="D972" s="750">
        <v>45693</v>
      </c>
      <c r="E972" s="753">
        <v>5</v>
      </c>
      <c r="F972" s="753">
        <v>7.6</v>
      </c>
      <c r="G972" s="753">
        <v>5</v>
      </c>
      <c r="H972" s="753">
        <v>0</v>
      </c>
      <c r="I972" s="754">
        <v>0.08</v>
      </c>
      <c r="J972" s="754">
        <v>8.0399999999999999E-2</v>
      </c>
      <c r="K972" s="754">
        <v>8.0399999999999999E-2</v>
      </c>
      <c r="L972" s="752">
        <v>6</v>
      </c>
    </row>
    <row r="973" spans="1:12" s="969" customFormat="1">
      <c r="A973" s="750">
        <v>45532</v>
      </c>
      <c r="B973" s="751" t="s">
        <v>4126</v>
      </c>
      <c r="C973" s="752">
        <v>28</v>
      </c>
      <c r="D973" s="750">
        <v>45560</v>
      </c>
      <c r="E973" s="753">
        <v>5</v>
      </c>
      <c r="F973" s="753">
        <v>18</v>
      </c>
      <c r="G973" s="753">
        <v>5</v>
      </c>
      <c r="H973" s="753">
        <v>0</v>
      </c>
      <c r="I973" s="754">
        <v>6.6000000000000003E-2</v>
      </c>
      <c r="J973" s="754">
        <v>6.6000000000000003E-2</v>
      </c>
      <c r="K973" s="754">
        <v>6.6000000000000003E-2</v>
      </c>
      <c r="L973" s="752">
        <v>5</v>
      </c>
    </row>
    <row r="974" spans="1:12" s="969" customFormat="1">
      <c r="A974" s="750">
        <v>45533</v>
      </c>
      <c r="B974" s="751" t="s">
        <v>4127</v>
      </c>
      <c r="C974" s="752">
        <v>84</v>
      </c>
      <c r="D974" s="750">
        <v>45617</v>
      </c>
      <c r="E974" s="753">
        <v>5</v>
      </c>
      <c r="F974" s="753">
        <v>13.2</v>
      </c>
      <c r="G974" s="753">
        <v>5</v>
      </c>
      <c r="H974" s="753">
        <v>0</v>
      </c>
      <c r="I974" s="754">
        <v>7.5499999999999998E-2</v>
      </c>
      <c r="J974" s="754">
        <v>7.5499999999999998E-2</v>
      </c>
      <c r="K974" s="754">
        <v>7.5499999999999998E-2</v>
      </c>
      <c r="L974" s="752">
        <v>6</v>
      </c>
    </row>
    <row r="975" spans="1:12" s="969" customFormat="1">
      <c r="A975" s="750">
        <v>45533</v>
      </c>
      <c r="B975" s="751" t="s">
        <v>4128</v>
      </c>
      <c r="C975" s="752">
        <v>252</v>
      </c>
      <c r="D975" s="750">
        <v>45785</v>
      </c>
      <c r="E975" s="753">
        <v>5</v>
      </c>
      <c r="F975" s="753">
        <v>7.1</v>
      </c>
      <c r="G975" s="753">
        <v>5</v>
      </c>
      <c r="H975" s="753">
        <v>0</v>
      </c>
      <c r="I975" s="754">
        <v>8.2000000000000003E-2</v>
      </c>
      <c r="J975" s="754">
        <v>8.4900000000000003E-2</v>
      </c>
      <c r="K975" s="754">
        <v>8.4400000000000003E-2</v>
      </c>
      <c r="L975" s="752">
        <v>5</v>
      </c>
    </row>
    <row r="976" spans="1:12" s="969" customFormat="1">
      <c r="A976" s="750">
        <v>45546</v>
      </c>
      <c r="B976" s="751" t="s">
        <v>4135</v>
      </c>
      <c r="C976" s="752">
        <v>28</v>
      </c>
      <c r="D976" s="750">
        <v>45574</v>
      </c>
      <c r="E976" s="753">
        <v>10</v>
      </c>
      <c r="F976" s="753">
        <v>20.5</v>
      </c>
      <c r="G976" s="753">
        <v>10</v>
      </c>
      <c r="H976" s="753">
        <v>0</v>
      </c>
      <c r="I976" s="754">
        <v>6.5000000000000002E-2</v>
      </c>
      <c r="J976" s="754">
        <v>7.85E-2</v>
      </c>
      <c r="K976" s="754">
        <v>7.4200000000000002E-2</v>
      </c>
      <c r="L976" s="752">
        <v>5</v>
      </c>
    </row>
    <row r="977" spans="1:12" s="969" customFormat="1">
      <c r="A977" s="750">
        <v>45546</v>
      </c>
      <c r="B977" s="751" t="s">
        <v>4136</v>
      </c>
      <c r="C977" s="752">
        <v>168</v>
      </c>
      <c r="D977" s="750">
        <v>45714</v>
      </c>
      <c r="E977" s="753">
        <v>2.5</v>
      </c>
      <c r="F977" s="753">
        <v>10</v>
      </c>
      <c r="G977" s="753">
        <v>2.5</v>
      </c>
      <c r="H977" s="753">
        <v>0</v>
      </c>
      <c r="I977" s="754">
        <v>7.9500000000000001E-2</v>
      </c>
      <c r="J977" s="754">
        <v>7.9500000000000001E-2</v>
      </c>
      <c r="K977" s="754">
        <v>7.9500000000000001E-2</v>
      </c>
      <c r="L977" s="752">
        <v>6</v>
      </c>
    </row>
    <row r="978" spans="1:12" s="969" customFormat="1">
      <c r="A978" s="750">
        <v>45547</v>
      </c>
      <c r="B978" s="751" t="s">
        <v>4137</v>
      </c>
      <c r="C978" s="752">
        <v>252</v>
      </c>
      <c r="D978" s="750">
        <v>45799</v>
      </c>
      <c r="E978" s="753">
        <v>2.5</v>
      </c>
      <c r="F978" s="753">
        <v>6.8</v>
      </c>
      <c r="G978" s="753">
        <v>2.5</v>
      </c>
      <c r="H978" s="753">
        <v>0</v>
      </c>
      <c r="I978" s="754">
        <v>8.14E-2</v>
      </c>
      <c r="J978" s="754">
        <v>8.14E-2</v>
      </c>
      <c r="K978" s="754">
        <v>8.14E-2</v>
      </c>
      <c r="L978" s="752">
        <v>5</v>
      </c>
    </row>
    <row r="979" spans="1:12" s="969" customFormat="1">
      <c r="A979" s="750">
        <v>45553</v>
      </c>
      <c r="B979" s="751" t="s">
        <v>4138</v>
      </c>
      <c r="C979" s="752">
        <v>28</v>
      </c>
      <c r="D979" s="750">
        <v>45581</v>
      </c>
      <c r="E979" s="753">
        <v>2.5</v>
      </c>
      <c r="F979" s="753">
        <v>11.5</v>
      </c>
      <c r="G979" s="753">
        <v>2.5</v>
      </c>
      <c r="H979" s="753">
        <v>0</v>
      </c>
      <c r="I979" s="754">
        <v>6.3E-2</v>
      </c>
      <c r="J979" s="754">
        <v>6.6000000000000003E-2</v>
      </c>
      <c r="K979" s="754">
        <v>6.4699999999999994E-2</v>
      </c>
      <c r="L979" s="752">
        <v>7</v>
      </c>
    </row>
    <row r="980" spans="1:12" s="969" customFormat="1">
      <c r="A980" s="750">
        <v>45553</v>
      </c>
      <c r="B980" s="751" t="s">
        <v>4139</v>
      </c>
      <c r="C980" s="752">
        <v>168</v>
      </c>
      <c r="D980" s="750">
        <v>45721</v>
      </c>
      <c r="E980" s="753">
        <v>2.5</v>
      </c>
      <c r="F980" s="753">
        <v>11.7</v>
      </c>
      <c r="G980" s="753">
        <v>2.5</v>
      </c>
      <c r="H980" s="753">
        <v>0</v>
      </c>
      <c r="I980" s="754">
        <v>7.7899999999999997E-2</v>
      </c>
      <c r="J980" s="754">
        <v>7.7899999999999997E-2</v>
      </c>
      <c r="K980" s="754">
        <v>7.7899999999999997E-2</v>
      </c>
      <c r="L980" s="752">
        <v>7</v>
      </c>
    </row>
    <row r="981" spans="1:12" s="969" customFormat="1">
      <c r="A981" s="750">
        <v>45554</v>
      </c>
      <c r="B981" s="751" t="s">
        <v>4140</v>
      </c>
      <c r="C981" s="752">
        <v>84</v>
      </c>
      <c r="D981" s="750">
        <v>45638</v>
      </c>
      <c r="E981" s="753">
        <v>2.5</v>
      </c>
      <c r="F981" s="753">
        <v>10.1</v>
      </c>
      <c r="G981" s="753">
        <v>2.5</v>
      </c>
      <c r="H981" s="753">
        <v>0</v>
      </c>
      <c r="I981" s="754">
        <v>7.0000000000000007E-2</v>
      </c>
      <c r="J981" s="754">
        <v>7.0000000000000007E-2</v>
      </c>
      <c r="K981" s="754">
        <v>7.0000000000000007E-2</v>
      </c>
      <c r="L981" s="752">
        <v>6</v>
      </c>
    </row>
    <row r="982" spans="1:12" s="969" customFormat="1">
      <c r="A982" s="750">
        <v>45554</v>
      </c>
      <c r="B982" s="751" t="s">
        <v>4141</v>
      </c>
      <c r="C982" s="752">
        <v>252</v>
      </c>
      <c r="D982" s="750">
        <v>45806</v>
      </c>
      <c r="E982" s="753">
        <v>2.5</v>
      </c>
      <c r="F982" s="753">
        <v>10</v>
      </c>
      <c r="G982" s="753">
        <v>2.5</v>
      </c>
      <c r="H982" s="753">
        <v>0</v>
      </c>
      <c r="I982" s="754">
        <v>7.4899999999999994E-2</v>
      </c>
      <c r="J982" s="754">
        <v>7.4899999999999994E-2</v>
      </c>
      <c r="K982" s="754">
        <v>7.4899999999999994E-2</v>
      </c>
      <c r="L982" s="752">
        <v>6</v>
      </c>
    </row>
    <row r="983" spans="1:12" s="969" customFormat="1">
      <c r="A983" s="750">
        <v>45560</v>
      </c>
      <c r="B983" s="751" t="s">
        <v>4142</v>
      </c>
      <c r="C983" s="752">
        <v>28</v>
      </c>
      <c r="D983" s="750">
        <v>45588</v>
      </c>
      <c r="E983" s="753">
        <v>2.5</v>
      </c>
      <c r="F983" s="753">
        <v>10</v>
      </c>
      <c r="G983" s="753">
        <v>2.5</v>
      </c>
      <c r="H983" s="753">
        <v>0</v>
      </c>
      <c r="I983" s="754">
        <v>6.0999999999999999E-2</v>
      </c>
      <c r="J983" s="754">
        <v>6.0999999999999999E-2</v>
      </c>
      <c r="K983" s="754">
        <v>6.0999999999999999E-2</v>
      </c>
      <c r="L983" s="752">
        <v>5</v>
      </c>
    </row>
    <row r="984" spans="1:12" s="969" customFormat="1">
      <c r="A984" s="750">
        <v>45560</v>
      </c>
      <c r="B984" s="751" t="s">
        <v>4143</v>
      </c>
      <c r="C984" s="752">
        <v>168</v>
      </c>
      <c r="D984" s="750">
        <v>45728</v>
      </c>
      <c r="E984" s="753">
        <v>2.5</v>
      </c>
      <c r="F984" s="753">
        <v>12</v>
      </c>
      <c r="G984" s="753">
        <v>2.5</v>
      </c>
      <c r="H984" s="753">
        <v>0</v>
      </c>
      <c r="I984" s="754">
        <v>7.4899999999999994E-2</v>
      </c>
      <c r="J984" s="754">
        <v>7.4899999999999994E-2</v>
      </c>
      <c r="K984" s="754">
        <v>7.4899999999999994E-2</v>
      </c>
      <c r="L984" s="752">
        <v>6</v>
      </c>
    </row>
    <row r="985" spans="1:12" s="969" customFormat="1">
      <c r="A985" s="750">
        <v>45561</v>
      </c>
      <c r="B985" s="751" t="s">
        <v>4144</v>
      </c>
      <c r="C985" s="752">
        <v>84</v>
      </c>
      <c r="D985" s="750">
        <v>45645</v>
      </c>
      <c r="E985" s="753">
        <v>2.5</v>
      </c>
      <c r="F985" s="753">
        <v>10.5</v>
      </c>
      <c r="G985" s="753">
        <v>2.5</v>
      </c>
      <c r="H985" s="753">
        <v>0</v>
      </c>
      <c r="I985" s="754">
        <v>7.0900000000000005E-2</v>
      </c>
      <c r="J985" s="754">
        <v>7.0900000000000005E-2</v>
      </c>
      <c r="K985" s="754">
        <v>7.0900000000000005E-2</v>
      </c>
      <c r="L985" s="752">
        <v>5</v>
      </c>
    </row>
    <row r="986" spans="1:12" s="969" customFormat="1">
      <c r="A986" s="750">
        <v>45561</v>
      </c>
      <c r="B986" s="751" t="s">
        <v>4145</v>
      </c>
      <c r="C986" s="752">
        <v>252</v>
      </c>
      <c r="D986" s="750">
        <v>45813</v>
      </c>
      <c r="E986" s="753">
        <v>2.5</v>
      </c>
      <c r="F986" s="753">
        <v>10.6</v>
      </c>
      <c r="G986" s="753">
        <v>2.5</v>
      </c>
      <c r="H986" s="753">
        <v>0</v>
      </c>
      <c r="I986" s="754">
        <v>7.4499999999999997E-2</v>
      </c>
      <c r="J986" s="754">
        <v>7.4499999999999997E-2</v>
      </c>
      <c r="K986" s="754">
        <v>7.4499999999999997E-2</v>
      </c>
      <c r="L986" s="752">
        <v>5</v>
      </c>
    </row>
    <row r="987" spans="1:12" s="969" customFormat="1">
      <c r="A987" s="750">
        <v>45561</v>
      </c>
      <c r="B987" s="751" t="s">
        <v>4145</v>
      </c>
      <c r="C987" s="752">
        <v>252</v>
      </c>
      <c r="D987" s="750">
        <v>45813</v>
      </c>
      <c r="E987" s="753">
        <v>2.5</v>
      </c>
      <c r="F987" s="753">
        <v>10.6</v>
      </c>
      <c r="G987" s="753">
        <v>2.5</v>
      </c>
      <c r="H987" s="753">
        <v>0</v>
      </c>
      <c r="I987" s="754">
        <v>7.4499999999999997E-2</v>
      </c>
      <c r="J987" s="754">
        <v>7.4499999999999997E-2</v>
      </c>
      <c r="K987" s="754">
        <v>7.4499999999999997E-2</v>
      </c>
      <c r="L987" s="752">
        <v>5</v>
      </c>
    </row>
    <row r="988" spans="1:12" s="969" customFormat="1">
      <c r="A988" s="750">
        <v>45588</v>
      </c>
      <c r="B988" s="751" t="s">
        <v>4148</v>
      </c>
      <c r="C988" s="752">
        <v>168</v>
      </c>
      <c r="D988" s="750">
        <v>45756</v>
      </c>
      <c r="E988" s="753">
        <v>2</v>
      </c>
      <c r="F988" s="753">
        <v>6.6</v>
      </c>
      <c r="G988" s="753">
        <v>2</v>
      </c>
      <c r="H988" s="753">
        <v>0</v>
      </c>
      <c r="I988" s="754">
        <v>7.2499999999999995E-2</v>
      </c>
      <c r="J988" s="754">
        <v>7.2499999999999995E-2</v>
      </c>
      <c r="K988" s="754">
        <v>7.2499999999999995E-2</v>
      </c>
      <c r="L988" s="752">
        <v>5</v>
      </c>
    </row>
    <row r="989" spans="1:12" s="969" customFormat="1">
      <c r="A989" s="963">
        <v>2025</v>
      </c>
      <c r="B989" s="751"/>
      <c r="C989" s="752"/>
      <c r="D989" s="750"/>
      <c r="E989" s="753"/>
      <c r="F989" s="753"/>
      <c r="G989" s="753"/>
      <c r="H989" s="753"/>
      <c r="I989" s="754"/>
      <c r="J989" s="754"/>
      <c r="K989" s="754"/>
      <c r="L989" s="752"/>
    </row>
    <row r="990" spans="1:12" s="969" customFormat="1">
      <c r="A990" s="750">
        <v>45707</v>
      </c>
      <c r="B990" s="751" t="s">
        <v>4225</v>
      </c>
      <c r="C990" s="752">
        <v>28</v>
      </c>
      <c r="D990" s="750">
        <v>45735</v>
      </c>
      <c r="E990" s="753">
        <v>2</v>
      </c>
      <c r="F990" s="753">
        <v>3</v>
      </c>
      <c r="G990" s="753">
        <v>2</v>
      </c>
      <c r="H990" s="753">
        <v>0</v>
      </c>
      <c r="I990" s="754">
        <v>6.7500000000000004E-2</v>
      </c>
      <c r="J990" s="754">
        <v>7.9799999999999996E-2</v>
      </c>
      <c r="K990" s="754">
        <v>7.6100000000000001E-2</v>
      </c>
      <c r="L990" s="752">
        <v>3</v>
      </c>
    </row>
    <row r="991" spans="1:12" s="969" customFormat="1">
      <c r="A991" s="750">
        <v>45707</v>
      </c>
      <c r="B991" s="751" t="s">
        <v>4226</v>
      </c>
      <c r="C991" s="752">
        <v>168</v>
      </c>
      <c r="D991" s="750">
        <v>45875</v>
      </c>
      <c r="E991" s="753">
        <v>2</v>
      </c>
      <c r="F991" s="753">
        <v>2.7</v>
      </c>
      <c r="G991" s="753">
        <v>2</v>
      </c>
      <c r="H991" s="753">
        <v>0</v>
      </c>
      <c r="I991" s="754">
        <v>7.0000000000000007E-2</v>
      </c>
      <c r="J991" s="754">
        <v>8.5000000000000006E-2</v>
      </c>
      <c r="K991" s="754">
        <v>7.8700000000000006E-2</v>
      </c>
      <c r="L991" s="752">
        <v>3</v>
      </c>
    </row>
    <row r="992" spans="1:12" s="969" customFormat="1">
      <c r="A992" s="750">
        <v>45708</v>
      </c>
      <c r="B992" s="751" t="s">
        <v>4227</v>
      </c>
      <c r="C992" s="752">
        <v>84</v>
      </c>
      <c r="D992" s="750">
        <v>45792</v>
      </c>
      <c r="E992" s="753">
        <v>2</v>
      </c>
      <c r="F992" s="753">
        <v>4.8</v>
      </c>
      <c r="G992" s="753">
        <v>2</v>
      </c>
      <c r="H992" s="753">
        <v>0</v>
      </c>
      <c r="I992" s="754">
        <v>6.9000000000000006E-2</v>
      </c>
      <c r="J992" s="754">
        <v>8.2400000000000001E-2</v>
      </c>
      <c r="K992" s="754">
        <v>7.8899999999999998E-2</v>
      </c>
      <c r="L992" s="752">
        <v>4</v>
      </c>
    </row>
    <row r="993" spans="1:12" s="969" customFormat="1">
      <c r="A993" s="750">
        <v>45708</v>
      </c>
      <c r="B993" s="751" t="s">
        <v>4228</v>
      </c>
      <c r="C993" s="752">
        <v>252</v>
      </c>
      <c r="D993" s="750">
        <v>45960</v>
      </c>
      <c r="E993" s="753">
        <v>2</v>
      </c>
      <c r="F993" s="753">
        <v>4.8</v>
      </c>
      <c r="G993" s="753">
        <v>2</v>
      </c>
      <c r="H993" s="753">
        <v>0</v>
      </c>
      <c r="I993" s="754">
        <v>7.2499999999999995E-2</v>
      </c>
      <c r="J993" s="754">
        <v>8.7499999999999994E-2</v>
      </c>
      <c r="K993" s="754">
        <v>8.14E-2</v>
      </c>
      <c r="L993" s="752">
        <v>4</v>
      </c>
    </row>
    <row r="994" spans="1:12" s="969" customFormat="1">
      <c r="A994" s="750">
        <v>45714</v>
      </c>
      <c r="B994" s="751" t="s">
        <v>4229</v>
      </c>
      <c r="C994" s="752">
        <v>28</v>
      </c>
      <c r="D994" s="750">
        <v>45742</v>
      </c>
      <c r="E994" s="753">
        <v>2</v>
      </c>
      <c r="F994" s="753">
        <v>1.5</v>
      </c>
      <c r="G994" s="753">
        <v>1.5</v>
      </c>
      <c r="H994" s="753">
        <v>0</v>
      </c>
      <c r="I994" s="754">
        <v>7.0000000000000007E-2</v>
      </c>
      <c r="J994" s="754">
        <v>7.3999999999999996E-2</v>
      </c>
      <c r="K994" s="754">
        <v>7.2700000000000001E-2</v>
      </c>
      <c r="L994" s="752">
        <v>2</v>
      </c>
    </row>
    <row r="995" spans="1:12" s="969" customFormat="1">
      <c r="A995" s="750">
        <v>45714</v>
      </c>
      <c r="B995" s="751" t="s">
        <v>4230</v>
      </c>
      <c r="C995" s="752">
        <v>168</v>
      </c>
      <c r="D995" s="750">
        <v>45882</v>
      </c>
      <c r="E995" s="753">
        <v>2</v>
      </c>
      <c r="F995" s="753">
        <v>5.5</v>
      </c>
      <c r="G995" s="753">
        <v>2</v>
      </c>
      <c r="H995" s="753">
        <v>0</v>
      </c>
      <c r="I995" s="754">
        <v>7.4999999999999997E-2</v>
      </c>
      <c r="J995" s="754">
        <v>8.4900000000000003E-2</v>
      </c>
      <c r="K995" s="754">
        <v>8.0399999999999999E-2</v>
      </c>
      <c r="L995" s="752">
        <v>5</v>
      </c>
    </row>
    <row r="996" spans="1:12" s="969" customFormat="1">
      <c r="A996" s="750">
        <v>45715</v>
      </c>
      <c r="B996" s="751" t="s">
        <v>4231</v>
      </c>
      <c r="C996" s="752">
        <v>84</v>
      </c>
      <c r="D996" s="750">
        <v>45799</v>
      </c>
      <c r="E996" s="753">
        <v>2</v>
      </c>
      <c r="F996" s="753">
        <v>5.8</v>
      </c>
      <c r="G996" s="753">
        <v>2</v>
      </c>
      <c r="H996" s="753">
        <v>0</v>
      </c>
      <c r="I996" s="754">
        <v>7.2499999999999995E-2</v>
      </c>
      <c r="J996" s="754">
        <v>7.9799999999999996E-2</v>
      </c>
      <c r="K996" s="754">
        <v>7.8E-2</v>
      </c>
      <c r="L996" s="752">
        <v>5</v>
      </c>
    </row>
    <row r="997" spans="1:12" s="969" customFormat="1">
      <c r="A997" s="750">
        <v>45715</v>
      </c>
      <c r="B997" s="751" t="s">
        <v>4232</v>
      </c>
      <c r="C997" s="752">
        <v>252</v>
      </c>
      <c r="D997" s="750">
        <v>45967</v>
      </c>
      <c r="E997" s="753">
        <v>2</v>
      </c>
      <c r="F997" s="753">
        <v>5.2</v>
      </c>
      <c r="G997" s="753">
        <v>2</v>
      </c>
      <c r="H997" s="753">
        <v>0</v>
      </c>
      <c r="I997" s="754">
        <v>7.7499999999999999E-2</v>
      </c>
      <c r="J997" s="754">
        <v>8.4900000000000003E-2</v>
      </c>
      <c r="K997" s="754">
        <v>8.2299999999999998E-2</v>
      </c>
      <c r="L997" s="752">
        <v>5</v>
      </c>
    </row>
    <row r="998" spans="1:12" s="969" customFormat="1">
      <c r="A998" s="750">
        <v>45721</v>
      </c>
      <c r="B998" s="751" t="s">
        <v>4239</v>
      </c>
      <c r="C998" s="752">
        <v>28</v>
      </c>
      <c r="D998" s="750">
        <v>45749</v>
      </c>
      <c r="E998" s="753">
        <v>2</v>
      </c>
      <c r="F998" s="753">
        <v>7</v>
      </c>
      <c r="G998" s="753">
        <v>2</v>
      </c>
      <c r="H998" s="753">
        <v>0</v>
      </c>
      <c r="I998" s="754">
        <v>7.0000000000000007E-2</v>
      </c>
      <c r="J998" s="754">
        <v>7.1999999999999995E-2</v>
      </c>
      <c r="K998" s="754">
        <v>7.1199999999999999E-2</v>
      </c>
      <c r="L998" s="752">
        <v>6</v>
      </c>
    </row>
    <row r="999" spans="1:12" s="969" customFormat="1">
      <c r="A999" s="750">
        <v>45721</v>
      </c>
      <c r="B999" s="751" t="s">
        <v>4240</v>
      </c>
      <c r="C999" s="752">
        <v>168</v>
      </c>
      <c r="D999" s="750">
        <v>45889</v>
      </c>
      <c r="E999" s="753">
        <v>2</v>
      </c>
      <c r="F999" s="753">
        <v>6.2</v>
      </c>
      <c r="G999" s="753">
        <v>2</v>
      </c>
      <c r="H999" s="753">
        <v>0</v>
      </c>
      <c r="I999" s="754">
        <v>7.4999999999999997E-2</v>
      </c>
      <c r="J999" s="754">
        <v>0.08</v>
      </c>
      <c r="K999" s="754">
        <v>7.8100000000000003E-2</v>
      </c>
      <c r="L999" s="752">
        <v>6</v>
      </c>
    </row>
    <row r="1000" spans="1:12" s="969" customFormat="1">
      <c r="A1000" s="750">
        <v>45722</v>
      </c>
      <c r="B1000" s="751" t="s">
        <v>4241</v>
      </c>
      <c r="C1000" s="752">
        <v>84</v>
      </c>
      <c r="D1000" s="750">
        <v>45806</v>
      </c>
      <c r="E1000" s="753">
        <v>2</v>
      </c>
      <c r="F1000" s="753">
        <v>5.8</v>
      </c>
      <c r="G1000" s="753">
        <v>2</v>
      </c>
      <c r="H1000" s="753">
        <v>0</v>
      </c>
      <c r="I1000" s="754">
        <v>7.2499999999999995E-2</v>
      </c>
      <c r="J1000" s="754">
        <v>7.2499999999999995E-2</v>
      </c>
      <c r="K1000" s="754">
        <v>7.2499999999999995E-2</v>
      </c>
      <c r="L1000" s="752">
        <v>5</v>
      </c>
    </row>
    <row r="1001" spans="1:12" s="969" customFormat="1">
      <c r="A1001" s="750">
        <v>45722</v>
      </c>
      <c r="B1001" s="751" t="s">
        <v>4242</v>
      </c>
      <c r="C1001" s="752">
        <v>252</v>
      </c>
      <c r="D1001" s="750">
        <v>45974</v>
      </c>
      <c r="E1001" s="753">
        <v>2</v>
      </c>
      <c r="F1001" s="753">
        <v>7.2</v>
      </c>
      <c r="G1001" s="753">
        <v>2</v>
      </c>
      <c r="H1001" s="753">
        <v>0</v>
      </c>
      <c r="I1001" s="754">
        <v>7.7499999999999999E-2</v>
      </c>
      <c r="J1001" s="754">
        <v>7.7499999999999999E-2</v>
      </c>
      <c r="K1001" s="754">
        <v>7.7499999999999999E-2</v>
      </c>
      <c r="L1001" s="752">
        <v>6</v>
      </c>
    </row>
    <row r="1002" spans="1:12" s="969" customFormat="1">
      <c r="A1002" s="750">
        <v>45728</v>
      </c>
      <c r="B1002" s="751" t="s">
        <v>4243</v>
      </c>
      <c r="C1002" s="752">
        <v>28</v>
      </c>
      <c r="D1002" s="750">
        <v>45756</v>
      </c>
      <c r="E1002" s="753">
        <v>2</v>
      </c>
      <c r="F1002" s="753">
        <v>7.5</v>
      </c>
      <c r="G1002" s="753">
        <v>2</v>
      </c>
      <c r="H1002" s="753">
        <v>0</v>
      </c>
      <c r="I1002" s="754">
        <v>7.0000000000000007E-2</v>
      </c>
      <c r="J1002" s="754">
        <v>7.0000000000000007E-2</v>
      </c>
      <c r="K1002" s="754">
        <v>7.0000000000000007E-2</v>
      </c>
      <c r="L1002" s="752">
        <v>5</v>
      </c>
    </row>
    <row r="1003" spans="1:12" s="969" customFormat="1">
      <c r="A1003" s="750">
        <v>45728</v>
      </c>
      <c r="B1003" s="751" t="s">
        <v>4244</v>
      </c>
      <c r="C1003" s="752">
        <v>168</v>
      </c>
      <c r="D1003" s="750">
        <v>45896</v>
      </c>
      <c r="E1003" s="753">
        <v>2</v>
      </c>
      <c r="F1003" s="753">
        <v>6.8</v>
      </c>
      <c r="G1003" s="753">
        <v>2</v>
      </c>
      <c r="H1003" s="753">
        <v>0</v>
      </c>
      <c r="I1003" s="754">
        <v>7.6999999999999999E-2</v>
      </c>
      <c r="J1003" s="754">
        <v>7.6999999999999999E-2</v>
      </c>
      <c r="K1003" s="754">
        <v>7.6999999999999999E-2</v>
      </c>
      <c r="L1003" s="752">
        <v>5</v>
      </c>
    </row>
    <row r="1004" spans="1:12" s="969" customFormat="1">
      <c r="A1004" s="750">
        <v>45729</v>
      </c>
      <c r="B1004" s="751" t="s">
        <v>4245</v>
      </c>
      <c r="C1004" s="752">
        <v>84</v>
      </c>
      <c r="D1004" s="750">
        <v>45813</v>
      </c>
      <c r="E1004" s="753">
        <v>2</v>
      </c>
      <c r="F1004" s="753">
        <v>7</v>
      </c>
      <c r="G1004" s="753">
        <v>2</v>
      </c>
      <c r="H1004" s="753">
        <v>0</v>
      </c>
      <c r="I1004" s="754">
        <v>7.1499999999999994E-2</v>
      </c>
      <c r="J1004" s="754">
        <v>7.2400000000000006E-2</v>
      </c>
      <c r="K1004" s="754">
        <v>7.1599999999999997E-2</v>
      </c>
      <c r="L1004" s="752">
        <v>6</v>
      </c>
    </row>
    <row r="1005" spans="1:12" s="969" customFormat="1">
      <c r="A1005" s="750">
        <v>45729</v>
      </c>
      <c r="B1005" s="751" t="s">
        <v>4246</v>
      </c>
      <c r="C1005" s="752">
        <v>252</v>
      </c>
      <c r="D1005" s="750">
        <v>45981</v>
      </c>
      <c r="E1005" s="753">
        <v>2</v>
      </c>
      <c r="F1005" s="753">
        <v>5.2</v>
      </c>
      <c r="G1005" s="753">
        <v>2</v>
      </c>
      <c r="H1005" s="753">
        <v>0</v>
      </c>
      <c r="I1005" s="754">
        <v>7.6999999999999999E-2</v>
      </c>
      <c r="J1005" s="754">
        <v>7.8E-2</v>
      </c>
      <c r="K1005" s="754">
        <v>7.7100000000000002E-2</v>
      </c>
      <c r="L1005" s="752">
        <v>5</v>
      </c>
    </row>
    <row r="1006" spans="1:12" s="969" customFormat="1">
      <c r="A1006" s="750">
        <v>45735</v>
      </c>
      <c r="B1006" s="751" t="s">
        <v>4247</v>
      </c>
      <c r="C1006" s="752">
        <v>28</v>
      </c>
      <c r="D1006" s="750">
        <v>45763</v>
      </c>
      <c r="E1006" s="753">
        <v>2</v>
      </c>
      <c r="F1006" s="753">
        <v>0.5</v>
      </c>
      <c r="G1006" s="753">
        <v>0.5</v>
      </c>
      <c r="H1006" s="753">
        <v>0</v>
      </c>
      <c r="I1006" s="754">
        <v>7.0000000000000007E-2</v>
      </c>
      <c r="J1006" s="754">
        <v>7.0000000000000007E-2</v>
      </c>
      <c r="K1006" s="754">
        <v>7.0000000000000007E-2</v>
      </c>
      <c r="L1006" s="752">
        <v>1</v>
      </c>
    </row>
    <row r="1007" spans="1:12" s="969" customFormat="1">
      <c r="A1007" s="750">
        <v>45735</v>
      </c>
      <c r="B1007" s="751" t="s">
        <v>4248</v>
      </c>
      <c r="C1007" s="752">
        <v>168</v>
      </c>
      <c r="D1007" s="750">
        <v>45903</v>
      </c>
      <c r="E1007" s="753">
        <v>2</v>
      </c>
      <c r="F1007" s="753">
        <v>0.2</v>
      </c>
      <c r="G1007" s="753">
        <v>0.2</v>
      </c>
      <c r="H1007" s="753">
        <v>0</v>
      </c>
      <c r="I1007" s="754">
        <v>7.4999999999999997E-2</v>
      </c>
      <c r="J1007" s="754">
        <v>7.4999999999999997E-2</v>
      </c>
      <c r="K1007" s="754">
        <v>7.4999999999999997E-2</v>
      </c>
      <c r="L1007" s="752">
        <v>1</v>
      </c>
    </row>
    <row r="1008" spans="1:12" s="969" customFormat="1">
      <c r="A1008" s="750">
        <v>45749</v>
      </c>
      <c r="B1008" s="751" t="s">
        <v>4249</v>
      </c>
      <c r="C1008" s="752">
        <v>28</v>
      </c>
      <c r="D1008" s="750">
        <v>45777</v>
      </c>
      <c r="E1008" s="753">
        <v>2</v>
      </c>
      <c r="F1008" s="753">
        <v>1</v>
      </c>
      <c r="G1008" s="753">
        <v>1</v>
      </c>
      <c r="H1008" s="753">
        <v>0</v>
      </c>
      <c r="I1008" s="754">
        <v>6.9000000000000006E-2</v>
      </c>
      <c r="J1008" s="754">
        <v>6.9000000000000006E-2</v>
      </c>
      <c r="K1008" s="754">
        <v>6.9000000000000006E-2</v>
      </c>
      <c r="L1008" s="752">
        <v>1</v>
      </c>
    </row>
    <row r="1009" spans="1:12" s="969" customFormat="1">
      <c r="A1009" s="750">
        <v>45749</v>
      </c>
      <c r="B1009" s="751" t="s">
        <v>4250</v>
      </c>
      <c r="C1009" s="752">
        <v>168</v>
      </c>
      <c r="D1009" s="750">
        <v>45917</v>
      </c>
      <c r="E1009" s="753">
        <v>2</v>
      </c>
      <c r="F1009" s="753">
        <v>2</v>
      </c>
      <c r="G1009" s="753">
        <v>2</v>
      </c>
      <c r="H1009" s="753">
        <v>0</v>
      </c>
      <c r="I1009" s="754">
        <v>7.3999999999999996E-2</v>
      </c>
      <c r="J1009" s="754">
        <v>7.3999999999999996E-2</v>
      </c>
      <c r="K1009" s="754">
        <v>7.3999999999999996E-2</v>
      </c>
      <c r="L1009" s="752">
        <v>1</v>
      </c>
    </row>
    <row r="1010" spans="1:12" s="969" customFormat="1">
      <c r="A1010" s="750">
        <v>45750</v>
      </c>
      <c r="B1010" s="751" t="s">
        <v>4251</v>
      </c>
      <c r="C1010" s="752">
        <v>84</v>
      </c>
      <c r="D1010" s="750">
        <v>45834</v>
      </c>
      <c r="E1010" s="753">
        <v>2</v>
      </c>
      <c r="F1010" s="753">
        <v>4.3</v>
      </c>
      <c r="G1010" s="753">
        <v>2</v>
      </c>
      <c r="H1010" s="753">
        <v>0</v>
      </c>
      <c r="I1010" s="754">
        <v>7.0999999999999994E-2</v>
      </c>
      <c r="J1010" s="754">
        <v>7.0999999999999994E-2</v>
      </c>
      <c r="K1010" s="754">
        <v>7.0999999999999994E-2</v>
      </c>
      <c r="L1010" s="752">
        <v>3</v>
      </c>
    </row>
    <row r="1011" spans="1:12" s="969" customFormat="1">
      <c r="A1011" s="750">
        <v>45750</v>
      </c>
      <c r="B1011" s="751" t="s">
        <v>4252</v>
      </c>
      <c r="C1011" s="752">
        <v>252</v>
      </c>
      <c r="D1011" s="750">
        <v>46002</v>
      </c>
      <c r="E1011" s="753">
        <v>2</v>
      </c>
      <c r="F1011" s="753">
        <v>4.2</v>
      </c>
      <c r="G1011" s="753">
        <v>2</v>
      </c>
      <c r="H1011" s="753">
        <v>0</v>
      </c>
      <c r="I1011" s="754">
        <v>7.6999999999999999E-2</v>
      </c>
      <c r="J1011" s="754">
        <v>7.6999999999999999E-2</v>
      </c>
      <c r="K1011" s="754">
        <v>7.6999999999999999E-2</v>
      </c>
      <c r="L1011" s="752">
        <v>3</v>
      </c>
    </row>
    <row r="1012" spans="1:12" s="969" customFormat="1">
      <c r="A1012" s="750">
        <v>45756</v>
      </c>
      <c r="B1012" s="751" t="s">
        <v>4253</v>
      </c>
      <c r="C1012" s="752">
        <v>28</v>
      </c>
      <c r="D1012" s="750">
        <v>45784</v>
      </c>
      <c r="E1012" s="753">
        <v>2</v>
      </c>
      <c r="F1012" s="753">
        <v>4.5</v>
      </c>
      <c r="G1012" s="753">
        <v>2</v>
      </c>
      <c r="H1012" s="753">
        <v>0</v>
      </c>
      <c r="I1012" s="754">
        <v>6.9000000000000006E-2</v>
      </c>
      <c r="J1012" s="754">
        <v>6.9800000000000001E-2</v>
      </c>
      <c r="K1012" s="754">
        <v>6.9400000000000003E-2</v>
      </c>
      <c r="L1012" s="752">
        <v>4</v>
      </c>
    </row>
    <row r="1013" spans="1:12" s="969" customFormat="1">
      <c r="A1013" s="750">
        <v>45756</v>
      </c>
      <c r="B1013" s="751" t="s">
        <v>4254</v>
      </c>
      <c r="C1013" s="752">
        <v>168</v>
      </c>
      <c r="D1013" s="750">
        <v>45924</v>
      </c>
      <c r="E1013" s="753">
        <v>2</v>
      </c>
      <c r="F1013" s="753">
        <v>3.2</v>
      </c>
      <c r="G1013" s="753">
        <v>2</v>
      </c>
      <c r="H1013" s="753">
        <v>0</v>
      </c>
      <c r="I1013" s="754">
        <v>7.3999999999999996E-2</v>
      </c>
      <c r="J1013" s="754">
        <v>7.3999999999999996E-2</v>
      </c>
      <c r="K1013" s="754">
        <v>7.3999999999999996E-2</v>
      </c>
      <c r="L1013" s="752">
        <v>3</v>
      </c>
    </row>
    <row r="1014" spans="1:12" s="969" customFormat="1">
      <c r="A1014" s="750">
        <v>45757</v>
      </c>
      <c r="B1014" s="751" t="s">
        <v>4255</v>
      </c>
      <c r="C1014" s="752">
        <v>84</v>
      </c>
      <c r="D1014" s="750">
        <v>45841</v>
      </c>
      <c r="E1014" s="753">
        <v>2</v>
      </c>
      <c r="F1014" s="753">
        <v>2.2999999999999998</v>
      </c>
      <c r="G1014" s="753">
        <v>2</v>
      </c>
      <c r="H1014" s="753">
        <v>0</v>
      </c>
      <c r="I1014" s="754">
        <v>7.0999999999999994E-2</v>
      </c>
      <c r="J1014" s="754">
        <v>7.0999999999999994E-2</v>
      </c>
      <c r="K1014" s="754">
        <v>7.0999999999999994E-2</v>
      </c>
      <c r="L1014" s="752">
        <v>2</v>
      </c>
    </row>
    <row r="1015" spans="1:12" s="969" customFormat="1">
      <c r="A1015" s="750">
        <v>45757</v>
      </c>
      <c r="B1015" s="751" t="s">
        <v>4256</v>
      </c>
      <c r="C1015" s="752">
        <v>252</v>
      </c>
      <c r="D1015" s="750">
        <v>46009</v>
      </c>
      <c r="E1015" s="753">
        <v>2</v>
      </c>
      <c r="F1015" s="753">
        <v>2.2000000000000002</v>
      </c>
      <c r="G1015" s="753">
        <v>2</v>
      </c>
      <c r="H1015" s="753">
        <v>0</v>
      </c>
      <c r="I1015" s="754">
        <v>7.6999999999999999E-2</v>
      </c>
      <c r="J1015" s="754">
        <v>7.6999999999999999E-2</v>
      </c>
      <c r="K1015" s="754">
        <v>7.6999999999999999E-2</v>
      </c>
      <c r="L1015" s="752">
        <v>2</v>
      </c>
    </row>
    <row r="1016" spans="1:12" s="969" customFormat="1">
      <c r="A1016" s="750">
        <v>45763</v>
      </c>
      <c r="B1016" s="751" t="s">
        <v>4257</v>
      </c>
      <c r="C1016" s="752">
        <v>28</v>
      </c>
      <c r="D1016" s="750">
        <v>45791</v>
      </c>
      <c r="E1016" s="753">
        <v>2</v>
      </c>
      <c r="F1016" s="753">
        <v>3.5</v>
      </c>
      <c r="G1016" s="753">
        <v>2</v>
      </c>
      <c r="H1016" s="753">
        <v>0</v>
      </c>
      <c r="I1016" s="754">
        <v>6.9000000000000006E-2</v>
      </c>
      <c r="J1016" s="754">
        <v>6.9699999999999998E-2</v>
      </c>
      <c r="K1016" s="754">
        <v>6.93E-2</v>
      </c>
      <c r="L1016" s="752">
        <v>3</v>
      </c>
    </row>
    <row r="1017" spans="1:12" s="969" customFormat="1">
      <c r="A1017" s="750">
        <v>45763</v>
      </c>
      <c r="B1017" s="751" t="s">
        <v>4258</v>
      </c>
      <c r="C1017" s="752">
        <v>168</v>
      </c>
      <c r="D1017" s="750">
        <v>45931</v>
      </c>
      <c r="E1017" s="753">
        <v>2</v>
      </c>
      <c r="F1017" s="753">
        <v>2.2000000000000002</v>
      </c>
      <c r="G1017" s="753">
        <v>2</v>
      </c>
      <c r="H1017" s="753">
        <v>0</v>
      </c>
      <c r="I1017" s="754">
        <v>7.3999999999999996E-2</v>
      </c>
      <c r="J1017" s="754">
        <v>7.3999999999999996E-2</v>
      </c>
      <c r="K1017" s="754">
        <v>7.3999999999999996E-2</v>
      </c>
      <c r="L1017" s="752">
        <v>2</v>
      </c>
    </row>
    <row r="1018" spans="1:12" s="969" customFormat="1">
      <c r="A1018" s="750">
        <v>45764</v>
      </c>
      <c r="B1018" s="751" t="s">
        <v>4259</v>
      </c>
      <c r="C1018" s="752">
        <v>84</v>
      </c>
      <c r="D1018" s="750">
        <v>45848</v>
      </c>
      <c r="E1018" s="753">
        <v>2</v>
      </c>
      <c r="F1018" s="753">
        <v>4.3</v>
      </c>
      <c r="G1018" s="753">
        <v>2</v>
      </c>
      <c r="H1018" s="753">
        <v>0</v>
      </c>
      <c r="I1018" s="754">
        <v>7.0800000000000002E-2</v>
      </c>
      <c r="J1018" s="754">
        <v>7.0800000000000002E-2</v>
      </c>
      <c r="K1018" s="754">
        <v>7.0800000000000002E-2</v>
      </c>
      <c r="L1018" s="752">
        <v>3</v>
      </c>
    </row>
    <row r="1019" spans="1:12" s="969" customFormat="1">
      <c r="A1019" s="750">
        <v>45764</v>
      </c>
      <c r="B1019" s="751" t="s">
        <v>4260</v>
      </c>
      <c r="C1019" s="752">
        <v>252</v>
      </c>
      <c r="D1019" s="750">
        <v>46016</v>
      </c>
      <c r="E1019" s="753">
        <v>2</v>
      </c>
      <c r="F1019" s="753">
        <v>2.2000000000000002</v>
      </c>
      <c r="G1019" s="753">
        <v>2</v>
      </c>
      <c r="H1019" s="753">
        <v>0</v>
      </c>
      <c r="I1019" s="754">
        <v>7.6999999999999999E-2</v>
      </c>
      <c r="J1019" s="754">
        <v>7.6999999999999999E-2</v>
      </c>
      <c r="K1019" s="754">
        <v>7.6999999999999999E-2</v>
      </c>
      <c r="L1019" s="752">
        <v>2</v>
      </c>
    </row>
    <row r="1020" spans="1:12" s="969" customFormat="1">
      <c r="A1020" s="750">
        <v>45770</v>
      </c>
      <c r="B1020" s="751" t="s">
        <v>4261</v>
      </c>
      <c r="C1020" s="752">
        <v>28</v>
      </c>
      <c r="D1020" s="750">
        <v>45798</v>
      </c>
      <c r="E1020" s="753">
        <v>2</v>
      </c>
      <c r="F1020" s="753">
        <v>3.5</v>
      </c>
      <c r="G1020" s="753">
        <v>2</v>
      </c>
      <c r="H1020" s="753">
        <v>0</v>
      </c>
      <c r="I1020" s="754">
        <v>6.9000000000000006E-2</v>
      </c>
      <c r="J1020" s="754">
        <v>6.9599999999999995E-2</v>
      </c>
      <c r="K1020" s="754">
        <v>6.93E-2</v>
      </c>
      <c r="L1020" s="752">
        <v>3</v>
      </c>
    </row>
    <row r="1021" spans="1:12" s="969" customFormat="1">
      <c r="A1021" s="750">
        <v>45770</v>
      </c>
      <c r="B1021" s="751" t="s">
        <v>4262</v>
      </c>
      <c r="C1021" s="752">
        <v>168</v>
      </c>
      <c r="D1021" s="750">
        <v>45938</v>
      </c>
      <c r="E1021" s="753">
        <v>2</v>
      </c>
      <c r="F1021" s="753">
        <v>2.2000000000000002</v>
      </c>
      <c r="G1021" s="753">
        <v>2</v>
      </c>
      <c r="H1021" s="753">
        <v>0</v>
      </c>
      <c r="I1021" s="754">
        <v>7.3999999999999996E-2</v>
      </c>
      <c r="J1021" s="754">
        <v>7.3999999999999996E-2</v>
      </c>
      <c r="K1021" s="754">
        <v>7.3999999999999996E-2</v>
      </c>
      <c r="L1021" s="752">
        <v>2</v>
      </c>
    </row>
    <row r="1022" spans="1:12" s="969" customFormat="1">
      <c r="A1022" s="750">
        <v>45771</v>
      </c>
      <c r="B1022" s="751" t="s">
        <v>4263</v>
      </c>
      <c r="C1022" s="752">
        <v>84</v>
      </c>
      <c r="D1022" s="750">
        <v>45855</v>
      </c>
      <c r="E1022" s="753">
        <v>2</v>
      </c>
      <c r="F1022" s="753">
        <v>2.2999999999999998</v>
      </c>
      <c r="G1022" s="753">
        <v>2</v>
      </c>
      <c r="H1022" s="753">
        <v>0</v>
      </c>
      <c r="I1022" s="754">
        <v>7.0999999999999994E-2</v>
      </c>
      <c r="J1022" s="754">
        <v>7.0999999999999994E-2</v>
      </c>
      <c r="K1022" s="754">
        <v>7.0999999999999994E-2</v>
      </c>
      <c r="L1022" s="752">
        <v>2</v>
      </c>
    </row>
    <row r="1023" spans="1:12" s="969" customFormat="1">
      <c r="A1023" s="750">
        <v>45771</v>
      </c>
      <c r="B1023" s="751" t="s">
        <v>4264</v>
      </c>
      <c r="C1023" s="752">
        <v>252</v>
      </c>
      <c r="D1023" s="750">
        <v>46023</v>
      </c>
      <c r="E1023" s="753">
        <v>2</v>
      </c>
      <c r="F1023" s="753">
        <v>2.2000000000000002</v>
      </c>
      <c r="G1023" s="753">
        <v>2</v>
      </c>
      <c r="H1023" s="753">
        <v>0</v>
      </c>
      <c r="I1023" s="754">
        <v>7.6999999999999999E-2</v>
      </c>
      <c r="J1023" s="754">
        <v>7.6999999999999999E-2</v>
      </c>
      <c r="K1023" s="754">
        <v>7.6999999999999999E-2</v>
      </c>
      <c r="L1023" s="752">
        <v>2</v>
      </c>
    </row>
    <row r="1024" spans="1:12" s="969" customFormat="1">
      <c r="A1024" s="750">
        <v>45777</v>
      </c>
      <c r="B1024" s="751" t="s">
        <v>4265</v>
      </c>
      <c r="C1024" s="752">
        <v>28</v>
      </c>
      <c r="D1024" s="750">
        <v>45805</v>
      </c>
      <c r="E1024" s="753">
        <v>2</v>
      </c>
      <c r="F1024" s="753">
        <v>2.5</v>
      </c>
      <c r="G1024" s="753">
        <v>2</v>
      </c>
      <c r="H1024" s="753">
        <v>0</v>
      </c>
      <c r="I1024" s="754">
        <v>6.9000000000000006E-2</v>
      </c>
      <c r="J1024" s="754">
        <v>7.17E-2</v>
      </c>
      <c r="K1024" s="754">
        <v>6.9900000000000004E-2</v>
      </c>
      <c r="L1024" s="752">
        <v>3</v>
      </c>
    </row>
    <row r="1025" spans="1:12" s="969" customFormat="1">
      <c r="A1025" s="750">
        <v>45777</v>
      </c>
      <c r="B1025" s="751" t="s">
        <v>4266</v>
      </c>
      <c r="C1025" s="752">
        <v>168</v>
      </c>
      <c r="D1025" s="750">
        <v>45945</v>
      </c>
      <c r="E1025" s="753">
        <v>2</v>
      </c>
      <c r="F1025" s="753">
        <v>4.2</v>
      </c>
      <c r="G1025" s="753">
        <v>2</v>
      </c>
      <c r="H1025" s="753">
        <v>0</v>
      </c>
      <c r="I1025" s="754">
        <v>7.3800000000000004E-2</v>
      </c>
      <c r="J1025" s="754">
        <v>7.3800000000000004E-2</v>
      </c>
      <c r="K1025" s="754">
        <v>7.3800000000000004E-2</v>
      </c>
      <c r="L1025" s="752">
        <v>3</v>
      </c>
    </row>
    <row r="1026" spans="1:12" s="969" customFormat="1">
      <c r="A1026" s="750">
        <v>45778</v>
      </c>
      <c r="B1026" s="751" t="s">
        <v>4286</v>
      </c>
      <c r="C1026" s="752">
        <v>84</v>
      </c>
      <c r="D1026" s="750">
        <v>45862</v>
      </c>
      <c r="E1026" s="753">
        <v>2</v>
      </c>
      <c r="F1026" s="753">
        <v>3.3</v>
      </c>
      <c r="G1026" s="753">
        <v>2</v>
      </c>
      <c r="H1026" s="753">
        <v>0</v>
      </c>
      <c r="I1026" s="754">
        <v>7.0699999999999999E-2</v>
      </c>
      <c r="J1026" s="754">
        <v>7.0699999999999999E-2</v>
      </c>
      <c r="K1026" s="754">
        <v>7.0699999999999999E-2</v>
      </c>
      <c r="L1026" s="752">
        <v>3</v>
      </c>
    </row>
    <row r="1027" spans="1:12" s="969" customFormat="1">
      <c r="A1027" s="750">
        <v>45778</v>
      </c>
      <c r="B1027" s="751" t="s">
        <v>4287</v>
      </c>
      <c r="C1027" s="752">
        <v>252</v>
      </c>
      <c r="D1027" s="750">
        <v>46030</v>
      </c>
      <c r="E1027" s="753">
        <v>2</v>
      </c>
      <c r="F1027" s="753">
        <v>4.2</v>
      </c>
      <c r="G1027" s="753">
        <v>2</v>
      </c>
      <c r="H1027" s="753">
        <v>0</v>
      </c>
      <c r="I1027" s="754">
        <v>7.6499999999999999E-2</v>
      </c>
      <c r="J1027" s="754">
        <v>7.6499999999999999E-2</v>
      </c>
      <c r="K1027" s="754">
        <v>7.6499999999999999E-2</v>
      </c>
      <c r="L1027" s="752">
        <v>3</v>
      </c>
    </row>
    <row r="1028" spans="1:12" s="969" customFormat="1">
      <c r="A1028" s="750">
        <v>45784</v>
      </c>
      <c r="B1028" s="751" t="s">
        <v>4288</v>
      </c>
      <c r="C1028" s="752">
        <v>28</v>
      </c>
      <c r="D1028" s="750">
        <v>45812</v>
      </c>
      <c r="E1028" s="753">
        <v>10</v>
      </c>
      <c r="F1028" s="753">
        <v>14.5</v>
      </c>
      <c r="G1028" s="753">
        <v>10</v>
      </c>
      <c r="H1028" s="753">
        <v>0</v>
      </c>
      <c r="I1028" s="754">
        <v>7.0999999999999994E-2</v>
      </c>
      <c r="J1028" s="754">
        <v>7.1499999999999994E-2</v>
      </c>
      <c r="K1028" s="754">
        <v>7.1400000000000005E-2</v>
      </c>
      <c r="L1028" s="752">
        <v>5</v>
      </c>
    </row>
    <row r="1029" spans="1:12" s="969" customFormat="1">
      <c r="A1029" s="750">
        <v>45784</v>
      </c>
      <c r="B1029" s="751" t="s">
        <v>4289</v>
      </c>
      <c r="C1029" s="752">
        <v>168</v>
      </c>
      <c r="D1029" s="750">
        <v>45952</v>
      </c>
      <c r="E1029" s="753">
        <v>5</v>
      </c>
      <c r="F1029" s="753">
        <v>10.1</v>
      </c>
      <c r="G1029" s="753">
        <v>5</v>
      </c>
      <c r="H1029" s="753">
        <v>0</v>
      </c>
      <c r="I1029" s="754">
        <v>7.3499999999999996E-2</v>
      </c>
      <c r="J1029" s="754">
        <v>7.3800000000000004E-2</v>
      </c>
      <c r="K1029" s="754">
        <v>7.3800000000000004E-2</v>
      </c>
      <c r="L1029" s="752">
        <v>5</v>
      </c>
    </row>
    <row r="1030" spans="1:12" s="969" customFormat="1">
      <c r="A1030" s="750">
        <v>45785</v>
      </c>
      <c r="B1030" s="751" t="s">
        <v>4290</v>
      </c>
      <c r="C1030" s="752">
        <v>84</v>
      </c>
      <c r="D1030" s="750">
        <v>45869</v>
      </c>
      <c r="E1030" s="753">
        <v>10</v>
      </c>
      <c r="F1030" s="753">
        <v>12.1</v>
      </c>
      <c r="G1030" s="753">
        <v>10</v>
      </c>
      <c r="H1030" s="753">
        <v>0</v>
      </c>
      <c r="I1030" s="754">
        <v>7.0699999999999999E-2</v>
      </c>
      <c r="J1030" s="754">
        <v>7.1999999999999995E-2</v>
      </c>
      <c r="K1030" s="754">
        <v>7.17E-2</v>
      </c>
      <c r="L1030" s="752">
        <v>4</v>
      </c>
    </row>
    <row r="1031" spans="1:12" s="969" customFormat="1">
      <c r="A1031" s="750">
        <v>45785</v>
      </c>
      <c r="B1031" s="751" t="s">
        <v>4291</v>
      </c>
      <c r="C1031" s="752">
        <v>252</v>
      </c>
      <c r="D1031" s="750">
        <v>46037</v>
      </c>
      <c r="E1031" s="753">
        <v>5</v>
      </c>
      <c r="F1031" s="753">
        <v>11.2</v>
      </c>
      <c r="G1031" s="753">
        <v>5</v>
      </c>
      <c r="H1031" s="753">
        <v>0</v>
      </c>
      <c r="I1031" s="754">
        <v>7.6399999999999996E-2</v>
      </c>
      <c r="J1031" s="754">
        <v>7.6399999999999996E-2</v>
      </c>
      <c r="K1031" s="754">
        <v>7.6399999999999996E-2</v>
      </c>
      <c r="L1031" s="752">
        <v>4</v>
      </c>
    </row>
    <row r="1032" spans="1:12" s="969" customFormat="1">
      <c r="A1032" s="750">
        <v>45791</v>
      </c>
      <c r="B1032" s="751" t="s">
        <v>4292</v>
      </c>
      <c r="C1032" s="752">
        <v>28</v>
      </c>
      <c r="D1032" s="750">
        <v>45819</v>
      </c>
      <c r="E1032" s="753">
        <v>10</v>
      </c>
      <c r="F1032" s="753">
        <v>12.6</v>
      </c>
      <c r="G1032" s="753">
        <v>10</v>
      </c>
      <c r="H1032" s="753">
        <v>0</v>
      </c>
      <c r="I1032" s="754">
        <v>7.0999999999999994E-2</v>
      </c>
      <c r="J1032" s="754">
        <v>7.1499999999999994E-2</v>
      </c>
      <c r="K1032" s="754">
        <v>7.1400000000000005E-2</v>
      </c>
      <c r="L1032" s="752">
        <v>4</v>
      </c>
    </row>
    <row r="1033" spans="1:12" s="969" customFormat="1">
      <c r="A1033" s="750">
        <v>45791</v>
      </c>
      <c r="B1033" s="751" t="s">
        <v>4293</v>
      </c>
      <c r="C1033" s="752">
        <v>168</v>
      </c>
      <c r="D1033" s="750">
        <v>45959</v>
      </c>
      <c r="E1033" s="753">
        <v>5</v>
      </c>
      <c r="F1033" s="753">
        <v>11.3</v>
      </c>
      <c r="G1033" s="753">
        <v>5</v>
      </c>
      <c r="H1033" s="753">
        <v>0</v>
      </c>
      <c r="I1033" s="754">
        <v>7.3400000000000007E-2</v>
      </c>
      <c r="J1033" s="754">
        <v>7.3499999999999996E-2</v>
      </c>
      <c r="K1033" s="754">
        <v>7.3400000000000007E-2</v>
      </c>
      <c r="L1033" s="752">
        <v>4</v>
      </c>
    </row>
    <row r="1034" spans="1:12" s="969" customFormat="1">
      <c r="A1034" s="750">
        <v>45792</v>
      </c>
      <c r="B1034" s="751" t="s">
        <v>4294</v>
      </c>
      <c r="C1034" s="752">
        <v>84</v>
      </c>
      <c r="D1034" s="750">
        <v>45876</v>
      </c>
      <c r="E1034" s="753">
        <v>10</v>
      </c>
      <c r="F1034" s="753">
        <v>11.1</v>
      </c>
      <c r="G1034" s="753">
        <v>10</v>
      </c>
      <c r="H1034" s="753">
        <v>0</v>
      </c>
      <c r="I1034" s="754">
        <v>7.17E-2</v>
      </c>
      <c r="J1034" s="754">
        <v>7.2499999999999995E-2</v>
      </c>
      <c r="K1034" s="754">
        <v>7.1800000000000003E-2</v>
      </c>
      <c r="L1034" s="752">
        <v>3</v>
      </c>
    </row>
    <row r="1035" spans="1:12" s="969" customFormat="1">
      <c r="A1035" s="750">
        <v>45792</v>
      </c>
      <c r="B1035" s="751" t="s">
        <v>4295</v>
      </c>
      <c r="C1035" s="752">
        <v>252</v>
      </c>
      <c r="D1035" s="750">
        <v>46044</v>
      </c>
      <c r="E1035" s="753">
        <v>5</v>
      </c>
      <c r="F1035" s="753">
        <v>10.199999999999999</v>
      </c>
      <c r="G1035" s="753">
        <v>5</v>
      </c>
      <c r="H1035" s="753">
        <v>0</v>
      </c>
      <c r="I1035" s="754">
        <v>7.5899999999999995E-2</v>
      </c>
      <c r="J1035" s="754">
        <v>7.6200000000000004E-2</v>
      </c>
      <c r="K1035" s="754">
        <v>7.5899999999999995E-2</v>
      </c>
      <c r="L1035" s="752">
        <v>3</v>
      </c>
    </row>
    <row r="1036" spans="1:12" s="969" customFormat="1">
      <c r="A1036" s="750">
        <v>45798</v>
      </c>
      <c r="B1036" s="751" t="s">
        <v>4296</v>
      </c>
      <c r="C1036" s="752">
        <v>28</v>
      </c>
      <c r="D1036" s="750">
        <v>45826</v>
      </c>
      <c r="E1036" s="753">
        <v>15</v>
      </c>
      <c r="F1036" s="753">
        <v>18</v>
      </c>
      <c r="G1036" s="753">
        <v>15</v>
      </c>
      <c r="H1036" s="753">
        <v>0</v>
      </c>
      <c r="I1036" s="754">
        <v>7.0000000000000007E-2</v>
      </c>
      <c r="J1036" s="754">
        <v>7.1400000000000005E-2</v>
      </c>
      <c r="K1036" s="754">
        <v>7.0900000000000005E-2</v>
      </c>
      <c r="L1036" s="752">
        <v>4</v>
      </c>
    </row>
    <row r="1037" spans="1:12" s="969" customFormat="1">
      <c r="A1037" s="750">
        <v>45798</v>
      </c>
      <c r="B1037" s="751" t="s">
        <v>4297</v>
      </c>
      <c r="C1037" s="752">
        <v>168</v>
      </c>
      <c r="D1037" s="750">
        <v>45966</v>
      </c>
      <c r="E1037" s="753">
        <v>10</v>
      </c>
      <c r="F1037" s="753">
        <v>11.2</v>
      </c>
      <c r="G1037" s="753">
        <v>10</v>
      </c>
      <c r="H1037" s="753">
        <v>0</v>
      </c>
      <c r="I1037" s="754">
        <v>7.3400000000000007E-2</v>
      </c>
      <c r="J1037" s="754">
        <v>7.4499999999999997E-2</v>
      </c>
      <c r="K1037" s="754">
        <v>7.3499999999999996E-2</v>
      </c>
      <c r="L1037" s="752">
        <v>3</v>
      </c>
    </row>
    <row r="1038" spans="1:12" s="969" customFormat="1">
      <c r="A1038" s="750">
        <v>45799</v>
      </c>
      <c r="B1038" s="751" t="s">
        <v>4298</v>
      </c>
      <c r="C1038" s="752">
        <v>84</v>
      </c>
      <c r="D1038" s="750">
        <v>45883</v>
      </c>
      <c r="E1038" s="753">
        <v>15</v>
      </c>
      <c r="F1038" s="753">
        <v>13.1</v>
      </c>
      <c r="G1038" s="753">
        <v>13.1</v>
      </c>
      <c r="H1038" s="753">
        <v>0</v>
      </c>
      <c r="I1038" s="754">
        <v>7.1400000000000005E-2</v>
      </c>
      <c r="J1038" s="754">
        <v>7.2700000000000001E-2</v>
      </c>
      <c r="K1038" s="754">
        <v>7.17E-2</v>
      </c>
      <c r="L1038" s="752">
        <v>3</v>
      </c>
    </row>
    <row r="1039" spans="1:12" s="969" customFormat="1">
      <c r="A1039" s="750">
        <v>45799</v>
      </c>
      <c r="B1039" s="751" t="s">
        <v>4299</v>
      </c>
      <c r="C1039" s="752">
        <v>252</v>
      </c>
      <c r="D1039" s="750">
        <v>46051</v>
      </c>
      <c r="E1039" s="753">
        <v>10</v>
      </c>
      <c r="F1039" s="753">
        <v>13.8</v>
      </c>
      <c r="G1039" s="753">
        <v>10</v>
      </c>
      <c r="H1039" s="753">
        <v>0</v>
      </c>
      <c r="I1039" s="754">
        <v>7.5899999999999995E-2</v>
      </c>
      <c r="J1039" s="754">
        <v>7.5999999999999998E-2</v>
      </c>
      <c r="K1039" s="754">
        <v>7.5899999999999995E-2</v>
      </c>
      <c r="L1039" s="752">
        <v>3</v>
      </c>
    </row>
    <row r="1040" spans="1:12" s="969" customFormat="1">
      <c r="A1040" s="750">
        <v>45806</v>
      </c>
      <c r="B1040" s="751" t="s">
        <v>4300</v>
      </c>
      <c r="C1040" s="752">
        <v>84</v>
      </c>
      <c r="D1040" s="750">
        <v>45890</v>
      </c>
      <c r="E1040" s="753">
        <v>15</v>
      </c>
      <c r="F1040" s="753">
        <v>14.1</v>
      </c>
      <c r="G1040" s="753">
        <v>14.1</v>
      </c>
      <c r="H1040" s="753">
        <v>0</v>
      </c>
      <c r="I1040" s="754">
        <v>7.1599999999999997E-2</v>
      </c>
      <c r="J1040" s="754">
        <v>7.2700000000000001E-2</v>
      </c>
      <c r="K1040" s="754">
        <v>7.1800000000000003E-2</v>
      </c>
      <c r="L1040" s="752">
        <v>4</v>
      </c>
    </row>
    <row r="1041" spans="1:25" ht="12.6" customHeight="1">
      <c r="A1041" s="750">
        <v>45806</v>
      </c>
      <c r="B1041" s="751" t="s">
        <v>4301</v>
      </c>
      <c r="C1041" s="752">
        <v>252</v>
      </c>
      <c r="D1041" s="750">
        <v>46058</v>
      </c>
      <c r="E1041" s="753">
        <v>15</v>
      </c>
      <c r="F1041" s="753">
        <v>14.6</v>
      </c>
      <c r="G1041" s="753">
        <v>14.6</v>
      </c>
      <c r="H1041" s="753">
        <v>0</v>
      </c>
      <c r="I1041" s="754">
        <v>7.5800000000000006E-2</v>
      </c>
      <c r="J1041" s="754">
        <v>7.5999999999999998E-2</v>
      </c>
      <c r="K1041" s="754">
        <v>7.5800000000000006E-2</v>
      </c>
      <c r="L1041" s="752">
        <v>3</v>
      </c>
      <c r="M1041" s="969"/>
      <c r="N1041" s="969"/>
      <c r="O1041" s="969"/>
      <c r="P1041" s="969"/>
      <c r="Q1041" s="969"/>
      <c r="R1041" s="969"/>
      <c r="S1041" s="969"/>
      <c r="T1041" s="969"/>
      <c r="U1041" s="969"/>
      <c r="V1041" s="969"/>
      <c r="W1041" s="969"/>
      <c r="X1041" s="969"/>
      <c r="Y1041" s="969"/>
    </row>
    <row r="1042" spans="1:25" s="804" customFormat="1" ht="24.75" customHeight="1">
      <c r="A1042" s="2691" t="s">
        <v>2710</v>
      </c>
      <c r="B1042" s="2691"/>
      <c r="C1042" s="2691"/>
      <c r="D1042" s="2691"/>
      <c r="E1042" s="2691"/>
      <c r="F1042" s="2691"/>
      <c r="G1042" s="2691"/>
      <c r="H1042" s="2691"/>
      <c r="I1042" s="2691"/>
      <c r="J1042" s="2691"/>
      <c r="K1042" s="2691"/>
      <c r="L1042" s="2691"/>
    </row>
    <row r="1045" spans="1:25">
      <c r="A1045" s="969"/>
    </row>
    <row r="1047" spans="1:25">
      <c r="A1047" s="969"/>
    </row>
    <row r="1049" spans="1:25">
      <c r="A1049" s="969"/>
    </row>
    <row r="1052" spans="1:25">
      <c r="A1052" s="969"/>
    </row>
  </sheetData>
  <mergeCells count="24">
    <mergeCell ref="A2:L2"/>
    <mergeCell ref="H7:H9"/>
    <mergeCell ref="I7:I9"/>
    <mergeCell ref="J7:J9"/>
    <mergeCell ref="K7:K9"/>
    <mergeCell ref="I6:K6"/>
    <mergeCell ref="A5:L5"/>
    <mergeCell ref="A6:A9"/>
    <mergeCell ref="B6:B9"/>
    <mergeCell ref="D6:D9"/>
    <mergeCell ref="E6:H6"/>
    <mergeCell ref="C6:C9"/>
    <mergeCell ref="L6:L9"/>
    <mergeCell ref="E7:E9"/>
    <mergeCell ref="F7:F9"/>
    <mergeCell ref="G7:G9"/>
    <mergeCell ref="A3:L3"/>
    <mergeCell ref="A1042:L1042"/>
    <mergeCell ref="A10:L10"/>
    <mergeCell ref="A11:A12"/>
    <mergeCell ref="B11:B12"/>
    <mergeCell ref="D11:D12"/>
    <mergeCell ref="L11:L12"/>
    <mergeCell ref="C11:C12"/>
  </mergeCells>
  <printOptions horizontalCentered="1"/>
  <pageMargins left="0.23622047244094491" right="0.15748031496062992" top="0.15748031496062992" bottom="0.15748031496062992" header="0.15748031496062992" footer="0.15748031496062992"/>
  <pageSetup paperSize="9" scale="10" orientation="portrait" r:id="rId1"/>
  <headerFooter alignWithMargins="0"/>
  <rowBreaks count="1" manualBreakCount="1">
    <brk id="988" max="11" man="1"/>
  </row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9">
    <tabColor rgb="FF92D050"/>
  </sheetPr>
  <dimension ref="A1:CD292"/>
  <sheetViews>
    <sheetView showGridLines="0" view="pageBreakPreview" zoomScale="115" zoomScaleSheetLayoutView="115" workbookViewId="0">
      <pane ySplit="60" topLeftCell="A274" activePane="bottomLeft" state="frozen"/>
      <selection activeCell="B39" sqref="B39"/>
      <selection pane="bottomLeft" activeCell="J288" sqref="J288"/>
    </sheetView>
  </sheetViews>
  <sheetFormatPr defaultColWidth="9.140625" defaultRowHeight="12.75"/>
  <cols>
    <col min="1" max="1" width="8.42578125" style="98" customWidth="1"/>
    <col min="2" max="3" width="15.85546875" style="12" customWidth="1"/>
    <col min="4" max="4" width="15.85546875" style="169" customWidth="1"/>
    <col min="5" max="6" width="15.85546875" style="12" customWidth="1"/>
    <col min="7" max="7" width="15.85546875" style="4" customWidth="1"/>
    <col min="8" max="9" width="15.85546875" style="12" customWidth="1"/>
    <col min="10" max="11" width="10" style="12" customWidth="1"/>
    <col min="12" max="16" width="9.140625" style="12" customWidth="1"/>
    <col min="17" max="79" width="9.140625" style="12"/>
    <col min="80" max="80" width="0" style="12" hidden="1" customWidth="1"/>
    <col min="81" max="16384" width="9.140625" style="12"/>
  </cols>
  <sheetData>
    <row r="1" spans="1:82" ht="7.5" customHeight="1">
      <c r="G1" s="507"/>
    </row>
    <row r="2" spans="1:82" s="143" customFormat="1" ht="19.5" customHeight="1">
      <c r="A2" s="2714" t="s">
        <v>2716</v>
      </c>
      <c r="B2" s="2714"/>
      <c r="C2" s="2714"/>
      <c r="D2" s="2714"/>
      <c r="E2" s="2714"/>
      <c r="F2" s="2714"/>
      <c r="G2" s="2714"/>
      <c r="H2" s="2714"/>
      <c r="I2" s="2714"/>
    </row>
    <row r="3" spans="1:82" s="143" customFormat="1" ht="22.5" customHeight="1">
      <c r="A3" s="2378" t="s">
        <v>2717</v>
      </c>
      <c r="B3" s="2378"/>
      <c r="C3" s="2378"/>
      <c r="D3" s="2378"/>
      <c r="E3" s="2378"/>
      <c r="F3" s="2378"/>
      <c r="G3" s="2378"/>
      <c r="H3" s="2378"/>
      <c r="I3" s="2378"/>
    </row>
    <row r="4" spans="1:82" s="143" customFormat="1" ht="12" customHeight="1">
      <c r="A4" s="547"/>
      <c r="B4" s="547"/>
      <c r="C4" s="547"/>
      <c r="D4" s="547"/>
      <c r="E4" s="547"/>
      <c r="F4" s="547"/>
      <c r="G4" s="547"/>
      <c r="H4" s="547"/>
      <c r="I4" s="547"/>
    </row>
    <row r="5" spans="1:82" s="143" customFormat="1" ht="12" customHeight="1">
      <c r="A5" s="525"/>
      <c r="B5" s="525"/>
      <c r="C5" s="525"/>
      <c r="D5" s="525"/>
      <c r="E5" s="525"/>
      <c r="F5" s="525"/>
      <c r="G5" s="525"/>
      <c r="H5" s="525"/>
      <c r="I5" s="525"/>
    </row>
    <row r="6" spans="1:82" ht="16.5" customHeight="1">
      <c r="A6" s="2352" t="s">
        <v>182</v>
      </c>
      <c r="B6" s="2350" t="s">
        <v>2776</v>
      </c>
      <c r="C6" s="2715"/>
      <c r="D6" s="2351"/>
      <c r="E6" s="2350" t="s">
        <v>2775</v>
      </c>
      <c r="F6" s="2715"/>
      <c r="G6" s="2351"/>
      <c r="H6" s="2350" t="s">
        <v>2778</v>
      </c>
      <c r="I6" s="2351"/>
    </row>
    <row r="7" spans="1:82" ht="15" customHeight="1">
      <c r="A7" s="2353"/>
      <c r="B7" s="561" t="s">
        <v>155</v>
      </c>
      <c r="C7" s="561" t="s">
        <v>2411</v>
      </c>
      <c r="D7" s="599" t="s">
        <v>973</v>
      </c>
      <c r="E7" s="561" t="s">
        <v>155</v>
      </c>
      <c r="F7" s="561" t="s">
        <v>2411</v>
      </c>
      <c r="G7" s="561" t="s">
        <v>973</v>
      </c>
      <c r="H7" s="561" t="s">
        <v>2411</v>
      </c>
      <c r="I7" s="561" t="s">
        <v>973</v>
      </c>
      <c r="CC7" s="98" t="s">
        <v>2062</v>
      </c>
      <c r="CD7" s="307" t="s">
        <v>2063</v>
      </c>
    </row>
    <row r="8" spans="1:82" ht="16.5" customHeight="1">
      <c r="A8" s="2384" t="s">
        <v>289</v>
      </c>
      <c r="B8" s="2384" t="s">
        <v>2777</v>
      </c>
      <c r="C8" s="2384"/>
      <c r="D8" s="2384"/>
      <c r="E8" s="2384" t="s">
        <v>386</v>
      </c>
      <c r="F8" s="2384"/>
      <c r="G8" s="2384"/>
      <c r="H8" s="2384" t="s">
        <v>2779</v>
      </c>
      <c r="I8" s="2384"/>
      <c r="BY8" s="12">
        <f>BY10+BY22+BY32+BY40</f>
        <v>0</v>
      </c>
      <c r="CC8" s="12">
        <f>CC10+CC22+CC32+CC40</f>
        <v>622</v>
      </c>
      <c r="CD8" s="228">
        <f>BY8+BZ8+CA8+CC8</f>
        <v>622</v>
      </c>
    </row>
    <row r="9" spans="1:82" ht="15" customHeight="1">
      <c r="A9" s="2384"/>
      <c r="B9" s="562" t="s">
        <v>105</v>
      </c>
      <c r="C9" s="962" t="s">
        <v>2412</v>
      </c>
      <c r="D9" s="600" t="s">
        <v>974</v>
      </c>
      <c r="E9" s="562" t="s">
        <v>105</v>
      </c>
      <c r="F9" s="562" t="s">
        <v>2412</v>
      </c>
      <c r="G9" s="562" t="s">
        <v>974</v>
      </c>
      <c r="H9" s="562" t="s">
        <v>2412</v>
      </c>
      <c r="I9" s="562" t="s">
        <v>974</v>
      </c>
      <c r="CD9" s="228"/>
    </row>
    <row r="10" spans="1:82" ht="15" hidden="1">
      <c r="A10" s="159">
        <v>1996</v>
      </c>
      <c r="B10" s="160">
        <v>3</v>
      </c>
      <c r="C10" s="160">
        <v>3</v>
      </c>
      <c r="D10" s="161" t="s">
        <v>93</v>
      </c>
      <c r="E10" s="162" t="s">
        <v>93</v>
      </c>
      <c r="F10" s="162" t="s">
        <v>93</v>
      </c>
      <c r="G10" s="162" t="s">
        <v>93</v>
      </c>
      <c r="H10" s="86">
        <v>100</v>
      </c>
      <c r="I10" s="163" t="s">
        <v>93</v>
      </c>
      <c r="CC10" s="12">
        <f>CC12+CC17</f>
        <v>1713</v>
      </c>
      <c r="CD10" s="228">
        <f>BY10+BZ10+CA10+CC10</f>
        <v>1713</v>
      </c>
    </row>
    <row r="11" spans="1:82" ht="15" hidden="1">
      <c r="A11" s="159">
        <v>1997</v>
      </c>
      <c r="B11" s="160">
        <v>6.3</v>
      </c>
      <c r="C11" s="160">
        <v>6.3</v>
      </c>
      <c r="D11" s="161" t="s">
        <v>93</v>
      </c>
      <c r="E11" s="162" t="s">
        <v>93</v>
      </c>
      <c r="F11" s="162" t="s">
        <v>93</v>
      </c>
      <c r="G11" s="162" t="s">
        <v>93</v>
      </c>
      <c r="H11" s="86">
        <v>100</v>
      </c>
      <c r="I11" s="163" t="s">
        <v>93</v>
      </c>
      <c r="CD11" s="228"/>
    </row>
    <row r="12" spans="1:82" ht="15" hidden="1">
      <c r="A12" s="159">
        <v>1998</v>
      </c>
      <c r="B12" s="160">
        <v>7.6</v>
      </c>
      <c r="C12" s="160">
        <v>7.6</v>
      </c>
      <c r="D12" s="161" t="s">
        <v>93</v>
      </c>
      <c r="E12" s="162" t="s">
        <v>93</v>
      </c>
      <c r="F12" s="162" t="s">
        <v>93</v>
      </c>
      <c r="G12" s="162" t="s">
        <v>93</v>
      </c>
      <c r="H12" s="86">
        <v>100</v>
      </c>
      <c r="I12" s="163" t="s">
        <v>93</v>
      </c>
      <c r="CC12" s="12">
        <f>CC14+CC15</f>
        <v>4361</v>
      </c>
      <c r="CD12" s="228">
        <f>BY12+BZ12+CA12+CC12</f>
        <v>4361</v>
      </c>
    </row>
    <row r="13" spans="1:82" ht="15" hidden="1">
      <c r="A13" s="159">
        <v>1999</v>
      </c>
      <c r="B13" s="162" t="s">
        <v>93</v>
      </c>
      <c r="C13" s="160" t="s">
        <v>93</v>
      </c>
      <c r="D13" s="161" t="s">
        <v>93</v>
      </c>
      <c r="E13" s="162" t="s">
        <v>93</v>
      </c>
      <c r="F13" s="162" t="s">
        <v>93</v>
      </c>
      <c r="G13" s="162" t="s">
        <v>93</v>
      </c>
      <c r="H13" s="86"/>
      <c r="I13" s="163" t="s">
        <v>93</v>
      </c>
      <c r="CD13" s="228"/>
    </row>
    <row r="14" spans="1:82" ht="15" hidden="1">
      <c r="A14" s="159">
        <v>2000</v>
      </c>
      <c r="B14" s="160">
        <v>25.6</v>
      </c>
      <c r="C14" s="160">
        <v>25.6</v>
      </c>
      <c r="D14" s="161" t="s">
        <v>93</v>
      </c>
      <c r="E14" s="162">
        <v>46</v>
      </c>
      <c r="F14" s="162">
        <v>46</v>
      </c>
      <c r="G14" s="162" t="s">
        <v>93</v>
      </c>
      <c r="H14" s="86">
        <v>100</v>
      </c>
      <c r="I14" s="163" t="s">
        <v>93</v>
      </c>
      <c r="CC14" s="12">
        <v>3917</v>
      </c>
      <c r="CD14" s="228">
        <f>BY14+BZ14+CA14+CC14</f>
        <v>3917</v>
      </c>
    </row>
    <row r="15" spans="1:82" ht="15" hidden="1">
      <c r="A15" s="159">
        <v>2001</v>
      </c>
      <c r="B15" s="160">
        <v>38.1</v>
      </c>
      <c r="C15" s="160">
        <v>38.1</v>
      </c>
      <c r="D15" s="161" t="s">
        <v>93</v>
      </c>
      <c r="E15" s="162">
        <v>48</v>
      </c>
      <c r="F15" s="162">
        <v>48</v>
      </c>
      <c r="G15" s="162" t="s">
        <v>93</v>
      </c>
      <c r="H15" s="86">
        <v>100</v>
      </c>
      <c r="I15" s="163" t="s">
        <v>93</v>
      </c>
      <c r="CC15" s="12">
        <v>444</v>
      </c>
      <c r="CD15" s="228">
        <f t="shared" ref="CD15:CD56" si="0">BY15+BZ15+CA15+CC15</f>
        <v>444</v>
      </c>
    </row>
    <row r="16" spans="1:82" ht="15" hidden="1">
      <c r="A16" s="159">
        <v>2002</v>
      </c>
      <c r="B16" s="160">
        <v>28</v>
      </c>
      <c r="C16" s="160">
        <v>28</v>
      </c>
      <c r="D16" s="161" t="s">
        <v>93</v>
      </c>
      <c r="E16" s="162">
        <v>57</v>
      </c>
      <c r="F16" s="162">
        <v>57</v>
      </c>
      <c r="G16" s="162" t="s">
        <v>93</v>
      </c>
      <c r="H16" s="86">
        <v>100</v>
      </c>
      <c r="I16" s="163" t="s">
        <v>93</v>
      </c>
      <c r="CD16" s="228"/>
    </row>
    <row r="17" spans="1:82" ht="15" hidden="1">
      <c r="A17" s="159">
        <v>2003</v>
      </c>
      <c r="B17" s="160">
        <v>13</v>
      </c>
      <c r="C17" s="160">
        <v>13</v>
      </c>
      <c r="D17" s="161" t="s">
        <v>93</v>
      </c>
      <c r="E17" s="162">
        <v>50</v>
      </c>
      <c r="F17" s="162">
        <v>50</v>
      </c>
      <c r="G17" s="162" t="s">
        <v>93</v>
      </c>
      <c r="H17" s="86">
        <v>100</v>
      </c>
      <c r="I17" s="163" t="s">
        <v>93</v>
      </c>
      <c r="CC17" s="12">
        <f>CC19+CC20</f>
        <v>-2648</v>
      </c>
      <c r="CD17" s="228">
        <f t="shared" si="0"/>
        <v>-2648</v>
      </c>
    </row>
    <row r="18" spans="1:82" ht="15" hidden="1">
      <c r="A18" s="159">
        <v>2004</v>
      </c>
      <c r="B18" s="160">
        <v>20.2958</v>
      </c>
      <c r="C18" s="160" t="s">
        <v>93</v>
      </c>
      <c r="D18" s="160">
        <v>20.2958</v>
      </c>
      <c r="E18" s="162">
        <v>52</v>
      </c>
      <c r="F18" s="162">
        <v>52</v>
      </c>
      <c r="G18" s="162" t="s">
        <v>93</v>
      </c>
      <c r="H18" s="86" t="s">
        <v>93</v>
      </c>
      <c r="I18" s="163">
        <v>100</v>
      </c>
      <c r="CD18" s="228"/>
    </row>
    <row r="19" spans="1:82" ht="15" hidden="1">
      <c r="A19" s="159">
        <v>2005</v>
      </c>
      <c r="B19" s="91">
        <v>39.377200000000002</v>
      </c>
      <c r="C19" s="91">
        <v>15.1</v>
      </c>
      <c r="D19" s="91">
        <v>24.277200000000001</v>
      </c>
      <c r="E19" s="92">
        <v>26.083528345663993</v>
      </c>
      <c r="F19" s="92">
        <v>46</v>
      </c>
      <c r="G19" s="92">
        <v>13.695826222664898</v>
      </c>
      <c r="H19" s="91">
        <v>38.347063783102911</v>
      </c>
      <c r="I19" s="2">
        <v>61.652936216897082</v>
      </c>
      <c r="CC19" s="12">
        <v>-367</v>
      </c>
      <c r="CD19" s="228">
        <f t="shared" si="0"/>
        <v>-367</v>
      </c>
    </row>
    <row r="20" spans="1:82" ht="15" hidden="1">
      <c r="A20" s="164" t="s">
        <v>18</v>
      </c>
      <c r="B20" s="91">
        <v>21.1936</v>
      </c>
      <c r="C20" s="91" t="s">
        <v>93</v>
      </c>
      <c r="D20" s="91">
        <v>21.1936</v>
      </c>
      <c r="E20" s="92">
        <v>26.945903255760523</v>
      </c>
      <c r="F20" s="92" t="s">
        <v>93</v>
      </c>
      <c r="G20" s="92">
        <v>26.945903255760523</v>
      </c>
      <c r="H20" s="91" t="s">
        <v>93</v>
      </c>
      <c r="I20" s="2">
        <v>100</v>
      </c>
      <c r="J20" s="12">
        <v>105968000</v>
      </c>
      <c r="CC20" s="12">
        <v>-2281</v>
      </c>
      <c r="CD20" s="228">
        <f t="shared" si="0"/>
        <v>-2281</v>
      </c>
    </row>
    <row r="21" spans="1:82" ht="15" hidden="1">
      <c r="A21" s="164" t="s">
        <v>19</v>
      </c>
      <c r="B21" s="91">
        <v>20.020199999999999</v>
      </c>
      <c r="C21" s="91" t="s">
        <v>93</v>
      </c>
      <c r="D21" s="91">
        <v>20.020199999999999</v>
      </c>
      <c r="E21" s="92">
        <v>50.862668704608346</v>
      </c>
      <c r="F21" s="92" t="s">
        <v>93</v>
      </c>
      <c r="G21" s="92">
        <v>50.862668704608346</v>
      </c>
      <c r="H21" s="91" t="s">
        <v>93</v>
      </c>
      <c r="I21" s="2">
        <v>100</v>
      </c>
      <c r="J21" s="12">
        <v>100101000</v>
      </c>
      <c r="CD21" s="228"/>
    </row>
    <row r="22" spans="1:82" ht="15" hidden="1">
      <c r="A22" s="164" t="s">
        <v>20</v>
      </c>
      <c r="B22" s="91">
        <v>23.833200000000001</v>
      </c>
      <c r="C22" s="91" t="s">
        <v>93</v>
      </c>
      <c r="D22" s="91">
        <v>23.833200000000001</v>
      </c>
      <c r="E22" s="92">
        <v>41.06294640932412</v>
      </c>
      <c r="F22" s="92" t="s">
        <v>93</v>
      </c>
      <c r="G22" s="92">
        <v>41.06294640932412</v>
      </c>
      <c r="H22" s="91" t="s">
        <v>93</v>
      </c>
      <c r="I22" s="2">
        <v>100</v>
      </c>
      <c r="J22" s="12">
        <v>119166000</v>
      </c>
      <c r="CC22" s="12">
        <f>CC24+CC25</f>
        <v>-797</v>
      </c>
      <c r="CD22" s="228">
        <f t="shared" si="0"/>
        <v>-797</v>
      </c>
    </row>
    <row r="23" spans="1:82" ht="15" hidden="1">
      <c r="A23" s="164" t="s">
        <v>21</v>
      </c>
      <c r="B23" s="91">
        <v>20.297599999999999</v>
      </c>
      <c r="C23" s="91" t="s">
        <v>93</v>
      </c>
      <c r="D23" s="91">
        <v>20.297599999999999</v>
      </c>
      <c r="E23" s="92">
        <v>26.862742393189343</v>
      </c>
      <c r="F23" s="92" t="s">
        <v>93</v>
      </c>
      <c r="G23" s="92">
        <v>26.862742393189343</v>
      </c>
      <c r="H23" s="91" t="s">
        <v>93</v>
      </c>
      <c r="I23" s="2">
        <v>100</v>
      </c>
      <c r="J23" s="12">
        <v>101488000</v>
      </c>
      <c r="CD23" s="228"/>
    </row>
    <row r="24" spans="1:82" ht="15" hidden="1">
      <c r="A24" s="164" t="s">
        <v>22</v>
      </c>
      <c r="B24" s="91">
        <v>18.457799999999999</v>
      </c>
      <c r="C24" s="91">
        <v>5.6</v>
      </c>
      <c r="D24" s="91">
        <v>12.857799999999999</v>
      </c>
      <c r="E24" s="92">
        <v>40.580137162640142</v>
      </c>
      <c r="F24" s="92">
        <v>81</v>
      </c>
      <c r="G24" s="92">
        <v>22.975941119054529</v>
      </c>
      <c r="H24" s="91">
        <v>30.339477077441519</v>
      </c>
      <c r="I24" s="2">
        <v>69.660522922558485</v>
      </c>
      <c r="J24" s="12">
        <v>64289000</v>
      </c>
      <c r="L24" s="12">
        <v>40.580137162640142</v>
      </c>
      <c r="M24" s="12">
        <v>57.730723231768955</v>
      </c>
      <c r="CC24" s="12">
        <v>-644</v>
      </c>
      <c r="CD24" s="228">
        <f t="shared" si="0"/>
        <v>-644</v>
      </c>
    </row>
    <row r="25" spans="1:82" ht="15" hidden="1">
      <c r="A25" s="164" t="s">
        <v>23</v>
      </c>
      <c r="B25" s="91">
        <v>14.7904</v>
      </c>
      <c r="C25" s="91">
        <v>7.6</v>
      </c>
      <c r="D25" s="91">
        <v>7.1904000000000003</v>
      </c>
      <c r="E25" s="92">
        <v>33.981019636073398</v>
      </c>
      <c r="F25" s="92">
        <v>42</v>
      </c>
      <c r="G25" s="92">
        <v>25.505239322621829</v>
      </c>
      <c r="H25" s="91">
        <v>51.384681955863265</v>
      </c>
      <c r="I25" s="2">
        <v>48.615318044136743</v>
      </c>
      <c r="J25" s="12">
        <v>35952000</v>
      </c>
      <c r="L25" s="12">
        <v>33.981019636073398</v>
      </c>
      <c r="M25" s="12">
        <v>50.038346882377866</v>
      </c>
      <c r="CC25" s="12">
        <v>-153</v>
      </c>
      <c r="CD25" s="228">
        <f t="shared" si="0"/>
        <v>-153</v>
      </c>
    </row>
    <row r="26" spans="1:82" ht="15" hidden="1">
      <c r="A26" s="164" t="s">
        <v>24</v>
      </c>
      <c r="B26" s="91">
        <v>24.886800000000001</v>
      </c>
      <c r="C26" s="91">
        <v>10.9</v>
      </c>
      <c r="D26" s="91">
        <v>13.986800000000001</v>
      </c>
      <c r="E26" s="92">
        <v>34.279613159357176</v>
      </c>
      <c r="F26" s="92">
        <v>42</v>
      </c>
      <c r="G26" s="92">
        <v>28.26306780495111</v>
      </c>
      <c r="H26" s="91">
        <v>43.798318787469661</v>
      </c>
      <c r="I26" s="2">
        <v>56.201681212530339</v>
      </c>
      <c r="J26" s="12">
        <v>69934000</v>
      </c>
      <c r="L26" s="12">
        <v>34.279613159357176</v>
      </c>
      <c r="M26" s="12">
        <v>50.769216997237038</v>
      </c>
      <c r="CD26" s="228"/>
    </row>
    <row r="27" spans="1:82" ht="15" hidden="1">
      <c r="A27" s="164" t="s">
        <v>25</v>
      </c>
      <c r="B27" s="91">
        <v>40.938600000000001</v>
      </c>
      <c r="C27" s="91">
        <v>15.2</v>
      </c>
      <c r="D27" s="91">
        <v>25.738600000000002</v>
      </c>
      <c r="E27" s="92">
        <v>30.144516637181443</v>
      </c>
      <c r="F27" s="92">
        <v>35</v>
      </c>
      <c r="G27" s="92">
        <v>27.277097775439078</v>
      </c>
      <c r="H27" s="91">
        <v>37.128773333724155</v>
      </c>
      <c r="I27" s="2">
        <v>62.871226666275838</v>
      </c>
      <c r="J27" s="12">
        <v>128693000</v>
      </c>
      <c r="L27" s="12">
        <v>30.144516637181443</v>
      </c>
      <c r="M27" s="12">
        <v>53.313369517893001</v>
      </c>
      <c r="CD27" s="228"/>
    </row>
    <row r="28" spans="1:82" ht="15" hidden="1">
      <c r="A28" s="164" t="s">
        <v>26</v>
      </c>
      <c r="B28" s="91">
        <v>47.3386</v>
      </c>
      <c r="C28" s="91">
        <v>15.7</v>
      </c>
      <c r="D28" s="91">
        <v>31.6386</v>
      </c>
      <c r="E28" s="92">
        <v>26.278620023367314</v>
      </c>
      <c r="F28" s="92">
        <v>47</v>
      </c>
      <c r="G28" s="92">
        <v>15.996064359300846</v>
      </c>
      <c r="H28" s="91">
        <v>33.165323858331256</v>
      </c>
      <c r="I28" s="2">
        <v>66.834676141668751</v>
      </c>
      <c r="J28" s="12">
        <v>158193000</v>
      </c>
      <c r="L28" s="12">
        <v>26.278620023367314</v>
      </c>
      <c r="M28" s="12">
        <v>55.668126415897419</v>
      </c>
      <c r="CD28" s="228"/>
    </row>
    <row r="29" spans="1:82" ht="15" hidden="1">
      <c r="A29" s="164" t="s">
        <v>27</v>
      </c>
      <c r="B29" s="91">
        <v>34.392000000000003</v>
      </c>
      <c r="C29" s="91">
        <v>9.9</v>
      </c>
      <c r="D29" s="91">
        <v>24.492000000000001</v>
      </c>
      <c r="E29" s="92">
        <v>25.97002367405209</v>
      </c>
      <c r="F29" s="92">
        <v>65</v>
      </c>
      <c r="G29" s="92">
        <v>10.193575624612098</v>
      </c>
      <c r="H29" s="91">
        <v>28.785764131193297</v>
      </c>
      <c r="I29" s="2">
        <v>71.214235868806696</v>
      </c>
      <c r="J29" s="12">
        <v>122460000</v>
      </c>
      <c r="L29" s="12">
        <v>25.97002367405209</v>
      </c>
      <c r="M29" s="12">
        <v>59.000876069947289</v>
      </c>
      <c r="CC29" s="12">
        <v>-31</v>
      </c>
      <c r="CD29" s="228">
        <f t="shared" si="0"/>
        <v>-31</v>
      </c>
    </row>
    <row r="30" spans="1:82" ht="15" hidden="1">
      <c r="A30" s="164" t="s">
        <v>28</v>
      </c>
      <c r="B30" s="91">
        <v>37.616399999999999</v>
      </c>
      <c r="C30" s="91">
        <v>11.6</v>
      </c>
      <c r="D30" s="91">
        <v>26.016400000000001</v>
      </c>
      <c r="E30" s="92">
        <v>35.839493875991792</v>
      </c>
      <c r="F30" s="92">
        <v>79</v>
      </c>
      <c r="G30" s="92">
        <v>16.595406644918505</v>
      </c>
      <c r="H30" s="91">
        <v>30.837613381397478</v>
      </c>
      <c r="I30" s="2">
        <v>69.16238661860254</v>
      </c>
      <c r="J30" s="12">
        <v>130082000</v>
      </c>
      <c r="L30" s="12">
        <v>35.839493875991792</v>
      </c>
      <c r="M30" s="12">
        <v>57.343941218415956</v>
      </c>
      <c r="CC30" s="12">
        <v>-440</v>
      </c>
      <c r="CD30" s="228">
        <f t="shared" si="0"/>
        <v>-440</v>
      </c>
    </row>
    <row r="31" spans="1:82" ht="15" hidden="1">
      <c r="A31" s="164" t="s">
        <v>29</v>
      </c>
      <c r="B31" s="91">
        <v>39.377200000000002</v>
      </c>
      <c r="C31" s="91">
        <v>15.1</v>
      </c>
      <c r="D31" s="91">
        <v>24.277200000000001</v>
      </c>
      <c r="E31" s="92">
        <v>26.083528345663993</v>
      </c>
      <c r="F31" s="92">
        <v>46</v>
      </c>
      <c r="G31" s="92">
        <v>13.695826222664898</v>
      </c>
      <c r="H31" s="91">
        <v>38.347063783102911</v>
      </c>
      <c r="I31" s="2">
        <v>61.652936216897082</v>
      </c>
      <c r="J31" s="12">
        <v>121386000</v>
      </c>
      <c r="M31" s="12">
        <v>52.715818449501434</v>
      </c>
      <c r="CD31" s="228"/>
    </row>
    <row r="32" spans="1:82" ht="15" hidden="1">
      <c r="A32" s="164"/>
      <c r="B32" s="91"/>
      <c r="C32" s="91"/>
      <c r="D32" s="91"/>
      <c r="E32" s="92"/>
      <c r="F32" s="92"/>
      <c r="G32" s="92"/>
      <c r="H32" s="91"/>
      <c r="I32" s="2"/>
      <c r="L32" s="12">
        <v>26.083528345663993</v>
      </c>
      <c r="M32" s="12" t="e">
        <v>#DIV/0!</v>
      </c>
      <c r="CC32" s="12">
        <f>CC34+CC35</f>
        <v>-498</v>
      </c>
      <c r="CD32" s="228">
        <f>BY32+BZ32+CA32+CC32</f>
        <v>-498</v>
      </c>
    </row>
    <row r="33" spans="1:82" ht="15" hidden="1">
      <c r="A33" s="159">
        <v>2006</v>
      </c>
      <c r="B33" s="91">
        <f>+B45</f>
        <v>176.66</v>
      </c>
      <c r="C33" s="91">
        <f t="shared" ref="C33:I33" si="1">+C45</f>
        <v>63.02</v>
      </c>
      <c r="D33" s="91">
        <f t="shared" si="1"/>
        <v>113.64</v>
      </c>
      <c r="E33" s="92">
        <f t="shared" si="1"/>
        <v>42.678818068606368</v>
      </c>
      <c r="F33" s="92">
        <f t="shared" si="1"/>
        <v>98</v>
      </c>
      <c r="G33" s="92">
        <f t="shared" si="1"/>
        <v>12</v>
      </c>
      <c r="H33" s="91">
        <f t="shared" si="1"/>
        <v>35.673044265821353</v>
      </c>
      <c r="I33" s="2">
        <f t="shared" si="1"/>
        <v>64.326955734178654</v>
      </c>
      <c r="CD33" s="228"/>
    </row>
    <row r="34" spans="1:82" ht="15" hidden="1">
      <c r="A34" s="164" t="s">
        <v>18</v>
      </c>
      <c r="B34" s="91">
        <v>45.261600000000001</v>
      </c>
      <c r="C34" s="91">
        <v>18.8</v>
      </c>
      <c r="D34" s="91">
        <v>26.461600000000001</v>
      </c>
      <c r="E34" s="92">
        <v>23.497433807024056</v>
      </c>
      <c r="F34" s="92">
        <v>41</v>
      </c>
      <c r="G34" s="92">
        <v>11.0625</v>
      </c>
      <c r="H34" s="91">
        <v>41.536313342877854</v>
      </c>
      <c r="I34" s="2">
        <v>58.463686657122146</v>
      </c>
      <c r="L34" s="12">
        <v>23.497433807024056</v>
      </c>
      <c r="M34" s="12">
        <v>51.432679836598943</v>
      </c>
      <c r="CC34" s="12">
        <v>-521</v>
      </c>
      <c r="CD34" s="228">
        <f>BY34+BZ34+CA34+CC34</f>
        <v>-521</v>
      </c>
    </row>
    <row r="35" spans="1:82" ht="15" hidden="1">
      <c r="A35" s="164" t="s">
        <v>19</v>
      </c>
      <c r="B35" s="91">
        <v>51.3</v>
      </c>
      <c r="C35" s="91">
        <v>15.3</v>
      </c>
      <c r="D35" s="91">
        <v>36</v>
      </c>
      <c r="E35" s="92">
        <v>21.686159844054583</v>
      </c>
      <c r="F35" s="92">
        <v>45</v>
      </c>
      <c r="G35" s="92">
        <v>11.777777777777779</v>
      </c>
      <c r="H35" s="91">
        <v>29.824561403508774</v>
      </c>
      <c r="I35" s="2">
        <v>70.175438596491233</v>
      </c>
      <c r="L35" s="12">
        <v>21.686159844054583</v>
      </c>
      <c r="M35" s="12">
        <v>58.14096645121576</v>
      </c>
      <c r="CC35" s="12">
        <v>23</v>
      </c>
      <c r="CD35" s="228">
        <f>BY35+BZ35+CA35+CC35</f>
        <v>23</v>
      </c>
    </row>
    <row r="36" spans="1:82" ht="15" hidden="1">
      <c r="A36" s="164" t="s">
        <v>20</v>
      </c>
      <c r="B36" s="91">
        <v>62.5</v>
      </c>
      <c r="C36" s="91">
        <v>18.5</v>
      </c>
      <c r="D36" s="91">
        <v>44</v>
      </c>
      <c r="E36" s="92">
        <v>29.445256005893722</v>
      </c>
      <c r="F36" s="92">
        <v>63</v>
      </c>
      <c r="G36" s="92">
        <v>15.33701137200813</v>
      </c>
      <c r="H36" s="91">
        <v>29.599999999999998</v>
      </c>
      <c r="I36" s="2">
        <v>70.399999999999991</v>
      </c>
      <c r="L36" s="12">
        <v>29.445256005893722</v>
      </c>
      <c r="M36" s="12">
        <v>58.323199999999993</v>
      </c>
      <c r="CD36" s="228"/>
    </row>
    <row r="37" spans="1:82" ht="15" hidden="1">
      <c r="A37" s="164" t="s">
        <v>21</v>
      </c>
      <c r="B37" s="91">
        <v>52.400000000000006</v>
      </c>
      <c r="C37" s="91">
        <v>14.8</v>
      </c>
      <c r="D37" s="91">
        <v>37.6</v>
      </c>
      <c r="E37" s="92">
        <v>33.180630941171628</v>
      </c>
      <c r="F37" s="92">
        <v>83</v>
      </c>
      <c r="G37" s="92">
        <v>13.570879290356203</v>
      </c>
      <c r="H37" s="91">
        <v>28.244274809160302</v>
      </c>
      <c r="I37" s="2">
        <v>71.755725190839698</v>
      </c>
      <c r="L37" s="12">
        <v>33.180630941171628</v>
      </c>
      <c r="M37" s="12">
        <v>59.466231571586739</v>
      </c>
      <c r="CC37" s="12">
        <v>433</v>
      </c>
      <c r="CD37" s="228">
        <f t="shared" si="0"/>
        <v>433</v>
      </c>
    </row>
    <row r="38" spans="1:82" ht="15" hidden="1">
      <c r="A38" s="164" t="s">
        <v>22</v>
      </c>
      <c r="B38" s="91">
        <v>67.460000000000008</v>
      </c>
      <c r="C38" s="91">
        <v>16.28</v>
      </c>
      <c r="D38" s="91">
        <v>51.18</v>
      </c>
      <c r="E38" s="92">
        <v>27.503202107322856</v>
      </c>
      <c r="F38" s="92">
        <v>62</v>
      </c>
      <c r="G38" s="92">
        <v>16.530011999999999</v>
      </c>
      <c r="H38" s="91">
        <v>24.13281944856211</v>
      </c>
      <c r="I38" s="2">
        <v>75.867180551437883</v>
      </c>
      <c r="L38" s="12">
        <v>27.503202107322856</v>
      </c>
      <c r="M38" s="12">
        <v>63.382220593613724</v>
      </c>
      <c r="CC38" s="12">
        <v>-931</v>
      </c>
      <c r="CD38" s="228">
        <f t="shared" si="0"/>
        <v>-931</v>
      </c>
    </row>
    <row r="39" spans="1:82" ht="15" hidden="1">
      <c r="A39" s="164" t="s">
        <v>23</v>
      </c>
      <c r="B39" s="91">
        <v>75.16</v>
      </c>
      <c r="C39" s="91">
        <v>23.03</v>
      </c>
      <c r="D39" s="91">
        <v>52.13</v>
      </c>
      <c r="E39" s="92">
        <v>49.54429047486547</v>
      </c>
      <c r="F39" s="92">
        <v>126.85402397260276</v>
      </c>
      <c r="G39" s="92">
        <v>15.390383656279438</v>
      </c>
      <c r="H39" s="91">
        <v>30.641298563065462</v>
      </c>
      <c r="I39" s="2">
        <v>69.358701436934538</v>
      </c>
      <c r="L39" s="12">
        <v>49.54429047486547</v>
      </c>
      <c r="CD39" s="228"/>
    </row>
    <row r="40" spans="1:82" ht="15" hidden="1">
      <c r="A40" s="164" t="s">
        <v>24</v>
      </c>
      <c r="B40" s="91">
        <v>86.54</v>
      </c>
      <c r="C40" s="91">
        <v>26.73</v>
      </c>
      <c r="D40" s="91">
        <v>59.81</v>
      </c>
      <c r="E40" s="92">
        <v>43.008437716662812</v>
      </c>
      <c r="F40" s="92">
        <v>118.77403666292557</v>
      </c>
      <c r="G40" s="92">
        <v>9.147637518809562</v>
      </c>
      <c r="H40" s="91">
        <v>30.887450889761958</v>
      </c>
      <c r="I40" s="2">
        <v>69.112549110238035</v>
      </c>
      <c r="L40" s="12">
        <v>43.008437716662812</v>
      </c>
      <c r="CC40" s="12">
        <v>204</v>
      </c>
      <c r="CD40" s="228">
        <f t="shared" si="0"/>
        <v>204</v>
      </c>
    </row>
    <row r="41" spans="1:82" ht="15" hidden="1">
      <c r="A41" s="164" t="s">
        <v>25</v>
      </c>
      <c r="B41" s="91">
        <v>114.2466</v>
      </c>
      <c r="C41" s="91">
        <v>30.09</v>
      </c>
      <c r="D41" s="91">
        <v>84.156599999999997</v>
      </c>
      <c r="E41" s="92">
        <v>37.806833638812883</v>
      </c>
      <c r="F41" s="92">
        <v>96</v>
      </c>
      <c r="G41" s="92">
        <v>17</v>
      </c>
      <c r="H41" s="91">
        <v>26.337764099763145</v>
      </c>
      <c r="I41" s="2">
        <v>73.662235900236851</v>
      </c>
      <c r="L41" s="12">
        <v>37.806833638812883</v>
      </c>
      <c r="CC41" s="12">
        <v>200</v>
      </c>
      <c r="CD41" s="228">
        <f t="shared" si="0"/>
        <v>200</v>
      </c>
    </row>
    <row r="42" spans="1:82" ht="15" hidden="1">
      <c r="A42" s="164" t="s">
        <v>26</v>
      </c>
      <c r="B42" s="91">
        <v>104.042</v>
      </c>
      <c r="C42" s="91">
        <v>31.14</v>
      </c>
      <c r="D42" s="91">
        <v>72.902000000000001</v>
      </c>
      <c r="E42" s="92">
        <v>39.535802848849499</v>
      </c>
      <c r="F42" s="92">
        <v>104</v>
      </c>
      <c r="G42" s="92">
        <v>12</v>
      </c>
      <c r="H42" s="91">
        <v>29.930220487879893</v>
      </c>
      <c r="I42" s="2">
        <v>70.069779512120107</v>
      </c>
      <c r="L42" s="12">
        <v>39.535802848849499</v>
      </c>
      <c r="CD42" s="228"/>
    </row>
    <row r="43" spans="1:82" ht="15" hidden="1">
      <c r="A43" s="164" t="s">
        <v>27</v>
      </c>
      <c r="B43" s="91">
        <v>104.31</v>
      </c>
      <c r="C43" s="91">
        <v>32.270000000000003</v>
      </c>
      <c r="D43" s="91">
        <v>72.040000000000006</v>
      </c>
      <c r="E43" s="92">
        <v>48.649026938932039</v>
      </c>
      <c r="F43" s="92">
        <v>126</v>
      </c>
      <c r="G43" s="92">
        <v>14</v>
      </c>
      <c r="H43" s="91">
        <v>30.93663119547503</v>
      </c>
      <c r="I43" s="2">
        <v>69.063368804524984</v>
      </c>
      <c r="L43" s="12">
        <v>48.649026938932039</v>
      </c>
      <c r="CC43" s="12">
        <v>295</v>
      </c>
      <c r="CD43" s="228">
        <f t="shared" si="0"/>
        <v>295</v>
      </c>
    </row>
    <row r="44" spans="1:82" ht="15" hidden="1">
      <c r="A44" s="164" t="s">
        <v>28</v>
      </c>
      <c r="B44" s="91">
        <v>134.69999999999999</v>
      </c>
      <c r="C44" s="91">
        <v>59.2</v>
      </c>
      <c r="D44" s="91">
        <v>75.5</v>
      </c>
      <c r="E44" s="92">
        <v>59.510022271714924</v>
      </c>
      <c r="F44" s="92">
        <v>115</v>
      </c>
      <c r="G44" s="92">
        <v>16</v>
      </c>
      <c r="H44" s="91">
        <v>43.949517446176692</v>
      </c>
      <c r="I44" s="2">
        <v>56.050482553823308</v>
      </c>
      <c r="L44" s="12">
        <v>59.510022271714924</v>
      </c>
      <c r="CC44" s="12">
        <v>-95</v>
      </c>
      <c r="CD44" s="228">
        <f t="shared" si="0"/>
        <v>-95</v>
      </c>
    </row>
    <row r="45" spans="1:82" ht="15" hidden="1">
      <c r="A45" s="164" t="s">
        <v>29</v>
      </c>
      <c r="B45" s="91">
        <v>176.66</v>
      </c>
      <c r="C45" s="91">
        <v>63.02</v>
      </c>
      <c r="D45" s="91">
        <v>113.64</v>
      </c>
      <c r="E45" s="92">
        <v>42.678818068606368</v>
      </c>
      <c r="F45" s="92">
        <v>98</v>
      </c>
      <c r="G45" s="92">
        <v>12</v>
      </c>
      <c r="H45" s="91">
        <v>35.673044265821353</v>
      </c>
      <c r="I45" s="2">
        <v>64.326955734178654</v>
      </c>
      <c r="L45" s="12">
        <v>42.678818068606368</v>
      </c>
      <c r="CD45" s="228"/>
    </row>
    <row r="46" spans="1:82" ht="15" hidden="1">
      <c r="A46" s="164"/>
      <c r="B46" s="91"/>
      <c r="C46" s="91"/>
      <c r="D46" s="91"/>
      <c r="E46" s="92"/>
      <c r="F46" s="92"/>
      <c r="G46" s="92"/>
      <c r="H46" s="91"/>
      <c r="I46" s="2"/>
      <c r="CC46" s="12">
        <v>0</v>
      </c>
      <c r="CD46" s="228">
        <f t="shared" si="0"/>
        <v>0</v>
      </c>
    </row>
    <row r="47" spans="1:82" ht="15" hidden="1">
      <c r="A47" s="93" t="s">
        <v>121</v>
      </c>
      <c r="B47" s="91">
        <f>+B59</f>
        <v>406.69</v>
      </c>
      <c r="C47" s="91">
        <f t="shared" ref="C47:I47" si="2">+C59</f>
        <v>153.53</v>
      </c>
      <c r="D47" s="91">
        <f t="shared" si="2"/>
        <v>253.16</v>
      </c>
      <c r="E47" s="92">
        <f t="shared" si="2"/>
        <v>63.392517642430363</v>
      </c>
      <c r="F47" s="92">
        <f t="shared" si="2"/>
        <v>148.30000000000001</v>
      </c>
      <c r="G47" s="92">
        <f t="shared" si="2"/>
        <v>11.9</v>
      </c>
      <c r="H47" s="91">
        <f t="shared" si="2"/>
        <v>37.751112641077974</v>
      </c>
      <c r="I47" s="2">
        <f t="shared" si="2"/>
        <v>62.248887358922033</v>
      </c>
      <c r="CD47" s="228"/>
    </row>
    <row r="48" spans="1:82" ht="15" hidden="1">
      <c r="A48" s="93" t="s">
        <v>18</v>
      </c>
      <c r="B48" s="91">
        <v>150.6574</v>
      </c>
      <c r="C48" s="91">
        <v>43.72</v>
      </c>
      <c r="D48" s="91">
        <v>106.9374</v>
      </c>
      <c r="E48" s="92">
        <v>31.152859401529557</v>
      </c>
      <c r="F48" s="92">
        <v>78</v>
      </c>
      <c r="G48" s="92">
        <v>12</v>
      </c>
      <c r="H48" s="91">
        <v>29.01948394171146</v>
      </c>
      <c r="I48" s="2">
        <v>70.980516058288543</v>
      </c>
      <c r="L48" s="12">
        <v>31.152859401529557</v>
      </c>
      <c r="CC48" s="12">
        <f>CC49-CC53</f>
        <v>481</v>
      </c>
      <c r="CD48" s="228">
        <f t="shared" si="0"/>
        <v>481</v>
      </c>
    </row>
    <row r="49" spans="1:82" ht="15" hidden="1">
      <c r="A49" s="93" t="s">
        <v>19</v>
      </c>
      <c r="B49" s="91">
        <v>148.35</v>
      </c>
      <c r="C49" s="91">
        <v>60.16</v>
      </c>
      <c r="D49" s="91">
        <v>88.19</v>
      </c>
      <c r="E49" s="92">
        <v>44.575867880013483</v>
      </c>
      <c r="F49" s="92">
        <v>85</v>
      </c>
      <c r="G49" s="92">
        <v>17</v>
      </c>
      <c r="H49" s="91">
        <v>40.552746882372766</v>
      </c>
      <c r="I49" s="2">
        <v>59.447253117627227</v>
      </c>
      <c r="L49" s="12">
        <v>44.575867880013483</v>
      </c>
      <c r="CC49" s="12">
        <f>CC51+CC52</f>
        <v>965</v>
      </c>
      <c r="CD49" s="228">
        <f t="shared" si="0"/>
        <v>965</v>
      </c>
    </row>
    <row r="50" spans="1:82" ht="15" hidden="1">
      <c r="A50" s="93" t="s">
        <v>20</v>
      </c>
      <c r="B50" s="91">
        <v>138.91</v>
      </c>
      <c r="C50" s="91">
        <v>53.44</v>
      </c>
      <c r="D50" s="91">
        <v>85.47</v>
      </c>
      <c r="E50" s="92">
        <v>31.543733352530413</v>
      </c>
      <c r="F50" s="92">
        <v>66</v>
      </c>
      <c r="G50" s="92">
        <v>10</v>
      </c>
      <c r="H50" s="91">
        <v>38.470952415232887</v>
      </c>
      <c r="I50" s="2">
        <v>61.529047584767113</v>
      </c>
      <c r="L50" s="12">
        <v>31.543733352530413</v>
      </c>
      <c r="CD50" s="228"/>
    </row>
    <row r="51" spans="1:82" ht="15" hidden="1">
      <c r="A51" s="93" t="s">
        <v>21</v>
      </c>
      <c r="B51" s="91">
        <v>153.14060000000001</v>
      </c>
      <c r="C51" s="91">
        <v>49.85</v>
      </c>
      <c r="D51" s="91">
        <v>103.2906</v>
      </c>
      <c r="E51" s="92">
        <v>26.571750012733396</v>
      </c>
      <c r="F51" s="92">
        <v>54.9</v>
      </c>
      <c r="G51" s="92">
        <v>12.9</v>
      </c>
      <c r="H51" s="91">
        <v>32.551785744603322</v>
      </c>
      <c r="I51" s="2">
        <v>67.448214255396664</v>
      </c>
      <c r="L51" s="12">
        <v>26.571750012733396</v>
      </c>
      <c r="CC51" s="12">
        <v>954</v>
      </c>
      <c r="CD51" s="228">
        <f t="shared" si="0"/>
        <v>954</v>
      </c>
    </row>
    <row r="52" spans="1:82" ht="15" hidden="1">
      <c r="A52" s="93" t="s">
        <v>22</v>
      </c>
      <c r="B52" s="91">
        <v>203.43</v>
      </c>
      <c r="C52" s="91">
        <v>49.15</v>
      </c>
      <c r="D52" s="91">
        <v>154.28</v>
      </c>
      <c r="E52" s="92">
        <v>31.737993412967604</v>
      </c>
      <c r="F52" s="92">
        <v>78</v>
      </c>
      <c r="G52" s="92">
        <v>17</v>
      </c>
      <c r="H52" s="91">
        <v>24.160644939291156</v>
      </c>
      <c r="I52" s="2">
        <v>75.83935506070884</v>
      </c>
      <c r="L52" s="12">
        <v>31.737993412967604</v>
      </c>
      <c r="CC52" s="12">
        <v>11</v>
      </c>
      <c r="CD52" s="228">
        <f t="shared" si="0"/>
        <v>11</v>
      </c>
    </row>
    <row r="53" spans="1:82" ht="15" hidden="1">
      <c r="A53" s="93" t="s">
        <v>23</v>
      </c>
      <c r="B53" s="91">
        <v>197.18</v>
      </c>
      <c r="C53" s="91">
        <v>71.44</v>
      </c>
      <c r="D53" s="91">
        <v>125.74</v>
      </c>
      <c r="E53" s="92">
        <v>60.394340196774515</v>
      </c>
      <c r="F53" s="92">
        <v>141.69999999999999</v>
      </c>
      <c r="G53" s="92">
        <v>14.2</v>
      </c>
      <c r="H53" s="91">
        <v>36.230855056293734</v>
      </c>
      <c r="I53" s="2">
        <v>63.769144943706259</v>
      </c>
      <c r="L53" s="12">
        <v>60.394340196774515</v>
      </c>
      <c r="CC53" s="12">
        <f>CC55+CC56+CC57+CC58</f>
        <v>484</v>
      </c>
      <c r="CD53" s="228">
        <f t="shared" si="0"/>
        <v>484</v>
      </c>
    </row>
    <row r="54" spans="1:82" ht="15" hidden="1">
      <c r="A54" s="93" t="s">
        <v>24</v>
      </c>
      <c r="B54" s="91">
        <v>279.62</v>
      </c>
      <c r="C54" s="91">
        <v>99.15</v>
      </c>
      <c r="D54" s="91">
        <v>180.47</v>
      </c>
      <c r="E54" s="92">
        <v>69.854516844288682</v>
      </c>
      <c r="F54" s="92">
        <v>178.8</v>
      </c>
      <c r="G54" s="92">
        <v>10</v>
      </c>
      <c r="H54" s="91">
        <v>35.458836993062015</v>
      </c>
      <c r="I54" s="2">
        <v>64.541163006937978</v>
      </c>
      <c r="L54" s="12">
        <v>69.854516844288682</v>
      </c>
      <c r="CD54" s="228"/>
    </row>
    <row r="55" spans="1:82" ht="15" hidden="1">
      <c r="A55" s="93" t="s">
        <v>25</v>
      </c>
      <c r="B55" s="91">
        <v>274.07</v>
      </c>
      <c r="C55" s="91">
        <v>111.97</v>
      </c>
      <c r="D55" s="91">
        <v>162.1</v>
      </c>
      <c r="E55" s="92">
        <v>91.365654759732919</v>
      </c>
      <c r="F55" s="92">
        <v>202.5</v>
      </c>
      <c r="G55" s="92">
        <v>14.6</v>
      </c>
      <c r="H55" s="91">
        <v>40.854526215930235</v>
      </c>
      <c r="I55" s="2">
        <v>59.145473784069758</v>
      </c>
      <c r="L55" s="165">
        <v>91.365654759732919</v>
      </c>
      <c r="CC55" s="12">
        <v>1214</v>
      </c>
      <c r="CD55" s="228">
        <f t="shared" si="0"/>
        <v>1214</v>
      </c>
    </row>
    <row r="56" spans="1:82" ht="15" hidden="1">
      <c r="A56" s="93" t="s">
        <v>26</v>
      </c>
      <c r="B56" s="91">
        <v>291.32</v>
      </c>
      <c r="C56" s="91">
        <v>114.98</v>
      </c>
      <c r="D56" s="91">
        <v>176.34</v>
      </c>
      <c r="E56" s="92">
        <v>87.309178909789921</v>
      </c>
      <c r="F56" s="92">
        <v>197.9</v>
      </c>
      <c r="G56" s="92">
        <v>15.2</v>
      </c>
      <c r="H56" s="91">
        <v>39.46862556638748</v>
      </c>
      <c r="I56" s="2">
        <v>60.531374433612527</v>
      </c>
      <c r="L56" s="165">
        <v>87.309178909789921</v>
      </c>
      <c r="CC56" s="12">
        <v>-745</v>
      </c>
      <c r="CD56" s="228">
        <f t="shared" si="0"/>
        <v>-745</v>
      </c>
    </row>
    <row r="57" spans="1:82" ht="15" hidden="1">
      <c r="A57" s="93" t="s">
        <v>27</v>
      </c>
      <c r="B57" s="91">
        <v>320.9828</v>
      </c>
      <c r="C57" s="91">
        <v>133.28</v>
      </c>
      <c r="D57" s="91">
        <v>187.7028</v>
      </c>
      <c r="E57" s="92">
        <v>81.660525984569901</v>
      </c>
      <c r="F57" s="92">
        <v>175.4</v>
      </c>
      <c r="G57" s="92">
        <v>15.1</v>
      </c>
      <c r="H57" s="91">
        <v>41.52247410141603</v>
      </c>
      <c r="I57" s="2">
        <v>58.47752589858397</v>
      </c>
      <c r="L57" s="165">
        <v>81.660525984569901</v>
      </c>
      <c r="CC57" s="12">
        <v>0</v>
      </c>
      <c r="CD57" s="228">
        <f>BY57+BZ57+CA57+CC57</f>
        <v>0</v>
      </c>
    </row>
    <row r="58" spans="1:82" ht="15" hidden="1">
      <c r="A58" s="93" t="s">
        <v>28</v>
      </c>
      <c r="B58" s="91">
        <v>307.82</v>
      </c>
      <c r="C58" s="91">
        <v>141.9</v>
      </c>
      <c r="D58" s="91">
        <v>165.92</v>
      </c>
      <c r="E58" s="92">
        <v>78.159684231044125</v>
      </c>
      <c r="F58" s="92">
        <v>154.69999999999999</v>
      </c>
      <c r="G58" s="92">
        <v>12.7</v>
      </c>
      <c r="H58" s="91">
        <v>46.098369176791635</v>
      </c>
      <c r="I58" s="2">
        <v>53.901630823208372</v>
      </c>
      <c r="L58" s="165">
        <v>78.159684231044125</v>
      </c>
      <c r="CC58" s="12">
        <v>15</v>
      </c>
      <c r="CD58" s="228">
        <f>BY58+BZ58+CA58+CC58</f>
        <v>15</v>
      </c>
    </row>
    <row r="59" spans="1:82" ht="15" hidden="1">
      <c r="A59" s="93" t="s">
        <v>29</v>
      </c>
      <c r="B59" s="91">
        <v>406.69</v>
      </c>
      <c r="C59" s="91">
        <v>153.53</v>
      </c>
      <c r="D59" s="91">
        <v>253.16</v>
      </c>
      <c r="E59" s="92">
        <v>63.392517642430363</v>
      </c>
      <c r="F59" s="92">
        <v>148.30000000000001</v>
      </c>
      <c r="G59" s="92">
        <v>11.9</v>
      </c>
      <c r="H59" s="91">
        <v>37.751112641077974</v>
      </c>
      <c r="I59" s="2">
        <v>62.248887358922033</v>
      </c>
      <c r="L59" s="165">
        <v>63.392517642430363</v>
      </c>
      <c r="CC59" s="12">
        <v>-372</v>
      </c>
      <c r="CD59" s="228">
        <f>BY59+BZ59+CA59+CC59</f>
        <v>-372</v>
      </c>
    </row>
    <row r="60" spans="1:82" ht="15" hidden="1">
      <c r="A60" s="93"/>
      <c r="B60" s="91"/>
      <c r="C60" s="91"/>
      <c r="D60" s="91"/>
      <c r="E60" s="92"/>
      <c r="F60" s="92"/>
      <c r="G60" s="92"/>
      <c r="H60" s="91"/>
      <c r="I60" s="2"/>
      <c r="L60" s="165"/>
      <c r="CC60" s="12">
        <v>-231</v>
      </c>
      <c r="CD60" s="228">
        <f>BY60+BZ60+CA60+CC60</f>
        <v>-231</v>
      </c>
    </row>
    <row r="61" spans="1:82" ht="15">
      <c r="A61" s="280" t="s">
        <v>114</v>
      </c>
      <c r="B61" s="284">
        <f>+B73</f>
        <v>410.65499999999997</v>
      </c>
      <c r="C61" s="284">
        <f t="shared" ref="C61:I61" si="3">+C73</f>
        <v>230.64500000000001</v>
      </c>
      <c r="D61" s="284">
        <f t="shared" si="3"/>
        <v>180.01</v>
      </c>
      <c r="E61" s="756">
        <f t="shared" si="3"/>
        <v>40.141455723173962</v>
      </c>
      <c r="F61" s="756">
        <f t="shared" si="3"/>
        <v>60.7</v>
      </c>
      <c r="G61" s="756">
        <f t="shared" si="3"/>
        <v>13.8</v>
      </c>
      <c r="H61" s="284">
        <f t="shared" si="3"/>
        <v>56.165150795680077</v>
      </c>
      <c r="I61" s="284">
        <f t="shared" si="3"/>
        <v>43.83484920431993</v>
      </c>
      <c r="L61" s="165"/>
      <c r="CD61" s="228"/>
    </row>
    <row r="62" spans="1:82" ht="15" hidden="1">
      <c r="A62" s="280" t="s">
        <v>18</v>
      </c>
      <c r="B62" s="284">
        <v>353.16999999999996</v>
      </c>
      <c r="C62" s="284">
        <v>140.41999999999999</v>
      </c>
      <c r="D62" s="284">
        <v>212.75</v>
      </c>
      <c r="E62" s="756">
        <v>83.052093892459723</v>
      </c>
      <c r="F62" s="756">
        <v>188.4</v>
      </c>
      <c r="G62" s="756">
        <v>13.52</v>
      </c>
      <c r="H62" s="284">
        <v>39.759889005294902</v>
      </c>
      <c r="I62" s="284">
        <v>60.240110994705113</v>
      </c>
      <c r="L62" s="165">
        <v>83.052093892459723</v>
      </c>
      <c r="CC62" s="12">
        <f>CC8+CC46-CC48+CC59-CC60</f>
        <v>0</v>
      </c>
      <c r="CD62" s="228">
        <f>BY62+BZ62+CA62+CC62</f>
        <v>0</v>
      </c>
    </row>
    <row r="63" spans="1:82" ht="15" hidden="1">
      <c r="A63" s="280" t="s">
        <v>19</v>
      </c>
      <c r="B63" s="284">
        <v>302.24</v>
      </c>
      <c r="C63" s="284">
        <v>151.57</v>
      </c>
      <c r="D63" s="284">
        <v>150.66999999999999</v>
      </c>
      <c r="E63" s="756">
        <v>93.874010389094764</v>
      </c>
      <c r="F63" s="756">
        <v>173.9</v>
      </c>
      <c r="G63" s="756">
        <v>13.37</v>
      </c>
      <c r="H63" s="284">
        <v>50.148888300688185</v>
      </c>
      <c r="I63" s="284">
        <v>49.851111699311801</v>
      </c>
      <c r="L63" s="165">
        <v>93.874010389094764</v>
      </c>
    </row>
    <row r="64" spans="1:82" ht="15" hidden="1">
      <c r="A64" s="280" t="s">
        <v>20</v>
      </c>
      <c r="B64" s="284">
        <v>339.54999999999995</v>
      </c>
      <c r="C64" s="284">
        <v>171.41</v>
      </c>
      <c r="D64" s="284">
        <v>168.14</v>
      </c>
      <c r="E64" s="756">
        <v>87.23383595935799</v>
      </c>
      <c r="F64" s="756">
        <v>162.69999999999999</v>
      </c>
      <c r="G64" s="756">
        <v>10.3</v>
      </c>
      <c r="H64" s="284">
        <v>50.481519658371376</v>
      </c>
      <c r="I64" s="284">
        <v>49.518480341628631</v>
      </c>
      <c r="L64" s="165">
        <v>87.23383595935799</v>
      </c>
    </row>
    <row r="65" spans="1:40" ht="15" hidden="1">
      <c r="A65" s="280" t="s">
        <v>21</v>
      </c>
      <c r="B65" s="284">
        <v>324.08</v>
      </c>
      <c r="C65" s="284">
        <v>181.23</v>
      </c>
      <c r="D65" s="284">
        <v>142.85</v>
      </c>
      <c r="E65" s="756">
        <v>92.424129844482849</v>
      </c>
      <c r="F65" s="756">
        <v>152.9</v>
      </c>
      <c r="G65" s="756">
        <v>15.7</v>
      </c>
      <c r="H65" s="284">
        <v>55.921377437669705</v>
      </c>
      <c r="I65" s="284">
        <v>44.078622562330288</v>
      </c>
      <c r="L65" s="165">
        <v>92.424129844482849</v>
      </c>
    </row>
    <row r="66" spans="1:40" ht="15" hidden="1">
      <c r="A66" s="280" t="s">
        <v>22</v>
      </c>
      <c r="B66" s="284">
        <v>311.74</v>
      </c>
      <c r="C66" s="284">
        <v>215.21</v>
      </c>
      <c r="D66" s="284">
        <v>96.53</v>
      </c>
      <c r="E66" s="756">
        <v>118.87799127478027</v>
      </c>
      <c r="F66" s="756">
        <v>167.4</v>
      </c>
      <c r="G66" s="756">
        <v>10.7</v>
      </c>
      <c r="H66" s="284">
        <v>69.035093347019952</v>
      </c>
      <c r="I66" s="284">
        <v>30.964906652980044</v>
      </c>
      <c r="L66" s="165">
        <v>118.87799127478027</v>
      </c>
    </row>
    <row r="67" spans="1:40" ht="15" hidden="1">
      <c r="A67" s="280" t="s">
        <v>23</v>
      </c>
      <c r="B67" s="284">
        <v>300.72000000000003</v>
      </c>
      <c r="C67" s="284">
        <v>200.54</v>
      </c>
      <c r="D67" s="284">
        <v>100.18</v>
      </c>
      <c r="E67" s="756">
        <v>87.582410215482838</v>
      </c>
      <c r="F67" s="756">
        <v>125</v>
      </c>
      <c r="G67" s="756">
        <v>12.68</v>
      </c>
      <c r="H67" s="284">
        <v>66.686618781590852</v>
      </c>
      <c r="I67" s="284">
        <v>33.313381218409148</v>
      </c>
      <c r="L67" s="165">
        <v>87.582410215482838</v>
      </c>
    </row>
    <row r="68" spans="1:40" ht="15" hidden="1">
      <c r="A68" s="280" t="s">
        <v>24</v>
      </c>
      <c r="B68" s="284">
        <v>319.42</v>
      </c>
      <c r="C68" s="284">
        <v>224.06</v>
      </c>
      <c r="D68" s="284">
        <v>95.36</v>
      </c>
      <c r="E68" s="756">
        <v>78.781053784985289</v>
      </c>
      <c r="F68" s="756">
        <v>105.19</v>
      </c>
      <c r="G68" s="756">
        <v>16.73</v>
      </c>
      <c r="H68" s="284">
        <v>70.145889424582052</v>
      </c>
      <c r="I68" s="284">
        <v>29.854110575417941</v>
      </c>
      <c r="L68" s="165">
        <v>78.781053784985289</v>
      </c>
    </row>
    <row r="69" spans="1:40" ht="15" hidden="1">
      <c r="A69" s="280" t="s">
        <v>25</v>
      </c>
      <c r="B69" s="284">
        <v>271.56</v>
      </c>
      <c r="C69" s="284">
        <v>235.79</v>
      </c>
      <c r="D69" s="284">
        <v>35.770000000000003</v>
      </c>
      <c r="E69" s="756">
        <v>118.3252688172043</v>
      </c>
      <c r="F69" s="756">
        <v>134</v>
      </c>
      <c r="G69" s="756">
        <v>15</v>
      </c>
      <c r="H69" s="284">
        <v>86.827956989247312</v>
      </c>
      <c r="I69" s="284">
        <v>13.17204301075269</v>
      </c>
      <c r="L69" s="165">
        <v>118.3252688172043</v>
      </c>
    </row>
    <row r="70" spans="1:40" ht="15" hidden="1">
      <c r="A70" s="280" t="s">
        <v>26</v>
      </c>
      <c r="B70" s="284">
        <v>311.02999999999997</v>
      </c>
      <c r="C70" s="284">
        <v>230.53</v>
      </c>
      <c r="D70" s="284">
        <v>80.5</v>
      </c>
      <c r="E70" s="756">
        <v>86.635887213452094</v>
      </c>
      <c r="F70" s="756">
        <v>112</v>
      </c>
      <c r="G70" s="756">
        <v>14</v>
      </c>
      <c r="H70" s="284">
        <v>74.11825225862458</v>
      </c>
      <c r="I70" s="284">
        <v>25.881747741375431</v>
      </c>
      <c r="L70" s="165">
        <v>86.635887213452094</v>
      </c>
    </row>
    <row r="71" spans="1:40" ht="15" hidden="1">
      <c r="A71" s="280" t="s">
        <v>27</v>
      </c>
      <c r="B71" s="284">
        <v>308.82</v>
      </c>
      <c r="C71" s="284">
        <v>208.82</v>
      </c>
      <c r="D71" s="284">
        <v>100</v>
      </c>
      <c r="E71" s="756">
        <v>72.301580208535711</v>
      </c>
      <c r="F71" s="756">
        <v>100.7</v>
      </c>
      <c r="G71" s="756">
        <v>13</v>
      </c>
      <c r="H71" s="284">
        <v>67.618677546791005</v>
      </c>
      <c r="I71" s="284">
        <v>32.381322453208988</v>
      </c>
      <c r="L71" s="165">
        <v>72.301580208535711</v>
      </c>
    </row>
    <row r="72" spans="1:40" ht="15" hidden="1">
      <c r="A72" s="280" t="s">
        <v>28</v>
      </c>
      <c r="B72" s="284">
        <v>346.7</v>
      </c>
      <c r="C72" s="284">
        <v>221.7</v>
      </c>
      <c r="D72" s="284">
        <v>125</v>
      </c>
      <c r="E72" s="756">
        <v>55.838909720219206</v>
      </c>
      <c r="F72" s="756">
        <v>80.5</v>
      </c>
      <c r="G72" s="756">
        <v>12.1</v>
      </c>
      <c r="H72" s="284">
        <v>63.945774444764922</v>
      </c>
      <c r="I72" s="284">
        <v>36.054225555235078</v>
      </c>
      <c r="L72" s="165">
        <v>55.838909720219206</v>
      </c>
      <c r="AK72" s="166"/>
      <c r="AL72" s="167"/>
    </row>
    <row r="73" spans="1:40" ht="15" hidden="1">
      <c r="A73" s="280" t="s">
        <v>29</v>
      </c>
      <c r="B73" s="284">
        <v>410.65499999999997</v>
      </c>
      <c r="C73" s="284">
        <v>230.64500000000001</v>
      </c>
      <c r="D73" s="284">
        <v>180.01</v>
      </c>
      <c r="E73" s="756">
        <v>40.141455723173962</v>
      </c>
      <c r="F73" s="756">
        <v>60.7</v>
      </c>
      <c r="G73" s="756">
        <v>13.8</v>
      </c>
      <c r="H73" s="284">
        <v>56.165150795680077</v>
      </c>
      <c r="I73" s="284">
        <v>43.83484920431993</v>
      </c>
      <c r="L73" s="165">
        <v>40.141455723173962</v>
      </c>
    </row>
    <row r="74" spans="1:40" ht="15">
      <c r="A74" s="280" t="s">
        <v>43</v>
      </c>
      <c r="B74" s="284">
        <f>+B86</f>
        <v>173.9</v>
      </c>
      <c r="C74" s="284">
        <f t="shared" ref="C74:I74" si="4">+C86</f>
        <v>164.9</v>
      </c>
      <c r="D74" s="284">
        <f t="shared" si="4"/>
        <v>9</v>
      </c>
      <c r="E74" s="756">
        <f t="shared" si="4"/>
        <v>202</v>
      </c>
      <c r="F74" s="756">
        <f>+F86</f>
        <v>212</v>
      </c>
      <c r="G74" s="756">
        <f t="shared" si="4"/>
        <v>19</v>
      </c>
      <c r="H74" s="284">
        <f t="shared" si="4"/>
        <v>94.824611845888441</v>
      </c>
      <c r="I74" s="284">
        <f t="shared" si="4"/>
        <v>5.1753881541115581</v>
      </c>
      <c r="J74" s="166"/>
      <c r="K74" s="167"/>
      <c r="L74" s="165"/>
      <c r="M74" s="168"/>
      <c r="O74" s="132"/>
      <c r="P74" s="4"/>
      <c r="S74" s="166"/>
      <c r="T74" s="167"/>
      <c r="U74" s="167"/>
      <c r="V74" s="168"/>
      <c r="X74" s="132"/>
      <c r="Y74" s="4"/>
      <c r="AB74" s="166"/>
      <c r="AC74" s="167"/>
      <c r="AD74" s="167"/>
      <c r="AE74" s="168"/>
      <c r="AG74" s="132"/>
      <c r="AH74" s="4"/>
      <c r="AK74" s="166"/>
      <c r="AL74" s="167"/>
    </row>
    <row r="75" spans="1:40" ht="15" hidden="1">
      <c r="A75" s="280" t="s">
        <v>18</v>
      </c>
      <c r="B75" s="284">
        <v>351.27019999999999</v>
      </c>
      <c r="C75" s="284">
        <v>217.6942</v>
      </c>
      <c r="D75" s="284">
        <v>133.57599999999999</v>
      </c>
      <c r="E75" s="756">
        <v>34.904583594053804</v>
      </c>
      <c r="F75" s="756">
        <v>50.1</v>
      </c>
      <c r="G75" s="756">
        <v>10.14</v>
      </c>
      <c r="H75" s="284">
        <v>61.973432417552075</v>
      </c>
      <c r="I75" s="284">
        <v>38.026567582447932</v>
      </c>
      <c r="L75" s="165">
        <v>34.904583594053804</v>
      </c>
    </row>
    <row r="76" spans="1:40" ht="15" hidden="1">
      <c r="A76" s="280" t="s">
        <v>19</v>
      </c>
      <c r="B76" s="284">
        <v>215.11</v>
      </c>
      <c r="C76" s="284">
        <v>177.5</v>
      </c>
      <c r="D76" s="284">
        <v>37.61</v>
      </c>
      <c r="E76" s="756">
        <v>70.823635814234592</v>
      </c>
      <c r="F76" s="756">
        <v>84.15</v>
      </c>
      <c r="G76" s="756">
        <v>7.93</v>
      </c>
      <c r="H76" s="284">
        <v>82.515922086374403</v>
      </c>
      <c r="I76" s="284">
        <v>17.484077913625583</v>
      </c>
      <c r="L76" s="165">
        <v>70.823635814234592</v>
      </c>
    </row>
    <row r="77" spans="1:40" ht="15" hidden="1">
      <c r="A77" s="280" t="s">
        <v>20</v>
      </c>
      <c r="B77" s="284">
        <v>149.28</v>
      </c>
      <c r="C77" s="284">
        <v>134.43</v>
      </c>
      <c r="D77" s="284">
        <v>14.85</v>
      </c>
      <c r="E77" s="756">
        <v>87.23001406752411</v>
      </c>
      <c r="F77" s="756">
        <v>95.8</v>
      </c>
      <c r="G77" s="756">
        <v>9.65</v>
      </c>
      <c r="H77" s="284">
        <v>90.052250803858527</v>
      </c>
      <c r="I77" s="284">
        <v>9.9477491961414781</v>
      </c>
      <c r="L77" s="165">
        <v>87.23001406752411</v>
      </c>
    </row>
    <row r="78" spans="1:40" ht="15" hidden="1">
      <c r="A78" s="280" t="s">
        <v>21</v>
      </c>
      <c r="B78" s="284">
        <v>176.79</v>
      </c>
      <c r="C78" s="284">
        <v>157.79</v>
      </c>
      <c r="D78" s="284">
        <v>19</v>
      </c>
      <c r="E78" s="756">
        <v>101.56982861021551</v>
      </c>
      <c r="F78" s="756">
        <v>112</v>
      </c>
      <c r="G78" s="756">
        <v>14.95</v>
      </c>
      <c r="H78" s="284">
        <v>89.252785791051522</v>
      </c>
      <c r="I78" s="284">
        <v>10.747214208948471</v>
      </c>
      <c r="L78" s="165">
        <v>101.56982861021551</v>
      </c>
    </row>
    <row r="79" spans="1:40" ht="15" hidden="1">
      <c r="A79" s="280" t="s">
        <v>22</v>
      </c>
      <c r="B79" s="284">
        <v>156.56</v>
      </c>
      <c r="C79" s="284">
        <v>140.56</v>
      </c>
      <c r="D79" s="284">
        <v>16</v>
      </c>
      <c r="E79" s="756">
        <v>126.88007153806848</v>
      </c>
      <c r="F79" s="756">
        <v>139.9</v>
      </c>
      <c r="G79" s="756">
        <v>12.5</v>
      </c>
      <c r="H79" s="284">
        <v>89.780275932549827</v>
      </c>
      <c r="I79" s="284">
        <v>10.219724067450178</v>
      </c>
      <c r="L79" s="165">
        <v>126.88007153806848</v>
      </c>
    </row>
    <row r="80" spans="1:40" ht="14.25" hidden="1">
      <c r="A80" s="280" t="s">
        <v>23</v>
      </c>
      <c r="B80" s="284">
        <v>175.77</v>
      </c>
      <c r="C80" s="284">
        <v>159.77000000000001</v>
      </c>
      <c r="D80" s="284">
        <v>16</v>
      </c>
      <c r="E80" s="756">
        <v>140.35573306024921</v>
      </c>
      <c r="F80" s="756">
        <v>153.36000000000001</v>
      </c>
      <c r="G80" s="757">
        <v>10.5</v>
      </c>
      <c r="H80" s="284">
        <v>90.897195198270467</v>
      </c>
      <c r="I80" s="284">
        <v>9.1028048017295315</v>
      </c>
      <c r="J80" s="166"/>
      <c r="K80" s="167"/>
      <c r="L80" s="167">
        <v>140.35573306024921</v>
      </c>
      <c r="M80" s="168"/>
      <c r="O80" s="132"/>
      <c r="P80" s="4"/>
      <c r="S80" s="166"/>
      <c r="T80" s="167"/>
      <c r="U80" s="167"/>
      <c r="V80" s="168"/>
      <c r="X80" s="132"/>
      <c r="Y80" s="4"/>
      <c r="AB80" s="166"/>
      <c r="AC80" s="167"/>
      <c r="AD80" s="167"/>
      <c r="AE80" s="168"/>
      <c r="AG80" s="132"/>
      <c r="AH80" s="4"/>
      <c r="AK80" s="166"/>
      <c r="AL80" s="167"/>
      <c r="AM80" s="167"/>
      <c r="AN80" s="168"/>
    </row>
    <row r="81" spans="1:40" ht="15" hidden="1">
      <c r="A81" s="280" t="s">
        <v>24</v>
      </c>
      <c r="B81" s="284">
        <v>149.18</v>
      </c>
      <c r="C81" s="284">
        <v>135.18</v>
      </c>
      <c r="D81" s="284">
        <v>14</v>
      </c>
      <c r="E81" s="756">
        <v>183.65439066899</v>
      </c>
      <c r="F81" s="756">
        <v>201.9</v>
      </c>
      <c r="G81" s="756">
        <v>7.48</v>
      </c>
      <c r="H81" s="284">
        <v>90.615363989810973</v>
      </c>
      <c r="I81" s="284">
        <v>9.384636010189034</v>
      </c>
      <c r="L81" s="165">
        <v>183.65439066899049</v>
      </c>
      <c r="AH81" s="4"/>
      <c r="AK81" s="166"/>
      <c r="AL81" s="167"/>
      <c r="AM81" s="167"/>
      <c r="AN81" s="168"/>
    </row>
    <row r="82" spans="1:40" ht="15" hidden="1">
      <c r="A82" s="280" t="s">
        <v>25</v>
      </c>
      <c r="B82" s="284">
        <v>161.4</v>
      </c>
      <c r="C82" s="284">
        <v>147.4</v>
      </c>
      <c r="D82" s="284">
        <v>14</v>
      </c>
      <c r="E82" s="756">
        <v>141</v>
      </c>
      <c r="F82" s="756">
        <v>153.9</v>
      </c>
      <c r="G82" s="756">
        <v>8</v>
      </c>
      <c r="H82" s="284">
        <v>91.325898389095414</v>
      </c>
      <c r="I82" s="284">
        <v>8.6741016109045841</v>
      </c>
      <c r="L82" s="165">
        <v>183.65439066899049</v>
      </c>
      <c r="AH82" s="4"/>
      <c r="AK82" s="166"/>
      <c r="AL82" s="167"/>
      <c r="AM82" s="167"/>
      <c r="AN82" s="168"/>
    </row>
    <row r="83" spans="1:40" ht="15" hidden="1">
      <c r="A83" s="280" t="s">
        <v>26</v>
      </c>
      <c r="B83" s="284">
        <v>161.80000000000001</v>
      </c>
      <c r="C83" s="284">
        <v>146.80000000000001</v>
      </c>
      <c r="D83" s="284">
        <v>15</v>
      </c>
      <c r="E83" s="756">
        <v>163</v>
      </c>
      <c r="F83" s="756">
        <v>178</v>
      </c>
      <c r="G83" s="756">
        <v>15.8</v>
      </c>
      <c r="H83" s="284">
        <v>90.72929542645241</v>
      </c>
      <c r="I83" s="284">
        <v>9.2707045735475884</v>
      </c>
      <c r="L83" s="165">
        <v>183.65439066899049</v>
      </c>
      <c r="AH83" s="4"/>
      <c r="AK83" s="166"/>
      <c r="AL83" s="167"/>
      <c r="AM83" s="167"/>
      <c r="AN83" s="168"/>
    </row>
    <row r="84" spans="1:40" ht="15" hidden="1">
      <c r="A84" s="280" t="s">
        <v>27</v>
      </c>
      <c r="B84" s="284">
        <v>171.2</v>
      </c>
      <c r="C84" s="284">
        <v>165.2</v>
      </c>
      <c r="D84" s="284">
        <v>6</v>
      </c>
      <c r="E84" s="756">
        <v>79.792289719626169</v>
      </c>
      <c r="F84" s="756">
        <v>82.2</v>
      </c>
      <c r="G84" s="756">
        <v>13.5</v>
      </c>
      <c r="H84" s="284">
        <v>96.495327102803742</v>
      </c>
      <c r="I84" s="284">
        <v>3.504672897196262</v>
      </c>
      <c r="L84" s="165"/>
      <c r="AH84" s="4"/>
      <c r="AK84" s="166"/>
      <c r="AL84" s="167"/>
      <c r="AM84" s="167"/>
      <c r="AN84" s="168"/>
    </row>
    <row r="85" spans="1:40" ht="14.25" hidden="1">
      <c r="A85" s="280" t="s">
        <v>28</v>
      </c>
      <c r="B85" s="284">
        <v>168.9</v>
      </c>
      <c r="C85" s="284">
        <v>160.4</v>
      </c>
      <c r="D85" s="284">
        <v>8.5</v>
      </c>
      <c r="E85" s="756">
        <v>200.9</v>
      </c>
      <c r="F85" s="756">
        <v>211</v>
      </c>
      <c r="G85" s="756">
        <v>9.65</v>
      </c>
      <c r="H85" s="284">
        <v>94.96743635287153</v>
      </c>
      <c r="I85" s="284">
        <v>5.0325636471284785</v>
      </c>
    </row>
    <row r="86" spans="1:40" ht="14.25" hidden="1">
      <c r="A86" s="280" t="s">
        <v>29</v>
      </c>
      <c r="B86" s="284">
        <v>173.9</v>
      </c>
      <c r="C86" s="284">
        <v>164.9</v>
      </c>
      <c r="D86" s="284">
        <v>9</v>
      </c>
      <c r="E86" s="756">
        <v>202</v>
      </c>
      <c r="F86" s="756">
        <v>212</v>
      </c>
      <c r="G86" s="756">
        <v>19</v>
      </c>
      <c r="H86" s="284">
        <v>94.824611845888441</v>
      </c>
      <c r="I86" s="284">
        <v>5.1753881541115581</v>
      </c>
    </row>
    <row r="87" spans="1:40" ht="14.25">
      <c r="A87" s="280" t="s">
        <v>48</v>
      </c>
      <c r="B87" s="284">
        <v>309.7</v>
      </c>
      <c r="C87" s="284">
        <v>269.7</v>
      </c>
      <c r="D87" s="284">
        <v>40</v>
      </c>
      <c r="E87" s="756">
        <v>433.6</v>
      </c>
      <c r="F87" s="756">
        <v>495.9</v>
      </c>
      <c r="G87" s="756">
        <v>13.9</v>
      </c>
      <c r="H87" s="284">
        <v>87.084275104940261</v>
      </c>
      <c r="I87" s="284">
        <v>12.915724895059736</v>
      </c>
    </row>
    <row r="88" spans="1:40" ht="14.25" hidden="1">
      <c r="A88" s="280" t="s">
        <v>18</v>
      </c>
      <c r="B88" s="284">
        <v>159.61799999999999</v>
      </c>
      <c r="C88" s="284">
        <v>146.018</v>
      </c>
      <c r="D88" s="284">
        <v>13.6</v>
      </c>
      <c r="E88" s="756">
        <v>210.5</v>
      </c>
      <c r="F88" s="756">
        <v>228.8</v>
      </c>
      <c r="G88" s="756">
        <v>14.4</v>
      </c>
      <c r="H88" s="284">
        <v>91.479657682717502</v>
      </c>
      <c r="I88" s="284">
        <v>8.5203423172825108</v>
      </c>
    </row>
    <row r="89" spans="1:40" ht="14.25" hidden="1">
      <c r="A89" s="280" t="s">
        <v>19</v>
      </c>
      <c r="B89" s="284">
        <v>141.94939999999997</v>
      </c>
      <c r="C89" s="284">
        <v>125.94939999999995</v>
      </c>
      <c r="D89" s="284">
        <v>16</v>
      </c>
      <c r="E89" s="756">
        <v>244.31068986554362</v>
      </c>
      <c r="F89" s="756">
        <v>273.60000000000002</v>
      </c>
      <c r="G89" s="756">
        <v>13.75</v>
      </c>
      <c r="H89" s="284">
        <v>88.728377858589042</v>
      </c>
      <c r="I89" s="284">
        <v>11.271622141410957</v>
      </c>
    </row>
    <row r="90" spans="1:40" ht="14.25" hidden="1">
      <c r="A90" s="280" t="s">
        <v>20</v>
      </c>
      <c r="B90" s="284">
        <v>137</v>
      </c>
      <c r="C90" s="284">
        <v>122</v>
      </c>
      <c r="D90" s="284">
        <v>15</v>
      </c>
      <c r="E90" s="756">
        <v>324</v>
      </c>
      <c r="F90" s="756">
        <v>361.5</v>
      </c>
      <c r="G90" s="756">
        <v>15.3</v>
      </c>
      <c r="H90" s="284">
        <v>89.051094890510953</v>
      </c>
      <c r="I90" s="284">
        <v>10.948905109489052</v>
      </c>
    </row>
    <row r="91" spans="1:40" ht="14.25" hidden="1">
      <c r="A91" s="280" t="s">
        <v>21</v>
      </c>
      <c r="B91" s="284">
        <v>194.5</v>
      </c>
      <c r="C91" s="284">
        <v>175.5</v>
      </c>
      <c r="D91" s="284">
        <v>19</v>
      </c>
      <c r="E91" s="756">
        <v>502.47120822622105</v>
      </c>
      <c r="F91" s="756">
        <v>555.29999999999995</v>
      </c>
      <c r="G91" s="756">
        <v>14.5</v>
      </c>
      <c r="H91" s="284">
        <v>90.231362467866333</v>
      </c>
      <c r="I91" s="284">
        <v>9.7686375321336758</v>
      </c>
    </row>
    <row r="92" spans="1:40" ht="14.25" hidden="1">
      <c r="A92" s="280" t="s">
        <v>22</v>
      </c>
      <c r="B92" s="284">
        <v>183</v>
      </c>
      <c r="C92" s="284">
        <v>164</v>
      </c>
      <c r="D92" s="284">
        <v>19</v>
      </c>
      <c r="E92" s="756">
        <v>645.87693989071033</v>
      </c>
      <c r="F92" s="756">
        <v>719.3</v>
      </c>
      <c r="G92" s="756">
        <v>12.12</v>
      </c>
      <c r="H92" s="284">
        <v>89.617486338797818</v>
      </c>
      <c r="I92" s="284">
        <v>10.382513661202186</v>
      </c>
    </row>
    <row r="93" spans="1:40" ht="14.25" hidden="1">
      <c r="A93" s="280" t="s">
        <v>23</v>
      </c>
      <c r="B93" s="284">
        <v>190.6</v>
      </c>
      <c r="C93" s="284">
        <v>164.6</v>
      </c>
      <c r="D93" s="284">
        <v>26</v>
      </c>
      <c r="E93" s="756">
        <v>608.40367261280164</v>
      </c>
      <c r="F93" s="756">
        <v>701.9</v>
      </c>
      <c r="G93" s="756">
        <v>16.5</v>
      </c>
      <c r="H93" s="284">
        <v>86.358866736621195</v>
      </c>
      <c r="I93" s="284">
        <v>13.641133263378805</v>
      </c>
    </row>
    <row r="94" spans="1:40" ht="14.25" hidden="1">
      <c r="A94" s="280" t="s">
        <v>24</v>
      </c>
      <c r="B94" s="284">
        <v>174.4</v>
      </c>
      <c r="C94" s="284">
        <v>162.6</v>
      </c>
      <c r="D94" s="284">
        <v>11.8</v>
      </c>
      <c r="E94" s="756">
        <v>679.37912844036691</v>
      </c>
      <c r="F94" s="756">
        <v>728</v>
      </c>
      <c r="G94" s="756">
        <v>9.4</v>
      </c>
      <c r="H94" s="284">
        <v>93.233944954128432</v>
      </c>
      <c r="I94" s="284">
        <v>6.7660550458715596</v>
      </c>
    </row>
    <row r="95" spans="1:40" ht="14.25" hidden="1">
      <c r="A95" s="280" t="s">
        <v>25</v>
      </c>
      <c r="B95" s="284">
        <v>194.78639999999996</v>
      </c>
      <c r="C95" s="284">
        <v>174.78639999999996</v>
      </c>
      <c r="D95" s="284">
        <v>20</v>
      </c>
      <c r="E95" s="756">
        <v>536.75965467815001</v>
      </c>
      <c r="F95" s="756">
        <v>597</v>
      </c>
      <c r="G95" s="756">
        <v>10.3</v>
      </c>
      <c r="H95" s="284">
        <v>89.732342709757972</v>
      </c>
      <c r="I95" s="284">
        <v>10.267657290242031</v>
      </c>
    </row>
    <row r="96" spans="1:40" ht="14.25" hidden="1">
      <c r="A96" s="280" t="s">
        <v>26</v>
      </c>
      <c r="B96" s="284">
        <v>220.91</v>
      </c>
      <c r="C96" s="284">
        <v>196.91</v>
      </c>
      <c r="D96" s="284">
        <v>24</v>
      </c>
      <c r="E96" s="756">
        <v>472.27776017382638</v>
      </c>
      <c r="F96" s="756">
        <v>528</v>
      </c>
      <c r="G96" s="756">
        <v>15.1</v>
      </c>
      <c r="H96" s="284">
        <v>89.135847177583628</v>
      </c>
      <c r="I96" s="284">
        <v>10.864152822416369</v>
      </c>
    </row>
    <row r="97" spans="1:9" ht="14.25" hidden="1">
      <c r="A97" s="280" t="s">
        <v>27</v>
      </c>
      <c r="B97" s="284">
        <v>215.46</v>
      </c>
      <c r="C97" s="284">
        <v>200.46</v>
      </c>
      <c r="D97" s="284">
        <v>15</v>
      </c>
      <c r="E97" s="756">
        <v>541.4</v>
      </c>
      <c r="F97" s="756">
        <v>581.5</v>
      </c>
      <c r="G97" s="756">
        <v>5.18</v>
      </c>
      <c r="H97" s="284">
        <v>93.038150932887774</v>
      </c>
      <c r="I97" s="284">
        <v>6.9618490671122242</v>
      </c>
    </row>
    <row r="98" spans="1:9" ht="14.25" hidden="1">
      <c r="A98" s="280" t="s">
        <v>28</v>
      </c>
      <c r="B98" s="284">
        <v>285.613</v>
      </c>
      <c r="C98" s="284">
        <v>258</v>
      </c>
      <c r="D98" s="284">
        <v>27.613</v>
      </c>
      <c r="E98" s="756">
        <v>461</v>
      </c>
      <c r="F98" s="756">
        <v>510</v>
      </c>
      <c r="G98" s="756">
        <v>7</v>
      </c>
      <c r="H98" s="284">
        <v>90.33202270204788</v>
      </c>
      <c r="I98" s="284">
        <v>9.6679772979521239</v>
      </c>
    </row>
    <row r="99" spans="1:9" ht="14.25" hidden="1">
      <c r="A99" s="280" t="s">
        <v>29</v>
      </c>
      <c r="B99" s="284">
        <v>309.7</v>
      </c>
      <c r="C99" s="284">
        <v>269.7</v>
      </c>
      <c r="D99" s="284">
        <v>40</v>
      </c>
      <c r="E99" s="756">
        <v>433.6</v>
      </c>
      <c r="F99" s="756">
        <v>495.9</v>
      </c>
      <c r="G99" s="756">
        <v>13.9</v>
      </c>
      <c r="H99" s="284">
        <v>87.084275104940261</v>
      </c>
      <c r="I99" s="284">
        <v>12.915724895059736</v>
      </c>
    </row>
    <row r="100" spans="1:9" ht="14.25">
      <c r="A100" s="280" t="s">
        <v>1030</v>
      </c>
      <c r="B100" s="284">
        <v>250.64</v>
      </c>
      <c r="C100" s="284">
        <v>159.44</v>
      </c>
      <c r="D100" s="284">
        <v>91.2</v>
      </c>
      <c r="E100" s="756">
        <v>487.86322249862133</v>
      </c>
      <c r="F100" s="756">
        <v>759.02259369043225</v>
      </c>
      <c r="G100" s="756">
        <v>13.810041108025523</v>
      </c>
      <c r="H100" s="284">
        <v>63.613150335142045</v>
      </c>
      <c r="I100" s="284">
        <v>36.386849664857969</v>
      </c>
    </row>
    <row r="101" spans="1:9" ht="14.25" hidden="1">
      <c r="A101" s="280" t="s">
        <v>18</v>
      </c>
      <c r="B101" s="284">
        <v>284.8</v>
      </c>
      <c r="C101" s="284">
        <v>227.8</v>
      </c>
      <c r="D101" s="284">
        <v>57</v>
      </c>
      <c r="E101" s="756">
        <v>461</v>
      </c>
      <c r="F101" s="756">
        <v>573</v>
      </c>
      <c r="G101" s="756">
        <v>12.6</v>
      </c>
      <c r="H101" s="284">
        <v>79.985955056179776</v>
      </c>
      <c r="I101" s="284">
        <v>20.014044943820224</v>
      </c>
    </row>
    <row r="102" spans="1:9" ht="14.25" hidden="1">
      <c r="A102" s="280" t="s">
        <v>19</v>
      </c>
      <c r="B102" s="284">
        <v>319.3</v>
      </c>
      <c r="C102" s="284">
        <v>219.3</v>
      </c>
      <c r="D102" s="284">
        <v>100</v>
      </c>
      <c r="E102" s="756">
        <v>356.3</v>
      </c>
      <c r="F102" s="756">
        <v>514</v>
      </c>
      <c r="G102" s="756">
        <v>10.5</v>
      </c>
      <c r="H102" s="284">
        <v>68.681490761039782</v>
      </c>
      <c r="I102" s="284">
        <v>31.318509238960225</v>
      </c>
    </row>
    <row r="103" spans="1:9" ht="14.25" hidden="1">
      <c r="A103" s="280" t="s">
        <v>20</v>
      </c>
      <c r="B103" s="284">
        <v>313.39999999999998</v>
      </c>
      <c r="C103" s="284">
        <v>203.4</v>
      </c>
      <c r="D103" s="284">
        <v>110</v>
      </c>
      <c r="E103" s="756">
        <v>396.24090619017238</v>
      </c>
      <c r="F103" s="756">
        <v>603.5</v>
      </c>
      <c r="G103" s="756">
        <v>13</v>
      </c>
      <c r="H103" s="284">
        <v>64.901084875558396</v>
      </c>
      <c r="I103" s="284">
        <v>35.098915124441611</v>
      </c>
    </row>
    <row r="104" spans="1:9" ht="14.25" hidden="1">
      <c r="A104" s="280" t="s">
        <v>21</v>
      </c>
      <c r="B104" s="284">
        <v>308.49</v>
      </c>
      <c r="C104" s="284">
        <v>213.49</v>
      </c>
      <c r="D104" s="284">
        <v>95</v>
      </c>
      <c r="E104" s="756">
        <v>414</v>
      </c>
      <c r="F104" s="756">
        <v>592</v>
      </c>
      <c r="G104" s="756">
        <v>15.6</v>
      </c>
      <c r="H104" s="284">
        <v>69.204836461473633</v>
      </c>
      <c r="I104" s="284">
        <v>30.795163538526371</v>
      </c>
    </row>
    <row r="105" spans="1:9" ht="14.25" hidden="1">
      <c r="A105" s="280" t="s">
        <v>22</v>
      </c>
      <c r="B105" s="284">
        <v>336.49</v>
      </c>
      <c r="C105" s="284">
        <v>201.49</v>
      </c>
      <c r="D105" s="284">
        <v>135</v>
      </c>
      <c r="E105" s="756">
        <v>390.23790669789537</v>
      </c>
      <c r="F105" s="756">
        <v>643.20000000000005</v>
      </c>
      <c r="G105" s="756">
        <v>12.687297961294771</v>
      </c>
      <c r="H105" s="284">
        <v>59.879936996641803</v>
      </c>
      <c r="I105" s="284">
        <v>40.120063003358197</v>
      </c>
    </row>
    <row r="106" spans="1:9" ht="14.25" hidden="1">
      <c r="A106" s="280" t="s">
        <v>23</v>
      </c>
      <c r="B106" s="284">
        <v>289.01</v>
      </c>
      <c r="C106" s="284">
        <v>214.94</v>
      </c>
      <c r="D106" s="284">
        <v>74.069999999999993</v>
      </c>
      <c r="E106" s="756">
        <v>459.25192899899656</v>
      </c>
      <c r="F106" s="756">
        <v>612</v>
      </c>
      <c r="G106" s="756">
        <v>16</v>
      </c>
      <c r="H106" s="284">
        <v>74.371129026677281</v>
      </c>
      <c r="I106" s="284">
        <v>25.628870973322719</v>
      </c>
    </row>
    <row r="107" spans="1:9" ht="14.25" hidden="1">
      <c r="A107" s="280" t="s">
        <v>24</v>
      </c>
      <c r="B107" s="284">
        <v>220.64780000000002</v>
      </c>
      <c r="C107" s="284">
        <v>200.93989999999997</v>
      </c>
      <c r="D107" s="284">
        <v>19.707900000000066</v>
      </c>
      <c r="E107" s="756">
        <v>593.4</v>
      </c>
      <c r="F107" s="756">
        <v>650.59444012038057</v>
      </c>
      <c r="G107" s="756">
        <v>10.498754306648603</v>
      </c>
      <c r="H107" s="284">
        <v>91.068163833947111</v>
      </c>
      <c r="I107" s="284">
        <v>8.9318361660528982</v>
      </c>
    </row>
    <row r="108" spans="1:9" ht="14.25" hidden="1">
      <c r="A108" s="280" t="s">
        <v>25</v>
      </c>
      <c r="B108" s="284">
        <f>D108+C108</f>
        <v>245.95</v>
      </c>
      <c r="C108" s="284">
        <v>195.95</v>
      </c>
      <c r="D108" s="284">
        <v>50</v>
      </c>
      <c r="E108" s="756">
        <f t="shared" ref="E108:E113" si="5">(G108*D108+F108*C108)/(C108+D108)</f>
        <v>575.97818666504349</v>
      </c>
      <c r="F108" s="756">
        <v>719.12138305826716</v>
      </c>
      <c r="G108" s="756">
        <v>15</v>
      </c>
      <c r="H108" s="284">
        <f t="shared" ref="H108:H113" si="6">C108/B108*100</f>
        <v>79.670664769262046</v>
      </c>
      <c r="I108" s="284">
        <f t="shared" ref="I108:I113" si="7">D108/B108*100</f>
        <v>20.329335230737954</v>
      </c>
    </row>
    <row r="109" spans="1:9" ht="14.25" hidden="1">
      <c r="A109" s="280" t="s">
        <v>26</v>
      </c>
      <c r="B109" s="284">
        <f>D109+C109</f>
        <v>197.78</v>
      </c>
      <c r="C109" s="284">
        <v>175.96</v>
      </c>
      <c r="D109" s="284">
        <v>21.82</v>
      </c>
      <c r="E109" s="756">
        <f t="shared" si="5"/>
        <v>644.54937720592727</v>
      </c>
      <c r="F109" s="756">
        <v>722.74094012155206</v>
      </c>
      <c r="G109" s="756">
        <v>14</v>
      </c>
      <c r="H109" s="284">
        <f t="shared" si="6"/>
        <v>88.967539690565275</v>
      </c>
      <c r="I109" s="284">
        <f t="shared" si="7"/>
        <v>11.032460309434725</v>
      </c>
    </row>
    <row r="110" spans="1:9" ht="14.25" hidden="1">
      <c r="A110" s="280" t="s">
        <v>27</v>
      </c>
      <c r="B110" s="284">
        <v>213.33999999999997</v>
      </c>
      <c r="C110" s="284">
        <v>172.64</v>
      </c>
      <c r="D110" s="284">
        <v>40.700000000000003</v>
      </c>
      <c r="E110" s="756">
        <f t="shared" si="5"/>
        <v>591.34290770678047</v>
      </c>
      <c r="F110" s="756">
        <v>727.70225129376411</v>
      </c>
      <c r="G110" s="756">
        <v>12.938065523565122</v>
      </c>
      <c r="H110" s="284">
        <f t="shared" si="6"/>
        <v>80.922471172775857</v>
      </c>
      <c r="I110" s="284">
        <f t="shared" si="7"/>
        <v>19.077528827224153</v>
      </c>
    </row>
    <row r="111" spans="1:9" ht="14.25" hidden="1">
      <c r="A111" s="280" t="s">
        <v>28</v>
      </c>
      <c r="B111" s="284">
        <v>204.28</v>
      </c>
      <c r="C111" s="284">
        <v>169.44</v>
      </c>
      <c r="D111" s="284">
        <v>34.840000000000003</v>
      </c>
      <c r="E111" s="756">
        <f t="shared" si="5"/>
        <v>608.69188519878401</v>
      </c>
      <c r="F111" s="756">
        <v>730.14906933668317</v>
      </c>
      <c r="G111" s="756">
        <v>18</v>
      </c>
      <c r="H111" s="284">
        <f t="shared" si="6"/>
        <v>82.944977481887605</v>
      </c>
      <c r="I111" s="284">
        <f t="shared" si="7"/>
        <v>17.055022518112398</v>
      </c>
    </row>
    <row r="112" spans="1:9" ht="14.25" hidden="1">
      <c r="A112" s="280" t="s">
        <v>29</v>
      </c>
      <c r="B112" s="284">
        <v>250.64</v>
      </c>
      <c r="C112" s="284">
        <v>159.44</v>
      </c>
      <c r="D112" s="284">
        <v>91.2</v>
      </c>
      <c r="E112" s="756">
        <f t="shared" si="5"/>
        <v>487.86322249862133</v>
      </c>
      <c r="F112" s="756">
        <v>759.02259369043225</v>
      </c>
      <c r="G112" s="756">
        <v>13.810041108025523</v>
      </c>
      <c r="H112" s="284">
        <f t="shared" si="6"/>
        <v>63.613150335142045</v>
      </c>
      <c r="I112" s="284">
        <f t="shared" si="7"/>
        <v>36.386849664857969</v>
      </c>
    </row>
    <row r="113" spans="1:16" ht="14.25">
      <c r="A113" s="280" t="s">
        <v>1301</v>
      </c>
      <c r="B113" s="284">
        <f>D113+C113</f>
        <v>324.64</v>
      </c>
      <c r="C113" s="284">
        <v>204.64</v>
      </c>
      <c r="D113" s="284">
        <v>120</v>
      </c>
      <c r="E113" s="756">
        <f t="shared" si="5"/>
        <v>464.84398426582675</v>
      </c>
      <c r="F113" s="756">
        <v>729.94991718167512</v>
      </c>
      <c r="G113" s="756">
        <v>12.75</v>
      </c>
      <c r="H113" s="284">
        <f t="shared" si="6"/>
        <v>63.035978314440612</v>
      </c>
      <c r="I113" s="284">
        <f t="shared" si="7"/>
        <v>36.964021685559388</v>
      </c>
    </row>
    <row r="114" spans="1:16" ht="15" hidden="1">
      <c r="A114" s="280" t="s">
        <v>18</v>
      </c>
      <c r="B114" s="3">
        <f>+C114+D114</f>
        <v>284.44450000000001</v>
      </c>
      <c r="C114" s="3">
        <v>159.44450000000001</v>
      </c>
      <c r="D114" s="3">
        <v>125</v>
      </c>
      <c r="E114" s="758">
        <f t="shared" ref="E114:E119" si="8">(G114*D114+F114*C114)/(C114+D114)</f>
        <v>429.8863272276825</v>
      </c>
      <c r="F114" s="758">
        <v>755.92950152005574</v>
      </c>
      <c r="G114" s="758">
        <v>14</v>
      </c>
      <c r="H114" s="3">
        <f t="shared" ref="H114:H119" si="9">C114/B114*100</f>
        <v>56.054696083067171</v>
      </c>
      <c r="I114" s="3">
        <f t="shared" ref="I114:I119" si="10">D114/B114*100</f>
        <v>43.945303916932829</v>
      </c>
    </row>
    <row r="115" spans="1:16" ht="15" hidden="1">
      <c r="A115" s="280" t="s">
        <v>19</v>
      </c>
      <c r="B115" s="3">
        <f t="shared" ref="B115:B120" si="11">D115+C115</f>
        <v>287.44450000000001</v>
      </c>
      <c r="C115" s="3">
        <v>142.44450000000001</v>
      </c>
      <c r="D115" s="3">
        <v>145</v>
      </c>
      <c r="E115" s="758">
        <f t="shared" si="8"/>
        <v>404.40791697401494</v>
      </c>
      <c r="F115" s="758">
        <v>800.37333037820542</v>
      </c>
      <c r="G115" s="758">
        <v>15.421052631578947</v>
      </c>
      <c r="H115" s="3">
        <f t="shared" si="9"/>
        <v>49.555479405589601</v>
      </c>
      <c r="I115" s="3">
        <f t="shared" si="10"/>
        <v>50.444520594410406</v>
      </c>
    </row>
    <row r="116" spans="1:16" ht="15" hidden="1">
      <c r="A116" s="280" t="s">
        <v>20</v>
      </c>
      <c r="B116" s="3">
        <f t="shared" si="11"/>
        <v>276.44450000000006</v>
      </c>
      <c r="C116" s="3">
        <v>136.44449999999998</v>
      </c>
      <c r="D116" s="3">
        <v>140.00000000000006</v>
      </c>
      <c r="E116" s="758">
        <f t="shared" si="8"/>
        <v>400.95049911128575</v>
      </c>
      <c r="F116" s="758">
        <v>799.01029540633647</v>
      </c>
      <c r="G116" s="758">
        <v>13</v>
      </c>
      <c r="H116" s="3">
        <f t="shared" si="9"/>
        <v>49.356923360746897</v>
      </c>
      <c r="I116" s="3">
        <f t="shared" si="10"/>
        <v>50.643076639253096</v>
      </c>
    </row>
    <row r="117" spans="1:16" ht="15" hidden="1">
      <c r="A117" s="280" t="s">
        <v>21</v>
      </c>
      <c r="B117" s="3">
        <f t="shared" si="11"/>
        <v>271.44050000000004</v>
      </c>
      <c r="C117" s="3">
        <v>131.44449999999998</v>
      </c>
      <c r="D117" s="3">
        <v>139.99600000000007</v>
      </c>
      <c r="E117" s="758">
        <f t="shared" si="8"/>
        <v>399.040111921397</v>
      </c>
      <c r="F117" s="758">
        <v>807</v>
      </c>
      <c r="G117" s="758">
        <v>16</v>
      </c>
      <c r="H117" s="3">
        <f t="shared" si="9"/>
        <v>48.424792910416812</v>
      </c>
      <c r="I117" s="3">
        <f t="shared" si="10"/>
        <v>51.575207089583188</v>
      </c>
      <c r="J117" s="39"/>
      <c r="K117" s="39"/>
      <c r="L117" s="39"/>
      <c r="M117" s="39"/>
      <c r="N117" s="39"/>
      <c r="O117" s="39"/>
      <c r="P117" s="39"/>
    </row>
    <row r="118" spans="1:16" ht="15" hidden="1">
      <c r="A118" s="280" t="s">
        <v>22</v>
      </c>
      <c r="B118" s="3">
        <f t="shared" si="11"/>
        <v>263.14999999999998</v>
      </c>
      <c r="C118" s="3">
        <v>119.64</v>
      </c>
      <c r="D118" s="3">
        <v>143.51</v>
      </c>
      <c r="E118" s="758">
        <f t="shared" si="8"/>
        <v>387.00192049828354</v>
      </c>
      <c r="F118" s="758">
        <v>829.09221963307493</v>
      </c>
      <c r="G118" s="758">
        <v>18.444444444444443</v>
      </c>
      <c r="H118" s="3">
        <f t="shared" si="9"/>
        <v>45.464563936918111</v>
      </c>
      <c r="I118" s="3">
        <f t="shared" si="10"/>
        <v>54.535436063081896</v>
      </c>
      <c r="J118" s="39"/>
      <c r="K118" s="39"/>
      <c r="L118" s="39"/>
      <c r="M118" s="39"/>
      <c r="N118" s="39"/>
      <c r="O118" s="39"/>
      <c r="P118" s="39"/>
    </row>
    <row r="119" spans="1:16" ht="15" hidden="1">
      <c r="A119" s="280" t="s">
        <v>23</v>
      </c>
      <c r="B119" s="3">
        <f t="shared" si="11"/>
        <v>273.52</v>
      </c>
      <c r="C119" s="3">
        <v>145.93</v>
      </c>
      <c r="D119" s="3">
        <v>127.59</v>
      </c>
      <c r="E119" s="758">
        <f t="shared" si="8"/>
        <v>449.91933652975712</v>
      </c>
      <c r="F119" s="758">
        <v>828.91653711335903</v>
      </c>
      <c r="G119" s="758">
        <v>16.444444444444443</v>
      </c>
      <c r="H119" s="3">
        <f t="shared" si="9"/>
        <v>53.352588476162623</v>
      </c>
      <c r="I119" s="3">
        <f t="shared" si="10"/>
        <v>46.647411523837384</v>
      </c>
      <c r="J119" s="39"/>
      <c r="K119" s="39"/>
      <c r="L119" s="39"/>
      <c r="M119" s="39"/>
      <c r="N119" s="39"/>
      <c r="O119" s="39"/>
      <c r="P119" s="39"/>
    </row>
    <row r="120" spans="1:16" ht="15" hidden="1">
      <c r="A120" s="280" t="s">
        <v>24</v>
      </c>
      <c r="B120" s="3">
        <f t="shared" si="11"/>
        <v>185.99</v>
      </c>
      <c r="C120" s="3">
        <v>165.99</v>
      </c>
      <c r="D120" s="3">
        <v>20</v>
      </c>
      <c r="E120" s="758">
        <f t="shared" ref="E120:E126" si="12">(G120*D120+F120*C120)/(C120+D120)</f>
        <v>643.10850126834157</v>
      </c>
      <c r="F120" s="758">
        <v>719.33589162409714</v>
      </c>
      <c r="G120" s="758">
        <v>10.459275010747406</v>
      </c>
      <c r="H120" s="3">
        <f t="shared" ref="H120:H126" si="13">C120/B120*100</f>
        <v>89.246733695359964</v>
      </c>
      <c r="I120" s="3">
        <f t="shared" ref="I120:I126" si="14">D120/B120*100</f>
        <v>10.753266304640034</v>
      </c>
      <c r="J120" s="39"/>
      <c r="K120" s="39"/>
      <c r="L120" s="39"/>
      <c r="M120" s="39"/>
      <c r="N120" s="39"/>
      <c r="O120" s="39"/>
      <c r="P120" s="39"/>
    </row>
    <row r="121" spans="1:16" ht="15" hidden="1">
      <c r="A121" s="280" t="s">
        <v>25</v>
      </c>
      <c r="B121" s="3">
        <f>D121+C121</f>
        <v>185.99</v>
      </c>
      <c r="C121" s="3">
        <v>165.99</v>
      </c>
      <c r="D121" s="3">
        <v>20</v>
      </c>
      <c r="E121" s="758">
        <f t="shared" si="12"/>
        <v>631.40663894142062</v>
      </c>
      <c r="F121" s="758">
        <v>705.87555425357641</v>
      </c>
      <c r="G121" s="758">
        <v>13.351876308182996</v>
      </c>
      <c r="H121" s="3">
        <f t="shared" si="13"/>
        <v>89.246733695359964</v>
      </c>
      <c r="I121" s="3">
        <f t="shared" si="14"/>
        <v>10.753266304640034</v>
      </c>
      <c r="J121" s="39"/>
      <c r="K121" s="39"/>
      <c r="L121" s="39"/>
      <c r="M121" s="39"/>
      <c r="N121" s="39"/>
      <c r="O121" s="39"/>
      <c r="P121" s="39"/>
    </row>
    <row r="122" spans="1:16" ht="15" hidden="1">
      <c r="A122" s="280" t="s">
        <v>26</v>
      </c>
      <c r="B122" s="3">
        <f>D122+C122</f>
        <v>180.04000000000002</v>
      </c>
      <c r="C122" s="3">
        <v>168.24</v>
      </c>
      <c r="D122" s="3">
        <v>11.8</v>
      </c>
      <c r="E122" s="758">
        <f t="shared" si="12"/>
        <v>666.87435097387811</v>
      </c>
      <c r="F122" s="758">
        <v>712.34606867440243</v>
      </c>
      <c r="G122" s="758">
        <v>18.555555555555557</v>
      </c>
      <c r="H122" s="3">
        <f t="shared" si="13"/>
        <v>93.445900910908691</v>
      </c>
      <c r="I122" s="3">
        <f t="shared" si="14"/>
        <v>6.5540990890913129</v>
      </c>
      <c r="J122" s="39"/>
      <c r="K122" s="39"/>
      <c r="L122" s="39"/>
      <c r="M122" s="39"/>
      <c r="N122" s="39"/>
      <c r="O122" s="39"/>
      <c r="P122" s="39"/>
    </row>
    <row r="123" spans="1:16" ht="15" hidden="1">
      <c r="A123" s="280" t="s">
        <v>27</v>
      </c>
      <c r="B123" s="3">
        <f>D123+C123</f>
        <v>220.91720000000001</v>
      </c>
      <c r="C123" s="3">
        <v>172.3982</v>
      </c>
      <c r="D123" s="3">
        <v>48.518999999999998</v>
      </c>
      <c r="E123" s="758">
        <f t="shared" si="12"/>
        <v>564.0269200152062</v>
      </c>
      <c r="F123" s="758">
        <v>717.76316318414467</v>
      </c>
      <c r="G123" s="758">
        <v>17.769750718903968</v>
      </c>
      <c r="H123" s="3">
        <f t="shared" si="13"/>
        <v>78.037472863136045</v>
      </c>
      <c r="I123" s="3">
        <f t="shared" si="14"/>
        <v>21.962527136863947</v>
      </c>
      <c r="J123" s="39"/>
      <c r="K123" s="39"/>
      <c r="L123" s="39"/>
      <c r="M123" s="39"/>
      <c r="N123" s="39"/>
      <c r="O123" s="39"/>
      <c r="P123" s="39"/>
    </row>
    <row r="124" spans="1:16" ht="15" hidden="1">
      <c r="A124" s="280" t="s">
        <v>28</v>
      </c>
      <c r="B124" s="3">
        <f>D124+C124</f>
        <v>298.89</v>
      </c>
      <c r="C124" s="3">
        <v>162.4</v>
      </c>
      <c r="D124" s="3">
        <v>136.49</v>
      </c>
      <c r="E124" s="758">
        <f t="shared" si="12"/>
        <v>403.88811813750362</v>
      </c>
      <c r="F124" s="758">
        <v>730.08439873457667</v>
      </c>
      <c r="G124" s="758">
        <v>15.769750718903968</v>
      </c>
      <c r="H124" s="3">
        <f t="shared" si="13"/>
        <v>54.334370504198873</v>
      </c>
      <c r="I124" s="3">
        <f t="shared" si="14"/>
        <v>45.665629495801134</v>
      </c>
      <c r="J124" s="39"/>
      <c r="K124" s="39"/>
      <c r="L124" s="39"/>
      <c r="M124" s="39"/>
      <c r="N124" s="39"/>
      <c r="O124" s="39"/>
      <c r="P124" s="39"/>
    </row>
    <row r="125" spans="1:16" ht="15" hidden="1">
      <c r="A125" s="280" t="s">
        <v>29</v>
      </c>
      <c r="B125" s="3">
        <f>D125+C125</f>
        <v>324.64</v>
      </c>
      <c r="C125" s="3">
        <v>204.64</v>
      </c>
      <c r="D125" s="3">
        <v>120</v>
      </c>
      <c r="E125" s="758">
        <f t="shared" si="12"/>
        <v>464.84398426582675</v>
      </c>
      <c r="F125" s="758">
        <v>729.94991718167512</v>
      </c>
      <c r="G125" s="758">
        <v>12.75</v>
      </c>
      <c r="H125" s="3">
        <f t="shared" si="13"/>
        <v>63.035978314440612</v>
      </c>
      <c r="I125" s="3">
        <f t="shared" si="14"/>
        <v>36.964021685559388</v>
      </c>
      <c r="J125" s="39"/>
      <c r="K125" s="39"/>
      <c r="L125" s="39"/>
      <c r="M125" s="39"/>
      <c r="N125" s="39"/>
      <c r="O125" s="39"/>
      <c r="P125" s="39"/>
    </row>
    <row r="126" spans="1:16" ht="14.25">
      <c r="A126" s="280" t="s">
        <v>1423</v>
      </c>
      <c r="B126" s="284">
        <f>+C126+D126</f>
        <v>181.40889999999999</v>
      </c>
      <c r="C126" s="284">
        <v>161.40889999999999</v>
      </c>
      <c r="D126" s="284">
        <v>20</v>
      </c>
      <c r="E126" s="756">
        <f t="shared" si="12"/>
        <v>659.0160461647796</v>
      </c>
      <c r="F126" s="756">
        <v>738.81536902303333</v>
      </c>
      <c r="G126" s="756">
        <v>15</v>
      </c>
      <c r="H126" s="284">
        <f t="shared" si="13"/>
        <v>88.97518258475742</v>
      </c>
      <c r="I126" s="284">
        <f t="shared" si="14"/>
        <v>11.024817415242582</v>
      </c>
    </row>
    <row r="127" spans="1:16" ht="15">
      <c r="A127" s="280" t="s">
        <v>18</v>
      </c>
      <c r="B127" s="3">
        <f t="shared" ref="B127:B132" si="15">+C127+D127</f>
        <v>305.6241</v>
      </c>
      <c r="C127" s="3">
        <v>202.62209999999999</v>
      </c>
      <c r="D127" s="3">
        <v>103.002</v>
      </c>
      <c r="E127" s="758">
        <f t="shared" ref="E127:E132" si="16">(G127*D127+F127*C127)/(C127+D127)</f>
        <v>488.23297043497854</v>
      </c>
      <c r="F127" s="758">
        <v>729.81543562877357</v>
      </c>
      <c r="G127" s="758">
        <v>13</v>
      </c>
      <c r="H127" s="3">
        <f t="shared" ref="H127:H153" si="17">C127/B127*100</f>
        <v>66.297814864730881</v>
      </c>
      <c r="I127" s="3">
        <f t="shared" ref="I127:I153" si="18">D127/B127*100</f>
        <v>33.702185135269112</v>
      </c>
    </row>
    <row r="128" spans="1:16" ht="15">
      <c r="A128" s="280" t="s">
        <v>19</v>
      </c>
      <c r="B128" s="3">
        <f t="shared" si="15"/>
        <v>283.13409999999999</v>
      </c>
      <c r="C128" s="3">
        <v>202.62209999999999</v>
      </c>
      <c r="D128" s="3">
        <v>80.512</v>
      </c>
      <c r="E128" s="758">
        <f t="shared" si="16"/>
        <v>526.81907350097913</v>
      </c>
      <c r="F128" s="758">
        <v>729.69396841970126</v>
      </c>
      <c r="G128" s="758">
        <v>16.25</v>
      </c>
      <c r="H128" s="3">
        <f t="shared" si="17"/>
        <v>71.564004477030494</v>
      </c>
      <c r="I128" s="3">
        <f t="shared" si="18"/>
        <v>28.435995522969503</v>
      </c>
    </row>
    <row r="129" spans="1:9" ht="15">
      <c r="A129" s="280" t="s">
        <v>20</v>
      </c>
      <c r="B129" s="3">
        <f t="shared" si="15"/>
        <v>241.82729999999998</v>
      </c>
      <c r="C129" s="3">
        <v>197.81729999999999</v>
      </c>
      <c r="D129" s="3">
        <v>44.01</v>
      </c>
      <c r="E129" s="758">
        <f t="shared" si="16"/>
        <v>599.18623526765361</v>
      </c>
      <c r="F129" s="758">
        <v>729.55948686679972</v>
      </c>
      <c r="G129" s="758">
        <v>13.181131346641067</v>
      </c>
      <c r="H129" s="3">
        <f t="shared" si="17"/>
        <v>81.801062162956796</v>
      </c>
      <c r="I129" s="3">
        <f t="shared" si="18"/>
        <v>18.198937837043214</v>
      </c>
    </row>
    <row r="130" spans="1:9" ht="15">
      <c r="A130" s="280" t="s">
        <v>21</v>
      </c>
      <c r="B130" s="3">
        <f t="shared" si="15"/>
        <v>251.93529999999998</v>
      </c>
      <c r="C130" s="3">
        <v>193.81729999999999</v>
      </c>
      <c r="D130" s="3">
        <v>58.118000000000002</v>
      </c>
      <c r="E130" s="758">
        <f t="shared" si="16"/>
        <v>510.23932204105967</v>
      </c>
      <c r="F130" s="758">
        <v>659.65200634131008</v>
      </c>
      <c r="G130" s="758">
        <v>11.964036297797128</v>
      </c>
      <c r="H130" s="3">
        <f t="shared" si="17"/>
        <v>76.931378810353294</v>
      </c>
      <c r="I130" s="3">
        <f t="shared" si="18"/>
        <v>23.068621189646709</v>
      </c>
    </row>
    <row r="131" spans="1:9" ht="15">
      <c r="A131" s="280" t="s">
        <v>22</v>
      </c>
      <c r="B131" s="3">
        <f t="shared" si="15"/>
        <v>243.84</v>
      </c>
      <c r="C131" s="3">
        <v>222.33</v>
      </c>
      <c r="D131" s="3">
        <v>21.51</v>
      </c>
      <c r="E131" s="758">
        <f t="shared" si="16"/>
        <v>600.66963116993213</v>
      </c>
      <c r="F131" s="758">
        <v>657.36817428512904</v>
      </c>
      <c r="G131" s="758">
        <v>14.626530714250013</v>
      </c>
      <c r="H131" s="3">
        <f t="shared" si="17"/>
        <v>91.178641732283467</v>
      </c>
      <c r="I131" s="3">
        <f t="shared" si="18"/>
        <v>8.821358267716537</v>
      </c>
    </row>
    <row r="132" spans="1:9" ht="15">
      <c r="A132" s="280" t="s">
        <v>23</v>
      </c>
      <c r="B132" s="3">
        <f t="shared" si="15"/>
        <v>218.6525</v>
      </c>
      <c r="C132" s="3">
        <v>203.6525</v>
      </c>
      <c r="D132" s="3">
        <v>15</v>
      </c>
      <c r="E132" s="758">
        <f t="shared" si="16"/>
        <v>643.97489320133889</v>
      </c>
      <c r="F132" s="758">
        <v>690.6702364847265</v>
      </c>
      <c r="G132" s="758">
        <v>10</v>
      </c>
      <c r="H132" s="3">
        <f t="shared" si="17"/>
        <v>93.139799453470701</v>
      </c>
      <c r="I132" s="3">
        <f t="shared" si="18"/>
        <v>6.8602005465293106</v>
      </c>
    </row>
    <row r="133" spans="1:9" ht="15">
      <c r="A133" s="280" t="s">
        <v>24</v>
      </c>
      <c r="B133" s="3">
        <f t="shared" ref="B133:B139" si="19">+C133+D133</f>
        <v>213.56379999999999</v>
      </c>
      <c r="C133" s="3">
        <v>198.56379999999999</v>
      </c>
      <c r="D133" s="3">
        <v>15</v>
      </c>
      <c r="E133" s="758">
        <f t="shared" ref="E133:E138" si="20">(G133*D133+F133*C133)/(C133+D133)</f>
        <v>642.27266902106419</v>
      </c>
      <c r="F133" s="758">
        <v>689.5576728098514</v>
      </c>
      <c r="G133" s="758">
        <v>16.333333333333332</v>
      </c>
      <c r="H133" s="3">
        <f>C133/B133*100</f>
        <v>92.976337750124316</v>
      </c>
      <c r="I133" s="3">
        <f>D133/B133*100</f>
        <v>7.0236622498756809</v>
      </c>
    </row>
    <row r="134" spans="1:9" ht="15">
      <c r="A134" s="280" t="s">
        <v>25</v>
      </c>
      <c r="B134" s="3">
        <f t="shared" si="19"/>
        <v>216.2998</v>
      </c>
      <c r="C134" s="3">
        <v>196.2998</v>
      </c>
      <c r="D134" s="3">
        <v>20</v>
      </c>
      <c r="E134" s="758">
        <f t="shared" si="20"/>
        <v>624.00645669238691</v>
      </c>
      <c r="F134" s="758">
        <v>686.10600612569112</v>
      </c>
      <c r="G134" s="758">
        <v>14.5</v>
      </c>
      <c r="H134" s="3">
        <f>C134/B134*100</f>
        <v>90.75357443696204</v>
      </c>
      <c r="I134" s="3">
        <f>D134/B134*100</f>
        <v>9.2464255630379686</v>
      </c>
    </row>
    <row r="135" spans="1:9" ht="15">
      <c r="A135" s="280" t="s">
        <v>26</v>
      </c>
      <c r="B135" s="3">
        <f t="shared" si="19"/>
        <v>241.03300000000002</v>
      </c>
      <c r="C135" s="3">
        <v>184.006</v>
      </c>
      <c r="D135" s="3">
        <v>57.027000000000001</v>
      </c>
      <c r="E135" s="758">
        <f t="shared" si="20"/>
        <v>541.56185775192773</v>
      </c>
      <c r="F135" s="758">
        <v>703.35887286023501</v>
      </c>
      <c r="G135" s="758">
        <v>19.5</v>
      </c>
      <c r="H135" s="3">
        <f>C135/B135*100</f>
        <v>76.340584069401288</v>
      </c>
      <c r="I135" s="3">
        <f>D135/B135*100</f>
        <v>23.659415930598712</v>
      </c>
    </row>
    <row r="136" spans="1:9" ht="15">
      <c r="A136" s="280" t="s">
        <v>27</v>
      </c>
      <c r="B136" s="3">
        <f t="shared" si="19"/>
        <v>251.30440000000002</v>
      </c>
      <c r="C136" s="3">
        <v>198.27940000000001</v>
      </c>
      <c r="D136" s="3">
        <v>53.024999999999999</v>
      </c>
      <c r="E136" s="758">
        <f t="shared" si="20"/>
        <v>554.44363040463475</v>
      </c>
      <c r="F136" s="758">
        <v>699.23955223113683</v>
      </c>
      <c r="G136" s="758">
        <v>13</v>
      </c>
      <c r="H136" s="3">
        <f>C136/B136*100</f>
        <v>78.900090885794285</v>
      </c>
      <c r="I136" s="3">
        <f>D136/B136*100</f>
        <v>21.099909114205715</v>
      </c>
    </row>
    <row r="137" spans="1:9" ht="15">
      <c r="A137" s="280" t="s">
        <v>28</v>
      </c>
      <c r="B137" s="3">
        <f t="shared" si="19"/>
        <v>284.80020000000002</v>
      </c>
      <c r="C137" s="3">
        <v>196.29320000000001</v>
      </c>
      <c r="D137" s="3">
        <v>88.507000000000005</v>
      </c>
      <c r="E137" s="758">
        <f t="shared" si="20"/>
        <v>488.15663379488853</v>
      </c>
      <c r="F137" s="758">
        <v>701.72453980123123</v>
      </c>
      <c r="G137" s="758">
        <v>14.5</v>
      </c>
      <c r="H137" s="3">
        <f t="shared" si="17"/>
        <v>68.923125756231912</v>
      </c>
      <c r="I137" s="3">
        <f t="shared" si="18"/>
        <v>31.076874243768088</v>
      </c>
    </row>
    <row r="138" spans="1:9" ht="15">
      <c r="A138" s="280" t="s">
        <v>29</v>
      </c>
      <c r="B138" s="3">
        <f t="shared" si="19"/>
        <v>181.40889999999999</v>
      </c>
      <c r="C138" s="3">
        <v>161.40889999999999</v>
      </c>
      <c r="D138" s="3">
        <v>20</v>
      </c>
      <c r="E138" s="758">
        <f t="shared" si="20"/>
        <v>659.0160461647796</v>
      </c>
      <c r="F138" s="758">
        <v>738.81536902303333</v>
      </c>
      <c r="G138" s="758">
        <v>15</v>
      </c>
      <c r="H138" s="3">
        <f t="shared" si="17"/>
        <v>88.97518258475742</v>
      </c>
      <c r="I138" s="3">
        <f t="shared" si="18"/>
        <v>11.024817415242582</v>
      </c>
    </row>
    <row r="139" spans="1:9" ht="14.25">
      <c r="A139" s="280" t="s">
        <v>1634</v>
      </c>
      <c r="B139" s="284">
        <f t="shared" si="19"/>
        <v>227.29</v>
      </c>
      <c r="C139" s="284">
        <v>200.29</v>
      </c>
      <c r="D139" s="284">
        <v>27</v>
      </c>
      <c r="E139" s="756">
        <f>(G139*D139+F139*C139)/(C139+D139)</f>
        <v>644.25489167277988</v>
      </c>
      <c r="F139" s="756">
        <v>728.27247655053236</v>
      </c>
      <c r="G139" s="756">
        <v>21</v>
      </c>
      <c r="H139" s="284">
        <f>C139/B139*100</f>
        <v>88.120902811386344</v>
      </c>
      <c r="I139" s="284">
        <f>D139/B139*100</f>
        <v>11.879097188613667</v>
      </c>
    </row>
    <row r="140" spans="1:9" ht="15">
      <c r="A140" s="280" t="s">
        <v>18</v>
      </c>
      <c r="B140" s="3">
        <f t="shared" ref="B140:B151" si="21">+C140+D140</f>
        <v>256.40390000000002</v>
      </c>
      <c r="C140" s="3">
        <v>161.40889999999999</v>
      </c>
      <c r="D140" s="3">
        <v>94.995000000000005</v>
      </c>
      <c r="E140" s="758">
        <f t="shared" ref="E140:E146" si="22">(G140*D140+F140*C140)/(C140+D140)</f>
        <v>471.30172764563412</v>
      </c>
      <c r="F140" s="758">
        <v>738.81536902303333</v>
      </c>
      <c r="G140" s="758">
        <v>16.761145617943374</v>
      </c>
      <c r="H140" s="3">
        <f>C140/B140*100</f>
        <v>62.951031556072266</v>
      </c>
      <c r="I140" s="3">
        <f>D140/B140*100</f>
        <v>37.04896844392772</v>
      </c>
    </row>
    <row r="141" spans="1:9" ht="15">
      <c r="A141" s="280" t="s">
        <v>19</v>
      </c>
      <c r="B141" s="3">
        <f t="shared" si="21"/>
        <v>254.405</v>
      </c>
      <c r="C141" s="3">
        <v>159.41</v>
      </c>
      <c r="D141" s="3">
        <v>94.995000000000005</v>
      </c>
      <c r="E141" s="758">
        <f t="shared" si="22"/>
        <v>469.72519589948558</v>
      </c>
      <c r="F141" s="758">
        <v>738.81536902303333</v>
      </c>
      <c r="G141" s="758">
        <v>18.168119236242806</v>
      </c>
      <c r="H141" s="3">
        <f>C141/B141*100</f>
        <v>62.659931998191851</v>
      </c>
      <c r="I141" s="3">
        <f>D141/B141*100</f>
        <v>37.340068001808142</v>
      </c>
    </row>
    <row r="142" spans="1:9" ht="15">
      <c r="A142" s="280" t="s">
        <v>20</v>
      </c>
      <c r="B142" s="3">
        <f t="shared" si="21"/>
        <v>249.41</v>
      </c>
      <c r="C142" s="3">
        <v>159.41</v>
      </c>
      <c r="D142" s="3">
        <v>90</v>
      </c>
      <c r="E142" s="758">
        <f t="shared" si="22"/>
        <v>475.31173229795246</v>
      </c>
      <c r="F142" s="758">
        <v>738.81536902303333</v>
      </c>
      <c r="G142" s="758">
        <v>8.5882352941176467</v>
      </c>
      <c r="H142" s="3">
        <f>C142/B142*100</f>
        <v>63.914839020087413</v>
      </c>
      <c r="I142" s="3">
        <f>D142/B142*100</f>
        <v>36.085160979912594</v>
      </c>
    </row>
    <row r="143" spans="1:9" ht="15">
      <c r="A143" s="280" t="s">
        <v>21</v>
      </c>
      <c r="B143" s="3">
        <f t="shared" si="21"/>
        <v>277.40890000000002</v>
      </c>
      <c r="C143" s="3">
        <v>157.40889999999999</v>
      </c>
      <c r="D143" s="3">
        <v>120</v>
      </c>
      <c r="E143" s="758">
        <f t="shared" si="22"/>
        <v>412.26513499277246</v>
      </c>
      <c r="F143" s="758">
        <v>713.21264303795101</v>
      </c>
      <c r="G143" s="758">
        <v>17.5</v>
      </c>
      <c r="H143" s="3">
        <f t="shared" si="17"/>
        <v>56.742555844459197</v>
      </c>
      <c r="I143" s="3">
        <f t="shared" si="18"/>
        <v>43.257444155540789</v>
      </c>
    </row>
    <row r="144" spans="1:9" ht="15">
      <c r="A144" s="280" t="s">
        <v>22</v>
      </c>
      <c r="B144" s="3">
        <f t="shared" si="21"/>
        <v>287.3107</v>
      </c>
      <c r="C144" s="3">
        <v>197.3107</v>
      </c>
      <c r="D144" s="3">
        <v>90</v>
      </c>
      <c r="E144" s="758">
        <f t="shared" si="22"/>
        <v>495.71156189681852</v>
      </c>
      <c r="F144" s="758">
        <v>713.21264303795101</v>
      </c>
      <c r="G144" s="758">
        <v>18.875</v>
      </c>
      <c r="H144" s="3">
        <f t="shared" si="17"/>
        <v>68.675026721942473</v>
      </c>
      <c r="I144" s="3">
        <f t="shared" si="18"/>
        <v>31.324973278057517</v>
      </c>
    </row>
    <row r="145" spans="1:9" ht="15">
      <c r="A145" s="280" t="s">
        <v>23</v>
      </c>
      <c r="B145" s="3">
        <f t="shared" si="21"/>
        <v>200.93</v>
      </c>
      <c r="C145" s="3">
        <v>190.93</v>
      </c>
      <c r="D145" s="3">
        <v>10</v>
      </c>
      <c r="E145" s="758">
        <f t="shared" si="22"/>
        <v>684.28637858775176</v>
      </c>
      <c r="F145" s="758">
        <v>718.9</v>
      </c>
      <c r="G145" s="758">
        <v>23.408504963698324</v>
      </c>
      <c r="H145" s="3">
        <f t="shared" si="17"/>
        <v>95.023142387896286</v>
      </c>
      <c r="I145" s="3">
        <f t="shared" si="18"/>
        <v>4.9768576121037178</v>
      </c>
    </row>
    <row r="146" spans="1:9" ht="15">
      <c r="A146" s="280" t="s">
        <v>24</v>
      </c>
      <c r="B146" s="3">
        <f t="shared" si="21"/>
        <v>194.54</v>
      </c>
      <c r="C146" s="3">
        <v>194.54</v>
      </c>
      <c r="D146" s="3">
        <v>0</v>
      </c>
      <c r="E146" s="758">
        <f t="shared" si="22"/>
        <v>722.14333779937874</v>
      </c>
      <c r="F146" s="758">
        <v>722.14333779937874</v>
      </c>
      <c r="G146" s="758">
        <v>37.11257969211632</v>
      </c>
      <c r="H146" s="3">
        <f t="shared" si="17"/>
        <v>100</v>
      </c>
      <c r="I146" s="3">
        <f t="shared" si="18"/>
        <v>0</v>
      </c>
    </row>
    <row r="147" spans="1:9" ht="15">
      <c r="A147" s="280" t="s">
        <v>25</v>
      </c>
      <c r="B147" s="3">
        <f t="shared" si="21"/>
        <v>201.84</v>
      </c>
      <c r="C147" s="3">
        <v>192.84</v>
      </c>
      <c r="D147" s="3">
        <v>9</v>
      </c>
      <c r="E147" s="758">
        <v>694</v>
      </c>
      <c r="F147" s="758">
        <v>724.26268963128268</v>
      </c>
      <c r="G147" s="758">
        <v>40.333022263698176</v>
      </c>
      <c r="H147" s="3">
        <f t="shared" si="17"/>
        <v>95.541022592152203</v>
      </c>
      <c r="I147" s="3">
        <f t="shared" si="18"/>
        <v>4.4589774078477999</v>
      </c>
    </row>
    <row r="148" spans="1:9" ht="15">
      <c r="A148" s="280" t="s">
        <v>26</v>
      </c>
      <c r="B148" s="3">
        <f t="shared" si="21"/>
        <v>211.84</v>
      </c>
      <c r="C148" s="3">
        <v>196.84</v>
      </c>
      <c r="D148" s="3">
        <v>15</v>
      </c>
      <c r="E148" s="758">
        <v>670.52307359252507</v>
      </c>
      <c r="F148" s="758">
        <v>721.61962969843785</v>
      </c>
      <c r="G148" s="759">
        <v>0</v>
      </c>
      <c r="H148" s="3">
        <f t="shared" si="17"/>
        <v>92.919184290030216</v>
      </c>
      <c r="I148" s="3">
        <f t="shared" si="18"/>
        <v>7.0808157099697882</v>
      </c>
    </row>
    <row r="149" spans="1:9" ht="15">
      <c r="A149" s="280" t="s">
        <v>27</v>
      </c>
      <c r="B149" s="3">
        <f t="shared" si="21"/>
        <v>211.15</v>
      </c>
      <c r="C149" s="3">
        <v>201.15</v>
      </c>
      <c r="D149" s="3">
        <v>10</v>
      </c>
      <c r="E149" s="758">
        <f>(G149*D149+F149*C149)/(C149+D149)</f>
        <v>688.9405171377656</v>
      </c>
      <c r="F149" s="758">
        <v>721.61962969843785</v>
      </c>
      <c r="G149" s="758">
        <v>31.600167979842418</v>
      </c>
      <c r="H149" s="3">
        <f t="shared" si="17"/>
        <v>95.26403031020601</v>
      </c>
      <c r="I149" s="3">
        <f t="shared" si="18"/>
        <v>4.7359696897939854</v>
      </c>
    </row>
    <row r="150" spans="1:9" ht="15">
      <c r="A150" s="280" t="s">
        <v>28</v>
      </c>
      <c r="B150" s="3">
        <f t="shared" si="21"/>
        <v>227.14</v>
      </c>
      <c r="C150" s="3">
        <v>197.14</v>
      </c>
      <c r="D150" s="3">
        <v>30</v>
      </c>
      <c r="E150" s="758">
        <f>(G150*D150+F150*C150)/(C150+D150)</f>
        <v>631.87428898476708</v>
      </c>
      <c r="F150" s="758">
        <v>725.9</v>
      </c>
      <c r="G150" s="758">
        <v>14</v>
      </c>
      <c r="H150" s="3">
        <f t="shared" si="17"/>
        <v>86.792286695430136</v>
      </c>
      <c r="I150" s="3">
        <f t="shared" si="18"/>
        <v>13.207713304569872</v>
      </c>
    </row>
    <row r="151" spans="1:9" ht="15">
      <c r="A151" s="280" t="s">
        <v>29</v>
      </c>
      <c r="B151" s="3">
        <f t="shared" si="21"/>
        <v>227.29</v>
      </c>
      <c r="C151" s="3">
        <v>200.29</v>
      </c>
      <c r="D151" s="3">
        <v>27</v>
      </c>
      <c r="E151" s="758">
        <f>(G151*D151+F151*C151)/(C151+D151)</f>
        <v>644.25489167277988</v>
      </c>
      <c r="F151" s="758">
        <v>728.27247655053236</v>
      </c>
      <c r="G151" s="758">
        <v>21</v>
      </c>
      <c r="H151" s="3">
        <f t="shared" si="17"/>
        <v>88.120902811386344</v>
      </c>
      <c r="I151" s="3">
        <f t="shared" si="18"/>
        <v>11.879097188613667</v>
      </c>
    </row>
    <row r="152" spans="1:9" ht="14.25">
      <c r="A152" s="280" t="s">
        <v>1829</v>
      </c>
      <c r="B152" s="284">
        <v>122.6459</v>
      </c>
      <c r="C152" s="284">
        <v>122.6459</v>
      </c>
      <c r="D152" s="284">
        <v>0</v>
      </c>
      <c r="E152" s="284">
        <v>1021.5</v>
      </c>
      <c r="F152" s="284">
        <v>1021.5</v>
      </c>
      <c r="G152" s="760">
        <v>0</v>
      </c>
      <c r="H152" s="284">
        <v>100</v>
      </c>
      <c r="I152" s="284">
        <v>0</v>
      </c>
    </row>
    <row r="153" spans="1:9" ht="15">
      <c r="A153" s="280" t="s">
        <v>18</v>
      </c>
      <c r="B153" s="3">
        <v>199.64</v>
      </c>
      <c r="C153" s="3">
        <v>199.64</v>
      </c>
      <c r="D153" s="3">
        <v>0</v>
      </c>
      <c r="E153" s="3">
        <f>(G153*D153+F153*C153)/(C153+D153)</f>
        <v>965</v>
      </c>
      <c r="F153" s="3">
        <v>965</v>
      </c>
      <c r="G153" s="759">
        <v>0</v>
      </c>
      <c r="H153" s="3">
        <f t="shared" si="17"/>
        <v>100</v>
      </c>
      <c r="I153" s="3">
        <f t="shared" si="18"/>
        <v>0</v>
      </c>
    </row>
    <row r="154" spans="1:9" ht="15">
      <c r="A154" s="280" t="s">
        <v>19</v>
      </c>
      <c r="B154" s="3">
        <v>199.64</v>
      </c>
      <c r="C154" s="3">
        <v>199.64</v>
      </c>
      <c r="D154" s="3">
        <v>0</v>
      </c>
      <c r="E154" s="3">
        <f>(G154*D154+F154*C154)/(C154+D154)</f>
        <v>1090.5</v>
      </c>
      <c r="F154" s="3">
        <v>1090.5</v>
      </c>
      <c r="G154" s="759">
        <v>0</v>
      </c>
      <c r="H154" s="3">
        <f>C154/B154*100</f>
        <v>100</v>
      </c>
      <c r="I154" s="3">
        <f>D154/B154*100</f>
        <v>0</v>
      </c>
    </row>
    <row r="155" spans="1:9" ht="15">
      <c r="A155" s="280" t="s">
        <v>20</v>
      </c>
      <c r="B155" s="3">
        <v>199.64</v>
      </c>
      <c r="C155" s="3">
        <v>199.64</v>
      </c>
      <c r="D155" s="3">
        <v>0</v>
      </c>
      <c r="E155" s="3">
        <f>(G155*D155+F155*C155)/(C155+D155)</f>
        <v>1090.5</v>
      </c>
      <c r="F155" s="3">
        <v>1090.5</v>
      </c>
      <c r="G155" s="759">
        <v>0</v>
      </c>
      <c r="H155" s="3">
        <f>C155/B155*100</f>
        <v>100</v>
      </c>
      <c r="I155" s="3">
        <f>D155/B155*100</f>
        <v>0</v>
      </c>
    </row>
    <row r="156" spans="1:9" ht="15">
      <c r="A156" s="280" t="s">
        <v>21</v>
      </c>
      <c r="B156" s="3">
        <v>159.63999999999999</v>
      </c>
      <c r="C156" s="3">
        <v>159.63999999999999</v>
      </c>
      <c r="D156" s="3">
        <v>0</v>
      </c>
      <c r="E156" s="3">
        <v>935.89999999999986</v>
      </c>
      <c r="F156" s="3">
        <v>935.89999999999986</v>
      </c>
      <c r="G156" s="759">
        <v>0</v>
      </c>
      <c r="H156" s="3">
        <v>100</v>
      </c>
      <c r="I156" s="3">
        <v>0</v>
      </c>
    </row>
    <row r="157" spans="1:9" ht="15">
      <c r="A157" s="280" t="s">
        <v>22</v>
      </c>
      <c r="B157" s="3">
        <v>143.24</v>
      </c>
      <c r="C157" s="3">
        <v>143.24</v>
      </c>
      <c r="D157" s="3">
        <v>0</v>
      </c>
      <c r="E157" s="3">
        <v>996.30000000000007</v>
      </c>
      <c r="F157" s="3">
        <v>996.30000000000007</v>
      </c>
      <c r="G157" s="759">
        <v>0</v>
      </c>
      <c r="H157" s="3">
        <v>100</v>
      </c>
      <c r="I157" s="3">
        <v>0</v>
      </c>
    </row>
    <row r="158" spans="1:9" ht="15">
      <c r="A158" s="280" t="s">
        <v>23</v>
      </c>
      <c r="B158" s="3">
        <v>138.47</v>
      </c>
      <c r="C158" s="3">
        <v>138.47</v>
      </c>
      <c r="D158" s="3">
        <v>0</v>
      </c>
      <c r="E158" s="3">
        <v>1003.23</v>
      </c>
      <c r="F158" s="3">
        <v>1003.23</v>
      </c>
      <c r="G158" s="759">
        <v>0</v>
      </c>
      <c r="H158" s="3">
        <v>100</v>
      </c>
      <c r="I158" s="3">
        <v>0</v>
      </c>
    </row>
    <row r="159" spans="1:9" ht="15">
      <c r="A159" s="280" t="s">
        <v>24</v>
      </c>
      <c r="B159" s="3">
        <v>135.15</v>
      </c>
      <c r="C159" s="3">
        <v>135.15</v>
      </c>
      <c r="D159" s="3">
        <v>0</v>
      </c>
      <c r="E159" s="3">
        <v>1002.713099904969</v>
      </c>
      <c r="F159" s="3">
        <v>1002.713099904969</v>
      </c>
      <c r="G159" s="759">
        <v>0</v>
      </c>
      <c r="H159" s="3">
        <v>100</v>
      </c>
      <c r="I159" s="3">
        <v>0</v>
      </c>
    </row>
    <row r="160" spans="1:9" ht="15">
      <c r="A160" s="280" t="s">
        <v>25</v>
      </c>
      <c r="B160" s="3">
        <v>133.15</v>
      </c>
      <c r="C160" s="3">
        <v>133.15</v>
      </c>
      <c r="D160" s="3">
        <v>0</v>
      </c>
      <c r="E160" s="3">
        <v>1002.3537740778889</v>
      </c>
      <c r="F160" s="3">
        <v>1002.3537740778889</v>
      </c>
      <c r="G160" s="759">
        <v>0</v>
      </c>
      <c r="H160" s="3">
        <v>100</v>
      </c>
      <c r="I160" s="3">
        <v>0</v>
      </c>
    </row>
    <row r="161" spans="1:9" ht="15">
      <c r="A161" s="280" t="s">
        <v>26</v>
      </c>
      <c r="B161" s="3">
        <v>130.15</v>
      </c>
      <c r="C161" s="3">
        <v>130.15</v>
      </c>
      <c r="D161" s="3">
        <v>0</v>
      </c>
      <c r="E161" s="3">
        <v>1003.3</v>
      </c>
      <c r="F161" s="3">
        <v>1003.3</v>
      </c>
      <c r="G161" s="759">
        <v>0</v>
      </c>
      <c r="H161" s="3">
        <v>100</v>
      </c>
      <c r="I161" s="3">
        <v>0</v>
      </c>
    </row>
    <row r="162" spans="1:9" ht="15">
      <c r="A162" s="280" t="s">
        <v>27</v>
      </c>
      <c r="B162" s="3">
        <v>128.15</v>
      </c>
      <c r="C162" s="3">
        <v>128.15</v>
      </c>
      <c r="D162" s="3">
        <v>0</v>
      </c>
      <c r="E162" s="3">
        <v>1002.8</v>
      </c>
      <c r="F162" s="3">
        <v>1002.8</v>
      </c>
      <c r="G162" s="759">
        <v>0</v>
      </c>
      <c r="H162" s="3">
        <v>100</v>
      </c>
      <c r="I162" s="3">
        <v>0</v>
      </c>
    </row>
    <row r="163" spans="1:9" ht="15">
      <c r="A163" s="280" t="s">
        <v>28</v>
      </c>
      <c r="B163" s="3">
        <v>123.15</v>
      </c>
      <c r="C163" s="3">
        <v>123.15</v>
      </c>
      <c r="D163" s="3">
        <v>0</v>
      </c>
      <c r="E163" s="3">
        <v>1002.4</v>
      </c>
      <c r="F163" s="3">
        <v>1002.4</v>
      </c>
      <c r="G163" s="759">
        <v>0</v>
      </c>
      <c r="H163" s="3">
        <v>100</v>
      </c>
      <c r="I163" s="3">
        <v>0</v>
      </c>
    </row>
    <row r="164" spans="1:9" ht="15">
      <c r="A164" s="280" t="s">
        <v>29</v>
      </c>
      <c r="B164" s="3">
        <v>122.6459</v>
      </c>
      <c r="C164" s="3">
        <v>122.6459</v>
      </c>
      <c r="D164" s="3">
        <v>0</v>
      </c>
      <c r="E164" s="3">
        <v>1021.5</v>
      </c>
      <c r="F164" s="3">
        <v>1021.5</v>
      </c>
      <c r="G164" s="759">
        <v>0</v>
      </c>
      <c r="H164" s="3">
        <v>100</v>
      </c>
      <c r="I164" s="3">
        <v>0</v>
      </c>
    </row>
    <row r="165" spans="1:9" ht="14.25">
      <c r="A165" s="280" t="s">
        <v>1852</v>
      </c>
      <c r="B165" s="284">
        <v>387.06049999999999</v>
      </c>
      <c r="C165" s="284">
        <v>277.44</v>
      </c>
      <c r="D165" s="284">
        <v>109.62049999999999</v>
      </c>
      <c r="E165" s="284">
        <f>(G165*D165+F165*C165)/(C165+D165)</f>
        <v>289.77129200997837</v>
      </c>
      <c r="F165" s="284">
        <v>398.3220010489772</v>
      </c>
      <c r="G165" s="284">
        <v>15.038840362888328</v>
      </c>
      <c r="H165" s="284">
        <v>71.678716893095526</v>
      </c>
      <c r="I165" s="284">
        <v>28.321283106904477</v>
      </c>
    </row>
    <row r="166" spans="1:9" ht="15">
      <c r="A166" s="280" t="s">
        <v>18</v>
      </c>
      <c r="B166" s="3">
        <v>122.6459</v>
      </c>
      <c r="C166" s="3">
        <v>122.6459</v>
      </c>
      <c r="D166" s="3">
        <v>0</v>
      </c>
      <c r="E166" s="3">
        <v>920.7</v>
      </c>
      <c r="F166" s="3">
        <v>920.7</v>
      </c>
      <c r="G166" s="759">
        <v>0</v>
      </c>
      <c r="H166" s="3">
        <v>100</v>
      </c>
      <c r="I166" s="3">
        <v>0</v>
      </c>
    </row>
    <row r="167" spans="1:9" ht="15">
      <c r="A167" s="280" t="s">
        <v>19</v>
      </c>
      <c r="B167" s="3">
        <v>142.64590000000001</v>
      </c>
      <c r="C167" s="3">
        <v>142.64590000000001</v>
      </c>
      <c r="D167" s="3">
        <v>0</v>
      </c>
      <c r="E167" s="3">
        <f>(G167*D167+F167*C167)/(C167+D167)</f>
        <v>800.88920632049633</v>
      </c>
      <c r="F167" s="3">
        <v>800.88920632049633</v>
      </c>
      <c r="G167" s="759">
        <v>0</v>
      </c>
      <c r="H167" s="3">
        <v>100</v>
      </c>
      <c r="I167" s="3">
        <v>0</v>
      </c>
    </row>
    <row r="168" spans="1:9" ht="15">
      <c r="A168" s="280" t="s">
        <v>20</v>
      </c>
      <c r="B168" s="3">
        <v>167.64590000000001</v>
      </c>
      <c r="C168" s="3">
        <v>167.64590000000001</v>
      </c>
      <c r="D168" s="3">
        <v>0</v>
      </c>
      <c r="E168" s="3">
        <f>(G168*D168+F168*C168)/(C168+D168)</f>
        <v>798.89999999999986</v>
      </c>
      <c r="F168" s="3">
        <v>798.9</v>
      </c>
      <c r="G168" s="759">
        <v>0</v>
      </c>
      <c r="H168" s="3">
        <v>100</v>
      </c>
      <c r="I168" s="3">
        <v>0</v>
      </c>
    </row>
    <row r="169" spans="1:9" ht="15">
      <c r="A169" s="280" t="s">
        <v>21</v>
      </c>
      <c r="B169" s="3">
        <v>199.64590000000001</v>
      </c>
      <c r="C169" s="3">
        <v>199.64590000000001</v>
      </c>
      <c r="D169" s="3">
        <v>0</v>
      </c>
      <c r="E169" s="3">
        <v>684.49408609980139</v>
      </c>
      <c r="F169" s="3">
        <v>684.49408609980139</v>
      </c>
      <c r="G169" s="759">
        <v>0</v>
      </c>
      <c r="H169" s="3">
        <v>100</v>
      </c>
      <c r="I169" s="3">
        <v>0</v>
      </c>
    </row>
    <row r="170" spans="1:9" ht="15">
      <c r="A170" s="280" t="s">
        <v>22</v>
      </c>
      <c r="B170" s="3">
        <v>205.64590000000001</v>
      </c>
      <c r="C170" s="3">
        <v>205.64590000000001</v>
      </c>
      <c r="D170" s="3">
        <v>0</v>
      </c>
      <c r="E170" s="3">
        <v>606.34748870832959</v>
      </c>
      <c r="F170" s="3">
        <v>606.34748870832959</v>
      </c>
      <c r="G170" s="759">
        <v>0</v>
      </c>
      <c r="H170" s="3">
        <v>100</v>
      </c>
      <c r="I170" s="3">
        <v>0</v>
      </c>
    </row>
    <row r="171" spans="1:9" ht="15">
      <c r="A171" s="280" t="s">
        <v>23</v>
      </c>
      <c r="B171" s="3">
        <v>211.16499999999999</v>
      </c>
      <c r="C171" s="3">
        <v>211.16499999999999</v>
      </c>
      <c r="D171" s="3">
        <v>0</v>
      </c>
      <c r="E171" s="3">
        <v>545.98127016778255</v>
      </c>
      <c r="F171" s="3">
        <v>545.98127016778255</v>
      </c>
      <c r="G171" s="759">
        <v>0</v>
      </c>
      <c r="H171" s="3">
        <v>100</v>
      </c>
      <c r="I171" s="3">
        <v>0</v>
      </c>
    </row>
    <row r="172" spans="1:9" ht="15">
      <c r="A172" s="280" t="s">
        <v>24</v>
      </c>
      <c r="B172" s="3">
        <v>218.1866</v>
      </c>
      <c r="C172" s="3">
        <v>218.1866</v>
      </c>
      <c r="D172" s="3">
        <v>0</v>
      </c>
      <c r="E172" s="3">
        <v>479.47305852768625</v>
      </c>
      <c r="F172" s="3">
        <v>479.47305852768625</v>
      </c>
      <c r="G172" s="759">
        <v>0</v>
      </c>
      <c r="H172" s="3">
        <v>100</v>
      </c>
      <c r="I172" s="3">
        <v>0</v>
      </c>
    </row>
    <row r="173" spans="1:9" ht="15">
      <c r="A173" s="280" t="s">
        <v>25</v>
      </c>
      <c r="B173" s="3">
        <v>239.91650000000001</v>
      </c>
      <c r="C173" s="3">
        <v>239.91650000000001</v>
      </c>
      <c r="D173" s="3">
        <v>0</v>
      </c>
      <c r="E173" s="3">
        <v>445.40296533638661</v>
      </c>
      <c r="F173" s="3">
        <v>445.40296533638661</v>
      </c>
      <c r="G173" s="759">
        <v>0</v>
      </c>
      <c r="H173" s="3">
        <v>100</v>
      </c>
      <c r="I173" s="3">
        <v>0</v>
      </c>
    </row>
    <row r="174" spans="1:9" ht="15">
      <c r="A174" s="280" t="s">
        <v>26</v>
      </c>
      <c r="B174" s="3">
        <v>240.441</v>
      </c>
      <c r="C174" s="3">
        <v>240.441</v>
      </c>
      <c r="D174" s="3">
        <v>0</v>
      </c>
      <c r="E174" s="3">
        <v>445.91780547047631</v>
      </c>
      <c r="F174" s="3">
        <v>445.91780547047631</v>
      </c>
      <c r="G174" s="759">
        <v>0</v>
      </c>
      <c r="H174" s="3">
        <v>100</v>
      </c>
      <c r="I174" s="3">
        <v>0</v>
      </c>
    </row>
    <row r="175" spans="1:9" ht="15">
      <c r="A175" s="280" t="s">
        <v>27</v>
      </c>
      <c r="B175" s="3">
        <v>241.36299999999997</v>
      </c>
      <c r="C175" s="3">
        <v>241.36299999999997</v>
      </c>
      <c r="D175" s="3">
        <v>0</v>
      </c>
      <c r="E175" s="3">
        <v>425.21765776872121</v>
      </c>
      <c r="F175" s="3">
        <v>425.21765776872121</v>
      </c>
      <c r="G175" s="759">
        <v>0</v>
      </c>
      <c r="H175" s="3">
        <v>100</v>
      </c>
      <c r="I175" s="3">
        <v>0</v>
      </c>
    </row>
    <row r="176" spans="1:9" ht="15">
      <c r="A176" s="280" t="s">
        <v>28</v>
      </c>
      <c r="B176" s="3">
        <v>385.08219999999994</v>
      </c>
      <c r="C176" s="3">
        <v>272.85019999999997</v>
      </c>
      <c r="D176" s="3">
        <v>112.232</v>
      </c>
      <c r="E176" s="3">
        <v>293.61676833337185</v>
      </c>
      <c r="F176" s="3">
        <v>409.45473782575624</v>
      </c>
      <c r="G176" s="3">
        <v>12</v>
      </c>
      <c r="H176" s="3">
        <v>70.855053804096883</v>
      </c>
      <c r="I176" s="3">
        <v>29.144946195903117</v>
      </c>
    </row>
    <row r="177" spans="1:12" ht="15">
      <c r="A177" s="280" t="s">
        <v>29</v>
      </c>
      <c r="B177" s="3">
        <v>387.06049999999999</v>
      </c>
      <c r="C177" s="3">
        <v>277.44</v>
      </c>
      <c r="D177" s="3">
        <v>109.62049999999999</v>
      </c>
      <c r="E177" s="3">
        <f>(G177*D177+F177*C177)/(C177+D177)</f>
        <v>289.77129200997837</v>
      </c>
      <c r="F177" s="3">
        <v>398.3220010489772</v>
      </c>
      <c r="G177" s="3">
        <v>15.038840362888328</v>
      </c>
      <c r="H177" s="3">
        <v>71.678716893095526</v>
      </c>
      <c r="I177" s="3">
        <v>28.321283106904477</v>
      </c>
    </row>
    <row r="178" spans="1:12" ht="14.25">
      <c r="A178" s="280" t="s">
        <v>1915</v>
      </c>
      <c r="B178" s="284">
        <v>1665.4284000000002</v>
      </c>
      <c r="C178" s="284">
        <v>739.81690000000015</v>
      </c>
      <c r="D178" s="284">
        <v>925.61150000000009</v>
      </c>
      <c r="E178" s="284">
        <f>(G178*D178+F178*C178)/(C178+D178)</f>
        <v>184.374909428378</v>
      </c>
      <c r="F178" s="284">
        <v>398.75230587423817</v>
      </c>
      <c r="G178" s="284">
        <v>13.028701144829991</v>
      </c>
      <c r="H178" s="284">
        <f>C178/B178*100</f>
        <v>44.422017782331565</v>
      </c>
      <c r="I178" s="284">
        <f>D178/B178*100</f>
        <v>55.577982217668435</v>
      </c>
    </row>
    <row r="179" spans="1:12" ht="15">
      <c r="A179" s="280" t="s">
        <v>18</v>
      </c>
      <c r="B179" s="3">
        <v>238.64999999999998</v>
      </c>
      <c r="C179" s="3">
        <v>200.14</v>
      </c>
      <c r="D179" s="3">
        <v>38.51</v>
      </c>
      <c r="E179" s="3">
        <v>346.36150902136643</v>
      </c>
      <c r="F179" s="3">
        <v>409.54142901851458</v>
      </c>
      <c r="G179" s="3">
        <v>18.009673440238913</v>
      </c>
      <c r="H179" s="3">
        <v>83.863398282002933</v>
      </c>
      <c r="I179" s="3">
        <v>16.136601717997067</v>
      </c>
    </row>
    <row r="180" spans="1:12" ht="15">
      <c r="A180" s="280" t="s">
        <v>19</v>
      </c>
      <c r="B180" s="3">
        <v>368.37399999999997</v>
      </c>
      <c r="C180" s="3">
        <v>278.33</v>
      </c>
      <c r="D180" s="3">
        <v>90.043999999999997</v>
      </c>
      <c r="E180" s="3">
        <v>309.66234012493805</v>
      </c>
      <c r="F180" s="3">
        <v>406.34794113374869</v>
      </c>
      <c r="G180" s="3">
        <v>10.802856663716195</v>
      </c>
      <c r="H180" s="3">
        <v>75.556363912762578</v>
      </c>
      <c r="I180" s="3">
        <v>24.443636087237426</v>
      </c>
    </row>
    <row r="181" spans="1:12" ht="15">
      <c r="A181" s="280" t="s">
        <v>20</v>
      </c>
      <c r="B181" s="3">
        <v>380.87799999999999</v>
      </c>
      <c r="C181" s="3">
        <v>311.77999999999997</v>
      </c>
      <c r="D181" s="3">
        <v>69.097999999999999</v>
      </c>
      <c r="E181" s="3">
        <v>348.68001443260209</v>
      </c>
      <c r="F181" s="3">
        <v>412.89618571903327</v>
      </c>
      <c r="G181" s="3">
        <v>14.942685913611401</v>
      </c>
      <c r="H181" s="3">
        <v>53.89118364577331</v>
      </c>
      <c r="I181" s="3">
        <v>10.369488768855453</v>
      </c>
    </row>
    <row r="182" spans="1:12" ht="15">
      <c r="A182" s="280" t="s">
        <v>21</v>
      </c>
      <c r="B182" s="3">
        <v>504.64</v>
      </c>
      <c r="C182" s="3">
        <v>429.96</v>
      </c>
      <c r="D182" s="3">
        <v>74.680000000000007</v>
      </c>
      <c r="E182" s="3">
        <v>338.72354310440875</v>
      </c>
      <c r="F182" s="3">
        <v>395.64528526367951</v>
      </c>
      <c r="G182" s="3">
        <v>11.00431092979642</v>
      </c>
      <c r="H182" s="3">
        <v>85.201331642358909</v>
      </c>
      <c r="I182" s="3">
        <v>14.798668357641093</v>
      </c>
    </row>
    <row r="183" spans="1:12" ht="15">
      <c r="A183" s="280" t="s">
        <v>22</v>
      </c>
      <c r="B183" s="3">
        <v>557.26479999999992</v>
      </c>
      <c r="C183" s="3">
        <v>432.26479999999998</v>
      </c>
      <c r="D183" s="3">
        <v>125</v>
      </c>
      <c r="E183" s="3">
        <v>308.30094436055197</v>
      </c>
      <c r="F183" s="3">
        <v>392.67854798109983</v>
      </c>
      <c r="G183" s="3">
        <v>16.513200732428558</v>
      </c>
      <c r="H183" s="3">
        <v>77.569012074690534</v>
      </c>
      <c r="I183" s="3">
        <v>22.430987925309477</v>
      </c>
    </row>
    <row r="184" spans="1:12" ht="15">
      <c r="A184" s="280" t="s">
        <v>23</v>
      </c>
      <c r="B184" s="3">
        <v>784.16480000000001</v>
      </c>
      <c r="C184" s="3">
        <v>434.16480000000001</v>
      </c>
      <c r="D184" s="3">
        <v>350</v>
      </c>
      <c r="E184" s="3">
        <v>223.05830953676343</v>
      </c>
      <c r="F184" s="3">
        <v>390.8365086028345</v>
      </c>
      <c r="G184" s="3">
        <v>14.934343131389367</v>
      </c>
      <c r="H184" s="3">
        <v>55.366524995766198</v>
      </c>
      <c r="I184" s="3">
        <v>44.633475004233802</v>
      </c>
    </row>
    <row r="185" spans="1:12" ht="15">
      <c r="A185" s="280" t="s">
        <v>24</v>
      </c>
      <c r="B185" s="3">
        <v>910.66480000000001</v>
      </c>
      <c r="C185" s="3">
        <v>460.66480000000001</v>
      </c>
      <c r="D185" s="3">
        <v>450</v>
      </c>
      <c r="E185" s="3">
        <v>196.51012681493063</v>
      </c>
      <c r="F185" s="3">
        <v>377.74649498718207</v>
      </c>
      <c r="G185" s="3">
        <v>10.978537266493783</v>
      </c>
      <c r="H185" s="3">
        <v>50.585550248565667</v>
      </c>
      <c r="I185" s="3">
        <v>49.414449751434333</v>
      </c>
    </row>
    <row r="186" spans="1:12" ht="15">
      <c r="A186" s="280" t="s">
        <v>25</v>
      </c>
      <c r="B186" s="3">
        <v>1043.3899999999999</v>
      </c>
      <c r="C186" s="3">
        <v>493.39</v>
      </c>
      <c r="D186" s="3">
        <v>550</v>
      </c>
      <c r="E186" s="3">
        <v>184.30443109442612</v>
      </c>
      <c r="F186" s="3">
        <v>373.67319137652078</v>
      </c>
      <c r="G186" s="3">
        <v>14.426880847912086</v>
      </c>
      <c r="H186" s="3">
        <v>47.287208043013642</v>
      </c>
      <c r="I186" s="3">
        <v>52.712791956986372</v>
      </c>
      <c r="L186" s="12" t="s">
        <v>2031</v>
      </c>
    </row>
    <row r="187" spans="1:12" ht="15">
      <c r="A187" s="280" t="s">
        <v>26</v>
      </c>
      <c r="B187" s="3">
        <v>1119.9180000000001</v>
      </c>
      <c r="C187" s="3">
        <v>519.91800000000001</v>
      </c>
      <c r="D187" s="3">
        <v>600</v>
      </c>
      <c r="E187" s="3">
        <v>178.93819264227591</v>
      </c>
      <c r="F187" s="3">
        <v>368.3151008966974</v>
      </c>
      <c r="G187" s="3">
        <v>14.837420332572119</v>
      </c>
      <c r="H187" s="3">
        <v>46.424648947512225</v>
      </c>
      <c r="I187" s="3">
        <v>53.575351052487761</v>
      </c>
    </row>
    <row r="188" spans="1:12" ht="15">
      <c r="A188" s="280" t="s">
        <v>27</v>
      </c>
      <c r="B188" s="3">
        <v>1239.6179999999999</v>
      </c>
      <c r="C188" s="3">
        <v>539.61800000000005</v>
      </c>
      <c r="D188" s="3">
        <v>700</v>
      </c>
      <c r="E188" s="3">
        <v>147.65660794526283</v>
      </c>
      <c r="F188" s="3">
        <v>323.63543509330754</v>
      </c>
      <c r="G188" s="3">
        <v>11.997546876729091</v>
      </c>
      <c r="H188" s="3">
        <v>43.530990998839968</v>
      </c>
      <c r="I188" s="3">
        <v>56.469009001160039</v>
      </c>
    </row>
    <row r="189" spans="1:12" ht="15">
      <c r="A189" s="280" t="s">
        <v>28</v>
      </c>
      <c r="B189" s="3">
        <v>1423.318</v>
      </c>
      <c r="C189" s="3">
        <v>623.31799999999998</v>
      </c>
      <c r="D189" s="3">
        <v>800</v>
      </c>
      <c r="E189" s="3">
        <f>(G189*D189+F189*C189)/(C189+D189)</f>
        <v>182.25574943121583</v>
      </c>
      <c r="F189" s="3">
        <v>397.88892424139902</v>
      </c>
      <c r="G189" s="3">
        <v>14.245700360798606</v>
      </c>
      <c r="H189" s="3">
        <v>43.793305501651773</v>
      </c>
      <c r="I189" s="3">
        <v>56.206694498348227</v>
      </c>
    </row>
    <row r="190" spans="1:12" ht="15">
      <c r="A190" s="280" t="s">
        <v>29</v>
      </c>
      <c r="B190" s="3">
        <v>1665.4284000000002</v>
      </c>
      <c r="C190" s="3">
        <v>739.81690000000015</v>
      </c>
      <c r="D190" s="3">
        <v>925.61150000000009</v>
      </c>
      <c r="E190" s="3">
        <f>(G190*D190+F190*C190)/(C190+D190)</f>
        <v>184.374909428378</v>
      </c>
      <c r="F190" s="3">
        <v>398.75230587423817</v>
      </c>
      <c r="G190" s="3">
        <v>13.028701144829991</v>
      </c>
      <c r="H190" s="3">
        <f>C190/B190*100</f>
        <v>44.422017782331565</v>
      </c>
      <c r="I190" s="3">
        <f>D190/B190*100</f>
        <v>55.577982217668435</v>
      </c>
    </row>
    <row r="191" spans="1:12" ht="14.25">
      <c r="A191" s="280" t="s">
        <v>2051</v>
      </c>
      <c r="B191" s="284">
        <v>1989.1999999999998</v>
      </c>
      <c r="C191" s="284">
        <v>980.93</v>
      </c>
      <c r="D191" s="284">
        <v>1008.27</v>
      </c>
      <c r="E191" s="284">
        <v>308.0544098010327</v>
      </c>
      <c r="F191" s="284">
        <v>613.89873783411758</v>
      </c>
      <c r="G191" s="284">
        <v>10.50328093922591</v>
      </c>
      <c r="H191" s="284">
        <v>49.31278906092902</v>
      </c>
      <c r="I191" s="284">
        <v>50.687210939070994</v>
      </c>
    </row>
    <row r="192" spans="1:12" ht="15">
      <c r="A192" s="280" t="s">
        <v>18</v>
      </c>
      <c r="B192" s="3">
        <v>1659.8169000000003</v>
      </c>
      <c r="C192" s="3">
        <v>759.81690000000015</v>
      </c>
      <c r="D192" s="3">
        <v>900</v>
      </c>
      <c r="E192" s="3">
        <v>200.93613231854388</v>
      </c>
      <c r="F192" s="3">
        <v>416.68088131480755</v>
      </c>
      <c r="G192" s="3">
        <v>18.795569681189242</v>
      </c>
      <c r="H192" s="3">
        <v>45.777151684622567</v>
      </c>
      <c r="I192" s="3">
        <v>54.222848315377426</v>
      </c>
    </row>
    <row r="193" spans="1:9" ht="15">
      <c r="A193" s="280" t="s">
        <v>19</v>
      </c>
      <c r="B193" s="3">
        <v>1674.8169000000003</v>
      </c>
      <c r="C193" s="3">
        <v>824.81690000000015</v>
      </c>
      <c r="D193" s="3">
        <v>850</v>
      </c>
      <c r="E193" s="3">
        <v>233.5722052667582</v>
      </c>
      <c r="F193" s="3">
        <v>454.11224301298478</v>
      </c>
      <c r="G193" s="3">
        <v>19.566146137669332</v>
      </c>
      <c r="H193" s="3">
        <v>49.248183487998006</v>
      </c>
      <c r="I193" s="3">
        <v>50.751816512001987</v>
      </c>
    </row>
    <row r="194" spans="1:9" ht="15">
      <c r="A194" s="280" t="s">
        <v>20</v>
      </c>
      <c r="B194" s="3">
        <v>1409.8200000000002</v>
      </c>
      <c r="C194" s="3">
        <v>809.82</v>
      </c>
      <c r="D194" s="3">
        <v>600</v>
      </c>
      <c r="E194" s="3">
        <v>285.66400202743756</v>
      </c>
      <c r="F194" s="3">
        <v>487.59613650203215</v>
      </c>
      <c r="G194" s="3">
        <v>13.116200127077358</v>
      </c>
      <c r="H194" s="3">
        <v>57.441375494744008</v>
      </c>
      <c r="I194" s="3">
        <v>42.558624505255985</v>
      </c>
    </row>
    <row r="195" spans="1:9" ht="15">
      <c r="A195" s="280" t="s">
        <v>21</v>
      </c>
      <c r="B195" s="3">
        <v>1672.5</v>
      </c>
      <c r="C195" s="3">
        <v>772.5</v>
      </c>
      <c r="D195" s="3">
        <v>900</v>
      </c>
      <c r="E195" s="3">
        <v>248.74356585124332</v>
      </c>
      <c r="F195" s="3">
        <v>524.01136581942831</v>
      </c>
      <c r="G195" s="3">
        <v>12.472037545217839</v>
      </c>
      <c r="H195" s="3">
        <v>46.188340807174889</v>
      </c>
      <c r="I195" s="3">
        <v>53.811659192825111</v>
      </c>
    </row>
    <row r="196" spans="1:9" ht="15">
      <c r="A196" s="280" t="s">
        <v>22</v>
      </c>
      <c r="B196" s="3">
        <v>1772.5</v>
      </c>
      <c r="C196" s="3">
        <v>772.5</v>
      </c>
      <c r="D196" s="3">
        <v>1000</v>
      </c>
      <c r="E196" s="3">
        <v>249.65153777990602</v>
      </c>
      <c r="F196" s="3">
        <v>556.03100607205499</v>
      </c>
      <c r="G196" s="3">
        <v>12.973398524220928</v>
      </c>
      <c r="H196" s="3">
        <v>43.582510578279269</v>
      </c>
      <c r="I196" s="3">
        <v>56.417489421720731</v>
      </c>
    </row>
    <row r="197" spans="1:9" ht="15">
      <c r="A197" s="280" t="s">
        <v>23</v>
      </c>
      <c r="B197" s="3">
        <v>1792.5</v>
      </c>
      <c r="C197" s="3">
        <v>792.5</v>
      </c>
      <c r="D197" s="3">
        <v>1000</v>
      </c>
      <c r="E197" s="3">
        <v>260.19875713798154</v>
      </c>
      <c r="F197" s="3">
        <v>570.05534803862963</v>
      </c>
      <c r="G197" s="3">
        <v>14.637408849217991</v>
      </c>
      <c r="H197" s="3">
        <v>44.211994421199442</v>
      </c>
      <c r="I197" s="3">
        <v>55.788005578800558</v>
      </c>
    </row>
    <row r="198" spans="1:9" ht="15">
      <c r="A198" s="280" t="s">
        <v>24</v>
      </c>
      <c r="B198" s="3">
        <v>1857.5</v>
      </c>
      <c r="C198" s="3">
        <v>857.5</v>
      </c>
      <c r="D198" s="3">
        <v>1000</v>
      </c>
      <c r="E198" s="3">
        <v>272.69238964676521</v>
      </c>
      <c r="F198" s="3">
        <v>577.75355968842234</v>
      </c>
      <c r="G198" s="3">
        <v>11.102436336044249</v>
      </c>
      <c r="H198" s="3">
        <v>46.164199192462988</v>
      </c>
      <c r="I198" s="3">
        <v>53.835800807537012</v>
      </c>
    </row>
    <row r="199" spans="1:9" ht="15">
      <c r="A199" s="280" t="s">
        <v>25</v>
      </c>
      <c r="B199" s="3">
        <v>1912.5</v>
      </c>
      <c r="C199" s="3">
        <v>862.5</v>
      </c>
      <c r="D199" s="3">
        <v>1050</v>
      </c>
      <c r="E199" s="3">
        <v>268.65444230247209</v>
      </c>
      <c r="F199" s="3">
        <v>583.99193639155669</v>
      </c>
      <c r="G199" s="3">
        <v>9.6272150150097087</v>
      </c>
      <c r="H199" s="3">
        <v>45.098039215686278</v>
      </c>
      <c r="I199" s="3">
        <v>54.901960784313729</v>
      </c>
    </row>
    <row r="200" spans="1:9" ht="15">
      <c r="A200" s="280" t="s">
        <v>26</v>
      </c>
      <c r="B200" s="3">
        <v>1922.5</v>
      </c>
      <c r="C200" s="3">
        <v>872.5</v>
      </c>
      <c r="D200" s="3">
        <v>1050</v>
      </c>
      <c r="E200" s="3">
        <v>269.527466413632</v>
      </c>
      <c r="F200" s="3">
        <v>577.55776813953196</v>
      </c>
      <c r="G200" s="3">
        <v>13.568953789015138</v>
      </c>
      <c r="H200" s="3">
        <v>45.38361508452536</v>
      </c>
      <c r="I200" s="3">
        <v>54.616384915474647</v>
      </c>
    </row>
    <row r="201" spans="1:9" ht="15">
      <c r="A201" s="280" t="s">
        <v>27</v>
      </c>
      <c r="B201" s="3">
        <v>1997.5</v>
      </c>
      <c r="C201" s="3">
        <v>947.5</v>
      </c>
      <c r="D201" s="3">
        <v>1050</v>
      </c>
      <c r="E201" s="3">
        <v>287.0575475242444</v>
      </c>
      <c r="F201" s="3">
        <v>589.59083859692225</v>
      </c>
      <c r="G201" s="3">
        <v>14.057268199137441</v>
      </c>
      <c r="H201" s="3">
        <v>47.434292866082608</v>
      </c>
      <c r="I201" s="3">
        <v>52.565707133917392</v>
      </c>
    </row>
    <row r="202" spans="1:9" ht="15">
      <c r="A202" s="280" t="s">
        <v>28</v>
      </c>
      <c r="B202" s="3">
        <v>2033.85</v>
      </c>
      <c r="C202" s="3">
        <v>983.85</v>
      </c>
      <c r="D202" s="3">
        <v>1050</v>
      </c>
      <c r="E202" s="3">
        <v>297.78787676913629</v>
      </c>
      <c r="F202" s="3">
        <v>600.3757057870672</v>
      </c>
      <c r="G202" s="3">
        <v>14.263080979334918</v>
      </c>
      <c r="H202" s="3">
        <v>48.373773877129587</v>
      </c>
      <c r="I202" s="3">
        <v>51.62622612287042</v>
      </c>
    </row>
    <row r="203" spans="1:9" ht="15">
      <c r="A203" s="280" t="s">
        <v>29</v>
      </c>
      <c r="B203" s="3">
        <v>1989.1999999999998</v>
      </c>
      <c r="C203" s="3">
        <v>980.93</v>
      </c>
      <c r="D203" s="3">
        <v>1008.27</v>
      </c>
      <c r="E203" s="3">
        <v>308.0544098010327</v>
      </c>
      <c r="F203" s="3">
        <v>613.89873783411758</v>
      </c>
      <c r="G203" s="3">
        <v>10.50328093922591</v>
      </c>
      <c r="H203" s="3">
        <v>49.31278906092902</v>
      </c>
      <c r="I203" s="3">
        <v>50.687210939070994</v>
      </c>
    </row>
    <row r="204" spans="1:9" ht="14.25">
      <c r="A204" s="280" t="s">
        <v>2144</v>
      </c>
      <c r="B204" s="284">
        <v>1841.33</v>
      </c>
      <c r="C204" s="284">
        <v>1141.33</v>
      </c>
      <c r="D204" s="284">
        <v>700</v>
      </c>
      <c r="E204" s="284">
        <v>443.81936480696021</v>
      </c>
      <c r="F204" s="284">
        <v>706.7</v>
      </c>
      <c r="G204" s="284">
        <v>15.2</v>
      </c>
      <c r="H204" s="284">
        <v>61.984000695149696</v>
      </c>
      <c r="I204" s="284">
        <v>38.015999304850304</v>
      </c>
    </row>
    <row r="205" spans="1:9" ht="15">
      <c r="A205" s="280" t="s">
        <v>18</v>
      </c>
      <c r="B205" s="3">
        <f>SUM(C205:D205)</f>
        <v>2032.48</v>
      </c>
      <c r="C205" s="3">
        <v>982.48</v>
      </c>
      <c r="D205" s="3">
        <v>1050</v>
      </c>
      <c r="E205" s="3">
        <f t="shared" ref="E205:E232" si="23">(G205*D205+F205*C205)/(C205+D205)</f>
        <v>307.41084194294217</v>
      </c>
      <c r="F205" s="3">
        <v>620.64995522731419</v>
      </c>
      <c r="G205" s="3">
        <v>14.314495257580415</v>
      </c>
      <c r="H205" s="3">
        <v>47.073678480157675</v>
      </c>
      <c r="I205" s="3">
        <v>52.926321519842332</v>
      </c>
    </row>
    <row r="206" spans="1:9" ht="15">
      <c r="A206" s="280" t="s">
        <v>19</v>
      </c>
      <c r="B206" s="3">
        <f>SUM(C206:D206)</f>
        <v>2047.48</v>
      </c>
      <c r="C206" s="3">
        <v>997.48</v>
      </c>
      <c r="D206" s="3">
        <v>1050</v>
      </c>
      <c r="E206" s="3">
        <f t="shared" si="23"/>
        <v>315.57983383750559</v>
      </c>
      <c r="F206" s="3">
        <v>629.24131701761053</v>
      </c>
      <c r="G206" s="3">
        <v>17.607399320847332</v>
      </c>
      <c r="H206" s="3">
        <v>47.380026460329553</v>
      </c>
      <c r="I206" s="3">
        <v>52.619973539670454</v>
      </c>
    </row>
    <row r="207" spans="1:9" ht="15">
      <c r="A207" s="280" t="s">
        <v>20</v>
      </c>
      <c r="B207" s="3">
        <f t="shared" ref="B207:B216" si="24">SUM(C207:D207)</f>
        <v>2011.31</v>
      </c>
      <c r="C207" s="3">
        <v>1027.98</v>
      </c>
      <c r="D207" s="3">
        <v>983.33</v>
      </c>
      <c r="E207" s="3">
        <f t="shared" si="23"/>
        <v>331.1227219988545</v>
      </c>
      <c r="F207" s="3">
        <v>637.1384443513715</v>
      </c>
      <c r="G207" s="3">
        <v>11.211764066176265</v>
      </c>
      <c r="H207" s="3">
        <v>50.192729464561594</v>
      </c>
      <c r="I207" s="3">
        <v>49.80727053543842</v>
      </c>
    </row>
    <row r="208" spans="1:9" ht="15">
      <c r="A208" s="280" t="s">
        <v>21</v>
      </c>
      <c r="B208" s="3">
        <f t="shared" si="24"/>
        <v>1912.35</v>
      </c>
      <c r="C208" s="3">
        <v>1037.98</v>
      </c>
      <c r="D208" s="3">
        <v>874.37</v>
      </c>
      <c r="E208" s="3">
        <f t="shared" si="23"/>
        <v>354.96387844947316</v>
      </c>
      <c r="F208" s="3">
        <v>644.93720373461008</v>
      </c>
      <c r="G208" s="3">
        <v>10.731445749967911</v>
      </c>
      <c r="H208" s="3">
        <v>53.354494531875162</v>
      </c>
      <c r="I208" s="3">
        <v>46.645505468124831</v>
      </c>
    </row>
    <row r="209" spans="1:9" ht="15">
      <c r="A209" s="280" t="s">
        <v>22</v>
      </c>
      <c r="B209" s="3">
        <f t="shared" si="24"/>
        <v>1859.18</v>
      </c>
      <c r="C209" s="3">
        <v>1059.18</v>
      </c>
      <c r="D209" s="3">
        <v>800</v>
      </c>
      <c r="E209" s="3">
        <f t="shared" si="23"/>
        <v>377.43200438979363</v>
      </c>
      <c r="F209" s="3">
        <v>652.33153156494996</v>
      </c>
      <c r="G209" s="3">
        <v>13.471902898065931</v>
      </c>
      <c r="H209" s="3">
        <v>56.31590155788416</v>
      </c>
      <c r="I209" s="3">
        <v>43.68409844211584</v>
      </c>
    </row>
    <row r="210" spans="1:9" ht="15">
      <c r="A210" s="280" t="s">
        <v>23</v>
      </c>
      <c r="B210" s="3">
        <f t="shared" si="24"/>
        <v>1779.18</v>
      </c>
      <c r="C210" s="3">
        <v>1079.18</v>
      </c>
      <c r="D210" s="3">
        <v>700</v>
      </c>
      <c r="E210" s="3">
        <f t="shared" si="23"/>
        <v>392.89916642765309</v>
      </c>
      <c r="F210" s="3">
        <v>638.74538456789003</v>
      </c>
      <c r="G210" s="3">
        <v>13.881564009680339</v>
      </c>
      <c r="H210" s="3">
        <v>59.800841885225665</v>
      </c>
      <c r="I210" s="3">
        <v>40.199158114774342</v>
      </c>
    </row>
    <row r="211" spans="1:9" ht="15">
      <c r="A211" s="280" t="s">
        <v>24</v>
      </c>
      <c r="B211" s="3">
        <f t="shared" si="24"/>
        <v>1824.18</v>
      </c>
      <c r="C211" s="3">
        <v>1124.18</v>
      </c>
      <c r="D211" s="3">
        <v>700</v>
      </c>
      <c r="E211" s="3">
        <f t="shared" si="23"/>
        <v>396.3519735289812</v>
      </c>
      <c r="F211" s="3">
        <v>634.61431134574343</v>
      </c>
      <c r="G211" s="3">
        <v>13.709466490627202</v>
      </c>
      <c r="H211" s="3">
        <v>60.813511501234373</v>
      </c>
      <c r="I211" s="3">
        <v>39.186488498765627</v>
      </c>
    </row>
    <row r="212" spans="1:9" ht="15">
      <c r="A212" s="280" t="s">
        <v>25</v>
      </c>
      <c r="B212" s="3">
        <f t="shared" si="24"/>
        <v>1894.18</v>
      </c>
      <c r="C212" s="3">
        <v>1194.18</v>
      </c>
      <c r="D212" s="3">
        <v>700</v>
      </c>
      <c r="E212" s="3">
        <f t="shared" si="23"/>
        <v>430.63191428666653</v>
      </c>
      <c r="F212" s="3">
        <v>674.10023367250608</v>
      </c>
      <c r="G212" s="3">
        <v>15.281917652121079</v>
      </c>
      <c r="H212" s="3">
        <v>62.291187450507181</v>
      </c>
      <c r="I212" s="3">
        <v>37.708812549492819</v>
      </c>
    </row>
    <row r="213" spans="1:9" ht="15">
      <c r="A213" s="280" t="s">
        <v>26</v>
      </c>
      <c r="B213" s="3">
        <f t="shared" si="24"/>
        <v>1881.3</v>
      </c>
      <c r="C213" s="3">
        <v>1181.3</v>
      </c>
      <c r="D213" s="3">
        <v>700</v>
      </c>
      <c r="E213" s="3">
        <f t="shared" si="23"/>
        <v>416.28450192820139</v>
      </c>
      <c r="F213" s="3">
        <v>653.36157917338971</v>
      </c>
      <c r="G213" s="3">
        <v>16.2</v>
      </c>
      <c r="H213" s="3">
        <v>62.79227992962425</v>
      </c>
      <c r="I213" s="3">
        <v>37.207720070375743</v>
      </c>
    </row>
    <row r="214" spans="1:9" ht="15">
      <c r="A214" s="280" t="s">
        <v>27</v>
      </c>
      <c r="B214" s="3">
        <f t="shared" si="24"/>
        <v>1886.33</v>
      </c>
      <c r="C214" s="3">
        <v>1186.33</v>
      </c>
      <c r="D214" s="3">
        <v>700</v>
      </c>
      <c r="E214" s="3">
        <f t="shared" si="23"/>
        <v>441.86238834138243</v>
      </c>
      <c r="F214" s="3">
        <v>686.3</v>
      </c>
      <c r="G214" s="3">
        <v>27.6</v>
      </c>
      <c r="H214" s="3">
        <v>62.890904560707824</v>
      </c>
      <c r="I214" s="3">
        <v>37.109095439292176</v>
      </c>
    </row>
    <row r="215" spans="1:9" ht="15">
      <c r="A215" s="280" t="s">
        <v>28</v>
      </c>
      <c r="B215" s="3">
        <f t="shared" si="24"/>
        <v>1866.33</v>
      </c>
      <c r="C215" s="3">
        <v>1166.33</v>
      </c>
      <c r="D215" s="3">
        <v>700</v>
      </c>
      <c r="E215" s="3">
        <f t="shared" si="23"/>
        <v>449.05313476180527</v>
      </c>
      <c r="F215" s="3">
        <v>708.9</v>
      </c>
      <c r="G215" s="3">
        <v>16.100000000000001</v>
      </c>
      <c r="H215" s="3">
        <v>62.493235387096604</v>
      </c>
      <c r="I215" s="3">
        <v>37.506764612903396</v>
      </c>
    </row>
    <row r="216" spans="1:9" ht="15">
      <c r="A216" s="280" t="s">
        <v>29</v>
      </c>
      <c r="B216" s="3">
        <f t="shared" si="24"/>
        <v>1841.33</v>
      </c>
      <c r="C216" s="3">
        <v>1141.33</v>
      </c>
      <c r="D216" s="3">
        <v>700</v>
      </c>
      <c r="E216" s="3">
        <f t="shared" si="23"/>
        <v>443.81936480696021</v>
      </c>
      <c r="F216" s="3">
        <v>706.7</v>
      </c>
      <c r="G216" s="3">
        <v>15.2</v>
      </c>
      <c r="H216" s="3">
        <v>61.984000695149696</v>
      </c>
      <c r="I216" s="3">
        <v>38.015999304850304</v>
      </c>
    </row>
    <row r="217" spans="1:9" ht="14.25">
      <c r="A217" s="280" t="s">
        <v>2375</v>
      </c>
      <c r="B217" s="284">
        <v>2362.1800000000003</v>
      </c>
      <c r="C217" s="284">
        <v>1712.18</v>
      </c>
      <c r="D217" s="284">
        <v>650</v>
      </c>
      <c r="E217" s="284">
        <v>521.81941080388196</v>
      </c>
      <c r="F217" s="284">
        <v>713.43387327620178</v>
      </c>
      <c r="G217" s="284">
        <v>17.0833333333333</v>
      </c>
      <c r="H217" s="284">
        <v>72.483045322541045</v>
      </c>
      <c r="I217" s="284">
        <v>27.516954677458955</v>
      </c>
    </row>
    <row r="218" spans="1:9" ht="15">
      <c r="A218" s="280" t="s">
        <v>18</v>
      </c>
      <c r="B218" s="3">
        <v>1427.96</v>
      </c>
      <c r="C218" s="3">
        <v>1207.96</v>
      </c>
      <c r="D218" s="3">
        <v>220</v>
      </c>
      <c r="E218" s="3">
        <f t="shared" si="23"/>
        <v>641.75743610322854</v>
      </c>
      <c r="F218" s="3">
        <v>734.6335544703187</v>
      </c>
      <c r="G218" s="3">
        <v>131.80000000000001</v>
      </c>
      <c r="H218" s="3">
        <v>84.593405977758479</v>
      </c>
      <c r="I218" s="3">
        <v>15.406594022241519</v>
      </c>
    </row>
    <row r="219" spans="1:9" ht="15">
      <c r="A219" s="280" t="s">
        <v>19</v>
      </c>
      <c r="B219" s="3">
        <v>1506.33</v>
      </c>
      <c r="C219" s="3">
        <v>1156.33</v>
      </c>
      <c r="D219" s="3">
        <v>350</v>
      </c>
      <c r="E219" s="3">
        <f t="shared" si="23"/>
        <v>612.81886032265709</v>
      </c>
      <c r="F219" s="3">
        <v>760.038490676111</v>
      </c>
      <c r="G219" s="3">
        <v>126.43464556091585</v>
      </c>
      <c r="H219" s="3">
        <v>76.764719550164969</v>
      </c>
      <c r="I219" s="3">
        <v>23.235280449835031</v>
      </c>
    </row>
    <row r="220" spans="1:9" ht="15">
      <c r="A220" s="280" t="s">
        <v>20</v>
      </c>
      <c r="B220" s="3">
        <v>1618.59</v>
      </c>
      <c r="C220" s="3">
        <v>1296.33</v>
      </c>
      <c r="D220" s="3">
        <v>322.60000000000002</v>
      </c>
      <c r="E220" s="3">
        <f t="shared" si="23"/>
        <v>617.15517794028199</v>
      </c>
      <c r="F220" s="3">
        <v>756.05565883907695</v>
      </c>
      <c r="G220" s="3">
        <v>59</v>
      </c>
      <c r="H220" s="3">
        <v>80.090078401571745</v>
      </c>
      <c r="I220" s="3">
        <v>19.909921598428262</v>
      </c>
    </row>
    <row r="221" spans="1:9" ht="15">
      <c r="A221" s="280" t="s">
        <v>21</v>
      </c>
      <c r="B221" s="3">
        <v>2148.56</v>
      </c>
      <c r="C221" s="3">
        <v>1276.3</v>
      </c>
      <c r="D221" s="3">
        <v>872.26</v>
      </c>
      <c r="E221" s="3">
        <f t="shared" si="23"/>
        <v>463.05681380740759</v>
      </c>
      <c r="F221" s="3">
        <v>768.92996777720259</v>
      </c>
      <c r="G221" s="3">
        <v>15.5</v>
      </c>
      <c r="H221" s="3">
        <v>59.4</v>
      </c>
      <c r="I221" s="3">
        <v>40.6</v>
      </c>
    </row>
    <row r="222" spans="1:9" ht="15">
      <c r="A222" s="280" t="s">
        <v>22</v>
      </c>
      <c r="B222" s="3">
        <v>2006.7199999999998</v>
      </c>
      <c r="C222" s="3">
        <v>1291.3</v>
      </c>
      <c r="D222" s="3">
        <v>715.42</v>
      </c>
      <c r="E222" s="3">
        <f t="shared" si="23"/>
        <v>484.33628211521432</v>
      </c>
      <c r="F222" s="3">
        <v>746.73464397883311</v>
      </c>
      <c r="G222" s="3">
        <v>10.719379212736055</v>
      </c>
      <c r="H222" s="3">
        <v>64.3</v>
      </c>
      <c r="I222" s="3">
        <v>35.700000000000003</v>
      </c>
    </row>
    <row r="223" spans="1:9" ht="15">
      <c r="A223" s="280" t="s">
        <v>23</v>
      </c>
      <c r="B223" s="3">
        <v>2112.52</v>
      </c>
      <c r="C223" s="3">
        <v>1306.3</v>
      </c>
      <c r="D223" s="3">
        <v>806.22</v>
      </c>
      <c r="E223" s="3">
        <f t="shared" si="23"/>
        <v>466.0273483996167</v>
      </c>
      <c r="F223" s="3">
        <v>747.7243987148114</v>
      </c>
      <c r="G223" s="3">
        <v>9.6</v>
      </c>
      <c r="H223" s="3">
        <v>61.836100959990915</v>
      </c>
      <c r="I223" s="3">
        <v>38.163899040009092</v>
      </c>
    </row>
    <row r="224" spans="1:9" ht="15">
      <c r="A224" s="280" t="s">
        <v>24</v>
      </c>
      <c r="B224" s="3">
        <v>2059.25</v>
      </c>
      <c r="C224" s="3">
        <v>1351.3</v>
      </c>
      <c r="D224" s="3">
        <v>707.95</v>
      </c>
      <c r="E224" s="3">
        <f t="shared" si="23"/>
        <v>494.02058540747754</v>
      </c>
      <c r="F224" s="3">
        <v>746.55257196799244</v>
      </c>
      <c r="G224" s="3">
        <v>12</v>
      </c>
      <c r="H224" s="3">
        <v>65.620978511594032</v>
      </c>
      <c r="I224" s="3">
        <v>34.379021488405975</v>
      </c>
    </row>
    <row r="225" spans="1:9" ht="15">
      <c r="A225" s="280" t="s">
        <v>25</v>
      </c>
      <c r="B225" s="3">
        <v>2049.27</v>
      </c>
      <c r="C225" s="3">
        <v>1340.3</v>
      </c>
      <c r="D225" s="3">
        <v>708.97</v>
      </c>
      <c r="E225" s="3">
        <f t="shared" si="23"/>
        <v>505.07831618764885</v>
      </c>
      <c r="F225" s="3">
        <v>765.49193425009446</v>
      </c>
      <c r="G225" s="3">
        <v>12.76923076923077</v>
      </c>
      <c r="H225" s="3">
        <v>65.403777930677748</v>
      </c>
      <c r="I225" s="3">
        <v>34.596222069322245</v>
      </c>
    </row>
    <row r="226" spans="1:9" ht="15">
      <c r="A226" s="280" t="s">
        <v>26</v>
      </c>
      <c r="B226" s="3">
        <v>2141.67</v>
      </c>
      <c r="C226" s="3">
        <v>1432.7</v>
      </c>
      <c r="D226" s="3">
        <v>708.97</v>
      </c>
      <c r="E226" s="3">
        <f t="shared" si="23"/>
        <v>501.1866249088049</v>
      </c>
      <c r="F226" s="3">
        <v>742.27038386852803</v>
      </c>
      <c r="G226" s="3">
        <v>14</v>
      </c>
      <c r="H226" s="3">
        <v>66.896393935573641</v>
      </c>
      <c r="I226" s="3">
        <v>33.103606064426359</v>
      </c>
    </row>
    <row r="227" spans="1:9" ht="15">
      <c r="A227" s="280" t="s">
        <v>27</v>
      </c>
      <c r="B227" s="3">
        <v>2162.6999999999998</v>
      </c>
      <c r="C227" s="3">
        <v>1512.7</v>
      </c>
      <c r="D227" s="3">
        <v>650</v>
      </c>
      <c r="E227" s="3">
        <f t="shared" si="23"/>
        <v>504.83518484640223</v>
      </c>
      <c r="F227" s="3">
        <v>715.95957841430163</v>
      </c>
      <c r="G227" s="3">
        <v>13.5</v>
      </c>
      <c r="H227" s="3">
        <v>69.900000000000006</v>
      </c>
      <c r="I227" s="3">
        <v>30.1</v>
      </c>
    </row>
    <row r="228" spans="1:9" ht="15">
      <c r="A228" s="280" t="s">
        <v>28</v>
      </c>
      <c r="B228" s="3">
        <v>2364.9700000000003</v>
      </c>
      <c r="C228" s="3">
        <v>1714.97</v>
      </c>
      <c r="D228" s="3">
        <v>650</v>
      </c>
      <c r="E228" s="3">
        <f t="shared" ref="E228:E229" si="25">(G228*D228+F228*C228)/(C228+D228)</f>
        <v>520.27915325710239</v>
      </c>
      <c r="F228" s="3">
        <v>712.83730273908554</v>
      </c>
      <c r="G228" s="3">
        <v>12.23076923076923</v>
      </c>
      <c r="H228" s="3">
        <v>72.5</v>
      </c>
      <c r="I228" s="3">
        <v>27.5</v>
      </c>
    </row>
    <row r="229" spans="1:9" ht="15">
      <c r="A229" s="280" t="s">
        <v>29</v>
      </c>
      <c r="B229" s="3">
        <v>2362.1800000000003</v>
      </c>
      <c r="C229" s="3">
        <v>1712.18</v>
      </c>
      <c r="D229" s="3">
        <v>650</v>
      </c>
      <c r="E229" s="3">
        <f t="shared" si="25"/>
        <v>521.81941080388196</v>
      </c>
      <c r="F229" s="3">
        <v>713.43387327620178</v>
      </c>
      <c r="G229" s="3">
        <v>17.0833333333333</v>
      </c>
      <c r="H229" s="3">
        <v>72.483045322541045</v>
      </c>
      <c r="I229" s="3">
        <v>27.516954677458955</v>
      </c>
    </row>
    <row r="230" spans="1:9" ht="14.25">
      <c r="A230" s="280" t="s">
        <v>2537</v>
      </c>
      <c r="B230" s="284">
        <v>2700.192</v>
      </c>
      <c r="C230" s="284">
        <v>2500.192</v>
      </c>
      <c r="D230" s="284">
        <v>200</v>
      </c>
      <c r="E230" s="284">
        <v>840.42767576245421</v>
      </c>
      <c r="F230" s="284">
        <v>906.69680035468173</v>
      </c>
      <c r="G230" s="284">
        <v>12</v>
      </c>
      <c r="H230" s="284">
        <v>92.59311930410874</v>
      </c>
      <c r="I230" s="284">
        <v>7.406880695891255</v>
      </c>
    </row>
    <row r="231" spans="1:9" ht="15">
      <c r="A231" s="280" t="s">
        <v>18</v>
      </c>
      <c r="B231" s="3">
        <v>2856.7</v>
      </c>
      <c r="C231" s="3">
        <v>1836.7</v>
      </c>
      <c r="D231" s="3">
        <v>1020</v>
      </c>
      <c r="E231" s="3">
        <f t="shared" si="23"/>
        <v>478.24002774315079</v>
      </c>
      <c r="F231" s="3">
        <v>710.81193839704838</v>
      </c>
      <c r="G231" s="3">
        <v>59.450980392156865</v>
      </c>
      <c r="H231" s="3">
        <v>64.3</v>
      </c>
      <c r="I231" s="3">
        <v>35.700000000000003</v>
      </c>
    </row>
    <row r="232" spans="1:9" ht="15">
      <c r="A232" s="280" t="s">
        <v>19</v>
      </c>
      <c r="B232" s="3">
        <v>2964.83</v>
      </c>
      <c r="C232" s="3">
        <v>1944.83</v>
      </c>
      <c r="D232" s="3">
        <v>1020</v>
      </c>
      <c r="E232" s="3">
        <f t="shared" si="23"/>
        <v>469.5817712988603</v>
      </c>
      <c r="F232" s="3">
        <v>708.1</v>
      </c>
      <c r="G232" s="3">
        <v>14.8</v>
      </c>
      <c r="H232" s="3">
        <v>65.599999999999994</v>
      </c>
      <c r="I232" s="3">
        <v>34.4</v>
      </c>
    </row>
    <row r="233" spans="1:9" ht="15">
      <c r="A233" s="280" t="s">
        <v>20</v>
      </c>
      <c r="B233" s="3">
        <v>2850.83</v>
      </c>
      <c r="C233" s="3">
        <v>2030.83</v>
      </c>
      <c r="D233" s="3">
        <v>820</v>
      </c>
      <c r="E233" s="3">
        <f t="shared" ref="E233" si="26">(G233*D233+F233*C233)/(C233+D233)</f>
        <v>460.65478549857806</v>
      </c>
      <c r="F233" s="3">
        <v>641.47424885863325</v>
      </c>
      <c r="G233" s="3">
        <v>12.833333333333334</v>
      </c>
      <c r="H233" s="3">
        <v>71.236446929490711</v>
      </c>
      <c r="I233" s="3">
        <v>28.763553070509289</v>
      </c>
    </row>
    <row r="234" spans="1:9" ht="15">
      <c r="A234" s="280" t="s">
        <v>21</v>
      </c>
      <c r="B234" s="3">
        <v>2825.83</v>
      </c>
      <c r="C234" s="3">
        <v>2155.83</v>
      </c>
      <c r="D234" s="3">
        <v>670</v>
      </c>
      <c r="E234" s="3">
        <f t="shared" ref="E234:E240" si="27">(G234*D234+F234*C234)/(C234+D234)</f>
        <v>493.32082267632398</v>
      </c>
      <c r="F234" s="3">
        <v>641.45786712160509</v>
      </c>
      <c r="G234" s="3">
        <v>16.666666666666668</v>
      </c>
      <c r="H234" s="3">
        <v>76.290151919966874</v>
      </c>
      <c r="I234" s="3">
        <v>23.709848080033126</v>
      </c>
    </row>
    <row r="235" spans="1:9" ht="15">
      <c r="A235" s="280" t="s">
        <v>22</v>
      </c>
      <c r="B235" s="3">
        <v>2800.83</v>
      </c>
      <c r="C235" s="3">
        <v>2280.83</v>
      </c>
      <c r="D235" s="3">
        <v>520</v>
      </c>
      <c r="E235" s="3">
        <f t="shared" si="27"/>
        <v>534.06664309294217</v>
      </c>
      <c r="F235" s="3">
        <v>652.71116624533101</v>
      </c>
      <c r="G235" s="3">
        <v>13.666666666666666</v>
      </c>
      <c r="H235" s="3">
        <v>81.434074899226303</v>
      </c>
      <c r="I235" s="3">
        <v>18.565925100773701</v>
      </c>
    </row>
    <row r="236" spans="1:9" ht="15">
      <c r="A236" s="280" t="s">
        <v>23</v>
      </c>
      <c r="B236" s="3">
        <v>3008.3</v>
      </c>
      <c r="C236" s="3">
        <v>2488.3000000000002</v>
      </c>
      <c r="D236" s="3">
        <v>520</v>
      </c>
      <c r="E236" s="3">
        <f t="shared" si="27"/>
        <v>546.38984320716088</v>
      </c>
      <c r="F236" s="3">
        <v>657.27145654466983</v>
      </c>
      <c r="G236" s="3">
        <v>15.8</v>
      </c>
      <c r="H236" s="3">
        <v>82.714489911245565</v>
      </c>
      <c r="I236" s="3">
        <v>17.285510088754442</v>
      </c>
    </row>
    <row r="237" spans="1:9" ht="15">
      <c r="A237" s="280" t="s">
        <v>24</v>
      </c>
      <c r="B237" s="3">
        <v>2773.317</v>
      </c>
      <c r="C237" s="3">
        <v>2473.317</v>
      </c>
      <c r="D237" s="3">
        <v>300</v>
      </c>
      <c r="E237" s="3">
        <f t="shared" si="27"/>
        <v>706.07946035506382</v>
      </c>
      <c r="F237" s="3">
        <v>789.53978432749409</v>
      </c>
      <c r="G237" s="3">
        <v>18</v>
      </c>
      <c r="H237" s="3">
        <v>89.182628599615555</v>
      </c>
      <c r="I237" s="3">
        <v>10.817371400384451</v>
      </c>
    </row>
    <row r="238" spans="1:9" ht="15">
      <c r="A238" s="280" t="s">
        <v>25</v>
      </c>
      <c r="B238" s="3">
        <v>2808.3317000000002</v>
      </c>
      <c r="C238" s="3">
        <v>2508.3317000000002</v>
      </c>
      <c r="D238" s="3">
        <v>300</v>
      </c>
      <c r="E238" s="3">
        <f t="shared" si="27"/>
        <v>716.72369515564151</v>
      </c>
      <c r="F238" s="3">
        <v>800.65083626967066</v>
      </c>
      <c r="G238" s="3">
        <v>15</v>
      </c>
      <c r="H238" s="3">
        <v>89.317501205430972</v>
      </c>
      <c r="I238" s="3">
        <v>10.682498794569032</v>
      </c>
    </row>
    <row r="239" spans="1:9" ht="15">
      <c r="A239" s="280" t="s">
        <v>26</v>
      </c>
      <c r="B239" s="3">
        <f>C239+D239</f>
        <v>2818.2397999999998</v>
      </c>
      <c r="C239" s="3">
        <v>2518.2397999999998</v>
      </c>
      <c r="D239" s="3">
        <v>300</v>
      </c>
      <c r="E239" s="3">
        <f t="shared" si="27"/>
        <v>745.63294505444503</v>
      </c>
      <c r="F239" s="3">
        <v>832.91211660765987</v>
      </c>
      <c r="G239" s="3">
        <v>13</v>
      </c>
      <c r="H239" s="3">
        <f>C239/B239*100</f>
        <v>89.355057720780181</v>
      </c>
      <c r="I239" s="761">
        <f>D239/B239*100</f>
        <v>10.644942279219817</v>
      </c>
    </row>
    <row r="240" spans="1:9" ht="15">
      <c r="A240" s="280" t="s">
        <v>27</v>
      </c>
      <c r="B240" s="3">
        <f>SUM(C240:D240)</f>
        <v>2707.3204000000001</v>
      </c>
      <c r="C240" s="3">
        <v>2507.3204000000001</v>
      </c>
      <c r="D240" s="3">
        <v>200</v>
      </c>
      <c r="E240" s="3">
        <f t="shared" si="27"/>
        <v>812.57113256377147</v>
      </c>
      <c r="F240" s="3">
        <v>876.58936753396279</v>
      </c>
      <c r="G240" s="3">
        <v>10</v>
      </c>
      <c r="H240" s="3">
        <f>C240/B240*100</f>
        <v>92.612621690436043</v>
      </c>
      <c r="I240" s="761">
        <f>D240/B240*100</f>
        <v>7.3873783095639505</v>
      </c>
    </row>
    <row r="241" spans="1:9" ht="15">
      <c r="A241" s="280" t="s">
        <v>28</v>
      </c>
      <c r="B241" s="958">
        <f>SUM(C241:D241)</f>
        <v>2703.2404000000001</v>
      </c>
      <c r="C241" s="958">
        <v>2503.2404000000001</v>
      </c>
      <c r="D241" s="958">
        <v>200</v>
      </c>
      <c r="E241" s="958">
        <f t="shared" ref="E241:E255" si="28">(G241*D241+F241*C241)/(C241+D241)</f>
        <v>818.73962407895817</v>
      </c>
      <c r="F241" s="958">
        <v>883.51483496792889</v>
      </c>
      <c r="G241" s="958">
        <v>8</v>
      </c>
      <c r="H241" s="958">
        <f>C241/B241*100</f>
        <v>92.601471922363984</v>
      </c>
      <c r="I241" s="761">
        <f>D241/B241*100</f>
        <v>7.3985280776360103</v>
      </c>
    </row>
    <row r="242" spans="1:9" ht="15">
      <c r="A242" s="280" t="s">
        <v>29</v>
      </c>
      <c r="B242" s="958">
        <f>SUM(C242:D242)</f>
        <v>2700.192</v>
      </c>
      <c r="C242" s="958">
        <v>2500.192</v>
      </c>
      <c r="D242" s="958">
        <v>200</v>
      </c>
      <c r="E242" s="958">
        <f t="shared" si="28"/>
        <v>840.42767576245421</v>
      </c>
      <c r="F242" s="958">
        <v>906.69680035468173</v>
      </c>
      <c r="G242" s="958">
        <v>12</v>
      </c>
      <c r="H242" s="958">
        <f>C242/B242*100</f>
        <v>92.59311930410874</v>
      </c>
      <c r="I242" s="958">
        <f>D242/B242*100</f>
        <v>7.406880695891255</v>
      </c>
    </row>
    <row r="243" spans="1:9" ht="14.25">
      <c r="A243" s="280" t="s">
        <v>2827</v>
      </c>
      <c r="B243" s="956">
        <v>5500.0535</v>
      </c>
      <c r="C243" s="956">
        <v>4161.4934999999996</v>
      </c>
      <c r="D243" s="956">
        <v>1338.56</v>
      </c>
      <c r="E243" s="956">
        <v>679.78167229750068</v>
      </c>
      <c r="F243" s="956">
        <v>857.44500776255734</v>
      </c>
      <c r="G243" s="956">
        <v>127.43824673110672</v>
      </c>
      <c r="H243" s="956">
        <v>75.662782189300515</v>
      </c>
      <c r="I243" s="956">
        <v>24.337217810699478</v>
      </c>
    </row>
    <row r="244" spans="1:9" ht="15">
      <c r="A244" s="280" t="s">
        <v>18</v>
      </c>
      <c r="B244" s="958">
        <v>2993.6428000000001</v>
      </c>
      <c r="C244" s="958">
        <v>2563.6428000000001</v>
      </c>
      <c r="D244" s="958">
        <v>430</v>
      </c>
      <c r="E244" s="958">
        <f t="shared" si="28"/>
        <v>801.82025991750857</v>
      </c>
      <c r="F244" s="958">
        <v>932.31765673290295</v>
      </c>
      <c r="G244" s="958">
        <v>23.8</v>
      </c>
      <c r="H244" s="958">
        <v>85.636228878074562</v>
      </c>
      <c r="I244" s="958">
        <v>14.363771121925433</v>
      </c>
    </row>
    <row r="245" spans="1:9" ht="15">
      <c r="A245" s="280" t="s">
        <v>19</v>
      </c>
      <c r="B245" s="958">
        <f>SUM(C245:D245)</f>
        <v>3489.7928000000002</v>
      </c>
      <c r="C245" s="958">
        <v>2639.7928000000002</v>
      </c>
      <c r="D245" s="958">
        <v>850</v>
      </c>
      <c r="E245" s="958">
        <f t="shared" si="28"/>
        <v>728.92999660556643</v>
      </c>
      <c r="F245" s="958">
        <v>955.59191382677079</v>
      </c>
      <c r="G245" s="958">
        <v>25</v>
      </c>
      <c r="H245" s="958">
        <f>C245/B245*100</f>
        <v>75.643253089409782</v>
      </c>
      <c r="I245" s="958">
        <f>D245/B245*100</f>
        <v>24.356746910590221</v>
      </c>
    </row>
    <row r="246" spans="1:9" ht="15">
      <c r="A246" s="280" t="s">
        <v>20</v>
      </c>
      <c r="B246" s="958">
        <v>3462.7835</v>
      </c>
      <c r="C246" s="958">
        <v>2652.7835</v>
      </c>
      <c r="D246" s="958">
        <v>810</v>
      </c>
      <c r="E246" s="958">
        <f t="shared" si="28"/>
        <v>747.24870270886834</v>
      </c>
      <c r="F246" s="958">
        <v>969.73404657284493</v>
      </c>
      <c r="G246" s="958">
        <v>18.600000000000001</v>
      </c>
      <c r="H246" s="958">
        <v>76.608413433874802</v>
      </c>
      <c r="I246" s="958">
        <v>23.391586566125198</v>
      </c>
    </row>
    <row r="247" spans="1:9" ht="15">
      <c r="A247" s="280" t="s">
        <v>21</v>
      </c>
      <c r="B247" s="958">
        <v>3370.4</v>
      </c>
      <c r="C247" s="958">
        <v>2660.4</v>
      </c>
      <c r="D247" s="958">
        <v>710</v>
      </c>
      <c r="E247" s="958">
        <v>794.05868049181242</v>
      </c>
      <c r="F247" s="958">
        <v>985.54300557199008</v>
      </c>
      <c r="G247" s="958">
        <v>76.558823529411768</v>
      </c>
      <c r="H247" s="958">
        <v>78.934251127462616</v>
      </c>
      <c r="I247" s="958">
        <v>21.065748872537384</v>
      </c>
    </row>
    <row r="248" spans="1:9" ht="15">
      <c r="A248" s="280" t="s">
        <v>22</v>
      </c>
      <c r="B248" s="958">
        <v>3462.8674999999998</v>
      </c>
      <c r="C248" s="958">
        <v>2682.8674999999998</v>
      </c>
      <c r="D248" s="958">
        <v>780</v>
      </c>
      <c r="E248" s="958">
        <v>800.73766171750128</v>
      </c>
      <c r="F248" s="958">
        <v>999.87627702250381</v>
      </c>
      <c r="G248" s="958">
        <v>115.78571428571429</v>
      </c>
      <c r="H248" s="958">
        <v>77.475314894375842</v>
      </c>
      <c r="I248" s="958">
        <v>22.524685105624169</v>
      </c>
    </row>
    <row r="249" spans="1:9" ht="15">
      <c r="A249" s="280" t="s">
        <v>23</v>
      </c>
      <c r="B249" s="958">
        <v>3539.7121999999999</v>
      </c>
      <c r="C249" s="958">
        <v>2789.7121999999999</v>
      </c>
      <c r="D249" s="958">
        <v>750</v>
      </c>
      <c r="E249" s="958">
        <v>838.02174910868405</v>
      </c>
      <c r="F249" s="958">
        <v>1013.0904575695472</v>
      </c>
      <c r="G249" s="958">
        <v>186.83333333333334</v>
      </c>
      <c r="H249" s="958">
        <v>78.811836736331273</v>
      </c>
      <c r="I249" s="958">
        <v>21.188163263668724</v>
      </c>
    </row>
    <row r="250" spans="1:9" ht="15">
      <c r="A250" s="280" t="s">
        <v>24</v>
      </c>
      <c r="B250" s="958">
        <v>3447.1550000000002</v>
      </c>
      <c r="C250" s="958">
        <v>2817.1550000000002</v>
      </c>
      <c r="D250" s="958">
        <v>630</v>
      </c>
      <c r="E250" s="958">
        <v>836.86175998182671</v>
      </c>
      <c r="F250" s="958">
        <v>1024.0090446674585</v>
      </c>
      <c r="G250" s="958" t="s">
        <v>93</v>
      </c>
      <c r="H250" s="958">
        <v>81.724059405509763</v>
      </c>
      <c r="I250" s="958">
        <v>18.27594059449024</v>
      </c>
    </row>
    <row r="251" spans="1:9" ht="15">
      <c r="A251" s="280" t="s">
        <v>25</v>
      </c>
      <c r="B251" s="958">
        <v>3455.5306</v>
      </c>
      <c r="C251" s="958">
        <v>2885.5306</v>
      </c>
      <c r="D251" s="958">
        <v>570</v>
      </c>
      <c r="E251" s="958">
        <v>858.77958009217389</v>
      </c>
      <c r="F251" s="958">
        <v>1028.4206023196073</v>
      </c>
      <c r="G251" s="958" t="s">
        <v>93</v>
      </c>
      <c r="H251" s="958">
        <v>83.50470402432552</v>
      </c>
      <c r="I251" s="958">
        <v>16.495295975674473</v>
      </c>
    </row>
    <row r="252" spans="1:9" ht="15">
      <c r="A252" s="280" t="s">
        <v>26</v>
      </c>
      <c r="B252" s="958">
        <v>3440.5306</v>
      </c>
      <c r="C252" s="958">
        <v>2930.5306</v>
      </c>
      <c r="D252" s="958">
        <v>510</v>
      </c>
      <c r="E252" s="958">
        <v>883.07465377455662</v>
      </c>
      <c r="F252" s="958">
        <v>1036.7560633544545</v>
      </c>
      <c r="G252" s="958" t="s">
        <v>93</v>
      </c>
      <c r="H252" s="958">
        <v>85.176705011721154</v>
      </c>
      <c r="I252" s="958">
        <v>14.823294988278843</v>
      </c>
    </row>
    <row r="253" spans="1:9" ht="15">
      <c r="A253" s="280" t="s">
        <v>27</v>
      </c>
      <c r="B253" s="958">
        <v>3894.9515000000001</v>
      </c>
      <c r="C253" s="958">
        <v>2994.9515000000001</v>
      </c>
      <c r="D253" s="958">
        <v>900</v>
      </c>
      <c r="E253" s="958">
        <v>826.66769045054036</v>
      </c>
      <c r="F253" s="958">
        <v>1039.6263715528842</v>
      </c>
      <c r="G253" s="958">
        <v>118</v>
      </c>
      <c r="H253" s="958">
        <v>76.893165421957121</v>
      </c>
      <c r="I253" s="958">
        <v>23.106834578042886</v>
      </c>
    </row>
    <row r="254" spans="1:9" ht="15">
      <c r="A254" s="280" t="s">
        <v>28</v>
      </c>
      <c r="B254" s="958">
        <v>4286.4935000000005</v>
      </c>
      <c r="C254" s="958">
        <v>3116.4935</v>
      </c>
      <c r="D254" s="958">
        <v>1170</v>
      </c>
      <c r="E254" s="958">
        <v>763.09725668029625</v>
      </c>
      <c r="F254" s="958">
        <v>1008.5345695821031</v>
      </c>
      <c r="G254" s="958">
        <v>109.33333333333333</v>
      </c>
      <c r="H254" s="958">
        <v>72.704962692699752</v>
      </c>
      <c r="I254" s="958">
        <v>27.295037307300241</v>
      </c>
    </row>
    <row r="255" spans="1:9" ht="15">
      <c r="A255" s="280" t="s">
        <v>29</v>
      </c>
      <c r="B255" s="958">
        <v>5500.0535</v>
      </c>
      <c r="C255" s="958">
        <v>4161.4934999999996</v>
      </c>
      <c r="D255" s="958">
        <v>1338.56</v>
      </c>
      <c r="E255" s="958">
        <f t="shared" si="28"/>
        <v>679.78167229750068</v>
      </c>
      <c r="F255" s="958">
        <v>857.44500776255734</v>
      </c>
      <c r="G255" s="958">
        <v>127.43824673110672</v>
      </c>
      <c r="H255" s="958">
        <v>75.662782189300515</v>
      </c>
      <c r="I255" s="958">
        <v>24.337217810699478</v>
      </c>
    </row>
    <row r="256" spans="1:9" ht="14.25">
      <c r="A256" s="280" t="s">
        <v>3518</v>
      </c>
      <c r="B256" s="956">
        <v>7697.5300999999999</v>
      </c>
      <c r="C256" s="956">
        <v>6377.4000999999998</v>
      </c>
      <c r="D256" s="956">
        <v>1320.13</v>
      </c>
      <c r="E256" s="956">
        <v>728.84709822844866</v>
      </c>
      <c r="F256" s="956">
        <v>855.0862297178345</v>
      </c>
      <c r="G256" s="956">
        <v>119</v>
      </c>
      <c r="H256" s="956">
        <v>82.849953389594404</v>
      </c>
      <c r="I256" s="956">
        <v>17.150046610405592</v>
      </c>
    </row>
    <row r="257" spans="1:9" ht="15">
      <c r="A257" s="280" t="s">
        <v>18</v>
      </c>
      <c r="B257" s="958">
        <f>SUM(C257:D257)</f>
        <v>5587.6322</v>
      </c>
      <c r="C257" s="958">
        <v>4186.4934999999996</v>
      </c>
      <c r="D257" s="958">
        <v>1401.1387</v>
      </c>
      <c r="E257" s="958">
        <v>663.89840606220605</v>
      </c>
      <c r="F257" s="958">
        <v>853.54316934114661</v>
      </c>
      <c r="G257" s="958">
        <v>81.75</v>
      </c>
      <c r="H257" s="958">
        <f>C257/B257*100</f>
        <v>74.924285460306422</v>
      </c>
      <c r="I257" s="958">
        <f>D257/B257*100</f>
        <v>25.075714539693571</v>
      </c>
    </row>
    <row r="258" spans="1:9" ht="15">
      <c r="A258" s="280" t="s">
        <v>19</v>
      </c>
      <c r="B258" s="958">
        <f t="shared" ref="B258:B259" si="29">SUM(C258:D258)</f>
        <v>5327.1836999999996</v>
      </c>
      <c r="C258" s="958">
        <v>4301.0450000000001</v>
      </c>
      <c r="D258" s="958">
        <v>1026.1386999999997</v>
      </c>
      <c r="E258" s="958">
        <v>688.95311412009869</v>
      </c>
      <c r="F258" s="958">
        <v>853.32280866738881</v>
      </c>
      <c r="G258" s="958" t="s">
        <v>93</v>
      </c>
      <c r="H258" s="958">
        <f t="shared" ref="H258:H259" si="30">C258/B258*100</f>
        <v>80.737688846735296</v>
      </c>
      <c r="I258" s="958">
        <f t="shared" ref="I258:I259" si="31">D258/B258*100</f>
        <v>19.262311153264715</v>
      </c>
    </row>
    <row r="259" spans="1:9" ht="15">
      <c r="A259" s="280" t="s">
        <v>20</v>
      </c>
      <c r="B259" s="958">
        <f t="shared" si="29"/>
        <v>5227.0450000000001</v>
      </c>
      <c r="C259" s="958">
        <v>4342.0450000000001</v>
      </c>
      <c r="D259" s="958">
        <v>884.99999999999977</v>
      </c>
      <c r="E259" s="958">
        <v>706.90515904387951</v>
      </c>
      <c r="F259" s="958">
        <v>850.98728296333059</v>
      </c>
      <c r="G259" s="958" t="s">
        <v>93</v>
      </c>
      <c r="H259" s="958">
        <f t="shared" si="30"/>
        <v>83.068827607185327</v>
      </c>
      <c r="I259" s="958">
        <f t="shared" si="31"/>
        <v>16.931172392814673</v>
      </c>
    </row>
    <row r="260" spans="1:9" ht="15">
      <c r="A260" s="280" t="s">
        <v>21</v>
      </c>
      <c r="B260" s="958">
        <v>5382.0450000000001</v>
      </c>
      <c r="C260" s="958">
        <v>4512.0450000000001</v>
      </c>
      <c r="D260" s="958">
        <v>870</v>
      </c>
      <c r="E260" s="958">
        <f t="shared" ref="E260" si="32">(G260*D260+F260*C260)/(C260+D260)</f>
        <v>729.03470525866078</v>
      </c>
      <c r="F260" s="958">
        <v>845.31018424325316</v>
      </c>
      <c r="G260" s="958">
        <v>126</v>
      </c>
      <c r="H260" s="958">
        <f>C260/B260*100</f>
        <v>83.835140731822193</v>
      </c>
      <c r="I260" s="958">
        <f>D260/B260*100</f>
        <v>16.164859268177803</v>
      </c>
    </row>
    <row r="261" spans="1:9" ht="15">
      <c r="A261" s="280" t="s">
        <v>22</v>
      </c>
      <c r="B261" s="958">
        <v>5784.6779999999999</v>
      </c>
      <c r="C261" s="958">
        <v>4584.808</v>
      </c>
      <c r="D261" s="958">
        <v>1199.8699999999999</v>
      </c>
      <c r="E261" s="958">
        <v>695.88691128529535</v>
      </c>
      <c r="F261" s="958">
        <v>849.4</v>
      </c>
      <c r="G261" s="958">
        <v>109.3</v>
      </c>
      <c r="H261" s="958">
        <f>C261/B261*100</f>
        <v>79.257791012740896</v>
      </c>
      <c r="I261" s="958">
        <f>D261/B261*100</f>
        <v>20.742208987259101</v>
      </c>
    </row>
    <row r="262" spans="1:9" ht="15">
      <c r="A262" s="280" t="s">
        <v>23</v>
      </c>
      <c r="B262" s="958">
        <f t="shared" ref="B262" si="33">SUM(C262:D262)</f>
        <v>6129.6779999999999</v>
      </c>
      <c r="C262" s="958">
        <v>4794.808</v>
      </c>
      <c r="D262" s="958">
        <v>1334.87</v>
      </c>
      <c r="E262" s="958">
        <f t="shared" ref="E262" si="34">(G262*D262+F262*C262)/(C262+D262)</f>
        <v>694.19420987236015</v>
      </c>
      <c r="F262" s="958">
        <v>849.31654948060248</v>
      </c>
      <c r="G262" s="958">
        <v>137</v>
      </c>
      <c r="H262" s="958">
        <f>C262/B262*100</f>
        <v>78.222836501362707</v>
      </c>
      <c r="I262" s="958">
        <f>D262/B262*100</f>
        <v>21.777163498637282</v>
      </c>
    </row>
    <row r="263" spans="1:9" ht="15">
      <c r="A263" s="280" t="s">
        <v>24</v>
      </c>
      <c r="B263" s="958">
        <v>6560.6579999999994</v>
      </c>
      <c r="C263" s="958">
        <v>4997.308</v>
      </c>
      <c r="D263" s="958">
        <v>1563.35</v>
      </c>
      <c r="E263" s="958">
        <v>679.20835870216877</v>
      </c>
      <c r="F263" s="958">
        <v>849.26134302930575</v>
      </c>
      <c r="G263" s="958">
        <v>135.62749772933697</v>
      </c>
      <c r="H263" s="958">
        <v>76.170835303410129</v>
      </c>
      <c r="I263" s="958">
        <v>23.829164696589885</v>
      </c>
    </row>
    <row r="264" spans="1:9" ht="15">
      <c r="A264" s="280" t="s">
        <v>25</v>
      </c>
      <c r="B264" s="958">
        <v>6979.1898999999994</v>
      </c>
      <c r="C264" s="958">
        <v>5435.8398999999999</v>
      </c>
      <c r="D264" s="958">
        <v>1543.35</v>
      </c>
      <c r="E264" s="958">
        <v>681.38651673859817</v>
      </c>
      <c r="F264" s="958">
        <v>842.37568427545159</v>
      </c>
      <c r="G264" s="958">
        <v>114.36585365853658</v>
      </c>
      <c r="H264" s="958">
        <v>77.886401973386626</v>
      </c>
      <c r="I264" s="958">
        <v>22.113598026613378</v>
      </c>
    </row>
    <row r="265" spans="1:9" ht="15">
      <c r="A265" s="280" t="s">
        <v>26</v>
      </c>
      <c r="B265" s="958">
        <v>7528.7598999999991</v>
      </c>
      <c r="C265" s="958">
        <v>5918.3398999999999</v>
      </c>
      <c r="D265" s="958">
        <v>1610.4199999999996</v>
      </c>
      <c r="E265" s="958">
        <v>671.14966420861469</v>
      </c>
      <c r="F265" s="958">
        <v>822.98204495334789</v>
      </c>
      <c r="G265" s="958">
        <v>113.16129032258064</v>
      </c>
      <c r="H265" s="958">
        <v>78.609757498044274</v>
      </c>
      <c r="I265" s="958">
        <v>21.390242501955729</v>
      </c>
    </row>
    <row r="266" spans="1:9" ht="15">
      <c r="A266" s="280" t="s">
        <v>27</v>
      </c>
      <c r="B266" s="1507">
        <v>7331.6898999999994</v>
      </c>
      <c r="C266" s="1507">
        <v>5813.3398999999999</v>
      </c>
      <c r="D266" s="1507">
        <v>1518.35</v>
      </c>
      <c r="E266" s="1507">
        <v>667.88410689390923</v>
      </c>
      <c r="F266" s="1507">
        <v>800.74413692627786</v>
      </c>
      <c r="G266" s="1507">
        <v>159.19999999999999</v>
      </c>
      <c r="H266" s="1507">
        <v>79.290586198960767</v>
      </c>
      <c r="I266" s="1507">
        <v>20.70941380103924</v>
      </c>
    </row>
    <row r="267" spans="1:9" ht="15">
      <c r="A267" s="280" t="s">
        <v>28</v>
      </c>
      <c r="B267" s="1507">
        <v>7332.5069000000003</v>
      </c>
      <c r="C267" s="1507">
        <v>5949.0268999999998</v>
      </c>
      <c r="D267" s="1507">
        <v>1383.48</v>
      </c>
      <c r="E267" s="1507">
        <v>722.33782077366448</v>
      </c>
      <c r="F267" s="1507">
        <v>849.74061807551391</v>
      </c>
      <c r="G267" s="1507">
        <v>174.5</v>
      </c>
      <c r="H267" s="1507">
        <v>81.132237325272754</v>
      </c>
      <c r="I267" s="1507">
        <v>18.867762674727249</v>
      </c>
    </row>
    <row r="268" spans="1:9" ht="15">
      <c r="A268" s="280" t="s">
        <v>29</v>
      </c>
      <c r="B268" s="1507">
        <v>7697.5300999999999</v>
      </c>
      <c r="C268" s="1507">
        <v>6377.4000999999998</v>
      </c>
      <c r="D268" s="1507">
        <v>1320.13</v>
      </c>
      <c r="E268" s="1507">
        <v>728.84709822844866</v>
      </c>
      <c r="F268" s="1507">
        <v>855.0862297178345</v>
      </c>
      <c r="G268" s="1507">
        <v>119</v>
      </c>
      <c r="H268" s="1507">
        <v>82.849953389594404</v>
      </c>
      <c r="I268" s="1507">
        <v>17.150046610405592</v>
      </c>
    </row>
    <row r="269" spans="1:9" ht="14.25">
      <c r="A269" s="280" t="s">
        <v>3989</v>
      </c>
      <c r="B269" s="956">
        <v>9561.4249</v>
      </c>
      <c r="C269" s="956">
        <v>9353.2248999999993</v>
      </c>
      <c r="D269" s="956">
        <v>208.2</v>
      </c>
      <c r="E269" s="956">
        <v>808.21473181272665</v>
      </c>
      <c r="F269" s="956">
        <v>826.2053509801766</v>
      </c>
      <c r="G269" s="956" t="s">
        <v>93</v>
      </c>
      <c r="H269" s="956">
        <v>97.822500284450271</v>
      </c>
      <c r="I269" s="956">
        <v>2.1774997155497191</v>
      </c>
    </row>
    <row r="270" spans="1:9" ht="15">
      <c r="A270" s="280" t="s">
        <v>18</v>
      </c>
      <c r="B270" s="1507">
        <f t="shared" ref="B270" si="35">SUM(C270:D270)</f>
        <v>7646.7326000000003</v>
      </c>
      <c r="C270" s="1507">
        <v>6464.4326000000001</v>
      </c>
      <c r="D270" s="1507">
        <v>1182.3</v>
      </c>
      <c r="E270" s="1507">
        <f t="shared" ref="E270" si="36">(G270*D270+F270*C270)/(C270+D270)</f>
        <v>744.33944986759025</v>
      </c>
      <c r="F270" s="1507">
        <v>863.05850005076002</v>
      </c>
      <c r="G270" s="1507">
        <v>95.222222222222229</v>
      </c>
      <c r="H270" s="1507">
        <f>C270/B270*100</f>
        <v>84.538494258318906</v>
      </c>
      <c r="I270" s="1507">
        <f>D270/B270*100</f>
        <v>15.461505741681092</v>
      </c>
    </row>
    <row r="271" spans="1:9" ht="15">
      <c r="A271" s="280" t="s">
        <v>19</v>
      </c>
      <c r="B271" s="1507">
        <v>7865.98</v>
      </c>
      <c r="C271" s="1507">
        <v>6643.78</v>
      </c>
      <c r="D271" s="1507">
        <v>1222.1999999999998</v>
      </c>
      <c r="E271" s="1507">
        <v>750.74973423627648</v>
      </c>
      <c r="F271" s="1507">
        <v>861.64385100793766</v>
      </c>
      <c r="G271" s="1507">
        <v>147.93831619894416</v>
      </c>
      <c r="H271" s="1507">
        <v>84.462203056707494</v>
      </c>
      <c r="I271" s="1507">
        <v>15.537796943292506</v>
      </c>
    </row>
    <row r="272" spans="1:9" ht="15">
      <c r="A272" s="280" t="s">
        <v>20</v>
      </c>
      <c r="B272" s="1507">
        <v>8072.8035</v>
      </c>
      <c r="C272" s="1507">
        <v>6889.3035</v>
      </c>
      <c r="D272" s="1507">
        <v>1183.5</v>
      </c>
      <c r="E272" s="1507">
        <v>740.44352578948804</v>
      </c>
      <c r="F272" s="1507">
        <v>847.79246857515818</v>
      </c>
      <c r="G272" s="1507">
        <v>115.55172413793103</v>
      </c>
      <c r="H272" s="1507">
        <v>85.339665458226506</v>
      </c>
      <c r="I272" s="1507">
        <v>14.660334541773498</v>
      </c>
    </row>
    <row r="273" spans="1:9" ht="15">
      <c r="A273" s="280" t="s">
        <v>21</v>
      </c>
      <c r="B273" s="1507">
        <v>8035.0746999999992</v>
      </c>
      <c r="C273" s="1507">
        <v>6917.9746999999998</v>
      </c>
      <c r="D273" s="1507">
        <v>1117.0999999999999</v>
      </c>
      <c r="E273" s="1507">
        <v>752.02794056918935</v>
      </c>
      <c r="F273" s="1507">
        <v>855.29145995179499</v>
      </c>
      <c r="G273" s="1507">
        <v>112.53781925343812</v>
      </c>
      <c r="H273" s="1507">
        <v>86.097204547457423</v>
      </c>
      <c r="I273" s="1507">
        <v>13.902795452542588</v>
      </c>
    </row>
    <row r="274" spans="1:9" ht="15">
      <c r="A274" s="280" t="s">
        <v>22</v>
      </c>
      <c r="B274" s="1507">
        <v>8013.9723999999997</v>
      </c>
      <c r="C274" s="1507">
        <v>7036.7723999999998</v>
      </c>
      <c r="D274" s="1507">
        <v>977.2</v>
      </c>
      <c r="E274" s="1507">
        <v>759.34449264342447</v>
      </c>
      <c r="F274" s="1507">
        <v>849.93588909261962</v>
      </c>
      <c r="G274" s="1507">
        <v>107</v>
      </c>
      <c r="H274" s="1507">
        <v>87.806296912128118</v>
      </c>
      <c r="I274" s="1507">
        <v>12.193703087871878</v>
      </c>
    </row>
    <row r="275" spans="1:9" ht="15">
      <c r="A275" s="280" t="s">
        <v>23</v>
      </c>
      <c r="B275" s="1507">
        <v>8053.5751999999993</v>
      </c>
      <c r="C275" s="1507">
        <v>7105.1751999999997</v>
      </c>
      <c r="D275" s="1507">
        <v>948.4</v>
      </c>
      <c r="E275" s="1507">
        <v>760.87626965045615</v>
      </c>
      <c r="F275" s="1507">
        <v>847.43647606370121</v>
      </c>
      <c r="G275" s="1507">
        <v>112.38888888888889</v>
      </c>
      <c r="H275" s="1507">
        <v>88.223863607804901</v>
      </c>
      <c r="I275" s="1507">
        <v>11.776136392195109</v>
      </c>
    </row>
    <row r="276" spans="1:9" ht="15">
      <c r="A276" s="280" t="s">
        <v>24</v>
      </c>
      <c r="B276" s="1507">
        <v>8218.5751999999993</v>
      </c>
      <c r="C276" s="1507">
        <v>7285.1751999999997</v>
      </c>
      <c r="D276" s="1507">
        <v>933.4</v>
      </c>
      <c r="E276" s="1507">
        <v>764.80935507997697</v>
      </c>
      <c r="F276" s="1507">
        <v>850.32195222817609</v>
      </c>
      <c r="G276" s="1507">
        <v>97.384615384615387</v>
      </c>
      <c r="H276" s="1507">
        <v>88.642800275162045</v>
      </c>
      <c r="I276" s="1507">
        <v>11.357199724837951</v>
      </c>
    </row>
    <row r="277" spans="1:9" ht="15">
      <c r="A277" s="280" t="s">
        <v>25</v>
      </c>
      <c r="B277" s="1507">
        <v>8333.5751999999993</v>
      </c>
      <c r="C277" s="1507">
        <v>7615.1751999999997</v>
      </c>
      <c r="D277" s="1507">
        <v>718.39999999999964</v>
      </c>
      <c r="E277" s="1507">
        <v>785.94845791780631</v>
      </c>
      <c r="F277" s="1507">
        <v>849.91520610114083</v>
      </c>
      <c r="G277" s="1507">
        <v>107.88888888888889</v>
      </c>
      <c r="H277" s="1507">
        <v>91.379450202837319</v>
      </c>
      <c r="I277" s="1507">
        <v>8.6205497971626848</v>
      </c>
    </row>
    <row r="278" spans="1:9" ht="15">
      <c r="A278" s="280" t="s">
        <v>26</v>
      </c>
      <c r="B278" s="1507">
        <v>8465.8322000000007</v>
      </c>
      <c r="C278" s="1507">
        <v>7828.9322000000002</v>
      </c>
      <c r="D278" s="1507">
        <v>636.89999999999964</v>
      </c>
      <c r="E278" s="1507">
        <v>797.36864146389917</v>
      </c>
      <c r="F278" s="1507">
        <v>851.94151000251782</v>
      </c>
      <c r="G278" s="1507">
        <v>126.54545454545455</v>
      </c>
      <c r="H278" s="1507">
        <v>92.476817577367044</v>
      </c>
      <c r="I278" s="1507">
        <v>7.5231824226329405</v>
      </c>
    </row>
    <row r="279" spans="1:9" ht="15">
      <c r="A279" s="280" t="s">
        <v>27</v>
      </c>
      <c r="B279" s="1507">
        <v>8247.5625999999993</v>
      </c>
      <c r="C279" s="1507">
        <v>7837.4625999999998</v>
      </c>
      <c r="D279" s="1507">
        <v>410.1</v>
      </c>
      <c r="E279" s="1507">
        <f>(G279*D279+F279*C279)/(C279+D279)</f>
        <v>827.14844564523526</v>
      </c>
      <c r="F279" s="1507">
        <v>862.05739405401107</v>
      </c>
      <c r="G279" s="1507">
        <v>160</v>
      </c>
      <c r="H279" s="1507">
        <v>95.027621857638295</v>
      </c>
      <c r="I279" s="1507">
        <v>4.9723781423617215</v>
      </c>
    </row>
    <row r="280" spans="1:9" ht="15">
      <c r="A280" s="280" t="s">
        <v>28</v>
      </c>
      <c r="B280" s="1507">
        <v>8151.5726000000004</v>
      </c>
      <c r="C280" s="1507">
        <v>7851.4726000000001</v>
      </c>
      <c r="D280" s="1507">
        <v>300.10000000000002</v>
      </c>
      <c r="E280" s="1507">
        <v>837.8297659216621</v>
      </c>
      <c r="F280" s="1507">
        <v>869.85340346872442</v>
      </c>
      <c r="G280" s="1507" t="s">
        <v>93</v>
      </c>
      <c r="H280" s="1507">
        <v>96.31850178209784</v>
      </c>
      <c r="I280" s="1507">
        <v>3.6814982179021509</v>
      </c>
    </row>
    <row r="281" spans="1:9" ht="15">
      <c r="A281" s="280" t="s">
        <v>29</v>
      </c>
      <c r="B281" s="1507">
        <v>9561.4249</v>
      </c>
      <c r="C281" s="1507">
        <v>9353.2248999999993</v>
      </c>
      <c r="D281" s="1507">
        <v>208.2</v>
      </c>
      <c r="E281" s="1507">
        <v>808.21473181272665</v>
      </c>
      <c r="F281" s="1507">
        <v>826.2053509801766</v>
      </c>
      <c r="G281" s="1507" t="s">
        <v>93</v>
      </c>
      <c r="H281" s="1507">
        <v>97.822500284450271</v>
      </c>
      <c r="I281" s="1507">
        <v>2.1774997155497191</v>
      </c>
    </row>
    <row r="282" spans="1:9" ht="15">
      <c r="A282" s="280" t="s">
        <v>4222</v>
      </c>
      <c r="B282" s="1507"/>
      <c r="C282" s="1507"/>
      <c r="D282" s="1507"/>
      <c r="E282" s="1507"/>
      <c r="F282" s="1507"/>
      <c r="G282" s="1507"/>
      <c r="H282" s="1507"/>
      <c r="I282" s="1507"/>
    </row>
    <row r="283" spans="1:9" ht="15">
      <c r="A283" s="280" t="s">
        <v>18</v>
      </c>
      <c r="B283" s="1507">
        <v>9232.4836000000014</v>
      </c>
      <c r="C283" s="1507">
        <v>9079.2836000000007</v>
      </c>
      <c r="D283" s="1507">
        <v>153.19999999999999</v>
      </c>
      <c r="E283" s="1507">
        <v>813.73129236896546</v>
      </c>
      <c r="F283" s="1507">
        <v>827.46185080101247</v>
      </c>
      <c r="G283" s="1507" t="s">
        <v>93</v>
      </c>
      <c r="H283" s="1507">
        <v>98.340641514922368</v>
      </c>
      <c r="I283" s="1507">
        <v>1.6593584850776228</v>
      </c>
    </row>
    <row r="284" spans="1:9" ht="15">
      <c r="A284" s="280" t="s">
        <v>19</v>
      </c>
      <c r="B284" s="1507">
        <v>8898.4472000000005</v>
      </c>
      <c r="C284" s="1507">
        <v>8797.2471999999998</v>
      </c>
      <c r="D284" s="1507">
        <v>101.2</v>
      </c>
      <c r="E284" s="1507">
        <v>821.5309223735286</v>
      </c>
      <c r="F284" s="1507">
        <v>829.47117312595026</v>
      </c>
      <c r="G284" s="1507">
        <v>131.29032258064515</v>
      </c>
      <c r="H284" s="1507">
        <v>98.862722925411077</v>
      </c>
      <c r="I284" s="1507">
        <v>1.1372770745889238</v>
      </c>
    </row>
    <row r="285" spans="1:9" ht="15">
      <c r="A285" s="280" t="s">
        <v>20</v>
      </c>
      <c r="B285" s="1507">
        <v>8742.9950000000008</v>
      </c>
      <c r="C285" s="1507">
        <v>8694.7950000000001</v>
      </c>
      <c r="D285" s="1507">
        <v>48.2</v>
      </c>
      <c r="E285" s="1507">
        <v>829.24631342991961</v>
      </c>
      <c r="F285" s="1507">
        <v>833.24072526686359</v>
      </c>
      <c r="G285" s="1507">
        <v>108.69461077844312</v>
      </c>
      <c r="H285" s="1507">
        <v>99.448701503317793</v>
      </c>
      <c r="I285" s="1507">
        <v>0.55129849668220099</v>
      </c>
    </row>
    <row r="286" spans="1:9" ht="15">
      <c r="A286" s="280" t="s">
        <v>21</v>
      </c>
      <c r="B286" s="1507">
        <v>8565.6106</v>
      </c>
      <c r="C286" s="1507">
        <v>8494.9105999999992</v>
      </c>
      <c r="D286" s="1507">
        <v>70.7</v>
      </c>
      <c r="E286" s="1507">
        <v>840.63820347557157</v>
      </c>
      <c r="F286" s="1507">
        <v>846.65863657886086</v>
      </c>
      <c r="G286" s="1507">
        <v>117.25714285714285</v>
      </c>
      <c r="H286" s="1507">
        <v>99.174606419768836</v>
      </c>
      <c r="I286" s="1507">
        <v>0.82539358023116305</v>
      </c>
    </row>
    <row r="287" spans="1:9" ht="15">
      <c r="A287" s="762" t="s">
        <v>22</v>
      </c>
      <c r="B287" s="1507">
        <f>SUM(C287:D287)</f>
        <v>8497.6983999999993</v>
      </c>
      <c r="C287" s="763">
        <v>8310.1983999999993</v>
      </c>
      <c r="D287" s="763">
        <v>187.5</v>
      </c>
      <c r="E287" s="1507">
        <f>(G287*D287+F287*C287)/(C287+D287)</f>
        <v>830.29885387956699</v>
      </c>
      <c r="F287" s="763">
        <v>846.20379576427797</v>
      </c>
      <c r="G287" s="763">
        <v>125.375</v>
      </c>
      <c r="H287" s="1507">
        <f>C287/B287*100</f>
        <v>97.793520184241885</v>
      </c>
      <c r="I287" s="1507">
        <f t="shared" ref="I287" si="37">D287/B287*100</f>
        <v>2.206479815758112</v>
      </c>
    </row>
    <row r="288" spans="1:9" s="511" customFormat="1" ht="27.75" customHeight="1">
      <c r="A288" s="2711" t="s">
        <v>2707</v>
      </c>
      <c r="B288" s="2712"/>
      <c r="C288" s="2712"/>
      <c r="D288" s="2712"/>
      <c r="E288" s="2712"/>
      <c r="F288" s="2712"/>
      <c r="G288" s="2712"/>
      <c r="H288" s="2712"/>
      <c r="I288" s="2713"/>
    </row>
    <row r="290" spans="4:9">
      <c r="D290" s="169" t="s">
        <v>115</v>
      </c>
    </row>
    <row r="292" spans="4:9" ht="15">
      <c r="I292" s="165"/>
    </row>
  </sheetData>
  <mergeCells count="11">
    <mergeCell ref="A2:I2"/>
    <mergeCell ref="A3:I3"/>
    <mergeCell ref="E6:G6"/>
    <mergeCell ref="B6:D6"/>
    <mergeCell ref="H6:I6"/>
    <mergeCell ref="A6:A7"/>
    <mergeCell ref="A288:I288"/>
    <mergeCell ref="A8:A9"/>
    <mergeCell ref="B8:D8"/>
    <mergeCell ref="E8:G8"/>
    <mergeCell ref="H8:I8"/>
  </mergeCells>
  <pageMargins left="0.17" right="0.17" top="0.53" bottom="0.23" header="0.17" footer="0.17"/>
  <pageSetup scale="21" orientation="landscape" r:id="rId1"/>
  <ignoredErrors>
    <ignoredError sqref="A174:A240" numberStoredAsText="1"/>
  </ignoredError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0">
    <tabColor rgb="FF92D050"/>
  </sheetPr>
  <dimension ref="A1:CD568"/>
  <sheetViews>
    <sheetView showGridLines="0" view="pageBreakPreview" zoomScaleNormal="100" zoomScaleSheetLayoutView="100" workbookViewId="0">
      <pane ySplit="19" topLeftCell="A282" activePane="bottomLeft" state="frozen"/>
      <selection activeCell="B39" sqref="B39"/>
      <selection pane="bottomLeft" activeCell="P297" sqref="P297"/>
    </sheetView>
  </sheetViews>
  <sheetFormatPr defaultColWidth="9.140625" defaultRowHeight="15"/>
  <cols>
    <col min="1" max="1" width="8.42578125" style="70" customWidth="1"/>
    <col min="2" max="13" width="14.140625" style="80" customWidth="1"/>
    <col min="14" max="14" width="10.7109375" style="80" bestFit="1" customWidth="1"/>
    <col min="15" max="15" width="0" style="80" hidden="1" customWidth="1"/>
    <col min="16" max="79" width="9.140625" style="80"/>
    <col min="80" max="80" width="0" style="80" hidden="1" customWidth="1"/>
    <col min="81" max="16384" width="9.140625" style="80"/>
  </cols>
  <sheetData>
    <row r="1" spans="1:82" ht="9" customHeight="1"/>
    <row r="2" spans="1:82" s="337" customFormat="1" ht="25.5" customHeight="1">
      <c r="A2" s="2716" t="s">
        <v>975</v>
      </c>
      <c r="B2" s="2716"/>
      <c r="C2" s="2716"/>
      <c r="D2" s="2716"/>
      <c r="E2" s="2716"/>
      <c r="F2" s="2716"/>
      <c r="G2" s="2716"/>
      <c r="H2" s="2716"/>
      <c r="I2" s="2716"/>
      <c r="J2" s="2716"/>
      <c r="K2" s="2716"/>
      <c r="L2" s="2716"/>
      <c r="M2" s="2716"/>
      <c r="N2" s="145"/>
      <c r="O2" s="145"/>
    </row>
    <row r="3" spans="1:82" s="338" customFormat="1" ht="30" customHeight="1">
      <c r="A3" s="2717" t="s">
        <v>2718</v>
      </c>
      <c r="B3" s="2717"/>
      <c r="C3" s="2717"/>
      <c r="D3" s="2717"/>
      <c r="E3" s="2717"/>
      <c r="F3" s="2717"/>
      <c r="G3" s="2717"/>
      <c r="H3" s="2717"/>
      <c r="I3" s="2717"/>
      <c r="J3" s="2717"/>
      <c r="K3" s="2717"/>
      <c r="L3" s="2717"/>
      <c r="M3" s="2717"/>
      <c r="N3" s="58"/>
      <c r="O3" s="58"/>
    </row>
    <row r="4" spans="1:82" s="338" customFormat="1" ht="13.5" customHeight="1">
      <c r="A4" s="548"/>
      <c r="B4" s="548"/>
      <c r="C4" s="548"/>
      <c r="D4" s="548"/>
      <c r="E4" s="548"/>
      <c r="F4" s="548"/>
      <c r="G4" s="548"/>
      <c r="H4" s="548"/>
      <c r="I4" s="548"/>
      <c r="J4" s="548"/>
      <c r="K4" s="548"/>
      <c r="L4" s="548"/>
      <c r="M4" s="548"/>
      <c r="N4" s="58"/>
      <c r="O4" s="58"/>
    </row>
    <row r="5" spans="1:82" s="338" customFormat="1" ht="13.5" customHeight="1">
      <c r="A5" s="526"/>
      <c r="B5" s="526"/>
      <c r="C5" s="526"/>
      <c r="D5" s="526"/>
      <c r="E5" s="526"/>
      <c r="F5" s="526"/>
      <c r="G5" s="526"/>
      <c r="H5" s="526"/>
      <c r="I5" s="526"/>
      <c r="J5" s="526"/>
      <c r="K5" s="526"/>
      <c r="L5" s="526"/>
      <c r="M5" s="526"/>
      <c r="N5" s="58"/>
      <c r="O5" s="58"/>
    </row>
    <row r="6" spans="1:82" s="170" customFormat="1" ht="30" customHeight="1">
      <c r="A6" s="2718" t="s">
        <v>182</v>
      </c>
      <c r="B6" s="601" t="s">
        <v>1228</v>
      </c>
      <c r="C6" s="603" t="s">
        <v>243</v>
      </c>
      <c r="D6" s="602" t="s">
        <v>249</v>
      </c>
      <c r="E6" s="603" t="s">
        <v>264</v>
      </c>
      <c r="F6" s="601" t="s">
        <v>1228</v>
      </c>
      <c r="G6" s="603" t="s">
        <v>243</v>
      </c>
      <c r="H6" s="602" t="s">
        <v>249</v>
      </c>
      <c r="I6" s="603" t="s">
        <v>264</v>
      </c>
      <c r="J6" s="601" t="s">
        <v>1228</v>
      </c>
      <c r="K6" s="603" t="s">
        <v>243</v>
      </c>
      <c r="L6" s="602" t="s">
        <v>249</v>
      </c>
      <c r="M6" s="603" t="s">
        <v>264</v>
      </c>
    </row>
    <row r="7" spans="1:82" s="170" customFormat="1" ht="21" customHeight="1">
      <c r="A7" s="2718"/>
      <c r="B7" s="2718" t="s">
        <v>979</v>
      </c>
      <c r="C7" s="2718"/>
      <c r="D7" s="2718"/>
      <c r="E7" s="2718"/>
      <c r="F7" s="2718" t="s">
        <v>980</v>
      </c>
      <c r="G7" s="2718"/>
      <c r="H7" s="2718"/>
      <c r="I7" s="2718"/>
      <c r="J7" s="2718" t="s">
        <v>981</v>
      </c>
      <c r="K7" s="2718"/>
      <c r="L7" s="2718"/>
      <c r="M7" s="2718"/>
      <c r="CC7" s="98" t="s">
        <v>2062</v>
      </c>
      <c r="CD7" s="307" t="s">
        <v>2063</v>
      </c>
    </row>
    <row r="8" spans="1:82" ht="27.6" customHeight="1">
      <c r="A8" s="2722" t="s">
        <v>289</v>
      </c>
      <c r="B8" s="604" t="s">
        <v>976</v>
      </c>
      <c r="C8" s="606" t="s">
        <v>978</v>
      </c>
      <c r="D8" s="605" t="s">
        <v>977</v>
      </c>
      <c r="E8" s="606" t="s">
        <v>2618</v>
      </c>
      <c r="F8" s="604" t="s">
        <v>976</v>
      </c>
      <c r="G8" s="606" t="s">
        <v>978</v>
      </c>
      <c r="H8" s="605" t="s">
        <v>977</v>
      </c>
      <c r="I8" s="606" t="s">
        <v>2618</v>
      </c>
      <c r="J8" s="604" t="s">
        <v>976</v>
      </c>
      <c r="K8" s="606" t="s">
        <v>978</v>
      </c>
      <c r="L8" s="605" t="s">
        <v>977</v>
      </c>
      <c r="M8" s="606" t="s">
        <v>2618</v>
      </c>
      <c r="N8" s="171"/>
      <c r="O8" s="171"/>
      <c r="BY8" s="80">
        <f>BY10+BY22+BY32+BY40</f>
        <v>0</v>
      </c>
      <c r="CC8" s="80">
        <f>CC10+CC22+CC32+CC40</f>
        <v>622</v>
      </c>
      <c r="CD8" s="308">
        <f>BY8+BZ8+CA8+CC8</f>
        <v>622</v>
      </c>
    </row>
    <row r="9" spans="1:82" ht="21" customHeight="1">
      <c r="A9" s="2723"/>
      <c r="B9" s="2724" t="s">
        <v>982</v>
      </c>
      <c r="C9" s="2725"/>
      <c r="D9" s="2725"/>
      <c r="E9" s="2726"/>
      <c r="F9" s="2724" t="s">
        <v>983</v>
      </c>
      <c r="G9" s="2725"/>
      <c r="H9" s="2725"/>
      <c r="I9" s="2726"/>
      <c r="J9" s="2724" t="s">
        <v>984</v>
      </c>
      <c r="K9" s="2725"/>
      <c r="L9" s="2725"/>
      <c r="M9" s="2726"/>
      <c r="N9" s="171"/>
      <c r="O9" s="171"/>
      <c r="CD9" s="308"/>
    </row>
    <row r="10" spans="1:82" hidden="1">
      <c r="A10" s="71">
        <v>1995</v>
      </c>
      <c r="B10" s="172">
        <v>49372.4</v>
      </c>
      <c r="C10" s="114" t="s">
        <v>93</v>
      </c>
      <c r="D10" s="114" t="s">
        <v>93</v>
      </c>
      <c r="E10" s="114" t="s">
        <v>93</v>
      </c>
      <c r="F10" s="172">
        <v>80414.899999999994</v>
      </c>
      <c r="G10" s="114" t="s">
        <v>93</v>
      </c>
      <c r="H10" s="114" t="s">
        <v>93</v>
      </c>
      <c r="I10" s="114" t="s">
        <v>93</v>
      </c>
      <c r="J10" s="173">
        <v>0.90393999999999997</v>
      </c>
      <c r="K10" s="114" t="s">
        <v>93</v>
      </c>
      <c r="L10" s="114" t="s">
        <v>93</v>
      </c>
      <c r="M10" s="114" t="s">
        <v>93</v>
      </c>
      <c r="N10" s="174"/>
      <c r="O10" s="171"/>
      <c r="CC10" s="80">
        <f>CC12+CC17</f>
        <v>1713</v>
      </c>
      <c r="CD10" s="308">
        <f>BY10+BZ10+CA10+CC10</f>
        <v>1713</v>
      </c>
    </row>
    <row r="11" spans="1:82" hidden="1">
      <c r="A11" s="71">
        <v>1996</v>
      </c>
      <c r="B11" s="172">
        <v>113097.9</v>
      </c>
      <c r="C11" s="114" t="s">
        <v>93</v>
      </c>
      <c r="D11" s="114" t="s">
        <v>93</v>
      </c>
      <c r="E11" s="114" t="s">
        <v>93</v>
      </c>
      <c r="F11" s="172">
        <v>156395.79999999999</v>
      </c>
      <c r="G11" s="114" t="s">
        <v>93</v>
      </c>
      <c r="H11" s="114" t="s">
        <v>93</v>
      </c>
      <c r="I11" s="114" t="s">
        <v>93</v>
      </c>
      <c r="J11" s="173">
        <v>0.86632000000000009</v>
      </c>
      <c r="K11" s="114" t="s">
        <v>93</v>
      </c>
      <c r="L11" s="114" t="s">
        <v>93</v>
      </c>
      <c r="M11" s="114" t="s">
        <v>93</v>
      </c>
      <c r="N11" s="174"/>
      <c r="O11" s="171"/>
      <c r="CD11" s="308"/>
    </row>
    <row r="12" spans="1:82" hidden="1">
      <c r="A12" s="71">
        <v>1997</v>
      </c>
      <c r="B12" s="172">
        <v>200454.2</v>
      </c>
      <c r="C12" s="114" t="s">
        <v>93</v>
      </c>
      <c r="D12" s="114" t="s">
        <v>93</v>
      </c>
      <c r="E12" s="114" t="s">
        <v>93</v>
      </c>
      <c r="F12" s="172">
        <v>327116.90000000002</v>
      </c>
      <c r="G12" s="114" t="s">
        <v>93</v>
      </c>
      <c r="H12" s="114" t="s">
        <v>93</v>
      </c>
      <c r="I12" s="114" t="s">
        <v>93</v>
      </c>
      <c r="J12" s="173">
        <v>0.80468000000000006</v>
      </c>
      <c r="K12" s="114" t="s">
        <v>93</v>
      </c>
      <c r="L12" s="114" t="s">
        <v>93</v>
      </c>
      <c r="M12" s="114" t="s">
        <v>93</v>
      </c>
      <c r="N12" s="174"/>
      <c r="O12" s="171"/>
      <c r="CC12" s="80">
        <f>CC14+CC15</f>
        <v>4361</v>
      </c>
      <c r="CD12" s="308">
        <f>BY12+BZ12+CA12+CC12</f>
        <v>4361</v>
      </c>
    </row>
    <row r="13" spans="1:82" hidden="1">
      <c r="A13" s="71">
        <v>1998</v>
      </c>
      <c r="B13" s="172">
        <v>138687.29999999999</v>
      </c>
      <c r="C13" s="114" t="s">
        <v>93</v>
      </c>
      <c r="D13" s="114" t="s">
        <v>93</v>
      </c>
      <c r="E13" s="114" t="s">
        <v>93</v>
      </c>
      <c r="F13" s="172">
        <v>240716</v>
      </c>
      <c r="G13" s="114" t="s">
        <v>93</v>
      </c>
      <c r="H13" s="114" t="s">
        <v>93</v>
      </c>
      <c r="I13" s="114" t="s">
        <v>93</v>
      </c>
      <c r="J13" s="173">
        <v>0.77733999999999992</v>
      </c>
      <c r="K13" s="114" t="s">
        <v>93</v>
      </c>
      <c r="L13" s="114" t="s">
        <v>93</v>
      </c>
      <c r="M13" s="114" t="s">
        <v>93</v>
      </c>
      <c r="N13" s="174"/>
      <c r="O13" s="171"/>
      <c r="CD13" s="308"/>
    </row>
    <row r="14" spans="1:82" hidden="1">
      <c r="A14" s="71">
        <v>1999</v>
      </c>
      <c r="B14" s="172">
        <v>244953.3</v>
      </c>
      <c r="C14" s="114" t="s">
        <v>93</v>
      </c>
      <c r="D14" s="114" t="s">
        <v>93</v>
      </c>
      <c r="E14" s="114" t="s">
        <v>93</v>
      </c>
      <c r="F14" s="172">
        <v>654596.4</v>
      </c>
      <c r="G14" s="114" t="s">
        <v>93</v>
      </c>
      <c r="H14" s="114" t="s">
        <v>93</v>
      </c>
      <c r="I14" s="114" t="s">
        <v>93</v>
      </c>
      <c r="J14" s="173">
        <v>0.83356000000000008</v>
      </c>
      <c r="K14" s="114" t="s">
        <v>93</v>
      </c>
      <c r="L14" s="114" t="s">
        <v>93</v>
      </c>
      <c r="M14" s="114" t="s">
        <v>93</v>
      </c>
      <c r="N14" s="174"/>
      <c r="O14" s="171"/>
      <c r="CC14" s="80">
        <v>3917</v>
      </c>
      <c r="CD14" s="308">
        <f>BY14+BZ14+CA14+CC14</f>
        <v>3917</v>
      </c>
    </row>
    <row r="15" spans="1:82" hidden="1">
      <c r="A15" s="71">
        <v>2000</v>
      </c>
      <c r="B15" s="172">
        <v>211600</v>
      </c>
      <c r="C15" s="114" t="s">
        <v>93</v>
      </c>
      <c r="D15" s="114" t="s">
        <v>93</v>
      </c>
      <c r="E15" s="114" t="s">
        <v>93</v>
      </c>
      <c r="F15" s="172">
        <v>538200</v>
      </c>
      <c r="G15" s="114" t="s">
        <v>93</v>
      </c>
      <c r="H15" s="114" t="s">
        <v>93</v>
      </c>
      <c r="I15" s="114" t="s">
        <v>93</v>
      </c>
      <c r="J15" s="173">
        <v>0.89713999999999994</v>
      </c>
      <c r="K15" s="114" t="s">
        <v>93</v>
      </c>
      <c r="L15" s="114" t="s">
        <v>93</v>
      </c>
      <c r="M15" s="114" t="s">
        <v>93</v>
      </c>
      <c r="N15" s="174"/>
      <c r="O15" s="171"/>
      <c r="CC15" s="80">
        <v>444</v>
      </c>
      <c r="CD15" s="308">
        <f t="shared" ref="CD15:CD56" si="0">BY15+BZ15+CA15+CC15</f>
        <v>444</v>
      </c>
    </row>
    <row r="16" spans="1:82" hidden="1">
      <c r="A16" s="71">
        <v>2001</v>
      </c>
      <c r="B16" s="172">
        <v>292820.90000000002</v>
      </c>
      <c r="C16" s="114" t="s">
        <v>93</v>
      </c>
      <c r="D16" s="114" t="s">
        <v>93</v>
      </c>
      <c r="E16" s="114" t="s">
        <v>93</v>
      </c>
      <c r="F16" s="172">
        <v>554903.9</v>
      </c>
      <c r="G16" s="114" t="s">
        <v>93</v>
      </c>
      <c r="H16" s="175" t="s">
        <v>93</v>
      </c>
      <c r="I16" s="114" t="s">
        <v>93</v>
      </c>
      <c r="J16" s="173">
        <v>0.93406</v>
      </c>
      <c r="K16" s="114" t="s">
        <v>93</v>
      </c>
      <c r="L16" s="114" t="s">
        <v>93</v>
      </c>
      <c r="M16" s="114" t="s">
        <v>93</v>
      </c>
      <c r="N16" s="174"/>
      <c r="O16" s="171"/>
      <c r="CD16" s="308"/>
    </row>
    <row r="17" spans="1:82" hidden="1">
      <c r="A17" s="71">
        <v>2002</v>
      </c>
      <c r="B17" s="172">
        <v>403822.8</v>
      </c>
      <c r="C17" s="114" t="s">
        <v>93</v>
      </c>
      <c r="D17" s="114" t="s">
        <v>93</v>
      </c>
      <c r="E17" s="114" t="s">
        <v>93</v>
      </c>
      <c r="F17" s="172">
        <v>787168</v>
      </c>
      <c r="G17" s="114" t="s">
        <v>93</v>
      </c>
      <c r="H17" s="114" t="s">
        <v>93</v>
      </c>
      <c r="I17" s="114" t="s">
        <v>93</v>
      </c>
      <c r="J17" s="173">
        <v>0.97309999999999997</v>
      </c>
      <c r="K17" s="114" t="s">
        <v>93</v>
      </c>
      <c r="L17" s="114" t="s">
        <v>93</v>
      </c>
      <c r="M17" s="114" t="s">
        <v>93</v>
      </c>
      <c r="N17" s="174"/>
      <c r="O17" s="171"/>
      <c r="CC17" s="80">
        <f>CC19+CC20</f>
        <v>-2648</v>
      </c>
      <c r="CD17" s="308">
        <f t="shared" si="0"/>
        <v>-2648</v>
      </c>
    </row>
    <row r="18" spans="1:82" hidden="1">
      <c r="A18" s="71">
        <v>2003</v>
      </c>
      <c r="B18" s="172">
        <v>720831.3</v>
      </c>
      <c r="C18" s="114" t="s">
        <v>93</v>
      </c>
      <c r="D18" s="114" t="s">
        <v>93</v>
      </c>
      <c r="E18" s="114" t="s">
        <v>93</v>
      </c>
      <c r="F18" s="172">
        <v>940550.3</v>
      </c>
      <c r="G18" s="114" t="s">
        <v>93</v>
      </c>
      <c r="H18" s="114" t="s">
        <v>93</v>
      </c>
      <c r="I18" s="114" t="s">
        <v>93</v>
      </c>
      <c r="J18" s="173">
        <v>0.98307999999999995</v>
      </c>
      <c r="K18" s="114" t="s">
        <v>93</v>
      </c>
      <c r="L18" s="114" t="s">
        <v>93</v>
      </c>
      <c r="M18" s="114" t="s">
        <v>93</v>
      </c>
      <c r="N18" s="174"/>
      <c r="O18" s="171"/>
      <c r="CD18" s="308"/>
    </row>
    <row r="19" spans="1:82" hidden="1">
      <c r="A19" s="71">
        <v>2004</v>
      </c>
      <c r="B19" s="172">
        <v>855671.4</v>
      </c>
      <c r="C19" s="114" t="s">
        <v>93</v>
      </c>
      <c r="D19" s="114" t="s">
        <v>93</v>
      </c>
      <c r="E19" s="114" t="s">
        <v>93</v>
      </c>
      <c r="F19" s="172">
        <v>1173998.3</v>
      </c>
      <c r="G19" s="114" t="s">
        <v>93</v>
      </c>
      <c r="H19" s="114" t="s">
        <v>93</v>
      </c>
      <c r="I19" s="114" t="s">
        <v>93</v>
      </c>
      <c r="J19" s="173">
        <v>0.9835799999999999</v>
      </c>
      <c r="K19" s="114" t="s">
        <v>93</v>
      </c>
      <c r="L19" s="114" t="s">
        <v>93</v>
      </c>
      <c r="M19" s="114" t="s">
        <v>93</v>
      </c>
      <c r="N19" s="174"/>
      <c r="O19" s="171"/>
      <c r="CC19" s="80">
        <v>-367</v>
      </c>
      <c r="CD19" s="308">
        <f t="shared" si="0"/>
        <v>-367</v>
      </c>
    </row>
    <row r="20" spans="1:82" s="120" customFormat="1" ht="14.25">
      <c r="A20" s="73">
        <v>2005</v>
      </c>
      <c r="B20" s="764">
        <v>945168.9</v>
      </c>
      <c r="C20" s="765">
        <v>10991.4</v>
      </c>
      <c r="D20" s="765">
        <v>511.5</v>
      </c>
      <c r="E20" s="765">
        <v>123013.1</v>
      </c>
      <c r="F20" s="765">
        <v>1363845</v>
      </c>
      <c r="G20" s="765">
        <v>86946.8</v>
      </c>
      <c r="H20" s="765">
        <v>1086.4000000000001</v>
      </c>
      <c r="I20" s="765">
        <v>133123.79999999999</v>
      </c>
      <c r="J20" s="765">
        <v>0.94689999999999996</v>
      </c>
      <c r="K20" s="766">
        <v>1.1835</v>
      </c>
      <c r="L20" s="766">
        <v>1.7343999999999999</v>
      </c>
      <c r="M20" s="766">
        <v>3.2800000000000003E-2</v>
      </c>
      <c r="N20" s="176"/>
      <c r="O20" s="170"/>
      <c r="CC20" s="120">
        <v>-2281</v>
      </c>
      <c r="CD20" s="233">
        <f t="shared" si="0"/>
        <v>-2281</v>
      </c>
    </row>
    <row r="21" spans="1:82" s="120" customFormat="1" ht="14.25" hidden="1">
      <c r="A21" s="74" t="s">
        <v>18</v>
      </c>
      <c r="B21" s="764">
        <v>65243.5</v>
      </c>
      <c r="C21" s="765">
        <v>1073.5</v>
      </c>
      <c r="D21" s="765">
        <v>99.4</v>
      </c>
      <c r="E21" s="765">
        <v>10655.7</v>
      </c>
      <c r="F21" s="765">
        <v>81170.899999999994</v>
      </c>
      <c r="G21" s="765">
        <v>6637.6</v>
      </c>
      <c r="H21" s="765">
        <v>122.4</v>
      </c>
      <c r="I21" s="765">
        <v>12362</v>
      </c>
      <c r="J21" s="765">
        <v>0.98198200000000002</v>
      </c>
      <c r="K21" s="766">
        <v>1.300764</v>
      </c>
      <c r="L21" s="766">
        <v>1.8438540000000001</v>
      </c>
      <c r="M21" s="766">
        <v>3.3862240000000002E-2</v>
      </c>
      <c r="N21" s="176"/>
      <c r="O21" s="170"/>
      <c r="CD21" s="233"/>
    </row>
    <row r="22" spans="1:82" s="120" customFormat="1" ht="14.25" hidden="1">
      <c r="A22" s="74" t="s">
        <v>19</v>
      </c>
      <c r="B22" s="764">
        <v>62929.3</v>
      </c>
      <c r="C22" s="765">
        <v>790.6</v>
      </c>
      <c r="D22" s="765">
        <v>33.6</v>
      </c>
      <c r="E22" s="765">
        <v>9767.7999999999993</v>
      </c>
      <c r="F22" s="765">
        <v>91276.1</v>
      </c>
      <c r="G22" s="765">
        <v>4084.9</v>
      </c>
      <c r="H22" s="765">
        <v>43</v>
      </c>
      <c r="I22" s="765">
        <v>11891</v>
      </c>
      <c r="J22" s="765">
        <v>0.98125799999999996</v>
      </c>
      <c r="K22" s="766">
        <v>1.274912</v>
      </c>
      <c r="L22" s="766">
        <v>1.8333840000000001</v>
      </c>
      <c r="M22" s="766">
        <v>3.4174000000000003E-2</v>
      </c>
      <c r="N22" s="176"/>
      <c r="O22" s="170"/>
      <c r="CC22" s="120">
        <f>CC24+CC25</f>
        <v>-797</v>
      </c>
      <c r="CD22" s="233">
        <f t="shared" si="0"/>
        <v>-797</v>
      </c>
    </row>
    <row r="23" spans="1:82" s="120" customFormat="1" ht="14.25" hidden="1">
      <c r="A23" s="74" t="s">
        <v>20</v>
      </c>
      <c r="B23" s="764">
        <v>78218.899999999994</v>
      </c>
      <c r="C23" s="765">
        <v>898.6</v>
      </c>
      <c r="D23" s="765">
        <v>55.4</v>
      </c>
      <c r="E23" s="765">
        <v>11385.4</v>
      </c>
      <c r="F23" s="765">
        <v>112266.6</v>
      </c>
      <c r="G23" s="765">
        <v>7220.6</v>
      </c>
      <c r="H23" s="765">
        <v>52.7</v>
      </c>
      <c r="I23" s="765">
        <v>12052.2</v>
      </c>
      <c r="J23" s="765">
        <v>0.97741800000000001</v>
      </c>
      <c r="K23" s="766">
        <v>1.2812620000000001</v>
      </c>
      <c r="L23" s="766">
        <v>1.8467099999999999</v>
      </c>
      <c r="M23" s="766">
        <v>3.4683120000000005E-2</v>
      </c>
      <c r="N23" s="176"/>
      <c r="O23" s="170"/>
      <c r="CD23" s="233"/>
    </row>
    <row r="24" spans="1:82" s="120" customFormat="1" ht="14.25" hidden="1">
      <c r="A24" s="74" t="s">
        <v>21</v>
      </c>
      <c r="B24" s="764">
        <v>86914.9</v>
      </c>
      <c r="C24" s="765">
        <v>1069</v>
      </c>
      <c r="D24" s="765">
        <v>43.2</v>
      </c>
      <c r="E24" s="765">
        <v>9900.6</v>
      </c>
      <c r="F24" s="765">
        <v>90769.8</v>
      </c>
      <c r="G24" s="765">
        <v>9622</v>
      </c>
      <c r="H24" s="765">
        <v>50.8</v>
      </c>
      <c r="I24" s="765">
        <v>10957.2</v>
      </c>
      <c r="J24" s="765">
        <v>0.96686200000000011</v>
      </c>
      <c r="K24" s="766">
        <v>1.2555620000000001</v>
      </c>
      <c r="L24" s="766">
        <v>1.8246819999999999</v>
      </c>
      <c r="M24" s="766">
        <v>3.425044E-2</v>
      </c>
      <c r="N24" s="176"/>
      <c r="O24" s="170"/>
      <c r="CC24" s="120">
        <v>-644</v>
      </c>
      <c r="CD24" s="233">
        <f t="shared" si="0"/>
        <v>-644</v>
      </c>
    </row>
    <row r="25" spans="1:82" s="120" customFormat="1" ht="14.25" hidden="1">
      <c r="A25" s="74" t="s">
        <v>22</v>
      </c>
      <c r="B25" s="764">
        <v>81552.2</v>
      </c>
      <c r="C25" s="765">
        <v>1972.4</v>
      </c>
      <c r="D25" s="765">
        <v>26.7</v>
      </c>
      <c r="E25" s="765">
        <v>15387.2</v>
      </c>
      <c r="F25" s="765">
        <v>99121.1</v>
      </c>
      <c r="G25" s="765">
        <v>7897.7</v>
      </c>
      <c r="H25" s="765">
        <v>64</v>
      </c>
      <c r="I25" s="765">
        <v>18224.2</v>
      </c>
      <c r="J25" s="765">
        <v>0.95774599999999988</v>
      </c>
      <c r="K25" s="766">
        <v>1.226864</v>
      </c>
      <c r="L25" s="766">
        <v>1.800584</v>
      </c>
      <c r="M25" s="766">
        <v>3.3863940000000002E-2</v>
      </c>
      <c r="N25" s="176"/>
      <c r="O25" s="170"/>
      <c r="CC25" s="120">
        <v>-153</v>
      </c>
      <c r="CD25" s="233">
        <f t="shared" si="0"/>
        <v>-153</v>
      </c>
    </row>
    <row r="26" spans="1:82" s="120" customFormat="1" ht="14.25" hidden="1">
      <c r="A26" s="74" t="s">
        <v>23</v>
      </c>
      <c r="B26" s="764">
        <v>83202.100000000006</v>
      </c>
      <c r="C26" s="765">
        <v>707.5</v>
      </c>
      <c r="D26" s="765">
        <v>16.600000000000001</v>
      </c>
      <c r="E26" s="765">
        <v>11221</v>
      </c>
      <c r="F26" s="765">
        <v>99832.2</v>
      </c>
      <c r="G26" s="765">
        <v>2072.3000000000002</v>
      </c>
      <c r="H26" s="765">
        <v>50.8</v>
      </c>
      <c r="I26" s="765">
        <v>15110.7</v>
      </c>
      <c r="J26" s="765">
        <v>0.94742199999999999</v>
      </c>
      <c r="K26" s="766">
        <v>1.15526</v>
      </c>
      <c r="L26" s="766">
        <v>1.8207439999999999</v>
      </c>
      <c r="M26" s="766">
        <v>3.2473639999999998E-2</v>
      </c>
      <c r="N26" s="176"/>
      <c r="O26" s="170"/>
      <c r="CD26" s="233"/>
    </row>
    <row r="27" spans="1:82" s="120" customFormat="1" ht="14.25" hidden="1">
      <c r="A27" s="74" t="s">
        <v>24</v>
      </c>
      <c r="B27" s="764">
        <v>85813</v>
      </c>
      <c r="C27" s="765">
        <v>675.8</v>
      </c>
      <c r="D27" s="765">
        <v>30</v>
      </c>
      <c r="E27" s="765">
        <v>10451</v>
      </c>
      <c r="F27" s="765">
        <v>100099.6</v>
      </c>
      <c r="G27" s="765">
        <v>3576.5</v>
      </c>
      <c r="H27" s="765">
        <v>101.9</v>
      </c>
      <c r="I27" s="765">
        <v>10955.4</v>
      </c>
      <c r="J27" s="765">
        <v>0.94170200000000004</v>
      </c>
      <c r="K27" s="766">
        <v>1.1333500000000001</v>
      </c>
      <c r="L27" s="766">
        <v>1.6512279999999999</v>
      </c>
      <c r="M27" s="766">
        <v>3.2087020000000001E-2</v>
      </c>
      <c r="N27" s="176"/>
      <c r="O27" s="170"/>
      <c r="CD27" s="233"/>
    </row>
    <row r="28" spans="1:82" s="120" customFormat="1" ht="14.25" hidden="1">
      <c r="A28" s="74" t="s">
        <v>25</v>
      </c>
      <c r="B28" s="764">
        <v>114705.7</v>
      </c>
      <c r="C28" s="765">
        <v>824.6</v>
      </c>
      <c r="D28" s="765">
        <v>34.299999999999997</v>
      </c>
      <c r="E28" s="765">
        <v>12022.7</v>
      </c>
      <c r="F28" s="765">
        <v>111673.3</v>
      </c>
      <c r="G28" s="765">
        <v>6329.6</v>
      </c>
      <c r="H28" s="765">
        <v>75.5</v>
      </c>
      <c r="I28" s="765">
        <v>12705.3</v>
      </c>
      <c r="J28" s="765">
        <v>0.932334</v>
      </c>
      <c r="K28" s="766">
        <v>1.1466180000000001</v>
      </c>
      <c r="L28" s="766">
        <v>1.668066</v>
      </c>
      <c r="M28" s="766">
        <v>3.2009719999999998E-2</v>
      </c>
      <c r="N28" s="176"/>
      <c r="O28" s="170"/>
      <c r="CD28" s="233"/>
    </row>
    <row r="29" spans="1:82" s="120" customFormat="1" ht="14.25" hidden="1">
      <c r="A29" s="74" t="s">
        <v>26</v>
      </c>
      <c r="B29" s="764">
        <v>96408.8</v>
      </c>
      <c r="C29" s="765">
        <v>935.1</v>
      </c>
      <c r="D29" s="765">
        <v>41.4</v>
      </c>
      <c r="E29" s="765">
        <v>11576.1</v>
      </c>
      <c r="F29" s="765">
        <v>96899</v>
      </c>
      <c r="G29" s="765">
        <v>10227.6</v>
      </c>
      <c r="H29" s="765">
        <v>140.19999999999999</v>
      </c>
      <c r="I29" s="765">
        <v>10946.4</v>
      </c>
      <c r="J29" s="765">
        <v>0.91676200000000008</v>
      </c>
      <c r="K29" s="766">
        <v>1.1343700000000001</v>
      </c>
      <c r="L29" s="766">
        <v>1.6809939999999999</v>
      </c>
      <c r="M29" s="766">
        <v>3.1678160000000004E-2</v>
      </c>
      <c r="N29" s="176"/>
      <c r="O29" s="170"/>
      <c r="CC29" s="120">
        <v>-31</v>
      </c>
      <c r="CD29" s="233">
        <f t="shared" si="0"/>
        <v>-31</v>
      </c>
    </row>
    <row r="30" spans="1:82" s="120" customFormat="1" ht="14.25" hidden="1">
      <c r="A30" s="74" t="s">
        <v>27</v>
      </c>
      <c r="B30" s="764">
        <v>64481.7</v>
      </c>
      <c r="C30" s="765">
        <v>437.6</v>
      </c>
      <c r="D30" s="765">
        <v>52.7</v>
      </c>
      <c r="E30" s="765">
        <v>8422.4</v>
      </c>
      <c r="F30" s="765">
        <v>141455.20000000001</v>
      </c>
      <c r="G30" s="765">
        <v>11182.8</v>
      </c>
      <c r="H30" s="765">
        <v>132.4</v>
      </c>
      <c r="I30" s="765">
        <v>6265</v>
      </c>
      <c r="J30" s="765">
        <v>0.91771200000000008</v>
      </c>
      <c r="K30" s="766">
        <v>1.110832</v>
      </c>
      <c r="L30" s="766">
        <v>1.6287339999999999</v>
      </c>
      <c r="M30" s="766">
        <v>3.1554220000000001E-2</v>
      </c>
      <c r="N30" s="176"/>
      <c r="O30" s="170"/>
      <c r="CC30" s="120">
        <v>-440</v>
      </c>
      <c r="CD30" s="233">
        <f t="shared" si="0"/>
        <v>-440</v>
      </c>
    </row>
    <row r="31" spans="1:82" s="120" customFormat="1" ht="14.25" hidden="1">
      <c r="A31" s="74" t="s">
        <v>28</v>
      </c>
      <c r="B31" s="764">
        <v>65710.8</v>
      </c>
      <c r="C31" s="765">
        <v>497.2</v>
      </c>
      <c r="D31" s="765">
        <v>8.6999999999999993</v>
      </c>
      <c r="E31" s="765">
        <v>5739.3</v>
      </c>
      <c r="F31" s="765">
        <v>152310.79999999999</v>
      </c>
      <c r="G31" s="765">
        <v>10438</v>
      </c>
      <c r="H31" s="765">
        <v>155.69999999999999</v>
      </c>
      <c r="I31" s="765">
        <v>4702.6000000000004</v>
      </c>
      <c r="J31" s="765">
        <v>0.92074599999999995</v>
      </c>
      <c r="K31" s="766">
        <v>1.08806</v>
      </c>
      <c r="L31" s="766">
        <v>1.611578</v>
      </c>
      <c r="M31" s="766">
        <v>3.1539959999999999E-2</v>
      </c>
      <c r="N31" s="176"/>
      <c r="O31" s="170"/>
      <c r="CD31" s="233"/>
    </row>
    <row r="32" spans="1:82" s="120" customFormat="1" ht="14.25" hidden="1">
      <c r="A32" s="74" t="s">
        <v>29</v>
      </c>
      <c r="B32" s="764">
        <v>59988</v>
      </c>
      <c r="C32" s="765">
        <v>1109.5</v>
      </c>
      <c r="D32" s="765">
        <v>69.5</v>
      </c>
      <c r="E32" s="765">
        <v>6483.9</v>
      </c>
      <c r="F32" s="765">
        <v>186970.4</v>
      </c>
      <c r="G32" s="765">
        <v>7657.2</v>
      </c>
      <c r="H32" s="765">
        <v>97</v>
      </c>
      <c r="I32" s="765">
        <v>6951.8</v>
      </c>
      <c r="J32" s="765">
        <v>0.92060599999999992</v>
      </c>
      <c r="K32" s="766">
        <v>1.0939099999999999</v>
      </c>
      <c r="L32" s="766">
        <v>1.6019079999999999</v>
      </c>
      <c r="M32" s="766">
        <v>3.1464800000000001E-2</v>
      </c>
      <c r="N32" s="176"/>
      <c r="O32" s="170"/>
      <c r="CC32" s="120">
        <f>CC34+CC35</f>
        <v>-498</v>
      </c>
      <c r="CD32" s="233">
        <f>BY32+BZ32+CA32+CC32</f>
        <v>-498</v>
      </c>
    </row>
    <row r="33" spans="1:82" s="120" customFormat="1" ht="14.25">
      <c r="A33" s="75">
        <v>2006</v>
      </c>
      <c r="B33" s="764">
        <f t="shared" ref="B33:I33" si="1">B34+B35+B36+B37+B38+B39+B40+B41+B42+B43+B44+B45</f>
        <v>979089.6</v>
      </c>
      <c r="C33" s="765">
        <f t="shared" ref="C33:D33" si="2">C34+C35+C36+C37+C38+C39+C40+C41+C42+C43+C44+C45</f>
        <v>7733.3499999999995</v>
      </c>
      <c r="D33" s="765">
        <f t="shared" si="2"/>
        <v>514.95000000000005</v>
      </c>
      <c r="E33" s="765">
        <f t="shared" si="1"/>
        <v>75393.61</v>
      </c>
      <c r="F33" s="765">
        <f t="shared" si="1"/>
        <v>1734462.63</v>
      </c>
      <c r="G33" s="765">
        <f t="shared" ref="G33" si="3">G34+G35+G36+G37+G38+G39+G40+G41+G42+G43+G44+G45</f>
        <v>179299.1</v>
      </c>
      <c r="H33" s="765">
        <f t="shared" si="1"/>
        <v>1288.1499999999999</v>
      </c>
      <c r="I33" s="765">
        <f t="shared" si="1"/>
        <v>61279.960000000006</v>
      </c>
      <c r="J33" s="765">
        <v>0.89029999999999998</v>
      </c>
      <c r="K33" s="766">
        <v>1.1318999999999999</v>
      </c>
      <c r="L33" s="766">
        <v>1.6573</v>
      </c>
      <c r="M33" s="766">
        <v>3.27E-2</v>
      </c>
      <c r="N33" s="176"/>
      <c r="O33" s="170"/>
      <c r="CD33" s="233"/>
    </row>
    <row r="34" spans="1:82" s="120" customFormat="1" ht="14.25" hidden="1">
      <c r="A34" s="74" t="s">
        <v>18</v>
      </c>
      <c r="B34" s="764">
        <v>42151.26</v>
      </c>
      <c r="C34" s="765">
        <v>503</v>
      </c>
      <c r="D34" s="765">
        <v>49</v>
      </c>
      <c r="E34" s="765">
        <v>1508</v>
      </c>
      <c r="F34" s="765">
        <v>78155.600000000006</v>
      </c>
      <c r="G34" s="765">
        <v>5526.3</v>
      </c>
      <c r="H34" s="765">
        <v>77.400000000000006</v>
      </c>
      <c r="I34" s="765">
        <v>1220.0999999999999</v>
      </c>
      <c r="J34" s="765">
        <v>0.92079999999999995</v>
      </c>
      <c r="K34" s="766">
        <v>1.1183000000000001</v>
      </c>
      <c r="L34" s="766">
        <v>1.6284000000000001</v>
      </c>
      <c r="M34" s="766">
        <v>0.03</v>
      </c>
      <c r="N34" s="176"/>
      <c r="O34" s="170"/>
      <c r="CC34" s="120">
        <v>-521</v>
      </c>
      <c r="CD34" s="233">
        <f>BY34+BZ34+CA34+CC34</f>
        <v>-521</v>
      </c>
    </row>
    <row r="35" spans="1:82" s="120" customFormat="1" ht="14.25" hidden="1">
      <c r="A35" s="74" t="s">
        <v>19</v>
      </c>
      <c r="B35" s="764">
        <v>49697.89</v>
      </c>
      <c r="C35" s="765">
        <v>351</v>
      </c>
      <c r="D35" s="765">
        <v>32</v>
      </c>
      <c r="E35" s="765">
        <v>3605</v>
      </c>
      <c r="F35" s="765">
        <v>93053.82</v>
      </c>
      <c r="G35" s="765">
        <v>7415.4</v>
      </c>
      <c r="H35" s="765">
        <v>87.5</v>
      </c>
      <c r="I35" s="765">
        <v>2266.9</v>
      </c>
      <c r="J35" s="765">
        <v>0.91579999999999995</v>
      </c>
      <c r="K35" s="766">
        <v>1.1414</v>
      </c>
      <c r="L35" s="766">
        <v>1.6126</v>
      </c>
      <c r="M35" s="766">
        <v>3.1800000000000002E-2</v>
      </c>
      <c r="N35" s="170"/>
      <c r="O35" s="170"/>
      <c r="CC35" s="120">
        <v>23</v>
      </c>
      <c r="CD35" s="233">
        <f>BY35+BZ35+CA35+CC35</f>
        <v>23</v>
      </c>
    </row>
    <row r="36" spans="1:82" s="120" customFormat="1" ht="14.25" hidden="1">
      <c r="A36" s="74" t="s">
        <v>20</v>
      </c>
      <c r="B36" s="764">
        <v>52694</v>
      </c>
      <c r="C36" s="765">
        <v>1054.2</v>
      </c>
      <c r="D36" s="765">
        <v>44.97</v>
      </c>
      <c r="E36" s="765">
        <v>2687.24</v>
      </c>
      <c r="F36" s="765">
        <v>98165.6</v>
      </c>
      <c r="G36" s="765">
        <v>9158.1</v>
      </c>
      <c r="H36" s="765">
        <v>91</v>
      </c>
      <c r="I36" s="765">
        <v>3338.3</v>
      </c>
      <c r="J36" s="765">
        <v>0.91279999999999994</v>
      </c>
      <c r="K36" s="766">
        <v>1.0982000000000001</v>
      </c>
      <c r="L36" s="766">
        <v>1.5946</v>
      </c>
      <c r="M36" s="766">
        <v>3.2199999999999999E-2</v>
      </c>
      <c r="N36" s="170"/>
      <c r="O36" s="170"/>
      <c r="CD36" s="233"/>
    </row>
    <row r="37" spans="1:82" s="120" customFormat="1" ht="14.25" hidden="1">
      <c r="A37" s="74" t="s">
        <v>21</v>
      </c>
      <c r="B37" s="764">
        <v>52933.8</v>
      </c>
      <c r="C37" s="765">
        <v>632.5</v>
      </c>
      <c r="D37" s="765">
        <v>58.5</v>
      </c>
      <c r="E37" s="765">
        <v>2586.6</v>
      </c>
      <c r="F37" s="765">
        <v>102975.4</v>
      </c>
      <c r="G37" s="765">
        <v>8835.7000000000007</v>
      </c>
      <c r="H37" s="765">
        <v>87.1</v>
      </c>
      <c r="I37" s="765">
        <v>7029.2</v>
      </c>
      <c r="J37" s="765">
        <v>0.90790000000000004</v>
      </c>
      <c r="K37" s="766">
        <v>1.1145</v>
      </c>
      <c r="L37" s="766">
        <v>1.6751</v>
      </c>
      <c r="M37" s="766">
        <v>3.2500000000000001E-2</v>
      </c>
      <c r="N37" s="170"/>
      <c r="O37" s="170"/>
      <c r="CC37" s="120">
        <v>433</v>
      </c>
      <c r="CD37" s="233">
        <f t="shared" si="0"/>
        <v>433</v>
      </c>
    </row>
    <row r="38" spans="1:82" s="120" customFormat="1" ht="14.25" hidden="1">
      <c r="A38" s="74" t="s">
        <v>22</v>
      </c>
      <c r="B38" s="764">
        <v>94700.3</v>
      </c>
      <c r="C38" s="765">
        <v>660.7</v>
      </c>
      <c r="D38" s="765">
        <v>69.2</v>
      </c>
      <c r="E38" s="765">
        <v>3850.9</v>
      </c>
      <c r="F38" s="765">
        <v>131233.20000000001</v>
      </c>
      <c r="G38" s="765">
        <v>11574.9</v>
      </c>
      <c r="H38" s="765">
        <v>73.099999999999994</v>
      </c>
      <c r="I38" s="765">
        <v>7205.9</v>
      </c>
      <c r="J38" s="765">
        <v>0.90310000000000001</v>
      </c>
      <c r="K38" s="766">
        <v>1.157</v>
      </c>
      <c r="L38" s="766">
        <v>1.6882999999999999</v>
      </c>
      <c r="M38" s="766">
        <v>3.3099999999999997E-2</v>
      </c>
      <c r="N38" s="170"/>
      <c r="O38" s="170"/>
      <c r="CC38" s="120">
        <v>-931</v>
      </c>
      <c r="CD38" s="233">
        <f t="shared" si="0"/>
        <v>-931</v>
      </c>
    </row>
    <row r="39" spans="1:82" s="120" customFormat="1" ht="14.25" hidden="1">
      <c r="A39" s="74" t="s">
        <v>23</v>
      </c>
      <c r="B39" s="764">
        <v>106381.5</v>
      </c>
      <c r="C39" s="765">
        <v>664.2</v>
      </c>
      <c r="D39" s="765">
        <v>14.3</v>
      </c>
      <c r="E39" s="765">
        <v>5879.5</v>
      </c>
      <c r="F39" s="765">
        <v>121214.2</v>
      </c>
      <c r="G39" s="765">
        <v>11452.9</v>
      </c>
      <c r="H39" s="765">
        <v>130.4</v>
      </c>
      <c r="I39" s="765">
        <v>7633.3</v>
      </c>
      <c r="J39" s="765">
        <v>0.89839999999999998</v>
      </c>
      <c r="K39" s="766">
        <v>1.1404000000000001</v>
      </c>
      <c r="L39" s="766">
        <v>1.6628000000000001</v>
      </c>
      <c r="M39" s="766">
        <v>3.3099999999999997E-2</v>
      </c>
      <c r="N39" s="170"/>
      <c r="O39" s="170"/>
      <c r="CD39" s="233"/>
    </row>
    <row r="40" spans="1:82" s="120" customFormat="1" ht="14.25" hidden="1">
      <c r="A40" s="74" t="s">
        <v>24</v>
      </c>
      <c r="B40" s="764">
        <v>95690.6</v>
      </c>
      <c r="C40" s="765">
        <v>604.20000000000005</v>
      </c>
      <c r="D40" s="765">
        <v>41.4</v>
      </c>
      <c r="E40" s="765">
        <v>5940.5</v>
      </c>
      <c r="F40" s="765">
        <v>121957.7</v>
      </c>
      <c r="G40" s="765">
        <v>15048.9</v>
      </c>
      <c r="H40" s="765">
        <v>192.4</v>
      </c>
      <c r="I40" s="765">
        <v>2914.3</v>
      </c>
      <c r="J40" s="765">
        <v>0.8931</v>
      </c>
      <c r="K40" s="766">
        <v>1.1337999999999999</v>
      </c>
      <c r="L40" s="766">
        <v>1.6546000000000001</v>
      </c>
      <c r="M40" s="766">
        <v>3.32E-2</v>
      </c>
      <c r="N40" s="170"/>
      <c r="O40" s="170"/>
      <c r="CC40" s="120">
        <v>204</v>
      </c>
      <c r="CD40" s="233">
        <f t="shared" si="0"/>
        <v>204</v>
      </c>
    </row>
    <row r="41" spans="1:82" s="120" customFormat="1" ht="14.25" hidden="1">
      <c r="A41" s="74" t="s">
        <v>25</v>
      </c>
      <c r="B41" s="764">
        <v>128861.4</v>
      </c>
      <c r="C41" s="765">
        <v>1083.3</v>
      </c>
      <c r="D41" s="765">
        <v>46.8</v>
      </c>
      <c r="E41" s="765">
        <v>7053.6</v>
      </c>
      <c r="F41" s="765">
        <v>130842.5</v>
      </c>
      <c r="G41" s="765">
        <v>22042.5</v>
      </c>
      <c r="H41" s="765">
        <v>102</v>
      </c>
      <c r="I41" s="765">
        <v>3248.9</v>
      </c>
      <c r="J41" s="765">
        <v>0.88700000000000001</v>
      </c>
      <c r="K41" s="766">
        <v>1.1383000000000001</v>
      </c>
      <c r="L41" s="766">
        <v>1.6859</v>
      </c>
      <c r="M41" s="766">
        <v>3.2800000000000003E-2</v>
      </c>
      <c r="N41" s="170"/>
      <c r="O41" s="170"/>
      <c r="CC41" s="120">
        <v>200</v>
      </c>
      <c r="CD41" s="233">
        <f t="shared" si="0"/>
        <v>200</v>
      </c>
    </row>
    <row r="42" spans="1:82" s="120" customFormat="1" ht="14.25" hidden="1">
      <c r="A42" s="74" t="s">
        <v>26</v>
      </c>
      <c r="B42" s="764">
        <v>83737.3</v>
      </c>
      <c r="C42" s="765">
        <v>332.56</v>
      </c>
      <c r="D42" s="765">
        <v>16.09</v>
      </c>
      <c r="E42" s="765">
        <v>4475.6000000000004</v>
      </c>
      <c r="F42" s="765">
        <v>132443.9</v>
      </c>
      <c r="G42" s="765">
        <v>18483.400000000001</v>
      </c>
      <c r="H42" s="765">
        <v>149.9</v>
      </c>
      <c r="I42" s="765">
        <v>5998.12</v>
      </c>
      <c r="J42" s="765">
        <v>0.87970000000000004</v>
      </c>
      <c r="K42" s="766">
        <v>1.1228</v>
      </c>
      <c r="L42" s="766">
        <v>1.6702999999999999</v>
      </c>
      <c r="M42" s="766">
        <v>3.27E-2</v>
      </c>
      <c r="N42" s="170"/>
      <c r="O42" s="170"/>
      <c r="CD42" s="233"/>
    </row>
    <row r="43" spans="1:82" s="120" customFormat="1" ht="14.25" hidden="1">
      <c r="A43" s="74" t="s">
        <v>27</v>
      </c>
      <c r="B43" s="764">
        <v>94240.69</v>
      </c>
      <c r="C43" s="765">
        <v>755.13</v>
      </c>
      <c r="D43" s="765">
        <v>20.73</v>
      </c>
      <c r="E43" s="765">
        <v>12917.33</v>
      </c>
      <c r="F43" s="765">
        <v>189673.07</v>
      </c>
      <c r="G43" s="765">
        <v>21117.22</v>
      </c>
      <c r="H43" s="765">
        <v>94.56</v>
      </c>
      <c r="I43" s="765">
        <v>3141.65</v>
      </c>
      <c r="J43" s="765">
        <v>0.87529999999999997</v>
      </c>
      <c r="K43" s="766">
        <v>1.1079000000000001</v>
      </c>
      <c r="L43" s="766">
        <v>1.6473</v>
      </c>
      <c r="M43" s="766">
        <v>3.2300000000000002E-2</v>
      </c>
      <c r="N43" s="170"/>
      <c r="O43" s="170"/>
      <c r="CC43" s="120">
        <v>295</v>
      </c>
      <c r="CD43" s="233">
        <f t="shared" si="0"/>
        <v>295</v>
      </c>
    </row>
    <row r="44" spans="1:82" s="120" customFormat="1" ht="14.25" hidden="1">
      <c r="A44" s="74" t="s">
        <v>28</v>
      </c>
      <c r="B44" s="764">
        <v>82183.66</v>
      </c>
      <c r="C44" s="765">
        <v>536.66</v>
      </c>
      <c r="D44" s="765">
        <v>44</v>
      </c>
      <c r="E44" s="765">
        <v>11474.44</v>
      </c>
      <c r="F44" s="765">
        <v>231805.64</v>
      </c>
      <c r="G44" s="765">
        <v>22853.68</v>
      </c>
      <c r="H44" s="765">
        <v>78.489999999999995</v>
      </c>
      <c r="I44" s="765">
        <v>8887.52</v>
      </c>
      <c r="J44" s="765">
        <v>0.87470000000000003</v>
      </c>
      <c r="K44" s="766">
        <v>1.1291</v>
      </c>
      <c r="L44" s="766">
        <v>1.6727000000000001</v>
      </c>
      <c r="M44" s="766">
        <v>3.2599999999999997E-2</v>
      </c>
      <c r="N44" s="170"/>
      <c r="O44" s="170"/>
      <c r="CC44" s="120">
        <v>-95</v>
      </c>
      <c r="CD44" s="233">
        <f t="shared" si="0"/>
        <v>-95</v>
      </c>
    </row>
    <row r="45" spans="1:82" s="120" customFormat="1" ht="14.25" hidden="1">
      <c r="A45" s="74" t="s">
        <v>29</v>
      </c>
      <c r="B45" s="764">
        <v>95817.2</v>
      </c>
      <c r="C45" s="765">
        <v>555.9</v>
      </c>
      <c r="D45" s="765">
        <v>77.959999999999994</v>
      </c>
      <c r="E45" s="765">
        <v>13414.9</v>
      </c>
      <c r="F45" s="765">
        <v>302942</v>
      </c>
      <c r="G45" s="765">
        <v>25790.1</v>
      </c>
      <c r="H45" s="765">
        <v>124.3</v>
      </c>
      <c r="I45" s="765">
        <v>8395.77</v>
      </c>
      <c r="J45" s="765">
        <v>0.87419999999999998</v>
      </c>
      <c r="K45" s="766">
        <v>1.1577999999999999</v>
      </c>
      <c r="L45" s="766">
        <v>1.718</v>
      </c>
      <c r="M45" s="766">
        <v>3.3000000000000002E-2</v>
      </c>
      <c r="N45" s="170"/>
      <c r="O45" s="170"/>
      <c r="CD45" s="233"/>
    </row>
    <row r="46" spans="1:82" s="120" customFormat="1" ht="13.5" customHeight="1">
      <c r="A46" s="74" t="s">
        <v>121</v>
      </c>
      <c r="B46" s="764">
        <f t="shared" ref="B46:I46" si="4">B47+B48+B49+B50+B51+B52+B53+B54+B55+B56+B57+B58</f>
        <v>1335173.3459999999</v>
      </c>
      <c r="C46" s="765">
        <f t="shared" ref="C46:D46" si="5">C47+C48+C49+C50+C51+C52+C53+C54+C55+C56+C57+C58</f>
        <v>15033.433000000001</v>
      </c>
      <c r="D46" s="765">
        <f t="shared" si="5"/>
        <v>633.07999999999993</v>
      </c>
      <c r="E46" s="765">
        <f t="shared" si="4"/>
        <v>300246.12099999998</v>
      </c>
      <c r="F46" s="765">
        <f t="shared" si="4"/>
        <v>3177929.7379999999</v>
      </c>
      <c r="G46" s="765">
        <f t="shared" ref="G46" si="6">G47+G48+G49+G50+G51+G52+G53+G54+G55+G56+G57+G58</f>
        <v>532869.77500000002</v>
      </c>
      <c r="H46" s="765">
        <f t="shared" si="4"/>
        <v>4543.0119999999997</v>
      </c>
      <c r="I46" s="765">
        <f t="shared" si="4"/>
        <v>530307.03700000001</v>
      </c>
      <c r="J46" s="765">
        <v>0.85960000000000003</v>
      </c>
      <c r="K46" s="766">
        <v>1.1934</v>
      </c>
      <c r="L46" s="766">
        <v>1.7339</v>
      </c>
      <c r="M46" s="766">
        <v>3.3799999999999997E-2</v>
      </c>
      <c r="N46" s="170"/>
      <c r="O46" s="170"/>
      <c r="CC46" s="120">
        <v>0</v>
      </c>
      <c r="CD46" s="233">
        <f t="shared" si="0"/>
        <v>0</v>
      </c>
    </row>
    <row r="47" spans="1:82" s="120" customFormat="1" ht="14.25" hidden="1">
      <c r="A47" s="74" t="s">
        <v>18</v>
      </c>
      <c r="B47" s="764">
        <v>77372.59</v>
      </c>
      <c r="C47" s="765">
        <v>679.83</v>
      </c>
      <c r="D47" s="765">
        <v>54.49</v>
      </c>
      <c r="E47" s="765">
        <v>13251.69</v>
      </c>
      <c r="F47" s="765">
        <v>181932.94</v>
      </c>
      <c r="G47" s="765">
        <v>20365.47</v>
      </c>
      <c r="H47" s="765">
        <v>214.9</v>
      </c>
      <c r="I47" s="765">
        <v>7935.94</v>
      </c>
      <c r="J47" s="765">
        <v>0.87339999999999995</v>
      </c>
      <c r="K47" s="766">
        <v>1.1334</v>
      </c>
      <c r="L47" s="766">
        <v>1.7034</v>
      </c>
      <c r="M47" s="766">
        <v>3.27E-2</v>
      </c>
      <c r="N47" s="170"/>
      <c r="O47" s="170"/>
      <c r="CD47" s="233"/>
    </row>
    <row r="48" spans="1:82" s="120" customFormat="1" ht="14.25" hidden="1">
      <c r="A48" s="74" t="s">
        <v>19</v>
      </c>
      <c r="B48" s="764">
        <v>71851.8</v>
      </c>
      <c r="C48" s="765">
        <v>1559.9</v>
      </c>
      <c r="D48" s="765">
        <v>60.8</v>
      </c>
      <c r="E48" s="765">
        <v>6318</v>
      </c>
      <c r="F48" s="765">
        <v>178883.6</v>
      </c>
      <c r="G48" s="765">
        <v>17613.7</v>
      </c>
      <c r="H48" s="765">
        <v>122.8</v>
      </c>
      <c r="I48" s="765">
        <v>12808.6</v>
      </c>
      <c r="J48" s="765">
        <v>0.87129999999999996</v>
      </c>
      <c r="K48" s="766">
        <v>1.1409</v>
      </c>
      <c r="L48" s="766">
        <v>1.7097</v>
      </c>
      <c r="M48" s="766">
        <v>3.2800000000000003E-2</v>
      </c>
      <c r="N48" s="177"/>
      <c r="O48" s="177"/>
      <c r="P48" s="177"/>
      <c r="CC48" s="120">
        <f>CC49-CC53</f>
        <v>481</v>
      </c>
      <c r="CD48" s="233">
        <f t="shared" si="0"/>
        <v>481</v>
      </c>
    </row>
    <row r="49" spans="1:82" s="120" customFormat="1" ht="14.25" hidden="1">
      <c r="A49" s="74" t="s">
        <v>20</v>
      </c>
      <c r="B49" s="764">
        <v>75118.86</v>
      </c>
      <c r="C49" s="765">
        <v>559.1</v>
      </c>
      <c r="D49" s="765">
        <v>36.409999999999997</v>
      </c>
      <c r="E49" s="765">
        <v>6767.65</v>
      </c>
      <c r="F49" s="765">
        <v>227288.62</v>
      </c>
      <c r="G49" s="765">
        <v>16340.15</v>
      </c>
      <c r="H49" s="765">
        <v>171.87</v>
      </c>
      <c r="I49" s="765">
        <v>12029.95</v>
      </c>
      <c r="J49" s="765">
        <v>0.87009999999999998</v>
      </c>
      <c r="K49" s="766">
        <v>1.1507000000000001</v>
      </c>
      <c r="L49" s="766">
        <v>1.6937</v>
      </c>
      <c r="M49" s="766">
        <v>3.32E-2</v>
      </c>
      <c r="N49" s="177"/>
      <c r="O49" s="177"/>
      <c r="P49" s="177"/>
      <c r="CC49" s="120">
        <f>CC51+CC52</f>
        <v>965</v>
      </c>
      <c r="CD49" s="233">
        <f t="shared" si="0"/>
        <v>965</v>
      </c>
    </row>
    <row r="50" spans="1:82" s="120" customFormat="1" ht="14.25" hidden="1">
      <c r="A50" s="74" t="s">
        <v>21</v>
      </c>
      <c r="B50" s="764">
        <v>91846.9</v>
      </c>
      <c r="C50" s="765">
        <v>1815.8</v>
      </c>
      <c r="D50" s="765">
        <v>19.8</v>
      </c>
      <c r="E50" s="765">
        <v>12104.2</v>
      </c>
      <c r="F50" s="765">
        <v>263995.06</v>
      </c>
      <c r="G50" s="765">
        <v>21237.47</v>
      </c>
      <c r="H50" s="765">
        <v>138.80000000000001</v>
      </c>
      <c r="I50" s="765">
        <v>15253.83</v>
      </c>
      <c r="J50" s="765">
        <v>0.86809999999999998</v>
      </c>
      <c r="K50" s="766">
        <v>1.1718999999999999</v>
      </c>
      <c r="L50" s="766">
        <v>1.7315</v>
      </c>
      <c r="M50" s="766">
        <v>3.3500000000000002E-2</v>
      </c>
      <c r="N50" s="177"/>
      <c r="O50" s="177"/>
      <c r="P50" s="177"/>
      <c r="CD50" s="233"/>
    </row>
    <row r="51" spans="1:82" s="120" customFormat="1" ht="14.25" hidden="1">
      <c r="A51" s="74" t="s">
        <v>22</v>
      </c>
      <c r="B51" s="764">
        <v>98452.51</v>
      </c>
      <c r="C51" s="765">
        <v>1277.79</v>
      </c>
      <c r="D51" s="765">
        <v>25.4</v>
      </c>
      <c r="E51" s="765">
        <v>17673.876</v>
      </c>
      <c r="F51" s="765">
        <v>281881.21899999998</v>
      </c>
      <c r="G51" s="765">
        <v>26418.045999999998</v>
      </c>
      <c r="H51" s="765">
        <v>406.91699999999997</v>
      </c>
      <c r="I51" s="765">
        <v>9520.7080000000005</v>
      </c>
      <c r="J51" s="765">
        <v>0.86450000000000005</v>
      </c>
      <c r="K51" s="766">
        <v>1.17</v>
      </c>
      <c r="L51" s="766">
        <v>1.7206999999999999</v>
      </c>
      <c r="M51" s="766">
        <v>3.3300000000000003E-2</v>
      </c>
      <c r="N51" s="177"/>
      <c r="O51" s="177"/>
      <c r="P51" s="177"/>
      <c r="CC51" s="120">
        <v>954</v>
      </c>
      <c r="CD51" s="233">
        <f t="shared" si="0"/>
        <v>954</v>
      </c>
    </row>
    <row r="52" spans="1:82" s="120" customFormat="1" ht="14.25" hidden="1">
      <c r="A52" s="74" t="s">
        <v>23</v>
      </c>
      <c r="B52" s="764">
        <v>127627.9</v>
      </c>
      <c r="C52" s="765">
        <v>1110</v>
      </c>
      <c r="D52" s="765">
        <v>43.4</v>
      </c>
      <c r="E52" s="765">
        <v>18737.099999999999</v>
      </c>
      <c r="F52" s="765">
        <v>206862.9</v>
      </c>
      <c r="G52" s="765">
        <v>35092.6</v>
      </c>
      <c r="H52" s="765">
        <v>311.10000000000002</v>
      </c>
      <c r="I52" s="765">
        <v>9353.6</v>
      </c>
      <c r="J52" s="765">
        <v>0.85699999999999998</v>
      </c>
      <c r="K52" s="766">
        <v>1.1551</v>
      </c>
      <c r="L52" s="766">
        <v>1.7124999999999999</v>
      </c>
      <c r="M52" s="766">
        <v>3.2800000000000003E-2</v>
      </c>
      <c r="N52" s="177"/>
      <c r="O52" s="177"/>
      <c r="P52" s="177"/>
      <c r="CC52" s="120">
        <v>11</v>
      </c>
      <c r="CD52" s="233">
        <f t="shared" si="0"/>
        <v>11</v>
      </c>
    </row>
    <row r="53" spans="1:82" s="120" customFormat="1" ht="14.25" hidden="1">
      <c r="A53" s="74" t="s">
        <v>24</v>
      </c>
      <c r="B53" s="764">
        <v>109580.3</v>
      </c>
      <c r="C53" s="765">
        <v>910.6</v>
      </c>
      <c r="D53" s="765">
        <v>82.6</v>
      </c>
      <c r="E53" s="765">
        <v>31846.9</v>
      </c>
      <c r="F53" s="765">
        <v>282529.59999999998</v>
      </c>
      <c r="G53" s="765">
        <v>37230.6</v>
      </c>
      <c r="H53" s="765">
        <v>410.9</v>
      </c>
      <c r="I53" s="765">
        <v>11092.5</v>
      </c>
      <c r="J53" s="765">
        <v>0.85629999999999995</v>
      </c>
      <c r="K53" s="766">
        <v>1.1773</v>
      </c>
      <c r="L53" s="766">
        <v>1.7503</v>
      </c>
      <c r="M53" s="766">
        <v>3.3500000000000002E-2</v>
      </c>
      <c r="N53" s="177"/>
      <c r="O53" s="177"/>
      <c r="P53" s="177"/>
      <c r="CC53" s="120">
        <f>CC55+CC56+CC57+CC58</f>
        <v>484</v>
      </c>
      <c r="CD53" s="233">
        <f t="shared" si="0"/>
        <v>484</v>
      </c>
    </row>
    <row r="54" spans="1:82" s="120" customFormat="1" ht="14.25" hidden="1">
      <c r="A54" s="74" t="s">
        <v>25</v>
      </c>
      <c r="B54" s="764">
        <v>102668.5</v>
      </c>
      <c r="C54" s="765">
        <v>1071.9000000000001</v>
      </c>
      <c r="D54" s="765">
        <v>57.9</v>
      </c>
      <c r="E54" s="765">
        <v>34269.89</v>
      </c>
      <c r="F54" s="765">
        <v>299930.15999999997</v>
      </c>
      <c r="G54" s="765">
        <v>43635.9</v>
      </c>
      <c r="H54" s="765">
        <v>562.70000000000005</v>
      </c>
      <c r="I54" s="765">
        <v>14435.509</v>
      </c>
      <c r="J54" s="765">
        <v>0.85489999999999999</v>
      </c>
      <c r="K54" s="766">
        <v>1.1678999999999999</v>
      </c>
      <c r="L54" s="766">
        <v>1.7255</v>
      </c>
      <c r="M54" s="766">
        <v>3.3099999999999997E-2</v>
      </c>
      <c r="N54" s="177"/>
      <c r="O54" s="177"/>
      <c r="P54" s="177"/>
      <c r="CD54" s="233"/>
    </row>
    <row r="55" spans="1:82" s="120" customFormat="1" ht="14.25" hidden="1">
      <c r="A55" s="74" t="s">
        <v>26</v>
      </c>
      <c r="B55" s="764">
        <v>118285.336</v>
      </c>
      <c r="C55" s="765">
        <v>1246.356</v>
      </c>
      <c r="D55" s="765">
        <v>45.61</v>
      </c>
      <c r="E55" s="765">
        <v>27820.027999999998</v>
      </c>
      <c r="F55" s="765">
        <v>335207.16899999999</v>
      </c>
      <c r="G55" s="765">
        <v>36559.56</v>
      </c>
      <c r="H55" s="765">
        <v>345.99900000000002</v>
      </c>
      <c r="I55" s="765">
        <v>64452.542000000001</v>
      </c>
      <c r="J55" s="765">
        <v>0.85370000000000001</v>
      </c>
      <c r="K55" s="766">
        <v>1.1869000000000001</v>
      </c>
      <c r="L55" s="766">
        <v>1.7292000000000001</v>
      </c>
      <c r="M55" s="766">
        <v>3.39E-2</v>
      </c>
      <c r="N55" s="177"/>
      <c r="O55" s="177"/>
      <c r="P55" s="177"/>
      <c r="CC55" s="120">
        <v>1214</v>
      </c>
      <c r="CD55" s="233">
        <f t="shared" si="0"/>
        <v>1214</v>
      </c>
    </row>
    <row r="56" spans="1:82" s="120" customFormat="1" ht="14.25" hidden="1">
      <c r="A56" s="74" t="s">
        <v>27</v>
      </c>
      <c r="B56" s="764">
        <v>136492.89000000001</v>
      </c>
      <c r="C56" s="765">
        <v>1105.057</v>
      </c>
      <c r="D56" s="765">
        <v>25.07</v>
      </c>
      <c r="E56" s="765">
        <v>31914.560000000001</v>
      </c>
      <c r="F56" s="765">
        <v>336551.54</v>
      </c>
      <c r="G56" s="765">
        <v>73544.379000000001</v>
      </c>
      <c r="H56" s="765">
        <v>206.86600000000001</v>
      </c>
      <c r="I56" s="765">
        <v>211431.878</v>
      </c>
      <c r="J56" s="765">
        <v>0.85189999999999999</v>
      </c>
      <c r="K56" s="766">
        <v>1.2121999999999999</v>
      </c>
      <c r="L56" s="766">
        <v>1.7501</v>
      </c>
      <c r="M56" s="766">
        <v>3.4099999999999998E-2</v>
      </c>
      <c r="N56" s="177"/>
      <c r="O56" s="177"/>
      <c r="P56" s="177"/>
      <c r="CC56" s="120">
        <v>-745</v>
      </c>
      <c r="CD56" s="233">
        <f t="shared" si="0"/>
        <v>-745</v>
      </c>
    </row>
    <row r="57" spans="1:82" s="120" customFormat="1" ht="14.25" hidden="1">
      <c r="A57" s="74" t="s">
        <v>28</v>
      </c>
      <c r="B57" s="764">
        <v>179172.38</v>
      </c>
      <c r="C57" s="765">
        <v>1668.2</v>
      </c>
      <c r="D57" s="765">
        <v>70.37</v>
      </c>
      <c r="E57" s="765">
        <v>44709.726999999999</v>
      </c>
      <c r="F57" s="765">
        <v>218720.93</v>
      </c>
      <c r="G57" s="765">
        <v>115915.76</v>
      </c>
      <c r="H57" s="765">
        <v>769.25</v>
      </c>
      <c r="I57" s="765">
        <v>86719.02</v>
      </c>
      <c r="J57" s="765">
        <v>0.84919999999999995</v>
      </c>
      <c r="K57" s="766">
        <v>1.2452000000000001</v>
      </c>
      <c r="L57" s="766">
        <v>1.7693000000000001</v>
      </c>
      <c r="M57" s="766">
        <v>3.44E-2</v>
      </c>
      <c r="N57" s="177"/>
      <c r="O57" s="177"/>
      <c r="P57" s="177"/>
      <c r="CC57" s="120">
        <v>0</v>
      </c>
      <c r="CD57" s="233">
        <f>BY57+BZ57+CA57+CC57</f>
        <v>0</v>
      </c>
    </row>
    <row r="58" spans="1:82" s="120" customFormat="1" ht="14.25" hidden="1">
      <c r="A58" s="74" t="s">
        <v>29</v>
      </c>
      <c r="B58" s="764">
        <v>146703.38</v>
      </c>
      <c r="C58" s="765">
        <v>2028.9</v>
      </c>
      <c r="D58" s="765">
        <v>111.23</v>
      </c>
      <c r="E58" s="765">
        <v>54832.5</v>
      </c>
      <c r="F58" s="765">
        <v>364146</v>
      </c>
      <c r="G58" s="765">
        <v>88916.14</v>
      </c>
      <c r="H58" s="765">
        <v>880.91</v>
      </c>
      <c r="I58" s="765">
        <v>75272.960000000006</v>
      </c>
      <c r="J58" s="765">
        <v>0.8226</v>
      </c>
      <c r="K58" s="766">
        <v>1.2267999999999999</v>
      </c>
      <c r="L58" s="766">
        <v>1.5295000000000001</v>
      </c>
      <c r="M58" s="766">
        <v>3.3099999999999997E-2</v>
      </c>
      <c r="N58" s="177"/>
      <c r="O58" s="177"/>
      <c r="P58" s="177"/>
      <c r="CC58" s="120">
        <v>15</v>
      </c>
      <c r="CD58" s="233">
        <f>BY58+BZ58+CA58+CC58</f>
        <v>15</v>
      </c>
    </row>
    <row r="59" spans="1:82" s="120" customFormat="1" ht="14.25">
      <c r="A59" s="74" t="s">
        <v>114</v>
      </c>
      <c r="B59" s="764">
        <f>SUM(B60:B80)</f>
        <v>1455170.83</v>
      </c>
      <c r="C59" s="765">
        <f t="shared" ref="C59:D59" si="7">C60+C61+C62+C63+C64+C65+C66+C67+C68+C69+C70+C71+C72+C73+C74+C75+C76+C77+C78+C79+C80</f>
        <v>58940.614000000001</v>
      </c>
      <c r="D59" s="765">
        <f t="shared" si="7"/>
        <v>883.79099999999994</v>
      </c>
      <c r="E59" s="765">
        <f t="shared" ref="E59:I59" si="8">E60+E61+E62+E63+E64+E65+E66+E67+E68+E69+E70+E71+E72+E73+E74+E75+E76+E77+E78+E79+E80</f>
        <v>1141209.3570000001</v>
      </c>
      <c r="F59" s="765">
        <f t="shared" si="8"/>
        <v>4967710.6739999996</v>
      </c>
      <c r="G59" s="765">
        <f t="shared" ref="G59" si="9">G60+G61+G62+G63+G64+G65+G66+G67+G68+G69+G70+G71+G72+G73+G74+G75+G76+G77+G78+G79+G80</f>
        <v>767561.88100000005</v>
      </c>
      <c r="H59" s="765">
        <f t="shared" si="8"/>
        <v>8674.0249999999996</v>
      </c>
      <c r="I59" s="765">
        <f t="shared" si="8"/>
        <v>146587.22</v>
      </c>
      <c r="J59" s="765">
        <v>0.82069999999999999</v>
      </c>
      <c r="K59" s="766">
        <v>1.2130000000000001</v>
      </c>
      <c r="L59" s="766">
        <v>1.4906999999999999</v>
      </c>
      <c r="M59" s="766">
        <v>3.2800000000000003E-2</v>
      </c>
      <c r="N59" s="177"/>
      <c r="O59" s="177"/>
      <c r="P59" s="177"/>
      <c r="CC59" s="120">
        <v>-372</v>
      </c>
      <c r="CD59" s="233">
        <f>BY59+BZ59+CA59+CC59</f>
        <v>-372</v>
      </c>
    </row>
    <row r="60" spans="1:82" s="120" customFormat="1" ht="14.25" hidden="1">
      <c r="A60" s="74" t="s">
        <v>18</v>
      </c>
      <c r="B60" s="76">
        <v>114326</v>
      </c>
      <c r="C60" s="76">
        <v>2646.44</v>
      </c>
      <c r="D60" s="76">
        <v>19.899999999999999</v>
      </c>
      <c r="E60" s="76">
        <v>36446.699999999997</v>
      </c>
      <c r="F60" s="76">
        <v>298300.40000000002</v>
      </c>
      <c r="G60" s="76">
        <v>53841.27</v>
      </c>
      <c r="H60" s="76">
        <v>677</v>
      </c>
      <c r="I60" s="76">
        <v>7989.317</v>
      </c>
      <c r="J60" s="77">
        <v>0.84709999999999996</v>
      </c>
      <c r="K60" s="77">
        <v>1.2427999999999999</v>
      </c>
      <c r="L60" s="77">
        <v>1.6911</v>
      </c>
      <c r="M60" s="78">
        <v>3.4200000000000001E-2</v>
      </c>
      <c r="N60" s="177"/>
      <c r="O60" s="177"/>
      <c r="P60" s="177"/>
      <c r="CC60" s="120">
        <v>-231</v>
      </c>
      <c r="CD60" s="233">
        <f>BY60+BZ60+CA60+CC60</f>
        <v>-231</v>
      </c>
    </row>
    <row r="61" spans="1:82" s="120" customFormat="1" ht="14.25" hidden="1">
      <c r="A61" s="74" t="s">
        <v>19</v>
      </c>
      <c r="B61" s="76">
        <v>110390.86</v>
      </c>
      <c r="C61" s="76">
        <v>1620.53</v>
      </c>
      <c r="D61" s="76">
        <v>65.159000000000006</v>
      </c>
      <c r="E61" s="76">
        <v>33889.949000000001</v>
      </c>
      <c r="F61" s="76">
        <v>272181.37900000002</v>
      </c>
      <c r="G61" s="76">
        <v>47472.290999999997</v>
      </c>
      <c r="H61" s="76">
        <v>346.702</v>
      </c>
      <c r="I61" s="76">
        <v>8508.2309999999998</v>
      </c>
      <c r="J61" s="77">
        <v>0.84570000000000001</v>
      </c>
      <c r="K61" s="77">
        <v>1.2392000000000001</v>
      </c>
      <c r="L61" s="77">
        <v>1.6644000000000001</v>
      </c>
      <c r="M61" s="78">
        <v>3.4200000000000001E-2</v>
      </c>
      <c r="N61" s="177"/>
      <c r="O61" s="177"/>
      <c r="P61" s="177"/>
      <c r="CD61" s="233"/>
    </row>
    <row r="62" spans="1:82" s="120" customFormat="1" ht="14.25" hidden="1">
      <c r="A62" s="74" t="s">
        <v>20</v>
      </c>
      <c r="B62" s="76">
        <v>141419.70000000001</v>
      </c>
      <c r="C62" s="76">
        <v>1366.7</v>
      </c>
      <c r="D62" s="76">
        <v>29.8</v>
      </c>
      <c r="E62" s="76">
        <v>51622.3</v>
      </c>
      <c r="F62" s="76">
        <v>275518.09999999998</v>
      </c>
      <c r="G62" s="76">
        <v>43351.3</v>
      </c>
      <c r="H62" s="76">
        <v>543.5</v>
      </c>
      <c r="I62" s="76">
        <v>15488.9</v>
      </c>
      <c r="J62" s="77">
        <v>0.84099999999999997</v>
      </c>
      <c r="K62" s="77">
        <v>1.302</v>
      </c>
      <c r="L62" s="77">
        <v>1.6975</v>
      </c>
      <c r="M62" s="78">
        <v>3.5200000000000002E-2</v>
      </c>
      <c r="N62" s="177"/>
      <c r="O62" s="177"/>
      <c r="P62" s="177"/>
      <c r="CC62" s="120">
        <f>CC8+CC46-CC48+CC59-CC60</f>
        <v>0</v>
      </c>
      <c r="CD62" s="233">
        <f>BY62+BZ62+CA62+CC62</f>
        <v>0</v>
      </c>
    </row>
    <row r="63" spans="1:82" s="120" customFormat="1" ht="10.5" hidden="1" customHeight="1">
      <c r="A63" s="74" t="s">
        <v>21</v>
      </c>
      <c r="B63" s="76"/>
      <c r="C63" s="76"/>
      <c r="D63" s="76"/>
      <c r="E63" s="76"/>
      <c r="F63" s="76"/>
      <c r="G63" s="76"/>
      <c r="H63" s="76"/>
      <c r="I63" s="76"/>
      <c r="J63" s="77"/>
      <c r="K63" s="77"/>
      <c r="L63" s="77"/>
      <c r="M63" s="78"/>
      <c r="N63" s="177"/>
      <c r="O63" s="177"/>
      <c r="P63" s="177"/>
    </row>
    <row r="64" spans="1:82" s="120" customFormat="1" ht="10.5" hidden="1" customHeight="1">
      <c r="A64" s="74"/>
      <c r="B64" s="76"/>
      <c r="C64" s="76"/>
      <c r="D64" s="76"/>
      <c r="E64" s="76"/>
      <c r="F64" s="76"/>
      <c r="G64" s="76"/>
      <c r="H64" s="76"/>
      <c r="I64" s="76"/>
      <c r="J64" s="77"/>
      <c r="K64" s="77"/>
      <c r="L64" s="77"/>
      <c r="M64" s="78"/>
      <c r="N64" s="177"/>
      <c r="O64" s="177"/>
      <c r="P64" s="177"/>
    </row>
    <row r="65" spans="1:16" s="120" customFormat="1" ht="10.5" hidden="1" customHeight="1">
      <c r="A65" s="74"/>
      <c r="B65" s="76"/>
      <c r="C65" s="76"/>
      <c r="D65" s="76"/>
      <c r="E65" s="76"/>
      <c r="F65" s="76"/>
      <c r="G65" s="76"/>
      <c r="H65" s="76"/>
      <c r="I65" s="76"/>
      <c r="J65" s="77"/>
      <c r="K65" s="77"/>
      <c r="L65" s="77"/>
      <c r="M65" s="78"/>
      <c r="N65" s="177"/>
      <c r="O65" s="177"/>
      <c r="P65" s="177"/>
    </row>
    <row r="66" spans="1:16" s="120" customFormat="1" ht="10.5" hidden="1" customHeight="1">
      <c r="A66" s="74"/>
      <c r="B66" s="76"/>
      <c r="C66" s="76"/>
      <c r="D66" s="76"/>
      <c r="E66" s="76"/>
      <c r="F66" s="76"/>
      <c r="G66" s="76"/>
      <c r="H66" s="76"/>
      <c r="I66" s="76"/>
      <c r="J66" s="77"/>
      <c r="K66" s="77"/>
      <c r="L66" s="77"/>
      <c r="M66" s="78"/>
      <c r="N66" s="177"/>
      <c r="O66" s="177"/>
      <c r="P66" s="177"/>
    </row>
    <row r="67" spans="1:16" s="120" customFormat="1" ht="10.5" hidden="1" customHeight="1">
      <c r="A67" s="74"/>
      <c r="B67" s="76"/>
      <c r="C67" s="76"/>
      <c r="D67" s="76"/>
      <c r="E67" s="76"/>
      <c r="F67" s="76"/>
      <c r="G67" s="76"/>
      <c r="H67" s="76"/>
      <c r="I67" s="76"/>
      <c r="J67" s="77"/>
      <c r="K67" s="77"/>
      <c r="L67" s="77"/>
      <c r="M67" s="78"/>
      <c r="N67" s="177"/>
      <c r="O67" s="177"/>
      <c r="P67" s="177"/>
    </row>
    <row r="68" spans="1:16" s="120" customFormat="1" ht="10.5" hidden="1" customHeight="1">
      <c r="A68" s="74"/>
      <c r="B68" s="76"/>
      <c r="C68" s="76"/>
      <c r="D68" s="76"/>
      <c r="E68" s="76"/>
      <c r="F68" s="76"/>
      <c r="G68" s="76"/>
      <c r="H68" s="76"/>
      <c r="I68" s="76"/>
      <c r="J68" s="77"/>
      <c r="K68" s="77"/>
      <c r="L68" s="77"/>
      <c r="M68" s="78"/>
      <c r="N68" s="177"/>
      <c r="O68" s="177"/>
      <c r="P68" s="177"/>
    </row>
    <row r="69" spans="1:16" s="120" customFormat="1" ht="10.5" hidden="1" customHeight="1">
      <c r="A69" s="74"/>
      <c r="B69" s="76"/>
      <c r="C69" s="76"/>
      <c r="D69" s="76"/>
      <c r="E69" s="76"/>
      <c r="F69" s="76"/>
      <c r="G69" s="76"/>
      <c r="H69" s="76"/>
      <c r="I69" s="76"/>
      <c r="J69" s="77"/>
      <c r="K69" s="77"/>
      <c r="L69" s="77"/>
      <c r="M69" s="78"/>
      <c r="N69" s="177"/>
      <c r="O69" s="177"/>
      <c r="P69" s="177"/>
    </row>
    <row r="70" spans="1:16" s="120" customFormat="1" ht="10.5" hidden="1" customHeight="1">
      <c r="A70" s="74"/>
      <c r="B70" s="76"/>
      <c r="C70" s="76"/>
      <c r="D70" s="76"/>
      <c r="E70" s="76"/>
      <c r="F70" s="76"/>
      <c r="G70" s="76"/>
      <c r="H70" s="76"/>
      <c r="I70" s="76"/>
      <c r="J70" s="77"/>
      <c r="K70" s="77"/>
      <c r="L70" s="77"/>
      <c r="M70" s="78"/>
      <c r="N70" s="177"/>
      <c r="O70" s="177"/>
      <c r="P70" s="177"/>
    </row>
    <row r="71" spans="1:16" s="120" customFormat="1" ht="10.5" hidden="1" customHeight="1">
      <c r="A71" s="74"/>
      <c r="B71" s="268"/>
      <c r="C71" s="268"/>
      <c r="D71" s="268"/>
      <c r="E71" s="268"/>
      <c r="F71" s="268"/>
      <c r="G71" s="268"/>
      <c r="H71" s="268"/>
      <c r="I71" s="268"/>
      <c r="J71" s="269"/>
      <c r="K71" s="269"/>
      <c r="L71" s="269"/>
      <c r="M71" s="270"/>
      <c r="N71" s="177"/>
      <c r="O71" s="177"/>
      <c r="P71" s="177"/>
    </row>
    <row r="72" spans="1:16" s="120" customFormat="1" ht="14.25" hidden="1">
      <c r="A72" s="74" t="s">
        <v>21</v>
      </c>
      <c r="B72" s="268">
        <v>148547.6</v>
      </c>
      <c r="C72" s="268">
        <v>5118.1000000000004</v>
      </c>
      <c r="D72" s="268">
        <v>44.7</v>
      </c>
      <c r="E72" s="268">
        <v>69771.8</v>
      </c>
      <c r="F72" s="268">
        <v>331803.5</v>
      </c>
      <c r="G72" s="268">
        <v>101694.1</v>
      </c>
      <c r="H72" s="268">
        <v>575.4</v>
      </c>
      <c r="I72" s="268">
        <v>12447.7</v>
      </c>
      <c r="J72" s="269">
        <v>0.83150000000000002</v>
      </c>
      <c r="K72" s="269">
        <v>1.2967</v>
      </c>
      <c r="L72" s="269">
        <v>1.6576</v>
      </c>
      <c r="M72" s="270">
        <v>3.5200000000000002E-2</v>
      </c>
      <c r="N72" s="177"/>
      <c r="O72" s="177"/>
      <c r="P72" s="177"/>
    </row>
    <row r="73" spans="1:16" s="120" customFormat="1" ht="14.25" hidden="1">
      <c r="A73" s="74" t="s">
        <v>22</v>
      </c>
      <c r="B73" s="268">
        <v>128611.7</v>
      </c>
      <c r="C73" s="268">
        <v>10007.6</v>
      </c>
      <c r="D73" s="268">
        <v>66.400000000000006</v>
      </c>
      <c r="E73" s="268">
        <v>85675.5</v>
      </c>
      <c r="F73" s="268">
        <v>393745.2</v>
      </c>
      <c r="G73" s="268">
        <v>51055.3</v>
      </c>
      <c r="H73" s="268">
        <v>617.6</v>
      </c>
      <c r="I73" s="268">
        <v>15538.98</v>
      </c>
      <c r="J73" s="269">
        <v>0.82789999999999997</v>
      </c>
      <c r="K73" s="269">
        <v>1.2845</v>
      </c>
      <c r="L73" s="269">
        <v>1.6312</v>
      </c>
      <c r="M73" s="270">
        <v>3.4700000000000002E-2</v>
      </c>
      <c r="N73" s="177"/>
      <c r="O73" s="177"/>
      <c r="P73" s="177"/>
    </row>
    <row r="74" spans="1:16" s="120" customFormat="1" ht="14.25" hidden="1">
      <c r="A74" s="74" t="s">
        <v>23</v>
      </c>
      <c r="B74" s="268">
        <v>133764.20000000001</v>
      </c>
      <c r="C74" s="268">
        <v>4777.6000000000004</v>
      </c>
      <c r="D74" s="268">
        <v>78.900000000000006</v>
      </c>
      <c r="E74" s="268">
        <v>112736.2</v>
      </c>
      <c r="F74" s="268">
        <v>338647.8</v>
      </c>
      <c r="G74" s="268">
        <v>47116.9</v>
      </c>
      <c r="H74" s="268">
        <v>494.9</v>
      </c>
      <c r="I74" s="268">
        <v>10026.6</v>
      </c>
      <c r="J74" s="269">
        <v>0.81850000000000001</v>
      </c>
      <c r="K74" s="269">
        <v>1.2710999999999999</v>
      </c>
      <c r="L74" s="269">
        <v>1.6187</v>
      </c>
      <c r="M74" s="270">
        <v>3.44E-2</v>
      </c>
      <c r="N74" s="177"/>
      <c r="O74" s="177"/>
      <c r="P74" s="177"/>
    </row>
    <row r="75" spans="1:16" s="120" customFormat="1" ht="14.25" hidden="1">
      <c r="A75" s="74" t="s">
        <v>24</v>
      </c>
      <c r="B75" s="268">
        <v>133779.4</v>
      </c>
      <c r="C75" s="268">
        <v>2812.377</v>
      </c>
      <c r="D75" s="268">
        <v>87.366</v>
      </c>
      <c r="E75" s="268">
        <v>135343.84400000001</v>
      </c>
      <c r="F75" s="268">
        <v>362114.45600000001</v>
      </c>
      <c r="G75" s="268">
        <v>83859.09</v>
      </c>
      <c r="H75" s="268">
        <v>594.22699999999998</v>
      </c>
      <c r="I75" s="268">
        <v>9169.2810000000009</v>
      </c>
      <c r="J75" s="269">
        <v>0.80930000000000002</v>
      </c>
      <c r="K75" s="269">
        <v>1.2737000000000001</v>
      </c>
      <c r="L75" s="269">
        <v>1.6187</v>
      </c>
      <c r="M75" s="270">
        <v>3.44E-2</v>
      </c>
      <c r="N75" s="177"/>
      <c r="O75" s="177"/>
      <c r="P75" s="177"/>
    </row>
    <row r="76" spans="1:16" s="120" customFormat="1" ht="12.75" hidden="1" customHeight="1">
      <c r="A76" s="74" t="s">
        <v>25</v>
      </c>
      <c r="B76" s="268">
        <v>121449</v>
      </c>
      <c r="C76" s="268">
        <v>3345</v>
      </c>
      <c r="D76" s="268">
        <v>139.69999999999999</v>
      </c>
      <c r="E76" s="268">
        <v>188384</v>
      </c>
      <c r="F76" s="268">
        <v>317341.76899999997</v>
      </c>
      <c r="G76" s="268">
        <v>96501.4</v>
      </c>
      <c r="H76" s="268">
        <v>787.52</v>
      </c>
      <c r="I76" s="268">
        <v>13843.8</v>
      </c>
      <c r="J76" s="269">
        <v>0.81330000000000002</v>
      </c>
      <c r="K76" s="269">
        <v>1.2211000000000001</v>
      </c>
      <c r="L76" s="269">
        <v>1.5548999999999999</v>
      </c>
      <c r="M76" s="270">
        <v>3.3500000000000002E-2</v>
      </c>
      <c r="N76" s="177"/>
      <c r="O76" s="177"/>
      <c r="P76" s="177"/>
    </row>
    <row r="77" spans="1:16" s="120" customFormat="1" ht="12.75" hidden="1" customHeight="1">
      <c r="A77" s="74" t="s">
        <v>26</v>
      </c>
      <c r="B77" s="268">
        <v>99534.39</v>
      </c>
      <c r="C77" s="268">
        <v>14500.356</v>
      </c>
      <c r="D77" s="268">
        <v>78.897000000000006</v>
      </c>
      <c r="E77" s="268">
        <v>147863.04000000001</v>
      </c>
      <c r="F77" s="268">
        <v>542622.40300000005</v>
      </c>
      <c r="G77" s="268">
        <v>43888.544000000002</v>
      </c>
      <c r="H77" s="268">
        <v>840.03499999999997</v>
      </c>
      <c r="I77" s="268">
        <v>12113.353999999999</v>
      </c>
      <c r="J77" s="269">
        <v>0.81440000000000001</v>
      </c>
      <c r="K77" s="269">
        <v>1.1627000000000001</v>
      </c>
      <c r="L77" s="269">
        <v>1.4691000000000001</v>
      </c>
      <c r="M77" s="270">
        <v>3.1899999999999998E-2</v>
      </c>
      <c r="N77" s="177"/>
      <c r="O77" s="177"/>
      <c r="P77" s="177"/>
    </row>
    <row r="78" spans="1:16" s="120" customFormat="1" ht="12.75" hidden="1" customHeight="1">
      <c r="A78" s="764" t="s">
        <v>27</v>
      </c>
      <c r="B78" s="765">
        <v>129474.78</v>
      </c>
      <c r="C78" s="765">
        <v>5582.66</v>
      </c>
      <c r="D78" s="765">
        <v>123.569</v>
      </c>
      <c r="E78" s="765">
        <v>158265.28</v>
      </c>
      <c r="F78" s="765">
        <v>651990.73</v>
      </c>
      <c r="G78" s="765">
        <v>71236.463000000003</v>
      </c>
      <c r="H78" s="765">
        <v>1009.753</v>
      </c>
      <c r="I78" s="765">
        <v>22000.208999999999</v>
      </c>
      <c r="J78" s="766">
        <v>0.81169999999999998</v>
      </c>
      <c r="K78" s="766">
        <v>1.0841000000000001</v>
      </c>
      <c r="L78" s="766">
        <v>1.3745000000000001</v>
      </c>
      <c r="M78" s="766">
        <v>3.0200000000000001E-2</v>
      </c>
      <c r="N78" s="177"/>
      <c r="O78" s="177"/>
      <c r="P78" s="177"/>
    </row>
    <row r="79" spans="1:16" s="120" customFormat="1" ht="12.75" hidden="1" customHeight="1">
      <c r="A79" s="764" t="s">
        <v>28</v>
      </c>
      <c r="B79" s="765">
        <v>99693.4</v>
      </c>
      <c r="C79" s="765">
        <v>3182.951</v>
      </c>
      <c r="D79" s="765">
        <v>72.599999999999994</v>
      </c>
      <c r="E79" s="765">
        <v>59215.444000000003</v>
      </c>
      <c r="F79" s="765">
        <v>507441.36700000003</v>
      </c>
      <c r="G79" s="765">
        <v>38072.523000000001</v>
      </c>
      <c r="H79" s="765">
        <v>1098.2180000000001</v>
      </c>
      <c r="I79" s="765">
        <v>12393.928</v>
      </c>
      <c r="J79" s="766">
        <v>0.8105</v>
      </c>
      <c r="K79" s="766">
        <v>1.0286</v>
      </c>
      <c r="L79" s="766">
        <v>1.258</v>
      </c>
      <c r="M79" s="766">
        <v>2.9100000000000001E-2</v>
      </c>
      <c r="N79" s="177"/>
      <c r="O79" s="177"/>
      <c r="P79" s="177"/>
    </row>
    <row r="80" spans="1:16" s="120" customFormat="1" ht="12.75" hidden="1" customHeight="1">
      <c r="A80" s="764" t="s">
        <v>29</v>
      </c>
      <c r="B80" s="765">
        <v>94179.8</v>
      </c>
      <c r="C80" s="765">
        <v>3980.3</v>
      </c>
      <c r="D80" s="765">
        <v>76.8</v>
      </c>
      <c r="E80" s="765">
        <v>61995.3</v>
      </c>
      <c r="F80" s="765">
        <v>676003.57</v>
      </c>
      <c r="G80" s="765">
        <v>89472.7</v>
      </c>
      <c r="H80" s="765">
        <v>1089.17</v>
      </c>
      <c r="I80" s="765">
        <v>7066.92</v>
      </c>
      <c r="J80" s="766">
        <v>0.80679999999999996</v>
      </c>
      <c r="K80" s="766">
        <v>1.1040000000000001</v>
      </c>
      <c r="L80" s="766">
        <v>1.2115</v>
      </c>
      <c r="M80" s="766">
        <v>2.8000000000000001E-2</v>
      </c>
      <c r="N80" s="177"/>
      <c r="O80" s="177"/>
      <c r="P80" s="177"/>
    </row>
    <row r="81" spans="1:16" s="120" customFormat="1" ht="12.75" customHeight="1">
      <c r="A81" s="764" t="s">
        <v>43</v>
      </c>
      <c r="B81" s="765">
        <f t="shared" ref="B81:I81" si="10">B82+B83+B84+B85+B86+B87+B88+B89+B90+B91+B92+B93</f>
        <v>1418760.0009999999</v>
      </c>
      <c r="C81" s="765">
        <f t="shared" ref="C81:D81" si="11">C82+C83+C84+C85+C86+C87+C88+C89+C90+C91+C92+C93</f>
        <v>63662.319000000003</v>
      </c>
      <c r="D81" s="765">
        <f t="shared" si="11"/>
        <v>1584.3679999999999</v>
      </c>
      <c r="E81" s="765">
        <f t="shared" si="10"/>
        <v>1078013.5</v>
      </c>
      <c r="F81" s="765">
        <f t="shared" si="10"/>
        <v>5807164.1509999996</v>
      </c>
      <c r="G81" s="765">
        <f t="shared" ref="G81" si="12">G82+G83+G84+G85+G86+G87+G88+G89+G90+G91+G92+G93</f>
        <v>737470.09399999992</v>
      </c>
      <c r="H81" s="765">
        <f t="shared" si="10"/>
        <v>15185.648999999998</v>
      </c>
      <c r="I81" s="765">
        <f t="shared" si="10"/>
        <v>197965.24299999999</v>
      </c>
      <c r="J81" s="766">
        <v>0.80549999999999999</v>
      </c>
      <c r="K81" s="766">
        <v>1.121</v>
      </c>
      <c r="L81" s="766">
        <v>1.2474000000000001</v>
      </c>
      <c r="M81" s="766">
        <v>2.5700000000000001E-2</v>
      </c>
      <c r="N81" s="177"/>
      <c r="O81" s="177"/>
      <c r="P81" s="177"/>
    </row>
    <row r="82" spans="1:16" ht="12.75" hidden="1" customHeight="1">
      <c r="A82" s="764" t="s">
        <v>18</v>
      </c>
      <c r="B82" s="767">
        <v>127613.2</v>
      </c>
      <c r="C82" s="767">
        <v>6642.7</v>
      </c>
      <c r="D82" s="767">
        <v>311.06</v>
      </c>
      <c r="E82" s="767">
        <v>60494.355000000003</v>
      </c>
      <c r="F82" s="767">
        <v>497242.59600000002</v>
      </c>
      <c r="G82" s="767">
        <v>90252.994000000006</v>
      </c>
      <c r="H82" s="767">
        <v>1862.597</v>
      </c>
      <c r="I82" s="767">
        <v>19994.536</v>
      </c>
      <c r="J82" s="768">
        <v>0.80549999999999999</v>
      </c>
      <c r="K82" s="768">
        <v>1.0593999999999999</v>
      </c>
      <c r="L82" s="768">
        <v>1.1737</v>
      </c>
      <c r="M82" s="768">
        <v>2.5600000000000001E-2</v>
      </c>
      <c r="N82" s="178"/>
      <c r="O82" s="178"/>
      <c r="P82" s="178"/>
    </row>
    <row r="83" spans="1:16" ht="12.75" hidden="1" customHeight="1">
      <c r="A83" s="764" t="s">
        <v>19</v>
      </c>
      <c r="B83" s="767">
        <v>89245.513999999996</v>
      </c>
      <c r="C83" s="767">
        <v>4415.7070000000003</v>
      </c>
      <c r="D83" s="767">
        <v>77.177999999999997</v>
      </c>
      <c r="E83" s="767">
        <v>33870.766000000003</v>
      </c>
      <c r="F83" s="767">
        <v>805322.74800000002</v>
      </c>
      <c r="G83" s="767">
        <v>85507.425000000003</v>
      </c>
      <c r="H83" s="767">
        <v>1439.5609999999999</v>
      </c>
      <c r="I83" s="767">
        <v>12538.040999999999</v>
      </c>
      <c r="J83" s="768">
        <v>0.80910000000000004</v>
      </c>
      <c r="K83" s="768">
        <v>1.0331999999999999</v>
      </c>
      <c r="L83" s="768">
        <v>1.1709000000000001</v>
      </c>
      <c r="M83" s="768">
        <v>2.23E-2</v>
      </c>
      <c r="N83" s="178"/>
      <c r="O83" s="178"/>
      <c r="P83" s="178"/>
    </row>
    <row r="84" spans="1:16" ht="12.75" hidden="1" customHeight="1">
      <c r="A84" s="764" t="s">
        <v>20</v>
      </c>
      <c r="B84" s="767">
        <v>67302.2</v>
      </c>
      <c r="C84" s="767">
        <v>3184.6120000000001</v>
      </c>
      <c r="D84" s="767">
        <v>54.683</v>
      </c>
      <c r="E84" s="767">
        <v>53268.557999999997</v>
      </c>
      <c r="F84" s="767">
        <v>963833.95400000003</v>
      </c>
      <c r="G84" s="767">
        <v>62010.495000000003</v>
      </c>
      <c r="H84" s="767">
        <v>2021.748</v>
      </c>
      <c r="I84" s="767">
        <v>8456.2440000000006</v>
      </c>
      <c r="J84" s="768">
        <v>0.8075</v>
      </c>
      <c r="K84" s="768">
        <v>1.0303</v>
      </c>
      <c r="L84" s="768">
        <v>1.1388</v>
      </c>
      <c r="M84" s="768">
        <v>2.29E-2</v>
      </c>
      <c r="N84" s="178"/>
      <c r="O84" s="178"/>
      <c r="P84" s="178"/>
    </row>
    <row r="85" spans="1:16" hidden="1">
      <c r="A85" s="764" t="s">
        <v>21</v>
      </c>
      <c r="B85" s="767">
        <v>104601.81</v>
      </c>
      <c r="C85" s="767">
        <v>3872.5039999999999</v>
      </c>
      <c r="D85" s="767">
        <v>41.692999999999998</v>
      </c>
      <c r="E85" s="767">
        <v>50387.968000000001</v>
      </c>
      <c r="F85" s="767">
        <v>342633.908</v>
      </c>
      <c r="G85" s="767">
        <v>35341.786999999997</v>
      </c>
      <c r="H85" s="767">
        <v>1447.91</v>
      </c>
      <c r="I85" s="767">
        <v>7598.1729999999998</v>
      </c>
      <c r="J85" s="768">
        <v>0.80449999999999999</v>
      </c>
      <c r="K85" s="768">
        <v>1.0587</v>
      </c>
      <c r="L85" s="768">
        <v>1.1899</v>
      </c>
      <c r="M85" s="768">
        <v>2.3800000000000002E-2</v>
      </c>
      <c r="N85" s="171"/>
      <c r="O85" s="171"/>
    </row>
    <row r="86" spans="1:16" ht="12.75" hidden="1" customHeight="1">
      <c r="A86" s="764" t="s">
        <v>22</v>
      </c>
      <c r="B86" s="767">
        <v>89778.13</v>
      </c>
      <c r="C86" s="767">
        <v>7380.616</v>
      </c>
      <c r="D86" s="767">
        <v>276.33</v>
      </c>
      <c r="E86" s="767">
        <v>66654.218999999997</v>
      </c>
      <c r="F86" s="767">
        <v>351219.16600000003</v>
      </c>
      <c r="G86" s="767">
        <v>16883.54</v>
      </c>
      <c r="H86" s="767">
        <v>818.12699999999995</v>
      </c>
      <c r="I86" s="767">
        <v>18898.669999999998</v>
      </c>
      <c r="J86" s="768">
        <v>0.80459999999999998</v>
      </c>
      <c r="K86" s="768">
        <v>1.0927</v>
      </c>
      <c r="L86" s="768">
        <v>1.2485999999999999</v>
      </c>
      <c r="M86" s="768">
        <v>2.4899999999999999E-2</v>
      </c>
      <c r="N86" s="178"/>
      <c r="O86" s="178"/>
      <c r="P86" s="178"/>
    </row>
    <row r="87" spans="1:16" hidden="1">
      <c r="A87" s="764" t="s">
        <v>23</v>
      </c>
      <c r="B87" s="767">
        <v>125890.3</v>
      </c>
      <c r="C87" s="767">
        <v>4438.5950000000003</v>
      </c>
      <c r="D87" s="767">
        <v>196.3</v>
      </c>
      <c r="E87" s="767">
        <v>95925.4</v>
      </c>
      <c r="F87" s="767">
        <v>347832.87</v>
      </c>
      <c r="G87" s="767">
        <v>26721.576000000001</v>
      </c>
      <c r="H87" s="767">
        <v>805.81700000000001</v>
      </c>
      <c r="I87" s="767">
        <v>12861.246999999999</v>
      </c>
      <c r="J87" s="768">
        <v>0.80459999999999998</v>
      </c>
      <c r="K87" s="768">
        <v>1.1271</v>
      </c>
      <c r="L87" s="768">
        <v>1.32</v>
      </c>
      <c r="M87" s="768">
        <v>2.5700000000000001E-2</v>
      </c>
      <c r="N87" s="171"/>
      <c r="O87" s="171"/>
    </row>
    <row r="88" spans="1:16" hidden="1">
      <c r="A88" s="764" t="s">
        <v>24</v>
      </c>
      <c r="B88" s="767">
        <v>153666.67800000001</v>
      </c>
      <c r="C88" s="767">
        <v>7071.8149999999996</v>
      </c>
      <c r="D88" s="767">
        <v>92.5</v>
      </c>
      <c r="E88" s="767">
        <v>103872.001</v>
      </c>
      <c r="F88" s="767">
        <v>399246.61200000002</v>
      </c>
      <c r="G88" s="767">
        <v>32988.644999999997</v>
      </c>
      <c r="H88" s="767">
        <v>855.3</v>
      </c>
      <c r="I88" s="767">
        <v>27334.931</v>
      </c>
      <c r="J88" s="768">
        <v>0.80459999999999998</v>
      </c>
      <c r="K88" s="768">
        <v>1.1334</v>
      </c>
      <c r="L88" s="768">
        <v>1.3150999999999999</v>
      </c>
      <c r="M88" s="768">
        <v>2.53E-2</v>
      </c>
      <c r="N88" s="171"/>
      <c r="O88" s="171"/>
    </row>
    <row r="89" spans="1:16" ht="11.25" hidden="1" customHeight="1">
      <c r="A89" s="764" t="s">
        <v>25</v>
      </c>
      <c r="B89" s="767">
        <v>129606.1</v>
      </c>
      <c r="C89" s="767">
        <v>9482.2999999999993</v>
      </c>
      <c r="D89" s="767">
        <v>95.4</v>
      </c>
      <c r="E89" s="767">
        <v>124049.18</v>
      </c>
      <c r="F89" s="767">
        <v>400098.04200000002</v>
      </c>
      <c r="G89" s="767">
        <v>61858.14</v>
      </c>
      <c r="H89" s="767">
        <v>904.375</v>
      </c>
      <c r="I89" s="767">
        <v>14389.619000000001</v>
      </c>
      <c r="J89" s="768">
        <v>0.8044</v>
      </c>
      <c r="K89" s="768">
        <v>1.1455</v>
      </c>
      <c r="L89" s="768">
        <v>1.3315999999999999</v>
      </c>
      <c r="M89" s="768">
        <v>2.52E-2</v>
      </c>
      <c r="N89" s="171"/>
      <c r="O89" s="171"/>
    </row>
    <row r="90" spans="1:16" ht="13.5" hidden="1" customHeight="1">
      <c r="A90" s="764" t="s">
        <v>26</v>
      </c>
      <c r="B90" s="767">
        <v>138024.03</v>
      </c>
      <c r="C90" s="767">
        <v>7647.7780000000002</v>
      </c>
      <c r="D90" s="767">
        <v>201.39400000000001</v>
      </c>
      <c r="E90" s="767">
        <v>128940.895</v>
      </c>
      <c r="F90" s="767">
        <v>368227.48499999999</v>
      </c>
      <c r="G90" s="767">
        <v>62951.86</v>
      </c>
      <c r="H90" s="767">
        <v>1629.4259999999999</v>
      </c>
      <c r="I90" s="767">
        <v>25265.383000000002</v>
      </c>
      <c r="J90" s="768">
        <v>0.80430000000000001</v>
      </c>
      <c r="K90" s="768">
        <v>1.1692</v>
      </c>
      <c r="L90" s="768">
        <v>1.3147</v>
      </c>
      <c r="M90" s="768">
        <v>2.5899999999999999E-2</v>
      </c>
      <c r="N90" s="171"/>
      <c r="O90" s="171"/>
    </row>
    <row r="91" spans="1:16" ht="12" hidden="1" customHeight="1">
      <c r="A91" s="764" t="s">
        <v>27</v>
      </c>
      <c r="B91" s="767">
        <v>116729.776</v>
      </c>
      <c r="C91" s="767">
        <v>2985.4369999999999</v>
      </c>
      <c r="D91" s="767">
        <v>127.51</v>
      </c>
      <c r="E91" s="767">
        <v>101737.54300000001</v>
      </c>
      <c r="F91" s="767">
        <v>384185.47499999998</v>
      </c>
      <c r="G91" s="767">
        <v>93434.091</v>
      </c>
      <c r="H91" s="767">
        <v>1195.933</v>
      </c>
      <c r="I91" s="767">
        <v>20610.071</v>
      </c>
      <c r="J91" s="768">
        <v>0.80410000000000004</v>
      </c>
      <c r="K91" s="768">
        <v>1.1897</v>
      </c>
      <c r="L91" s="768">
        <v>1.3037000000000001</v>
      </c>
      <c r="M91" s="768">
        <v>2.7099999999999999E-2</v>
      </c>
      <c r="N91" s="171"/>
      <c r="O91" s="171"/>
    </row>
    <row r="92" spans="1:16" ht="12" hidden="1" customHeight="1">
      <c r="A92" s="764" t="s">
        <v>28</v>
      </c>
      <c r="B92" s="767">
        <v>109206.54</v>
      </c>
      <c r="C92" s="767">
        <v>2056.6030000000001</v>
      </c>
      <c r="D92" s="767">
        <v>45.061999999999998</v>
      </c>
      <c r="E92" s="767">
        <v>116572.2</v>
      </c>
      <c r="F92" s="767">
        <v>405544.68300000002</v>
      </c>
      <c r="G92" s="767">
        <v>54104.040999999997</v>
      </c>
      <c r="H92" s="767">
        <v>658.23</v>
      </c>
      <c r="I92" s="767">
        <v>9988.2579999999998</v>
      </c>
      <c r="J92" s="768">
        <v>0.80389999999999995</v>
      </c>
      <c r="K92" s="768">
        <v>1.1948000000000001</v>
      </c>
      <c r="L92" s="768">
        <v>1.3434999999999999</v>
      </c>
      <c r="M92" s="768">
        <v>2.76E-2</v>
      </c>
      <c r="N92" s="171"/>
      <c r="O92" s="171"/>
    </row>
    <row r="93" spans="1:16" ht="15" hidden="1" customHeight="1">
      <c r="A93" s="764" t="s">
        <v>29</v>
      </c>
      <c r="B93" s="767">
        <v>167095.723</v>
      </c>
      <c r="C93" s="767">
        <v>4483.652</v>
      </c>
      <c r="D93" s="767">
        <v>65.257999999999996</v>
      </c>
      <c r="E93" s="767">
        <v>142240.41500000001</v>
      </c>
      <c r="F93" s="767">
        <v>541776.61199999996</v>
      </c>
      <c r="G93" s="767">
        <v>115415.5</v>
      </c>
      <c r="H93" s="767">
        <v>1546.625</v>
      </c>
      <c r="I93" s="767">
        <v>20030.07</v>
      </c>
      <c r="J93" s="768">
        <v>0.80400000000000005</v>
      </c>
      <c r="K93" s="768">
        <v>1.1736</v>
      </c>
      <c r="L93" s="768">
        <v>1.3087</v>
      </c>
      <c r="M93" s="768">
        <v>2.6599999999999999E-2</v>
      </c>
      <c r="N93" s="171"/>
      <c r="O93" s="171"/>
    </row>
    <row r="94" spans="1:16" s="120" customFormat="1" ht="13.5" customHeight="1">
      <c r="A94" s="764" t="s">
        <v>48</v>
      </c>
      <c r="B94" s="765">
        <f t="shared" ref="B94:I94" si="13">SUM(B95:B106)</f>
        <v>1241631.5319999997</v>
      </c>
      <c r="C94" s="765">
        <f t="shared" ref="C94:D94" si="14">SUM(C95:C106)</f>
        <v>105070.36199999999</v>
      </c>
      <c r="D94" s="765">
        <f t="shared" si="14"/>
        <v>1921.5920000000001</v>
      </c>
      <c r="E94" s="765">
        <f t="shared" si="13"/>
        <v>2109420.1829999997</v>
      </c>
      <c r="F94" s="765">
        <f t="shared" si="13"/>
        <v>5201586.341</v>
      </c>
      <c r="G94" s="765">
        <f t="shared" ref="G94" si="15">SUM(G95:G106)</f>
        <v>1017936.0349999999</v>
      </c>
      <c r="H94" s="765">
        <f t="shared" si="13"/>
        <v>18321.652000000002</v>
      </c>
      <c r="I94" s="765">
        <f t="shared" si="13"/>
        <v>517596.31599999999</v>
      </c>
      <c r="J94" s="766">
        <v>0.8034</v>
      </c>
      <c r="K94" s="766">
        <v>1.0676000000000001</v>
      </c>
      <c r="L94" s="766">
        <v>1.2455000000000001</v>
      </c>
      <c r="M94" s="766">
        <v>2.6200000000000001E-2</v>
      </c>
      <c r="N94" s="170"/>
      <c r="O94" s="170"/>
    </row>
    <row r="95" spans="1:16" ht="12.75" hidden="1" customHeight="1">
      <c r="A95" s="764" t="s">
        <v>18</v>
      </c>
      <c r="B95" s="767">
        <v>77426.370999999999</v>
      </c>
      <c r="C95" s="767">
        <v>3719.2829999999999</v>
      </c>
      <c r="D95" s="767">
        <v>62.127000000000002</v>
      </c>
      <c r="E95" s="767">
        <v>91648.387000000002</v>
      </c>
      <c r="F95" s="767">
        <v>359476.80200000003</v>
      </c>
      <c r="G95" s="767">
        <v>101446.54700000001</v>
      </c>
      <c r="H95" s="767">
        <v>829.33600000000001</v>
      </c>
      <c r="I95" s="767">
        <v>15197.787</v>
      </c>
      <c r="J95" s="768">
        <v>0.80449999999999999</v>
      </c>
      <c r="K95" s="768">
        <v>1.1448</v>
      </c>
      <c r="L95" s="768">
        <v>1.304</v>
      </c>
      <c r="M95" s="768">
        <v>2.6700000000000002E-2</v>
      </c>
      <c r="N95" s="171"/>
      <c r="O95" s="171"/>
    </row>
    <row r="96" spans="1:16" ht="12.75" hidden="1" customHeight="1">
      <c r="A96" s="764" t="s">
        <v>19</v>
      </c>
      <c r="B96" s="767">
        <v>75556.016000000003</v>
      </c>
      <c r="C96" s="767">
        <v>4323.2510000000002</v>
      </c>
      <c r="D96" s="767">
        <v>61.027999999999999</v>
      </c>
      <c r="E96" s="767">
        <v>76400.320000000007</v>
      </c>
      <c r="F96" s="767">
        <v>397641.61499999999</v>
      </c>
      <c r="G96" s="767">
        <v>67210.979000000007</v>
      </c>
      <c r="H96" s="767">
        <v>2011.867</v>
      </c>
      <c r="I96" s="767">
        <v>99625.23</v>
      </c>
      <c r="J96" s="768">
        <v>0.80449999999999999</v>
      </c>
      <c r="K96" s="768">
        <v>1.0973999999999999</v>
      </c>
      <c r="L96" s="768">
        <v>1.2656000000000001</v>
      </c>
      <c r="M96" s="768">
        <v>2.6499999999999999E-2</v>
      </c>
      <c r="N96" s="171"/>
      <c r="O96" s="171"/>
    </row>
    <row r="97" spans="1:15" ht="12.75" hidden="1" customHeight="1">
      <c r="A97" s="764" t="s">
        <v>20</v>
      </c>
      <c r="B97" s="767">
        <v>99003.093999999997</v>
      </c>
      <c r="C97" s="767">
        <v>3604.174</v>
      </c>
      <c r="D97" s="767">
        <v>106.89100000000001</v>
      </c>
      <c r="E97" s="767">
        <v>115358.989</v>
      </c>
      <c r="F97" s="767">
        <v>390132.01500000001</v>
      </c>
      <c r="G97" s="767">
        <v>82315.119000000006</v>
      </c>
      <c r="H97" s="767">
        <v>1727.749</v>
      </c>
      <c r="I97" s="767">
        <v>24437.504000000001</v>
      </c>
      <c r="J97" s="768">
        <v>0.80430000000000001</v>
      </c>
      <c r="K97" s="768">
        <v>1.0931999999999999</v>
      </c>
      <c r="L97" s="768">
        <v>1.216</v>
      </c>
      <c r="M97" s="768">
        <v>2.7099999999999999E-2</v>
      </c>
      <c r="N97" s="171"/>
      <c r="O97" s="171"/>
    </row>
    <row r="98" spans="1:15" ht="12.75" hidden="1" customHeight="1">
      <c r="A98" s="764" t="s">
        <v>21</v>
      </c>
      <c r="B98" s="767">
        <v>91281.262000000002</v>
      </c>
      <c r="C98" s="767">
        <v>4569.3379999999997</v>
      </c>
      <c r="D98" s="767">
        <v>90.417000000000002</v>
      </c>
      <c r="E98" s="767">
        <v>124566.735</v>
      </c>
      <c r="F98" s="767">
        <v>426253.25</v>
      </c>
      <c r="G98" s="767">
        <v>93613.751000000004</v>
      </c>
      <c r="H98" s="767">
        <v>1569.9770000000001</v>
      </c>
      <c r="I98" s="767">
        <v>182130.79699999999</v>
      </c>
      <c r="J98" s="768">
        <v>0.8044</v>
      </c>
      <c r="K98" s="768">
        <v>1.0790999999999999</v>
      </c>
      <c r="L98" s="768">
        <v>1.2343999999999999</v>
      </c>
      <c r="M98" s="768">
        <v>2.75E-2</v>
      </c>
      <c r="N98" s="178"/>
      <c r="O98" s="178"/>
    </row>
    <row r="99" spans="1:15" ht="12.75" hidden="1" customHeight="1">
      <c r="A99" s="764" t="s">
        <v>22</v>
      </c>
      <c r="B99" s="767">
        <v>88176.316000000006</v>
      </c>
      <c r="C99" s="767">
        <v>13312.352000000001</v>
      </c>
      <c r="D99" s="767">
        <v>257.06599999999997</v>
      </c>
      <c r="E99" s="767">
        <v>146380.83300000001</v>
      </c>
      <c r="F99" s="767">
        <v>434590.25</v>
      </c>
      <c r="G99" s="767">
        <v>69953.478000000003</v>
      </c>
      <c r="H99" s="767">
        <v>1410.204</v>
      </c>
      <c r="I99" s="767">
        <v>15094.53</v>
      </c>
      <c r="J99" s="768">
        <v>0.8044</v>
      </c>
      <c r="K99" s="768">
        <v>1.0117</v>
      </c>
      <c r="L99" s="768">
        <v>1.1760999999999999</v>
      </c>
      <c r="M99" s="768">
        <v>2.6200000000000001E-2</v>
      </c>
      <c r="N99" s="171"/>
      <c r="O99" s="171"/>
    </row>
    <row r="100" spans="1:15" hidden="1">
      <c r="A100" s="764" t="s">
        <v>23</v>
      </c>
      <c r="B100" s="767">
        <v>144593.58499999999</v>
      </c>
      <c r="C100" s="767">
        <v>10995.01</v>
      </c>
      <c r="D100" s="767">
        <v>267.90800000000002</v>
      </c>
      <c r="E100" s="767">
        <v>161146.663</v>
      </c>
      <c r="F100" s="767">
        <v>406866.23700000002</v>
      </c>
      <c r="G100" s="769">
        <v>62255.271999999997</v>
      </c>
      <c r="H100" s="767">
        <v>926.11699999999996</v>
      </c>
      <c r="I100" s="769">
        <v>23772.27</v>
      </c>
      <c r="J100" s="770">
        <v>0.80430000000000001</v>
      </c>
      <c r="K100" s="770">
        <v>0.98209999999999997</v>
      </c>
      <c r="L100" s="770">
        <v>1.1907000000000001</v>
      </c>
      <c r="M100" s="770">
        <v>2.5600000000000001E-2</v>
      </c>
    </row>
    <row r="101" spans="1:15" ht="12.75" hidden="1" customHeight="1">
      <c r="A101" s="764" t="s">
        <v>24</v>
      </c>
      <c r="B101" s="767">
        <v>115104.59</v>
      </c>
      <c r="C101" s="767">
        <v>8155.8890000000001</v>
      </c>
      <c r="D101" s="767">
        <v>160.465</v>
      </c>
      <c r="E101" s="767">
        <v>180300.98800000001</v>
      </c>
      <c r="F101" s="767">
        <v>435664.891</v>
      </c>
      <c r="G101" s="767">
        <v>74029.982000000004</v>
      </c>
      <c r="H101" s="767">
        <v>1295.519</v>
      </c>
      <c r="I101" s="767">
        <v>27969.449000000001</v>
      </c>
      <c r="J101" s="768">
        <v>0.80420000000000003</v>
      </c>
      <c r="K101" s="768">
        <v>1.0230999999999999</v>
      </c>
      <c r="L101" s="768">
        <v>1.2334000000000001</v>
      </c>
      <c r="M101" s="768">
        <v>2.5999999999999999E-2</v>
      </c>
    </row>
    <row r="102" spans="1:15" ht="12.75" hidden="1" customHeight="1">
      <c r="A102" s="764" t="s">
        <v>25</v>
      </c>
      <c r="B102" s="767">
        <v>98571.346999999994</v>
      </c>
      <c r="C102" s="767">
        <v>6999.2839999999997</v>
      </c>
      <c r="D102" s="767">
        <v>117.05200000000001</v>
      </c>
      <c r="E102" s="767">
        <v>187933.35200000001</v>
      </c>
      <c r="F102" s="767">
        <v>366248.24300000002</v>
      </c>
      <c r="G102" s="767">
        <v>84301.71</v>
      </c>
      <c r="H102" s="767">
        <v>3114.7</v>
      </c>
      <c r="I102" s="767">
        <v>22731.232</v>
      </c>
      <c r="J102" s="768">
        <v>0.80420000000000003</v>
      </c>
      <c r="K102" s="768">
        <v>1.0369999999999999</v>
      </c>
      <c r="L102" s="768">
        <v>1.2616000000000001</v>
      </c>
      <c r="M102" s="768">
        <v>2.6200000000000001E-2</v>
      </c>
      <c r="N102" s="171"/>
    </row>
    <row r="103" spans="1:15" hidden="1">
      <c r="A103" s="764" t="s">
        <v>26</v>
      </c>
      <c r="B103" s="767">
        <v>107756.766</v>
      </c>
      <c r="C103" s="767">
        <v>6877.8389999999999</v>
      </c>
      <c r="D103" s="767">
        <v>123.053</v>
      </c>
      <c r="E103" s="767">
        <v>241194.72399999999</v>
      </c>
      <c r="F103" s="767">
        <v>423028.20500000002</v>
      </c>
      <c r="G103" s="767">
        <v>72178.25</v>
      </c>
      <c r="H103" s="767">
        <v>1763.8420000000001</v>
      </c>
      <c r="I103" s="767">
        <v>30545.037</v>
      </c>
      <c r="J103" s="768">
        <v>0.80400000000000005</v>
      </c>
      <c r="K103" s="768">
        <v>1.0452999999999999</v>
      </c>
      <c r="L103" s="768">
        <v>1.2569999999999999</v>
      </c>
      <c r="M103" s="768">
        <v>2.58E-2</v>
      </c>
    </row>
    <row r="104" spans="1:15" ht="12.75" hidden="1" customHeight="1">
      <c r="A104" s="764" t="s">
        <v>27</v>
      </c>
      <c r="B104" s="767">
        <v>99728.346999999994</v>
      </c>
      <c r="C104" s="767">
        <v>13908.259</v>
      </c>
      <c r="D104" s="767">
        <v>151.364</v>
      </c>
      <c r="E104" s="767">
        <v>224867.20000000001</v>
      </c>
      <c r="F104" s="767">
        <v>453385.39399999997</v>
      </c>
      <c r="G104" s="767">
        <v>102043.88800000001</v>
      </c>
      <c r="H104" s="767">
        <v>1240.463</v>
      </c>
      <c r="I104" s="767">
        <v>19539.486000000001</v>
      </c>
      <c r="J104" s="768">
        <v>0.80259999999999998</v>
      </c>
      <c r="K104" s="768">
        <v>1.1100000000000001</v>
      </c>
      <c r="L104" s="768">
        <v>1.2803</v>
      </c>
      <c r="M104" s="768">
        <v>2.6100000000000002E-2</v>
      </c>
    </row>
    <row r="105" spans="1:15" hidden="1">
      <c r="A105" s="764" t="s">
        <v>28</v>
      </c>
      <c r="B105" s="767">
        <v>119419.003</v>
      </c>
      <c r="C105" s="767">
        <v>14378.62</v>
      </c>
      <c r="D105" s="767">
        <v>222.76400000000001</v>
      </c>
      <c r="E105" s="767">
        <v>257273.60500000001</v>
      </c>
      <c r="F105" s="767">
        <v>475721.62400000001</v>
      </c>
      <c r="G105" s="767">
        <v>82694.2</v>
      </c>
      <c r="H105" s="767">
        <v>1156.7180000000001</v>
      </c>
      <c r="I105" s="767">
        <v>32290.899000000001</v>
      </c>
      <c r="J105" s="768">
        <v>0.80110000000000003</v>
      </c>
      <c r="K105" s="768">
        <v>1.0908</v>
      </c>
      <c r="L105" s="768">
        <v>1.2818000000000001</v>
      </c>
      <c r="M105" s="768">
        <v>2.5499999999999998E-2</v>
      </c>
    </row>
    <row r="106" spans="1:15" ht="12.75" hidden="1" customHeight="1">
      <c r="A106" s="764" t="s">
        <v>29</v>
      </c>
      <c r="B106" s="767">
        <v>125014.83500000001</v>
      </c>
      <c r="C106" s="767">
        <v>14227.063</v>
      </c>
      <c r="D106" s="767">
        <v>301.45699999999999</v>
      </c>
      <c r="E106" s="767">
        <v>302348.38699999999</v>
      </c>
      <c r="F106" s="767">
        <v>632577.81499999994</v>
      </c>
      <c r="G106" s="767">
        <v>125892.859</v>
      </c>
      <c r="H106" s="767">
        <v>1275.1600000000001</v>
      </c>
      <c r="I106" s="767">
        <v>24262.095000000001</v>
      </c>
      <c r="J106" s="768">
        <v>0.8</v>
      </c>
      <c r="K106" s="768">
        <v>1.0559000000000001</v>
      </c>
      <c r="L106" s="768">
        <v>1.2490000000000001</v>
      </c>
      <c r="M106" s="768">
        <v>2.5700000000000001E-2</v>
      </c>
    </row>
    <row r="107" spans="1:15" s="120" customFormat="1" ht="12.75" customHeight="1">
      <c r="A107" s="764" t="s">
        <v>1030</v>
      </c>
      <c r="B107" s="765">
        <v>1945544.7090000003</v>
      </c>
      <c r="C107" s="765">
        <v>238170.62299999996</v>
      </c>
      <c r="D107" s="765">
        <v>2787.7400000000002</v>
      </c>
      <c r="E107" s="765">
        <v>5184421.6159999995</v>
      </c>
      <c r="F107" s="765">
        <v>6441962.9060000004</v>
      </c>
      <c r="G107" s="765">
        <v>1361852.9269999999</v>
      </c>
      <c r="H107" s="765">
        <v>23984.766999999996</v>
      </c>
      <c r="I107" s="765">
        <v>392508.76299999998</v>
      </c>
      <c r="J107" s="766">
        <v>0.78990000000000005</v>
      </c>
      <c r="K107" s="766">
        <v>1.0938000000000001</v>
      </c>
      <c r="L107" s="766">
        <v>1.2679</v>
      </c>
      <c r="M107" s="766">
        <v>2.6800000000000001E-2</v>
      </c>
    </row>
    <row r="108" spans="1:15" hidden="1">
      <c r="A108" s="764" t="s">
        <v>18</v>
      </c>
      <c r="B108" s="767">
        <v>102105.66899999999</v>
      </c>
      <c r="C108" s="767">
        <v>14213.53</v>
      </c>
      <c r="D108" s="767">
        <v>89.983999999999995</v>
      </c>
      <c r="E108" s="767">
        <v>241208.18</v>
      </c>
      <c r="F108" s="767">
        <v>419804.50400000002</v>
      </c>
      <c r="G108" s="767">
        <v>74566.534</v>
      </c>
      <c r="H108" s="767">
        <v>1386.6679999999999</v>
      </c>
      <c r="I108" s="767">
        <v>17052.978999999999</v>
      </c>
      <c r="J108" s="768">
        <v>0.79859999999999998</v>
      </c>
      <c r="K108" s="768">
        <v>1.0570999999999999</v>
      </c>
      <c r="L108" s="768">
        <v>1.2639</v>
      </c>
      <c r="M108" s="768">
        <v>2.6100000000000002E-2</v>
      </c>
    </row>
    <row r="109" spans="1:15" ht="12.75" hidden="1" customHeight="1">
      <c r="A109" s="764" t="s">
        <v>19</v>
      </c>
      <c r="B109" s="767">
        <v>104361.966</v>
      </c>
      <c r="C109" s="767">
        <v>13739.593999999999</v>
      </c>
      <c r="D109" s="767">
        <v>141.119</v>
      </c>
      <c r="E109" s="767">
        <v>173760.56299999999</v>
      </c>
      <c r="F109" s="767">
        <v>457206.04</v>
      </c>
      <c r="G109" s="767">
        <v>64136.527999999998</v>
      </c>
      <c r="H109" s="767">
        <v>1539.3610000000001</v>
      </c>
      <c r="I109" s="767">
        <v>29913.798999999999</v>
      </c>
      <c r="J109" s="768">
        <v>0.79630000000000001</v>
      </c>
      <c r="K109" s="768">
        <v>1.0857000000000001</v>
      </c>
      <c r="L109" s="768">
        <v>1.2896000000000001</v>
      </c>
      <c r="M109" s="768">
        <v>2.6800000000000001E-2</v>
      </c>
    </row>
    <row r="110" spans="1:15" ht="12.75" hidden="1" customHeight="1">
      <c r="A110" s="764" t="s">
        <v>20</v>
      </c>
      <c r="B110" s="767">
        <v>119967.808</v>
      </c>
      <c r="C110" s="767">
        <v>10416.371999999999</v>
      </c>
      <c r="D110" s="767">
        <v>290.12799999999999</v>
      </c>
      <c r="E110" s="767">
        <v>229525.18900000001</v>
      </c>
      <c r="F110" s="767">
        <v>526040.696</v>
      </c>
      <c r="G110" s="771">
        <v>75044.502999999997</v>
      </c>
      <c r="H110" s="767">
        <v>1615.5609999999999</v>
      </c>
      <c r="I110" s="771">
        <v>25673.571</v>
      </c>
      <c r="J110" s="772">
        <v>0.79769999999999996</v>
      </c>
      <c r="K110" s="772">
        <v>1.1073</v>
      </c>
      <c r="L110" s="772">
        <v>1.2908999999999999</v>
      </c>
      <c r="M110" s="772">
        <v>2.76E-2</v>
      </c>
    </row>
    <row r="111" spans="1:15" ht="12.75" hidden="1" customHeight="1">
      <c r="A111" s="764" t="s">
        <v>21</v>
      </c>
      <c r="B111" s="767">
        <v>120598.04</v>
      </c>
      <c r="C111" s="767">
        <v>17601.834999999999</v>
      </c>
      <c r="D111" s="767">
        <v>360.85199999999998</v>
      </c>
      <c r="E111" s="767">
        <v>316054.02600000001</v>
      </c>
      <c r="F111" s="767">
        <v>425727.57500000001</v>
      </c>
      <c r="G111" s="767">
        <v>103693.11</v>
      </c>
      <c r="H111" s="767">
        <v>934.75300000000004</v>
      </c>
      <c r="I111" s="767">
        <v>30545.616000000002</v>
      </c>
      <c r="J111" s="768">
        <v>0.79279999999999995</v>
      </c>
      <c r="K111" s="768">
        <v>1.1408</v>
      </c>
      <c r="L111" s="768">
        <v>1.2996000000000001</v>
      </c>
      <c r="M111" s="768">
        <v>2.8000000000000001E-2</v>
      </c>
    </row>
    <row r="112" spans="1:15" ht="12.75" hidden="1" customHeight="1">
      <c r="A112" s="764" t="s">
        <v>22</v>
      </c>
      <c r="B112" s="767">
        <v>155228.37100000001</v>
      </c>
      <c r="C112" s="767">
        <v>18775.87</v>
      </c>
      <c r="D112" s="767">
        <v>159.87200000000001</v>
      </c>
      <c r="E112" s="767">
        <v>314987.408</v>
      </c>
      <c r="F112" s="767">
        <v>441117.43599999999</v>
      </c>
      <c r="G112" s="767">
        <v>99765.827000000005</v>
      </c>
      <c r="H112" s="767">
        <v>1067.088</v>
      </c>
      <c r="I112" s="767">
        <v>27836.190999999999</v>
      </c>
      <c r="J112" s="768">
        <v>0.79120000000000001</v>
      </c>
      <c r="K112" s="768">
        <v>1.1369</v>
      </c>
      <c r="L112" s="768">
        <v>1.2979000000000001</v>
      </c>
      <c r="M112" s="768">
        <v>2.8000000000000001E-2</v>
      </c>
    </row>
    <row r="113" spans="1:13" ht="12.75" hidden="1" customHeight="1">
      <c r="A113" s="764" t="s">
        <v>23</v>
      </c>
      <c r="B113" s="767">
        <v>174809.37400000001</v>
      </c>
      <c r="C113" s="767">
        <v>18366.603999999999</v>
      </c>
      <c r="D113" s="767">
        <v>104.58799999999999</v>
      </c>
      <c r="E113" s="767">
        <v>453633.92</v>
      </c>
      <c r="F113" s="767">
        <v>321162.185</v>
      </c>
      <c r="G113" s="767">
        <v>101415.985</v>
      </c>
      <c r="H113" s="767">
        <v>2120.5650000000001</v>
      </c>
      <c r="I113" s="767">
        <v>24714.348999999998</v>
      </c>
      <c r="J113" s="768">
        <v>0.78820000000000001</v>
      </c>
      <c r="K113" s="768">
        <v>1.1318999999999999</v>
      </c>
      <c r="L113" s="768">
        <v>1.2943</v>
      </c>
      <c r="M113" s="768">
        <v>2.7799999999999998E-2</v>
      </c>
    </row>
    <row r="114" spans="1:13" ht="12.75" hidden="1" customHeight="1">
      <c r="A114" s="764" t="s">
        <v>24</v>
      </c>
      <c r="B114" s="767">
        <v>176602.405</v>
      </c>
      <c r="C114" s="767">
        <v>24064.444</v>
      </c>
      <c r="D114" s="767">
        <v>110.44199999999999</v>
      </c>
      <c r="E114" s="767">
        <v>522556.935</v>
      </c>
      <c r="F114" s="767">
        <v>432046.348</v>
      </c>
      <c r="G114" s="767">
        <v>140954.94</v>
      </c>
      <c r="H114" s="767">
        <v>2754.6529999999998</v>
      </c>
      <c r="I114" s="767">
        <v>39824.404000000002</v>
      </c>
      <c r="J114" s="768">
        <v>0.78710000000000002</v>
      </c>
      <c r="K114" s="768">
        <v>1.1227</v>
      </c>
      <c r="L114" s="768">
        <v>1.278</v>
      </c>
      <c r="M114" s="768">
        <v>2.7900000000000001E-2</v>
      </c>
    </row>
    <row r="115" spans="1:13" ht="12.75" hidden="1" customHeight="1">
      <c r="A115" s="764" t="s">
        <v>25</v>
      </c>
      <c r="B115" s="767">
        <v>186949.98199999999</v>
      </c>
      <c r="C115" s="767">
        <v>23056.333999999999</v>
      </c>
      <c r="D115" s="767">
        <v>295.16399999999999</v>
      </c>
      <c r="E115" s="767">
        <v>556885.94299999997</v>
      </c>
      <c r="F115" s="767">
        <v>484931.98300000001</v>
      </c>
      <c r="G115" s="767">
        <v>96046.164000000004</v>
      </c>
      <c r="H115" s="767">
        <v>1775.5050000000001</v>
      </c>
      <c r="I115" s="767">
        <v>45618.358999999997</v>
      </c>
      <c r="J115" s="768">
        <v>0.78669999999999995</v>
      </c>
      <c r="K115" s="768">
        <v>1.1237999999999999</v>
      </c>
      <c r="L115" s="768">
        <v>1.2939000000000001</v>
      </c>
      <c r="M115" s="768">
        <v>2.7099999999999999E-2</v>
      </c>
    </row>
    <row r="116" spans="1:13" ht="12.75" hidden="1" customHeight="1">
      <c r="A116" s="764" t="s">
        <v>26</v>
      </c>
      <c r="B116" s="767">
        <v>211066.53599999999</v>
      </c>
      <c r="C116" s="767">
        <v>15479.164000000001</v>
      </c>
      <c r="D116" s="767">
        <v>427.95299999999997</v>
      </c>
      <c r="E116" s="767">
        <v>703701.245</v>
      </c>
      <c r="F116" s="767">
        <v>624028.995</v>
      </c>
      <c r="G116" s="767">
        <v>167597.087</v>
      </c>
      <c r="H116" s="767">
        <v>3195.2939999999999</v>
      </c>
      <c r="I116" s="767">
        <v>33920.669000000002</v>
      </c>
      <c r="J116" s="768">
        <v>0.78690000000000004</v>
      </c>
      <c r="K116" s="768">
        <v>1.0815999999999999</v>
      </c>
      <c r="L116" s="768">
        <v>1.2537</v>
      </c>
      <c r="M116" s="768">
        <v>2.5399999999999999E-2</v>
      </c>
    </row>
    <row r="117" spans="1:13" ht="12.75" hidden="1" customHeight="1">
      <c r="A117" s="764" t="s">
        <v>27</v>
      </c>
      <c r="B117" s="767">
        <v>179368.802</v>
      </c>
      <c r="C117" s="767">
        <v>22496.028999999999</v>
      </c>
      <c r="D117" s="767">
        <v>142.84700000000001</v>
      </c>
      <c r="E117" s="767">
        <v>636698.73699999996</v>
      </c>
      <c r="F117" s="767">
        <v>723172.57900000003</v>
      </c>
      <c r="G117" s="767">
        <v>149176.42600000001</v>
      </c>
      <c r="H117" s="767">
        <v>2664.7060000000001</v>
      </c>
      <c r="I117" s="767">
        <v>54416.038</v>
      </c>
      <c r="J117" s="768">
        <v>0.78720000000000001</v>
      </c>
      <c r="K117" s="768">
        <v>1.0786</v>
      </c>
      <c r="L117" s="768">
        <v>1.2399</v>
      </c>
      <c r="M117" s="768">
        <v>2.81E-2</v>
      </c>
    </row>
    <row r="118" spans="1:13" ht="12.75" hidden="1" customHeight="1">
      <c r="A118" s="764" t="s">
        <v>28</v>
      </c>
      <c r="B118" s="767">
        <v>142439.95000000001</v>
      </c>
      <c r="C118" s="767">
        <v>18304.253000000001</v>
      </c>
      <c r="D118" s="767">
        <v>241.34399999999999</v>
      </c>
      <c r="E118" s="767">
        <v>482529.54</v>
      </c>
      <c r="F118" s="767">
        <v>702252.83600000001</v>
      </c>
      <c r="G118" s="767">
        <v>125263.439</v>
      </c>
      <c r="H118" s="767">
        <v>2083.5030000000002</v>
      </c>
      <c r="I118" s="767">
        <v>29960.663</v>
      </c>
      <c r="J118" s="768">
        <v>0.78720000000000001</v>
      </c>
      <c r="K118" s="768">
        <v>1.0649</v>
      </c>
      <c r="L118" s="768">
        <v>1.2497</v>
      </c>
      <c r="M118" s="768">
        <v>2.5100000000000001E-2</v>
      </c>
    </row>
    <row r="119" spans="1:13" ht="12.75" hidden="1" customHeight="1">
      <c r="A119" s="764" t="s">
        <v>29</v>
      </c>
      <c r="B119" s="767">
        <v>272045.80599999998</v>
      </c>
      <c r="C119" s="767">
        <v>41656.593999999997</v>
      </c>
      <c r="D119" s="767">
        <v>423.447</v>
      </c>
      <c r="E119" s="767">
        <v>552879.93000000005</v>
      </c>
      <c r="F119" s="767">
        <v>884471.72900000005</v>
      </c>
      <c r="G119" s="767">
        <v>164192.38399999999</v>
      </c>
      <c r="H119" s="767">
        <v>2847.11</v>
      </c>
      <c r="I119" s="767">
        <v>33032.125</v>
      </c>
      <c r="J119" s="768">
        <v>0.78690000000000004</v>
      </c>
      <c r="K119" s="768">
        <v>1.0357000000000001</v>
      </c>
      <c r="L119" s="768">
        <v>1.2305999999999999</v>
      </c>
      <c r="M119" s="768">
        <v>2.47E-2</v>
      </c>
    </row>
    <row r="120" spans="1:13" s="120" customFormat="1" ht="12.75" customHeight="1">
      <c r="A120" s="764" t="s">
        <v>1301</v>
      </c>
      <c r="B120" s="765">
        <v>2596120.3679999998</v>
      </c>
      <c r="C120" s="765">
        <v>406868.22400000005</v>
      </c>
      <c r="D120" s="765">
        <v>3475.4500000000003</v>
      </c>
      <c r="E120" s="765">
        <v>9467063.0490000024</v>
      </c>
      <c r="F120" s="765">
        <v>9169283.307</v>
      </c>
      <c r="G120" s="765">
        <v>2433322.5110000004</v>
      </c>
      <c r="H120" s="765">
        <v>27890.050000000003</v>
      </c>
      <c r="I120" s="765">
        <v>444433.15500000003</v>
      </c>
      <c r="J120" s="766">
        <v>0.78600000000000003</v>
      </c>
      <c r="K120" s="766">
        <v>1.01</v>
      </c>
      <c r="L120" s="766">
        <v>1.2448999999999999</v>
      </c>
      <c r="M120" s="766">
        <v>2.4899999999999999E-2</v>
      </c>
    </row>
    <row r="121" spans="1:13" ht="13.5" hidden="1" customHeight="1">
      <c r="A121" s="764" t="s">
        <v>18</v>
      </c>
      <c r="B121" s="767">
        <v>188875.149</v>
      </c>
      <c r="C121" s="767">
        <v>9932.3989999999994</v>
      </c>
      <c r="D121" s="767">
        <v>120.51</v>
      </c>
      <c r="E121" s="767">
        <v>454940.08899999998</v>
      </c>
      <c r="F121" s="767">
        <v>697651.94799999997</v>
      </c>
      <c r="G121" s="767">
        <v>120687.685</v>
      </c>
      <c r="H121" s="767">
        <v>2445.569</v>
      </c>
      <c r="I121" s="767">
        <v>57771.040999999997</v>
      </c>
      <c r="J121" s="768">
        <v>0.78649999999999998</v>
      </c>
      <c r="K121" s="768">
        <v>1.0145999999999999</v>
      </c>
      <c r="L121" s="768">
        <v>1.2249000000000001</v>
      </c>
      <c r="M121" s="768">
        <v>2.4799999999999999E-2</v>
      </c>
    </row>
    <row r="122" spans="1:13" ht="13.5" hidden="1" customHeight="1">
      <c r="A122" s="764" t="s">
        <v>19</v>
      </c>
      <c r="B122" s="767">
        <v>150125.43799999999</v>
      </c>
      <c r="C122" s="767">
        <v>9469.9060000000009</v>
      </c>
      <c r="D122" s="767">
        <v>99.608999999999995</v>
      </c>
      <c r="E122" s="767">
        <v>366928.54700000002</v>
      </c>
      <c r="F122" s="767">
        <v>585760.84499999997</v>
      </c>
      <c r="G122" s="767">
        <v>98782.164000000004</v>
      </c>
      <c r="H122" s="767">
        <v>1635.848</v>
      </c>
      <c r="I122" s="767">
        <v>27187.47</v>
      </c>
      <c r="J122" s="768">
        <v>0.78639999999999999</v>
      </c>
      <c r="K122" s="768">
        <v>1.0370999999999999</v>
      </c>
      <c r="L122" s="768">
        <v>1.2503</v>
      </c>
      <c r="M122" s="768">
        <v>2.6100000000000002E-2</v>
      </c>
    </row>
    <row r="123" spans="1:13" ht="13.5" hidden="1" customHeight="1">
      <c r="A123" s="764" t="s">
        <v>20</v>
      </c>
      <c r="B123" s="767">
        <v>171240.826</v>
      </c>
      <c r="C123" s="767">
        <v>18623.062999999998</v>
      </c>
      <c r="D123" s="767">
        <v>218.58500000000001</v>
      </c>
      <c r="E123" s="767">
        <v>596729.56599999999</v>
      </c>
      <c r="F123" s="767">
        <v>648097.14399999997</v>
      </c>
      <c r="G123" s="767">
        <v>126926.586</v>
      </c>
      <c r="H123" s="767">
        <v>1389.0429999999999</v>
      </c>
      <c r="I123" s="767">
        <v>22559.976999999999</v>
      </c>
      <c r="J123" s="768">
        <v>0.78649999999999998</v>
      </c>
      <c r="K123" s="768">
        <v>1.0388999999999999</v>
      </c>
      <c r="L123" s="768">
        <v>1.2507999999999999</v>
      </c>
      <c r="M123" s="768">
        <v>2.6499999999999999E-2</v>
      </c>
    </row>
    <row r="124" spans="1:13" ht="13.5" hidden="1" customHeight="1">
      <c r="A124" s="764" t="s">
        <v>21</v>
      </c>
      <c r="B124" s="767">
        <v>275401.56699999998</v>
      </c>
      <c r="C124" s="767">
        <v>10931.317999999999</v>
      </c>
      <c r="D124" s="767">
        <v>445.12599999999998</v>
      </c>
      <c r="E124" s="767">
        <v>631144.38199999998</v>
      </c>
      <c r="F124" s="767">
        <v>812713.15300000005</v>
      </c>
      <c r="G124" s="767">
        <v>210462.747</v>
      </c>
      <c r="H124" s="767">
        <v>1242.808</v>
      </c>
      <c r="I124" s="767">
        <v>25089.445</v>
      </c>
      <c r="J124" s="768">
        <v>0.7863</v>
      </c>
      <c r="K124" s="768">
        <v>1.0370999999999999</v>
      </c>
      <c r="L124" s="768">
        <v>1.2675000000000001</v>
      </c>
      <c r="M124" s="768">
        <v>2.64E-2</v>
      </c>
    </row>
    <row r="125" spans="1:13" ht="13.5" hidden="1" customHeight="1">
      <c r="A125" s="764" t="s">
        <v>22</v>
      </c>
      <c r="B125" s="767">
        <v>347696.91800000001</v>
      </c>
      <c r="C125" s="767">
        <v>18204.582999999999</v>
      </c>
      <c r="D125" s="767">
        <v>168.67099999999999</v>
      </c>
      <c r="E125" s="767">
        <v>675118.56099999999</v>
      </c>
      <c r="F125" s="767">
        <v>842957.81900000002</v>
      </c>
      <c r="G125" s="767">
        <v>169382.215</v>
      </c>
      <c r="H125" s="767">
        <v>1968.91</v>
      </c>
      <c r="I125" s="767">
        <v>30323.19</v>
      </c>
      <c r="J125" s="768">
        <v>0.78620000000000001</v>
      </c>
      <c r="K125" s="768">
        <v>1.0034000000000001</v>
      </c>
      <c r="L125" s="768">
        <v>1.2581</v>
      </c>
      <c r="M125" s="768">
        <v>2.52E-2</v>
      </c>
    </row>
    <row r="126" spans="1:13" ht="13.5" hidden="1" customHeight="1">
      <c r="A126" s="764" t="s">
        <v>23</v>
      </c>
      <c r="B126" s="767">
        <v>309461.5</v>
      </c>
      <c r="C126" s="767">
        <v>12291.9</v>
      </c>
      <c r="D126" s="767">
        <v>140</v>
      </c>
      <c r="E126" s="767">
        <v>964333.73</v>
      </c>
      <c r="F126" s="767">
        <v>765656.4</v>
      </c>
      <c r="G126" s="767">
        <v>170412.7</v>
      </c>
      <c r="H126" s="767">
        <v>2265.1999999999998</v>
      </c>
      <c r="I126" s="767">
        <v>40203.339999999997</v>
      </c>
      <c r="J126" s="768">
        <v>0.78610000000000002</v>
      </c>
      <c r="K126" s="768">
        <v>0.98570000000000002</v>
      </c>
      <c r="L126" s="768">
        <v>1.2287999999999999</v>
      </c>
      <c r="M126" s="768">
        <v>2.3599999999999999E-2</v>
      </c>
    </row>
    <row r="127" spans="1:13" ht="13.5" hidden="1" customHeight="1">
      <c r="A127" s="764" t="s">
        <v>24</v>
      </c>
      <c r="B127" s="767">
        <v>153447.61300000001</v>
      </c>
      <c r="C127" s="767">
        <v>8108.7889999999998</v>
      </c>
      <c r="D127" s="767">
        <v>220.642</v>
      </c>
      <c r="E127" s="767">
        <v>944177.29700000002</v>
      </c>
      <c r="F127" s="767">
        <v>760358.10699999996</v>
      </c>
      <c r="G127" s="767">
        <v>169015.84299999999</v>
      </c>
      <c r="H127" s="767">
        <v>2835.3389999999999</v>
      </c>
      <c r="I127" s="767">
        <v>34301.241000000002</v>
      </c>
      <c r="J127" s="768">
        <v>0.78610000000000002</v>
      </c>
      <c r="K127" s="768">
        <v>0.97040000000000004</v>
      </c>
      <c r="L127" s="768">
        <v>1.2254</v>
      </c>
      <c r="M127" s="768">
        <v>2.3900000000000001E-2</v>
      </c>
    </row>
    <row r="128" spans="1:13" ht="13.5" hidden="1" customHeight="1">
      <c r="A128" s="764" t="s">
        <v>25</v>
      </c>
      <c r="B128" s="767">
        <v>215959.745</v>
      </c>
      <c r="C128" s="767">
        <v>8848.2860000000001</v>
      </c>
      <c r="D128" s="767">
        <v>203.512</v>
      </c>
      <c r="E128" s="767">
        <v>1018703.581</v>
      </c>
      <c r="F128" s="767">
        <v>818420.39099999995</v>
      </c>
      <c r="G128" s="767">
        <v>145540.77600000001</v>
      </c>
      <c r="H128" s="767">
        <v>2690.2040000000002</v>
      </c>
      <c r="I128" s="767">
        <v>40730.294999999998</v>
      </c>
      <c r="J128" s="768">
        <v>0.78590000000000004</v>
      </c>
      <c r="K128" s="768">
        <v>0.97470000000000001</v>
      </c>
      <c r="L128" s="768">
        <v>1.2331000000000001</v>
      </c>
      <c r="M128" s="768">
        <v>2.4400000000000002E-2</v>
      </c>
    </row>
    <row r="129" spans="1:13" ht="13.5" hidden="1" customHeight="1">
      <c r="A129" s="764" t="s">
        <v>26</v>
      </c>
      <c r="B129" s="767">
        <v>221369.36799999999</v>
      </c>
      <c r="C129" s="767">
        <v>154569.48800000001</v>
      </c>
      <c r="D129" s="767">
        <v>193.57300000000001</v>
      </c>
      <c r="E129" s="767">
        <v>928460.745</v>
      </c>
      <c r="F129" s="767">
        <v>726864.353</v>
      </c>
      <c r="G129" s="767">
        <v>380900.91100000002</v>
      </c>
      <c r="H129" s="767">
        <v>3056.4119999999998</v>
      </c>
      <c r="I129" s="767">
        <v>25320.044999999998</v>
      </c>
      <c r="J129" s="768">
        <v>0.78569999999999995</v>
      </c>
      <c r="K129" s="768">
        <v>1.016</v>
      </c>
      <c r="L129" s="768">
        <v>1.2601</v>
      </c>
      <c r="M129" s="768">
        <v>2.47E-2</v>
      </c>
    </row>
    <row r="130" spans="1:13" ht="13.5" hidden="1" customHeight="1">
      <c r="A130" s="764" t="s">
        <v>27</v>
      </c>
      <c r="B130" s="767">
        <v>185606.728</v>
      </c>
      <c r="C130" s="767">
        <v>8159.9579999999996</v>
      </c>
      <c r="D130" s="767">
        <v>280.18799999999999</v>
      </c>
      <c r="E130" s="767">
        <v>968597.87199999997</v>
      </c>
      <c r="F130" s="767">
        <v>835113.58299999998</v>
      </c>
      <c r="G130" s="767">
        <v>245161.00399999999</v>
      </c>
      <c r="H130" s="767">
        <v>2984.3649999999998</v>
      </c>
      <c r="I130" s="767">
        <v>35844.612999999998</v>
      </c>
      <c r="J130" s="768">
        <v>0.7853</v>
      </c>
      <c r="K130" s="768">
        <v>1.0183</v>
      </c>
      <c r="L130" s="768">
        <v>1.2565999999999999</v>
      </c>
      <c r="M130" s="768">
        <v>2.5000000000000001E-2</v>
      </c>
    </row>
    <row r="131" spans="1:13" ht="13.5" hidden="1" customHeight="1">
      <c r="A131" s="764" t="s">
        <v>28</v>
      </c>
      <c r="B131" s="767">
        <v>193798.889</v>
      </c>
      <c r="C131" s="767">
        <v>13056.227999999999</v>
      </c>
      <c r="D131" s="767">
        <v>703.80799999999999</v>
      </c>
      <c r="E131" s="767">
        <v>966367.25600000005</v>
      </c>
      <c r="F131" s="767">
        <v>827654.54299999995</v>
      </c>
      <c r="G131" s="767">
        <v>261540.43900000001</v>
      </c>
      <c r="H131" s="767">
        <v>2338.9760000000001</v>
      </c>
      <c r="I131" s="767">
        <v>47542.836000000003</v>
      </c>
      <c r="J131" s="768">
        <v>0.78510000000000002</v>
      </c>
      <c r="K131" s="768">
        <v>1.0068999999999999</v>
      </c>
      <c r="L131" s="768">
        <v>1.2482</v>
      </c>
      <c r="M131" s="768">
        <v>2.4799999999999999E-2</v>
      </c>
    </row>
    <row r="132" spans="1:13" ht="13.5" hidden="1" customHeight="1">
      <c r="A132" s="764" t="s">
        <v>29</v>
      </c>
      <c r="B132" s="767">
        <v>183136.62700000001</v>
      </c>
      <c r="C132" s="767">
        <v>134672.30600000001</v>
      </c>
      <c r="D132" s="767">
        <v>681.226</v>
      </c>
      <c r="E132" s="767">
        <v>951561.42299999995</v>
      </c>
      <c r="F132" s="767">
        <v>848035.02099999995</v>
      </c>
      <c r="G132" s="767">
        <v>334509.44099999999</v>
      </c>
      <c r="H132" s="767">
        <v>3037.3760000000002</v>
      </c>
      <c r="I132" s="767">
        <v>57559.661999999997</v>
      </c>
      <c r="J132" s="768">
        <v>0.78490000000000004</v>
      </c>
      <c r="K132" s="768">
        <v>1.0322</v>
      </c>
      <c r="L132" s="768">
        <v>1.2635000000000001</v>
      </c>
      <c r="M132" s="768">
        <v>2.53E-2</v>
      </c>
    </row>
    <row r="133" spans="1:13" s="120" customFormat="1" ht="12.75" customHeight="1">
      <c r="A133" s="764" t="s">
        <v>1423</v>
      </c>
      <c r="B133" s="765">
        <v>3006761.0300000003</v>
      </c>
      <c r="C133" s="765">
        <v>507209.4800000001</v>
      </c>
      <c r="D133" s="765">
        <v>8380.06</v>
      </c>
      <c r="E133" s="765">
        <v>16275711.970000001</v>
      </c>
      <c r="F133" s="765">
        <v>9308270.8499999996</v>
      </c>
      <c r="G133" s="765">
        <v>2757325.97</v>
      </c>
      <c r="H133" s="765">
        <v>70686.720000000001</v>
      </c>
      <c r="I133" s="765">
        <v>997427.58000000007</v>
      </c>
      <c r="J133" s="766">
        <v>0.78449999999999998</v>
      </c>
      <c r="K133" s="766">
        <v>1.0417000000000001</v>
      </c>
      <c r="L133" s="766">
        <v>1.2395</v>
      </c>
      <c r="M133" s="766">
        <v>2.4299999999999999E-2</v>
      </c>
    </row>
    <row r="134" spans="1:13" ht="13.5" hidden="1" customHeight="1">
      <c r="A134" s="764" t="s">
        <v>18</v>
      </c>
      <c r="B134" s="767">
        <v>154059.85999999999</v>
      </c>
      <c r="C134" s="767">
        <v>50317.46</v>
      </c>
      <c r="D134" s="767">
        <v>116.96</v>
      </c>
      <c r="E134" s="767">
        <v>670159.82999999996</v>
      </c>
      <c r="F134" s="767">
        <v>780573.94</v>
      </c>
      <c r="G134" s="767">
        <v>208689.61</v>
      </c>
      <c r="H134" s="767">
        <v>2666.06</v>
      </c>
      <c r="I134" s="767">
        <v>48787.77</v>
      </c>
      <c r="J134" s="768">
        <v>0.7853</v>
      </c>
      <c r="K134" s="768">
        <v>1.0484</v>
      </c>
      <c r="L134" s="768">
        <v>1.2562</v>
      </c>
      <c r="M134" s="768">
        <v>2.5600000000000001E-2</v>
      </c>
    </row>
    <row r="135" spans="1:13" hidden="1">
      <c r="A135" s="764" t="s">
        <v>19</v>
      </c>
      <c r="B135" s="767">
        <v>231813.22</v>
      </c>
      <c r="C135" s="767">
        <v>85883.87</v>
      </c>
      <c r="D135" s="767">
        <v>777.13</v>
      </c>
      <c r="E135" s="767">
        <v>688716.98</v>
      </c>
      <c r="F135" s="767">
        <v>809729.15</v>
      </c>
      <c r="G135" s="767">
        <v>384772.63</v>
      </c>
      <c r="H135" s="767">
        <v>4970.5200000000004</v>
      </c>
      <c r="I135" s="767">
        <v>80156.350000000006</v>
      </c>
      <c r="J135" s="768">
        <v>0.7843</v>
      </c>
      <c r="K135" s="768">
        <v>1.0506</v>
      </c>
      <c r="L135" s="768">
        <v>1.2136</v>
      </c>
      <c r="M135" s="768">
        <v>2.58E-2</v>
      </c>
    </row>
    <row r="136" spans="1:13" hidden="1">
      <c r="A136" s="764" t="s">
        <v>20</v>
      </c>
      <c r="B136" s="767">
        <v>182265.58</v>
      </c>
      <c r="C136" s="767">
        <v>42705.31</v>
      </c>
      <c r="D136" s="767">
        <v>1311.51</v>
      </c>
      <c r="E136" s="767">
        <v>895901.88</v>
      </c>
      <c r="F136" s="767">
        <v>809962.51</v>
      </c>
      <c r="G136" s="767">
        <v>252156.08</v>
      </c>
      <c r="H136" s="767">
        <v>5300.11</v>
      </c>
      <c r="I136" s="767">
        <v>165650.03</v>
      </c>
      <c r="J136" s="768">
        <v>0.78480000000000005</v>
      </c>
      <c r="K136" s="768">
        <v>1.0179</v>
      </c>
      <c r="L136" s="768">
        <v>1.1823999999999999</v>
      </c>
      <c r="M136" s="768">
        <v>2.53E-2</v>
      </c>
    </row>
    <row r="137" spans="1:13" hidden="1">
      <c r="A137" s="764" t="s">
        <v>21</v>
      </c>
      <c r="B137" s="767">
        <v>239389.6</v>
      </c>
      <c r="C137" s="767">
        <v>84467.73</v>
      </c>
      <c r="D137" s="767">
        <v>538.35</v>
      </c>
      <c r="E137" s="767">
        <v>1482153.12</v>
      </c>
      <c r="F137" s="767">
        <v>832420.01</v>
      </c>
      <c r="G137" s="767">
        <v>308468.34999999998</v>
      </c>
      <c r="H137" s="767">
        <v>3038.75</v>
      </c>
      <c r="I137" s="767">
        <v>71897.929999999993</v>
      </c>
      <c r="J137" s="768">
        <v>0.78510000000000002</v>
      </c>
      <c r="K137" s="768">
        <v>1.0235000000000001</v>
      </c>
      <c r="L137" s="768">
        <v>1.2038</v>
      </c>
      <c r="M137" s="768">
        <v>2.4799999999999999E-2</v>
      </c>
    </row>
    <row r="138" spans="1:13" hidden="1">
      <c r="A138" s="764" t="s">
        <v>22</v>
      </c>
      <c r="B138" s="767">
        <v>280436.71000000002</v>
      </c>
      <c r="C138" s="767">
        <v>25867.69</v>
      </c>
      <c r="D138" s="767">
        <v>554.34</v>
      </c>
      <c r="E138" s="767">
        <v>1738237.02</v>
      </c>
      <c r="F138" s="767">
        <v>707833.4</v>
      </c>
      <c r="G138" s="767">
        <v>271679.32</v>
      </c>
      <c r="H138" s="767">
        <v>5859.07</v>
      </c>
      <c r="I138" s="767">
        <v>254480.7</v>
      </c>
      <c r="J138" s="768">
        <v>0.78480000000000005</v>
      </c>
      <c r="K138" s="768">
        <v>1.0206999999999999</v>
      </c>
      <c r="L138" s="768">
        <v>1.1963999999999999</v>
      </c>
      <c r="M138" s="768">
        <v>2.47E-2</v>
      </c>
    </row>
    <row r="139" spans="1:13" hidden="1">
      <c r="A139" s="764" t="s">
        <v>23</v>
      </c>
      <c r="B139" s="767">
        <v>274763.13</v>
      </c>
      <c r="C139" s="767">
        <v>31459.09</v>
      </c>
      <c r="D139" s="767">
        <v>234.66</v>
      </c>
      <c r="E139" s="767">
        <v>1318882.5900000001</v>
      </c>
      <c r="F139" s="767">
        <v>664847.42000000004</v>
      </c>
      <c r="G139" s="767">
        <v>215997.43</v>
      </c>
      <c r="H139" s="767">
        <v>2498.35</v>
      </c>
      <c r="I139" s="767">
        <v>75280.899999999994</v>
      </c>
      <c r="J139" s="768">
        <v>0.78459999999999996</v>
      </c>
      <c r="K139" s="768">
        <v>1.0331999999999999</v>
      </c>
      <c r="L139" s="768">
        <v>1.2198</v>
      </c>
      <c r="M139" s="768">
        <v>2.41E-2</v>
      </c>
    </row>
    <row r="140" spans="1:13" hidden="1">
      <c r="A140" s="764" t="s">
        <v>24</v>
      </c>
      <c r="B140" s="767">
        <v>307940.46000000002</v>
      </c>
      <c r="C140" s="767">
        <v>14197.76</v>
      </c>
      <c r="D140" s="767">
        <v>290.92</v>
      </c>
      <c r="E140" s="767">
        <v>1659447.44</v>
      </c>
      <c r="F140" s="767">
        <v>722440.95</v>
      </c>
      <c r="G140" s="767">
        <v>194114.24</v>
      </c>
      <c r="H140" s="767">
        <v>4759.78</v>
      </c>
      <c r="I140" s="767">
        <v>53548.25</v>
      </c>
      <c r="J140" s="768">
        <v>0.78439999999999999</v>
      </c>
      <c r="K140" s="768">
        <v>1.0228999999999999</v>
      </c>
      <c r="L140" s="768">
        <v>1.1914</v>
      </c>
      <c r="M140" s="768">
        <v>2.3699999999999999E-2</v>
      </c>
    </row>
    <row r="141" spans="1:13" hidden="1">
      <c r="A141" s="764" t="s">
        <v>25</v>
      </c>
      <c r="B141" s="767">
        <v>231930.12</v>
      </c>
      <c r="C141" s="767">
        <v>28374.77</v>
      </c>
      <c r="D141" s="767">
        <v>364.82</v>
      </c>
      <c r="E141" s="767">
        <v>1705776</v>
      </c>
      <c r="F141" s="767">
        <v>738474.28</v>
      </c>
      <c r="G141" s="767">
        <v>154019.01999999999</v>
      </c>
      <c r="H141" s="767">
        <v>3177.66</v>
      </c>
      <c r="I141" s="767">
        <v>47348.68</v>
      </c>
      <c r="J141" s="768">
        <v>0.78449999999999998</v>
      </c>
      <c r="K141" s="768">
        <v>1.0444</v>
      </c>
      <c r="L141" s="768">
        <v>1.2173</v>
      </c>
      <c r="M141" s="768">
        <v>2.3800000000000002E-2</v>
      </c>
    </row>
    <row r="142" spans="1:13" hidden="1">
      <c r="A142" s="764" t="s">
        <v>26</v>
      </c>
      <c r="B142" s="767">
        <v>300054.19</v>
      </c>
      <c r="C142" s="767">
        <v>43270.58</v>
      </c>
      <c r="D142" s="767">
        <v>1121.47</v>
      </c>
      <c r="E142" s="767">
        <v>1568429.41</v>
      </c>
      <c r="F142" s="767">
        <v>736958.85</v>
      </c>
      <c r="G142" s="767">
        <v>151850.48000000001</v>
      </c>
      <c r="H142" s="767">
        <v>12433.51</v>
      </c>
      <c r="I142" s="767">
        <v>41021.01</v>
      </c>
      <c r="J142" s="768">
        <v>0.78439999999999999</v>
      </c>
      <c r="K142" s="768">
        <v>1.0449999999999999</v>
      </c>
      <c r="L142" s="768">
        <v>1.2565999999999999</v>
      </c>
      <c r="M142" s="768">
        <v>2.3800000000000002E-2</v>
      </c>
    </row>
    <row r="143" spans="1:13" hidden="1">
      <c r="A143" s="764" t="s">
        <v>27</v>
      </c>
      <c r="B143" s="767">
        <v>311021.7</v>
      </c>
      <c r="C143" s="767">
        <v>43101</v>
      </c>
      <c r="D143" s="767">
        <v>1455.65</v>
      </c>
      <c r="E143" s="767">
        <v>1604443.32</v>
      </c>
      <c r="F143" s="767">
        <v>756961.68</v>
      </c>
      <c r="G143" s="767">
        <v>223094.35</v>
      </c>
      <c r="H143" s="767">
        <v>2662.54</v>
      </c>
      <c r="I143" s="767">
        <v>56115.87</v>
      </c>
      <c r="J143" s="768">
        <v>0.7843</v>
      </c>
      <c r="K143" s="768">
        <v>1.0714999999999999</v>
      </c>
      <c r="L143" s="768">
        <v>1.2698</v>
      </c>
      <c r="M143" s="768">
        <v>2.4199999999999999E-2</v>
      </c>
    </row>
    <row r="144" spans="1:13" hidden="1">
      <c r="A144" s="764" t="s">
        <v>28</v>
      </c>
      <c r="B144" s="767">
        <v>258648.4</v>
      </c>
      <c r="C144" s="767">
        <v>28139.33</v>
      </c>
      <c r="D144" s="767">
        <v>733.24</v>
      </c>
      <c r="E144" s="767">
        <v>1362613.73</v>
      </c>
      <c r="F144" s="767">
        <v>852981.15</v>
      </c>
      <c r="G144" s="767">
        <v>185231.35</v>
      </c>
      <c r="H144" s="767">
        <v>8241.26</v>
      </c>
      <c r="I144" s="767">
        <v>48834.03</v>
      </c>
      <c r="J144" s="768">
        <v>0.78410000000000002</v>
      </c>
      <c r="K144" s="768">
        <v>1.0579000000000001</v>
      </c>
      <c r="L144" s="768">
        <v>1.2584</v>
      </c>
      <c r="M144" s="768">
        <v>2.3900000000000001E-2</v>
      </c>
    </row>
    <row r="145" spans="1:14" hidden="1">
      <c r="A145" s="764" t="s">
        <v>29</v>
      </c>
      <c r="B145" s="767">
        <v>234438.06</v>
      </c>
      <c r="C145" s="767">
        <v>29424.89</v>
      </c>
      <c r="D145" s="767">
        <v>881.01</v>
      </c>
      <c r="E145" s="767">
        <v>1580950.65</v>
      </c>
      <c r="F145" s="767">
        <v>895087.51</v>
      </c>
      <c r="G145" s="767">
        <v>207253.11</v>
      </c>
      <c r="H145" s="767">
        <v>15079.11</v>
      </c>
      <c r="I145" s="767">
        <v>54306.06</v>
      </c>
      <c r="J145" s="768">
        <v>0.78420000000000001</v>
      </c>
      <c r="K145" s="768">
        <v>1.0751999999999999</v>
      </c>
      <c r="L145" s="768">
        <v>1.2853000000000001</v>
      </c>
      <c r="M145" s="768">
        <v>2.3699999999999999E-2</v>
      </c>
    </row>
    <row r="146" spans="1:14" s="120" customFormat="1" ht="12.75" customHeight="1">
      <c r="A146" s="764" t="s">
        <v>1634</v>
      </c>
      <c r="B146" s="765">
        <f>B147+B148+B149+B150+B151+B152+B153+B154+B155+B156+B157+B158</f>
        <v>3376358.2600000002</v>
      </c>
      <c r="C146" s="765">
        <f t="shared" ref="C146:D146" si="16">C147+C148+C149+C150+C151+C152+C153+C154+C155+C156+C157+C158</f>
        <v>361737.64000000007</v>
      </c>
      <c r="D146" s="765">
        <f t="shared" si="16"/>
        <v>9672.8399999999983</v>
      </c>
      <c r="E146" s="765">
        <f t="shared" ref="E146:I146" si="17">E147+E148+E149+E150+E151+E152+E153+E154+E155+E156+E157+E158</f>
        <v>12514466.42</v>
      </c>
      <c r="F146" s="765">
        <f t="shared" si="17"/>
        <v>9373100.2999999989</v>
      </c>
      <c r="G146" s="765">
        <f t="shared" ref="G146" si="18">G147+G148+G149+G150+G151+G152+G153+G154+G155+G156+G157+G158</f>
        <v>2087446.9899999998</v>
      </c>
      <c r="H146" s="765">
        <f t="shared" si="17"/>
        <v>73825.34</v>
      </c>
      <c r="I146" s="765">
        <f t="shared" si="17"/>
        <v>2407109.2599999998</v>
      </c>
      <c r="J146" s="766">
        <v>0.78459999999999996</v>
      </c>
      <c r="K146" s="766">
        <v>1.0442</v>
      </c>
      <c r="L146" s="766">
        <v>1.2977000000000001</v>
      </c>
      <c r="M146" s="766">
        <v>2.0500000000000001E-2</v>
      </c>
      <c r="N146" s="233"/>
    </row>
    <row r="147" spans="1:14">
      <c r="A147" s="764" t="s">
        <v>18</v>
      </c>
      <c r="B147" s="767">
        <v>211269.85</v>
      </c>
      <c r="C147" s="767">
        <v>19945.919999999998</v>
      </c>
      <c r="D147" s="767">
        <v>929.24</v>
      </c>
      <c r="E147" s="767">
        <v>903530.66</v>
      </c>
      <c r="F147" s="767">
        <v>694903.44</v>
      </c>
      <c r="G147" s="767">
        <v>175069.2</v>
      </c>
      <c r="H147" s="767">
        <v>3929.49</v>
      </c>
      <c r="I147" s="767">
        <v>134699.26999999999</v>
      </c>
      <c r="J147" s="768">
        <v>0.78459999999999996</v>
      </c>
      <c r="K147" s="768">
        <v>1.071</v>
      </c>
      <c r="L147" s="768">
        <v>1.2969999999999999</v>
      </c>
      <c r="M147" s="768">
        <v>2.3E-2</v>
      </c>
    </row>
    <row r="148" spans="1:14">
      <c r="A148" s="764" t="s">
        <v>19</v>
      </c>
      <c r="B148" s="767">
        <v>242814.39</v>
      </c>
      <c r="C148" s="767">
        <v>24107.41</v>
      </c>
      <c r="D148" s="767">
        <v>1687.23</v>
      </c>
      <c r="E148" s="767">
        <v>592426.06000000006</v>
      </c>
      <c r="F148" s="767">
        <v>828668.29</v>
      </c>
      <c r="G148" s="767">
        <v>132657.16</v>
      </c>
      <c r="H148" s="767">
        <v>3731.77</v>
      </c>
      <c r="I148" s="767">
        <v>64984.3</v>
      </c>
      <c r="J148" s="768">
        <v>0.78439999999999999</v>
      </c>
      <c r="K148" s="768">
        <v>1.0699000000000001</v>
      </c>
      <c r="L148" s="768">
        <v>1.3039000000000001</v>
      </c>
      <c r="M148" s="768">
        <v>2.1899999999999999E-2</v>
      </c>
    </row>
    <row r="149" spans="1:14">
      <c r="A149" s="764" t="s">
        <v>20</v>
      </c>
      <c r="B149" s="767">
        <v>200943.3</v>
      </c>
      <c r="C149" s="767">
        <v>23069.97</v>
      </c>
      <c r="D149" s="767">
        <v>169.95</v>
      </c>
      <c r="E149" s="767">
        <v>820299.59</v>
      </c>
      <c r="F149" s="767">
        <v>874946.3</v>
      </c>
      <c r="G149" s="767">
        <v>115327.9</v>
      </c>
      <c r="H149" s="767">
        <v>5369.67</v>
      </c>
      <c r="I149" s="767">
        <v>146753.07</v>
      </c>
      <c r="J149" s="768">
        <v>0.78449999999999998</v>
      </c>
      <c r="K149" s="768">
        <v>1.0845</v>
      </c>
      <c r="L149" s="768">
        <v>1.3108</v>
      </c>
      <c r="M149" s="768">
        <v>2.12E-2</v>
      </c>
    </row>
    <row r="150" spans="1:14">
      <c r="A150" s="764" t="s">
        <v>21</v>
      </c>
      <c r="B150" s="767">
        <v>282769.48</v>
      </c>
      <c r="C150" s="767">
        <v>58518.15</v>
      </c>
      <c r="D150" s="767">
        <v>1290.19</v>
      </c>
      <c r="E150" s="767">
        <v>853574.35</v>
      </c>
      <c r="F150" s="767">
        <v>844768.22</v>
      </c>
      <c r="G150" s="767">
        <v>170769.2</v>
      </c>
      <c r="H150" s="767">
        <v>8809.7800000000007</v>
      </c>
      <c r="I150" s="767">
        <v>129102.13</v>
      </c>
      <c r="J150" s="768">
        <v>0.78439999999999999</v>
      </c>
      <c r="K150" s="768">
        <v>1.0857000000000001</v>
      </c>
      <c r="L150" s="768">
        <v>1.3124</v>
      </c>
      <c r="M150" s="768">
        <v>2.1600000000000001E-2</v>
      </c>
    </row>
    <row r="151" spans="1:14">
      <c r="A151" s="764" t="s">
        <v>22</v>
      </c>
      <c r="B151" s="767">
        <v>295198.11</v>
      </c>
      <c r="C151" s="767">
        <v>34442.17</v>
      </c>
      <c r="D151" s="767">
        <v>1575.59</v>
      </c>
      <c r="E151" s="767">
        <v>904788.05</v>
      </c>
      <c r="F151" s="767">
        <v>652863.82999999996</v>
      </c>
      <c r="G151" s="767">
        <v>233731.79</v>
      </c>
      <c r="H151" s="767">
        <v>5092.78</v>
      </c>
      <c r="I151" s="767">
        <v>276887.02</v>
      </c>
      <c r="J151" s="768">
        <v>0.78420000000000001</v>
      </c>
      <c r="K151" s="768">
        <v>1.0793999999999999</v>
      </c>
      <c r="L151" s="768">
        <v>1.3221000000000001</v>
      </c>
      <c r="M151" s="768">
        <v>2.2200000000000001E-2</v>
      </c>
    </row>
    <row r="152" spans="1:14">
      <c r="A152" s="764" t="s">
        <v>23</v>
      </c>
      <c r="B152" s="767">
        <v>355788.1</v>
      </c>
      <c r="C152" s="767">
        <v>35676.54</v>
      </c>
      <c r="D152" s="767">
        <v>303.67</v>
      </c>
      <c r="E152" s="767">
        <v>1092296.56</v>
      </c>
      <c r="F152" s="767">
        <v>671158.76</v>
      </c>
      <c r="G152" s="767">
        <v>229945.75</v>
      </c>
      <c r="H152" s="767">
        <v>3586.9</v>
      </c>
      <c r="I152" s="767">
        <v>101562.7</v>
      </c>
      <c r="J152" s="768">
        <v>0.78410000000000002</v>
      </c>
      <c r="K152" s="768">
        <v>1.0682</v>
      </c>
      <c r="L152" s="768">
        <v>1.3286</v>
      </c>
      <c r="M152" s="768">
        <v>2.2499999999999999E-2</v>
      </c>
    </row>
    <row r="153" spans="1:14" s="120" customFormat="1" ht="15" customHeight="1">
      <c r="A153" s="764" t="s">
        <v>24</v>
      </c>
      <c r="B153" s="767">
        <v>285872.68</v>
      </c>
      <c r="C153" s="767">
        <v>19260.349999999999</v>
      </c>
      <c r="D153" s="767">
        <v>387.23</v>
      </c>
      <c r="E153" s="767">
        <v>1219600.3700000001</v>
      </c>
      <c r="F153" s="767">
        <v>729744.75</v>
      </c>
      <c r="G153" s="767">
        <v>170153.26</v>
      </c>
      <c r="H153" s="767">
        <v>5333.09</v>
      </c>
      <c r="I153" s="767">
        <v>110470.53</v>
      </c>
      <c r="J153" s="768">
        <v>0.78449999999999998</v>
      </c>
      <c r="K153" s="768">
        <v>1.0651999999999999</v>
      </c>
      <c r="L153" s="768">
        <v>1.3425</v>
      </c>
      <c r="M153" s="768">
        <v>2.24E-2</v>
      </c>
    </row>
    <row r="154" spans="1:14" s="120" customFormat="1" ht="15" customHeight="1">
      <c r="A154" s="764" t="s">
        <v>25</v>
      </c>
      <c r="B154" s="767">
        <v>262614.34000000003</v>
      </c>
      <c r="C154" s="767">
        <v>20769.34</v>
      </c>
      <c r="D154" s="767">
        <v>2477.1999999999998</v>
      </c>
      <c r="E154" s="767">
        <v>1518451.95</v>
      </c>
      <c r="F154" s="767">
        <v>737597.1</v>
      </c>
      <c r="G154" s="767">
        <v>121061.51</v>
      </c>
      <c r="H154" s="767">
        <v>15064.31</v>
      </c>
      <c r="I154" s="767">
        <v>115832.9</v>
      </c>
      <c r="J154" s="768">
        <v>0.78449999999999998</v>
      </c>
      <c r="K154" s="768">
        <v>1.0451999999999999</v>
      </c>
      <c r="L154" s="768">
        <v>1.3110999999999999</v>
      </c>
      <c r="M154" s="768">
        <v>2.1499999999999998E-2</v>
      </c>
    </row>
    <row r="155" spans="1:14" s="120" customFormat="1" ht="15" customHeight="1">
      <c r="A155" s="764" t="s">
        <v>26</v>
      </c>
      <c r="B155" s="767">
        <v>317678.12</v>
      </c>
      <c r="C155" s="767">
        <v>30754.3</v>
      </c>
      <c r="D155" s="767">
        <v>258.08</v>
      </c>
      <c r="E155" s="767">
        <v>1806774.46</v>
      </c>
      <c r="F155" s="767">
        <v>702360.44</v>
      </c>
      <c r="G155" s="767">
        <v>214490.86</v>
      </c>
      <c r="H155" s="767">
        <v>5810.51</v>
      </c>
      <c r="I155" s="767">
        <v>535625.46</v>
      </c>
      <c r="J155" s="768">
        <v>0.78449999999999998</v>
      </c>
      <c r="K155" s="768">
        <v>1.0154000000000001</v>
      </c>
      <c r="L155" s="768">
        <v>1.2846</v>
      </c>
      <c r="M155" s="768">
        <v>2.0400000000000001E-2</v>
      </c>
    </row>
    <row r="156" spans="1:14" s="120" customFormat="1" ht="15" customHeight="1">
      <c r="A156" s="764" t="s">
        <v>27</v>
      </c>
      <c r="B156" s="767">
        <v>330219.7</v>
      </c>
      <c r="C156" s="767">
        <v>27154.28</v>
      </c>
      <c r="D156" s="767">
        <v>192.96</v>
      </c>
      <c r="E156" s="767">
        <v>1338000.78</v>
      </c>
      <c r="F156" s="767">
        <v>679066.17</v>
      </c>
      <c r="G156" s="767">
        <v>189949.86</v>
      </c>
      <c r="H156" s="767">
        <v>5085.4399999999996</v>
      </c>
      <c r="I156" s="767">
        <v>131986.04</v>
      </c>
      <c r="J156" s="768">
        <v>0.78439999999999999</v>
      </c>
      <c r="K156" s="768">
        <v>1.0008999999999999</v>
      </c>
      <c r="L156" s="768">
        <v>1.2632000000000001</v>
      </c>
      <c r="M156" s="768">
        <v>1.9E-2</v>
      </c>
    </row>
    <row r="157" spans="1:14" s="120" customFormat="1" ht="15" customHeight="1">
      <c r="A157" s="764" t="s">
        <v>28</v>
      </c>
      <c r="B157" s="767">
        <v>277790</v>
      </c>
      <c r="C157" s="767">
        <v>28843.26</v>
      </c>
      <c r="D157" s="767">
        <v>198.38</v>
      </c>
      <c r="E157" s="767">
        <v>751670.01</v>
      </c>
      <c r="F157" s="767">
        <v>565625.14</v>
      </c>
      <c r="G157" s="767">
        <v>127310.08</v>
      </c>
      <c r="H157" s="767">
        <v>5097.21</v>
      </c>
      <c r="I157" s="767">
        <v>219976.84</v>
      </c>
      <c r="J157" s="768">
        <v>0.78439999999999999</v>
      </c>
      <c r="K157" s="768">
        <v>0.98109999999999997</v>
      </c>
      <c r="L157" s="768">
        <v>1.242</v>
      </c>
      <c r="M157" s="768">
        <v>1.6799999999999999E-2</v>
      </c>
    </row>
    <row r="158" spans="1:14" s="120" customFormat="1" ht="15" customHeight="1">
      <c r="A158" s="764" t="s">
        <v>29</v>
      </c>
      <c r="B158" s="767">
        <v>313400.19</v>
      </c>
      <c r="C158" s="767">
        <v>39195.949999999997</v>
      </c>
      <c r="D158" s="767">
        <v>203.12</v>
      </c>
      <c r="E158" s="767">
        <v>713053.58</v>
      </c>
      <c r="F158" s="767">
        <v>1391397.86</v>
      </c>
      <c r="G158" s="767">
        <v>206980.42</v>
      </c>
      <c r="H158" s="767">
        <v>6914.39</v>
      </c>
      <c r="I158" s="767">
        <v>439229</v>
      </c>
      <c r="J158" s="768">
        <v>0.78580000000000005</v>
      </c>
      <c r="K158" s="768">
        <v>0.97119999999999995</v>
      </c>
      <c r="L158" s="768">
        <v>1.2314000000000001</v>
      </c>
      <c r="M158" s="768">
        <v>1.38E-2</v>
      </c>
    </row>
    <row r="159" spans="1:14" s="120" customFormat="1" ht="15" customHeight="1">
      <c r="A159" s="764" t="s">
        <v>1829</v>
      </c>
      <c r="B159" s="284">
        <v>3478205.91</v>
      </c>
      <c r="C159" s="956">
        <v>245264.35000000003</v>
      </c>
      <c r="D159" s="956">
        <v>3890.2099999999996</v>
      </c>
      <c r="E159" s="284">
        <v>9551580.1900000013</v>
      </c>
      <c r="F159" s="284">
        <v>12317396.410000002</v>
      </c>
      <c r="G159" s="956">
        <v>1074476.9400000002</v>
      </c>
      <c r="H159" s="284">
        <v>64102.560000000005</v>
      </c>
      <c r="I159" s="284">
        <v>2385745.84</v>
      </c>
      <c r="J159" s="773">
        <v>1.0047999999999999</v>
      </c>
      <c r="K159" s="957">
        <v>1.1132</v>
      </c>
      <c r="L159" s="773">
        <v>1.5544</v>
      </c>
      <c r="M159" s="773">
        <v>1.72E-2</v>
      </c>
    </row>
    <row r="160" spans="1:14" s="120" customFormat="1" ht="15" customHeight="1">
      <c r="A160" s="764" t="s">
        <v>18</v>
      </c>
      <c r="B160" s="767">
        <v>199954.33</v>
      </c>
      <c r="C160" s="767">
        <v>35731.629999999997</v>
      </c>
      <c r="D160" s="767">
        <v>160.76</v>
      </c>
      <c r="E160" s="767">
        <v>518655.68</v>
      </c>
      <c r="F160" s="767">
        <v>1118655.3700000001</v>
      </c>
      <c r="G160" s="767">
        <v>131417.79</v>
      </c>
      <c r="H160" s="767">
        <v>6398.99</v>
      </c>
      <c r="I160" s="767">
        <v>264105.65000000002</v>
      </c>
      <c r="J160" s="768">
        <v>0.78610000000000002</v>
      </c>
      <c r="K160" s="768">
        <v>0.92869999999999997</v>
      </c>
      <c r="L160" s="768">
        <v>1.2009000000000001</v>
      </c>
      <c r="M160" s="768">
        <v>1.2E-2</v>
      </c>
    </row>
    <row r="161" spans="1:13" s="120" customFormat="1" ht="15" customHeight="1">
      <c r="A161" s="764" t="s">
        <v>19</v>
      </c>
      <c r="B161" s="767">
        <v>384827.58</v>
      </c>
      <c r="C161" s="767">
        <v>42739.51</v>
      </c>
      <c r="D161" s="767">
        <v>444.62</v>
      </c>
      <c r="E161" s="767">
        <v>484710.79</v>
      </c>
      <c r="F161" s="767">
        <v>2885466.98</v>
      </c>
      <c r="G161" s="767">
        <v>147049.85</v>
      </c>
      <c r="H161" s="767">
        <v>7139.79</v>
      </c>
      <c r="I161" s="767">
        <v>287760.15000000002</v>
      </c>
      <c r="J161" s="768">
        <v>0.82609999999999995</v>
      </c>
      <c r="K161" s="768">
        <v>0.96179999999999999</v>
      </c>
      <c r="L161" s="768">
        <v>1.2569999999999999</v>
      </c>
      <c r="M161" s="768">
        <v>1.3299999999999999E-2</v>
      </c>
    </row>
    <row r="162" spans="1:13" s="120" customFormat="1" ht="15" customHeight="1">
      <c r="A162" s="764" t="s">
        <v>20</v>
      </c>
      <c r="B162" s="767">
        <v>153504.01</v>
      </c>
      <c r="C162" s="767">
        <v>32461.69</v>
      </c>
      <c r="D162" s="767">
        <v>217.48</v>
      </c>
      <c r="E162" s="767">
        <v>549774.85</v>
      </c>
      <c r="F162" s="767">
        <v>1066513.45</v>
      </c>
      <c r="G162" s="767">
        <v>76582.05</v>
      </c>
      <c r="H162" s="767">
        <v>4900.08</v>
      </c>
      <c r="I162" s="767">
        <v>136035.41</v>
      </c>
      <c r="J162" s="768">
        <v>1.0512999999999999</v>
      </c>
      <c r="K162" s="768">
        <v>1.1468</v>
      </c>
      <c r="L162" s="768">
        <v>1.5841000000000001</v>
      </c>
      <c r="M162" s="768">
        <v>1.72E-2</v>
      </c>
    </row>
    <row r="163" spans="1:13" s="120" customFormat="1" ht="15" customHeight="1">
      <c r="A163" s="764" t="s">
        <v>21</v>
      </c>
      <c r="B163" s="767">
        <v>265232.14</v>
      </c>
      <c r="C163" s="767">
        <v>17106.810000000001</v>
      </c>
      <c r="D163" s="767">
        <v>131.61000000000001</v>
      </c>
      <c r="E163" s="767">
        <v>927288.01</v>
      </c>
      <c r="F163" s="767">
        <v>1407963.1</v>
      </c>
      <c r="G163" s="767">
        <v>75671.44</v>
      </c>
      <c r="H163" s="767">
        <v>4959.6400000000003</v>
      </c>
      <c r="I163" s="767">
        <v>318736.92</v>
      </c>
      <c r="J163" s="768">
        <v>1.0568</v>
      </c>
      <c r="K163" s="768">
        <v>1.1335999999999999</v>
      </c>
      <c r="L163" s="768">
        <v>1.5707</v>
      </c>
      <c r="M163" s="768">
        <v>1.9800000000000002E-2</v>
      </c>
    </row>
    <row r="164" spans="1:13" s="120" customFormat="1" ht="15" customHeight="1">
      <c r="A164" s="764" t="s">
        <v>22</v>
      </c>
      <c r="B164" s="767">
        <v>366336.03</v>
      </c>
      <c r="C164" s="767">
        <v>13471.18</v>
      </c>
      <c r="D164" s="767">
        <v>1365.67</v>
      </c>
      <c r="E164" s="767">
        <v>938184.87</v>
      </c>
      <c r="F164" s="767">
        <v>450048.8</v>
      </c>
      <c r="G164" s="767">
        <v>69540.460000000006</v>
      </c>
      <c r="H164" s="767">
        <v>4435.75</v>
      </c>
      <c r="I164" s="767">
        <v>248201</v>
      </c>
      <c r="J164" s="768">
        <v>1.0349999999999999</v>
      </c>
      <c r="K164" s="768">
        <v>1.1545000000000001</v>
      </c>
      <c r="L164" s="768">
        <v>1.6313</v>
      </c>
      <c r="M164" s="768">
        <v>2.0500000000000001E-2</v>
      </c>
    </row>
    <row r="165" spans="1:13" s="120" customFormat="1" ht="15" customHeight="1">
      <c r="A165" s="764" t="s">
        <v>23</v>
      </c>
      <c r="B165" s="767">
        <v>364407.38</v>
      </c>
      <c r="C165" s="767">
        <v>10488.9</v>
      </c>
      <c r="D165" s="767">
        <v>265.06</v>
      </c>
      <c r="E165" s="767">
        <v>1003256.04</v>
      </c>
      <c r="F165" s="767">
        <v>511258.36</v>
      </c>
      <c r="G165" s="767">
        <v>87733.22</v>
      </c>
      <c r="H165" s="767">
        <v>5889.57</v>
      </c>
      <c r="I165" s="767">
        <v>89636.37</v>
      </c>
      <c r="J165" s="768">
        <v>1.0499000000000001</v>
      </c>
      <c r="K165" s="768">
        <v>1.1761999999999999</v>
      </c>
      <c r="L165" s="768">
        <v>1.6365000000000001</v>
      </c>
      <c r="M165" s="768">
        <v>1.9E-2</v>
      </c>
    </row>
    <row r="166" spans="1:13" s="120" customFormat="1" ht="15" customHeight="1">
      <c r="A166" s="764" t="s">
        <v>24</v>
      </c>
      <c r="B166" s="767">
        <v>353442.14</v>
      </c>
      <c r="C166" s="767">
        <v>20053.95</v>
      </c>
      <c r="D166" s="767">
        <v>192.45</v>
      </c>
      <c r="E166" s="767">
        <v>1079796.99</v>
      </c>
      <c r="F166" s="767">
        <v>519284.09</v>
      </c>
      <c r="G166" s="767">
        <v>105822.65</v>
      </c>
      <c r="H166" s="767">
        <v>4918.54</v>
      </c>
      <c r="I166" s="767">
        <v>207991.69</v>
      </c>
      <c r="J166" s="768">
        <v>1.0504</v>
      </c>
      <c r="K166" s="768">
        <v>1.1599999999999999</v>
      </c>
      <c r="L166" s="768">
        <v>1.6351</v>
      </c>
      <c r="M166" s="768">
        <v>1.8100000000000002E-2</v>
      </c>
    </row>
    <row r="167" spans="1:13" s="120" customFormat="1" ht="15" customHeight="1">
      <c r="A167" s="764" t="s">
        <v>25</v>
      </c>
      <c r="B167" s="767">
        <v>345113.51</v>
      </c>
      <c r="C167" s="767">
        <v>16243.92</v>
      </c>
      <c r="D167" s="767">
        <v>254.1</v>
      </c>
      <c r="E167" s="767">
        <v>789063.2</v>
      </c>
      <c r="F167" s="767">
        <v>1305175.98</v>
      </c>
      <c r="G167" s="767">
        <v>68505.39</v>
      </c>
      <c r="H167" s="767">
        <v>5315.79</v>
      </c>
      <c r="I167" s="767">
        <v>254664.85</v>
      </c>
      <c r="J167" s="768">
        <v>1.0516000000000001</v>
      </c>
      <c r="K167" s="768">
        <v>1.1783999999999999</v>
      </c>
      <c r="L167" s="768">
        <v>1.6394</v>
      </c>
      <c r="M167" s="768">
        <v>1.5800000000000002E-2</v>
      </c>
    </row>
    <row r="168" spans="1:13" s="120" customFormat="1" ht="15" customHeight="1">
      <c r="A168" s="764" t="s">
        <v>26</v>
      </c>
      <c r="B168" s="767">
        <v>352776.18</v>
      </c>
      <c r="C168" s="767">
        <v>9927.7199999999993</v>
      </c>
      <c r="D168" s="767">
        <v>291.2</v>
      </c>
      <c r="E168" s="767">
        <v>817574.91</v>
      </c>
      <c r="F168" s="767">
        <v>446300.65</v>
      </c>
      <c r="G168" s="767">
        <v>80557.320000000007</v>
      </c>
      <c r="H168" s="767">
        <v>6564.69</v>
      </c>
      <c r="I168" s="767">
        <v>130144.65</v>
      </c>
      <c r="J168" s="768">
        <v>1.0502</v>
      </c>
      <c r="K168" s="768">
        <v>1.1808000000000001</v>
      </c>
      <c r="L168" s="768">
        <v>1.6144000000000001</v>
      </c>
      <c r="M168" s="768">
        <v>1.55E-2</v>
      </c>
    </row>
    <row r="169" spans="1:13" s="120" customFormat="1" ht="15" customHeight="1">
      <c r="A169" s="764" t="s">
        <v>27</v>
      </c>
      <c r="B169" s="767">
        <v>290761.42</v>
      </c>
      <c r="C169" s="767">
        <v>12392.94</v>
      </c>
      <c r="D169" s="767">
        <v>220.21</v>
      </c>
      <c r="E169" s="767">
        <v>822327.91</v>
      </c>
      <c r="F169" s="767">
        <v>618756.9</v>
      </c>
      <c r="G169" s="767">
        <v>78410.42</v>
      </c>
      <c r="H169" s="767">
        <v>5722.29</v>
      </c>
      <c r="I169" s="767">
        <v>87422</v>
      </c>
      <c r="J169" s="768">
        <v>1.0503</v>
      </c>
      <c r="K169" s="768">
        <v>1.1747000000000001</v>
      </c>
      <c r="L169" s="768">
        <v>1.6083000000000001</v>
      </c>
      <c r="M169" s="768">
        <v>1.6400000000000001E-2</v>
      </c>
    </row>
    <row r="170" spans="1:13" s="120" customFormat="1" ht="15" customHeight="1">
      <c r="A170" s="764" t="s">
        <v>28</v>
      </c>
      <c r="B170" s="767">
        <v>207650.38</v>
      </c>
      <c r="C170" s="767">
        <v>23906.19</v>
      </c>
      <c r="D170" s="767">
        <v>94.18</v>
      </c>
      <c r="E170" s="767">
        <v>697977.47</v>
      </c>
      <c r="F170" s="767">
        <v>585534.18000000005</v>
      </c>
      <c r="G170" s="767">
        <v>89661.18</v>
      </c>
      <c r="H170" s="767">
        <v>3906.57</v>
      </c>
      <c r="I170" s="767">
        <v>170192.49</v>
      </c>
      <c r="J170" s="768">
        <v>1.0524</v>
      </c>
      <c r="K170" s="768">
        <v>1.1456999999999999</v>
      </c>
      <c r="L170" s="768">
        <v>1.6032999999999999</v>
      </c>
      <c r="M170" s="768">
        <v>1.6E-2</v>
      </c>
    </row>
    <row r="171" spans="1:13" s="120" customFormat="1" ht="15" customHeight="1">
      <c r="A171" s="764" t="s">
        <v>29</v>
      </c>
      <c r="B171" s="767">
        <v>194200.81</v>
      </c>
      <c r="C171" s="767">
        <v>10739.91</v>
      </c>
      <c r="D171" s="767">
        <v>252.87</v>
      </c>
      <c r="E171" s="767">
        <v>922969.47</v>
      </c>
      <c r="F171" s="767">
        <v>1402438.55</v>
      </c>
      <c r="G171" s="767">
        <v>63525.17</v>
      </c>
      <c r="H171" s="767">
        <v>3950.86</v>
      </c>
      <c r="I171" s="767">
        <v>190854.66</v>
      </c>
      <c r="J171" s="768">
        <v>1.2753000000000001</v>
      </c>
      <c r="K171" s="768">
        <v>1.3508</v>
      </c>
      <c r="L171" s="768">
        <v>1.9288000000000001</v>
      </c>
      <c r="M171" s="768">
        <v>1.8200000000000001E-2</v>
      </c>
    </row>
    <row r="172" spans="1:13" s="120" customFormat="1" ht="15" customHeight="1">
      <c r="A172" s="764" t="s">
        <v>1852</v>
      </c>
      <c r="B172" s="284">
        <v>2559517.0099999998</v>
      </c>
      <c r="C172" s="956">
        <v>292381.03000000003</v>
      </c>
      <c r="D172" s="956">
        <v>6785.0400000000009</v>
      </c>
      <c r="E172" s="284">
        <v>11379905.82</v>
      </c>
      <c r="F172" s="284">
        <v>3004956.6600000006</v>
      </c>
      <c r="G172" s="956">
        <v>559028.56000000006</v>
      </c>
      <c r="H172" s="284">
        <v>41226.520000000004</v>
      </c>
      <c r="I172" s="284">
        <v>2214718.56</v>
      </c>
      <c r="J172" s="773">
        <v>1.6026</v>
      </c>
      <c r="K172" s="957">
        <v>1.7775000000000001</v>
      </c>
      <c r="L172" s="773">
        <v>2.1777000000000002</v>
      </c>
      <c r="M172" s="773">
        <v>2.4E-2</v>
      </c>
    </row>
    <row r="173" spans="1:13" s="120" customFormat="1" ht="15" customHeight="1">
      <c r="A173" s="764" t="s">
        <v>18</v>
      </c>
      <c r="B173" s="767">
        <v>219527.13</v>
      </c>
      <c r="C173" s="767">
        <v>7470.78</v>
      </c>
      <c r="D173" s="767">
        <v>258.26</v>
      </c>
      <c r="E173" s="767">
        <v>578885.69999999995</v>
      </c>
      <c r="F173" s="767">
        <v>392967.63</v>
      </c>
      <c r="G173" s="767">
        <v>27828.07</v>
      </c>
      <c r="H173" s="767">
        <v>2868.06</v>
      </c>
      <c r="I173" s="767">
        <v>185829.25</v>
      </c>
      <c r="J173" s="768">
        <v>1.6221000000000001</v>
      </c>
      <c r="K173" s="768">
        <v>1.7528999999999999</v>
      </c>
      <c r="L173" s="768">
        <v>2.3119000000000001</v>
      </c>
      <c r="M173" s="768">
        <v>2.0299999999999999E-2</v>
      </c>
    </row>
    <row r="174" spans="1:13" s="120" customFormat="1" ht="15" customHeight="1">
      <c r="A174" s="764" t="s">
        <v>19</v>
      </c>
      <c r="B174" s="767">
        <v>468677.07</v>
      </c>
      <c r="C174" s="767">
        <v>45031.199999999997</v>
      </c>
      <c r="D174" s="767">
        <v>394.68</v>
      </c>
      <c r="E174" s="767">
        <v>732419.68</v>
      </c>
      <c r="F174" s="767">
        <v>327786.18</v>
      </c>
      <c r="G174" s="767">
        <v>71435.86</v>
      </c>
      <c r="H174" s="767">
        <v>4623.28</v>
      </c>
      <c r="I174" s="767">
        <v>171342.29</v>
      </c>
      <c r="J174" s="768">
        <v>1.5892999999999999</v>
      </c>
      <c r="K174" s="768">
        <v>1.7465999999999999</v>
      </c>
      <c r="L174" s="768">
        <v>2.2241</v>
      </c>
      <c r="M174" s="768">
        <v>2.01E-2</v>
      </c>
    </row>
    <row r="175" spans="1:13" s="120" customFormat="1" ht="15" customHeight="1">
      <c r="A175" s="764" t="s">
        <v>20</v>
      </c>
      <c r="B175" s="767">
        <v>241444.7</v>
      </c>
      <c r="C175" s="767">
        <v>36490.339999999997</v>
      </c>
      <c r="D175" s="767">
        <v>425.88</v>
      </c>
      <c r="E175" s="767">
        <v>797804.01</v>
      </c>
      <c r="F175" s="767">
        <v>288050.82</v>
      </c>
      <c r="G175" s="767">
        <v>58881.32</v>
      </c>
      <c r="H175" s="767">
        <v>2800.43</v>
      </c>
      <c r="I175" s="767">
        <v>157156.60999999999</v>
      </c>
      <c r="J175" s="768">
        <v>1.6080000000000001</v>
      </c>
      <c r="K175" s="768">
        <v>1.7967</v>
      </c>
      <c r="L175" s="768">
        <v>2.2854999999999999</v>
      </c>
      <c r="M175" s="768">
        <v>2.24E-2</v>
      </c>
    </row>
    <row r="176" spans="1:13" s="120" customFormat="1" ht="15" customHeight="1">
      <c r="A176" s="764" t="s">
        <v>21</v>
      </c>
      <c r="B176" s="767">
        <v>272352.03999999998</v>
      </c>
      <c r="C176" s="767">
        <v>28791.49</v>
      </c>
      <c r="D176" s="767">
        <v>626.85</v>
      </c>
      <c r="E176" s="767">
        <v>853017.92</v>
      </c>
      <c r="F176" s="767">
        <v>190905.23</v>
      </c>
      <c r="G176" s="767">
        <v>33374.629999999997</v>
      </c>
      <c r="H176" s="767">
        <v>2177.9699999999998</v>
      </c>
      <c r="I176" s="767">
        <v>201900.16</v>
      </c>
      <c r="J176" s="768">
        <v>1.5134000000000001</v>
      </c>
      <c r="K176" s="768">
        <v>1.7307999999999999</v>
      </c>
      <c r="L176" s="768">
        <v>2.1812</v>
      </c>
      <c r="M176" s="768">
        <v>2.23E-2</v>
      </c>
    </row>
    <row r="177" spans="1:13" s="120" customFormat="1" ht="15" customHeight="1">
      <c r="A177" s="764" t="s">
        <v>22</v>
      </c>
      <c r="B177" s="767">
        <v>212994.01</v>
      </c>
      <c r="C177" s="767">
        <v>23323.62</v>
      </c>
      <c r="D177" s="767">
        <v>862.47</v>
      </c>
      <c r="E177" s="767">
        <v>942201.32</v>
      </c>
      <c r="F177" s="767">
        <v>177554.04</v>
      </c>
      <c r="G177" s="767">
        <v>30424.89</v>
      </c>
      <c r="H177" s="767">
        <v>1489.76</v>
      </c>
      <c r="I177" s="767">
        <v>143621.79999999999</v>
      </c>
      <c r="J177" s="768">
        <v>1.4974000000000001</v>
      </c>
      <c r="K177" s="768">
        <v>1.6957</v>
      </c>
      <c r="L177" s="768">
        <v>2.1913999999999998</v>
      </c>
      <c r="M177" s="768">
        <v>2.24E-2</v>
      </c>
    </row>
    <row r="178" spans="1:13" s="120" customFormat="1" ht="15" customHeight="1">
      <c r="A178" s="764" t="s">
        <v>23</v>
      </c>
      <c r="B178" s="767">
        <v>206207.87</v>
      </c>
      <c r="C178" s="767">
        <v>40437.129999999997</v>
      </c>
      <c r="D178" s="767">
        <v>352.78</v>
      </c>
      <c r="E178" s="767">
        <v>1196976.06</v>
      </c>
      <c r="F178" s="767">
        <v>321915.83</v>
      </c>
      <c r="G178" s="767">
        <v>59158.49</v>
      </c>
      <c r="H178" s="767">
        <v>3097.25</v>
      </c>
      <c r="I178" s="767">
        <v>240188.65</v>
      </c>
      <c r="J178" s="768">
        <v>1.5258</v>
      </c>
      <c r="K178" s="768">
        <v>1.7154</v>
      </c>
      <c r="L178" s="768">
        <v>2.1762999999999999</v>
      </c>
      <c r="M178" s="768">
        <v>2.3E-2</v>
      </c>
    </row>
    <row r="179" spans="1:13" s="120" customFormat="1" ht="15" customHeight="1">
      <c r="A179" s="764" t="s">
        <v>24</v>
      </c>
      <c r="B179" s="767">
        <v>178822.51</v>
      </c>
      <c r="C179" s="767">
        <v>28288.71</v>
      </c>
      <c r="D179" s="767">
        <v>213.34</v>
      </c>
      <c r="E179" s="767">
        <v>1148281.8799999999</v>
      </c>
      <c r="F179" s="767">
        <v>276607.78999999998</v>
      </c>
      <c r="G179" s="767">
        <v>60647.62</v>
      </c>
      <c r="H179" s="767">
        <v>2616.1</v>
      </c>
      <c r="I179" s="767">
        <v>160320.82999999999</v>
      </c>
      <c r="J179" s="768">
        <v>1.5769</v>
      </c>
      <c r="K179" s="768">
        <v>1.7390000000000001</v>
      </c>
      <c r="L179" s="768">
        <v>2.0790000000000002</v>
      </c>
      <c r="M179" s="768">
        <v>2.41E-2</v>
      </c>
    </row>
    <row r="180" spans="1:13" s="120" customFormat="1" ht="15" customHeight="1">
      <c r="A180" s="764" t="s">
        <v>25</v>
      </c>
      <c r="B180" s="767">
        <v>203868.69</v>
      </c>
      <c r="C180" s="767">
        <v>21755.48</v>
      </c>
      <c r="D180" s="767">
        <v>772.08</v>
      </c>
      <c r="E180" s="767">
        <v>1216270.8999999999</v>
      </c>
      <c r="F180" s="767">
        <v>243437.46</v>
      </c>
      <c r="G180" s="767">
        <v>47714.51</v>
      </c>
      <c r="H180" s="767">
        <v>5332.08</v>
      </c>
      <c r="I180" s="767">
        <v>201372.54</v>
      </c>
      <c r="J180" s="768">
        <v>1.6476999999999999</v>
      </c>
      <c r="K180" s="768">
        <v>1.8533999999999999</v>
      </c>
      <c r="L180" s="768">
        <v>2.1703000000000001</v>
      </c>
      <c r="M180" s="768">
        <v>2.4799999999999999E-2</v>
      </c>
    </row>
    <row r="181" spans="1:13" s="120" customFormat="1" ht="15" customHeight="1">
      <c r="A181" s="764" t="s">
        <v>26</v>
      </c>
      <c r="B181" s="767">
        <v>156993.18</v>
      </c>
      <c r="C181" s="767">
        <v>23076.97</v>
      </c>
      <c r="D181" s="767">
        <v>670.28</v>
      </c>
      <c r="E181" s="767">
        <v>1076646.57</v>
      </c>
      <c r="F181" s="767">
        <v>222661.08</v>
      </c>
      <c r="G181" s="767">
        <v>58342.06</v>
      </c>
      <c r="H181" s="767">
        <v>4346.79</v>
      </c>
      <c r="I181" s="767">
        <v>172974.99</v>
      </c>
      <c r="J181" s="768">
        <v>1.6503000000000001</v>
      </c>
      <c r="K181" s="768">
        <v>1.8472999999999999</v>
      </c>
      <c r="L181" s="768">
        <v>2.1867999999999999</v>
      </c>
      <c r="M181" s="768">
        <v>2.53E-2</v>
      </c>
    </row>
    <row r="182" spans="1:13" s="120" customFormat="1" ht="15" customHeight="1">
      <c r="A182" s="764" t="s">
        <v>27</v>
      </c>
      <c r="B182" s="767">
        <v>159267.79999999999</v>
      </c>
      <c r="C182" s="767">
        <v>8609.32</v>
      </c>
      <c r="D182" s="767">
        <v>635.05999999999995</v>
      </c>
      <c r="E182" s="767">
        <v>1045584.38</v>
      </c>
      <c r="F182" s="767">
        <v>253808.06</v>
      </c>
      <c r="G182" s="767">
        <v>47863.7</v>
      </c>
      <c r="H182" s="767">
        <v>4141.08</v>
      </c>
      <c r="I182" s="767">
        <v>196448.75</v>
      </c>
      <c r="J182" s="768">
        <v>1.6214999999999999</v>
      </c>
      <c r="K182" s="768">
        <v>1.7805</v>
      </c>
      <c r="L182" s="768">
        <v>2.0066000000000002</v>
      </c>
      <c r="M182" s="768">
        <v>2.5499999999999998E-2</v>
      </c>
    </row>
    <row r="183" spans="1:13" s="120" customFormat="1" ht="15" customHeight="1">
      <c r="A183" s="764" t="s">
        <v>28</v>
      </c>
      <c r="B183" s="767">
        <v>122071.79</v>
      </c>
      <c r="C183" s="767">
        <v>16734.46</v>
      </c>
      <c r="D183" s="767">
        <v>257.95999999999998</v>
      </c>
      <c r="E183" s="767">
        <v>938029.74</v>
      </c>
      <c r="F183" s="767">
        <v>171613.88</v>
      </c>
      <c r="G183" s="767">
        <v>41857</v>
      </c>
      <c r="H183" s="767">
        <v>5531.38</v>
      </c>
      <c r="I183" s="767">
        <v>169692.04</v>
      </c>
      <c r="J183" s="768">
        <v>1.726</v>
      </c>
      <c r="K183" s="768">
        <v>1.8607</v>
      </c>
      <c r="L183" s="768">
        <v>2.1572</v>
      </c>
      <c r="M183" s="768">
        <v>2.6499999999999999E-2</v>
      </c>
    </row>
    <row r="184" spans="1:13" s="120" customFormat="1" ht="15" customHeight="1">
      <c r="A184" s="764" t="s">
        <v>29</v>
      </c>
      <c r="B184" s="767">
        <v>117290.22</v>
      </c>
      <c r="C184" s="767">
        <v>12371.53</v>
      </c>
      <c r="D184" s="767">
        <v>1315.4</v>
      </c>
      <c r="E184" s="767">
        <v>853787.66</v>
      </c>
      <c r="F184" s="767">
        <v>137648.66</v>
      </c>
      <c r="G184" s="767">
        <v>21500.41</v>
      </c>
      <c r="H184" s="767">
        <v>2202.34</v>
      </c>
      <c r="I184" s="767">
        <v>213870.65</v>
      </c>
      <c r="J184" s="768">
        <v>1.7904</v>
      </c>
      <c r="K184" s="768">
        <v>1.883</v>
      </c>
      <c r="L184" s="768">
        <v>2.2275</v>
      </c>
      <c r="M184" s="768">
        <v>2.87E-2</v>
      </c>
    </row>
    <row r="185" spans="1:13" s="120" customFormat="1" ht="15" customHeight="1">
      <c r="A185" s="764" t="s">
        <v>1915</v>
      </c>
      <c r="B185" s="284">
        <v>1733190.68</v>
      </c>
      <c r="C185" s="956">
        <v>204188.99000000002</v>
      </c>
      <c r="D185" s="956">
        <v>7789.9</v>
      </c>
      <c r="E185" s="284">
        <v>14023485.4</v>
      </c>
      <c r="F185" s="284">
        <v>1759735.06</v>
      </c>
      <c r="G185" s="956">
        <v>526781.87</v>
      </c>
      <c r="H185" s="284">
        <v>32701.649999999998</v>
      </c>
      <c r="I185" s="284">
        <v>2941783.31</v>
      </c>
      <c r="J185" s="773">
        <v>1.7144999999999999</v>
      </c>
      <c r="K185" s="957">
        <v>1.9672000000000001</v>
      </c>
      <c r="L185" s="773">
        <v>2.2366999999999999</v>
      </c>
      <c r="M185" s="773">
        <v>2.8899999999999999E-2</v>
      </c>
    </row>
    <row r="186" spans="1:13" s="120" customFormat="1" ht="15" customHeight="1">
      <c r="A186" s="33" t="s">
        <v>18</v>
      </c>
      <c r="B186" s="3">
        <v>62842.42</v>
      </c>
      <c r="C186" s="958">
        <v>5985</v>
      </c>
      <c r="D186" s="958">
        <v>340.41</v>
      </c>
      <c r="E186" s="3">
        <v>798648.36</v>
      </c>
      <c r="F186" s="3">
        <v>130355.55</v>
      </c>
      <c r="G186" s="958">
        <v>14733.11</v>
      </c>
      <c r="H186" s="3">
        <v>1928.85</v>
      </c>
      <c r="I186" s="3">
        <v>142974.44</v>
      </c>
      <c r="J186" s="774">
        <v>1.8628</v>
      </c>
      <c r="K186" s="959">
        <v>1.9897</v>
      </c>
      <c r="L186" s="774">
        <v>2.2841999999999998</v>
      </c>
      <c r="M186" s="774">
        <v>3.0700000000000002E-2</v>
      </c>
    </row>
    <row r="187" spans="1:13" s="120" customFormat="1" ht="15" customHeight="1">
      <c r="A187" s="33" t="s">
        <v>19</v>
      </c>
      <c r="B187" s="3">
        <v>122732.34</v>
      </c>
      <c r="C187" s="958">
        <v>11696.06</v>
      </c>
      <c r="D187" s="958">
        <v>313.26</v>
      </c>
      <c r="E187" s="3">
        <v>812766.91</v>
      </c>
      <c r="F187" s="3">
        <v>125003.98</v>
      </c>
      <c r="G187" s="958">
        <v>18125.25</v>
      </c>
      <c r="H187" s="3">
        <v>1617.45</v>
      </c>
      <c r="I187" s="3">
        <v>187281.7</v>
      </c>
      <c r="J187" s="774">
        <v>1.7967</v>
      </c>
      <c r="K187" s="959">
        <v>1.92</v>
      </c>
      <c r="L187" s="774">
        <v>2.2425000000000002</v>
      </c>
      <c r="M187" s="774">
        <v>3.0200000000000001E-2</v>
      </c>
    </row>
    <row r="188" spans="1:13" s="120" customFormat="1" ht="15" customHeight="1">
      <c r="A188" s="33" t="s">
        <v>20</v>
      </c>
      <c r="B188" s="3">
        <v>91887.39</v>
      </c>
      <c r="C188" s="958">
        <v>16214.76</v>
      </c>
      <c r="D188" s="958">
        <v>610.32000000000005</v>
      </c>
      <c r="E188" s="3">
        <v>958407.44</v>
      </c>
      <c r="F188" s="3">
        <v>109682.87</v>
      </c>
      <c r="G188" s="958">
        <v>19762.59</v>
      </c>
      <c r="H188" s="3">
        <v>1541.05</v>
      </c>
      <c r="I188" s="3">
        <v>146529.17000000001</v>
      </c>
      <c r="J188" s="774">
        <v>1.7313000000000001</v>
      </c>
      <c r="K188" s="959">
        <v>1.8564000000000001</v>
      </c>
      <c r="L188" s="774">
        <v>2.1448</v>
      </c>
      <c r="M188" s="774">
        <v>2.9399999999999999E-2</v>
      </c>
    </row>
    <row r="189" spans="1:13" s="120" customFormat="1" ht="15" customHeight="1">
      <c r="A189" s="33" t="s">
        <v>21</v>
      </c>
      <c r="B189" s="3">
        <v>142898.20000000001</v>
      </c>
      <c r="C189" s="958">
        <v>23856.05</v>
      </c>
      <c r="D189" s="958">
        <v>768.21</v>
      </c>
      <c r="E189" s="3">
        <v>949362.15</v>
      </c>
      <c r="F189" s="3">
        <v>65670.81</v>
      </c>
      <c r="G189" s="958">
        <v>18510.39</v>
      </c>
      <c r="H189" s="3">
        <v>1842.79</v>
      </c>
      <c r="I189" s="3">
        <v>153252.25</v>
      </c>
      <c r="J189" s="774">
        <v>1.6843999999999999</v>
      </c>
      <c r="K189" s="959">
        <v>1.8208</v>
      </c>
      <c r="L189" s="774">
        <v>2.1533000000000002</v>
      </c>
      <c r="M189" s="774">
        <v>2.9399999999999999E-2</v>
      </c>
    </row>
    <row r="190" spans="1:13" s="120" customFormat="1" ht="15" customHeight="1">
      <c r="A190" s="33" t="s">
        <v>22</v>
      </c>
      <c r="B190" s="3">
        <v>138842.09</v>
      </c>
      <c r="C190" s="958">
        <v>24470.89</v>
      </c>
      <c r="D190" s="958">
        <v>574.91</v>
      </c>
      <c r="E190" s="3">
        <v>1216578.8700000001</v>
      </c>
      <c r="F190" s="3">
        <v>96469.41</v>
      </c>
      <c r="G190" s="958">
        <v>35033.120000000003</v>
      </c>
      <c r="H190" s="3">
        <v>1837.69</v>
      </c>
      <c r="I190" s="3">
        <v>222628.4</v>
      </c>
      <c r="J190" s="774">
        <v>1.6911</v>
      </c>
      <c r="K190" s="959">
        <v>1.8807</v>
      </c>
      <c r="L190" s="774">
        <v>2.1985999999999999</v>
      </c>
      <c r="M190" s="774">
        <v>2.9100000000000001E-2</v>
      </c>
    </row>
    <row r="191" spans="1:13" s="120" customFormat="1" ht="15" customHeight="1">
      <c r="A191" s="33" t="s">
        <v>23</v>
      </c>
      <c r="B191" s="3">
        <v>122047.06</v>
      </c>
      <c r="C191" s="958">
        <v>12156.14</v>
      </c>
      <c r="D191" s="958">
        <v>544.13</v>
      </c>
      <c r="E191" s="3">
        <v>1296177.24</v>
      </c>
      <c r="F191" s="3">
        <v>94486.79</v>
      </c>
      <c r="G191" s="958">
        <v>20418.05</v>
      </c>
      <c r="H191" s="3">
        <v>1582.24</v>
      </c>
      <c r="I191" s="3">
        <v>241799.37</v>
      </c>
      <c r="J191" s="774">
        <v>1.6924999999999999</v>
      </c>
      <c r="K191" s="959">
        <v>1.9021999999999999</v>
      </c>
      <c r="L191" s="774">
        <v>2.1812</v>
      </c>
      <c r="M191" s="774">
        <v>2.8799999999999999E-2</v>
      </c>
    </row>
    <row r="192" spans="1:13" s="120" customFormat="1" ht="15" customHeight="1">
      <c r="A192" s="33" t="s">
        <v>24</v>
      </c>
      <c r="B192" s="3">
        <v>147862.72</v>
      </c>
      <c r="C192" s="958">
        <v>20548.03</v>
      </c>
      <c r="D192" s="958">
        <v>593.85</v>
      </c>
      <c r="E192" s="3">
        <v>1449789.84</v>
      </c>
      <c r="F192" s="3">
        <v>143030.79999999999</v>
      </c>
      <c r="G192" s="958">
        <v>32051.58</v>
      </c>
      <c r="H192" s="3">
        <v>1743.31</v>
      </c>
      <c r="I192" s="3">
        <v>271438.15000000002</v>
      </c>
      <c r="J192" s="774">
        <v>1.6961999999999999</v>
      </c>
      <c r="K192" s="959">
        <v>1.9568000000000001</v>
      </c>
      <c r="L192" s="774">
        <v>2.2155999999999998</v>
      </c>
      <c r="M192" s="774">
        <v>2.8000000000000001E-2</v>
      </c>
    </row>
    <row r="193" spans="1:13" s="120" customFormat="1" ht="15" customHeight="1">
      <c r="A193" s="33" t="s">
        <v>25</v>
      </c>
      <c r="B193" s="3">
        <v>197293.82</v>
      </c>
      <c r="C193" s="958">
        <v>16163.04</v>
      </c>
      <c r="D193" s="958">
        <v>682.37</v>
      </c>
      <c r="E193" s="3">
        <v>1538892.56</v>
      </c>
      <c r="F193" s="3">
        <v>137491.47</v>
      </c>
      <c r="G193" s="958">
        <v>60947.93</v>
      </c>
      <c r="H193" s="3">
        <v>3615.68</v>
      </c>
      <c r="I193" s="3">
        <v>302818.53999999998</v>
      </c>
      <c r="J193" s="774">
        <v>1.6966000000000001</v>
      </c>
      <c r="K193" s="959">
        <v>2.0064000000000002</v>
      </c>
      <c r="L193" s="774">
        <v>2.2166000000000001</v>
      </c>
      <c r="M193" s="774">
        <v>2.81E-2</v>
      </c>
    </row>
    <row r="194" spans="1:13" s="120" customFormat="1" ht="15" customHeight="1">
      <c r="A194" s="33" t="s">
        <v>26</v>
      </c>
      <c r="B194" s="3">
        <v>164254.47</v>
      </c>
      <c r="C194" s="958">
        <v>20587.87</v>
      </c>
      <c r="D194" s="958">
        <v>594.13</v>
      </c>
      <c r="E194" s="3">
        <v>1310970.77</v>
      </c>
      <c r="F194" s="3">
        <v>171422.22</v>
      </c>
      <c r="G194" s="958">
        <v>48431.96</v>
      </c>
      <c r="H194" s="3">
        <v>3777.28</v>
      </c>
      <c r="I194" s="3">
        <v>272346.37</v>
      </c>
      <c r="J194" s="774">
        <v>1.6967000000000001</v>
      </c>
      <c r="K194" s="959">
        <v>2.0259</v>
      </c>
      <c r="L194" s="774">
        <v>2.2751000000000001</v>
      </c>
      <c r="M194" s="774">
        <v>2.9000000000000001E-2</v>
      </c>
    </row>
    <row r="195" spans="1:13" s="120" customFormat="1" ht="15" customHeight="1">
      <c r="A195" s="33" t="s">
        <v>27</v>
      </c>
      <c r="B195" s="3">
        <v>165139.29</v>
      </c>
      <c r="C195" s="958">
        <v>22282.76</v>
      </c>
      <c r="D195" s="958">
        <v>818.83</v>
      </c>
      <c r="E195" s="3">
        <v>1330458.68</v>
      </c>
      <c r="F195" s="3">
        <v>202513.87</v>
      </c>
      <c r="G195" s="958">
        <v>96796.37</v>
      </c>
      <c r="H195" s="3">
        <v>3671.19</v>
      </c>
      <c r="I195" s="3">
        <v>298248.17</v>
      </c>
      <c r="J195" s="774">
        <v>1.6994</v>
      </c>
      <c r="K195" s="959">
        <v>2.0024000000000002</v>
      </c>
      <c r="L195" s="774">
        <v>2.2534000000000001</v>
      </c>
      <c r="M195" s="774">
        <v>2.9000000000000001E-2</v>
      </c>
    </row>
    <row r="196" spans="1:13" s="120" customFormat="1" ht="15" customHeight="1">
      <c r="A196" s="33" t="s">
        <v>28</v>
      </c>
      <c r="B196" s="3">
        <v>182484.23</v>
      </c>
      <c r="C196" s="958">
        <v>15297.29</v>
      </c>
      <c r="D196" s="958">
        <v>1133.6600000000001</v>
      </c>
      <c r="E196" s="3">
        <v>1159648.08</v>
      </c>
      <c r="F196" s="3">
        <v>172735.33</v>
      </c>
      <c r="G196" s="958">
        <v>80931.009999999995</v>
      </c>
      <c r="H196" s="3">
        <v>1755.25</v>
      </c>
      <c r="I196" s="3">
        <v>372702.11</v>
      </c>
      <c r="J196" s="774">
        <v>1.6983999999999999</v>
      </c>
      <c r="K196" s="959">
        <v>1.9981</v>
      </c>
      <c r="L196" s="774">
        <v>2.2532000000000001</v>
      </c>
      <c r="M196" s="774">
        <v>2.8500000000000001E-2</v>
      </c>
    </row>
    <row r="197" spans="1:13" s="120" customFormat="1" ht="15" customHeight="1">
      <c r="A197" s="33" t="s">
        <v>29</v>
      </c>
      <c r="B197" s="3">
        <v>194906.65</v>
      </c>
      <c r="C197" s="958">
        <v>14931.1</v>
      </c>
      <c r="D197" s="958">
        <v>815.82</v>
      </c>
      <c r="E197" s="3">
        <v>1201784.5</v>
      </c>
      <c r="F197" s="3">
        <v>310871.96000000002</v>
      </c>
      <c r="G197" s="958">
        <v>81040.509999999995</v>
      </c>
      <c r="H197" s="3">
        <v>7788.87</v>
      </c>
      <c r="I197" s="3">
        <v>329764.64</v>
      </c>
      <c r="J197" s="774">
        <v>1.6998</v>
      </c>
      <c r="K197" s="959">
        <v>2.0162</v>
      </c>
      <c r="L197" s="774">
        <v>2.2776999999999998</v>
      </c>
      <c r="M197" s="774">
        <v>2.86E-2</v>
      </c>
    </row>
    <row r="198" spans="1:13" s="120" customFormat="1" ht="15" customHeight="1">
      <c r="A198" s="33" t="s">
        <v>2051</v>
      </c>
      <c r="B198" s="284">
        <v>2037197.1199999999</v>
      </c>
      <c r="C198" s="956">
        <v>302501.38</v>
      </c>
      <c r="D198" s="956">
        <v>9536.760000000002</v>
      </c>
      <c r="E198" s="284">
        <v>16291552.940000001</v>
      </c>
      <c r="F198" s="284">
        <v>3406108.65</v>
      </c>
      <c r="G198" s="956">
        <v>661712.14</v>
      </c>
      <c r="H198" s="284">
        <v>51206.71</v>
      </c>
      <c r="I198" s="284">
        <v>3575379.6100000003</v>
      </c>
      <c r="J198" s="773">
        <v>1.6999</v>
      </c>
      <c r="K198" s="957">
        <v>2.0004</v>
      </c>
      <c r="L198" s="773">
        <v>2.2749999999999999</v>
      </c>
      <c r="M198" s="773">
        <v>2.6599999999999999E-2</v>
      </c>
    </row>
    <row r="199" spans="1:13" s="120" customFormat="1" ht="15" customHeight="1">
      <c r="A199" s="33" t="s">
        <v>18</v>
      </c>
      <c r="B199" s="3">
        <v>195667.42</v>
      </c>
      <c r="C199" s="958">
        <v>12100.32</v>
      </c>
      <c r="D199" s="958">
        <v>1221.78</v>
      </c>
      <c r="E199" s="3">
        <v>1098682.3400000001</v>
      </c>
      <c r="F199" s="3">
        <v>162487.28</v>
      </c>
      <c r="G199" s="958">
        <v>45609.38</v>
      </c>
      <c r="H199" s="3">
        <v>3532.87</v>
      </c>
      <c r="I199" s="3">
        <v>289266.25</v>
      </c>
      <c r="J199" s="774">
        <v>1.6992</v>
      </c>
      <c r="K199" s="959">
        <v>2.0701999999999998</v>
      </c>
      <c r="L199" s="774">
        <v>2.3412000000000002</v>
      </c>
      <c r="M199" s="774">
        <v>2.9499999999999998E-2</v>
      </c>
    </row>
    <row r="200" spans="1:13" s="120" customFormat="1" ht="15" customHeight="1">
      <c r="A200" s="33" t="s">
        <v>19</v>
      </c>
      <c r="B200" s="3">
        <v>222427.25</v>
      </c>
      <c r="C200" s="958">
        <v>9055.61</v>
      </c>
      <c r="D200" s="958">
        <v>1089.18</v>
      </c>
      <c r="E200" s="3">
        <v>976085.65</v>
      </c>
      <c r="F200" s="3">
        <v>151155.29</v>
      </c>
      <c r="G200" s="958">
        <v>53160.66</v>
      </c>
      <c r="H200" s="3">
        <v>1743.77</v>
      </c>
      <c r="I200" s="3">
        <v>254511.3</v>
      </c>
      <c r="J200" s="774">
        <v>1.698</v>
      </c>
      <c r="K200" s="959">
        <v>2.0994000000000002</v>
      </c>
      <c r="L200" s="774">
        <v>2.3795000000000002</v>
      </c>
      <c r="M200" s="774">
        <v>2.9499999999999998E-2</v>
      </c>
    </row>
    <row r="201" spans="1:13" s="120" customFormat="1" ht="15" customHeight="1">
      <c r="A201" s="33" t="s">
        <v>20</v>
      </c>
      <c r="B201" s="3">
        <v>176131.9</v>
      </c>
      <c r="C201" s="958">
        <v>21939.17</v>
      </c>
      <c r="D201" s="958">
        <v>595.36</v>
      </c>
      <c r="E201" s="3">
        <v>1198349.4099999999</v>
      </c>
      <c r="F201" s="3">
        <v>204205.7</v>
      </c>
      <c r="G201" s="958">
        <v>48249.98</v>
      </c>
      <c r="H201" s="3">
        <v>2613.2800000000002</v>
      </c>
      <c r="I201" s="3">
        <v>247568.32</v>
      </c>
      <c r="J201" s="774">
        <v>1.6980999999999999</v>
      </c>
      <c r="K201" s="959">
        <v>2.0973000000000002</v>
      </c>
      <c r="L201" s="774">
        <v>2.3742999999999999</v>
      </c>
      <c r="M201" s="774">
        <v>2.93E-2</v>
      </c>
    </row>
    <row r="202" spans="1:13" s="120" customFormat="1" ht="15" customHeight="1">
      <c r="A202" s="33" t="s">
        <v>21</v>
      </c>
      <c r="B202" s="3">
        <v>133927.66</v>
      </c>
      <c r="C202" s="958">
        <v>19997.78</v>
      </c>
      <c r="D202" s="958">
        <v>1253.55</v>
      </c>
      <c r="E202" s="3">
        <v>1132335.8500000001</v>
      </c>
      <c r="F202" s="3">
        <v>545659.4</v>
      </c>
      <c r="G202" s="958">
        <v>62967.16</v>
      </c>
      <c r="H202" s="3">
        <v>2512.7199999999998</v>
      </c>
      <c r="I202" s="3">
        <v>341940.35</v>
      </c>
      <c r="J202" s="774">
        <v>1.7015</v>
      </c>
      <c r="K202" s="959">
        <v>2.0924</v>
      </c>
      <c r="L202" s="774">
        <v>2.4</v>
      </c>
      <c r="M202" s="774">
        <v>2.7699999999999999E-2</v>
      </c>
    </row>
    <row r="203" spans="1:13" s="120" customFormat="1" ht="15" customHeight="1">
      <c r="A203" s="33" t="s">
        <v>22</v>
      </c>
      <c r="B203" s="3">
        <v>160394.47</v>
      </c>
      <c r="C203" s="958">
        <v>22053.75</v>
      </c>
      <c r="D203" s="958">
        <v>764.29</v>
      </c>
      <c r="E203" s="3">
        <v>1375849.55</v>
      </c>
      <c r="F203" s="3">
        <v>187494.72</v>
      </c>
      <c r="G203" s="958">
        <v>67460.59</v>
      </c>
      <c r="H203" s="3">
        <v>8808.51</v>
      </c>
      <c r="I203" s="3">
        <v>306396.61</v>
      </c>
      <c r="J203" s="774">
        <v>1.6993</v>
      </c>
      <c r="K203" s="959">
        <v>2.0179</v>
      </c>
      <c r="L203" s="774">
        <v>2.2850000000000001</v>
      </c>
      <c r="M203" s="774">
        <v>2.69E-2</v>
      </c>
    </row>
    <row r="204" spans="1:13" s="120" customFormat="1" ht="15" customHeight="1">
      <c r="A204" s="33" t="s">
        <v>23</v>
      </c>
      <c r="B204" s="3">
        <v>148522.57</v>
      </c>
      <c r="C204" s="958">
        <v>30190.31</v>
      </c>
      <c r="D204" s="958">
        <v>676.62</v>
      </c>
      <c r="E204" s="3">
        <v>1504810.33</v>
      </c>
      <c r="F204" s="3">
        <v>167596.51999999999</v>
      </c>
      <c r="G204" s="958">
        <v>47547.61</v>
      </c>
      <c r="H204" s="3">
        <v>11095.53</v>
      </c>
      <c r="I204" s="3">
        <v>292937.33</v>
      </c>
      <c r="J204" s="774">
        <v>1.6984999999999999</v>
      </c>
      <c r="K204" s="959">
        <v>1.9883999999999999</v>
      </c>
      <c r="L204" s="774">
        <v>2.2772999999999999</v>
      </c>
      <c r="M204" s="774">
        <v>2.6700000000000002E-2</v>
      </c>
    </row>
    <row r="205" spans="1:13" s="120" customFormat="1" ht="15" customHeight="1">
      <c r="A205" s="33" t="s">
        <v>24</v>
      </c>
      <c r="B205" s="3">
        <v>175341.6</v>
      </c>
      <c r="C205" s="958">
        <v>21361.439999999999</v>
      </c>
      <c r="D205" s="958">
        <v>835.85</v>
      </c>
      <c r="E205" s="3">
        <v>1786008.18</v>
      </c>
      <c r="F205" s="3">
        <v>189306.63</v>
      </c>
      <c r="G205" s="958">
        <v>47152.61</v>
      </c>
      <c r="H205" s="3">
        <v>5419.93</v>
      </c>
      <c r="I205" s="3">
        <v>326867.93</v>
      </c>
      <c r="J205" s="774">
        <v>1.6983999999999999</v>
      </c>
      <c r="K205" s="959">
        <v>1.9858</v>
      </c>
      <c r="L205" s="774">
        <v>2.2503000000000002</v>
      </c>
      <c r="M205" s="774">
        <v>2.6599999999999999E-2</v>
      </c>
    </row>
    <row r="206" spans="1:13" s="120" customFormat="1" ht="15" customHeight="1">
      <c r="A206" s="33" t="s">
        <v>25</v>
      </c>
      <c r="B206" s="3">
        <v>157376.26</v>
      </c>
      <c r="C206" s="958">
        <v>28945.43</v>
      </c>
      <c r="D206" s="958">
        <v>790.56</v>
      </c>
      <c r="E206" s="3">
        <v>1628741.04</v>
      </c>
      <c r="F206" s="3">
        <v>542748.68999999994</v>
      </c>
      <c r="G206" s="958">
        <v>67401.259999999995</v>
      </c>
      <c r="H206" s="3">
        <v>3763.59</v>
      </c>
      <c r="I206" s="3">
        <v>358701.88</v>
      </c>
      <c r="J206" s="774">
        <v>1.7010000000000001</v>
      </c>
      <c r="K206" s="959">
        <v>1.9632000000000001</v>
      </c>
      <c r="L206" s="774">
        <v>2.1976</v>
      </c>
      <c r="M206" s="774">
        <v>2.52E-2</v>
      </c>
    </row>
    <row r="207" spans="1:13" s="120" customFormat="1" ht="15" customHeight="1">
      <c r="A207" s="33" t="s">
        <v>26</v>
      </c>
      <c r="B207" s="3">
        <v>154252.64000000001</v>
      </c>
      <c r="C207" s="958">
        <v>14973.34</v>
      </c>
      <c r="D207" s="958">
        <v>558.79999999999995</v>
      </c>
      <c r="E207" s="3">
        <v>1292759.26</v>
      </c>
      <c r="F207" s="3">
        <v>237262.07</v>
      </c>
      <c r="G207" s="958">
        <v>39015.050000000003</v>
      </c>
      <c r="H207" s="3">
        <v>3361.19</v>
      </c>
      <c r="I207" s="3">
        <v>276697.44</v>
      </c>
      <c r="J207" s="774">
        <v>1.7002999999999999</v>
      </c>
      <c r="K207" s="959">
        <v>1.9815</v>
      </c>
      <c r="L207" s="774">
        <v>2.2269999999999999</v>
      </c>
      <c r="M207" s="774">
        <v>2.47E-2</v>
      </c>
    </row>
    <row r="208" spans="1:13" s="120" customFormat="1" ht="15" customHeight="1">
      <c r="A208" s="33" t="s">
        <v>27</v>
      </c>
      <c r="B208" s="3">
        <v>176984.63</v>
      </c>
      <c r="C208" s="958">
        <v>16423.3</v>
      </c>
      <c r="D208" s="958">
        <v>606.91</v>
      </c>
      <c r="E208" s="3">
        <v>1541629.5</v>
      </c>
      <c r="F208" s="3">
        <v>217610.09</v>
      </c>
      <c r="G208" s="958">
        <v>76658.63</v>
      </c>
      <c r="H208" s="3">
        <v>3014.29</v>
      </c>
      <c r="I208" s="3">
        <v>279952.24</v>
      </c>
      <c r="J208" s="774">
        <v>1.7000999999999999</v>
      </c>
      <c r="K208" s="959">
        <v>1.9555</v>
      </c>
      <c r="L208" s="774">
        <v>2.2210000000000001</v>
      </c>
      <c r="M208" s="774">
        <v>2.5399999999999999E-2</v>
      </c>
    </row>
    <row r="209" spans="1:17" s="120" customFormat="1" ht="15" customHeight="1">
      <c r="A209" s="33" t="s">
        <v>28</v>
      </c>
      <c r="B209" s="3">
        <v>162842.26999999999</v>
      </c>
      <c r="C209" s="958">
        <v>15685.47</v>
      </c>
      <c r="D209" s="958">
        <v>593.69000000000005</v>
      </c>
      <c r="E209" s="3">
        <v>1434311.31</v>
      </c>
      <c r="F209" s="3">
        <v>216363.66</v>
      </c>
      <c r="G209" s="958">
        <v>70005.66</v>
      </c>
      <c r="H209" s="3">
        <v>1896.6</v>
      </c>
      <c r="I209" s="3">
        <v>282196.53999999998</v>
      </c>
      <c r="J209" s="774">
        <v>1.7</v>
      </c>
      <c r="K209" s="959">
        <v>1.9312</v>
      </c>
      <c r="L209" s="774">
        <v>2.2002000000000002</v>
      </c>
      <c r="M209" s="774">
        <v>2.52E-2</v>
      </c>
    </row>
    <row r="210" spans="1:17" s="120" customFormat="1" ht="15" customHeight="1">
      <c r="A210" s="33" t="s">
        <v>29</v>
      </c>
      <c r="B210" s="3">
        <v>173328.45</v>
      </c>
      <c r="C210" s="958">
        <v>89775.46</v>
      </c>
      <c r="D210" s="958">
        <v>550.16999999999996</v>
      </c>
      <c r="E210" s="3">
        <v>1321990.52</v>
      </c>
      <c r="F210" s="3">
        <v>584218.6</v>
      </c>
      <c r="G210" s="958">
        <v>36483.550000000003</v>
      </c>
      <c r="H210" s="3">
        <v>3444.43</v>
      </c>
      <c r="I210" s="3">
        <v>318343.42</v>
      </c>
      <c r="J210" s="774">
        <v>1.7012</v>
      </c>
      <c r="K210" s="959">
        <v>1.9248000000000001</v>
      </c>
      <c r="L210" s="774">
        <v>2.1631999999999998</v>
      </c>
      <c r="M210" s="774">
        <v>2.4899999999999999E-2</v>
      </c>
    </row>
    <row r="211" spans="1:17" s="120" customFormat="1" ht="15" customHeight="1">
      <c r="A211" s="33" t="s">
        <v>2144</v>
      </c>
      <c r="B211" s="284">
        <v>1828960.4804770001</v>
      </c>
      <c r="C211" s="956">
        <v>217814.84504000001</v>
      </c>
      <c r="D211" s="956">
        <v>10095.49706</v>
      </c>
      <c r="E211" s="284">
        <v>15021377.109969998</v>
      </c>
      <c r="F211" s="284">
        <v>2680553.323593</v>
      </c>
      <c r="G211" s="956">
        <v>578721.41978000011</v>
      </c>
      <c r="H211" s="284">
        <v>30265.910189999999</v>
      </c>
      <c r="I211" s="284">
        <v>3663539.2229619999</v>
      </c>
      <c r="J211" s="773">
        <v>1.7</v>
      </c>
      <c r="K211" s="957">
        <v>1.9004000000000001</v>
      </c>
      <c r="L211" s="773">
        <v>2.1688999999999998</v>
      </c>
      <c r="M211" s="773">
        <v>2.5899999999999999E-2</v>
      </c>
    </row>
    <row r="212" spans="1:17" s="120" customFormat="1" ht="15" customHeight="1">
      <c r="A212" s="33" t="s">
        <v>18</v>
      </c>
      <c r="B212" s="3">
        <v>163671.29999999999</v>
      </c>
      <c r="C212" s="958">
        <v>29674.720000000001</v>
      </c>
      <c r="D212" s="958">
        <v>719.04</v>
      </c>
      <c r="E212" s="3">
        <v>1253181.31</v>
      </c>
      <c r="F212" s="3">
        <v>299627.44</v>
      </c>
      <c r="G212" s="958">
        <v>59407.77</v>
      </c>
      <c r="H212" s="3">
        <v>2098.61</v>
      </c>
      <c r="I212" s="3">
        <v>252096.33</v>
      </c>
      <c r="J212" s="774">
        <v>1.7008000000000001</v>
      </c>
      <c r="K212" s="959">
        <v>1.9401999999999999</v>
      </c>
      <c r="L212" s="774">
        <v>2.1959</v>
      </c>
      <c r="M212" s="774">
        <v>2.5000000000000001E-2</v>
      </c>
    </row>
    <row r="213" spans="1:17" s="120" customFormat="1" ht="15" customHeight="1">
      <c r="A213" s="33" t="s">
        <v>19</v>
      </c>
      <c r="B213" s="3">
        <v>153717.03</v>
      </c>
      <c r="C213" s="958">
        <v>14180.08</v>
      </c>
      <c r="D213" s="958">
        <v>855.9</v>
      </c>
      <c r="E213" s="3">
        <v>978256.06</v>
      </c>
      <c r="F213" s="3">
        <v>170810.26</v>
      </c>
      <c r="G213" s="958">
        <v>53225.52</v>
      </c>
      <c r="H213" s="3">
        <v>1502.91</v>
      </c>
      <c r="I213" s="3">
        <v>267426.05</v>
      </c>
      <c r="J213" s="774">
        <v>1.6997</v>
      </c>
      <c r="K213" s="959">
        <v>1.9303999999999999</v>
      </c>
      <c r="L213" s="774">
        <v>2.2223000000000002</v>
      </c>
      <c r="M213" s="774">
        <v>2.5499999999999998E-2</v>
      </c>
    </row>
    <row r="214" spans="1:17" s="120" customFormat="1" ht="15" customHeight="1">
      <c r="A214" s="33" t="s">
        <v>20</v>
      </c>
      <c r="B214" s="3">
        <v>143899.39000000001</v>
      </c>
      <c r="C214" s="958">
        <v>8583.4699999999993</v>
      </c>
      <c r="D214" s="958">
        <v>706.6</v>
      </c>
      <c r="E214" s="3">
        <v>1053355.1499999999</v>
      </c>
      <c r="F214" s="3">
        <v>137994.79</v>
      </c>
      <c r="G214" s="958">
        <v>45580.77</v>
      </c>
      <c r="H214" s="3">
        <v>1391.54</v>
      </c>
      <c r="I214" s="3">
        <v>235847</v>
      </c>
      <c r="J214" s="774">
        <v>1.6990000000000001</v>
      </c>
      <c r="K214" s="959">
        <v>1.9195</v>
      </c>
      <c r="L214" s="774">
        <v>2.2496</v>
      </c>
      <c r="M214" s="774">
        <v>2.5700000000000001E-2</v>
      </c>
    </row>
    <row r="215" spans="1:17" s="120" customFormat="1" ht="15" customHeight="1">
      <c r="A215" s="33" t="s">
        <v>21</v>
      </c>
      <c r="B215" s="3">
        <v>163948.28</v>
      </c>
      <c r="C215" s="958">
        <v>15770.41</v>
      </c>
      <c r="D215" s="958">
        <v>591.64</v>
      </c>
      <c r="E215" s="3">
        <v>1243431.07</v>
      </c>
      <c r="F215" s="3">
        <v>164159.31</v>
      </c>
      <c r="G215" s="958">
        <v>55456.17</v>
      </c>
      <c r="H215" s="3">
        <v>1950.85</v>
      </c>
      <c r="I215" s="3">
        <v>302853.06</v>
      </c>
      <c r="J215" s="774">
        <v>1.6991000000000001</v>
      </c>
      <c r="K215" s="959">
        <v>1.9087000000000001</v>
      </c>
      <c r="L215" s="774">
        <v>2.2185000000000001</v>
      </c>
      <c r="M215" s="774">
        <v>2.5999999999999999E-2</v>
      </c>
    </row>
    <row r="216" spans="1:17" s="120" customFormat="1" ht="15" customHeight="1">
      <c r="A216" s="33" t="s">
        <v>22</v>
      </c>
      <c r="B216" s="3">
        <v>170757.32</v>
      </c>
      <c r="C216" s="958">
        <v>24247.919999999998</v>
      </c>
      <c r="D216" s="958">
        <v>660.48</v>
      </c>
      <c r="E216" s="3">
        <v>1348330.39</v>
      </c>
      <c r="F216" s="3">
        <v>173384.03</v>
      </c>
      <c r="G216" s="958">
        <v>56702.51</v>
      </c>
      <c r="H216" s="3">
        <v>2440.86</v>
      </c>
      <c r="I216" s="3">
        <v>298320.86</v>
      </c>
      <c r="J216" s="774">
        <v>1.6996</v>
      </c>
      <c r="K216" s="959">
        <v>1.8996</v>
      </c>
      <c r="L216" s="774">
        <v>2.1897000000000002</v>
      </c>
      <c r="M216" s="774">
        <v>2.5899999999999999E-2</v>
      </c>
    </row>
    <row r="217" spans="1:17" s="120" customFormat="1" ht="15" customHeight="1">
      <c r="A217" s="33" t="s">
        <v>23</v>
      </c>
      <c r="B217" s="3">
        <v>141842.62047699999</v>
      </c>
      <c r="C217" s="958">
        <v>17042.233990000001</v>
      </c>
      <c r="D217" s="958">
        <v>419.98964999999998</v>
      </c>
      <c r="E217" s="3">
        <v>1366787.6459900001</v>
      </c>
      <c r="F217" s="3">
        <v>179432.99728000001</v>
      </c>
      <c r="G217" s="958">
        <v>28292.613860000001</v>
      </c>
      <c r="H217" s="3">
        <v>2114.1963500000002</v>
      </c>
      <c r="I217" s="3">
        <v>250478.33849200001</v>
      </c>
      <c r="J217" s="774">
        <v>1.69914393814586</v>
      </c>
      <c r="K217" s="959">
        <v>1.9147219396094799</v>
      </c>
      <c r="L217" s="774">
        <v>2.1663093210845599</v>
      </c>
      <c r="M217" s="774">
        <v>2.6091196139589001E-2</v>
      </c>
    </row>
    <row r="218" spans="1:17" s="120" customFormat="1" ht="15" customHeight="1">
      <c r="A218" s="33" t="s">
        <v>24</v>
      </c>
      <c r="B218" s="3">
        <v>165505.99</v>
      </c>
      <c r="C218" s="958">
        <v>13732.61</v>
      </c>
      <c r="D218" s="958">
        <v>886.98</v>
      </c>
      <c r="E218" s="3">
        <v>1595208.94</v>
      </c>
      <c r="F218" s="3">
        <v>238970.48</v>
      </c>
      <c r="G218" s="958">
        <v>50172.72</v>
      </c>
      <c r="H218" s="3">
        <v>2907.9</v>
      </c>
      <c r="I218" s="3">
        <v>343017.39</v>
      </c>
      <c r="J218" s="774">
        <v>1.6996</v>
      </c>
      <c r="K218" s="959">
        <v>1.9052</v>
      </c>
      <c r="L218" s="774">
        <v>2.1328</v>
      </c>
      <c r="M218" s="774">
        <v>2.6499999999999999E-2</v>
      </c>
    </row>
    <row r="219" spans="1:17" s="120" customFormat="1" ht="15" customHeight="1">
      <c r="A219" s="764" t="s">
        <v>25</v>
      </c>
      <c r="B219" s="3">
        <v>141382.65</v>
      </c>
      <c r="C219" s="958">
        <v>12413.47</v>
      </c>
      <c r="D219" s="958">
        <v>887.27</v>
      </c>
      <c r="E219" s="3">
        <v>1354019</v>
      </c>
      <c r="F219" s="3">
        <v>226497.79</v>
      </c>
      <c r="G219" s="958">
        <v>40066.78</v>
      </c>
      <c r="H219" s="3">
        <v>3599.73</v>
      </c>
      <c r="I219" s="3">
        <v>396096.25</v>
      </c>
      <c r="J219" s="774">
        <v>1.7</v>
      </c>
      <c r="K219" s="959">
        <v>1.8851</v>
      </c>
      <c r="L219" s="774">
        <v>2.0779000000000001</v>
      </c>
      <c r="M219" s="774">
        <v>2.5499999999999998E-2</v>
      </c>
    </row>
    <row r="220" spans="1:17" s="120" customFormat="1" ht="15" customHeight="1">
      <c r="A220" s="764" t="s">
        <v>26</v>
      </c>
      <c r="B220" s="3">
        <v>135983.56</v>
      </c>
      <c r="C220" s="958">
        <v>16589.509999999998</v>
      </c>
      <c r="D220" s="958">
        <v>981.03</v>
      </c>
      <c r="E220" s="3">
        <v>1276902.01</v>
      </c>
      <c r="F220" s="3">
        <v>247068.7</v>
      </c>
      <c r="G220" s="958">
        <v>39163.83</v>
      </c>
      <c r="H220" s="3">
        <v>4028.82</v>
      </c>
      <c r="I220" s="3">
        <v>320206.2</v>
      </c>
      <c r="J220" s="774">
        <v>1.7003999999999999</v>
      </c>
      <c r="K220" s="959">
        <v>1.8651</v>
      </c>
      <c r="L220" s="774">
        <v>2.1082999999999998</v>
      </c>
      <c r="M220" s="774">
        <v>2.58E-2</v>
      </c>
    </row>
    <row r="221" spans="1:17" s="120" customFormat="1" ht="15" customHeight="1">
      <c r="A221" s="764" t="s">
        <v>27</v>
      </c>
      <c r="B221" s="3">
        <v>150120.32000000001</v>
      </c>
      <c r="C221" s="958">
        <v>23984.101050000001</v>
      </c>
      <c r="D221" s="958">
        <v>1055.2574099999999</v>
      </c>
      <c r="E221" s="3">
        <v>1287556.93398</v>
      </c>
      <c r="F221" s="3">
        <v>252325.93631300001</v>
      </c>
      <c r="G221" s="958">
        <v>58955.785920000002</v>
      </c>
      <c r="H221" s="3">
        <v>2492.0838399999998</v>
      </c>
      <c r="I221" s="3">
        <v>332290.18446999998</v>
      </c>
      <c r="J221" s="774">
        <v>1.7004547484122501</v>
      </c>
      <c r="K221" s="959">
        <v>1.8681562358683701</v>
      </c>
      <c r="L221" s="774">
        <v>2.1486281325494101</v>
      </c>
      <c r="M221" s="774">
        <v>2.6083952729924999E-2</v>
      </c>
    </row>
    <row r="222" spans="1:17" s="120" customFormat="1" ht="15" customHeight="1">
      <c r="A222" s="764" t="s">
        <v>28</v>
      </c>
      <c r="B222" s="3">
        <v>128239.08</v>
      </c>
      <c r="C222" s="958">
        <v>24934.48</v>
      </c>
      <c r="D222" s="958">
        <v>795.47</v>
      </c>
      <c r="E222" s="3">
        <v>1104245.4099999999</v>
      </c>
      <c r="F222" s="3">
        <v>237888.59</v>
      </c>
      <c r="G222" s="958">
        <v>43671.69</v>
      </c>
      <c r="H222" s="3">
        <v>1775.39</v>
      </c>
      <c r="I222" s="3">
        <v>312350.67</v>
      </c>
      <c r="J222" s="774">
        <v>1.7005999999999999</v>
      </c>
      <c r="K222" s="959">
        <v>1.8749</v>
      </c>
      <c r="L222" s="774">
        <v>2.1951999999999998</v>
      </c>
      <c r="M222" s="774">
        <v>2.63E-2</v>
      </c>
    </row>
    <row r="223" spans="1:17" s="120" customFormat="1" ht="15" customHeight="1">
      <c r="A223" s="764" t="s">
        <v>29</v>
      </c>
      <c r="B223" s="3">
        <v>169892.94</v>
      </c>
      <c r="C223" s="958">
        <v>16661.84</v>
      </c>
      <c r="D223" s="958">
        <v>1535.84</v>
      </c>
      <c r="E223" s="3">
        <v>1160103.19</v>
      </c>
      <c r="F223" s="3">
        <v>352393</v>
      </c>
      <c r="G223" s="958">
        <v>48025.26</v>
      </c>
      <c r="H223" s="3">
        <v>3963.02</v>
      </c>
      <c r="I223" s="3">
        <v>352556.89</v>
      </c>
      <c r="J223" s="774">
        <v>1.7009000000000001</v>
      </c>
      <c r="K223" s="959">
        <v>1.887</v>
      </c>
      <c r="L223" s="774">
        <v>2.2229000000000001</v>
      </c>
      <c r="M223" s="774">
        <v>2.6700000000000002E-2</v>
      </c>
    </row>
    <row r="224" spans="1:17" s="120" customFormat="1" ht="15" customHeight="1">
      <c r="A224" s="764" t="s">
        <v>2375</v>
      </c>
      <c r="B224" s="284">
        <v>1139348.2049699996</v>
      </c>
      <c r="C224" s="956">
        <v>76886.735909999989</v>
      </c>
      <c r="D224" s="956">
        <v>10786.069230000001</v>
      </c>
      <c r="E224" s="284">
        <v>14034223.376790002</v>
      </c>
      <c r="F224" s="284">
        <v>3374083.5499700001</v>
      </c>
      <c r="G224" s="956">
        <v>234422.74963999999</v>
      </c>
      <c r="H224" s="284">
        <v>19037.578869999998</v>
      </c>
      <c r="I224" s="284">
        <v>2675165.6641500001</v>
      </c>
      <c r="J224" s="773">
        <v>1.70127280633745</v>
      </c>
      <c r="K224" s="957">
        <v>1.9406890299955299</v>
      </c>
      <c r="L224" s="773">
        <v>2.1996674197356101</v>
      </c>
      <c r="M224" s="773">
        <v>2.35124039440513E-2</v>
      </c>
      <c r="N224" s="420"/>
      <c r="O224" s="420"/>
      <c r="P224" s="420"/>
      <c r="Q224" s="420"/>
    </row>
    <row r="225" spans="1:15" s="120" customFormat="1" ht="15" customHeight="1">
      <c r="A225" s="764" t="s">
        <v>18</v>
      </c>
      <c r="B225" s="3">
        <v>129177.8</v>
      </c>
      <c r="C225" s="958">
        <v>11673.33</v>
      </c>
      <c r="D225" s="958">
        <v>2579.29</v>
      </c>
      <c r="E225" s="3">
        <v>1335231.01</v>
      </c>
      <c r="F225" s="3">
        <v>220195.56</v>
      </c>
      <c r="G225" s="958">
        <v>30801.74</v>
      </c>
      <c r="H225" s="3">
        <v>3611.22</v>
      </c>
      <c r="I225" s="3">
        <v>326309.58</v>
      </c>
      <c r="J225" s="774">
        <v>1.7004999999999999</v>
      </c>
      <c r="K225" s="959">
        <v>1.8842000000000001</v>
      </c>
      <c r="L225" s="774">
        <v>2.2168999999999999</v>
      </c>
      <c r="M225" s="774">
        <v>2.7099999999999999E-2</v>
      </c>
    </row>
    <row r="226" spans="1:15" s="120" customFormat="1" ht="15" customHeight="1">
      <c r="A226" s="764" t="s">
        <v>19</v>
      </c>
      <c r="B226" s="3">
        <v>127873.7</v>
      </c>
      <c r="C226" s="958">
        <v>10275.43</v>
      </c>
      <c r="D226" s="958">
        <v>2906.6</v>
      </c>
      <c r="E226" s="3">
        <v>1143897.71</v>
      </c>
      <c r="F226" s="3">
        <v>263471.68</v>
      </c>
      <c r="G226" s="958">
        <v>42940.639999999999</v>
      </c>
      <c r="H226" s="3">
        <v>4692.2299999999996</v>
      </c>
      <c r="I226" s="3">
        <v>378284.27</v>
      </c>
      <c r="J226" s="774">
        <v>1.7007000000000001</v>
      </c>
      <c r="K226" s="959">
        <v>1.8519000000000001</v>
      </c>
      <c r="L226" s="774">
        <v>2.2050999999999998</v>
      </c>
      <c r="M226" s="774">
        <v>2.63E-2</v>
      </c>
    </row>
    <row r="227" spans="1:15" s="120" customFormat="1" ht="15" customHeight="1">
      <c r="A227" s="764" t="s">
        <v>20</v>
      </c>
      <c r="B227" s="3">
        <v>86101.55</v>
      </c>
      <c r="C227" s="958">
        <v>7556.77</v>
      </c>
      <c r="D227" s="958">
        <v>1267.6600000000001</v>
      </c>
      <c r="E227" s="3">
        <v>953358.86</v>
      </c>
      <c r="F227" s="3">
        <v>1163372.99</v>
      </c>
      <c r="G227" s="958">
        <v>19766.89</v>
      </c>
      <c r="H227" s="3">
        <v>3242.84</v>
      </c>
      <c r="I227" s="3">
        <v>430584.58</v>
      </c>
      <c r="J227" s="774">
        <v>1.702</v>
      </c>
      <c r="K227" s="959">
        <v>1.9077999999999999</v>
      </c>
      <c r="L227" s="774">
        <v>2.1509999999999998</v>
      </c>
      <c r="M227" s="774">
        <v>2.3199999999999998E-2</v>
      </c>
    </row>
    <row r="228" spans="1:15" s="120" customFormat="1" ht="15" customHeight="1">
      <c r="A228" s="764" t="s">
        <v>21</v>
      </c>
      <c r="B228" s="3">
        <v>41973.75</v>
      </c>
      <c r="C228" s="958">
        <v>3993.54</v>
      </c>
      <c r="D228" s="958">
        <v>156.29</v>
      </c>
      <c r="E228" s="3">
        <v>545192</v>
      </c>
      <c r="F228" s="3">
        <v>304070.59000000003</v>
      </c>
      <c r="G228" s="958">
        <v>5250.26</v>
      </c>
      <c r="H228" s="3">
        <v>674.85</v>
      </c>
      <c r="I228" s="3">
        <v>169439.44</v>
      </c>
      <c r="J228" s="774">
        <v>1.7019</v>
      </c>
      <c r="K228" s="959">
        <v>1.8504</v>
      </c>
      <c r="L228" s="774">
        <v>2.1248999999999998</v>
      </c>
      <c r="M228" s="774">
        <v>2.24E-2</v>
      </c>
    </row>
    <row r="229" spans="1:15" s="120" customFormat="1" ht="15" customHeight="1">
      <c r="A229" s="764" t="s">
        <v>22</v>
      </c>
      <c r="B229" s="3">
        <v>71194.2</v>
      </c>
      <c r="C229" s="958">
        <v>4732.96</v>
      </c>
      <c r="D229" s="958">
        <v>189.26</v>
      </c>
      <c r="E229" s="3">
        <v>874265.88</v>
      </c>
      <c r="F229" s="3">
        <v>227815.41</v>
      </c>
      <c r="G229" s="958">
        <v>16002.63</v>
      </c>
      <c r="H229" s="3">
        <v>540.11</v>
      </c>
      <c r="I229" s="3">
        <v>167926.13</v>
      </c>
      <c r="J229" s="774">
        <v>1.7014</v>
      </c>
      <c r="K229" s="959">
        <v>1.8619000000000001</v>
      </c>
      <c r="L229" s="774">
        <v>2.1025999999999998</v>
      </c>
      <c r="M229" s="774">
        <v>2.3E-2</v>
      </c>
    </row>
    <row r="230" spans="1:15" s="120" customFormat="1" ht="15" customHeight="1">
      <c r="A230" s="764" t="s">
        <v>23</v>
      </c>
      <c r="B230" s="3">
        <v>103487.93</v>
      </c>
      <c r="C230" s="958">
        <v>6425.45</v>
      </c>
      <c r="D230" s="958">
        <v>359.96</v>
      </c>
      <c r="E230" s="3">
        <v>1347580.82</v>
      </c>
      <c r="F230" s="3">
        <v>144686.88</v>
      </c>
      <c r="G230" s="958">
        <v>14051.01</v>
      </c>
      <c r="H230" s="3">
        <v>521.04999999999995</v>
      </c>
      <c r="I230" s="3">
        <v>168672.46</v>
      </c>
      <c r="J230" s="774">
        <v>1.7007000000000001</v>
      </c>
      <c r="K230" s="959">
        <v>1.9225000000000001</v>
      </c>
      <c r="L230" s="774">
        <v>2.1309999999999998</v>
      </c>
      <c r="M230" s="774">
        <v>2.4199999999999999E-2</v>
      </c>
    </row>
    <row r="231" spans="1:15" s="120" customFormat="1" ht="15" customHeight="1">
      <c r="A231" s="764" t="s">
        <v>24</v>
      </c>
      <c r="B231" s="3">
        <v>95934.71</v>
      </c>
      <c r="C231" s="958">
        <v>4874.34</v>
      </c>
      <c r="D231" s="958">
        <v>397.44</v>
      </c>
      <c r="E231" s="3">
        <v>1360945.32</v>
      </c>
      <c r="F231" s="3">
        <v>149677.46</v>
      </c>
      <c r="G231" s="958">
        <v>20996.16</v>
      </c>
      <c r="H231" s="3">
        <v>889.8</v>
      </c>
      <c r="I231" s="3">
        <v>170105.36</v>
      </c>
      <c r="J231" s="774">
        <v>1.7008000000000001</v>
      </c>
      <c r="K231" s="959">
        <v>1.9711000000000001</v>
      </c>
      <c r="L231" s="774">
        <v>2.1596000000000002</v>
      </c>
      <c r="M231" s="774">
        <v>2.35E-2</v>
      </c>
    </row>
    <row r="232" spans="1:15" s="120" customFormat="1" ht="15" customHeight="1">
      <c r="A232" s="764" t="s">
        <v>25</v>
      </c>
      <c r="B232" s="3">
        <v>91321.804940000002</v>
      </c>
      <c r="C232" s="958">
        <v>6080.9369999999999</v>
      </c>
      <c r="D232" s="958">
        <v>1411.0861299999999</v>
      </c>
      <c r="E232" s="3">
        <v>1259726.9445400001</v>
      </c>
      <c r="F232" s="3">
        <v>151834.47021999999</v>
      </c>
      <c r="G232" s="958">
        <v>10569.656499999999</v>
      </c>
      <c r="H232" s="3">
        <v>1187.7083</v>
      </c>
      <c r="I232" s="3">
        <v>190683.82297000001</v>
      </c>
      <c r="J232" s="774">
        <v>1.7009596729938501</v>
      </c>
      <c r="K232" s="959">
        <v>2.0151601531455299</v>
      </c>
      <c r="L232" s="774">
        <v>2.2399348930434599</v>
      </c>
      <c r="M232" s="774">
        <v>2.2792466209623E-2</v>
      </c>
    </row>
    <row r="233" spans="1:15" s="120" customFormat="1" ht="15" customHeight="1">
      <c r="A233" s="764" t="s">
        <v>26</v>
      </c>
      <c r="B233" s="3">
        <v>118460.06071999999</v>
      </c>
      <c r="C233" s="958">
        <v>4950.3394099999996</v>
      </c>
      <c r="D233" s="958">
        <v>380.99586000000102</v>
      </c>
      <c r="E233" s="3">
        <v>1334354.3741299999</v>
      </c>
      <c r="F233" s="3">
        <v>170637.43161999999</v>
      </c>
      <c r="G233" s="958">
        <v>27461.13651</v>
      </c>
      <c r="H233" s="3">
        <v>1311.46108</v>
      </c>
      <c r="I233" s="3">
        <v>190143.28438</v>
      </c>
      <c r="J233" s="774">
        <v>1.7007467077412599</v>
      </c>
      <c r="K233" s="959">
        <v>2.0262512814904898</v>
      </c>
      <c r="L233" s="774">
        <v>2.2184442689058899</v>
      </c>
      <c r="M233" s="774">
        <v>2.2212882609727501E-2</v>
      </c>
    </row>
    <row r="234" spans="1:15" s="120" customFormat="1" ht="15" customHeight="1">
      <c r="A234" s="764">
        <v>10</v>
      </c>
      <c r="B234" s="3">
        <v>85358.221879999895</v>
      </c>
      <c r="C234" s="958">
        <v>4405.9574400000001</v>
      </c>
      <c r="D234" s="958">
        <v>394.78100999999998</v>
      </c>
      <c r="E234" s="3">
        <v>1251718.2069300001</v>
      </c>
      <c r="F234" s="3">
        <v>199928.80455</v>
      </c>
      <c r="G234" s="958">
        <v>15453.68547</v>
      </c>
      <c r="H234" s="3">
        <v>948.12987999999996</v>
      </c>
      <c r="I234" s="3">
        <v>162924.0814</v>
      </c>
      <c r="J234" s="774">
        <v>1.7011971586435699</v>
      </c>
      <c r="K234" s="959">
        <v>2.0121586894857701</v>
      </c>
      <c r="L234" s="774">
        <v>2.2154206564711099</v>
      </c>
      <c r="M234" s="774">
        <v>2.1659466473280199E-2</v>
      </c>
      <c r="O234" s="443"/>
    </row>
    <row r="235" spans="1:15" s="120" customFormat="1" ht="15" customHeight="1">
      <c r="A235" s="764">
        <v>11</v>
      </c>
      <c r="B235" s="3">
        <v>90890.522409999903</v>
      </c>
      <c r="C235" s="958">
        <v>5121.3349900000003</v>
      </c>
      <c r="D235" s="958">
        <v>299.57458000000003</v>
      </c>
      <c r="E235" s="3">
        <v>1257233.53095</v>
      </c>
      <c r="F235" s="3">
        <v>139180.67468</v>
      </c>
      <c r="G235" s="958">
        <v>15679.763430000001</v>
      </c>
      <c r="H235" s="3">
        <v>701.14634000000001</v>
      </c>
      <c r="I235" s="3">
        <v>150818.10268000001</v>
      </c>
      <c r="J235" s="774">
        <v>1.70086774119414</v>
      </c>
      <c r="K235" s="959">
        <v>2.0185519590410199</v>
      </c>
      <c r="L235" s="774">
        <v>2.2548534779097098</v>
      </c>
      <c r="M235" s="774">
        <v>2.1809931004134399E-2</v>
      </c>
    </row>
    <row r="236" spans="1:15" s="120" customFormat="1" ht="15" customHeight="1">
      <c r="A236" s="764" t="s">
        <v>29</v>
      </c>
      <c r="B236" s="3">
        <v>97573.955020000096</v>
      </c>
      <c r="C236" s="958">
        <v>6796.3470699999998</v>
      </c>
      <c r="D236" s="958">
        <v>443.13164999999998</v>
      </c>
      <c r="E236" s="3">
        <v>1370718.7202399999</v>
      </c>
      <c r="F236" s="3">
        <v>239211.59890000001</v>
      </c>
      <c r="G236" s="958">
        <v>15449.177729999999</v>
      </c>
      <c r="H236" s="3">
        <v>717.03327000000002</v>
      </c>
      <c r="I236" s="3">
        <v>169274.55272000001</v>
      </c>
      <c r="J236" s="774">
        <v>1.70114060086293</v>
      </c>
      <c r="K236" s="959">
        <v>2.07665091398415</v>
      </c>
      <c r="L236" s="774">
        <v>2.28917834094915</v>
      </c>
      <c r="M236" s="774">
        <v>2.2629359433129301E-2</v>
      </c>
    </row>
    <row r="237" spans="1:15" s="444" customFormat="1" ht="15" customHeight="1">
      <c r="A237" s="33">
        <v>2021</v>
      </c>
      <c r="B237" s="284">
        <v>1353122.6939949999</v>
      </c>
      <c r="C237" s="956">
        <v>68723.30432999997</v>
      </c>
      <c r="D237" s="956">
        <v>7064.6906999999992</v>
      </c>
      <c r="E237" s="284">
        <v>17728430.71342</v>
      </c>
      <c r="F237" s="284">
        <v>2095909.0901850001</v>
      </c>
      <c r="G237" s="956">
        <v>176417.93155000001</v>
      </c>
      <c r="H237" s="284">
        <v>10534.389369999999</v>
      </c>
      <c r="I237" s="284">
        <v>2244494.2087519998</v>
      </c>
      <c r="J237" s="773">
        <v>1.6998789203820801</v>
      </c>
      <c r="K237" s="957">
        <v>2.0172060047374898</v>
      </c>
      <c r="L237" s="773">
        <v>2.3345170676293798</v>
      </c>
      <c r="M237" s="773">
        <v>2.2781804962029702E-2</v>
      </c>
    </row>
    <row r="238" spans="1:15" s="120" customFormat="1" ht="15" customHeight="1">
      <c r="A238" s="764" t="s">
        <v>18</v>
      </c>
      <c r="B238" s="3">
        <v>67729.017049999995</v>
      </c>
      <c r="C238" s="958">
        <v>3962.5109699999998</v>
      </c>
      <c r="D238" s="958">
        <v>302.34048999999999</v>
      </c>
      <c r="E238" s="3">
        <v>1008943.29963</v>
      </c>
      <c r="F238" s="3">
        <v>325402.07</v>
      </c>
      <c r="G238" s="958">
        <v>10554.11938</v>
      </c>
      <c r="H238" s="3">
        <v>668.99947999999995</v>
      </c>
      <c r="I238" s="3">
        <v>139390.29785999999</v>
      </c>
      <c r="J238" s="774">
        <v>1.7015515922023201</v>
      </c>
      <c r="K238" s="959">
        <v>2.07675894562218</v>
      </c>
      <c r="L238" s="774">
        <v>2.3302072623769399</v>
      </c>
      <c r="M238" s="774">
        <v>2.25168693848724E-2</v>
      </c>
    </row>
    <row r="239" spans="1:15" s="120" customFormat="1" ht="15" customHeight="1">
      <c r="A239" s="764" t="s">
        <v>19</v>
      </c>
      <c r="B239" s="3">
        <v>142398.47443</v>
      </c>
      <c r="C239" s="958">
        <v>4953.9741899999999</v>
      </c>
      <c r="D239" s="958">
        <v>341.63711999999998</v>
      </c>
      <c r="E239" s="3">
        <v>1074123.13377</v>
      </c>
      <c r="F239" s="3">
        <v>167397.70026000001</v>
      </c>
      <c r="G239" s="958">
        <v>16124.94174</v>
      </c>
      <c r="H239" s="3">
        <v>683.98611000000005</v>
      </c>
      <c r="I239" s="3">
        <v>163330.4804</v>
      </c>
      <c r="J239" s="774">
        <v>1.7005499733452201</v>
      </c>
      <c r="K239" s="959">
        <v>2.0721963456861698</v>
      </c>
      <c r="L239" s="774">
        <v>2.3611649871737002</v>
      </c>
      <c r="M239" s="774">
        <v>2.2534712288879499E-2</v>
      </c>
    </row>
    <row r="240" spans="1:15" s="120" customFormat="1" ht="15" customHeight="1">
      <c r="A240" s="764" t="s">
        <v>20</v>
      </c>
      <c r="B240" s="3">
        <v>120584.33186999999</v>
      </c>
      <c r="C240" s="958">
        <v>4981.7416799999901</v>
      </c>
      <c r="D240" s="958">
        <v>792.71668999999895</v>
      </c>
      <c r="E240" s="3">
        <v>1234576.9984500001</v>
      </c>
      <c r="F240" s="3">
        <v>133451.87679000001</v>
      </c>
      <c r="G240" s="958">
        <v>11226.961310000001</v>
      </c>
      <c r="H240" s="3">
        <v>545.61159999999995</v>
      </c>
      <c r="I240" s="3">
        <v>182529.32957</v>
      </c>
      <c r="J240" s="774">
        <v>1.7005982680607901</v>
      </c>
      <c r="K240" s="959">
        <v>2.0328994257456601</v>
      </c>
      <c r="L240" s="774">
        <v>2.3595357803599901</v>
      </c>
      <c r="M240" s="774">
        <v>2.2599999999999999E-2</v>
      </c>
    </row>
    <row r="241" spans="1:13" s="120" customFormat="1" ht="15" customHeight="1">
      <c r="A241" s="764" t="s">
        <v>21</v>
      </c>
      <c r="B241" s="3">
        <v>130628.26105</v>
      </c>
      <c r="C241" s="958">
        <v>5667.4075899999998</v>
      </c>
      <c r="D241" s="958">
        <v>543.68498</v>
      </c>
      <c r="E241" s="3">
        <v>1264842.3358</v>
      </c>
      <c r="F241" s="3">
        <v>129963.82618</v>
      </c>
      <c r="G241" s="958">
        <v>18577.615590000001</v>
      </c>
      <c r="H241" s="3">
        <v>777.03611999999998</v>
      </c>
      <c r="I241" s="3">
        <v>187533.87695000001</v>
      </c>
      <c r="J241" s="774">
        <v>1.7001506529248001</v>
      </c>
      <c r="K241" s="959">
        <v>2.03890281178065</v>
      </c>
      <c r="L241" s="774">
        <v>2.3586997673006098</v>
      </c>
      <c r="M241" s="774">
        <v>2.2046631410570099E-2</v>
      </c>
    </row>
    <row r="242" spans="1:13" s="120" customFormat="1" ht="15" customHeight="1">
      <c r="A242" s="764" t="s">
        <v>22</v>
      </c>
      <c r="B242" s="3">
        <v>99009.420870000002</v>
      </c>
      <c r="C242" s="958">
        <v>5828.3640999999998</v>
      </c>
      <c r="D242" s="958">
        <v>343.02161000000001</v>
      </c>
      <c r="E242" s="3">
        <v>1365262.41928</v>
      </c>
      <c r="F242" s="3">
        <v>80063.657070000103</v>
      </c>
      <c r="G242" s="958">
        <v>7447.8089200000004</v>
      </c>
      <c r="H242" s="3">
        <v>492.90359000000001</v>
      </c>
      <c r="I242" s="3">
        <v>145804.62443</v>
      </c>
      <c r="J242" s="774">
        <v>1.6987438809212301</v>
      </c>
      <c r="K242" s="959">
        <v>2.06216494221322</v>
      </c>
      <c r="L242" s="774">
        <v>2.3888681795667801</v>
      </c>
      <c r="M242" s="774">
        <v>2.2669888875182301E-2</v>
      </c>
    </row>
    <row r="243" spans="1:13" s="120" customFormat="1" ht="15" customHeight="1">
      <c r="A243" s="764" t="s">
        <v>23</v>
      </c>
      <c r="B243" s="3">
        <v>128456.81660999999</v>
      </c>
      <c r="C243" s="958">
        <v>6224.9764599999999</v>
      </c>
      <c r="D243" s="958">
        <v>504.78735999999998</v>
      </c>
      <c r="E243" s="3">
        <v>1671321.07895</v>
      </c>
      <c r="F243" s="3">
        <v>76731.979974999995</v>
      </c>
      <c r="G243" s="958">
        <v>18642.350729999998</v>
      </c>
      <c r="H243" s="3">
        <v>640.92808000000002</v>
      </c>
      <c r="I243" s="3">
        <v>170743.14816000001</v>
      </c>
      <c r="J243" s="774">
        <v>1.6977147905575301</v>
      </c>
      <c r="K243" s="959">
        <v>2.0584825298948801</v>
      </c>
      <c r="L243" s="774">
        <v>2.3881673090676001</v>
      </c>
      <c r="M243" s="774">
        <v>2.3046396678137598E-2</v>
      </c>
    </row>
    <row r="244" spans="1:13" s="120" customFormat="1" ht="15" customHeight="1">
      <c r="A244" s="764" t="s">
        <v>24</v>
      </c>
      <c r="B244" s="3">
        <v>119105.17561000001</v>
      </c>
      <c r="C244" s="958">
        <v>6219.4241499999998</v>
      </c>
      <c r="D244" s="958">
        <v>548.88593000000003</v>
      </c>
      <c r="E244" s="3">
        <v>1751527.3602799999</v>
      </c>
      <c r="F244" s="3">
        <v>94189.031239999997</v>
      </c>
      <c r="G244" s="958">
        <v>17442.229240000001</v>
      </c>
      <c r="H244" s="3">
        <v>878.55136000000005</v>
      </c>
      <c r="I244" s="3">
        <v>182588.02163999999</v>
      </c>
      <c r="J244" s="774">
        <v>1.69740943825329</v>
      </c>
      <c r="K244" s="959">
        <v>2.0176691678589398</v>
      </c>
      <c r="L244" s="774">
        <v>2.3503277469695401</v>
      </c>
      <c r="M244" s="774">
        <v>2.26298352942567E-2</v>
      </c>
    </row>
    <row r="245" spans="1:13" s="120" customFormat="1" ht="15" customHeight="1">
      <c r="A245" s="764" t="s">
        <v>25</v>
      </c>
      <c r="B245" s="3">
        <v>124014.81999</v>
      </c>
      <c r="C245" s="958">
        <v>7392.7703299999903</v>
      </c>
      <c r="D245" s="958">
        <v>792.72496000000001</v>
      </c>
      <c r="E245" s="3">
        <v>1810859.44619</v>
      </c>
      <c r="F245" s="3">
        <v>95337.597274999905</v>
      </c>
      <c r="G245" s="958">
        <v>16897.801589999999</v>
      </c>
      <c r="H245" s="3">
        <v>1095.69084</v>
      </c>
      <c r="I245" s="3">
        <v>202109.438012</v>
      </c>
      <c r="J245" s="774">
        <v>1.69763117378291</v>
      </c>
      <c r="K245" s="959">
        <v>2.0117672904672399</v>
      </c>
      <c r="L245" s="774">
        <v>2.3442796461070698</v>
      </c>
      <c r="M245" s="774">
        <v>2.2736026562882702E-2</v>
      </c>
    </row>
    <row r="246" spans="1:13" s="120" customFormat="1" ht="15" customHeight="1">
      <c r="A246" s="764" t="s">
        <v>26</v>
      </c>
      <c r="B246" s="3">
        <v>120596.05506</v>
      </c>
      <c r="C246" s="958">
        <v>6788.9341700000004</v>
      </c>
      <c r="D246" s="958">
        <v>665.55245000000002</v>
      </c>
      <c r="E246" s="3">
        <v>1842645.3886200001</v>
      </c>
      <c r="F246" s="3">
        <v>95398.858565000002</v>
      </c>
      <c r="G246" s="958">
        <v>12099.25347</v>
      </c>
      <c r="H246" s="3">
        <v>1702.20946</v>
      </c>
      <c r="I246" s="3">
        <v>222636.88178</v>
      </c>
      <c r="J246" s="774">
        <v>1.6977464394589199</v>
      </c>
      <c r="K246" s="959">
        <v>2.0087012202564098</v>
      </c>
      <c r="L246" s="774">
        <v>2.3452832903583598</v>
      </c>
      <c r="M246" s="774">
        <v>2.2986620556220302E-2</v>
      </c>
    </row>
    <row r="247" spans="1:13" s="120" customFormat="1" ht="15" customHeight="1">
      <c r="A247" s="764" t="s">
        <v>27</v>
      </c>
      <c r="B247" s="3">
        <v>100211.977925</v>
      </c>
      <c r="C247" s="958">
        <v>5369.59105</v>
      </c>
      <c r="D247" s="958">
        <v>732.63178000000005</v>
      </c>
      <c r="E247" s="3">
        <v>1740455.36259</v>
      </c>
      <c r="F247" s="3">
        <v>159261.63738</v>
      </c>
      <c r="G247" s="958">
        <v>16386.29492</v>
      </c>
      <c r="H247" s="3">
        <v>952.33226000000002</v>
      </c>
      <c r="I247" s="3">
        <v>204872.45767</v>
      </c>
      <c r="J247" s="774">
        <v>1.69906832113912</v>
      </c>
      <c r="K247" s="959">
        <v>1.98095284915046</v>
      </c>
      <c r="L247" s="774">
        <v>2.3205355018348</v>
      </c>
      <c r="M247" s="774">
        <v>2.3469729099764702E-2</v>
      </c>
    </row>
    <row r="248" spans="1:13" s="120" customFormat="1" ht="15" customHeight="1">
      <c r="A248" s="764" t="s">
        <v>28</v>
      </c>
      <c r="B248" s="3">
        <v>96302.142829999997</v>
      </c>
      <c r="C248" s="958">
        <v>5009.7479000000003</v>
      </c>
      <c r="D248" s="958">
        <v>969.44595000000004</v>
      </c>
      <c r="E248" s="3">
        <v>1484149.9929800001</v>
      </c>
      <c r="F248" s="3">
        <v>316819.46917</v>
      </c>
      <c r="G248" s="958">
        <v>14297.829890000001</v>
      </c>
      <c r="H248" s="3">
        <v>1111.2802099999999</v>
      </c>
      <c r="I248" s="3">
        <v>211532.69815000001</v>
      </c>
      <c r="J248" s="774">
        <v>1.7010016732536799</v>
      </c>
      <c r="K248" s="959">
        <v>1.9469072292099801</v>
      </c>
      <c r="L248" s="774">
        <v>2.2740438163040202</v>
      </c>
      <c r="M248" s="774">
        <v>2.30369196506525E-2</v>
      </c>
    </row>
    <row r="249" spans="1:13" s="120" customFormat="1" ht="15" customHeight="1">
      <c r="A249" s="764" t="s">
        <v>29</v>
      </c>
      <c r="B249" s="3">
        <v>104086.2007</v>
      </c>
      <c r="C249" s="958">
        <v>6323.8617399999903</v>
      </c>
      <c r="D249" s="958">
        <v>527.26138000000003</v>
      </c>
      <c r="E249" s="3">
        <v>1479723.8968799999</v>
      </c>
      <c r="F249" s="3">
        <v>421891.38627999998</v>
      </c>
      <c r="G249" s="958">
        <v>16720.724770000001</v>
      </c>
      <c r="H249" s="3">
        <v>984.86026000000004</v>
      </c>
      <c r="I249" s="3">
        <v>231422.95413</v>
      </c>
      <c r="J249" s="774">
        <v>1.7013146566986601</v>
      </c>
      <c r="K249" s="959">
        <v>1.93043660035829</v>
      </c>
      <c r="L249" s="774">
        <v>2.26006712638674</v>
      </c>
      <c r="M249" s="774">
        <v>2.2691987383099299E-2</v>
      </c>
    </row>
    <row r="250" spans="1:13" s="120" customFormat="1" ht="15" customHeight="1">
      <c r="A250" s="764" t="s">
        <v>2827</v>
      </c>
      <c r="B250" s="1242">
        <f t="shared" ref="B250:I250" si="19">SUM(B251:B262)</f>
        <v>2039781.2306270003</v>
      </c>
      <c r="C250" s="1242">
        <f t="shared" si="19"/>
        <v>106464.40857999999</v>
      </c>
      <c r="D250" s="1242">
        <f t="shared" si="19"/>
        <v>27197.063939999996</v>
      </c>
      <c r="E250" s="1242">
        <f t="shared" si="19"/>
        <v>19625687.260160003</v>
      </c>
      <c r="F250" s="1242">
        <f t="shared" si="19"/>
        <v>2357481.0512707322</v>
      </c>
      <c r="G250" s="1242">
        <f t="shared" si="19"/>
        <v>209755.82923533241</v>
      </c>
      <c r="H250" s="1242">
        <f t="shared" si="19"/>
        <v>21922.647159999997</v>
      </c>
      <c r="I250" s="1242">
        <f t="shared" si="19"/>
        <v>2160071.7349300003</v>
      </c>
      <c r="J250" s="957">
        <v>1.6992927928927299</v>
      </c>
      <c r="K250" s="957">
        <v>1.7799052970734901</v>
      </c>
      <c r="L250" s="957">
        <v>2.1397872759107899</v>
      </c>
      <c r="M250" s="957">
        <v>2.5667444638245902E-2</v>
      </c>
    </row>
    <row r="251" spans="1:13" s="120" customFormat="1" ht="15" customHeight="1">
      <c r="A251" s="764" t="s">
        <v>18</v>
      </c>
      <c r="B251" s="958">
        <v>79767.976580000002</v>
      </c>
      <c r="C251" s="958">
        <v>6711.8629199999996</v>
      </c>
      <c r="D251" s="958">
        <v>494.68227000000002</v>
      </c>
      <c r="E251" s="958">
        <v>1036887.5374199999</v>
      </c>
      <c r="F251" s="958">
        <v>367495.68203000003</v>
      </c>
      <c r="G251" s="958">
        <v>11570.17002</v>
      </c>
      <c r="H251" s="958">
        <v>957.08267999999998</v>
      </c>
      <c r="I251" s="958">
        <v>197539.07641000001</v>
      </c>
      <c r="J251" s="959">
        <v>1.70143628841539</v>
      </c>
      <c r="K251" s="959">
        <v>1.92626419566527</v>
      </c>
      <c r="L251" s="959">
        <v>2.3091156259951</v>
      </c>
      <c r="M251" s="959">
        <v>2.1827692376326001E-2</v>
      </c>
    </row>
    <row r="252" spans="1:13" s="120" customFormat="1" ht="15" customHeight="1">
      <c r="A252" s="764" t="s">
        <v>19</v>
      </c>
      <c r="B252" s="958">
        <v>111278.07506</v>
      </c>
      <c r="C252" s="958">
        <v>5319.8158400000002</v>
      </c>
      <c r="D252" s="958">
        <v>10765.518539999999</v>
      </c>
      <c r="E252" s="958">
        <v>875655.74954999995</v>
      </c>
      <c r="F252" s="958">
        <v>165936.02158999999</v>
      </c>
      <c r="G252" s="958">
        <v>9030.3417499999996</v>
      </c>
      <c r="H252" s="958">
        <v>1153.8331900000001</v>
      </c>
      <c r="I252" s="958">
        <v>220288.46427999999</v>
      </c>
      <c r="J252" s="959">
        <v>1.7002977686696401</v>
      </c>
      <c r="K252" s="959">
        <v>1.93090351547345</v>
      </c>
      <c r="L252" s="959">
        <v>2.2742784701214598</v>
      </c>
      <c r="M252" s="959">
        <v>2.14307583731531E-2</v>
      </c>
    </row>
    <row r="253" spans="1:13" s="120" customFormat="1" ht="15" customHeight="1">
      <c r="A253" s="764" t="s">
        <v>20</v>
      </c>
      <c r="B253" s="958">
        <v>100495.87489000001</v>
      </c>
      <c r="C253" s="958">
        <v>5895.8181299999997</v>
      </c>
      <c r="D253" s="958">
        <v>9512.8963299999996</v>
      </c>
      <c r="E253" s="958">
        <v>222799.02682</v>
      </c>
      <c r="F253" s="958">
        <v>259620.68756270001</v>
      </c>
      <c r="G253" s="958">
        <v>13326.25065</v>
      </c>
      <c r="H253" s="958">
        <v>1137.9955600000001</v>
      </c>
      <c r="I253" s="958">
        <v>250100.17415000001</v>
      </c>
      <c r="J253" s="959">
        <v>1.7007579943326001</v>
      </c>
      <c r="K253" s="959">
        <v>1.8814847125554801</v>
      </c>
      <c r="L253" s="959">
        <v>2.2176287543941999</v>
      </c>
      <c r="M253" s="959">
        <v>1.6140436628659501E-2</v>
      </c>
    </row>
    <row r="254" spans="1:13" s="120" customFormat="1" ht="15" customHeight="1">
      <c r="A254" s="764" t="s">
        <v>21</v>
      </c>
      <c r="B254" s="958">
        <v>167801.65492999999</v>
      </c>
      <c r="C254" s="958">
        <v>6412.6617399999996</v>
      </c>
      <c r="D254" s="958">
        <v>665.85440000000006</v>
      </c>
      <c r="E254" s="958">
        <v>1309399.76856</v>
      </c>
      <c r="F254" s="958">
        <v>164158.22644</v>
      </c>
      <c r="G254" s="958">
        <v>16466.357739999999</v>
      </c>
      <c r="H254" s="958">
        <v>1702.01586</v>
      </c>
      <c r="I254" s="958">
        <v>158990.39824000001</v>
      </c>
      <c r="J254" s="959">
        <v>1.6999159299765201</v>
      </c>
      <c r="K254" s="959">
        <v>1.84406617635547</v>
      </c>
      <c r="L254" s="959">
        <v>2.2051003163082901</v>
      </c>
      <c r="M254" s="959">
        <v>2.05821631135258E-2</v>
      </c>
    </row>
    <row r="255" spans="1:13" s="120" customFormat="1" ht="15" customHeight="1">
      <c r="A255" s="764" t="s">
        <v>22</v>
      </c>
      <c r="B255" s="958">
        <v>241616.31179000001</v>
      </c>
      <c r="C255" s="958">
        <v>7284.7448700000004</v>
      </c>
      <c r="D255" s="958">
        <v>568.92831999999999</v>
      </c>
      <c r="E255" s="958">
        <v>2055594.32088</v>
      </c>
      <c r="F255" s="958">
        <v>172997.50782999999</v>
      </c>
      <c r="G255" s="958">
        <v>18774.294860000002</v>
      </c>
      <c r="H255" s="958">
        <v>2080.9482499999999</v>
      </c>
      <c r="I255" s="958">
        <v>137257.35441</v>
      </c>
      <c r="J255" s="959">
        <v>1.6991233851999401</v>
      </c>
      <c r="K255" s="959">
        <v>1.80330734093359</v>
      </c>
      <c r="L255" s="959">
        <v>2.1176997624715801</v>
      </c>
      <c r="M255" s="959">
        <v>2.4795055638869599E-2</v>
      </c>
    </row>
    <row r="256" spans="1:13" s="120" customFormat="1" ht="15" customHeight="1">
      <c r="A256" s="764" t="s">
        <v>23</v>
      </c>
      <c r="B256" s="958">
        <v>249565.66114000001</v>
      </c>
      <c r="C256" s="958">
        <v>8773.3104399999993</v>
      </c>
      <c r="D256" s="958">
        <v>566.03688999999997</v>
      </c>
      <c r="E256" s="958">
        <v>2900083.6452299999</v>
      </c>
      <c r="F256" s="958">
        <v>177216.71184999999</v>
      </c>
      <c r="G256" s="958">
        <v>18393.169529999999</v>
      </c>
      <c r="H256" s="958">
        <v>1352.0593200000001</v>
      </c>
      <c r="I256" s="958">
        <v>142821.48081000001</v>
      </c>
      <c r="J256" s="959">
        <v>1.6982536868626701</v>
      </c>
      <c r="K256" s="959">
        <v>1.8019559638129301</v>
      </c>
      <c r="L256" s="959">
        <v>2.1007773448621698</v>
      </c>
      <c r="M256" s="959">
        <v>2.7940687443653599E-2</v>
      </c>
    </row>
    <row r="257" spans="1:13" s="120" customFormat="1" ht="15" customHeight="1">
      <c r="A257" s="764" t="s">
        <v>24</v>
      </c>
      <c r="B257" s="958">
        <v>175299.18594699999</v>
      </c>
      <c r="C257" s="958">
        <v>7885.0856800000001</v>
      </c>
      <c r="D257" s="958">
        <v>803.44087999999897</v>
      </c>
      <c r="E257" s="958">
        <v>2183258.5451199999</v>
      </c>
      <c r="F257" s="958">
        <v>166591.94654</v>
      </c>
      <c r="G257" s="958">
        <v>32256.900539999999</v>
      </c>
      <c r="H257" s="958">
        <v>1785.40995</v>
      </c>
      <c r="I257" s="958">
        <v>145181.40654</v>
      </c>
      <c r="J257" s="959">
        <v>1.6982066025712299</v>
      </c>
      <c r="K257" s="959">
        <v>1.74182332600136</v>
      </c>
      <c r="L257" s="959">
        <v>2.0456249335640599</v>
      </c>
      <c r="M257" s="959">
        <v>2.7402098568085301E-2</v>
      </c>
    </row>
    <row r="258" spans="1:13" s="120" customFormat="1" ht="15" customHeight="1">
      <c r="A258" s="764" t="s">
        <v>25</v>
      </c>
      <c r="B258" s="958">
        <v>203301.01108</v>
      </c>
      <c r="C258" s="958">
        <v>8336.1966499999999</v>
      </c>
      <c r="D258" s="958">
        <v>914.40819999999997</v>
      </c>
      <c r="E258" s="958">
        <v>1909202.4330899999</v>
      </c>
      <c r="F258" s="958">
        <v>141468.67830999999</v>
      </c>
      <c r="G258" s="958">
        <v>26862.269850000001</v>
      </c>
      <c r="H258" s="958">
        <v>2648.6566800000001</v>
      </c>
      <c r="I258" s="958">
        <v>189040.40215000001</v>
      </c>
      <c r="J258" s="959">
        <v>1.6983790681267901</v>
      </c>
      <c r="K258" s="959">
        <v>1.73139012734149</v>
      </c>
      <c r="L258" s="959">
        <v>2.0461697368715899</v>
      </c>
      <c r="M258" s="959">
        <v>2.6838746936962001E-2</v>
      </c>
    </row>
    <row r="259" spans="1:13" s="120" customFormat="1" ht="15" customHeight="1">
      <c r="A259" s="764" t="s">
        <v>26</v>
      </c>
      <c r="B259" s="958">
        <v>248028.82936</v>
      </c>
      <c r="C259" s="958">
        <v>9157.9624399999993</v>
      </c>
      <c r="D259" s="958">
        <v>920.11158</v>
      </c>
      <c r="E259" s="958">
        <v>1942601.3314400001</v>
      </c>
      <c r="F259" s="958">
        <v>199169.22588000001</v>
      </c>
      <c r="G259" s="958">
        <v>20200.271990000001</v>
      </c>
      <c r="H259" s="958">
        <v>3676.9202700000001</v>
      </c>
      <c r="I259" s="958">
        <v>201790.70877</v>
      </c>
      <c r="J259" s="959">
        <v>1.69849474149774</v>
      </c>
      <c r="K259" s="959">
        <v>1.6901593376160999</v>
      </c>
      <c r="L259" s="959">
        <v>1.9239996996683799</v>
      </c>
      <c r="M259" s="959">
        <v>2.7758013428584999E-2</v>
      </c>
    </row>
    <row r="260" spans="1:13" s="120" customFormat="1" ht="15" customHeight="1">
      <c r="A260" s="764" t="s">
        <v>27</v>
      </c>
      <c r="B260" s="958">
        <v>182267.96075</v>
      </c>
      <c r="C260" s="958">
        <v>10582.75561</v>
      </c>
      <c r="D260" s="958">
        <v>752.75405999999998</v>
      </c>
      <c r="E260" s="958">
        <v>1602442.7235099999</v>
      </c>
      <c r="F260" s="958">
        <v>183453.20077803201</v>
      </c>
      <c r="G260" s="958">
        <v>14461.764965332401</v>
      </c>
      <c r="H260" s="958">
        <v>2895.39732</v>
      </c>
      <c r="I260" s="958">
        <v>188157.59538000001</v>
      </c>
      <c r="J260" s="959">
        <v>1.69814262753553</v>
      </c>
      <c r="K260" s="959">
        <v>1.67548894692279</v>
      </c>
      <c r="L260" s="959">
        <v>1.9283321810620699</v>
      </c>
      <c r="M260" s="959">
        <v>2.69988472960296E-2</v>
      </c>
    </row>
    <row r="261" spans="1:13" s="120" customFormat="1" ht="15" customHeight="1">
      <c r="A261" s="764" t="s">
        <v>28</v>
      </c>
      <c r="B261" s="958">
        <v>140776.17980000001</v>
      </c>
      <c r="C261" s="958">
        <v>21696.383450000001</v>
      </c>
      <c r="D261" s="958">
        <v>583.24298999999996</v>
      </c>
      <c r="E261" s="958">
        <v>1852265.83189</v>
      </c>
      <c r="F261" s="958">
        <v>151506.30786</v>
      </c>
      <c r="G261" s="958">
        <v>12799.82804</v>
      </c>
      <c r="H261" s="958">
        <v>1247.4179200000001</v>
      </c>
      <c r="I261" s="958">
        <v>146155.12409</v>
      </c>
      <c r="J261" s="959">
        <v>1.6989519619592699</v>
      </c>
      <c r="K261" s="959">
        <v>1.7345190127084</v>
      </c>
      <c r="L261" s="959">
        <v>2.0126074786313102</v>
      </c>
      <c r="M261" s="959">
        <v>2.7353532404339499E-2</v>
      </c>
    </row>
    <row r="262" spans="1:13" s="120" customFormat="1" ht="15" customHeight="1">
      <c r="A262" s="764" t="s">
        <v>29</v>
      </c>
      <c r="B262" s="958">
        <v>139582.50930000001</v>
      </c>
      <c r="C262" s="958">
        <v>8407.8108100000009</v>
      </c>
      <c r="D262" s="958">
        <v>649.18948</v>
      </c>
      <c r="E262" s="958">
        <v>1735496.34665</v>
      </c>
      <c r="F262" s="958">
        <v>207866.85459999999</v>
      </c>
      <c r="G262" s="958">
        <v>15614.2093</v>
      </c>
      <c r="H262" s="958">
        <v>1284.9101599999999</v>
      </c>
      <c r="I262" s="958">
        <v>182749.5497</v>
      </c>
      <c r="J262" s="959">
        <v>1.6995961659257599</v>
      </c>
      <c r="K262" s="959">
        <v>1.80404464933445</v>
      </c>
      <c r="L262" s="959">
        <v>2.0748012027539602</v>
      </c>
      <c r="M262" s="959">
        <v>2.5468344587454301E-2</v>
      </c>
    </row>
    <row r="263" spans="1:13" s="120" customFormat="1" ht="15" customHeight="1">
      <c r="A263" s="764" t="s">
        <v>3518</v>
      </c>
      <c r="B263" s="956">
        <f>SUM(B264:B275)</f>
        <v>1637434.3672999998</v>
      </c>
      <c r="C263" s="956">
        <f t="shared" ref="C263:I263" si="20">SUM(C264:C275)</f>
        <v>126784.60733</v>
      </c>
      <c r="D263" s="956">
        <f t="shared" si="20"/>
        <v>8667.5953200000004</v>
      </c>
      <c r="E263" s="956">
        <f t="shared" si="20"/>
        <v>14962342.02153</v>
      </c>
      <c r="F263" s="956">
        <f t="shared" si="20"/>
        <v>1518750.6129699999</v>
      </c>
      <c r="G263" s="956">
        <f t="shared" si="20"/>
        <v>206027.59574999998</v>
      </c>
      <c r="H263" s="956">
        <f t="shared" si="20"/>
        <v>26918.349770000001</v>
      </c>
      <c r="I263" s="956">
        <f t="shared" si="20"/>
        <v>2460839.1592899999</v>
      </c>
      <c r="J263" s="1509">
        <v>1.69861674804172</v>
      </c>
      <c r="K263" s="1509">
        <v>1.8413758709992001</v>
      </c>
      <c r="L263" s="1509">
        <v>2.1153457747362299</v>
      </c>
      <c r="M263" s="1509">
        <v>1.9698912917667899E-2</v>
      </c>
    </row>
    <row r="264" spans="1:13" s="120" customFormat="1" ht="15" customHeight="1">
      <c r="A264" s="33" t="s">
        <v>18</v>
      </c>
      <c r="B264" s="958">
        <v>139841.64524000001</v>
      </c>
      <c r="C264" s="958">
        <v>7501.4387999999999</v>
      </c>
      <c r="D264" s="958">
        <v>910.99112000000002</v>
      </c>
      <c r="E264" s="958">
        <v>1312285.9455500001</v>
      </c>
      <c r="F264" s="958">
        <v>152334.44063999999</v>
      </c>
      <c r="G264" s="958">
        <v>32063.23475</v>
      </c>
      <c r="H264" s="958">
        <v>1266.40517</v>
      </c>
      <c r="I264" s="958">
        <v>136862.55519000001</v>
      </c>
      <c r="J264" s="959">
        <v>1.69966344472764</v>
      </c>
      <c r="K264" s="959">
        <v>1.8422982013614</v>
      </c>
      <c r="L264" s="959">
        <v>2.0875373515273101</v>
      </c>
      <c r="M264" s="959">
        <v>2.4022366685210999E-2</v>
      </c>
    </row>
    <row r="265" spans="1:13" s="120" customFormat="1" ht="15" customHeight="1">
      <c r="A265" s="33" t="s">
        <v>19</v>
      </c>
      <c r="B265" s="958">
        <v>112214.77334</v>
      </c>
      <c r="C265" s="958">
        <v>9299.7583400000003</v>
      </c>
      <c r="D265" s="958">
        <v>750.12090999999998</v>
      </c>
      <c r="E265" s="958">
        <v>1113488.7002099999</v>
      </c>
      <c r="F265" s="958">
        <v>139332.46526</v>
      </c>
      <c r="G265" s="958">
        <v>17278.95217</v>
      </c>
      <c r="H265" s="958">
        <v>1179.98404</v>
      </c>
      <c r="I265" s="958">
        <v>208449.88411000001</v>
      </c>
      <c r="J265" s="959">
        <v>1.6995061208659801</v>
      </c>
      <c r="K265" s="959">
        <v>1.82848060813775</v>
      </c>
      <c r="L265" s="959">
        <v>2.06293869954377</v>
      </c>
      <c r="M265" s="959">
        <v>2.2933101066742401E-2</v>
      </c>
    </row>
    <row r="266" spans="1:13" s="120" customFormat="1" ht="15" customHeight="1">
      <c r="A266" s="33" t="s">
        <v>20</v>
      </c>
      <c r="B266" s="958">
        <v>115902.63029</v>
      </c>
      <c r="C266" s="958">
        <v>7823.3827199999996</v>
      </c>
      <c r="D266" s="958">
        <v>700.12442999999996</v>
      </c>
      <c r="E266" s="958">
        <v>1067064.432</v>
      </c>
      <c r="F266" s="958">
        <v>148116.2812</v>
      </c>
      <c r="G266" s="958">
        <v>14546.67367</v>
      </c>
      <c r="H266" s="958">
        <v>6569.2936799999998</v>
      </c>
      <c r="I266" s="958">
        <v>172903.23293999999</v>
      </c>
      <c r="J266" s="959">
        <v>1.6995701136830501</v>
      </c>
      <c r="K266" s="959">
        <v>1.82282429060761</v>
      </c>
      <c r="L266" s="959">
        <v>2.0713412688353401</v>
      </c>
      <c r="M266" s="959">
        <v>2.1959064517627198E-2</v>
      </c>
    </row>
    <row r="267" spans="1:13" s="120" customFormat="1" ht="15" customHeight="1">
      <c r="A267" s="33" t="s">
        <v>21</v>
      </c>
      <c r="B267" s="958">
        <v>114574.84828000001</v>
      </c>
      <c r="C267" s="958">
        <v>8739.27556</v>
      </c>
      <c r="D267" s="958">
        <v>716.62121999999999</v>
      </c>
      <c r="E267" s="958">
        <v>980137.99415000004</v>
      </c>
      <c r="F267" s="958">
        <v>116139.75559</v>
      </c>
      <c r="G267" s="958">
        <v>12104.85405</v>
      </c>
      <c r="H267" s="958">
        <v>966.05413999999996</v>
      </c>
      <c r="I267" s="958">
        <v>204550.98180000001</v>
      </c>
      <c r="J267" s="959">
        <v>1.6991805172638199</v>
      </c>
      <c r="K267" s="959">
        <v>1.8644886762967099</v>
      </c>
      <c r="L267" s="959">
        <v>2.1210678894299599</v>
      </c>
      <c r="M267" s="959">
        <v>2.06830784672252E-2</v>
      </c>
    </row>
    <row r="268" spans="1:13" s="120" customFormat="1" ht="15" customHeight="1">
      <c r="A268" s="33" t="s">
        <v>22</v>
      </c>
      <c r="B268" s="958">
        <v>156381.78260999999</v>
      </c>
      <c r="C268" s="958">
        <v>8590.0970199999992</v>
      </c>
      <c r="D268" s="958">
        <v>661.85456999999997</v>
      </c>
      <c r="E268" s="958">
        <v>1207400.4267599999</v>
      </c>
      <c r="F268" s="958">
        <v>105240.98538</v>
      </c>
      <c r="G268" s="958">
        <v>16130.43029</v>
      </c>
      <c r="H268" s="958">
        <v>969.28949</v>
      </c>
      <c r="I268" s="958">
        <v>193056.15934000001</v>
      </c>
      <c r="J268" s="959">
        <v>1.69800310599011</v>
      </c>
      <c r="K268" s="959">
        <v>1.85223387522008</v>
      </c>
      <c r="L268" s="959">
        <v>2.1291539283483001</v>
      </c>
      <c r="M268" s="959">
        <v>2.1071389359892601E-2</v>
      </c>
    </row>
    <row r="269" spans="1:13" s="120" customFormat="1" ht="15" customHeight="1">
      <c r="A269" s="33" t="s">
        <v>23</v>
      </c>
      <c r="B269" s="958">
        <v>158475.96583999999</v>
      </c>
      <c r="C269" s="958">
        <v>10410.826520000001</v>
      </c>
      <c r="D269" s="958">
        <v>570.98334999999997</v>
      </c>
      <c r="E269" s="958">
        <v>1130898.0063799999</v>
      </c>
      <c r="F269" s="958">
        <v>88440.463300000003</v>
      </c>
      <c r="G269" s="958">
        <v>13775.38733</v>
      </c>
      <c r="H269" s="958">
        <v>1215.3527899999999</v>
      </c>
      <c r="I269" s="958">
        <v>170428.39911</v>
      </c>
      <c r="J269" s="959">
        <v>1.6974402653765199</v>
      </c>
      <c r="K269" s="959">
        <v>1.8438419039154801</v>
      </c>
      <c r="L269" s="959">
        <v>2.1590881362322998</v>
      </c>
      <c r="M269" s="959">
        <v>2.0077323254355298E-2</v>
      </c>
    </row>
    <row r="270" spans="1:13" s="120" customFormat="1" ht="15" customHeight="1">
      <c r="A270" s="33" t="s">
        <v>24</v>
      </c>
      <c r="B270" s="958">
        <v>157416.54053999999</v>
      </c>
      <c r="C270" s="958">
        <v>13084.686369999999</v>
      </c>
      <c r="D270" s="958">
        <v>682.69253000000003</v>
      </c>
      <c r="E270" s="958">
        <v>1081844.39748</v>
      </c>
      <c r="F270" s="958">
        <v>122714.04261999999</v>
      </c>
      <c r="G270" s="958">
        <v>20411.492880000002</v>
      </c>
      <c r="H270" s="958">
        <v>2856.4580599999999</v>
      </c>
      <c r="I270" s="958">
        <v>212491.38097999999</v>
      </c>
      <c r="J270" s="959">
        <v>1.6979346523580601</v>
      </c>
      <c r="K270" s="959">
        <v>1.8803797239942499</v>
      </c>
      <c r="L270" s="959">
        <v>2.19424375764723</v>
      </c>
      <c r="M270" s="959">
        <v>1.8354504480094E-2</v>
      </c>
    </row>
    <row r="271" spans="1:13" s="120" customFormat="1" ht="15" customHeight="1">
      <c r="A271" s="33" t="s">
        <v>25</v>
      </c>
      <c r="B271" s="958">
        <v>139547.00390000001</v>
      </c>
      <c r="C271" s="958">
        <v>11037.727650000001</v>
      </c>
      <c r="D271" s="958">
        <v>929.9443</v>
      </c>
      <c r="E271" s="958">
        <v>1279708.79416</v>
      </c>
      <c r="F271" s="958">
        <v>114282.77791999999</v>
      </c>
      <c r="G271" s="958">
        <v>19908.614519999999</v>
      </c>
      <c r="H271" s="958">
        <v>1811.1410000000001</v>
      </c>
      <c r="I271" s="958">
        <v>248313.28890000001</v>
      </c>
      <c r="J271" s="959">
        <v>1.69817359377278</v>
      </c>
      <c r="K271" s="959">
        <v>1.8559047522535701</v>
      </c>
      <c r="L271" s="959">
        <v>2.1646931832063001</v>
      </c>
      <c r="M271" s="959">
        <v>1.7533707504290001E-2</v>
      </c>
    </row>
    <row r="272" spans="1:13" s="120" customFormat="1" ht="15" customHeight="1">
      <c r="A272" s="33" t="s">
        <v>26</v>
      </c>
      <c r="B272" s="958">
        <v>132946.52601</v>
      </c>
      <c r="C272" s="958">
        <v>10699.72386</v>
      </c>
      <c r="D272" s="958">
        <v>624.16979000000003</v>
      </c>
      <c r="E272" s="958">
        <v>1495608.6382800001</v>
      </c>
      <c r="F272" s="958">
        <v>116412.44319999999</v>
      </c>
      <c r="G272" s="958">
        <v>18801.446019999999</v>
      </c>
      <c r="H272" s="958">
        <v>3118.2843899999998</v>
      </c>
      <c r="I272" s="958">
        <v>243122.33071000001</v>
      </c>
      <c r="J272" s="959">
        <v>1.69819106114547</v>
      </c>
      <c r="K272" s="959">
        <v>1.8180954391767701</v>
      </c>
      <c r="L272" s="959">
        <v>2.1199124463044199</v>
      </c>
      <c r="M272" s="959">
        <v>1.7348317781128501E-2</v>
      </c>
    </row>
    <row r="273" spans="1:13" s="120" customFormat="1" ht="15" customHeight="1">
      <c r="A273" s="33" t="s">
        <v>27</v>
      </c>
      <c r="B273" s="1507">
        <v>137520.95334000001</v>
      </c>
      <c r="C273" s="1507">
        <v>12507.41519</v>
      </c>
      <c r="D273" s="1507">
        <v>628.23625000000004</v>
      </c>
      <c r="E273" s="1507">
        <v>1250007.48303</v>
      </c>
      <c r="F273" s="1507">
        <v>113840.82193999999</v>
      </c>
      <c r="G273" s="1507">
        <v>16477.154139999999</v>
      </c>
      <c r="H273" s="1507">
        <v>2439.6967399999999</v>
      </c>
      <c r="I273" s="1507">
        <v>254226.06456999999</v>
      </c>
      <c r="J273" s="1508">
        <v>1.69828261157641</v>
      </c>
      <c r="K273" s="1508">
        <v>1.79504155185369</v>
      </c>
      <c r="L273" s="1508">
        <v>2.0732388692928998</v>
      </c>
      <c r="M273" s="1508">
        <v>1.72513724693471E-2</v>
      </c>
    </row>
    <row r="274" spans="1:13" s="120" customFormat="1" ht="15" customHeight="1">
      <c r="A274" s="33" t="s">
        <v>28</v>
      </c>
      <c r="B274" s="1507">
        <v>130436.40629</v>
      </c>
      <c r="C274" s="1507">
        <v>14519.354149999999</v>
      </c>
      <c r="D274" s="1507">
        <v>692.66254000000004</v>
      </c>
      <c r="E274" s="1507">
        <v>1496225.7261600001</v>
      </c>
      <c r="F274" s="1507">
        <v>120341.09527000001</v>
      </c>
      <c r="G274" s="1507">
        <v>10504.45285</v>
      </c>
      <c r="H274" s="1507">
        <v>2912.7094400000001</v>
      </c>
      <c r="I274" s="1507">
        <v>194268.82646000001</v>
      </c>
      <c r="J274" s="1508">
        <v>1.6981932181691499</v>
      </c>
      <c r="K274" s="1508">
        <v>1.83404411192825</v>
      </c>
      <c r="L274" s="1508">
        <v>2.1051086909725698</v>
      </c>
      <c r="M274" s="1508">
        <v>1.85542281140628E-2</v>
      </c>
    </row>
    <row r="275" spans="1:13" s="120" customFormat="1" ht="15" customHeight="1">
      <c r="A275" s="33" t="s">
        <v>29</v>
      </c>
      <c r="B275" s="1507">
        <v>142175.29162</v>
      </c>
      <c r="C275" s="1507">
        <v>12570.92115</v>
      </c>
      <c r="D275" s="1507">
        <v>799.19430999999997</v>
      </c>
      <c r="E275" s="1507">
        <v>1547671.47737</v>
      </c>
      <c r="F275" s="1507">
        <v>181555.04065000001</v>
      </c>
      <c r="G275" s="1507">
        <v>14024.90308</v>
      </c>
      <c r="H275" s="1507">
        <v>1613.68083</v>
      </c>
      <c r="I275" s="1507">
        <v>222166.05518</v>
      </c>
      <c r="J275" s="1508">
        <v>1.69904806881532</v>
      </c>
      <c r="K275" s="1508">
        <v>1.85523424057612</v>
      </c>
      <c r="L275" s="1508">
        <v>2.15919386047179</v>
      </c>
      <c r="M275" s="1508">
        <v>1.8472081324412699E-2</v>
      </c>
    </row>
    <row r="276" spans="1:13" s="120" customFormat="1" ht="15" customHeight="1">
      <c r="A276" s="33" t="s">
        <v>3989</v>
      </c>
      <c r="B276" s="956">
        <f>SUM(B277:B288)</f>
        <v>1621567.9304200001</v>
      </c>
      <c r="C276" s="956">
        <f t="shared" ref="C276:I276" si="21">SUM(C277:C288)</f>
        <v>131093.80455</v>
      </c>
      <c r="D276" s="956">
        <f t="shared" si="21"/>
        <v>7470.918560000001</v>
      </c>
      <c r="E276" s="956">
        <f t="shared" si="21"/>
        <v>5712045.1956100008</v>
      </c>
      <c r="F276" s="956">
        <f t="shared" si="21"/>
        <v>2924344.2658777004</v>
      </c>
      <c r="G276" s="956">
        <f t="shared" si="21"/>
        <v>202722.10431999998</v>
      </c>
      <c r="H276" s="956">
        <f t="shared" si="21"/>
        <v>20097.92037</v>
      </c>
      <c r="I276" s="956">
        <f t="shared" si="21"/>
        <v>2664921.8281435003</v>
      </c>
      <c r="J276" s="1509">
        <v>1.6997968553335701</v>
      </c>
      <c r="K276" s="1509">
        <v>1.83911235102675</v>
      </c>
      <c r="L276" s="1509">
        <v>2.1873953717201799</v>
      </c>
      <c r="M276" s="1509">
        <v>1.8223217895887201E-2</v>
      </c>
    </row>
    <row r="277" spans="1:13" s="120" customFormat="1" ht="15" customHeight="1">
      <c r="A277" s="33" t="s">
        <v>18</v>
      </c>
      <c r="B277" s="1507">
        <v>119468.72044</v>
      </c>
      <c r="C277" s="1507">
        <v>8736.1418900000008</v>
      </c>
      <c r="D277" s="1507">
        <v>615.79881999999998</v>
      </c>
      <c r="E277" s="1507">
        <v>1342333.8208900001</v>
      </c>
      <c r="F277" s="1507">
        <v>211501.58937999999</v>
      </c>
      <c r="G277" s="1507">
        <v>11163.804319999999</v>
      </c>
      <c r="H277" s="1507">
        <v>1619.41848</v>
      </c>
      <c r="I277" s="1507">
        <v>171931.70298999999</v>
      </c>
      <c r="J277" s="1508">
        <v>1.6995962046001001</v>
      </c>
      <c r="K277" s="1508">
        <v>1.85214597497246</v>
      </c>
      <c r="L277" s="1508">
        <v>2.1735849314426798</v>
      </c>
      <c r="M277" s="1508">
        <v>1.8814416630577702E-2</v>
      </c>
    </row>
    <row r="278" spans="1:13" s="120" customFormat="1" ht="15" customHeight="1">
      <c r="A278" s="33" t="s">
        <v>19</v>
      </c>
      <c r="B278" s="1507">
        <v>125486.94164999999</v>
      </c>
      <c r="C278" s="1507">
        <v>7458.3174799999997</v>
      </c>
      <c r="D278" s="1507">
        <v>459.99027000000001</v>
      </c>
      <c r="E278" s="1507">
        <v>933556.73667000001</v>
      </c>
      <c r="F278" s="1507">
        <v>499583.52162999997</v>
      </c>
      <c r="G278" s="1507">
        <v>20114.812519999999</v>
      </c>
      <c r="H278" s="1507">
        <v>1525.2843800000001</v>
      </c>
      <c r="I278" s="1507">
        <v>203441.38058999999</v>
      </c>
      <c r="J278" s="1508">
        <v>1.7008710009402399</v>
      </c>
      <c r="K278" s="1508">
        <v>1.8426071546192999</v>
      </c>
      <c r="L278" s="1508">
        <v>2.1655469478427101</v>
      </c>
      <c r="M278" s="1508">
        <v>1.8345119555053999E-2</v>
      </c>
    </row>
    <row r="279" spans="1:13" s="120" customFormat="1" ht="15" customHeight="1">
      <c r="A279" s="33" t="s">
        <v>20</v>
      </c>
      <c r="B279" s="1507">
        <v>106317.4246</v>
      </c>
      <c r="C279" s="1507">
        <v>9113.72631</v>
      </c>
      <c r="D279" s="1507">
        <v>433.87599</v>
      </c>
      <c r="E279" s="1507">
        <v>802211.82622000005</v>
      </c>
      <c r="F279" s="1507">
        <v>220212.89361</v>
      </c>
      <c r="G279" s="1507">
        <v>13703.52327</v>
      </c>
      <c r="H279" s="1507">
        <v>1096.9648400000001</v>
      </c>
      <c r="I279" s="1507">
        <v>194506.68148</v>
      </c>
      <c r="J279" s="1508">
        <v>1.7002023837748399</v>
      </c>
      <c r="K279" s="1508">
        <v>1.85135173548419</v>
      </c>
      <c r="L279" s="1508">
        <v>2.1759356482822598</v>
      </c>
      <c r="M279" s="1508">
        <v>1.8285053477894799E-2</v>
      </c>
    </row>
    <row r="280" spans="1:13" s="120" customFormat="1" ht="15" customHeight="1">
      <c r="A280" s="33" t="s">
        <v>21</v>
      </c>
      <c r="B280" s="1507">
        <v>129466.95879999999</v>
      </c>
      <c r="C280" s="1507">
        <v>9756.3780000000006</v>
      </c>
      <c r="D280" s="1507">
        <v>642.67867999999999</v>
      </c>
      <c r="E280" s="1507">
        <v>216289.08259000001</v>
      </c>
      <c r="F280" s="1507">
        <v>166924.85433999999</v>
      </c>
      <c r="G280" s="1507">
        <v>16240.215169999999</v>
      </c>
      <c r="H280" s="1507">
        <v>1524.6803299999999</v>
      </c>
      <c r="I280" s="1507">
        <v>182811.17546</v>
      </c>
      <c r="J280" s="1508">
        <v>1.6994170634166801</v>
      </c>
      <c r="K280" s="1508">
        <v>1.8261667075369701</v>
      </c>
      <c r="L280" s="1508">
        <v>2.14271501105025</v>
      </c>
      <c r="M280" s="1508">
        <v>1.7819288410668099E-2</v>
      </c>
    </row>
    <row r="281" spans="1:13" s="120" customFormat="1" ht="15" customHeight="1">
      <c r="A281" s="33" t="s">
        <v>22</v>
      </c>
      <c r="B281" s="1507">
        <v>156182.01341000001</v>
      </c>
      <c r="C281" s="1507">
        <v>10933.23035</v>
      </c>
      <c r="D281" s="1507">
        <v>773.54673000000003</v>
      </c>
      <c r="E281" s="1507">
        <v>298430.63393000001</v>
      </c>
      <c r="F281" s="1507">
        <v>154091.49825999999</v>
      </c>
      <c r="G281" s="1507">
        <v>16838.8616</v>
      </c>
      <c r="H281" s="1507">
        <v>1455.66553</v>
      </c>
      <c r="I281" s="1507">
        <v>230195.79511070001</v>
      </c>
      <c r="J281" s="1508">
        <v>1.6989968070627399</v>
      </c>
      <c r="K281" s="1508">
        <v>1.8381634148343999</v>
      </c>
      <c r="L281" s="1508">
        <v>2.1563240493836999</v>
      </c>
      <c r="M281" s="1508">
        <v>1.8235787224247499E-2</v>
      </c>
    </row>
    <row r="282" spans="1:13" s="120" customFormat="1" ht="15" customHeight="1">
      <c r="A282" s="33" t="s">
        <v>23</v>
      </c>
      <c r="B282" s="1507">
        <v>148950.5914</v>
      </c>
      <c r="C282" s="1507">
        <v>8775.9336500000009</v>
      </c>
      <c r="D282" s="1507">
        <v>486.40917000000002</v>
      </c>
      <c r="E282" s="1507">
        <v>273645.33818000002</v>
      </c>
      <c r="F282" s="1507">
        <v>109295.98013</v>
      </c>
      <c r="G282" s="1507">
        <v>15893.23518</v>
      </c>
      <c r="H282" s="1507">
        <v>1463.7701199999999</v>
      </c>
      <c r="I282" s="1507">
        <v>194781.85083760001</v>
      </c>
      <c r="J282" s="1508">
        <v>1.6981999275142501</v>
      </c>
      <c r="K282" s="1508">
        <v>1.83523604075456</v>
      </c>
      <c r="L282" s="1508">
        <v>2.1772666396242002</v>
      </c>
      <c r="M282" s="1508">
        <v>1.8687820267561599E-2</v>
      </c>
    </row>
    <row r="283" spans="1:13" s="120" customFormat="1" ht="15" customHeight="1">
      <c r="A283" s="33" t="s">
        <v>24</v>
      </c>
      <c r="B283" s="1507">
        <v>179307.38149999999</v>
      </c>
      <c r="C283" s="1507">
        <v>14134.48286</v>
      </c>
      <c r="D283" s="1507">
        <v>945.88503000000003</v>
      </c>
      <c r="E283" s="1507">
        <v>528379.47210999997</v>
      </c>
      <c r="F283" s="1507">
        <v>155076.09237999999</v>
      </c>
      <c r="G283" s="1507">
        <v>18044.50071</v>
      </c>
      <c r="H283" s="1507">
        <v>1716.96298</v>
      </c>
      <c r="I283" s="1507">
        <v>252837.50169500001</v>
      </c>
      <c r="J283" s="1508">
        <v>1.6982928788051099</v>
      </c>
      <c r="K283" s="1508">
        <v>1.84326326883634</v>
      </c>
      <c r="L283" s="1508">
        <v>2.1854459098557402</v>
      </c>
      <c r="M283" s="1508">
        <v>1.8817176015647301E-2</v>
      </c>
    </row>
    <row r="284" spans="1:13" s="120" customFormat="1" ht="15" customHeight="1">
      <c r="A284" s="33" t="s">
        <v>25</v>
      </c>
      <c r="B284" s="1507">
        <v>156277.85365999999</v>
      </c>
      <c r="C284" s="1507">
        <v>15781.05847</v>
      </c>
      <c r="D284" s="1507">
        <v>928.93277</v>
      </c>
      <c r="E284" s="1507">
        <v>263186.32364999998</v>
      </c>
      <c r="F284" s="1507">
        <v>195096.5450101</v>
      </c>
      <c r="G284" s="1507">
        <v>16613.993470000001</v>
      </c>
      <c r="H284" s="1507">
        <v>2212.9610699999998</v>
      </c>
      <c r="I284" s="1507">
        <v>248740.78061019999</v>
      </c>
      <c r="J284" s="1508">
        <v>1.6988601157560499</v>
      </c>
      <c r="K284" s="1508">
        <v>1.86772864101341</v>
      </c>
      <c r="L284" s="1508">
        <v>2.2061397868347501</v>
      </c>
      <c r="M284" s="1508">
        <v>1.8609622631853801E-2</v>
      </c>
    </row>
    <row r="285" spans="1:13" s="120" customFormat="1" ht="15" customHeight="1">
      <c r="A285" s="33" t="s">
        <v>26</v>
      </c>
      <c r="B285" s="1507">
        <v>135173.72472</v>
      </c>
      <c r="C285" s="1507">
        <v>14198.295539999999</v>
      </c>
      <c r="D285" s="1507">
        <v>675.54295999999999</v>
      </c>
      <c r="E285" s="1507">
        <v>421903.49709999998</v>
      </c>
      <c r="F285" s="1507">
        <v>253505.8694423</v>
      </c>
      <c r="G285" s="1507">
        <v>14049.29146</v>
      </c>
      <c r="H285" s="1507">
        <v>2444.6120999999998</v>
      </c>
      <c r="I285" s="1507">
        <v>241313.01206000001</v>
      </c>
      <c r="J285" s="1508">
        <v>1.69981470472786</v>
      </c>
      <c r="K285" s="1508">
        <v>1.8829514579811</v>
      </c>
      <c r="L285" s="1508">
        <v>2.2472557572988099</v>
      </c>
      <c r="M285" s="1508">
        <v>1.8301332805742601E-2</v>
      </c>
    </row>
    <row r="286" spans="1:13" s="120" customFormat="1" ht="15" customHeight="1">
      <c r="A286" s="33" t="s">
        <v>27</v>
      </c>
      <c r="B286" s="1507">
        <v>133143.54889000001</v>
      </c>
      <c r="C286" s="1507">
        <v>14210.519850000001</v>
      </c>
      <c r="D286" s="1507">
        <v>444.84071</v>
      </c>
      <c r="E286" s="1507">
        <v>269163.88618999999</v>
      </c>
      <c r="F286" s="1507">
        <v>217580.2944903</v>
      </c>
      <c r="G286" s="1507">
        <v>14179.285819999999</v>
      </c>
      <c r="H286" s="1507">
        <v>1765.2563399999999</v>
      </c>
      <c r="I286" s="1507">
        <v>265667.06471000001</v>
      </c>
      <c r="J286" s="1508">
        <v>1.6996941719832901</v>
      </c>
      <c r="K286" s="1508">
        <v>1.85173209150072</v>
      </c>
      <c r="L286" s="1508">
        <v>2.2385777875148101</v>
      </c>
      <c r="M286" s="1508">
        <v>1.7416180540552901E-2</v>
      </c>
    </row>
    <row r="287" spans="1:13" s="120" customFormat="1" ht="15" customHeight="1">
      <c r="A287" s="33" t="s">
        <v>28</v>
      </c>
      <c r="B287" s="1507">
        <v>107893.66559</v>
      </c>
      <c r="C287" s="1507">
        <v>7811.8729400000002</v>
      </c>
      <c r="D287" s="1507">
        <v>289.76182999999997</v>
      </c>
      <c r="E287" s="1507">
        <v>172479.22764</v>
      </c>
      <c r="F287" s="1507">
        <v>248111.13518499999</v>
      </c>
      <c r="G287" s="1507">
        <v>22555.714929999998</v>
      </c>
      <c r="H287" s="1507">
        <v>1420.6803</v>
      </c>
      <c r="I287" s="1507">
        <v>249991.26248999999</v>
      </c>
      <c r="J287" s="1508">
        <v>1.70021056287459</v>
      </c>
      <c r="K287" s="1508">
        <v>1.8073259028475499</v>
      </c>
      <c r="L287" s="1508">
        <v>2.1900708930737101</v>
      </c>
      <c r="M287" s="1508">
        <v>1.6746091129164999E-2</v>
      </c>
    </row>
    <row r="288" spans="1:13" s="120" customFormat="1" ht="15" customHeight="1">
      <c r="A288" s="33" t="s">
        <v>29</v>
      </c>
      <c r="B288" s="1507">
        <v>123899.10576000001</v>
      </c>
      <c r="C288" s="1507">
        <v>10183.84721</v>
      </c>
      <c r="D288" s="1507">
        <v>773.65560000000005</v>
      </c>
      <c r="E288" s="1507">
        <v>190465.35044000001</v>
      </c>
      <c r="F288" s="1507">
        <v>493363.99202000001</v>
      </c>
      <c r="G288" s="1507">
        <v>23324.865870000001</v>
      </c>
      <c r="H288" s="1507">
        <v>1851.6639</v>
      </c>
      <c r="I288" s="1507">
        <v>228703.62010999999</v>
      </c>
      <c r="J288" s="1508">
        <v>1.70101128510594</v>
      </c>
      <c r="K288" s="1508">
        <v>1.7833531227502499</v>
      </c>
      <c r="L288" s="1508">
        <v>2.1567222711171001</v>
      </c>
      <c r="M288" s="1508">
        <v>1.6275334487542301E-2</v>
      </c>
    </row>
    <row r="289" spans="1:13" s="120" customFormat="1" ht="15" customHeight="1">
      <c r="A289" s="2123" t="s">
        <v>4222</v>
      </c>
      <c r="B289" s="2124">
        <f>SUM(B290:B304)</f>
        <v>750545.34880500007</v>
      </c>
      <c r="C289" s="2124">
        <f t="shared" ref="C289:I289" si="22">SUM(C290:C304)</f>
        <v>90196.122510000001</v>
      </c>
      <c r="D289" s="2124">
        <f t="shared" si="22"/>
        <v>2995.5384099999997</v>
      </c>
      <c r="E289" s="2124">
        <f t="shared" si="22"/>
        <v>2890816.6074800002</v>
      </c>
      <c r="F289" s="2124">
        <f t="shared" si="22"/>
        <v>888546.0939819999</v>
      </c>
      <c r="G289" s="2124">
        <f t="shared" si="22"/>
        <v>72911.400479999997</v>
      </c>
      <c r="H289" s="2124">
        <f t="shared" si="22"/>
        <v>7343.9147299999995</v>
      </c>
      <c r="I289" s="2124">
        <f t="shared" si="22"/>
        <v>827546.11560999998</v>
      </c>
      <c r="J289" s="2125">
        <v>1.6993059444252601</v>
      </c>
      <c r="K289" s="2125">
        <v>1.83408513555405</v>
      </c>
      <c r="L289" s="2125">
        <v>2.1867988840480401</v>
      </c>
      <c r="M289" s="2125">
        <v>1.9492621749525599E-2</v>
      </c>
    </row>
    <row r="290" spans="1:13" s="120" customFormat="1" ht="15" customHeight="1">
      <c r="A290" s="2123" t="s">
        <v>18</v>
      </c>
      <c r="B290" s="2126">
        <v>116106.05559</v>
      </c>
      <c r="C290" s="2126">
        <v>9782.2515199999998</v>
      </c>
      <c r="D290" s="2126">
        <v>622.57025999999996</v>
      </c>
      <c r="E290" s="2126">
        <v>213738.20881000001</v>
      </c>
      <c r="F290" s="2126">
        <v>294173.179901</v>
      </c>
      <c r="G290" s="2126">
        <v>17134.230490000002</v>
      </c>
      <c r="H290" s="2126">
        <v>2691.32881</v>
      </c>
      <c r="I290" s="2126">
        <v>176399.70301999999</v>
      </c>
      <c r="J290" s="2127">
        <v>1.7005902148443</v>
      </c>
      <c r="K290" s="2127">
        <v>1.76070250755061</v>
      </c>
      <c r="L290" s="2127">
        <v>2.1112577946222699</v>
      </c>
      <c r="M290" s="2127">
        <v>1.6447551907736901E-2</v>
      </c>
    </row>
    <row r="291" spans="1:13" s="120" customFormat="1" ht="15" customHeight="1">
      <c r="A291" s="2123" t="s">
        <v>19</v>
      </c>
      <c r="B291" s="2126">
        <v>144446.69794000001</v>
      </c>
      <c r="C291" s="2126">
        <v>11757.965980000001</v>
      </c>
      <c r="D291" s="2126">
        <v>374.54595999999998</v>
      </c>
      <c r="E291" s="2126">
        <v>386639.37488000002</v>
      </c>
      <c r="F291" s="2126">
        <v>177703.92530100001</v>
      </c>
      <c r="G291" s="2126">
        <v>23732.310969999999</v>
      </c>
      <c r="H291" s="2126">
        <v>1262.61176</v>
      </c>
      <c r="I291" s="2126">
        <v>183628.23034000001</v>
      </c>
      <c r="J291" s="2127">
        <v>1.69969220177758</v>
      </c>
      <c r="K291" s="2127">
        <v>1.77589183978571</v>
      </c>
      <c r="L291" s="2127">
        <v>2.1422850013723802</v>
      </c>
      <c r="M291" s="2127">
        <v>1.8098674324788799E-2</v>
      </c>
    </row>
    <row r="292" spans="1:13" s="120" customFormat="1" ht="15" customHeight="1">
      <c r="A292" s="2123" t="s">
        <v>20</v>
      </c>
      <c r="B292" s="2126">
        <v>112733.50808</v>
      </c>
      <c r="C292" s="2126">
        <v>31440.44283</v>
      </c>
      <c r="D292" s="2126">
        <v>410.54079999999999</v>
      </c>
      <c r="E292" s="2126">
        <v>435379.88799999998</v>
      </c>
      <c r="F292" s="2126">
        <v>120054.55005000001</v>
      </c>
      <c r="G292" s="2126">
        <v>9282.3112500000007</v>
      </c>
      <c r="H292" s="2126">
        <v>733.99190999999996</v>
      </c>
      <c r="I292" s="2126">
        <v>124492.06061</v>
      </c>
      <c r="J292" s="2127">
        <v>1.69910007434716</v>
      </c>
      <c r="K292" s="2127">
        <v>1.8372472517264999</v>
      </c>
      <c r="L292" s="2127">
        <v>2.20463258026937</v>
      </c>
      <c r="M292" s="2127">
        <v>1.9320717293046699E-2</v>
      </c>
    </row>
    <row r="293" spans="1:13" s="120" customFormat="1" ht="15" customHeight="1">
      <c r="A293" s="2123" t="s">
        <v>21</v>
      </c>
      <c r="B293" s="2126">
        <v>191126.91922000001</v>
      </c>
      <c r="C293" s="2126">
        <v>25309.11017</v>
      </c>
      <c r="D293" s="2126">
        <v>1092.5673999999999</v>
      </c>
      <c r="E293" s="2126">
        <v>884299.03312000004</v>
      </c>
      <c r="F293" s="2126">
        <v>173471.91686999999</v>
      </c>
      <c r="G293" s="2126">
        <v>11923.718349999999</v>
      </c>
      <c r="H293" s="2126">
        <v>1327.5884599999999</v>
      </c>
      <c r="I293" s="2126">
        <v>182998.93216</v>
      </c>
      <c r="J293" s="2127">
        <v>1.6988254420265501</v>
      </c>
      <c r="K293" s="2127">
        <v>1.89249185590904</v>
      </c>
      <c r="L293" s="2127">
        <v>2.2422261780177202</v>
      </c>
      <c r="M293" s="2127">
        <v>2.0112190500633099E-2</v>
      </c>
    </row>
    <row r="294" spans="1:13" s="120" customFormat="1" ht="14.45" customHeight="1">
      <c r="A294" s="2123" t="s">
        <v>22</v>
      </c>
      <c r="B294" s="2126">
        <v>186132.16797499999</v>
      </c>
      <c r="C294" s="2126">
        <v>11906.352010000001</v>
      </c>
      <c r="D294" s="2126">
        <v>495.31398999999999</v>
      </c>
      <c r="E294" s="2126">
        <v>970760.10267000005</v>
      </c>
      <c r="F294" s="2126">
        <v>123142.52185999999</v>
      </c>
      <c r="G294" s="2126">
        <v>10838.82942</v>
      </c>
      <c r="H294" s="2126">
        <v>1328.3937900000001</v>
      </c>
      <c r="I294" s="2126">
        <v>160027.18948</v>
      </c>
      <c r="J294" s="2127">
        <v>1.69792132474725</v>
      </c>
      <c r="K294" s="2127">
        <v>1.9104565152522901</v>
      </c>
      <c r="L294" s="2127">
        <v>2.2792796287944799</v>
      </c>
      <c r="M294" s="2127">
        <v>2.0746527125556899E-2</v>
      </c>
    </row>
    <row r="295" spans="1:13" s="512" customFormat="1" ht="33.75" customHeight="1">
      <c r="A295" s="2719" t="s">
        <v>2705</v>
      </c>
      <c r="B295" s="2720"/>
      <c r="C295" s="2720"/>
      <c r="D295" s="2720"/>
      <c r="E295" s="2720"/>
      <c r="F295" s="2720"/>
      <c r="G295" s="2720"/>
      <c r="H295" s="2720"/>
      <c r="I295" s="2720"/>
      <c r="J295" s="2720"/>
      <c r="K295" s="2720"/>
      <c r="L295" s="2720"/>
      <c r="M295" s="2721"/>
    </row>
    <row r="296" spans="1:13">
      <c r="B296" s="179"/>
      <c r="C296" s="180"/>
      <c r="D296" s="171"/>
      <c r="E296" s="171"/>
      <c r="F296" s="171"/>
      <c r="G296" s="171"/>
      <c r="H296" s="171"/>
      <c r="I296" s="171"/>
      <c r="J296" s="171"/>
      <c r="K296" s="171"/>
      <c r="L296" s="171"/>
      <c r="M296" s="171"/>
    </row>
    <row r="297" spans="1:13">
      <c r="B297" s="179"/>
      <c r="C297" s="180"/>
      <c r="D297" s="171"/>
      <c r="E297" s="171"/>
      <c r="F297" s="171"/>
      <c r="G297" s="171"/>
      <c r="H297" s="171"/>
      <c r="I297" s="171"/>
      <c r="J297" s="171"/>
      <c r="K297" s="171"/>
      <c r="L297" s="171"/>
      <c r="M297" s="171"/>
    </row>
    <row r="298" spans="1:13">
      <c r="A298" s="72"/>
      <c r="B298" s="178"/>
      <c r="C298" s="178"/>
      <c r="D298" s="178"/>
      <c r="E298" s="178"/>
      <c r="F298" s="974"/>
      <c r="G298" s="178"/>
      <c r="H298" s="178"/>
      <c r="I298" s="171"/>
      <c r="J298" s="171"/>
      <c r="K298" s="171"/>
      <c r="L298" s="171"/>
      <c r="M298" s="171"/>
    </row>
    <row r="299" spans="1:13">
      <c r="A299" s="72"/>
      <c r="B299" s="178"/>
      <c r="C299" s="171"/>
      <c r="D299" s="180"/>
      <c r="E299" s="171"/>
      <c r="F299" s="171"/>
      <c r="G299" s="171"/>
      <c r="H299" s="114"/>
      <c r="I299" s="171"/>
      <c r="J299" s="171"/>
      <c r="K299" s="171"/>
      <c r="L299" s="171"/>
      <c r="M299" s="171"/>
    </row>
    <row r="300" spans="1:13">
      <c r="A300" s="72"/>
      <c r="B300" s="178"/>
      <c r="C300" s="171"/>
      <c r="D300" s="171"/>
      <c r="E300" s="171"/>
      <c r="F300" s="171"/>
      <c r="G300" s="171"/>
      <c r="H300" s="171"/>
      <c r="I300" s="171"/>
      <c r="J300" s="171"/>
      <c r="K300" s="171"/>
      <c r="L300" s="171"/>
      <c r="M300" s="171"/>
    </row>
    <row r="301" spans="1:13">
      <c r="A301" s="72"/>
      <c r="B301" s="171"/>
      <c r="C301" s="180"/>
      <c r="D301" s="180"/>
      <c r="E301" s="180"/>
      <c r="F301" s="171"/>
      <c r="G301" s="171"/>
      <c r="H301" s="180"/>
      <c r="I301" s="171"/>
      <c r="J301" s="171"/>
      <c r="K301" s="171"/>
      <c r="L301" s="171"/>
      <c r="M301" s="171"/>
    </row>
    <row r="302" spans="1:13">
      <c r="A302" s="71"/>
      <c r="B302" s="171"/>
      <c r="C302" s="180"/>
      <c r="D302" s="180"/>
      <c r="E302" s="180"/>
      <c r="F302" s="171"/>
      <c r="G302" s="171"/>
      <c r="H302" s="180"/>
      <c r="I302" s="171"/>
      <c r="J302" s="171"/>
      <c r="K302" s="171"/>
      <c r="L302" s="171"/>
      <c r="M302" s="171"/>
    </row>
    <row r="303" spans="1:13">
      <c r="A303" s="71"/>
      <c r="B303" s="180"/>
      <c r="C303" s="180"/>
      <c r="D303" s="180"/>
      <c r="E303" s="180"/>
      <c r="F303" s="171"/>
      <c r="G303" s="171"/>
      <c r="H303" s="180"/>
      <c r="I303" s="171"/>
      <c r="J303" s="171"/>
      <c r="K303" s="171"/>
      <c r="L303" s="171"/>
      <c r="M303" s="171"/>
    </row>
    <row r="304" spans="1:13">
      <c r="A304" s="72"/>
      <c r="B304" s="180"/>
      <c r="C304" s="180"/>
      <c r="D304" s="180"/>
      <c r="E304" s="180"/>
      <c r="F304" s="171"/>
      <c r="G304" s="171"/>
      <c r="H304" s="180"/>
      <c r="I304" s="171"/>
      <c r="J304" s="171"/>
      <c r="K304" s="171"/>
      <c r="L304" s="171"/>
      <c r="M304" s="171"/>
    </row>
    <row r="305" spans="1:13">
      <c r="A305" s="71"/>
      <c r="B305" s="180"/>
      <c r="C305" s="180"/>
      <c r="D305" s="180"/>
      <c r="E305" s="180"/>
      <c r="F305" s="171"/>
      <c r="G305" s="171"/>
      <c r="H305" s="180"/>
      <c r="I305" s="171"/>
      <c r="J305" s="171"/>
      <c r="K305" s="171"/>
      <c r="L305" s="171"/>
      <c r="M305" s="171"/>
    </row>
    <row r="306" spans="1:13">
      <c r="A306" s="71"/>
      <c r="B306" s="180"/>
      <c r="C306" s="171"/>
      <c r="D306" s="180"/>
      <c r="E306" s="171"/>
      <c r="F306" s="171"/>
      <c r="G306" s="171"/>
      <c r="H306" s="171"/>
      <c r="I306" s="171"/>
      <c r="J306" s="171"/>
      <c r="K306" s="171"/>
      <c r="L306" s="171"/>
      <c r="M306" s="171"/>
    </row>
    <row r="307" spans="1:13">
      <c r="A307" s="72"/>
      <c r="B307" s="180"/>
      <c r="C307" s="171"/>
      <c r="D307" s="171"/>
      <c r="E307" s="171"/>
      <c r="F307" s="171"/>
      <c r="G307" s="171"/>
      <c r="H307" s="180"/>
      <c r="I307" s="171"/>
      <c r="J307" s="171"/>
      <c r="K307" s="171"/>
      <c r="L307" s="171"/>
      <c r="M307" s="171"/>
    </row>
    <row r="308" spans="1:13">
      <c r="A308" s="72"/>
      <c r="B308" s="171" t="s">
        <v>115</v>
      </c>
      <c r="C308" s="180"/>
      <c r="D308" s="180"/>
      <c r="E308" s="180"/>
      <c r="F308" s="171"/>
      <c r="G308" s="171"/>
      <c r="H308" s="180"/>
      <c r="I308" s="171"/>
      <c r="J308" s="171"/>
      <c r="K308" s="171"/>
      <c r="L308" s="171"/>
      <c r="M308" s="171"/>
    </row>
    <row r="309" spans="1:13">
      <c r="A309" s="72"/>
      <c r="B309" s="171"/>
      <c r="C309" s="180"/>
      <c r="D309" s="180"/>
      <c r="E309" s="180"/>
      <c r="F309" s="171"/>
      <c r="G309" s="171"/>
      <c r="H309" s="180"/>
      <c r="I309" s="171"/>
      <c r="J309" s="171"/>
      <c r="K309" s="171"/>
      <c r="L309" s="171"/>
      <c r="M309" s="171"/>
    </row>
    <row r="310" spans="1:13">
      <c r="A310" s="72"/>
      <c r="B310" s="180"/>
      <c r="C310" s="178"/>
      <c r="D310" s="178"/>
      <c r="E310" s="178"/>
      <c r="F310" s="178"/>
      <c r="G310" s="178"/>
      <c r="H310" s="178"/>
      <c r="I310" s="171"/>
      <c r="J310" s="171"/>
      <c r="K310" s="171"/>
      <c r="L310" s="171"/>
      <c r="M310" s="171"/>
    </row>
    <row r="311" spans="1:13">
      <c r="A311" s="72"/>
      <c r="B311" s="180"/>
      <c r="C311" s="171"/>
      <c r="D311" s="171"/>
      <c r="E311" s="171"/>
      <c r="F311" s="171"/>
      <c r="G311" s="171"/>
      <c r="H311" s="171"/>
      <c r="I311" s="171"/>
      <c r="J311" s="171"/>
      <c r="K311" s="171"/>
      <c r="L311" s="171"/>
      <c r="M311" s="171"/>
    </row>
    <row r="312" spans="1:13">
      <c r="A312" s="71"/>
      <c r="B312" s="178"/>
      <c r="C312" s="171"/>
      <c r="D312" s="171"/>
      <c r="E312" s="171"/>
      <c r="F312" s="171"/>
      <c r="G312" s="171"/>
      <c r="H312" s="171"/>
      <c r="I312" s="171"/>
      <c r="J312" s="171"/>
      <c r="K312" s="171"/>
      <c r="L312" s="171"/>
      <c r="M312" s="171"/>
    </row>
    <row r="313" spans="1:13">
      <c r="A313" s="71"/>
      <c r="B313" s="171"/>
      <c r="C313" s="171"/>
      <c r="D313" s="171"/>
      <c r="E313" s="171"/>
      <c r="F313" s="171"/>
      <c r="G313" s="171"/>
      <c r="H313" s="171"/>
      <c r="I313" s="171"/>
      <c r="J313" s="171"/>
      <c r="K313" s="171"/>
      <c r="L313" s="171"/>
      <c r="M313" s="171"/>
    </row>
    <row r="314" spans="1:13">
      <c r="A314" s="72"/>
      <c r="B314" s="171"/>
      <c r="C314" s="171"/>
      <c r="D314" s="171"/>
      <c r="E314" s="171"/>
      <c r="F314" s="171"/>
      <c r="G314" s="171"/>
      <c r="H314" s="171"/>
      <c r="I314" s="171"/>
      <c r="J314" s="171"/>
      <c r="K314" s="171"/>
      <c r="L314" s="171"/>
      <c r="M314" s="171"/>
    </row>
    <row r="315" spans="1:13">
      <c r="A315" s="72"/>
      <c r="B315" s="171"/>
      <c r="C315" s="171"/>
      <c r="D315" s="171"/>
      <c r="E315" s="171"/>
      <c r="F315" s="171"/>
      <c r="G315" s="171"/>
      <c r="H315" s="171"/>
      <c r="I315" s="171"/>
      <c r="J315" s="171"/>
      <c r="K315" s="171"/>
      <c r="L315" s="171"/>
      <c r="M315" s="171"/>
    </row>
    <row r="316" spans="1:13">
      <c r="A316" s="71"/>
      <c r="B316" s="171"/>
      <c r="C316" s="171"/>
      <c r="D316" s="171"/>
      <c r="E316" s="171"/>
      <c r="F316" s="171"/>
      <c r="G316" s="171"/>
      <c r="H316" s="171"/>
      <c r="I316" s="171"/>
      <c r="J316" s="171"/>
      <c r="K316" s="171"/>
      <c r="L316" s="171"/>
      <c r="M316" s="171"/>
    </row>
    <row r="317" spans="1:13">
      <c r="A317" s="71"/>
      <c r="B317" s="171"/>
      <c r="C317" s="171"/>
      <c r="D317" s="171"/>
      <c r="E317" s="171"/>
      <c r="F317" s="171"/>
      <c r="G317" s="171"/>
      <c r="H317" s="171"/>
      <c r="I317" s="171"/>
      <c r="J317" s="171"/>
      <c r="K317" s="171"/>
      <c r="L317" s="171"/>
      <c r="M317" s="171"/>
    </row>
    <row r="318" spans="1:13">
      <c r="A318" s="71"/>
      <c r="B318" s="171"/>
      <c r="C318" s="171"/>
      <c r="D318" s="171"/>
      <c r="E318" s="171"/>
      <c r="F318" s="171"/>
      <c r="G318" s="171"/>
      <c r="H318" s="171"/>
      <c r="I318" s="171"/>
      <c r="J318" s="171"/>
      <c r="K318" s="171"/>
      <c r="L318" s="171"/>
      <c r="M318" s="171"/>
    </row>
    <row r="319" spans="1:13">
      <c r="A319" s="71"/>
      <c r="B319" s="171"/>
      <c r="C319" s="171"/>
      <c r="D319" s="171"/>
      <c r="E319" s="171"/>
      <c r="F319" s="171"/>
      <c r="G319" s="171"/>
      <c r="H319" s="171"/>
      <c r="I319" s="171"/>
      <c r="J319" s="171"/>
      <c r="K319" s="171"/>
      <c r="L319" s="171"/>
      <c r="M319" s="171"/>
    </row>
    <row r="320" spans="1:13">
      <c r="A320" s="71"/>
      <c r="B320" s="171"/>
      <c r="C320" s="171"/>
      <c r="D320" s="171"/>
      <c r="E320" s="171"/>
      <c r="F320" s="171"/>
      <c r="G320" s="171"/>
      <c r="H320" s="171"/>
      <c r="I320" s="171"/>
      <c r="J320" s="171"/>
      <c r="K320" s="171"/>
      <c r="L320" s="171"/>
      <c r="M320" s="171"/>
    </row>
    <row r="321" spans="1:13">
      <c r="A321" s="71"/>
      <c r="B321" s="171"/>
      <c r="C321" s="171"/>
      <c r="D321" s="171"/>
      <c r="E321" s="171"/>
      <c r="F321" s="171"/>
      <c r="G321" s="171"/>
      <c r="H321" s="171"/>
      <c r="I321" s="171"/>
      <c r="J321" s="171"/>
      <c r="K321" s="171"/>
      <c r="L321" s="171"/>
      <c r="M321" s="171"/>
    </row>
    <row r="322" spans="1:13">
      <c r="A322" s="71"/>
      <c r="B322" s="171"/>
      <c r="C322" s="171"/>
      <c r="D322" s="171"/>
      <c r="E322" s="171"/>
      <c r="F322" s="171"/>
      <c r="G322" s="171"/>
      <c r="H322" s="171"/>
      <c r="I322" s="171"/>
      <c r="J322" s="171"/>
      <c r="K322" s="171"/>
      <c r="L322" s="171"/>
      <c r="M322" s="171"/>
    </row>
    <row r="323" spans="1:13">
      <c r="A323" s="71"/>
      <c r="B323" s="171"/>
      <c r="C323" s="171"/>
      <c r="D323" s="171"/>
      <c r="E323" s="171"/>
      <c r="F323" s="171"/>
      <c r="G323" s="171"/>
      <c r="H323" s="171"/>
      <c r="I323" s="171"/>
      <c r="J323" s="171"/>
      <c r="K323" s="171"/>
      <c r="L323" s="171"/>
      <c r="M323" s="171"/>
    </row>
    <row r="324" spans="1:13">
      <c r="A324" s="71"/>
      <c r="B324" s="171"/>
      <c r="C324" s="171"/>
      <c r="D324" s="171"/>
      <c r="E324" s="171"/>
      <c r="F324" s="171"/>
      <c r="G324" s="171"/>
      <c r="H324" s="171"/>
      <c r="I324" s="171"/>
      <c r="J324" s="171"/>
      <c r="K324" s="171"/>
      <c r="L324" s="171"/>
      <c r="M324" s="171"/>
    </row>
    <row r="325" spans="1:13">
      <c r="A325" s="71"/>
      <c r="B325" s="171"/>
      <c r="C325" s="171"/>
      <c r="D325" s="171"/>
      <c r="E325" s="171"/>
      <c r="F325" s="171"/>
      <c r="G325" s="171"/>
      <c r="H325" s="171"/>
      <c r="I325" s="171"/>
      <c r="J325" s="171"/>
      <c r="K325" s="171"/>
      <c r="L325" s="171"/>
      <c r="M325" s="171"/>
    </row>
    <row r="326" spans="1:13">
      <c r="A326" s="71"/>
      <c r="B326" s="171"/>
      <c r="C326" s="171"/>
      <c r="D326" s="171"/>
      <c r="E326" s="171"/>
      <c r="F326" s="171"/>
      <c r="G326" s="171"/>
      <c r="H326" s="171"/>
      <c r="I326" s="171"/>
      <c r="J326" s="171"/>
      <c r="K326" s="171"/>
      <c r="L326" s="171"/>
      <c r="M326" s="171"/>
    </row>
    <row r="327" spans="1:13">
      <c r="A327" s="71"/>
      <c r="B327" s="171"/>
      <c r="C327" s="171"/>
      <c r="D327" s="171"/>
      <c r="E327" s="171"/>
      <c r="F327" s="171"/>
      <c r="G327" s="171"/>
      <c r="H327" s="171"/>
      <c r="I327" s="171"/>
      <c r="J327" s="171"/>
      <c r="K327" s="171"/>
      <c r="L327" s="171"/>
      <c r="M327" s="171"/>
    </row>
    <row r="328" spans="1:13">
      <c r="A328" s="71"/>
      <c r="B328" s="171"/>
      <c r="C328" s="171"/>
      <c r="D328" s="171"/>
      <c r="E328" s="171"/>
      <c r="F328" s="171"/>
      <c r="G328" s="171"/>
      <c r="H328" s="171"/>
      <c r="I328" s="171"/>
      <c r="J328" s="171"/>
      <c r="K328" s="171"/>
      <c r="L328" s="171"/>
      <c r="M328" s="171"/>
    </row>
    <row r="329" spans="1:13">
      <c r="A329" s="71"/>
      <c r="B329" s="171"/>
      <c r="C329" s="171"/>
      <c r="D329" s="171"/>
      <c r="E329" s="171"/>
      <c r="F329" s="171"/>
      <c r="G329" s="171"/>
      <c r="H329" s="171"/>
      <c r="I329" s="171"/>
      <c r="J329" s="171"/>
      <c r="K329" s="171"/>
      <c r="L329" s="171"/>
      <c r="M329" s="171"/>
    </row>
    <row r="330" spans="1:13">
      <c r="A330" s="71"/>
      <c r="B330" s="171"/>
      <c r="C330" s="171"/>
      <c r="D330" s="171"/>
      <c r="E330" s="171"/>
      <c r="F330" s="171"/>
      <c r="G330" s="171"/>
      <c r="H330" s="171"/>
      <c r="I330" s="171"/>
      <c r="J330" s="171"/>
      <c r="K330" s="171"/>
      <c r="L330" s="171"/>
      <c r="M330" s="171"/>
    </row>
    <row r="331" spans="1:13">
      <c r="A331" s="71"/>
      <c r="B331" s="171"/>
      <c r="C331" s="171"/>
      <c r="D331" s="171"/>
      <c r="E331" s="171"/>
      <c r="F331" s="171"/>
      <c r="G331" s="171"/>
      <c r="H331" s="171"/>
      <c r="I331" s="171"/>
      <c r="J331" s="171"/>
      <c r="K331" s="171"/>
      <c r="L331" s="171"/>
      <c r="M331" s="171"/>
    </row>
    <row r="332" spans="1:13">
      <c r="A332" s="71"/>
      <c r="B332" s="171"/>
      <c r="C332" s="171"/>
      <c r="D332" s="171"/>
      <c r="E332" s="171"/>
      <c r="F332" s="171"/>
      <c r="G332" s="171"/>
      <c r="H332" s="171"/>
      <c r="I332" s="171"/>
      <c r="J332" s="171"/>
      <c r="K332" s="171"/>
      <c r="L332" s="171"/>
      <c r="M332" s="171"/>
    </row>
    <row r="333" spans="1:13">
      <c r="A333" s="71"/>
      <c r="B333" s="171"/>
      <c r="C333" s="171"/>
      <c r="D333" s="171"/>
      <c r="E333" s="171"/>
      <c r="F333" s="171"/>
      <c r="G333" s="171"/>
      <c r="H333" s="171"/>
      <c r="I333" s="171"/>
      <c r="J333" s="171"/>
      <c r="K333" s="171"/>
      <c r="L333" s="171"/>
      <c r="M333" s="171"/>
    </row>
    <row r="334" spans="1:13">
      <c r="A334" s="71"/>
      <c r="B334" s="171"/>
      <c r="C334" s="171"/>
      <c r="D334" s="171"/>
      <c r="E334" s="171"/>
      <c r="F334" s="171"/>
      <c r="G334" s="171"/>
      <c r="H334" s="171"/>
      <c r="I334" s="171"/>
      <c r="J334" s="171"/>
      <c r="K334" s="171"/>
      <c r="L334" s="171"/>
      <c r="M334" s="171"/>
    </row>
    <row r="335" spans="1:13">
      <c r="A335" s="71"/>
      <c r="B335" s="171"/>
      <c r="C335" s="171"/>
      <c r="D335" s="171"/>
      <c r="E335" s="171"/>
      <c r="F335" s="171"/>
      <c r="G335" s="171"/>
      <c r="H335" s="171"/>
      <c r="I335" s="171"/>
      <c r="J335" s="171"/>
      <c r="K335" s="171"/>
      <c r="L335" s="171"/>
      <c r="M335" s="171"/>
    </row>
    <row r="336" spans="1:13">
      <c r="A336" s="71"/>
      <c r="B336" s="171"/>
      <c r="C336" s="171"/>
      <c r="D336" s="171"/>
      <c r="E336" s="171"/>
      <c r="F336" s="171"/>
      <c r="G336" s="171"/>
      <c r="H336" s="171"/>
      <c r="I336" s="171"/>
      <c r="J336" s="171"/>
      <c r="K336" s="171"/>
      <c r="L336" s="171"/>
      <c r="M336" s="171"/>
    </row>
    <row r="337" spans="1:13">
      <c r="A337" s="71"/>
      <c r="B337" s="171"/>
      <c r="C337" s="171"/>
      <c r="D337" s="171"/>
      <c r="E337" s="171"/>
      <c r="F337" s="171"/>
      <c r="G337" s="171"/>
      <c r="H337" s="171"/>
      <c r="I337" s="171"/>
      <c r="J337" s="171"/>
      <c r="K337" s="171"/>
      <c r="L337" s="171"/>
      <c r="M337" s="171"/>
    </row>
    <row r="338" spans="1:13">
      <c r="A338" s="71"/>
      <c r="B338" s="171"/>
      <c r="C338" s="171"/>
      <c r="D338" s="171"/>
      <c r="E338" s="171"/>
      <c r="F338" s="171"/>
      <c r="G338" s="171"/>
      <c r="H338" s="171"/>
      <c r="I338" s="171"/>
      <c r="J338" s="171"/>
      <c r="K338" s="171"/>
      <c r="L338" s="171"/>
      <c r="M338" s="171"/>
    </row>
    <row r="339" spans="1:13">
      <c r="A339" s="71"/>
      <c r="B339" s="171"/>
      <c r="C339" s="171"/>
      <c r="D339" s="171"/>
      <c r="E339" s="171"/>
      <c r="F339" s="171"/>
      <c r="G339" s="171"/>
      <c r="H339" s="171"/>
      <c r="I339" s="171"/>
      <c r="J339" s="171"/>
      <c r="K339" s="171"/>
      <c r="L339" s="171"/>
      <c r="M339" s="171"/>
    </row>
    <row r="340" spans="1:13">
      <c r="A340" s="71"/>
      <c r="B340" s="171"/>
      <c r="C340" s="171"/>
      <c r="D340" s="171"/>
      <c r="E340" s="171"/>
      <c r="F340" s="171"/>
      <c r="G340" s="171"/>
      <c r="H340" s="171"/>
      <c r="I340" s="171"/>
      <c r="J340" s="171"/>
      <c r="K340" s="171"/>
      <c r="L340" s="171"/>
      <c r="M340" s="171"/>
    </row>
    <row r="341" spans="1:13">
      <c r="A341" s="71"/>
      <c r="B341" s="171"/>
      <c r="C341" s="171"/>
      <c r="D341" s="171"/>
      <c r="E341" s="171"/>
      <c r="F341" s="171"/>
      <c r="G341" s="171"/>
      <c r="H341" s="171"/>
      <c r="I341" s="171"/>
      <c r="J341" s="171"/>
      <c r="K341" s="171"/>
      <c r="L341" s="171"/>
      <c r="M341" s="171"/>
    </row>
    <row r="342" spans="1:13">
      <c r="A342" s="71"/>
      <c r="B342" s="171"/>
      <c r="C342" s="171"/>
      <c r="D342" s="171"/>
      <c r="E342" s="171"/>
      <c r="F342" s="171"/>
      <c r="G342" s="171"/>
      <c r="H342" s="171"/>
      <c r="I342" s="171"/>
      <c r="J342" s="171"/>
      <c r="K342" s="171"/>
      <c r="L342" s="171"/>
      <c r="M342" s="171"/>
    </row>
    <row r="343" spans="1:13">
      <c r="A343" s="71"/>
      <c r="B343" s="171"/>
      <c r="C343" s="171"/>
      <c r="D343" s="171"/>
      <c r="E343" s="171"/>
      <c r="F343" s="171"/>
      <c r="G343" s="171"/>
      <c r="H343" s="171"/>
      <c r="I343" s="171"/>
      <c r="J343" s="171"/>
      <c r="K343" s="171"/>
      <c r="L343" s="171"/>
      <c r="M343" s="171"/>
    </row>
    <row r="344" spans="1:13">
      <c r="A344" s="71"/>
      <c r="B344" s="171"/>
      <c r="C344" s="171"/>
      <c r="D344" s="171"/>
      <c r="E344" s="171"/>
      <c r="F344" s="171"/>
      <c r="G344" s="171"/>
      <c r="H344" s="171"/>
      <c r="I344" s="171"/>
      <c r="J344" s="171"/>
      <c r="K344" s="171"/>
      <c r="L344" s="171"/>
      <c r="M344" s="171"/>
    </row>
    <row r="345" spans="1:13">
      <c r="A345" s="71"/>
      <c r="B345" s="171"/>
      <c r="C345" s="171"/>
      <c r="D345" s="171"/>
      <c r="E345" s="171"/>
      <c r="F345" s="171"/>
      <c r="G345" s="171"/>
      <c r="H345" s="171"/>
      <c r="I345" s="171"/>
      <c r="J345" s="171"/>
      <c r="K345" s="171"/>
      <c r="L345" s="171"/>
      <c r="M345" s="171"/>
    </row>
    <row r="346" spans="1:13">
      <c r="A346" s="71"/>
      <c r="B346" s="171"/>
      <c r="C346" s="171"/>
      <c r="D346" s="171"/>
      <c r="E346" s="171"/>
      <c r="F346" s="171"/>
      <c r="G346" s="171"/>
      <c r="H346" s="171"/>
      <c r="I346" s="171"/>
      <c r="J346" s="171"/>
      <c r="K346" s="171"/>
      <c r="L346" s="171"/>
      <c r="M346" s="171"/>
    </row>
    <row r="347" spans="1:13">
      <c r="A347" s="71"/>
      <c r="B347" s="171"/>
      <c r="C347" s="171"/>
      <c r="D347" s="171"/>
      <c r="E347" s="171"/>
      <c r="F347" s="171"/>
      <c r="G347" s="171"/>
      <c r="H347" s="171"/>
      <c r="I347" s="171"/>
      <c r="J347" s="171"/>
      <c r="K347" s="171"/>
      <c r="L347" s="171"/>
      <c r="M347" s="171"/>
    </row>
    <row r="348" spans="1:13">
      <c r="A348" s="71"/>
      <c r="B348" s="171"/>
      <c r="C348" s="171"/>
      <c r="D348" s="171"/>
      <c r="E348" s="171"/>
      <c r="F348" s="171"/>
      <c r="G348" s="171"/>
      <c r="H348" s="171"/>
      <c r="I348" s="171"/>
      <c r="J348" s="171"/>
      <c r="K348" s="171"/>
      <c r="L348" s="171"/>
      <c r="M348" s="171"/>
    </row>
    <row r="349" spans="1:13">
      <c r="A349" s="71"/>
      <c r="B349" s="171"/>
      <c r="C349" s="171"/>
      <c r="D349" s="171"/>
      <c r="E349" s="171"/>
      <c r="F349" s="171"/>
      <c r="G349" s="171"/>
      <c r="H349" s="171"/>
      <c r="I349" s="171"/>
      <c r="J349" s="171"/>
      <c r="K349" s="171"/>
      <c r="L349" s="171"/>
      <c r="M349" s="171"/>
    </row>
    <row r="350" spans="1:13">
      <c r="A350" s="71"/>
      <c r="B350" s="171"/>
      <c r="C350" s="171"/>
      <c r="D350" s="171"/>
      <c r="E350" s="171"/>
      <c r="F350" s="171"/>
      <c r="G350" s="171"/>
      <c r="H350" s="171"/>
      <c r="I350" s="171"/>
      <c r="J350" s="171"/>
      <c r="K350" s="171"/>
      <c r="L350" s="171"/>
      <c r="M350" s="171"/>
    </row>
    <row r="351" spans="1:13">
      <c r="A351" s="71"/>
      <c r="B351" s="171"/>
      <c r="C351" s="171"/>
      <c r="D351" s="171"/>
      <c r="E351" s="171"/>
      <c r="F351" s="171"/>
      <c r="G351" s="171"/>
      <c r="H351" s="171"/>
      <c r="I351" s="171"/>
      <c r="J351" s="171"/>
      <c r="K351" s="171"/>
      <c r="L351" s="171"/>
      <c r="M351" s="171"/>
    </row>
    <row r="352" spans="1:13">
      <c r="A352" s="71"/>
      <c r="B352" s="171"/>
      <c r="C352" s="171"/>
      <c r="D352" s="171"/>
      <c r="E352" s="171"/>
      <c r="F352" s="171"/>
      <c r="G352" s="171"/>
      <c r="H352" s="171"/>
      <c r="I352" s="171"/>
      <c r="J352" s="171"/>
      <c r="K352" s="171"/>
      <c r="L352" s="171"/>
      <c r="M352" s="171"/>
    </row>
    <row r="353" spans="1:13">
      <c r="A353" s="71"/>
      <c r="B353" s="171"/>
      <c r="C353" s="171"/>
      <c r="D353" s="171"/>
      <c r="E353" s="171"/>
      <c r="F353" s="171"/>
      <c r="G353" s="171"/>
      <c r="H353" s="171"/>
      <c r="I353" s="171"/>
      <c r="J353" s="171"/>
      <c r="K353" s="171"/>
      <c r="L353" s="171"/>
      <c r="M353" s="171"/>
    </row>
    <row r="354" spans="1:13">
      <c r="A354" s="71"/>
      <c r="B354" s="171"/>
      <c r="C354" s="171"/>
      <c r="D354" s="171"/>
      <c r="E354" s="171"/>
      <c r="F354" s="171"/>
      <c r="G354" s="171"/>
      <c r="H354" s="171"/>
      <c r="I354" s="171"/>
      <c r="J354" s="171"/>
      <c r="K354" s="171"/>
      <c r="L354" s="171"/>
      <c r="M354" s="171"/>
    </row>
    <row r="355" spans="1:13">
      <c r="A355" s="71"/>
      <c r="B355" s="171"/>
      <c r="C355" s="171"/>
      <c r="D355" s="171"/>
      <c r="E355" s="171"/>
      <c r="F355" s="171"/>
      <c r="G355" s="171"/>
      <c r="H355" s="171"/>
      <c r="I355" s="171"/>
      <c r="J355" s="171"/>
      <c r="K355" s="171"/>
      <c r="L355" s="171"/>
      <c r="M355" s="171"/>
    </row>
    <row r="356" spans="1:13">
      <c r="A356" s="71"/>
      <c r="B356" s="171"/>
      <c r="C356" s="171"/>
      <c r="D356" s="171"/>
      <c r="E356" s="171"/>
      <c r="F356" s="171"/>
      <c r="G356" s="171"/>
      <c r="H356" s="171"/>
      <c r="I356" s="171"/>
      <c r="J356" s="171"/>
      <c r="K356" s="171"/>
      <c r="L356" s="171"/>
      <c r="M356" s="171"/>
    </row>
    <row r="357" spans="1:13">
      <c r="A357" s="71"/>
      <c r="B357" s="171"/>
      <c r="C357" s="171"/>
      <c r="D357" s="171"/>
      <c r="E357" s="171"/>
      <c r="F357" s="171"/>
      <c r="G357" s="171"/>
      <c r="H357" s="171"/>
      <c r="I357" s="171"/>
      <c r="J357" s="171"/>
      <c r="K357" s="171"/>
      <c r="L357" s="171"/>
      <c r="M357" s="171"/>
    </row>
    <row r="358" spans="1:13">
      <c r="A358" s="71"/>
      <c r="B358" s="171"/>
      <c r="C358" s="171"/>
      <c r="D358" s="171"/>
      <c r="E358" s="171"/>
      <c r="F358" s="171"/>
      <c r="G358" s="171"/>
      <c r="H358" s="171"/>
      <c r="I358" s="171"/>
      <c r="J358" s="171"/>
      <c r="K358" s="171"/>
      <c r="L358" s="171"/>
      <c r="M358" s="171"/>
    </row>
    <row r="359" spans="1:13">
      <c r="A359" s="71"/>
      <c r="B359" s="171"/>
      <c r="C359" s="171"/>
      <c r="D359" s="171"/>
      <c r="E359" s="171"/>
      <c r="F359" s="171"/>
      <c r="G359" s="171"/>
      <c r="H359" s="171"/>
      <c r="I359" s="171"/>
      <c r="J359" s="171"/>
      <c r="K359" s="171"/>
      <c r="L359" s="171"/>
      <c r="M359" s="171"/>
    </row>
    <row r="360" spans="1:13">
      <c r="A360" s="71"/>
      <c r="B360" s="171"/>
      <c r="C360" s="171"/>
      <c r="D360" s="171"/>
      <c r="E360" s="171"/>
      <c r="F360" s="171"/>
      <c r="G360" s="171"/>
      <c r="H360" s="171"/>
      <c r="I360" s="171"/>
      <c r="J360" s="171"/>
      <c r="K360" s="171"/>
      <c r="L360" s="171"/>
      <c r="M360" s="171"/>
    </row>
    <row r="361" spans="1:13">
      <c r="A361" s="71"/>
      <c r="B361" s="171"/>
      <c r="C361" s="171"/>
      <c r="D361" s="171"/>
      <c r="E361" s="171"/>
      <c r="F361" s="171"/>
      <c r="G361" s="171"/>
      <c r="H361" s="171"/>
      <c r="I361" s="171"/>
      <c r="J361" s="171"/>
      <c r="K361" s="171"/>
      <c r="L361" s="171"/>
      <c r="M361" s="171"/>
    </row>
    <row r="362" spans="1:13">
      <c r="A362" s="71"/>
      <c r="B362" s="171"/>
      <c r="C362" s="171"/>
      <c r="D362" s="171"/>
      <c r="E362" s="171"/>
      <c r="F362" s="171"/>
      <c r="G362" s="171"/>
      <c r="H362" s="171"/>
      <c r="I362" s="171"/>
      <c r="J362" s="171"/>
      <c r="K362" s="171"/>
      <c r="L362" s="171"/>
      <c r="M362" s="171"/>
    </row>
    <row r="363" spans="1:13">
      <c r="A363" s="71"/>
      <c r="B363" s="171"/>
      <c r="C363" s="171"/>
      <c r="D363" s="171"/>
      <c r="E363" s="171"/>
      <c r="F363" s="171"/>
      <c r="G363" s="171"/>
      <c r="H363" s="171"/>
      <c r="I363" s="171"/>
      <c r="J363" s="171"/>
      <c r="K363" s="171"/>
      <c r="L363" s="171"/>
      <c r="M363" s="171"/>
    </row>
    <row r="364" spans="1:13">
      <c r="A364" s="71"/>
      <c r="B364" s="171"/>
      <c r="C364" s="171"/>
      <c r="D364" s="171"/>
      <c r="E364" s="171"/>
      <c r="F364" s="171"/>
      <c r="G364" s="171"/>
      <c r="H364" s="171"/>
      <c r="I364" s="171"/>
      <c r="J364" s="171"/>
      <c r="K364" s="171"/>
      <c r="L364" s="171"/>
      <c r="M364" s="171"/>
    </row>
    <row r="365" spans="1:13">
      <c r="A365" s="71"/>
      <c r="B365" s="171"/>
      <c r="C365" s="171"/>
      <c r="D365" s="171"/>
      <c r="E365" s="171"/>
      <c r="F365" s="171"/>
      <c r="G365" s="171"/>
      <c r="H365" s="171"/>
      <c r="I365" s="171"/>
      <c r="J365" s="171"/>
      <c r="K365" s="171"/>
      <c r="L365" s="171"/>
      <c r="M365" s="171"/>
    </row>
    <row r="366" spans="1:13">
      <c r="A366" s="71"/>
      <c r="B366" s="171"/>
      <c r="C366" s="171"/>
      <c r="D366" s="171"/>
      <c r="E366" s="171"/>
      <c r="F366" s="171"/>
      <c r="G366" s="171"/>
      <c r="H366" s="171"/>
      <c r="I366" s="171"/>
      <c r="J366" s="171"/>
      <c r="K366" s="171"/>
      <c r="L366" s="171"/>
      <c r="M366" s="171"/>
    </row>
    <row r="367" spans="1:13">
      <c r="A367" s="71"/>
      <c r="B367" s="171"/>
      <c r="C367" s="171"/>
      <c r="D367" s="171"/>
      <c r="E367" s="171"/>
      <c r="F367" s="171"/>
      <c r="G367" s="171"/>
      <c r="H367" s="171"/>
      <c r="I367" s="171"/>
      <c r="J367" s="171"/>
      <c r="K367" s="171"/>
      <c r="L367" s="171"/>
      <c r="M367" s="171"/>
    </row>
    <row r="368" spans="1:13">
      <c r="A368" s="71"/>
      <c r="B368" s="171"/>
      <c r="C368" s="171"/>
      <c r="D368" s="171"/>
      <c r="E368" s="171"/>
      <c r="F368" s="171"/>
      <c r="G368" s="171"/>
      <c r="H368" s="171"/>
      <c r="I368" s="171"/>
      <c r="J368" s="171"/>
      <c r="K368" s="171"/>
      <c r="L368" s="171"/>
      <c r="M368" s="171"/>
    </row>
    <row r="369" spans="1:13">
      <c r="A369" s="71"/>
      <c r="B369" s="171"/>
      <c r="C369" s="171"/>
      <c r="D369" s="171"/>
      <c r="E369" s="171"/>
      <c r="F369" s="171"/>
      <c r="G369" s="171"/>
      <c r="H369" s="171"/>
      <c r="I369" s="171"/>
      <c r="J369" s="171"/>
      <c r="K369" s="171"/>
      <c r="L369" s="171"/>
      <c r="M369" s="171"/>
    </row>
    <row r="370" spans="1:13">
      <c r="A370" s="71"/>
      <c r="B370" s="171"/>
      <c r="C370" s="171"/>
      <c r="D370" s="171"/>
      <c r="E370" s="171"/>
      <c r="F370" s="171"/>
      <c r="G370" s="171"/>
      <c r="H370" s="171"/>
      <c r="I370" s="171"/>
      <c r="J370" s="171"/>
      <c r="K370" s="171"/>
      <c r="L370" s="171"/>
      <c r="M370" s="171"/>
    </row>
    <row r="371" spans="1:13">
      <c r="A371" s="71"/>
      <c r="B371" s="171"/>
      <c r="C371" s="171"/>
      <c r="D371" s="171"/>
      <c r="E371" s="171"/>
      <c r="F371" s="171"/>
      <c r="G371" s="171"/>
      <c r="H371" s="171"/>
      <c r="I371" s="171"/>
      <c r="J371" s="171"/>
      <c r="K371" s="171"/>
      <c r="L371" s="171"/>
      <c r="M371" s="171"/>
    </row>
    <row r="372" spans="1:13">
      <c r="A372" s="71"/>
      <c r="B372" s="171"/>
      <c r="C372" s="171"/>
      <c r="D372" s="171"/>
      <c r="E372" s="171"/>
      <c r="F372" s="171"/>
      <c r="G372" s="171"/>
      <c r="H372" s="171"/>
      <c r="I372" s="171"/>
      <c r="J372" s="171"/>
      <c r="K372" s="171"/>
      <c r="L372" s="171"/>
      <c r="M372" s="171"/>
    </row>
    <row r="373" spans="1:13">
      <c r="A373" s="71"/>
      <c r="B373" s="171"/>
      <c r="C373" s="171"/>
      <c r="D373" s="171"/>
      <c r="E373" s="171"/>
      <c r="F373" s="171"/>
      <c r="G373" s="171"/>
      <c r="H373" s="171"/>
      <c r="I373" s="171"/>
      <c r="J373" s="171"/>
      <c r="K373" s="171"/>
      <c r="L373" s="171"/>
      <c r="M373" s="171"/>
    </row>
    <row r="374" spans="1:13">
      <c r="A374" s="71"/>
      <c r="B374" s="171"/>
      <c r="C374" s="171"/>
      <c r="D374" s="171"/>
      <c r="E374" s="171"/>
      <c r="F374" s="171"/>
      <c r="G374" s="171"/>
      <c r="H374" s="171"/>
      <c r="I374" s="171"/>
      <c r="J374" s="171"/>
      <c r="K374" s="171"/>
      <c r="L374" s="171"/>
      <c r="M374" s="171"/>
    </row>
    <row r="375" spans="1:13">
      <c r="A375" s="71"/>
      <c r="B375" s="171"/>
      <c r="C375" s="171"/>
      <c r="D375" s="171"/>
      <c r="E375" s="171"/>
      <c r="F375" s="171"/>
      <c r="G375" s="171"/>
      <c r="H375" s="171"/>
      <c r="I375" s="171"/>
      <c r="J375" s="171"/>
      <c r="K375" s="171"/>
      <c r="L375" s="171"/>
      <c r="M375" s="171"/>
    </row>
    <row r="376" spans="1:13">
      <c r="A376" s="71"/>
      <c r="B376" s="171"/>
      <c r="C376" s="171"/>
      <c r="D376" s="171"/>
      <c r="E376" s="171"/>
      <c r="F376" s="171"/>
      <c r="G376" s="171"/>
      <c r="H376" s="171"/>
      <c r="I376" s="171"/>
      <c r="J376" s="171"/>
      <c r="K376" s="171"/>
      <c r="L376" s="171"/>
      <c r="M376" s="171"/>
    </row>
    <row r="377" spans="1:13">
      <c r="A377" s="71"/>
      <c r="B377" s="171"/>
      <c r="C377" s="171"/>
      <c r="D377" s="171"/>
      <c r="E377" s="171"/>
      <c r="F377" s="171"/>
      <c r="G377" s="171"/>
      <c r="H377" s="171"/>
      <c r="I377" s="171"/>
      <c r="J377" s="171"/>
      <c r="K377" s="171"/>
      <c r="L377" s="171"/>
      <c r="M377" s="171"/>
    </row>
    <row r="378" spans="1:13">
      <c r="A378" s="71"/>
      <c r="B378" s="171"/>
      <c r="C378" s="171"/>
      <c r="D378" s="171"/>
      <c r="E378" s="171"/>
      <c r="F378" s="171"/>
      <c r="G378" s="171"/>
      <c r="H378" s="171"/>
      <c r="I378" s="171"/>
      <c r="J378" s="171"/>
      <c r="K378" s="171"/>
      <c r="L378" s="171"/>
      <c r="M378" s="171"/>
    </row>
    <row r="379" spans="1:13">
      <c r="A379" s="71"/>
      <c r="B379" s="171"/>
      <c r="C379" s="171"/>
      <c r="D379" s="171"/>
      <c r="E379" s="171"/>
      <c r="F379" s="171"/>
      <c r="G379" s="171"/>
      <c r="H379" s="171"/>
      <c r="I379" s="171"/>
      <c r="J379" s="171"/>
      <c r="K379" s="171"/>
      <c r="L379" s="171"/>
      <c r="M379" s="171"/>
    </row>
    <row r="380" spans="1:13">
      <c r="A380" s="71"/>
      <c r="B380" s="171"/>
      <c r="C380" s="171"/>
      <c r="D380" s="171"/>
      <c r="E380" s="171"/>
      <c r="F380" s="171"/>
      <c r="G380" s="171"/>
      <c r="H380" s="171"/>
      <c r="I380" s="171"/>
      <c r="J380" s="171"/>
      <c r="K380" s="171"/>
      <c r="L380" s="171"/>
      <c r="M380" s="171"/>
    </row>
    <row r="381" spans="1:13">
      <c r="A381" s="71"/>
      <c r="B381" s="171"/>
      <c r="C381" s="171"/>
      <c r="D381" s="171"/>
      <c r="E381" s="171"/>
      <c r="F381" s="171"/>
      <c r="G381" s="171"/>
      <c r="H381" s="171"/>
      <c r="I381" s="171"/>
      <c r="J381" s="171"/>
      <c r="K381" s="171"/>
      <c r="L381" s="171"/>
      <c r="M381" s="171"/>
    </row>
    <row r="382" spans="1:13">
      <c r="A382" s="71"/>
      <c r="B382" s="171"/>
      <c r="C382" s="171"/>
      <c r="D382" s="171"/>
      <c r="E382" s="171"/>
      <c r="F382" s="171"/>
      <c r="G382" s="171"/>
      <c r="H382" s="171"/>
      <c r="I382" s="171"/>
      <c r="J382" s="171"/>
      <c r="K382" s="171"/>
      <c r="L382" s="171"/>
      <c r="M382" s="171"/>
    </row>
    <row r="383" spans="1:13">
      <c r="A383" s="71"/>
      <c r="B383" s="171"/>
      <c r="C383" s="171"/>
      <c r="D383" s="171"/>
      <c r="E383" s="171"/>
      <c r="F383" s="171"/>
      <c r="G383" s="171"/>
      <c r="H383" s="171"/>
      <c r="I383" s="171"/>
      <c r="J383" s="171"/>
      <c r="K383" s="171"/>
      <c r="L383" s="171"/>
      <c r="M383" s="171"/>
    </row>
    <row r="384" spans="1:13">
      <c r="A384" s="71"/>
      <c r="B384" s="171"/>
      <c r="C384" s="171"/>
      <c r="D384" s="171"/>
      <c r="E384" s="171"/>
      <c r="F384" s="171"/>
      <c r="G384" s="171"/>
      <c r="H384" s="171"/>
      <c r="I384" s="171"/>
      <c r="J384" s="171"/>
      <c r="K384" s="171"/>
      <c r="L384" s="171"/>
      <c r="M384" s="171"/>
    </row>
    <row r="385" spans="1:13">
      <c r="A385" s="71"/>
      <c r="B385" s="171"/>
      <c r="C385" s="171"/>
      <c r="D385" s="171"/>
      <c r="E385" s="171"/>
      <c r="F385" s="171"/>
      <c r="G385" s="171"/>
      <c r="H385" s="171"/>
      <c r="I385" s="171"/>
      <c r="J385" s="171"/>
      <c r="K385" s="171"/>
      <c r="L385" s="171"/>
      <c r="M385" s="171"/>
    </row>
    <row r="386" spans="1:13">
      <c r="A386" s="71"/>
      <c r="B386" s="171"/>
      <c r="C386" s="171"/>
      <c r="D386" s="171"/>
      <c r="E386" s="171"/>
      <c r="F386" s="171"/>
      <c r="G386" s="171"/>
      <c r="H386" s="171"/>
      <c r="I386" s="171"/>
      <c r="J386" s="171"/>
      <c r="K386" s="171"/>
      <c r="L386" s="171"/>
      <c r="M386" s="171"/>
    </row>
    <row r="387" spans="1:13">
      <c r="A387" s="71"/>
      <c r="B387" s="171"/>
      <c r="C387" s="171"/>
      <c r="D387" s="171"/>
      <c r="E387" s="171"/>
      <c r="F387" s="171"/>
      <c r="G387" s="171"/>
      <c r="H387" s="171"/>
      <c r="I387" s="171"/>
      <c r="J387" s="171"/>
      <c r="K387" s="171"/>
      <c r="L387" s="171"/>
      <c r="M387" s="171"/>
    </row>
    <row r="388" spans="1:13">
      <c r="A388" s="71"/>
      <c r="B388" s="171"/>
      <c r="C388" s="171"/>
      <c r="D388" s="171"/>
      <c r="E388" s="171"/>
      <c r="F388" s="171"/>
      <c r="G388" s="171"/>
      <c r="H388" s="171"/>
      <c r="I388" s="171"/>
      <c r="J388" s="171"/>
      <c r="K388" s="171"/>
      <c r="L388" s="171"/>
      <c r="M388" s="171"/>
    </row>
    <row r="389" spans="1:13">
      <c r="A389" s="71"/>
      <c r="B389" s="171"/>
      <c r="C389" s="171"/>
      <c r="D389" s="171"/>
      <c r="E389" s="171"/>
      <c r="F389" s="171"/>
      <c r="G389" s="171"/>
      <c r="H389" s="171"/>
      <c r="I389" s="171"/>
      <c r="J389" s="171"/>
      <c r="K389" s="171"/>
      <c r="L389" s="171"/>
      <c r="M389" s="171"/>
    </row>
    <row r="390" spans="1:13">
      <c r="A390" s="71"/>
      <c r="B390" s="171"/>
      <c r="C390" s="171"/>
      <c r="D390" s="171"/>
      <c r="E390" s="171"/>
      <c r="F390" s="171"/>
      <c r="G390" s="171"/>
      <c r="H390" s="171"/>
      <c r="I390" s="171"/>
      <c r="J390" s="171"/>
      <c r="K390" s="171"/>
      <c r="L390" s="171"/>
      <c r="M390" s="171"/>
    </row>
    <row r="391" spans="1:13">
      <c r="A391" s="71"/>
      <c r="B391" s="171"/>
      <c r="C391" s="171"/>
      <c r="D391" s="171"/>
      <c r="E391" s="171"/>
      <c r="F391" s="171"/>
      <c r="G391" s="171"/>
      <c r="H391" s="171"/>
      <c r="I391" s="171"/>
      <c r="J391" s="171"/>
      <c r="K391" s="171"/>
      <c r="L391" s="171"/>
      <c r="M391" s="171"/>
    </row>
    <row r="392" spans="1:13">
      <c r="A392" s="71"/>
      <c r="B392" s="171"/>
      <c r="C392" s="171"/>
      <c r="D392" s="171"/>
      <c r="E392" s="171"/>
      <c r="F392" s="171"/>
      <c r="G392" s="171"/>
      <c r="H392" s="171"/>
      <c r="I392" s="171"/>
      <c r="J392" s="171"/>
      <c r="K392" s="171"/>
      <c r="L392" s="171"/>
      <c r="M392" s="171"/>
    </row>
    <row r="393" spans="1:13">
      <c r="A393" s="71"/>
      <c r="B393" s="171"/>
      <c r="C393" s="171"/>
      <c r="D393" s="171"/>
      <c r="E393" s="171"/>
      <c r="F393" s="171"/>
      <c r="G393" s="171"/>
      <c r="H393" s="171"/>
      <c r="I393" s="171"/>
      <c r="J393" s="171"/>
      <c r="K393" s="171"/>
      <c r="L393" s="171"/>
      <c r="M393" s="171"/>
    </row>
    <row r="394" spans="1:13">
      <c r="A394" s="71"/>
      <c r="B394" s="171"/>
      <c r="C394" s="171"/>
      <c r="D394" s="171"/>
      <c r="E394" s="171"/>
      <c r="F394" s="171"/>
      <c r="G394" s="171"/>
      <c r="H394" s="171"/>
      <c r="I394" s="171"/>
      <c r="J394" s="171"/>
      <c r="K394" s="171"/>
      <c r="L394" s="171"/>
      <c r="M394" s="171"/>
    </row>
    <row r="395" spans="1:13">
      <c r="A395" s="71"/>
      <c r="B395" s="171"/>
      <c r="C395" s="171"/>
      <c r="D395" s="171"/>
      <c r="E395" s="171"/>
      <c r="F395" s="171"/>
      <c r="G395" s="171"/>
      <c r="H395" s="171"/>
      <c r="I395" s="171"/>
      <c r="J395" s="171"/>
      <c r="K395" s="171"/>
      <c r="L395" s="171"/>
      <c r="M395" s="171"/>
    </row>
    <row r="396" spans="1:13">
      <c r="A396" s="71"/>
      <c r="B396" s="171"/>
      <c r="C396" s="171"/>
      <c r="D396" s="171"/>
      <c r="E396" s="171"/>
      <c r="F396" s="171"/>
      <c r="G396" s="171"/>
      <c r="H396" s="171"/>
      <c r="I396" s="171"/>
      <c r="J396" s="171"/>
      <c r="K396" s="171"/>
      <c r="L396" s="171"/>
      <c r="M396" s="171"/>
    </row>
    <row r="397" spans="1:13">
      <c r="A397" s="71"/>
      <c r="B397" s="171"/>
      <c r="C397" s="171"/>
      <c r="D397" s="171"/>
      <c r="E397" s="171"/>
      <c r="F397" s="171"/>
      <c r="G397" s="171"/>
      <c r="H397" s="171"/>
      <c r="I397" s="171"/>
      <c r="J397" s="171"/>
      <c r="K397" s="171"/>
      <c r="L397" s="171"/>
      <c r="M397" s="171"/>
    </row>
    <row r="398" spans="1:13">
      <c r="A398" s="71"/>
      <c r="B398" s="171"/>
      <c r="C398" s="171"/>
      <c r="D398" s="171"/>
      <c r="E398" s="171"/>
      <c r="F398" s="171"/>
      <c r="G398" s="171"/>
      <c r="H398" s="171"/>
      <c r="I398" s="171"/>
      <c r="J398" s="171"/>
      <c r="K398" s="171"/>
      <c r="L398" s="171"/>
      <c r="M398" s="171"/>
    </row>
    <row r="399" spans="1:13">
      <c r="A399" s="71"/>
      <c r="B399" s="171"/>
      <c r="C399" s="171"/>
      <c r="D399" s="171"/>
      <c r="E399" s="171"/>
      <c r="F399" s="171"/>
      <c r="G399" s="171"/>
      <c r="H399" s="171"/>
      <c r="I399" s="171"/>
      <c r="J399" s="171"/>
      <c r="K399" s="171"/>
      <c r="L399" s="171"/>
      <c r="M399" s="171"/>
    </row>
    <row r="400" spans="1:13">
      <c r="A400" s="71"/>
      <c r="B400" s="171"/>
      <c r="C400" s="171"/>
      <c r="D400" s="171"/>
      <c r="E400" s="171"/>
      <c r="F400" s="171"/>
      <c r="G400" s="171"/>
      <c r="H400" s="171"/>
      <c r="I400" s="171"/>
      <c r="J400" s="171"/>
      <c r="K400" s="171"/>
      <c r="L400" s="171"/>
      <c r="M400" s="171"/>
    </row>
    <row r="401" spans="1:13">
      <c r="A401" s="71"/>
      <c r="B401" s="171"/>
      <c r="C401" s="171"/>
      <c r="D401" s="171"/>
      <c r="E401" s="171"/>
      <c r="F401" s="171"/>
      <c r="G401" s="171"/>
      <c r="H401" s="171"/>
      <c r="I401" s="171"/>
      <c r="J401" s="171"/>
      <c r="K401" s="171"/>
      <c r="L401" s="171"/>
      <c r="M401" s="171"/>
    </row>
    <row r="402" spans="1:13">
      <c r="A402" s="71"/>
      <c r="B402" s="171"/>
      <c r="C402" s="171"/>
      <c r="D402" s="171"/>
      <c r="E402" s="171"/>
      <c r="F402" s="171"/>
      <c r="G402" s="171"/>
      <c r="H402" s="171"/>
      <c r="I402" s="171"/>
      <c r="J402" s="171"/>
      <c r="K402" s="171"/>
      <c r="L402" s="171"/>
      <c r="M402" s="171"/>
    </row>
    <row r="403" spans="1:13">
      <c r="A403" s="71"/>
      <c r="B403" s="171"/>
      <c r="C403" s="171"/>
      <c r="D403" s="171"/>
      <c r="E403" s="171"/>
      <c r="F403" s="171"/>
      <c r="G403" s="171"/>
      <c r="H403" s="171"/>
      <c r="I403" s="171"/>
      <c r="J403" s="171"/>
      <c r="K403" s="171"/>
      <c r="L403" s="171"/>
      <c r="M403" s="171"/>
    </row>
    <row r="404" spans="1:13">
      <c r="A404" s="71"/>
      <c r="B404" s="171"/>
      <c r="C404" s="171"/>
      <c r="D404" s="171"/>
      <c r="E404" s="171"/>
      <c r="F404" s="171"/>
      <c r="G404" s="171"/>
      <c r="H404" s="171"/>
      <c r="I404" s="171"/>
      <c r="J404" s="171"/>
      <c r="K404" s="171"/>
      <c r="L404" s="171"/>
      <c r="M404" s="171"/>
    </row>
    <row r="405" spans="1:13">
      <c r="A405" s="71"/>
      <c r="B405" s="171"/>
      <c r="C405" s="171"/>
      <c r="D405" s="171"/>
      <c r="E405" s="171"/>
      <c r="F405" s="171"/>
      <c r="G405" s="171"/>
      <c r="H405" s="171"/>
      <c r="I405" s="171"/>
      <c r="J405" s="171"/>
      <c r="K405" s="171"/>
      <c r="L405" s="171"/>
      <c r="M405" s="171"/>
    </row>
    <row r="406" spans="1:13">
      <c r="A406" s="71"/>
      <c r="B406" s="171"/>
      <c r="C406" s="171"/>
      <c r="D406" s="171"/>
      <c r="E406" s="171"/>
      <c r="F406" s="171"/>
      <c r="G406" s="171"/>
      <c r="H406" s="171"/>
      <c r="I406" s="171"/>
      <c r="J406" s="171"/>
      <c r="K406" s="171"/>
      <c r="L406" s="171"/>
      <c r="M406" s="171"/>
    </row>
    <row r="407" spans="1:13">
      <c r="A407" s="71"/>
      <c r="B407" s="171"/>
      <c r="C407" s="171"/>
      <c r="D407" s="171"/>
      <c r="E407" s="171"/>
      <c r="F407" s="171"/>
      <c r="G407" s="171"/>
      <c r="H407" s="171"/>
      <c r="I407" s="171"/>
      <c r="J407" s="171"/>
      <c r="K407" s="171"/>
      <c r="L407" s="171"/>
      <c r="M407" s="171"/>
    </row>
    <row r="408" spans="1:13">
      <c r="A408" s="71"/>
      <c r="B408" s="171"/>
      <c r="C408" s="171"/>
      <c r="D408" s="171"/>
      <c r="E408" s="171"/>
      <c r="F408" s="171"/>
      <c r="G408" s="171"/>
      <c r="H408" s="171"/>
      <c r="I408" s="171"/>
      <c r="J408" s="171"/>
      <c r="K408" s="171"/>
      <c r="L408" s="171"/>
      <c r="M408" s="171"/>
    </row>
    <row r="409" spans="1:13">
      <c r="A409" s="71"/>
      <c r="B409" s="171"/>
      <c r="C409" s="171"/>
      <c r="D409" s="171"/>
      <c r="E409" s="171"/>
      <c r="F409" s="171"/>
      <c r="G409" s="171"/>
      <c r="H409" s="171"/>
      <c r="I409" s="171"/>
      <c r="J409" s="171"/>
      <c r="K409" s="171"/>
      <c r="L409" s="171"/>
      <c r="M409" s="171"/>
    </row>
    <row r="410" spans="1:13">
      <c r="A410" s="71"/>
      <c r="B410" s="171"/>
      <c r="C410" s="171"/>
      <c r="D410" s="171"/>
      <c r="E410" s="171"/>
      <c r="F410" s="171"/>
      <c r="G410" s="171"/>
      <c r="H410" s="171"/>
      <c r="I410" s="171"/>
      <c r="J410" s="171"/>
      <c r="K410" s="171"/>
      <c r="L410" s="171"/>
      <c r="M410" s="171"/>
    </row>
    <row r="411" spans="1:13">
      <c r="A411" s="71"/>
      <c r="B411" s="171"/>
      <c r="C411" s="171"/>
      <c r="D411" s="171"/>
      <c r="E411" s="171"/>
      <c r="F411" s="171"/>
      <c r="G411" s="171"/>
      <c r="H411" s="171"/>
      <c r="I411" s="171"/>
      <c r="J411" s="171"/>
      <c r="K411" s="171"/>
      <c r="L411" s="171"/>
      <c r="M411" s="171"/>
    </row>
    <row r="412" spans="1:13">
      <c r="A412" s="71"/>
      <c r="B412" s="171"/>
      <c r="C412" s="171"/>
      <c r="D412" s="171"/>
      <c r="E412" s="171"/>
      <c r="F412" s="171"/>
      <c r="G412" s="171"/>
      <c r="H412" s="171"/>
      <c r="I412" s="171"/>
      <c r="J412" s="171"/>
      <c r="K412" s="171"/>
      <c r="L412" s="171"/>
      <c r="M412" s="171"/>
    </row>
    <row r="413" spans="1:13">
      <c r="A413" s="71"/>
      <c r="B413" s="171"/>
      <c r="C413" s="171"/>
      <c r="D413" s="171"/>
      <c r="E413" s="171"/>
      <c r="F413" s="171"/>
      <c r="G413" s="171"/>
      <c r="H413" s="171"/>
      <c r="I413" s="171"/>
      <c r="J413" s="171"/>
      <c r="K413" s="171"/>
      <c r="L413" s="171"/>
      <c r="M413" s="171"/>
    </row>
    <row r="414" spans="1:13">
      <c r="A414" s="71"/>
      <c r="B414" s="171"/>
      <c r="C414" s="171"/>
      <c r="D414" s="171"/>
      <c r="E414" s="171"/>
      <c r="F414" s="171"/>
      <c r="G414" s="171"/>
      <c r="H414" s="171"/>
      <c r="I414" s="171"/>
      <c r="J414" s="171"/>
      <c r="K414" s="171"/>
      <c r="L414" s="171"/>
      <c r="M414" s="171"/>
    </row>
    <row r="415" spans="1:13">
      <c r="A415" s="71"/>
      <c r="B415" s="171"/>
      <c r="C415" s="171"/>
      <c r="D415" s="171"/>
      <c r="E415" s="171"/>
      <c r="F415" s="171"/>
      <c r="G415" s="171"/>
      <c r="H415" s="171"/>
      <c r="I415" s="171"/>
      <c r="J415" s="171"/>
      <c r="K415" s="171"/>
      <c r="L415" s="171"/>
      <c r="M415" s="171"/>
    </row>
    <row r="416" spans="1:13">
      <c r="A416" s="71"/>
      <c r="B416" s="171"/>
      <c r="C416" s="171"/>
      <c r="D416" s="171"/>
      <c r="E416" s="171"/>
      <c r="F416" s="171"/>
      <c r="G416" s="171"/>
      <c r="H416" s="171"/>
      <c r="I416" s="171"/>
      <c r="J416" s="171"/>
      <c r="K416" s="171"/>
      <c r="L416" s="171"/>
      <c r="M416" s="171"/>
    </row>
    <row r="417" spans="1:13">
      <c r="A417" s="71"/>
      <c r="B417" s="171"/>
      <c r="C417" s="171"/>
      <c r="D417" s="171"/>
      <c r="E417" s="171"/>
      <c r="F417" s="171"/>
      <c r="G417" s="171"/>
      <c r="H417" s="171"/>
      <c r="I417" s="171"/>
      <c r="J417" s="171"/>
      <c r="K417" s="171"/>
      <c r="L417" s="171"/>
      <c r="M417" s="171"/>
    </row>
    <row r="418" spans="1:13">
      <c r="A418" s="71"/>
      <c r="B418" s="171"/>
      <c r="C418" s="171"/>
      <c r="D418" s="171"/>
      <c r="E418" s="171"/>
      <c r="F418" s="171"/>
      <c r="G418" s="171"/>
      <c r="H418" s="171"/>
      <c r="I418" s="171"/>
      <c r="J418" s="171"/>
      <c r="K418" s="171"/>
      <c r="L418" s="171"/>
      <c r="M418" s="171"/>
    </row>
    <row r="419" spans="1:13">
      <c r="A419" s="71"/>
      <c r="B419" s="171"/>
      <c r="C419" s="171"/>
      <c r="D419" s="171"/>
      <c r="E419" s="171"/>
      <c r="F419" s="171"/>
      <c r="G419" s="171"/>
      <c r="H419" s="171"/>
      <c r="I419" s="171"/>
      <c r="J419" s="171"/>
      <c r="K419" s="171"/>
      <c r="L419" s="171"/>
      <c r="M419" s="171"/>
    </row>
    <row r="420" spans="1:13">
      <c r="A420" s="71"/>
      <c r="B420" s="171"/>
      <c r="C420" s="171"/>
      <c r="D420" s="171"/>
      <c r="E420" s="171"/>
      <c r="F420" s="171"/>
      <c r="G420" s="171"/>
      <c r="H420" s="171"/>
      <c r="I420" s="171"/>
      <c r="J420" s="171"/>
      <c r="K420" s="171"/>
      <c r="L420" s="171"/>
      <c r="M420" s="171"/>
    </row>
    <row r="421" spans="1:13">
      <c r="A421" s="71"/>
      <c r="B421" s="171"/>
      <c r="C421" s="171"/>
      <c r="D421" s="171"/>
      <c r="E421" s="171"/>
      <c r="F421" s="171"/>
      <c r="G421" s="171"/>
      <c r="H421" s="171"/>
      <c r="I421" s="171"/>
      <c r="J421" s="171"/>
      <c r="K421" s="171"/>
      <c r="L421" s="171"/>
      <c r="M421" s="171"/>
    </row>
    <row r="422" spans="1:13">
      <c r="A422" s="71"/>
      <c r="B422" s="171"/>
      <c r="C422" s="171"/>
      <c r="D422" s="171"/>
      <c r="E422" s="171"/>
      <c r="F422" s="171"/>
      <c r="G422" s="171"/>
      <c r="H422" s="171"/>
      <c r="I422" s="171"/>
      <c r="J422" s="171"/>
      <c r="K422" s="171"/>
      <c r="L422" s="171"/>
      <c r="M422" s="171"/>
    </row>
    <row r="423" spans="1:13">
      <c r="A423" s="71"/>
      <c r="B423" s="171"/>
      <c r="C423" s="171"/>
      <c r="D423" s="171"/>
      <c r="E423" s="171"/>
      <c r="F423" s="171"/>
      <c r="G423" s="171"/>
      <c r="H423" s="171"/>
      <c r="I423" s="171"/>
      <c r="J423" s="171"/>
      <c r="K423" s="171"/>
      <c r="L423" s="171"/>
      <c r="M423" s="171"/>
    </row>
    <row r="424" spans="1:13">
      <c r="A424" s="71"/>
      <c r="B424" s="171"/>
      <c r="C424" s="171"/>
      <c r="D424" s="171"/>
      <c r="E424" s="171"/>
      <c r="F424" s="171"/>
      <c r="G424" s="171"/>
      <c r="H424" s="171"/>
      <c r="I424" s="171"/>
      <c r="J424" s="171"/>
      <c r="K424" s="171"/>
      <c r="L424" s="171"/>
      <c r="M424" s="171"/>
    </row>
    <row r="425" spans="1:13">
      <c r="A425" s="71"/>
      <c r="B425" s="171"/>
      <c r="C425" s="171"/>
      <c r="D425" s="171"/>
      <c r="E425" s="171"/>
      <c r="F425" s="171"/>
      <c r="G425" s="171"/>
      <c r="H425" s="171"/>
      <c r="I425" s="171"/>
      <c r="J425" s="171"/>
      <c r="K425" s="171"/>
      <c r="L425" s="171"/>
      <c r="M425" s="171"/>
    </row>
    <row r="426" spans="1:13">
      <c r="A426" s="71"/>
      <c r="B426" s="171"/>
      <c r="C426" s="171"/>
      <c r="D426" s="171"/>
      <c r="E426" s="171"/>
      <c r="F426" s="171"/>
      <c r="G426" s="171"/>
      <c r="H426" s="171"/>
      <c r="I426" s="171"/>
      <c r="J426" s="171"/>
      <c r="K426" s="171"/>
      <c r="L426" s="171"/>
      <c r="M426" s="171"/>
    </row>
    <row r="427" spans="1:13">
      <c r="A427" s="71"/>
      <c r="B427" s="171"/>
      <c r="C427" s="171"/>
      <c r="D427" s="171"/>
      <c r="E427" s="171"/>
      <c r="F427" s="171"/>
      <c r="G427" s="171"/>
      <c r="H427" s="171"/>
      <c r="I427" s="171"/>
      <c r="J427" s="171"/>
      <c r="K427" s="171"/>
      <c r="L427" s="171"/>
      <c r="M427" s="171"/>
    </row>
    <row r="428" spans="1:13">
      <c r="A428" s="71"/>
      <c r="B428" s="171"/>
      <c r="C428" s="171"/>
      <c r="D428" s="171"/>
      <c r="E428" s="171"/>
      <c r="F428" s="171"/>
      <c r="G428" s="171"/>
      <c r="H428" s="171"/>
      <c r="I428" s="171"/>
      <c r="J428" s="171"/>
      <c r="K428" s="171"/>
      <c r="L428" s="171"/>
      <c r="M428" s="171"/>
    </row>
    <row r="429" spans="1:13">
      <c r="A429" s="71"/>
      <c r="B429" s="171"/>
      <c r="C429" s="171"/>
      <c r="D429" s="171"/>
      <c r="E429" s="171"/>
      <c r="F429" s="171"/>
      <c r="G429" s="171"/>
      <c r="H429" s="171"/>
      <c r="I429" s="171"/>
      <c r="J429" s="171"/>
      <c r="K429" s="171"/>
      <c r="L429" s="171"/>
      <c r="M429" s="171"/>
    </row>
    <row r="430" spans="1:13">
      <c r="A430" s="71"/>
      <c r="B430" s="171"/>
      <c r="C430" s="171"/>
      <c r="D430" s="171"/>
      <c r="E430" s="171"/>
      <c r="F430" s="171"/>
      <c r="G430" s="171"/>
      <c r="H430" s="171"/>
      <c r="I430" s="171"/>
      <c r="J430" s="171"/>
      <c r="K430" s="171"/>
      <c r="L430" s="171"/>
      <c r="M430" s="171"/>
    </row>
    <row r="431" spans="1:13">
      <c r="A431" s="71"/>
      <c r="B431" s="171"/>
      <c r="C431" s="171"/>
      <c r="D431" s="171"/>
      <c r="E431" s="171"/>
      <c r="F431" s="171"/>
      <c r="G431" s="171"/>
      <c r="H431" s="171"/>
      <c r="I431" s="171"/>
      <c r="J431" s="171"/>
      <c r="K431" s="171"/>
      <c r="L431" s="171"/>
      <c r="M431" s="171"/>
    </row>
    <row r="432" spans="1:13">
      <c r="A432" s="71"/>
      <c r="B432" s="171"/>
      <c r="C432" s="171"/>
      <c r="D432" s="171"/>
      <c r="E432" s="171"/>
      <c r="F432" s="171"/>
      <c r="G432" s="171"/>
      <c r="H432" s="171"/>
      <c r="I432" s="171"/>
      <c r="J432" s="171"/>
      <c r="K432" s="171"/>
      <c r="L432" s="171"/>
      <c r="M432" s="171"/>
    </row>
    <row r="433" spans="1:13">
      <c r="A433" s="71"/>
      <c r="B433" s="171"/>
      <c r="C433" s="171"/>
      <c r="D433" s="171"/>
      <c r="E433" s="171"/>
      <c r="F433" s="171"/>
      <c r="G433" s="171"/>
      <c r="H433" s="171"/>
      <c r="I433" s="171"/>
      <c r="J433" s="171"/>
      <c r="K433" s="171"/>
      <c r="L433" s="171"/>
      <c r="M433" s="171"/>
    </row>
    <row r="434" spans="1:13">
      <c r="A434" s="71"/>
      <c r="B434" s="171"/>
      <c r="C434" s="171"/>
      <c r="D434" s="171"/>
      <c r="E434" s="171"/>
      <c r="F434" s="171"/>
      <c r="G434" s="171"/>
      <c r="H434" s="171"/>
      <c r="I434" s="171"/>
      <c r="J434" s="171"/>
      <c r="K434" s="171"/>
      <c r="L434" s="171"/>
      <c r="M434" s="171"/>
    </row>
    <row r="435" spans="1:13">
      <c r="A435" s="71"/>
      <c r="B435" s="171"/>
      <c r="C435" s="171"/>
      <c r="D435" s="171"/>
      <c r="E435" s="171"/>
      <c r="F435" s="171"/>
      <c r="G435" s="171"/>
      <c r="H435" s="171"/>
      <c r="I435" s="171"/>
      <c r="J435" s="171"/>
      <c r="K435" s="171"/>
      <c r="L435" s="171"/>
      <c r="M435" s="171"/>
    </row>
    <row r="436" spans="1:13">
      <c r="A436" s="71"/>
      <c r="B436" s="171"/>
      <c r="C436" s="171"/>
      <c r="D436" s="171"/>
      <c r="E436" s="171"/>
      <c r="F436" s="171"/>
      <c r="G436" s="171"/>
      <c r="H436" s="171"/>
      <c r="I436" s="171"/>
      <c r="J436" s="171"/>
      <c r="K436" s="171"/>
      <c r="L436" s="171"/>
      <c r="M436" s="171"/>
    </row>
    <row r="437" spans="1:13">
      <c r="A437" s="71"/>
      <c r="B437" s="171"/>
      <c r="C437" s="171"/>
      <c r="D437" s="171"/>
      <c r="E437" s="171"/>
      <c r="F437" s="171"/>
      <c r="G437" s="171"/>
      <c r="H437" s="171"/>
      <c r="I437" s="171"/>
      <c r="J437" s="171"/>
      <c r="K437" s="171"/>
      <c r="L437" s="171"/>
      <c r="M437" s="171"/>
    </row>
    <row r="438" spans="1:13">
      <c r="A438" s="71"/>
      <c r="B438" s="171"/>
      <c r="C438" s="171"/>
      <c r="D438" s="171"/>
      <c r="E438" s="171"/>
      <c r="F438" s="171"/>
      <c r="G438" s="171"/>
      <c r="H438" s="171"/>
      <c r="I438" s="171"/>
      <c r="J438" s="171"/>
      <c r="K438" s="171"/>
      <c r="L438" s="171"/>
      <c r="M438" s="171"/>
    </row>
    <row r="439" spans="1:13">
      <c r="A439" s="71"/>
      <c r="B439" s="171"/>
      <c r="C439" s="171"/>
      <c r="D439" s="171"/>
      <c r="E439" s="171"/>
      <c r="F439" s="171"/>
      <c r="G439" s="171"/>
      <c r="H439" s="171"/>
      <c r="I439" s="171"/>
      <c r="J439" s="171"/>
      <c r="K439" s="171"/>
      <c r="L439" s="171"/>
      <c r="M439" s="171"/>
    </row>
    <row r="440" spans="1:13">
      <c r="A440" s="71"/>
      <c r="B440" s="171"/>
      <c r="C440" s="171"/>
      <c r="D440" s="171"/>
      <c r="E440" s="171"/>
      <c r="F440" s="171"/>
      <c r="G440" s="171"/>
      <c r="H440" s="171"/>
      <c r="I440" s="171"/>
      <c r="J440" s="171"/>
      <c r="K440" s="171"/>
      <c r="L440" s="171"/>
      <c r="M440" s="171"/>
    </row>
    <row r="441" spans="1:13">
      <c r="A441" s="71"/>
      <c r="B441" s="171"/>
      <c r="C441" s="171"/>
      <c r="D441" s="171"/>
      <c r="E441" s="171"/>
      <c r="F441" s="171"/>
      <c r="G441" s="171"/>
      <c r="H441" s="171"/>
      <c r="I441" s="171"/>
      <c r="J441" s="171"/>
      <c r="K441" s="171"/>
      <c r="L441" s="171"/>
      <c r="M441" s="171"/>
    </row>
    <row r="442" spans="1:13">
      <c r="A442" s="71"/>
      <c r="B442" s="171"/>
      <c r="C442" s="171"/>
      <c r="D442" s="171"/>
      <c r="E442" s="171"/>
      <c r="F442" s="171"/>
      <c r="G442" s="171"/>
      <c r="H442" s="171"/>
      <c r="I442" s="171"/>
      <c r="J442" s="171"/>
      <c r="K442" s="171"/>
      <c r="L442" s="171"/>
      <c r="M442" s="171"/>
    </row>
    <row r="443" spans="1:13">
      <c r="A443" s="71"/>
      <c r="B443" s="171"/>
      <c r="C443" s="171"/>
      <c r="D443" s="171"/>
      <c r="E443" s="171"/>
      <c r="F443" s="171"/>
      <c r="G443" s="171"/>
      <c r="H443" s="171"/>
      <c r="I443" s="171"/>
      <c r="J443" s="171"/>
      <c r="K443" s="171"/>
      <c r="L443" s="171"/>
      <c r="M443" s="171"/>
    </row>
    <row r="444" spans="1:13">
      <c r="A444" s="71"/>
      <c r="B444" s="171"/>
      <c r="C444" s="171"/>
      <c r="D444" s="171"/>
      <c r="E444" s="171"/>
      <c r="F444" s="171"/>
      <c r="G444" s="171"/>
      <c r="H444" s="171"/>
      <c r="I444" s="171"/>
      <c r="J444" s="171"/>
      <c r="K444" s="171"/>
      <c r="L444" s="171"/>
      <c r="M444" s="171"/>
    </row>
    <row r="445" spans="1:13">
      <c r="A445" s="71"/>
      <c r="B445" s="171"/>
      <c r="C445" s="171"/>
      <c r="D445" s="171"/>
      <c r="E445" s="171"/>
      <c r="F445" s="171"/>
      <c r="G445" s="171"/>
      <c r="H445" s="171"/>
      <c r="I445" s="171"/>
      <c r="J445" s="171"/>
      <c r="K445" s="171"/>
      <c r="L445" s="171"/>
      <c r="M445" s="171"/>
    </row>
    <row r="446" spans="1:13">
      <c r="A446" s="71"/>
      <c r="B446" s="171"/>
      <c r="C446" s="171"/>
      <c r="D446" s="171"/>
      <c r="E446" s="171"/>
      <c r="F446" s="171"/>
      <c r="G446" s="171"/>
      <c r="H446" s="171"/>
      <c r="I446" s="171"/>
      <c r="J446" s="171"/>
      <c r="K446" s="171"/>
      <c r="L446" s="171"/>
      <c r="M446" s="171"/>
    </row>
    <row r="447" spans="1:13">
      <c r="A447" s="71"/>
      <c r="B447" s="171"/>
      <c r="C447" s="171"/>
      <c r="D447" s="171"/>
      <c r="E447" s="171"/>
      <c r="F447" s="171"/>
      <c r="G447" s="171"/>
      <c r="H447" s="171"/>
      <c r="I447" s="171"/>
      <c r="J447" s="171"/>
      <c r="K447" s="171"/>
      <c r="L447" s="171"/>
      <c r="M447" s="171"/>
    </row>
    <row r="448" spans="1:13">
      <c r="A448" s="71"/>
      <c r="B448" s="171"/>
      <c r="C448" s="171"/>
      <c r="D448" s="171"/>
      <c r="E448" s="171"/>
      <c r="F448" s="171"/>
      <c r="G448" s="171"/>
      <c r="H448" s="171"/>
      <c r="I448" s="171"/>
      <c r="J448" s="171"/>
      <c r="K448" s="171"/>
      <c r="L448" s="171"/>
      <c r="M448" s="171"/>
    </row>
    <row r="449" spans="1:13">
      <c r="A449" s="71"/>
      <c r="B449" s="171"/>
      <c r="C449" s="171"/>
      <c r="D449" s="171"/>
      <c r="E449" s="171"/>
      <c r="F449" s="171"/>
      <c r="G449" s="171"/>
      <c r="H449" s="171"/>
      <c r="I449" s="171"/>
      <c r="J449" s="171"/>
      <c r="K449" s="171"/>
      <c r="L449" s="171"/>
      <c r="M449" s="171"/>
    </row>
    <row r="450" spans="1:13">
      <c r="A450" s="71"/>
      <c r="B450" s="171"/>
      <c r="C450" s="171"/>
      <c r="D450" s="171"/>
      <c r="E450" s="171"/>
      <c r="F450" s="171"/>
      <c r="G450" s="171"/>
      <c r="H450" s="171"/>
      <c r="I450" s="171"/>
      <c r="J450" s="171"/>
      <c r="K450" s="171"/>
      <c r="L450" s="171"/>
      <c r="M450" s="171"/>
    </row>
    <row r="451" spans="1:13">
      <c r="A451" s="71"/>
      <c r="B451" s="171"/>
      <c r="C451" s="171"/>
      <c r="D451" s="171"/>
      <c r="E451" s="171"/>
      <c r="F451" s="171"/>
      <c r="G451" s="171"/>
      <c r="H451" s="171"/>
      <c r="I451" s="171"/>
      <c r="J451" s="171"/>
      <c r="K451" s="171"/>
      <c r="L451" s="171"/>
      <c r="M451" s="171"/>
    </row>
    <row r="452" spans="1:13">
      <c r="A452" s="71"/>
      <c r="B452" s="171"/>
      <c r="C452" s="171"/>
      <c r="D452" s="171"/>
      <c r="E452" s="171"/>
      <c r="F452" s="171"/>
      <c r="G452" s="171"/>
      <c r="H452" s="171"/>
      <c r="I452" s="171"/>
      <c r="J452" s="171"/>
      <c r="K452" s="171"/>
      <c r="L452" s="171"/>
      <c r="M452" s="171"/>
    </row>
    <row r="453" spans="1:13">
      <c r="A453" s="71"/>
      <c r="B453" s="171"/>
      <c r="C453" s="171"/>
      <c r="D453" s="171"/>
      <c r="E453" s="171"/>
      <c r="F453" s="171"/>
      <c r="G453" s="171"/>
      <c r="H453" s="171"/>
      <c r="I453" s="171"/>
      <c r="J453" s="171"/>
      <c r="K453" s="171"/>
      <c r="L453" s="171"/>
      <c r="M453" s="171"/>
    </row>
    <row r="454" spans="1:13">
      <c r="A454" s="71"/>
      <c r="B454" s="171"/>
      <c r="C454" s="171"/>
      <c r="D454" s="171"/>
      <c r="E454" s="171"/>
      <c r="F454" s="171"/>
      <c r="G454" s="171"/>
      <c r="H454" s="171"/>
      <c r="I454" s="171"/>
      <c r="J454" s="171"/>
      <c r="K454" s="171"/>
      <c r="L454" s="171"/>
      <c r="M454" s="171"/>
    </row>
    <row r="455" spans="1:13">
      <c r="A455" s="71"/>
      <c r="B455" s="171"/>
      <c r="C455" s="171"/>
      <c r="D455" s="171"/>
      <c r="E455" s="171"/>
      <c r="F455" s="171"/>
      <c r="G455" s="171"/>
      <c r="H455" s="171"/>
      <c r="I455" s="171"/>
      <c r="J455" s="171"/>
      <c r="K455" s="171"/>
      <c r="L455" s="171"/>
      <c r="M455" s="171"/>
    </row>
    <row r="456" spans="1:13">
      <c r="A456" s="71"/>
      <c r="B456" s="171"/>
      <c r="C456" s="171"/>
      <c r="D456" s="171"/>
      <c r="E456" s="171"/>
      <c r="F456" s="171"/>
      <c r="G456" s="171"/>
      <c r="H456" s="171"/>
      <c r="I456" s="171"/>
      <c r="J456" s="171"/>
      <c r="K456" s="171"/>
      <c r="L456" s="171"/>
      <c r="M456" s="171"/>
    </row>
    <row r="457" spans="1:13">
      <c r="A457" s="71"/>
      <c r="B457" s="171"/>
      <c r="C457" s="171"/>
      <c r="D457" s="171"/>
      <c r="E457" s="171"/>
      <c r="F457" s="171"/>
      <c r="G457" s="171"/>
      <c r="H457" s="171"/>
      <c r="I457" s="171"/>
      <c r="J457" s="171"/>
      <c r="K457" s="171"/>
      <c r="L457" s="171"/>
      <c r="M457" s="171"/>
    </row>
    <row r="458" spans="1:13">
      <c r="A458" s="71"/>
      <c r="B458" s="171"/>
      <c r="C458" s="171"/>
      <c r="D458" s="171"/>
      <c r="E458" s="171"/>
      <c r="F458" s="171"/>
      <c r="G458" s="171"/>
      <c r="H458" s="171"/>
      <c r="I458" s="171"/>
      <c r="J458" s="171"/>
      <c r="K458" s="171"/>
      <c r="L458" s="171"/>
      <c r="M458" s="171"/>
    </row>
    <row r="459" spans="1:13">
      <c r="A459" s="71"/>
      <c r="B459" s="171"/>
      <c r="C459" s="171"/>
      <c r="D459" s="171"/>
      <c r="E459" s="171"/>
      <c r="F459" s="171"/>
      <c r="G459" s="171"/>
      <c r="H459" s="171"/>
      <c r="I459" s="171"/>
      <c r="J459" s="171"/>
      <c r="K459" s="171"/>
      <c r="L459" s="171"/>
      <c r="M459" s="171"/>
    </row>
    <row r="460" spans="1:13">
      <c r="A460" s="71"/>
      <c r="B460" s="171"/>
      <c r="C460" s="171"/>
      <c r="D460" s="171"/>
      <c r="E460" s="171"/>
      <c r="F460" s="171"/>
      <c r="G460" s="171"/>
      <c r="H460" s="171"/>
      <c r="I460" s="171"/>
      <c r="J460" s="171"/>
      <c r="K460" s="171"/>
      <c r="L460" s="171"/>
      <c r="M460" s="171"/>
    </row>
    <row r="461" spans="1:13">
      <c r="A461" s="71"/>
      <c r="B461" s="171"/>
      <c r="C461" s="171"/>
      <c r="D461" s="171"/>
      <c r="E461" s="171"/>
      <c r="F461" s="171"/>
      <c r="G461" s="171"/>
      <c r="H461" s="171"/>
      <c r="I461" s="171"/>
      <c r="J461" s="171"/>
      <c r="K461" s="171"/>
      <c r="L461" s="171"/>
      <c r="M461" s="171"/>
    </row>
    <row r="462" spans="1:13">
      <c r="A462" s="71"/>
      <c r="B462" s="171"/>
      <c r="C462" s="171"/>
      <c r="D462" s="171"/>
      <c r="E462" s="171"/>
      <c r="F462" s="171"/>
      <c r="G462" s="171"/>
      <c r="H462" s="171"/>
      <c r="I462" s="171"/>
      <c r="J462" s="171"/>
      <c r="K462" s="171"/>
      <c r="L462" s="171"/>
      <c r="M462" s="171"/>
    </row>
    <row r="463" spans="1:13">
      <c r="A463" s="71"/>
      <c r="B463" s="171"/>
      <c r="C463" s="171"/>
      <c r="D463" s="171"/>
      <c r="E463" s="171"/>
      <c r="F463" s="171"/>
      <c r="G463" s="171"/>
      <c r="H463" s="171"/>
      <c r="I463" s="171"/>
      <c r="J463" s="171"/>
      <c r="K463" s="171"/>
      <c r="L463" s="171"/>
      <c r="M463" s="171"/>
    </row>
    <row r="464" spans="1:13">
      <c r="A464" s="71"/>
      <c r="B464" s="171"/>
      <c r="C464" s="171"/>
      <c r="D464" s="171"/>
      <c r="E464" s="171"/>
      <c r="F464" s="171"/>
      <c r="G464" s="171"/>
      <c r="H464" s="171"/>
      <c r="I464" s="171"/>
      <c r="J464" s="171"/>
      <c r="K464" s="171"/>
      <c r="L464" s="171"/>
      <c r="M464" s="171"/>
    </row>
    <row r="465" spans="1:13">
      <c r="A465" s="71"/>
      <c r="B465" s="171"/>
      <c r="C465" s="171"/>
      <c r="D465" s="171"/>
      <c r="E465" s="171"/>
      <c r="F465" s="171"/>
      <c r="G465" s="171"/>
      <c r="H465" s="171"/>
      <c r="I465" s="171"/>
      <c r="J465" s="171"/>
      <c r="K465" s="171"/>
      <c r="L465" s="171"/>
      <c r="M465" s="171"/>
    </row>
    <row r="466" spans="1:13">
      <c r="A466" s="71"/>
      <c r="B466" s="171"/>
      <c r="C466" s="171"/>
      <c r="D466" s="171"/>
      <c r="E466" s="171"/>
      <c r="F466" s="171"/>
      <c r="G466" s="171"/>
      <c r="H466" s="171"/>
      <c r="I466" s="171"/>
      <c r="J466" s="171"/>
      <c r="K466" s="171"/>
      <c r="L466" s="171"/>
      <c r="M466" s="171"/>
    </row>
    <row r="467" spans="1:13">
      <c r="A467" s="71"/>
      <c r="B467" s="171"/>
      <c r="C467" s="171"/>
      <c r="D467" s="171"/>
      <c r="E467" s="171"/>
      <c r="F467" s="171"/>
      <c r="G467" s="171"/>
      <c r="H467" s="171"/>
      <c r="I467" s="171"/>
      <c r="J467" s="171"/>
      <c r="K467" s="171"/>
      <c r="L467" s="171"/>
      <c r="M467" s="171"/>
    </row>
    <row r="468" spans="1:13">
      <c r="A468" s="71"/>
      <c r="B468" s="171"/>
      <c r="C468" s="171"/>
      <c r="D468" s="171"/>
      <c r="E468" s="171"/>
      <c r="F468" s="171"/>
      <c r="G468" s="171"/>
      <c r="H468" s="171"/>
      <c r="I468" s="171"/>
      <c r="J468" s="171"/>
      <c r="K468" s="171"/>
      <c r="L468" s="171"/>
      <c r="M468" s="171"/>
    </row>
    <row r="469" spans="1:13">
      <c r="A469" s="71"/>
      <c r="B469" s="171"/>
      <c r="C469" s="171"/>
      <c r="D469" s="171"/>
      <c r="E469" s="171"/>
      <c r="F469" s="171"/>
      <c r="G469" s="171"/>
      <c r="H469" s="171"/>
      <c r="I469" s="171"/>
      <c r="J469" s="171"/>
      <c r="K469" s="171"/>
      <c r="L469" s="171"/>
      <c r="M469" s="171"/>
    </row>
    <row r="470" spans="1:13">
      <c r="A470" s="71"/>
      <c r="B470" s="171"/>
      <c r="C470" s="171"/>
      <c r="D470" s="171"/>
      <c r="E470" s="171"/>
      <c r="F470" s="171"/>
      <c r="G470" s="171"/>
      <c r="H470" s="171"/>
      <c r="I470" s="171"/>
      <c r="J470" s="171"/>
      <c r="K470" s="171"/>
      <c r="L470" s="171"/>
      <c r="M470" s="171"/>
    </row>
    <row r="471" spans="1:13">
      <c r="A471" s="71"/>
      <c r="B471" s="171"/>
      <c r="C471" s="171"/>
      <c r="D471" s="171"/>
      <c r="E471" s="171"/>
      <c r="F471" s="171"/>
      <c r="G471" s="171"/>
      <c r="H471" s="171"/>
      <c r="I471" s="171"/>
      <c r="J471" s="171"/>
      <c r="K471" s="171"/>
      <c r="L471" s="171"/>
      <c r="M471" s="171"/>
    </row>
    <row r="472" spans="1:13">
      <c r="A472" s="71"/>
      <c r="B472" s="171"/>
      <c r="C472" s="171"/>
      <c r="D472" s="171"/>
      <c r="E472" s="171"/>
      <c r="F472" s="171"/>
      <c r="G472" s="171"/>
      <c r="H472" s="171"/>
      <c r="I472" s="171"/>
      <c r="J472" s="171"/>
      <c r="K472" s="171"/>
      <c r="L472" s="171"/>
      <c r="M472" s="171"/>
    </row>
    <row r="473" spans="1:13">
      <c r="A473" s="71"/>
      <c r="B473" s="171"/>
      <c r="C473" s="171"/>
      <c r="D473" s="171"/>
      <c r="E473" s="171"/>
      <c r="F473" s="171"/>
      <c r="G473" s="171"/>
      <c r="H473" s="171"/>
      <c r="I473" s="171"/>
      <c r="J473" s="171"/>
      <c r="K473" s="171"/>
      <c r="L473" s="171"/>
      <c r="M473" s="171"/>
    </row>
    <row r="474" spans="1:13">
      <c r="A474" s="71"/>
      <c r="B474" s="171"/>
      <c r="C474" s="171"/>
      <c r="D474" s="171"/>
      <c r="E474" s="171"/>
      <c r="F474" s="171"/>
      <c r="G474" s="171"/>
      <c r="H474" s="171"/>
      <c r="I474" s="171"/>
      <c r="J474" s="171"/>
      <c r="K474" s="171"/>
      <c r="L474" s="171"/>
      <c r="M474" s="171"/>
    </row>
    <row r="475" spans="1:13">
      <c r="A475" s="71"/>
      <c r="B475" s="171"/>
      <c r="C475" s="171"/>
      <c r="D475" s="171"/>
      <c r="E475" s="171"/>
      <c r="F475" s="171"/>
      <c r="G475" s="171"/>
      <c r="H475" s="171"/>
      <c r="I475" s="171"/>
      <c r="J475" s="171"/>
      <c r="K475" s="171"/>
      <c r="L475" s="171"/>
      <c r="M475" s="171"/>
    </row>
    <row r="476" spans="1:13">
      <c r="A476" s="71"/>
      <c r="B476" s="171"/>
      <c r="C476" s="171"/>
      <c r="D476" s="171"/>
      <c r="E476" s="171"/>
      <c r="F476" s="171"/>
      <c r="G476" s="171"/>
      <c r="H476" s="171"/>
      <c r="I476" s="171"/>
      <c r="J476" s="171"/>
      <c r="K476" s="171"/>
      <c r="L476" s="171"/>
      <c r="M476" s="171"/>
    </row>
    <row r="477" spans="1:13">
      <c r="A477" s="71"/>
      <c r="B477" s="171"/>
      <c r="C477" s="171"/>
      <c r="D477" s="171"/>
      <c r="E477" s="171"/>
      <c r="F477" s="171"/>
      <c r="G477" s="171"/>
      <c r="H477" s="171"/>
      <c r="I477" s="171"/>
      <c r="J477" s="171"/>
      <c r="K477" s="171"/>
      <c r="L477" s="171"/>
      <c r="M477" s="171"/>
    </row>
    <row r="478" spans="1:13">
      <c r="A478" s="71"/>
      <c r="B478" s="171"/>
      <c r="C478" s="171"/>
      <c r="D478" s="171"/>
      <c r="E478" s="171"/>
      <c r="F478" s="171"/>
      <c r="G478" s="171"/>
      <c r="H478" s="171"/>
      <c r="I478" s="171"/>
      <c r="J478" s="171"/>
      <c r="K478" s="171"/>
      <c r="L478" s="171"/>
      <c r="M478" s="171"/>
    </row>
    <row r="479" spans="1:13">
      <c r="A479" s="71"/>
      <c r="B479" s="171"/>
      <c r="C479" s="171"/>
      <c r="D479" s="171"/>
      <c r="E479" s="171"/>
      <c r="F479" s="171"/>
      <c r="G479" s="171"/>
      <c r="H479" s="171"/>
      <c r="I479" s="171"/>
      <c r="J479" s="171"/>
      <c r="K479" s="171"/>
      <c r="L479" s="171"/>
      <c r="M479" s="171"/>
    </row>
    <row r="480" spans="1:13">
      <c r="A480" s="71"/>
      <c r="B480" s="171"/>
      <c r="C480" s="171"/>
      <c r="D480" s="171"/>
      <c r="E480" s="171"/>
      <c r="F480" s="171"/>
      <c r="G480" s="171"/>
      <c r="H480" s="171"/>
      <c r="I480" s="171"/>
      <c r="J480" s="171"/>
      <c r="K480" s="171"/>
      <c r="L480" s="171"/>
      <c r="M480" s="171"/>
    </row>
    <row r="481" spans="1:13">
      <c r="A481" s="71"/>
      <c r="B481" s="171"/>
      <c r="C481" s="171"/>
      <c r="D481" s="171"/>
      <c r="E481" s="171"/>
      <c r="F481" s="171"/>
      <c r="G481" s="171"/>
      <c r="H481" s="171"/>
      <c r="I481" s="171"/>
      <c r="J481" s="171"/>
      <c r="K481" s="171"/>
      <c r="L481" s="171"/>
      <c r="M481" s="171"/>
    </row>
    <row r="482" spans="1:13">
      <c r="A482" s="71"/>
      <c r="B482" s="171"/>
      <c r="C482" s="171"/>
      <c r="D482" s="171"/>
      <c r="E482" s="171"/>
      <c r="F482" s="171"/>
      <c r="G482" s="171"/>
      <c r="H482" s="171"/>
      <c r="I482" s="171"/>
      <c r="J482" s="171"/>
      <c r="K482" s="171"/>
      <c r="L482" s="171"/>
      <c r="M482" s="171"/>
    </row>
    <row r="483" spans="1:13">
      <c r="A483" s="71"/>
      <c r="B483" s="171"/>
      <c r="C483" s="171"/>
      <c r="D483" s="171"/>
      <c r="E483" s="171"/>
      <c r="F483" s="171"/>
      <c r="G483" s="171"/>
      <c r="H483" s="171"/>
      <c r="I483" s="171"/>
      <c r="J483" s="171"/>
      <c r="K483" s="171"/>
      <c r="L483" s="171"/>
      <c r="M483" s="171"/>
    </row>
    <row r="484" spans="1:13">
      <c r="A484" s="71"/>
      <c r="B484" s="171"/>
      <c r="C484" s="171"/>
      <c r="D484" s="171"/>
      <c r="E484" s="171"/>
      <c r="F484" s="171"/>
      <c r="G484" s="171"/>
      <c r="H484" s="171"/>
      <c r="I484" s="171"/>
      <c r="J484" s="171"/>
      <c r="K484" s="171"/>
      <c r="L484" s="171"/>
      <c r="M484" s="171"/>
    </row>
    <row r="485" spans="1:13">
      <c r="A485" s="71"/>
      <c r="B485" s="171"/>
      <c r="C485" s="171"/>
      <c r="D485" s="171"/>
      <c r="E485" s="171"/>
      <c r="F485" s="171"/>
      <c r="G485" s="171"/>
      <c r="H485" s="171"/>
      <c r="I485" s="171"/>
      <c r="J485" s="171"/>
      <c r="K485" s="171"/>
      <c r="L485" s="171"/>
      <c r="M485" s="171"/>
    </row>
    <row r="486" spans="1:13">
      <c r="A486" s="71"/>
      <c r="B486" s="171"/>
      <c r="C486" s="171"/>
      <c r="D486" s="171"/>
      <c r="E486" s="171"/>
      <c r="F486" s="171"/>
      <c r="G486" s="171"/>
      <c r="H486" s="171"/>
      <c r="I486" s="171"/>
      <c r="J486" s="171"/>
      <c r="K486" s="171"/>
      <c r="L486" s="171"/>
      <c r="M486" s="171"/>
    </row>
    <row r="487" spans="1:13">
      <c r="A487" s="71"/>
      <c r="B487" s="171"/>
      <c r="C487" s="171"/>
      <c r="D487" s="171"/>
      <c r="E487" s="171"/>
      <c r="F487" s="171"/>
      <c r="G487" s="171"/>
      <c r="H487" s="171"/>
      <c r="I487" s="171"/>
      <c r="J487" s="171"/>
      <c r="K487" s="171"/>
      <c r="L487" s="171"/>
      <c r="M487" s="171"/>
    </row>
    <row r="488" spans="1:13">
      <c r="A488" s="71"/>
      <c r="B488" s="171"/>
      <c r="C488" s="171"/>
      <c r="D488" s="171"/>
      <c r="E488" s="171"/>
      <c r="F488" s="171"/>
      <c r="G488" s="171"/>
      <c r="H488" s="171"/>
      <c r="I488" s="171"/>
      <c r="J488" s="171"/>
      <c r="K488" s="171"/>
      <c r="L488" s="171"/>
      <c r="M488" s="171"/>
    </row>
    <row r="489" spans="1:13">
      <c r="A489" s="71"/>
      <c r="B489" s="171"/>
      <c r="C489" s="171"/>
      <c r="D489" s="171"/>
      <c r="E489" s="171"/>
      <c r="F489" s="171"/>
      <c r="G489" s="171"/>
      <c r="H489" s="171"/>
      <c r="I489" s="171"/>
      <c r="J489" s="171"/>
      <c r="K489" s="171"/>
      <c r="L489" s="171"/>
      <c r="M489" s="171"/>
    </row>
    <row r="490" spans="1:13">
      <c r="A490" s="71"/>
      <c r="B490" s="171"/>
      <c r="C490" s="171"/>
      <c r="D490" s="171"/>
      <c r="E490" s="171"/>
      <c r="F490" s="171"/>
      <c r="G490" s="171"/>
      <c r="H490" s="171"/>
      <c r="I490" s="171"/>
      <c r="J490" s="171"/>
      <c r="K490" s="171"/>
      <c r="L490" s="171"/>
      <c r="M490" s="171"/>
    </row>
    <row r="491" spans="1:13">
      <c r="A491" s="71"/>
      <c r="B491" s="171"/>
      <c r="C491" s="171"/>
      <c r="D491" s="171"/>
      <c r="E491" s="171"/>
      <c r="F491" s="171"/>
      <c r="G491" s="171"/>
      <c r="H491" s="171"/>
      <c r="I491" s="171"/>
      <c r="J491" s="171"/>
      <c r="K491" s="171"/>
      <c r="L491" s="171"/>
      <c r="M491" s="171"/>
    </row>
    <row r="492" spans="1:13">
      <c r="A492" s="71"/>
      <c r="B492" s="171"/>
      <c r="C492" s="171"/>
      <c r="D492" s="171"/>
      <c r="E492" s="171"/>
      <c r="F492" s="171"/>
      <c r="G492" s="171"/>
      <c r="H492" s="171"/>
      <c r="I492" s="171"/>
      <c r="J492" s="171"/>
      <c r="K492" s="171"/>
      <c r="L492" s="171"/>
      <c r="M492" s="171"/>
    </row>
    <row r="493" spans="1:13">
      <c r="A493" s="71"/>
      <c r="B493" s="171"/>
      <c r="C493" s="171"/>
      <c r="D493" s="171"/>
      <c r="E493" s="171"/>
      <c r="F493" s="171"/>
      <c r="G493" s="171"/>
      <c r="H493" s="171"/>
      <c r="I493" s="171"/>
      <c r="J493" s="171"/>
      <c r="K493" s="171"/>
      <c r="L493" s="171"/>
      <c r="M493" s="171"/>
    </row>
    <row r="494" spans="1:13">
      <c r="A494" s="71"/>
      <c r="B494" s="171"/>
      <c r="C494" s="171"/>
      <c r="D494" s="171"/>
      <c r="E494" s="171"/>
      <c r="F494" s="171"/>
      <c r="G494" s="171"/>
      <c r="H494" s="171"/>
      <c r="I494" s="171"/>
      <c r="J494" s="171"/>
      <c r="K494" s="171"/>
      <c r="L494" s="171"/>
      <c r="M494" s="171"/>
    </row>
    <row r="495" spans="1:13">
      <c r="A495" s="71"/>
      <c r="B495" s="171"/>
      <c r="C495" s="171"/>
      <c r="D495" s="171"/>
      <c r="E495" s="171"/>
      <c r="F495" s="171"/>
      <c r="G495" s="171"/>
      <c r="H495" s="171"/>
      <c r="I495" s="171"/>
      <c r="J495" s="171"/>
      <c r="K495" s="171"/>
      <c r="L495" s="171"/>
      <c r="M495" s="171"/>
    </row>
    <row r="496" spans="1:13">
      <c r="A496" s="71"/>
      <c r="B496" s="171"/>
      <c r="C496" s="171"/>
      <c r="D496" s="171"/>
      <c r="E496" s="171"/>
      <c r="F496" s="171"/>
      <c r="G496" s="171"/>
      <c r="H496" s="171"/>
      <c r="I496" s="171"/>
      <c r="J496" s="171"/>
      <c r="K496" s="171"/>
      <c r="L496" s="171"/>
      <c r="M496" s="171"/>
    </row>
    <row r="497" spans="1:13">
      <c r="A497" s="71"/>
      <c r="B497" s="171"/>
      <c r="C497" s="171"/>
      <c r="D497" s="171"/>
      <c r="E497" s="171"/>
      <c r="F497" s="171"/>
      <c r="G497" s="171"/>
      <c r="H497" s="171"/>
      <c r="I497" s="171"/>
      <c r="J497" s="171"/>
      <c r="K497" s="171"/>
      <c r="L497" s="171"/>
      <c r="M497" s="171"/>
    </row>
    <row r="498" spans="1:13">
      <c r="A498" s="71"/>
      <c r="B498" s="171"/>
      <c r="C498" s="171"/>
      <c r="D498" s="171"/>
      <c r="E498" s="171"/>
      <c r="F498" s="171"/>
      <c r="G498" s="171"/>
      <c r="H498" s="171"/>
      <c r="I498" s="171"/>
      <c r="J498" s="171"/>
      <c r="K498" s="171"/>
      <c r="L498" s="171"/>
      <c r="M498" s="171"/>
    </row>
    <row r="499" spans="1:13">
      <c r="A499" s="71"/>
      <c r="B499" s="171"/>
      <c r="C499" s="171"/>
      <c r="D499" s="171"/>
      <c r="E499" s="171"/>
      <c r="F499" s="171"/>
      <c r="G499" s="171"/>
      <c r="H499" s="171"/>
      <c r="I499" s="171"/>
      <c r="J499" s="171"/>
      <c r="K499" s="171"/>
      <c r="L499" s="171"/>
      <c r="M499" s="171"/>
    </row>
    <row r="500" spans="1:13">
      <c r="A500" s="71"/>
      <c r="B500" s="171"/>
      <c r="C500" s="171"/>
      <c r="D500" s="171"/>
      <c r="E500" s="171"/>
      <c r="F500" s="171"/>
      <c r="G500" s="171"/>
      <c r="H500" s="171"/>
      <c r="I500" s="171"/>
      <c r="J500" s="171"/>
      <c r="K500" s="171"/>
      <c r="L500" s="171"/>
      <c r="M500" s="171"/>
    </row>
    <row r="501" spans="1:13">
      <c r="A501" s="71"/>
      <c r="B501" s="171"/>
      <c r="C501" s="171"/>
      <c r="D501" s="171"/>
      <c r="E501" s="171"/>
      <c r="F501" s="171"/>
      <c r="G501" s="171"/>
      <c r="H501" s="171"/>
      <c r="I501" s="171"/>
      <c r="J501" s="171"/>
      <c r="K501" s="171"/>
      <c r="L501" s="171"/>
      <c r="M501" s="171"/>
    </row>
    <row r="502" spans="1:13">
      <c r="A502" s="71"/>
      <c r="B502" s="171"/>
      <c r="C502" s="171"/>
      <c r="D502" s="171"/>
      <c r="E502" s="171"/>
      <c r="F502" s="171"/>
      <c r="G502" s="171"/>
      <c r="H502" s="171"/>
      <c r="I502" s="171"/>
      <c r="J502" s="171"/>
      <c r="K502" s="171"/>
      <c r="L502" s="171"/>
      <c r="M502" s="171"/>
    </row>
    <row r="503" spans="1:13">
      <c r="A503" s="71"/>
      <c r="B503" s="171"/>
      <c r="C503" s="171"/>
      <c r="D503" s="171"/>
      <c r="E503" s="171"/>
      <c r="F503" s="171"/>
      <c r="G503" s="171"/>
      <c r="H503" s="171"/>
      <c r="I503" s="171"/>
      <c r="J503" s="171"/>
      <c r="K503" s="171"/>
      <c r="L503" s="171"/>
      <c r="M503" s="171"/>
    </row>
    <row r="504" spans="1:13">
      <c r="A504" s="71"/>
      <c r="B504" s="171"/>
      <c r="C504" s="171"/>
      <c r="D504" s="171"/>
      <c r="E504" s="171"/>
      <c r="F504" s="171"/>
      <c r="G504" s="171"/>
      <c r="H504" s="171"/>
      <c r="I504" s="171"/>
      <c r="J504" s="171"/>
      <c r="K504" s="171"/>
      <c r="L504" s="171"/>
      <c r="M504" s="171"/>
    </row>
    <row r="505" spans="1:13">
      <c r="A505" s="71"/>
      <c r="B505" s="171"/>
      <c r="C505" s="171"/>
      <c r="D505" s="171"/>
      <c r="E505" s="171"/>
      <c r="F505" s="171"/>
      <c r="G505" s="171"/>
      <c r="H505" s="171"/>
      <c r="I505" s="171"/>
      <c r="J505" s="171"/>
      <c r="K505" s="171"/>
      <c r="L505" s="171"/>
      <c r="M505" s="171"/>
    </row>
    <row r="506" spans="1:13">
      <c r="A506" s="71"/>
      <c r="B506" s="171"/>
      <c r="C506" s="171"/>
      <c r="D506" s="171"/>
      <c r="E506" s="171"/>
      <c r="F506" s="171"/>
      <c r="G506" s="171"/>
      <c r="H506" s="171"/>
      <c r="I506" s="171"/>
      <c r="J506" s="171"/>
      <c r="K506" s="171"/>
      <c r="L506" s="171"/>
      <c r="M506" s="171"/>
    </row>
    <row r="507" spans="1:13">
      <c r="A507" s="71"/>
      <c r="B507" s="171"/>
      <c r="C507" s="171"/>
      <c r="D507" s="171"/>
      <c r="E507" s="171"/>
      <c r="F507" s="171"/>
      <c r="G507" s="171"/>
      <c r="H507" s="171"/>
      <c r="I507" s="171"/>
      <c r="J507" s="171"/>
      <c r="K507" s="171"/>
      <c r="L507" s="171"/>
      <c r="M507" s="171"/>
    </row>
    <row r="508" spans="1:13">
      <c r="A508" s="71"/>
      <c r="B508" s="171"/>
      <c r="C508" s="171"/>
      <c r="D508" s="171"/>
      <c r="E508" s="171"/>
      <c r="F508" s="171"/>
      <c r="G508" s="171"/>
      <c r="H508" s="171"/>
      <c r="I508" s="171"/>
      <c r="J508" s="171"/>
      <c r="K508" s="171"/>
      <c r="L508" s="171"/>
      <c r="M508" s="171"/>
    </row>
    <row r="509" spans="1:13">
      <c r="A509" s="71"/>
      <c r="B509" s="171"/>
      <c r="C509" s="171"/>
      <c r="D509" s="171"/>
      <c r="E509" s="171"/>
      <c r="F509" s="171"/>
      <c r="G509" s="171"/>
      <c r="H509" s="171"/>
      <c r="I509" s="171"/>
      <c r="J509" s="171"/>
      <c r="K509" s="171"/>
      <c r="L509" s="171"/>
      <c r="M509" s="171"/>
    </row>
    <row r="510" spans="1:13">
      <c r="A510" s="71"/>
      <c r="B510" s="171"/>
      <c r="C510" s="171"/>
      <c r="D510" s="171"/>
      <c r="E510" s="171"/>
      <c r="F510" s="171"/>
      <c r="G510" s="171"/>
      <c r="H510" s="171"/>
      <c r="I510" s="171"/>
      <c r="J510" s="171"/>
      <c r="K510" s="171"/>
      <c r="L510" s="171"/>
      <c r="M510" s="171"/>
    </row>
    <row r="511" spans="1:13">
      <c r="A511" s="71"/>
      <c r="B511" s="171"/>
      <c r="C511" s="171"/>
      <c r="D511" s="171"/>
      <c r="E511" s="171"/>
      <c r="F511" s="171"/>
      <c r="G511" s="171"/>
      <c r="H511" s="171"/>
      <c r="I511" s="171"/>
      <c r="J511" s="171"/>
      <c r="K511" s="171"/>
      <c r="L511" s="171"/>
      <c r="M511" s="171"/>
    </row>
    <row r="512" spans="1:13">
      <c r="A512" s="71"/>
      <c r="B512" s="171"/>
      <c r="C512" s="171"/>
      <c r="D512" s="171"/>
      <c r="E512" s="171"/>
      <c r="F512" s="171"/>
      <c r="G512" s="171"/>
      <c r="H512" s="171"/>
      <c r="I512" s="171"/>
      <c r="J512" s="171"/>
      <c r="K512" s="171"/>
      <c r="L512" s="171"/>
      <c r="M512" s="171"/>
    </row>
    <row r="513" spans="1:13">
      <c r="A513" s="71"/>
      <c r="B513" s="171"/>
      <c r="C513" s="171"/>
      <c r="D513" s="171"/>
      <c r="E513" s="171"/>
      <c r="F513" s="171"/>
      <c r="G513" s="171"/>
      <c r="H513" s="171"/>
      <c r="I513" s="171"/>
      <c r="J513" s="171"/>
      <c r="K513" s="171"/>
      <c r="L513" s="171"/>
      <c r="M513" s="171"/>
    </row>
    <row r="514" spans="1:13">
      <c r="A514" s="71"/>
      <c r="B514" s="171"/>
      <c r="C514" s="171"/>
      <c r="D514" s="171"/>
      <c r="E514" s="171"/>
      <c r="F514" s="171"/>
      <c r="G514" s="171"/>
      <c r="H514" s="171"/>
      <c r="I514" s="171"/>
      <c r="J514" s="171"/>
      <c r="K514" s="171"/>
      <c r="L514" s="171"/>
      <c r="M514" s="171"/>
    </row>
    <row r="515" spans="1:13">
      <c r="A515" s="71"/>
      <c r="B515" s="171"/>
      <c r="C515" s="171"/>
      <c r="D515" s="171"/>
      <c r="E515" s="171"/>
      <c r="F515" s="171"/>
      <c r="G515" s="171"/>
      <c r="H515" s="171"/>
      <c r="I515" s="171"/>
      <c r="J515" s="171"/>
      <c r="K515" s="171"/>
      <c r="L515" s="171"/>
      <c r="M515" s="171"/>
    </row>
    <row r="516" spans="1:13">
      <c r="A516" s="71"/>
      <c r="B516" s="171"/>
      <c r="C516" s="171"/>
      <c r="D516" s="171"/>
      <c r="E516" s="171"/>
      <c r="F516" s="171"/>
      <c r="G516" s="171"/>
      <c r="H516" s="171"/>
      <c r="I516" s="171"/>
      <c r="J516" s="171"/>
      <c r="K516" s="171"/>
      <c r="L516" s="171"/>
      <c r="M516" s="171"/>
    </row>
    <row r="517" spans="1:13">
      <c r="A517" s="71"/>
      <c r="B517" s="171"/>
      <c r="C517" s="171"/>
      <c r="D517" s="171"/>
      <c r="E517" s="171"/>
      <c r="F517" s="171"/>
      <c r="G517" s="171"/>
      <c r="H517" s="171"/>
      <c r="I517" s="171"/>
      <c r="J517" s="171"/>
      <c r="K517" s="171"/>
      <c r="L517" s="171"/>
      <c r="M517" s="171"/>
    </row>
    <row r="518" spans="1:13">
      <c r="A518" s="71"/>
      <c r="B518" s="171"/>
      <c r="C518" s="171"/>
      <c r="D518" s="171"/>
      <c r="E518" s="171"/>
      <c r="F518" s="171"/>
      <c r="G518" s="171"/>
      <c r="H518" s="171"/>
      <c r="I518" s="171"/>
      <c r="J518" s="171"/>
      <c r="K518" s="171"/>
      <c r="L518" s="171"/>
      <c r="M518" s="171"/>
    </row>
    <row r="519" spans="1:13">
      <c r="A519" s="71"/>
      <c r="B519" s="171"/>
      <c r="C519" s="171"/>
      <c r="D519" s="171"/>
      <c r="E519" s="171"/>
      <c r="F519" s="171"/>
      <c r="G519" s="171"/>
      <c r="H519" s="171"/>
      <c r="I519" s="171"/>
      <c r="J519" s="171"/>
      <c r="K519" s="171"/>
      <c r="L519" s="171"/>
      <c r="M519" s="171"/>
    </row>
    <row r="520" spans="1:13">
      <c r="A520" s="71"/>
      <c r="B520" s="171"/>
      <c r="C520" s="171"/>
      <c r="D520" s="171"/>
      <c r="E520" s="171"/>
      <c r="F520" s="171"/>
      <c r="G520" s="171"/>
      <c r="H520" s="171"/>
      <c r="I520" s="171"/>
      <c r="J520" s="171"/>
      <c r="K520" s="171"/>
      <c r="L520" s="171"/>
      <c r="M520" s="171"/>
    </row>
    <row r="521" spans="1:13">
      <c r="A521" s="71"/>
      <c r="B521" s="171"/>
      <c r="C521" s="171"/>
      <c r="D521" s="171"/>
      <c r="E521" s="171"/>
      <c r="F521" s="171"/>
      <c r="G521" s="171"/>
      <c r="H521" s="171"/>
      <c r="I521" s="171"/>
      <c r="J521" s="171"/>
      <c r="K521" s="171"/>
      <c r="L521" s="171"/>
      <c r="M521" s="171"/>
    </row>
    <row r="522" spans="1:13">
      <c r="A522" s="71"/>
      <c r="B522" s="171"/>
      <c r="C522" s="171"/>
      <c r="D522" s="171"/>
      <c r="E522" s="171"/>
      <c r="F522" s="171"/>
      <c r="G522" s="171"/>
      <c r="H522" s="171"/>
      <c r="I522" s="171"/>
      <c r="J522" s="171"/>
      <c r="K522" s="171"/>
      <c r="L522" s="171"/>
      <c r="M522" s="171"/>
    </row>
    <row r="523" spans="1:13">
      <c r="A523" s="71"/>
      <c r="B523" s="171"/>
      <c r="C523" s="171"/>
      <c r="D523" s="171"/>
      <c r="E523" s="171"/>
      <c r="F523" s="171"/>
      <c r="G523" s="171"/>
      <c r="H523" s="171"/>
      <c r="I523" s="171"/>
      <c r="J523" s="171"/>
      <c r="K523" s="171"/>
      <c r="L523" s="171"/>
      <c r="M523" s="171"/>
    </row>
    <row r="524" spans="1:13">
      <c r="A524" s="71"/>
      <c r="B524" s="171"/>
      <c r="C524" s="171"/>
      <c r="D524" s="171"/>
      <c r="E524" s="171"/>
      <c r="F524" s="171"/>
      <c r="G524" s="171"/>
      <c r="H524" s="171"/>
      <c r="I524" s="171"/>
      <c r="J524" s="171"/>
      <c r="K524" s="171"/>
      <c r="L524" s="171"/>
      <c r="M524" s="171"/>
    </row>
    <row r="525" spans="1:13">
      <c r="A525" s="71"/>
      <c r="B525" s="171"/>
      <c r="C525" s="171"/>
      <c r="D525" s="171"/>
      <c r="E525" s="171"/>
      <c r="F525" s="171"/>
      <c r="G525" s="171"/>
      <c r="H525" s="171"/>
      <c r="I525" s="171"/>
      <c r="J525" s="171"/>
      <c r="K525" s="171"/>
      <c r="L525" s="171"/>
      <c r="M525" s="171"/>
    </row>
    <row r="526" spans="1:13">
      <c r="A526" s="71"/>
      <c r="B526" s="171"/>
      <c r="C526" s="171"/>
      <c r="D526" s="171"/>
      <c r="E526" s="171"/>
      <c r="F526" s="171"/>
      <c r="G526" s="171"/>
      <c r="H526" s="171"/>
      <c r="I526" s="171"/>
      <c r="J526" s="171"/>
      <c r="K526" s="171"/>
      <c r="L526" s="171"/>
      <c r="M526" s="171"/>
    </row>
    <row r="527" spans="1:13">
      <c r="A527" s="71"/>
      <c r="B527" s="171"/>
      <c r="C527" s="171"/>
      <c r="D527" s="171"/>
      <c r="E527" s="171"/>
      <c r="F527" s="171"/>
      <c r="G527" s="171"/>
      <c r="H527" s="171"/>
      <c r="I527" s="171"/>
      <c r="J527" s="171"/>
      <c r="K527" s="171"/>
      <c r="L527" s="171"/>
      <c r="M527" s="171"/>
    </row>
    <row r="528" spans="1:13">
      <c r="A528" s="71"/>
      <c r="B528" s="171"/>
      <c r="C528" s="171"/>
      <c r="D528" s="171"/>
      <c r="E528" s="171"/>
      <c r="F528" s="171"/>
      <c r="G528" s="171"/>
      <c r="H528" s="171"/>
      <c r="I528" s="171"/>
      <c r="J528" s="171"/>
      <c r="K528" s="171"/>
      <c r="L528" s="171"/>
      <c r="M528" s="171"/>
    </row>
    <row r="529" spans="1:13">
      <c r="A529" s="71"/>
      <c r="B529" s="171"/>
      <c r="C529" s="171"/>
      <c r="D529" s="171"/>
      <c r="E529" s="171"/>
      <c r="F529" s="171"/>
      <c r="G529" s="171"/>
      <c r="H529" s="171"/>
      <c r="I529" s="171"/>
      <c r="J529" s="171"/>
      <c r="K529" s="171"/>
      <c r="L529" s="171"/>
      <c r="M529" s="171"/>
    </row>
    <row r="530" spans="1:13">
      <c r="A530" s="71"/>
      <c r="B530" s="171"/>
      <c r="C530" s="171"/>
      <c r="D530" s="171"/>
      <c r="E530" s="171"/>
      <c r="F530" s="171"/>
      <c r="G530" s="171"/>
      <c r="H530" s="171"/>
      <c r="I530" s="171"/>
      <c r="J530" s="171"/>
      <c r="K530" s="171"/>
      <c r="L530" s="171"/>
      <c r="M530" s="171"/>
    </row>
    <row r="531" spans="1:13">
      <c r="A531" s="71"/>
      <c r="B531" s="171"/>
      <c r="C531" s="171"/>
      <c r="D531" s="171"/>
      <c r="E531" s="171"/>
      <c r="F531" s="171"/>
      <c r="G531" s="171"/>
      <c r="H531" s="171"/>
      <c r="I531" s="171"/>
      <c r="J531" s="171"/>
      <c r="K531" s="171"/>
      <c r="L531" s="171"/>
      <c r="M531" s="171"/>
    </row>
    <row r="532" spans="1:13">
      <c r="A532" s="71"/>
      <c r="B532" s="171"/>
      <c r="C532" s="171"/>
      <c r="D532" s="171"/>
      <c r="E532" s="171"/>
      <c r="F532" s="171"/>
      <c r="G532" s="171"/>
      <c r="H532" s="171"/>
      <c r="I532" s="171"/>
      <c r="J532" s="171"/>
      <c r="K532" s="171"/>
      <c r="L532" s="171"/>
      <c r="M532" s="171"/>
    </row>
    <row r="533" spans="1:13">
      <c r="A533" s="71"/>
      <c r="B533" s="171"/>
      <c r="C533" s="171"/>
      <c r="D533" s="171"/>
      <c r="E533" s="171"/>
      <c r="F533" s="171"/>
      <c r="G533" s="171"/>
      <c r="H533" s="171"/>
      <c r="I533" s="171"/>
      <c r="J533" s="171"/>
      <c r="K533" s="171"/>
      <c r="L533" s="171"/>
      <c r="M533" s="171"/>
    </row>
    <row r="534" spans="1:13">
      <c r="A534" s="71"/>
      <c r="B534" s="171"/>
      <c r="C534" s="171"/>
      <c r="D534" s="171"/>
      <c r="E534" s="171"/>
      <c r="F534" s="171"/>
      <c r="G534" s="171"/>
      <c r="H534" s="171"/>
      <c r="I534" s="171"/>
      <c r="J534" s="171"/>
      <c r="K534" s="171"/>
      <c r="L534" s="171"/>
      <c r="M534" s="171"/>
    </row>
    <row r="535" spans="1:13">
      <c r="A535" s="71"/>
      <c r="B535" s="171"/>
      <c r="C535" s="171"/>
      <c r="D535" s="171"/>
      <c r="E535" s="171"/>
      <c r="F535" s="171"/>
      <c r="G535" s="171"/>
      <c r="H535" s="171"/>
      <c r="I535" s="171"/>
      <c r="J535" s="171"/>
      <c r="K535" s="171"/>
      <c r="L535" s="171"/>
      <c r="M535" s="171"/>
    </row>
    <row r="536" spans="1:13">
      <c r="A536" s="71"/>
      <c r="B536" s="171"/>
      <c r="C536" s="171"/>
      <c r="D536" s="171"/>
      <c r="E536" s="171"/>
      <c r="F536" s="171"/>
      <c r="G536" s="171"/>
      <c r="H536" s="171"/>
      <c r="I536" s="171"/>
      <c r="J536" s="171"/>
      <c r="K536" s="171"/>
      <c r="L536" s="171"/>
      <c r="M536" s="171"/>
    </row>
    <row r="537" spans="1:13">
      <c r="A537" s="71"/>
      <c r="B537" s="171"/>
      <c r="C537" s="171"/>
      <c r="D537" s="171"/>
      <c r="E537" s="171"/>
      <c r="F537" s="171"/>
      <c r="G537" s="171"/>
      <c r="H537" s="171"/>
      <c r="I537" s="171"/>
      <c r="J537" s="171"/>
      <c r="K537" s="171"/>
      <c r="L537" s="171"/>
      <c r="M537" s="171"/>
    </row>
    <row r="538" spans="1:13">
      <c r="A538" s="71"/>
      <c r="B538" s="171"/>
      <c r="C538" s="171"/>
      <c r="D538" s="171"/>
      <c r="E538" s="171"/>
      <c r="F538" s="171"/>
      <c r="G538" s="171"/>
      <c r="H538" s="171"/>
      <c r="I538" s="171"/>
      <c r="J538" s="171"/>
      <c r="K538" s="171"/>
      <c r="L538" s="171"/>
      <c r="M538" s="171"/>
    </row>
    <row r="539" spans="1:13">
      <c r="A539" s="71"/>
      <c r="B539" s="171"/>
      <c r="C539" s="171"/>
      <c r="D539" s="171"/>
      <c r="E539" s="171"/>
      <c r="F539" s="171"/>
      <c r="G539" s="171"/>
      <c r="H539" s="171"/>
    </row>
    <row r="540" spans="1:13">
      <c r="A540" s="71"/>
      <c r="B540" s="171"/>
      <c r="C540" s="171"/>
      <c r="D540" s="171"/>
      <c r="E540" s="171"/>
      <c r="F540" s="171"/>
      <c r="G540" s="171"/>
      <c r="H540" s="171"/>
    </row>
    <row r="541" spans="1:13">
      <c r="A541" s="71"/>
      <c r="B541" s="171"/>
      <c r="C541" s="171"/>
      <c r="D541" s="171"/>
      <c r="E541" s="171"/>
      <c r="F541" s="171"/>
      <c r="G541" s="171"/>
      <c r="H541" s="171"/>
    </row>
    <row r="542" spans="1:13">
      <c r="A542" s="71"/>
      <c r="B542" s="171"/>
      <c r="C542" s="171"/>
      <c r="D542" s="171"/>
      <c r="E542" s="171"/>
      <c r="F542" s="171"/>
      <c r="G542" s="171"/>
      <c r="H542" s="171"/>
    </row>
    <row r="543" spans="1:13">
      <c r="A543" s="71"/>
      <c r="B543" s="171"/>
      <c r="C543" s="171"/>
      <c r="D543" s="171"/>
      <c r="E543" s="171"/>
      <c r="F543" s="171"/>
      <c r="G543" s="171"/>
      <c r="H543" s="171"/>
    </row>
    <row r="544" spans="1:13">
      <c r="A544" s="71"/>
      <c r="B544" s="171"/>
      <c r="C544" s="171"/>
      <c r="D544" s="171"/>
      <c r="E544" s="171"/>
      <c r="F544" s="171"/>
      <c r="G544" s="171"/>
      <c r="H544" s="171"/>
    </row>
    <row r="545" spans="1:8">
      <c r="A545" s="71"/>
      <c r="B545" s="171"/>
      <c r="C545" s="171"/>
      <c r="D545" s="171"/>
      <c r="E545" s="171"/>
      <c r="F545" s="171"/>
      <c r="G545" s="171"/>
      <c r="H545" s="171"/>
    </row>
    <row r="546" spans="1:8">
      <c r="A546" s="71"/>
      <c r="B546" s="171"/>
      <c r="C546" s="171"/>
      <c r="D546" s="171"/>
      <c r="E546" s="171"/>
      <c r="F546" s="171"/>
      <c r="G546" s="171"/>
      <c r="H546" s="171"/>
    </row>
    <row r="547" spans="1:8">
      <c r="A547" s="71"/>
      <c r="B547" s="171"/>
      <c r="C547" s="171"/>
      <c r="D547" s="171"/>
      <c r="E547" s="171"/>
      <c r="F547" s="171"/>
      <c r="G547" s="171"/>
      <c r="H547" s="171"/>
    </row>
    <row r="548" spans="1:8">
      <c r="A548" s="71"/>
      <c r="B548" s="171"/>
      <c r="C548" s="171"/>
      <c r="D548" s="171"/>
      <c r="E548" s="171"/>
      <c r="F548" s="171"/>
      <c r="G548" s="171"/>
      <c r="H548" s="171"/>
    </row>
    <row r="549" spans="1:8">
      <c r="A549" s="71"/>
      <c r="B549" s="171"/>
      <c r="C549" s="171"/>
      <c r="D549" s="171"/>
      <c r="E549" s="171"/>
      <c r="F549" s="171"/>
      <c r="G549" s="171"/>
      <c r="H549" s="171"/>
    </row>
    <row r="550" spans="1:8">
      <c r="A550" s="71"/>
      <c r="B550" s="171"/>
      <c r="C550" s="171"/>
      <c r="D550" s="171"/>
      <c r="E550" s="171"/>
      <c r="F550" s="171"/>
      <c r="G550" s="171"/>
      <c r="H550" s="171"/>
    </row>
    <row r="551" spans="1:8">
      <c r="A551" s="71"/>
      <c r="B551" s="171"/>
      <c r="C551" s="171"/>
      <c r="D551" s="171"/>
      <c r="E551" s="171"/>
      <c r="F551" s="171"/>
      <c r="G551" s="171"/>
      <c r="H551" s="171"/>
    </row>
    <row r="552" spans="1:8">
      <c r="A552" s="71"/>
      <c r="B552" s="171"/>
      <c r="C552" s="171"/>
      <c r="D552" s="171"/>
      <c r="E552" s="171"/>
      <c r="F552" s="171"/>
      <c r="G552" s="171"/>
      <c r="H552" s="171"/>
    </row>
    <row r="553" spans="1:8">
      <c r="A553" s="71"/>
      <c r="B553" s="171"/>
      <c r="C553" s="171"/>
      <c r="D553" s="171"/>
      <c r="E553" s="171"/>
      <c r="F553" s="171"/>
      <c r="G553" s="171"/>
      <c r="H553" s="171"/>
    </row>
    <row r="554" spans="1:8">
      <c r="A554" s="71"/>
      <c r="B554" s="171"/>
      <c r="C554" s="171"/>
      <c r="D554" s="171"/>
      <c r="E554" s="171"/>
      <c r="F554" s="171"/>
      <c r="G554" s="171"/>
      <c r="H554" s="171"/>
    </row>
    <row r="555" spans="1:8">
      <c r="A555" s="71"/>
      <c r="B555" s="171"/>
      <c r="C555" s="171"/>
      <c r="D555" s="171"/>
      <c r="E555" s="171"/>
      <c r="F555" s="171"/>
      <c r="G555" s="171"/>
      <c r="H555" s="171"/>
    </row>
    <row r="556" spans="1:8">
      <c r="A556" s="71"/>
      <c r="B556" s="171"/>
      <c r="C556" s="171"/>
      <c r="D556" s="171"/>
      <c r="E556" s="171"/>
      <c r="F556" s="171"/>
      <c r="G556" s="171"/>
      <c r="H556" s="171"/>
    </row>
    <row r="557" spans="1:8">
      <c r="A557" s="71"/>
      <c r="B557" s="171"/>
      <c r="C557" s="171"/>
      <c r="D557" s="171"/>
      <c r="E557" s="171"/>
      <c r="F557" s="171"/>
      <c r="G557" s="171"/>
      <c r="H557" s="171"/>
    </row>
    <row r="558" spans="1:8">
      <c r="A558" s="71"/>
      <c r="B558" s="171"/>
      <c r="C558" s="171"/>
      <c r="D558" s="171"/>
      <c r="E558" s="171"/>
      <c r="F558" s="171"/>
      <c r="G558" s="171"/>
      <c r="H558" s="171"/>
    </row>
    <row r="559" spans="1:8">
      <c r="A559" s="71"/>
      <c r="B559" s="171"/>
      <c r="C559" s="171"/>
      <c r="D559" s="171"/>
      <c r="E559" s="171"/>
      <c r="F559" s="171"/>
      <c r="G559" s="171"/>
      <c r="H559" s="171"/>
    </row>
    <row r="560" spans="1:8">
      <c r="A560" s="71"/>
      <c r="B560" s="171"/>
      <c r="C560" s="171"/>
      <c r="D560" s="171"/>
      <c r="E560" s="171"/>
      <c r="F560" s="171"/>
      <c r="G560" s="171"/>
      <c r="H560" s="171"/>
    </row>
    <row r="561" spans="1:8">
      <c r="A561" s="71"/>
      <c r="B561" s="171"/>
      <c r="C561" s="171"/>
      <c r="D561" s="171"/>
      <c r="E561" s="171"/>
      <c r="F561" s="171"/>
      <c r="G561" s="171"/>
      <c r="H561" s="171"/>
    </row>
    <row r="562" spans="1:8">
      <c r="A562" s="71"/>
      <c r="B562" s="171"/>
      <c r="C562" s="171"/>
      <c r="D562" s="171"/>
      <c r="E562" s="171"/>
      <c r="F562" s="171"/>
      <c r="G562" s="171"/>
      <c r="H562" s="171"/>
    </row>
    <row r="563" spans="1:8">
      <c r="A563" s="71"/>
      <c r="B563" s="171"/>
      <c r="C563" s="171"/>
      <c r="D563" s="171"/>
      <c r="E563" s="171"/>
      <c r="F563" s="171"/>
      <c r="G563" s="171"/>
      <c r="H563" s="171"/>
    </row>
    <row r="564" spans="1:8">
      <c r="A564" s="71"/>
      <c r="B564" s="171"/>
      <c r="C564" s="171"/>
      <c r="D564" s="171"/>
      <c r="E564" s="171"/>
      <c r="F564" s="171"/>
      <c r="G564" s="171"/>
      <c r="H564" s="171"/>
    </row>
    <row r="565" spans="1:8">
      <c r="A565" s="71"/>
      <c r="B565" s="171"/>
      <c r="C565" s="171"/>
      <c r="D565" s="171"/>
      <c r="E565" s="171"/>
      <c r="F565" s="171"/>
      <c r="G565" s="171"/>
      <c r="H565" s="171"/>
    </row>
    <row r="566" spans="1:8">
      <c r="A566" s="71"/>
      <c r="B566" s="171"/>
      <c r="C566" s="171"/>
      <c r="D566" s="171"/>
      <c r="E566" s="171"/>
      <c r="F566" s="171"/>
      <c r="G566" s="171"/>
      <c r="H566" s="171"/>
    </row>
    <row r="567" spans="1:8">
      <c r="A567" s="71"/>
      <c r="B567" s="171"/>
    </row>
    <row r="568" spans="1:8">
      <c r="A568" s="71"/>
      <c r="B568" s="171"/>
    </row>
  </sheetData>
  <mergeCells count="11">
    <mergeCell ref="A295:M295"/>
    <mergeCell ref="A8:A9"/>
    <mergeCell ref="A6:A7"/>
    <mergeCell ref="B9:E9"/>
    <mergeCell ref="F9:I9"/>
    <mergeCell ref="J9:M9"/>
    <mergeCell ref="A2:M2"/>
    <mergeCell ref="A3:M3"/>
    <mergeCell ref="B7:E7"/>
    <mergeCell ref="F7:I7"/>
    <mergeCell ref="J7:M7"/>
  </mergeCells>
  <pageMargins left="0.22" right="0.18" top="0.75" bottom="0.75" header="0.3" footer="0.3"/>
  <pageSetup scale="19" orientation="landscape" r:id="rId1"/>
  <ignoredErrors>
    <ignoredError sqref="A192:A247" numberStoredAsText="1"/>
  </ignoredError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51186-6395-43D4-8E10-3978EE8A3E99}">
  <sheetPr codeName="Sheet46">
    <tabColor rgb="FF92D050"/>
  </sheetPr>
  <dimension ref="A1:CA286"/>
  <sheetViews>
    <sheetView showGridLines="0" view="pageBreakPreview" zoomScaleNormal="100" zoomScaleSheetLayoutView="100" workbookViewId="0">
      <pane ySplit="67" topLeftCell="A267" activePane="bottomLeft" state="frozen"/>
      <selection activeCell="B39" sqref="B39"/>
      <selection pane="bottomLeft" activeCell="Q282" sqref="Q282"/>
    </sheetView>
  </sheetViews>
  <sheetFormatPr defaultColWidth="8.85546875" defaultRowHeight="12.75"/>
  <cols>
    <col min="1" max="1" width="7.7109375" style="1542" customWidth="1"/>
    <col min="2" max="2" width="11.28515625" style="1541" customWidth="1"/>
    <col min="3" max="3" width="11.85546875" style="1541" customWidth="1"/>
    <col min="4" max="4" width="11.5703125" style="1541" customWidth="1"/>
    <col min="5" max="5" width="11.28515625" style="1541" customWidth="1"/>
    <col min="6" max="6" width="11.85546875" style="1541" customWidth="1"/>
    <col min="7" max="9" width="11.5703125" style="1541" customWidth="1"/>
    <col min="10" max="10" width="14.28515625" style="1541" customWidth="1"/>
    <col min="11" max="12" width="8.85546875" style="1541"/>
    <col min="13" max="13" width="9.140625" style="1541" bestFit="1" customWidth="1"/>
    <col min="14" max="76" width="8.85546875" style="1541"/>
    <col min="77" max="77" width="0" style="1541" hidden="1" customWidth="1"/>
    <col min="78" max="16384" width="8.85546875" style="1541"/>
  </cols>
  <sheetData>
    <row r="1" spans="1:79" ht="10.5" customHeight="1"/>
    <row r="2" spans="1:79" s="1573" customFormat="1" ht="13.5" customHeight="1">
      <c r="A2" s="2732" t="s">
        <v>3356</v>
      </c>
      <c r="B2" s="2732"/>
      <c r="C2" s="2732"/>
      <c r="D2" s="2732"/>
      <c r="E2" s="2732"/>
      <c r="F2" s="2732"/>
      <c r="G2" s="2732"/>
      <c r="H2" s="2732"/>
      <c r="I2" s="2732"/>
      <c r="J2" s="2732"/>
    </row>
    <row r="3" spans="1:79" ht="22.5" customHeight="1">
      <c r="A3" s="2733" t="s">
        <v>3357</v>
      </c>
      <c r="B3" s="2733"/>
      <c r="C3" s="2733"/>
      <c r="D3" s="2733"/>
      <c r="E3" s="2733"/>
      <c r="F3" s="2733"/>
      <c r="G3" s="2733"/>
      <c r="H3" s="2733"/>
      <c r="I3" s="2733"/>
      <c r="J3" s="2733"/>
    </row>
    <row r="4" spans="1:79" ht="10.5" customHeight="1">
      <c r="A4" s="1461"/>
      <c r="B4" s="1461"/>
      <c r="C4" s="1461"/>
      <c r="D4" s="1461"/>
      <c r="E4" s="1461"/>
      <c r="F4" s="1461"/>
      <c r="G4" s="1461"/>
      <c r="H4" s="1461"/>
      <c r="I4" s="1461"/>
      <c r="J4" s="1461"/>
    </row>
    <row r="5" spans="1:79" ht="10.5" customHeight="1">
      <c r="A5" s="1572"/>
      <c r="B5" s="1572"/>
      <c r="C5" s="1572"/>
      <c r="D5" s="1572"/>
      <c r="E5" s="1572"/>
      <c r="F5" s="1572"/>
      <c r="G5" s="1572"/>
      <c r="H5" s="1572"/>
      <c r="I5" s="1572"/>
      <c r="J5" s="1572"/>
    </row>
    <row r="6" spans="1:79">
      <c r="A6" s="2323" t="s">
        <v>182</v>
      </c>
      <c r="B6" s="2323" t="s">
        <v>2819</v>
      </c>
      <c r="C6" s="2323"/>
      <c r="D6" s="2323"/>
      <c r="E6" s="2323" t="s">
        <v>2820</v>
      </c>
      <c r="F6" s="2323"/>
      <c r="G6" s="2323"/>
      <c r="H6" s="2323" t="s">
        <v>2821</v>
      </c>
      <c r="I6" s="2323"/>
      <c r="J6" s="2323"/>
    </row>
    <row r="7" spans="1:79" ht="11.25" customHeight="1">
      <c r="A7" s="2323"/>
      <c r="B7" s="2323"/>
      <c r="C7" s="2323"/>
      <c r="D7" s="2323"/>
      <c r="E7" s="2323"/>
      <c r="F7" s="2323"/>
      <c r="G7" s="2323"/>
      <c r="H7" s="2323"/>
      <c r="I7" s="2323"/>
      <c r="J7" s="2323"/>
    </row>
    <row r="8" spans="1:79" ht="52.5" customHeight="1">
      <c r="A8" s="2323"/>
      <c r="B8" s="1530" t="s">
        <v>2781</v>
      </c>
      <c r="C8" s="1530" t="s">
        <v>1201</v>
      </c>
      <c r="D8" s="1530" t="s">
        <v>2780</v>
      </c>
      <c r="E8" s="1530" t="s">
        <v>2781</v>
      </c>
      <c r="F8" s="1530" t="s">
        <v>2782</v>
      </c>
      <c r="G8" s="1530" t="s">
        <v>2783</v>
      </c>
      <c r="H8" s="1530" t="s">
        <v>2781</v>
      </c>
      <c r="I8" s="1530" t="s">
        <v>2782</v>
      </c>
      <c r="J8" s="1530" t="s">
        <v>2780</v>
      </c>
      <c r="BZ8" s="1571" t="s">
        <v>2062</v>
      </c>
      <c r="CA8" s="1570" t="s">
        <v>2063</v>
      </c>
    </row>
    <row r="9" spans="1:79">
      <c r="A9" s="2730" t="s">
        <v>289</v>
      </c>
      <c r="B9" s="2730" t="s">
        <v>2822</v>
      </c>
      <c r="C9" s="2730"/>
      <c r="D9" s="2730"/>
      <c r="E9" s="2730" t="s">
        <v>2823</v>
      </c>
      <c r="F9" s="2730"/>
      <c r="G9" s="2730"/>
      <c r="H9" s="2730" t="s">
        <v>2824</v>
      </c>
      <c r="I9" s="2730"/>
      <c r="J9" s="2730"/>
      <c r="BV9" s="1541">
        <f>BV11+BV23+BV33+BV41</f>
        <v>0</v>
      </c>
      <c r="BZ9" s="1541">
        <f>BZ11+BZ23+BZ33+BZ41</f>
        <v>622</v>
      </c>
      <c r="CA9" s="1561">
        <f>BV9+BW9+BX9+BZ9</f>
        <v>622</v>
      </c>
    </row>
    <row r="10" spans="1:79" ht="8.25" customHeight="1">
      <c r="A10" s="2730"/>
      <c r="B10" s="2730"/>
      <c r="C10" s="2730"/>
      <c r="D10" s="2730"/>
      <c r="E10" s="2730"/>
      <c r="F10" s="2730"/>
      <c r="G10" s="2730"/>
      <c r="H10" s="2730"/>
      <c r="I10" s="2730"/>
      <c r="J10" s="2730"/>
      <c r="CA10" s="1561"/>
    </row>
    <row r="11" spans="1:79" ht="57" customHeight="1">
      <c r="A11" s="2730"/>
      <c r="B11" s="1533" t="s">
        <v>994</v>
      </c>
      <c r="C11" s="1533" t="s">
        <v>995</v>
      </c>
      <c r="D11" s="1533" t="s">
        <v>1012</v>
      </c>
      <c r="E11" s="1533" t="s">
        <v>994</v>
      </c>
      <c r="F11" s="1533" t="s">
        <v>995</v>
      </c>
      <c r="G11" s="1533" t="s">
        <v>1013</v>
      </c>
      <c r="H11" s="1533" t="s">
        <v>994</v>
      </c>
      <c r="I11" s="1533" t="s">
        <v>995</v>
      </c>
      <c r="J11" s="1533" t="s">
        <v>1013</v>
      </c>
      <c r="BZ11" s="1541">
        <f>BZ13+BZ18</f>
        <v>1713</v>
      </c>
      <c r="CA11" s="1561">
        <f>BV11+BW11+BX11+BZ11</f>
        <v>1713</v>
      </c>
    </row>
    <row r="12" spans="1:79" hidden="1">
      <c r="A12" s="1569">
        <v>2001</v>
      </c>
      <c r="B12" s="1568">
        <v>341.66199999999998</v>
      </c>
      <c r="C12" s="1567">
        <v>2762.056</v>
      </c>
      <c r="D12" s="1567">
        <f t="shared" ref="D12:D59" si="0">C12/B12</f>
        <v>8.0841767594874465</v>
      </c>
      <c r="E12" s="1566"/>
      <c r="F12" s="1566"/>
      <c r="G12" s="1566"/>
      <c r="H12" s="1566"/>
      <c r="I12" s="1566"/>
      <c r="J12" s="1566"/>
      <c r="CA12" s="1561"/>
    </row>
    <row r="13" spans="1:79" hidden="1">
      <c r="A13" s="1565">
        <v>2002</v>
      </c>
      <c r="B13" s="1564">
        <v>387.5</v>
      </c>
      <c r="C13" s="1563">
        <v>5408.6329999999998</v>
      </c>
      <c r="D13" s="1563">
        <f t="shared" si="0"/>
        <v>13.957762580645161</v>
      </c>
      <c r="E13" s="1564">
        <v>20.158000000000001</v>
      </c>
      <c r="F13" s="1563">
        <v>8.6880000000000006</v>
      </c>
      <c r="G13" s="1563">
        <f t="shared" ref="G13:G44" si="1">F13/E13*1000</f>
        <v>430.99513840658801</v>
      </c>
      <c r="H13" s="1563"/>
      <c r="I13" s="1563"/>
      <c r="J13" s="1563"/>
      <c r="BZ13" s="1541">
        <f>BZ15+BZ16</f>
        <v>4361</v>
      </c>
      <c r="CA13" s="1561">
        <f>BV13+BW13+BX13+BZ13</f>
        <v>4361</v>
      </c>
    </row>
    <row r="14" spans="1:79" hidden="1">
      <c r="A14" s="1565">
        <f>A13+1</f>
        <v>2003</v>
      </c>
      <c r="B14" s="1564">
        <v>368.286</v>
      </c>
      <c r="C14" s="1563">
        <v>7819.88</v>
      </c>
      <c r="D14" s="1563">
        <f t="shared" si="0"/>
        <v>21.233172045638444</v>
      </c>
      <c r="E14" s="1564">
        <v>338.44400000000002</v>
      </c>
      <c r="F14" s="1563">
        <v>278.09500000000003</v>
      </c>
      <c r="G14" s="1563">
        <f t="shared" si="1"/>
        <v>821.68689650281874</v>
      </c>
      <c r="H14" s="1563"/>
      <c r="I14" s="1563"/>
      <c r="J14" s="1563"/>
      <c r="CA14" s="1561"/>
    </row>
    <row r="15" spans="1:79" hidden="1">
      <c r="A15" s="1565">
        <f>A14+1</f>
        <v>2004</v>
      </c>
      <c r="B15" s="1564">
        <v>369.69499999999999</v>
      </c>
      <c r="C15" s="1563">
        <v>10164.429</v>
      </c>
      <c r="D15" s="1563">
        <f t="shared" si="0"/>
        <v>27.494093780007844</v>
      </c>
      <c r="E15" s="1564">
        <v>538.37400000000002</v>
      </c>
      <c r="F15" s="1563">
        <v>679.36800000000005</v>
      </c>
      <c r="G15" s="1563">
        <f t="shared" si="1"/>
        <v>1261.888575599862</v>
      </c>
      <c r="H15" s="1563"/>
      <c r="I15" s="1563"/>
      <c r="J15" s="1563"/>
      <c r="BZ15" s="1541">
        <v>3917</v>
      </c>
      <c r="CA15" s="1561">
        <f>BV15+BW15+BX15+BZ15</f>
        <v>3917</v>
      </c>
    </row>
    <row r="16" spans="1:79" hidden="1">
      <c r="A16" s="1562">
        <v>2005</v>
      </c>
      <c r="B16" s="1559">
        <v>316.06099999999998</v>
      </c>
      <c r="C16" s="1559">
        <v>13484.718000000001</v>
      </c>
      <c r="D16" s="1559">
        <f t="shared" si="0"/>
        <v>42.664922277661596</v>
      </c>
      <c r="E16" s="1559">
        <v>754.49</v>
      </c>
      <c r="F16" s="1559">
        <v>1213.663</v>
      </c>
      <c r="G16" s="1559">
        <f t="shared" si="1"/>
        <v>1608.5872576177285</v>
      </c>
      <c r="H16" s="1559"/>
      <c r="I16" s="1559"/>
      <c r="J16" s="1559"/>
      <c r="BZ16" s="1541">
        <v>444</v>
      </c>
      <c r="CA16" s="1561">
        <f>BV16+BW16+BX16+BZ16</f>
        <v>444</v>
      </c>
    </row>
    <row r="17" spans="1:79" ht="1.5" hidden="1" customHeight="1">
      <c r="A17" s="1560" t="s">
        <v>18</v>
      </c>
      <c r="B17" s="1559">
        <v>21.706</v>
      </c>
      <c r="C17" s="1559">
        <v>806.18799999999999</v>
      </c>
      <c r="D17" s="1559">
        <f t="shared" si="0"/>
        <v>37.141251266930801</v>
      </c>
      <c r="E17" s="1559">
        <v>41.203000000000003</v>
      </c>
      <c r="F17" s="1559">
        <v>64.037999999999997</v>
      </c>
      <c r="G17" s="1559">
        <f t="shared" si="1"/>
        <v>1554.2072179210249</v>
      </c>
      <c r="H17" s="1559"/>
      <c r="I17" s="1559"/>
      <c r="J17" s="1559"/>
      <c r="CA17" s="1561"/>
    </row>
    <row r="18" spans="1:79" hidden="1">
      <c r="A18" s="1560" t="s">
        <v>19</v>
      </c>
      <c r="B18" s="1559">
        <v>23.890999999999998</v>
      </c>
      <c r="C18" s="1559">
        <v>965.53800000000001</v>
      </c>
      <c r="D18" s="1559">
        <f t="shared" si="0"/>
        <v>40.414298271315559</v>
      </c>
      <c r="E18" s="1559">
        <v>47.811999999999998</v>
      </c>
      <c r="F18" s="1559">
        <v>74.843999999999994</v>
      </c>
      <c r="G18" s="1559">
        <f t="shared" si="1"/>
        <v>1565.3810758805321</v>
      </c>
      <c r="H18" s="1559"/>
      <c r="I18" s="1559"/>
      <c r="J18" s="1559"/>
      <c r="BZ18" s="1541">
        <f>BZ20+BZ21</f>
        <v>-2648</v>
      </c>
      <c r="CA18" s="1561">
        <f>BV18+BW18+BX18+BZ18</f>
        <v>-2648</v>
      </c>
    </row>
    <row r="19" spans="1:79" hidden="1">
      <c r="A19" s="1560" t="s">
        <v>20</v>
      </c>
      <c r="B19" s="1559">
        <v>26.603000000000002</v>
      </c>
      <c r="C19" s="1559">
        <v>1211.0550000000001</v>
      </c>
      <c r="D19" s="1559">
        <f t="shared" si="0"/>
        <v>45.523249257602522</v>
      </c>
      <c r="E19" s="1559">
        <v>61.055999999999997</v>
      </c>
      <c r="F19" s="1559">
        <v>94.076999999999998</v>
      </c>
      <c r="G19" s="1559">
        <f t="shared" si="1"/>
        <v>1540.8313679245282</v>
      </c>
      <c r="H19" s="1559"/>
      <c r="I19" s="1559"/>
      <c r="J19" s="1559"/>
      <c r="CA19" s="1561"/>
    </row>
    <row r="20" spans="1:79" hidden="1">
      <c r="A20" s="1560" t="s">
        <v>21</v>
      </c>
      <c r="B20" s="1559">
        <v>25.190999999999999</v>
      </c>
      <c r="C20" s="1559">
        <v>1039.665</v>
      </c>
      <c r="D20" s="1559">
        <f t="shared" si="0"/>
        <v>41.271287364534956</v>
      </c>
      <c r="E20" s="1559">
        <v>59.524999999999999</v>
      </c>
      <c r="F20" s="1559">
        <v>92.593000000000004</v>
      </c>
      <c r="G20" s="1559">
        <f t="shared" si="1"/>
        <v>1555.5312893742125</v>
      </c>
      <c r="H20" s="1559"/>
      <c r="I20" s="1559"/>
      <c r="J20" s="1559"/>
      <c r="BZ20" s="1541">
        <v>-367</v>
      </c>
      <c r="CA20" s="1561">
        <f>BV20+BW20+BX20+BZ20</f>
        <v>-367</v>
      </c>
    </row>
    <row r="21" spans="1:79" hidden="1">
      <c r="A21" s="1560" t="s">
        <v>22</v>
      </c>
      <c r="B21" s="1559">
        <v>25.114999999999998</v>
      </c>
      <c r="C21" s="1559">
        <v>1010.268</v>
      </c>
      <c r="D21" s="1559">
        <f t="shared" si="0"/>
        <v>40.225681863428235</v>
      </c>
      <c r="E21" s="1559">
        <v>64.224999999999994</v>
      </c>
      <c r="F21" s="1559">
        <v>103.105</v>
      </c>
      <c r="G21" s="1559">
        <f t="shared" si="1"/>
        <v>1605.3717399766447</v>
      </c>
      <c r="H21" s="1559"/>
      <c r="I21" s="1559"/>
      <c r="J21" s="1559"/>
      <c r="BZ21" s="1541">
        <v>-2281</v>
      </c>
      <c r="CA21" s="1561">
        <f>BV21+BW21+BX21+BZ21</f>
        <v>-2281</v>
      </c>
    </row>
    <row r="22" spans="1:79" hidden="1">
      <c r="A22" s="1560" t="s">
        <v>23</v>
      </c>
      <c r="B22" s="1559">
        <v>26.45</v>
      </c>
      <c r="C22" s="1559">
        <v>1034.73</v>
      </c>
      <c r="D22" s="1559">
        <f t="shared" si="0"/>
        <v>39.120226843100191</v>
      </c>
      <c r="E22" s="1559">
        <v>64.108999999999995</v>
      </c>
      <c r="F22" s="1559">
        <v>106.193</v>
      </c>
      <c r="G22" s="1559">
        <f t="shared" si="1"/>
        <v>1656.4444929729057</v>
      </c>
      <c r="H22" s="1559"/>
      <c r="I22" s="1559"/>
      <c r="J22" s="1559"/>
      <c r="CA22" s="1561"/>
    </row>
    <row r="23" spans="1:79" hidden="1">
      <c r="A23" s="1560" t="s">
        <v>24</v>
      </c>
      <c r="B23" s="1559">
        <v>26.242999999999999</v>
      </c>
      <c r="C23" s="1559">
        <v>1084.7950000000001</v>
      </c>
      <c r="D23" s="1559">
        <f t="shared" si="0"/>
        <v>41.33654688869413</v>
      </c>
      <c r="E23" s="1559">
        <v>61.966000000000001</v>
      </c>
      <c r="F23" s="1559">
        <v>104.377</v>
      </c>
      <c r="G23" s="1559">
        <f t="shared" si="1"/>
        <v>1684.4237162314816</v>
      </c>
      <c r="H23" s="1559"/>
      <c r="I23" s="1559"/>
      <c r="J23" s="1559"/>
      <c r="BZ23" s="1541">
        <f>BZ25+BZ26</f>
        <v>-797</v>
      </c>
      <c r="CA23" s="1561">
        <f>BV23+BW23+BX23+BZ23</f>
        <v>-797</v>
      </c>
    </row>
    <row r="24" spans="1:79" hidden="1">
      <c r="A24" s="1560" t="s">
        <v>25</v>
      </c>
      <c r="B24" s="1559">
        <v>27.58</v>
      </c>
      <c r="C24" s="1559">
        <v>1079.365</v>
      </c>
      <c r="D24" s="1559">
        <f t="shared" si="0"/>
        <v>39.135786802030459</v>
      </c>
      <c r="E24" s="1559">
        <v>65.072000000000003</v>
      </c>
      <c r="F24" s="1559">
        <v>110.322</v>
      </c>
      <c r="G24" s="1559">
        <f t="shared" si="1"/>
        <v>1695.3835751167935</v>
      </c>
      <c r="H24" s="1559"/>
      <c r="I24" s="1559"/>
      <c r="J24" s="1559"/>
      <c r="CA24" s="1561"/>
    </row>
    <row r="25" spans="1:79" hidden="1">
      <c r="A25" s="1560" t="s">
        <v>26</v>
      </c>
      <c r="B25" s="1559">
        <v>27.497</v>
      </c>
      <c r="C25" s="1559">
        <v>1344.5989999999999</v>
      </c>
      <c r="D25" s="1559">
        <f t="shared" si="0"/>
        <v>48.899843619303923</v>
      </c>
      <c r="E25" s="1559">
        <v>67.997</v>
      </c>
      <c r="F25" s="1559">
        <v>112.30200000000001</v>
      </c>
      <c r="G25" s="1559">
        <f t="shared" si="1"/>
        <v>1651.5728635086843</v>
      </c>
      <c r="H25" s="1559"/>
      <c r="I25" s="1559"/>
      <c r="J25" s="1559"/>
      <c r="BZ25" s="1541">
        <v>-644</v>
      </c>
      <c r="CA25" s="1561">
        <f>BV25+BW25+BX25+BZ25</f>
        <v>-644</v>
      </c>
    </row>
    <row r="26" spans="1:79" hidden="1">
      <c r="A26" s="1560" t="s">
        <v>27</v>
      </c>
      <c r="B26" s="1559">
        <v>26.995999999999999</v>
      </c>
      <c r="C26" s="1559">
        <v>1251.231</v>
      </c>
      <c r="D26" s="1559">
        <f t="shared" si="0"/>
        <v>46.348755371166099</v>
      </c>
      <c r="E26" s="1559">
        <v>67.158000000000001</v>
      </c>
      <c r="F26" s="1559">
        <v>106.295</v>
      </c>
      <c r="G26" s="1559">
        <f t="shared" si="1"/>
        <v>1582.7600583698145</v>
      </c>
      <c r="H26" s="1559"/>
      <c r="I26" s="1559"/>
      <c r="J26" s="1559"/>
      <c r="BZ26" s="1541">
        <v>-153</v>
      </c>
      <c r="CA26" s="1561">
        <f>BV26+BW26+BX26+BZ26</f>
        <v>-153</v>
      </c>
    </row>
    <row r="27" spans="1:79" hidden="1">
      <c r="A27" s="1560" t="s">
        <v>28</v>
      </c>
      <c r="B27" s="1559">
        <v>25.972999999999999</v>
      </c>
      <c r="C27" s="1559">
        <v>1130.0029999999999</v>
      </c>
      <c r="D27" s="1559">
        <f t="shared" si="0"/>
        <v>43.506834019943788</v>
      </c>
      <c r="E27" s="1559">
        <v>67.811000000000007</v>
      </c>
      <c r="F27" s="1559">
        <v>109.121</v>
      </c>
      <c r="G27" s="1559">
        <f t="shared" si="1"/>
        <v>1609.1931987435664</v>
      </c>
      <c r="H27" s="1559"/>
      <c r="I27" s="1559"/>
      <c r="J27" s="1559"/>
      <c r="CA27" s="1561"/>
    </row>
    <row r="28" spans="1:79" hidden="1">
      <c r="A28" s="1560" t="s">
        <v>29</v>
      </c>
      <c r="B28" s="1559">
        <v>32.816000000000003</v>
      </c>
      <c r="C28" s="1559">
        <v>1527.2760000000001</v>
      </c>
      <c r="D28" s="1559">
        <f t="shared" si="0"/>
        <v>46.540589956118964</v>
      </c>
      <c r="E28" s="1559">
        <v>86.555999999999997</v>
      </c>
      <c r="F28" s="1559">
        <v>136.39099999999999</v>
      </c>
      <c r="G28" s="1559">
        <f t="shared" si="1"/>
        <v>1575.7544248810018</v>
      </c>
      <c r="H28" s="1559"/>
      <c r="I28" s="1559"/>
      <c r="J28" s="1559"/>
      <c r="CA28" s="1561"/>
    </row>
    <row r="29" spans="1:79" hidden="1">
      <c r="A29" s="1562">
        <v>2006</v>
      </c>
      <c r="B29" s="1559">
        <v>370</v>
      </c>
      <c r="C29" s="1559">
        <v>23847</v>
      </c>
      <c r="D29" s="1559">
        <f t="shared" si="0"/>
        <v>64.451351351351349</v>
      </c>
      <c r="E29" s="1559">
        <v>842</v>
      </c>
      <c r="F29" s="1559">
        <v>1443</v>
      </c>
      <c r="G29" s="1559">
        <f t="shared" si="1"/>
        <v>1713.7767220902613</v>
      </c>
      <c r="H29" s="1559"/>
      <c r="I29" s="1559"/>
      <c r="J29" s="1559"/>
      <c r="CA29" s="1561"/>
    </row>
    <row r="30" spans="1:79" ht="0.75" hidden="1" customHeight="1">
      <c r="A30" s="1560" t="s">
        <v>18</v>
      </c>
      <c r="B30" s="1559">
        <v>20.87</v>
      </c>
      <c r="C30" s="1559">
        <v>1190.432</v>
      </c>
      <c r="D30" s="1559">
        <f t="shared" si="0"/>
        <v>57.040344992812649</v>
      </c>
      <c r="E30" s="1559">
        <v>41</v>
      </c>
      <c r="F30" s="1559">
        <v>71.622</v>
      </c>
      <c r="G30" s="1559">
        <f t="shared" si="1"/>
        <v>1746.8780487804879</v>
      </c>
      <c r="H30" s="1559"/>
      <c r="I30" s="1559"/>
      <c r="J30" s="1559"/>
      <c r="BZ30" s="1541">
        <v>-31</v>
      </c>
      <c r="CA30" s="1561">
        <f>BV30+BW30+BX30+BZ30</f>
        <v>-31</v>
      </c>
    </row>
    <row r="31" spans="1:79" hidden="1">
      <c r="A31" s="1560" t="s">
        <v>19</v>
      </c>
      <c r="B31" s="1559">
        <v>23.992999999999999</v>
      </c>
      <c r="C31" s="1559">
        <v>1551.856</v>
      </c>
      <c r="D31" s="1559">
        <f t="shared" si="0"/>
        <v>64.679531530029593</v>
      </c>
      <c r="E31" s="1559">
        <v>58.497</v>
      </c>
      <c r="F31" s="1559">
        <v>90.730999999999995</v>
      </c>
      <c r="G31" s="1559">
        <f t="shared" si="1"/>
        <v>1551.0368053062548</v>
      </c>
      <c r="H31" s="1559"/>
      <c r="I31" s="1559"/>
      <c r="J31" s="1559"/>
      <c r="BZ31" s="1541">
        <v>-440</v>
      </c>
      <c r="CA31" s="1561">
        <f>BV31+BW31+BX31+BZ31</f>
        <v>-440</v>
      </c>
    </row>
    <row r="32" spans="1:79" hidden="1">
      <c r="A32" s="1560" t="s">
        <v>20</v>
      </c>
      <c r="B32" s="1559">
        <v>27.138999999999999</v>
      </c>
      <c r="C32" s="1559">
        <v>1468.7719999999999</v>
      </c>
      <c r="D32" s="1559">
        <f t="shared" si="0"/>
        <v>54.120343417222443</v>
      </c>
      <c r="E32" s="1559">
        <v>71.475999999999999</v>
      </c>
      <c r="F32" s="1559">
        <v>115.672</v>
      </c>
      <c r="G32" s="1559">
        <f t="shared" si="1"/>
        <v>1618.3334266047345</v>
      </c>
      <c r="H32" s="1559"/>
      <c r="I32" s="1559"/>
      <c r="J32" s="1559"/>
      <c r="CA32" s="1561"/>
    </row>
    <row r="33" spans="1:79" hidden="1">
      <c r="A33" s="1560" t="s">
        <v>21</v>
      </c>
      <c r="B33" s="1559">
        <v>27.151</v>
      </c>
      <c r="C33" s="1559">
        <v>1558.7650000000001</v>
      </c>
      <c r="D33" s="1559">
        <f t="shared" si="0"/>
        <v>57.410960922249643</v>
      </c>
      <c r="E33" s="1559">
        <v>67.92</v>
      </c>
      <c r="F33" s="1559">
        <v>112.73699999999999</v>
      </c>
      <c r="G33" s="1559">
        <f t="shared" si="1"/>
        <v>1659.8498233215546</v>
      </c>
      <c r="H33" s="1559"/>
      <c r="I33" s="1559"/>
      <c r="J33" s="1559"/>
      <c r="BZ33" s="1541">
        <f>BZ35+BZ36</f>
        <v>-498</v>
      </c>
      <c r="CA33" s="1561">
        <f>BV33+BW33+BX33+BZ33</f>
        <v>-498</v>
      </c>
    </row>
    <row r="34" spans="1:79" hidden="1">
      <c r="A34" s="1560" t="s">
        <v>22</v>
      </c>
      <c r="B34" s="1559">
        <v>31</v>
      </c>
      <c r="C34" s="1559">
        <v>1719</v>
      </c>
      <c r="D34" s="1559">
        <f t="shared" si="0"/>
        <v>55.451612903225808</v>
      </c>
      <c r="E34" s="1559">
        <v>72</v>
      </c>
      <c r="F34" s="1559">
        <v>124</v>
      </c>
      <c r="G34" s="1559">
        <f t="shared" si="1"/>
        <v>1722.2222222222224</v>
      </c>
      <c r="H34" s="1559"/>
      <c r="I34" s="1559"/>
      <c r="J34" s="1559"/>
      <c r="CA34" s="1561"/>
    </row>
    <row r="35" spans="1:79" hidden="1">
      <c r="A35" s="1560" t="s">
        <v>23</v>
      </c>
      <c r="B35" s="1559">
        <v>30</v>
      </c>
      <c r="C35" s="1559">
        <v>2036</v>
      </c>
      <c r="D35" s="1559">
        <f t="shared" si="0"/>
        <v>67.86666666666666</v>
      </c>
      <c r="E35" s="1559">
        <v>73</v>
      </c>
      <c r="F35" s="1559">
        <v>129</v>
      </c>
      <c r="G35" s="1559">
        <f t="shared" si="1"/>
        <v>1767.1232876712329</v>
      </c>
      <c r="H35" s="1559"/>
      <c r="I35" s="1559"/>
      <c r="J35" s="1559"/>
      <c r="BZ35" s="1541">
        <v>-521</v>
      </c>
      <c r="CA35" s="1561">
        <f>BV35+BW35+BX35+BZ35</f>
        <v>-521</v>
      </c>
    </row>
    <row r="36" spans="1:79" hidden="1">
      <c r="A36" s="1560" t="s">
        <v>24</v>
      </c>
      <c r="B36" s="1559">
        <v>32</v>
      </c>
      <c r="C36" s="1559">
        <v>1977</v>
      </c>
      <c r="D36" s="1559">
        <f t="shared" si="0"/>
        <v>61.78125</v>
      </c>
      <c r="E36" s="1559">
        <v>73</v>
      </c>
      <c r="F36" s="1559">
        <v>126</v>
      </c>
      <c r="G36" s="1559">
        <f t="shared" si="1"/>
        <v>1726.027397260274</v>
      </c>
      <c r="H36" s="1559"/>
      <c r="I36" s="1559"/>
      <c r="J36" s="1559"/>
      <c r="BZ36" s="1541">
        <v>23</v>
      </c>
      <c r="CA36" s="1561">
        <f>BV36+BW36+BX36+BZ36</f>
        <v>23</v>
      </c>
    </row>
    <row r="37" spans="1:79" hidden="1">
      <c r="A37" s="1560" t="s">
        <v>25</v>
      </c>
      <c r="B37" s="1559">
        <v>34</v>
      </c>
      <c r="C37" s="1559">
        <v>2518</v>
      </c>
      <c r="D37" s="1559">
        <f t="shared" si="0"/>
        <v>74.058823529411768</v>
      </c>
      <c r="E37" s="1559">
        <v>72</v>
      </c>
      <c r="F37" s="1559">
        <v>129</v>
      </c>
      <c r="G37" s="1559">
        <f t="shared" si="1"/>
        <v>1791.6666666666667</v>
      </c>
      <c r="H37" s="1559"/>
      <c r="I37" s="1559"/>
      <c r="J37" s="1559"/>
      <c r="CA37" s="1561"/>
    </row>
    <row r="38" spans="1:79" hidden="1">
      <c r="A38" s="1560" t="s">
        <v>26</v>
      </c>
      <c r="B38" s="1559">
        <v>32</v>
      </c>
      <c r="C38" s="1559">
        <v>1877</v>
      </c>
      <c r="D38" s="1559">
        <f t="shared" si="0"/>
        <v>58.65625</v>
      </c>
      <c r="E38" s="1559">
        <v>69</v>
      </c>
      <c r="F38" s="1559">
        <v>119</v>
      </c>
      <c r="G38" s="1559">
        <f t="shared" si="1"/>
        <v>1724.6376811594205</v>
      </c>
      <c r="H38" s="1559"/>
      <c r="I38" s="1559"/>
      <c r="J38" s="1559"/>
      <c r="BZ38" s="1541">
        <v>433</v>
      </c>
      <c r="CA38" s="1561">
        <f>BV38+BW38+BX38+BZ38</f>
        <v>433</v>
      </c>
    </row>
    <row r="39" spans="1:79" hidden="1">
      <c r="A39" s="1560" t="s">
        <v>27</v>
      </c>
      <c r="B39" s="1559">
        <v>33</v>
      </c>
      <c r="C39" s="1559">
        <v>1990</v>
      </c>
      <c r="D39" s="1559">
        <f t="shared" si="0"/>
        <v>60.303030303030305</v>
      </c>
      <c r="E39" s="1559">
        <v>71</v>
      </c>
      <c r="F39" s="1559">
        <v>123</v>
      </c>
      <c r="G39" s="1559">
        <f t="shared" si="1"/>
        <v>1732.394366197183</v>
      </c>
      <c r="H39" s="1559"/>
      <c r="I39" s="1559"/>
      <c r="J39" s="1559"/>
      <c r="BZ39" s="1541">
        <v>-931</v>
      </c>
      <c r="CA39" s="1561">
        <f>BV39+BW39+BX39+BZ39</f>
        <v>-931</v>
      </c>
    </row>
    <row r="40" spans="1:79" hidden="1">
      <c r="A40" s="1560" t="s">
        <v>28</v>
      </c>
      <c r="B40" s="1559">
        <v>34</v>
      </c>
      <c r="C40" s="1559">
        <v>2367</v>
      </c>
      <c r="D40" s="1559">
        <f t="shared" si="0"/>
        <v>69.617647058823536</v>
      </c>
      <c r="E40" s="1559">
        <v>75</v>
      </c>
      <c r="F40" s="1559">
        <v>133</v>
      </c>
      <c r="G40" s="1559">
        <f t="shared" si="1"/>
        <v>1773.3333333333335</v>
      </c>
      <c r="H40" s="1559"/>
      <c r="I40" s="1559"/>
      <c r="J40" s="1559"/>
      <c r="CA40" s="1561"/>
    </row>
    <row r="41" spans="1:79" hidden="1">
      <c r="A41" s="1560" t="s">
        <v>29</v>
      </c>
      <c r="B41" s="1559">
        <v>45</v>
      </c>
      <c r="C41" s="1559">
        <v>3593</v>
      </c>
      <c r="D41" s="1559">
        <f t="shared" si="0"/>
        <v>79.844444444444449</v>
      </c>
      <c r="E41" s="1559">
        <v>98</v>
      </c>
      <c r="F41" s="1559">
        <v>169</v>
      </c>
      <c r="G41" s="1559">
        <f t="shared" si="1"/>
        <v>1724.4897959183675</v>
      </c>
      <c r="H41" s="1559"/>
      <c r="I41" s="1559"/>
      <c r="J41" s="1559"/>
      <c r="BZ41" s="1541">
        <v>204</v>
      </c>
      <c r="CA41" s="1561">
        <f>BV41+BW41+BX41+BZ41</f>
        <v>204</v>
      </c>
    </row>
    <row r="42" spans="1:79" hidden="1">
      <c r="A42" s="1560" t="s">
        <v>121</v>
      </c>
      <c r="B42" s="1559">
        <f>SUM(B43:B54)</f>
        <v>433</v>
      </c>
      <c r="C42" s="1559">
        <f>SUM(C43:C54)</f>
        <v>38727</v>
      </c>
      <c r="D42" s="1559">
        <f t="shared" si="0"/>
        <v>89.438799076212476</v>
      </c>
      <c r="E42" s="1559">
        <f>SUM(E43:E54)</f>
        <v>1040</v>
      </c>
      <c r="F42" s="1559">
        <f>SUM(F43:F54)</f>
        <v>2138</v>
      </c>
      <c r="G42" s="1559">
        <f t="shared" si="1"/>
        <v>2055.7692307692305</v>
      </c>
      <c r="H42" s="1559"/>
      <c r="I42" s="1559"/>
      <c r="J42" s="1559"/>
      <c r="BZ42" s="1541">
        <v>200</v>
      </c>
      <c r="CA42" s="1561">
        <f>BV42+BW42+BX42+BZ42</f>
        <v>200</v>
      </c>
    </row>
    <row r="43" spans="1:79" hidden="1">
      <c r="A43" s="1560" t="s">
        <v>18</v>
      </c>
      <c r="B43" s="1559">
        <v>26</v>
      </c>
      <c r="C43" s="1559">
        <v>1938</v>
      </c>
      <c r="D43" s="1559">
        <f t="shared" si="0"/>
        <v>74.538461538461533</v>
      </c>
      <c r="E43" s="1559">
        <v>57</v>
      </c>
      <c r="F43" s="1559">
        <v>97</v>
      </c>
      <c r="G43" s="1559">
        <f t="shared" si="1"/>
        <v>1701.7543859649122</v>
      </c>
      <c r="H43" s="1559"/>
      <c r="I43" s="1559"/>
      <c r="J43" s="1559"/>
      <c r="CA43" s="1561"/>
    </row>
    <row r="44" spans="1:79" hidden="1">
      <c r="A44" s="1560" t="s">
        <v>19</v>
      </c>
      <c r="B44" s="1559">
        <v>30</v>
      </c>
      <c r="C44" s="1559">
        <v>2271</v>
      </c>
      <c r="D44" s="1559">
        <f t="shared" si="0"/>
        <v>75.7</v>
      </c>
      <c r="E44" s="1559">
        <v>72</v>
      </c>
      <c r="F44" s="1559">
        <v>125</v>
      </c>
      <c r="G44" s="1559">
        <f t="shared" si="1"/>
        <v>1736.1111111111111</v>
      </c>
      <c r="H44" s="1559"/>
      <c r="I44" s="1559"/>
      <c r="J44" s="1559"/>
      <c r="BZ44" s="1541">
        <v>295</v>
      </c>
      <c r="CA44" s="1561">
        <f>BV44+BW44+BX44+BZ44</f>
        <v>295</v>
      </c>
    </row>
    <row r="45" spans="1:79" hidden="1">
      <c r="A45" s="1560" t="s">
        <v>20</v>
      </c>
      <c r="B45" s="1559">
        <v>31</v>
      </c>
      <c r="C45" s="1559">
        <v>2306</v>
      </c>
      <c r="D45" s="1559">
        <f t="shared" si="0"/>
        <v>74.387096774193552</v>
      </c>
      <c r="E45" s="1559">
        <v>75</v>
      </c>
      <c r="F45" s="1559">
        <v>141</v>
      </c>
      <c r="G45" s="1559">
        <f t="shared" ref="G45:G76" si="2">F45/E45*1000</f>
        <v>1880</v>
      </c>
      <c r="H45" s="1559"/>
      <c r="I45" s="1559"/>
      <c r="J45" s="1559"/>
      <c r="BZ45" s="1541">
        <v>-95</v>
      </c>
      <c r="CA45" s="1561">
        <f>BV45+BW45+BX45+BZ45</f>
        <v>-95</v>
      </c>
    </row>
    <row r="46" spans="1:79" hidden="1">
      <c r="A46" s="1560" t="s">
        <v>21</v>
      </c>
      <c r="B46" s="1559">
        <v>35</v>
      </c>
      <c r="C46" s="1559">
        <v>2794</v>
      </c>
      <c r="D46" s="1559">
        <f t="shared" si="0"/>
        <v>79.828571428571422</v>
      </c>
      <c r="E46" s="1559">
        <v>87</v>
      </c>
      <c r="F46" s="1559">
        <v>178</v>
      </c>
      <c r="G46" s="1559">
        <f t="shared" si="2"/>
        <v>2045.9770114942528</v>
      </c>
      <c r="H46" s="1559"/>
      <c r="I46" s="1559"/>
      <c r="J46" s="1559"/>
      <c r="CA46" s="1561"/>
    </row>
    <row r="47" spans="1:79" hidden="1">
      <c r="A47" s="1560" t="s">
        <v>22</v>
      </c>
      <c r="B47" s="1559">
        <v>37</v>
      </c>
      <c r="C47" s="1559">
        <v>2931</v>
      </c>
      <c r="D47" s="1559">
        <f t="shared" si="0"/>
        <v>79.21621621621621</v>
      </c>
      <c r="E47" s="1559">
        <v>89</v>
      </c>
      <c r="F47" s="1559">
        <v>192</v>
      </c>
      <c r="G47" s="1559">
        <f t="shared" si="2"/>
        <v>2157.303370786517</v>
      </c>
      <c r="H47" s="1559"/>
      <c r="I47" s="1559"/>
      <c r="J47" s="1559"/>
      <c r="BZ47" s="1541">
        <v>0</v>
      </c>
      <c r="CA47" s="1561">
        <f>BV47+BW47+BX47+BZ47</f>
        <v>0</v>
      </c>
    </row>
    <row r="48" spans="1:79" hidden="1">
      <c r="A48" s="1560" t="s">
        <v>23</v>
      </c>
      <c r="B48" s="1559">
        <v>35</v>
      </c>
      <c r="C48" s="1559">
        <v>2959</v>
      </c>
      <c r="D48" s="1559">
        <f t="shared" si="0"/>
        <v>84.542857142857144</v>
      </c>
      <c r="E48" s="1559">
        <v>85</v>
      </c>
      <c r="F48" s="1559">
        <v>185</v>
      </c>
      <c r="G48" s="1559">
        <f t="shared" si="2"/>
        <v>2176.4705882352941</v>
      </c>
      <c r="H48" s="1559"/>
      <c r="I48" s="1559"/>
      <c r="J48" s="1559"/>
      <c r="CA48" s="1561"/>
    </row>
    <row r="49" spans="1:79" hidden="1">
      <c r="A49" s="1560" t="s">
        <v>24</v>
      </c>
      <c r="B49" s="1559">
        <v>38</v>
      </c>
      <c r="C49" s="1559">
        <v>3817</v>
      </c>
      <c r="D49" s="1559">
        <f t="shared" si="0"/>
        <v>100.44736842105263</v>
      </c>
      <c r="E49" s="1559">
        <v>97</v>
      </c>
      <c r="F49" s="1559">
        <v>211</v>
      </c>
      <c r="G49" s="1559">
        <f t="shared" si="2"/>
        <v>2175.2577319587626</v>
      </c>
      <c r="H49" s="1559"/>
      <c r="I49" s="1559"/>
      <c r="J49" s="1559"/>
      <c r="BZ49" s="1541">
        <f>BZ50-BZ54</f>
        <v>481</v>
      </c>
      <c r="CA49" s="1561">
        <f>BV49+BW49+BX49+BZ49</f>
        <v>481</v>
      </c>
    </row>
    <row r="50" spans="1:79" hidden="1">
      <c r="A50" s="1560" t="s">
        <v>25</v>
      </c>
      <c r="B50" s="1559">
        <v>38</v>
      </c>
      <c r="C50" s="1559">
        <v>3619</v>
      </c>
      <c r="D50" s="1559">
        <f t="shared" si="0"/>
        <v>95.236842105263165</v>
      </c>
      <c r="E50" s="1559">
        <v>88</v>
      </c>
      <c r="F50" s="1559">
        <v>194</v>
      </c>
      <c r="G50" s="1559">
        <f t="shared" si="2"/>
        <v>2204.5454545454545</v>
      </c>
      <c r="H50" s="1559"/>
      <c r="I50" s="1559"/>
      <c r="J50" s="1559"/>
      <c r="BZ50" s="1541">
        <f>BZ52+BZ53</f>
        <v>965</v>
      </c>
      <c r="CA50" s="1561">
        <f>BV50+BW50+BX50+BZ50</f>
        <v>965</v>
      </c>
    </row>
    <row r="51" spans="1:79" hidden="1">
      <c r="A51" s="1560" t="s">
        <v>26</v>
      </c>
      <c r="B51" s="1559">
        <v>35</v>
      </c>
      <c r="C51" s="1559">
        <v>3208</v>
      </c>
      <c r="D51" s="1559">
        <f t="shared" si="0"/>
        <v>91.657142857142858</v>
      </c>
      <c r="E51" s="1559">
        <v>85</v>
      </c>
      <c r="F51" s="1559">
        <v>183</v>
      </c>
      <c r="G51" s="1559">
        <f t="shared" si="2"/>
        <v>2152.9411764705883</v>
      </c>
      <c r="H51" s="1559"/>
      <c r="I51" s="1559"/>
      <c r="J51" s="1559"/>
      <c r="CA51" s="1561"/>
    </row>
    <row r="52" spans="1:79" hidden="1">
      <c r="A52" s="1560" t="s">
        <v>27</v>
      </c>
      <c r="B52" s="1559">
        <v>40</v>
      </c>
      <c r="C52" s="1559">
        <v>3424</v>
      </c>
      <c r="D52" s="1559">
        <f t="shared" si="0"/>
        <v>85.6</v>
      </c>
      <c r="E52" s="1559">
        <v>96</v>
      </c>
      <c r="F52" s="1559">
        <v>189</v>
      </c>
      <c r="G52" s="1559">
        <f t="shared" si="2"/>
        <v>1968.75</v>
      </c>
      <c r="H52" s="1559"/>
      <c r="I52" s="1559"/>
      <c r="J52" s="1559"/>
      <c r="BZ52" s="1541">
        <v>954</v>
      </c>
      <c r="CA52" s="1561">
        <f>BV52+BW52+BX52+BZ52</f>
        <v>954</v>
      </c>
    </row>
    <row r="53" spans="1:79" hidden="1">
      <c r="A53" s="1560" t="s">
        <v>28</v>
      </c>
      <c r="B53" s="1559">
        <v>39</v>
      </c>
      <c r="C53" s="1559">
        <v>3771</v>
      </c>
      <c r="D53" s="1559">
        <f t="shared" si="0"/>
        <v>96.692307692307693</v>
      </c>
      <c r="E53" s="1559">
        <v>94</v>
      </c>
      <c r="F53" s="1559">
        <v>194</v>
      </c>
      <c r="G53" s="1559">
        <f t="shared" si="2"/>
        <v>2063.8297872340427</v>
      </c>
      <c r="H53" s="1559"/>
      <c r="I53" s="1559"/>
      <c r="J53" s="1559"/>
      <c r="BZ53" s="1541">
        <v>11</v>
      </c>
      <c r="CA53" s="1561">
        <f>BV53+BW53+BX53+BZ53</f>
        <v>11</v>
      </c>
    </row>
    <row r="54" spans="1:79" hidden="1">
      <c r="A54" s="1560" t="s">
        <v>29</v>
      </c>
      <c r="B54" s="1559">
        <v>49</v>
      </c>
      <c r="C54" s="1559">
        <v>5689</v>
      </c>
      <c r="D54" s="1559">
        <f t="shared" si="0"/>
        <v>116.10204081632654</v>
      </c>
      <c r="E54" s="1559">
        <v>115</v>
      </c>
      <c r="F54" s="1559">
        <v>249</v>
      </c>
      <c r="G54" s="1559">
        <f t="shared" si="2"/>
        <v>2165.217391304348</v>
      </c>
      <c r="H54" s="1559"/>
      <c r="I54" s="1559"/>
      <c r="J54" s="1559"/>
      <c r="BZ54" s="1541">
        <f>BZ56+BZ57+BZ58+BZ59</f>
        <v>484</v>
      </c>
      <c r="CA54" s="1561">
        <f>BV54+BW54+BX54+BZ54</f>
        <v>484</v>
      </c>
    </row>
    <row r="55" spans="1:79" hidden="1">
      <c r="A55" s="1560" t="s">
        <v>114</v>
      </c>
      <c r="B55" s="1559">
        <v>457</v>
      </c>
      <c r="C55" s="1559">
        <v>71425</v>
      </c>
      <c r="D55" s="1559">
        <f t="shared" si="0"/>
        <v>156.2910284463895</v>
      </c>
      <c r="E55" s="1559">
        <v>1943</v>
      </c>
      <c r="F55" s="1559">
        <v>5364</v>
      </c>
      <c r="G55" s="1559">
        <f t="shared" si="2"/>
        <v>2760.6793618116312</v>
      </c>
      <c r="H55" s="1559"/>
      <c r="I55" s="1559"/>
      <c r="J55" s="1559"/>
      <c r="CA55" s="1561"/>
    </row>
    <row r="56" spans="1:79" hidden="1">
      <c r="A56" s="1560" t="s">
        <v>18</v>
      </c>
      <c r="B56" s="1559">
        <v>26</v>
      </c>
      <c r="C56" s="1559">
        <v>3108</v>
      </c>
      <c r="D56" s="1559">
        <f t="shared" si="0"/>
        <v>119.53846153846153</v>
      </c>
      <c r="E56" s="1559">
        <v>96</v>
      </c>
      <c r="F56" s="1559">
        <v>196</v>
      </c>
      <c r="G56" s="1559">
        <f t="shared" si="2"/>
        <v>2041.6666666666665</v>
      </c>
      <c r="H56" s="1559"/>
      <c r="I56" s="1559"/>
      <c r="J56" s="1559"/>
      <c r="BZ56" s="1541">
        <v>1214</v>
      </c>
      <c r="CA56" s="1561">
        <f t="shared" ref="CA56:CA61" si="3">BV56+BW56+BX56+BZ56</f>
        <v>1214</v>
      </c>
    </row>
    <row r="57" spans="1:79" hidden="1">
      <c r="A57" s="1560" t="s">
        <v>19</v>
      </c>
      <c r="B57" s="1559">
        <v>34</v>
      </c>
      <c r="C57" s="1559">
        <v>3843</v>
      </c>
      <c r="D57" s="1559">
        <f t="shared" si="0"/>
        <v>113.02941176470588</v>
      </c>
      <c r="E57" s="1559">
        <v>132</v>
      </c>
      <c r="F57" s="1559">
        <v>294</v>
      </c>
      <c r="G57" s="1559">
        <f t="shared" si="2"/>
        <v>2227.272727272727</v>
      </c>
      <c r="H57" s="1559"/>
      <c r="I57" s="1559"/>
      <c r="J57" s="1559"/>
      <c r="BZ57" s="1541">
        <v>-745</v>
      </c>
      <c r="CA57" s="1561">
        <f t="shared" si="3"/>
        <v>-745</v>
      </c>
    </row>
    <row r="58" spans="1:79" hidden="1">
      <c r="A58" s="1560" t="s">
        <v>20</v>
      </c>
      <c r="B58" s="1559">
        <v>33</v>
      </c>
      <c r="C58" s="1559">
        <v>4326</v>
      </c>
      <c r="D58" s="1559">
        <f t="shared" si="0"/>
        <v>131.09090909090909</v>
      </c>
      <c r="E58" s="1559">
        <v>128</v>
      </c>
      <c r="F58" s="1559">
        <v>349</v>
      </c>
      <c r="G58" s="1559">
        <f t="shared" si="2"/>
        <v>2726.5625</v>
      </c>
      <c r="H58" s="1559"/>
      <c r="I58" s="1559"/>
      <c r="J58" s="1559"/>
      <c r="BZ58" s="1541">
        <v>0</v>
      </c>
      <c r="CA58" s="1561">
        <f t="shared" si="3"/>
        <v>0</v>
      </c>
    </row>
    <row r="59" spans="1:79" hidden="1">
      <c r="A59" s="1560" t="s">
        <v>21</v>
      </c>
      <c r="B59" s="1559">
        <v>42</v>
      </c>
      <c r="C59" s="1559">
        <v>5748</v>
      </c>
      <c r="D59" s="1559">
        <f t="shared" si="0"/>
        <v>136.85714285714286</v>
      </c>
      <c r="E59" s="1559">
        <v>162</v>
      </c>
      <c r="F59" s="1559">
        <v>450</v>
      </c>
      <c r="G59" s="1559">
        <f t="shared" si="2"/>
        <v>2777.7777777777778</v>
      </c>
      <c r="H59" s="1559"/>
      <c r="I59" s="1559"/>
      <c r="J59" s="1559"/>
      <c r="BZ59" s="1541">
        <v>15</v>
      </c>
      <c r="CA59" s="1561">
        <f t="shared" si="3"/>
        <v>15</v>
      </c>
    </row>
    <row r="60" spans="1:79" hidden="1">
      <c r="A60" s="1560" t="s">
        <v>22</v>
      </c>
      <c r="B60" s="1559">
        <v>39</v>
      </c>
      <c r="C60" s="1559">
        <v>5390</v>
      </c>
      <c r="D60" s="1559">
        <v>138.2051282051282</v>
      </c>
      <c r="E60" s="1559">
        <v>146</v>
      </c>
      <c r="F60" s="1559">
        <v>446</v>
      </c>
      <c r="G60" s="1559">
        <f t="shared" si="2"/>
        <v>3054.7945205479455</v>
      </c>
      <c r="H60" s="1559"/>
      <c r="I60" s="1559"/>
      <c r="J60" s="1559"/>
      <c r="BZ60" s="1541">
        <v>-372</v>
      </c>
      <c r="CA60" s="1561">
        <f t="shared" si="3"/>
        <v>-372</v>
      </c>
    </row>
    <row r="61" spans="1:79" hidden="1">
      <c r="A61" s="1560" t="s">
        <v>23</v>
      </c>
      <c r="B61" s="1559">
        <v>38</v>
      </c>
      <c r="C61" s="1559">
        <v>6268</v>
      </c>
      <c r="D61" s="1559">
        <f t="shared" ref="D61:D81" si="4">C61/B61</f>
        <v>164.94736842105263</v>
      </c>
      <c r="E61" s="1559">
        <v>151</v>
      </c>
      <c r="F61" s="1559">
        <v>483</v>
      </c>
      <c r="G61" s="1559">
        <f t="shared" si="2"/>
        <v>3198.675496688742</v>
      </c>
      <c r="H61" s="1559"/>
      <c r="I61" s="1559"/>
      <c r="J61" s="1559"/>
      <c r="BZ61" s="1541">
        <v>-231</v>
      </c>
      <c r="CA61" s="1561">
        <f t="shared" si="3"/>
        <v>-231</v>
      </c>
    </row>
    <row r="62" spans="1:79" hidden="1">
      <c r="A62" s="1560" t="s">
        <v>24</v>
      </c>
      <c r="B62" s="1559">
        <v>46</v>
      </c>
      <c r="C62" s="1559">
        <v>6698</v>
      </c>
      <c r="D62" s="1559">
        <f t="shared" si="4"/>
        <v>145.60869565217391</v>
      </c>
      <c r="E62" s="1559">
        <v>173</v>
      </c>
      <c r="F62" s="1559">
        <v>533</v>
      </c>
      <c r="G62" s="1559">
        <f t="shared" si="2"/>
        <v>3080.9248554913293</v>
      </c>
      <c r="H62" s="1559"/>
      <c r="I62" s="1559"/>
      <c r="J62" s="1559"/>
      <c r="CA62" s="1561"/>
    </row>
    <row r="63" spans="1:79" hidden="1">
      <c r="A63" s="1560" t="s">
        <v>25</v>
      </c>
      <c r="B63" s="1559">
        <v>37</v>
      </c>
      <c r="C63" s="1559">
        <v>5416</v>
      </c>
      <c r="D63" s="1559">
        <f t="shared" si="4"/>
        <v>146.37837837837839</v>
      </c>
      <c r="E63" s="1559">
        <v>160</v>
      </c>
      <c r="F63" s="1559">
        <v>469</v>
      </c>
      <c r="G63" s="1559">
        <f t="shared" si="2"/>
        <v>2931.25</v>
      </c>
      <c r="H63" s="1559"/>
      <c r="I63" s="1559"/>
      <c r="J63" s="1559"/>
      <c r="BZ63" s="1541">
        <f>BZ9+BZ47-BZ49+BZ60-BZ61</f>
        <v>0</v>
      </c>
      <c r="CA63" s="1561">
        <f>BV63+BW63+BX63+BZ63</f>
        <v>0</v>
      </c>
    </row>
    <row r="64" spans="1:79" hidden="1">
      <c r="A64" s="1560" t="s">
        <v>26</v>
      </c>
      <c r="B64" s="1559">
        <v>39</v>
      </c>
      <c r="C64" s="1559">
        <v>6662</v>
      </c>
      <c r="D64" s="1559">
        <f t="shared" si="4"/>
        <v>170.82051282051282</v>
      </c>
      <c r="E64" s="1559">
        <v>176</v>
      </c>
      <c r="F64" s="1559">
        <v>519</v>
      </c>
      <c r="G64" s="1559">
        <f t="shared" si="2"/>
        <v>2948.863636363636</v>
      </c>
      <c r="H64" s="1559"/>
      <c r="I64" s="1559"/>
      <c r="J64" s="1559"/>
    </row>
    <row r="65" spans="1:10" hidden="1">
      <c r="A65" s="1560" t="s">
        <v>27</v>
      </c>
      <c r="B65" s="1559">
        <v>40</v>
      </c>
      <c r="C65" s="1559">
        <v>6873</v>
      </c>
      <c r="D65" s="1559">
        <f t="shared" si="4"/>
        <v>171.82499999999999</v>
      </c>
      <c r="E65" s="1559">
        <v>178</v>
      </c>
      <c r="F65" s="1559">
        <v>497</v>
      </c>
      <c r="G65" s="1559">
        <f t="shared" si="2"/>
        <v>2792.1348314606739</v>
      </c>
      <c r="H65" s="1559"/>
      <c r="I65" s="1559"/>
      <c r="J65" s="1559"/>
    </row>
    <row r="66" spans="1:10" hidden="1">
      <c r="A66" s="1560" t="s">
        <v>28</v>
      </c>
      <c r="B66" s="1559">
        <v>36</v>
      </c>
      <c r="C66" s="1559">
        <v>6399</v>
      </c>
      <c r="D66" s="1559">
        <f t="shared" si="4"/>
        <v>177.75</v>
      </c>
      <c r="E66" s="1559">
        <v>172</v>
      </c>
      <c r="F66" s="1559">
        <v>436</v>
      </c>
      <c r="G66" s="1559">
        <f t="shared" si="2"/>
        <v>2534.8837209302328</v>
      </c>
      <c r="H66" s="1559"/>
      <c r="I66" s="1559"/>
      <c r="J66" s="1559"/>
    </row>
    <row r="67" spans="1:10" hidden="1">
      <c r="A67" s="1560" t="s">
        <v>29</v>
      </c>
      <c r="B67" s="1559">
        <v>47</v>
      </c>
      <c r="C67" s="1559">
        <v>10694</v>
      </c>
      <c r="D67" s="1559">
        <f t="shared" si="4"/>
        <v>227.53191489361703</v>
      </c>
      <c r="E67" s="1559">
        <v>269</v>
      </c>
      <c r="F67" s="1559">
        <v>692</v>
      </c>
      <c r="G67" s="1559">
        <f t="shared" si="2"/>
        <v>2572.4907063197024</v>
      </c>
      <c r="H67" s="1559"/>
      <c r="I67" s="1559"/>
      <c r="J67" s="1559"/>
    </row>
    <row r="68" spans="1:10">
      <c r="A68" s="1558" t="s">
        <v>43</v>
      </c>
      <c r="B68" s="1557">
        <f>SUM(B69:B80)</f>
        <v>393</v>
      </c>
      <c r="C68" s="1557">
        <f>SUM(C69:C80)</f>
        <v>72856</v>
      </c>
      <c r="D68" s="1557">
        <f t="shared" si="4"/>
        <v>185.38422391857506</v>
      </c>
      <c r="E68" s="1557">
        <f>SUM(E69:E80)</f>
        <v>6302</v>
      </c>
      <c r="F68" s="1557">
        <f>SUM(F69:F80)</f>
        <v>5455</v>
      </c>
      <c r="G68" s="1557">
        <f t="shared" si="2"/>
        <v>865.59822278641695</v>
      </c>
      <c r="H68" s="1557"/>
      <c r="I68" s="1557"/>
      <c r="J68" s="1557"/>
    </row>
    <row r="69" spans="1:10" hidden="1">
      <c r="A69" s="1550" t="s">
        <v>18</v>
      </c>
      <c r="B69" s="1548">
        <v>27</v>
      </c>
      <c r="C69" s="1548">
        <v>5003</v>
      </c>
      <c r="D69" s="1548">
        <f t="shared" si="4"/>
        <v>185.2962962962963</v>
      </c>
      <c r="E69" s="1548">
        <v>232</v>
      </c>
      <c r="F69" s="1548">
        <v>534</v>
      </c>
      <c r="G69" s="1548">
        <f t="shared" si="2"/>
        <v>2301.7241379310349</v>
      </c>
      <c r="H69" s="1548"/>
      <c r="I69" s="1548"/>
      <c r="J69" s="1548"/>
    </row>
    <row r="70" spans="1:10" hidden="1">
      <c r="A70" s="1550" t="s">
        <v>19</v>
      </c>
      <c r="B70" s="1548">
        <v>30</v>
      </c>
      <c r="C70" s="1548">
        <v>6181</v>
      </c>
      <c r="D70" s="1548">
        <f t="shared" si="4"/>
        <v>206.03333333333333</v>
      </c>
      <c r="E70" s="1548">
        <v>368</v>
      </c>
      <c r="F70" s="1548">
        <v>347</v>
      </c>
      <c r="G70" s="1548">
        <f t="shared" si="2"/>
        <v>942.93478260869563</v>
      </c>
      <c r="H70" s="1548"/>
      <c r="I70" s="1548"/>
      <c r="J70" s="1548"/>
    </row>
    <row r="71" spans="1:10" hidden="1">
      <c r="A71" s="1550" t="s">
        <v>20</v>
      </c>
      <c r="B71" s="1548">
        <v>30</v>
      </c>
      <c r="C71" s="1548">
        <v>6986</v>
      </c>
      <c r="D71" s="1548">
        <f t="shared" si="4"/>
        <v>232.86666666666667</v>
      </c>
      <c r="E71" s="1548">
        <v>423</v>
      </c>
      <c r="F71" s="1548">
        <v>386</v>
      </c>
      <c r="G71" s="1548">
        <f t="shared" si="2"/>
        <v>912.52955082742312</v>
      </c>
      <c r="H71" s="1548"/>
      <c r="I71" s="1548"/>
      <c r="J71" s="1548"/>
    </row>
    <row r="72" spans="1:10" hidden="1">
      <c r="A72" s="1550" t="s">
        <v>21</v>
      </c>
      <c r="B72" s="1548">
        <v>36</v>
      </c>
      <c r="C72" s="1548">
        <v>5197</v>
      </c>
      <c r="D72" s="1548">
        <f t="shared" si="4"/>
        <v>144.36111111111111</v>
      </c>
      <c r="E72" s="1548">
        <v>431</v>
      </c>
      <c r="F72" s="1548">
        <v>439</v>
      </c>
      <c r="G72" s="1548">
        <f t="shared" si="2"/>
        <v>1018.5614849187937</v>
      </c>
      <c r="H72" s="1548"/>
      <c r="I72" s="1548"/>
      <c r="J72" s="1548"/>
    </row>
    <row r="73" spans="1:10" hidden="1">
      <c r="A73" s="1550" t="s">
        <v>22</v>
      </c>
      <c r="B73" s="1548">
        <v>33</v>
      </c>
      <c r="C73" s="1548">
        <v>5963</v>
      </c>
      <c r="D73" s="1548">
        <f t="shared" si="4"/>
        <v>180.69696969696969</v>
      </c>
      <c r="E73" s="1548">
        <v>407</v>
      </c>
      <c r="F73" s="1548">
        <v>375</v>
      </c>
      <c r="G73" s="1548">
        <f t="shared" si="2"/>
        <v>921.37592137592139</v>
      </c>
      <c r="H73" s="1548"/>
      <c r="I73" s="1548"/>
      <c r="J73" s="1548"/>
    </row>
    <row r="74" spans="1:10" hidden="1">
      <c r="A74" s="1550" t="s">
        <v>23</v>
      </c>
      <c r="B74" s="1548">
        <v>34</v>
      </c>
      <c r="C74" s="1548">
        <v>5492</v>
      </c>
      <c r="D74" s="1548">
        <f t="shared" si="4"/>
        <v>161.52941176470588</v>
      </c>
      <c r="E74" s="1548">
        <v>475</v>
      </c>
      <c r="F74" s="1548">
        <v>411</v>
      </c>
      <c r="G74" s="1548">
        <f t="shared" si="2"/>
        <v>865.26315789473688</v>
      </c>
      <c r="H74" s="1548"/>
      <c r="I74" s="1548"/>
      <c r="J74" s="1548"/>
    </row>
    <row r="75" spans="1:10" hidden="1">
      <c r="A75" s="1550" t="s">
        <v>24</v>
      </c>
      <c r="B75" s="1548">
        <v>36</v>
      </c>
      <c r="C75" s="1548">
        <v>6084</v>
      </c>
      <c r="D75" s="1548">
        <f t="shared" si="4"/>
        <v>169</v>
      </c>
      <c r="E75" s="1548">
        <v>557</v>
      </c>
      <c r="F75" s="1548">
        <v>466</v>
      </c>
      <c r="G75" s="1548">
        <f t="shared" si="2"/>
        <v>836.62477558348291</v>
      </c>
      <c r="H75" s="1548"/>
      <c r="I75" s="1548"/>
      <c r="J75" s="1548"/>
    </row>
    <row r="76" spans="1:10" hidden="1">
      <c r="A76" s="1550" t="s">
        <v>25</v>
      </c>
      <c r="B76" s="1548">
        <v>31</v>
      </c>
      <c r="C76" s="1548">
        <v>5910</v>
      </c>
      <c r="D76" s="1548">
        <f t="shared" si="4"/>
        <v>190.64516129032259</v>
      </c>
      <c r="E76" s="1548">
        <v>571</v>
      </c>
      <c r="F76" s="1548">
        <v>416</v>
      </c>
      <c r="G76" s="1548">
        <f t="shared" si="2"/>
        <v>728.54640980735553</v>
      </c>
      <c r="H76" s="1548"/>
      <c r="I76" s="1548"/>
      <c r="J76" s="1548"/>
    </row>
    <row r="77" spans="1:10" hidden="1">
      <c r="A77" s="1550" t="s">
        <v>26</v>
      </c>
      <c r="B77" s="1548">
        <v>31</v>
      </c>
      <c r="C77" s="1548">
        <v>4481</v>
      </c>
      <c r="D77" s="1548">
        <f t="shared" si="4"/>
        <v>144.54838709677421</v>
      </c>
      <c r="E77" s="1548">
        <v>579</v>
      </c>
      <c r="F77" s="1548">
        <v>407</v>
      </c>
      <c r="G77" s="1548">
        <f t="shared" ref="G77:G81" si="5">F77/E77*1000</f>
        <v>702.93609671848014</v>
      </c>
      <c r="H77" s="1548"/>
      <c r="I77" s="1548"/>
      <c r="J77" s="1548"/>
    </row>
    <row r="78" spans="1:10" hidden="1">
      <c r="A78" s="1550" t="s">
        <v>27</v>
      </c>
      <c r="B78" s="1548">
        <v>34</v>
      </c>
      <c r="C78" s="1548">
        <v>5762</v>
      </c>
      <c r="D78" s="1548">
        <f t="shared" si="4"/>
        <v>169.47058823529412</v>
      </c>
      <c r="E78" s="1548">
        <v>698</v>
      </c>
      <c r="F78" s="1548">
        <v>521</v>
      </c>
      <c r="G78" s="1548">
        <f t="shared" si="5"/>
        <v>746.41833810888249</v>
      </c>
      <c r="H78" s="1548"/>
      <c r="I78" s="1548"/>
      <c r="J78" s="1548"/>
    </row>
    <row r="79" spans="1:10" hidden="1">
      <c r="A79" s="1550" t="s">
        <v>28</v>
      </c>
      <c r="B79" s="1548">
        <v>31</v>
      </c>
      <c r="C79" s="1548">
        <v>5049</v>
      </c>
      <c r="D79" s="1548">
        <f t="shared" si="4"/>
        <v>162.87096774193549</v>
      </c>
      <c r="E79" s="1548">
        <v>672</v>
      </c>
      <c r="F79" s="1548">
        <v>467</v>
      </c>
      <c r="G79" s="1548">
        <f t="shared" si="5"/>
        <v>694.94047619047615</v>
      </c>
      <c r="H79" s="1548"/>
      <c r="I79" s="1548"/>
      <c r="J79" s="1548"/>
    </row>
    <row r="80" spans="1:10" hidden="1">
      <c r="A80" s="1550" t="s">
        <v>29</v>
      </c>
      <c r="B80" s="1548">
        <v>40</v>
      </c>
      <c r="C80" s="1548">
        <v>10748</v>
      </c>
      <c r="D80" s="1548">
        <f t="shared" si="4"/>
        <v>268.7</v>
      </c>
      <c r="E80" s="1548">
        <v>889</v>
      </c>
      <c r="F80" s="1548">
        <v>686</v>
      </c>
      <c r="G80" s="1548">
        <f t="shared" si="5"/>
        <v>771.65354330708658</v>
      </c>
      <c r="H80" s="1548"/>
      <c r="I80" s="1548"/>
      <c r="J80" s="1548"/>
    </row>
    <row r="81" spans="1:10">
      <c r="A81" s="1550" t="s">
        <v>48</v>
      </c>
      <c r="B81" s="1553">
        <f>SUM(B82:B93)</f>
        <v>362</v>
      </c>
      <c r="C81" s="1553">
        <f>SUM(C82:C93)</f>
        <v>78425</v>
      </c>
      <c r="D81" s="1553">
        <f t="shared" si="4"/>
        <v>216.64364640883977</v>
      </c>
      <c r="E81" s="1553">
        <f>SUM(E82:E93)</f>
        <v>9786</v>
      </c>
      <c r="F81" s="1553">
        <f>SUM(F82:F93)</f>
        <v>6409</v>
      </c>
      <c r="G81" s="1553">
        <f t="shared" si="5"/>
        <v>654.9151849581034</v>
      </c>
      <c r="H81" s="1553"/>
      <c r="I81" s="1553"/>
      <c r="J81" s="1553"/>
    </row>
    <row r="82" spans="1:10" hidden="1">
      <c r="A82" s="1550" t="s">
        <v>1015</v>
      </c>
      <c r="B82" s="1551">
        <v>24</v>
      </c>
      <c r="C82" s="1551">
        <v>4420</v>
      </c>
      <c r="D82" s="1551">
        <v>184.166666666667</v>
      </c>
      <c r="E82" s="1551">
        <v>618</v>
      </c>
      <c r="F82" s="1551">
        <v>379</v>
      </c>
      <c r="G82" s="1551">
        <v>613.26860841423945</v>
      </c>
      <c r="H82" s="1551"/>
      <c r="I82" s="1551"/>
      <c r="J82" s="1551"/>
    </row>
    <row r="83" spans="1:10" hidden="1">
      <c r="A83" s="1550" t="s">
        <v>296</v>
      </c>
      <c r="B83" s="1551">
        <v>28</v>
      </c>
      <c r="C83" s="1551">
        <v>5520</v>
      </c>
      <c r="D83" s="1551">
        <v>197.14285714285714</v>
      </c>
      <c r="E83" s="1551">
        <v>774</v>
      </c>
      <c r="F83" s="1551">
        <v>395</v>
      </c>
      <c r="G83" s="1551">
        <v>510.33591731266148</v>
      </c>
      <c r="H83" s="1551"/>
      <c r="I83" s="1551"/>
      <c r="J83" s="1551"/>
    </row>
    <row r="84" spans="1:10" hidden="1">
      <c r="A84" s="1550" t="s">
        <v>295</v>
      </c>
      <c r="B84" s="1552">
        <v>29</v>
      </c>
      <c r="C84" s="1551">
        <v>6395</v>
      </c>
      <c r="D84" s="1551">
        <v>220.51724137931035</v>
      </c>
      <c r="E84" s="1551">
        <v>886</v>
      </c>
      <c r="F84" s="1551">
        <v>462</v>
      </c>
      <c r="G84" s="1551">
        <v>521.44469525959369</v>
      </c>
      <c r="H84" s="1551"/>
      <c r="I84" s="1551"/>
      <c r="J84" s="1551"/>
    </row>
    <row r="85" spans="1:10" hidden="1">
      <c r="A85" s="1550" t="s">
        <v>1016</v>
      </c>
      <c r="B85" s="1552">
        <v>34</v>
      </c>
      <c r="C85" s="1551">
        <v>6195</v>
      </c>
      <c r="D85" s="1551">
        <v>182.20588235294119</v>
      </c>
      <c r="E85" s="1551">
        <v>889</v>
      </c>
      <c r="F85" s="1551">
        <v>510</v>
      </c>
      <c r="G85" s="1551">
        <v>573.67829021372324</v>
      </c>
      <c r="H85" s="1551"/>
      <c r="I85" s="1551"/>
      <c r="J85" s="1551"/>
    </row>
    <row r="86" spans="1:10" hidden="1">
      <c r="A86" s="1550" t="s">
        <v>294</v>
      </c>
      <c r="B86" s="1552">
        <v>30</v>
      </c>
      <c r="C86" s="1551">
        <v>6686</v>
      </c>
      <c r="D86" s="1551">
        <v>222.86666666666667</v>
      </c>
      <c r="E86" s="1551">
        <v>891</v>
      </c>
      <c r="F86" s="1551">
        <v>505</v>
      </c>
      <c r="G86" s="1551">
        <v>566.77890011223337</v>
      </c>
      <c r="H86" s="1551"/>
      <c r="I86" s="1551"/>
      <c r="J86" s="1551"/>
    </row>
    <row r="87" spans="1:10" hidden="1">
      <c r="A87" s="1550" t="s">
        <v>1017</v>
      </c>
      <c r="B87" s="1552">
        <v>29</v>
      </c>
      <c r="C87" s="1551">
        <v>5889</v>
      </c>
      <c r="D87" s="1551">
        <v>203.06896551724137</v>
      </c>
      <c r="E87" s="1551">
        <v>889</v>
      </c>
      <c r="F87" s="1551">
        <v>527</v>
      </c>
      <c r="G87" s="1551">
        <v>592.80089988751411</v>
      </c>
      <c r="H87" s="1551"/>
      <c r="I87" s="1551"/>
      <c r="J87" s="1551"/>
    </row>
    <row r="88" spans="1:10" hidden="1">
      <c r="A88" s="1550" t="s">
        <v>292</v>
      </c>
      <c r="B88" s="1552">
        <v>33</v>
      </c>
      <c r="C88" s="1551">
        <v>6782</v>
      </c>
      <c r="D88" s="1551">
        <v>205.5151515151515</v>
      </c>
      <c r="E88" s="1551">
        <v>913</v>
      </c>
      <c r="F88" s="1551">
        <v>630</v>
      </c>
      <c r="G88" s="1551">
        <v>690.03285870755747</v>
      </c>
      <c r="H88" s="1551"/>
      <c r="I88" s="1551"/>
      <c r="J88" s="1551"/>
    </row>
    <row r="89" spans="1:10" hidden="1">
      <c r="A89" s="1550" t="s">
        <v>293</v>
      </c>
      <c r="B89" s="1552">
        <v>30</v>
      </c>
      <c r="C89" s="1551">
        <v>6824</v>
      </c>
      <c r="D89" s="1551">
        <v>227.46666666666667</v>
      </c>
      <c r="E89" s="1551">
        <v>701</v>
      </c>
      <c r="F89" s="1551">
        <v>581</v>
      </c>
      <c r="G89" s="1551">
        <v>828.81597717546367</v>
      </c>
      <c r="H89" s="1551"/>
      <c r="I89" s="1551"/>
      <c r="J89" s="1551"/>
    </row>
    <row r="90" spans="1:10" hidden="1">
      <c r="A90" s="1550" t="s">
        <v>291</v>
      </c>
      <c r="B90" s="1552">
        <v>29</v>
      </c>
      <c r="C90" s="1551">
        <v>5971</v>
      </c>
      <c r="D90" s="1551">
        <v>205.89655172413794</v>
      </c>
      <c r="E90" s="1551">
        <v>681</v>
      </c>
      <c r="F90" s="1551">
        <v>562</v>
      </c>
      <c r="G90" s="1551">
        <v>825.25697503671074</v>
      </c>
      <c r="H90" s="1551"/>
      <c r="I90" s="1551"/>
      <c r="J90" s="1551"/>
    </row>
    <row r="91" spans="1:10" hidden="1">
      <c r="A91" s="1550" t="s">
        <v>27</v>
      </c>
      <c r="B91" s="1552">
        <v>29</v>
      </c>
      <c r="C91" s="1551">
        <v>6420</v>
      </c>
      <c r="D91" s="1551">
        <v>221.37931034482759</v>
      </c>
      <c r="E91" s="1551">
        <v>735</v>
      </c>
      <c r="F91" s="1551">
        <v>552</v>
      </c>
      <c r="G91" s="1551">
        <v>751.0204081632653</v>
      </c>
      <c r="H91" s="1551"/>
      <c r="I91" s="1551"/>
      <c r="J91" s="1551"/>
    </row>
    <row r="92" spans="1:10" hidden="1">
      <c r="A92" s="1550" t="s">
        <v>28</v>
      </c>
      <c r="B92" s="1552">
        <v>29</v>
      </c>
      <c r="C92" s="1551">
        <v>6033</v>
      </c>
      <c r="D92" s="1551">
        <v>208.0344827586207</v>
      </c>
      <c r="E92" s="1551">
        <v>820</v>
      </c>
      <c r="F92" s="1551">
        <v>510</v>
      </c>
      <c r="G92" s="1551">
        <v>621.95121951219517</v>
      </c>
      <c r="H92" s="1551"/>
      <c r="I92" s="1551"/>
      <c r="J92" s="1551"/>
    </row>
    <row r="93" spans="1:10" hidden="1">
      <c r="A93" s="1550" t="s">
        <v>29</v>
      </c>
      <c r="B93" s="1552">
        <v>38</v>
      </c>
      <c r="C93" s="1551">
        <v>11290</v>
      </c>
      <c r="D93" s="1551">
        <v>297.10526315789474</v>
      </c>
      <c r="E93" s="1551">
        <v>989</v>
      </c>
      <c r="F93" s="1551">
        <v>796</v>
      </c>
      <c r="G93" s="1551">
        <v>804.85338725985844</v>
      </c>
      <c r="H93" s="1551"/>
      <c r="I93" s="1551"/>
      <c r="J93" s="1551"/>
    </row>
    <row r="94" spans="1:10">
      <c r="A94" s="1550" t="s">
        <v>1030</v>
      </c>
      <c r="B94" s="1553">
        <f>SUM(B95:B106)</f>
        <v>398</v>
      </c>
      <c r="C94" s="1553">
        <f>SUM(C95:C106)</f>
        <v>99279</v>
      </c>
      <c r="D94" s="1553">
        <f>C94/B94</f>
        <v>249.44472361809045</v>
      </c>
      <c r="E94" s="1553">
        <f>SUM(E95:E106)</f>
        <v>19163</v>
      </c>
      <c r="F94" s="1553">
        <f>SUM(F95:F106)</f>
        <v>8569</v>
      </c>
      <c r="G94" s="1553">
        <f>F94/E94*1000</f>
        <v>447.16380524969998</v>
      </c>
      <c r="H94" s="1553"/>
      <c r="I94" s="1553"/>
      <c r="J94" s="1553"/>
    </row>
    <row r="95" spans="1:10" hidden="1">
      <c r="A95" s="1550" t="s">
        <v>18</v>
      </c>
      <c r="B95" s="1552">
        <v>20</v>
      </c>
      <c r="C95" s="1551">
        <v>5459</v>
      </c>
      <c r="D95" s="1551">
        <v>272.95</v>
      </c>
      <c r="E95" s="1551">
        <v>852</v>
      </c>
      <c r="F95" s="1551">
        <v>430</v>
      </c>
      <c r="G95" s="1551">
        <v>504.69483568075111</v>
      </c>
      <c r="H95" s="1551"/>
      <c r="I95" s="1551"/>
      <c r="J95" s="1551"/>
    </row>
    <row r="96" spans="1:10" hidden="1">
      <c r="A96" s="1550" t="s">
        <v>19</v>
      </c>
      <c r="B96" s="1552">
        <v>25</v>
      </c>
      <c r="C96" s="1551">
        <v>6742</v>
      </c>
      <c r="D96" s="1551">
        <v>269.68</v>
      </c>
      <c r="E96" s="1551">
        <v>919</v>
      </c>
      <c r="F96" s="1551">
        <v>461</v>
      </c>
      <c r="G96" s="1551">
        <v>501.63220892274205</v>
      </c>
      <c r="H96" s="1551"/>
      <c r="I96" s="1551"/>
      <c r="J96" s="1551"/>
    </row>
    <row r="97" spans="1:10" hidden="1">
      <c r="A97" s="1550" t="s">
        <v>20</v>
      </c>
      <c r="B97" s="1552">
        <v>27</v>
      </c>
      <c r="C97" s="1551">
        <v>7966</v>
      </c>
      <c r="D97" s="1551">
        <v>295.03703703703701</v>
      </c>
      <c r="E97" s="1551">
        <v>1082</v>
      </c>
      <c r="F97" s="1551">
        <v>540</v>
      </c>
      <c r="G97" s="1551">
        <v>499.07578558225509</v>
      </c>
      <c r="H97" s="1551"/>
      <c r="I97" s="1551"/>
      <c r="J97" s="1551"/>
    </row>
    <row r="98" spans="1:10" hidden="1">
      <c r="A98" s="1550" t="s">
        <v>21</v>
      </c>
      <c r="B98" s="1552">
        <v>32</v>
      </c>
      <c r="C98" s="1551">
        <v>6498</v>
      </c>
      <c r="D98" s="1551">
        <v>203.0625</v>
      </c>
      <c r="E98" s="1551">
        <v>1297</v>
      </c>
      <c r="F98" s="1551">
        <v>530</v>
      </c>
      <c r="G98" s="1551">
        <v>408.63531225905933</v>
      </c>
      <c r="H98" s="1551"/>
      <c r="I98" s="1551"/>
      <c r="J98" s="1551"/>
    </row>
    <row r="99" spans="1:10" hidden="1">
      <c r="A99" s="1550" t="s">
        <v>22</v>
      </c>
      <c r="B99" s="1552">
        <v>33</v>
      </c>
      <c r="C99" s="1551">
        <v>7638</v>
      </c>
      <c r="D99" s="1551">
        <v>231.45454545454547</v>
      </c>
      <c r="E99" s="1551">
        <v>1757</v>
      </c>
      <c r="F99" s="1551">
        <v>603</v>
      </c>
      <c r="G99" s="1551">
        <v>343.19863403528745</v>
      </c>
      <c r="H99" s="1551"/>
      <c r="I99" s="1551"/>
      <c r="J99" s="1551"/>
    </row>
    <row r="100" spans="1:10" hidden="1">
      <c r="A100" s="1550" t="s">
        <v>23</v>
      </c>
      <c r="B100" s="1552">
        <v>33</v>
      </c>
      <c r="C100" s="1551">
        <v>7341</v>
      </c>
      <c r="D100" s="1551">
        <v>222.45454545454547</v>
      </c>
      <c r="E100" s="1551">
        <v>1660</v>
      </c>
      <c r="F100" s="1551">
        <v>607</v>
      </c>
      <c r="G100" s="1551">
        <v>365.66265060240966</v>
      </c>
      <c r="H100" s="1551"/>
      <c r="I100" s="1551"/>
      <c r="J100" s="1551"/>
    </row>
    <row r="101" spans="1:10" hidden="1">
      <c r="A101" s="1550" t="s">
        <v>24</v>
      </c>
      <c r="B101" s="1552">
        <v>34</v>
      </c>
      <c r="C101" s="1551">
        <v>8048</v>
      </c>
      <c r="D101" s="1551">
        <v>236.70588235294119</v>
      </c>
      <c r="E101" s="1551">
        <v>1740</v>
      </c>
      <c r="F101" s="1551">
        <v>861</v>
      </c>
      <c r="G101" s="1551">
        <v>494.82758620689657</v>
      </c>
      <c r="H101" s="1551"/>
      <c r="I101" s="1551"/>
      <c r="J101" s="1551"/>
    </row>
    <row r="102" spans="1:10" hidden="1">
      <c r="A102" s="1550" t="s">
        <v>25</v>
      </c>
      <c r="B102" s="1552">
        <v>32</v>
      </c>
      <c r="C102" s="1551">
        <v>8162</v>
      </c>
      <c r="D102" s="1551">
        <v>255.0625</v>
      </c>
      <c r="E102" s="1551">
        <v>1842</v>
      </c>
      <c r="F102" s="1551">
        <v>831</v>
      </c>
      <c r="G102" s="1551">
        <v>451.14006514657979</v>
      </c>
      <c r="H102" s="1551"/>
      <c r="I102" s="1551"/>
      <c r="J102" s="1551"/>
    </row>
    <row r="103" spans="1:10" hidden="1">
      <c r="A103" s="1550" t="s">
        <v>26</v>
      </c>
      <c r="B103" s="1552">
        <v>35</v>
      </c>
      <c r="C103" s="1551">
        <v>9155</v>
      </c>
      <c r="D103" s="1551">
        <v>261.57142857142856</v>
      </c>
      <c r="E103" s="1551">
        <v>1973</v>
      </c>
      <c r="F103" s="1551">
        <v>899</v>
      </c>
      <c r="G103" s="1551">
        <v>455.65129244804865</v>
      </c>
      <c r="H103" s="1551"/>
      <c r="I103" s="1551"/>
      <c r="J103" s="1551"/>
    </row>
    <row r="104" spans="1:10" hidden="1">
      <c r="A104" s="1550" t="s">
        <v>27</v>
      </c>
      <c r="B104" s="1552">
        <v>36</v>
      </c>
      <c r="C104" s="1551">
        <v>7297</v>
      </c>
      <c r="D104" s="1551">
        <v>202.69444444444446</v>
      </c>
      <c r="E104" s="1551">
        <v>1838</v>
      </c>
      <c r="F104" s="1551">
        <v>857</v>
      </c>
      <c r="G104" s="1551">
        <v>466.26768226332973</v>
      </c>
      <c r="H104" s="1551"/>
      <c r="I104" s="1551"/>
      <c r="J104" s="1551"/>
    </row>
    <row r="105" spans="1:10" hidden="1">
      <c r="A105" s="1550" t="s">
        <v>28</v>
      </c>
      <c r="B105" s="1552">
        <v>37</v>
      </c>
      <c r="C105" s="1551">
        <v>7906</v>
      </c>
      <c r="D105" s="1551">
        <v>213.67567567567568</v>
      </c>
      <c r="E105" s="1551">
        <v>1957</v>
      </c>
      <c r="F105" s="1551">
        <v>835</v>
      </c>
      <c r="G105" s="1551">
        <v>426.67347981604496</v>
      </c>
      <c r="H105" s="1551"/>
      <c r="I105" s="1551"/>
      <c r="J105" s="1551"/>
    </row>
    <row r="106" spans="1:10" hidden="1">
      <c r="A106" s="1550" t="s">
        <v>29</v>
      </c>
      <c r="B106" s="1552">
        <v>54</v>
      </c>
      <c r="C106" s="1551">
        <v>17067</v>
      </c>
      <c r="D106" s="1551">
        <v>316.05555555555554</v>
      </c>
      <c r="E106" s="1551">
        <v>2246</v>
      </c>
      <c r="F106" s="1551">
        <v>1115</v>
      </c>
      <c r="G106" s="1551">
        <v>496.43811219946571</v>
      </c>
      <c r="H106" s="1551"/>
      <c r="I106" s="1551"/>
      <c r="J106" s="1551"/>
    </row>
    <row r="107" spans="1:10">
      <c r="A107" s="1550" t="s">
        <v>1301</v>
      </c>
      <c r="B107" s="1553">
        <f>SUM(B108:B119)</f>
        <v>495</v>
      </c>
      <c r="C107" s="1553">
        <f>SUM(C108:C119)</f>
        <v>106985</v>
      </c>
      <c r="D107" s="1553">
        <f>C107/B107</f>
        <v>216.13131313131314</v>
      </c>
      <c r="E107" s="1553">
        <f>SUM(E108:E119)</f>
        <v>25631</v>
      </c>
      <c r="F107" s="1553">
        <f>SUM(F108:F119)</f>
        <v>11846</v>
      </c>
      <c r="G107" s="1553">
        <f>F107/E107*1000</f>
        <v>462.17471031173193</v>
      </c>
      <c r="H107" s="1553"/>
      <c r="I107" s="1553"/>
      <c r="J107" s="1553"/>
    </row>
    <row r="108" spans="1:10" hidden="1">
      <c r="A108" s="1550" t="s">
        <v>18</v>
      </c>
      <c r="B108" s="1549">
        <v>23</v>
      </c>
      <c r="C108" s="1548">
        <v>7292</v>
      </c>
      <c r="D108" s="1548">
        <v>317.04347826086956</v>
      </c>
      <c r="E108" s="1548">
        <v>2033</v>
      </c>
      <c r="F108" s="1548">
        <v>747</v>
      </c>
      <c r="G108" s="1548">
        <v>367.43728480078704</v>
      </c>
      <c r="H108" s="1548"/>
      <c r="I108" s="1548"/>
      <c r="J108" s="1548"/>
    </row>
    <row r="109" spans="1:10" hidden="1">
      <c r="A109" s="1550" t="s">
        <v>19</v>
      </c>
      <c r="B109" s="1549">
        <v>31</v>
      </c>
      <c r="C109" s="1548">
        <v>7836</v>
      </c>
      <c r="D109" s="1548">
        <v>252.7741935483871</v>
      </c>
      <c r="E109" s="1548">
        <v>2082</v>
      </c>
      <c r="F109" s="1548">
        <v>669</v>
      </c>
      <c r="G109" s="1548">
        <v>321.32564841498555</v>
      </c>
      <c r="H109" s="1548"/>
      <c r="I109" s="1548"/>
      <c r="J109" s="1548"/>
    </row>
    <row r="110" spans="1:10" hidden="1">
      <c r="A110" s="1550" t="s">
        <v>20</v>
      </c>
      <c r="B110" s="1549">
        <v>34</v>
      </c>
      <c r="C110" s="1548">
        <v>8378</v>
      </c>
      <c r="D110" s="1548">
        <v>246.41176470588235</v>
      </c>
      <c r="E110" s="1548">
        <v>1995</v>
      </c>
      <c r="F110" s="1548">
        <v>785</v>
      </c>
      <c r="G110" s="1548">
        <v>393.48370927318291</v>
      </c>
      <c r="H110" s="1548"/>
      <c r="I110" s="1548"/>
      <c r="J110" s="1548"/>
    </row>
    <row r="111" spans="1:10" hidden="1">
      <c r="A111" s="1550" t="s">
        <v>21</v>
      </c>
      <c r="B111" s="1549">
        <v>41</v>
      </c>
      <c r="C111" s="1548">
        <v>8739</v>
      </c>
      <c r="D111" s="1548">
        <v>213.14634146341464</v>
      </c>
      <c r="E111" s="1548">
        <v>1955</v>
      </c>
      <c r="F111" s="1548">
        <v>873</v>
      </c>
      <c r="G111" s="1548">
        <v>446.54731457800511</v>
      </c>
      <c r="H111" s="1548"/>
      <c r="I111" s="1548"/>
      <c r="J111" s="1548"/>
    </row>
    <row r="112" spans="1:10" hidden="1">
      <c r="A112" s="1550" t="s">
        <v>22</v>
      </c>
      <c r="B112" s="1549">
        <v>46</v>
      </c>
      <c r="C112" s="1548">
        <v>9024</v>
      </c>
      <c r="D112" s="1548">
        <v>196.17391304347825</v>
      </c>
      <c r="E112" s="1548">
        <v>2093</v>
      </c>
      <c r="F112" s="1548">
        <v>871</v>
      </c>
      <c r="G112" s="1548">
        <v>416.14906832298135</v>
      </c>
      <c r="H112" s="1548"/>
      <c r="I112" s="1548"/>
      <c r="J112" s="1548"/>
    </row>
    <row r="113" spans="1:10" hidden="1">
      <c r="A113" s="1550" t="s">
        <v>23</v>
      </c>
      <c r="B113" s="1549">
        <v>42</v>
      </c>
      <c r="C113" s="1548">
        <v>9208</v>
      </c>
      <c r="D113" s="1548">
        <v>219.23809523809524</v>
      </c>
      <c r="E113" s="1548">
        <v>1834</v>
      </c>
      <c r="F113" s="1548">
        <v>959</v>
      </c>
      <c r="G113" s="1548">
        <v>522.9007633587787</v>
      </c>
      <c r="H113" s="1548"/>
      <c r="I113" s="1548"/>
      <c r="J113" s="1548"/>
    </row>
    <row r="114" spans="1:10" hidden="1">
      <c r="A114" s="1550" t="s">
        <v>24</v>
      </c>
      <c r="B114" s="1549">
        <v>46</v>
      </c>
      <c r="C114" s="1548">
        <v>8856</v>
      </c>
      <c r="D114" s="1548">
        <v>192.52173913043478</v>
      </c>
      <c r="E114" s="1548">
        <v>2780</v>
      </c>
      <c r="F114" s="1548">
        <v>1044</v>
      </c>
      <c r="G114" s="1548">
        <v>375.53956834532374</v>
      </c>
      <c r="H114" s="1548"/>
      <c r="I114" s="1548"/>
      <c r="J114" s="1548"/>
    </row>
    <row r="115" spans="1:10" hidden="1">
      <c r="A115" s="1550" t="s">
        <v>25</v>
      </c>
      <c r="B115" s="1549">
        <v>41</v>
      </c>
      <c r="C115" s="1548">
        <v>8157</v>
      </c>
      <c r="D115" s="1548">
        <v>198.95121951219511</v>
      </c>
      <c r="E115" s="1548">
        <v>2098</v>
      </c>
      <c r="F115" s="1548">
        <v>1023</v>
      </c>
      <c r="G115" s="1548">
        <v>487.60724499523354</v>
      </c>
      <c r="H115" s="1548"/>
      <c r="I115" s="1548"/>
      <c r="J115" s="1548"/>
    </row>
    <row r="116" spans="1:10" hidden="1">
      <c r="A116" s="1550" t="s">
        <v>26</v>
      </c>
      <c r="B116" s="1549">
        <v>39</v>
      </c>
      <c r="C116" s="1548">
        <v>8996</v>
      </c>
      <c r="D116" s="1548">
        <v>230.66666666666666</v>
      </c>
      <c r="E116" s="1548">
        <v>1794</v>
      </c>
      <c r="F116" s="1548">
        <v>1046</v>
      </c>
      <c r="G116" s="1548">
        <v>583.05462653288737</v>
      </c>
      <c r="H116" s="1548"/>
      <c r="I116" s="1548"/>
      <c r="J116" s="1548"/>
    </row>
    <row r="117" spans="1:10" hidden="1">
      <c r="A117" s="1550" t="s">
        <v>27</v>
      </c>
      <c r="B117" s="1549">
        <v>43</v>
      </c>
      <c r="C117" s="1548">
        <v>8706</v>
      </c>
      <c r="D117" s="1548">
        <v>202.46511627906978</v>
      </c>
      <c r="E117" s="1548">
        <v>2301</v>
      </c>
      <c r="F117" s="1548">
        <v>1155</v>
      </c>
      <c r="G117" s="1548">
        <v>501.95567144719689</v>
      </c>
      <c r="H117" s="1548"/>
      <c r="I117" s="1548"/>
      <c r="J117" s="1548"/>
    </row>
    <row r="118" spans="1:10" hidden="1">
      <c r="A118" s="1550" t="s">
        <v>28</v>
      </c>
      <c r="B118" s="1549">
        <v>46</v>
      </c>
      <c r="C118" s="1548">
        <v>9264</v>
      </c>
      <c r="D118" s="1548">
        <v>201.39130434782609</v>
      </c>
      <c r="E118" s="1548">
        <v>2218</v>
      </c>
      <c r="F118" s="1548">
        <v>1144</v>
      </c>
      <c r="G118" s="1548">
        <v>515.77998196573492</v>
      </c>
      <c r="H118" s="1548"/>
      <c r="I118" s="1548"/>
      <c r="J118" s="1548"/>
    </row>
    <row r="119" spans="1:10" hidden="1">
      <c r="A119" s="1550" t="s">
        <v>29</v>
      </c>
      <c r="B119" s="1549">
        <v>63</v>
      </c>
      <c r="C119" s="1548">
        <v>12529</v>
      </c>
      <c r="D119" s="1548">
        <v>198.87301587301587</v>
      </c>
      <c r="E119" s="1548">
        <v>2448</v>
      </c>
      <c r="F119" s="1548">
        <v>1530</v>
      </c>
      <c r="G119" s="1548">
        <v>625</v>
      </c>
      <c r="H119" s="1548"/>
      <c r="I119" s="1548"/>
      <c r="J119" s="1548"/>
    </row>
    <row r="120" spans="1:10">
      <c r="A120" s="1550">
        <v>2013</v>
      </c>
      <c r="B120" s="1553">
        <f>SUM(B121:B132)</f>
        <v>522</v>
      </c>
      <c r="C120" s="1553">
        <f>SUM(C121:C132)</f>
        <v>113189</v>
      </c>
      <c r="D120" s="1553">
        <f>C120/B120</f>
        <v>216.83716475095787</v>
      </c>
      <c r="E120" s="1553">
        <f>SUM(E121:E132)</f>
        <v>26735</v>
      </c>
      <c r="F120" s="1553">
        <f>SUM(F121:F132)</f>
        <v>14973</v>
      </c>
      <c r="G120" s="1553">
        <f>F120/E120*1000</f>
        <v>560.05236581260522</v>
      </c>
      <c r="H120" s="1553"/>
      <c r="I120" s="1553"/>
      <c r="J120" s="1553"/>
    </row>
    <row r="121" spans="1:10" hidden="1">
      <c r="A121" s="1550">
        <v>1</v>
      </c>
      <c r="B121" s="1549">
        <v>24</v>
      </c>
      <c r="C121" s="1548">
        <v>7594</v>
      </c>
      <c r="D121" s="775">
        <v>316.41666666666669</v>
      </c>
      <c r="E121" s="1548">
        <v>2169</v>
      </c>
      <c r="F121" s="1548">
        <v>922</v>
      </c>
      <c r="G121" s="1548">
        <v>425.0806823420931</v>
      </c>
      <c r="H121" s="1548"/>
      <c r="I121" s="1548"/>
      <c r="J121" s="1548"/>
    </row>
    <row r="122" spans="1:10" hidden="1">
      <c r="A122" s="1550">
        <v>2</v>
      </c>
      <c r="B122" s="1549">
        <v>40</v>
      </c>
      <c r="C122" s="1548">
        <v>10197</v>
      </c>
      <c r="D122" s="775">
        <v>254.92500000000001</v>
      </c>
      <c r="E122" s="1548">
        <v>2204</v>
      </c>
      <c r="F122" s="1548">
        <v>1074</v>
      </c>
      <c r="G122" s="1548">
        <v>487.29582577132487</v>
      </c>
      <c r="H122" s="1548"/>
      <c r="I122" s="1548"/>
      <c r="J122" s="1548"/>
    </row>
    <row r="123" spans="1:10" hidden="1">
      <c r="A123" s="1550">
        <v>3</v>
      </c>
      <c r="B123" s="1549">
        <v>39</v>
      </c>
      <c r="C123" s="1548">
        <v>8747</v>
      </c>
      <c r="D123" s="1548">
        <v>224.28205128205127</v>
      </c>
      <c r="E123" s="1548">
        <v>1989</v>
      </c>
      <c r="F123" s="1548">
        <v>1113</v>
      </c>
      <c r="G123" s="1548">
        <v>559.57767722473602</v>
      </c>
      <c r="H123" s="1548"/>
      <c r="I123" s="1548"/>
      <c r="J123" s="1548"/>
    </row>
    <row r="124" spans="1:10" hidden="1">
      <c r="A124" s="1550">
        <v>4</v>
      </c>
      <c r="B124" s="1549">
        <v>45</v>
      </c>
      <c r="C124" s="1548">
        <v>9423</v>
      </c>
      <c r="D124" s="1548">
        <v>209.4</v>
      </c>
      <c r="E124" s="1548">
        <v>2402</v>
      </c>
      <c r="F124" s="1548">
        <v>1338</v>
      </c>
      <c r="G124" s="1548">
        <v>557.03580349708579</v>
      </c>
      <c r="H124" s="1548"/>
      <c r="I124" s="1548"/>
      <c r="J124" s="1548"/>
    </row>
    <row r="125" spans="1:10" hidden="1">
      <c r="A125" s="1550">
        <v>5</v>
      </c>
      <c r="B125" s="1549">
        <v>45</v>
      </c>
      <c r="C125" s="1548">
        <v>9344</v>
      </c>
      <c r="D125" s="1548">
        <v>207.64444444444445</v>
      </c>
      <c r="E125" s="1548">
        <v>2214</v>
      </c>
      <c r="F125" s="1548">
        <v>1216</v>
      </c>
      <c r="G125" s="1548">
        <v>549.23215898825651</v>
      </c>
      <c r="H125" s="1548"/>
      <c r="I125" s="1548"/>
      <c r="J125" s="1548"/>
    </row>
    <row r="126" spans="1:10" hidden="1">
      <c r="A126" s="1550">
        <v>6</v>
      </c>
      <c r="B126" s="1549">
        <v>40</v>
      </c>
      <c r="C126" s="1548">
        <v>8423</v>
      </c>
      <c r="D126" s="1548">
        <v>210.57499999999999</v>
      </c>
      <c r="E126" s="1548">
        <v>1839</v>
      </c>
      <c r="F126" s="1548">
        <v>1168</v>
      </c>
      <c r="G126" s="1548">
        <v>635.12778684067428</v>
      </c>
      <c r="H126" s="1548"/>
      <c r="I126" s="1548"/>
      <c r="J126" s="1548"/>
    </row>
    <row r="127" spans="1:10" hidden="1">
      <c r="A127" s="1550">
        <v>7</v>
      </c>
      <c r="B127" s="1549">
        <v>49</v>
      </c>
      <c r="C127" s="1548">
        <v>10457</v>
      </c>
      <c r="D127" s="1548">
        <v>213.40816326530611</v>
      </c>
      <c r="E127" s="1548">
        <v>2475</v>
      </c>
      <c r="F127" s="1548">
        <v>1397</v>
      </c>
      <c r="G127" s="1548">
        <v>564.44444444444446</v>
      </c>
      <c r="H127" s="1548"/>
      <c r="I127" s="1548"/>
      <c r="J127" s="1548"/>
    </row>
    <row r="128" spans="1:10" hidden="1">
      <c r="A128" s="1550">
        <v>8</v>
      </c>
      <c r="B128" s="1549">
        <v>41</v>
      </c>
      <c r="C128" s="1548">
        <v>9799</v>
      </c>
      <c r="D128" s="1548">
        <v>239</v>
      </c>
      <c r="E128" s="1548">
        <v>2017</v>
      </c>
      <c r="F128" s="1548">
        <v>1194</v>
      </c>
      <c r="G128" s="1548">
        <v>591.96826970748634</v>
      </c>
      <c r="H128" s="1548"/>
      <c r="I128" s="1548"/>
      <c r="J128" s="1548"/>
    </row>
    <row r="129" spans="1:10" hidden="1">
      <c r="A129" s="1550">
        <v>9</v>
      </c>
      <c r="B129" s="1549">
        <v>42</v>
      </c>
      <c r="C129" s="1548">
        <v>9316</v>
      </c>
      <c r="D129" s="1548">
        <v>221.8095238095238</v>
      </c>
      <c r="E129" s="1548">
        <v>2130</v>
      </c>
      <c r="F129" s="1548">
        <v>1204</v>
      </c>
      <c r="G129" s="1548">
        <v>565.25821596244134</v>
      </c>
      <c r="H129" s="1548"/>
      <c r="I129" s="1548"/>
      <c r="J129" s="1548"/>
    </row>
    <row r="130" spans="1:10" hidden="1">
      <c r="A130" s="1550">
        <v>10</v>
      </c>
      <c r="B130" s="1549">
        <v>46</v>
      </c>
      <c r="C130" s="1548">
        <v>9044</v>
      </c>
      <c r="D130" s="1548">
        <v>196.60869565217391</v>
      </c>
      <c r="E130" s="1548">
        <v>2313</v>
      </c>
      <c r="F130" s="1548">
        <v>1278</v>
      </c>
      <c r="G130" s="1548">
        <v>552.52918287937746</v>
      </c>
      <c r="H130" s="1548"/>
      <c r="I130" s="1548"/>
      <c r="J130" s="1548"/>
    </row>
    <row r="131" spans="1:10" hidden="1">
      <c r="A131" s="1550">
        <v>11</v>
      </c>
      <c r="B131" s="1549">
        <v>45</v>
      </c>
      <c r="C131" s="1548">
        <v>8548</v>
      </c>
      <c r="D131" s="1548">
        <v>189.95555555555555</v>
      </c>
      <c r="E131" s="1548">
        <v>2268</v>
      </c>
      <c r="F131" s="1548">
        <v>1456</v>
      </c>
      <c r="G131" s="1548">
        <v>641.97530864197529</v>
      </c>
      <c r="H131" s="1548"/>
      <c r="I131" s="1548"/>
      <c r="J131" s="1548"/>
    </row>
    <row r="132" spans="1:10" hidden="1">
      <c r="A132" s="1550">
        <v>12</v>
      </c>
      <c r="B132" s="1549">
        <v>66</v>
      </c>
      <c r="C132" s="1548">
        <v>12297</v>
      </c>
      <c r="D132" s="1548">
        <v>186.31818181818181</v>
      </c>
      <c r="E132" s="1548">
        <v>2715</v>
      </c>
      <c r="F132" s="1548">
        <v>1613</v>
      </c>
      <c r="G132" s="1548">
        <v>594.10681399631676</v>
      </c>
      <c r="H132" s="1548"/>
      <c r="I132" s="1548"/>
      <c r="J132" s="1548"/>
    </row>
    <row r="133" spans="1:10">
      <c r="A133" s="1550">
        <v>2014</v>
      </c>
      <c r="B133" s="1553">
        <f>SUM(B134:B145)</f>
        <v>515</v>
      </c>
      <c r="C133" s="1553">
        <f>SUM(C134:C145)</f>
        <v>104281</v>
      </c>
      <c r="D133" s="1553">
        <f>C133/B133</f>
        <v>202.48737864077671</v>
      </c>
      <c r="E133" s="1553">
        <f>SUM(E134:E145)</f>
        <v>28270</v>
      </c>
      <c r="F133" s="1553">
        <f>SUM(F134:F145)</f>
        <v>15076</v>
      </c>
      <c r="G133" s="1553">
        <f>F133/E133*1000</f>
        <v>533.28616908383447</v>
      </c>
      <c r="H133" s="1553"/>
      <c r="I133" s="1553"/>
      <c r="J133" s="1553"/>
    </row>
    <row r="134" spans="1:10" hidden="1">
      <c r="A134" s="1550">
        <v>1</v>
      </c>
      <c r="B134" s="1549">
        <v>25</v>
      </c>
      <c r="C134" s="1548">
        <v>7650</v>
      </c>
      <c r="D134" s="1548">
        <v>306</v>
      </c>
      <c r="E134" s="1548">
        <v>2258</v>
      </c>
      <c r="F134" s="1548">
        <v>1053</v>
      </c>
      <c r="G134" s="1548">
        <v>466.34189548272809</v>
      </c>
      <c r="H134" s="1548"/>
      <c r="I134" s="1548"/>
      <c r="J134" s="1548"/>
    </row>
    <row r="135" spans="1:10" hidden="1">
      <c r="A135" s="1550">
        <v>2</v>
      </c>
      <c r="B135" s="1549">
        <v>41</v>
      </c>
      <c r="C135" s="1548">
        <v>9022</v>
      </c>
      <c r="D135" s="1548">
        <v>220.04878048780489</v>
      </c>
      <c r="E135" s="1548">
        <v>2253</v>
      </c>
      <c r="F135" s="1548">
        <v>1128</v>
      </c>
      <c r="G135" s="1548">
        <v>500.66577896138489</v>
      </c>
      <c r="H135" s="1548"/>
      <c r="I135" s="1548"/>
      <c r="J135" s="1548"/>
    </row>
    <row r="136" spans="1:10" hidden="1">
      <c r="A136" s="1550">
        <v>3</v>
      </c>
      <c r="B136" s="1549">
        <v>39</v>
      </c>
      <c r="C136" s="1548">
        <v>8398</v>
      </c>
      <c r="D136" s="1548">
        <v>215.33333333333334</v>
      </c>
      <c r="E136" s="1548">
        <v>2168</v>
      </c>
      <c r="F136" s="1548">
        <v>1191</v>
      </c>
      <c r="G136" s="1548">
        <v>549.35424354243548</v>
      </c>
      <c r="H136" s="1548"/>
      <c r="I136" s="1548"/>
      <c r="J136" s="1548"/>
    </row>
    <row r="137" spans="1:10" hidden="1">
      <c r="A137" s="1550">
        <v>4</v>
      </c>
      <c r="B137" s="1549">
        <v>45</v>
      </c>
      <c r="C137" s="1548">
        <v>8887</v>
      </c>
      <c r="D137" s="1548">
        <v>197.48888888888888</v>
      </c>
      <c r="E137" s="1548">
        <v>2452</v>
      </c>
      <c r="F137" s="1548">
        <v>1351</v>
      </c>
      <c r="G137" s="1548">
        <v>550.97879282218594</v>
      </c>
      <c r="H137" s="1548"/>
      <c r="I137" s="1548"/>
      <c r="J137" s="1548"/>
    </row>
    <row r="138" spans="1:10" hidden="1">
      <c r="A138" s="1550">
        <v>5</v>
      </c>
      <c r="B138" s="1549">
        <v>44</v>
      </c>
      <c r="C138" s="1548">
        <v>8287</v>
      </c>
      <c r="D138" s="1548">
        <v>188.34090909090909</v>
      </c>
      <c r="E138" s="1548">
        <v>2300</v>
      </c>
      <c r="F138" s="1548">
        <v>1207</v>
      </c>
      <c r="G138" s="1548">
        <v>524.78260869565224</v>
      </c>
      <c r="H138" s="1548"/>
      <c r="I138" s="1548"/>
      <c r="J138" s="1548"/>
    </row>
    <row r="139" spans="1:10" hidden="1">
      <c r="A139" s="1550">
        <v>6</v>
      </c>
      <c r="B139" s="1549">
        <v>42</v>
      </c>
      <c r="C139" s="1548">
        <v>10445</v>
      </c>
      <c r="D139" s="1548">
        <v>248.6904761904762</v>
      </c>
      <c r="E139" s="1548">
        <v>2226</v>
      </c>
      <c r="F139" s="1548">
        <v>1228</v>
      </c>
      <c r="G139" s="1548">
        <v>551.66217430368374</v>
      </c>
      <c r="H139" s="1548"/>
      <c r="I139" s="1548"/>
      <c r="J139" s="1548"/>
    </row>
    <row r="140" spans="1:10" hidden="1">
      <c r="A140" s="1550">
        <v>7</v>
      </c>
      <c r="B140" s="1549">
        <v>47</v>
      </c>
      <c r="C140" s="1548">
        <v>8580</v>
      </c>
      <c r="D140" s="1548">
        <v>182.55319148936169</v>
      </c>
      <c r="E140" s="1548">
        <v>2471</v>
      </c>
      <c r="F140" s="1548">
        <v>1344</v>
      </c>
      <c r="G140" s="1548">
        <v>543.90934844192645</v>
      </c>
      <c r="H140" s="1548"/>
      <c r="I140" s="1548"/>
      <c r="J140" s="1548"/>
    </row>
    <row r="141" spans="1:10" hidden="1">
      <c r="A141" s="1550">
        <v>8</v>
      </c>
      <c r="B141" s="1549">
        <v>40</v>
      </c>
      <c r="C141" s="1548">
        <v>7726</v>
      </c>
      <c r="D141" s="1548">
        <v>193.15</v>
      </c>
      <c r="E141" s="1548">
        <v>2261</v>
      </c>
      <c r="F141" s="1548">
        <v>1168</v>
      </c>
      <c r="G141" s="1548">
        <v>516.58558160106145</v>
      </c>
      <c r="H141" s="1548"/>
      <c r="I141" s="1548"/>
      <c r="J141" s="1548"/>
    </row>
    <row r="142" spans="1:10" hidden="1">
      <c r="A142" s="1550">
        <v>9</v>
      </c>
      <c r="B142" s="1549">
        <v>44</v>
      </c>
      <c r="C142" s="1548">
        <v>7739</v>
      </c>
      <c r="D142" s="1548">
        <v>175.88636363636363</v>
      </c>
      <c r="E142" s="1548">
        <v>2415</v>
      </c>
      <c r="F142" s="1548">
        <v>1220</v>
      </c>
      <c r="G142" s="1548">
        <v>505.17598343685302</v>
      </c>
      <c r="H142" s="1548"/>
      <c r="I142" s="1548"/>
      <c r="J142" s="1548"/>
    </row>
    <row r="143" spans="1:10" hidden="1">
      <c r="A143" s="1550">
        <v>10</v>
      </c>
      <c r="B143" s="1549">
        <v>44</v>
      </c>
      <c r="C143" s="1548">
        <v>8123</v>
      </c>
      <c r="D143" s="1548">
        <v>184.61363636363637</v>
      </c>
      <c r="E143" s="1548">
        <v>2444</v>
      </c>
      <c r="F143" s="1548">
        <v>1325</v>
      </c>
      <c r="G143" s="1548">
        <v>542.14402618657937</v>
      </c>
      <c r="H143" s="1548"/>
      <c r="I143" s="1548"/>
      <c r="J143" s="1548"/>
    </row>
    <row r="144" spans="1:10" hidden="1">
      <c r="A144" s="1550">
        <v>11</v>
      </c>
      <c r="B144" s="1549">
        <v>42</v>
      </c>
      <c r="C144" s="1548">
        <v>8254</v>
      </c>
      <c r="D144" s="1548">
        <v>196.52380952380952</v>
      </c>
      <c r="E144" s="1548">
        <v>2242</v>
      </c>
      <c r="F144" s="1548">
        <v>1268</v>
      </c>
      <c r="G144" s="1548">
        <v>565.56645851917926</v>
      </c>
      <c r="H144" s="1548"/>
      <c r="I144" s="1548"/>
      <c r="J144" s="1548"/>
    </row>
    <row r="145" spans="1:10" hidden="1">
      <c r="A145" s="1550">
        <v>12</v>
      </c>
      <c r="B145" s="1549">
        <v>62</v>
      </c>
      <c r="C145" s="1548">
        <v>11170</v>
      </c>
      <c r="D145" s="1548">
        <v>180.16129032258064</v>
      </c>
      <c r="E145" s="1548">
        <v>2780</v>
      </c>
      <c r="F145" s="1548">
        <v>1593</v>
      </c>
      <c r="G145" s="1548">
        <v>573.02158273381303</v>
      </c>
      <c r="H145" s="1548"/>
      <c r="I145" s="1548"/>
      <c r="J145" s="1548"/>
    </row>
    <row r="146" spans="1:10">
      <c r="A146" s="1550">
        <v>2015</v>
      </c>
      <c r="B146" s="1553">
        <f>SUM(B147:B158)</f>
        <v>489</v>
      </c>
      <c r="C146" s="1553">
        <f>SUM(C147:C158)</f>
        <v>121624</v>
      </c>
      <c r="D146" s="1553">
        <f>C146/B146</f>
        <v>248.719836400818</v>
      </c>
      <c r="E146" s="1553">
        <f>SUM(E147:E158)</f>
        <v>29858</v>
      </c>
      <c r="F146" s="1553">
        <f>SUM(F147:F158)</f>
        <v>15033</v>
      </c>
      <c r="G146" s="1553">
        <f>F146/E146*1000</f>
        <v>503.48315359367678</v>
      </c>
      <c r="H146" s="1553"/>
      <c r="I146" s="1553"/>
      <c r="J146" s="1553"/>
    </row>
    <row r="147" spans="1:10" hidden="1">
      <c r="A147" s="1550">
        <v>1</v>
      </c>
      <c r="B147" s="1549">
        <v>21</v>
      </c>
      <c r="C147" s="1548">
        <v>7626</v>
      </c>
      <c r="D147" s="1548">
        <v>363.14285714285717</v>
      </c>
      <c r="E147" s="1548">
        <v>2331</v>
      </c>
      <c r="F147" s="1548">
        <v>1041</v>
      </c>
      <c r="G147" s="1548">
        <v>446.5894465894466</v>
      </c>
      <c r="H147" s="1548"/>
      <c r="I147" s="1548"/>
      <c r="J147" s="1548"/>
    </row>
    <row r="148" spans="1:10" hidden="1">
      <c r="A148" s="1550" t="s">
        <v>296</v>
      </c>
      <c r="B148" s="1549">
        <v>37</v>
      </c>
      <c r="C148" s="1548">
        <v>12730</v>
      </c>
      <c r="D148" s="1548">
        <v>344.05405405405406</v>
      </c>
      <c r="E148" s="1548">
        <v>2324</v>
      </c>
      <c r="F148" s="1548">
        <v>1103</v>
      </c>
      <c r="G148" s="1548">
        <v>474.61273666092944</v>
      </c>
      <c r="H148" s="1548"/>
      <c r="I148" s="1548"/>
      <c r="J148" s="1548"/>
    </row>
    <row r="149" spans="1:10" hidden="1">
      <c r="A149" s="1550" t="s">
        <v>295</v>
      </c>
      <c r="B149" s="1549">
        <v>40</v>
      </c>
      <c r="C149" s="1548">
        <v>10629</v>
      </c>
      <c r="D149" s="1548">
        <v>265.72500000000002</v>
      </c>
      <c r="E149" s="1548">
        <v>2461</v>
      </c>
      <c r="F149" s="1548">
        <v>1202</v>
      </c>
      <c r="G149" s="1548">
        <v>488.41934173100367</v>
      </c>
      <c r="H149" s="1548"/>
      <c r="I149" s="1548"/>
      <c r="J149" s="1548"/>
    </row>
    <row r="150" spans="1:10" hidden="1">
      <c r="A150" s="1550" t="s">
        <v>1016</v>
      </c>
      <c r="B150" s="1549">
        <v>44</v>
      </c>
      <c r="C150" s="1548">
        <v>10992</v>
      </c>
      <c r="D150" s="1548">
        <v>249.81818181818181</v>
      </c>
      <c r="E150" s="1548">
        <v>2595</v>
      </c>
      <c r="F150" s="1548">
        <v>1400</v>
      </c>
      <c r="G150" s="1548">
        <v>539.49903660886321</v>
      </c>
      <c r="H150" s="1548"/>
      <c r="I150" s="1548"/>
      <c r="J150" s="1548"/>
    </row>
    <row r="151" spans="1:10" hidden="1">
      <c r="A151" s="1550" t="s">
        <v>294</v>
      </c>
      <c r="B151" s="1549">
        <v>38</v>
      </c>
      <c r="C151" s="1548">
        <v>7371</v>
      </c>
      <c r="D151" s="1548">
        <v>193.97368421052633</v>
      </c>
      <c r="E151" s="1548">
        <v>2361</v>
      </c>
      <c r="F151" s="1548">
        <v>1184</v>
      </c>
      <c r="G151" s="1548">
        <v>501</v>
      </c>
      <c r="H151" s="1548"/>
      <c r="I151" s="1548"/>
      <c r="J151" s="1548"/>
    </row>
    <row r="152" spans="1:10" hidden="1">
      <c r="A152" s="1550" t="s">
        <v>1017</v>
      </c>
      <c r="B152" s="1549">
        <v>41</v>
      </c>
      <c r="C152" s="1548">
        <v>7793</v>
      </c>
      <c r="D152" s="1548">
        <v>190.07317073170731</v>
      </c>
      <c r="E152" s="1548">
        <v>2559</v>
      </c>
      <c r="F152" s="1548">
        <v>1245</v>
      </c>
      <c r="G152" s="1548">
        <v>486.5</v>
      </c>
      <c r="H152" s="1548"/>
      <c r="I152" s="1548"/>
      <c r="J152" s="1548"/>
    </row>
    <row r="153" spans="1:10" hidden="1">
      <c r="A153" s="1550" t="s">
        <v>292</v>
      </c>
      <c r="B153" s="1549">
        <v>41</v>
      </c>
      <c r="C153" s="1548">
        <v>7840</v>
      </c>
      <c r="D153" s="1548">
        <v>191.21951219512195</v>
      </c>
      <c r="E153" s="1548">
        <v>2693</v>
      </c>
      <c r="F153" s="1548">
        <v>1417</v>
      </c>
      <c r="G153" s="1548">
        <v>526.20000000000005</v>
      </c>
      <c r="H153" s="1548"/>
      <c r="I153" s="1548"/>
      <c r="J153" s="1548"/>
    </row>
    <row r="154" spans="1:10" hidden="1">
      <c r="A154" s="1550">
        <v>8</v>
      </c>
      <c r="B154" s="1549">
        <v>38</v>
      </c>
      <c r="C154" s="1548">
        <v>9887</v>
      </c>
      <c r="D154" s="1548">
        <v>260</v>
      </c>
      <c r="E154" s="1548">
        <v>2471</v>
      </c>
      <c r="F154" s="1548">
        <v>1139</v>
      </c>
      <c r="G154" s="1548">
        <v>461</v>
      </c>
      <c r="H154" s="1548"/>
      <c r="I154" s="1548"/>
      <c r="J154" s="1548"/>
    </row>
    <row r="155" spans="1:10" hidden="1">
      <c r="A155" s="1550">
        <v>9</v>
      </c>
      <c r="B155" s="1549">
        <v>40</v>
      </c>
      <c r="C155" s="1548">
        <v>10125</v>
      </c>
      <c r="D155" s="1548">
        <v>253.125</v>
      </c>
      <c r="E155" s="1548">
        <v>2296</v>
      </c>
      <c r="F155" s="1548">
        <v>1165</v>
      </c>
      <c r="G155" s="1548">
        <v>507</v>
      </c>
      <c r="H155" s="1548"/>
      <c r="I155" s="1548"/>
      <c r="J155" s="1548"/>
    </row>
    <row r="156" spans="1:10" hidden="1">
      <c r="A156" s="1550">
        <v>10</v>
      </c>
      <c r="B156" s="1549">
        <v>46</v>
      </c>
      <c r="C156" s="1548">
        <v>12883</v>
      </c>
      <c r="D156" s="1548">
        <v>280.06521739130397</v>
      </c>
      <c r="E156" s="1548">
        <v>2363</v>
      </c>
      <c r="F156" s="1548">
        <v>1434</v>
      </c>
      <c r="G156" s="1548">
        <v>606.85569191705463</v>
      </c>
      <c r="H156" s="1548"/>
      <c r="I156" s="1548"/>
      <c r="J156" s="1548"/>
    </row>
    <row r="157" spans="1:10" hidden="1">
      <c r="A157" s="1550">
        <v>11</v>
      </c>
      <c r="B157" s="1549">
        <v>42</v>
      </c>
      <c r="C157" s="1548">
        <v>8690</v>
      </c>
      <c r="D157" s="1548">
        <v>206.90476190476201</v>
      </c>
      <c r="E157" s="1548">
        <v>2589</v>
      </c>
      <c r="F157" s="1548">
        <v>1248</v>
      </c>
      <c r="G157" s="1548">
        <v>482.0393974507532</v>
      </c>
      <c r="H157" s="1548"/>
      <c r="I157" s="1548"/>
      <c r="J157" s="1548"/>
    </row>
    <row r="158" spans="1:10" hidden="1">
      <c r="A158" s="1550">
        <v>12</v>
      </c>
      <c r="B158" s="1549">
        <v>61</v>
      </c>
      <c r="C158" s="1548">
        <v>15058</v>
      </c>
      <c r="D158" s="1548">
        <v>246.852459016393</v>
      </c>
      <c r="E158" s="1548">
        <v>2815</v>
      </c>
      <c r="F158" s="1548">
        <v>1455</v>
      </c>
      <c r="G158" s="1548">
        <v>516.87388987566612</v>
      </c>
      <c r="H158" s="1548"/>
      <c r="I158" s="1548"/>
      <c r="J158" s="1548"/>
    </row>
    <row r="159" spans="1:10">
      <c r="A159" s="1550" t="s">
        <v>1852</v>
      </c>
      <c r="B159" s="1553">
        <f>SUM(B160:B171)</f>
        <v>574</v>
      </c>
      <c r="C159" s="1553">
        <f>SUM(C160:C171)</f>
        <v>131962</v>
      </c>
      <c r="D159" s="1553">
        <f>C159/B159</f>
        <v>229.89895470383274</v>
      </c>
      <c r="E159" s="1553">
        <f>SUM(E160:E171)</f>
        <v>32628</v>
      </c>
      <c r="F159" s="1553">
        <f>SUM(F160:F171)</f>
        <v>16103</v>
      </c>
      <c r="G159" s="1553">
        <f>F159/E159*1000</f>
        <v>493.53316170160599</v>
      </c>
      <c r="H159" s="1553"/>
      <c r="I159" s="1553"/>
      <c r="J159" s="1553"/>
    </row>
    <row r="160" spans="1:10" hidden="1">
      <c r="A160" s="1550">
        <v>1</v>
      </c>
      <c r="B160" s="1549">
        <v>24</v>
      </c>
      <c r="C160" s="1548">
        <v>10478</v>
      </c>
      <c r="D160" s="1548">
        <v>436.58333333333331</v>
      </c>
      <c r="E160" s="1549">
        <v>2309</v>
      </c>
      <c r="F160" s="1548">
        <v>960</v>
      </c>
      <c r="G160" s="1548">
        <v>415.76440017323517</v>
      </c>
      <c r="H160" s="1548"/>
      <c r="I160" s="1548"/>
      <c r="J160" s="1548"/>
    </row>
    <row r="161" spans="1:12" hidden="1">
      <c r="A161" s="1550">
        <v>2</v>
      </c>
      <c r="B161" s="1549">
        <v>38</v>
      </c>
      <c r="C161" s="1548">
        <v>9202</v>
      </c>
      <c r="D161" s="1548">
        <v>242.15789473684211</v>
      </c>
      <c r="E161" s="1549">
        <v>2695</v>
      </c>
      <c r="F161" s="1548">
        <v>1124</v>
      </c>
      <c r="G161" s="1548">
        <v>417.06864564007424</v>
      </c>
      <c r="H161" s="1548"/>
      <c r="I161" s="1548"/>
      <c r="J161" s="1548"/>
    </row>
    <row r="162" spans="1:12" hidden="1">
      <c r="A162" s="1550" t="s">
        <v>295</v>
      </c>
      <c r="B162" s="1549">
        <v>42</v>
      </c>
      <c r="C162" s="1548">
        <v>8674</v>
      </c>
      <c r="D162" s="1548">
        <v>206.52380952380952</v>
      </c>
      <c r="E162" s="1549">
        <v>2559</v>
      </c>
      <c r="F162" s="1548">
        <v>1181</v>
      </c>
      <c r="G162" s="1548">
        <v>461.50840171942167</v>
      </c>
      <c r="H162" s="1548"/>
      <c r="I162" s="1548"/>
      <c r="J162" s="1548"/>
    </row>
    <row r="163" spans="1:12" hidden="1">
      <c r="A163" s="1550" t="s">
        <v>1016</v>
      </c>
      <c r="B163" s="1549">
        <v>45</v>
      </c>
      <c r="C163" s="1548">
        <v>7108</v>
      </c>
      <c r="D163" s="1548">
        <v>157.95555555555555</v>
      </c>
      <c r="E163" s="1549">
        <v>2532</v>
      </c>
      <c r="F163" s="1548">
        <v>1300</v>
      </c>
      <c r="G163" s="1548">
        <v>513.42812006319116</v>
      </c>
      <c r="H163" s="1548"/>
      <c r="I163" s="1548"/>
      <c r="J163" s="1548"/>
    </row>
    <row r="164" spans="1:12" hidden="1">
      <c r="A164" s="1550" t="s">
        <v>294</v>
      </c>
      <c r="B164" s="1549">
        <v>50</v>
      </c>
      <c r="C164" s="1548">
        <v>16787</v>
      </c>
      <c r="D164" s="1548">
        <v>335.74</v>
      </c>
      <c r="E164" s="1549">
        <v>2740</v>
      </c>
      <c r="F164" s="1548">
        <v>1230</v>
      </c>
      <c r="G164" s="1548">
        <v>448.90510948905109</v>
      </c>
      <c r="H164" s="1548"/>
      <c r="I164" s="1548"/>
      <c r="J164" s="1548"/>
    </row>
    <row r="165" spans="1:12" hidden="1">
      <c r="A165" s="1550" t="s">
        <v>1017</v>
      </c>
      <c r="B165" s="1549">
        <v>52</v>
      </c>
      <c r="C165" s="1548">
        <v>7661</v>
      </c>
      <c r="D165" s="1548">
        <v>147.32692307692307</v>
      </c>
      <c r="E165" s="1549">
        <v>2662</v>
      </c>
      <c r="F165" s="1548">
        <v>1325</v>
      </c>
      <c r="G165" s="1548">
        <v>497.74605559729531</v>
      </c>
      <c r="H165" s="1548"/>
      <c r="I165" s="1548"/>
      <c r="J165" s="1548"/>
    </row>
    <row r="166" spans="1:12" hidden="1">
      <c r="A166" s="1550" t="s">
        <v>292</v>
      </c>
      <c r="B166" s="1549">
        <v>49</v>
      </c>
      <c r="C166" s="1548">
        <v>16792</v>
      </c>
      <c r="D166" s="1548">
        <v>342.69387755102042</v>
      </c>
      <c r="E166" s="1549">
        <v>2677</v>
      </c>
      <c r="F166" s="1548">
        <v>1398</v>
      </c>
      <c r="G166" s="1548">
        <v>522.22637280537924</v>
      </c>
      <c r="H166" s="1548"/>
      <c r="I166" s="1548"/>
      <c r="J166" s="1548"/>
    </row>
    <row r="167" spans="1:12" hidden="1">
      <c r="A167" s="1550" t="s">
        <v>293</v>
      </c>
      <c r="B167" s="1549">
        <v>48</v>
      </c>
      <c r="C167" s="1548">
        <v>8840</v>
      </c>
      <c r="D167" s="1548">
        <v>184.16666666666666</v>
      </c>
      <c r="E167" s="1549">
        <v>3005</v>
      </c>
      <c r="F167" s="1548">
        <v>1462</v>
      </c>
      <c r="G167" s="1548">
        <v>486.52246256239602</v>
      </c>
      <c r="H167" s="1548"/>
      <c r="I167" s="1548"/>
      <c r="J167" s="1548"/>
    </row>
    <row r="168" spans="1:12" s="374" customFormat="1" hidden="1">
      <c r="A168" s="1550">
        <v>9</v>
      </c>
      <c r="B168" s="1549">
        <v>47</v>
      </c>
      <c r="C168" s="1548">
        <v>11218</v>
      </c>
      <c r="D168" s="1548">
        <v>238.68085106382978</v>
      </c>
      <c r="E168" s="1549">
        <v>2557</v>
      </c>
      <c r="F168" s="1548">
        <v>1405</v>
      </c>
      <c r="G168" s="1548">
        <v>549.47203754399686</v>
      </c>
      <c r="H168" s="1548"/>
      <c r="I168" s="1548"/>
      <c r="J168" s="1548"/>
    </row>
    <row r="169" spans="1:12" s="374" customFormat="1" hidden="1">
      <c r="A169" s="1550">
        <v>10</v>
      </c>
      <c r="B169" s="1549">
        <v>52</v>
      </c>
      <c r="C169" s="1548">
        <v>9550</v>
      </c>
      <c r="D169" s="1548">
        <v>183.65384615384616</v>
      </c>
      <c r="E169" s="1549">
        <v>2872</v>
      </c>
      <c r="F169" s="1548">
        <v>1438</v>
      </c>
      <c r="G169" s="1548">
        <v>500.69637883008357</v>
      </c>
      <c r="H169" s="1548"/>
      <c r="I169" s="1548"/>
      <c r="J169" s="1548"/>
      <c r="L169" s="375">
        <v>1000</v>
      </c>
    </row>
    <row r="170" spans="1:12" s="374" customFormat="1" hidden="1">
      <c r="A170" s="1550">
        <v>11</v>
      </c>
      <c r="B170" s="1549">
        <v>55</v>
      </c>
      <c r="C170" s="1548">
        <v>8617</v>
      </c>
      <c r="D170" s="1548">
        <v>156.67272727272729</v>
      </c>
      <c r="E170" s="1549">
        <v>2959</v>
      </c>
      <c r="F170" s="1548">
        <v>1472</v>
      </c>
      <c r="G170" s="1548">
        <v>497.46535991889152</v>
      </c>
      <c r="H170" s="1548"/>
      <c r="I170" s="1548"/>
      <c r="J170" s="1548"/>
      <c r="L170" s="375"/>
    </row>
    <row r="171" spans="1:12" s="374" customFormat="1" hidden="1">
      <c r="A171" s="1550" t="s">
        <v>29</v>
      </c>
      <c r="B171" s="1549">
        <v>72</v>
      </c>
      <c r="C171" s="1548">
        <v>17035</v>
      </c>
      <c r="D171" s="1548">
        <v>236.59722222222223</v>
      </c>
      <c r="E171" s="1549">
        <v>3061</v>
      </c>
      <c r="F171" s="1548">
        <v>1808</v>
      </c>
      <c r="G171" s="1548">
        <v>590.65664815419791</v>
      </c>
      <c r="H171" s="1548"/>
      <c r="I171" s="1548"/>
      <c r="J171" s="1548"/>
      <c r="L171" s="375"/>
    </row>
    <row r="172" spans="1:12" s="374" customFormat="1">
      <c r="A172" s="1550" t="s">
        <v>1915</v>
      </c>
      <c r="B172" s="1553">
        <f>SUM(B173:B184)</f>
        <v>747</v>
      </c>
      <c r="C172" s="1553">
        <f>SUM(C173:C184)</f>
        <v>191293</v>
      </c>
      <c r="D172" s="1553">
        <f t="shared" ref="D172:D203" si="6">C172/B172</f>
        <v>256.08165997322624</v>
      </c>
      <c r="E172" s="1553">
        <f>SUM(E173:E184)</f>
        <v>37228</v>
      </c>
      <c r="F172" s="1553">
        <f>SUM(F173:F184)</f>
        <v>18883</v>
      </c>
      <c r="G172" s="1553">
        <f t="shared" ref="G172:G184" si="7">F172/E172*1000</f>
        <v>507.22574406360798</v>
      </c>
      <c r="H172" s="1553"/>
      <c r="I172" s="1553"/>
      <c r="J172" s="1553"/>
      <c r="L172" s="375"/>
    </row>
    <row r="173" spans="1:12" s="374" customFormat="1">
      <c r="A173" s="1550" t="s">
        <v>18</v>
      </c>
      <c r="B173" s="1549">
        <v>34</v>
      </c>
      <c r="C173" s="1548">
        <v>13988</v>
      </c>
      <c r="D173" s="1547">
        <f t="shared" si="6"/>
        <v>411.41176470588238</v>
      </c>
      <c r="E173" s="1548">
        <v>2826</v>
      </c>
      <c r="F173" s="1548">
        <v>1056</v>
      </c>
      <c r="G173" s="1547">
        <f t="shared" si="7"/>
        <v>373.6730360934182</v>
      </c>
      <c r="H173" s="1547"/>
      <c r="I173" s="1547"/>
      <c r="J173" s="1547"/>
      <c r="L173" s="375"/>
    </row>
    <row r="174" spans="1:12" s="374" customFormat="1">
      <c r="A174" s="1550" t="s">
        <v>19</v>
      </c>
      <c r="B174" s="1549">
        <v>54</v>
      </c>
      <c r="C174" s="1548">
        <v>9805</v>
      </c>
      <c r="D174" s="1547">
        <f t="shared" si="6"/>
        <v>181.57407407407408</v>
      </c>
      <c r="E174" s="1548">
        <v>2855</v>
      </c>
      <c r="F174" s="1548">
        <v>1258</v>
      </c>
      <c r="G174" s="1547">
        <f t="shared" si="7"/>
        <v>440.63047285464097</v>
      </c>
      <c r="H174" s="1547"/>
      <c r="I174" s="1547"/>
      <c r="J174" s="1547"/>
      <c r="L174" s="375"/>
    </row>
    <row r="175" spans="1:12" s="374" customFormat="1">
      <c r="A175" s="1550" t="s">
        <v>20</v>
      </c>
      <c r="B175" s="1549">
        <v>59</v>
      </c>
      <c r="C175" s="1548">
        <v>11052</v>
      </c>
      <c r="D175" s="1547">
        <f t="shared" si="6"/>
        <v>187.32203389830508</v>
      </c>
      <c r="E175" s="1548">
        <v>3172</v>
      </c>
      <c r="F175" s="1548">
        <v>1341</v>
      </c>
      <c r="G175" s="1547">
        <f t="shared" si="7"/>
        <v>422.76166456494326</v>
      </c>
      <c r="H175" s="1547"/>
      <c r="I175" s="1547"/>
      <c r="J175" s="1547"/>
      <c r="L175" s="375"/>
    </row>
    <row r="176" spans="1:12" s="374" customFormat="1">
      <c r="A176" s="1550" t="s">
        <v>21</v>
      </c>
      <c r="B176" s="1549">
        <v>58</v>
      </c>
      <c r="C176" s="1548">
        <v>10548</v>
      </c>
      <c r="D176" s="1547">
        <f t="shared" si="6"/>
        <v>181.86206896551724</v>
      </c>
      <c r="E176" s="1548">
        <v>3137</v>
      </c>
      <c r="F176" s="1548">
        <v>1442</v>
      </c>
      <c r="G176" s="1547">
        <f t="shared" si="7"/>
        <v>459.67484858144724</v>
      </c>
      <c r="H176" s="1547"/>
      <c r="I176" s="1547"/>
      <c r="J176" s="1547"/>
      <c r="L176" s="375"/>
    </row>
    <row r="177" spans="1:13" s="374" customFormat="1">
      <c r="A177" s="1550" t="s">
        <v>22</v>
      </c>
      <c r="B177" s="1549">
        <v>63</v>
      </c>
      <c r="C177" s="1548">
        <v>15161</v>
      </c>
      <c r="D177" s="1547">
        <f t="shared" si="6"/>
        <v>240.65079365079364</v>
      </c>
      <c r="E177" s="1548">
        <v>3464</v>
      </c>
      <c r="F177" s="1548">
        <v>1596</v>
      </c>
      <c r="G177" s="1547">
        <f t="shared" si="7"/>
        <v>460.7390300230947</v>
      </c>
      <c r="H177" s="1547"/>
      <c r="I177" s="1547"/>
      <c r="J177" s="1547"/>
      <c r="L177" s="375"/>
    </row>
    <row r="178" spans="1:13" s="374" customFormat="1">
      <c r="A178" s="1550" t="s">
        <v>23</v>
      </c>
      <c r="B178" s="1549">
        <v>62</v>
      </c>
      <c r="C178" s="1548">
        <v>12585</v>
      </c>
      <c r="D178" s="1547">
        <f t="shared" si="6"/>
        <v>202.98387096774192</v>
      </c>
      <c r="E178" s="1548">
        <v>2881</v>
      </c>
      <c r="F178" s="1548">
        <v>1507</v>
      </c>
      <c r="G178" s="1547">
        <f t="shared" si="7"/>
        <v>523.0822631030893</v>
      </c>
      <c r="H178" s="1547"/>
      <c r="I178" s="1547"/>
      <c r="J178" s="1547"/>
      <c r="L178" s="375"/>
      <c r="M178" s="376"/>
    </row>
    <row r="179" spans="1:13" s="374" customFormat="1">
      <c r="A179" s="1550" t="s">
        <v>24</v>
      </c>
      <c r="B179" s="1549">
        <v>67</v>
      </c>
      <c r="C179" s="1548">
        <v>20488</v>
      </c>
      <c r="D179" s="1547">
        <f t="shared" si="6"/>
        <v>305.79104477611941</v>
      </c>
      <c r="E179" s="1548">
        <v>3327</v>
      </c>
      <c r="F179" s="1548">
        <v>1994</v>
      </c>
      <c r="G179" s="1547">
        <f t="shared" si="7"/>
        <v>599.33874361286439</v>
      </c>
      <c r="H179" s="1547"/>
      <c r="I179" s="1547"/>
      <c r="J179" s="1547"/>
      <c r="L179" s="375"/>
    </row>
    <row r="180" spans="1:13" s="374" customFormat="1">
      <c r="A180" s="1550" t="s">
        <v>25</v>
      </c>
      <c r="B180" s="1549">
        <v>64</v>
      </c>
      <c r="C180" s="1548">
        <v>16044</v>
      </c>
      <c r="D180" s="1547">
        <f t="shared" si="6"/>
        <v>250.6875</v>
      </c>
      <c r="E180" s="1548">
        <v>3298</v>
      </c>
      <c r="F180" s="1548">
        <v>1743</v>
      </c>
      <c r="G180" s="1547">
        <f t="shared" si="7"/>
        <v>528.50212249848391</v>
      </c>
      <c r="H180" s="1547"/>
      <c r="I180" s="1547"/>
      <c r="J180" s="1547"/>
      <c r="L180" s="375"/>
    </row>
    <row r="181" spans="1:13" s="374" customFormat="1">
      <c r="A181" s="1550" t="s">
        <v>26</v>
      </c>
      <c r="B181" s="1549">
        <v>60</v>
      </c>
      <c r="C181" s="1548">
        <v>14618</v>
      </c>
      <c r="D181" s="1547">
        <f t="shared" si="6"/>
        <v>243.63333333333333</v>
      </c>
      <c r="E181" s="1548">
        <v>2976</v>
      </c>
      <c r="F181" s="1548">
        <v>1604</v>
      </c>
      <c r="G181" s="1547">
        <f t="shared" si="7"/>
        <v>538.97849462365593</v>
      </c>
      <c r="H181" s="1547"/>
      <c r="I181" s="1547"/>
      <c r="J181" s="1547"/>
      <c r="L181" s="375"/>
    </row>
    <row r="182" spans="1:13" s="374" customFormat="1">
      <c r="A182" s="1550" t="s">
        <v>27</v>
      </c>
      <c r="B182" s="1549">
        <v>68</v>
      </c>
      <c r="C182" s="1548">
        <v>18098</v>
      </c>
      <c r="D182" s="1547">
        <f t="shared" si="6"/>
        <v>266.14705882352939</v>
      </c>
      <c r="E182" s="1548">
        <v>3115</v>
      </c>
      <c r="F182" s="1548">
        <v>1730</v>
      </c>
      <c r="G182" s="1547">
        <f t="shared" si="7"/>
        <v>555.37720706260029</v>
      </c>
      <c r="H182" s="1547"/>
      <c r="I182" s="1547"/>
      <c r="J182" s="1547"/>
      <c r="L182" s="375"/>
    </row>
    <row r="183" spans="1:13" s="374" customFormat="1">
      <c r="A183" s="1550" t="s">
        <v>28</v>
      </c>
      <c r="B183" s="1549">
        <v>70</v>
      </c>
      <c r="C183" s="1548">
        <v>19006</v>
      </c>
      <c r="D183" s="1547">
        <f t="shared" si="6"/>
        <v>271.51428571428573</v>
      </c>
      <c r="E183" s="1548">
        <v>3026</v>
      </c>
      <c r="F183" s="1548">
        <v>1689</v>
      </c>
      <c r="G183" s="1547">
        <f t="shared" si="7"/>
        <v>558.16259087904825</v>
      </c>
      <c r="H183" s="1547"/>
      <c r="I183" s="1547"/>
      <c r="J183" s="1547"/>
      <c r="L183" s="375"/>
    </row>
    <row r="184" spans="1:13" s="374" customFormat="1">
      <c r="A184" s="1550" t="s">
        <v>29</v>
      </c>
      <c r="B184" s="1549">
        <v>88</v>
      </c>
      <c r="C184" s="1548">
        <v>29900</v>
      </c>
      <c r="D184" s="1547">
        <f t="shared" si="6"/>
        <v>339.77272727272725</v>
      </c>
      <c r="E184" s="1548">
        <v>3151</v>
      </c>
      <c r="F184" s="1548">
        <v>1923</v>
      </c>
      <c r="G184" s="1547">
        <f t="shared" si="7"/>
        <v>610.28245001586799</v>
      </c>
      <c r="H184" s="1547"/>
      <c r="I184" s="1547"/>
      <c r="J184" s="1547"/>
      <c r="L184" s="375"/>
    </row>
    <row r="185" spans="1:13" s="374" customFormat="1">
      <c r="A185" s="1550" t="s">
        <v>2051</v>
      </c>
      <c r="B185" s="1553">
        <f>SUM(B186:B197)</f>
        <v>820</v>
      </c>
      <c r="C185" s="1553">
        <f>SUM(C186:C197)</f>
        <v>252563</v>
      </c>
      <c r="D185" s="1553">
        <f t="shared" si="6"/>
        <v>308.00365853658536</v>
      </c>
      <c r="E185" s="1553">
        <f>SUM(E186:E197)</f>
        <v>39115</v>
      </c>
      <c r="F185" s="1553">
        <f>SUM(F186:F197)</f>
        <v>21848</v>
      </c>
      <c r="G185" s="1553">
        <f>F185*1000/E185</f>
        <v>558.55809791640036</v>
      </c>
      <c r="H185" s="1553"/>
      <c r="I185" s="1553"/>
      <c r="J185" s="1553"/>
      <c r="L185" s="375"/>
    </row>
    <row r="186" spans="1:13" s="374" customFormat="1">
      <c r="A186" s="1550" t="s">
        <v>18</v>
      </c>
      <c r="B186" s="1549">
        <v>41</v>
      </c>
      <c r="C186" s="1548">
        <v>15557</v>
      </c>
      <c r="D186" s="1547">
        <f t="shared" si="6"/>
        <v>379.4390243902439</v>
      </c>
      <c r="E186" s="1548">
        <v>3037</v>
      </c>
      <c r="F186" s="1548">
        <v>1310</v>
      </c>
      <c r="G186" s="1547">
        <f t="shared" ref="G186:G197" si="8">F186/E186*1000</f>
        <v>431.34672374053338</v>
      </c>
      <c r="H186" s="1547"/>
      <c r="I186" s="1547"/>
      <c r="J186" s="1547"/>
      <c r="L186" s="375"/>
    </row>
    <row r="187" spans="1:13" s="374" customFormat="1">
      <c r="A187" s="1550" t="s">
        <v>19</v>
      </c>
      <c r="B187" s="1549">
        <v>55</v>
      </c>
      <c r="C187" s="1548">
        <v>18479</v>
      </c>
      <c r="D187" s="1547">
        <f t="shared" si="6"/>
        <v>335.9818181818182</v>
      </c>
      <c r="E187" s="1548">
        <v>2814</v>
      </c>
      <c r="F187" s="1548">
        <v>1417</v>
      </c>
      <c r="G187" s="1547">
        <f t="shared" si="8"/>
        <v>503.55366027007818</v>
      </c>
      <c r="H187" s="1547"/>
      <c r="I187" s="1547"/>
      <c r="J187" s="1547"/>
      <c r="L187" s="375"/>
    </row>
    <row r="188" spans="1:13" s="374" customFormat="1">
      <c r="A188" s="1550" t="s">
        <v>20</v>
      </c>
      <c r="B188" s="1549">
        <v>63</v>
      </c>
      <c r="C188" s="1548">
        <v>20123</v>
      </c>
      <c r="D188" s="1547">
        <f t="shared" si="6"/>
        <v>319.41269841269843</v>
      </c>
      <c r="E188" s="1548">
        <v>2866</v>
      </c>
      <c r="F188" s="1548">
        <v>1611</v>
      </c>
      <c r="G188" s="1547">
        <f t="shared" si="8"/>
        <v>562.10746685275649</v>
      </c>
      <c r="H188" s="1547"/>
      <c r="I188" s="1547"/>
      <c r="J188" s="1547"/>
      <c r="L188" s="375"/>
    </row>
    <row r="189" spans="1:13" s="374" customFormat="1">
      <c r="A189" s="1550" t="s">
        <v>21</v>
      </c>
      <c r="B189" s="1549">
        <v>67</v>
      </c>
      <c r="C189" s="1548">
        <v>20627</v>
      </c>
      <c r="D189" s="1547">
        <f t="shared" si="6"/>
        <v>307.86567164179104</v>
      </c>
      <c r="E189" s="1548">
        <v>2981</v>
      </c>
      <c r="F189" s="1548">
        <v>1902</v>
      </c>
      <c r="G189" s="1547">
        <f t="shared" si="8"/>
        <v>638.04092586380409</v>
      </c>
      <c r="H189" s="1547"/>
      <c r="I189" s="1547"/>
      <c r="J189" s="1547"/>
      <c r="L189" s="375"/>
    </row>
    <row r="190" spans="1:13" s="374" customFormat="1">
      <c r="A190" s="1550" t="s">
        <v>22</v>
      </c>
      <c r="B190" s="1549">
        <v>75</v>
      </c>
      <c r="C190" s="1548">
        <v>22288</v>
      </c>
      <c r="D190" s="1547">
        <f t="shared" si="6"/>
        <v>297.17333333333335</v>
      </c>
      <c r="E190" s="1548">
        <v>3209</v>
      </c>
      <c r="F190" s="1548">
        <v>1786</v>
      </c>
      <c r="G190" s="1547">
        <f t="shared" si="8"/>
        <v>556.55967591149886</v>
      </c>
      <c r="H190" s="1547"/>
      <c r="I190" s="1547"/>
      <c r="J190" s="1547"/>
      <c r="L190" s="375"/>
    </row>
    <row r="191" spans="1:13" s="374" customFormat="1">
      <c r="A191" s="1550" t="s">
        <v>23</v>
      </c>
      <c r="B191" s="1549">
        <v>66</v>
      </c>
      <c r="C191" s="1548">
        <v>18201</v>
      </c>
      <c r="D191" s="1547">
        <f t="shared" si="6"/>
        <v>275.77272727272725</v>
      </c>
      <c r="E191" s="1548">
        <v>2689</v>
      </c>
      <c r="F191" s="1548">
        <v>1635</v>
      </c>
      <c r="G191" s="1547">
        <f t="shared" si="8"/>
        <v>608.03272592041651</v>
      </c>
      <c r="H191" s="1547"/>
      <c r="I191" s="1547"/>
      <c r="J191" s="1547"/>
      <c r="L191" s="375"/>
    </row>
    <row r="192" spans="1:13" s="374" customFormat="1">
      <c r="A192" s="1550" t="s">
        <v>24</v>
      </c>
      <c r="B192" s="1549">
        <v>77</v>
      </c>
      <c r="C192" s="1548">
        <v>21448</v>
      </c>
      <c r="D192" s="1547">
        <f t="shared" si="6"/>
        <v>278.54545454545456</v>
      </c>
      <c r="E192" s="1548">
        <v>3516</v>
      </c>
      <c r="F192" s="1548">
        <v>1935</v>
      </c>
      <c r="G192" s="1547">
        <f t="shared" si="8"/>
        <v>550.34129692832767</v>
      </c>
      <c r="H192" s="1547"/>
      <c r="I192" s="1547"/>
      <c r="J192" s="1547"/>
      <c r="L192" s="375"/>
    </row>
    <row r="193" spans="1:12" s="374" customFormat="1">
      <c r="A193" s="1550" t="s">
        <v>25</v>
      </c>
      <c r="B193" s="1549">
        <v>69</v>
      </c>
      <c r="C193" s="1548">
        <v>20962</v>
      </c>
      <c r="D193" s="1547">
        <f t="shared" si="6"/>
        <v>303.79710144927537</v>
      </c>
      <c r="E193" s="1548">
        <v>3211</v>
      </c>
      <c r="F193" s="1548">
        <v>1829</v>
      </c>
      <c r="G193" s="1547">
        <f t="shared" si="8"/>
        <v>569.60448458424162</v>
      </c>
      <c r="H193" s="1547"/>
      <c r="I193" s="1547"/>
      <c r="J193" s="1547"/>
      <c r="L193" s="375"/>
    </row>
    <row r="194" spans="1:12" s="374" customFormat="1">
      <c r="A194" s="1550" t="s">
        <v>26</v>
      </c>
      <c r="B194" s="1549">
        <v>65</v>
      </c>
      <c r="C194" s="1548">
        <v>18700</v>
      </c>
      <c r="D194" s="1547">
        <f t="shared" si="6"/>
        <v>287.69230769230768</v>
      </c>
      <c r="E194" s="1548">
        <v>3086</v>
      </c>
      <c r="F194" s="1548">
        <v>1834</v>
      </c>
      <c r="G194" s="1547">
        <f t="shared" si="8"/>
        <v>594.29682436811402</v>
      </c>
      <c r="H194" s="1547"/>
      <c r="I194" s="1547"/>
      <c r="J194" s="1547"/>
      <c r="L194" s="375"/>
    </row>
    <row r="195" spans="1:12" s="374" customFormat="1">
      <c r="A195" s="1550" t="s">
        <v>27</v>
      </c>
      <c r="B195" s="1549">
        <v>75</v>
      </c>
      <c r="C195" s="1548">
        <v>25815</v>
      </c>
      <c r="D195" s="1547">
        <f t="shared" si="6"/>
        <v>344.2</v>
      </c>
      <c r="E195" s="1548">
        <v>3983</v>
      </c>
      <c r="F195" s="1548">
        <v>2112</v>
      </c>
      <c r="G195" s="1547">
        <f t="shared" si="8"/>
        <v>530.25357770524727</v>
      </c>
      <c r="H195" s="1547"/>
      <c r="I195" s="1547"/>
      <c r="J195" s="1547"/>
      <c r="L195" s="375"/>
    </row>
    <row r="196" spans="1:12" s="374" customFormat="1">
      <c r="A196" s="1550" t="s">
        <v>28</v>
      </c>
      <c r="B196" s="1549">
        <v>74</v>
      </c>
      <c r="C196" s="1548">
        <v>23972</v>
      </c>
      <c r="D196" s="1547">
        <f t="shared" si="6"/>
        <v>323.94594594594594</v>
      </c>
      <c r="E196" s="1548">
        <v>3787</v>
      </c>
      <c r="F196" s="1548">
        <v>2006</v>
      </c>
      <c r="G196" s="1547">
        <f t="shared" si="8"/>
        <v>529.70689199894377</v>
      </c>
      <c r="H196" s="1547"/>
      <c r="I196" s="1547"/>
      <c r="J196" s="1547"/>
      <c r="L196" s="375"/>
    </row>
    <row r="197" spans="1:12" s="374" customFormat="1">
      <c r="A197" s="1550" t="s">
        <v>29</v>
      </c>
      <c r="B197" s="1549">
        <v>93</v>
      </c>
      <c r="C197" s="1548">
        <v>26391</v>
      </c>
      <c r="D197" s="1547">
        <f t="shared" si="6"/>
        <v>283.77419354838707</v>
      </c>
      <c r="E197" s="1548">
        <v>3936</v>
      </c>
      <c r="F197" s="1548">
        <v>2471</v>
      </c>
      <c r="G197" s="1547">
        <f t="shared" si="8"/>
        <v>627.79471544715443</v>
      </c>
      <c r="H197" s="1547"/>
      <c r="I197" s="1547"/>
      <c r="J197" s="1547"/>
      <c r="L197" s="375"/>
    </row>
    <row r="198" spans="1:12" s="374" customFormat="1">
      <c r="A198" s="1550" t="s">
        <v>2144</v>
      </c>
      <c r="B198" s="1554">
        <f>SUM(B199:B210)</f>
        <v>894</v>
      </c>
      <c r="C198" s="1554">
        <f>SUM(C199:C210)</f>
        <v>232236</v>
      </c>
      <c r="D198" s="1553">
        <f t="shared" si="6"/>
        <v>259.7718120805369</v>
      </c>
      <c r="E198" s="1554">
        <f>SUM(E199:E210)</f>
        <v>55721</v>
      </c>
      <c r="F198" s="1554">
        <f>SUM(F199:F210)</f>
        <v>26482</v>
      </c>
      <c r="G198" s="1553">
        <f>F198*1000/E198</f>
        <v>475.26067371368066</v>
      </c>
      <c r="H198" s="1553"/>
      <c r="I198" s="1553"/>
      <c r="J198" s="1553"/>
      <c r="L198" s="375"/>
    </row>
    <row r="199" spans="1:12" s="374" customFormat="1">
      <c r="A199" s="1556" t="s">
        <v>18</v>
      </c>
      <c r="B199" s="1547">
        <v>49</v>
      </c>
      <c r="C199" s="1547">
        <v>21759</v>
      </c>
      <c r="D199" s="1547">
        <f t="shared" si="6"/>
        <v>444.0612244897959</v>
      </c>
      <c r="E199" s="1547">
        <v>4072</v>
      </c>
      <c r="F199" s="1547">
        <v>1695</v>
      </c>
      <c r="G199" s="1547">
        <f t="shared" ref="G199:G210" si="9">F199/E199*1000</f>
        <v>416.25736738703341</v>
      </c>
      <c r="H199" s="1547"/>
      <c r="I199" s="1547"/>
      <c r="J199" s="1547"/>
      <c r="L199" s="375"/>
    </row>
    <row r="200" spans="1:12" s="374" customFormat="1">
      <c r="A200" s="1556" t="s">
        <v>19</v>
      </c>
      <c r="B200" s="1547">
        <v>66</v>
      </c>
      <c r="C200" s="1547">
        <v>19680</v>
      </c>
      <c r="D200" s="1547">
        <f t="shared" si="6"/>
        <v>298.18181818181819</v>
      </c>
      <c r="E200" s="1547">
        <v>3913</v>
      </c>
      <c r="F200" s="1547">
        <v>1674</v>
      </c>
      <c r="G200" s="1547">
        <f t="shared" si="9"/>
        <v>427.80475338614878</v>
      </c>
      <c r="H200" s="1547"/>
      <c r="I200" s="1547"/>
      <c r="J200" s="1547"/>
      <c r="L200" s="375"/>
    </row>
    <row r="201" spans="1:12" s="374" customFormat="1">
      <c r="A201" s="1556" t="s">
        <v>20</v>
      </c>
      <c r="B201" s="1547">
        <v>64</v>
      </c>
      <c r="C201" s="1547">
        <v>18365</v>
      </c>
      <c r="D201" s="1547">
        <f t="shared" si="6"/>
        <v>286.953125</v>
      </c>
      <c r="E201" s="1547">
        <v>3885</v>
      </c>
      <c r="F201" s="1547">
        <v>1753</v>
      </c>
      <c r="G201" s="1547">
        <f t="shared" si="9"/>
        <v>451.22265122265122</v>
      </c>
      <c r="H201" s="1547"/>
      <c r="I201" s="1547"/>
      <c r="J201" s="1547"/>
      <c r="L201" s="375"/>
    </row>
    <row r="202" spans="1:12" s="374" customFormat="1">
      <c r="A202" s="1556" t="s">
        <v>21</v>
      </c>
      <c r="B202" s="1547">
        <v>77</v>
      </c>
      <c r="C202" s="1547">
        <v>18921</v>
      </c>
      <c r="D202" s="1547">
        <f t="shared" si="6"/>
        <v>245.72727272727272</v>
      </c>
      <c r="E202" s="1547">
        <v>4676</v>
      </c>
      <c r="F202" s="1547">
        <v>2237</v>
      </c>
      <c r="G202" s="1547">
        <f t="shared" si="9"/>
        <v>478.40034217279725</v>
      </c>
      <c r="H202" s="1547"/>
      <c r="I202" s="1547"/>
      <c r="J202" s="1547"/>
      <c r="L202" s="375"/>
    </row>
    <row r="203" spans="1:12" s="374" customFormat="1">
      <c r="A203" s="1556" t="s">
        <v>22</v>
      </c>
      <c r="B203" s="1547">
        <v>78</v>
      </c>
      <c r="C203" s="1547">
        <v>20960</v>
      </c>
      <c r="D203" s="1547">
        <f t="shared" si="6"/>
        <v>268.71794871794873</v>
      </c>
      <c r="E203" s="1547">
        <v>4583</v>
      </c>
      <c r="F203" s="1547">
        <v>2144</v>
      </c>
      <c r="G203" s="1547">
        <f t="shared" si="9"/>
        <v>467.81584115208381</v>
      </c>
      <c r="H203" s="1547"/>
      <c r="I203" s="1547"/>
      <c r="J203" s="1547"/>
      <c r="L203" s="375"/>
    </row>
    <row r="204" spans="1:12" s="374" customFormat="1">
      <c r="A204" s="1556" t="s">
        <v>23</v>
      </c>
      <c r="B204" s="1547">
        <v>65</v>
      </c>
      <c r="C204" s="1547">
        <v>20150</v>
      </c>
      <c r="D204" s="1547">
        <f t="shared" ref="D204:D235" si="10">C204/B204</f>
        <v>310</v>
      </c>
      <c r="E204" s="1547">
        <v>3850</v>
      </c>
      <c r="F204" s="1547">
        <v>1979</v>
      </c>
      <c r="G204" s="1547">
        <f t="shared" si="9"/>
        <v>514.02597402597405</v>
      </c>
      <c r="H204" s="1547"/>
      <c r="I204" s="1547"/>
      <c r="J204" s="1547"/>
      <c r="L204" s="375"/>
    </row>
    <row r="205" spans="1:12" s="374" customFormat="1">
      <c r="A205" s="1556" t="s">
        <v>24</v>
      </c>
      <c r="B205" s="1547">
        <v>85</v>
      </c>
      <c r="C205" s="1547">
        <v>17768</v>
      </c>
      <c r="D205" s="1547">
        <f t="shared" si="10"/>
        <v>209.03529411764706</v>
      </c>
      <c r="E205" s="1547">
        <v>5361</v>
      </c>
      <c r="F205" s="1547">
        <v>2504</v>
      </c>
      <c r="G205" s="1547">
        <f t="shared" si="9"/>
        <v>467.07703786606976</v>
      </c>
      <c r="H205" s="1547"/>
      <c r="I205" s="1547"/>
      <c r="J205" s="1547"/>
      <c r="L205" s="375"/>
    </row>
    <row r="206" spans="1:12">
      <c r="A206" s="1550" t="s">
        <v>25</v>
      </c>
      <c r="B206" s="1549">
        <v>71</v>
      </c>
      <c r="C206" s="1548">
        <v>17831</v>
      </c>
      <c r="D206" s="1547">
        <f t="shared" si="10"/>
        <v>251.14084507042253</v>
      </c>
      <c r="E206" s="1548">
        <v>4636</v>
      </c>
      <c r="F206" s="1548">
        <v>2210</v>
      </c>
      <c r="G206" s="1547">
        <f t="shared" si="9"/>
        <v>476.70405522001727</v>
      </c>
      <c r="H206" s="1547"/>
      <c r="I206" s="1547"/>
      <c r="J206" s="1547"/>
      <c r="K206" s="374"/>
    </row>
    <row r="207" spans="1:12">
      <c r="A207" s="1550" t="s">
        <v>26</v>
      </c>
      <c r="B207" s="1549">
        <v>73</v>
      </c>
      <c r="C207" s="1548">
        <v>17128</v>
      </c>
      <c r="D207" s="1547">
        <f t="shared" si="10"/>
        <v>234.63013698630138</v>
      </c>
      <c r="E207" s="1548">
        <v>4789</v>
      </c>
      <c r="F207" s="1548">
        <v>2289</v>
      </c>
      <c r="G207" s="1547">
        <f t="shared" si="9"/>
        <v>477.97034871580706</v>
      </c>
      <c r="H207" s="1547"/>
      <c r="I207" s="1547"/>
      <c r="J207" s="1547"/>
      <c r="K207" s="374"/>
    </row>
    <row r="208" spans="1:12">
      <c r="A208" s="1550" t="s">
        <v>27</v>
      </c>
      <c r="B208" s="1549">
        <v>83</v>
      </c>
      <c r="C208" s="1548">
        <v>20557</v>
      </c>
      <c r="D208" s="1547">
        <f t="shared" si="10"/>
        <v>247.67469879518072</v>
      </c>
      <c r="E208" s="1548">
        <v>5189</v>
      </c>
      <c r="F208" s="1548">
        <v>2530</v>
      </c>
      <c r="G208" s="1547">
        <f t="shared" si="9"/>
        <v>487.56985931778763</v>
      </c>
      <c r="H208" s="1547"/>
      <c r="I208" s="1547"/>
      <c r="J208" s="1547"/>
      <c r="K208" s="374"/>
    </row>
    <row r="209" spans="1:11">
      <c r="A209" s="1550" t="s">
        <v>28</v>
      </c>
      <c r="B209" s="1549">
        <v>74</v>
      </c>
      <c r="C209" s="1548">
        <v>17925</v>
      </c>
      <c r="D209" s="1547">
        <f t="shared" si="10"/>
        <v>242.22972972972974</v>
      </c>
      <c r="E209" s="1548">
        <v>4842</v>
      </c>
      <c r="F209" s="1548">
        <v>2300</v>
      </c>
      <c r="G209" s="1547">
        <f t="shared" si="9"/>
        <v>475.01032631144159</v>
      </c>
      <c r="H209" s="1547"/>
      <c r="I209" s="1547"/>
      <c r="J209" s="1547"/>
      <c r="K209" s="374"/>
    </row>
    <row r="210" spans="1:11">
      <c r="A210" s="1550" t="s">
        <v>29</v>
      </c>
      <c r="B210" s="1549">
        <v>109</v>
      </c>
      <c r="C210" s="1548">
        <v>21192</v>
      </c>
      <c r="D210" s="1547">
        <f t="shared" si="10"/>
        <v>194.42201834862385</v>
      </c>
      <c r="E210" s="1548">
        <v>5925</v>
      </c>
      <c r="F210" s="1548">
        <v>3167</v>
      </c>
      <c r="G210" s="1547">
        <f t="shared" si="9"/>
        <v>534.51476793248946</v>
      </c>
      <c r="H210" s="1547"/>
      <c r="I210" s="1547"/>
      <c r="J210" s="1547"/>
      <c r="K210" s="374"/>
    </row>
    <row r="211" spans="1:11">
      <c r="A211" s="1550" t="s">
        <v>2375</v>
      </c>
      <c r="B211" s="1554">
        <f>SUM(B212:B223)</f>
        <v>908</v>
      </c>
      <c r="C211" s="1554">
        <f>SUM(C212:C223)</f>
        <v>195570</v>
      </c>
      <c r="D211" s="1553">
        <f t="shared" si="10"/>
        <v>215.38546255506608</v>
      </c>
      <c r="E211" s="1554">
        <f>SUM(E212:E223)</f>
        <v>58917</v>
      </c>
      <c r="F211" s="1554">
        <f>SUM(F212:F223)</f>
        <v>27831</v>
      </c>
      <c r="G211" s="1553">
        <f>F211*1000/E211</f>
        <v>472.3763939100769</v>
      </c>
      <c r="H211" s="1553"/>
      <c r="I211" s="1553"/>
      <c r="J211" s="1553"/>
      <c r="K211" s="374"/>
    </row>
    <row r="212" spans="1:11">
      <c r="A212" s="1550" t="s">
        <v>18</v>
      </c>
      <c r="B212" s="1549">
        <v>51</v>
      </c>
      <c r="C212" s="1548">
        <v>13109</v>
      </c>
      <c r="D212" s="1547">
        <f t="shared" si="10"/>
        <v>257.03921568627453</v>
      </c>
      <c r="E212" s="1548">
        <v>5030</v>
      </c>
      <c r="F212" s="1548">
        <v>2026</v>
      </c>
      <c r="G212" s="1547">
        <f t="shared" ref="G212:G223" si="11">F212/E212*1000</f>
        <v>402.78330019880713</v>
      </c>
      <c r="H212" s="1547"/>
      <c r="I212" s="1547"/>
      <c r="J212" s="1547"/>
      <c r="K212" s="374"/>
    </row>
    <row r="213" spans="1:11">
      <c r="A213" s="1550" t="s">
        <v>19</v>
      </c>
      <c r="B213" s="1549">
        <v>70</v>
      </c>
      <c r="C213" s="1548">
        <v>13823</v>
      </c>
      <c r="D213" s="1547">
        <f t="shared" si="10"/>
        <v>197.47142857142856</v>
      </c>
      <c r="E213" s="1548">
        <v>4704</v>
      </c>
      <c r="F213" s="1548">
        <v>2132</v>
      </c>
      <c r="G213" s="1547">
        <f t="shared" si="11"/>
        <v>453.23129251700675</v>
      </c>
      <c r="H213" s="1547"/>
      <c r="I213" s="1547"/>
      <c r="J213" s="1547"/>
      <c r="K213" s="374"/>
    </row>
    <row r="214" spans="1:11">
      <c r="A214" s="1550" t="s">
        <v>20</v>
      </c>
      <c r="B214" s="1549">
        <v>71</v>
      </c>
      <c r="C214" s="1548">
        <v>21980</v>
      </c>
      <c r="D214" s="1547">
        <f t="shared" si="10"/>
        <v>309.57746478873241</v>
      </c>
      <c r="E214" s="1548">
        <v>4586</v>
      </c>
      <c r="F214" s="1548">
        <v>2233</v>
      </c>
      <c r="G214" s="1547">
        <f t="shared" si="11"/>
        <v>486.91670300915831</v>
      </c>
      <c r="H214" s="1547"/>
      <c r="I214" s="1547"/>
      <c r="J214" s="1547"/>
      <c r="K214" s="374"/>
    </row>
    <row r="215" spans="1:11">
      <c r="A215" s="1550" t="s">
        <v>21</v>
      </c>
      <c r="B215" s="1549">
        <v>62</v>
      </c>
      <c r="C215" s="1548">
        <v>15118</v>
      </c>
      <c r="D215" s="1547">
        <f t="shared" si="10"/>
        <v>243.83870967741936</v>
      </c>
      <c r="E215" s="1548">
        <v>3825</v>
      </c>
      <c r="F215" s="1548">
        <v>2206</v>
      </c>
      <c r="G215" s="1547">
        <f t="shared" si="11"/>
        <v>576.73202614379079</v>
      </c>
      <c r="H215" s="1547"/>
      <c r="I215" s="1547"/>
      <c r="J215" s="1547"/>
      <c r="K215" s="374"/>
    </row>
    <row r="216" spans="1:11">
      <c r="A216" s="1550" t="s">
        <v>22</v>
      </c>
      <c r="B216" s="1549">
        <v>58</v>
      </c>
      <c r="C216" s="1548">
        <v>14215</v>
      </c>
      <c r="D216" s="1547">
        <f t="shared" si="10"/>
        <v>245.08620689655172</v>
      </c>
      <c r="E216" s="1548">
        <v>4522</v>
      </c>
      <c r="F216" s="1548">
        <v>2134</v>
      </c>
      <c r="G216" s="1547">
        <f t="shared" si="11"/>
        <v>471.91508182220252</v>
      </c>
      <c r="H216" s="1547"/>
      <c r="I216" s="1547"/>
      <c r="J216" s="1547"/>
      <c r="K216" s="374"/>
    </row>
    <row r="217" spans="1:11">
      <c r="A217" s="1550" t="s">
        <v>23</v>
      </c>
      <c r="B217" s="1549">
        <v>71</v>
      </c>
      <c r="C217" s="1548">
        <v>15282</v>
      </c>
      <c r="D217" s="1547">
        <f t="shared" si="10"/>
        <v>215.2394366197183</v>
      </c>
      <c r="E217" s="1548">
        <v>4617</v>
      </c>
      <c r="F217" s="1548">
        <v>2200</v>
      </c>
      <c r="G217" s="1547">
        <f t="shared" si="11"/>
        <v>476.49989170457008</v>
      </c>
      <c r="H217" s="1547"/>
      <c r="I217" s="1547"/>
      <c r="J217" s="1547"/>
      <c r="K217" s="374"/>
    </row>
    <row r="218" spans="1:11">
      <c r="A218" s="1550" t="s">
        <v>24</v>
      </c>
      <c r="B218" s="1549">
        <v>80</v>
      </c>
      <c r="C218" s="1548">
        <v>17417</v>
      </c>
      <c r="D218" s="1547">
        <f t="shared" si="10"/>
        <v>217.71250000000001</v>
      </c>
      <c r="E218" s="1548">
        <v>4870</v>
      </c>
      <c r="F218" s="1548">
        <v>2464</v>
      </c>
      <c r="G218" s="1547">
        <f t="shared" si="11"/>
        <v>505.95482546201231</v>
      </c>
      <c r="H218" s="1547"/>
      <c r="I218" s="1547"/>
      <c r="J218" s="1547"/>
      <c r="K218" s="374"/>
    </row>
    <row r="219" spans="1:11">
      <c r="A219" s="1550" t="s">
        <v>25</v>
      </c>
      <c r="B219" s="1549">
        <v>77</v>
      </c>
      <c r="C219" s="1548">
        <v>14734</v>
      </c>
      <c r="D219" s="1547">
        <f t="shared" si="10"/>
        <v>191.35064935064935</v>
      </c>
      <c r="E219" s="1548">
        <v>5239</v>
      </c>
      <c r="F219" s="1548">
        <v>2260</v>
      </c>
      <c r="G219" s="1547">
        <f t="shared" si="11"/>
        <v>431.38003435770185</v>
      </c>
      <c r="H219" s="1547"/>
      <c r="I219" s="1547"/>
      <c r="J219" s="1547"/>
      <c r="K219" s="374"/>
    </row>
    <row r="220" spans="1:11">
      <c r="A220" s="1550" t="s">
        <v>26</v>
      </c>
      <c r="B220" s="1549">
        <v>83</v>
      </c>
      <c r="C220" s="1548">
        <v>15866</v>
      </c>
      <c r="D220" s="1547">
        <f t="shared" si="10"/>
        <v>191.15662650602408</v>
      </c>
      <c r="E220" s="1548">
        <v>5277</v>
      </c>
      <c r="F220" s="1548">
        <v>2358</v>
      </c>
      <c r="G220" s="1547">
        <f t="shared" si="11"/>
        <v>446.84479818078455</v>
      </c>
      <c r="H220" s="1547"/>
      <c r="I220" s="1547"/>
      <c r="J220" s="1547"/>
      <c r="K220" s="374"/>
    </row>
    <row r="221" spans="1:11">
      <c r="A221" s="1550" t="s">
        <v>27</v>
      </c>
      <c r="B221" s="1549">
        <v>85</v>
      </c>
      <c r="C221" s="1548">
        <v>17037</v>
      </c>
      <c r="D221" s="1547">
        <f t="shared" si="10"/>
        <v>200.43529411764706</v>
      </c>
      <c r="E221" s="1548">
        <v>5057</v>
      </c>
      <c r="F221" s="1548">
        <v>2516</v>
      </c>
      <c r="G221" s="1547">
        <f t="shared" si="11"/>
        <v>497.52817876211191</v>
      </c>
      <c r="H221" s="1547">
        <v>4.3899999999999997</v>
      </c>
      <c r="I221" s="1547">
        <v>13.6</v>
      </c>
      <c r="J221" s="1547">
        <f t="shared" ref="J221:J249" si="12">I221/H221</f>
        <v>3.0979498861047836</v>
      </c>
      <c r="K221" s="374"/>
    </row>
    <row r="222" spans="1:11">
      <c r="A222" s="1550" t="s">
        <v>28</v>
      </c>
      <c r="B222" s="1549">
        <v>80</v>
      </c>
      <c r="C222" s="1548">
        <v>15154</v>
      </c>
      <c r="D222" s="1547">
        <f t="shared" si="10"/>
        <v>189.42500000000001</v>
      </c>
      <c r="E222" s="1548">
        <v>5244</v>
      </c>
      <c r="F222" s="1548">
        <v>2411</v>
      </c>
      <c r="G222" s="1547">
        <f t="shared" si="11"/>
        <v>459.76353928299005</v>
      </c>
      <c r="H222" s="1547">
        <v>4.3319999999999999</v>
      </c>
      <c r="I222" s="1547">
        <v>17</v>
      </c>
      <c r="J222" s="1547">
        <f t="shared" si="12"/>
        <v>3.9242843951985229</v>
      </c>
      <c r="K222" s="374"/>
    </row>
    <row r="223" spans="1:11">
      <c r="A223" s="1550" t="s">
        <v>29</v>
      </c>
      <c r="B223" s="1549">
        <v>120</v>
      </c>
      <c r="C223" s="1548">
        <v>21835</v>
      </c>
      <c r="D223" s="1547">
        <f t="shared" si="10"/>
        <v>181.95833333333334</v>
      </c>
      <c r="E223" s="1548">
        <v>5946</v>
      </c>
      <c r="F223" s="1548">
        <v>2891</v>
      </c>
      <c r="G223" s="1547">
        <f t="shared" si="11"/>
        <v>486.209216279852</v>
      </c>
      <c r="H223" s="1547">
        <v>4.8929999999999998</v>
      </c>
      <c r="I223" s="1547">
        <v>17.3</v>
      </c>
      <c r="J223" s="1547">
        <f t="shared" si="12"/>
        <v>3.5356631923155533</v>
      </c>
      <c r="K223" s="374"/>
    </row>
    <row r="224" spans="1:11">
      <c r="A224" s="1555">
        <v>2021</v>
      </c>
      <c r="B224" s="1554">
        <f>SUM(B225:B236)</f>
        <v>1113</v>
      </c>
      <c r="C224" s="1554">
        <f>SUM(C225:C236)</f>
        <v>183756</v>
      </c>
      <c r="D224" s="1553">
        <f t="shared" si="10"/>
        <v>165.09973045822102</v>
      </c>
      <c r="E224" s="1554">
        <f>SUM(E225:E236)</f>
        <v>69639</v>
      </c>
      <c r="F224" s="1554">
        <f>SUM(F225:F236)</f>
        <v>33906</v>
      </c>
      <c r="G224" s="1553">
        <f>F224*1000/E224</f>
        <v>486.88235040709947</v>
      </c>
      <c r="H224" s="1553">
        <f>SUM(H225:H236)</f>
        <v>117</v>
      </c>
      <c r="I224" s="1553">
        <f>SUM(I225:I236)</f>
        <v>280</v>
      </c>
      <c r="J224" s="1551">
        <f t="shared" si="12"/>
        <v>2.3931623931623931</v>
      </c>
      <c r="K224" s="374"/>
    </row>
    <row r="225" spans="1:11">
      <c r="A225" s="1550" t="s">
        <v>18</v>
      </c>
      <c r="B225" s="1549">
        <v>51</v>
      </c>
      <c r="C225" s="1548">
        <v>13785</v>
      </c>
      <c r="D225" s="1548">
        <f t="shared" si="10"/>
        <v>270.29411764705884</v>
      </c>
      <c r="E225" s="1548">
        <v>5415</v>
      </c>
      <c r="F225" s="1548">
        <v>2267</v>
      </c>
      <c r="G225" s="1547">
        <f t="shared" ref="G225:G249" si="13">F225/E225*1000</f>
        <v>418.65189289012005</v>
      </c>
      <c r="H225" s="1547">
        <v>5</v>
      </c>
      <c r="I225" s="1547">
        <v>15</v>
      </c>
      <c r="J225" s="1547">
        <f t="shared" si="12"/>
        <v>3</v>
      </c>
      <c r="K225" s="374"/>
    </row>
    <row r="226" spans="1:11">
      <c r="A226" s="1550" t="s">
        <v>19</v>
      </c>
      <c r="B226" s="1549">
        <v>76</v>
      </c>
      <c r="C226" s="1548">
        <v>12400</v>
      </c>
      <c r="D226" s="1548">
        <f t="shared" si="10"/>
        <v>163.15789473684211</v>
      </c>
      <c r="E226" s="1548">
        <v>5778</v>
      </c>
      <c r="F226" s="1548">
        <v>2183</v>
      </c>
      <c r="G226" s="1547">
        <f t="shared" si="13"/>
        <v>377.8123918310834</v>
      </c>
      <c r="H226" s="1547">
        <v>5</v>
      </c>
      <c r="I226" s="1547">
        <v>13</v>
      </c>
      <c r="J226" s="1547">
        <f t="shared" si="12"/>
        <v>2.6</v>
      </c>
      <c r="K226" s="374"/>
    </row>
    <row r="227" spans="1:11">
      <c r="A227" s="1550" t="s">
        <v>20</v>
      </c>
      <c r="B227" s="1549">
        <v>82</v>
      </c>
      <c r="C227" s="1548">
        <v>14508</v>
      </c>
      <c r="D227" s="1548">
        <f t="shared" si="10"/>
        <v>176.92682926829269</v>
      </c>
      <c r="E227" s="1548">
        <v>6668</v>
      </c>
      <c r="F227" s="1548">
        <v>2629</v>
      </c>
      <c r="G227" s="1547">
        <f t="shared" si="13"/>
        <v>394.27114577084581</v>
      </c>
      <c r="H227" s="1547">
        <v>6</v>
      </c>
      <c r="I227" s="1547">
        <v>15</v>
      </c>
      <c r="J227" s="1547">
        <f t="shared" si="12"/>
        <v>2.5</v>
      </c>
      <c r="K227" s="374"/>
    </row>
    <row r="228" spans="1:11">
      <c r="A228" s="1550" t="s">
        <v>21</v>
      </c>
      <c r="B228" s="1549">
        <v>90</v>
      </c>
      <c r="C228" s="1548">
        <v>14052</v>
      </c>
      <c r="D228" s="1548">
        <f t="shared" si="10"/>
        <v>156.13333333333333</v>
      </c>
      <c r="E228" s="1548">
        <v>6425</v>
      </c>
      <c r="F228" s="1548">
        <v>2867</v>
      </c>
      <c r="G228" s="1547">
        <f t="shared" si="13"/>
        <v>446.22568093385212</v>
      </c>
      <c r="H228" s="1547">
        <v>7</v>
      </c>
      <c r="I228" s="1547">
        <v>21</v>
      </c>
      <c r="J228" s="1547">
        <f t="shared" si="12"/>
        <v>3</v>
      </c>
      <c r="K228" s="374"/>
    </row>
    <row r="229" spans="1:11">
      <c r="A229" s="1550" t="s">
        <v>22</v>
      </c>
      <c r="B229" s="1549">
        <v>79</v>
      </c>
      <c r="C229" s="1548">
        <v>12880</v>
      </c>
      <c r="D229" s="1548">
        <f t="shared" si="10"/>
        <v>163.03797468354429</v>
      </c>
      <c r="E229" s="1548">
        <v>5086</v>
      </c>
      <c r="F229" s="1548">
        <v>2551</v>
      </c>
      <c r="G229" s="1547">
        <f t="shared" si="13"/>
        <v>501.57294534014937</v>
      </c>
      <c r="H229" s="1547">
        <v>7</v>
      </c>
      <c r="I229" s="1547">
        <v>15</v>
      </c>
      <c r="J229" s="1547">
        <f t="shared" si="12"/>
        <v>2.1428571428571428</v>
      </c>
      <c r="K229" s="374"/>
    </row>
    <row r="230" spans="1:11">
      <c r="A230" s="1550" t="s">
        <v>23</v>
      </c>
      <c r="B230" s="1549">
        <v>93</v>
      </c>
      <c r="C230" s="1548">
        <v>15547</v>
      </c>
      <c r="D230" s="1548">
        <f t="shared" si="10"/>
        <v>167.1720430107527</v>
      </c>
      <c r="E230" s="1548">
        <v>5688</v>
      </c>
      <c r="F230" s="1548">
        <v>2822</v>
      </c>
      <c r="G230" s="1547">
        <f t="shared" si="13"/>
        <v>496.13220815752464</v>
      </c>
      <c r="H230" s="1547">
        <v>7</v>
      </c>
      <c r="I230" s="1547">
        <v>18</v>
      </c>
      <c r="J230" s="1547">
        <f t="shared" si="12"/>
        <v>2.5714285714285716</v>
      </c>
      <c r="K230" s="374"/>
    </row>
    <row r="231" spans="1:11">
      <c r="A231" s="1550" t="s">
        <v>24</v>
      </c>
      <c r="B231" s="1549">
        <v>98</v>
      </c>
      <c r="C231" s="1548">
        <v>14643</v>
      </c>
      <c r="D231" s="1548">
        <f t="shared" si="10"/>
        <v>149.41836734693877</v>
      </c>
      <c r="E231" s="1548">
        <v>4956</v>
      </c>
      <c r="F231" s="1548">
        <v>2998</v>
      </c>
      <c r="G231" s="1547">
        <f t="shared" si="13"/>
        <v>604.92332526230825</v>
      </c>
      <c r="H231" s="1547">
        <v>8</v>
      </c>
      <c r="I231" s="1547">
        <v>20</v>
      </c>
      <c r="J231" s="1547">
        <f t="shared" si="12"/>
        <v>2.5</v>
      </c>
      <c r="K231" s="374"/>
    </row>
    <row r="232" spans="1:11">
      <c r="A232" s="1550" t="s">
        <v>25</v>
      </c>
      <c r="B232" s="1549">
        <v>95</v>
      </c>
      <c r="C232" s="1548">
        <v>13210</v>
      </c>
      <c r="D232" s="1548">
        <f t="shared" si="10"/>
        <v>139.05263157894737</v>
      </c>
      <c r="E232" s="1548">
        <v>5761</v>
      </c>
      <c r="F232" s="1548">
        <v>2686</v>
      </c>
      <c r="G232" s="1547">
        <f t="shared" si="13"/>
        <v>466.23850026037144</v>
      </c>
      <c r="H232" s="1547">
        <v>11</v>
      </c>
      <c r="I232" s="1547">
        <v>26</v>
      </c>
      <c r="J232" s="1547">
        <f t="shared" si="12"/>
        <v>2.3636363636363638</v>
      </c>
      <c r="K232" s="374"/>
    </row>
    <row r="233" spans="1:11">
      <c r="A233" s="1550" t="s">
        <v>26</v>
      </c>
      <c r="B233" s="1549">
        <v>99</v>
      </c>
      <c r="C233" s="1548">
        <v>14417</v>
      </c>
      <c r="D233" s="1548">
        <f t="shared" si="10"/>
        <v>145.62626262626262</v>
      </c>
      <c r="E233" s="1548">
        <v>5510</v>
      </c>
      <c r="F233" s="1548">
        <v>2848</v>
      </c>
      <c r="G233" s="1547">
        <f t="shared" si="13"/>
        <v>516.87840290381121</v>
      </c>
      <c r="H233" s="1547">
        <v>11</v>
      </c>
      <c r="I233" s="1547">
        <v>26</v>
      </c>
      <c r="J233" s="1547">
        <f t="shared" si="12"/>
        <v>2.3636363636363638</v>
      </c>
      <c r="K233" s="374"/>
    </row>
    <row r="234" spans="1:11">
      <c r="A234" s="1550" t="s">
        <v>27</v>
      </c>
      <c r="B234" s="1549">
        <v>101</v>
      </c>
      <c r="C234" s="1548">
        <v>16235</v>
      </c>
      <c r="D234" s="1548">
        <f t="shared" si="10"/>
        <v>160.74257425742573</v>
      </c>
      <c r="E234" s="1548">
        <v>5623</v>
      </c>
      <c r="F234" s="1548">
        <v>3255</v>
      </c>
      <c r="G234" s="1547">
        <f t="shared" si="13"/>
        <v>578.87248799573172</v>
      </c>
      <c r="H234" s="1547">
        <v>13</v>
      </c>
      <c r="I234" s="1547">
        <v>30</v>
      </c>
      <c r="J234" s="1547">
        <f t="shared" si="12"/>
        <v>2.3076923076923075</v>
      </c>
      <c r="K234" s="374"/>
    </row>
    <row r="235" spans="1:11">
      <c r="A235" s="1550" t="s">
        <v>28</v>
      </c>
      <c r="B235" s="1549">
        <v>107</v>
      </c>
      <c r="C235" s="1548">
        <v>15818</v>
      </c>
      <c r="D235" s="1548">
        <f t="shared" si="10"/>
        <v>147.83177570093457</v>
      </c>
      <c r="E235" s="1548">
        <v>6119</v>
      </c>
      <c r="F235" s="1548">
        <v>2762</v>
      </c>
      <c r="G235" s="1547">
        <f t="shared" si="13"/>
        <v>451.38094459879062</v>
      </c>
      <c r="H235" s="1547">
        <v>17</v>
      </c>
      <c r="I235" s="1547">
        <v>29</v>
      </c>
      <c r="J235" s="1547">
        <f t="shared" si="12"/>
        <v>1.7058823529411764</v>
      </c>
      <c r="K235" s="374"/>
    </row>
    <row r="236" spans="1:11">
      <c r="A236" s="1550" t="s">
        <v>29</v>
      </c>
      <c r="B236" s="1549">
        <v>142</v>
      </c>
      <c r="C236" s="1548">
        <v>26261</v>
      </c>
      <c r="D236" s="1548">
        <f t="shared" ref="D236:D249" si="14">C236/B236</f>
        <v>184.93661971830986</v>
      </c>
      <c r="E236" s="1548">
        <v>6610</v>
      </c>
      <c r="F236" s="1548">
        <v>4038</v>
      </c>
      <c r="G236" s="1547">
        <f t="shared" si="13"/>
        <v>610.89258698941001</v>
      </c>
      <c r="H236" s="1547">
        <v>20</v>
      </c>
      <c r="I236" s="1547">
        <v>52</v>
      </c>
      <c r="J236" s="1547">
        <f t="shared" si="12"/>
        <v>2.6</v>
      </c>
      <c r="K236" s="374"/>
    </row>
    <row r="237" spans="1:11">
      <c r="A237" s="1550" t="s">
        <v>2827</v>
      </c>
      <c r="B237" s="1552">
        <f>SUM(B238:B249)</f>
        <v>1358.6459999999997</v>
      </c>
      <c r="C237" s="1552">
        <f>SUM(C238:C249)</f>
        <v>300066.268713</v>
      </c>
      <c r="D237" s="1551">
        <f t="shared" si="14"/>
        <v>220.85684476530315</v>
      </c>
      <c r="E237" s="1552">
        <f>SUM(E238:E249)</f>
        <v>95896.627999999997</v>
      </c>
      <c r="F237" s="1552">
        <f>SUM(F238:F249)</f>
        <v>41939.117450000005</v>
      </c>
      <c r="G237" s="1551">
        <f t="shared" si="13"/>
        <v>437.33672731433279</v>
      </c>
      <c r="H237" s="1552">
        <f>SUM(H238:H249)</f>
        <v>337.32900000000006</v>
      </c>
      <c r="I237" s="1552">
        <f>SUM(I238:I249)</f>
        <v>549.63537599999995</v>
      </c>
      <c r="J237" s="1551">
        <f t="shared" si="12"/>
        <v>1.6293748121270328</v>
      </c>
      <c r="K237" s="374"/>
    </row>
    <row r="238" spans="1:11">
      <c r="A238" s="1550" t="s">
        <v>18</v>
      </c>
      <c r="B238" s="1549">
        <v>67</v>
      </c>
      <c r="C238" s="1548">
        <v>17426</v>
      </c>
      <c r="D238" s="1548">
        <f t="shared" si="14"/>
        <v>260.08955223880599</v>
      </c>
      <c r="E238" s="1548">
        <v>6018</v>
      </c>
      <c r="F238" s="1548">
        <v>2948</v>
      </c>
      <c r="G238" s="1547">
        <f t="shared" si="13"/>
        <v>489.86374210701229</v>
      </c>
      <c r="H238" s="1547">
        <v>16</v>
      </c>
      <c r="I238" s="1547">
        <v>31</v>
      </c>
      <c r="J238" s="1547">
        <f t="shared" si="12"/>
        <v>1.9375</v>
      </c>
      <c r="K238" s="374"/>
    </row>
    <row r="239" spans="1:11">
      <c r="A239" s="1550" t="s">
        <v>19</v>
      </c>
      <c r="B239" s="1549">
        <v>95</v>
      </c>
      <c r="C239" s="1548">
        <v>16543</v>
      </c>
      <c r="D239" s="1548">
        <f t="shared" si="14"/>
        <v>174.13684210526316</v>
      </c>
      <c r="E239" s="1548">
        <v>5920</v>
      </c>
      <c r="F239" s="1548">
        <v>2665</v>
      </c>
      <c r="G239" s="1547">
        <f t="shared" si="13"/>
        <v>450.16891891891891</v>
      </c>
      <c r="H239" s="1547">
        <v>18</v>
      </c>
      <c r="I239" s="1547">
        <v>31</v>
      </c>
      <c r="J239" s="1547">
        <f t="shared" si="12"/>
        <v>1.7222222222222223</v>
      </c>
      <c r="K239" s="374"/>
    </row>
    <row r="240" spans="1:11">
      <c r="A240" s="1550" t="s">
        <v>20</v>
      </c>
      <c r="B240" s="1549">
        <v>104</v>
      </c>
      <c r="C240" s="1548">
        <v>23466</v>
      </c>
      <c r="D240" s="1548">
        <f t="shared" si="14"/>
        <v>225.63461538461539</v>
      </c>
      <c r="E240" s="1548">
        <v>6286</v>
      </c>
      <c r="F240" s="1548">
        <v>3302</v>
      </c>
      <c r="G240" s="1547">
        <f t="shared" si="13"/>
        <v>525.294304804327</v>
      </c>
      <c r="H240" s="1547">
        <v>22</v>
      </c>
      <c r="I240" s="1547">
        <v>35</v>
      </c>
      <c r="J240" s="1547">
        <f t="shared" si="12"/>
        <v>1.5909090909090908</v>
      </c>
      <c r="K240" s="374"/>
    </row>
    <row r="241" spans="1:11">
      <c r="A241" s="1550" t="s">
        <v>21</v>
      </c>
      <c r="B241" s="1549">
        <v>112.12</v>
      </c>
      <c r="C241" s="1548">
        <v>20839.326282999999</v>
      </c>
      <c r="D241" s="1548">
        <f t="shared" si="14"/>
        <v>185.86627080806278</v>
      </c>
      <c r="E241" s="1548">
        <v>6480.875</v>
      </c>
      <c r="F241" s="1548">
        <v>3425.6060149999998</v>
      </c>
      <c r="G241" s="1547">
        <f t="shared" si="13"/>
        <v>528.57153007888587</v>
      </c>
      <c r="H241" s="1547">
        <v>25.18</v>
      </c>
      <c r="I241" s="1547">
        <v>42.958795000000002</v>
      </c>
      <c r="J241" s="1547">
        <f t="shared" si="12"/>
        <v>1.7060681096108024</v>
      </c>
      <c r="K241" s="374"/>
    </row>
    <row r="242" spans="1:11">
      <c r="A242" s="1550" t="s">
        <v>22</v>
      </c>
      <c r="B242" s="1549">
        <v>103.633</v>
      </c>
      <c r="C242" s="1548">
        <v>16256.340834000001</v>
      </c>
      <c r="D242" s="1548">
        <f t="shared" si="14"/>
        <v>156.86452031688748</v>
      </c>
      <c r="E242" s="1548">
        <v>6720.6639999999998</v>
      </c>
      <c r="F242" s="1548">
        <v>3242.397328</v>
      </c>
      <c r="G242" s="1547">
        <f t="shared" si="13"/>
        <v>482.45193153533637</v>
      </c>
      <c r="H242" s="1547">
        <v>24.11</v>
      </c>
      <c r="I242" s="1547">
        <v>39.065193999999998</v>
      </c>
      <c r="J242" s="1547">
        <f t="shared" si="12"/>
        <v>1.6202900871007879</v>
      </c>
      <c r="K242" s="374"/>
    </row>
    <row r="243" spans="1:11">
      <c r="A243" s="1550" t="s">
        <v>23</v>
      </c>
      <c r="B243" s="1549">
        <v>116.78400000000001</v>
      </c>
      <c r="C243" s="1548">
        <v>14850.078052999999</v>
      </c>
      <c r="D243" s="1548">
        <f t="shared" si="14"/>
        <v>127.15849819324563</v>
      </c>
      <c r="E243" s="1548">
        <v>6751.2380000000003</v>
      </c>
      <c r="F243" s="1548">
        <v>3257.9124919999999</v>
      </c>
      <c r="G243" s="1547">
        <f t="shared" si="13"/>
        <v>482.56519648692574</v>
      </c>
      <c r="H243" s="1547">
        <v>27.385000000000002</v>
      </c>
      <c r="I243" s="1547">
        <v>45.560265999999999</v>
      </c>
      <c r="J243" s="1547">
        <f t="shared" si="12"/>
        <v>1.6636942121599414</v>
      </c>
      <c r="K243" s="374"/>
    </row>
    <row r="244" spans="1:11">
      <c r="A244" s="1550" t="s">
        <v>24</v>
      </c>
      <c r="B244" s="1549">
        <v>110.021</v>
      </c>
      <c r="C244" s="1548">
        <v>15694.884866</v>
      </c>
      <c r="D244" s="1548">
        <f t="shared" si="14"/>
        <v>142.65353765190281</v>
      </c>
      <c r="E244" s="1548">
        <v>6965.4570000000003</v>
      </c>
      <c r="F244" s="1548">
        <v>3536.9061550000001</v>
      </c>
      <c r="G244" s="1547">
        <f t="shared" si="13"/>
        <v>507.77804744182606</v>
      </c>
      <c r="H244" s="1547">
        <v>30.625</v>
      </c>
      <c r="I244" s="1547">
        <v>50.419567999999998</v>
      </c>
      <c r="J244" s="1547">
        <f t="shared" si="12"/>
        <v>1.6463532408163264</v>
      </c>
      <c r="K244" s="374"/>
    </row>
    <row r="245" spans="1:11">
      <c r="A245" s="1550" t="s">
        <v>25</v>
      </c>
      <c r="B245" s="1549">
        <v>121.154</v>
      </c>
      <c r="C245" s="1548">
        <v>15361.737681000001</v>
      </c>
      <c r="D245" s="1548">
        <f t="shared" si="14"/>
        <v>126.79513413506777</v>
      </c>
      <c r="E245" s="1548">
        <v>9746.1890000000003</v>
      </c>
      <c r="F245" s="1548">
        <v>3436.945381</v>
      </c>
      <c r="G245" s="1547">
        <f t="shared" si="13"/>
        <v>352.64505757070793</v>
      </c>
      <c r="H245" s="1547">
        <v>31.245999999999999</v>
      </c>
      <c r="I245" s="1547">
        <v>50.178089999999997</v>
      </c>
      <c r="J245" s="1547">
        <f t="shared" si="12"/>
        <v>1.6059044357677783</v>
      </c>
      <c r="K245" s="374"/>
    </row>
    <row r="246" spans="1:11">
      <c r="A246" s="1550" t="s">
        <v>26</v>
      </c>
      <c r="B246" s="1549">
        <v>118.93899999999999</v>
      </c>
      <c r="C246" s="1548">
        <v>33364.511722000003</v>
      </c>
      <c r="D246" s="1548">
        <f t="shared" si="14"/>
        <v>280.51784294470281</v>
      </c>
      <c r="E246" s="1548">
        <v>9486.7710000000006</v>
      </c>
      <c r="F246" s="1548">
        <v>3224.0348319999998</v>
      </c>
      <c r="G246" s="1547">
        <f t="shared" si="13"/>
        <v>339.84533114586611</v>
      </c>
      <c r="H246" s="1547">
        <v>32.094999999999999</v>
      </c>
      <c r="I246" s="1547">
        <v>47.609662</v>
      </c>
      <c r="J246" s="1547">
        <f t="shared" si="12"/>
        <v>1.4833980993924287</v>
      </c>
      <c r="K246" s="374"/>
    </row>
    <row r="247" spans="1:11">
      <c r="A247" s="1550" t="s">
        <v>27</v>
      </c>
      <c r="B247" s="1549">
        <v>119.46899999999999</v>
      </c>
      <c r="C247" s="1548">
        <v>36943.431165000002</v>
      </c>
      <c r="D247" s="1548">
        <f t="shared" si="14"/>
        <v>309.23027032117119</v>
      </c>
      <c r="E247" s="1548">
        <v>11063.34</v>
      </c>
      <c r="F247" s="1548">
        <v>3664.3454000000002</v>
      </c>
      <c r="G247" s="1547">
        <f t="shared" si="13"/>
        <v>331.2151122536232</v>
      </c>
      <c r="H247" s="1547">
        <v>30.832999999999998</v>
      </c>
      <c r="I247" s="1547">
        <v>45.243550999999997</v>
      </c>
      <c r="J247" s="1547">
        <f t="shared" si="12"/>
        <v>1.467374274316479</v>
      </c>
      <c r="K247" s="374"/>
    </row>
    <row r="248" spans="1:11">
      <c r="A248" s="1550" t="s">
        <v>28</v>
      </c>
      <c r="B248" s="1549">
        <v>125.40600000000001</v>
      </c>
      <c r="C248" s="1548">
        <v>39324.417258000001</v>
      </c>
      <c r="D248" s="1548">
        <f t="shared" si="14"/>
        <v>313.57684048610116</v>
      </c>
      <c r="E248" s="1548">
        <v>9989.2260000000006</v>
      </c>
      <c r="F248" s="1548">
        <v>3814.8712759999999</v>
      </c>
      <c r="G248" s="1547">
        <f t="shared" si="13"/>
        <v>381.89858513562507</v>
      </c>
      <c r="H248" s="1547">
        <v>34.107999999999997</v>
      </c>
      <c r="I248" s="1547">
        <v>49.752963000000001</v>
      </c>
      <c r="J248" s="1547">
        <f t="shared" si="12"/>
        <v>1.4586889586020877</v>
      </c>
      <c r="K248" s="374"/>
    </row>
    <row r="249" spans="1:11">
      <c r="A249" s="1550" t="s">
        <v>29</v>
      </c>
      <c r="B249" s="1549">
        <v>165.12</v>
      </c>
      <c r="C249" s="1548">
        <v>49996.540850999998</v>
      </c>
      <c r="D249" s="1548">
        <f t="shared" si="14"/>
        <v>302.78912821584299</v>
      </c>
      <c r="E249" s="1548">
        <v>10468.868</v>
      </c>
      <c r="F249" s="1548">
        <v>5421.0985710000004</v>
      </c>
      <c r="G249" s="1547">
        <f t="shared" si="13"/>
        <v>517.83044460967506</v>
      </c>
      <c r="H249" s="1547">
        <v>45.747</v>
      </c>
      <c r="I249" s="1547">
        <v>81.847286999999994</v>
      </c>
      <c r="J249" s="1547">
        <f t="shared" si="12"/>
        <v>1.789129057643124</v>
      </c>
      <c r="K249" s="374"/>
    </row>
    <row r="250" spans="1:11">
      <c r="A250" s="1550" t="s">
        <v>3518</v>
      </c>
      <c r="B250" s="1552">
        <f>SUM(B251:B262)</f>
        <v>2119.4009999999998</v>
      </c>
      <c r="C250" s="1551">
        <f>SUM(C251:C262)</f>
        <v>716310.87747800001</v>
      </c>
      <c r="D250" s="1551">
        <f t="shared" ref="D250" si="15">C250/B250</f>
        <v>337.97798409928089</v>
      </c>
      <c r="E250" s="1551">
        <f>SUM(E251:E262)</f>
        <v>145036.74300000002</v>
      </c>
      <c r="F250" s="1551">
        <f>SUM(F251:F262)</f>
        <v>49011.95576099999</v>
      </c>
      <c r="G250" s="1551">
        <f t="shared" ref="G250" si="16">F250/E250*1000</f>
        <v>337.92785708791035</v>
      </c>
      <c r="H250" s="1551">
        <f>SUM(H251:H262)</f>
        <v>587.61799999999994</v>
      </c>
      <c r="I250" s="1551">
        <f>SUM(I251:I262)</f>
        <v>1054.408682</v>
      </c>
      <c r="J250" s="1551">
        <f t="shared" ref="J250" si="17">I250/H250</f>
        <v>1.7943777794417464</v>
      </c>
      <c r="K250" s="374"/>
    </row>
    <row r="251" spans="1:11">
      <c r="A251" s="1550" t="s">
        <v>18</v>
      </c>
      <c r="B251" s="1549">
        <v>91.108000000000004</v>
      </c>
      <c r="C251" s="1548">
        <v>36660.706982999996</v>
      </c>
      <c r="D251" s="1548">
        <f t="shared" ref="D251:D263" si="18">C251/B251</f>
        <v>402.38735328401452</v>
      </c>
      <c r="E251" s="1548">
        <v>10204.352999999999</v>
      </c>
      <c r="F251" s="1548">
        <v>3647.5491040000002</v>
      </c>
      <c r="G251" s="1547">
        <f t="shared" ref="G251:G263" si="19">F251/E251*1000</f>
        <v>357.45030615855808</v>
      </c>
      <c r="H251" s="1547">
        <v>40.293999999999997</v>
      </c>
      <c r="I251" s="1547">
        <v>53.433326999999998</v>
      </c>
      <c r="J251" s="1547">
        <f t="shared" ref="J251:J263" si="20">I251/H251</f>
        <v>1.3260864396684371</v>
      </c>
      <c r="K251" s="374"/>
    </row>
    <row r="252" spans="1:11">
      <c r="A252" s="1550" t="s">
        <v>19</v>
      </c>
      <c r="B252" s="1549">
        <v>160.44499999999999</v>
      </c>
      <c r="C252" s="1548">
        <v>37145.696744000001</v>
      </c>
      <c r="D252" s="1548">
        <f t="shared" si="18"/>
        <v>231.51669883137527</v>
      </c>
      <c r="E252" s="1548">
        <v>10531.706</v>
      </c>
      <c r="F252" s="1548">
        <v>3214.1088570000002</v>
      </c>
      <c r="G252" s="1547">
        <f t="shared" si="19"/>
        <v>305.18406581042046</v>
      </c>
      <c r="H252" s="1547">
        <v>45.042000000000002</v>
      </c>
      <c r="I252" s="1547">
        <v>140.54292100000001</v>
      </c>
      <c r="J252" s="1547">
        <f t="shared" si="20"/>
        <v>3.1202637760312597</v>
      </c>
      <c r="K252" s="374"/>
    </row>
    <row r="253" spans="1:11">
      <c r="A253" s="1550" t="s">
        <v>20</v>
      </c>
      <c r="B253" s="1549">
        <v>178.48400000000001</v>
      </c>
      <c r="C253" s="1548">
        <v>41829.277486999999</v>
      </c>
      <c r="D253" s="1548">
        <f t="shared" si="18"/>
        <v>234.35869594473454</v>
      </c>
      <c r="E253" s="1548">
        <v>11058.906999999999</v>
      </c>
      <c r="F253" s="1548">
        <v>3814.5697449999998</v>
      </c>
      <c r="G253" s="1547">
        <f t="shared" si="19"/>
        <v>344.93189471617762</v>
      </c>
      <c r="H253" s="1547">
        <v>51.276000000000003</v>
      </c>
      <c r="I253" s="1547">
        <v>195.251194</v>
      </c>
      <c r="J253" s="1547">
        <f t="shared" si="20"/>
        <v>3.8078476090178639</v>
      </c>
      <c r="K253" s="374"/>
    </row>
    <row r="254" spans="1:11">
      <c r="A254" s="1550" t="s">
        <v>21</v>
      </c>
      <c r="B254" s="1549">
        <v>162.11699999999999</v>
      </c>
      <c r="C254" s="1548">
        <v>40483.132396000001</v>
      </c>
      <c r="D254" s="1548">
        <f t="shared" si="18"/>
        <v>249.71552888346073</v>
      </c>
      <c r="E254" s="1548">
        <v>10624.512000000001</v>
      </c>
      <c r="F254" s="1548">
        <v>3984.703051</v>
      </c>
      <c r="G254" s="1547">
        <f t="shared" si="19"/>
        <v>375.04810112690353</v>
      </c>
      <c r="H254" s="1547">
        <v>46.591999999999999</v>
      </c>
      <c r="I254" s="1547">
        <v>72.627515000000002</v>
      </c>
      <c r="J254" s="1547">
        <f t="shared" si="20"/>
        <v>1.5587979696085166</v>
      </c>
      <c r="K254" s="374"/>
    </row>
    <row r="255" spans="1:11">
      <c r="A255" s="1550" t="s">
        <v>22</v>
      </c>
      <c r="B255" s="1549">
        <v>181.45500000000001</v>
      </c>
      <c r="C255" s="1548">
        <v>45947.633055999999</v>
      </c>
      <c r="D255" s="1548">
        <f t="shared" si="18"/>
        <v>253.21778433220356</v>
      </c>
      <c r="E255" s="1548">
        <v>12614.641</v>
      </c>
      <c r="F255" s="1548">
        <v>3770.7526939999998</v>
      </c>
      <c r="G255" s="1547">
        <f t="shared" si="19"/>
        <v>298.91874798498031</v>
      </c>
      <c r="H255" s="1547">
        <v>51.448999999999998</v>
      </c>
      <c r="I255" s="1547">
        <v>76.014280999999997</v>
      </c>
      <c r="J255" s="1547">
        <f t="shared" si="20"/>
        <v>1.4774685805360648</v>
      </c>
      <c r="K255" s="374"/>
    </row>
    <row r="256" spans="1:11">
      <c r="A256" s="1550" t="s">
        <v>23</v>
      </c>
      <c r="B256" s="1549">
        <v>178.196</v>
      </c>
      <c r="C256" s="1548">
        <v>38896.040908000003</v>
      </c>
      <c r="D256" s="1548">
        <f t="shared" si="18"/>
        <v>218.276734090552</v>
      </c>
      <c r="E256" s="1548">
        <v>12206.165999999999</v>
      </c>
      <c r="F256" s="1548">
        <v>3669.9096650000001</v>
      </c>
      <c r="G256" s="1547">
        <f t="shared" si="19"/>
        <v>300.66031094448499</v>
      </c>
      <c r="H256" s="1547">
        <v>48.164999999999999</v>
      </c>
      <c r="I256" s="1547">
        <v>75.469903000000002</v>
      </c>
      <c r="J256" s="1547">
        <f t="shared" si="20"/>
        <v>1.5669034153430916</v>
      </c>
      <c r="K256" s="374"/>
    </row>
    <row r="257" spans="1:11">
      <c r="A257" s="1550" t="s">
        <v>24</v>
      </c>
      <c r="B257" s="1549">
        <v>178.06700000000001</v>
      </c>
      <c r="C257" s="1548">
        <v>48385.682926000001</v>
      </c>
      <c r="D257" s="1548">
        <f t="shared" si="18"/>
        <v>271.72739994496453</v>
      </c>
      <c r="E257" s="1548">
        <v>15076.252</v>
      </c>
      <c r="F257" s="1548">
        <v>4537.6238460000004</v>
      </c>
      <c r="G257" s="1547">
        <f t="shared" si="19"/>
        <v>300.97824353161519</v>
      </c>
      <c r="H257" s="1547">
        <v>48.701999999999998</v>
      </c>
      <c r="I257" s="1547">
        <v>76.798392000000007</v>
      </c>
      <c r="J257" s="1547">
        <f t="shared" si="20"/>
        <v>1.5769042749784405</v>
      </c>
      <c r="K257" s="374"/>
    </row>
    <row r="258" spans="1:11">
      <c r="A258" s="1550" t="s">
        <v>25</v>
      </c>
      <c r="B258" s="1549">
        <v>181.15700000000001</v>
      </c>
      <c r="C258" s="1548">
        <v>59812.890206999997</v>
      </c>
      <c r="D258" s="1548">
        <f t="shared" si="18"/>
        <v>330.17156503474882</v>
      </c>
      <c r="E258" s="1548">
        <v>12575.754999999999</v>
      </c>
      <c r="F258" s="1548">
        <v>4482.0786699999999</v>
      </c>
      <c r="G258" s="1547">
        <f t="shared" si="19"/>
        <v>356.40632868563358</v>
      </c>
      <c r="H258" s="1547">
        <v>49.209000000000003</v>
      </c>
      <c r="I258" s="1547">
        <v>74.161629000000005</v>
      </c>
      <c r="J258" s="1547">
        <f t="shared" si="20"/>
        <v>1.5070744985673352</v>
      </c>
      <c r="K258" s="374"/>
    </row>
    <row r="259" spans="1:11">
      <c r="A259" s="1550" t="s">
        <v>26</v>
      </c>
      <c r="B259" s="1549">
        <v>172.11600000000001</v>
      </c>
      <c r="C259" s="1548">
        <v>73784.507656999995</v>
      </c>
      <c r="D259" s="1548">
        <f t="shared" si="18"/>
        <v>428.69057877826577</v>
      </c>
      <c r="E259" s="1548">
        <v>11811.055</v>
      </c>
      <c r="F259" s="1548">
        <v>4120.426931</v>
      </c>
      <c r="G259" s="1547">
        <f t="shared" si="19"/>
        <v>348.86188668158769</v>
      </c>
      <c r="H259" s="1547">
        <v>47.106999999999999</v>
      </c>
      <c r="I259" s="1547">
        <v>68.687235999999999</v>
      </c>
      <c r="J259" s="1547">
        <f t="shared" si="20"/>
        <v>1.4581110238393444</v>
      </c>
      <c r="K259" s="374"/>
    </row>
    <row r="260" spans="1:11">
      <c r="A260" s="1550" t="s">
        <v>27</v>
      </c>
      <c r="B260" s="1549">
        <v>186.50399999999999</v>
      </c>
      <c r="C260" s="1548">
        <v>81116.384445999996</v>
      </c>
      <c r="D260" s="1548">
        <f t="shared" si="18"/>
        <v>434.93107089392186</v>
      </c>
      <c r="E260" s="1548">
        <v>13151.196</v>
      </c>
      <c r="F260" s="1548">
        <v>4445.8855469999999</v>
      </c>
      <c r="G260" s="1547">
        <f t="shared" si="19"/>
        <v>338.05940896934396</v>
      </c>
      <c r="H260" s="1547">
        <v>51.402000000000001</v>
      </c>
      <c r="I260" s="1547">
        <v>67.922317000000007</v>
      </c>
      <c r="J260" s="1547">
        <f t="shared" si="20"/>
        <v>1.3213944399050621</v>
      </c>
      <c r="K260" s="374"/>
    </row>
    <row r="261" spans="1:11">
      <c r="A261" s="1550" t="s">
        <v>28</v>
      </c>
      <c r="B261" s="1549">
        <v>184.05699999999999</v>
      </c>
      <c r="C261" s="1548">
        <v>98807.544632999998</v>
      </c>
      <c r="D261" s="1548">
        <f t="shared" si="18"/>
        <v>536.83122420228517</v>
      </c>
      <c r="E261" s="1548">
        <v>12260.946</v>
      </c>
      <c r="F261" s="1548">
        <v>4066.1211969999999</v>
      </c>
      <c r="G261" s="1547">
        <f t="shared" si="19"/>
        <v>331.63193092931004</v>
      </c>
      <c r="H261" s="1547">
        <v>49.743000000000002</v>
      </c>
      <c r="I261" s="1547">
        <v>71.27946</v>
      </c>
      <c r="J261" s="1547">
        <f t="shared" si="20"/>
        <v>1.4329545865749955</v>
      </c>
      <c r="K261" s="374"/>
    </row>
    <row r="262" spans="1:11">
      <c r="A262" s="1550" t="s">
        <v>29</v>
      </c>
      <c r="B262" s="1549">
        <v>265.69499999999999</v>
      </c>
      <c r="C262" s="1548">
        <v>113441.38003499999</v>
      </c>
      <c r="D262" s="1548">
        <f t="shared" si="18"/>
        <v>426.96091396149717</v>
      </c>
      <c r="E262" s="1548">
        <v>12921.254000000001</v>
      </c>
      <c r="F262" s="1548">
        <v>5258.2264539999996</v>
      </c>
      <c r="G262" s="1547">
        <f t="shared" si="19"/>
        <v>406.9439741684514</v>
      </c>
      <c r="H262" s="1547">
        <v>58.637</v>
      </c>
      <c r="I262" s="1547">
        <v>82.220506999999998</v>
      </c>
      <c r="J262" s="1547">
        <f t="shared" si="20"/>
        <v>1.4021949792792945</v>
      </c>
      <c r="K262" s="374"/>
    </row>
    <row r="263" spans="1:11">
      <c r="A263" s="1550" t="s">
        <v>3989</v>
      </c>
      <c r="B263" s="1552">
        <f>SUM(B264:B275)</f>
        <v>2226.7510000000002</v>
      </c>
      <c r="C263" s="1551">
        <f>SUM(C264:C275)</f>
        <v>705835.56848799996</v>
      </c>
      <c r="D263" s="1551">
        <f t="shared" si="18"/>
        <v>316.98001639518736</v>
      </c>
      <c r="E263" s="1551">
        <f>SUM(E264:E275)</f>
        <v>165537.51300000001</v>
      </c>
      <c r="F263" s="1551">
        <f>SUM(F264:F275)</f>
        <v>52952.124958999993</v>
      </c>
      <c r="G263" s="1551">
        <f t="shared" si="19"/>
        <v>319.87991120175877</v>
      </c>
      <c r="H263" s="1551">
        <f>SUM(H264:H275)</f>
        <v>800.71399999999994</v>
      </c>
      <c r="I263" s="1551">
        <f>SUM(I264:I275)</f>
        <v>1372.5862050000001</v>
      </c>
      <c r="J263" s="1551">
        <f t="shared" si="20"/>
        <v>1.7142028302240253</v>
      </c>
      <c r="K263" s="374"/>
    </row>
    <row r="264" spans="1:11">
      <c r="A264" s="1550" t="s">
        <v>18</v>
      </c>
      <c r="B264" s="1549">
        <v>111.621</v>
      </c>
      <c r="C264" s="1548">
        <v>63231.802595000001</v>
      </c>
      <c r="D264" s="1548">
        <f t="shared" ref="D264:D281" si="21">C264/B264</f>
        <v>566.48661627292358</v>
      </c>
      <c r="E264" s="1548">
        <v>12173.221</v>
      </c>
      <c r="F264" s="1548">
        <v>3804.0335439999999</v>
      </c>
      <c r="G264" s="1547">
        <f t="shared" ref="G264:G281" si="22">F264/E264*1000</f>
        <v>312.49194802263099</v>
      </c>
      <c r="H264" s="1547">
        <v>51.305</v>
      </c>
      <c r="I264" s="1547">
        <v>67.108132999999995</v>
      </c>
      <c r="J264" s="1547">
        <f t="shared" ref="J264:J281" si="23">I264/H264</f>
        <v>1.3080232530942402</v>
      </c>
      <c r="K264" s="374"/>
    </row>
    <row r="265" spans="1:11">
      <c r="A265" s="1550" t="s">
        <v>19</v>
      </c>
      <c r="B265" s="1549">
        <v>176.43299999999999</v>
      </c>
      <c r="C265" s="1548">
        <v>72933.747545000006</v>
      </c>
      <c r="D265" s="1548">
        <f t="shared" si="21"/>
        <v>413.37928587622503</v>
      </c>
      <c r="E265" s="1548">
        <v>12465.625</v>
      </c>
      <c r="F265" s="1548">
        <v>3802.1383340000002</v>
      </c>
      <c r="G265" s="1547">
        <f t="shared" si="22"/>
        <v>305.0098437904237</v>
      </c>
      <c r="H265" s="1547">
        <v>55.773000000000003</v>
      </c>
      <c r="I265" s="1547">
        <v>72.082678999999999</v>
      </c>
      <c r="J265" s="1547">
        <f t="shared" si="23"/>
        <v>1.2924296523407381</v>
      </c>
      <c r="K265" s="374"/>
    </row>
    <row r="266" spans="1:11">
      <c r="A266" s="1550" t="s">
        <v>20</v>
      </c>
      <c r="B266" s="1549">
        <v>167.42500000000001</v>
      </c>
      <c r="C266" s="1548">
        <v>58852.146033999998</v>
      </c>
      <c r="D266" s="1548">
        <f t="shared" si="21"/>
        <v>351.51348982529487</v>
      </c>
      <c r="E266" s="1548">
        <v>12973.259</v>
      </c>
      <c r="F266" s="1548">
        <v>4083.212755</v>
      </c>
      <c r="G266" s="1547">
        <f t="shared" si="22"/>
        <v>314.74071048762693</v>
      </c>
      <c r="H266" s="1547">
        <v>60.451000000000001</v>
      </c>
      <c r="I266" s="1547">
        <v>85.879328999999998</v>
      </c>
      <c r="J266" s="1547">
        <f t="shared" si="23"/>
        <v>1.4206436452664142</v>
      </c>
      <c r="K266" s="374"/>
    </row>
    <row r="267" spans="1:11">
      <c r="A267" s="1550" t="s">
        <v>21</v>
      </c>
      <c r="B267" s="1549">
        <v>179</v>
      </c>
      <c r="C267" s="1548">
        <v>48123.378424000002</v>
      </c>
      <c r="D267" s="1548">
        <f t="shared" si="21"/>
        <v>268.8456895195531</v>
      </c>
      <c r="E267" s="1548">
        <v>14054.401</v>
      </c>
      <c r="F267" s="1548">
        <v>4763.3389669999997</v>
      </c>
      <c r="G267" s="1547">
        <f t="shared" si="22"/>
        <v>338.92152123736895</v>
      </c>
      <c r="H267" s="1547">
        <v>67.671000000000006</v>
      </c>
      <c r="I267" s="1547">
        <v>86.477007999999998</v>
      </c>
      <c r="J267" s="1547">
        <f t="shared" si="23"/>
        <v>1.2779035037165105</v>
      </c>
      <c r="K267" s="374"/>
    </row>
    <row r="268" spans="1:11">
      <c r="A268" s="1550" t="s">
        <v>22</v>
      </c>
      <c r="B268" s="1549">
        <v>194.55</v>
      </c>
      <c r="C268" s="1548">
        <v>46584.659470999999</v>
      </c>
      <c r="D268" s="1548">
        <f t="shared" si="21"/>
        <v>239.4482625083526</v>
      </c>
      <c r="E268" s="1548">
        <v>14006.873</v>
      </c>
      <c r="F268" s="1548">
        <v>4032.7997300000002</v>
      </c>
      <c r="G268" s="1547">
        <f t="shared" si="22"/>
        <v>287.9157774900936</v>
      </c>
      <c r="H268" s="1547">
        <v>64.111999999999995</v>
      </c>
      <c r="I268" s="1547">
        <v>86.483063999999999</v>
      </c>
      <c r="J268" s="1547">
        <f t="shared" si="23"/>
        <v>1.3489372348390318</v>
      </c>
      <c r="K268" s="374"/>
    </row>
    <row r="269" spans="1:11">
      <c r="A269" s="1550" t="s">
        <v>23</v>
      </c>
      <c r="B269" s="1549">
        <v>165.25399999999999</v>
      </c>
      <c r="C269" s="1548">
        <v>52842.938095999998</v>
      </c>
      <c r="D269" s="1548">
        <f t="shared" si="21"/>
        <v>319.76798199135874</v>
      </c>
      <c r="E269" s="1548">
        <v>12766.877</v>
      </c>
      <c r="F269" s="1548">
        <v>3930.7540669999998</v>
      </c>
      <c r="G269" s="1547">
        <f t="shared" si="22"/>
        <v>307.8868909757648</v>
      </c>
      <c r="H269" s="1547">
        <v>59.311999999999998</v>
      </c>
      <c r="I269" s="1547">
        <v>78.355957000000004</v>
      </c>
      <c r="J269" s="1547">
        <f t="shared" si="23"/>
        <v>1.3210810122740761</v>
      </c>
      <c r="K269" s="374"/>
    </row>
    <row r="270" spans="1:11">
      <c r="A270" s="1550" t="s">
        <v>24</v>
      </c>
      <c r="B270" s="1549">
        <v>214.07499999999999</v>
      </c>
      <c r="C270" s="1548">
        <v>54122.680694000002</v>
      </c>
      <c r="D270" s="1548">
        <f t="shared" si="21"/>
        <v>252.82111733738179</v>
      </c>
      <c r="E270" s="1548">
        <v>13623.405000000001</v>
      </c>
      <c r="F270" s="1548">
        <v>4909.1215419999999</v>
      </c>
      <c r="G270" s="1547">
        <f t="shared" si="22"/>
        <v>360.34468196460426</v>
      </c>
      <c r="H270" s="1547">
        <v>65.051000000000002</v>
      </c>
      <c r="I270" s="1547">
        <v>98.053759999999997</v>
      </c>
      <c r="J270" s="1547">
        <f t="shared" si="23"/>
        <v>1.5073367050468094</v>
      </c>
      <c r="K270" s="374"/>
    </row>
    <row r="271" spans="1:11">
      <c r="A271" s="1550" t="s">
        <v>25</v>
      </c>
      <c r="B271" s="1549">
        <v>187.852</v>
      </c>
      <c r="C271" s="1548">
        <v>54365.744533999998</v>
      </c>
      <c r="D271" s="1548">
        <f t="shared" si="21"/>
        <v>289.40732349935053</v>
      </c>
      <c r="E271" s="1548">
        <v>14166.255999999999</v>
      </c>
      <c r="F271" s="1548">
        <v>4493.2275980000004</v>
      </c>
      <c r="G271" s="1547">
        <f t="shared" si="22"/>
        <v>317.17820135397812</v>
      </c>
      <c r="H271" s="1547">
        <v>63.904000000000003</v>
      </c>
      <c r="I271" s="1547">
        <v>95.307574000000002</v>
      </c>
      <c r="J271" s="1547">
        <f t="shared" si="23"/>
        <v>1.4914179707060591</v>
      </c>
      <c r="K271" s="374"/>
    </row>
    <row r="272" spans="1:11">
      <c r="A272" s="1550" t="s">
        <v>26</v>
      </c>
      <c r="B272" s="1549">
        <v>185.47</v>
      </c>
      <c r="C272" s="1548">
        <v>49394.279131000003</v>
      </c>
      <c r="D272" s="1548">
        <f t="shared" si="21"/>
        <v>266.31950790424327</v>
      </c>
      <c r="E272" s="1548">
        <v>14982.645</v>
      </c>
      <c r="F272" s="1548">
        <v>4213.7734309999996</v>
      </c>
      <c r="G272" s="1547">
        <f t="shared" si="22"/>
        <v>281.2436276104786</v>
      </c>
      <c r="H272" s="1547">
        <v>65.370999999999995</v>
      </c>
      <c r="I272" s="1547">
        <v>94.116104000000007</v>
      </c>
      <c r="J272" s="1547">
        <f t="shared" si="23"/>
        <v>1.4397225681112422</v>
      </c>
      <c r="K272" s="374"/>
    </row>
    <row r="273" spans="1:34">
      <c r="A273" s="1550" t="s">
        <v>27</v>
      </c>
      <c r="B273" s="1549">
        <v>208.68299999999999</v>
      </c>
      <c r="C273" s="1548">
        <v>61862.597988000001</v>
      </c>
      <c r="D273" s="1548">
        <f t="shared" si="21"/>
        <v>296.44292054455804</v>
      </c>
      <c r="E273" s="1548">
        <v>15468.522000000001</v>
      </c>
      <c r="F273" s="1548">
        <v>4851.2026219999998</v>
      </c>
      <c r="G273" s="1547">
        <f t="shared" si="22"/>
        <v>313.61772133110065</v>
      </c>
      <c r="H273" s="1547">
        <v>76.762</v>
      </c>
      <c r="I273" s="1547">
        <v>414.00317799999999</v>
      </c>
      <c r="J273" s="1547">
        <f t="shared" si="23"/>
        <v>5.3933349574007972</v>
      </c>
      <c r="K273" s="374"/>
    </row>
    <row r="274" spans="1:34">
      <c r="A274" s="1550" t="s">
        <v>28</v>
      </c>
      <c r="B274" s="1549">
        <v>180.74600000000001</v>
      </c>
      <c r="C274" s="1548">
        <v>64108.821402000001</v>
      </c>
      <c r="D274" s="1548">
        <f t="shared" si="21"/>
        <v>354.69012538036804</v>
      </c>
      <c r="E274" s="1548">
        <v>13963.672</v>
      </c>
      <c r="F274" s="1548">
        <v>4028.8756899999998</v>
      </c>
      <c r="G274" s="1547">
        <f t="shared" si="22"/>
        <v>288.52551749998133</v>
      </c>
      <c r="H274" s="1547">
        <v>71.989999999999995</v>
      </c>
      <c r="I274" s="1547">
        <v>84.856795000000005</v>
      </c>
      <c r="J274" s="1547">
        <f t="shared" si="23"/>
        <v>1.1787303097652453</v>
      </c>
      <c r="K274" s="374"/>
    </row>
    <row r="275" spans="1:34">
      <c r="A275" s="1550" t="s">
        <v>29</v>
      </c>
      <c r="B275" s="1549">
        <v>255.642</v>
      </c>
      <c r="C275" s="1548">
        <v>79412.772574000002</v>
      </c>
      <c r="D275" s="1548">
        <f t="shared" si="21"/>
        <v>310.64055426729567</v>
      </c>
      <c r="E275" s="1548">
        <v>14892.757</v>
      </c>
      <c r="F275" s="1548">
        <v>6039.6466790000004</v>
      </c>
      <c r="G275" s="1547">
        <f t="shared" si="22"/>
        <v>405.54255192641637</v>
      </c>
      <c r="H275" s="1547">
        <v>99.012</v>
      </c>
      <c r="I275" s="1547">
        <v>109.862624</v>
      </c>
      <c r="J275" s="1547">
        <f t="shared" si="23"/>
        <v>1.1095889791136428</v>
      </c>
      <c r="K275" s="374"/>
    </row>
    <row r="276" spans="1:34">
      <c r="A276" s="1550" t="s">
        <v>4222</v>
      </c>
      <c r="B276" s="1552"/>
      <c r="C276" s="1551"/>
      <c r="D276" s="1548"/>
      <c r="E276" s="1551"/>
      <c r="F276" s="1551"/>
      <c r="G276" s="1547"/>
      <c r="H276" s="1551"/>
      <c r="I276" s="1551"/>
      <c r="J276" s="1547"/>
      <c r="K276" s="374"/>
    </row>
    <row r="277" spans="1:34">
      <c r="A277" s="1550" t="s">
        <v>18</v>
      </c>
      <c r="B277" s="2128">
        <v>116.986</v>
      </c>
      <c r="C277" s="1547">
        <v>66798.366133999996</v>
      </c>
      <c r="D277" s="1548">
        <f t="shared" si="21"/>
        <v>570.99453040534763</v>
      </c>
      <c r="E277" s="1547">
        <v>14148.753000000001</v>
      </c>
      <c r="F277" s="1547">
        <v>4058.9534149999999</v>
      </c>
      <c r="G277" s="1547">
        <f t="shared" si="22"/>
        <v>286.87711312792015</v>
      </c>
      <c r="H277" s="1547">
        <v>72.164000000000001</v>
      </c>
      <c r="I277" s="1547">
        <v>87.914000000000001</v>
      </c>
      <c r="J277" s="1547">
        <f t="shared" si="23"/>
        <v>1.2182528684662712</v>
      </c>
      <c r="K277" s="374"/>
    </row>
    <row r="278" spans="1:34">
      <c r="A278" s="1550" t="s">
        <v>19</v>
      </c>
      <c r="B278" s="2128">
        <v>169.04900000000001</v>
      </c>
      <c r="C278" s="1547">
        <v>42069.517595999998</v>
      </c>
      <c r="D278" s="1548">
        <f t="shared" si="21"/>
        <v>248.85990213488395</v>
      </c>
      <c r="E278" s="1547">
        <v>13408.712</v>
      </c>
      <c r="F278" s="1547">
        <v>3614.2437810000001</v>
      </c>
      <c r="G278" s="1547">
        <f t="shared" si="22"/>
        <v>269.5444410320693</v>
      </c>
      <c r="H278" s="1547">
        <v>72.382999999999996</v>
      </c>
      <c r="I278" s="1547">
        <v>96.041235</v>
      </c>
      <c r="J278" s="1547">
        <f t="shared" si="23"/>
        <v>1.3268479477225317</v>
      </c>
      <c r="K278" s="374"/>
    </row>
    <row r="279" spans="1:34">
      <c r="A279" s="1550" t="s">
        <v>20</v>
      </c>
      <c r="B279" s="2128">
        <v>160.893</v>
      </c>
      <c r="C279" s="1547">
        <v>41999.902264999997</v>
      </c>
      <c r="D279" s="1548">
        <f t="shared" si="21"/>
        <v>261.04244600448743</v>
      </c>
      <c r="E279" s="1547">
        <v>14940.553</v>
      </c>
      <c r="F279" s="1547">
        <v>4456.8135990000001</v>
      </c>
      <c r="G279" s="1547">
        <f t="shared" si="22"/>
        <v>298.30312164482802</v>
      </c>
      <c r="H279" s="1547">
        <v>74.016999999999996</v>
      </c>
      <c r="I279" s="1547">
        <v>93.848224999999999</v>
      </c>
      <c r="J279" s="1547">
        <f t="shared" si="23"/>
        <v>1.2679279760055122</v>
      </c>
      <c r="K279" s="374"/>
    </row>
    <row r="280" spans="1:34">
      <c r="A280" s="1550" t="s">
        <v>21</v>
      </c>
      <c r="B280" s="2128">
        <v>193.393</v>
      </c>
      <c r="C280" s="1547">
        <v>70969.915682999999</v>
      </c>
      <c r="D280" s="1548">
        <f t="shared" si="21"/>
        <v>366.97251546333115</v>
      </c>
      <c r="E280" s="1547">
        <v>15069.36</v>
      </c>
      <c r="F280" s="1547">
        <v>6257.5174610000004</v>
      </c>
      <c r="G280" s="1547">
        <f t="shared" si="22"/>
        <v>415.24772525176917</v>
      </c>
      <c r="H280" s="1547">
        <v>114.06699999999999</v>
      </c>
      <c r="I280" s="1547">
        <v>136.49768599999999</v>
      </c>
      <c r="J280" s="1547">
        <f t="shared" si="23"/>
        <v>1.1966448315463718</v>
      </c>
      <c r="K280" s="374"/>
    </row>
    <row r="281" spans="1:34">
      <c r="A281" s="1550" t="s">
        <v>22</v>
      </c>
      <c r="B281" s="1549">
        <v>222.107</v>
      </c>
      <c r="C281" s="1548">
        <v>55390.565256000002</v>
      </c>
      <c r="D281" s="1548">
        <f t="shared" si="21"/>
        <v>249.38685073410565</v>
      </c>
      <c r="E281" s="1548">
        <v>9667.607</v>
      </c>
      <c r="F281" s="1548">
        <v>3900.1404379999999</v>
      </c>
      <c r="G281" s="1547">
        <f t="shared" si="22"/>
        <v>403.42356055640244</v>
      </c>
      <c r="H281" s="1547">
        <v>244.99100000000001</v>
      </c>
      <c r="I281" s="1547">
        <v>162.99889099999999</v>
      </c>
      <c r="J281" s="1547">
        <f t="shared" si="23"/>
        <v>0.66532603646664557</v>
      </c>
      <c r="K281" s="374"/>
    </row>
    <row r="282" spans="1:34" s="1545" customFormat="1" ht="12" customHeight="1">
      <c r="A282" s="2731" t="s">
        <v>3273</v>
      </c>
      <c r="B282" s="2731"/>
      <c r="C282" s="2731"/>
      <c r="D282" s="2731"/>
      <c r="E282" s="2731"/>
      <c r="F282" s="2731"/>
      <c r="G282" s="2731"/>
      <c r="H282" s="2731"/>
      <c r="I282" s="2731"/>
      <c r="J282" s="2731"/>
      <c r="K282" s="1546"/>
      <c r="L282" s="1546"/>
      <c r="M282" s="1546"/>
      <c r="N282" s="1546"/>
      <c r="O282" s="1546"/>
      <c r="P282" s="1546"/>
      <c r="Q282" s="1546"/>
      <c r="R282" s="1546"/>
      <c r="S282" s="1546"/>
      <c r="T282" s="1546"/>
      <c r="U282" s="1546"/>
      <c r="V282" s="1546"/>
      <c r="W282" s="1546"/>
      <c r="X282" s="1546"/>
      <c r="Y282" s="1546"/>
      <c r="Z282" s="1546"/>
      <c r="AA282" s="1546"/>
      <c r="AB282" s="1546"/>
      <c r="AC282" s="1546"/>
      <c r="AD282" s="1546"/>
      <c r="AE282" s="1546"/>
      <c r="AF282" s="1546"/>
      <c r="AG282" s="1546"/>
      <c r="AH282" s="1546"/>
    </row>
    <row r="283" spans="1:34" s="1545" customFormat="1" ht="12" customHeight="1">
      <c r="A283" s="2728" t="s">
        <v>3274</v>
      </c>
      <c r="B283" s="2728"/>
      <c r="C283" s="2728"/>
      <c r="D283" s="2728"/>
      <c r="E283" s="2728"/>
      <c r="F283" s="2728"/>
      <c r="G283" s="2728"/>
      <c r="H283" s="2728"/>
      <c r="I283" s="2728"/>
      <c r="J283" s="2728"/>
      <c r="K283" s="1546"/>
      <c r="L283" s="1546"/>
      <c r="M283" s="1546"/>
      <c r="N283" s="1546"/>
      <c r="O283" s="1546"/>
      <c r="P283" s="1546"/>
      <c r="Q283" s="1546"/>
      <c r="R283" s="1546"/>
      <c r="S283" s="1546"/>
      <c r="T283" s="1546"/>
      <c r="U283" s="1546"/>
      <c r="V283" s="1546"/>
      <c r="W283" s="1546"/>
      <c r="X283" s="1546"/>
      <c r="Y283" s="1546"/>
      <c r="Z283" s="1546"/>
      <c r="AA283" s="1546"/>
      <c r="AB283" s="1546"/>
      <c r="AC283" s="1546"/>
      <c r="AD283" s="1546"/>
      <c r="AE283" s="1546"/>
      <c r="AF283" s="1546"/>
      <c r="AG283" s="1546"/>
      <c r="AH283" s="1546"/>
    </row>
    <row r="284" spans="1:34" s="1545" customFormat="1" ht="12" customHeight="1">
      <c r="A284" s="2728" t="s">
        <v>3275</v>
      </c>
      <c r="B284" s="2728"/>
      <c r="C284" s="2728"/>
      <c r="D284" s="2728"/>
      <c r="E284" s="2728"/>
      <c r="F284" s="2728"/>
      <c r="G284" s="2728"/>
      <c r="H284" s="2728"/>
      <c r="I284" s="2728"/>
      <c r="J284" s="2728"/>
      <c r="K284" s="1546"/>
      <c r="L284" s="1546"/>
      <c r="M284" s="1546"/>
      <c r="N284" s="1546"/>
      <c r="O284" s="1546"/>
      <c r="P284" s="1546"/>
      <c r="Q284" s="1546"/>
      <c r="R284" s="1546"/>
      <c r="S284" s="1546"/>
      <c r="T284" s="1546"/>
      <c r="U284" s="1546"/>
      <c r="V284" s="1546"/>
      <c r="W284" s="1546"/>
      <c r="X284" s="1546"/>
      <c r="Y284" s="1546"/>
      <c r="Z284" s="1546"/>
      <c r="AA284" s="1546"/>
      <c r="AB284" s="1546"/>
      <c r="AC284" s="1546"/>
      <c r="AD284" s="1546"/>
      <c r="AE284" s="1546"/>
      <c r="AF284" s="1546"/>
      <c r="AG284" s="1546"/>
      <c r="AH284" s="1546"/>
    </row>
    <row r="285" spans="1:34" s="1545" customFormat="1" ht="12" customHeight="1">
      <c r="A285" s="2729" t="s">
        <v>3276</v>
      </c>
      <c r="B285" s="2729"/>
      <c r="C285" s="2729"/>
      <c r="D285" s="2729"/>
      <c r="E285" s="2729"/>
      <c r="F285" s="2729"/>
      <c r="G285" s="2729"/>
      <c r="H285" s="2729"/>
      <c r="I285" s="2729"/>
      <c r="J285" s="2729"/>
      <c r="K285" s="1546"/>
      <c r="L285" s="1546"/>
      <c r="M285" s="1546"/>
      <c r="N285" s="1546"/>
      <c r="O285" s="1546"/>
      <c r="P285" s="1546"/>
      <c r="Q285" s="1546"/>
      <c r="R285" s="1546"/>
      <c r="S285" s="1546"/>
      <c r="T285" s="1546"/>
      <c r="U285" s="1546"/>
      <c r="V285" s="1546"/>
      <c r="W285" s="1546"/>
      <c r="X285" s="1546"/>
      <c r="Y285" s="1546"/>
      <c r="Z285" s="1546"/>
      <c r="AA285" s="1546"/>
      <c r="AB285" s="1546"/>
      <c r="AC285" s="1546"/>
      <c r="AD285" s="1546"/>
      <c r="AE285" s="1546"/>
      <c r="AF285" s="1546"/>
      <c r="AG285" s="1546"/>
      <c r="AH285" s="1546"/>
    </row>
    <row r="286" spans="1:34" s="1543" customFormat="1" ht="12" customHeight="1">
      <c r="A286" s="2727" t="s">
        <v>2692</v>
      </c>
      <c r="B286" s="2727"/>
      <c r="C286" s="2727"/>
      <c r="D286" s="2727"/>
      <c r="E286" s="2727"/>
      <c r="F286" s="2727"/>
      <c r="G286" s="2727"/>
      <c r="H286" s="2727"/>
      <c r="I286" s="2727"/>
      <c r="J286" s="2727"/>
      <c r="K286" s="1544"/>
      <c r="L286" s="1544"/>
      <c r="M286" s="1544"/>
      <c r="N286" s="1544"/>
      <c r="O286" s="1544"/>
      <c r="P286" s="1544"/>
      <c r="Q286" s="1544"/>
      <c r="R286" s="1544"/>
      <c r="S286" s="1544"/>
      <c r="T286" s="1544"/>
      <c r="U286" s="1544"/>
      <c r="V286" s="1544"/>
      <c r="W286" s="1544"/>
      <c r="X286" s="1544"/>
      <c r="Y286" s="1544"/>
      <c r="Z286" s="1544"/>
      <c r="AA286" s="1544"/>
      <c r="AB286" s="1544"/>
      <c r="AC286" s="1544"/>
      <c r="AD286" s="1544"/>
      <c r="AE286" s="1544"/>
      <c r="AF286" s="1544"/>
      <c r="AG286" s="1544"/>
      <c r="AH286" s="1544"/>
    </row>
  </sheetData>
  <mergeCells count="15">
    <mergeCell ref="A2:J2"/>
    <mergeCell ref="A3:J3"/>
    <mergeCell ref="A6:A8"/>
    <mergeCell ref="B6:D7"/>
    <mergeCell ref="E6:G7"/>
    <mergeCell ref="H6:J7"/>
    <mergeCell ref="A286:J286"/>
    <mergeCell ref="A284:J284"/>
    <mergeCell ref="A285:J285"/>
    <mergeCell ref="A9:A11"/>
    <mergeCell ref="B9:D10"/>
    <mergeCell ref="E9:G10"/>
    <mergeCell ref="H9:J10"/>
    <mergeCell ref="A282:J282"/>
    <mergeCell ref="A283:J283"/>
  </mergeCells>
  <pageMargins left="0.7" right="0.7" top="0.75" bottom="0.75" header="0.3" footer="0.3"/>
  <pageSetup paperSize="9" scale="12"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67C82-F2B6-4E6E-A23C-4641EBBAF26A}">
  <sheetPr codeName="Sheet47">
    <tabColor rgb="FF92D050"/>
  </sheetPr>
  <dimension ref="A1:BN32"/>
  <sheetViews>
    <sheetView showGridLines="0" view="pageBreakPreview" zoomScale="85" zoomScaleNormal="90" zoomScaleSheetLayoutView="85" workbookViewId="0">
      <pane xSplit="37" topLeftCell="AX1" activePane="topRight" state="frozen"/>
      <selection activeCell="B39" sqref="B39"/>
      <selection pane="topRight" activeCell="BO32" sqref="BO32"/>
    </sheetView>
  </sheetViews>
  <sheetFormatPr defaultColWidth="9.140625" defaultRowHeight="15"/>
  <cols>
    <col min="1" max="1" width="46" style="976" customWidth="1"/>
    <col min="2" max="10" width="15.42578125" style="976" hidden="1" customWidth="1"/>
    <col min="11" max="11" width="17.42578125" style="976" hidden="1" customWidth="1"/>
    <col min="12" max="12" width="14.42578125" style="976" hidden="1" customWidth="1"/>
    <col min="13" max="21" width="14" style="976" hidden="1" customWidth="1"/>
    <col min="22" max="24" width="13.140625" style="976" hidden="1" customWidth="1"/>
    <col min="25" max="25" width="13.28515625" style="976" hidden="1" customWidth="1"/>
    <col min="26" max="37" width="13.140625" style="976" hidden="1" customWidth="1"/>
    <col min="38" max="66" width="13.140625" style="976" customWidth="1"/>
    <col min="67" max="16384" width="9.140625" style="976"/>
  </cols>
  <sheetData>
    <row r="1" spans="1:66" ht="11.25" customHeight="1"/>
    <row r="2" spans="1:66" ht="20.25" customHeight="1">
      <c r="A2" s="2740" t="s">
        <v>3358</v>
      </c>
      <c r="B2" s="2740"/>
      <c r="C2" s="2740"/>
      <c r="D2" s="2740"/>
      <c r="E2" s="2740"/>
      <c r="F2" s="2740"/>
      <c r="G2" s="2740"/>
      <c r="H2" s="2740"/>
      <c r="I2" s="2740"/>
      <c r="J2" s="2740"/>
      <c r="K2" s="2740"/>
      <c r="L2" s="2740"/>
      <c r="M2" s="2740"/>
      <c r="N2" s="2740"/>
      <c r="O2" s="2740"/>
      <c r="P2" s="2740"/>
      <c r="Q2" s="2740"/>
      <c r="R2" s="2740"/>
      <c r="S2" s="2740"/>
      <c r="T2" s="2740"/>
      <c r="U2" s="2740"/>
      <c r="V2" s="2740"/>
      <c r="W2" s="2740"/>
      <c r="X2" s="2740"/>
      <c r="Y2" s="2740"/>
      <c r="Z2" s="2740"/>
      <c r="AA2" s="2740"/>
      <c r="AB2" s="2740"/>
      <c r="AC2" s="2740"/>
      <c r="AD2" s="2740"/>
      <c r="AE2" s="2740"/>
      <c r="AF2" s="2740"/>
      <c r="AG2" s="2740"/>
      <c r="AH2" s="2740"/>
      <c r="AI2" s="2740"/>
      <c r="AJ2" s="2740"/>
      <c r="AK2" s="2740"/>
      <c r="AL2" s="2740"/>
      <c r="AM2" s="2740"/>
      <c r="AN2" s="2740"/>
      <c r="AO2" s="2740"/>
      <c r="AP2" s="2740"/>
      <c r="AQ2" s="2740"/>
      <c r="AR2" s="2740"/>
      <c r="AS2" s="2740"/>
      <c r="AT2" s="2740"/>
      <c r="AU2" s="2740"/>
      <c r="AV2" s="2740"/>
      <c r="AW2" s="2740"/>
      <c r="AX2" s="2740"/>
      <c r="AY2" s="2740"/>
      <c r="AZ2" s="2740"/>
      <c r="BA2" s="2740"/>
      <c r="BB2" s="2740"/>
      <c r="BC2" s="2740"/>
      <c r="BD2" s="2740"/>
      <c r="BE2" s="2740"/>
      <c r="BF2" s="2740"/>
      <c r="BG2" s="2740"/>
      <c r="BH2" s="2740"/>
      <c r="BI2" s="2740"/>
      <c r="BJ2" s="2740"/>
      <c r="BK2" s="2740"/>
      <c r="BL2" s="2740"/>
      <c r="BM2" s="2740"/>
      <c r="BN2" s="2740"/>
    </row>
    <row r="3" spans="1:66" ht="29.25" customHeight="1">
      <c r="A3" s="2594" t="s">
        <v>3359</v>
      </c>
      <c r="B3" s="2594"/>
      <c r="C3" s="2594"/>
      <c r="D3" s="2594"/>
      <c r="E3" s="2594"/>
      <c r="F3" s="2594"/>
      <c r="G3" s="2594"/>
      <c r="H3" s="2594"/>
      <c r="I3" s="2594"/>
      <c r="J3" s="2594"/>
      <c r="K3" s="2594"/>
      <c r="L3" s="2594"/>
      <c r="M3" s="2594"/>
      <c r="N3" s="2594"/>
      <c r="O3" s="2594"/>
      <c r="P3" s="2594"/>
      <c r="Q3" s="2594"/>
      <c r="R3" s="2594"/>
      <c r="S3" s="2594"/>
      <c r="T3" s="2594"/>
      <c r="U3" s="2594"/>
      <c r="V3" s="2594"/>
      <c r="W3" s="2594"/>
      <c r="X3" s="2594"/>
      <c r="Y3" s="2594"/>
      <c r="Z3" s="2594"/>
      <c r="AA3" s="2594"/>
      <c r="AB3" s="2594"/>
      <c r="AC3" s="2594"/>
      <c r="AD3" s="2594"/>
      <c r="AE3" s="2594"/>
      <c r="AF3" s="2594"/>
      <c r="AG3" s="2594"/>
      <c r="AH3" s="2594"/>
      <c r="AI3" s="2594"/>
      <c r="AJ3" s="2594"/>
      <c r="AK3" s="2594"/>
      <c r="AL3" s="2594"/>
      <c r="AM3" s="2594"/>
      <c r="AN3" s="2594"/>
      <c r="AO3" s="2594"/>
      <c r="AP3" s="2594"/>
      <c r="AQ3" s="2594"/>
      <c r="AR3" s="2594"/>
      <c r="AS3" s="2594"/>
      <c r="AT3" s="2594"/>
      <c r="AU3" s="2594"/>
      <c r="AV3" s="2594"/>
      <c r="AW3" s="2594"/>
      <c r="AX3" s="2594"/>
      <c r="AY3" s="2594"/>
      <c r="AZ3" s="2594"/>
      <c r="BA3" s="2594"/>
      <c r="BB3" s="2594"/>
      <c r="BC3" s="2594"/>
      <c r="BD3" s="2594"/>
      <c r="BE3" s="2594"/>
      <c r="BF3" s="2594"/>
      <c r="BG3" s="2594"/>
      <c r="BH3" s="2594"/>
      <c r="BI3" s="2594"/>
      <c r="BJ3" s="2594"/>
      <c r="BK3" s="2594"/>
      <c r="BL3" s="2594"/>
      <c r="BM3" s="2594"/>
      <c r="BN3" s="2594"/>
    </row>
    <row r="4" spans="1:66" ht="15" customHeight="1">
      <c r="A4" s="1575"/>
      <c r="B4" s="1575"/>
      <c r="C4" s="1575"/>
      <c r="D4" s="1575"/>
      <c r="E4" s="1575"/>
      <c r="F4" s="1575"/>
      <c r="G4" s="1575"/>
      <c r="H4" s="1575"/>
      <c r="I4" s="1575"/>
      <c r="J4" s="1575"/>
      <c r="K4" s="1575"/>
      <c r="L4" s="1575"/>
      <c r="M4" s="1575"/>
      <c r="N4" s="1575"/>
      <c r="O4" s="1575"/>
      <c r="P4" s="1575"/>
      <c r="Q4" s="1575"/>
      <c r="R4" s="1575"/>
      <c r="S4" s="1575"/>
      <c r="T4" s="1575"/>
      <c r="U4" s="1575"/>
      <c r="V4" s="1575"/>
      <c r="W4" s="1575"/>
      <c r="X4" s="1575"/>
      <c r="Y4" s="1575"/>
      <c r="Z4" s="1575"/>
      <c r="AA4" s="1575"/>
      <c r="AB4" s="1575"/>
      <c r="AC4" s="1575"/>
      <c r="AD4" s="1575"/>
      <c r="AE4" s="1575"/>
      <c r="AF4" s="1575"/>
      <c r="AG4" s="1575"/>
      <c r="AH4" s="1575"/>
      <c r="AI4" s="1575"/>
      <c r="AJ4" s="1575"/>
      <c r="AK4" s="1575"/>
      <c r="AL4" s="1575"/>
      <c r="AM4" s="1575"/>
      <c r="AN4" s="1575"/>
      <c r="AO4" s="1575"/>
      <c r="AP4" s="1575"/>
      <c r="AQ4" s="1575"/>
      <c r="AR4" s="1575"/>
      <c r="AS4" s="1575"/>
      <c r="AT4" s="1575"/>
      <c r="AU4" s="1575"/>
      <c r="AV4" s="1575"/>
      <c r="AW4" s="1575"/>
      <c r="AX4" s="1575"/>
      <c r="AY4" s="1575"/>
      <c r="AZ4" s="1575"/>
      <c r="BA4" s="1575"/>
      <c r="BB4" s="1575"/>
      <c r="BC4" s="1575"/>
      <c r="BD4" s="1575"/>
      <c r="BE4" s="1575"/>
      <c r="BF4" s="1575"/>
      <c r="BG4" s="1575"/>
      <c r="BH4" s="1575"/>
      <c r="BI4" s="1575"/>
      <c r="BJ4" s="1575"/>
      <c r="BK4" s="1575"/>
      <c r="BL4" s="1575"/>
      <c r="BM4" s="1575"/>
      <c r="BN4" s="1575"/>
    </row>
    <row r="5" spans="1:66" ht="15" customHeight="1">
      <c r="A5" s="1208"/>
      <c r="B5" s="1208"/>
      <c r="C5" s="1208"/>
      <c r="D5" s="1208"/>
      <c r="E5" s="1208"/>
      <c r="F5" s="1208"/>
      <c r="G5" s="1208"/>
      <c r="H5" s="1208"/>
      <c r="I5" s="1208"/>
      <c r="J5" s="1208"/>
      <c r="K5" s="1208"/>
      <c r="L5" s="1208"/>
      <c r="M5" s="1208"/>
      <c r="N5" s="1208"/>
      <c r="O5" s="1208"/>
      <c r="P5" s="1208"/>
      <c r="Q5" s="1208"/>
      <c r="R5" s="1208"/>
      <c r="S5" s="1208"/>
      <c r="T5" s="1208"/>
      <c r="U5" s="1208"/>
      <c r="V5" s="1208"/>
      <c r="W5" s="1208"/>
      <c r="X5" s="1208"/>
      <c r="Y5" s="1208"/>
      <c r="Z5" s="1208"/>
      <c r="AA5" s="1208"/>
      <c r="AB5" s="1208"/>
      <c r="AC5" s="1208"/>
      <c r="AD5" s="1208"/>
      <c r="AE5" s="1208"/>
      <c r="AF5" s="1208"/>
      <c r="AG5" s="1208"/>
      <c r="AH5" s="1208"/>
      <c r="AI5" s="1208"/>
      <c r="AJ5" s="1208"/>
      <c r="AK5" s="1208"/>
      <c r="AL5" s="1208"/>
      <c r="AM5" s="1208"/>
      <c r="AN5" s="1208"/>
      <c r="AO5" s="1208"/>
      <c r="AP5" s="1208"/>
      <c r="AQ5" s="1208"/>
      <c r="AR5" s="1208"/>
      <c r="AS5" s="1208"/>
      <c r="AT5" s="1208"/>
      <c r="AU5" s="1208"/>
      <c r="AV5" s="1208"/>
      <c r="AW5" s="1208"/>
      <c r="AX5" s="1208"/>
      <c r="AY5" s="1208"/>
      <c r="AZ5" s="1208"/>
      <c r="BA5" s="1208"/>
      <c r="BB5" s="1208"/>
      <c r="BC5" s="1208"/>
      <c r="BD5" s="1208"/>
      <c r="BE5" s="1208"/>
      <c r="BF5" s="1208"/>
      <c r="BG5" s="1208"/>
      <c r="BH5" s="1208"/>
      <c r="BI5" s="1208"/>
      <c r="BJ5" s="1208"/>
      <c r="BK5" s="1208"/>
      <c r="BL5" s="1208"/>
      <c r="BM5" s="1208"/>
      <c r="BN5" s="1208"/>
    </row>
    <row r="6" spans="1:66" ht="23.25" customHeight="1">
      <c r="A6" s="2741"/>
      <c r="B6" s="2744">
        <v>2020</v>
      </c>
      <c r="C6" s="2744"/>
      <c r="D6" s="2744"/>
      <c r="E6" s="2744"/>
      <c r="F6" s="2744"/>
      <c r="G6" s="2744"/>
      <c r="H6" s="2744"/>
      <c r="I6" s="2744"/>
      <c r="J6" s="2744"/>
      <c r="K6" s="2744"/>
      <c r="L6" s="2744"/>
      <c r="M6" s="2744"/>
      <c r="N6" s="2744">
        <v>2021</v>
      </c>
      <c r="O6" s="2744"/>
      <c r="P6" s="2744"/>
      <c r="Q6" s="2744"/>
      <c r="R6" s="2744"/>
      <c r="S6" s="2744"/>
      <c r="T6" s="2744"/>
      <c r="U6" s="2744"/>
      <c r="V6" s="2744"/>
      <c r="W6" s="2744"/>
      <c r="X6" s="2744"/>
      <c r="Y6" s="2744"/>
      <c r="Z6" s="2745">
        <v>2022</v>
      </c>
      <c r="AA6" s="2738"/>
      <c r="AB6" s="2738"/>
      <c r="AC6" s="2738"/>
      <c r="AD6" s="2738"/>
      <c r="AE6" s="2738"/>
      <c r="AF6" s="2738"/>
      <c r="AG6" s="2738"/>
      <c r="AH6" s="2738"/>
      <c r="AI6" s="2738"/>
      <c r="AJ6" s="2738"/>
      <c r="AK6" s="2739"/>
      <c r="AL6" s="2737">
        <v>2023</v>
      </c>
      <c r="AM6" s="2738"/>
      <c r="AN6" s="2738"/>
      <c r="AO6" s="2738"/>
      <c r="AP6" s="2738"/>
      <c r="AQ6" s="2738"/>
      <c r="AR6" s="2738"/>
      <c r="AS6" s="2738"/>
      <c r="AT6" s="2738"/>
      <c r="AU6" s="2738"/>
      <c r="AV6" s="2738"/>
      <c r="AW6" s="2739"/>
      <c r="AX6" s="2737">
        <v>2024</v>
      </c>
      <c r="AY6" s="2738"/>
      <c r="AZ6" s="2738"/>
      <c r="BA6" s="2738"/>
      <c r="BB6" s="2738"/>
      <c r="BC6" s="2738"/>
      <c r="BD6" s="2738"/>
      <c r="BE6" s="2738"/>
      <c r="BF6" s="2738"/>
      <c r="BG6" s="2738"/>
      <c r="BH6" s="2738"/>
      <c r="BI6" s="2739"/>
      <c r="BJ6" s="2737">
        <v>2025</v>
      </c>
      <c r="BK6" s="2738"/>
      <c r="BL6" s="2738"/>
      <c r="BM6" s="2738"/>
      <c r="BN6" s="2739"/>
    </row>
    <row r="7" spans="1:66" ht="24.75" customHeight="1">
      <c r="A7" s="2742"/>
      <c r="B7" s="1540" t="s">
        <v>1961</v>
      </c>
      <c r="C7" s="1540" t="s">
        <v>1960</v>
      </c>
      <c r="D7" s="1540" t="s">
        <v>1959</v>
      </c>
      <c r="E7" s="1540" t="s">
        <v>1958</v>
      </c>
      <c r="F7" s="1540" t="s">
        <v>1978</v>
      </c>
      <c r="G7" s="1540" t="s">
        <v>1979</v>
      </c>
      <c r="H7" s="1540" t="s">
        <v>1988</v>
      </c>
      <c r="I7" s="1540" t="s">
        <v>1998</v>
      </c>
      <c r="J7" s="1540" t="s">
        <v>2008</v>
      </c>
      <c r="K7" s="1540" t="s">
        <v>2021</v>
      </c>
      <c r="L7" s="1540" t="s">
        <v>2032</v>
      </c>
      <c r="M7" s="1540" t="s">
        <v>1962</v>
      </c>
      <c r="N7" s="1540" t="s">
        <v>1961</v>
      </c>
      <c r="O7" s="1540" t="s">
        <v>1960</v>
      </c>
      <c r="P7" s="1540" t="s">
        <v>1959</v>
      </c>
      <c r="Q7" s="1540" t="s">
        <v>1958</v>
      </c>
      <c r="R7" s="1540" t="s">
        <v>1978</v>
      </c>
      <c r="S7" s="1540" t="s">
        <v>1979</v>
      </c>
      <c r="T7" s="1540" t="s">
        <v>3087</v>
      </c>
      <c r="U7" s="1540" t="s">
        <v>1998</v>
      </c>
      <c r="V7" s="1540" t="s">
        <v>2008</v>
      </c>
      <c r="W7" s="1540" t="s">
        <v>2021</v>
      </c>
      <c r="X7" s="1540" t="s">
        <v>2032</v>
      </c>
      <c r="Y7" s="1540" t="s">
        <v>1962</v>
      </c>
      <c r="Z7" s="1540" t="s">
        <v>1961</v>
      </c>
      <c r="AA7" s="1540" t="s">
        <v>1960</v>
      </c>
      <c r="AB7" s="1540" t="s">
        <v>1959</v>
      </c>
      <c r="AC7" s="1540" t="s">
        <v>1958</v>
      </c>
      <c r="AD7" s="1540" t="s">
        <v>1978</v>
      </c>
      <c r="AE7" s="1540" t="s">
        <v>1979</v>
      </c>
      <c r="AF7" s="1540" t="s">
        <v>3087</v>
      </c>
      <c r="AG7" s="1540" t="s">
        <v>1998</v>
      </c>
      <c r="AH7" s="1300" t="s">
        <v>2008</v>
      </c>
      <c r="AI7" s="1300" t="s">
        <v>2021</v>
      </c>
      <c r="AJ7" s="1300" t="s">
        <v>2032</v>
      </c>
      <c r="AK7" s="1235" t="s">
        <v>1962</v>
      </c>
      <c r="AL7" s="1347" t="s">
        <v>1961</v>
      </c>
      <c r="AM7" s="1300" t="s">
        <v>1960</v>
      </c>
      <c r="AN7" s="1300" t="s">
        <v>1959</v>
      </c>
      <c r="AO7" s="1300" t="s">
        <v>1958</v>
      </c>
      <c r="AP7" s="1300" t="s">
        <v>1978</v>
      </c>
      <c r="AQ7" s="1300" t="s">
        <v>1979</v>
      </c>
      <c r="AR7" s="1300" t="s">
        <v>1988</v>
      </c>
      <c r="AS7" s="1300" t="s">
        <v>1998</v>
      </c>
      <c r="AT7" s="1300" t="s">
        <v>2008</v>
      </c>
      <c r="AU7" s="1300" t="s">
        <v>2021</v>
      </c>
      <c r="AV7" s="1300" t="s">
        <v>2032</v>
      </c>
      <c r="AW7" s="1235" t="s">
        <v>1962</v>
      </c>
      <c r="AX7" s="1300" t="s">
        <v>1961</v>
      </c>
      <c r="AY7" s="1300" t="s">
        <v>1960</v>
      </c>
      <c r="AZ7" s="1300" t="s">
        <v>1959</v>
      </c>
      <c r="BA7" s="1300" t="s">
        <v>1958</v>
      </c>
      <c r="BB7" s="1300" t="s">
        <v>1978</v>
      </c>
      <c r="BC7" s="1300" t="s">
        <v>1979</v>
      </c>
      <c r="BD7" s="1300" t="s">
        <v>1988</v>
      </c>
      <c r="BE7" s="1300" t="s">
        <v>1998</v>
      </c>
      <c r="BF7" s="1300" t="s">
        <v>2008</v>
      </c>
      <c r="BG7" s="1300" t="s">
        <v>2021</v>
      </c>
      <c r="BH7" s="1300" t="s">
        <v>2032</v>
      </c>
      <c r="BI7" s="1235" t="s">
        <v>1962</v>
      </c>
      <c r="BJ7" s="1300" t="s">
        <v>1961</v>
      </c>
      <c r="BK7" s="1300" t="s">
        <v>1960</v>
      </c>
      <c r="BL7" s="1300" t="s">
        <v>1959</v>
      </c>
      <c r="BM7" s="1300" t="s">
        <v>1958</v>
      </c>
      <c r="BN7" s="1300" t="s">
        <v>1978</v>
      </c>
    </row>
    <row r="8" spans="1:66" ht="24.75" customHeight="1">
      <c r="A8" s="2743"/>
      <c r="B8" s="1540" t="s">
        <v>3120</v>
      </c>
      <c r="C8" s="1540" t="s">
        <v>3121</v>
      </c>
      <c r="D8" s="1540" t="s">
        <v>3122</v>
      </c>
      <c r="E8" s="1540" t="s">
        <v>3123</v>
      </c>
      <c r="F8" s="1540" t="s">
        <v>1978</v>
      </c>
      <c r="G8" s="1540" t="s">
        <v>3124</v>
      </c>
      <c r="H8" s="1540" t="s">
        <v>3125</v>
      </c>
      <c r="I8" s="1540" t="s">
        <v>3126</v>
      </c>
      <c r="J8" s="1540" t="s">
        <v>3127</v>
      </c>
      <c r="K8" s="1540" t="s">
        <v>3190</v>
      </c>
      <c r="L8" s="1540" t="s">
        <v>3240</v>
      </c>
      <c r="M8" s="1540" t="s">
        <v>3191</v>
      </c>
      <c r="N8" s="1540" t="s">
        <v>3120</v>
      </c>
      <c r="O8" s="1540" t="s">
        <v>3121</v>
      </c>
      <c r="P8" s="1540" t="s">
        <v>3122</v>
      </c>
      <c r="Q8" s="1540" t="s">
        <v>3123</v>
      </c>
      <c r="R8" s="1540" t="s">
        <v>1978</v>
      </c>
      <c r="S8" s="1540" t="s">
        <v>3124</v>
      </c>
      <c r="T8" s="1540" t="s">
        <v>3125</v>
      </c>
      <c r="U8" s="1540" t="s">
        <v>3126</v>
      </c>
      <c r="V8" s="1540" t="s">
        <v>3127</v>
      </c>
      <c r="W8" s="1540" t="s">
        <v>3190</v>
      </c>
      <c r="X8" s="1540" t="s">
        <v>3240</v>
      </c>
      <c r="Y8" s="1540" t="s">
        <v>3191</v>
      </c>
      <c r="Z8" s="1540" t="s">
        <v>3120</v>
      </c>
      <c r="AA8" s="1540" t="s">
        <v>3121</v>
      </c>
      <c r="AB8" s="1540" t="s">
        <v>3122</v>
      </c>
      <c r="AC8" s="1540" t="s">
        <v>3123</v>
      </c>
      <c r="AD8" s="1540" t="s">
        <v>1978</v>
      </c>
      <c r="AE8" s="1540" t="s">
        <v>3124</v>
      </c>
      <c r="AF8" s="1540" t="s">
        <v>3125</v>
      </c>
      <c r="AG8" s="1540" t="s">
        <v>3126</v>
      </c>
      <c r="AH8" s="1300" t="s">
        <v>3127</v>
      </c>
      <c r="AI8" s="1300" t="s">
        <v>3190</v>
      </c>
      <c r="AJ8" s="1300" t="s">
        <v>3424</v>
      </c>
      <c r="AK8" s="1235" t="s">
        <v>3191</v>
      </c>
      <c r="AL8" s="1347" t="s">
        <v>3120</v>
      </c>
      <c r="AM8" s="1300" t="s">
        <v>3121</v>
      </c>
      <c r="AN8" s="1300" t="s">
        <v>3122</v>
      </c>
      <c r="AO8" s="1300" t="s">
        <v>3123</v>
      </c>
      <c r="AP8" s="1300" t="s">
        <v>1978</v>
      </c>
      <c r="AQ8" s="1300" t="s">
        <v>3124</v>
      </c>
      <c r="AR8" s="1300" t="s">
        <v>3125</v>
      </c>
      <c r="AS8" s="1300" t="s">
        <v>3126</v>
      </c>
      <c r="AT8" s="1300" t="s">
        <v>3127</v>
      </c>
      <c r="AU8" s="1300" t="s">
        <v>3190</v>
      </c>
      <c r="AV8" s="1300" t="s">
        <v>3424</v>
      </c>
      <c r="AW8" s="1235" t="s">
        <v>3191</v>
      </c>
      <c r="AX8" s="1300" t="s">
        <v>3120</v>
      </c>
      <c r="AY8" s="1300" t="s">
        <v>3121</v>
      </c>
      <c r="AZ8" s="1300" t="s">
        <v>3122</v>
      </c>
      <c r="BA8" s="1300" t="s">
        <v>3123</v>
      </c>
      <c r="BB8" s="1300" t="s">
        <v>1978</v>
      </c>
      <c r="BC8" s="1300" t="s">
        <v>3124</v>
      </c>
      <c r="BD8" s="1300" t="s">
        <v>3125</v>
      </c>
      <c r="BE8" s="1300" t="s">
        <v>3126</v>
      </c>
      <c r="BF8" s="1300" t="s">
        <v>3127</v>
      </c>
      <c r="BG8" s="1300" t="s">
        <v>3190</v>
      </c>
      <c r="BH8" s="1300" t="s">
        <v>3424</v>
      </c>
      <c r="BI8" s="1235" t="s">
        <v>3191</v>
      </c>
      <c r="BJ8" s="1300" t="s">
        <v>3120</v>
      </c>
      <c r="BK8" s="1300" t="s">
        <v>3121</v>
      </c>
      <c r="BL8" s="1300" t="s">
        <v>3122</v>
      </c>
      <c r="BM8" s="1300" t="s">
        <v>3123</v>
      </c>
      <c r="BN8" s="1300" t="s">
        <v>1978</v>
      </c>
    </row>
    <row r="9" spans="1:66" ht="23.25" customHeight="1">
      <c r="A9" s="2116"/>
      <c r="B9" s="2117"/>
      <c r="C9" s="2117"/>
      <c r="D9" s="2117"/>
      <c r="E9" s="2117"/>
      <c r="F9" s="2117"/>
      <c r="G9" s="2117"/>
      <c r="H9" s="2117"/>
      <c r="I9" s="2117"/>
      <c r="J9" s="2117"/>
      <c r="K9" s="2117"/>
      <c r="L9" s="2117"/>
      <c r="M9" s="2117"/>
      <c r="N9" s="2117"/>
      <c r="O9" s="2117"/>
      <c r="P9" s="2117"/>
      <c r="Q9" s="2117"/>
      <c r="R9" s="2117"/>
      <c r="S9" s="2117"/>
      <c r="T9" s="2117"/>
      <c r="U9" s="2117"/>
      <c r="V9" s="2117"/>
      <c r="W9" s="2117"/>
      <c r="X9" s="2117"/>
      <c r="Y9" s="2117"/>
      <c r="Z9" s="2117"/>
      <c r="AA9" s="2117"/>
      <c r="AB9" s="2117"/>
      <c r="AC9" s="2117"/>
      <c r="AD9" s="2117"/>
      <c r="AE9" s="2117"/>
      <c r="AF9" s="2117"/>
      <c r="AG9" s="2117"/>
      <c r="AH9" s="2117"/>
      <c r="AI9" s="2117"/>
      <c r="AJ9" s="2117"/>
      <c r="AK9" s="2117"/>
      <c r="AL9" s="2734" t="s">
        <v>4224</v>
      </c>
      <c r="AM9" s="2734"/>
      <c r="AN9" s="2734"/>
      <c r="AO9" s="2734"/>
      <c r="AP9" s="2734"/>
      <c r="AQ9" s="2734"/>
      <c r="AR9" s="2734"/>
      <c r="AS9" s="2734"/>
      <c r="AT9" s="2734"/>
      <c r="AU9" s="2734"/>
      <c r="AV9" s="2734"/>
      <c r="AW9" s="2735"/>
      <c r="AX9" s="2736" t="s">
        <v>4224</v>
      </c>
      <c r="AY9" s="2734"/>
      <c r="AZ9" s="2734"/>
      <c r="BA9" s="2734"/>
      <c r="BB9" s="2734"/>
      <c r="BC9" s="2734"/>
      <c r="BD9" s="2734"/>
      <c r="BE9" s="2734"/>
      <c r="BF9" s="2734"/>
      <c r="BG9" s="2734"/>
      <c r="BH9" s="2734"/>
      <c r="BI9" s="2734"/>
      <c r="BJ9" s="2734"/>
      <c r="BK9" s="2734"/>
      <c r="BL9" s="2734"/>
      <c r="BM9" s="2734"/>
      <c r="BN9" s="2735"/>
    </row>
    <row r="10" spans="1:66" s="1209" customFormat="1" ht="20.25" customHeight="1">
      <c r="A10" s="1210" t="s">
        <v>3149</v>
      </c>
      <c r="B10" s="1211">
        <f t="shared" ref="B10:I10" si="0">SUM(B11:B13)</f>
        <v>50.792999999999999</v>
      </c>
      <c r="C10" s="1211">
        <f t="shared" si="0"/>
        <v>69.81</v>
      </c>
      <c r="D10" s="1211">
        <f t="shared" si="0"/>
        <v>70.820999999999998</v>
      </c>
      <c r="E10" s="1211">
        <f t="shared" si="0"/>
        <v>61.747</v>
      </c>
      <c r="F10" s="1211">
        <f t="shared" si="0"/>
        <v>58.346000000000004</v>
      </c>
      <c r="G10" s="1211">
        <f t="shared" si="0"/>
        <v>70.740000000000009</v>
      </c>
      <c r="H10" s="1211">
        <f t="shared" si="0"/>
        <v>79.647999999999996</v>
      </c>
      <c r="I10" s="1211">
        <f t="shared" si="0"/>
        <v>76.795999999999992</v>
      </c>
      <c r="J10" s="1211">
        <v>83</v>
      </c>
      <c r="K10" s="1211">
        <v>85</v>
      </c>
      <c r="L10" s="1211">
        <v>80</v>
      </c>
      <c r="M10" s="1211">
        <v>120</v>
      </c>
      <c r="N10" s="1211">
        <f>SUM(N11:N13)</f>
        <v>51.277999999999999</v>
      </c>
      <c r="O10" s="1211">
        <f>SUM(O11:O13)</f>
        <v>75.719000000000008</v>
      </c>
      <c r="P10" s="1211">
        <v>82</v>
      </c>
      <c r="Q10" s="1211">
        <v>90</v>
      </c>
      <c r="R10" s="1211">
        <v>79</v>
      </c>
      <c r="S10" s="1211">
        <v>93</v>
      </c>
      <c r="T10" s="1211">
        <v>98</v>
      </c>
      <c r="U10" s="1211">
        <v>95</v>
      </c>
      <c r="V10" s="1211">
        <v>99</v>
      </c>
      <c r="W10" s="1211">
        <v>101</v>
      </c>
      <c r="X10" s="1211">
        <v>107</v>
      </c>
      <c r="Y10" s="1211">
        <v>142</v>
      </c>
      <c r="Z10" s="1211">
        <v>67</v>
      </c>
      <c r="AA10" s="1211">
        <v>95</v>
      </c>
      <c r="AB10" s="1211">
        <v>103.84</v>
      </c>
      <c r="AC10" s="1211">
        <v>112.12</v>
      </c>
      <c r="AD10" s="1211">
        <v>103.633</v>
      </c>
      <c r="AE10" s="1211">
        <v>116.78400000000001</v>
      </c>
      <c r="AF10" s="1211">
        <v>110.021</v>
      </c>
      <c r="AG10" s="1211">
        <v>121.154</v>
      </c>
      <c r="AH10" s="1301">
        <v>118.93899999999999</v>
      </c>
      <c r="AI10" s="1301">
        <v>119.46899999999999</v>
      </c>
      <c r="AJ10" s="1301">
        <v>125.40600000000001</v>
      </c>
      <c r="AK10" s="1212">
        <v>165.12</v>
      </c>
      <c r="AL10" s="1211">
        <v>91.108000000000004</v>
      </c>
      <c r="AM10" s="1301">
        <v>160.44499999999999</v>
      </c>
      <c r="AN10" s="1301">
        <v>178.48400000000001</v>
      </c>
      <c r="AO10" s="1301">
        <v>162.11699999999999</v>
      </c>
      <c r="AP10" s="1211">
        <v>181.45500000000001</v>
      </c>
      <c r="AQ10" s="1211">
        <v>178.196</v>
      </c>
      <c r="AR10" s="1211">
        <v>178.06700000000001</v>
      </c>
      <c r="AS10" s="1211">
        <v>181.15700000000001</v>
      </c>
      <c r="AT10" s="1211">
        <v>172.11600000000001</v>
      </c>
      <c r="AU10" s="1211">
        <v>186.50399999999999</v>
      </c>
      <c r="AV10" s="1211">
        <v>184.05699999999999</v>
      </c>
      <c r="AW10" s="1212">
        <v>265.69499999999999</v>
      </c>
      <c r="AX10" s="1852">
        <v>111.621</v>
      </c>
      <c r="AY10" s="1852">
        <v>176.43299999999999</v>
      </c>
      <c r="AZ10" s="1852">
        <v>167.42500000000001</v>
      </c>
      <c r="BA10" s="1852">
        <v>179.054</v>
      </c>
      <c r="BB10" s="1852">
        <v>194.55</v>
      </c>
      <c r="BC10" s="1852">
        <v>165.25399999999999</v>
      </c>
      <c r="BD10" s="1852">
        <v>214.07499999999999</v>
      </c>
      <c r="BE10" s="1852">
        <v>187.852</v>
      </c>
      <c r="BF10" s="1852">
        <v>185.47</v>
      </c>
      <c r="BG10" s="1852">
        <v>208.68299999999999</v>
      </c>
      <c r="BH10" s="1852">
        <v>180.74600000000001</v>
      </c>
      <c r="BI10" s="1212">
        <v>255.642</v>
      </c>
      <c r="BJ10" s="1852">
        <v>116.986</v>
      </c>
      <c r="BK10" s="1852">
        <v>169.04900000000001</v>
      </c>
      <c r="BL10" s="1852">
        <v>160.893</v>
      </c>
      <c r="BM10" s="1852">
        <v>193.393</v>
      </c>
      <c r="BN10" s="1852">
        <v>222.107</v>
      </c>
    </row>
    <row r="11" spans="1:66" ht="20.25" customHeight="1">
      <c r="A11" s="1574" t="s">
        <v>3150</v>
      </c>
      <c r="B11" s="1213">
        <v>1.0329999999999999</v>
      </c>
      <c r="C11" s="1213">
        <v>1.327</v>
      </c>
      <c r="D11" s="1213">
        <v>1.6</v>
      </c>
      <c r="E11" s="1213">
        <v>1.2110000000000001</v>
      </c>
      <c r="F11" s="1213">
        <v>1.0569999999999999</v>
      </c>
      <c r="G11" s="1213">
        <v>1.1479999999999999</v>
      </c>
      <c r="H11" s="1213">
        <v>1.167</v>
      </c>
      <c r="I11" s="1213">
        <v>1.153</v>
      </c>
      <c r="J11" s="1213">
        <v>1.153</v>
      </c>
      <c r="K11" s="1213">
        <v>1</v>
      </c>
      <c r="L11" s="1213">
        <v>1</v>
      </c>
      <c r="M11" s="1213">
        <v>1</v>
      </c>
      <c r="N11" s="1213">
        <v>0.92500000000000004</v>
      </c>
      <c r="O11" s="1213">
        <v>0.84099999999999997</v>
      </c>
      <c r="P11" s="1213">
        <v>1</v>
      </c>
      <c r="Q11" s="1213">
        <v>1</v>
      </c>
      <c r="R11" s="1213">
        <v>1</v>
      </c>
      <c r="S11" s="1213">
        <v>1</v>
      </c>
      <c r="T11" s="1213">
        <v>1</v>
      </c>
      <c r="U11" s="1213">
        <v>1</v>
      </c>
      <c r="V11" s="1213">
        <v>0.92500000000000004</v>
      </c>
      <c r="W11" s="1213">
        <v>1</v>
      </c>
      <c r="X11" s="1213">
        <v>1</v>
      </c>
      <c r="Y11" s="1213">
        <v>1</v>
      </c>
      <c r="Z11" s="1213">
        <v>1</v>
      </c>
      <c r="AA11" s="1213">
        <v>1</v>
      </c>
      <c r="AB11" s="1213">
        <v>0.96399999999999997</v>
      </c>
      <c r="AC11" s="1213">
        <v>0.94799999999999995</v>
      </c>
      <c r="AD11" s="1213">
        <v>0.78400000000000003</v>
      </c>
      <c r="AE11" s="1213">
        <v>0.83199999999999996</v>
      </c>
      <c r="AF11" s="1213">
        <v>0.80100000000000005</v>
      </c>
      <c r="AG11" s="1213">
        <v>0.96699999999999997</v>
      </c>
      <c r="AH11" s="1302">
        <v>1.335</v>
      </c>
      <c r="AI11" s="1302">
        <v>1.6930000000000001</v>
      </c>
      <c r="AJ11" s="1302">
        <v>1.7509999999999999</v>
      </c>
      <c r="AK11" s="1214">
        <v>1.956</v>
      </c>
      <c r="AL11" s="1213">
        <v>1.4690000000000001</v>
      </c>
      <c r="AM11" s="1302">
        <v>1.6080000000000001</v>
      </c>
      <c r="AN11" s="1302">
        <v>1.6870000000000001</v>
      </c>
      <c r="AO11" s="1302">
        <v>1.518</v>
      </c>
      <c r="AP11" s="1213">
        <v>1.7450000000000001</v>
      </c>
      <c r="AQ11" s="1213">
        <v>1.4379999999999999</v>
      </c>
      <c r="AR11" s="1213">
        <v>1.7729999999999999</v>
      </c>
      <c r="AS11" s="1213">
        <v>1.778</v>
      </c>
      <c r="AT11" s="1213">
        <v>1.5349999999999999</v>
      </c>
      <c r="AU11" s="1213">
        <v>1.641</v>
      </c>
      <c r="AV11" s="1213">
        <v>1.5740000000000001</v>
      </c>
      <c r="AW11" s="1214">
        <v>1.9039999999999999</v>
      </c>
      <c r="AX11" s="1853">
        <v>1.26</v>
      </c>
      <c r="AY11" s="1853">
        <v>1.544</v>
      </c>
      <c r="AZ11" s="1853">
        <v>1.177</v>
      </c>
      <c r="BA11" s="1853">
        <v>1.506</v>
      </c>
      <c r="BB11" s="1853">
        <v>1.5920000000000001</v>
      </c>
      <c r="BC11" s="1853">
        <v>1.2110000000000001</v>
      </c>
      <c r="BD11" s="1853">
        <v>1.5920000000000001</v>
      </c>
      <c r="BE11" s="1853">
        <v>1.2549999999999999</v>
      </c>
      <c r="BF11" s="1853">
        <v>1.119</v>
      </c>
      <c r="BG11" s="1853">
        <v>1.0980000000000001</v>
      </c>
      <c r="BH11" s="1853">
        <v>1.0349999999999999</v>
      </c>
      <c r="BI11" s="1214">
        <v>1.3440000000000001</v>
      </c>
      <c r="BJ11" s="1853">
        <v>1.1040000000000001</v>
      </c>
      <c r="BK11" s="1853">
        <v>1.0820000000000001</v>
      </c>
      <c r="BL11" s="1853">
        <v>0.89400000000000002</v>
      </c>
      <c r="BM11" s="1853">
        <v>1.232</v>
      </c>
      <c r="BN11" s="1853">
        <v>1.39</v>
      </c>
    </row>
    <row r="12" spans="1:66" ht="20.25" customHeight="1">
      <c r="A12" s="1574" t="s">
        <v>3151</v>
      </c>
      <c r="B12" s="1213">
        <v>43.232999999999997</v>
      </c>
      <c r="C12" s="1213">
        <v>49.356999999999999</v>
      </c>
      <c r="D12" s="1213">
        <v>47.652000000000001</v>
      </c>
      <c r="E12" s="1213">
        <v>43.192999999999998</v>
      </c>
      <c r="F12" s="1213">
        <v>40.622999999999998</v>
      </c>
      <c r="G12" s="1213">
        <v>48.697000000000003</v>
      </c>
      <c r="H12" s="1213">
        <v>50.662999999999997</v>
      </c>
      <c r="I12" s="1213">
        <v>49.795000000000002</v>
      </c>
      <c r="J12" s="1213">
        <v>55</v>
      </c>
      <c r="K12" s="1213">
        <v>54</v>
      </c>
      <c r="L12" s="1213">
        <v>52</v>
      </c>
      <c r="M12" s="1213">
        <v>67</v>
      </c>
      <c r="N12" s="1213">
        <v>45.372</v>
      </c>
      <c r="O12" s="1213">
        <v>51.709000000000003</v>
      </c>
      <c r="P12" s="1213">
        <v>55</v>
      </c>
      <c r="Q12" s="1213">
        <v>63</v>
      </c>
      <c r="R12" s="1213">
        <v>55</v>
      </c>
      <c r="S12" s="1213">
        <v>66</v>
      </c>
      <c r="T12" s="1213">
        <v>67</v>
      </c>
      <c r="U12" s="1213">
        <v>69</v>
      </c>
      <c r="V12" s="1213">
        <v>70</v>
      </c>
      <c r="W12" s="1213">
        <v>72</v>
      </c>
      <c r="X12" s="1213">
        <v>76</v>
      </c>
      <c r="Y12" s="1213">
        <v>92</v>
      </c>
      <c r="Z12" s="1213">
        <v>60</v>
      </c>
      <c r="AA12" s="1213">
        <v>71</v>
      </c>
      <c r="AB12" s="1213">
        <v>76.17</v>
      </c>
      <c r="AC12" s="1213">
        <v>83.230999999999995</v>
      </c>
      <c r="AD12" s="1213">
        <v>79.584999999999994</v>
      </c>
      <c r="AE12" s="1213">
        <v>87.06</v>
      </c>
      <c r="AF12" s="1213">
        <v>81.540000000000006</v>
      </c>
      <c r="AG12" s="1213">
        <v>93.283000000000001</v>
      </c>
      <c r="AH12" s="1302">
        <v>89.516999999999996</v>
      </c>
      <c r="AI12" s="1302">
        <v>91.67</v>
      </c>
      <c r="AJ12" s="1302">
        <v>93.113</v>
      </c>
      <c r="AK12" s="1214">
        <v>113.456</v>
      </c>
      <c r="AL12" s="1213">
        <v>75.927000000000007</v>
      </c>
      <c r="AM12" s="1302">
        <v>85.444999999999993</v>
      </c>
      <c r="AN12" s="1302">
        <v>95.424000000000007</v>
      </c>
      <c r="AO12" s="1302">
        <v>96.069000000000003</v>
      </c>
      <c r="AP12" s="1213">
        <v>106.56399999999999</v>
      </c>
      <c r="AQ12" s="1213">
        <v>95.251999999999995</v>
      </c>
      <c r="AR12" s="1213">
        <v>107.83199999999999</v>
      </c>
      <c r="AS12" s="1213">
        <v>109.703</v>
      </c>
      <c r="AT12" s="1213">
        <v>101.607</v>
      </c>
      <c r="AU12" s="1213">
        <v>109.68899999999999</v>
      </c>
      <c r="AV12" s="1213">
        <v>107.363</v>
      </c>
      <c r="AW12" s="1214">
        <v>133.97800000000001</v>
      </c>
      <c r="AX12" s="1853">
        <v>91.165999999999997</v>
      </c>
      <c r="AY12" s="1853">
        <v>105.762</v>
      </c>
      <c r="AZ12" s="1853">
        <v>96.478999999999999</v>
      </c>
      <c r="BA12" s="1853">
        <v>115.211</v>
      </c>
      <c r="BB12" s="1853">
        <v>120</v>
      </c>
      <c r="BC12" s="1853">
        <v>103.062</v>
      </c>
      <c r="BD12" s="1853">
        <v>130.65199999999999</v>
      </c>
      <c r="BE12" s="1853">
        <v>121.59399999999999</v>
      </c>
      <c r="BF12" s="1853">
        <v>121.059</v>
      </c>
      <c r="BG12" s="1853">
        <v>130.596</v>
      </c>
      <c r="BH12" s="1853">
        <v>106.492</v>
      </c>
      <c r="BI12" s="1214">
        <v>135.935</v>
      </c>
      <c r="BJ12" s="1853">
        <v>90.712000000000003</v>
      </c>
      <c r="BK12" s="1853">
        <v>100.834</v>
      </c>
      <c r="BL12" s="1853">
        <v>89.442999999999998</v>
      </c>
      <c r="BM12" s="1853">
        <v>123.58199999999999</v>
      </c>
      <c r="BN12" s="1853">
        <v>118.14700000000001</v>
      </c>
    </row>
    <row r="13" spans="1:66" ht="20.25" customHeight="1">
      <c r="A13" s="1574" t="s">
        <v>3152</v>
      </c>
      <c r="B13" s="1213">
        <v>6.5270000000000001</v>
      </c>
      <c r="C13" s="1213">
        <v>19.126000000000001</v>
      </c>
      <c r="D13" s="1213">
        <v>21.568999999999999</v>
      </c>
      <c r="E13" s="1213">
        <v>17.343</v>
      </c>
      <c r="F13" s="1213">
        <v>16.666</v>
      </c>
      <c r="G13" s="1213">
        <v>20.895</v>
      </c>
      <c r="H13" s="1213">
        <v>27.818000000000001</v>
      </c>
      <c r="I13" s="1213">
        <v>25.847999999999999</v>
      </c>
      <c r="J13" s="1213">
        <v>27</v>
      </c>
      <c r="K13" s="1213">
        <v>30</v>
      </c>
      <c r="L13" s="1213">
        <v>27</v>
      </c>
      <c r="M13" s="1213">
        <v>52</v>
      </c>
      <c r="N13" s="1213">
        <v>4.9809999999999999</v>
      </c>
      <c r="O13" s="1213">
        <v>23.169</v>
      </c>
      <c r="P13" s="1213">
        <v>26</v>
      </c>
      <c r="Q13" s="1213">
        <v>26</v>
      </c>
      <c r="R13" s="1213">
        <v>23</v>
      </c>
      <c r="S13" s="1213">
        <v>26</v>
      </c>
      <c r="T13" s="1213">
        <v>30</v>
      </c>
      <c r="U13" s="1213">
        <v>25</v>
      </c>
      <c r="V13" s="1213">
        <v>28</v>
      </c>
      <c r="W13" s="1213">
        <v>28</v>
      </c>
      <c r="X13" s="1213">
        <v>30</v>
      </c>
      <c r="Y13" s="1213">
        <v>49</v>
      </c>
      <c r="Z13" s="1213">
        <v>6</v>
      </c>
      <c r="AA13" s="1213">
        <v>23</v>
      </c>
      <c r="AB13" s="1213">
        <v>26.706</v>
      </c>
      <c r="AC13" s="1213">
        <v>27.940999999999999</v>
      </c>
      <c r="AD13" s="1213">
        <v>23.263999999999999</v>
      </c>
      <c r="AE13" s="1213">
        <v>28.891999999999999</v>
      </c>
      <c r="AF13" s="1213">
        <v>27.68</v>
      </c>
      <c r="AG13" s="1213">
        <v>26.904</v>
      </c>
      <c r="AH13" s="1302">
        <v>28.087</v>
      </c>
      <c r="AI13" s="1302">
        <v>26.106000000000002</v>
      </c>
      <c r="AJ13" s="1302">
        <v>30.542000000000002</v>
      </c>
      <c r="AK13" s="1214">
        <v>49.707999999999998</v>
      </c>
      <c r="AL13" s="1213">
        <v>13.712</v>
      </c>
      <c r="AM13" s="1302">
        <v>73.391999999999996</v>
      </c>
      <c r="AN13" s="1302">
        <v>81.373000000000005</v>
      </c>
      <c r="AO13" s="1302">
        <v>64.53</v>
      </c>
      <c r="AP13" s="1213">
        <v>73.146000000000001</v>
      </c>
      <c r="AQ13" s="1213">
        <v>81.506</v>
      </c>
      <c r="AR13" s="1213">
        <v>68.462000000000003</v>
      </c>
      <c r="AS13" s="1213">
        <v>69.676000000000002</v>
      </c>
      <c r="AT13" s="1213">
        <v>68.974000000000004</v>
      </c>
      <c r="AU13" s="1213">
        <v>75.174000000000007</v>
      </c>
      <c r="AV13" s="1213">
        <v>75.12</v>
      </c>
      <c r="AW13" s="1214">
        <v>129.81299999999999</v>
      </c>
      <c r="AX13" s="1853">
        <v>19.195</v>
      </c>
      <c r="AY13" s="1853">
        <v>69.126999999999995</v>
      </c>
      <c r="AZ13" s="1853">
        <v>69.769000000000005</v>
      </c>
      <c r="BA13" s="1853">
        <v>62.337000000000003</v>
      </c>
      <c r="BB13" s="1853">
        <v>72.957999999999998</v>
      </c>
      <c r="BC13" s="1853">
        <v>60.981000000000002</v>
      </c>
      <c r="BD13" s="1853">
        <v>81.831000000000003</v>
      </c>
      <c r="BE13" s="1853">
        <v>65.003</v>
      </c>
      <c r="BF13" s="1853">
        <v>63.292000000000002</v>
      </c>
      <c r="BG13" s="1853">
        <v>76.989000000000004</v>
      </c>
      <c r="BH13" s="1853">
        <v>73.218999999999994</v>
      </c>
      <c r="BI13" s="1214">
        <v>118.363</v>
      </c>
      <c r="BJ13" s="1853">
        <v>25.17</v>
      </c>
      <c r="BK13" s="1853">
        <v>67.132999999999996</v>
      </c>
      <c r="BL13" s="1853">
        <v>70.555999999999997</v>
      </c>
      <c r="BM13" s="1853">
        <v>68.578999999999994</v>
      </c>
      <c r="BN13" s="1853">
        <v>102.57</v>
      </c>
    </row>
    <row r="14" spans="1:66" s="1209" customFormat="1" ht="20.25" customHeight="1">
      <c r="A14" s="1210" t="s">
        <v>3153</v>
      </c>
      <c r="B14" s="1211">
        <f t="shared" ref="B14:I14" si="1">SUM(B15:B17)</f>
        <v>5029.5210000000006</v>
      </c>
      <c r="C14" s="1211">
        <f t="shared" si="1"/>
        <v>4704.0060000000003</v>
      </c>
      <c r="D14" s="1211">
        <f t="shared" si="1"/>
        <v>4585.58</v>
      </c>
      <c r="E14" s="1211">
        <f t="shared" si="1"/>
        <v>3825.4509999999996</v>
      </c>
      <c r="F14" s="1211">
        <f t="shared" si="1"/>
        <v>4521.5650000000005</v>
      </c>
      <c r="G14" s="1211">
        <f t="shared" si="1"/>
        <v>4616.8650000000007</v>
      </c>
      <c r="H14" s="1211">
        <f t="shared" si="1"/>
        <v>4870.1140000000005</v>
      </c>
      <c r="I14" s="1211">
        <f t="shared" si="1"/>
        <v>5238.8770000000004</v>
      </c>
      <c r="J14" s="1211">
        <v>5277</v>
      </c>
      <c r="K14" s="1211">
        <v>5057</v>
      </c>
      <c r="L14" s="1211">
        <v>5244</v>
      </c>
      <c r="M14" s="1211">
        <v>5946</v>
      </c>
      <c r="N14" s="1211">
        <f>SUM(N15:N17)</f>
        <v>5415.2730000000001</v>
      </c>
      <c r="O14" s="1211">
        <f>SUM(O15:O17)</f>
        <v>5777.7629999999999</v>
      </c>
      <c r="P14" s="1211">
        <v>6668</v>
      </c>
      <c r="Q14" s="1211">
        <v>6425</v>
      </c>
      <c r="R14" s="1211">
        <v>5086</v>
      </c>
      <c r="S14" s="1211">
        <v>5688</v>
      </c>
      <c r="T14" s="1211">
        <v>4956</v>
      </c>
      <c r="U14" s="1211">
        <v>5761</v>
      </c>
      <c r="V14" s="1211">
        <f>SUM(V15:V17)</f>
        <v>5510</v>
      </c>
      <c r="W14" s="1211">
        <v>5623</v>
      </c>
      <c r="X14" s="1211">
        <v>6119</v>
      </c>
      <c r="Y14" s="1211">
        <v>6610</v>
      </c>
      <c r="Z14" s="1211">
        <v>6018</v>
      </c>
      <c r="AA14" s="1211">
        <v>5920</v>
      </c>
      <c r="AB14" s="1211">
        <v>6285.8180000000002</v>
      </c>
      <c r="AC14" s="1211">
        <v>6480.875</v>
      </c>
      <c r="AD14" s="1211">
        <v>6720.6639999999998</v>
      </c>
      <c r="AE14" s="1211">
        <v>6751.2380000000003</v>
      </c>
      <c r="AF14" s="1211">
        <v>6965.4570000000003</v>
      </c>
      <c r="AG14" s="1211">
        <v>9746.1890000000003</v>
      </c>
      <c r="AH14" s="1301">
        <v>9486.7710000000006</v>
      </c>
      <c r="AI14" s="1301">
        <v>11063.34</v>
      </c>
      <c r="AJ14" s="1301">
        <v>9989.2260000000006</v>
      </c>
      <c r="AK14" s="1212">
        <v>10468.868</v>
      </c>
      <c r="AL14" s="1211">
        <v>10204.352999999999</v>
      </c>
      <c r="AM14" s="1301">
        <v>10531.706</v>
      </c>
      <c r="AN14" s="1301">
        <v>11058.906999999999</v>
      </c>
      <c r="AO14" s="1301">
        <v>10624.512000000001</v>
      </c>
      <c r="AP14" s="1211">
        <v>12614.641</v>
      </c>
      <c r="AQ14" s="1211">
        <v>12206.165999999999</v>
      </c>
      <c r="AR14" s="1211">
        <v>15076.252</v>
      </c>
      <c r="AS14" s="1211">
        <v>12575.754999999999</v>
      </c>
      <c r="AT14" s="1211">
        <v>11811.055</v>
      </c>
      <c r="AU14" s="1211">
        <v>13151.196</v>
      </c>
      <c r="AV14" s="1211">
        <v>12260.946</v>
      </c>
      <c r="AW14" s="1212">
        <v>12921.254000000001</v>
      </c>
      <c r="AX14" s="1852">
        <v>12173.221</v>
      </c>
      <c r="AY14" s="1852">
        <v>12465.625</v>
      </c>
      <c r="AZ14" s="1852">
        <v>12973.259</v>
      </c>
      <c r="BA14" s="1852">
        <v>14054.401</v>
      </c>
      <c r="BB14" s="1852">
        <v>14006.873</v>
      </c>
      <c r="BC14" s="1852">
        <v>12766.877</v>
      </c>
      <c r="BD14" s="1852">
        <v>13623.405000000001</v>
      </c>
      <c r="BE14" s="1852">
        <v>14166.255999999999</v>
      </c>
      <c r="BF14" s="1852">
        <v>14982.645</v>
      </c>
      <c r="BG14" s="1852">
        <v>15468.522000000001</v>
      </c>
      <c r="BH14" s="1852">
        <v>13963.672</v>
      </c>
      <c r="BI14" s="1212">
        <v>14892.757</v>
      </c>
      <c r="BJ14" s="1852">
        <v>14148.753000000001</v>
      </c>
      <c r="BK14" s="1852">
        <v>13408.712</v>
      </c>
      <c r="BL14" s="1852">
        <v>14940.553</v>
      </c>
      <c r="BM14" s="1852">
        <v>15069.36</v>
      </c>
      <c r="BN14" s="1852">
        <v>9667.607</v>
      </c>
    </row>
    <row r="15" spans="1:66" ht="20.25" customHeight="1">
      <c r="A15" s="1215" t="s">
        <v>3150</v>
      </c>
      <c r="B15" s="1213">
        <v>3.2320000000000002</v>
      </c>
      <c r="C15" s="1213">
        <v>3.8010000000000002</v>
      </c>
      <c r="D15" s="1213">
        <v>3.8889999999999998</v>
      </c>
      <c r="E15" s="1213">
        <v>3.9119999999999999</v>
      </c>
      <c r="F15" s="1213">
        <v>3.331</v>
      </c>
      <c r="G15" s="1213">
        <v>9.6129999999999995</v>
      </c>
      <c r="H15" s="1213">
        <v>4.915</v>
      </c>
      <c r="I15" s="1213">
        <v>4.4660000000000002</v>
      </c>
      <c r="J15" s="1213">
        <v>7</v>
      </c>
      <c r="K15" s="1213">
        <v>2</v>
      </c>
      <c r="L15" s="1213">
        <v>4</v>
      </c>
      <c r="M15" s="1213">
        <v>2</v>
      </c>
      <c r="N15" s="1213">
        <v>3.4929999999999999</v>
      </c>
      <c r="O15" s="1213">
        <v>4.298</v>
      </c>
      <c r="P15" s="1213">
        <v>4</v>
      </c>
      <c r="Q15" s="1213">
        <v>5</v>
      </c>
      <c r="R15" s="1213">
        <v>4</v>
      </c>
      <c r="S15" s="1213">
        <v>5</v>
      </c>
      <c r="T15" s="1213">
        <v>5</v>
      </c>
      <c r="U15" s="1213">
        <v>4</v>
      </c>
      <c r="V15" s="1213">
        <v>4</v>
      </c>
      <c r="W15" s="1213">
        <v>6</v>
      </c>
      <c r="X15" s="1213">
        <v>5</v>
      </c>
      <c r="Y15" s="1213">
        <v>6</v>
      </c>
      <c r="Z15" s="1213">
        <v>4</v>
      </c>
      <c r="AA15" s="1213">
        <v>5</v>
      </c>
      <c r="AB15" s="1213">
        <v>5.0720000000000001</v>
      </c>
      <c r="AC15" s="1213">
        <v>5.73</v>
      </c>
      <c r="AD15" s="1213">
        <v>4.5380000000000003</v>
      </c>
      <c r="AE15" s="1213">
        <v>4.7229999999999999</v>
      </c>
      <c r="AF15" s="1213">
        <v>5.2859999999999996</v>
      </c>
      <c r="AG15" s="1213">
        <v>4.9240000000000004</v>
      </c>
      <c r="AH15" s="1302">
        <v>4.734</v>
      </c>
      <c r="AI15" s="1302">
        <v>5.4029999999999996</v>
      </c>
      <c r="AJ15" s="1302">
        <v>5.7910000000000004</v>
      </c>
      <c r="AK15" s="1214">
        <v>7.4249999999999998</v>
      </c>
      <c r="AL15" s="1213">
        <v>3.806</v>
      </c>
      <c r="AM15" s="1302">
        <v>5.6159999999999997</v>
      </c>
      <c r="AN15" s="1302">
        <v>5.5309999999999997</v>
      </c>
      <c r="AO15" s="1302">
        <v>5.7619999999999996</v>
      </c>
      <c r="AP15" s="1213">
        <v>5.7050000000000001</v>
      </c>
      <c r="AQ15" s="1213">
        <v>5.101</v>
      </c>
      <c r="AR15" s="1213">
        <v>5.4550000000000001</v>
      </c>
      <c r="AS15" s="1213">
        <v>5.6980000000000004</v>
      </c>
      <c r="AT15" s="1213">
        <v>5.22</v>
      </c>
      <c r="AU15" s="1213">
        <v>6.2560000000000002</v>
      </c>
      <c r="AV15" s="1213">
        <v>5.4450000000000003</v>
      </c>
      <c r="AW15" s="1214">
        <v>8.4540000000000006</v>
      </c>
      <c r="AX15" s="1853">
        <v>2.82</v>
      </c>
      <c r="AY15" s="1853">
        <v>4.2350000000000003</v>
      </c>
      <c r="AZ15" s="1853">
        <v>3.8039999999999998</v>
      </c>
      <c r="BA15" s="1853">
        <v>4.4320000000000004</v>
      </c>
      <c r="BB15" s="1853">
        <v>4.0940000000000003</v>
      </c>
      <c r="BC15" s="1853">
        <v>3.2719999999999998</v>
      </c>
      <c r="BD15" s="1853">
        <v>4.4089999999999998</v>
      </c>
      <c r="BE15" s="1853">
        <v>3.8239999999999998</v>
      </c>
      <c r="BF15" s="1853">
        <v>3.6560000000000001</v>
      </c>
      <c r="BG15" s="1853">
        <v>3.9910000000000001</v>
      </c>
      <c r="BH15" s="1853">
        <v>4.3070000000000004</v>
      </c>
      <c r="BI15" s="1214">
        <v>5.6630000000000003</v>
      </c>
      <c r="BJ15" s="1853">
        <v>1.55</v>
      </c>
      <c r="BK15" s="1853">
        <v>3.9929999999999999</v>
      </c>
      <c r="BL15" s="1853">
        <v>3.94</v>
      </c>
      <c r="BM15" s="1853">
        <v>3.9510000000000001</v>
      </c>
      <c r="BN15" s="1853">
        <v>4.2190000000000003</v>
      </c>
    </row>
    <row r="16" spans="1:66" ht="20.25" customHeight="1">
      <c r="A16" s="1215" t="s">
        <v>3151</v>
      </c>
      <c r="B16" s="1213">
        <v>5017.7030000000004</v>
      </c>
      <c r="C16" s="1213">
        <v>4680.8850000000002</v>
      </c>
      <c r="D16" s="1213">
        <v>4560.9920000000002</v>
      </c>
      <c r="E16" s="1213">
        <v>3802.116</v>
      </c>
      <c r="F16" s="1213">
        <v>4498.9970000000003</v>
      </c>
      <c r="G16" s="1213">
        <v>4583.9250000000002</v>
      </c>
      <c r="H16" s="1213">
        <v>4838.6180000000004</v>
      </c>
      <c r="I16" s="1213">
        <v>5207.83</v>
      </c>
      <c r="J16" s="1213">
        <v>5243</v>
      </c>
      <c r="K16" s="1213">
        <v>5023</v>
      </c>
      <c r="L16" s="1213">
        <v>5214</v>
      </c>
      <c r="M16" s="1213">
        <v>5883</v>
      </c>
      <c r="N16" s="1213">
        <v>5403.1639999999998</v>
      </c>
      <c r="O16" s="1213">
        <v>5750.2830000000004</v>
      </c>
      <c r="P16" s="1213">
        <v>6636</v>
      </c>
      <c r="Q16" s="1213">
        <v>6390</v>
      </c>
      <c r="R16" s="1213">
        <v>5056</v>
      </c>
      <c r="S16" s="1213">
        <v>5654</v>
      </c>
      <c r="T16" s="1213">
        <v>4921</v>
      </c>
      <c r="U16" s="1213">
        <v>5728</v>
      </c>
      <c r="V16" s="1213">
        <v>5474</v>
      </c>
      <c r="W16" s="1213">
        <v>5585</v>
      </c>
      <c r="X16" s="1213">
        <v>6080</v>
      </c>
      <c r="Y16" s="1213">
        <v>6545</v>
      </c>
      <c r="Z16" s="1213">
        <v>6003</v>
      </c>
      <c r="AA16" s="1213">
        <v>5891</v>
      </c>
      <c r="AB16" s="1213">
        <v>6252.9579999999996</v>
      </c>
      <c r="AC16" s="1213">
        <v>6443.2120000000004</v>
      </c>
      <c r="AD16" s="1213">
        <v>6689.6760000000004</v>
      </c>
      <c r="AE16" s="1213">
        <v>6717.6819999999998</v>
      </c>
      <c r="AF16" s="1213">
        <v>6932.9589999999998</v>
      </c>
      <c r="AG16" s="1213">
        <v>9711.94</v>
      </c>
      <c r="AH16" s="1302">
        <v>9452.3179999999993</v>
      </c>
      <c r="AI16" s="1302">
        <v>11029.023999999999</v>
      </c>
      <c r="AJ16" s="1302">
        <v>9949.5640000000003</v>
      </c>
      <c r="AK16" s="1214">
        <v>10402.994000000001</v>
      </c>
      <c r="AL16" s="1213">
        <v>10189.223</v>
      </c>
      <c r="AM16" s="1302">
        <v>10499.553</v>
      </c>
      <c r="AN16" s="1302">
        <v>11024.166999999999</v>
      </c>
      <c r="AO16" s="1302">
        <v>10591.35</v>
      </c>
      <c r="AP16" s="1213">
        <v>12577.487999999999</v>
      </c>
      <c r="AQ16" s="1213">
        <v>12169.825000000001</v>
      </c>
      <c r="AR16" s="1213">
        <v>15041.351000000001</v>
      </c>
      <c r="AS16" s="1213">
        <v>12537.47</v>
      </c>
      <c r="AT16" s="1213">
        <v>11774.727999999999</v>
      </c>
      <c r="AU16" s="1213">
        <v>13111.460999999999</v>
      </c>
      <c r="AV16" s="1213">
        <v>12221.441999999999</v>
      </c>
      <c r="AW16" s="1214">
        <v>12855.27</v>
      </c>
      <c r="AX16" s="1853">
        <v>12158.373</v>
      </c>
      <c r="AY16" s="1853">
        <v>12437.183999999999</v>
      </c>
      <c r="AZ16" s="1853">
        <v>12944.766</v>
      </c>
      <c r="BA16" s="1853">
        <v>14021.444</v>
      </c>
      <c r="BB16" s="1853">
        <v>13970.621999999999</v>
      </c>
      <c r="BC16" s="1853">
        <v>12737.694</v>
      </c>
      <c r="BD16" s="1853">
        <v>13583.692999999999</v>
      </c>
      <c r="BE16" s="1853">
        <v>14130.191999999999</v>
      </c>
      <c r="BF16" s="1853">
        <v>14947.921</v>
      </c>
      <c r="BG16" s="1853">
        <v>15428.236000000001</v>
      </c>
      <c r="BH16" s="1853">
        <v>13925.483</v>
      </c>
      <c r="BI16" s="1214">
        <v>14830.377</v>
      </c>
      <c r="BJ16" s="1853">
        <v>14134.268</v>
      </c>
      <c r="BK16" s="1853">
        <v>13377.217000000001</v>
      </c>
      <c r="BL16" s="1853">
        <v>14908.397999999999</v>
      </c>
      <c r="BM16" s="1853">
        <v>15031.079</v>
      </c>
      <c r="BN16" s="1853">
        <v>9630.9609999999993</v>
      </c>
    </row>
    <row r="17" spans="1:66" ht="20.25" customHeight="1">
      <c r="A17" s="1215" t="s">
        <v>3152</v>
      </c>
      <c r="B17" s="1213">
        <v>8.5860000000000003</v>
      </c>
      <c r="C17" s="1213">
        <v>19.32</v>
      </c>
      <c r="D17" s="1213">
        <v>20.699000000000002</v>
      </c>
      <c r="E17" s="1213">
        <v>19.422999999999998</v>
      </c>
      <c r="F17" s="1213">
        <v>19.236999999999998</v>
      </c>
      <c r="G17" s="1213">
        <v>23.327000000000002</v>
      </c>
      <c r="H17" s="1213">
        <v>26.581</v>
      </c>
      <c r="I17" s="1213">
        <v>26.581</v>
      </c>
      <c r="J17" s="1213">
        <v>28</v>
      </c>
      <c r="K17" s="1213">
        <v>32</v>
      </c>
      <c r="L17" s="1213">
        <v>26</v>
      </c>
      <c r="M17" s="1213">
        <v>61</v>
      </c>
      <c r="N17" s="1213">
        <v>8.6159999999999997</v>
      </c>
      <c r="O17" s="1213">
        <v>23.181999999999999</v>
      </c>
      <c r="P17" s="1213">
        <v>28</v>
      </c>
      <c r="Q17" s="1213">
        <v>30</v>
      </c>
      <c r="R17" s="1213">
        <v>26</v>
      </c>
      <c r="S17" s="1213">
        <v>29</v>
      </c>
      <c r="T17" s="1213">
        <v>30</v>
      </c>
      <c r="U17" s="1213">
        <v>29</v>
      </c>
      <c r="V17" s="1213">
        <v>32</v>
      </c>
      <c r="W17" s="1213">
        <v>32</v>
      </c>
      <c r="X17" s="1213">
        <v>34</v>
      </c>
      <c r="Y17" s="1213">
        <v>59</v>
      </c>
      <c r="Z17" s="1213">
        <v>11</v>
      </c>
      <c r="AA17" s="1213">
        <v>24</v>
      </c>
      <c r="AB17" s="1213">
        <v>27.788</v>
      </c>
      <c r="AC17" s="1213">
        <v>31.933</v>
      </c>
      <c r="AD17" s="1213">
        <v>26.45</v>
      </c>
      <c r="AE17" s="1213">
        <v>28.832999999999998</v>
      </c>
      <c r="AF17" s="1213">
        <v>27.212</v>
      </c>
      <c r="AG17" s="1213">
        <v>29.324999999999999</v>
      </c>
      <c r="AH17" s="1302">
        <v>29.719000000000001</v>
      </c>
      <c r="AI17" s="1302">
        <v>28.913</v>
      </c>
      <c r="AJ17" s="1302">
        <v>33.871000000000002</v>
      </c>
      <c r="AK17" s="1214">
        <v>58.448999999999998</v>
      </c>
      <c r="AL17" s="1213">
        <v>11.324</v>
      </c>
      <c r="AM17" s="1302">
        <v>26.536999999999999</v>
      </c>
      <c r="AN17" s="1302">
        <v>29.209</v>
      </c>
      <c r="AO17" s="1302">
        <v>27.4</v>
      </c>
      <c r="AP17" s="1213">
        <v>31.448</v>
      </c>
      <c r="AQ17" s="1213">
        <v>31.24</v>
      </c>
      <c r="AR17" s="1213">
        <v>29.446000000000002</v>
      </c>
      <c r="AS17" s="1213">
        <v>32.587000000000003</v>
      </c>
      <c r="AT17" s="1213">
        <v>31.106999999999999</v>
      </c>
      <c r="AU17" s="1213">
        <v>33.478999999999999</v>
      </c>
      <c r="AV17" s="1213">
        <v>34.058999999999997</v>
      </c>
      <c r="AW17" s="1214">
        <v>57.53</v>
      </c>
      <c r="AX17" s="1853">
        <v>12.028</v>
      </c>
      <c r="AY17" s="1853">
        <v>24.206</v>
      </c>
      <c r="AZ17" s="1853">
        <v>24.689</v>
      </c>
      <c r="BA17" s="1853">
        <v>28.524999999999999</v>
      </c>
      <c r="BB17" s="1853">
        <v>32.156999999999996</v>
      </c>
      <c r="BC17" s="1853">
        <v>25.911000000000001</v>
      </c>
      <c r="BD17" s="1853">
        <v>35.302999999999997</v>
      </c>
      <c r="BE17" s="1853">
        <v>32.24</v>
      </c>
      <c r="BF17" s="1853">
        <v>31.068000000000001</v>
      </c>
      <c r="BG17" s="1853">
        <v>36.295000000000002</v>
      </c>
      <c r="BH17" s="1853">
        <v>33.881999999999998</v>
      </c>
      <c r="BI17" s="1214">
        <v>56.716999999999999</v>
      </c>
      <c r="BJ17" s="1853">
        <v>12.935</v>
      </c>
      <c r="BK17" s="1853">
        <v>27.501999999999999</v>
      </c>
      <c r="BL17" s="1853">
        <v>28.215</v>
      </c>
      <c r="BM17" s="1853">
        <v>34.33</v>
      </c>
      <c r="BN17" s="1853">
        <v>32.427</v>
      </c>
    </row>
    <row r="18" spans="1:66" s="1209" customFormat="1" ht="20.25" customHeight="1">
      <c r="A18" s="1210" t="s">
        <v>3154</v>
      </c>
      <c r="B18" s="1211">
        <v>0</v>
      </c>
      <c r="C18" s="1211">
        <v>0</v>
      </c>
      <c r="D18" s="1211">
        <v>0</v>
      </c>
      <c r="E18" s="1211">
        <v>0</v>
      </c>
      <c r="F18" s="1211">
        <v>0</v>
      </c>
      <c r="G18" s="1211">
        <v>0</v>
      </c>
      <c r="H18" s="1211">
        <v>0</v>
      </c>
      <c r="I18" s="1211">
        <v>0</v>
      </c>
      <c r="J18" s="1211">
        <v>0</v>
      </c>
      <c r="K18" s="1211">
        <v>4.3899999999999997</v>
      </c>
      <c r="L18" s="1211">
        <v>4.3319999999999999</v>
      </c>
      <c r="M18" s="1211">
        <v>4.8929999999999998</v>
      </c>
      <c r="N18" s="1211">
        <v>5.0090000000000003</v>
      </c>
      <c r="O18" s="1211">
        <v>5.4379999999999997</v>
      </c>
      <c r="P18" s="1211">
        <v>6</v>
      </c>
      <c r="Q18" s="1211">
        <v>7</v>
      </c>
      <c r="R18" s="1211">
        <v>7</v>
      </c>
      <c r="S18" s="1211">
        <v>7</v>
      </c>
      <c r="T18" s="1211">
        <v>8</v>
      </c>
      <c r="U18" s="1211">
        <v>11</v>
      </c>
      <c r="V18" s="1211">
        <v>11</v>
      </c>
      <c r="W18" s="1211">
        <v>13</v>
      </c>
      <c r="X18" s="1211">
        <v>17</v>
      </c>
      <c r="Y18" s="1211">
        <v>20</v>
      </c>
      <c r="Z18" s="1211">
        <v>16</v>
      </c>
      <c r="AA18" s="1211">
        <v>18</v>
      </c>
      <c r="AB18" s="1211">
        <v>21.815999999999999</v>
      </c>
      <c r="AC18" s="1211">
        <v>25.18</v>
      </c>
      <c r="AD18" s="1211">
        <v>24.11</v>
      </c>
      <c r="AE18" s="1211">
        <v>27.385000000000002</v>
      </c>
      <c r="AF18" s="1211">
        <v>30.625</v>
      </c>
      <c r="AG18" s="1211">
        <v>31.245999999999999</v>
      </c>
      <c r="AH18" s="1301">
        <v>32.094999999999999</v>
      </c>
      <c r="AI18" s="1301">
        <v>30.832999999999998</v>
      </c>
      <c r="AJ18" s="1301">
        <v>34.107999999999997</v>
      </c>
      <c r="AK18" s="1212">
        <v>45.747</v>
      </c>
      <c r="AL18" s="1211">
        <v>40.293999999999997</v>
      </c>
      <c r="AM18" s="1301">
        <v>45.042000000000002</v>
      </c>
      <c r="AN18" s="1301">
        <v>51.276000000000003</v>
      </c>
      <c r="AO18" s="1301">
        <v>46.591999999999999</v>
      </c>
      <c r="AP18" s="1211">
        <v>51.448999999999998</v>
      </c>
      <c r="AQ18" s="1211">
        <v>48.164999999999999</v>
      </c>
      <c r="AR18" s="1211">
        <v>48.701999999999998</v>
      </c>
      <c r="AS18" s="1211">
        <v>49.209000000000003</v>
      </c>
      <c r="AT18" s="1211">
        <v>47.106999999999999</v>
      </c>
      <c r="AU18" s="1211">
        <v>51.402000000000001</v>
      </c>
      <c r="AV18" s="1211">
        <v>49.743000000000002</v>
      </c>
      <c r="AW18" s="1212">
        <v>58.637</v>
      </c>
      <c r="AX18" s="1852">
        <v>51.305</v>
      </c>
      <c r="AY18" s="1852">
        <v>55.773000000000003</v>
      </c>
      <c r="AZ18" s="1852">
        <v>60.451000000000001</v>
      </c>
      <c r="BA18" s="1852">
        <v>67.671000000000006</v>
      </c>
      <c r="BB18" s="1852">
        <v>64.111999999999995</v>
      </c>
      <c r="BC18" s="1852">
        <v>59.311999999999998</v>
      </c>
      <c r="BD18" s="1852">
        <v>65.051000000000002</v>
      </c>
      <c r="BE18" s="1852">
        <v>63.904000000000003</v>
      </c>
      <c r="BF18" s="1852">
        <v>65.370999999999995</v>
      </c>
      <c r="BG18" s="1852">
        <v>76.762</v>
      </c>
      <c r="BH18" s="1852">
        <v>71.989999999999995</v>
      </c>
      <c r="BI18" s="1212">
        <v>99.012</v>
      </c>
      <c r="BJ18" s="1852">
        <v>72.164000000000001</v>
      </c>
      <c r="BK18" s="1852">
        <v>72.382999999999996</v>
      </c>
      <c r="BL18" s="1852">
        <v>74.016999999999996</v>
      </c>
      <c r="BM18" s="1852">
        <v>114.06699999999999</v>
      </c>
      <c r="BN18" s="1852">
        <v>244.99100000000001</v>
      </c>
    </row>
    <row r="19" spans="1:66" s="1209" customFormat="1" ht="23.25" customHeight="1">
      <c r="A19" s="2116"/>
      <c r="B19" s="2117"/>
      <c r="C19" s="2117"/>
      <c r="D19" s="2117"/>
      <c r="E19" s="2117"/>
      <c r="F19" s="2117"/>
      <c r="G19" s="2117"/>
      <c r="H19" s="2117"/>
      <c r="I19" s="2117"/>
      <c r="J19" s="2117"/>
      <c r="K19" s="2117"/>
      <c r="L19" s="2117"/>
      <c r="M19" s="2117"/>
      <c r="N19" s="2117"/>
      <c r="O19" s="2117"/>
      <c r="P19" s="2117"/>
      <c r="Q19" s="2117"/>
      <c r="R19" s="2117"/>
      <c r="S19" s="2117"/>
      <c r="T19" s="2117"/>
      <c r="U19" s="2117"/>
      <c r="V19" s="2117"/>
      <c r="W19" s="2117"/>
      <c r="X19" s="2117"/>
      <c r="Y19" s="2117"/>
      <c r="Z19" s="2118"/>
      <c r="AA19" s="2118"/>
      <c r="AB19" s="2118"/>
      <c r="AC19" s="2118"/>
      <c r="AD19" s="2118"/>
      <c r="AE19" s="2118"/>
      <c r="AF19" s="2118"/>
      <c r="AG19" s="2118"/>
      <c r="AH19" s="2118"/>
      <c r="AI19" s="2118"/>
      <c r="AJ19" s="2118"/>
      <c r="AK19" s="2118"/>
      <c r="AL19" s="2734" t="s">
        <v>4223</v>
      </c>
      <c r="AM19" s="2734"/>
      <c r="AN19" s="2734"/>
      <c r="AO19" s="2734"/>
      <c r="AP19" s="2734"/>
      <c r="AQ19" s="2734"/>
      <c r="AR19" s="2734"/>
      <c r="AS19" s="2734"/>
      <c r="AT19" s="2734"/>
      <c r="AU19" s="2734"/>
      <c r="AV19" s="2734"/>
      <c r="AW19" s="2735"/>
      <c r="AX19" s="2736" t="s">
        <v>4223</v>
      </c>
      <c r="AY19" s="2734"/>
      <c r="AZ19" s="2734"/>
      <c r="BA19" s="2734"/>
      <c r="BB19" s="2734"/>
      <c r="BC19" s="2734"/>
      <c r="BD19" s="2734"/>
      <c r="BE19" s="2734"/>
      <c r="BF19" s="2734"/>
      <c r="BG19" s="2734"/>
      <c r="BH19" s="2734"/>
      <c r="BI19" s="2734"/>
      <c r="BJ19" s="2734"/>
      <c r="BK19" s="2734"/>
      <c r="BL19" s="2734"/>
      <c r="BM19" s="2734"/>
      <c r="BN19" s="2735"/>
    </row>
    <row r="20" spans="1:66" s="1209" customFormat="1" ht="20.25" customHeight="1">
      <c r="A20" s="1210" t="s">
        <v>3149</v>
      </c>
      <c r="B20" s="1211">
        <f t="shared" ref="B20:I20" si="2">SUM(B21:B23)</f>
        <v>13109.17628462</v>
      </c>
      <c r="C20" s="1211">
        <f t="shared" si="2"/>
        <v>13823.3142044</v>
      </c>
      <c r="D20" s="1211">
        <f t="shared" si="2"/>
        <v>21979.575576679999</v>
      </c>
      <c r="E20" s="1211">
        <f t="shared" si="2"/>
        <v>15118.103507359998</v>
      </c>
      <c r="F20" s="1211">
        <f t="shared" si="2"/>
        <v>14215.09809489</v>
      </c>
      <c r="G20" s="1211">
        <f t="shared" si="2"/>
        <v>15281.677777639999</v>
      </c>
      <c r="H20" s="1211">
        <f t="shared" si="2"/>
        <v>17417.136135119999</v>
      </c>
      <c r="I20" s="1211">
        <f t="shared" si="2"/>
        <v>14734.028447340002</v>
      </c>
      <c r="J20" s="1211">
        <v>15866</v>
      </c>
      <c r="K20" s="1211">
        <v>17037</v>
      </c>
      <c r="L20" s="1211">
        <v>15154</v>
      </c>
      <c r="M20" s="1211">
        <v>21835</v>
      </c>
      <c r="N20" s="1211">
        <f>SUM(N21:N23)</f>
        <v>13784.85867614</v>
      </c>
      <c r="O20" s="1211">
        <f>SUM(O21:O23)</f>
        <v>12399.762516980001</v>
      </c>
      <c r="P20" s="1211">
        <v>14508</v>
      </c>
      <c r="Q20" s="1211">
        <v>14052</v>
      </c>
      <c r="R20" s="1211">
        <v>12880</v>
      </c>
      <c r="S20" s="1211">
        <v>15547</v>
      </c>
      <c r="T20" s="1211">
        <v>14643</v>
      </c>
      <c r="U20" s="1211">
        <v>13210</v>
      </c>
      <c r="V20" s="1211">
        <f>SUM(V21:V23)</f>
        <v>14417</v>
      </c>
      <c r="W20" s="1211">
        <v>16235</v>
      </c>
      <c r="X20" s="1211">
        <v>15818</v>
      </c>
      <c r="Y20" s="1211">
        <v>26261</v>
      </c>
      <c r="Z20" s="1211">
        <v>17426</v>
      </c>
      <c r="AA20" s="1211">
        <v>16543</v>
      </c>
      <c r="AB20" s="1211">
        <v>23466.437409999999</v>
      </c>
      <c r="AC20" s="1211">
        <v>20839.326282999999</v>
      </c>
      <c r="AD20" s="1211">
        <v>16256.340834000001</v>
      </c>
      <c r="AE20" s="1211">
        <v>14850.078052999999</v>
      </c>
      <c r="AF20" s="1211">
        <v>15694.884866</v>
      </c>
      <c r="AG20" s="1211">
        <v>15361.737681000001</v>
      </c>
      <c r="AH20" s="1301">
        <v>33364.511722000003</v>
      </c>
      <c r="AI20" s="1301">
        <v>36943.431165000002</v>
      </c>
      <c r="AJ20" s="1301">
        <v>39324.417258000001</v>
      </c>
      <c r="AK20" s="1212">
        <v>49996.540850999998</v>
      </c>
      <c r="AL20" s="1211">
        <v>36660.706982999996</v>
      </c>
      <c r="AM20" s="1211">
        <v>37145.696744000001</v>
      </c>
      <c r="AN20" s="1211">
        <v>41829.277486999999</v>
      </c>
      <c r="AO20" s="1211">
        <v>40483.132396000001</v>
      </c>
      <c r="AP20" s="1211">
        <v>45947.633055999999</v>
      </c>
      <c r="AQ20" s="1211">
        <v>38896.040908000003</v>
      </c>
      <c r="AR20" s="1211">
        <v>48385.682926000001</v>
      </c>
      <c r="AS20" s="1211">
        <v>59812.890206999997</v>
      </c>
      <c r="AT20" s="1211">
        <v>73784.507656999995</v>
      </c>
      <c r="AU20" s="1211">
        <v>81116.384445999996</v>
      </c>
      <c r="AV20" s="1211">
        <v>98807.544632999998</v>
      </c>
      <c r="AW20" s="1212">
        <v>113441.38003499999</v>
      </c>
      <c r="AX20" s="1852">
        <v>63231.802595000001</v>
      </c>
      <c r="AY20" s="1852">
        <v>72933.747545000006</v>
      </c>
      <c r="AZ20" s="1852">
        <v>58852.146033999998</v>
      </c>
      <c r="BA20" s="1852">
        <v>48123.378424000002</v>
      </c>
      <c r="BB20" s="1852">
        <v>46584.659470999999</v>
      </c>
      <c r="BC20" s="1852">
        <v>52842.938095999998</v>
      </c>
      <c r="BD20" s="1852">
        <v>54122.680694000002</v>
      </c>
      <c r="BE20" s="1852">
        <v>54365.744533999998</v>
      </c>
      <c r="BF20" s="1852">
        <v>49394.279131000003</v>
      </c>
      <c r="BG20" s="1852">
        <v>61862.597988000001</v>
      </c>
      <c r="BH20" s="1852">
        <v>64108.821402000001</v>
      </c>
      <c r="BI20" s="1212">
        <v>79412.772574000002</v>
      </c>
      <c r="BJ20" s="1852">
        <v>66798.366133999996</v>
      </c>
      <c r="BK20" s="1852">
        <v>42069.517595999998</v>
      </c>
      <c r="BL20" s="1852">
        <v>41999.902264999997</v>
      </c>
      <c r="BM20" s="1852">
        <v>70969.915682999999</v>
      </c>
      <c r="BN20" s="1852">
        <v>55390.565256000002</v>
      </c>
    </row>
    <row r="21" spans="1:66" ht="20.25" customHeight="1">
      <c r="A21" s="1574" t="s">
        <v>3150</v>
      </c>
      <c r="B21" s="1213">
        <v>3189.83992678</v>
      </c>
      <c r="C21" s="1213">
        <v>2957.0392173200003</v>
      </c>
      <c r="D21" s="1213">
        <v>7074.6712669799999</v>
      </c>
      <c r="E21" s="1213">
        <v>3900.35430417</v>
      </c>
      <c r="F21" s="1213">
        <v>3488.7462736500001</v>
      </c>
      <c r="G21" s="1213">
        <v>3921.2870718499998</v>
      </c>
      <c r="H21" s="1213">
        <v>3977.6125168200001</v>
      </c>
      <c r="I21" s="1213">
        <v>3830.8070858299998</v>
      </c>
      <c r="J21" s="1213">
        <v>4159</v>
      </c>
      <c r="K21" s="1213">
        <v>4675</v>
      </c>
      <c r="L21" s="1213">
        <v>3787</v>
      </c>
      <c r="M21" s="1213">
        <v>4903</v>
      </c>
      <c r="N21" s="1213">
        <v>3358.9982296399999</v>
      </c>
      <c r="O21" s="1213">
        <v>2093.5531968800001</v>
      </c>
      <c r="P21" s="1213">
        <v>2247</v>
      </c>
      <c r="Q21" s="1213">
        <v>2304</v>
      </c>
      <c r="R21" s="1213">
        <v>1866</v>
      </c>
      <c r="S21" s="1213">
        <v>2112</v>
      </c>
      <c r="T21" s="1213">
        <v>2069</v>
      </c>
      <c r="U21" s="1213">
        <v>1644</v>
      </c>
      <c r="V21" s="1213">
        <v>1836</v>
      </c>
      <c r="W21" s="1213">
        <v>2632</v>
      </c>
      <c r="X21" s="1213">
        <v>2724</v>
      </c>
      <c r="Y21" s="1213">
        <v>6326</v>
      </c>
      <c r="Z21" s="1213">
        <v>2897</v>
      </c>
      <c r="AA21" s="1213">
        <v>2392</v>
      </c>
      <c r="AB21" s="1213">
        <v>3161.2980923600003</v>
      </c>
      <c r="AC21" s="1213">
        <v>3053.4401916699999</v>
      </c>
      <c r="AD21" s="1213">
        <v>1956.9263780000001</v>
      </c>
      <c r="AE21" s="1213">
        <v>1902.2117209999999</v>
      </c>
      <c r="AF21" s="1213">
        <v>3026.0499030000001</v>
      </c>
      <c r="AG21" s="1213">
        <v>2080.9855400000001</v>
      </c>
      <c r="AH21" s="1302">
        <v>11182.518738000001</v>
      </c>
      <c r="AI21" s="1302">
        <v>11325.241161</v>
      </c>
      <c r="AJ21" s="1302">
        <v>12360.60001</v>
      </c>
      <c r="AK21" s="1214">
        <v>15645.293276</v>
      </c>
      <c r="AL21" s="1213">
        <v>11754.209552</v>
      </c>
      <c r="AM21" s="1213">
        <v>12266.865846999999</v>
      </c>
      <c r="AN21" s="1213">
        <v>13736.637316</v>
      </c>
      <c r="AO21" s="1213">
        <v>13332.272068</v>
      </c>
      <c r="AP21" s="1213">
        <v>15118.702225000001</v>
      </c>
      <c r="AQ21" s="1213">
        <v>12411.722771000001</v>
      </c>
      <c r="AR21" s="1213">
        <v>15085.268786000001</v>
      </c>
      <c r="AS21" s="1213">
        <v>19910.256552999999</v>
      </c>
      <c r="AT21" s="1213">
        <v>28644.780296000001</v>
      </c>
      <c r="AU21" s="1213">
        <v>31133.742297000001</v>
      </c>
      <c r="AV21" s="1213">
        <v>40870.468216000001</v>
      </c>
      <c r="AW21" s="1214">
        <v>45117.112830999999</v>
      </c>
      <c r="AX21" s="1853">
        <v>20961.657496</v>
      </c>
      <c r="AY21" s="1853">
        <v>26211.026291999999</v>
      </c>
      <c r="AZ21" s="1853">
        <v>20284.364646000002</v>
      </c>
      <c r="BA21" s="1853">
        <v>13736.329761000001</v>
      </c>
      <c r="BB21" s="1853">
        <v>11429.669658999999</v>
      </c>
      <c r="BC21" s="1853">
        <v>13440.963815999999</v>
      </c>
      <c r="BD21" s="1853">
        <v>13148.191616</v>
      </c>
      <c r="BE21" s="1853">
        <v>11597.494873</v>
      </c>
      <c r="BF21" s="1853">
        <v>8628.8840149999996</v>
      </c>
      <c r="BG21" s="1853">
        <v>14618.872375000001</v>
      </c>
      <c r="BH21" s="1853">
        <v>16169.712034</v>
      </c>
      <c r="BI21" s="1214">
        <v>18375.505331</v>
      </c>
      <c r="BJ21" s="1853">
        <v>19943.204209</v>
      </c>
      <c r="BK21" s="1853">
        <v>8462.4487630000003</v>
      </c>
      <c r="BL21" s="1853">
        <v>11825.380367</v>
      </c>
      <c r="BM21" s="1853">
        <v>12557.865108</v>
      </c>
      <c r="BN21" s="1853">
        <v>16095.393592</v>
      </c>
    </row>
    <row r="22" spans="1:66" ht="20.25" customHeight="1">
      <c r="A22" s="1574" t="s">
        <v>3151</v>
      </c>
      <c r="B22" s="1213">
        <v>7173.6979497899983</v>
      </c>
      <c r="C22" s="1213">
        <v>8360.4144552899998</v>
      </c>
      <c r="D22" s="1213">
        <v>12661.908307109999</v>
      </c>
      <c r="E22" s="1213">
        <v>8921.1775280299989</v>
      </c>
      <c r="F22" s="1213">
        <v>8013.4723969899978</v>
      </c>
      <c r="G22" s="1213">
        <v>8570.5701775199996</v>
      </c>
      <c r="H22" s="1213">
        <v>9886.9040144999981</v>
      </c>
      <c r="I22" s="1213">
        <v>8047.1485804400018</v>
      </c>
      <c r="J22" s="1213">
        <v>8670</v>
      </c>
      <c r="K22" s="1213">
        <v>9249</v>
      </c>
      <c r="L22" s="1213">
        <v>8713</v>
      </c>
      <c r="M22" s="1213">
        <v>11871</v>
      </c>
      <c r="N22" s="1213">
        <v>8018.8894169200003</v>
      </c>
      <c r="O22" s="1213">
        <v>7622.5597480699998</v>
      </c>
      <c r="P22" s="1213">
        <v>8994</v>
      </c>
      <c r="Q22" s="1213">
        <v>8877</v>
      </c>
      <c r="R22" s="1213">
        <v>8293</v>
      </c>
      <c r="S22" s="1213">
        <v>10736</v>
      </c>
      <c r="T22" s="1213">
        <v>9513</v>
      </c>
      <c r="U22" s="1213">
        <v>9227</v>
      </c>
      <c r="V22" s="1213">
        <v>9774</v>
      </c>
      <c r="W22" s="1213">
        <v>10157</v>
      </c>
      <c r="X22" s="1213">
        <v>10388</v>
      </c>
      <c r="Y22" s="1213">
        <v>14817</v>
      </c>
      <c r="Z22" s="1213">
        <v>11993</v>
      </c>
      <c r="AA22" s="1213">
        <v>11580</v>
      </c>
      <c r="AB22" s="1213">
        <v>16162.769898389999</v>
      </c>
      <c r="AC22" s="1213">
        <v>14228.641993179999</v>
      </c>
      <c r="AD22" s="1213">
        <v>11580.135330999999</v>
      </c>
      <c r="AE22" s="1213">
        <v>10105.113971000001</v>
      </c>
      <c r="AF22" s="1213">
        <v>9985.9613210000007</v>
      </c>
      <c r="AG22" s="1213">
        <v>10451.891256999999</v>
      </c>
      <c r="AH22" s="1302">
        <v>19681.369393000001</v>
      </c>
      <c r="AI22" s="1302">
        <v>22450.70794</v>
      </c>
      <c r="AJ22" s="1302">
        <v>23500.190610000001</v>
      </c>
      <c r="AK22" s="1214">
        <v>29350.395285999999</v>
      </c>
      <c r="AL22" s="1213">
        <v>21473.794555</v>
      </c>
      <c r="AM22" s="1213">
        <v>21753.213228000001</v>
      </c>
      <c r="AN22" s="1213">
        <v>24809.44327</v>
      </c>
      <c r="AO22" s="1213">
        <v>24206.471777999999</v>
      </c>
      <c r="AP22" s="1213">
        <v>28260.445844000002</v>
      </c>
      <c r="AQ22" s="1213">
        <v>23491.573249000001</v>
      </c>
      <c r="AR22" s="1213">
        <v>29155.045672</v>
      </c>
      <c r="AS22" s="1213">
        <v>35827.534938999997</v>
      </c>
      <c r="AT22" s="1213">
        <v>42385.637741999999</v>
      </c>
      <c r="AU22" s="1213">
        <v>45317.571064000003</v>
      </c>
      <c r="AV22" s="1213">
        <v>54364.993779999997</v>
      </c>
      <c r="AW22" s="1214">
        <v>61983.870300000002</v>
      </c>
      <c r="AX22" s="1853">
        <v>38161.578029999997</v>
      </c>
      <c r="AY22" s="1853">
        <v>42774.412534000003</v>
      </c>
      <c r="AZ22" s="1853">
        <v>35403.979035999997</v>
      </c>
      <c r="BA22" s="1853">
        <v>31139.241141999999</v>
      </c>
      <c r="BB22" s="1853">
        <v>31748.886620000001</v>
      </c>
      <c r="BC22" s="1853">
        <v>35477.144114000002</v>
      </c>
      <c r="BD22" s="1853">
        <v>36658.738459</v>
      </c>
      <c r="BE22" s="1853">
        <v>39088.025913999998</v>
      </c>
      <c r="BF22" s="1853">
        <v>37037.724221999997</v>
      </c>
      <c r="BG22" s="1853">
        <v>43347.266727000002</v>
      </c>
      <c r="BH22" s="1853">
        <v>43149.442485</v>
      </c>
      <c r="BI22" s="1214">
        <v>52600.161225000003</v>
      </c>
      <c r="BJ22" s="1853">
        <v>42072.378049999999</v>
      </c>
      <c r="BK22" s="1853">
        <v>28988.887882999999</v>
      </c>
      <c r="BL22" s="1853">
        <v>26662.047843</v>
      </c>
      <c r="BM22" s="1853">
        <v>51715.132554999997</v>
      </c>
      <c r="BN22" s="1853">
        <v>34521.442176999997</v>
      </c>
    </row>
    <row r="23" spans="1:66" ht="20.25" customHeight="1">
      <c r="A23" s="1574" t="s">
        <v>3152</v>
      </c>
      <c r="B23" s="1213">
        <v>2745.6384080500002</v>
      </c>
      <c r="C23" s="1213">
        <v>2505.8605317900001</v>
      </c>
      <c r="D23" s="1213">
        <v>2242.99600259</v>
      </c>
      <c r="E23" s="1213">
        <v>2296.5716751599998</v>
      </c>
      <c r="F23" s="1213">
        <v>2712.8794242499998</v>
      </c>
      <c r="G23" s="1213">
        <v>2789.8205282700001</v>
      </c>
      <c r="H23" s="1213">
        <v>3552.6196038000003</v>
      </c>
      <c r="I23" s="1213">
        <v>2856.07278107</v>
      </c>
      <c r="J23" s="1213">
        <v>3037</v>
      </c>
      <c r="K23" s="1213">
        <v>3113</v>
      </c>
      <c r="L23" s="1213">
        <v>2654</v>
      </c>
      <c r="M23" s="1213">
        <v>5061</v>
      </c>
      <c r="N23" s="1213">
        <v>2406.97102958</v>
      </c>
      <c r="O23" s="1213">
        <v>2683.6495720300004</v>
      </c>
      <c r="P23" s="1213">
        <v>3267</v>
      </c>
      <c r="Q23" s="1213">
        <v>2871</v>
      </c>
      <c r="R23" s="1213">
        <v>2721</v>
      </c>
      <c r="S23" s="1213">
        <v>2699</v>
      </c>
      <c r="T23" s="1213">
        <v>3061</v>
      </c>
      <c r="U23" s="1213">
        <v>2339</v>
      </c>
      <c r="V23" s="1213">
        <v>2807</v>
      </c>
      <c r="W23" s="1213">
        <v>3446</v>
      </c>
      <c r="X23" s="1213">
        <v>2706</v>
      </c>
      <c r="Y23" s="1213">
        <v>5118</v>
      </c>
      <c r="Z23" s="1213">
        <v>2536</v>
      </c>
      <c r="AA23" s="1213">
        <v>2571</v>
      </c>
      <c r="AB23" s="1213">
        <v>4142.3694194599993</v>
      </c>
      <c r="AC23" s="1213">
        <v>3557.2440981999898</v>
      </c>
      <c r="AD23" s="1213">
        <v>2719.279125</v>
      </c>
      <c r="AE23" s="1213">
        <v>2842.7523609999998</v>
      </c>
      <c r="AF23" s="1213">
        <v>2682.873642</v>
      </c>
      <c r="AG23" s="1213">
        <v>2828.8608840000002</v>
      </c>
      <c r="AH23" s="1302">
        <v>2500.623591</v>
      </c>
      <c r="AI23" s="1302">
        <v>3167.4820639999998</v>
      </c>
      <c r="AJ23" s="1302">
        <v>3463.6266380000002</v>
      </c>
      <c r="AK23" s="1214">
        <v>5000.8522890000004</v>
      </c>
      <c r="AL23" s="1213">
        <v>3432.7028759999998</v>
      </c>
      <c r="AM23" s="1213">
        <v>3125.6176690000002</v>
      </c>
      <c r="AN23" s="1213">
        <v>3283.1969009999998</v>
      </c>
      <c r="AO23" s="1213">
        <v>2944.3885500000001</v>
      </c>
      <c r="AP23" s="1213">
        <v>2568.4849869999998</v>
      </c>
      <c r="AQ23" s="1213">
        <v>2992.7448880000002</v>
      </c>
      <c r="AR23" s="1213">
        <v>4145.3684679999997</v>
      </c>
      <c r="AS23" s="1213">
        <v>4075.0987150000001</v>
      </c>
      <c r="AT23" s="1213">
        <v>2754.0896189999999</v>
      </c>
      <c r="AU23" s="1213">
        <v>4665.0710849999996</v>
      </c>
      <c r="AV23" s="1213">
        <v>3572.082637</v>
      </c>
      <c r="AW23" s="1214">
        <v>6340.3969040000002</v>
      </c>
      <c r="AX23" s="1853">
        <v>4108.5670689999997</v>
      </c>
      <c r="AY23" s="1853">
        <v>3948.3087190000001</v>
      </c>
      <c r="AZ23" s="1853">
        <v>3163.8023520000002</v>
      </c>
      <c r="BA23" s="1853">
        <v>3247.8075210000002</v>
      </c>
      <c r="BB23" s="1853">
        <v>3406.103192</v>
      </c>
      <c r="BC23" s="1853">
        <v>3924.8301660000002</v>
      </c>
      <c r="BD23" s="1853">
        <v>4315.7506190000004</v>
      </c>
      <c r="BE23" s="1853">
        <v>3680.223747</v>
      </c>
      <c r="BF23" s="1853">
        <v>3727.6708939999999</v>
      </c>
      <c r="BG23" s="1853">
        <v>3896.4588859999999</v>
      </c>
      <c r="BH23" s="1853">
        <v>4789.6668829999999</v>
      </c>
      <c r="BI23" s="1214">
        <v>8437.1060180000004</v>
      </c>
      <c r="BJ23" s="1853">
        <v>4782.7838750000001</v>
      </c>
      <c r="BK23" s="1853">
        <v>4618.1809499999999</v>
      </c>
      <c r="BL23" s="1853">
        <v>3512.4740550000001</v>
      </c>
      <c r="BM23" s="1853">
        <v>6696.9180200000001</v>
      </c>
      <c r="BN23" s="1853">
        <v>4773.7294869999996</v>
      </c>
    </row>
    <row r="24" spans="1:66" s="1209" customFormat="1" ht="20.25" customHeight="1">
      <c r="A24" s="1210" t="s">
        <v>3153</v>
      </c>
      <c r="B24" s="1211">
        <f t="shared" ref="B24:I24" si="3">SUM(B25:B27)</f>
        <v>2026.1181078799998</v>
      </c>
      <c r="C24" s="1211">
        <f t="shared" si="3"/>
        <v>2132.1753476499998</v>
      </c>
      <c r="D24" s="1211">
        <f t="shared" si="3"/>
        <v>2232.6398431600001</v>
      </c>
      <c r="E24" s="1211">
        <f t="shared" si="3"/>
        <v>2206.2707991900006</v>
      </c>
      <c r="F24" s="1211">
        <f t="shared" si="3"/>
        <v>2134.2145637199997</v>
      </c>
      <c r="G24" s="1211">
        <f t="shared" si="3"/>
        <v>2200.4411376000003</v>
      </c>
      <c r="H24" s="1211">
        <f t="shared" si="3"/>
        <v>2464.3330206800001</v>
      </c>
      <c r="I24" s="1211">
        <f t="shared" si="3"/>
        <v>2260.46141119</v>
      </c>
      <c r="J24" s="1211">
        <v>2358</v>
      </c>
      <c r="K24" s="1211">
        <v>2516</v>
      </c>
      <c r="L24" s="1211">
        <v>2411</v>
      </c>
      <c r="M24" s="1211">
        <v>2891</v>
      </c>
      <c r="N24" s="1211">
        <f>SUM(N25:N27)</f>
        <v>2266.8536185800003</v>
      </c>
      <c r="O24" s="1211">
        <f>SUM(O25:O27)</f>
        <v>2183.2391038400001</v>
      </c>
      <c r="P24" s="1211">
        <v>2629</v>
      </c>
      <c r="Q24" s="1211">
        <v>2867</v>
      </c>
      <c r="R24" s="1211">
        <v>2551</v>
      </c>
      <c r="S24" s="1211">
        <v>2822</v>
      </c>
      <c r="T24" s="1211">
        <v>2998</v>
      </c>
      <c r="U24" s="1211">
        <v>2686</v>
      </c>
      <c r="V24" s="1211">
        <f>SUM(V25:V27)</f>
        <v>2848</v>
      </c>
      <c r="W24" s="1211">
        <v>3255</v>
      </c>
      <c r="X24" s="1211">
        <v>2762</v>
      </c>
      <c r="Y24" s="1211">
        <v>4038</v>
      </c>
      <c r="Z24" s="1211">
        <v>2949</v>
      </c>
      <c r="AA24" s="1211">
        <v>2665</v>
      </c>
      <c r="AB24" s="1211">
        <v>3302.4425900000001</v>
      </c>
      <c r="AC24" s="1211">
        <v>3425.6060149999998</v>
      </c>
      <c r="AD24" s="1211">
        <v>3242.397328</v>
      </c>
      <c r="AE24" s="1211">
        <v>3257.9124919999999</v>
      </c>
      <c r="AF24" s="1211">
        <v>3536.9061550000001</v>
      </c>
      <c r="AG24" s="1211">
        <v>3436.945381</v>
      </c>
      <c r="AH24" s="1301">
        <v>3224.0348319999998</v>
      </c>
      <c r="AI24" s="1301">
        <v>3664.3454000000002</v>
      </c>
      <c r="AJ24" s="1301">
        <v>3814.8712759999999</v>
      </c>
      <c r="AK24" s="1212">
        <v>5421.0985710000004</v>
      </c>
      <c r="AL24" s="1211">
        <v>3647.5491040000002</v>
      </c>
      <c r="AM24" s="1211">
        <v>3214.1088570000002</v>
      </c>
      <c r="AN24" s="1211">
        <v>3814.5697449999998</v>
      </c>
      <c r="AO24" s="1211">
        <v>3984.703051</v>
      </c>
      <c r="AP24" s="1211">
        <v>3770.7526939999998</v>
      </c>
      <c r="AQ24" s="1211">
        <v>3669.9096650000001</v>
      </c>
      <c r="AR24" s="1211">
        <v>4537.6238460000004</v>
      </c>
      <c r="AS24" s="1211">
        <v>4482.0786699999999</v>
      </c>
      <c r="AT24" s="1211">
        <v>4120.426931</v>
      </c>
      <c r="AU24" s="1211">
        <v>4445.8855469999999</v>
      </c>
      <c r="AV24" s="1211">
        <v>4066.1211969999999</v>
      </c>
      <c r="AW24" s="1212">
        <v>5258.2264539999996</v>
      </c>
      <c r="AX24" s="1852">
        <v>3804.0335439999999</v>
      </c>
      <c r="AY24" s="1852">
        <v>3802.1383340000002</v>
      </c>
      <c r="AZ24" s="1852">
        <v>4083.212755</v>
      </c>
      <c r="BA24" s="1852">
        <v>4763.3389669999997</v>
      </c>
      <c r="BB24" s="1852">
        <v>4032.7997300000002</v>
      </c>
      <c r="BC24" s="1852">
        <v>3930.7540669999998</v>
      </c>
      <c r="BD24" s="1852">
        <v>4909.1215419999999</v>
      </c>
      <c r="BE24" s="1852">
        <v>4493.2275980000004</v>
      </c>
      <c r="BF24" s="1852">
        <v>4213.7734309999996</v>
      </c>
      <c r="BG24" s="1852">
        <v>4851.2026219999998</v>
      </c>
      <c r="BH24" s="1852">
        <v>4028.8756899999998</v>
      </c>
      <c r="BI24" s="1212">
        <v>6039.6466790000004</v>
      </c>
      <c r="BJ24" s="1852">
        <v>4058.9534149999999</v>
      </c>
      <c r="BK24" s="1852">
        <v>3614.2437810000001</v>
      </c>
      <c r="BL24" s="1852">
        <v>4456.8135990000001</v>
      </c>
      <c r="BM24" s="1852">
        <v>6257.5174610000004</v>
      </c>
      <c r="BN24" s="1852">
        <v>3900.1404379999999</v>
      </c>
    </row>
    <row r="25" spans="1:66" ht="20.25" customHeight="1">
      <c r="A25" s="1215" t="s">
        <v>3150</v>
      </c>
      <c r="B25" s="1213">
        <v>57.464669459999996</v>
      </c>
      <c r="C25" s="1213">
        <v>46.795282929999999</v>
      </c>
      <c r="D25" s="1213">
        <v>91.950314760000012</v>
      </c>
      <c r="E25" s="1213">
        <v>113.25461138999999</v>
      </c>
      <c r="F25" s="1213">
        <v>78.069709930000002</v>
      </c>
      <c r="G25" s="1213">
        <v>96.62816196</v>
      </c>
      <c r="H25" s="1213">
        <v>76.225824379999992</v>
      </c>
      <c r="I25" s="1213">
        <v>61.314074140000002</v>
      </c>
      <c r="J25" s="1213">
        <v>75</v>
      </c>
      <c r="K25" s="1213">
        <v>17</v>
      </c>
      <c r="L25" s="1213">
        <v>95</v>
      </c>
      <c r="M25" s="1213">
        <v>10</v>
      </c>
      <c r="N25" s="1213">
        <v>34.046740720000003</v>
      </c>
      <c r="O25" s="1213">
        <v>41.53880307</v>
      </c>
      <c r="P25" s="1213">
        <v>47</v>
      </c>
      <c r="Q25" s="1213">
        <v>45</v>
      </c>
      <c r="R25" s="1213">
        <v>50</v>
      </c>
      <c r="S25" s="1213">
        <v>61</v>
      </c>
      <c r="T25" s="1213">
        <v>83</v>
      </c>
      <c r="U25" s="1213">
        <v>60</v>
      </c>
      <c r="V25" s="1213">
        <v>62</v>
      </c>
      <c r="W25" s="1213">
        <v>66</v>
      </c>
      <c r="X25" s="1213">
        <v>60</v>
      </c>
      <c r="Y25" s="1213">
        <v>368</v>
      </c>
      <c r="Z25" s="1213">
        <v>40</v>
      </c>
      <c r="AA25" s="1213">
        <v>64</v>
      </c>
      <c r="AB25" s="1213">
        <v>50.319934979999999</v>
      </c>
      <c r="AC25" s="1213">
        <v>67.062377769999998</v>
      </c>
      <c r="AD25" s="1213">
        <v>73.419002000000006</v>
      </c>
      <c r="AE25" s="1213">
        <v>74.02073</v>
      </c>
      <c r="AF25" s="1213">
        <v>73.507459999999995</v>
      </c>
      <c r="AG25" s="1213">
        <v>67.513469999999998</v>
      </c>
      <c r="AH25" s="1302">
        <v>59.618533999999997</v>
      </c>
      <c r="AI25" s="1302">
        <v>76.167235000000005</v>
      </c>
      <c r="AJ25" s="1302">
        <v>87.181956</v>
      </c>
      <c r="AK25" s="1214">
        <v>88.209517000000005</v>
      </c>
      <c r="AL25" s="1213">
        <v>41.498192000000003</v>
      </c>
      <c r="AM25" s="1213">
        <v>46.185921</v>
      </c>
      <c r="AN25" s="1213">
        <v>55.228839999999998</v>
      </c>
      <c r="AO25" s="1213">
        <v>49.316626999999997</v>
      </c>
      <c r="AP25" s="1213">
        <v>54.875675999999999</v>
      </c>
      <c r="AQ25" s="1213">
        <v>66.354890999999995</v>
      </c>
      <c r="AR25" s="1213">
        <v>59.491464000000001</v>
      </c>
      <c r="AS25" s="1213">
        <v>71.160809999999998</v>
      </c>
      <c r="AT25" s="1213">
        <v>71.250456</v>
      </c>
      <c r="AU25" s="1213">
        <v>77.364446999999998</v>
      </c>
      <c r="AV25" s="1213">
        <v>101.734385</v>
      </c>
      <c r="AW25" s="1214">
        <v>127.54430000000001</v>
      </c>
      <c r="AX25" s="1853">
        <v>76.925830000000005</v>
      </c>
      <c r="AY25" s="1853">
        <v>38.577013999999998</v>
      </c>
      <c r="AZ25" s="1853">
        <v>45.945666000000003</v>
      </c>
      <c r="BA25" s="1853">
        <v>192.492199</v>
      </c>
      <c r="BB25" s="1853">
        <v>37.097555</v>
      </c>
      <c r="BC25" s="1853">
        <v>26.480352</v>
      </c>
      <c r="BD25" s="1853">
        <v>31.200008</v>
      </c>
      <c r="BE25" s="1853">
        <v>35.137948000000002</v>
      </c>
      <c r="BF25" s="1853">
        <v>30.457293</v>
      </c>
      <c r="BG25" s="1853">
        <v>30.71743</v>
      </c>
      <c r="BH25" s="1853">
        <v>34.945847999999998</v>
      </c>
      <c r="BI25" s="1214">
        <v>67.610761999999994</v>
      </c>
      <c r="BJ25" s="1853">
        <v>21.278796</v>
      </c>
      <c r="BK25" s="1853">
        <v>27.434798000000001</v>
      </c>
      <c r="BL25" s="1853">
        <v>532.90636300000006</v>
      </c>
      <c r="BM25" s="1853">
        <v>30.823090000000001</v>
      </c>
      <c r="BN25" s="1853">
        <v>36.980227999999997</v>
      </c>
    </row>
    <row r="26" spans="1:66" ht="20.25" customHeight="1">
      <c r="A26" s="1215" t="s">
        <v>3151</v>
      </c>
      <c r="B26" s="1213">
        <v>1629.2661694099997</v>
      </c>
      <c r="C26" s="1213">
        <v>1769.1116515299998</v>
      </c>
      <c r="D26" s="1213">
        <v>1786.0632317999998</v>
      </c>
      <c r="E26" s="1213">
        <v>1744.8637267600006</v>
      </c>
      <c r="F26" s="1213">
        <v>1630.6875993499996</v>
      </c>
      <c r="G26" s="1213">
        <v>1745.9280396600004</v>
      </c>
      <c r="H26" s="1213">
        <v>1965.7530631900004</v>
      </c>
      <c r="I26" s="1213">
        <v>1793.6206506599999</v>
      </c>
      <c r="J26" s="1213">
        <v>1858</v>
      </c>
      <c r="K26" s="1213">
        <v>1988</v>
      </c>
      <c r="L26" s="1213">
        <v>1942</v>
      </c>
      <c r="M26" s="1213">
        <v>2164</v>
      </c>
      <c r="N26" s="1213">
        <v>1843.22844323</v>
      </c>
      <c r="O26" s="1213">
        <v>1815.0778264600001</v>
      </c>
      <c r="P26" s="1213">
        <v>2206</v>
      </c>
      <c r="Q26" s="1213">
        <v>2355</v>
      </c>
      <c r="R26" s="1213">
        <v>2094</v>
      </c>
      <c r="S26" s="1213">
        <v>2335</v>
      </c>
      <c r="T26" s="1213">
        <v>2490</v>
      </c>
      <c r="U26" s="1213">
        <v>2174</v>
      </c>
      <c r="V26" s="1213">
        <v>2249</v>
      </c>
      <c r="W26" s="1213">
        <v>2704</v>
      </c>
      <c r="X26" s="1213">
        <v>2207</v>
      </c>
      <c r="Y26" s="1213">
        <v>2835</v>
      </c>
      <c r="Z26" s="1213">
        <v>2261</v>
      </c>
      <c r="AA26" s="1213">
        <v>2224</v>
      </c>
      <c r="AB26" s="1213">
        <v>2661.0688868400002</v>
      </c>
      <c r="AC26" s="1213">
        <v>2710.3346824</v>
      </c>
      <c r="AD26" s="1213">
        <v>2559.14687</v>
      </c>
      <c r="AE26" s="1213">
        <v>2590.5554390000002</v>
      </c>
      <c r="AF26" s="1213">
        <v>2968.3156210000002</v>
      </c>
      <c r="AG26" s="1213">
        <v>2728.1693970000001</v>
      </c>
      <c r="AH26" s="1302">
        <v>2628.0084449999999</v>
      </c>
      <c r="AI26" s="1302">
        <v>2905.1137640000002</v>
      </c>
      <c r="AJ26" s="1302">
        <v>2996.2233379999998</v>
      </c>
      <c r="AK26" s="1214">
        <v>4366.7226689999998</v>
      </c>
      <c r="AL26" s="1213">
        <v>2875.3374480000002</v>
      </c>
      <c r="AM26" s="1213">
        <v>2667.6779700000002</v>
      </c>
      <c r="AN26" s="1213">
        <v>3078.827256</v>
      </c>
      <c r="AO26" s="1213">
        <v>3211.647868</v>
      </c>
      <c r="AP26" s="1213">
        <v>3069.1167829999999</v>
      </c>
      <c r="AQ26" s="1213">
        <v>2974.3818369999999</v>
      </c>
      <c r="AR26" s="1213">
        <v>3654.8789489999999</v>
      </c>
      <c r="AS26" s="1213">
        <v>3635.5090340000002</v>
      </c>
      <c r="AT26" s="1213">
        <v>3351.4744690000002</v>
      </c>
      <c r="AU26" s="1213">
        <v>3706.7802000000001</v>
      </c>
      <c r="AV26" s="1213">
        <v>3242.136857</v>
      </c>
      <c r="AW26" s="1214">
        <v>4158.2030940000004</v>
      </c>
      <c r="AX26" s="1853">
        <v>2897.899433</v>
      </c>
      <c r="AY26" s="1853">
        <v>3130.8474160000001</v>
      </c>
      <c r="AZ26" s="1853">
        <v>3280.9886470000001</v>
      </c>
      <c r="BA26" s="1853">
        <v>3798.2796109999999</v>
      </c>
      <c r="BB26" s="1853">
        <v>3294.2673989999998</v>
      </c>
      <c r="BC26" s="1853">
        <v>3311.431701</v>
      </c>
      <c r="BD26" s="1853">
        <v>4091.6090960000001</v>
      </c>
      <c r="BE26" s="1853">
        <v>3636.147371</v>
      </c>
      <c r="BF26" s="1853">
        <v>3459.0552250000001</v>
      </c>
      <c r="BG26" s="1853">
        <v>4063.1679429999999</v>
      </c>
      <c r="BH26" s="1853">
        <v>3205.47046</v>
      </c>
      <c r="BI26" s="1214">
        <v>4771.6906419999996</v>
      </c>
      <c r="BJ26" s="1853">
        <v>3071.453203</v>
      </c>
      <c r="BK26" s="1853">
        <v>2922.5798880000002</v>
      </c>
      <c r="BL26" s="1853">
        <v>3237.6531519999999</v>
      </c>
      <c r="BM26" s="1853">
        <v>5347.5586219999996</v>
      </c>
      <c r="BN26" s="1853">
        <v>3149.5825300000001</v>
      </c>
    </row>
    <row r="27" spans="1:66" ht="20.25" customHeight="1">
      <c r="A27" s="1215" t="s">
        <v>3152</v>
      </c>
      <c r="B27" s="1213">
        <v>339.38726901000001</v>
      </c>
      <c r="C27" s="1213">
        <v>316.26841318999999</v>
      </c>
      <c r="D27" s="1213">
        <v>354.62629660000005</v>
      </c>
      <c r="E27" s="1213">
        <v>348.15246104000005</v>
      </c>
      <c r="F27" s="1213">
        <v>425.45725443999999</v>
      </c>
      <c r="G27" s="1213">
        <v>357.88493598000002</v>
      </c>
      <c r="H27" s="1213">
        <v>422.35413311000002</v>
      </c>
      <c r="I27" s="1213">
        <v>405.52668639000001</v>
      </c>
      <c r="J27" s="1213">
        <v>425</v>
      </c>
      <c r="K27" s="1213">
        <v>511</v>
      </c>
      <c r="L27" s="1213">
        <v>374</v>
      </c>
      <c r="M27" s="1213">
        <v>717</v>
      </c>
      <c r="N27" s="1213">
        <v>389.57843463</v>
      </c>
      <c r="O27" s="1213">
        <v>326.62247430999997</v>
      </c>
      <c r="P27" s="1213">
        <v>376</v>
      </c>
      <c r="Q27" s="1213">
        <v>467</v>
      </c>
      <c r="R27" s="1213">
        <v>407</v>
      </c>
      <c r="S27" s="1213">
        <v>426</v>
      </c>
      <c r="T27" s="1213">
        <v>425</v>
      </c>
      <c r="U27" s="1213">
        <v>452</v>
      </c>
      <c r="V27" s="1213">
        <v>537</v>
      </c>
      <c r="W27" s="1213">
        <v>485</v>
      </c>
      <c r="X27" s="1213">
        <v>495</v>
      </c>
      <c r="Y27" s="1213">
        <v>835</v>
      </c>
      <c r="Z27" s="1213">
        <v>647</v>
      </c>
      <c r="AA27" s="1213">
        <v>377</v>
      </c>
      <c r="AB27" s="1213">
        <v>591.05376814999966</v>
      </c>
      <c r="AC27" s="1213">
        <v>648.20895498000004</v>
      </c>
      <c r="AD27" s="1213">
        <v>609.831456</v>
      </c>
      <c r="AE27" s="1213">
        <v>593.33632299999999</v>
      </c>
      <c r="AF27" s="1213">
        <v>495.08307400000001</v>
      </c>
      <c r="AG27" s="1213">
        <v>641.26251400000001</v>
      </c>
      <c r="AH27" s="1302">
        <v>536.40785300000005</v>
      </c>
      <c r="AI27" s="1302">
        <v>683.06440099999998</v>
      </c>
      <c r="AJ27" s="1302">
        <v>731.46598200000005</v>
      </c>
      <c r="AK27" s="1214">
        <v>966.16638499999999</v>
      </c>
      <c r="AL27" s="1213">
        <v>730.71346400000004</v>
      </c>
      <c r="AM27" s="1213">
        <v>500.24496599999998</v>
      </c>
      <c r="AN27" s="1213">
        <v>680.51364899999999</v>
      </c>
      <c r="AO27" s="1213">
        <v>723.73855600000002</v>
      </c>
      <c r="AP27" s="1213">
        <v>646.76023499999997</v>
      </c>
      <c r="AQ27" s="1213">
        <v>629.17293700000005</v>
      </c>
      <c r="AR27" s="1213">
        <v>823.25343299999997</v>
      </c>
      <c r="AS27" s="1213">
        <v>775.40882599999998</v>
      </c>
      <c r="AT27" s="1213">
        <v>697.70200599999998</v>
      </c>
      <c r="AU27" s="1213">
        <v>661.74090000000001</v>
      </c>
      <c r="AV27" s="1213">
        <v>722.249955</v>
      </c>
      <c r="AW27" s="1214">
        <v>972.47906</v>
      </c>
      <c r="AX27" s="1853">
        <v>829.20828100000006</v>
      </c>
      <c r="AY27" s="1853">
        <v>632.71390399999996</v>
      </c>
      <c r="AZ27" s="1853">
        <v>756.27844200000004</v>
      </c>
      <c r="BA27" s="1853">
        <v>772.56715699999995</v>
      </c>
      <c r="BB27" s="1853">
        <v>701.43477600000006</v>
      </c>
      <c r="BC27" s="1853">
        <v>592.84201399999995</v>
      </c>
      <c r="BD27" s="1853">
        <v>786.31243800000004</v>
      </c>
      <c r="BE27" s="1853">
        <v>821.94227899999998</v>
      </c>
      <c r="BF27" s="1853">
        <v>724.26091299999996</v>
      </c>
      <c r="BG27" s="1853">
        <v>757.31724899999995</v>
      </c>
      <c r="BH27" s="1853">
        <v>788.45938200000001</v>
      </c>
      <c r="BI27" s="1214">
        <v>1200.3452749999999</v>
      </c>
      <c r="BJ27" s="1853">
        <v>966.22141599999998</v>
      </c>
      <c r="BK27" s="1853">
        <v>664.22909500000003</v>
      </c>
      <c r="BL27" s="1853">
        <v>686.25408400000003</v>
      </c>
      <c r="BM27" s="1853">
        <v>879.13574900000003</v>
      </c>
      <c r="BN27" s="1853">
        <v>713.57767999999999</v>
      </c>
    </row>
    <row r="28" spans="1:66" s="1209" customFormat="1" ht="20.25" customHeight="1">
      <c r="A28" s="1216" t="s">
        <v>3154</v>
      </c>
      <c r="B28" s="1217">
        <v>0</v>
      </c>
      <c r="C28" s="1217">
        <v>0</v>
      </c>
      <c r="D28" s="1217">
        <v>0</v>
      </c>
      <c r="E28" s="1217">
        <v>0</v>
      </c>
      <c r="F28" s="1217">
        <v>0</v>
      </c>
      <c r="G28" s="1217">
        <v>0</v>
      </c>
      <c r="H28" s="1217">
        <v>0</v>
      </c>
      <c r="I28" s="1217">
        <v>0</v>
      </c>
      <c r="J28" s="1217">
        <v>0</v>
      </c>
      <c r="K28" s="1217">
        <v>13.647152999999999</v>
      </c>
      <c r="L28" s="1217">
        <v>17.037315</v>
      </c>
      <c r="M28" s="1217">
        <v>17.351372999999999</v>
      </c>
      <c r="N28" s="1217">
        <v>14.797878000000001</v>
      </c>
      <c r="O28" s="1217">
        <v>13.358305</v>
      </c>
      <c r="P28" s="1217">
        <v>15</v>
      </c>
      <c r="Q28" s="1217">
        <v>21</v>
      </c>
      <c r="R28" s="1217">
        <v>15</v>
      </c>
      <c r="S28" s="1217">
        <v>18</v>
      </c>
      <c r="T28" s="1217">
        <v>20</v>
      </c>
      <c r="U28" s="1217">
        <v>26</v>
      </c>
      <c r="V28" s="1217">
        <v>26</v>
      </c>
      <c r="W28" s="1217">
        <v>30</v>
      </c>
      <c r="X28" s="1217">
        <v>29</v>
      </c>
      <c r="Y28" s="1217">
        <v>52</v>
      </c>
      <c r="Z28" s="1217">
        <v>31</v>
      </c>
      <c r="AA28" s="1217">
        <v>31</v>
      </c>
      <c r="AB28" s="1217">
        <v>34.992664910000009</v>
      </c>
      <c r="AC28" s="1217">
        <v>42.958795289999998</v>
      </c>
      <c r="AD28" s="1217">
        <v>39</v>
      </c>
      <c r="AE28" s="1217">
        <v>45.560265999999999</v>
      </c>
      <c r="AF28" s="1217">
        <v>50.419567999999998</v>
      </c>
      <c r="AG28" s="1217">
        <v>50.178089999999997</v>
      </c>
      <c r="AH28" s="1303">
        <v>47.609662</v>
      </c>
      <c r="AI28" s="1303">
        <v>45.243550999999997</v>
      </c>
      <c r="AJ28" s="1303">
        <v>49.752963000000001</v>
      </c>
      <c r="AK28" s="1218">
        <v>81.847286999999994</v>
      </c>
      <c r="AL28" s="1217">
        <v>53.433326999999998</v>
      </c>
      <c r="AM28" s="1217">
        <v>140.54292100000001</v>
      </c>
      <c r="AN28" s="1217">
        <v>195.251194</v>
      </c>
      <c r="AO28" s="1217">
        <v>72.627515000000002</v>
      </c>
      <c r="AP28" s="1217">
        <v>76.014280999999997</v>
      </c>
      <c r="AQ28" s="1217">
        <v>75.469903000000002</v>
      </c>
      <c r="AR28" s="1217">
        <v>76.798392000000007</v>
      </c>
      <c r="AS28" s="1217">
        <v>74.161629000000005</v>
      </c>
      <c r="AT28" s="1217">
        <v>68.687235999999999</v>
      </c>
      <c r="AU28" s="1217">
        <v>67.922317000000007</v>
      </c>
      <c r="AV28" s="1217">
        <v>71.27946</v>
      </c>
      <c r="AW28" s="1218">
        <v>82.220506999999998</v>
      </c>
      <c r="AX28" s="1854">
        <v>67.108132999999995</v>
      </c>
      <c r="AY28" s="1854">
        <v>72.082678999999999</v>
      </c>
      <c r="AZ28" s="1854">
        <v>85.879328999999998</v>
      </c>
      <c r="BA28" s="1854">
        <v>86.477007999999998</v>
      </c>
      <c r="BB28" s="1854">
        <v>86.483063999999999</v>
      </c>
      <c r="BC28" s="1854">
        <v>78.355957000000004</v>
      </c>
      <c r="BD28" s="1854">
        <v>98.053759999999997</v>
      </c>
      <c r="BE28" s="1854">
        <v>95.307574000000002</v>
      </c>
      <c r="BF28" s="1854">
        <v>94.116104000000007</v>
      </c>
      <c r="BG28" s="1854">
        <v>414.00317799999999</v>
      </c>
      <c r="BH28" s="1854">
        <v>84.856795000000005</v>
      </c>
      <c r="BI28" s="1218">
        <v>109.862624</v>
      </c>
      <c r="BJ28" s="1854">
        <v>87.914000000000001</v>
      </c>
      <c r="BK28" s="1854">
        <v>96.041235</v>
      </c>
      <c r="BL28" s="1854">
        <v>93.848224999999999</v>
      </c>
      <c r="BM28" s="1854">
        <v>136.49768599999999</v>
      </c>
      <c r="BN28" s="1854">
        <v>162.99889099999999</v>
      </c>
    </row>
    <row r="29" spans="1:66" s="1543" customFormat="1" ht="23.25" customHeight="1">
      <c r="A29" s="2180" t="s">
        <v>2695</v>
      </c>
      <c r="B29" s="2180"/>
      <c r="C29" s="2180"/>
      <c r="D29" s="2180"/>
      <c r="E29" s="2180"/>
      <c r="F29" s="2180"/>
      <c r="G29" s="2180"/>
      <c r="H29" s="2180"/>
      <c r="I29" s="2180"/>
      <c r="J29" s="2180"/>
      <c r="K29" s="2180"/>
      <c r="L29" s="2180"/>
      <c r="M29" s="2180"/>
      <c r="N29" s="2180"/>
      <c r="O29" s="2180"/>
      <c r="P29" s="2180"/>
      <c r="Q29" s="2180"/>
      <c r="R29" s="2180"/>
      <c r="S29" s="2180"/>
      <c r="T29" s="2180"/>
      <c r="U29" s="2180"/>
      <c r="V29" s="2180"/>
      <c r="W29" s="2180"/>
      <c r="X29" s="2180"/>
      <c r="Y29" s="2180"/>
      <c r="Z29" s="2180"/>
      <c r="AA29" s="2180"/>
      <c r="AB29" s="2180"/>
      <c r="AC29" s="2180"/>
      <c r="AD29" s="2180"/>
      <c r="AE29" s="2180"/>
      <c r="AF29" s="2180"/>
      <c r="AG29" s="2180"/>
      <c r="AH29" s="2180"/>
      <c r="AI29" s="2180"/>
      <c r="AJ29" s="2180"/>
      <c r="AK29" s="2180"/>
      <c r="AL29" s="2180"/>
      <c r="AM29" s="2180"/>
      <c r="AN29" s="2180"/>
      <c r="AO29" s="2180"/>
      <c r="AP29" s="2180"/>
      <c r="AQ29" s="2180"/>
      <c r="AR29" s="2180"/>
      <c r="AS29" s="2180"/>
      <c r="AT29" s="2180"/>
      <c r="AU29" s="2180"/>
      <c r="AV29" s="2180"/>
      <c r="AW29" s="2180"/>
      <c r="AX29" s="2180"/>
      <c r="AY29" s="2180"/>
      <c r="AZ29" s="2180"/>
      <c r="BA29" s="2180"/>
      <c r="BB29" s="2180"/>
      <c r="BC29" s="2180"/>
      <c r="BD29" s="2180"/>
      <c r="BE29" s="2180"/>
      <c r="BF29" s="2180"/>
      <c r="BG29" s="2180"/>
      <c r="BH29" s="2180"/>
      <c r="BI29" s="2180"/>
      <c r="BJ29" s="2180"/>
      <c r="BK29" s="2180"/>
      <c r="BL29" s="2180"/>
      <c r="BM29" s="2180"/>
      <c r="BN29" s="2180"/>
    </row>
    <row r="32" spans="1:66" ht="18.75">
      <c r="U32" s="1209"/>
    </row>
  </sheetData>
  <protectedRanges>
    <protectedRange sqref="AB21:AB23" name="Range1_2"/>
    <protectedRange sqref="AB25:AB27" name="Range1_2_1"/>
    <protectedRange sqref="AB28" name="Range1_2_2"/>
  </protectedRanges>
  <mergeCells count="13">
    <mergeCell ref="A2:BN2"/>
    <mergeCell ref="A3:BN3"/>
    <mergeCell ref="A6:A8"/>
    <mergeCell ref="B6:M6"/>
    <mergeCell ref="N6:Y6"/>
    <mergeCell ref="Z6:AK6"/>
    <mergeCell ref="AL6:AW6"/>
    <mergeCell ref="AX6:BI6"/>
    <mergeCell ref="AL19:AW19"/>
    <mergeCell ref="AX19:BN19"/>
    <mergeCell ref="AL9:AW9"/>
    <mergeCell ref="BJ6:BN6"/>
    <mergeCell ref="AX9:BN9"/>
  </mergeCells>
  <dataValidations disablePrompts="1" count="1">
    <dataValidation type="custom" allowBlank="1" showInputMessage="1" showErrorMessage="1" error="&quot;-&quot;  işarəsi qəbul edilmir və vergüldən sonra 2 rəqəm yazıla bilər!" sqref="AB21:AB23 AB25:AB28" xr:uid="{00000000-0002-0000-2E00-000000000000}">
      <formula1>IF(AND(INT(AB21)=AB21,AB21&gt;-1),TRUE,IF(LEN(RIGHT(AB21,LEN(AB21)-FIND(".",AB21)))&lt;=6,TRUE,FALSE))</formula1>
    </dataValidation>
  </dataValidations>
  <pageMargins left="0.7" right="0.7" top="0.75" bottom="0.75" header="0.3" footer="0.3"/>
  <pageSetup scale="17"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42C0B-CA96-4F24-8F4F-AB4D325A590A}">
  <sheetPr codeName="Sheet48">
    <tabColor rgb="FF92D050"/>
  </sheetPr>
  <dimension ref="A1:M247"/>
  <sheetViews>
    <sheetView showGridLines="0" view="pageBreakPreview" zoomScaleSheetLayoutView="100" workbookViewId="0">
      <pane ySplit="11" topLeftCell="A226" activePane="bottomLeft" state="frozen"/>
      <selection activeCell="B39" sqref="B39"/>
      <selection pane="bottomLeft" activeCell="P253" sqref="P253"/>
    </sheetView>
  </sheetViews>
  <sheetFormatPr defaultColWidth="8.85546875" defaultRowHeight="12.75"/>
  <cols>
    <col min="1" max="1" width="7.7109375" style="1541" customWidth="1"/>
    <col min="2" max="2" width="13.28515625" style="1541" customWidth="1"/>
    <col min="3" max="3" width="14.5703125" style="1541" customWidth="1"/>
    <col min="4" max="4" width="13.5703125" style="1541" customWidth="1"/>
    <col min="5" max="6" width="13" style="1541" customWidth="1"/>
    <col min="7" max="7" width="14.5703125" style="1541" customWidth="1"/>
    <col min="8" max="8" width="14.7109375" style="1541" customWidth="1"/>
    <col min="9" max="9" width="14.5703125" style="1541" customWidth="1"/>
    <col min="10" max="11" width="13.5703125" style="1541" customWidth="1"/>
    <col min="12" max="12" width="14.5703125" style="1541" customWidth="1"/>
    <col min="13" max="13" width="13.5703125" style="1541" customWidth="1"/>
    <col min="14" max="16384" width="8.85546875" style="1541"/>
  </cols>
  <sheetData>
    <row r="1" spans="1:13" ht="9" customHeight="1"/>
    <row r="2" spans="1:13" ht="15" customHeight="1">
      <c r="A2" s="2750" t="s">
        <v>3921</v>
      </c>
      <c r="B2" s="2750"/>
      <c r="C2" s="2750"/>
      <c r="D2" s="2750"/>
      <c r="E2" s="2750"/>
      <c r="F2" s="2750"/>
      <c r="G2" s="2750"/>
      <c r="H2" s="2750"/>
      <c r="I2" s="2750"/>
      <c r="J2" s="2750"/>
      <c r="K2" s="2750"/>
      <c r="L2" s="2750"/>
      <c r="M2" s="2750"/>
    </row>
    <row r="3" spans="1:13" ht="21" customHeight="1">
      <c r="A3" s="2751" t="s">
        <v>3922</v>
      </c>
      <c r="B3" s="2751"/>
      <c r="C3" s="2751"/>
      <c r="D3" s="2751"/>
      <c r="E3" s="2751"/>
      <c r="F3" s="2751"/>
      <c r="G3" s="2751"/>
      <c r="H3" s="2751"/>
      <c r="I3" s="2751"/>
      <c r="J3" s="2751"/>
      <c r="K3" s="2751"/>
      <c r="L3" s="2751"/>
      <c r="M3" s="2751"/>
    </row>
    <row r="4" spans="1:13" ht="10.5" customHeight="1">
      <c r="A4" s="537"/>
      <c r="B4" s="537"/>
      <c r="C4" s="537"/>
      <c r="D4" s="537"/>
      <c r="E4" s="537"/>
      <c r="F4" s="537"/>
      <c r="G4" s="537"/>
      <c r="H4" s="537"/>
      <c r="I4" s="537"/>
      <c r="J4" s="537"/>
      <c r="K4" s="537"/>
      <c r="L4" s="537"/>
      <c r="M4" s="537"/>
    </row>
    <row r="5" spans="1:13" ht="10.5" customHeight="1">
      <c r="A5" s="2757" t="s">
        <v>2163</v>
      </c>
      <c r="B5" s="2757"/>
      <c r="C5" s="2757"/>
      <c r="D5" s="2757"/>
      <c r="E5" s="2757"/>
      <c r="F5" s="2757"/>
      <c r="G5" s="2757"/>
      <c r="H5" s="2757"/>
      <c r="I5" s="2757"/>
      <c r="J5" s="2757"/>
      <c r="K5" s="2757"/>
      <c r="L5" s="2757"/>
      <c r="M5" s="2757"/>
    </row>
    <row r="6" spans="1:13" ht="10.5" customHeight="1">
      <c r="A6" s="2320" t="s">
        <v>182</v>
      </c>
      <c r="B6" s="2320" t="s">
        <v>1018</v>
      </c>
      <c r="C6" s="2765" t="s">
        <v>1019</v>
      </c>
      <c r="D6" s="2766"/>
      <c r="E6" s="2320" t="s">
        <v>3307</v>
      </c>
      <c r="F6" s="2753" t="s">
        <v>144</v>
      </c>
      <c r="G6" s="2769"/>
      <c r="H6" s="2754"/>
      <c r="I6" s="2753" t="s">
        <v>3308</v>
      </c>
      <c r="J6" s="2754"/>
      <c r="K6" s="2320" t="s">
        <v>3759</v>
      </c>
      <c r="L6" s="2753" t="s">
        <v>1019</v>
      </c>
      <c r="M6" s="2754"/>
    </row>
    <row r="7" spans="1:13" ht="44.25" customHeight="1">
      <c r="A7" s="2752"/>
      <c r="B7" s="2752"/>
      <c r="C7" s="2767"/>
      <c r="D7" s="2768"/>
      <c r="E7" s="2752"/>
      <c r="F7" s="2320" t="s">
        <v>3757</v>
      </c>
      <c r="G7" s="2323" t="s">
        <v>3758</v>
      </c>
      <c r="H7" s="2323"/>
      <c r="I7" s="2755"/>
      <c r="J7" s="2756"/>
      <c r="K7" s="2752"/>
      <c r="L7" s="2755"/>
      <c r="M7" s="2756"/>
    </row>
    <row r="8" spans="1:13" ht="31.5" customHeight="1">
      <c r="A8" s="2321"/>
      <c r="B8" s="2321"/>
      <c r="C8" s="1530" t="s">
        <v>1020</v>
      </c>
      <c r="D8" s="1530" t="s">
        <v>1021</v>
      </c>
      <c r="E8" s="2321"/>
      <c r="F8" s="2321"/>
      <c r="G8" s="608" t="s">
        <v>155</v>
      </c>
      <c r="H8" s="1530" t="s">
        <v>1022</v>
      </c>
      <c r="I8" s="1530" t="s">
        <v>1020</v>
      </c>
      <c r="J8" s="1530" t="s">
        <v>1021</v>
      </c>
      <c r="K8" s="2321"/>
      <c r="L8" s="1530" t="s">
        <v>1020</v>
      </c>
      <c r="M8" s="1530" t="s">
        <v>1021</v>
      </c>
    </row>
    <row r="9" spans="1:13" ht="31.5" customHeight="1">
      <c r="A9" s="2324" t="s">
        <v>289</v>
      </c>
      <c r="B9" s="2324" t="s">
        <v>3925</v>
      </c>
      <c r="C9" s="2758" t="s">
        <v>1023</v>
      </c>
      <c r="D9" s="2759"/>
      <c r="E9" s="2324" t="s">
        <v>1024</v>
      </c>
      <c r="F9" s="2347" t="s">
        <v>149</v>
      </c>
      <c r="G9" s="2762"/>
      <c r="H9" s="2348"/>
      <c r="I9" s="2746" t="s">
        <v>1025</v>
      </c>
      <c r="J9" s="2747"/>
      <c r="K9" s="2324" t="s">
        <v>3760</v>
      </c>
      <c r="L9" s="2746" t="s">
        <v>149</v>
      </c>
      <c r="M9" s="2747"/>
    </row>
    <row r="10" spans="1:13" ht="30.75" customHeight="1">
      <c r="A10" s="2369"/>
      <c r="B10" s="2369"/>
      <c r="C10" s="2760"/>
      <c r="D10" s="2761"/>
      <c r="E10" s="2369"/>
      <c r="F10" s="2344" t="s">
        <v>3761</v>
      </c>
      <c r="G10" s="2730" t="s">
        <v>3762</v>
      </c>
      <c r="H10" s="2730"/>
      <c r="I10" s="2748"/>
      <c r="J10" s="2749"/>
      <c r="K10" s="2369"/>
      <c r="L10" s="2748"/>
      <c r="M10" s="2749"/>
    </row>
    <row r="11" spans="1:13" ht="24.75" customHeight="1">
      <c r="A11" s="2325"/>
      <c r="B11" s="2325"/>
      <c r="C11" s="1533" t="s">
        <v>1026</v>
      </c>
      <c r="D11" s="1533" t="s">
        <v>1027</v>
      </c>
      <c r="E11" s="2325"/>
      <c r="F11" s="2345"/>
      <c r="G11" s="609" t="s">
        <v>105</v>
      </c>
      <c r="H11" s="1533" t="s">
        <v>1028</v>
      </c>
      <c r="I11" s="1533" t="s">
        <v>1026</v>
      </c>
      <c r="J11" s="1533" t="s">
        <v>1027</v>
      </c>
      <c r="K11" s="2325"/>
      <c r="L11" s="1533" t="s">
        <v>1026</v>
      </c>
      <c r="M11" s="1533" t="s">
        <v>1027</v>
      </c>
    </row>
    <row r="12" spans="1:13">
      <c r="A12" s="1592">
        <v>2006</v>
      </c>
      <c r="B12" s="1591">
        <v>1080</v>
      </c>
      <c r="C12" s="1591">
        <v>655</v>
      </c>
      <c r="D12" s="1591">
        <v>425</v>
      </c>
      <c r="E12" s="1591">
        <v>2070</v>
      </c>
      <c r="F12" s="1591"/>
      <c r="G12" s="1591">
        <v>1576</v>
      </c>
      <c r="H12" s="1591">
        <v>1436</v>
      </c>
      <c r="I12" s="1591">
        <v>1719</v>
      </c>
      <c r="J12" s="1591">
        <v>351</v>
      </c>
      <c r="K12" s="1590"/>
      <c r="L12" s="1590"/>
      <c r="M12" s="1590"/>
    </row>
    <row r="13" spans="1:13">
      <c r="A13" s="1590">
        <v>2007</v>
      </c>
      <c r="B13" s="1590">
        <v>1317</v>
      </c>
      <c r="C13" s="1590">
        <v>820</v>
      </c>
      <c r="D13" s="1590">
        <v>497</v>
      </c>
      <c r="E13" s="1590">
        <v>5309</v>
      </c>
      <c r="F13" s="1590"/>
      <c r="G13" s="1590">
        <v>4653</v>
      </c>
      <c r="H13" s="1590">
        <v>4470</v>
      </c>
      <c r="I13" s="1590">
        <v>4871</v>
      </c>
      <c r="J13" s="1590">
        <v>438</v>
      </c>
      <c r="K13" s="1590"/>
      <c r="L13" s="1590"/>
      <c r="M13" s="1590"/>
    </row>
    <row r="14" spans="1:13" ht="13.15" hidden="1" customHeight="1">
      <c r="A14" s="1550" t="s">
        <v>18</v>
      </c>
      <c r="B14" s="1590">
        <v>1080</v>
      </c>
      <c r="C14" s="1590">
        <v>655</v>
      </c>
      <c r="D14" s="1590">
        <f t="shared" ref="D14:D25" si="0">B14-C14</f>
        <v>425</v>
      </c>
      <c r="E14" s="1590">
        <v>2099</v>
      </c>
      <c r="F14" s="1590"/>
      <c r="G14" s="1590">
        <v>1584</v>
      </c>
      <c r="H14" s="1590">
        <v>1437</v>
      </c>
      <c r="I14" s="1590">
        <v>1743</v>
      </c>
      <c r="J14" s="1590">
        <f t="shared" ref="J14:J25" si="1">E14-I14</f>
        <v>356</v>
      </c>
      <c r="K14" s="1590"/>
      <c r="L14" s="1590"/>
      <c r="M14" s="1590"/>
    </row>
    <row r="15" spans="1:13" ht="13.15" hidden="1" customHeight="1">
      <c r="A15" s="1550" t="s">
        <v>19</v>
      </c>
      <c r="B15" s="1590">
        <v>1089</v>
      </c>
      <c r="C15" s="1590">
        <v>665</v>
      </c>
      <c r="D15" s="1590">
        <f t="shared" si="0"/>
        <v>424</v>
      </c>
      <c r="E15" s="1590">
        <v>2134</v>
      </c>
      <c r="F15" s="1590"/>
      <c r="G15" s="1590">
        <v>1607</v>
      </c>
      <c r="H15" s="1590">
        <v>1455</v>
      </c>
      <c r="I15" s="1590">
        <v>1766</v>
      </c>
      <c r="J15" s="1590">
        <f t="shared" si="1"/>
        <v>368</v>
      </c>
      <c r="K15" s="1590"/>
      <c r="L15" s="1590"/>
      <c r="M15" s="1590"/>
    </row>
    <row r="16" spans="1:13" ht="13.15" hidden="1" customHeight="1">
      <c r="A16" s="1550" t="s">
        <v>20</v>
      </c>
      <c r="B16" s="1590">
        <v>1105</v>
      </c>
      <c r="C16" s="1590">
        <v>677</v>
      </c>
      <c r="D16" s="1590">
        <f t="shared" si="0"/>
        <v>428</v>
      </c>
      <c r="E16" s="1590">
        <v>2234</v>
      </c>
      <c r="F16" s="1590"/>
      <c r="G16" s="1590">
        <v>1685</v>
      </c>
      <c r="H16" s="1590">
        <v>1518</v>
      </c>
      <c r="I16" s="1590">
        <v>1852</v>
      </c>
      <c r="J16" s="1590">
        <f t="shared" si="1"/>
        <v>382</v>
      </c>
      <c r="K16" s="1590"/>
      <c r="L16" s="1590"/>
      <c r="M16" s="1590"/>
    </row>
    <row r="17" spans="1:13" ht="13.15" hidden="1" customHeight="1">
      <c r="A17" s="1550" t="s">
        <v>21</v>
      </c>
      <c r="B17" s="1590">
        <v>1122</v>
      </c>
      <c r="C17" s="1590">
        <v>695</v>
      </c>
      <c r="D17" s="1590">
        <f t="shared" si="0"/>
        <v>427</v>
      </c>
      <c r="E17" s="1590">
        <v>2558</v>
      </c>
      <c r="F17" s="1590"/>
      <c r="G17" s="1590">
        <v>2024</v>
      </c>
      <c r="H17" s="1590">
        <v>1856</v>
      </c>
      <c r="I17" s="1590">
        <v>2171</v>
      </c>
      <c r="J17" s="1590">
        <f t="shared" si="1"/>
        <v>387</v>
      </c>
      <c r="K17" s="1590"/>
      <c r="L17" s="1590"/>
      <c r="M17" s="1590"/>
    </row>
    <row r="18" spans="1:13" ht="13.15" hidden="1" customHeight="1">
      <c r="A18" s="1550" t="s">
        <v>22</v>
      </c>
      <c r="B18" s="1590">
        <v>1138</v>
      </c>
      <c r="C18" s="1590">
        <v>703</v>
      </c>
      <c r="D18" s="1590">
        <f t="shared" si="0"/>
        <v>435</v>
      </c>
      <c r="E18" s="1590">
        <v>2768</v>
      </c>
      <c r="F18" s="1590"/>
      <c r="G18" s="1590">
        <v>2227</v>
      </c>
      <c r="H18" s="1590">
        <v>2057</v>
      </c>
      <c r="I18" s="1590">
        <v>2382</v>
      </c>
      <c r="J18" s="1590">
        <f t="shared" si="1"/>
        <v>386</v>
      </c>
      <c r="K18" s="1590"/>
      <c r="L18" s="1590"/>
      <c r="M18" s="1590"/>
    </row>
    <row r="19" spans="1:13" ht="13.15" hidden="1" customHeight="1">
      <c r="A19" s="1550" t="s">
        <v>23</v>
      </c>
      <c r="B19" s="1590">
        <v>1161</v>
      </c>
      <c r="C19" s="1590">
        <v>725</v>
      </c>
      <c r="D19" s="1590">
        <f t="shared" si="0"/>
        <v>436</v>
      </c>
      <c r="E19" s="1590">
        <v>3119</v>
      </c>
      <c r="F19" s="1590"/>
      <c r="G19" s="1590">
        <v>2567</v>
      </c>
      <c r="H19" s="1590">
        <v>2396</v>
      </c>
      <c r="I19" s="1590">
        <v>2728</v>
      </c>
      <c r="J19" s="1590">
        <f t="shared" si="1"/>
        <v>391</v>
      </c>
      <c r="K19" s="1590"/>
      <c r="L19" s="1590"/>
      <c r="M19" s="1590"/>
    </row>
    <row r="20" spans="1:13" ht="13.15" hidden="1" customHeight="1">
      <c r="A20" s="1550" t="s">
        <v>24</v>
      </c>
      <c r="B20" s="1590">
        <v>1186</v>
      </c>
      <c r="C20" s="1590">
        <v>735</v>
      </c>
      <c r="D20" s="1590">
        <f t="shared" si="0"/>
        <v>451</v>
      </c>
      <c r="E20" s="1590">
        <v>3721</v>
      </c>
      <c r="F20" s="1590"/>
      <c r="G20" s="1590">
        <v>3144</v>
      </c>
      <c r="H20" s="1590">
        <v>2971</v>
      </c>
      <c r="I20" s="1590">
        <v>3324</v>
      </c>
      <c r="J20" s="1590">
        <f t="shared" si="1"/>
        <v>397</v>
      </c>
      <c r="K20" s="1590"/>
      <c r="L20" s="1590"/>
      <c r="M20" s="1590"/>
    </row>
    <row r="21" spans="1:13" ht="13.15" hidden="1" customHeight="1">
      <c r="A21" s="1550" t="s">
        <v>25</v>
      </c>
      <c r="B21" s="1590">
        <v>1204</v>
      </c>
      <c r="C21" s="1590">
        <v>748</v>
      </c>
      <c r="D21" s="1590">
        <f t="shared" si="0"/>
        <v>456</v>
      </c>
      <c r="E21" s="1590">
        <v>4039</v>
      </c>
      <c r="F21" s="1590"/>
      <c r="G21" s="1590">
        <v>3470</v>
      </c>
      <c r="H21" s="1590">
        <v>3291</v>
      </c>
      <c r="I21" s="1590">
        <v>3629</v>
      </c>
      <c r="J21" s="1590">
        <f t="shared" si="1"/>
        <v>410</v>
      </c>
      <c r="K21" s="1590"/>
      <c r="L21" s="1590"/>
      <c r="M21" s="1590"/>
    </row>
    <row r="22" spans="1:13" ht="13.15" hidden="1" customHeight="1">
      <c r="A22" s="1550" t="s">
        <v>26</v>
      </c>
      <c r="B22" s="1590">
        <v>1237</v>
      </c>
      <c r="C22" s="1590">
        <v>768</v>
      </c>
      <c r="D22" s="1590">
        <f t="shared" si="0"/>
        <v>469</v>
      </c>
      <c r="E22" s="1590">
        <v>4262</v>
      </c>
      <c r="F22" s="1590"/>
      <c r="G22" s="1590">
        <v>3683</v>
      </c>
      <c r="H22" s="1590">
        <v>3503</v>
      </c>
      <c r="I22" s="1590">
        <v>3844</v>
      </c>
      <c r="J22" s="1590">
        <f t="shared" si="1"/>
        <v>418</v>
      </c>
      <c r="K22" s="1590"/>
      <c r="L22" s="1590"/>
      <c r="M22" s="1590"/>
    </row>
    <row r="23" spans="1:13" ht="13.15" hidden="1" customHeight="1">
      <c r="A23" s="1550">
        <v>10</v>
      </c>
      <c r="B23" s="1590">
        <v>1259</v>
      </c>
      <c r="C23" s="1590">
        <v>783</v>
      </c>
      <c r="D23" s="1590">
        <f t="shared" si="0"/>
        <v>476</v>
      </c>
      <c r="E23" s="1590">
        <v>4494</v>
      </c>
      <c r="F23" s="1590"/>
      <c r="G23" s="1590">
        <v>3907</v>
      </c>
      <c r="H23" s="1590">
        <v>3725</v>
      </c>
      <c r="I23" s="1590">
        <v>4078</v>
      </c>
      <c r="J23" s="1590">
        <f t="shared" si="1"/>
        <v>416</v>
      </c>
      <c r="K23" s="1590"/>
      <c r="L23" s="1590"/>
      <c r="M23" s="1590"/>
    </row>
    <row r="24" spans="1:13" ht="13.15" hidden="1" customHeight="1">
      <c r="A24" s="1550">
        <v>11</v>
      </c>
      <c r="B24" s="1590">
        <v>1298</v>
      </c>
      <c r="C24" s="1590">
        <v>806</v>
      </c>
      <c r="D24" s="1590">
        <f t="shared" si="0"/>
        <v>492</v>
      </c>
      <c r="E24" s="1590">
        <v>4776</v>
      </c>
      <c r="F24" s="1590"/>
      <c r="G24" s="1590">
        <v>4172</v>
      </c>
      <c r="H24" s="1590">
        <v>3988</v>
      </c>
      <c r="I24" s="1590">
        <v>4353</v>
      </c>
      <c r="J24" s="1590">
        <f t="shared" si="1"/>
        <v>423</v>
      </c>
      <c r="K24" s="1590"/>
      <c r="L24" s="1590"/>
      <c r="M24" s="1590"/>
    </row>
    <row r="25" spans="1:13" ht="13.15" hidden="1" customHeight="1">
      <c r="A25" s="1550">
        <v>12</v>
      </c>
      <c r="B25" s="1590">
        <v>1317</v>
      </c>
      <c r="C25" s="1590">
        <v>820</v>
      </c>
      <c r="D25" s="1590">
        <f t="shared" si="0"/>
        <v>497</v>
      </c>
      <c r="E25" s="1590">
        <v>5309</v>
      </c>
      <c r="F25" s="1590"/>
      <c r="G25" s="1590">
        <v>4653</v>
      </c>
      <c r="H25" s="1590">
        <v>4470</v>
      </c>
      <c r="I25" s="1590">
        <v>4871</v>
      </c>
      <c r="J25" s="1590">
        <f t="shared" si="1"/>
        <v>438</v>
      </c>
      <c r="K25" s="1590"/>
      <c r="L25" s="1590"/>
      <c r="M25" s="1590"/>
    </row>
    <row r="26" spans="1:13">
      <c r="A26" s="1590">
        <v>2008</v>
      </c>
      <c r="B26" s="1590">
        <v>1515</v>
      </c>
      <c r="C26" s="1590">
        <v>867</v>
      </c>
      <c r="D26" s="1590">
        <v>648</v>
      </c>
      <c r="E26" s="1590">
        <v>8124</v>
      </c>
      <c r="F26" s="1590"/>
      <c r="G26" s="1590">
        <v>7367</v>
      </c>
      <c r="H26" s="1590">
        <v>6968</v>
      </c>
      <c r="I26" s="1590">
        <v>7397</v>
      </c>
      <c r="J26" s="1590">
        <v>727</v>
      </c>
      <c r="K26" s="1590"/>
      <c r="L26" s="1590"/>
      <c r="M26" s="1590"/>
    </row>
    <row r="27" spans="1:13">
      <c r="A27" s="1550" t="s">
        <v>43</v>
      </c>
      <c r="B27" s="1590">
        <v>1694</v>
      </c>
      <c r="C27" s="1590">
        <v>959</v>
      </c>
      <c r="D27" s="1590">
        <v>735</v>
      </c>
      <c r="E27" s="1590">
        <v>8657</v>
      </c>
      <c r="F27" s="1590"/>
      <c r="G27" s="1590">
        <v>7854</v>
      </c>
      <c r="H27" s="1590">
        <v>7429</v>
      </c>
      <c r="I27" s="1590">
        <v>7871</v>
      </c>
      <c r="J27" s="1590">
        <v>786</v>
      </c>
      <c r="K27" s="1582"/>
      <c r="L27" s="1582"/>
      <c r="M27" s="1582"/>
    </row>
    <row r="28" spans="1:13" hidden="1">
      <c r="A28" s="1550" t="s">
        <v>18</v>
      </c>
      <c r="B28" s="1582">
        <v>1545</v>
      </c>
      <c r="C28" s="1582">
        <v>878</v>
      </c>
      <c r="D28" s="1582">
        <v>667</v>
      </c>
      <c r="E28" s="1582">
        <v>8114</v>
      </c>
      <c r="F28" s="1582"/>
      <c r="G28" s="1582">
        <v>7332</v>
      </c>
      <c r="H28" s="1582">
        <v>6910</v>
      </c>
      <c r="I28" s="1582">
        <v>7346</v>
      </c>
      <c r="J28" s="1582">
        <v>768</v>
      </c>
      <c r="K28" s="1582"/>
      <c r="L28" s="1582"/>
      <c r="M28" s="1582"/>
    </row>
    <row r="29" spans="1:13" hidden="1">
      <c r="A29" s="1550" t="s">
        <v>19</v>
      </c>
      <c r="B29" s="1582">
        <v>1560</v>
      </c>
      <c r="C29" s="1582">
        <v>887</v>
      </c>
      <c r="D29" s="1582">
        <v>673</v>
      </c>
      <c r="E29" s="1582">
        <v>8237</v>
      </c>
      <c r="F29" s="1582"/>
      <c r="G29" s="1582">
        <v>7446</v>
      </c>
      <c r="H29" s="1582">
        <v>7012</v>
      </c>
      <c r="I29" s="1582">
        <v>7449</v>
      </c>
      <c r="J29" s="1582">
        <v>788</v>
      </c>
      <c r="K29" s="1582"/>
      <c r="L29" s="1582"/>
      <c r="M29" s="1582"/>
    </row>
    <row r="30" spans="1:13" hidden="1">
      <c r="A30" s="1550" t="s">
        <v>20</v>
      </c>
      <c r="B30" s="1582">
        <v>1576</v>
      </c>
      <c r="C30" s="1582">
        <v>888</v>
      </c>
      <c r="D30" s="1582">
        <v>688</v>
      </c>
      <c r="E30" s="1582">
        <v>8410</v>
      </c>
      <c r="F30" s="1582"/>
      <c r="G30" s="1582">
        <v>7547</v>
      </c>
      <c r="H30" s="1582">
        <v>7108</v>
      </c>
      <c r="I30" s="1582">
        <v>7608</v>
      </c>
      <c r="J30" s="1582">
        <v>802</v>
      </c>
      <c r="K30" s="1582"/>
      <c r="L30" s="1582"/>
      <c r="M30" s="1582"/>
    </row>
    <row r="31" spans="1:13" hidden="1">
      <c r="A31" s="1550" t="s">
        <v>21</v>
      </c>
      <c r="B31" s="1582">
        <v>1572</v>
      </c>
      <c r="C31" s="1582">
        <v>882</v>
      </c>
      <c r="D31" s="1582">
        <v>690</v>
      </c>
      <c r="E31" s="1582">
        <v>8404</v>
      </c>
      <c r="F31" s="1582"/>
      <c r="G31" s="1582">
        <v>7607</v>
      </c>
      <c r="H31" s="1582">
        <v>7164</v>
      </c>
      <c r="I31" s="1582">
        <v>7588</v>
      </c>
      <c r="J31" s="1582">
        <v>816</v>
      </c>
      <c r="K31" s="1582"/>
      <c r="L31" s="1582"/>
      <c r="M31" s="1582"/>
    </row>
    <row r="32" spans="1:13" hidden="1">
      <c r="A32" s="1550" t="s">
        <v>22</v>
      </c>
      <c r="B32" s="1582">
        <v>1582</v>
      </c>
      <c r="C32" s="1582">
        <v>895</v>
      </c>
      <c r="D32" s="1582">
        <v>687</v>
      </c>
      <c r="E32" s="1582">
        <v>8521</v>
      </c>
      <c r="F32" s="1582"/>
      <c r="G32" s="1582">
        <v>7796</v>
      </c>
      <c r="H32" s="1582">
        <v>7349</v>
      </c>
      <c r="I32" s="1582">
        <v>7739</v>
      </c>
      <c r="J32" s="1582">
        <v>782</v>
      </c>
      <c r="K32" s="1582"/>
      <c r="L32" s="1582"/>
      <c r="M32" s="1582"/>
    </row>
    <row r="33" spans="1:13" hidden="1">
      <c r="A33" s="1550" t="s">
        <v>23</v>
      </c>
      <c r="B33" s="1582">
        <v>1588</v>
      </c>
      <c r="C33" s="1582">
        <v>902</v>
      </c>
      <c r="D33" s="1582">
        <v>686</v>
      </c>
      <c r="E33" s="1582">
        <v>8532</v>
      </c>
      <c r="F33" s="1582"/>
      <c r="G33" s="1582">
        <v>7787</v>
      </c>
      <c r="H33" s="1582">
        <v>7349</v>
      </c>
      <c r="I33" s="1582">
        <v>7753</v>
      </c>
      <c r="J33" s="1582">
        <v>779</v>
      </c>
      <c r="K33" s="1582"/>
      <c r="L33" s="1582"/>
      <c r="M33" s="1582"/>
    </row>
    <row r="34" spans="1:13" hidden="1">
      <c r="A34" s="1550" t="s">
        <v>24</v>
      </c>
      <c r="B34" s="1582">
        <v>1600</v>
      </c>
      <c r="C34" s="1582">
        <v>902</v>
      </c>
      <c r="D34" s="1582">
        <v>698</v>
      </c>
      <c r="E34" s="1582">
        <v>8485</v>
      </c>
      <c r="F34" s="1582"/>
      <c r="G34" s="1582">
        <v>7724</v>
      </c>
      <c r="H34" s="1582">
        <v>7287</v>
      </c>
      <c r="I34" s="1582">
        <v>7704</v>
      </c>
      <c r="J34" s="1582">
        <v>781</v>
      </c>
      <c r="K34" s="1582"/>
      <c r="L34" s="1582"/>
      <c r="M34" s="1582"/>
    </row>
    <row r="35" spans="1:13" hidden="1">
      <c r="A35" s="1550" t="s">
        <v>25</v>
      </c>
      <c r="B35" s="1582">
        <v>1617</v>
      </c>
      <c r="C35" s="1582">
        <v>915</v>
      </c>
      <c r="D35" s="1582">
        <v>702</v>
      </c>
      <c r="E35" s="1582">
        <v>8481</v>
      </c>
      <c r="F35" s="1582"/>
      <c r="G35" s="1582">
        <v>7726</v>
      </c>
      <c r="H35" s="1582">
        <v>7290</v>
      </c>
      <c r="I35" s="1582">
        <v>7698</v>
      </c>
      <c r="J35" s="1582">
        <v>783</v>
      </c>
      <c r="K35" s="1582"/>
      <c r="L35" s="1582"/>
      <c r="M35" s="1582"/>
    </row>
    <row r="36" spans="1:13" hidden="1">
      <c r="A36" s="1550" t="s">
        <v>26</v>
      </c>
      <c r="B36" s="1582">
        <v>1638</v>
      </c>
      <c r="C36" s="1582">
        <v>928</v>
      </c>
      <c r="D36" s="1582">
        <v>710</v>
      </c>
      <c r="E36" s="1582">
        <v>8519</v>
      </c>
      <c r="F36" s="1582"/>
      <c r="G36" s="1582">
        <v>7764</v>
      </c>
      <c r="H36" s="1582">
        <v>7331</v>
      </c>
      <c r="I36" s="1582">
        <v>7737</v>
      </c>
      <c r="J36" s="1582">
        <v>782</v>
      </c>
      <c r="K36" s="1582"/>
      <c r="L36" s="1582"/>
      <c r="M36" s="1582"/>
    </row>
    <row r="37" spans="1:13" hidden="1">
      <c r="A37" s="1550" t="s">
        <v>27</v>
      </c>
      <c r="B37" s="1582">
        <v>1657</v>
      </c>
      <c r="C37" s="1582">
        <v>935</v>
      </c>
      <c r="D37" s="1582">
        <v>722</v>
      </c>
      <c r="E37" s="1582">
        <v>8567</v>
      </c>
      <c r="F37" s="1582"/>
      <c r="G37" s="1582">
        <v>7795</v>
      </c>
      <c r="H37" s="1582">
        <v>7361</v>
      </c>
      <c r="I37" s="1582">
        <v>7782</v>
      </c>
      <c r="J37" s="1582">
        <v>785</v>
      </c>
      <c r="K37" s="1582"/>
      <c r="L37" s="1582"/>
      <c r="M37" s="1582"/>
    </row>
    <row r="38" spans="1:13" hidden="1">
      <c r="A38" s="1550" t="s">
        <v>28</v>
      </c>
      <c r="B38" s="1582">
        <v>1673</v>
      </c>
      <c r="C38" s="1582">
        <v>943</v>
      </c>
      <c r="D38" s="1582">
        <v>730</v>
      </c>
      <c r="E38" s="1582">
        <v>8613</v>
      </c>
      <c r="F38" s="1582"/>
      <c r="G38" s="1582">
        <v>7830</v>
      </c>
      <c r="H38" s="1582">
        <v>7401</v>
      </c>
      <c r="I38" s="1582">
        <v>7827</v>
      </c>
      <c r="J38" s="1582">
        <v>786</v>
      </c>
      <c r="K38" s="1582"/>
      <c r="L38" s="1582"/>
      <c r="M38" s="1582"/>
    </row>
    <row r="39" spans="1:13" hidden="1">
      <c r="A39" s="1550" t="s">
        <v>29</v>
      </c>
      <c r="B39" s="1582">
        <v>1694</v>
      </c>
      <c r="C39" s="1582">
        <v>959</v>
      </c>
      <c r="D39" s="1582">
        <v>735</v>
      </c>
      <c r="E39" s="1582">
        <v>8657</v>
      </c>
      <c r="F39" s="1582"/>
      <c r="G39" s="1582">
        <v>7854</v>
      </c>
      <c r="H39" s="1582">
        <v>7429</v>
      </c>
      <c r="I39" s="1582">
        <v>7871</v>
      </c>
      <c r="J39" s="1582">
        <v>786</v>
      </c>
      <c r="K39" s="1585"/>
      <c r="L39" s="1585"/>
      <c r="M39" s="1585"/>
    </row>
    <row r="40" spans="1:13">
      <c r="A40" s="1550" t="s">
        <v>48</v>
      </c>
      <c r="B40" s="1585">
        <v>1892</v>
      </c>
      <c r="C40" s="1585">
        <v>1053</v>
      </c>
      <c r="D40" s="1585">
        <v>839</v>
      </c>
      <c r="E40" s="1585">
        <v>7872</v>
      </c>
      <c r="F40" s="1585"/>
      <c r="G40" s="1585">
        <v>6978</v>
      </c>
      <c r="H40" s="1585">
        <v>6554</v>
      </c>
      <c r="I40" s="1585">
        <v>7069</v>
      </c>
      <c r="J40" s="1585">
        <v>803</v>
      </c>
      <c r="K40" s="1585"/>
      <c r="L40" s="1585"/>
      <c r="M40" s="1585"/>
    </row>
    <row r="41" spans="1:13" hidden="1">
      <c r="A41" s="1550" t="s">
        <v>18</v>
      </c>
      <c r="B41" s="1585">
        <v>1708</v>
      </c>
      <c r="C41" s="1585">
        <v>972</v>
      </c>
      <c r="D41" s="1585">
        <v>736</v>
      </c>
      <c r="E41" s="1585">
        <v>8657</v>
      </c>
      <c r="F41" s="1585"/>
      <c r="G41" s="1585">
        <v>7833</v>
      </c>
      <c r="H41" s="1585">
        <v>7412</v>
      </c>
      <c r="I41" s="1585">
        <v>7873</v>
      </c>
      <c r="J41" s="1585">
        <v>784</v>
      </c>
      <c r="K41" s="1585"/>
      <c r="L41" s="1585"/>
      <c r="M41" s="1585"/>
    </row>
    <row r="42" spans="1:13" hidden="1">
      <c r="A42" s="1550" t="s">
        <v>19</v>
      </c>
      <c r="B42" s="1585">
        <v>1714</v>
      </c>
      <c r="C42" s="1585">
        <v>971</v>
      </c>
      <c r="D42" s="1585">
        <v>743</v>
      </c>
      <c r="E42" s="1585">
        <v>8678</v>
      </c>
      <c r="F42" s="1585"/>
      <c r="G42" s="1585">
        <v>7847</v>
      </c>
      <c r="H42" s="1585">
        <v>7423</v>
      </c>
      <c r="I42" s="1585">
        <v>7890</v>
      </c>
      <c r="J42" s="1585">
        <v>788</v>
      </c>
      <c r="K42" s="1585"/>
      <c r="L42" s="1585"/>
      <c r="M42" s="1585"/>
    </row>
    <row r="43" spans="1:13" hidden="1">
      <c r="A43" s="1550" t="s">
        <v>20</v>
      </c>
      <c r="B43" s="1585">
        <v>1715</v>
      </c>
      <c r="C43" s="1585">
        <v>967</v>
      </c>
      <c r="D43" s="1585">
        <v>748</v>
      </c>
      <c r="E43" s="1585">
        <v>8737</v>
      </c>
      <c r="F43" s="1585"/>
      <c r="G43" s="1585">
        <v>7903</v>
      </c>
      <c r="H43" s="1585">
        <v>7480</v>
      </c>
      <c r="I43" s="1585">
        <v>7950</v>
      </c>
      <c r="J43" s="1585">
        <v>787</v>
      </c>
      <c r="K43" s="1585"/>
      <c r="L43" s="1585"/>
      <c r="M43" s="1585"/>
    </row>
    <row r="44" spans="1:13" hidden="1">
      <c r="A44" s="1550" t="s">
        <v>21</v>
      </c>
      <c r="B44" s="1585">
        <v>1734</v>
      </c>
      <c r="C44" s="1585">
        <v>973</v>
      </c>
      <c r="D44" s="1585">
        <v>761</v>
      </c>
      <c r="E44" s="1585">
        <v>8716</v>
      </c>
      <c r="F44" s="1585"/>
      <c r="G44" s="1585">
        <v>7890</v>
      </c>
      <c r="H44" s="1585">
        <v>7466</v>
      </c>
      <c r="I44" s="1585">
        <v>7933</v>
      </c>
      <c r="J44" s="1585">
        <v>783</v>
      </c>
      <c r="K44" s="1585"/>
      <c r="L44" s="1585"/>
      <c r="M44" s="1585"/>
    </row>
    <row r="45" spans="1:13" hidden="1">
      <c r="A45" s="1550" t="s">
        <v>22</v>
      </c>
      <c r="B45" s="1585">
        <v>1752</v>
      </c>
      <c r="C45" s="1585">
        <v>979</v>
      </c>
      <c r="D45" s="1585">
        <v>773</v>
      </c>
      <c r="E45" s="1585">
        <v>8801</v>
      </c>
      <c r="F45" s="1585"/>
      <c r="G45" s="1585">
        <v>7966</v>
      </c>
      <c r="H45" s="1585">
        <v>7536</v>
      </c>
      <c r="I45" s="1585">
        <v>8013</v>
      </c>
      <c r="J45" s="1585">
        <v>788</v>
      </c>
      <c r="K45" s="1585"/>
      <c r="L45" s="1585"/>
      <c r="M45" s="1585"/>
    </row>
    <row r="46" spans="1:13" hidden="1">
      <c r="A46" s="1550" t="s">
        <v>23</v>
      </c>
      <c r="B46" s="1585">
        <v>1777</v>
      </c>
      <c r="C46" s="1585">
        <v>995</v>
      </c>
      <c r="D46" s="1585">
        <v>782</v>
      </c>
      <c r="E46" s="1585">
        <v>8815</v>
      </c>
      <c r="F46" s="1585"/>
      <c r="G46" s="1585">
        <v>7981</v>
      </c>
      <c r="H46" s="1585">
        <v>7555</v>
      </c>
      <c r="I46" s="1585">
        <v>8028</v>
      </c>
      <c r="J46" s="1585">
        <v>787</v>
      </c>
      <c r="K46" s="1585"/>
      <c r="L46" s="1585"/>
      <c r="M46" s="1585"/>
    </row>
    <row r="47" spans="1:13" hidden="1">
      <c r="A47" s="1550" t="s">
        <v>24</v>
      </c>
      <c r="B47" s="1585">
        <v>1809</v>
      </c>
      <c r="C47" s="1585">
        <v>1014</v>
      </c>
      <c r="D47" s="1585">
        <v>795</v>
      </c>
      <c r="E47" s="1585">
        <v>8769</v>
      </c>
      <c r="F47" s="1585"/>
      <c r="G47" s="1585">
        <v>7913</v>
      </c>
      <c r="H47" s="1585">
        <v>7842</v>
      </c>
      <c r="I47" s="1585">
        <v>7980</v>
      </c>
      <c r="J47" s="1585">
        <v>789</v>
      </c>
      <c r="K47" s="1585"/>
      <c r="L47" s="1585"/>
      <c r="M47" s="1585"/>
    </row>
    <row r="48" spans="1:13" hidden="1">
      <c r="A48" s="1550" t="s">
        <v>25</v>
      </c>
      <c r="B48" s="1585">
        <v>1832</v>
      </c>
      <c r="C48" s="1585">
        <v>1025</v>
      </c>
      <c r="D48" s="1585">
        <v>807</v>
      </c>
      <c r="E48" s="1585">
        <v>8792</v>
      </c>
      <c r="F48" s="1585"/>
      <c r="G48" s="1585">
        <v>7934</v>
      </c>
      <c r="H48" s="1585">
        <v>7503</v>
      </c>
      <c r="I48" s="1585">
        <v>7994</v>
      </c>
      <c r="J48" s="1585">
        <v>798</v>
      </c>
      <c r="K48" s="1585"/>
      <c r="L48" s="1585"/>
      <c r="M48" s="1585"/>
    </row>
    <row r="49" spans="1:13" hidden="1">
      <c r="A49" s="1550" t="s">
        <v>26</v>
      </c>
      <c r="B49" s="1585">
        <v>1847</v>
      </c>
      <c r="C49" s="1585">
        <v>1028</v>
      </c>
      <c r="D49" s="1585">
        <v>819</v>
      </c>
      <c r="E49" s="1585">
        <v>8882</v>
      </c>
      <c r="F49" s="1585"/>
      <c r="G49" s="1585">
        <v>8015</v>
      </c>
      <c r="H49" s="1585">
        <v>7581</v>
      </c>
      <c r="I49" s="1585">
        <v>8077</v>
      </c>
      <c r="J49" s="1585">
        <v>805</v>
      </c>
      <c r="K49" s="1585"/>
      <c r="L49" s="1585"/>
      <c r="M49" s="1585"/>
    </row>
    <row r="50" spans="1:13" hidden="1">
      <c r="A50" s="1550">
        <v>10</v>
      </c>
      <c r="B50" s="1585">
        <v>1868</v>
      </c>
      <c r="C50" s="1585">
        <v>1036</v>
      </c>
      <c r="D50" s="1585">
        <v>832</v>
      </c>
      <c r="E50" s="1585">
        <v>7878</v>
      </c>
      <c r="F50" s="1585"/>
      <c r="G50" s="1585">
        <v>7009</v>
      </c>
      <c r="H50" s="1585">
        <v>6575</v>
      </c>
      <c r="I50" s="1585">
        <v>7068</v>
      </c>
      <c r="J50" s="1585">
        <v>810</v>
      </c>
      <c r="K50" s="1585"/>
      <c r="L50" s="1585"/>
      <c r="M50" s="1585"/>
    </row>
    <row r="51" spans="1:13" hidden="1">
      <c r="A51" s="1550">
        <v>11</v>
      </c>
      <c r="B51" s="1585">
        <v>1879</v>
      </c>
      <c r="C51" s="1585">
        <v>1044</v>
      </c>
      <c r="D51" s="1585">
        <v>835</v>
      </c>
      <c r="E51" s="1585">
        <v>7912</v>
      </c>
      <c r="F51" s="1585"/>
      <c r="G51" s="1585">
        <v>7012</v>
      </c>
      <c r="H51" s="1585">
        <v>6582</v>
      </c>
      <c r="I51" s="1585">
        <v>7096</v>
      </c>
      <c r="J51" s="1585">
        <v>816</v>
      </c>
      <c r="K51" s="1585"/>
      <c r="L51" s="1585"/>
      <c r="M51" s="1585"/>
    </row>
    <row r="52" spans="1:13" hidden="1">
      <c r="A52" s="1550" t="s">
        <v>29</v>
      </c>
      <c r="B52" s="1585">
        <v>1892</v>
      </c>
      <c r="C52" s="1585">
        <v>1053</v>
      </c>
      <c r="D52" s="1585">
        <v>839</v>
      </c>
      <c r="E52" s="1585">
        <v>7872</v>
      </c>
      <c r="F52" s="1585"/>
      <c r="G52" s="1585">
        <v>6978</v>
      </c>
      <c r="H52" s="1585">
        <v>6554</v>
      </c>
      <c r="I52" s="1585">
        <v>7069</v>
      </c>
      <c r="J52" s="1585">
        <v>803</v>
      </c>
      <c r="K52" s="1585"/>
      <c r="L52" s="1585"/>
      <c r="M52" s="1585"/>
    </row>
    <row r="53" spans="1:13">
      <c r="A53" s="1550" t="s">
        <v>1030</v>
      </c>
      <c r="B53" s="1585">
        <v>2132</v>
      </c>
      <c r="C53" s="1585">
        <v>1179</v>
      </c>
      <c r="D53" s="1585">
        <v>953</v>
      </c>
      <c r="E53" s="1585">
        <v>13220</v>
      </c>
      <c r="F53" s="1585"/>
      <c r="G53" s="1585">
        <v>11714</v>
      </c>
      <c r="H53" s="1585">
        <v>11169</v>
      </c>
      <c r="I53" s="1585">
        <v>12153</v>
      </c>
      <c r="J53" s="1585">
        <v>1067</v>
      </c>
      <c r="K53" s="1585"/>
      <c r="L53" s="1585"/>
      <c r="M53" s="1585"/>
    </row>
    <row r="54" spans="1:13" hidden="1">
      <c r="A54" s="1550" t="s">
        <v>18</v>
      </c>
      <c r="B54" s="1585">
        <v>1907</v>
      </c>
      <c r="C54" s="1585">
        <v>1063</v>
      </c>
      <c r="D54" s="1585">
        <v>844</v>
      </c>
      <c r="E54" s="1585">
        <v>7864</v>
      </c>
      <c r="F54" s="1585"/>
      <c r="G54" s="1585">
        <v>6922</v>
      </c>
      <c r="H54" s="1585">
        <v>6494</v>
      </c>
      <c r="I54" s="1585">
        <v>7054</v>
      </c>
      <c r="J54" s="1585">
        <v>810</v>
      </c>
      <c r="K54" s="1585"/>
      <c r="L54" s="1585"/>
      <c r="M54" s="1585"/>
    </row>
    <row r="55" spans="1:13" hidden="1">
      <c r="A55" s="1550" t="s">
        <v>19</v>
      </c>
      <c r="B55" s="1585">
        <v>1912</v>
      </c>
      <c r="C55" s="1585">
        <v>1065</v>
      </c>
      <c r="D55" s="1585">
        <v>847</v>
      </c>
      <c r="E55" s="1585">
        <v>7983</v>
      </c>
      <c r="F55" s="1585"/>
      <c r="G55" s="1585">
        <v>7048</v>
      </c>
      <c r="H55" s="1585">
        <v>6620</v>
      </c>
      <c r="I55" s="1585">
        <v>7175</v>
      </c>
      <c r="J55" s="1585">
        <v>808</v>
      </c>
      <c r="K55" s="1585"/>
      <c r="L55" s="1585"/>
      <c r="M55" s="1585"/>
    </row>
    <row r="56" spans="1:13" hidden="1">
      <c r="A56" s="1550" t="s">
        <v>20</v>
      </c>
      <c r="B56" s="1585">
        <v>1929</v>
      </c>
      <c r="C56" s="1585">
        <v>1071</v>
      </c>
      <c r="D56" s="1585">
        <v>848</v>
      </c>
      <c r="E56" s="1585">
        <v>8857</v>
      </c>
      <c r="F56" s="1585"/>
      <c r="G56" s="1585">
        <v>7926</v>
      </c>
      <c r="H56" s="1585">
        <v>7497</v>
      </c>
      <c r="I56" s="1585">
        <v>8027</v>
      </c>
      <c r="J56" s="1585">
        <v>830</v>
      </c>
      <c r="K56" s="1585"/>
      <c r="L56" s="1585"/>
      <c r="M56" s="1585"/>
    </row>
    <row r="57" spans="1:13" hidden="1">
      <c r="A57" s="1550" t="s">
        <v>21</v>
      </c>
      <c r="B57" s="1585">
        <v>1947</v>
      </c>
      <c r="C57" s="1585">
        <v>1078</v>
      </c>
      <c r="D57" s="1585">
        <v>869</v>
      </c>
      <c r="E57" s="1585">
        <v>9435</v>
      </c>
      <c r="F57" s="1585"/>
      <c r="G57" s="1585">
        <v>8483</v>
      </c>
      <c r="H57" s="1585">
        <v>8040</v>
      </c>
      <c r="I57" s="1585">
        <v>8576</v>
      </c>
      <c r="J57" s="1585">
        <v>859</v>
      </c>
      <c r="K57" s="1585"/>
      <c r="L57" s="1585"/>
      <c r="M57" s="1585"/>
    </row>
    <row r="58" spans="1:13" hidden="1">
      <c r="A58" s="1550" t="s">
        <v>22</v>
      </c>
      <c r="B58" s="1585">
        <v>1960</v>
      </c>
      <c r="C58" s="1585">
        <v>1086</v>
      </c>
      <c r="D58" s="1585">
        <v>874</v>
      </c>
      <c r="E58" s="1585">
        <v>10095</v>
      </c>
      <c r="F58" s="1585"/>
      <c r="G58" s="1585">
        <v>8828</v>
      </c>
      <c r="H58" s="1585">
        <v>8380</v>
      </c>
      <c r="I58" s="1585">
        <v>9216</v>
      </c>
      <c r="J58" s="1585">
        <v>879</v>
      </c>
      <c r="K58" s="1585"/>
      <c r="L58" s="1585"/>
      <c r="M58" s="1585"/>
    </row>
    <row r="59" spans="1:13" hidden="1">
      <c r="A59" s="1550" t="s">
        <v>23</v>
      </c>
      <c r="B59" s="1585">
        <v>1985</v>
      </c>
      <c r="C59" s="1585">
        <v>1101</v>
      </c>
      <c r="D59" s="1585">
        <v>884</v>
      </c>
      <c r="E59" s="1585">
        <v>10609</v>
      </c>
      <c r="F59" s="1585"/>
      <c r="G59" s="1585">
        <v>9307</v>
      </c>
      <c r="H59" s="1585">
        <v>8851</v>
      </c>
      <c r="I59" s="1585">
        <v>9703</v>
      </c>
      <c r="J59" s="1585">
        <v>906</v>
      </c>
      <c r="K59" s="1585"/>
      <c r="L59" s="1585"/>
      <c r="M59" s="1585"/>
    </row>
    <row r="60" spans="1:13" hidden="1">
      <c r="A60" s="1550" t="s">
        <v>24</v>
      </c>
      <c r="B60" s="1585">
        <v>2002</v>
      </c>
      <c r="C60" s="1585">
        <v>1112</v>
      </c>
      <c r="D60" s="1585">
        <v>890</v>
      </c>
      <c r="E60" s="1585">
        <v>11272</v>
      </c>
      <c r="F60" s="1585"/>
      <c r="G60" s="1585">
        <v>9901</v>
      </c>
      <c r="H60" s="1585">
        <v>9442</v>
      </c>
      <c r="I60" s="1585">
        <v>10306</v>
      </c>
      <c r="J60" s="1585">
        <v>966</v>
      </c>
      <c r="K60" s="1585"/>
      <c r="L60" s="1585"/>
      <c r="M60" s="1585"/>
    </row>
    <row r="61" spans="1:13" hidden="1">
      <c r="A61" s="1550" t="s">
        <v>25</v>
      </c>
      <c r="B61" s="1585">
        <v>2038</v>
      </c>
      <c r="C61" s="1585">
        <v>1115</v>
      </c>
      <c r="D61" s="1585">
        <v>923</v>
      </c>
      <c r="E61" s="1585">
        <v>11787</v>
      </c>
      <c r="F61" s="1585"/>
      <c r="G61" s="1585">
        <v>10404</v>
      </c>
      <c r="H61" s="1585">
        <v>9939</v>
      </c>
      <c r="I61" s="1585">
        <v>10815</v>
      </c>
      <c r="J61" s="1585">
        <v>972</v>
      </c>
      <c r="K61" s="1585"/>
      <c r="L61" s="1585"/>
      <c r="M61" s="1585"/>
    </row>
    <row r="62" spans="1:13" hidden="1">
      <c r="A62" s="1550" t="s">
        <v>26</v>
      </c>
      <c r="B62" s="1585">
        <v>2056</v>
      </c>
      <c r="C62" s="1585">
        <v>1144</v>
      </c>
      <c r="D62" s="1585">
        <v>912</v>
      </c>
      <c r="E62" s="1585">
        <v>12204</v>
      </c>
      <c r="F62" s="1585"/>
      <c r="G62" s="1585">
        <v>10796</v>
      </c>
      <c r="H62" s="1585">
        <v>10319</v>
      </c>
      <c r="I62" s="1585">
        <v>11207</v>
      </c>
      <c r="J62" s="1585">
        <v>997</v>
      </c>
      <c r="K62" s="1585"/>
      <c r="L62" s="1585"/>
      <c r="M62" s="1585"/>
    </row>
    <row r="63" spans="1:13" hidden="1">
      <c r="A63" s="1550" t="s">
        <v>27</v>
      </c>
      <c r="B63" s="1585">
        <v>2073</v>
      </c>
      <c r="C63" s="1585">
        <v>1154</v>
      </c>
      <c r="D63" s="1585">
        <v>919</v>
      </c>
      <c r="E63" s="1585">
        <v>12477</v>
      </c>
      <c r="F63" s="1585"/>
      <c r="G63" s="1585">
        <v>10986</v>
      </c>
      <c r="H63" s="1585">
        <v>10487</v>
      </c>
      <c r="I63" s="1585">
        <v>11463</v>
      </c>
      <c r="J63" s="1585">
        <v>1014</v>
      </c>
      <c r="K63" s="1585"/>
      <c r="L63" s="1585"/>
      <c r="M63" s="1585"/>
    </row>
    <row r="64" spans="1:13" hidden="1">
      <c r="A64" s="1550" t="s">
        <v>28</v>
      </c>
      <c r="B64" s="1585">
        <v>2104</v>
      </c>
      <c r="C64" s="1585">
        <v>1166</v>
      </c>
      <c r="D64" s="1585">
        <v>938</v>
      </c>
      <c r="E64" s="1585">
        <v>12778</v>
      </c>
      <c r="F64" s="1585"/>
      <c r="G64" s="1585">
        <v>11289</v>
      </c>
      <c r="H64" s="1585">
        <v>10762</v>
      </c>
      <c r="I64" s="1585">
        <v>11735</v>
      </c>
      <c r="J64" s="1585">
        <v>1043</v>
      </c>
      <c r="K64" s="1585"/>
      <c r="L64" s="1585"/>
      <c r="M64" s="1585"/>
    </row>
    <row r="65" spans="1:13" hidden="1">
      <c r="A65" s="1550" t="s">
        <v>29</v>
      </c>
      <c r="B65" s="1585">
        <v>2132</v>
      </c>
      <c r="C65" s="1585">
        <v>1179</v>
      </c>
      <c r="D65" s="1585">
        <v>953</v>
      </c>
      <c r="E65" s="1585">
        <v>13220</v>
      </c>
      <c r="F65" s="1585"/>
      <c r="G65" s="1585">
        <v>11714</v>
      </c>
      <c r="H65" s="1585">
        <v>11169</v>
      </c>
      <c r="I65" s="1585">
        <v>12153</v>
      </c>
      <c r="J65" s="1585">
        <v>1067</v>
      </c>
      <c r="K65" s="1585"/>
      <c r="L65" s="1585"/>
      <c r="M65" s="1585"/>
    </row>
    <row r="66" spans="1:13">
      <c r="A66" s="1550" t="s">
        <v>1301</v>
      </c>
      <c r="B66" s="1585">
        <v>2260</v>
      </c>
      <c r="C66" s="1585">
        <v>1263</v>
      </c>
      <c r="D66" s="1585">
        <v>997</v>
      </c>
      <c r="E66" s="1585">
        <v>36860</v>
      </c>
      <c r="F66" s="1585"/>
      <c r="G66" s="1585">
        <v>35035</v>
      </c>
      <c r="H66" s="1585">
        <v>32386</v>
      </c>
      <c r="I66" s="1585">
        <v>33629</v>
      </c>
      <c r="J66" s="1585">
        <v>3231</v>
      </c>
      <c r="K66" s="1582"/>
      <c r="L66" s="1582"/>
      <c r="M66" s="1582"/>
    </row>
    <row r="67" spans="1:13" hidden="1">
      <c r="A67" s="1550" t="s">
        <v>18</v>
      </c>
      <c r="B67" s="1582">
        <v>2148</v>
      </c>
      <c r="C67" s="1582">
        <v>1187</v>
      </c>
      <c r="D67" s="1582">
        <v>961</v>
      </c>
      <c r="E67" s="1582">
        <v>13686</v>
      </c>
      <c r="F67" s="1582"/>
      <c r="G67" s="1582">
        <v>12174</v>
      </c>
      <c r="H67" s="1582">
        <v>11618</v>
      </c>
      <c r="I67" s="1582">
        <v>12604</v>
      </c>
      <c r="J67" s="1582">
        <v>1082</v>
      </c>
      <c r="K67" s="1582"/>
      <c r="L67" s="1582"/>
      <c r="M67" s="1582"/>
    </row>
    <row r="68" spans="1:13" hidden="1">
      <c r="A68" s="1550" t="s">
        <v>19</v>
      </c>
      <c r="B68" s="1582">
        <v>2157</v>
      </c>
      <c r="C68" s="1582">
        <v>1196</v>
      </c>
      <c r="D68" s="1582">
        <v>961</v>
      </c>
      <c r="E68" s="1582">
        <v>18193</v>
      </c>
      <c r="F68" s="1582"/>
      <c r="G68" s="1582">
        <v>16656</v>
      </c>
      <c r="H68" s="1582">
        <v>16054</v>
      </c>
      <c r="I68" s="1582">
        <v>17057</v>
      </c>
      <c r="J68" s="1582">
        <v>1136</v>
      </c>
      <c r="K68" s="1582"/>
      <c r="L68" s="1582"/>
      <c r="M68" s="1582"/>
    </row>
    <row r="69" spans="1:13" hidden="1">
      <c r="A69" s="1550" t="s">
        <v>20</v>
      </c>
      <c r="B69" s="1582">
        <v>2168</v>
      </c>
      <c r="C69" s="1582">
        <v>1198</v>
      </c>
      <c r="D69" s="1582">
        <v>970</v>
      </c>
      <c r="E69" s="1582">
        <v>20994</v>
      </c>
      <c r="F69" s="1582"/>
      <c r="G69" s="1582">
        <v>19447</v>
      </c>
      <c r="H69" s="1582">
        <v>18767</v>
      </c>
      <c r="I69" s="1582">
        <v>19772</v>
      </c>
      <c r="J69" s="1582">
        <v>1222</v>
      </c>
      <c r="K69" s="1582"/>
      <c r="L69" s="1582"/>
      <c r="M69" s="1582"/>
    </row>
    <row r="70" spans="1:13" hidden="1">
      <c r="A70" s="1550" t="s">
        <v>21</v>
      </c>
      <c r="B70" s="1582">
        <v>2183</v>
      </c>
      <c r="C70" s="1582">
        <v>1209</v>
      </c>
      <c r="D70" s="1582">
        <v>974</v>
      </c>
      <c r="E70" s="1582">
        <v>28921</v>
      </c>
      <c r="F70" s="1582"/>
      <c r="G70" s="1582">
        <v>27269</v>
      </c>
      <c r="H70" s="1582">
        <v>26443</v>
      </c>
      <c r="I70" s="1582">
        <v>27547</v>
      </c>
      <c r="J70" s="1582">
        <v>1374</v>
      </c>
      <c r="K70" s="1582"/>
      <c r="L70" s="1582"/>
      <c r="M70" s="1582"/>
    </row>
    <row r="71" spans="1:13" hidden="1">
      <c r="A71" s="1550" t="s">
        <v>22</v>
      </c>
      <c r="B71" s="1582">
        <v>2216</v>
      </c>
      <c r="C71" s="1582">
        <v>1230</v>
      </c>
      <c r="D71" s="1582">
        <v>986</v>
      </c>
      <c r="E71" s="1582">
        <v>37194</v>
      </c>
      <c r="F71" s="1582"/>
      <c r="G71" s="1582">
        <v>35617</v>
      </c>
      <c r="H71" s="1582">
        <v>33026</v>
      </c>
      <c r="I71" s="1582">
        <v>34038</v>
      </c>
      <c r="J71" s="1582">
        <v>3156</v>
      </c>
      <c r="K71" s="1582"/>
      <c r="L71" s="1582"/>
      <c r="M71" s="1582"/>
    </row>
    <row r="72" spans="1:13" hidden="1">
      <c r="A72" s="1550" t="s">
        <v>23</v>
      </c>
      <c r="B72" s="1582">
        <v>2227</v>
      </c>
      <c r="C72" s="1582">
        <v>1235</v>
      </c>
      <c r="D72" s="1582">
        <v>992</v>
      </c>
      <c r="E72" s="1582">
        <v>36310</v>
      </c>
      <c r="F72" s="1582"/>
      <c r="G72" s="1582">
        <v>34740</v>
      </c>
      <c r="H72" s="1582">
        <v>32114</v>
      </c>
      <c r="I72" s="1582">
        <v>33119</v>
      </c>
      <c r="J72" s="1582">
        <v>3191</v>
      </c>
      <c r="K72" s="1582"/>
      <c r="L72" s="1582"/>
      <c r="M72" s="1582"/>
    </row>
    <row r="73" spans="1:13" hidden="1">
      <c r="A73" s="1550" t="s">
        <v>24</v>
      </c>
      <c r="B73" s="1582">
        <v>2195</v>
      </c>
      <c r="C73" s="1582">
        <v>1225</v>
      </c>
      <c r="D73" s="1582">
        <v>970</v>
      </c>
      <c r="E73" s="1582">
        <v>36523</v>
      </c>
      <c r="F73" s="1582"/>
      <c r="G73" s="1582">
        <v>34989</v>
      </c>
      <c r="H73" s="1582">
        <v>32463</v>
      </c>
      <c r="I73" s="1582">
        <v>33340</v>
      </c>
      <c r="J73" s="1582">
        <v>3183</v>
      </c>
      <c r="K73" s="1582"/>
      <c r="L73" s="1582"/>
      <c r="M73" s="1582"/>
    </row>
    <row r="74" spans="1:13" hidden="1">
      <c r="A74" s="1550" t="s">
        <v>25</v>
      </c>
      <c r="B74" s="1582">
        <v>2214</v>
      </c>
      <c r="C74" s="1582">
        <v>1239</v>
      </c>
      <c r="D74" s="1582">
        <v>975</v>
      </c>
      <c r="E74" s="1582">
        <v>36514</v>
      </c>
      <c r="F74" s="1582"/>
      <c r="G74" s="1582">
        <v>34972</v>
      </c>
      <c r="H74" s="1582">
        <v>32455</v>
      </c>
      <c r="I74" s="1582">
        <v>33340</v>
      </c>
      <c r="J74" s="1582">
        <v>3174</v>
      </c>
      <c r="K74" s="1582"/>
      <c r="L74" s="1582"/>
      <c r="M74" s="1582"/>
    </row>
    <row r="75" spans="1:13" hidden="1">
      <c r="A75" s="1550" t="s">
        <v>26</v>
      </c>
      <c r="B75" s="1582">
        <v>2224</v>
      </c>
      <c r="C75" s="1582">
        <v>1224</v>
      </c>
      <c r="D75" s="1582">
        <v>1000</v>
      </c>
      <c r="E75" s="1582">
        <v>36702</v>
      </c>
      <c r="F75" s="1582"/>
      <c r="G75" s="1582">
        <v>35039</v>
      </c>
      <c r="H75" s="1582">
        <v>32453</v>
      </c>
      <c r="I75" s="1582">
        <v>33549</v>
      </c>
      <c r="J75" s="1582">
        <v>3153</v>
      </c>
      <c r="K75" s="1582"/>
      <c r="L75" s="1582"/>
      <c r="M75" s="1582"/>
    </row>
    <row r="76" spans="1:13" hidden="1">
      <c r="A76" s="1550" t="s">
        <v>27</v>
      </c>
      <c r="B76" s="1582">
        <v>2226</v>
      </c>
      <c r="C76" s="1582">
        <v>1243</v>
      </c>
      <c r="D76" s="1582">
        <v>983</v>
      </c>
      <c r="E76" s="1582">
        <v>36655</v>
      </c>
      <c r="F76" s="1582"/>
      <c r="G76" s="1582">
        <v>34976</v>
      </c>
      <c r="H76" s="1582">
        <v>32396</v>
      </c>
      <c r="I76" s="1582">
        <v>33506</v>
      </c>
      <c r="J76" s="1582">
        <v>3149</v>
      </c>
      <c r="K76" s="1582"/>
      <c r="L76" s="1582"/>
      <c r="M76" s="1582"/>
    </row>
    <row r="77" spans="1:13" hidden="1">
      <c r="A77" s="1550" t="s">
        <v>28</v>
      </c>
      <c r="B77" s="1582">
        <v>2240</v>
      </c>
      <c r="C77" s="1582">
        <v>1249</v>
      </c>
      <c r="D77" s="1582">
        <v>991</v>
      </c>
      <c r="E77" s="1582">
        <v>36482</v>
      </c>
      <c r="F77" s="1582"/>
      <c r="G77" s="1582">
        <v>34781</v>
      </c>
      <c r="H77" s="1582">
        <v>32204</v>
      </c>
      <c r="I77" s="1582">
        <v>33333</v>
      </c>
      <c r="J77" s="1582">
        <v>3149</v>
      </c>
      <c r="K77" s="1582"/>
      <c r="L77" s="1582"/>
      <c r="M77" s="1582"/>
    </row>
    <row r="78" spans="1:13" hidden="1">
      <c r="A78" s="1550" t="s">
        <v>29</v>
      </c>
      <c r="B78" s="1582">
        <v>2260</v>
      </c>
      <c r="C78" s="1582">
        <v>1263</v>
      </c>
      <c r="D78" s="1582">
        <v>997</v>
      </c>
      <c r="E78" s="1582">
        <v>36860</v>
      </c>
      <c r="F78" s="1582"/>
      <c r="G78" s="1582">
        <v>35035</v>
      </c>
      <c r="H78" s="1582">
        <v>32386</v>
      </c>
      <c r="I78" s="1582">
        <v>33629</v>
      </c>
      <c r="J78" s="1582">
        <v>3231</v>
      </c>
      <c r="K78" s="1585"/>
      <c r="L78" s="1585"/>
      <c r="M78" s="1585"/>
    </row>
    <row r="79" spans="1:13">
      <c r="A79" s="1550" t="s">
        <v>1423</v>
      </c>
      <c r="B79" s="1585">
        <v>2422</v>
      </c>
      <c r="C79" s="1585">
        <v>1366</v>
      </c>
      <c r="D79" s="1585">
        <v>1056</v>
      </c>
      <c r="E79" s="1585">
        <v>33285</v>
      </c>
      <c r="F79" s="1585"/>
      <c r="G79" s="1585">
        <v>31859</v>
      </c>
      <c r="H79" s="1585">
        <v>28090</v>
      </c>
      <c r="I79" s="1585">
        <v>28940</v>
      </c>
      <c r="J79" s="1585">
        <v>4345</v>
      </c>
      <c r="K79" s="1582"/>
      <c r="L79" s="1582"/>
      <c r="M79" s="1582"/>
    </row>
    <row r="80" spans="1:13" hidden="1">
      <c r="A80" s="1550" t="s">
        <v>18</v>
      </c>
      <c r="B80" s="1582">
        <v>2261</v>
      </c>
      <c r="C80" s="1582">
        <v>1264</v>
      </c>
      <c r="D80" s="1582">
        <v>997</v>
      </c>
      <c r="E80" s="1582">
        <v>37175</v>
      </c>
      <c r="F80" s="1582"/>
      <c r="G80" s="1582">
        <v>35775</v>
      </c>
      <c r="H80" s="1582">
        <v>33007</v>
      </c>
      <c r="I80" s="1582">
        <v>33816</v>
      </c>
      <c r="J80" s="1582">
        <v>3359</v>
      </c>
      <c r="K80" s="1582"/>
      <c r="L80" s="1582"/>
      <c r="M80" s="1582"/>
    </row>
    <row r="81" spans="1:13" hidden="1">
      <c r="A81" s="1550" t="s">
        <v>19</v>
      </c>
      <c r="B81" s="1582">
        <v>2279</v>
      </c>
      <c r="C81" s="1582">
        <v>1273</v>
      </c>
      <c r="D81" s="1582">
        <v>1006</v>
      </c>
      <c r="E81" s="1582">
        <v>36934</v>
      </c>
      <c r="F81" s="1582"/>
      <c r="G81" s="1582">
        <v>35517</v>
      </c>
      <c r="H81" s="1582">
        <v>32494</v>
      </c>
      <c r="I81" s="1582">
        <v>33307</v>
      </c>
      <c r="J81" s="1582">
        <v>3627</v>
      </c>
      <c r="K81" s="1582"/>
      <c r="L81" s="1582"/>
      <c r="M81" s="1582"/>
    </row>
    <row r="82" spans="1:13" hidden="1">
      <c r="A82" s="1550" t="s">
        <v>20</v>
      </c>
      <c r="B82" s="1582">
        <v>2295</v>
      </c>
      <c r="C82" s="1582">
        <v>1288</v>
      </c>
      <c r="D82" s="1582">
        <v>1007</v>
      </c>
      <c r="E82" s="1582">
        <v>37266</v>
      </c>
      <c r="F82" s="1582"/>
      <c r="G82" s="1582">
        <v>35850</v>
      </c>
      <c r="H82" s="1582">
        <v>32721</v>
      </c>
      <c r="I82" s="1582">
        <v>33517</v>
      </c>
      <c r="J82" s="1582">
        <v>3749</v>
      </c>
      <c r="K82" s="1582"/>
      <c r="L82" s="1582"/>
      <c r="M82" s="1582"/>
    </row>
    <row r="83" spans="1:13" hidden="1">
      <c r="A83" s="1550" t="s">
        <v>21</v>
      </c>
      <c r="B83" s="1582">
        <v>2331</v>
      </c>
      <c r="C83" s="1582">
        <v>1316</v>
      </c>
      <c r="D83" s="1582">
        <v>1015</v>
      </c>
      <c r="E83" s="1582">
        <v>37080</v>
      </c>
      <c r="F83" s="1582"/>
      <c r="G83" s="1582">
        <v>35658</v>
      </c>
      <c r="H83" s="1582">
        <v>32451</v>
      </c>
      <c r="I83" s="1582">
        <v>33268</v>
      </c>
      <c r="J83" s="1582">
        <v>3812</v>
      </c>
      <c r="K83" s="1582"/>
      <c r="L83" s="1582"/>
      <c r="M83" s="1582"/>
    </row>
    <row r="84" spans="1:13" hidden="1">
      <c r="A84" s="1550" t="s">
        <v>22</v>
      </c>
      <c r="B84" s="1582">
        <v>2343</v>
      </c>
      <c r="C84" s="1582">
        <v>1324</v>
      </c>
      <c r="D84" s="1582">
        <v>1019</v>
      </c>
      <c r="E84" s="1582">
        <v>37075</v>
      </c>
      <c r="F84" s="1582"/>
      <c r="G84" s="1582">
        <v>35674</v>
      </c>
      <c r="H84" s="1582">
        <v>32481</v>
      </c>
      <c r="I84" s="1582">
        <v>33269</v>
      </c>
      <c r="J84" s="1582">
        <v>3806</v>
      </c>
      <c r="K84" s="1582"/>
      <c r="L84" s="1582"/>
      <c r="M84" s="1582"/>
    </row>
    <row r="85" spans="1:13" hidden="1">
      <c r="A85" s="1550" t="s">
        <v>23</v>
      </c>
      <c r="B85" s="1582">
        <v>2351</v>
      </c>
      <c r="C85" s="1582">
        <v>1324</v>
      </c>
      <c r="D85" s="1582">
        <v>1027</v>
      </c>
      <c r="E85" s="1582">
        <v>37166</v>
      </c>
      <c r="F85" s="1582"/>
      <c r="G85" s="1582">
        <v>35758</v>
      </c>
      <c r="H85" s="1582">
        <v>32491</v>
      </c>
      <c r="I85" s="1582">
        <v>33284</v>
      </c>
      <c r="J85" s="1582">
        <v>3882</v>
      </c>
      <c r="K85" s="1582"/>
      <c r="L85" s="1582"/>
      <c r="M85" s="1582"/>
    </row>
    <row r="86" spans="1:13" hidden="1">
      <c r="A86" s="1550" t="s">
        <v>24</v>
      </c>
      <c r="B86" s="1582">
        <v>2368</v>
      </c>
      <c r="C86" s="1582">
        <v>1336</v>
      </c>
      <c r="D86" s="1582">
        <v>1032</v>
      </c>
      <c r="E86" s="1582">
        <v>36388</v>
      </c>
      <c r="F86" s="1582"/>
      <c r="G86" s="1582">
        <v>35003</v>
      </c>
      <c r="H86" s="1582">
        <v>31658</v>
      </c>
      <c r="I86" s="1582">
        <v>32470</v>
      </c>
      <c r="J86" s="1582">
        <v>3918</v>
      </c>
      <c r="K86" s="1582"/>
      <c r="L86" s="1582"/>
      <c r="M86" s="1582"/>
    </row>
    <row r="87" spans="1:13" hidden="1">
      <c r="A87" s="1550" t="s">
        <v>25</v>
      </c>
      <c r="B87" s="1582">
        <v>2375</v>
      </c>
      <c r="C87" s="1582">
        <v>1341</v>
      </c>
      <c r="D87" s="1582">
        <v>1034</v>
      </c>
      <c r="E87" s="1582">
        <v>35715</v>
      </c>
      <c r="F87" s="1582"/>
      <c r="G87" s="1582">
        <v>34333</v>
      </c>
      <c r="H87" s="1582">
        <v>30918</v>
      </c>
      <c r="I87" s="1582">
        <v>31754</v>
      </c>
      <c r="J87" s="1582">
        <v>3961</v>
      </c>
      <c r="K87" s="1582"/>
      <c r="L87" s="1582"/>
      <c r="M87" s="1582"/>
    </row>
    <row r="88" spans="1:13" hidden="1">
      <c r="A88" s="1550" t="s">
        <v>26</v>
      </c>
      <c r="B88" s="1582">
        <v>2396</v>
      </c>
      <c r="C88" s="1582">
        <v>1355</v>
      </c>
      <c r="D88" s="1582">
        <v>1041</v>
      </c>
      <c r="E88" s="1582">
        <v>35152</v>
      </c>
      <c r="F88" s="1582"/>
      <c r="G88" s="1582">
        <v>33752</v>
      </c>
      <c r="H88" s="1582">
        <v>30234</v>
      </c>
      <c r="I88" s="1582">
        <v>31068</v>
      </c>
      <c r="J88" s="1582">
        <v>4084</v>
      </c>
      <c r="K88" s="1582"/>
      <c r="L88" s="1582"/>
      <c r="M88" s="1582"/>
    </row>
    <row r="89" spans="1:13" hidden="1">
      <c r="A89" s="1550" t="s">
        <v>27</v>
      </c>
      <c r="B89" s="1582">
        <v>2397</v>
      </c>
      <c r="C89" s="1582">
        <v>1351</v>
      </c>
      <c r="D89" s="1582">
        <v>1046</v>
      </c>
      <c r="E89" s="1582">
        <v>35039</v>
      </c>
      <c r="F89" s="1582"/>
      <c r="G89" s="1582">
        <v>33635</v>
      </c>
      <c r="H89" s="1582">
        <v>30061</v>
      </c>
      <c r="I89" s="1582">
        <v>30897</v>
      </c>
      <c r="J89" s="1582">
        <v>4142</v>
      </c>
      <c r="K89" s="1582"/>
      <c r="L89" s="1582"/>
      <c r="M89" s="1582"/>
    </row>
    <row r="90" spans="1:13" hidden="1">
      <c r="A90" s="1550" t="s">
        <v>28</v>
      </c>
      <c r="B90" s="1582">
        <v>2411</v>
      </c>
      <c r="C90" s="1582">
        <v>1360</v>
      </c>
      <c r="D90" s="1582">
        <v>1051</v>
      </c>
      <c r="E90" s="1582">
        <v>33301</v>
      </c>
      <c r="F90" s="1582"/>
      <c r="G90" s="1582">
        <v>31897</v>
      </c>
      <c r="H90" s="1582">
        <v>28265</v>
      </c>
      <c r="I90" s="1582">
        <v>29101</v>
      </c>
      <c r="J90" s="1582">
        <v>4200</v>
      </c>
      <c r="K90" s="1582"/>
      <c r="L90" s="1582"/>
      <c r="M90" s="1582"/>
    </row>
    <row r="91" spans="1:13" hidden="1">
      <c r="A91" s="1550" t="s">
        <v>29</v>
      </c>
      <c r="B91" s="1582">
        <v>2422</v>
      </c>
      <c r="C91" s="1582">
        <v>1366</v>
      </c>
      <c r="D91" s="1582">
        <v>1056</v>
      </c>
      <c r="E91" s="1582">
        <v>33285</v>
      </c>
      <c r="F91" s="1582"/>
      <c r="G91" s="1582">
        <v>31859</v>
      </c>
      <c r="H91" s="1582">
        <v>28090</v>
      </c>
      <c r="I91" s="1582">
        <v>28940</v>
      </c>
      <c r="J91" s="1582">
        <v>4345</v>
      </c>
      <c r="K91" s="1585"/>
      <c r="L91" s="1585"/>
      <c r="M91" s="1585"/>
    </row>
    <row r="92" spans="1:13">
      <c r="A92" s="1550" t="s">
        <v>1634</v>
      </c>
      <c r="B92" s="1585">
        <v>2608</v>
      </c>
      <c r="C92" s="1585">
        <v>1471</v>
      </c>
      <c r="D92" s="1585">
        <f>B92-C92</f>
        <v>1137</v>
      </c>
      <c r="E92" s="1585">
        <v>73013</v>
      </c>
      <c r="F92" s="1585"/>
      <c r="G92" s="1585">
        <v>71553</v>
      </c>
      <c r="H92" s="1585">
        <v>49187</v>
      </c>
      <c r="I92" s="1585">
        <v>50050</v>
      </c>
      <c r="J92" s="1585">
        <f>E92-I92</f>
        <v>22963</v>
      </c>
      <c r="K92" s="1582"/>
      <c r="L92" s="1582"/>
      <c r="M92" s="1582"/>
    </row>
    <row r="93" spans="1:13">
      <c r="A93" s="1550" t="s">
        <v>18</v>
      </c>
      <c r="B93" s="1582">
        <v>2417</v>
      </c>
      <c r="C93" s="1582">
        <v>1358</v>
      </c>
      <c r="D93" s="1582">
        <v>1059</v>
      </c>
      <c r="E93" s="1582">
        <v>33045</v>
      </c>
      <c r="F93" s="1582"/>
      <c r="G93" s="1582">
        <v>33045</v>
      </c>
      <c r="H93" s="1582">
        <v>28650</v>
      </c>
      <c r="I93" s="1582">
        <v>27733</v>
      </c>
      <c r="J93" s="1582">
        <v>5312</v>
      </c>
      <c r="K93" s="1582"/>
      <c r="L93" s="1582"/>
      <c r="M93" s="1582"/>
    </row>
    <row r="94" spans="1:13">
      <c r="A94" s="1550" t="s">
        <v>19</v>
      </c>
      <c r="B94" s="1582">
        <v>2427</v>
      </c>
      <c r="C94" s="1582">
        <v>1363</v>
      </c>
      <c r="D94" s="1582">
        <v>1064</v>
      </c>
      <c r="E94" s="1582">
        <v>34141</v>
      </c>
      <c r="F94" s="1582"/>
      <c r="G94" s="1582">
        <v>32699</v>
      </c>
      <c r="H94" s="1582">
        <v>28530</v>
      </c>
      <c r="I94" s="1582">
        <v>29428</v>
      </c>
      <c r="J94" s="1582">
        <v>4713</v>
      </c>
      <c r="K94" s="1582"/>
      <c r="L94" s="1582"/>
      <c r="M94" s="1582"/>
    </row>
    <row r="95" spans="1:13">
      <c r="A95" s="1550" t="s">
        <v>20</v>
      </c>
      <c r="B95" s="1582">
        <v>2443</v>
      </c>
      <c r="C95" s="1582">
        <v>1373</v>
      </c>
      <c r="D95" s="1582">
        <v>1070</v>
      </c>
      <c r="E95" s="1582">
        <v>38772</v>
      </c>
      <c r="F95" s="1582"/>
      <c r="G95" s="1582">
        <v>37415</v>
      </c>
      <c r="H95" s="1582">
        <v>29858</v>
      </c>
      <c r="I95" s="1582">
        <v>30675</v>
      </c>
      <c r="J95" s="1582">
        <v>8097</v>
      </c>
      <c r="K95" s="1582"/>
      <c r="L95" s="1582"/>
      <c r="M95" s="1582"/>
    </row>
    <row r="96" spans="1:13">
      <c r="A96" s="1550" t="s">
        <v>21</v>
      </c>
      <c r="B96" s="1582">
        <v>2479</v>
      </c>
      <c r="C96" s="1582">
        <v>1395</v>
      </c>
      <c r="D96" s="1582">
        <v>1084</v>
      </c>
      <c r="E96" s="1582">
        <v>42790</v>
      </c>
      <c r="F96" s="1582"/>
      <c r="G96" s="1582">
        <v>41227</v>
      </c>
      <c r="H96" s="1582">
        <v>31696</v>
      </c>
      <c r="I96" s="1582">
        <v>32613</v>
      </c>
      <c r="J96" s="1582">
        <v>10177</v>
      </c>
      <c r="K96" s="1582"/>
      <c r="L96" s="1582"/>
      <c r="M96" s="1582"/>
    </row>
    <row r="97" spans="1:13">
      <c r="A97" s="1550" t="s">
        <v>22</v>
      </c>
      <c r="B97" s="1582">
        <v>2462</v>
      </c>
      <c r="C97" s="1582">
        <v>1379</v>
      </c>
      <c r="D97" s="1582">
        <v>1083</v>
      </c>
      <c r="E97" s="1582">
        <v>48582</v>
      </c>
      <c r="F97" s="1582"/>
      <c r="G97" s="1582">
        <v>47120</v>
      </c>
      <c r="H97" s="1582">
        <v>34197</v>
      </c>
      <c r="I97" s="1582">
        <v>35110</v>
      </c>
      <c r="J97" s="1582">
        <v>13472</v>
      </c>
      <c r="K97" s="1582"/>
      <c r="L97" s="1582"/>
      <c r="M97" s="1582"/>
    </row>
    <row r="98" spans="1:13">
      <c r="A98" s="1550" t="s">
        <v>23</v>
      </c>
      <c r="B98" s="1582">
        <v>2476</v>
      </c>
      <c r="C98" s="1582">
        <v>1389</v>
      </c>
      <c r="D98" s="1582">
        <v>1087</v>
      </c>
      <c r="E98" s="1582">
        <v>52413</v>
      </c>
      <c r="F98" s="1582"/>
      <c r="G98" s="1582">
        <v>50955</v>
      </c>
      <c r="H98" s="1582">
        <v>36175</v>
      </c>
      <c r="I98" s="1582">
        <v>37079</v>
      </c>
      <c r="J98" s="1582">
        <v>15334</v>
      </c>
      <c r="K98" s="1582"/>
      <c r="L98" s="1582"/>
      <c r="M98" s="1582"/>
    </row>
    <row r="99" spans="1:13" ht="13.5" customHeight="1">
      <c r="A99" s="1550" t="s">
        <v>24</v>
      </c>
      <c r="B99" s="1582">
        <v>2493</v>
      </c>
      <c r="C99" s="1582">
        <v>1399</v>
      </c>
      <c r="D99" s="1582">
        <v>1094</v>
      </c>
      <c r="E99" s="1582">
        <v>53988</v>
      </c>
      <c r="F99" s="1582"/>
      <c r="G99" s="1582">
        <v>52533</v>
      </c>
      <c r="H99" s="1582">
        <v>36285</v>
      </c>
      <c r="I99" s="1582">
        <v>37189</v>
      </c>
      <c r="J99" s="1582">
        <v>16799</v>
      </c>
      <c r="K99" s="1582"/>
      <c r="L99" s="1582"/>
      <c r="M99" s="1582"/>
    </row>
    <row r="100" spans="1:13" ht="13.5" customHeight="1">
      <c r="A100" s="1550" t="s">
        <v>25</v>
      </c>
      <c r="B100" s="1582">
        <v>2510</v>
      </c>
      <c r="C100" s="1582">
        <v>1413</v>
      </c>
      <c r="D100" s="1582">
        <v>1097</v>
      </c>
      <c r="E100" s="1582">
        <v>56731</v>
      </c>
      <c r="F100" s="1582"/>
      <c r="G100" s="1582">
        <v>55300</v>
      </c>
      <c r="H100" s="1582">
        <v>38102</v>
      </c>
      <c r="I100" s="1582">
        <v>38990</v>
      </c>
      <c r="J100" s="1582">
        <v>17741</v>
      </c>
      <c r="K100" s="1582"/>
      <c r="L100" s="1582"/>
      <c r="M100" s="1582"/>
    </row>
    <row r="101" spans="1:13" ht="13.5" customHeight="1">
      <c r="A101" s="1550" t="s">
        <v>26</v>
      </c>
      <c r="B101" s="1582">
        <v>2543</v>
      </c>
      <c r="C101" s="1582">
        <v>1440</v>
      </c>
      <c r="D101" s="1582">
        <v>1103</v>
      </c>
      <c r="E101" s="1582">
        <v>58609</v>
      </c>
      <c r="F101" s="1582"/>
      <c r="G101" s="1582">
        <v>57185</v>
      </c>
      <c r="H101" s="1582">
        <v>39280</v>
      </c>
      <c r="I101" s="1582">
        <v>40165</v>
      </c>
      <c r="J101" s="1582">
        <v>18444</v>
      </c>
      <c r="K101" s="1582"/>
      <c r="L101" s="1582"/>
      <c r="M101" s="1582"/>
    </row>
    <row r="102" spans="1:13" ht="13.5" customHeight="1">
      <c r="A102" s="1550" t="s">
        <v>27</v>
      </c>
      <c r="B102" s="1582">
        <v>2556</v>
      </c>
      <c r="C102" s="1582">
        <v>1447</v>
      </c>
      <c r="D102" s="1582">
        <v>1109</v>
      </c>
      <c r="E102" s="1582">
        <v>64297</v>
      </c>
      <c r="F102" s="1582"/>
      <c r="G102" s="1582">
        <v>62876</v>
      </c>
      <c r="H102" s="1582">
        <v>42902</v>
      </c>
      <c r="I102" s="1582">
        <v>43767</v>
      </c>
      <c r="J102" s="1582">
        <v>20530</v>
      </c>
      <c r="K102" s="1582"/>
      <c r="L102" s="1582"/>
      <c r="M102" s="1582"/>
    </row>
    <row r="103" spans="1:13" ht="13.5" customHeight="1">
      <c r="A103" s="1550" t="s">
        <v>28</v>
      </c>
      <c r="B103" s="1582">
        <v>2586</v>
      </c>
      <c r="C103" s="1582">
        <v>1460</v>
      </c>
      <c r="D103" s="1582">
        <f>B103-C103</f>
        <v>1126</v>
      </c>
      <c r="E103" s="1582">
        <v>68676</v>
      </c>
      <c r="F103" s="1582"/>
      <c r="G103" s="1582">
        <v>67227</v>
      </c>
      <c r="H103" s="1582">
        <v>46384</v>
      </c>
      <c r="I103" s="1582">
        <v>47250</v>
      </c>
      <c r="J103" s="1582">
        <f>E103-I103</f>
        <v>21426</v>
      </c>
      <c r="K103" s="1582"/>
      <c r="L103" s="1582"/>
      <c r="M103" s="1582"/>
    </row>
    <row r="104" spans="1:13" ht="13.5" customHeight="1">
      <c r="A104" s="1560" t="s">
        <v>29</v>
      </c>
      <c r="B104" s="1582">
        <v>2608</v>
      </c>
      <c r="C104" s="1582">
        <v>1471</v>
      </c>
      <c r="D104" s="1582">
        <f>B104-C104</f>
        <v>1137</v>
      </c>
      <c r="E104" s="1582">
        <v>73013</v>
      </c>
      <c r="F104" s="1582"/>
      <c r="G104" s="1582">
        <v>71553</v>
      </c>
      <c r="H104" s="1582">
        <v>49187</v>
      </c>
      <c r="I104" s="1582">
        <v>50050</v>
      </c>
      <c r="J104" s="1582">
        <f>E104-I104</f>
        <v>22963</v>
      </c>
      <c r="K104" s="1585"/>
      <c r="L104" s="1585"/>
      <c r="M104" s="1585"/>
    </row>
    <row r="105" spans="1:13" ht="13.5" customHeight="1">
      <c r="A105" s="1560" t="s">
        <v>1829</v>
      </c>
      <c r="B105" s="1585">
        <v>2694</v>
      </c>
      <c r="C105" s="1585">
        <v>1502</v>
      </c>
      <c r="D105" s="1585">
        <v>1192</v>
      </c>
      <c r="E105" s="1585">
        <v>80301</v>
      </c>
      <c r="F105" s="1585"/>
      <c r="G105" s="1585">
        <v>78762</v>
      </c>
      <c r="H105" s="1585">
        <v>47985</v>
      </c>
      <c r="I105" s="1585">
        <v>48944</v>
      </c>
      <c r="J105" s="1585">
        <v>31357</v>
      </c>
      <c r="K105" s="1582"/>
      <c r="L105" s="1582"/>
      <c r="M105" s="1582"/>
    </row>
    <row r="106" spans="1:13" ht="13.5" customHeight="1">
      <c r="A106" s="1560" t="s">
        <v>18</v>
      </c>
      <c r="B106" s="1582">
        <v>2618</v>
      </c>
      <c r="C106" s="1582">
        <v>1480</v>
      </c>
      <c r="D106" s="1582">
        <v>1138</v>
      </c>
      <c r="E106" s="1582">
        <v>74584</v>
      </c>
      <c r="F106" s="1582"/>
      <c r="G106" s="1582">
        <v>73159</v>
      </c>
      <c r="H106" s="1582">
        <v>49405</v>
      </c>
      <c r="I106" s="1582">
        <v>50294</v>
      </c>
      <c r="J106" s="1582">
        <v>24290</v>
      </c>
      <c r="K106" s="1582"/>
      <c r="L106" s="1582"/>
      <c r="M106" s="1582"/>
    </row>
    <row r="107" spans="1:13" ht="13.5" customHeight="1">
      <c r="A107" s="1560" t="s">
        <v>19</v>
      </c>
      <c r="B107" s="1582">
        <v>2622</v>
      </c>
      <c r="C107" s="1582">
        <v>1477</v>
      </c>
      <c r="D107" s="1582">
        <v>1145</v>
      </c>
      <c r="E107" s="1582">
        <v>77041</v>
      </c>
      <c r="F107" s="1582"/>
      <c r="G107" s="1582">
        <v>75816</v>
      </c>
      <c r="H107" s="1582">
        <v>49699</v>
      </c>
      <c r="I107" s="1582">
        <v>50387</v>
      </c>
      <c r="J107" s="1582">
        <v>26654</v>
      </c>
      <c r="K107" s="1582"/>
      <c r="L107" s="1582"/>
      <c r="M107" s="1582"/>
    </row>
    <row r="108" spans="1:13" ht="13.5" customHeight="1">
      <c r="A108" s="1560" t="s">
        <v>20</v>
      </c>
      <c r="B108" s="1582">
        <v>2633</v>
      </c>
      <c r="C108" s="1582">
        <v>1481</v>
      </c>
      <c r="D108" s="1582">
        <f>B108-C108</f>
        <v>1152</v>
      </c>
      <c r="E108" s="1582">
        <v>77631</v>
      </c>
      <c r="F108" s="1582"/>
      <c r="G108" s="1582">
        <v>76219</v>
      </c>
      <c r="H108" s="1582">
        <v>49323</v>
      </c>
      <c r="I108" s="1582">
        <v>50229</v>
      </c>
      <c r="J108" s="1582">
        <f>E108-I108</f>
        <v>27402</v>
      </c>
      <c r="K108" s="1582"/>
      <c r="L108" s="1582"/>
      <c r="M108" s="1582"/>
    </row>
    <row r="109" spans="1:13" ht="13.5" customHeight="1">
      <c r="A109" s="1560" t="s">
        <v>21</v>
      </c>
      <c r="B109" s="1582">
        <v>2642</v>
      </c>
      <c r="C109" s="1582">
        <v>1484</v>
      </c>
      <c r="D109" s="1582">
        <v>1158</v>
      </c>
      <c r="E109" s="1582">
        <v>78039</v>
      </c>
      <c r="F109" s="1582"/>
      <c r="G109" s="1582">
        <v>76605</v>
      </c>
      <c r="H109" s="1582">
        <v>48920</v>
      </c>
      <c r="I109" s="1582">
        <v>49824</v>
      </c>
      <c r="J109" s="1582">
        <v>28215</v>
      </c>
      <c r="K109" s="1582"/>
      <c r="L109" s="1582"/>
      <c r="M109" s="1582"/>
    </row>
    <row r="110" spans="1:13" ht="13.5" customHeight="1">
      <c r="A110" s="1560" t="s">
        <v>22</v>
      </c>
      <c r="B110" s="1582">
        <v>2670</v>
      </c>
      <c r="C110" s="1582">
        <v>1506</v>
      </c>
      <c r="D110" s="1582">
        <v>1164</v>
      </c>
      <c r="E110" s="1582">
        <v>78324</v>
      </c>
      <c r="F110" s="1582"/>
      <c r="G110" s="1582">
        <v>76892</v>
      </c>
      <c r="H110" s="1582">
        <v>48958</v>
      </c>
      <c r="I110" s="1582">
        <v>49815</v>
      </c>
      <c r="J110" s="1582">
        <v>28509</v>
      </c>
      <c r="K110" s="1582"/>
      <c r="L110" s="1582"/>
      <c r="M110" s="1582"/>
    </row>
    <row r="111" spans="1:13" ht="13.5" customHeight="1">
      <c r="A111" s="1560" t="s">
        <v>23</v>
      </c>
      <c r="B111" s="1582">
        <v>2703</v>
      </c>
      <c r="C111" s="1582">
        <v>1530</v>
      </c>
      <c r="D111" s="1582">
        <v>1173</v>
      </c>
      <c r="E111" s="1582">
        <v>78264</v>
      </c>
      <c r="F111" s="1582"/>
      <c r="G111" s="1582">
        <v>76832</v>
      </c>
      <c r="H111" s="1582">
        <v>48584</v>
      </c>
      <c r="I111" s="1582">
        <v>49438</v>
      </c>
      <c r="J111" s="1582">
        <v>28826</v>
      </c>
      <c r="K111" s="1582"/>
      <c r="L111" s="1582"/>
      <c r="M111" s="1582"/>
    </row>
    <row r="112" spans="1:13" ht="13.5" customHeight="1">
      <c r="A112" s="1560" t="s">
        <v>24</v>
      </c>
      <c r="B112" s="1582">
        <v>2685</v>
      </c>
      <c r="C112" s="1582">
        <v>1507</v>
      </c>
      <c r="D112" s="1582">
        <v>1178</v>
      </c>
      <c r="E112" s="1582">
        <v>77959</v>
      </c>
      <c r="F112" s="1582"/>
      <c r="G112" s="1582">
        <v>76515</v>
      </c>
      <c r="H112" s="1582">
        <v>48245</v>
      </c>
      <c r="I112" s="1582">
        <v>49110</v>
      </c>
      <c r="J112" s="1582">
        <v>28849</v>
      </c>
      <c r="K112" s="1582"/>
      <c r="L112" s="1582"/>
      <c r="M112" s="1582"/>
    </row>
    <row r="113" spans="1:13" ht="13.5" customHeight="1">
      <c r="A113" s="1560" t="s">
        <v>25</v>
      </c>
      <c r="B113" s="1582">
        <v>2702</v>
      </c>
      <c r="C113" s="1582">
        <v>1518</v>
      </c>
      <c r="D113" s="1582">
        <v>1194</v>
      </c>
      <c r="E113" s="1582">
        <v>77913</v>
      </c>
      <c r="F113" s="1582"/>
      <c r="G113" s="1582">
        <v>76438</v>
      </c>
      <c r="H113" s="1582">
        <v>48156</v>
      </c>
      <c r="I113" s="1582">
        <v>49053</v>
      </c>
      <c r="J113" s="1582">
        <v>28860</v>
      </c>
      <c r="K113" s="1582"/>
      <c r="L113" s="1582"/>
      <c r="M113" s="1582"/>
    </row>
    <row r="114" spans="1:13" ht="13.5" customHeight="1">
      <c r="A114" s="1560" t="s">
        <v>26</v>
      </c>
      <c r="B114" s="1582">
        <v>2707</v>
      </c>
      <c r="C114" s="1582">
        <v>1522</v>
      </c>
      <c r="D114" s="1582">
        <v>1185</v>
      </c>
      <c r="E114" s="1582">
        <v>77170</v>
      </c>
      <c r="F114" s="1582"/>
      <c r="G114" s="1582">
        <v>75691</v>
      </c>
      <c r="H114" s="1582">
        <v>47587</v>
      </c>
      <c r="I114" s="1582">
        <v>48478</v>
      </c>
      <c r="J114" s="1582">
        <v>28692</v>
      </c>
      <c r="K114" s="1582"/>
      <c r="L114" s="1582"/>
      <c r="M114" s="1582"/>
    </row>
    <row r="115" spans="1:13" ht="13.5" customHeight="1">
      <c r="A115" s="1560" t="s">
        <v>27</v>
      </c>
      <c r="B115" s="1582">
        <v>2711</v>
      </c>
      <c r="C115" s="1582">
        <v>1525</v>
      </c>
      <c r="D115" s="1582">
        <v>1186</v>
      </c>
      <c r="E115" s="1582">
        <v>76932</v>
      </c>
      <c r="F115" s="1582"/>
      <c r="G115" s="1582">
        <v>75461</v>
      </c>
      <c r="H115" s="1582">
        <v>47395</v>
      </c>
      <c r="I115" s="1582">
        <v>48278</v>
      </c>
      <c r="J115" s="1582">
        <v>28654</v>
      </c>
      <c r="K115" s="1582"/>
      <c r="L115" s="1582"/>
      <c r="M115" s="1582"/>
    </row>
    <row r="116" spans="1:13" ht="13.5" customHeight="1">
      <c r="A116" s="1560" t="s">
        <v>28</v>
      </c>
      <c r="B116" s="1582">
        <v>2695</v>
      </c>
      <c r="C116" s="1582">
        <v>1509</v>
      </c>
      <c r="D116" s="1582">
        <v>1186</v>
      </c>
      <c r="E116" s="1582">
        <v>76210</v>
      </c>
      <c r="F116" s="1582"/>
      <c r="G116" s="1582">
        <v>74733</v>
      </c>
      <c r="H116" s="1582">
        <v>46537</v>
      </c>
      <c r="I116" s="1582">
        <v>47427</v>
      </c>
      <c r="J116" s="1582">
        <v>28783</v>
      </c>
      <c r="K116" s="1582"/>
      <c r="L116" s="1582"/>
      <c r="M116" s="1582"/>
    </row>
    <row r="117" spans="1:13" ht="13.5" customHeight="1">
      <c r="A117" s="1560" t="s">
        <v>29</v>
      </c>
      <c r="B117" s="1582">
        <v>2694</v>
      </c>
      <c r="C117" s="1582">
        <v>1502</v>
      </c>
      <c r="D117" s="1582">
        <v>1192</v>
      </c>
      <c r="E117" s="1582">
        <v>80301</v>
      </c>
      <c r="F117" s="1582"/>
      <c r="G117" s="1582">
        <v>78762</v>
      </c>
      <c r="H117" s="1582">
        <v>47985</v>
      </c>
      <c r="I117" s="1582">
        <v>48944</v>
      </c>
      <c r="J117" s="1582">
        <v>31357</v>
      </c>
      <c r="K117" s="1585"/>
      <c r="L117" s="1585"/>
      <c r="M117" s="1585"/>
    </row>
    <row r="118" spans="1:13" ht="13.5" customHeight="1">
      <c r="A118" s="1560" t="s">
        <v>1852</v>
      </c>
      <c r="B118" s="1585">
        <v>2471</v>
      </c>
      <c r="C118" s="1585">
        <v>1332</v>
      </c>
      <c r="D118" s="1585">
        <v>1139</v>
      </c>
      <c r="E118" s="1585">
        <v>71959</v>
      </c>
      <c r="F118" s="1585">
        <v>9763</v>
      </c>
      <c r="G118" s="1585">
        <v>70914</v>
      </c>
      <c r="H118" s="1585">
        <v>39655</v>
      </c>
      <c r="I118" s="1585">
        <v>40534</v>
      </c>
      <c r="J118" s="1585">
        <v>31425</v>
      </c>
      <c r="K118" s="1585">
        <v>1289</v>
      </c>
      <c r="L118" s="1585">
        <v>730</v>
      </c>
      <c r="M118" s="1585">
        <v>559</v>
      </c>
    </row>
    <row r="119" spans="1:13" ht="13.5" customHeight="1">
      <c r="A119" s="1560" t="s">
        <v>18</v>
      </c>
      <c r="B119" s="1582">
        <v>2588</v>
      </c>
      <c r="C119" s="1582">
        <v>1432</v>
      </c>
      <c r="D119" s="1582">
        <v>1156</v>
      </c>
      <c r="E119" s="1582">
        <v>78579</v>
      </c>
      <c r="F119" s="1582">
        <v>4584</v>
      </c>
      <c r="G119" s="1582">
        <v>77124</v>
      </c>
      <c r="H119" s="1582">
        <v>44808</v>
      </c>
      <c r="I119" s="1582">
        <v>45690</v>
      </c>
      <c r="J119" s="1582">
        <v>32889</v>
      </c>
      <c r="K119" s="1582">
        <v>1021</v>
      </c>
      <c r="L119" s="1582">
        <v>530</v>
      </c>
      <c r="M119" s="1582">
        <v>491</v>
      </c>
    </row>
    <row r="120" spans="1:13" ht="13.5" customHeight="1">
      <c r="A120" s="1560" t="s">
        <v>19</v>
      </c>
      <c r="B120" s="1582">
        <v>2577</v>
      </c>
      <c r="C120" s="1582">
        <v>1432</v>
      </c>
      <c r="D120" s="1582">
        <v>1145</v>
      </c>
      <c r="E120" s="1582">
        <v>77377</v>
      </c>
      <c r="F120" s="1582">
        <v>4589</v>
      </c>
      <c r="G120" s="1582">
        <v>75919</v>
      </c>
      <c r="H120" s="1582">
        <v>43837</v>
      </c>
      <c r="I120" s="1582">
        <v>44727</v>
      </c>
      <c r="J120" s="1582">
        <v>32650</v>
      </c>
      <c r="K120" s="1582">
        <v>1057</v>
      </c>
      <c r="L120" s="1582">
        <v>534</v>
      </c>
      <c r="M120" s="1582">
        <v>523</v>
      </c>
    </row>
    <row r="121" spans="1:13" ht="13.5" customHeight="1">
      <c r="A121" s="1560" t="s">
        <v>20</v>
      </c>
      <c r="B121" s="1582">
        <v>2575</v>
      </c>
      <c r="C121" s="1582">
        <v>1429</v>
      </c>
      <c r="D121" s="1582">
        <v>1146</v>
      </c>
      <c r="E121" s="1582">
        <v>75690</v>
      </c>
      <c r="F121" s="1582">
        <v>8509</v>
      </c>
      <c r="G121" s="1582">
        <v>74272</v>
      </c>
      <c r="H121" s="1582">
        <v>42675</v>
      </c>
      <c r="I121" s="1582">
        <v>43491</v>
      </c>
      <c r="J121" s="1582">
        <v>32199</v>
      </c>
      <c r="K121" s="1582">
        <v>1187</v>
      </c>
      <c r="L121" s="1582">
        <v>656</v>
      </c>
      <c r="M121" s="1582">
        <v>531</v>
      </c>
    </row>
    <row r="122" spans="1:13" ht="13.5" customHeight="1">
      <c r="A122" s="1560" t="s">
        <v>21</v>
      </c>
      <c r="B122" s="1582">
        <v>2568</v>
      </c>
      <c r="C122" s="1582">
        <v>1420</v>
      </c>
      <c r="D122" s="1582">
        <v>1148</v>
      </c>
      <c r="E122" s="1582">
        <v>74088</v>
      </c>
      <c r="F122" s="1582">
        <v>8668</v>
      </c>
      <c r="G122" s="1582">
        <v>72677</v>
      </c>
      <c r="H122" s="1582">
        <v>41974</v>
      </c>
      <c r="I122" s="1582">
        <v>42778</v>
      </c>
      <c r="J122" s="1582">
        <v>31310</v>
      </c>
      <c r="K122" s="1582">
        <v>1216</v>
      </c>
      <c r="L122" s="1582">
        <v>674</v>
      </c>
      <c r="M122" s="1582">
        <v>542</v>
      </c>
    </row>
    <row r="123" spans="1:13" ht="13.5" customHeight="1">
      <c r="A123" s="1560" t="s">
        <v>22</v>
      </c>
      <c r="B123" s="1582">
        <v>2588</v>
      </c>
      <c r="C123" s="1582">
        <v>1429</v>
      </c>
      <c r="D123" s="1582">
        <v>1159</v>
      </c>
      <c r="E123" s="1582">
        <v>74073</v>
      </c>
      <c r="F123" s="1582">
        <v>8981</v>
      </c>
      <c r="G123" s="1582">
        <v>72637</v>
      </c>
      <c r="H123" s="1582">
        <v>41893</v>
      </c>
      <c r="I123" s="1582">
        <v>42724</v>
      </c>
      <c r="J123" s="1582">
        <v>31349</v>
      </c>
      <c r="K123" s="1582">
        <v>1250</v>
      </c>
      <c r="L123" s="1582">
        <v>695</v>
      </c>
      <c r="M123" s="1582">
        <v>555</v>
      </c>
    </row>
    <row r="124" spans="1:13" ht="13.5" customHeight="1">
      <c r="A124" s="1560" t="s">
        <v>23</v>
      </c>
      <c r="B124" s="1582">
        <v>2609</v>
      </c>
      <c r="C124" s="1582">
        <v>1435</v>
      </c>
      <c r="D124" s="1582">
        <v>1174</v>
      </c>
      <c r="E124" s="1582">
        <v>73350</v>
      </c>
      <c r="F124" s="1582">
        <v>9186</v>
      </c>
      <c r="G124" s="1582">
        <v>71899</v>
      </c>
      <c r="H124" s="1582">
        <v>41232</v>
      </c>
      <c r="I124" s="1582">
        <v>42079</v>
      </c>
      <c r="J124" s="1582">
        <v>31271</v>
      </c>
      <c r="K124" s="1582">
        <v>1304</v>
      </c>
      <c r="L124" s="1582">
        <v>719</v>
      </c>
      <c r="M124" s="1582">
        <v>585</v>
      </c>
    </row>
    <row r="125" spans="1:13" ht="13.5" customHeight="1">
      <c r="A125" s="1560" t="s">
        <v>24</v>
      </c>
      <c r="B125" s="1582">
        <v>2552</v>
      </c>
      <c r="C125" s="1582">
        <v>1406</v>
      </c>
      <c r="D125" s="1582">
        <v>1146</v>
      </c>
      <c r="E125" s="1582">
        <v>70620</v>
      </c>
      <c r="F125" s="1582">
        <v>9265</v>
      </c>
      <c r="G125" s="1582">
        <v>69527</v>
      </c>
      <c r="H125" s="1582">
        <v>38998</v>
      </c>
      <c r="I125" s="1582">
        <v>39586</v>
      </c>
      <c r="J125" s="1582">
        <v>31034</v>
      </c>
      <c r="K125" s="1582">
        <v>1330</v>
      </c>
      <c r="L125" s="1582">
        <v>733</v>
      </c>
      <c r="M125" s="1582">
        <v>597</v>
      </c>
    </row>
    <row r="126" spans="1:13" ht="13.5" customHeight="1">
      <c r="A126" s="1560" t="s">
        <v>25</v>
      </c>
      <c r="B126" s="1582">
        <v>2563</v>
      </c>
      <c r="C126" s="1582">
        <v>1411</v>
      </c>
      <c r="D126" s="1582">
        <v>1152</v>
      </c>
      <c r="E126" s="1582">
        <v>70446</v>
      </c>
      <c r="F126" s="1582">
        <v>9467</v>
      </c>
      <c r="G126" s="1582">
        <v>69348</v>
      </c>
      <c r="H126" s="1582">
        <v>38933</v>
      </c>
      <c r="I126" s="1582">
        <v>39447</v>
      </c>
      <c r="J126" s="1582">
        <v>30999</v>
      </c>
      <c r="K126" s="1582">
        <v>1357</v>
      </c>
      <c r="L126" s="1582">
        <v>752</v>
      </c>
      <c r="M126" s="1582">
        <v>605</v>
      </c>
    </row>
    <row r="127" spans="1:13" ht="13.5" customHeight="1">
      <c r="A127" s="1560" t="s">
        <v>26</v>
      </c>
      <c r="B127" s="1582">
        <v>2562</v>
      </c>
      <c r="C127" s="1582">
        <v>1408</v>
      </c>
      <c r="D127" s="1582">
        <v>1154</v>
      </c>
      <c r="E127" s="1582">
        <v>74527</v>
      </c>
      <c r="F127" s="1582">
        <v>9579</v>
      </c>
      <c r="G127" s="1582">
        <v>73478</v>
      </c>
      <c r="H127" s="1582">
        <v>41173</v>
      </c>
      <c r="I127" s="1582">
        <v>41662</v>
      </c>
      <c r="J127" s="1582">
        <v>32865</v>
      </c>
      <c r="K127" s="1582">
        <v>1356</v>
      </c>
      <c r="L127" s="1582">
        <v>751</v>
      </c>
      <c r="M127" s="1582">
        <v>605</v>
      </c>
    </row>
    <row r="128" spans="1:13" ht="13.5" customHeight="1">
      <c r="A128" s="1560" t="s">
        <v>27</v>
      </c>
      <c r="B128" s="1582">
        <v>2459</v>
      </c>
      <c r="C128" s="1582">
        <v>1326</v>
      </c>
      <c r="D128" s="1582">
        <v>1133</v>
      </c>
      <c r="E128" s="1582">
        <v>68295</v>
      </c>
      <c r="F128" s="1582">
        <v>9646</v>
      </c>
      <c r="G128" s="1582">
        <v>67108</v>
      </c>
      <c r="H128" s="1582">
        <v>37648</v>
      </c>
      <c r="I128" s="1582">
        <v>38303</v>
      </c>
      <c r="J128" s="1582">
        <v>29992</v>
      </c>
      <c r="K128" s="1582">
        <v>1341</v>
      </c>
      <c r="L128" s="1582">
        <v>740</v>
      </c>
      <c r="M128" s="1582">
        <v>601</v>
      </c>
    </row>
    <row r="129" spans="1:13" ht="13.5" customHeight="1">
      <c r="A129" s="1560" t="s">
        <v>28</v>
      </c>
      <c r="B129" s="1582">
        <v>2467</v>
      </c>
      <c r="C129" s="1582">
        <v>1332</v>
      </c>
      <c r="D129" s="1582">
        <v>1135</v>
      </c>
      <c r="E129" s="1582">
        <v>73318</v>
      </c>
      <c r="F129" s="1582">
        <v>9591</v>
      </c>
      <c r="G129" s="1582">
        <v>72278</v>
      </c>
      <c r="H129" s="1582">
        <v>40051</v>
      </c>
      <c r="I129" s="1582">
        <v>40557</v>
      </c>
      <c r="J129" s="1582">
        <v>32761</v>
      </c>
      <c r="K129" s="1582">
        <v>1348</v>
      </c>
      <c r="L129" s="1582">
        <v>746</v>
      </c>
      <c r="M129" s="1582">
        <v>602</v>
      </c>
    </row>
    <row r="130" spans="1:13" ht="13.5" customHeight="1">
      <c r="A130" s="1560" t="s">
        <v>29</v>
      </c>
      <c r="B130" s="1582">
        <v>2471</v>
      </c>
      <c r="C130" s="1582">
        <v>1332</v>
      </c>
      <c r="D130" s="1582">
        <v>1139</v>
      </c>
      <c r="E130" s="1582">
        <v>71959</v>
      </c>
      <c r="F130" s="1582">
        <v>9763</v>
      </c>
      <c r="G130" s="1582">
        <v>70914</v>
      </c>
      <c r="H130" s="1582">
        <v>39655</v>
      </c>
      <c r="I130" s="1582">
        <v>40534</v>
      </c>
      <c r="J130" s="1582">
        <v>31425</v>
      </c>
      <c r="K130" s="1586">
        <v>1289</v>
      </c>
      <c r="L130" s="1586">
        <v>730</v>
      </c>
      <c r="M130" s="1586">
        <v>559</v>
      </c>
    </row>
    <row r="131" spans="1:13" ht="13.5" customHeight="1">
      <c r="A131" s="1560" t="s">
        <v>1915</v>
      </c>
      <c r="B131" s="1585">
        <v>2461</v>
      </c>
      <c r="C131" s="1585">
        <v>1326</v>
      </c>
      <c r="D131" s="1585">
        <v>1135</v>
      </c>
      <c r="E131" s="1585">
        <v>65637</v>
      </c>
      <c r="F131" s="1585">
        <v>19417</v>
      </c>
      <c r="G131" s="1585">
        <v>64225</v>
      </c>
      <c r="H131" s="1585">
        <v>36415</v>
      </c>
      <c r="I131" s="1585">
        <v>37091</v>
      </c>
      <c r="J131" s="1585">
        <v>28546</v>
      </c>
      <c r="K131" s="1585">
        <v>1460</v>
      </c>
      <c r="L131" s="1585">
        <v>819</v>
      </c>
      <c r="M131" s="1585">
        <v>641</v>
      </c>
    </row>
    <row r="132" spans="1:13" ht="13.5" customHeight="1">
      <c r="A132" s="1560" t="s">
        <v>18</v>
      </c>
      <c r="B132" s="1582">
        <v>2479</v>
      </c>
      <c r="C132" s="1582">
        <v>1343</v>
      </c>
      <c r="D132" s="1582">
        <v>1136</v>
      </c>
      <c r="E132" s="1582">
        <v>71317</v>
      </c>
      <c r="F132" s="1582">
        <v>9834</v>
      </c>
      <c r="G132" s="1582">
        <v>70338</v>
      </c>
      <c r="H132" s="1582">
        <v>39587</v>
      </c>
      <c r="I132" s="1582">
        <v>40019</v>
      </c>
      <c r="J132" s="1582">
        <v>31298</v>
      </c>
      <c r="K132" s="1582">
        <v>1290</v>
      </c>
      <c r="L132" s="1582">
        <v>731</v>
      </c>
      <c r="M132" s="1582">
        <v>559</v>
      </c>
    </row>
    <row r="133" spans="1:13" ht="13.5" customHeight="1">
      <c r="A133" s="1560" t="s">
        <v>19</v>
      </c>
      <c r="B133" s="1582">
        <v>2482</v>
      </c>
      <c r="C133" s="1582">
        <v>1345</v>
      </c>
      <c r="D133" s="1582">
        <v>1137</v>
      </c>
      <c r="E133" s="1582">
        <v>71102</v>
      </c>
      <c r="F133" s="1582">
        <v>9752</v>
      </c>
      <c r="G133" s="1582">
        <v>70166</v>
      </c>
      <c r="H133" s="1582">
        <v>39489</v>
      </c>
      <c r="I133" s="1582">
        <v>39863</v>
      </c>
      <c r="J133" s="1582">
        <v>31239</v>
      </c>
      <c r="K133" s="1582">
        <v>1295</v>
      </c>
      <c r="L133" s="1582">
        <v>737</v>
      </c>
      <c r="M133" s="1582">
        <v>558</v>
      </c>
    </row>
    <row r="134" spans="1:13" ht="13.5" customHeight="1">
      <c r="A134" s="1560" t="s">
        <v>20</v>
      </c>
      <c r="B134" s="1582">
        <v>2493</v>
      </c>
      <c r="C134" s="1582">
        <v>1352</v>
      </c>
      <c r="D134" s="1582">
        <v>1141</v>
      </c>
      <c r="E134" s="1582">
        <v>70945</v>
      </c>
      <c r="F134" s="1582">
        <v>9808</v>
      </c>
      <c r="G134" s="1582">
        <v>70000</v>
      </c>
      <c r="H134" s="1582">
        <v>39432</v>
      </c>
      <c r="I134" s="1582">
        <v>39852</v>
      </c>
      <c r="J134" s="1582">
        <v>31093</v>
      </c>
      <c r="K134" s="1582">
        <v>1305</v>
      </c>
      <c r="L134" s="1582">
        <v>749</v>
      </c>
      <c r="M134" s="1582">
        <v>556</v>
      </c>
    </row>
    <row r="135" spans="1:13" ht="13.5" customHeight="1">
      <c r="A135" s="1560" t="s">
        <v>21</v>
      </c>
      <c r="B135" s="1582">
        <v>2515</v>
      </c>
      <c r="C135" s="1582">
        <v>1370</v>
      </c>
      <c r="D135" s="1582">
        <v>1145</v>
      </c>
      <c r="E135" s="1582">
        <v>70766</v>
      </c>
      <c r="F135" s="1582">
        <v>9968</v>
      </c>
      <c r="G135" s="1582">
        <v>69707</v>
      </c>
      <c r="H135" s="1582">
        <v>39279</v>
      </c>
      <c r="I135" s="1582">
        <v>39855</v>
      </c>
      <c r="J135" s="1582">
        <v>30911</v>
      </c>
      <c r="K135" s="1582">
        <v>1324</v>
      </c>
      <c r="L135" s="1582">
        <v>756</v>
      </c>
      <c r="M135" s="1582">
        <v>568</v>
      </c>
    </row>
    <row r="136" spans="1:13" ht="13.5" customHeight="1">
      <c r="A136" s="1560" t="s">
        <v>22</v>
      </c>
      <c r="B136" s="1582">
        <v>2499</v>
      </c>
      <c r="C136" s="1582">
        <v>1359</v>
      </c>
      <c r="D136" s="1582">
        <v>1140</v>
      </c>
      <c r="E136" s="1582">
        <v>70322</v>
      </c>
      <c r="F136" s="1582">
        <v>11086</v>
      </c>
      <c r="G136" s="1582">
        <v>69151</v>
      </c>
      <c r="H136" s="1582">
        <v>39134</v>
      </c>
      <c r="I136" s="1582">
        <v>39727</v>
      </c>
      <c r="J136" s="1582">
        <v>30595</v>
      </c>
      <c r="K136" s="1582">
        <v>1337</v>
      </c>
      <c r="L136" s="1582">
        <v>751</v>
      </c>
      <c r="M136" s="1582">
        <v>586</v>
      </c>
    </row>
    <row r="137" spans="1:13" ht="13.5" customHeight="1">
      <c r="A137" s="1560" t="s">
        <v>23</v>
      </c>
      <c r="B137" s="1582">
        <v>2526</v>
      </c>
      <c r="C137" s="1582">
        <v>1373</v>
      </c>
      <c r="D137" s="1582">
        <v>1153</v>
      </c>
      <c r="E137" s="1582">
        <v>70167</v>
      </c>
      <c r="F137" s="1582">
        <v>11238</v>
      </c>
      <c r="G137" s="1582">
        <v>69004</v>
      </c>
      <c r="H137" s="1582">
        <v>39194</v>
      </c>
      <c r="I137" s="1582">
        <v>39778</v>
      </c>
      <c r="J137" s="1582">
        <v>30389</v>
      </c>
      <c r="K137" s="1582">
        <v>1339</v>
      </c>
      <c r="L137" s="1582">
        <v>752</v>
      </c>
      <c r="M137" s="1582">
        <v>587</v>
      </c>
    </row>
    <row r="138" spans="1:13" ht="13.5" customHeight="1">
      <c r="A138" s="1560" t="s">
        <v>24</v>
      </c>
      <c r="B138" s="1582">
        <v>2530</v>
      </c>
      <c r="C138" s="1582">
        <v>1370</v>
      </c>
      <c r="D138" s="1582">
        <v>1160</v>
      </c>
      <c r="E138" s="1582">
        <v>69586</v>
      </c>
      <c r="F138" s="1582">
        <v>11204</v>
      </c>
      <c r="G138" s="1582">
        <v>68422</v>
      </c>
      <c r="H138" s="1582">
        <v>39020</v>
      </c>
      <c r="I138" s="1582">
        <v>39604</v>
      </c>
      <c r="J138" s="1582">
        <v>29982</v>
      </c>
      <c r="K138" s="1582">
        <v>1364</v>
      </c>
      <c r="L138" s="1582">
        <v>768</v>
      </c>
      <c r="M138" s="1582">
        <v>596</v>
      </c>
    </row>
    <row r="139" spans="1:13" ht="13.5" customHeight="1">
      <c r="A139" s="1560" t="s">
        <v>25</v>
      </c>
      <c r="B139" s="1582">
        <v>2520</v>
      </c>
      <c r="C139" s="1582">
        <v>1368</v>
      </c>
      <c r="D139" s="1582">
        <v>1152</v>
      </c>
      <c r="E139" s="1582">
        <v>68585</v>
      </c>
      <c r="F139" s="1582">
        <v>11264</v>
      </c>
      <c r="G139" s="1582">
        <v>67351</v>
      </c>
      <c r="H139" s="1582">
        <v>38158</v>
      </c>
      <c r="I139" s="1582">
        <v>38803</v>
      </c>
      <c r="J139" s="1582">
        <v>29782</v>
      </c>
      <c r="K139" s="1582">
        <v>1378</v>
      </c>
      <c r="L139" s="1582">
        <v>775</v>
      </c>
      <c r="M139" s="1582">
        <v>603</v>
      </c>
    </row>
    <row r="140" spans="1:13" ht="13.5" customHeight="1">
      <c r="A140" s="1560" t="s">
        <v>26</v>
      </c>
      <c r="B140" s="1582">
        <v>2511</v>
      </c>
      <c r="C140" s="1582">
        <v>1363</v>
      </c>
      <c r="D140" s="1582">
        <v>1148</v>
      </c>
      <c r="E140" s="1582">
        <v>67760</v>
      </c>
      <c r="F140" s="1582">
        <v>11002</v>
      </c>
      <c r="G140" s="1582">
        <v>66534</v>
      </c>
      <c r="H140" s="1582">
        <v>37569</v>
      </c>
      <c r="I140" s="1582">
        <v>38146</v>
      </c>
      <c r="J140" s="1582">
        <v>29614</v>
      </c>
      <c r="K140" s="1582">
        <v>1378</v>
      </c>
      <c r="L140" s="1582">
        <v>775</v>
      </c>
      <c r="M140" s="1582">
        <v>603</v>
      </c>
    </row>
    <row r="141" spans="1:13" ht="13.5" customHeight="1">
      <c r="A141" s="1560" t="s">
        <v>27</v>
      </c>
      <c r="B141" s="1582">
        <v>2516</v>
      </c>
      <c r="C141" s="1582">
        <v>1371</v>
      </c>
      <c r="D141" s="1582">
        <v>1145</v>
      </c>
      <c r="E141" s="1582">
        <v>66485</v>
      </c>
      <c r="F141" s="1582">
        <v>11081</v>
      </c>
      <c r="G141" s="1582">
        <v>65138</v>
      </c>
      <c r="H141" s="1582">
        <v>37438</v>
      </c>
      <c r="I141" s="1582">
        <v>38044</v>
      </c>
      <c r="J141" s="1582">
        <v>28441</v>
      </c>
      <c r="K141" s="1582">
        <v>1424</v>
      </c>
      <c r="L141" s="1582">
        <v>822</v>
      </c>
      <c r="M141" s="1582">
        <v>602</v>
      </c>
    </row>
    <row r="142" spans="1:13" ht="13.5" customHeight="1">
      <c r="A142" s="1560" t="s">
        <v>28</v>
      </c>
      <c r="B142" s="1582">
        <v>2487</v>
      </c>
      <c r="C142" s="1582">
        <v>1343</v>
      </c>
      <c r="D142" s="1582">
        <v>1144</v>
      </c>
      <c r="E142" s="1582">
        <v>66189</v>
      </c>
      <c r="F142" s="1582">
        <v>13903</v>
      </c>
      <c r="G142" s="1582">
        <v>64763</v>
      </c>
      <c r="H142" s="1582">
        <v>37230</v>
      </c>
      <c r="I142" s="1582">
        <v>37876</v>
      </c>
      <c r="J142" s="1582">
        <v>28313</v>
      </c>
      <c r="K142" s="1582">
        <v>1484</v>
      </c>
      <c r="L142" s="1582">
        <v>821</v>
      </c>
      <c r="M142" s="1582">
        <v>663</v>
      </c>
    </row>
    <row r="143" spans="1:13" ht="13.5" customHeight="1">
      <c r="A143" s="1560" t="s">
        <v>29</v>
      </c>
      <c r="B143" s="1582">
        <v>2461</v>
      </c>
      <c r="C143" s="1582">
        <v>1326</v>
      </c>
      <c r="D143" s="1582">
        <v>1135</v>
      </c>
      <c r="E143" s="1582">
        <v>65637</v>
      </c>
      <c r="F143" s="1582">
        <v>19417</v>
      </c>
      <c r="G143" s="1582">
        <v>64225</v>
      </c>
      <c r="H143" s="1582">
        <v>36415</v>
      </c>
      <c r="I143" s="1582">
        <v>37091</v>
      </c>
      <c r="J143" s="1582">
        <v>28546</v>
      </c>
      <c r="K143" s="1586">
        <v>1460</v>
      </c>
      <c r="L143" s="1586">
        <v>819</v>
      </c>
      <c r="M143" s="1586">
        <v>641</v>
      </c>
    </row>
    <row r="144" spans="1:13" ht="13.5" customHeight="1">
      <c r="A144" s="1560" t="s">
        <v>2051</v>
      </c>
      <c r="B144" s="1585">
        <v>2563</v>
      </c>
      <c r="C144" s="1585">
        <v>1350</v>
      </c>
      <c r="D144" s="1585">
        <v>1213</v>
      </c>
      <c r="E144" s="1585">
        <v>66454</v>
      </c>
      <c r="F144" s="1585">
        <v>21812</v>
      </c>
      <c r="G144" s="1585">
        <v>64813</v>
      </c>
      <c r="H144" s="1585">
        <v>38239</v>
      </c>
      <c r="I144" s="1585">
        <v>39069</v>
      </c>
      <c r="J144" s="1585">
        <v>27385</v>
      </c>
      <c r="K144" s="1585">
        <v>1550</v>
      </c>
      <c r="L144" s="1585">
        <v>847</v>
      </c>
      <c r="M144" s="1585">
        <v>703</v>
      </c>
    </row>
    <row r="145" spans="1:13" ht="13.5" customHeight="1">
      <c r="A145" s="1560" t="s">
        <v>18</v>
      </c>
      <c r="B145" s="1582">
        <v>2471</v>
      </c>
      <c r="C145" s="1582">
        <v>1332</v>
      </c>
      <c r="D145" s="1582">
        <v>1139</v>
      </c>
      <c r="E145" s="1582">
        <v>65371</v>
      </c>
      <c r="F145" s="1582">
        <v>18296</v>
      </c>
      <c r="G145" s="1582">
        <v>63907</v>
      </c>
      <c r="H145" s="1582">
        <v>36114</v>
      </c>
      <c r="I145" s="1582">
        <v>36826</v>
      </c>
      <c r="J145" s="1582">
        <v>28545</v>
      </c>
      <c r="K145" s="1582">
        <v>1477</v>
      </c>
      <c r="L145" s="1582">
        <v>827</v>
      </c>
      <c r="M145" s="1582">
        <v>650</v>
      </c>
    </row>
    <row r="146" spans="1:13" ht="13.5" customHeight="1">
      <c r="A146" s="1560" t="s">
        <v>19</v>
      </c>
      <c r="B146" s="1582">
        <v>2479</v>
      </c>
      <c r="C146" s="1582">
        <v>1336</v>
      </c>
      <c r="D146" s="1582">
        <v>1143</v>
      </c>
      <c r="E146" s="1582">
        <v>65431</v>
      </c>
      <c r="F146" s="1582">
        <v>19811</v>
      </c>
      <c r="G146" s="1582">
        <v>63966</v>
      </c>
      <c r="H146" s="1582">
        <v>36150</v>
      </c>
      <c r="I146" s="1582">
        <v>36864</v>
      </c>
      <c r="J146" s="1582">
        <v>28567</v>
      </c>
      <c r="K146" s="1582">
        <v>1503</v>
      </c>
      <c r="L146" s="1582">
        <v>842</v>
      </c>
      <c r="M146" s="1582">
        <v>661</v>
      </c>
    </row>
    <row r="147" spans="1:13" ht="13.5" customHeight="1">
      <c r="A147" s="1560" t="s">
        <v>20</v>
      </c>
      <c r="B147" s="1582">
        <v>2491</v>
      </c>
      <c r="C147" s="1582">
        <v>1339</v>
      </c>
      <c r="D147" s="1582">
        <v>1152</v>
      </c>
      <c r="E147" s="1582">
        <v>65334</v>
      </c>
      <c r="F147" s="1582">
        <v>19965</v>
      </c>
      <c r="G147" s="1582">
        <v>63864</v>
      </c>
      <c r="H147" s="1582">
        <v>36104</v>
      </c>
      <c r="I147" s="1582">
        <v>36793</v>
      </c>
      <c r="J147" s="1582">
        <v>28541</v>
      </c>
      <c r="K147" s="1582">
        <v>1503</v>
      </c>
      <c r="L147" s="1582">
        <v>842</v>
      </c>
      <c r="M147" s="1582">
        <v>661</v>
      </c>
    </row>
    <row r="148" spans="1:13" ht="13.5" customHeight="1">
      <c r="A148" s="1560" t="s">
        <v>21</v>
      </c>
      <c r="B148" s="1582">
        <v>2503</v>
      </c>
      <c r="C148" s="1582">
        <v>1344</v>
      </c>
      <c r="D148" s="1582">
        <v>1159</v>
      </c>
      <c r="E148" s="1582">
        <v>65535</v>
      </c>
      <c r="F148" s="1582">
        <v>20273</v>
      </c>
      <c r="G148" s="1582">
        <v>64026</v>
      </c>
      <c r="H148" s="1582">
        <v>36270</v>
      </c>
      <c r="I148" s="1582">
        <v>36999</v>
      </c>
      <c r="J148" s="1582">
        <v>28536</v>
      </c>
      <c r="K148" s="1582">
        <v>1504</v>
      </c>
      <c r="L148" s="1582">
        <v>842</v>
      </c>
      <c r="M148" s="1582">
        <v>662</v>
      </c>
    </row>
    <row r="149" spans="1:13" ht="13.5" customHeight="1">
      <c r="A149" s="1560" t="s">
        <v>22</v>
      </c>
      <c r="B149" s="1582">
        <v>2507</v>
      </c>
      <c r="C149" s="1582">
        <v>1351</v>
      </c>
      <c r="D149" s="1582">
        <v>1156</v>
      </c>
      <c r="E149" s="1582">
        <v>65784</v>
      </c>
      <c r="F149" s="1582">
        <v>20415</v>
      </c>
      <c r="G149" s="1582">
        <v>64254</v>
      </c>
      <c r="H149" s="1582">
        <v>36424</v>
      </c>
      <c r="I149" s="1582">
        <v>37160</v>
      </c>
      <c r="J149" s="1582">
        <v>28624</v>
      </c>
      <c r="K149" s="1582">
        <v>1509</v>
      </c>
      <c r="L149" s="1582">
        <v>846</v>
      </c>
      <c r="M149" s="1582">
        <v>663</v>
      </c>
    </row>
    <row r="150" spans="1:13" ht="13.5" customHeight="1">
      <c r="A150" s="1560" t="s">
        <v>23</v>
      </c>
      <c r="B150" s="1582">
        <v>2520</v>
      </c>
      <c r="C150" s="1582">
        <v>1360</v>
      </c>
      <c r="D150" s="1582">
        <v>1160</v>
      </c>
      <c r="E150" s="1582">
        <v>65792</v>
      </c>
      <c r="F150" s="1582">
        <v>20544</v>
      </c>
      <c r="G150" s="1582">
        <v>64240</v>
      </c>
      <c r="H150" s="1582">
        <v>36536</v>
      </c>
      <c r="I150" s="1582">
        <v>37288</v>
      </c>
      <c r="J150" s="1582">
        <v>28504</v>
      </c>
      <c r="K150" s="1582">
        <v>1511</v>
      </c>
      <c r="L150" s="1582">
        <v>843</v>
      </c>
      <c r="M150" s="1582">
        <v>668</v>
      </c>
    </row>
    <row r="151" spans="1:13" ht="13.5" customHeight="1">
      <c r="A151" s="1560" t="s">
        <v>24</v>
      </c>
      <c r="B151" s="1582">
        <v>2517</v>
      </c>
      <c r="C151" s="1582">
        <v>1354</v>
      </c>
      <c r="D151" s="1582">
        <v>1163</v>
      </c>
      <c r="E151" s="1582">
        <v>66050</v>
      </c>
      <c r="F151" s="1582">
        <v>20713</v>
      </c>
      <c r="G151" s="1582">
        <v>64502</v>
      </c>
      <c r="H151" s="1582">
        <v>37752</v>
      </c>
      <c r="I151" s="1582">
        <v>38501</v>
      </c>
      <c r="J151" s="1582">
        <v>27549</v>
      </c>
      <c r="K151" s="1582">
        <v>1510</v>
      </c>
      <c r="L151" s="1582">
        <v>843</v>
      </c>
      <c r="M151" s="1582">
        <v>667</v>
      </c>
    </row>
    <row r="152" spans="1:13" ht="13.5" customHeight="1">
      <c r="A152" s="1560" t="s">
        <v>25</v>
      </c>
      <c r="B152" s="1582">
        <v>2521</v>
      </c>
      <c r="C152" s="1582">
        <v>1348</v>
      </c>
      <c r="D152" s="1582">
        <v>1173</v>
      </c>
      <c r="E152" s="1582">
        <v>66106</v>
      </c>
      <c r="F152" s="1582">
        <v>20833</v>
      </c>
      <c r="G152" s="1582">
        <v>64508</v>
      </c>
      <c r="H152" s="1582">
        <v>37846</v>
      </c>
      <c r="I152" s="1582">
        <v>38644</v>
      </c>
      <c r="J152" s="1582">
        <v>27462</v>
      </c>
      <c r="K152" s="1582">
        <v>1514</v>
      </c>
      <c r="L152" s="1582">
        <v>847</v>
      </c>
      <c r="M152" s="1582">
        <v>667</v>
      </c>
    </row>
    <row r="153" spans="1:13" ht="13.5" customHeight="1">
      <c r="A153" s="1560" t="s">
        <v>26</v>
      </c>
      <c r="B153" s="1582">
        <v>2540</v>
      </c>
      <c r="C153" s="1582">
        <v>1354</v>
      </c>
      <c r="D153" s="1582">
        <v>1186</v>
      </c>
      <c r="E153" s="1582">
        <v>66314</v>
      </c>
      <c r="F153" s="1582">
        <v>21064</v>
      </c>
      <c r="G153" s="1582">
        <v>64713</v>
      </c>
      <c r="H153" s="1582">
        <v>37986</v>
      </c>
      <c r="I153" s="1582">
        <v>38784</v>
      </c>
      <c r="J153" s="1582">
        <v>27530</v>
      </c>
      <c r="K153" s="1582">
        <v>1538</v>
      </c>
      <c r="L153" s="1582">
        <v>849</v>
      </c>
      <c r="M153" s="1582">
        <v>689</v>
      </c>
    </row>
    <row r="154" spans="1:13" ht="13.5" customHeight="1">
      <c r="A154" s="1560" t="s">
        <v>27</v>
      </c>
      <c r="B154" s="1582">
        <v>2553</v>
      </c>
      <c r="C154" s="1582">
        <v>1346</v>
      </c>
      <c r="D154" s="1582">
        <v>1207</v>
      </c>
      <c r="E154" s="1582">
        <v>66206</v>
      </c>
      <c r="F154" s="1582">
        <v>21334</v>
      </c>
      <c r="G154" s="1582">
        <v>64577</v>
      </c>
      <c r="H154" s="1582">
        <v>37856</v>
      </c>
      <c r="I154" s="1582">
        <v>38690</v>
      </c>
      <c r="J154" s="1582">
        <v>27516</v>
      </c>
      <c r="K154" s="1582">
        <v>1548</v>
      </c>
      <c r="L154" s="1582">
        <v>850</v>
      </c>
      <c r="M154" s="1582">
        <v>698</v>
      </c>
    </row>
    <row r="155" spans="1:13" ht="13.5" customHeight="1">
      <c r="A155" s="1560" t="s">
        <v>28</v>
      </c>
      <c r="B155" s="1582">
        <v>2551</v>
      </c>
      <c r="C155" s="1582">
        <v>1343</v>
      </c>
      <c r="D155" s="1582">
        <v>1208</v>
      </c>
      <c r="E155" s="1582">
        <v>66256</v>
      </c>
      <c r="F155" s="1582">
        <v>21464</v>
      </c>
      <c r="G155" s="1582">
        <v>64615</v>
      </c>
      <c r="H155" s="1582">
        <v>37863</v>
      </c>
      <c r="I155" s="1582">
        <v>38709</v>
      </c>
      <c r="J155" s="1582">
        <v>27547</v>
      </c>
      <c r="K155" s="1582">
        <v>1550</v>
      </c>
      <c r="L155" s="1582">
        <v>848</v>
      </c>
      <c r="M155" s="1582">
        <v>702</v>
      </c>
    </row>
    <row r="156" spans="1:13" ht="13.5" customHeight="1">
      <c r="A156" s="1560" t="s">
        <v>29</v>
      </c>
      <c r="B156" s="1582">
        <v>2563</v>
      </c>
      <c r="C156" s="1582">
        <v>1350</v>
      </c>
      <c r="D156" s="1582">
        <v>1213</v>
      </c>
      <c r="E156" s="1582">
        <v>66454</v>
      </c>
      <c r="F156" s="1582">
        <v>21812</v>
      </c>
      <c r="G156" s="1582">
        <v>64813</v>
      </c>
      <c r="H156" s="1582">
        <v>38239</v>
      </c>
      <c r="I156" s="1582">
        <v>39069</v>
      </c>
      <c r="J156" s="1582">
        <v>27385</v>
      </c>
      <c r="K156" s="1586">
        <v>1550</v>
      </c>
      <c r="L156" s="1586">
        <v>847</v>
      </c>
      <c r="M156" s="1586">
        <v>703</v>
      </c>
    </row>
    <row r="157" spans="1:13" ht="13.5" customHeight="1">
      <c r="A157" s="1550" t="s">
        <v>2144</v>
      </c>
      <c r="B157" s="1589">
        <v>2712</v>
      </c>
      <c r="C157" s="1589">
        <v>1446</v>
      </c>
      <c r="D157" s="1589">
        <v>1266</v>
      </c>
      <c r="E157" s="1589">
        <v>67681</v>
      </c>
      <c r="F157" s="1589">
        <v>30133</v>
      </c>
      <c r="G157" s="1589">
        <v>65973</v>
      </c>
      <c r="H157" s="1589">
        <v>40097</v>
      </c>
      <c r="I157" s="1589">
        <v>40988</v>
      </c>
      <c r="J157" s="1588">
        <v>26693</v>
      </c>
      <c r="K157" s="1585">
        <v>1648</v>
      </c>
      <c r="L157" s="1585">
        <v>908</v>
      </c>
      <c r="M157" s="1585">
        <v>740</v>
      </c>
    </row>
    <row r="158" spans="1:13" ht="13.5" customHeight="1">
      <c r="A158" s="1560" t="s">
        <v>18</v>
      </c>
      <c r="B158" s="1582">
        <v>2572</v>
      </c>
      <c r="C158" s="1582">
        <v>1355</v>
      </c>
      <c r="D158" s="1582">
        <v>1217</v>
      </c>
      <c r="E158" s="1582">
        <v>66353</v>
      </c>
      <c r="F158" s="1582">
        <v>23259</v>
      </c>
      <c r="G158" s="1582">
        <v>64685</v>
      </c>
      <c r="H158" s="1582">
        <v>38195</v>
      </c>
      <c r="I158" s="1582">
        <v>39054</v>
      </c>
      <c r="J158" s="1582">
        <v>27299</v>
      </c>
      <c r="K158" s="1582">
        <v>1591</v>
      </c>
      <c r="L158" s="1582">
        <v>874</v>
      </c>
      <c r="M158" s="1582">
        <v>717</v>
      </c>
    </row>
    <row r="159" spans="1:13" ht="13.5" customHeight="1">
      <c r="A159" s="1560" t="s">
        <v>19</v>
      </c>
      <c r="B159" s="1582">
        <v>2585</v>
      </c>
      <c r="C159" s="1582">
        <v>1364</v>
      </c>
      <c r="D159" s="1582">
        <v>1221</v>
      </c>
      <c r="E159" s="1582">
        <v>66397</v>
      </c>
      <c r="F159" s="1582">
        <v>24097</v>
      </c>
      <c r="G159" s="1582">
        <v>64728</v>
      </c>
      <c r="H159" s="1582">
        <v>38371</v>
      </c>
      <c r="I159" s="1582">
        <v>39233</v>
      </c>
      <c r="J159" s="1582">
        <v>27164</v>
      </c>
      <c r="K159" s="1582">
        <v>1596</v>
      </c>
      <c r="L159" s="1582">
        <v>875</v>
      </c>
      <c r="M159" s="1582">
        <v>721</v>
      </c>
    </row>
    <row r="160" spans="1:13" ht="13.5" customHeight="1">
      <c r="A160" s="1560" t="s">
        <v>20</v>
      </c>
      <c r="B160" s="1582">
        <v>2595</v>
      </c>
      <c r="C160" s="1582">
        <v>1370</v>
      </c>
      <c r="D160" s="1582">
        <v>1225</v>
      </c>
      <c r="E160" s="1582">
        <v>66779</v>
      </c>
      <c r="F160" s="1582">
        <v>24594</v>
      </c>
      <c r="G160" s="1582">
        <v>65115</v>
      </c>
      <c r="H160" s="1582">
        <v>38987</v>
      </c>
      <c r="I160" s="1582">
        <v>39847</v>
      </c>
      <c r="J160" s="1582">
        <v>26932</v>
      </c>
      <c r="K160" s="1582">
        <v>1601</v>
      </c>
      <c r="L160" s="1582">
        <v>879</v>
      </c>
      <c r="M160" s="1582">
        <v>722</v>
      </c>
    </row>
    <row r="161" spans="1:13" ht="13.5" customHeight="1">
      <c r="A161" s="1560" t="s">
        <v>21</v>
      </c>
      <c r="B161" s="1582">
        <v>2605</v>
      </c>
      <c r="C161" s="1582">
        <v>1379</v>
      </c>
      <c r="D161" s="1582">
        <v>1226</v>
      </c>
      <c r="E161" s="1582">
        <v>66640</v>
      </c>
      <c r="F161" s="1582">
        <v>25169</v>
      </c>
      <c r="G161" s="1582">
        <v>65096</v>
      </c>
      <c r="H161" s="1582">
        <v>40043</v>
      </c>
      <c r="I161" s="1582">
        <v>40788</v>
      </c>
      <c r="J161" s="1582">
        <v>25852</v>
      </c>
      <c r="K161" s="1582">
        <v>1607</v>
      </c>
      <c r="L161" s="1582">
        <v>885</v>
      </c>
      <c r="M161" s="1582">
        <v>722</v>
      </c>
    </row>
    <row r="162" spans="1:13" ht="13.5" customHeight="1">
      <c r="A162" s="1560" t="s">
        <v>22</v>
      </c>
      <c r="B162" s="1582">
        <v>2629</v>
      </c>
      <c r="C162" s="1582">
        <v>1397</v>
      </c>
      <c r="D162" s="1582">
        <v>1232</v>
      </c>
      <c r="E162" s="1582">
        <v>66804</v>
      </c>
      <c r="F162" s="1582">
        <v>25685</v>
      </c>
      <c r="G162" s="1582">
        <v>65293</v>
      </c>
      <c r="H162" s="1582">
        <v>40467</v>
      </c>
      <c r="I162" s="1582">
        <v>41179</v>
      </c>
      <c r="J162" s="1582">
        <v>25625</v>
      </c>
      <c r="K162" s="1582">
        <v>1611</v>
      </c>
      <c r="L162" s="1582">
        <v>885</v>
      </c>
      <c r="M162" s="1582">
        <v>726</v>
      </c>
    </row>
    <row r="163" spans="1:13" ht="13.5" customHeight="1">
      <c r="A163" s="1560" t="s">
        <v>23</v>
      </c>
      <c r="B163" s="1582">
        <v>2632</v>
      </c>
      <c r="C163" s="1582">
        <v>1394</v>
      </c>
      <c r="D163" s="1582">
        <v>1238</v>
      </c>
      <c r="E163" s="1582">
        <v>63774</v>
      </c>
      <c r="F163" s="1582">
        <v>25934</v>
      </c>
      <c r="G163" s="1582">
        <v>62003</v>
      </c>
      <c r="H163" s="1582">
        <v>37269</v>
      </c>
      <c r="I163" s="1582">
        <v>38185</v>
      </c>
      <c r="J163" s="1582">
        <v>25589</v>
      </c>
      <c r="K163" s="1582">
        <v>1613</v>
      </c>
      <c r="L163" s="1582">
        <v>887</v>
      </c>
      <c r="M163" s="1582">
        <v>726</v>
      </c>
    </row>
    <row r="164" spans="1:13" ht="13.5" customHeight="1">
      <c r="A164" s="1560" t="s">
        <v>24</v>
      </c>
      <c r="B164" s="1582">
        <v>2644</v>
      </c>
      <c r="C164" s="1582">
        <v>1400</v>
      </c>
      <c r="D164" s="1582">
        <v>1244</v>
      </c>
      <c r="E164" s="1582">
        <v>64160</v>
      </c>
      <c r="F164" s="1582">
        <v>26362</v>
      </c>
      <c r="G164" s="1582">
        <v>62345</v>
      </c>
      <c r="H164" s="1582">
        <v>37322</v>
      </c>
      <c r="I164" s="1582">
        <v>38285</v>
      </c>
      <c r="J164" s="1582">
        <v>25875</v>
      </c>
      <c r="K164" s="1582">
        <v>1622</v>
      </c>
      <c r="L164" s="1582">
        <v>892</v>
      </c>
      <c r="M164" s="1582">
        <v>730</v>
      </c>
    </row>
    <row r="165" spans="1:13" ht="13.5" customHeight="1">
      <c r="A165" s="1560" t="s">
        <v>25</v>
      </c>
      <c r="B165" s="1582">
        <v>2650</v>
      </c>
      <c r="C165" s="1582">
        <v>1406</v>
      </c>
      <c r="D165" s="1582">
        <v>1244</v>
      </c>
      <c r="E165" s="1582">
        <v>64511</v>
      </c>
      <c r="F165" s="1582">
        <v>26813</v>
      </c>
      <c r="G165" s="1582">
        <v>62740</v>
      </c>
      <c r="H165" s="1582">
        <v>37681</v>
      </c>
      <c r="I165" s="1582">
        <v>38591</v>
      </c>
      <c r="J165" s="1582">
        <v>25920</v>
      </c>
      <c r="K165" s="1582">
        <v>1627</v>
      </c>
      <c r="L165" s="1582">
        <v>896</v>
      </c>
      <c r="M165" s="1582">
        <v>731</v>
      </c>
    </row>
    <row r="166" spans="1:13" ht="13.5" customHeight="1">
      <c r="A166" s="1560" t="s">
        <v>26</v>
      </c>
      <c r="B166" s="1582">
        <v>2654</v>
      </c>
      <c r="C166" s="1582">
        <v>1407</v>
      </c>
      <c r="D166" s="1582">
        <v>1247</v>
      </c>
      <c r="E166" s="1582">
        <v>65153</v>
      </c>
      <c r="F166" s="1582">
        <v>27528</v>
      </c>
      <c r="G166" s="1582">
        <v>63368</v>
      </c>
      <c r="H166" s="1582">
        <v>38305</v>
      </c>
      <c r="I166" s="1582">
        <v>39205</v>
      </c>
      <c r="J166" s="1582">
        <v>25948</v>
      </c>
      <c r="K166" s="1582">
        <v>1633</v>
      </c>
      <c r="L166" s="1582">
        <v>900</v>
      </c>
      <c r="M166" s="1582">
        <v>733</v>
      </c>
    </row>
    <row r="167" spans="1:13" ht="13.5" customHeight="1">
      <c r="A167" s="1560" t="s">
        <v>27</v>
      </c>
      <c r="B167" s="1582">
        <v>2675</v>
      </c>
      <c r="C167" s="1582">
        <v>1425</v>
      </c>
      <c r="D167" s="1582">
        <v>1250</v>
      </c>
      <c r="E167" s="1582">
        <v>65819</v>
      </c>
      <c r="F167" s="1582">
        <v>28351</v>
      </c>
      <c r="G167" s="1582">
        <v>64221</v>
      </c>
      <c r="H167" s="1582">
        <v>38903</v>
      </c>
      <c r="I167" s="1582">
        <v>39723</v>
      </c>
      <c r="J167" s="1582">
        <v>26096</v>
      </c>
      <c r="K167" s="1582">
        <v>1640</v>
      </c>
      <c r="L167" s="1582">
        <v>905</v>
      </c>
      <c r="M167" s="1582">
        <v>735</v>
      </c>
    </row>
    <row r="168" spans="1:13" ht="13.5" customHeight="1">
      <c r="A168" s="1560" t="s">
        <v>28</v>
      </c>
      <c r="B168" s="1582">
        <v>2692</v>
      </c>
      <c r="C168" s="1582">
        <v>1437</v>
      </c>
      <c r="D168" s="1582">
        <v>1255</v>
      </c>
      <c r="E168" s="1582">
        <v>66503</v>
      </c>
      <c r="F168" s="1582">
        <v>29054</v>
      </c>
      <c r="G168" s="1582">
        <v>64843</v>
      </c>
      <c r="H168" s="1582">
        <v>39531</v>
      </c>
      <c r="I168" s="1582">
        <v>40404</v>
      </c>
      <c r="J168" s="1582">
        <v>26099</v>
      </c>
      <c r="K168" s="1582">
        <v>1645</v>
      </c>
      <c r="L168" s="1582">
        <v>904</v>
      </c>
      <c r="M168" s="1582">
        <v>741</v>
      </c>
    </row>
    <row r="169" spans="1:13" ht="13.5" customHeight="1">
      <c r="A169" s="1550" t="s">
        <v>29</v>
      </c>
      <c r="B169" s="1584">
        <v>2712</v>
      </c>
      <c r="C169" s="1582">
        <v>1446</v>
      </c>
      <c r="D169" s="1582">
        <v>1266</v>
      </c>
      <c r="E169" s="1582">
        <v>67681</v>
      </c>
      <c r="F169" s="1582">
        <v>30133</v>
      </c>
      <c r="G169" s="1582">
        <v>65973</v>
      </c>
      <c r="H169" s="1582">
        <v>40097</v>
      </c>
      <c r="I169" s="1582">
        <v>40988</v>
      </c>
      <c r="J169" s="1582">
        <v>26693</v>
      </c>
      <c r="K169" s="1586">
        <v>1648</v>
      </c>
      <c r="L169" s="1586">
        <v>908</v>
      </c>
      <c r="M169" s="1586">
        <v>740</v>
      </c>
    </row>
    <row r="170" spans="1:13" ht="13.5" customHeight="1">
      <c r="A170" s="1550" t="s">
        <v>2375</v>
      </c>
      <c r="B170" s="1587">
        <v>2779</v>
      </c>
      <c r="C170" s="1585">
        <v>1454</v>
      </c>
      <c r="D170" s="1585">
        <v>1325</v>
      </c>
      <c r="E170" s="1585">
        <v>57344</v>
      </c>
      <c r="F170" s="1585">
        <v>34381</v>
      </c>
      <c r="G170" s="1585">
        <v>55798</v>
      </c>
      <c r="H170" s="1585">
        <v>36889</v>
      </c>
      <c r="I170" s="1585">
        <v>37707</v>
      </c>
      <c r="J170" s="1585">
        <v>19637</v>
      </c>
      <c r="K170" s="1585">
        <v>1928</v>
      </c>
      <c r="L170" s="1585">
        <v>1059</v>
      </c>
      <c r="M170" s="1585">
        <v>869</v>
      </c>
    </row>
    <row r="171" spans="1:13" ht="13.5" customHeight="1">
      <c r="A171" s="1550" t="s">
        <v>18</v>
      </c>
      <c r="B171" s="1584">
        <v>2724</v>
      </c>
      <c r="C171" s="1582">
        <v>1463</v>
      </c>
      <c r="D171" s="1582">
        <v>1261</v>
      </c>
      <c r="E171" s="1582">
        <v>69026</v>
      </c>
      <c r="F171" s="1582">
        <v>31740</v>
      </c>
      <c r="G171" s="1582">
        <v>67341</v>
      </c>
      <c r="H171" s="1582">
        <v>41143</v>
      </c>
      <c r="I171" s="1582">
        <v>42005</v>
      </c>
      <c r="J171" s="1582">
        <v>27021</v>
      </c>
      <c r="K171" s="1582">
        <v>1652</v>
      </c>
      <c r="L171" s="1582">
        <v>912</v>
      </c>
      <c r="M171" s="1582">
        <v>740</v>
      </c>
    </row>
    <row r="172" spans="1:13" ht="13.5" customHeight="1">
      <c r="A172" s="1550" t="s">
        <v>19</v>
      </c>
      <c r="B172" s="1584">
        <v>2723</v>
      </c>
      <c r="C172" s="1582">
        <v>1463</v>
      </c>
      <c r="D172" s="1582">
        <v>1260</v>
      </c>
      <c r="E172" s="1582">
        <v>70312</v>
      </c>
      <c r="F172" s="1582">
        <v>32815</v>
      </c>
      <c r="G172" s="1582">
        <v>68624</v>
      </c>
      <c r="H172" s="1582">
        <v>41903</v>
      </c>
      <c r="I172" s="1582">
        <v>42792</v>
      </c>
      <c r="J172" s="1582">
        <v>27520</v>
      </c>
      <c r="K172" s="1582">
        <v>1667</v>
      </c>
      <c r="L172" s="1582">
        <v>919</v>
      </c>
      <c r="M172" s="1582">
        <v>748</v>
      </c>
    </row>
    <row r="173" spans="1:13" ht="13.5" customHeight="1">
      <c r="A173" s="1550" t="s">
        <v>20</v>
      </c>
      <c r="B173" s="1584">
        <v>2742</v>
      </c>
      <c r="C173" s="1582">
        <v>1473</v>
      </c>
      <c r="D173" s="1582">
        <v>1269</v>
      </c>
      <c r="E173" s="1582">
        <v>71349</v>
      </c>
      <c r="F173" s="1582">
        <v>34186</v>
      </c>
      <c r="G173" s="1582">
        <v>69638</v>
      </c>
      <c r="H173" s="1582">
        <v>42513</v>
      </c>
      <c r="I173" s="1582">
        <v>43443</v>
      </c>
      <c r="J173" s="1582">
        <v>27906</v>
      </c>
      <c r="K173" s="1582">
        <v>1684</v>
      </c>
      <c r="L173" s="1582">
        <v>926</v>
      </c>
      <c r="M173" s="1582">
        <v>758</v>
      </c>
    </row>
    <row r="174" spans="1:13" ht="13.5" customHeight="1">
      <c r="A174" s="1550" t="s">
        <v>21</v>
      </c>
      <c r="B174" s="1584">
        <v>2701</v>
      </c>
      <c r="C174" s="1582">
        <v>1431</v>
      </c>
      <c r="D174" s="1582">
        <v>1270</v>
      </c>
      <c r="E174" s="1582">
        <v>56891</v>
      </c>
      <c r="F174" s="1582">
        <v>28963</v>
      </c>
      <c r="G174" s="1582">
        <v>55256</v>
      </c>
      <c r="H174" s="1582">
        <v>35552</v>
      </c>
      <c r="I174" s="1582">
        <v>36391</v>
      </c>
      <c r="J174" s="1582">
        <v>20500</v>
      </c>
      <c r="K174" s="1582">
        <v>1660</v>
      </c>
      <c r="L174" s="1582">
        <v>917</v>
      </c>
      <c r="M174" s="1582">
        <v>743</v>
      </c>
    </row>
    <row r="175" spans="1:13" ht="13.5" customHeight="1">
      <c r="A175" s="1550" t="s">
        <v>22</v>
      </c>
      <c r="B175" s="1584">
        <v>2618</v>
      </c>
      <c r="C175" s="1582">
        <v>1364</v>
      </c>
      <c r="D175" s="1582">
        <v>1254</v>
      </c>
      <c r="E175" s="1582">
        <v>55250</v>
      </c>
      <c r="F175" s="1582">
        <v>28870</v>
      </c>
      <c r="G175" s="1582">
        <v>53626</v>
      </c>
      <c r="H175" s="1582">
        <v>35301</v>
      </c>
      <c r="I175" s="1582">
        <v>36032</v>
      </c>
      <c r="J175" s="1582">
        <v>19218</v>
      </c>
      <c r="K175" s="1582">
        <v>1670</v>
      </c>
      <c r="L175" s="1582">
        <v>919</v>
      </c>
      <c r="M175" s="1582">
        <v>751</v>
      </c>
    </row>
    <row r="176" spans="1:13" ht="13.5" customHeight="1">
      <c r="A176" s="1550" t="s">
        <v>23</v>
      </c>
      <c r="B176" s="1584">
        <v>2633</v>
      </c>
      <c r="C176" s="1582">
        <v>1368</v>
      </c>
      <c r="D176" s="1582">
        <v>1265</v>
      </c>
      <c r="E176" s="1582">
        <v>55854</v>
      </c>
      <c r="F176" s="1582">
        <v>29728</v>
      </c>
      <c r="G176" s="1582">
        <v>54225</v>
      </c>
      <c r="H176" s="1582">
        <v>35547</v>
      </c>
      <c r="I176" s="1582">
        <v>36406</v>
      </c>
      <c r="J176" s="1582">
        <v>19448</v>
      </c>
      <c r="K176" s="1582">
        <v>1673</v>
      </c>
      <c r="L176" s="1582">
        <v>913</v>
      </c>
      <c r="M176" s="1582">
        <v>760</v>
      </c>
    </row>
    <row r="177" spans="1:13" ht="13.5" customHeight="1">
      <c r="A177" s="1550" t="s">
        <v>24</v>
      </c>
      <c r="B177" s="1584">
        <v>2649</v>
      </c>
      <c r="C177" s="1582">
        <v>1373</v>
      </c>
      <c r="D177" s="1582">
        <v>1276</v>
      </c>
      <c r="E177" s="1582">
        <v>55710</v>
      </c>
      <c r="F177" s="1582">
        <v>29846</v>
      </c>
      <c r="G177" s="1582">
        <v>54242</v>
      </c>
      <c r="H177" s="1582">
        <v>35599</v>
      </c>
      <c r="I177" s="1582">
        <v>36302</v>
      </c>
      <c r="J177" s="1582">
        <v>19408</v>
      </c>
      <c r="K177" s="1582">
        <v>1677</v>
      </c>
      <c r="L177" s="1582">
        <v>915</v>
      </c>
      <c r="M177" s="1582">
        <v>762</v>
      </c>
    </row>
    <row r="178" spans="1:13" ht="13.5" customHeight="1">
      <c r="A178" s="1550" t="s">
        <v>25</v>
      </c>
      <c r="B178" s="1584">
        <v>2672</v>
      </c>
      <c r="C178" s="1582">
        <v>1389</v>
      </c>
      <c r="D178" s="1582">
        <v>1283</v>
      </c>
      <c r="E178" s="1582">
        <v>56770</v>
      </c>
      <c r="F178" s="1582">
        <v>31211</v>
      </c>
      <c r="G178" s="1582">
        <v>55062</v>
      </c>
      <c r="H178" s="1582">
        <v>35966</v>
      </c>
      <c r="I178" s="1582">
        <v>36911</v>
      </c>
      <c r="J178" s="1582">
        <v>19859</v>
      </c>
      <c r="K178" s="1582">
        <v>1679</v>
      </c>
      <c r="L178" s="1582">
        <v>913</v>
      </c>
      <c r="M178" s="1582">
        <v>766</v>
      </c>
    </row>
    <row r="179" spans="1:13" ht="13.5" customHeight="1">
      <c r="A179" s="1550" t="s">
        <v>26</v>
      </c>
      <c r="B179" s="1582">
        <v>2704</v>
      </c>
      <c r="C179" s="1582">
        <v>1408</v>
      </c>
      <c r="D179" s="1582">
        <v>1296</v>
      </c>
      <c r="E179" s="1582">
        <v>57263</v>
      </c>
      <c r="F179" s="1582">
        <v>32440</v>
      </c>
      <c r="G179" s="1582">
        <v>55461</v>
      </c>
      <c r="H179" s="1582">
        <v>36339</v>
      </c>
      <c r="I179" s="1582">
        <v>37386</v>
      </c>
      <c r="J179" s="1582">
        <v>19877</v>
      </c>
      <c r="K179" s="1582">
        <v>1681</v>
      </c>
      <c r="L179" s="1582">
        <v>916</v>
      </c>
      <c r="M179" s="1582">
        <v>765</v>
      </c>
    </row>
    <row r="180" spans="1:13" ht="13.5" customHeight="1">
      <c r="A180" s="1550" t="s">
        <v>27</v>
      </c>
      <c r="B180" s="1582">
        <v>2719</v>
      </c>
      <c r="C180" s="1582">
        <v>1417</v>
      </c>
      <c r="D180" s="1582">
        <v>1302</v>
      </c>
      <c r="E180" s="1582">
        <v>57226</v>
      </c>
      <c r="F180" s="1582">
        <v>32845</v>
      </c>
      <c r="G180" s="1582">
        <v>55465</v>
      </c>
      <c r="H180" s="1582">
        <v>36319</v>
      </c>
      <c r="I180" s="1582">
        <v>37310</v>
      </c>
      <c r="J180" s="1582">
        <v>19916</v>
      </c>
      <c r="K180" s="1582">
        <v>1688</v>
      </c>
      <c r="L180" s="1582">
        <v>918</v>
      </c>
      <c r="M180" s="1582">
        <v>770</v>
      </c>
    </row>
    <row r="181" spans="1:13" ht="13.5" customHeight="1">
      <c r="A181" s="1550" t="s">
        <v>28</v>
      </c>
      <c r="B181" s="1582">
        <v>2752</v>
      </c>
      <c r="C181" s="1582">
        <v>1440</v>
      </c>
      <c r="D181" s="1582">
        <v>1312</v>
      </c>
      <c r="E181" s="1582">
        <v>57180</v>
      </c>
      <c r="F181" s="1582">
        <v>33687</v>
      </c>
      <c r="G181" s="1582">
        <v>55499</v>
      </c>
      <c r="H181" s="1582">
        <v>36577</v>
      </c>
      <c r="I181" s="1582">
        <v>37519</v>
      </c>
      <c r="J181" s="1582">
        <v>19661</v>
      </c>
      <c r="K181" s="1582">
        <v>1893</v>
      </c>
      <c r="L181" s="1582">
        <v>1055</v>
      </c>
      <c r="M181" s="1582">
        <v>838</v>
      </c>
    </row>
    <row r="182" spans="1:13" ht="13.5" customHeight="1">
      <c r="A182" s="1550" t="s">
        <v>29</v>
      </c>
      <c r="B182" s="1582">
        <v>2779</v>
      </c>
      <c r="C182" s="1582">
        <v>1454</v>
      </c>
      <c r="D182" s="1582">
        <v>1325</v>
      </c>
      <c r="E182" s="1582">
        <v>57344</v>
      </c>
      <c r="F182" s="1582">
        <v>34381</v>
      </c>
      <c r="G182" s="1582">
        <v>55798</v>
      </c>
      <c r="H182" s="1582">
        <v>36889</v>
      </c>
      <c r="I182" s="1582">
        <v>37707</v>
      </c>
      <c r="J182" s="1582">
        <v>19637</v>
      </c>
      <c r="K182" s="1586">
        <v>1928</v>
      </c>
      <c r="L182" s="1586">
        <v>1059</v>
      </c>
      <c r="M182" s="1586">
        <v>869</v>
      </c>
    </row>
    <row r="183" spans="1:13" ht="13.5" customHeight="1">
      <c r="A183" s="1550" t="s">
        <v>2537</v>
      </c>
      <c r="B183" s="1585">
        <v>2970</v>
      </c>
      <c r="C183" s="1585">
        <v>1585</v>
      </c>
      <c r="D183" s="1585">
        <v>1385</v>
      </c>
      <c r="E183" s="1585">
        <v>61179</v>
      </c>
      <c r="F183" s="1585">
        <v>43920</v>
      </c>
      <c r="G183" s="1585">
        <v>59645</v>
      </c>
      <c r="H183" s="1585">
        <v>39725</v>
      </c>
      <c r="I183" s="1585">
        <v>40672</v>
      </c>
      <c r="J183" s="1585">
        <v>20507</v>
      </c>
      <c r="K183" s="1585">
        <v>1845</v>
      </c>
      <c r="L183" s="1585">
        <v>960</v>
      </c>
      <c r="M183" s="1585">
        <v>885</v>
      </c>
    </row>
    <row r="184" spans="1:13" ht="13.5" customHeight="1">
      <c r="A184" s="1550" t="s">
        <v>18</v>
      </c>
      <c r="B184" s="1583">
        <v>2803</v>
      </c>
      <c r="C184" s="1582">
        <v>1461</v>
      </c>
      <c r="D184" s="1582">
        <v>1342</v>
      </c>
      <c r="E184" s="1582">
        <v>57633</v>
      </c>
      <c r="F184" s="1582">
        <v>34536</v>
      </c>
      <c r="G184" s="1582">
        <v>56099</v>
      </c>
      <c r="H184" s="1582">
        <v>36905</v>
      </c>
      <c r="I184" s="1582">
        <v>37738</v>
      </c>
      <c r="J184" s="1582">
        <v>19895</v>
      </c>
      <c r="K184" s="1582">
        <v>1966</v>
      </c>
      <c r="L184" s="1582">
        <v>1084</v>
      </c>
      <c r="M184" s="1582">
        <v>882</v>
      </c>
    </row>
    <row r="185" spans="1:13" ht="13.5" customHeight="1">
      <c r="A185" s="1550" t="s">
        <v>19</v>
      </c>
      <c r="B185" s="1583">
        <v>2810</v>
      </c>
      <c r="C185" s="1582">
        <v>1464</v>
      </c>
      <c r="D185" s="1582">
        <v>1346</v>
      </c>
      <c r="E185" s="1582">
        <v>57881</v>
      </c>
      <c r="F185" s="1582">
        <v>35402</v>
      </c>
      <c r="G185" s="1582">
        <v>56354</v>
      </c>
      <c r="H185" s="1582">
        <v>37093</v>
      </c>
      <c r="I185" s="1582">
        <v>37947</v>
      </c>
      <c r="J185" s="1582">
        <v>19934</v>
      </c>
      <c r="K185" s="1582">
        <v>1987</v>
      </c>
      <c r="L185" s="1582">
        <v>1088</v>
      </c>
      <c r="M185" s="1582">
        <v>899</v>
      </c>
    </row>
    <row r="186" spans="1:13" ht="13.5" customHeight="1">
      <c r="A186" s="1550" t="s">
        <v>20</v>
      </c>
      <c r="B186" s="1583">
        <v>2826</v>
      </c>
      <c r="C186" s="1582">
        <v>1476</v>
      </c>
      <c r="D186" s="1582">
        <v>1350</v>
      </c>
      <c r="E186" s="1582">
        <v>58410</v>
      </c>
      <c r="F186" s="1582">
        <v>35947</v>
      </c>
      <c r="G186" s="1582">
        <v>56553</v>
      </c>
      <c r="H186" s="1582">
        <v>37349</v>
      </c>
      <c r="I186" s="1582">
        <v>38514</v>
      </c>
      <c r="J186" s="1582">
        <v>19896</v>
      </c>
      <c r="K186" s="1582">
        <v>1997</v>
      </c>
      <c r="L186" s="1582">
        <v>1091</v>
      </c>
      <c r="M186" s="1582">
        <v>906</v>
      </c>
    </row>
    <row r="187" spans="1:13" ht="13.5" customHeight="1">
      <c r="A187" s="1550" t="s">
        <v>21</v>
      </c>
      <c r="B187" s="1583">
        <v>2833</v>
      </c>
      <c r="C187" s="1582">
        <v>1478</v>
      </c>
      <c r="D187" s="1582">
        <v>1355</v>
      </c>
      <c r="E187" s="1582">
        <v>59262</v>
      </c>
      <c r="F187" s="1582">
        <v>37362</v>
      </c>
      <c r="G187" s="1582">
        <v>57598</v>
      </c>
      <c r="H187" s="1582">
        <v>37903</v>
      </c>
      <c r="I187" s="1582">
        <v>38846</v>
      </c>
      <c r="J187" s="1582">
        <v>20416</v>
      </c>
      <c r="K187" s="1582">
        <v>1997</v>
      </c>
      <c r="L187" s="1582">
        <v>1086</v>
      </c>
      <c r="M187" s="1582">
        <v>911</v>
      </c>
    </row>
    <row r="188" spans="1:13" ht="13.5" customHeight="1">
      <c r="A188" s="1550" t="s">
        <v>22</v>
      </c>
      <c r="B188" s="1583">
        <v>2848</v>
      </c>
      <c r="C188" s="1582">
        <v>1491</v>
      </c>
      <c r="D188" s="1582">
        <v>1357</v>
      </c>
      <c r="E188" s="1582">
        <v>59882</v>
      </c>
      <c r="F188" s="1582">
        <v>38236</v>
      </c>
      <c r="G188" s="1582">
        <v>58245</v>
      </c>
      <c r="H188" s="1582">
        <v>38352</v>
      </c>
      <c r="I188" s="1582">
        <v>39268</v>
      </c>
      <c r="J188" s="1582">
        <v>20614</v>
      </c>
      <c r="K188" s="1582">
        <v>1972</v>
      </c>
      <c r="L188" s="1582">
        <v>1067</v>
      </c>
      <c r="M188" s="1582">
        <v>905</v>
      </c>
    </row>
    <row r="189" spans="1:13" ht="13.5" customHeight="1">
      <c r="A189" s="1550" t="s">
        <v>23</v>
      </c>
      <c r="B189" s="1583">
        <v>2867</v>
      </c>
      <c r="C189" s="1582">
        <v>1504</v>
      </c>
      <c r="D189" s="1582">
        <v>1363</v>
      </c>
      <c r="E189" s="1582">
        <v>60381</v>
      </c>
      <c r="F189" s="1582">
        <v>39168</v>
      </c>
      <c r="G189" s="1582">
        <v>58436</v>
      </c>
      <c r="H189" s="1582">
        <v>38707</v>
      </c>
      <c r="I189" s="1582">
        <v>39923</v>
      </c>
      <c r="J189" s="1582">
        <v>20458</v>
      </c>
      <c r="K189" s="1582">
        <v>1958</v>
      </c>
      <c r="L189" s="1582">
        <v>1055</v>
      </c>
      <c r="M189" s="1582">
        <v>903</v>
      </c>
    </row>
    <row r="190" spans="1:13" ht="13.5" customHeight="1">
      <c r="A190" s="1550" t="s">
        <v>24</v>
      </c>
      <c r="B190" s="1583">
        <v>2887</v>
      </c>
      <c r="C190" s="1582">
        <v>1522</v>
      </c>
      <c r="D190" s="1582">
        <v>1365</v>
      </c>
      <c r="E190" s="1582">
        <v>60225</v>
      </c>
      <c r="F190" s="1582">
        <v>39525</v>
      </c>
      <c r="G190" s="1582">
        <v>58268</v>
      </c>
      <c r="H190" s="1582">
        <v>39151</v>
      </c>
      <c r="I190" s="1582">
        <v>40347</v>
      </c>
      <c r="J190" s="1582">
        <v>19878</v>
      </c>
      <c r="K190" s="1582">
        <v>1965</v>
      </c>
      <c r="L190" s="1582">
        <v>1056</v>
      </c>
      <c r="M190" s="1582">
        <v>909</v>
      </c>
    </row>
    <row r="191" spans="1:13" ht="13.5" customHeight="1">
      <c r="A191" s="1550" t="s">
        <v>25</v>
      </c>
      <c r="B191" s="1583">
        <v>2907</v>
      </c>
      <c r="C191" s="1582">
        <v>1527</v>
      </c>
      <c r="D191" s="1582">
        <v>1380</v>
      </c>
      <c r="E191" s="1582">
        <v>59625</v>
      </c>
      <c r="F191" s="1582">
        <v>40471</v>
      </c>
      <c r="G191" s="1582">
        <v>57987</v>
      </c>
      <c r="H191" s="1582">
        <v>38884</v>
      </c>
      <c r="I191" s="1582">
        <v>39761</v>
      </c>
      <c r="J191" s="1582">
        <v>19864</v>
      </c>
      <c r="K191" s="1582">
        <v>1782</v>
      </c>
      <c r="L191" s="1582">
        <v>876</v>
      </c>
      <c r="M191" s="1582">
        <v>906</v>
      </c>
    </row>
    <row r="192" spans="1:13" ht="13.5" customHeight="1">
      <c r="A192" s="1550" t="s">
        <v>26</v>
      </c>
      <c r="B192" s="1583">
        <v>2917</v>
      </c>
      <c r="C192" s="1582">
        <v>1535</v>
      </c>
      <c r="D192" s="1582">
        <v>1382</v>
      </c>
      <c r="E192" s="1582">
        <v>61339</v>
      </c>
      <c r="F192" s="1582">
        <v>42454</v>
      </c>
      <c r="G192" s="1582">
        <v>59828</v>
      </c>
      <c r="H192" s="1582">
        <v>39837</v>
      </c>
      <c r="I192" s="1582">
        <v>40661</v>
      </c>
      <c r="J192" s="1582">
        <v>20678</v>
      </c>
      <c r="K192" s="1582">
        <v>1672</v>
      </c>
      <c r="L192" s="1582">
        <v>875</v>
      </c>
      <c r="M192" s="1582">
        <v>797</v>
      </c>
    </row>
    <row r="193" spans="1:13" ht="13.5" customHeight="1">
      <c r="A193" s="1550" t="s">
        <v>27</v>
      </c>
      <c r="B193" s="1583">
        <v>2933</v>
      </c>
      <c r="C193" s="1582">
        <v>1546</v>
      </c>
      <c r="D193" s="1582">
        <v>1387</v>
      </c>
      <c r="E193" s="1582">
        <v>61301</v>
      </c>
      <c r="F193" s="1582">
        <v>43206</v>
      </c>
      <c r="G193" s="1582">
        <v>59789</v>
      </c>
      <c r="H193" s="1582">
        <v>39279</v>
      </c>
      <c r="I193" s="1582">
        <v>40157</v>
      </c>
      <c r="J193" s="1582">
        <v>21144</v>
      </c>
      <c r="K193" s="1582">
        <v>1672</v>
      </c>
      <c r="L193" s="1582">
        <v>873</v>
      </c>
      <c r="M193" s="1582">
        <v>799</v>
      </c>
    </row>
    <row r="194" spans="1:13" ht="13.5" customHeight="1">
      <c r="A194" s="1550" t="s">
        <v>28</v>
      </c>
      <c r="B194" s="1583">
        <v>2945</v>
      </c>
      <c r="C194" s="1582">
        <v>1552</v>
      </c>
      <c r="D194" s="1582">
        <v>1393</v>
      </c>
      <c r="E194" s="1582">
        <v>60977</v>
      </c>
      <c r="F194" s="1582">
        <v>43183</v>
      </c>
      <c r="G194" s="1582">
        <v>59433</v>
      </c>
      <c r="H194" s="1582">
        <v>39566</v>
      </c>
      <c r="I194" s="1582">
        <v>40508</v>
      </c>
      <c r="J194" s="1582">
        <v>20469</v>
      </c>
      <c r="K194" s="1582">
        <v>1773</v>
      </c>
      <c r="L194" s="1582">
        <v>917</v>
      </c>
      <c r="M194" s="1582">
        <v>856</v>
      </c>
    </row>
    <row r="195" spans="1:13" ht="13.5" customHeight="1">
      <c r="A195" s="1550" t="s">
        <v>29</v>
      </c>
      <c r="B195" s="1583">
        <v>2970</v>
      </c>
      <c r="C195" s="1582">
        <v>1585</v>
      </c>
      <c r="D195" s="1582">
        <v>1385</v>
      </c>
      <c r="E195" s="1582">
        <v>61179</v>
      </c>
      <c r="F195" s="1582">
        <v>43920</v>
      </c>
      <c r="G195" s="1582">
        <v>59645</v>
      </c>
      <c r="H195" s="1582">
        <v>39725</v>
      </c>
      <c r="I195" s="1582">
        <v>40672</v>
      </c>
      <c r="J195" s="1582">
        <v>20507</v>
      </c>
      <c r="K195" s="1586">
        <v>1845</v>
      </c>
      <c r="L195" s="1586">
        <v>960</v>
      </c>
      <c r="M195" s="1586">
        <v>885</v>
      </c>
    </row>
    <row r="196" spans="1:13" ht="13.5" customHeight="1">
      <c r="A196" s="1550" t="s">
        <v>2827</v>
      </c>
      <c r="B196" s="1556">
        <v>3068</v>
      </c>
      <c r="C196" s="1585">
        <v>1591</v>
      </c>
      <c r="D196" s="1585">
        <v>1477</v>
      </c>
      <c r="E196" s="1585">
        <v>79820</v>
      </c>
      <c r="F196" s="1585">
        <v>69599</v>
      </c>
      <c r="G196" s="1585">
        <v>77551</v>
      </c>
      <c r="H196" s="1585">
        <v>52602</v>
      </c>
      <c r="I196" s="1585">
        <v>53820</v>
      </c>
      <c r="J196" s="1585">
        <v>26000</v>
      </c>
      <c r="K196" s="1585">
        <v>2029</v>
      </c>
      <c r="L196" s="1585">
        <v>1106</v>
      </c>
      <c r="M196" s="1585">
        <v>923</v>
      </c>
    </row>
    <row r="197" spans="1:13" ht="13.5" customHeight="1">
      <c r="A197" s="1550" t="s">
        <v>18</v>
      </c>
      <c r="B197" s="1583">
        <v>2983</v>
      </c>
      <c r="C197" s="1582">
        <v>1590</v>
      </c>
      <c r="D197" s="1582">
        <v>1393</v>
      </c>
      <c r="E197" s="1582">
        <v>61679</v>
      </c>
      <c r="F197" s="1582">
        <v>44544</v>
      </c>
      <c r="G197" s="1582">
        <v>60165</v>
      </c>
      <c r="H197" s="1582">
        <v>40029</v>
      </c>
      <c r="I197" s="1582">
        <v>40955</v>
      </c>
      <c r="J197" s="1582">
        <v>20724</v>
      </c>
      <c r="K197" s="1582">
        <v>1902</v>
      </c>
      <c r="L197" s="1582">
        <v>1029</v>
      </c>
      <c r="M197" s="1582">
        <v>873</v>
      </c>
    </row>
    <row r="198" spans="1:13" ht="13.5" customHeight="1">
      <c r="A198" s="1550" t="s">
        <v>19</v>
      </c>
      <c r="B198" s="1583">
        <v>2994</v>
      </c>
      <c r="C198" s="1582">
        <v>1601</v>
      </c>
      <c r="D198" s="1582">
        <v>1393</v>
      </c>
      <c r="E198" s="1582">
        <v>63328</v>
      </c>
      <c r="F198" s="1582">
        <v>46520</v>
      </c>
      <c r="G198" s="1582">
        <v>61801</v>
      </c>
      <c r="H198" s="1582">
        <v>41591</v>
      </c>
      <c r="I198" s="1582">
        <v>42512</v>
      </c>
      <c r="J198" s="1582">
        <v>20816</v>
      </c>
      <c r="K198" s="1582">
        <v>1934</v>
      </c>
      <c r="L198" s="1582">
        <v>1055</v>
      </c>
      <c r="M198" s="1582">
        <v>879</v>
      </c>
    </row>
    <row r="199" spans="1:13" ht="13.5" customHeight="1">
      <c r="A199" s="1550" t="s">
        <v>20</v>
      </c>
      <c r="B199" s="1583">
        <v>2997</v>
      </c>
      <c r="C199" s="1582">
        <v>1599</v>
      </c>
      <c r="D199" s="1582">
        <v>1398</v>
      </c>
      <c r="E199" s="1582">
        <v>66548</v>
      </c>
      <c r="F199" s="1582">
        <v>49473</v>
      </c>
      <c r="G199" s="1582">
        <v>65042</v>
      </c>
      <c r="H199" s="1582">
        <v>43451</v>
      </c>
      <c r="I199" s="1582">
        <v>44345</v>
      </c>
      <c r="J199" s="1582">
        <v>22203</v>
      </c>
      <c r="K199" s="1582">
        <v>1944</v>
      </c>
      <c r="L199" s="1582">
        <v>1064</v>
      </c>
      <c r="M199" s="1582">
        <v>880</v>
      </c>
    </row>
    <row r="200" spans="1:13" ht="13.5" customHeight="1">
      <c r="A200" s="1550" t="s">
        <v>21</v>
      </c>
      <c r="B200" s="1583">
        <v>2996</v>
      </c>
      <c r="C200" s="1582">
        <v>1583</v>
      </c>
      <c r="D200" s="1582">
        <v>1413</v>
      </c>
      <c r="E200" s="1582">
        <v>68244</v>
      </c>
      <c r="F200" s="1582">
        <v>50407</v>
      </c>
      <c r="G200" s="1582">
        <v>66764</v>
      </c>
      <c r="H200" s="1582">
        <v>44641</v>
      </c>
      <c r="I200" s="1582">
        <v>45522</v>
      </c>
      <c r="J200" s="1582">
        <v>22722</v>
      </c>
      <c r="K200" s="1582">
        <v>1986</v>
      </c>
      <c r="L200" s="1582">
        <v>1088</v>
      </c>
      <c r="M200" s="1582">
        <v>898</v>
      </c>
    </row>
    <row r="201" spans="1:13" ht="13.5" customHeight="1">
      <c r="A201" s="1550" t="s">
        <v>22</v>
      </c>
      <c r="B201" s="1583">
        <v>2996</v>
      </c>
      <c r="C201" s="1582">
        <v>1580</v>
      </c>
      <c r="D201" s="1582">
        <v>1416</v>
      </c>
      <c r="E201" s="1582">
        <v>69275</v>
      </c>
      <c r="F201" s="1582">
        <v>57046</v>
      </c>
      <c r="G201" s="1582">
        <v>67322</v>
      </c>
      <c r="H201" s="1582">
        <v>45271</v>
      </c>
      <c r="I201" s="1582">
        <v>46459</v>
      </c>
      <c r="J201" s="1582">
        <v>22816</v>
      </c>
      <c r="K201" s="1582">
        <v>1986</v>
      </c>
      <c r="L201" s="1582">
        <v>1088</v>
      </c>
      <c r="M201" s="1582">
        <v>898</v>
      </c>
    </row>
    <row r="202" spans="1:13" ht="13.5" customHeight="1">
      <c r="A202" s="1550" t="s">
        <v>23</v>
      </c>
      <c r="B202" s="1583">
        <v>2998</v>
      </c>
      <c r="C202" s="1582">
        <v>1580</v>
      </c>
      <c r="D202" s="1582">
        <v>1418</v>
      </c>
      <c r="E202" s="1582">
        <v>70814</v>
      </c>
      <c r="F202" s="1582">
        <v>58204</v>
      </c>
      <c r="G202" s="1582">
        <v>69005</v>
      </c>
      <c r="H202" s="1582">
        <v>46368</v>
      </c>
      <c r="I202" s="1582">
        <v>47421</v>
      </c>
      <c r="J202" s="1582">
        <v>23393</v>
      </c>
      <c r="K202" s="1582">
        <v>1987</v>
      </c>
      <c r="L202" s="1582">
        <v>1083</v>
      </c>
      <c r="M202" s="1582">
        <v>904</v>
      </c>
    </row>
    <row r="203" spans="1:13" ht="13.5" customHeight="1">
      <c r="A203" s="1550" t="s">
        <v>24</v>
      </c>
      <c r="B203" s="1583">
        <v>3009</v>
      </c>
      <c r="C203" s="1582">
        <v>1579</v>
      </c>
      <c r="D203" s="1582">
        <v>1430</v>
      </c>
      <c r="E203" s="1582">
        <v>70963</v>
      </c>
      <c r="F203" s="1582">
        <v>58692</v>
      </c>
      <c r="G203" s="1582">
        <v>69148</v>
      </c>
      <c r="H203" s="1582">
        <v>46435</v>
      </c>
      <c r="I203" s="1582">
        <v>47489</v>
      </c>
      <c r="J203" s="1582">
        <v>23474</v>
      </c>
      <c r="K203" s="1582">
        <v>2001</v>
      </c>
      <c r="L203" s="1582">
        <v>1086</v>
      </c>
      <c r="M203" s="1582">
        <v>915</v>
      </c>
    </row>
    <row r="204" spans="1:13" ht="13.5" customHeight="1">
      <c r="A204" s="1550" t="s">
        <v>25</v>
      </c>
      <c r="B204" s="1583">
        <v>3025</v>
      </c>
      <c r="C204" s="1582">
        <v>1582</v>
      </c>
      <c r="D204" s="1582">
        <v>1443</v>
      </c>
      <c r="E204" s="1582">
        <v>72442</v>
      </c>
      <c r="F204" s="1582">
        <v>60432</v>
      </c>
      <c r="G204" s="1582">
        <v>70515</v>
      </c>
      <c r="H204" s="1582">
        <v>47297</v>
      </c>
      <c r="I204" s="1582">
        <v>48398</v>
      </c>
      <c r="J204" s="1582">
        <v>24044</v>
      </c>
      <c r="K204" s="1582">
        <v>1983</v>
      </c>
      <c r="L204" s="1582">
        <v>1072</v>
      </c>
      <c r="M204" s="1582">
        <v>911</v>
      </c>
    </row>
    <row r="205" spans="1:13" ht="13.5" customHeight="1">
      <c r="A205" s="1550" t="s">
        <v>26</v>
      </c>
      <c r="B205" s="1583">
        <v>3029</v>
      </c>
      <c r="C205" s="1582">
        <v>1586</v>
      </c>
      <c r="D205" s="1582">
        <v>1443</v>
      </c>
      <c r="E205" s="1582">
        <v>74456</v>
      </c>
      <c r="F205" s="1582">
        <v>62984</v>
      </c>
      <c r="G205" s="1582">
        <v>72470</v>
      </c>
      <c r="H205" s="1582">
        <v>48603</v>
      </c>
      <c r="I205" s="1582">
        <v>49735</v>
      </c>
      <c r="J205" s="1582">
        <v>24721</v>
      </c>
      <c r="K205" s="1582">
        <v>1981</v>
      </c>
      <c r="L205" s="1582">
        <v>1072</v>
      </c>
      <c r="M205" s="1582">
        <v>909</v>
      </c>
    </row>
    <row r="206" spans="1:13" ht="13.5" customHeight="1">
      <c r="A206" s="1550" t="s">
        <v>27</v>
      </c>
      <c r="B206" s="1583">
        <v>3033</v>
      </c>
      <c r="C206" s="1582">
        <v>1580</v>
      </c>
      <c r="D206" s="1582">
        <v>1453</v>
      </c>
      <c r="E206" s="1582">
        <v>75579</v>
      </c>
      <c r="F206" s="1582">
        <v>64728</v>
      </c>
      <c r="G206" s="1582">
        <v>73537</v>
      </c>
      <c r="H206" s="1582">
        <v>49538</v>
      </c>
      <c r="I206" s="1582">
        <v>50679</v>
      </c>
      <c r="J206" s="1582">
        <v>24900</v>
      </c>
      <c r="K206" s="1582">
        <v>1982</v>
      </c>
      <c r="L206" s="1582">
        <v>1077</v>
      </c>
      <c r="M206" s="1582">
        <v>905</v>
      </c>
    </row>
    <row r="207" spans="1:13" ht="13.5" customHeight="1">
      <c r="A207" s="1550" t="s">
        <v>28</v>
      </c>
      <c r="B207" s="1583">
        <v>3045</v>
      </c>
      <c r="C207" s="1582">
        <v>1586</v>
      </c>
      <c r="D207" s="1582">
        <v>1459</v>
      </c>
      <c r="E207" s="1582">
        <v>77634</v>
      </c>
      <c r="F207" s="1582">
        <v>67040</v>
      </c>
      <c r="G207" s="1582">
        <v>75586</v>
      </c>
      <c r="H207" s="1582">
        <v>50738</v>
      </c>
      <c r="I207" s="1582">
        <v>51885</v>
      </c>
      <c r="J207" s="1582">
        <v>25749</v>
      </c>
      <c r="K207" s="1582">
        <v>2022</v>
      </c>
      <c r="L207" s="1582">
        <v>1119</v>
      </c>
      <c r="M207" s="1582">
        <v>903</v>
      </c>
    </row>
    <row r="208" spans="1:13" ht="13.5" customHeight="1">
      <c r="A208" s="1550" t="s">
        <v>29</v>
      </c>
      <c r="B208" s="1583">
        <v>3068</v>
      </c>
      <c r="C208" s="1582">
        <v>1591</v>
      </c>
      <c r="D208" s="1582">
        <v>1477</v>
      </c>
      <c r="E208" s="1582">
        <v>79820</v>
      </c>
      <c r="F208" s="1582">
        <v>69599</v>
      </c>
      <c r="G208" s="1582">
        <v>77551</v>
      </c>
      <c r="H208" s="1582">
        <v>52602</v>
      </c>
      <c r="I208" s="1582">
        <v>53820</v>
      </c>
      <c r="J208" s="1582">
        <v>26000</v>
      </c>
      <c r="K208" s="1582">
        <v>2029</v>
      </c>
      <c r="L208" s="1582">
        <v>1106</v>
      </c>
      <c r="M208" s="1582">
        <v>923</v>
      </c>
    </row>
    <row r="209" spans="1:13" ht="13.5" customHeight="1">
      <c r="A209" s="1550" t="s">
        <v>3518</v>
      </c>
      <c r="B209" s="1556" t="s">
        <v>3971</v>
      </c>
      <c r="C209" s="1585">
        <v>1621</v>
      </c>
      <c r="D209" s="1585">
        <v>1491</v>
      </c>
      <c r="E209" s="1585">
        <v>86383</v>
      </c>
      <c r="F209" s="1585">
        <v>82992</v>
      </c>
      <c r="G209" s="1585">
        <v>83584</v>
      </c>
      <c r="H209" s="1585">
        <v>55739</v>
      </c>
      <c r="I209" s="1585">
        <v>57054</v>
      </c>
      <c r="J209" s="1585">
        <v>29329</v>
      </c>
      <c r="K209" s="1587">
        <v>2106</v>
      </c>
      <c r="L209" s="1587">
        <v>1030</v>
      </c>
      <c r="M209" s="1587">
        <v>1076</v>
      </c>
    </row>
    <row r="210" spans="1:13" ht="13.5" customHeight="1">
      <c r="A210" s="1550" t="s">
        <v>18</v>
      </c>
      <c r="B210" s="1583" t="s">
        <v>3535</v>
      </c>
      <c r="C210" s="1582">
        <v>1618</v>
      </c>
      <c r="D210" s="1582">
        <v>1459</v>
      </c>
      <c r="E210" s="1582">
        <v>79880</v>
      </c>
      <c r="F210" s="1582">
        <v>70608</v>
      </c>
      <c r="G210" s="1582">
        <v>77605</v>
      </c>
      <c r="H210" s="1582">
        <v>52577</v>
      </c>
      <c r="I210" s="1582">
        <v>53799</v>
      </c>
      <c r="J210" s="1582">
        <v>26081</v>
      </c>
      <c r="K210" s="1582">
        <v>2095</v>
      </c>
      <c r="L210" s="1584">
        <v>1101</v>
      </c>
      <c r="M210" s="1584">
        <v>994</v>
      </c>
    </row>
    <row r="211" spans="1:13" ht="13.5" customHeight="1">
      <c r="A211" s="1550" t="s">
        <v>19</v>
      </c>
      <c r="B211" s="1583">
        <v>3074</v>
      </c>
      <c r="C211" s="1582">
        <v>1607</v>
      </c>
      <c r="D211" s="1582">
        <v>1467</v>
      </c>
      <c r="E211" s="1582">
        <v>79130</v>
      </c>
      <c r="F211" s="1582">
        <v>70754</v>
      </c>
      <c r="G211" s="1582">
        <v>76797</v>
      </c>
      <c r="H211" s="1582">
        <v>52254</v>
      </c>
      <c r="I211" s="1582">
        <v>53489</v>
      </c>
      <c r="J211" s="1582">
        <v>25641</v>
      </c>
      <c r="K211" s="1582">
        <v>2137</v>
      </c>
      <c r="L211" s="1584">
        <v>1091</v>
      </c>
      <c r="M211" s="1584">
        <v>1046</v>
      </c>
    </row>
    <row r="212" spans="1:13" ht="13.5" customHeight="1">
      <c r="A212" s="1550" t="s">
        <v>20</v>
      </c>
      <c r="B212" s="1583">
        <v>3068</v>
      </c>
      <c r="C212" s="1582">
        <v>1591</v>
      </c>
      <c r="D212" s="1582">
        <v>1477</v>
      </c>
      <c r="E212" s="1582">
        <v>80729</v>
      </c>
      <c r="F212" s="1582">
        <v>71461</v>
      </c>
      <c r="G212" s="1582">
        <v>78385</v>
      </c>
      <c r="H212" s="1582">
        <v>53311</v>
      </c>
      <c r="I212" s="1582">
        <v>54553</v>
      </c>
      <c r="J212" s="1582">
        <v>26176</v>
      </c>
      <c r="K212" s="1582">
        <v>2133</v>
      </c>
      <c r="L212" s="1584">
        <v>1087</v>
      </c>
      <c r="M212" s="1584">
        <v>1046</v>
      </c>
    </row>
    <row r="213" spans="1:13" ht="13.5" customHeight="1">
      <c r="A213" s="1550" t="s">
        <v>21</v>
      </c>
      <c r="B213" s="1583">
        <v>3075</v>
      </c>
      <c r="C213" s="1582">
        <v>1599</v>
      </c>
      <c r="D213" s="1582">
        <v>1476</v>
      </c>
      <c r="E213" s="1582">
        <v>79118</v>
      </c>
      <c r="F213" s="1582">
        <v>71602</v>
      </c>
      <c r="G213" s="1582">
        <v>76776</v>
      </c>
      <c r="H213" s="1582">
        <v>53407</v>
      </c>
      <c r="I213" s="1582">
        <v>54647</v>
      </c>
      <c r="J213" s="1582">
        <v>24471</v>
      </c>
      <c r="K213" s="1584">
        <v>2131</v>
      </c>
      <c r="L213" s="1584">
        <v>1086</v>
      </c>
      <c r="M213" s="1584">
        <v>1045</v>
      </c>
    </row>
    <row r="214" spans="1:13" ht="13.5" customHeight="1">
      <c r="A214" s="1550" t="s">
        <v>22</v>
      </c>
      <c r="B214" s="1583">
        <v>3075</v>
      </c>
      <c r="C214" s="1582">
        <v>1602</v>
      </c>
      <c r="D214" s="1582">
        <v>1473</v>
      </c>
      <c r="E214" s="1582">
        <v>80462</v>
      </c>
      <c r="F214" s="1582">
        <v>73151</v>
      </c>
      <c r="G214" s="1582">
        <v>78102</v>
      </c>
      <c r="H214" s="1582">
        <v>54151</v>
      </c>
      <c r="I214" s="1582">
        <v>55404</v>
      </c>
      <c r="J214" s="1582">
        <v>25058</v>
      </c>
      <c r="K214" s="1584">
        <v>2148</v>
      </c>
      <c r="L214" s="1584">
        <v>1098</v>
      </c>
      <c r="M214" s="1584">
        <v>1050</v>
      </c>
    </row>
    <row r="215" spans="1:13" ht="13.5" customHeight="1">
      <c r="A215" s="1550" t="s">
        <v>23</v>
      </c>
      <c r="B215" s="1583">
        <v>3081</v>
      </c>
      <c r="C215" s="1582">
        <v>1604</v>
      </c>
      <c r="D215" s="1582">
        <v>1477</v>
      </c>
      <c r="E215" s="1582">
        <v>81775</v>
      </c>
      <c r="F215" s="1582">
        <v>74508</v>
      </c>
      <c r="G215" s="1582">
        <v>79300</v>
      </c>
      <c r="H215" s="1582">
        <v>54763</v>
      </c>
      <c r="I215" s="1582">
        <v>56014</v>
      </c>
      <c r="J215" s="1582">
        <v>25761</v>
      </c>
      <c r="K215" s="1584">
        <v>2159</v>
      </c>
      <c r="L215" s="1584">
        <v>1100</v>
      </c>
      <c r="M215" s="1584">
        <v>1059</v>
      </c>
    </row>
    <row r="216" spans="1:13" ht="13.5" customHeight="1">
      <c r="A216" s="1550" t="s">
        <v>24</v>
      </c>
      <c r="B216" s="1583">
        <v>3087</v>
      </c>
      <c r="C216" s="1582">
        <v>1603</v>
      </c>
      <c r="D216" s="1582">
        <v>1484</v>
      </c>
      <c r="E216" s="1582">
        <v>83080</v>
      </c>
      <c r="F216" s="1582">
        <v>75916</v>
      </c>
      <c r="G216" s="1582">
        <v>80594</v>
      </c>
      <c r="H216" s="1582">
        <v>55379</v>
      </c>
      <c r="I216" s="1582">
        <v>56635</v>
      </c>
      <c r="J216" s="1582">
        <v>26445</v>
      </c>
      <c r="K216" s="1584">
        <v>2156</v>
      </c>
      <c r="L216" s="1584">
        <v>1099</v>
      </c>
      <c r="M216" s="1584">
        <v>1057</v>
      </c>
    </row>
    <row r="217" spans="1:13" ht="13.5" customHeight="1">
      <c r="A217" s="1550" t="s">
        <v>25</v>
      </c>
      <c r="B217" s="1583">
        <v>3104</v>
      </c>
      <c r="C217" s="1582">
        <v>1612</v>
      </c>
      <c r="D217" s="1582">
        <v>1492</v>
      </c>
      <c r="E217" s="1582">
        <v>81219</v>
      </c>
      <c r="F217" s="1582">
        <v>77087</v>
      </c>
      <c r="G217" s="1582">
        <v>78473</v>
      </c>
      <c r="H217" s="1582">
        <v>53992</v>
      </c>
      <c r="I217" s="1582">
        <v>55263</v>
      </c>
      <c r="J217" s="1582">
        <v>25956</v>
      </c>
      <c r="K217" s="1584">
        <v>2161</v>
      </c>
      <c r="L217" s="1584">
        <v>1101</v>
      </c>
      <c r="M217" s="1584">
        <v>1060</v>
      </c>
    </row>
    <row r="218" spans="1:13" ht="13.5" customHeight="1">
      <c r="A218" s="1550" t="s">
        <v>26</v>
      </c>
      <c r="B218" s="1583">
        <v>3119</v>
      </c>
      <c r="C218" s="1582">
        <v>1621</v>
      </c>
      <c r="D218" s="1582">
        <v>1498</v>
      </c>
      <c r="E218" s="1582">
        <v>81799</v>
      </c>
      <c r="F218" s="1582">
        <v>77722</v>
      </c>
      <c r="G218" s="1582">
        <v>79009</v>
      </c>
      <c r="H218" s="1582">
        <v>54052</v>
      </c>
      <c r="I218" s="1582">
        <v>55362</v>
      </c>
      <c r="J218" s="1582">
        <v>26437</v>
      </c>
      <c r="K218" s="1584">
        <v>2112</v>
      </c>
      <c r="L218" s="1584">
        <v>1055</v>
      </c>
      <c r="M218" s="1584">
        <v>1057</v>
      </c>
    </row>
    <row r="219" spans="1:13" ht="13.5" customHeight="1">
      <c r="A219" s="1550">
        <v>10</v>
      </c>
      <c r="B219" s="1583">
        <v>3090</v>
      </c>
      <c r="C219" s="1582">
        <v>1604</v>
      </c>
      <c r="D219" s="1582">
        <v>1486</v>
      </c>
      <c r="E219" s="1582">
        <v>82615</v>
      </c>
      <c r="F219" s="1582">
        <v>78803</v>
      </c>
      <c r="G219" s="1582">
        <v>79852</v>
      </c>
      <c r="H219" s="1582">
        <v>54347</v>
      </c>
      <c r="I219" s="1582">
        <v>55632</v>
      </c>
      <c r="J219" s="1582">
        <v>26983</v>
      </c>
      <c r="K219" s="1584">
        <v>2117</v>
      </c>
      <c r="L219" s="1584">
        <v>1056</v>
      </c>
      <c r="M219" s="1584">
        <v>1061</v>
      </c>
    </row>
    <row r="220" spans="1:13" ht="13.5" customHeight="1">
      <c r="A220" s="1550" t="s">
        <v>28</v>
      </c>
      <c r="B220" s="1583">
        <v>3114</v>
      </c>
      <c r="C220" s="1582">
        <v>1621</v>
      </c>
      <c r="D220" s="1582">
        <v>1493</v>
      </c>
      <c r="E220" s="1582">
        <v>83428</v>
      </c>
      <c r="F220" s="1582">
        <v>79870</v>
      </c>
      <c r="G220" s="1582">
        <v>80667</v>
      </c>
      <c r="H220" s="1582">
        <v>54507</v>
      </c>
      <c r="I220" s="1582">
        <v>55802</v>
      </c>
      <c r="J220" s="1582">
        <v>27626</v>
      </c>
      <c r="K220" s="1584">
        <v>2102</v>
      </c>
      <c r="L220" s="1584">
        <v>1027</v>
      </c>
      <c r="M220" s="1584">
        <v>1075</v>
      </c>
    </row>
    <row r="221" spans="1:13" ht="13.5" customHeight="1">
      <c r="A221" s="1550" t="s">
        <v>29</v>
      </c>
      <c r="B221" s="1583">
        <v>3112</v>
      </c>
      <c r="C221" s="1582">
        <v>1621</v>
      </c>
      <c r="D221" s="1582">
        <v>1491</v>
      </c>
      <c r="E221" s="1582">
        <v>86383</v>
      </c>
      <c r="F221" s="1582">
        <v>82992</v>
      </c>
      <c r="G221" s="1582">
        <v>83584</v>
      </c>
      <c r="H221" s="1582">
        <v>55739</v>
      </c>
      <c r="I221" s="1582">
        <v>57054</v>
      </c>
      <c r="J221" s="1582">
        <v>29329</v>
      </c>
      <c r="K221" s="1584">
        <v>2106</v>
      </c>
      <c r="L221" s="1584">
        <v>1030</v>
      </c>
      <c r="M221" s="1584">
        <v>1076</v>
      </c>
    </row>
    <row r="222" spans="1:13" ht="13.5" customHeight="1">
      <c r="A222" s="1550" t="s">
        <v>3989</v>
      </c>
      <c r="B222" s="1556">
        <v>3304</v>
      </c>
      <c r="C222" s="1585">
        <v>1772</v>
      </c>
      <c r="D222" s="1585">
        <v>1532</v>
      </c>
      <c r="E222" s="1585">
        <v>119540</v>
      </c>
      <c r="F222" s="1585">
        <v>117314</v>
      </c>
      <c r="G222" s="1585">
        <v>116766</v>
      </c>
      <c r="H222" s="1585">
        <v>71773</v>
      </c>
      <c r="I222" s="1585">
        <v>73042</v>
      </c>
      <c r="J222" s="1585">
        <v>46498</v>
      </c>
      <c r="K222" s="1587">
        <v>2077</v>
      </c>
      <c r="L222" s="1587">
        <v>1044</v>
      </c>
      <c r="M222" s="1587">
        <v>1033</v>
      </c>
    </row>
    <row r="223" spans="1:13" ht="13.5" customHeight="1">
      <c r="A223" s="1550" t="s">
        <v>18</v>
      </c>
      <c r="B223" s="1583">
        <v>3116</v>
      </c>
      <c r="C223" s="1582">
        <v>1610</v>
      </c>
      <c r="D223" s="1582">
        <v>1506</v>
      </c>
      <c r="E223" s="1582">
        <v>88751</v>
      </c>
      <c r="F223" s="1582">
        <v>85781</v>
      </c>
      <c r="G223" s="1582">
        <v>85936</v>
      </c>
      <c r="H223" s="1582">
        <v>56925</v>
      </c>
      <c r="I223" s="1582">
        <v>58250</v>
      </c>
      <c r="J223" s="1582">
        <v>30501</v>
      </c>
      <c r="K223" s="1584">
        <v>2099</v>
      </c>
      <c r="L223" s="1584">
        <v>1021</v>
      </c>
      <c r="M223" s="1584">
        <v>1078</v>
      </c>
    </row>
    <row r="224" spans="1:13" ht="13.5" customHeight="1">
      <c r="A224" s="1550" t="s">
        <v>19</v>
      </c>
      <c r="B224" s="1898">
        <v>3136</v>
      </c>
      <c r="C224" s="1582">
        <v>1626</v>
      </c>
      <c r="D224" s="1582">
        <v>1510</v>
      </c>
      <c r="E224" s="1582">
        <v>90505</v>
      </c>
      <c r="F224" s="1582">
        <v>87579</v>
      </c>
      <c r="G224" s="1582">
        <v>87719</v>
      </c>
      <c r="H224" s="1582">
        <v>57718</v>
      </c>
      <c r="I224" s="1582">
        <v>58997</v>
      </c>
      <c r="J224" s="1582">
        <v>31508</v>
      </c>
      <c r="K224" s="1584">
        <v>2122</v>
      </c>
      <c r="L224" s="1584">
        <v>1034</v>
      </c>
      <c r="M224" s="1584">
        <v>1088</v>
      </c>
    </row>
    <row r="225" spans="1:13" ht="13.5" customHeight="1">
      <c r="A225" s="1550" t="s">
        <v>20</v>
      </c>
      <c r="B225" s="1898">
        <v>3152</v>
      </c>
      <c r="C225" s="1582">
        <v>1639</v>
      </c>
      <c r="D225" s="1582">
        <v>1513</v>
      </c>
      <c r="E225" s="1582">
        <v>91755</v>
      </c>
      <c r="F225" s="1582">
        <v>89141</v>
      </c>
      <c r="G225" s="1582">
        <v>88962</v>
      </c>
      <c r="H225" s="1582">
        <v>58375</v>
      </c>
      <c r="I225" s="1582">
        <v>59638</v>
      </c>
      <c r="J225" s="1582">
        <v>32117</v>
      </c>
      <c r="K225" s="1584">
        <v>2123</v>
      </c>
      <c r="L225" s="1584">
        <v>1033</v>
      </c>
      <c r="M225" s="1584">
        <v>1090</v>
      </c>
    </row>
    <row r="226" spans="1:13" ht="13.5" customHeight="1">
      <c r="A226" s="1550" t="s">
        <v>21</v>
      </c>
      <c r="B226" s="1898">
        <v>3174</v>
      </c>
      <c r="C226" s="1582">
        <v>1656</v>
      </c>
      <c r="D226" s="1582">
        <v>1518</v>
      </c>
      <c r="E226" s="1582">
        <v>92874</v>
      </c>
      <c r="F226" s="1582">
        <v>90450</v>
      </c>
      <c r="G226" s="1582">
        <v>90257</v>
      </c>
      <c r="H226" s="1582">
        <v>58965</v>
      </c>
      <c r="I226" s="1582">
        <v>60151</v>
      </c>
      <c r="J226" s="1582">
        <v>32723</v>
      </c>
      <c r="K226" s="1584">
        <v>2149</v>
      </c>
      <c r="L226" s="1584">
        <v>1050</v>
      </c>
      <c r="M226" s="1584">
        <v>1099</v>
      </c>
    </row>
    <row r="227" spans="1:13" ht="13.5" customHeight="1">
      <c r="A227" s="1550" t="s">
        <v>22</v>
      </c>
      <c r="B227" s="1898" t="s">
        <v>4069</v>
      </c>
      <c r="C227" s="1582">
        <v>1648</v>
      </c>
      <c r="D227" s="1582">
        <v>1486</v>
      </c>
      <c r="E227" s="1582">
        <v>94719</v>
      </c>
      <c r="F227" s="1582">
        <v>92362</v>
      </c>
      <c r="G227" s="1582">
        <v>92126</v>
      </c>
      <c r="H227" s="1582">
        <v>59972</v>
      </c>
      <c r="I227" s="1582">
        <v>61136</v>
      </c>
      <c r="J227" s="1582">
        <v>33583</v>
      </c>
      <c r="K227" s="1584">
        <v>2165</v>
      </c>
      <c r="L227" s="1584">
        <v>1064</v>
      </c>
      <c r="M227" s="1584">
        <v>1101</v>
      </c>
    </row>
    <row r="228" spans="1:13" ht="13.5" customHeight="1">
      <c r="A228" s="1550" t="s">
        <v>23</v>
      </c>
      <c r="B228" s="1898">
        <v>3159</v>
      </c>
      <c r="C228" s="1582">
        <v>1670</v>
      </c>
      <c r="D228" s="1582">
        <v>1489</v>
      </c>
      <c r="E228" s="1582">
        <v>97718</v>
      </c>
      <c r="F228" s="1582">
        <v>95365</v>
      </c>
      <c r="G228" s="1582">
        <v>94932</v>
      </c>
      <c r="H228" s="1582">
        <v>61335</v>
      </c>
      <c r="I228" s="1582">
        <v>62598</v>
      </c>
      <c r="J228" s="1582">
        <v>35120</v>
      </c>
      <c r="K228" s="1584">
        <v>2054</v>
      </c>
      <c r="L228" s="1584">
        <v>1061</v>
      </c>
      <c r="M228" s="1584">
        <v>993</v>
      </c>
    </row>
    <row r="229" spans="1:13" ht="13.5" customHeight="1">
      <c r="A229" s="1550" t="s">
        <v>24</v>
      </c>
      <c r="B229" s="1898">
        <v>3179</v>
      </c>
      <c r="C229" s="1582">
        <v>1685</v>
      </c>
      <c r="D229" s="1582">
        <v>1494</v>
      </c>
      <c r="E229" s="1582">
        <v>99179</v>
      </c>
      <c r="F229" s="1582">
        <v>96866</v>
      </c>
      <c r="G229" s="1582">
        <v>96410</v>
      </c>
      <c r="H229" s="1582">
        <v>61942</v>
      </c>
      <c r="I229" s="1582">
        <v>63190</v>
      </c>
      <c r="J229" s="1582">
        <v>35989</v>
      </c>
      <c r="K229" s="1584">
        <v>2060</v>
      </c>
      <c r="L229" s="1584">
        <v>1056</v>
      </c>
      <c r="M229" s="1584">
        <v>1004</v>
      </c>
    </row>
    <row r="230" spans="1:13" ht="13.5" customHeight="1">
      <c r="A230" s="1550" t="s">
        <v>25</v>
      </c>
      <c r="B230" s="1898">
        <v>3198</v>
      </c>
      <c r="C230" s="1582">
        <v>1696</v>
      </c>
      <c r="D230" s="1582">
        <v>1502</v>
      </c>
      <c r="E230" s="1582">
        <v>101066</v>
      </c>
      <c r="F230" s="1582">
        <v>97980</v>
      </c>
      <c r="G230" s="1582">
        <v>98231</v>
      </c>
      <c r="H230" s="1582">
        <v>62814</v>
      </c>
      <c r="I230" s="1582">
        <v>64120</v>
      </c>
      <c r="J230" s="1582">
        <v>36946</v>
      </c>
      <c r="K230" s="1584">
        <v>2046</v>
      </c>
      <c r="L230" s="1584">
        <v>1035</v>
      </c>
      <c r="M230" s="1584">
        <v>1011</v>
      </c>
    </row>
    <row r="231" spans="1:13" ht="13.5" customHeight="1">
      <c r="A231" s="1550" t="s">
        <v>26</v>
      </c>
      <c r="B231" s="1898">
        <v>3213</v>
      </c>
      <c r="C231" s="1582">
        <v>1710</v>
      </c>
      <c r="D231" s="1582">
        <v>1503</v>
      </c>
      <c r="E231" s="1582">
        <v>103448</v>
      </c>
      <c r="F231" s="1582">
        <v>101247</v>
      </c>
      <c r="G231" s="1582">
        <v>100579</v>
      </c>
      <c r="H231" s="1582">
        <v>62855</v>
      </c>
      <c r="I231" s="1582">
        <v>64174</v>
      </c>
      <c r="J231" s="1582">
        <v>39274</v>
      </c>
      <c r="K231" s="1584">
        <v>2051</v>
      </c>
      <c r="L231" s="1584">
        <v>1032</v>
      </c>
      <c r="M231" s="1584">
        <v>1019</v>
      </c>
    </row>
    <row r="232" spans="1:13" ht="13.5" customHeight="1">
      <c r="A232" s="1550" t="s">
        <v>27</v>
      </c>
      <c r="B232" s="1898" t="s">
        <v>4153</v>
      </c>
      <c r="C232" s="1582">
        <v>1741</v>
      </c>
      <c r="D232" s="1582">
        <v>1512</v>
      </c>
      <c r="E232" s="1582">
        <v>107827</v>
      </c>
      <c r="F232" s="1582">
        <v>105548</v>
      </c>
      <c r="G232" s="1582">
        <v>104949</v>
      </c>
      <c r="H232" s="1582">
        <v>65277</v>
      </c>
      <c r="I232" s="1582">
        <v>66609</v>
      </c>
      <c r="J232" s="1582">
        <v>41218</v>
      </c>
      <c r="K232" s="1584">
        <v>2014</v>
      </c>
      <c r="L232" s="1584">
        <v>1030</v>
      </c>
      <c r="M232" s="1584">
        <v>984</v>
      </c>
    </row>
    <row r="233" spans="1:13" ht="13.5" customHeight="1">
      <c r="A233" s="1550" t="s">
        <v>28</v>
      </c>
      <c r="B233" s="1898">
        <v>3270</v>
      </c>
      <c r="C233" s="1582">
        <v>1751</v>
      </c>
      <c r="D233" s="1582">
        <v>1519</v>
      </c>
      <c r="E233" s="1582">
        <v>114076</v>
      </c>
      <c r="F233" s="1582">
        <v>111821</v>
      </c>
      <c r="G233" s="1582">
        <v>111219</v>
      </c>
      <c r="H233" s="1582">
        <v>68824</v>
      </c>
      <c r="I233" s="1582">
        <v>70147</v>
      </c>
      <c r="J233" s="1582">
        <v>43929</v>
      </c>
      <c r="K233" s="1584">
        <v>2066</v>
      </c>
      <c r="L233" s="1584">
        <v>1041</v>
      </c>
      <c r="M233" s="1584">
        <v>1025</v>
      </c>
    </row>
    <row r="234" spans="1:13" ht="13.5" customHeight="1">
      <c r="A234" s="1550" t="s">
        <v>29</v>
      </c>
      <c r="B234" s="1898">
        <v>3304</v>
      </c>
      <c r="C234" s="1582">
        <v>1772</v>
      </c>
      <c r="D234" s="1582">
        <v>1532</v>
      </c>
      <c r="E234" s="1582">
        <v>119540</v>
      </c>
      <c r="F234" s="1582">
        <v>117314</v>
      </c>
      <c r="G234" s="1582">
        <v>116766</v>
      </c>
      <c r="H234" s="1582">
        <v>71773</v>
      </c>
      <c r="I234" s="1582">
        <v>73042</v>
      </c>
      <c r="J234" s="1582">
        <v>46498</v>
      </c>
      <c r="K234" s="1584">
        <v>2077</v>
      </c>
      <c r="L234" s="1584">
        <v>1044</v>
      </c>
      <c r="M234" s="1584">
        <v>1033</v>
      </c>
    </row>
    <row r="235" spans="1:13" ht="13.5" customHeight="1">
      <c r="A235" s="1550" t="s">
        <v>4222</v>
      </c>
      <c r="B235" s="1898"/>
      <c r="C235" s="1582"/>
      <c r="D235" s="1582"/>
      <c r="E235" s="1582"/>
      <c r="F235" s="1582"/>
      <c r="G235" s="1582"/>
      <c r="H235" s="1582"/>
      <c r="I235" s="1582"/>
      <c r="J235" s="1582"/>
      <c r="K235" s="1584"/>
      <c r="L235" s="1584"/>
      <c r="M235" s="1584"/>
    </row>
    <row r="236" spans="1:13" ht="13.5" customHeight="1">
      <c r="A236" s="1550" t="s">
        <v>18</v>
      </c>
      <c r="B236" s="1898">
        <v>3328</v>
      </c>
      <c r="C236" s="1582">
        <v>1785</v>
      </c>
      <c r="D236" s="1582">
        <v>1543</v>
      </c>
      <c r="E236" s="1582">
        <v>121873</v>
      </c>
      <c r="F236" s="1582">
        <v>119681</v>
      </c>
      <c r="G236" s="1582">
        <v>119075</v>
      </c>
      <c r="H236" s="1582">
        <v>72866</v>
      </c>
      <c r="I236" s="1582">
        <v>74133</v>
      </c>
      <c r="J236" s="1582">
        <v>47740</v>
      </c>
      <c r="K236" s="1584">
        <v>2074</v>
      </c>
      <c r="L236" s="1584">
        <v>1036</v>
      </c>
      <c r="M236" s="1584">
        <v>1038</v>
      </c>
    </row>
    <row r="237" spans="1:13" ht="13.5" customHeight="1">
      <c r="A237" s="1550" t="s">
        <v>19</v>
      </c>
      <c r="B237" s="1898">
        <v>3358</v>
      </c>
      <c r="C237" s="1582">
        <v>1798</v>
      </c>
      <c r="D237" s="1582">
        <v>1560</v>
      </c>
      <c r="E237" s="1582">
        <v>124339</v>
      </c>
      <c r="F237" s="1582">
        <v>122152</v>
      </c>
      <c r="G237" s="1582">
        <v>121534</v>
      </c>
      <c r="H237" s="1582">
        <v>74131</v>
      </c>
      <c r="I237" s="1582">
        <v>75399</v>
      </c>
      <c r="J237" s="1582">
        <v>48940</v>
      </c>
      <c r="K237" s="1584">
        <v>2074</v>
      </c>
      <c r="L237" s="1584">
        <v>1040</v>
      </c>
      <c r="M237" s="1584">
        <v>1034</v>
      </c>
    </row>
    <row r="238" spans="1:13" ht="13.5" customHeight="1">
      <c r="A238" s="1550" t="s">
        <v>20</v>
      </c>
      <c r="B238" s="1898">
        <v>3374</v>
      </c>
      <c r="C238" s="1582">
        <v>1806</v>
      </c>
      <c r="D238" s="1582">
        <v>1568</v>
      </c>
      <c r="E238" s="1582">
        <v>126665</v>
      </c>
      <c r="F238" s="1582">
        <v>124426</v>
      </c>
      <c r="G238" s="1582">
        <v>123803</v>
      </c>
      <c r="H238" s="1582">
        <v>75321</v>
      </c>
      <c r="I238" s="1582">
        <v>76642</v>
      </c>
      <c r="J238" s="1582">
        <v>50023</v>
      </c>
      <c r="K238" s="1584">
        <v>2067</v>
      </c>
      <c r="L238" s="1584">
        <v>1035</v>
      </c>
      <c r="M238" s="1584">
        <v>1032</v>
      </c>
    </row>
    <row r="239" spans="1:13" ht="13.5" customHeight="1">
      <c r="A239" s="1550" t="s">
        <v>21</v>
      </c>
      <c r="B239" s="1898">
        <v>3395</v>
      </c>
      <c r="C239" s="1582">
        <v>1816</v>
      </c>
      <c r="D239" s="1582">
        <v>1579</v>
      </c>
      <c r="E239" s="1582">
        <v>129544</v>
      </c>
      <c r="F239" s="1582">
        <v>127626</v>
      </c>
      <c r="G239" s="1582">
        <v>126685</v>
      </c>
      <c r="H239" s="1582">
        <v>76872</v>
      </c>
      <c r="I239" s="1582">
        <v>78188</v>
      </c>
      <c r="J239" s="1582">
        <v>51356</v>
      </c>
      <c r="K239" s="1584">
        <v>2074</v>
      </c>
      <c r="L239" s="1584">
        <v>1036</v>
      </c>
      <c r="M239" s="1584">
        <v>1038</v>
      </c>
    </row>
    <row r="240" spans="1:13" ht="12.6" customHeight="1">
      <c r="A240" s="1550" t="s">
        <v>22</v>
      </c>
      <c r="B240" s="1583" t="s">
        <v>4318</v>
      </c>
      <c r="C240" s="1582">
        <v>1828</v>
      </c>
      <c r="D240" s="1582">
        <v>1588</v>
      </c>
      <c r="E240" s="1582">
        <v>134852</v>
      </c>
      <c r="F240" s="1582">
        <v>132947</v>
      </c>
      <c r="G240" s="1582">
        <v>131974</v>
      </c>
      <c r="H240" s="1582">
        <v>80774</v>
      </c>
      <c r="I240" s="1582">
        <v>82104</v>
      </c>
      <c r="J240" s="1582">
        <v>52748</v>
      </c>
      <c r="K240" s="1581">
        <v>2096</v>
      </c>
      <c r="L240" s="1580">
        <v>1048</v>
      </c>
      <c r="M240" s="1580">
        <v>1048</v>
      </c>
    </row>
    <row r="241" spans="1:13" s="1576" customFormat="1" ht="15" customHeight="1">
      <c r="A241" s="2763" t="s">
        <v>4282</v>
      </c>
      <c r="B241" s="2763"/>
      <c r="C241" s="2763"/>
      <c r="D241" s="2763"/>
      <c r="E241" s="2763"/>
      <c r="F241" s="2763"/>
      <c r="G241" s="2763"/>
      <c r="H241" s="2763"/>
      <c r="I241" s="2763"/>
      <c r="J241" s="2763"/>
      <c r="K241" s="1579"/>
      <c r="L241" s="1578"/>
      <c r="M241" s="1578"/>
    </row>
    <row r="242" spans="1:13" s="1576" customFormat="1" ht="12.75" customHeight="1">
      <c r="A242" s="2764" t="s">
        <v>3360</v>
      </c>
      <c r="B242" s="2764"/>
      <c r="C242" s="2764"/>
      <c r="D242" s="2764"/>
      <c r="E242" s="2764"/>
      <c r="F242" s="2764"/>
      <c r="G242" s="2764"/>
      <c r="H242" s="2764"/>
      <c r="I242" s="2764"/>
      <c r="J242" s="2764"/>
      <c r="K242" s="1577"/>
      <c r="L242" s="1577"/>
      <c r="M242" s="1577"/>
    </row>
    <row r="246" spans="1:13">
      <c r="C246" s="2194"/>
      <c r="I246" s="2193"/>
    </row>
    <row r="247" spans="1:13">
      <c r="I247" s="2193"/>
    </row>
  </sheetData>
  <mergeCells count="25">
    <mergeCell ref="A241:J241"/>
    <mergeCell ref="A242:J242"/>
    <mergeCell ref="G10:H10"/>
    <mergeCell ref="I9:J10"/>
    <mergeCell ref="G7:H7"/>
    <mergeCell ref="A6:A8"/>
    <mergeCell ref="B6:B8"/>
    <mergeCell ref="C6:D7"/>
    <mergeCell ref="E6:E8"/>
    <mergeCell ref="F6:H6"/>
    <mergeCell ref="K9:K11"/>
    <mergeCell ref="L9:M10"/>
    <mergeCell ref="A2:M2"/>
    <mergeCell ref="A3:M3"/>
    <mergeCell ref="K6:K8"/>
    <mergeCell ref="L6:M7"/>
    <mergeCell ref="A5:M5"/>
    <mergeCell ref="I6:J7"/>
    <mergeCell ref="F10:F11"/>
    <mergeCell ref="A9:A11"/>
    <mergeCell ref="B9:B11"/>
    <mergeCell ref="C9:D10"/>
    <mergeCell ref="E9:E11"/>
    <mergeCell ref="F9:H9"/>
    <mergeCell ref="F7:F8"/>
  </mergeCells>
  <pageMargins left="0.7" right="0.7" top="0.75" bottom="0.75" header="0.3" footer="0.3"/>
  <pageSetup scale="28"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11E05-D47A-43DC-95C1-0C59E60E2E56}">
  <sheetPr codeName="Sheet49">
    <tabColor rgb="FF92D050"/>
  </sheetPr>
  <dimension ref="A1:AI29"/>
  <sheetViews>
    <sheetView showGridLines="0" view="pageBreakPreview" zoomScale="85" zoomScaleNormal="100" zoomScaleSheetLayoutView="85" workbookViewId="0">
      <selection activeCell="K46" sqref="K46"/>
    </sheetView>
  </sheetViews>
  <sheetFormatPr defaultColWidth="9.140625" defaultRowHeight="15"/>
  <cols>
    <col min="1" max="1" width="33.5703125" style="976" customWidth="1"/>
    <col min="2" max="5" width="30.140625" style="976" customWidth="1"/>
    <col min="6" max="6" width="35.5703125" style="976" customWidth="1"/>
    <col min="7" max="16384" width="9.140625" style="976"/>
  </cols>
  <sheetData>
    <row r="1" spans="1:6" ht="7.5" customHeight="1">
      <c r="A1" s="2773"/>
      <c r="B1" s="2773"/>
      <c r="C1" s="2773"/>
      <c r="D1" s="2773"/>
      <c r="E1" s="2773"/>
    </row>
    <row r="2" spans="1:6" ht="14.25" customHeight="1">
      <c r="A2" s="2773" t="s">
        <v>3361</v>
      </c>
      <c r="B2" s="2773"/>
      <c r="C2" s="2773"/>
      <c r="D2" s="2773"/>
      <c r="E2" s="2773"/>
      <c r="F2" s="2773"/>
    </row>
    <row r="3" spans="1:6" ht="23.25" customHeight="1">
      <c r="A3" s="2774" t="s">
        <v>3373</v>
      </c>
      <c r="B3" s="2775"/>
      <c r="C3" s="2775"/>
      <c r="D3" s="2775"/>
      <c r="E3" s="2775"/>
      <c r="F3" s="2775"/>
    </row>
    <row r="4" spans="1:6" ht="11.25" customHeight="1">
      <c r="A4" s="1612"/>
      <c r="B4" s="1612"/>
      <c r="C4" s="1612"/>
      <c r="D4" s="1612"/>
      <c r="E4" s="1611"/>
      <c r="F4" s="1611"/>
    </row>
    <row r="5" spans="1:6" ht="13.5" customHeight="1">
      <c r="A5" s="1610"/>
      <c r="B5" s="1609"/>
      <c r="C5" s="1609"/>
      <c r="D5" s="1609"/>
      <c r="E5" s="1608"/>
      <c r="F5" s="1275" t="s">
        <v>3317</v>
      </c>
    </row>
    <row r="6" spans="1:6" ht="15.75">
      <c r="A6" s="2776" t="s">
        <v>3090</v>
      </c>
      <c r="B6" s="2779">
        <v>45808</v>
      </c>
      <c r="C6" s="2780"/>
      <c r="D6" s="2780"/>
      <c r="E6" s="2781"/>
      <c r="F6" s="2782" t="s">
        <v>1203</v>
      </c>
    </row>
    <row r="7" spans="1:6" ht="41.25" customHeight="1">
      <c r="A7" s="2777"/>
      <c r="B7" s="2785" t="s">
        <v>3091</v>
      </c>
      <c r="C7" s="2787" t="s">
        <v>3513</v>
      </c>
      <c r="D7" s="2788"/>
      <c r="E7" s="2785" t="s">
        <v>3514</v>
      </c>
      <c r="F7" s="2783"/>
    </row>
    <row r="8" spans="1:6" ht="41.25" customHeight="1">
      <c r="A8" s="2777"/>
      <c r="B8" s="2786"/>
      <c r="C8" s="1607" t="s">
        <v>155</v>
      </c>
      <c r="D8" s="1607" t="s">
        <v>3763</v>
      </c>
      <c r="E8" s="2786"/>
      <c r="F8" s="2783"/>
    </row>
    <row r="9" spans="1:6" ht="21.75" customHeight="1">
      <c r="A9" s="2777"/>
      <c r="B9" s="2789">
        <v>45808</v>
      </c>
      <c r="C9" s="2790"/>
      <c r="D9" s="2790"/>
      <c r="E9" s="2791"/>
      <c r="F9" s="2783"/>
    </row>
    <row r="10" spans="1:6" ht="21.75" customHeight="1">
      <c r="A10" s="2777"/>
      <c r="B10" s="2792" t="s">
        <v>4056</v>
      </c>
      <c r="C10" s="2794" t="s">
        <v>3145</v>
      </c>
      <c r="D10" s="2795"/>
      <c r="E10" s="2792" t="s">
        <v>3146</v>
      </c>
      <c r="F10" s="2783"/>
    </row>
    <row r="11" spans="1:6" ht="36.75" customHeight="1">
      <c r="A11" s="2778"/>
      <c r="B11" s="2793"/>
      <c r="C11" s="1606" t="s">
        <v>105</v>
      </c>
      <c r="D11" s="1606" t="s">
        <v>3761</v>
      </c>
      <c r="E11" s="2793"/>
      <c r="F11" s="2784"/>
    </row>
    <row r="12" spans="1:6" ht="20.25" customHeight="1">
      <c r="A12" s="1605" t="s">
        <v>3089</v>
      </c>
      <c r="B12" s="1246">
        <v>3416</v>
      </c>
      <c r="C12" s="1246">
        <v>134852</v>
      </c>
      <c r="D12" s="1246">
        <v>132947</v>
      </c>
      <c r="E12" s="1246">
        <v>2096</v>
      </c>
      <c r="F12" s="1604" t="s">
        <v>3143</v>
      </c>
    </row>
    <row r="13" spans="1:6" ht="20.25" customHeight="1">
      <c r="A13" s="1600" t="s">
        <v>2669</v>
      </c>
      <c r="B13" s="1247">
        <v>1828</v>
      </c>
      <c r="C13" s="1247">
        <v>82104</v>
      </c>
      <c r="D13" s="1247">
        <v>81060</v>
      </c>
      <c r="E13" s="1247">
        <v>1048</v>
      </c>
      <c r="F13" s="1599" t="s">
        <v>3129</v>
      </c>
    </row>
    <row r="14" spans="1:6" ht="20.25" customHeight="1">
      <c r="A14" s="1600" t="s">
        <v>201</v>
      </c>
      <c r="B14" s="1247">
        <v>98</v>
      </c>
      <c r="C14" s="1247">
        <v>3177</v>
      </c>
      <c r="D14" s="1247">
        <v>3120</v>
      </c>
      <c r="E14" s="1247">
        <v>56</v>
      </c>
      <c r="F14" s="1599" t="s">
        <v>3130</v>
      </c>
    </row>
    <row r="15" spans="1:6" ht="20.25" customHeight="1">
      <c r="A15" s="1600" t="s">
        <v>2670</v>
      </c>
      <c r="B15" s="1247">
        <v>239</v>
      </c>
      <c r="C15" s="1247">
        <v>9078</v>
      </c>
      <c r="D15" s="1247">
        <v>8992</v>
      </c>
      <c r="E15" s="1247">
        <v>135</v>
      </c>
      <c r="F15" s="1599" t="s">
        <v>3131</v>
      </c>
    </row>
    <row r="16" spans="1:6" ht="20.25" customHeight="1">
      <c r="A16" s="1602" t="s">
        <v>198</v>
      </c>
      <c r="B16" s="1247">
        <v>58</v>
      </c>
      <c r="C16" s="1247">
        <v>1853</v>
      </c>
      <c r="D16" s="1247">
        <v>1822</v>
      </c>
      <c r="E16" s="1247">
        <v>48</v>
      </c>
      <c r="F16" s="1603" t="s">
        <v>3348</v>
      </c>
    </row>
    <row r="17" spans="1:35" ht="20.25" customHeight="1">
      <c r="A17" s="1600" t="s">
        <v>2671</v>
      </c>
      <c r="B17" s="1247">
        <v>178</v>
      </c>
      <c r="C17" s="1247">
        <v>5941</v>
      </c>
      <c r="D17" s="1247">
        <v>5821</v>
      </c>
      <c r="E17" s="1247">
        <v>100</v>
      </c>
      <c r="F17" s="1599" t="s">
        <v>3132</v>
      </c>
    </row>
    <row r="18" spans="1:35" ht="20.25" customHeight="1">
      <c r="A18" s="1602" t="s">
        <v>2672</v>
      </c>
      <c r="B18" s="1247">
        <v>124</v>
      </c>
      <c r="C18" s="1247">
        <v>3936</v>
      </c>
      <c r="D18" s="1247">
        <v>3874</v>
      </c>
      <c r="E18" s="1247">
        <v>83</v>
      </c>
      <c r="F18" s="1601" t="s">
        <v>3133</v>
      </c>
    </row>
    <row r="19" spans="1:35" ht="20.25" customHeight="1">
      <c r="A19" s="1600" t="s">
        <v>2673</v>
      </c>
      <c r="B19" s="1247">
        <v>138</v>
      </c>
      <c r="C19" s="1247">
        <v>3807</v>
      </c>
      <c r="D19" s="1247">
        <v>3751</v>
      </c>
      <c r="E19" s="1247">
        <v>74</v>
      </c>
      <c r="F19" s="1599" t="s">
        <v>3134</v>
      </c>
    </row>
    <row r="20" spans="1:35" ht="20.25" customHeight="1">
      <c r="A20" s="1600" t="s">
        <v>199</v>
      </c>
      <c r="B20" s="1247">
        <v>126</v>
      </c>
      <c r="C20" s="1247">
        <v>4485</v>
      </c>
      <c r="D20" s="1247">
        <v>4395</v>
      </c>
      <c r="E20" s="1247">
        <v>119</v>
      </c>
      <c r="F20" s="1599" t="s">
        <v>3135</v>
      </c>
    </row>
    <row r="21" spans="1:35" ht="20.25" customHeight="1">
      <c r="A21" s="1602" t="s">
        <v>2674</v>
      </c>
      <c r="B21" s="1247">
        <v>119</v>
      </c>
      <c r="C21" s="1247">
        <v>4854</v>
      </c>
      <c r="D21" s="1247">
        <v>4793</v>
      </c>
      <c r="E21" s="1247">
        <v>98</v>
      </c>
      <c r="F21" s="1601" t="s">
        <v>3136</v>
      </c>
    </row>
    <row r="22" spans="1:35" ht="20.25" customHeight="1">
      <c r="A22" s="1600" t="s">
        <v>2675</v>
      </c>
      <c r="B22" s="1247">
        <v>146</v>
      </c>
      <c r="C22" s="1247">
        <v>4948</v>
      </c>
      <c r="D22" s="1247">
        <v>4893</v>
      </c>
      <c r="E22" s="1247">
        <v>105</v>
      </c>
      <c r="F22" s="1599" t="s">
        <v>3137</v>
      </c>
    </row>
    <row r="23" spans="1:35" ht="20.25" customHeight="1">
      <c r="A23" s="1600" t="s">
        <v>2676</v>
      </c>
      <c r="B23" s="1247">
        <v>87</v>
      </c>
      <c r="C23" s="1247">
        <v>2867</v>
      </c>
      <c r="D23" s="1247">
        <v>2818</v>
      </c>
      <c r="E23" s="1247">
        <v>47</v>
      </c>
      <c r="F23" s="1599" t="s">
        <v>3138</v>
      </c>
    </row>
    <row r="24" spans="1:35" ht="20.25" customHeight="1">
      <c r="A24" s="1600" t="s">
        <v>200</v>
      </c>
      <c r="B24" s="1247">
        <v>147</v>
      </c>
      <c r="C24" s="1247">
        <v>4868</v>
      </c>
      <c r="D24" s="1247">
        <v>4739</v>
      </c>
      <c r="E24" s="1247">
        <v>95</v>
      </c>
      <c r="F24" s="1599" t="s">
        <v>3139</v>
      </c>
    </row>
    <row r="25" spans="1:35" ht="20.25" customHeight="1">
      <c r="A25" s="1600" t="s">
        <v>3092</v>
      </c>
      <c r="B25" s="1247">
        <v>15</v>
      </c>
      <c r="C25" s="1247">
        <v>172</v>
      </c>
      <c r="D25" s="1247">
        <v>154</v>
      </c>
      <c r="E25" s="1247">
        <v>4</v>
      </c>
      <c r="F25" s="1599" t="s">
        <v>3140</v>
      </c>
    </row>
    <row r="26" spans="1:35" ht="20.25" customHeight="1">
      <c r="A26" s="1598" t="s">
        <v>2678</v>
      </c>
      <c r="B26" s="1248">
        <v>113</v>
      </c>
      <c r="C26" s="1248">
        <v>2762</v>
      </c>
      <c r="D26" s="1248">
        <v>2715</v>
      </c>
      <c r="E26" s="1248">
        <v>84</v>
      </c>
      <c r="F26" s="1597" t="s">
        <v>3141</v>
      </c>
    </row>
    <row r="27" spans="1:35">
      <c r="A27" s="2770" t="s">
        <v>4283</v>
      </c>
      <c r="B27" s="2771"/>
      <c r="C27" s="2771"/>
      <c r="D27" s="2771"/>
      <c r="E27" s="2771"/>
    </row>
    <row r="28" spans="1:35" s="1543" customFormat="1" ht="16.5" customHeight="1">
      <c r="A28" s="2772" t="s">
        <v>2694</v>
      </c>
      <c r="B28" s="2772"/>
      <c r="C28" s="2772"/>
      <c r="D28" s="2772"/>
      <c r="E28" s="2772"/>
      <c r="F28" s="1596"/>
      <c r="G28" s="1596"/>
      <c r="H28" s="1596"/>
      <c r="I28" s="1596"/>
      <c r="J28" s="1596"/>
      <c r="K28" s="1596"/>
      <c r="L28" s="1596"/>
      <c r="M28" s="1596"/>
      <c r="N28" s="1596"/>
      <c r="O28" s="1596"/>
      <c r="P28" s="1596"/>
      <c r="Q28" s="1596"/>
      <c r="R28" s="1596"/>
      <c r="S28" s="1596"/>
      <c r="T28" s="1596"/>
      <c r="U28" s="1596"/>
      <c r="V28" s="1596"/>
      <c r="W28" s="1596"/>
      <c r="X28" s="1596"/>
      <c r="Y28" s="1596"/>
      <c r="Z28" s="1596"/>
      <c r="AA28" s="1596"/>
      <c r="AB28" s="1596"/>
      <c r="AC28" s="1596"/>
      <c r="AD28" s="1596"/>
      <c r="AE28" s="1596"/>
      <c r="AF28" s="1596"/>
      <c r="AG28" s="1596"/>
      <c r="AH28" s="1596"/>
      <c r="AI28" s="1596"/>
    </row>
    <row r="29" spans="1:35">
      <c r="A29" s="1595"/>
      <c r="B29" s="1594"/>
      <c r="C29" s="1593"/>
      <c r="D29" s="1593"/>
      <c r="E29" s="1593"/>
    </row>
  </sheetData>
  <mergeCells count="15">
    <mergeCell ref="A27:E27"/>
    <mergeCell ref="A28:E28"/>
    <mergeCell ref="A1:E1"/>
    <mergeCell ref="A2:F2"/>
    <mergeCell ref="A3:F3"/>
    <mergeCell ref="A6:A11"/>
    <mergeCell ref="B6:E6"/>
    <mergeCell ref="F6:F11"/>
    <mergeCell ref="B7:B8"/>
    <mergeCell ref="C7:D7"/>
    <mergeCell ref="E7:E8"/>
    <mergeCell ref="B9:E9"/>
    <mergeCell ref="B10:B11"/>
    <mergeCell ref="C10:D10"/>
    <mergeCell ref="E10:E11"/>
  </mergeCells>
  <pageMargins left="0.7" right="0.7" top="0.75" bottom="0.75" header="0.3" footer="0.3"/>
  <pageSetup paperSize="9" scale="67"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75A24-DBA7-4517-8B5A-83F752E72EFF}">
  <sheetPr codeName="Sheet50">
    <tabColor rgb="FF92D050"/>
  </sheetPr>
  <dimension ref="A2:BM224"/>
  <sheetViews>
    <sheetView showGridLines="0" view="pageBreakPreview" zoomScale="72" zoomScaleNormal="70" zoomScaleSheetLayoutView="72" workbookViewId="0">
      <pane xSplit="1" ySplit="17" topLeftCell="AA192" activePane="bottomRight" state="frozen"/>
      <selection activeCell="B39" sqref="B39"/>
      <selection pane="topRight" activeCell="B39" sqref="B39"/>
      <selection pane="bottomLeft" activeCell="B39" sqref="B39"/>
      <selection pane="bottomRight" activeCell="AS227" sqref="AS227"/>
    </sheetView>
  </sheetViews>
  <sheetFormatPr defaultColWidth="8.85546875" defaultRowHeight="12.75"/>
  <cols>
    <col min="1" max="1" width="9.7109375" style="1542" customWidth="1"/>
    <col min="2" max="3" width="13" style="1541" customWidth="1"/>
    <col min="4" max="4" width="8.85546875" style="1541"/>
    <col min="5" max="5" width="10.85546875" style="1541" customWidth="1"/>
    <col min="6" max="7" width="8.85546875" style="1541"/>
    <col min="8" max="8" width="10.28515625" style="1541" customWidth="1"/>
    <col min="9" max="9" width="10.7109375" style="1541" customWidth="1"/>
    <col min="10" max="10" width="12.28515625" style="1541" customWidth="1"/>
    <col min="11" max="11" width="10.85546875" style="1541" customWidth="1"/>
    <col min="12" max="12" width="10.7109375" style="1541" customWidth="1"/>
    <col min="13" max="13" width="11.28515625" style="1541" customWidth="1"/>
    <col min="14" max="14" width="10.7109375" style="1541" customWidth="1"/>
    <col min="15" max="15" width="10.85546875" style="1541" customWidth="1"/>
    <col min="16" max="16" width="10.42578125" style="1541" customWidth="1"/>
    <col min="17" max="17" width="10.85546875" style="1541" customWidth="1"/>
    <col min="18" max="18" width="16" style="1541" customWidth="1"/>
    <col min="19" max="19" width="17.85546875" style="1541" customWidth="1"/>
    <col min="20" max="20" width="14.5703125" style="1541" customWidth="1"/>
    <col min="21" max="21" width="13.85546875" style="1541" customWidth="1"/>
    <col min="22" max="22" width="16" style="1541" customWidth="1"/>
    <col min="23" max="23" width="16.5703125" style="1541" customWidth="1"/>
    <col min="24" max="24" width="11.28515625" style="1541" customWidth="1"/>
    <col min="25" max="29" width="10.7109375" style="1541" customWidth="1"/>
    <col min="30" max="30" width="10.85546875" style="1541" customWidth="1"/>
    <col min="31" max="31" width="11.42578125" style="1541" customWidth="1"/>
    <col min="32" max="32" width="11" style="1541" customWidth="1"/>
    <col min="33" max="33" width="10.85546875" style="1541" customWidth="1"/>
    <col min="34" max="34" width="11.7109375" style="1541" customWidth="1"/>
    <col min="35" max="37" width="10.85546875" style="1541" customWidth="1"/>
    <col min="38" max="38" width="10.5703125" style="1541" customWidth="1"/>
    <col min="39" max="39" width="16.28515625" style="1541" customWidth="1"/>
    <col min="40" max="40" width="14.140625" style="1541" customWidth="1"/>
    <col min="41" max="41" width="10.85546875" style="1541" customWidth="1"/>
    <col min="42" max="42" width="10.28515625" style="1541" customWidth="1"/>
    <col min="43" max="47" width="11.140625" style="1541" customWidth="1"/>
    <col min="48" max="48" width="10.5703125" style="1541" customWidth="1"/>
    <col min="49" max="49" width="10.85546875" style="1541" customWidth="1"/>
    <col min="50" max="50" width="11" style="1541" customWidth="1"/>
    <col min="51" max="51" width="10.85546875" style="1541" customWidth="1"/>
    <col min="52" max="52" width="10.7109375" style="1541" customWidth="1"/>
    <col min="53" max="53" width="11.28515625" style="1541" customWidth="1"/>
    <col min="54" max="54" width="13.5703125" style="1541" customWidth="1"/>
    <col min="55" max="55" width="15" style="1541" bestFit="1" customWidth="1"/>
    <col min="56" max="56" width="14.42578125" style="1541" customWidth="1"/>
    <col min="57" max="57" width="16" style="1541" customWidth="1"/>
    <col min="58" max="58" width="16.5703125" style="1541" customWidth="1"/>
    <col min="59" max="59" width="14.28515625" style="1541" customWidth="1"/>
    <col min="60" max="60" width="10.7109375" style="1541" customWidth="1"/>
    <col min="61" max="61" width="10.85546875" style="1541" customWidth="1"/>
    <col min="62" max="63" width="11" style="1541" customWidth="1"/>
    <col min="64" max="64" width="10.7109375" style="1541" customWidth="1"/>
    <col min="65" max="65" width="10.85546875" style="1541" customWidth="1"/>
    <col min="66" max="16384" width="8.85546875" style="1541"/>
  </cols>
  <sheetData>
    <row r="2" spans="1:65" ht="33.75" customHeight="1">
      <c r="A2" s="2826" t="s">
        <v>3362</v>
      </c>
      <c r="B2" s="2826"/>
      <c r="C2" s="2826"/>
      <c r="D2" s="2826"/>
      <c r="E2" s="2826"/>
      <c r="F2" s="2826"/>
      <c r="G2" s="2826"/>
      <c r="H2" s="2826"/>
      <c r="I2" s="2826"/>
      <c r="J2" s="2826"/>
      <c r="K2" s="2826"/>
      <c r="L2" s="2826"/>
      <c r="M2" s="2826"/>
      <c r="N2" s="2826"/>
      <c r="O2" s="2826"/>
      <c r="P2" s="2826"/>
      <c r="Q2" s="2826"/>
      <c r="R2" s="2826"/>
      <c r="S2" s="2826"/>
      <c r="T2" s="2826"/>
      <c r="U2" s="2826"/>
      <c r="V2" s="2826"/>
      <c r="W2" s="2826"/>
      <c r="X2" s="2826"/>
      <c r="Y2" s="2826"/>
      <c r="Z2" s="2826"/>
      <c r="AA2" s="2826"/>
      <c r="AB2" s="2826"/>
      <c r="AC2" s="2826"/>
      <c r="AD2" s="2826"/>
      <c r="AE2" s="2826"/>
      <c r="AF2" s="2826"/>
      <c r="AG2" s="2826"/>
      <c r="AH2" s="2826"/>
      <c r="AI2" s="2826"/>
      <c r="AJ2" s="2826"/>
      <c r="AK2" s="2826"/>
      <c r="AL2" s="2826"/>
      <c r="AM2" s="2826"/>
      <c r="AN2" s="2826"/>
      <c r="AO2" s="2826"/>
      <c r="AP2" s="2826"/>
      <c r="AQ2" s="2826"/>
      <c r="AR2" s="2826"/>
      <c r="AS2" s="2826"/>
      <c r="AT2" s="2826"/>
      <c r="AU2" s="2826"/>
      <c r="AV2" s="2826"/>
      <c r="AW2" s="2826"/>
      <c r="AX2" s="2826"/>
      <c r="AY2" s="2826"/>
      <c r="AZ2" s="2826"/>
      <c r="BA2" s="2826"/>
      <c r="BB2" s="2826"/>
      <c r="BC2" s="2826"/>
      <c r="BD2" s="2826"/>
      <c r="BE2" s="2826"/>
      <c r="BF2" s="2826"/>
      <c r="BG2" s="2826"/>
      <c r="BH2" s="2826"/>
      <c r="BI2" s="2826"/>
      <c r="BJ2" s="2826"/>
      <c r="BK2" s="2826"/>
      <c r="BL2" s="2826"/>
      <c r="BM2" s="2826"/>
    </row>
    <row r="3" spans="1:65" ht="33.75" customHeight="1">
      <c r="A3" s="2827" t="s">
        <v>3363</v>
      </c>
      <c r="B3" s="2827"/>
      <c r="C3" s="2827"/>
      <c r="D3" s="2827"/>
      <c r="E3" s="2827"/>
      <c r="F3" s="2827"/>
      <c r="G3" s="2827"/>
      <c r="H3" s="2827"/>
      <c r="I3" s="2827"/>
      <c r="J3" s="2827"/>
      <c r="K3" s="2827"/>
      <c r="L3" s="2827"/>
      <c r="M3" s="2827"/>
      <c r="N3" s="2827"/>
      <c r="O3" s="2827"/>
      <c r="P3" s="2827"/>
      <c r="Q3" s="2827"/>
      <c r="R3" s="2827"/>
      <c r="S3" s="2827"/>
      <c r="T3" s="2827"/>
      <c r="U3" s="2827"/>
      <c r="V3" s="2827"/>
      <c r="W3" s="2827"/>
      <c r="X3" s="2827"/>
      <c r="Y3" s="2827"/>
      <c r="Z3" s="2827"/>
      <c r="AA3" s="2827"/>
      <c r="AB3" s="2827"/>
      <c r="AC3" s="2827"/>
      <c r="AD3" s="2827"/>
      <c r="AE3" s="2827"/>
      <c r="AF3" s="2827"/>
      <c r="AG3" s="2827"/>
      <c r="AH3" s="2827"/>
      <c r="AI3" s="2827"/>
      <c r="AJ3" s="2827"/>
      <c r="AK3" s="2827"/>
      <c r="AL3" s="2827"/>
      <c r="AM3" s="2827"/>
      <c r="AN3" s="2827"/>
      <c r="AO3" s="2827"/>
      <c r="AP3" s="2827"/>
      <c r="AQ3" s="2827"/>
      <c r="AR3" s="2827"/>
      <c r="AS3" s="2827"/>
      <c r="AT3" s="2827"/>
      <c r="AU3" s="2827"/>
      <c r="AV3" s="2827"/>
      <c r="AW3" s="2827"/>
      <c r="AX3" s="2827"/>
      <c r="AY3" s="2827"/>
      <c r="AZ3" s="2827"/>
      <c r="BA3" s="2827"/>
      <c r="BB3" s="2827"/>
      <c r="BC3" s="2827"/>
      <c r="BD3" s="2827"/>
      <c r="BE3" s="2827"/>
      <c r="BF3" s="2827"/>
      <c r="BG3" s="2827"/>
      <c r="BH3" s="2827"/>
      <c r="BI3" s="2827"/>
      <c r="BJ3" s="2827"/>
      <c r="BK3" s="2827"/>
      <c r="BL3" s="2827"/>
      <c r="BM3" s="2827"/>
    </row>
    <row r="4" spans="1:65" ht="14.25" customHeight="1">
      <c r="A4" s="1655"/>
      <c r="B4" s="1655"/>
      <c r="C4" s="1655"/>
      <c r="D4" s="1655"/>
      <c r="E4" s="1655"/>
      <c r="F4" s="1655"/>
      <c r="G4" s="1655"/>
      <c r="H4" s="1655"/>
      <c r="I4" s="1655"/>
      <c r="J4" s="1655"/>
      <c r="K4" s="1655"/>
      <c r="L4" s="1655"/>
      <c r="M4" s="1655"/>
      <c r="N4" s="1655"/>
      <c r="O4" s="1655"/>
      <c r="P4" s="1655"/>
      <c r="Q4" s="1655"/>
      <c r="R4" s="1655"/>
      <c r="S4" s="1655"/>
      <c r="T4" s="1655"/>
      <c r="U4" s="1655"/>
      <c r="V4" s="1655"/>
      <c r="W4" s="1655"/>
      <c r="X4" s="1655"/>
      <c r="Y4" s="1655"/>
      <c r="Z4" s="1655"/>
      <c r="AA4" s="1655"/>
      <c r="AB4" s="1655"/>
      <c r="AC4" s="1655"/>
      <c r="AD4" s="1655"/>
      <c r="AE4" s="1655"/>
      <c r="AF4" s="1655"/>
      <c r="AG4" s="1655"/>
      <c r="AH4" s="1655"/>
      <c r="AI4" s="1655"/>
      <c r="AJ4" s="1655"/>
      <c r="AK4" s="1655"/>
      <c r="AL4" s="1655"/>
      <c r="AM4" s="1655"/>
      <c r="AN4" s="1655"/>
      <c r="AO4" s="1655"/>
      <c r="AP4" s="1655"/>
      <c r="AQ4" s="1655"/>
      <c r="AR4" s="1655"/>
      <c r="AS4" s="1655"/>
      <c r="AT4" s="1655"/>
      <c r="AU4" s="1655"/>
      <c r="AV4" s="1655"/>
      <c r="AW4" s="1655"/>
      <c r="AX4" s="1655"/>
      <c r="AY4" s="1655"/>
      <c r="AZ4" s="1655"/>
      <c r="BA4" s="1655"/>
      <c r="BB4" s="1655"/>
      <c r="BC4" s="1655"/>
      <c r="BD4" s="1655"/>
      <c r="BE4" s="1655"/>
      <c r="BF4" s="1655"/>
      <c r="BG4" s="1655"/>
      <c r="BH4" s="1655"/>
      <c r="BI4" s="1655"/>
      <c r="BJ4" s="1655"/>
      <c r="BK4" s="1655"/>
      <c r="BL4" s="1655"/>
      <c r="BM4" s="1655"/>
    </row>
    <row r="5" spans="1:65" ht="14.25" customHeight="1">
      <c r="A5" s="527"/>
      <c r="B5" s="527"/>
      <c r="C5" s="527"/>
      <c r="D5" s="527"/>
      <c r="E5" s="527"/>
      <c r="F5" s="527"/>
      <c r="G5" s="527"/>
      <c r="H5" s="527"/>
      <c r="I5" s="527"/>
      <c r="J5" s="527"/>
      <c r="K5" s="527"/>
      <c r="L5" s="527"/>
      <c r="M5" s="527"/>
      <c r="N5" s="527"/>
      <c r="O5" s="527"/>
      <c r="P5" s="527"/>
      <c r="Q5" s="527"/>
      <c r="R5" s="527"/>
      <c r="S5" s="527"/>
      <c r="T5" s="527"/>
      <c r="U5" s="527"/>
      <c r="V5" s="527"/>
      <c r="W5" s="527"/>
      <c r="X5" s="527"/>
      <c r="Y5" s="527"/>
      <c r="Z5" s="527"/>
      <c r="AA5" s="527"/>
      <c r="AB5" s="527"/>
      <c r="AC5" s="527"/>
      <c r="AD5" s="527"/>
      <c r="AE5" s="527"/>
      <c r="AF5" s="527"/>
      <c r="AG5" s="527"/>
      <c r="AH5" s="527"/>
      <c r="AI5" s="527"/>
      <c r="AJ5" s="527"/>
      <c r="AK5" s="527"/>
      <c r="AL5" s="527"/>
      <c r="AM5" s="527"/>
      <c r="AN5" s="527"/>
      <c r="AO5" s="527"/>
      <c r="AP5" s="527"/>
      <c r="AQ5" s="527"/>
      <c r="AR5" s="527"/>
      <c r="AS5" s="527"/>
      <c r="AT5" s="527"/>
      <c r="AU5" s="527"/>
      <c r="AV5" s="527"/>
      <c r="AW5" s="527"/>
      <c r="AX5" s="527"/>
      <c r="AY5" s="527"/>
      <c r="AZ5" s="527"/>
      <c r="BA5" s="527"/>
      <c r="BB5" s="527"/>
      <c r="BC5" s="527"/>
      <c r="BD5" s="527"/>
      <c r="BE5" s="527"/>
      <c r="BF5" s="527"/>
      <c r="BG5" s="527"/>
      <c r="BH5" s="527"/>
      <c r="BI5" s="527"/>
      <c r="BJ5" s="527"/>
      <c r="BK5" s="527"/>
      <c r="BL5" s="527"/>
      <c r="BM5" s="527"/>
    </row>
    <row r="6" spans="1:65" s="1542" customFormat="1" ht="46.5" customHeight="1">
      <c r="A6" s="2828" t="s">
        <v>182</v>
      </c>
      <c r="B6" s="2829" t="s">
        <v>2791</v>
      </c>
      <c r="C6" s="2830"/>
      <c r="D6" s="2824" t="s">
        <v>989</v>
      </c>
      <c r="E6" s="2824"/>
      <c r="F6" s="2824"/>
      <c r="G6" s="2824"/>
      <c r="H6" s="2818" t="s">
        <v>1146</v>
      </c>
      <c r="I6" s="2819"/>
      <c r="J6" s="2818" t="s">
        <v>2787</v>
      </c>
      <c r="K6" s="2831"/>
      <c r="L6" s="2831"/>
      <c r="M6" s="2831"/>
      <c r="N6" s="2831"/>
      <c r="O6" s="2831"/>
      <c r="P6" s="2831"/>
      <c r="Q6" s="2831"/>
      <c r="R6" s="2831"/>
      <c r="S6" s="2831"/>
      <c r="T6" s="2831"/>
      <c r="U6" s="2831"/>
      <c r="V6" s="2831"/>
      <c r="W6" s="2819"/>
      <c r="X6" s="2829" t="s">
        <v>2790</v>
      </c>
      <c r="Y6" s="2832"/>
      <c r="Z6" s="2832"/>
      <c r="AA6" s="2832"/>
      <c r="AB6" s="2832"/>
      <c r="AC6" s="2830"/>
      <c r="AD6" s="2817" t="s">
        <v>1031</v>
      </c>
      <c r="AE6" s="2817"/>
      <c r="AF6" s="2818" t="s">
        <v>2792</v>
      </c>
      <c r="AG6" s="2831"/>
      <c r="AH6" s="2831"/>
      <c r="AI6" s="2831"/>
      <c r="AJ6" s="2831"/>
      <c r="AK6" s="2831"/>
      <c r="AL6" s="2831"/>
      <c r="AM6" s="2831"/>
      <c r="AN6" s="2831"/>
      <c r="AO6" s="2819"/>
      <c r="AP6" s="2829" t="s">
        <v>2790</v>
      </c>
      <c r="AQ6" s="2832"/>
      <c r="AR6" s="2832"/>
      <c r="AS6" s="2832"/>
      <c r="AT6" s="2832"/>
      <c r="AU6" s="2830"/>
      <c r="AV6" s="2817" t="s">
        <v>1032</v>
      </c>
      <c r="AW6" s="2817"/>
      <c r="AX6" s="2818" t="s">
        <v>2789</v>
      </c>
      <c r="AY6" s="2831"/>
      <c r="AZ6" s="2831"/>
      <c r="BA6" s="2831"/>
      <c r="BB6" s="2831"/>
      <c r="BC6" s="2831"/>
      <c r="BD6" s="2831"/>
      <c r="BE6" s="2831"/>
      <c r="BF6" s="2831"/>
      <c r="BG6" s="2819"/>
      <c r="BH6" s="2829" t="s">
        <v>2790</v>
      </c>
      <c r="BI6" s="2832"/>
      <c r="BJ6" s="2832"/>
      <c r="BK6" s="2832"/>
      <c r="BL6" s="2832"/>
      <c r="BM6" s="2830"/>
    </row>
    <row r="7" spans="1:65" s="1542" customFormat="1" ht="27" customHeight="1">
      <c r="A7" s="2828"/>
      <c r="B7" s="2820"/>
      <c r="C7" s="2821"/>
      <c r="D7" s="2825" t="s">
        <v>990</v>
      </c>
      <c r="E7" s="2825"/>
      <c r="F7" s="2825"/>
      <c r="G7" s="2817" t="s">
        <v>991</v>
      </c>
      <c r="H7" s="2817" t="s">
        <v>992</v>
      </c>
      <c r="I7" s="2817" t="s">
        <v>2788</v>
      </c>
      <c r="J7" s="2817" t="s">
        <v>1033</v>
      </c>
      <c r="K7" s="2817"/>
      <c r="L7" s="2817"/>
      <c r="M7" s="2817"/>
      <c r="N7" s="2818" t="s">
        <v>1034</v>
      </c>
      <c r="O7" s="2831"/>
      <c r="P7" s="2831"/>
      <c r="Q7" s="2831"/>
      <c r="R7" s="2831"/>
      <c r="S7" s="2831"/>
      <c r="T7" s="2831"/>
      <c r="U7" s="2831"/>
      <c r="V7" s="2831"/>
      <c r="W7" s="2819"/>
      <c r="X7" s="2822"/>
      <c r="Y7" s="2833"/>
      <c r="Z7" s="2833"/>
      <c r="AA7" s="2833"/>
      <c r="AB7" s="2833"/>
      <c r="AC7" s="2823"/>
      <c r="AD7" s="2817"/>
      <c r="AE7" s="2817"/>
      <c r="AF7" s="2817" t="s">
        <v>3305</v>
      </c>
      <c r="AG7" s="2817"/>
      <c r="AH7" s="2817" t="s">
        <v>1035</v>
      </c>
      <c r="AI7" s="2817"/>
      <c r="AJ7" s="2817" t="s">
        <v>144</v>
      </c>
      <c r="AK7" s="2817"/>
      <c r="AL7" s="2817" t="s">
        <v>2152</v>
      </c>
      <c r="AM7" s="2817"/>
      <c r="AN7" s="2817" t="s">
        <v>3425</v>
      </c>
      <c r="AO7" s="2817"/>
      <c r="AP7" s="2822"/>
      <c r="AQ7" s="2833"/>
      <c r="AR7" s="2833"/>
      <c r="AS7" s="2833"/>
      <c r="AT7" s="2833"/>
      <c r="AU7" s="2823"/>
      <c r="AV7" s="2817"/>
      <c r="AW7" s="2817"/>
      <c r="AX7" s="2817" t="s">
        <v>3305</v>
      </c>
      <c r="AY7" s="2817"/>
      <c r="AZ7" s="2817" t="s">
        <v>1035</v>
      </c>
      <c r="BA7" s="2817"/>
      <c r="BB7" s="2817" t="s">
        <v>144</v>
      </c>
      <c r="BC7" s="2817"/>
      <c r="BD7" s="2817" t="s">
        <v>2154</v>
      </c>
      <c r="BE7" s="2817"/>
      <c r="BF7" s="2817" t="s">
        <v>3425</v>
      </c>
      <c r="BG7" s="2817"/>
      <c r="BH7" s="2822"/>
      <c r="BI7" s="2833"/>
      <c r="BJ7" s="2833"/>
      <c r="BK7" s="2833"/>
      <c r="BL7" s="2833"/>
      <c r="BM7" s="2823"/>
    </row>
    <row r="8" spans="1:65" s="1542" customFormat="1" ht="28.5" customHeight="1">
      <c r="A8" s="2828"/>
      <c r="B8" s="2820"/>
      <c r="C8" s="2821"/>
      <c r="D8" s="2824" t="s">
        <v>1137</v>
      </c>
      <c r="E8" s="2824" t="s">
        <v>3926</v>
      </c>
      <c r="F8" s="2825" t="s">
        <v>1138</v>
      </c>
      <c r="G8" s="2817"/>
      <c r="H8" s="2817"/>
      <c r="I8" s="2817"/>
      <c r="J8" s="2817" t="s">
        <v>3305</v>
      </c>
      <c r="K8" s="2817"/>
      <c r="L8" s="2817" t="s">
        <v>1035</v>
      </c>
      <c r="M8" s="2817"/>
      <c r="N8" s="2817" t="s">
        <v>3305</v>
      </c>
      <c r="O8" s="2817"/>
      <c r="P8" s="2817" t="s">
        <v>1035</v>
      </c>
      <c r="Q8" s="2817"/>
      <c r="R8" s="2817" t="s">
        <v>144</v>
      </c>
      <c r="S8" s="2817"/>
      <c r="T8" s="2817" t="s">
        <v>2152</v>
      </c>
      <c r="U8" s="2817"/>
      <c r="V8" s="2817" t="s">
        <v>3425</v>
      </c>
      <c r="W8" s="2817"/>
      <c r="X8" s="2818" t="s">
        <v>155</v>
      </c>
      <c r="Y8" s="2819"/>
      <c r="Z8" s="2818" t="s">
        <v>1033</v>
      </c>
      <c r="AA8" s="2819"/>
      <c r="AB8" s="2818" t="s">
        <v>3778</v>
      </c>
      <c r="AC8" s="2819"/>
      <c r="AD8" s="2817" t="s">
        <v>992</v>
      </c>
      <c r="AE8" s="2817" t="s">
        <v>2788</v>
      </c>
      <c r="AF8" s="2817" t="s">
        <v>992</v>
      </c>
      <c r="AG8" s="2817" t="s">
        <v>2788</v>
      </c>
      <c r="AH8" s="2817" t="s">
        <v>992</v>
      </c>
      <c r="AI8" s="2817" t="s">
        <v>2788</v>
      </c>
      <c r="AJ8" s="2820" t="s">
        <v>3085</v>
      </c>
      <c r="AK8" s="2821"/>
      <c r="AL8" s="2817" t="s">
        <v>992</v>
      </c>
      <c r="AM8" s="2817" t="s">
        <v>2788</v>
      </c>
      <c r="AN8" s="2817" t="s">
        <v>992</v>
      </c>
      <c r="AO8" s="2817" t="s">
        <v>2788</v>
      </c>
      <c r="AP8" s="2818" t="s">
        <v>155</v>
      </c>
      <c r="AQ8" s="2819"/>
      <c r="AR8" s="2818" t="s">
        <v>1033</v>
      </c>
      <c r="AS8" s="2819"/>
      <c r="AT8" s="2818" t="s">
        <v>3778</v>
      </c>
      <c r="AU8" s="2819"/>
      <c r="AV8" s="2817" t="s">
        <v>992</v>
      </c>
      <c r="AW8" s="2817" t="s">
        <v>2788</v>
      </c>
      <c r="AX8" s="2817" t="s">
        <v>992</v>
      </c>
      <c r="AY8" s="2817" t="s">
        <v>2788</v>
      </c>
      <c r="AZ8" s="2817" t="s">
        <v>992</v>
      </c>
      <c r="BA8" s="2817" t="s">
        <v>2788</v>
      </c>
      <c r="BB8" s="2820" t="s">
        <v>3085</v>
      </c>
      <c r="BC8" s="2821"/>
      <c r="BD8" s="2817" t="s">
        <v>992</v>
      </c>
      <c r="BE8" s="2817" t="s">
        <v>2788</v>
      </c>
      <c r="BF8" s="2817" t="s">
        <v>992</v>
      </c>
      <c r="BG8" s="2817" t="s">
        <v>2788</v>
      </c>
      <c r="BH8" s="2818" t="s">
        <v>155</v>
      </c>
      <c r="BI8" s="2819"/>
      <c r="BJ8" s="2818" t="s">
        <v>1033</v>
      </c>
      <c r="BK8" s="2819"/>
      <c r="BL8" s="2818" t="s">
        <v>3778</v>
      </c>
      <c r="BM8" s="2819"/>
    </row>
    <row r="9" spans="1:65" s="1542" customFormat="1" ht="24" customHeight="1">
      <c r="A9" s="2828"/>
      <c r="B9" s="2817" t="s">
        <v>155</v>
      </c>
      <c r="C9" s="2817" t="s">
        <v>3779</v>
      </c>
      <c r="D9" s="2824"/>
      <c r="E9" s="2824"/>
      <c r="F9" s="2825"/>
      <c r="G9" s="2817"/>
      <c r="H9" s="2817"/>
      <c r="I9" s="2817"/>
      <c r="J9" s="2815" t="s">
        <v>992</v>
      </c>
      <c r="K9" s="2815" t="s">
        <v>2788</v>
      </c>
      <c r="L9" s="2815" t="s">
        <v>992</v>
      </c>
      <c r="M9" s="2815" t="s">
        <v>2788</v>
      </c>
      <c r="N9" s="2815" t="s">
        <v>992</v>
      </c>
      <c r="O9" s="2815" t="s">
        <v>2788</v>
      </c>
      <c r="P9" s="2815" t="s">
        <v>992</v>
      </c>
      <c r="Q9" s="2815" t="s">
        <v>2788</v>
      </c>
      <c r="R9" s="2817" t="s">
        <v>3085</v>
      </c>
      <c r="S9" s="2817"/>
      <c r="T9" s="2815" t="s">
        <v>992</v>
      </c>
      <c r="U9" s="2815" t="s">
        <v>2788</v>
      </c>
      <c r="V9" s="2815" t="s">
        <v>992</v>
      </c>
      <c r="W9" s="2815" t="s">
        <v>2788</v>
      </c>
      <c r="X9" s="2815" t="s">
        <v>992</v>
      </c>
      <c r="Y9" s="2815" t="s">
        <v>2788</v>
      </c>
      <c r="Z9" s="2815" t="s">
        <v>992</v>
      </c>
      <c r="AA9" s="2815" t="s">
        <v>2788</v>
      </c>
      <c r="AB9" s="2815" t="s">
        <v>992</v>
      </c>
      <c r="AC9" s="2815" t="s">
        <v>2788</v>
      </c>
      <c r="AD9" s="2817"/>
      <c r="AE9" s="2817"/>
      <c r="AF9" s="2817"/>
      <c r="AG9" s="2817"/>
      <c r="AH9" s="2817"/>
      <c r="AI9" s="2817"/>
      <c r="AJ9" s="2822"/>
      <c r="AK9" s="2823"/>
      <c r="AL9" s="2817"/>
      <c r="AM9" s="2817"/>
      <c r="AN9" s="2817"/>
      <c r="AO9" s="2817"/>
      <c r="AP9" s="2815" t="s">
        <v>992</v>
      </c>
      <c r="AQ9" s="2815" t="s">
        <v>2788</v>
      </c>
      <c r="AR9" s="2815" t="s">
        <v>992</v>
      </c>
      <c r="AS9" s="2815" t="s">
        <v>2788</v>
      </c>
      <c r="AT9" s="2815" t="s">
        <v>992</v>
      </c>
      <c r="AU9" s="2815" t="s">
        <v>2788</v>
      </c>
      <c r="AV9" s="2817"/>
      <c r="AW9" s="2817"/>
      <c r="AX9" s="2817"/>
      <c r="AY9" s="2817"/>
      <c r="AZ9" s="2817"/>
      <c r="BA9" s="2817"/>
      <c r="BB9" s="2822"/>
      <c r="BC9" s="2823"/>
      <c r="BD9" s="2817"/>
      <c r="BE9" s="2817"/>
      <c r="BF9" s="2817"/>
      <c r="BG9" s="2817"/>
      <c r="BH9" s="2815" t="s">
        <v>992</v>
      </c>
      <c r="BI9" s="2815" t="s">
        <v>2788</v>
      </c>
      <c r="BJ9" s="2815" t="s">
        <v>992</v>
      </c>
      <c r="BK9" s="2815" t="s">
        <v>2788</v>
      </c>
      <c r="BL9" s="2815" t="s">
        <v>992</v>
      </c>
      <c r="BM9" s="2815" t="s">
        <v>2788</v>
      </c>
    </row>
    <row r="10" spans="1:65" s="1542" customFormat="1" ht="24" customHeight="1">
      <c r="A10" s="2828"/>
      <c r="B10" s="2817"/>
      <c r="C10" s="2817"/>
      <c r="D10" s="2824"/>
      <c r="E10" s="2824"/>
      <c r="F10" s="2825"/>
      <c r="G10" s="2817"/>
      <c r="H10" s="2817"/>
      <c r="I10" s="2817"/>
      <c r="J10" s="2816"/>
      <c r="K10" s="2816"/>
      <c r="L10" s="2816"/>
      <c r="M10" s="2816"/>
      <c r="N10" s="2816"/>
      <c r="O10" s="2816"/>
      <c r="P10" s="2816"/>
      <c r="Q10" s="2816"/>
      <c r="R10" s="1534" t="s">
        <v>992</v>
      </c>
      <c r="S10" s="1534" t="s">
        <v>2788</v>
      </c>
      <c r="T10" s="2816"/>
      <c r="U10" s="2816"/>
      <c r="V10" s="2816"/>
      <c r="W10" s="2816"/>
      <c r="X10" s="2816"/>
      <c r="Y10" s="2816"/>
      <c r="Z10" s="2816"/>
      <c r="AA10" s="2816"/>
      <c r="AB10" s="2816"/>
      <c r="AC10" s="2816"/>
      <c r="AD10" s="2817"/>
      <c r="AE10" s="2817"/>
      <c r="AF10" s="2817"/>
      <c r="AG10" s="2817"/>
      <c r="AH10" s="2817"/>
      <c r="AI10" s="2817"/>
      <c r="AJ10" s="1534" t="s">
        <v>992</v>
      </c>
      <c r="AK10" s="1534" t="s">
        <v>2788</v>
      </c>
      <c r="AL10" s="2817"/>
      <c r="AM10" s="2817"/>
      <c r="AN10" s="2817"/>
      <c r="AO10" s="2817"/>
      <c r="AP10" s="2816"/>
      <c r="AQ10" s="2816"/>
      <c r="AR10" s="2816"/>
      <c r="AS10" s="2816"/>
      <c r="AT10" s="2816"/>
      <c r="AU10" s="2816"/>
      <c r="AV10" s="2817"/>
      <c r="AW10" s="2817"/>
      <c r="AX10" s="2817"/>
      <c r="AY10" s="2817"/>
      <c r="AZ10" s="2817"/>
      <c r="BA10" s="2817"/>
      <c r="BB10" s="1534" t="s">
        <v>992</v>
      </c>
      <c r="BC10" s="1534" t="s">
        <v>2788</v>
      </c>
      <c r="BD10" s="2817"/>
      <c r="BE10" s="2817"/>
      <c r="BF10" s="2817"/>
      <c r="BG10" s="2817"/>
      <c r="BH10" s="2816"/>
      <c r="BI10" s="2816"/>
      <c r="BJ10" s="2816"/>
      <c r="BK10" s="2816"/>
      <c r="BL10" s="2816"/>
      <c r="BM10" s="2816"/>
    </row>
    <row r="11" spans="1:65" ht="29.25" customHeight="1">
      <c r="A11" s="2811" t="s">
        <v>289</v>
      </c>
      <c r="B11" s="2797" t="s">
        <v>1189</v>
      </c>
      <c r="C11" s="2801"/>
      <c r="D11" s="2812" t="s">
        <v>1036</v>
      </c>
      <c r="E11" s="2812"/>
      <c r="F11" s="2812"/>
      <c r="G11" s="2812"/>
      <c r="H11" s="2799" t="s">
        <v>1037</v>
      </c>
      <c r="I11" s="2799"/>
      <c r="J11" s="2806" t="s">
        <v>2793</v>
      </c>
      <c r="K11" s="2810"/>
      <c r="L11" s="2810"/>
      <c r="M11" s="2810"/>
      <c r="N11" s="2810"/>
      <c r="O11" s="2810"/>
      <c r="P11" s="2810"/>
      <c r="Q11" s="2810"/>
      <c r="R11" s="2810"/>
      <c r="S11" s="2810"/>
      <c r="T11" s="2810"/>
      <c r="U11" s="2810"/>
      <c r="V11" s="2810"/>
      <c r="W11" s="2807"/>
      <c r="X11" s="2797" t="s">
        <v>2794</v>
      </c>
      <c r="Y11" s="2808"/>
      <c r="Z11" s="2808"/>
      <c r="AA11" s="2808"/>
      <c r="AB11" s="2808"/>
      <c r="AC11" s="2801"/>
      <c r="AD11" s="2799" t="s">
        <v>993</v>
      </c>
      <c r="AE11" s="2799"/>
      <c r="AF11" s="2806" t="s">
        <v>1038</v>
      </c>
      <c r="AG11" s="2810"/>
      <c r="AH11" s="2810"/>
      <c r="AI11" s="2810"/>
      <c r="AJ11" s="2810"/>
      <c r="AK11" s="2810"/>
      <c r="AL11" s="2810"/>
      <c r="AM11" s="2810"/>
      <c r="AN11" s="2810"/>
      <c r="AO11" s="2807"/>
      <c r="AP11" s="2797" t="s">
        <v>2794</v>
      </c>
      <c r="AQ11" s="2808"/>
      <c r="AR11" s="2808"/>
      <c r="AS11" s="2808"/>
      <c r="AT11" s="2808"/>
      <c r="AU11" s="2801"/>
      <c r="AV11" s="2799" t="s">
        <v>3086</v>
      </c>
      <c r="AW11" s="2799"/>
      <c r="AX11" s="2806" t="s">
        <v>1039</v>
      </c>
      <c r="AY11" s="2810"/>
      <c r="AZ11" s="2810"/>
      <c r="BA11" s="2810"/>
      <c r="BB11" s="2810"/>
      <c r="BC11" s="2810"/>
      <c r="BD11" s="2810"/>
      <c r="BE11" s="2810"/>
      <c r="BF11" s="2810"/>
      <c r="BG11" s="2807"/>
      <c r="BH11" s="2797" t="s">
        <v>2794</v>
      </c>
      <c r="BI11" s="2808"/>
      <c r="BJ11" s="2808"/>
      <c r="BK11" s="2808"/>
      <c r="BL11" s="2808"/>
      <c r="BM11" s="2801"/>
    </row>
    <row r="12" spans="1:65" ht="15.75" customHeight="1">
      <c r="A12" s="2811"/>
      <c r="B12" s="2798"/>
      <c r="C12" s="2802"/>
      <c r="D12" s="2813" t="s">
        <v>1040</v>
      </c>
      <c r="E12" s="2813"/>
      <c r="F12" s="2813"/>
      <c r="G12" s="2799" t="s">
        <v>1041</v>
      </c>
      <c r="H12" s="2799" t="s">
        <v>994</v>
      </c>
      <c r="I12" s="2799" t="s">
        <v>995</v>
      </c>
      <c r="J12" s="2799" t="s">
        <v>1042</v>
      </c>
      <c r="K12" s="2799"/>
      <c r="L12" s="2799"/>
      <c r="M12" s="2799"/>
      <c r="N12" s="2806" t="s">
        <v>1043</v>
      </c>
      <c r="O12" s="2810"/>
      <c r="P12" s="2810"/>
      <c r="Q12" s="2810"/>
      <c r="R12" s="2810"/>
      <c r="S12" s="2810"/>
      <c r="T12" s="2810"/>
      <c r="U12" s="2810"/>
      <c r="V12" s="2810"/>
      <c r="W12" s="2807"/>
      <c r="X12" s="2798"/>
      <c r="Y12" s="2809"/>
      <c r="Z12" s="2809"/>
      <c r="AA12" s="2809"/>
      <c r="AB12" s="2809"/>
      <c r="AC12" s="2802"/>
      <c r="AD12" s="2799"/>
      <c r="AE12" s="2799"/>
      <c r="AF12" s="2799" t="s">
        <v>1044</v>
      </c>
      <c r="AG12" s="2799"/>
      <c r="AH12" s="2799" t="s">
        <v>3306</v>
      </c>
      <c r="AI12" s="2799"/>
      <c r="AJ12" s="2806" t="s">
        <v>1023</v>
      </c>
      <c r="AK12" s="2807"/>
      <c r="AL12" s="2806" t="s">
        <v>2153</v>
      </c>
      <c r="AM12" s="2807"/>
      <c r="AN12" s="2806" t="s">
        <v>3426</v>
      </c>
      <c r="AO12" s="2807"/>
      <c r="AP12" s="2798"/>
      <c r="AQ12" s="2809"/>
      <c r="AR12" s="2809"/>
      <c r="AS12" s="2809"/>
      <c r="AT12" s="2809"/>
      <c r="AU12" s="2802"/>
      <c r="AV12" s="2799"/>
      <c r="AW12" s="2799"/>
      <c r="AX12" s="2799" t="s">
        <v>1045</v>
      </c>
      <c r="AY12" s="2799"/>
      <c r="AZ12" s="2799" t="s">
        <v>3306</v>
      </c>
      <c r="BA12" s="2799"/>
      <c r="BB12" s="2806" t="s">
        <v>1023</v>
      </c>
      <c r="BC12" s="2807"/>
      <c r="BD12" s="2806" t="s">
        <v>2153</v>
      </c>
      <c r="BE12" s="2807"/>
      <c r="BF12" s="2806" t="s">
        <v>3426</v>
      </c>
      <c r="BG12" s="2807"/>
      <c r="BH12" s="2798"/>
      <c r="BI12" s="2809"/>
      <c r="BJ12" s="2809"/>
      <c r="BK12" s="2809"/>
      <c r="BL12" s="2809"/>
      <c r="BM12" s="2802"/>
    </row>
    <row r="13" spans="1:65" ht="29.25" customHeight="1">
      <c r="A13" s="2811"/>
      <c r="B13" s="2804" t="s">
        <v>105</v>
      </c>
      <c r="C13" s="2804" t="s">
        <v>4004</v>
      </c>
      <c r="D13" s="2812" t="s">
        <v>1046</v>
      </c>
      <c r="E13" s="2812" t="s">
        <v>1136</v>
      </c>
      <c r="F13" s="2813" t="s">
        <v>1047</v>
      </c>
      <c r="G13" s="2799"/>
      <c r="H13" s="2799"/>
      <c r="I13" s="2799"/>
      <c r="J13" s="2799" t="s">
        <v>1044</v>
      </c>
      <c r="K13" s="2799"/>
      <c r="L13" s="2799" t="s">
        <v>3306</v>
      </c>
      <c r="M13" s="2799"/>
      <c r="N13" s="2799" t="s">
        <v>1044</v>
      </c>
      <c r="O13" s="2799"/>
      <c r="P13" s="2799" t="s">
        <v>3306</v>
      </c>
      <c r="Q13" s="2799"/>
      <c r="R13" s="2806" t="s">
        <v>1023</v>
      </c>
      <c r="S13" s="2807"/>
      <c r="T13" s="2806" t="s">
        <v>2153</v>
      </c>
      <c r="U13" s="2807"/>
      <c r="V13" s="2806" t="s">
        <v>3426</v>
      </c>
      <c r="W13" s="2807"/>
      <c r="X13" s="2806" t="s">
        <v>105</v>
      </c>
      <c r="Y13" s="2807"/>
      <c r="Z13" s="2806" t="s">
        <v>1042</v>
      </c>
      <c r="AA13" s="2807"/>
      <c r="AB13" s="2806" t="s">
        <v>1043</v>
      </c>
      <c r="AC13" s="2807"/>
      <c r="AD13" s="2799" t="s">
        <v>994</v>
      </c>
      <c r="AE13" s="2799" t="s">
        <v>995</v>
      </c>
      <c r="AF13" s="2799" t="s">
        <v>994</v>
      </c>
      <c r="AG13" s="2799" t="s">
        <v>995</v>
      </c>
      <c r="AH13" s="2799" t="s">
        <v>994</v>
      </c>
      <c r="AI13" s="2799" t="s">
        <v>995</v>
      </c>
      <c r="AJ13" s="2806" t="s">
        <v>4003</v>
      </c>
      <c r="AK13" s="2807"/>
      <c r="AL13" s="2799" t="s">
        <v>994</v>
      </c>
      <c r="AM13" s="2799" t="s">
        <v>995</v>
      </c>
      <c r="AN13" s="2799" t="s">
        <v>994</v>
      </c>
      <c r="AO13" s="2799" t="s">
        <v>995</v>
      </c>
      <c r="AP13" s="2806" t="s">
        <v>105</v>
      </c>
      <c r="AQ13" s="2807"/>
      <c r="AR13" s="2806" t="s">
        <v>1042</v>
      </c>
      <c r="AS13" s="2807"/>
      <c r="AT13" s="2806" t="s">
        <v>1043</v>
      </c>
      <c r="AU13" s="2807"/>
      <c r="AV13" s="2799" t="s">
        <v>994</v>
      </c>
      <c r="AW13" s="2799" t="s">
        <v>995</v>
      </c>
      <c r="AX13" s="2799" t="s">
        <v>994</v>
      </c>
      <c r="AY13" s="2799" t="s">
        <v>995</v>
      </c>
      <c r="AZ13" s="2799" t="s">
        <v>994</v>
      </c>
      <c r="BA13" s="2799" t="s">
        <v>995</v>
      </c>
      <c r="BB13" s="2806" t="s">
        <v>4003</v>
      </c>
      <c r="BC13" s="2807"/>
      <c r="BD13" s="2799" t="s">
        <v>994</v>
      </c>
      <c r="BE13" s="2799" t="s">
        <v>995</v>
      </c>
      <c r="BF13" s="2799" t="s">
        <v>994</v>
      </c>
      <c r="BG13" s="2799" t="s">
        <v>995</v>
      </c>
      <c r="BH13" s="2806" t="s">
        <v>105</v>
      </c>
      <c r="BI13" s="2807"/>
      <c r="BJ13" s="2806" t="s">
        <v>1042</v>
      </c>
      <c r="BK13" s="2807"/>
      <c r="BL13" s="2806" t="s">
        <v>1043</v>
      </c>
      <c r="BM13" s="2807"/>
    </row>
    <row r="14" spans="1:65" ht="19.5" customHeight="1">
      <c r="A14" s="2811"/>
      <c r="B14" s="2814"/>
      <c r="C14" s="2814"/>
      <c r="D14" s="2812"/>
      <c r="E14" s="2812"/>
      <c r="F14" s="2813"/>
      <c r="G14" s="2799"/>
      <c r="H14" s="2799"/>
      <c r="I14" s="2799"/>
      <c r="J14" s="2804" t="s">
        <v>994</v>
      </c>
      <c r="K14" s="2804" t="s">
        <v>995</v>
      </c>
      <c r="L14" s="2804" t="s">
        <v>994</v>
      </c>
      <c r="M14" s="2804" t="s">
        <v>995</v>
      </c>
      <c r="N14" s="2804" t="s">
        <v>994</v>
      </c>
      <c r="O14" s="2804" t="s">
        <v>995</v>
      </c>
      <c r="P14" s="2804" t="s">
        <v>994</v>
      </c>
      <c r="Q14" s="2804" t="s">
        <v>995</v>
      </c>
      <c r="R14" s="2806" t="s">
        <v>4003</v>
      </c>
      <c r="S14" s="2807"/>
      <c r="T14" s="2797" t="s">
        <v>994</v>
      </c>
      <c r="U14" s="2799" t="s">
        <v>995</v>
      </c>
      <c r="V14" s="2797" t="s">
        <v>994</v>
      </c>
      <c r="W14" s="2799" t="s">
        <v>995</v>
      </c>
      <c r="X14" s="2799" t="s">
        <v>994</v>
      </c>
      <c r="Y14" s="2799" t="s">
        <v>995</v>
      </c>
      <c r="Z14" s="2799" t="s">
        <v>994</v>
      </c>
      <c r="AA14" s="2799" t="s">
        <v>995</v>
      </c>
      <c r="AB14" s="2799" t="s">
        <v>994</v>
      </c>
      <c r="AC14" s="2799" t="s">
        <v>995</v>
      </c>
      <c r="AD14" s="2799"/>
      <c r="AE14" s="2799"/>
      <c r="AF14" s="2799"/>
      <c r="AG14" s="2799"/>
      <c r="AH14" s="2799"/>
      <c r="AI14" s="2799"/>
      <c r="AJ14" s="2797" t="s">
        <v>994</v>
      </c>
      <c r="AK14" s="2799" t="s">
        <v>995</v>
      </c>
      <c r="AL14" s="2799"/>
      <c r="AM14" s="2799"/>
      <c r="AN14" s="2799"/>
      <c r="AO14" s="2799"/>
      <c r="AP14" s="2799" t="s">
        <v>994</v>
      </c>
      <c r="AQ14" s="2801" t="s">
        <v>995</v>
      </c>
      <c r="AR14" s="2799" t="s">
        <v>994</v>
      </c>
      <c r="AS14" s="2799" t="s">
        <v>995</v>
      </c>
      <c r="AT14" s="2799" t="s">
        <v>994</v>
      </c>
      <c r="AU14" s="2799" t="s">
        <v>995</v>
      </c>
      <c r="AV14" s="2799"/>
      <c r="AW14" s="2799"/>
      <c r="AX14" s="2799"/>
      <c r="AY14" s="2799"/>
      <c r="AZ14" s="2799"/>
      <c r="BA14" s="2799"/>
      <c r="BB14" s="2799" t="s">
        <v>994</v>
      </c>
      <c r="BC14" s="2801" t="s">
        <v>995</v>
      </c>
      <c r="BD14" s="2799"/>
      <c r="BE14" s="2799"/>
      <c r="BF14" s="2799"/>
      <c r="BG14" s="2799"/>
      <c r="BH14" s="2797" t="s">
        <v>994</v>
      </c>
      <c r="BI14" s="2799" t="s">
        <v>995</v>
      </c>
      <c r="BJ14" s="2797" t="s">
        <v>994</v>
      </c>
      <c r="BK14" s="2799" t="s">
        <v>995</v>
      </c>
      <c r="BL14" s="2797" t="s">
        <v>994</v>
      </c>
      <c r="BM14" s="2799" t="s">
        <v>995</v>
      </c>
    </row>
    <row r="15" spans="1:65" ht="42" customHeight="1">
      <c r="A15" s="2811"/>
      <c r="B15" s="2805"/>
      <c r="C15" s="2805"/>
      <c r="D15" s="2812"/>
      <c r="E15" s="2812"/>
      <c r="F15" s="2813"/>
      <c r="G15" s="2799"/>
      <c r="H15" s="2799"/>
      <c r="I15" s="2799"/>
      <c r="J15" s="2805"/>
      <c r="K15" s="2805"/>
      <c r="L15" s="2805"/>
      <c r="M15" s="2805"/>
      <c r="N15" s="2805"/>
      <c r="O15" s="2805"/>
      <c r="P15" s="2805"/>
      <c r="Q15" s="2805"/>
      <c r="R15" s="1535" t="s">
        <v>994</v>
      </c>
      <c r="S15" s="1535" t="s">
        <v>995</v>
      </c>
      <c r="T15" s="2803"/>
      <c r="U15" s="2799"/>
      <c r="V15" s="2803"/>
      <c r="W15" s="2799"/>
      <c r="X15" s="2799"/>
      <c r="Y15" s="2799"/>
      <c r="Z15" s="2799"/>
      <c r="AA15" s="2799"/>
      <c r="AB15" s="2799"/>
      <c r="AC15" s="2799"/>
      <c r="AD15" s="2799"/>
      <c r="AE15" s="2799"/>
      <c r="AF15" s="2799"/>
      <c r="AG15" s="2799"/>
      <c r="AH15" s="2799"/>
      <c r="AI15" s="2799"/>
      <c r="AJ15" s="2798"/>
      <c r="AK15" s="2799"/>
      <c r="AL15" s="2799"/>
      <c r="AM15" s="2799"/>
      <c r="AN15" s="2799"/>
      <c r="AO15" s="2799"/>
      <c r="AP15" s="2799"/>
      <c r="AQ15" s="2802"/>
      <c r="AR15" s="2799"/>
      <c r="AS15" s="2799"/>
      <c r="AT15" s="2799"/>
      <c r="AU15" s="2799"/>
      <c r="AV15" s="2799"/>
      <c r="AW15" s="2799"/>
      <c r="AX15" s="2799"/>
      <c r="AY15" s="2799"/>
      <c r="AZ15" s="2799"/>
      <c r="BA15" s="2799"/>
      <c r="BB15" s="2799"/>
      <c r="BC15" s="2802"/>
      <c r="BD15" s="2799"/>
      <c r="BE15" s="2799"/>
      <c r="BF15" s="2799"/>
      <c r="BG15" s="2799"/>
      <c r="BH15" s="2798"/>
      <c r="BI15" s="2799"/>
      <c r="BJ15" s="2798"/>
      <c r="BK15" s="2799"/>
      <c r="BL15" s="2798"/>
      <c r="BM15" s="2799"/>
    </row>
    <row r="16" spans="1:65" ht="38.25" hidden="1" customHeight="1">
      <c r="A16" s="1654" t="s">
        <v>114</v>
      </c>
      <c r="B16" s="1652">
        <v>3626</v>
      </c>
      <c r="C16" s="1652"/>
      <c r="D16" s="1652"/>
      <c r="E16" s="1652"/>
      <c r="F16" s="1652"/>
      <c r="G16" s="1652">
        <v>103.4</v>
      </c>
      <c r="H16" s="1652">
        <v>38510</v>
      </c>
      <c r="I16" s="1652">
        <v>4122</v>
      </c>
      <c r="J16" s="1652">
        <v>36272</v>
      </c>
      <c r="K16" s="1652">
        <v>3575</v>
      </c>
      <c r="L16" s="1652">
        <v>500</v>
      </c>
      <c r="M16" s="1652">
        <v>224</v>
      </c>
      <c r="N16" s="1652">
        <v>500</v>
      </c>
      <c r="O16" s="1652">
        <v>17</v>
      </c>
      <c r="P16" s="1652">
        <v>288</v>
      </c>
      <c r="Q16" s="1652">
        <v>66</v>
      </c>
      <c r="R16" s="1535" t="s">
        <v>994</v>
      </c>
      <c r="S16" s="1535" t="s">
        <v>995</v>
      </c>
      <c r="T16" s="2798"/>
      <c r="U16" s="2799"/>
      <c r="V16" s="2798"/>
      <c r="W16" s="2799"/>
      <c r="X16" s="1652">
        <v>950</v>
      </c>
      <c r="Y16" s="1652">
        <v>240</v>
      </c>
      <c r="Z16" s="1652"/>
      <c r="AA16" s="1652"/>
      <c r="AB16" s="1652"/>
      <c r="AC16" s="1652"/>
      <c r="AD16" s="1652">
        <v>36861</v>
      </c>
      <c r="AE16" s="1652">
        <v>3671</v>
      </c>
      <c r="AF16" s="1652">
        <v>35844</v>
      </c>
      <c r="AG16" s="1652">
        <v>3420</v>
      </c>
      <c r="AH16" s="1652">
        <v>672</v>
      </c>
      <c r="AI16" s="1652">
        <v>187</v>
      </c>
      <c r="AJ16" s="1652"/>
      <c r="AK16" s="1652"/>
      <c r="AL16" s="1652"/>
      <c r="AM16" s="1652"/>
      <c r="AN16" s="1652"/>
      <c r="AO16" s="1652"/>
      <c r="AP16" s="1652"/>
      <c r="AQ16" s="1652"/>
      <c r="AR16" s="1652"/>
      <c r="AS16" s="1652"/>
      <c r="AT16" s="1652"/>
      <c r="AU16" s="1652"/>
      <c r="AV16" s="1652">
        <v>1648</v>
      </c>
      <c r="AW16" s="1652">
        <v>452</v>
      </c>
      <c r="AX16" s="1652">
        <v>927</v>
      </c>
      <c r="AY16" s="1652">
        <v>172</v>
      </c>
      <c r="AZ16" s="1652"/>
      <c r="BA16" s="1652"/>
      <c r="BB16" s="1652"/>
      <c r="BC16" s="1652"/>
      <c r="BD16" s="1652"/>
      <c r="BE16" s="1652"/>
      <c r="BF16" s="1652"/>
      <c r="BG16" s="1652"/>
      <c r="BH16" s="1652">
        <v>116</v>
      </c>
      <c r="BI16" s="607">
        <v>103</v>
      </c>
      <c r="BJ16" s="1652"/>
      <c r="BK16" s="1652"/>
      <c r="BL16" s="1652"/>
      <c r="BM16" s="607"/>
    </row>
    <row r="17" spans="1:65" hidden="1">
      <c r="A17" s="1653" t="s">
        <v>43</v>
      </c>
      <c r="B17" s="1651">
        <v>3974</v>
      </c>
      <c r="C17" s="1651"/>
      <c r="D17" s="1651"/>
      <c r="E17" s="1651"/>
      <c r="F17" s="1651"/>
      <c r="G17" s="1651">
        <v>129</v>
      </c>
      <c r="H17" s="1651">
        <v>45291</v>
      </c>
      <c r="I17" s="1651">
        <v>5454</v>
      </c>
      <c r="J17" s="1651">
        <v>41838</v>
      </c>
      <c r="K17" s="1651">
        <v>4794</v>
      </c>
      <c r="L17" s="1651">
        <v>526</v>
      </c>
      <c r="M17" s="1651">
        <v>240</v>
      </c>
      <c r="N17" s="1651">
        <v>803</v>
      </c>
      <c r="O17" s="1651">
        <v>30</v>
      </c>
      <c r="P17" s="1651">
        <v>798</v>
      </c>
      <c r="Q17" s="1651">
        <v>92</v>
      </c>
      <c r="R17" s="1652"/>
      <c r="S17" s="1652"/>
      <c r="T17" s="1651"/>
      <c r="U17" s="1651"/>
      <c r="V17" s="1651"/>
      <c r="W17" s="1651"/>
      <c r="X17" s="1651">
        <v>1326</v>
      </c>
      <c r="Y17" s="1651">
        <v>298</v>
      </c>
      <c r="Z17" s="1651"/>
      <c r="AA17" s="1651"/>
      <c r="AB17" s="1651"/>
      <c r="AC17" s="1651"/>
      <c r="AD17" s="1651">
        <v>43299</v>
      </c>
      <c r="AE17" s="1651">
        <v>4922</v>
      </c>
      <c r="AF17" s="1651">
        <v>41745</v>
      </c>
      <c r="AG17" s="1651">
        <v>4653</v>
      </c>
      <c r="AH17" s="1651">
        <v>1157</v>
      </c>
      <c r="AI17" s="1651">
        <v>207</v>
      </c>
      <c r="AJ17" s="1651"/>
      <c r="AK17" s="1651"/>
      <c r="AL17" s="1651"/>
      <c r="AM17" s="1651"/>
      <c r="AN17" s="1651"/>
      <c r="AO17" s="1651"/>
      <c r="AP17" s="1651"/>
      <c r="AQ17" s="1651"/>
      <c r="AR17" s="1651"/>
      <c r="AS17" s="1651"/>
      <c r="AT17" s="1651"/>
      <c r="AU17" s="1651"/>
      <c r="AV17" s="1651">
        <v>1993</v>
      </c>
      <c r="AW17" s="1651">
        <v>533</v>
      </c>
      <c r="AX17" s="1651">
        <v>897</v>
      </c>
      <c r="AY17" s="1651">
        <v>172</v>
      </c>
      <c r="AZ17" s="1651"/>
      <c r="BA17" s="1651"/>
      <c r="BB17" s="1651"/>
      <c r="BC17" s="1651"/>
      <c r="BD17" s="1651"/>
      <c r="BE17" s="1651"/>
      <c r="BF17" s="1651"/>
      <c r="BG17" s="1651"/>
      <c r="BH17" s="1651">
        <v>167</v>
      </c>
      <c r="BI17" s="1650">
        <v>125</v>
      </c>
      <c r="BJ17" s="1651"/>
      <c r="BK17" s="1651"/>
      <c r="BL17" s="1651"/>
      <c r="BM17" s="1650"/>
    </row>
    <row r="18" spans="1:65">
      <c r="A18" s="1649">
        <v>2010</v>
      </c>
      <c r="B18" s="1585">
        <v>4231</v>
      </c>
      <c r="C18" s="1585"/>
      <c r="D18" s="1646">
        <v>2427</v>
      </c>
      <c r="E18" s="1646">
        <v>1260</v>
      </c>
      <c r="F18" s="1646">
        <v>410</v>
      </c>
      <c r="G18" s="1646">
        <v>134</v>
      </c>
      <c r="H18" s="1585">
        <f t="shared" ref="H18:Q18" si="0">SUM(H19:H30)</f>
        <v>46502</v>
      </c>
      <c r="I18" s="1585">
        <f t="shared" si="0"/>
        <v>6056</v>
      </c>
      <c r="J18" s="1585">
        <f t="shared" si="0"/>
        <v>42768</v>
      </c>
      <c r="K18" s="1585">
        <f t="shared" si="0"/>
        <v>5283</v>
      </c>
      <c r="L18" s="1585">
        <f t="shared" si="0"/>
        <v>444</v>
      </c>
      <c r="M18" s="1585">
        <f t="shared" si="0"/>
        <v>255</v>
      </c>
      <c r="N18" s="1585">
        <f t="shared" si="0"/>
        <v>939</v>
      </c>
      <c r="O18" s="1648">
        <f t="shared" si="0"/>
        <v>71</v>
      </c>
      <c r="P18" s="1585">
        <f t="shared" si="0"/>
        <v>563</v>
      </c>
      <c r="Q18" s="1647">
        <f t="shared" si="0"/>
        <v>78</v>
      </c>
      <c r="R18" s="1647"/>
      <c r="S18" s="1647"/>
      <c r="T18" s="1647"/>
      <c r="U18" s="1647"/>
      <c r="V18" s="1647"/>
      <c r="W18" s="1647"/>
      <c r="X18" s="1646">
        <f>SUM(X19:X30)</f>
        <v>1787</v>
      </c>
      <c r="Y18" s="1646">
        <f>SUM(Y19:Y30)</f>
        <v>369</v>
      </c>
      <c r="Z18" s="1646"/>
      <c r="AA18" s="1646"/>
      <c r="AB18" s="1646"/>
      <c r="AC18" s="1646"/>
      <c r="AD18" s="1585">
        <f t="shared" ref="AD18:AI18" si="1">SUM(AD19:AD30)</f>
        <v>44218</v>
      </c>
      <c r="AE18" s="1585">
        <f t="shared" si="1"/>
        <v>5430</v>
      </c>
      <c r="AF18" s="1585">
        <f t="shared" si="1"/>
        <v>42770</v>
      </c>
      <c r="AG18" s="1585">
        <f t="shared" si="1"/>
        <v>5133</v>
      </c>
      <c r="AH18" s="1585">
        <f t="shared" si="1"/>
        <v>804</v>
      </c>
      <c r="AI18" s="1585">
        <f t="shared" si="1"/>
        <v>195</v>
      </c>
      <c r="AJ18" s="1585"/>
      <c r="AK18" s="1585"/>
      <c r="AL18" s="1585"/>
      <c r="AM18" s="1585"/>
      <c r="AN18" s="1585"/>
      <c r="AO18" s="1585"/>
      <c r="AP18" s="1585"/>
      <c r="AQ18" s="1585"/>
      <c r="AR18" s="1585"/>
      <c r="AS18" s="1585"/>
      <c r="AT18" s="1585"/>
      <c r="AU18" s="1585"/>
      <c r="AV18" s="1585">
        <f t="shared" ref="AV18:BA18" si="2">SUM(AV19:AV30)</f>
        <v>2286</v>
      </c>
      <c r="AW18" s="1585">
        <f t="shared" si="2"/>
        <v>626</v>
      </c>
      <c r="AX18" s="1585">
        <f t="shared" si="2"/>
        <v>935</v>
      </c>
      <c r="AY18" s="1585">
        <f t="shared" si="2"/>
        <v>219</v>
      </c>
      <c r="AZ18" s="1585">
        <f t="shared" si="2"/>
        <v>205</v>
      </c>
      <c r="BA18" s="1585">
        <f t="shared" si="2"/>
        <v>137</v>
      </c>
      <c r="BB18" s="1585"/>
      <c r="BC18" s="1585"/>
      <c r="BD18" s="1585"/>
      <c r="BE18" s="1585"/>
      <c r="BF18" s="1585"/>
      <c r="BG18" s="1585"/>
      <c r="BH18" s="1585"/>
      <c r="BI18" s="1585"/>
      <c r="BJ18" s="1585"/>
      <c r="BK18" s="1585"/>
      <c r="BL18" s="1585"/>
      <c r="BM18" s="1585"/>
    </row>
    <row r="19" spans="1:65" hidden="1">
      <c r="A19" s="1627" t="s">
        <v>18</v>
      </c>
      <c r="B19" s="1585">
        <v>4016</v>
      </c>
      <c r="C19" s="1585"/>
      <c r="D19" s="1646">
        <v>2396</v>
      </c>
      <c r="E19" s="1646">
        <v>1183</v>
      </c>
      <c r="F19" s="1646">
        <v>321</v>
      </c>
      <c r="G19" s="1646">
        <v>116</v>
      </c>
      <c r="H19" s="1585">
        <v>2268</v>
      </c>
      <c r="I19" s="1585">
        <v>293</v>
      </c>
      <c r="J19" s="1585">
        <v>2038</v>
      </c>
      <c r="K19" s="1585">
        <v>243</v>
      </c>
      <c r="L19" s="1585">
        <v>19</v>
      </c>
      <c r="M19" s="1585">
        <v>16</v>
      </c>
      <c r="N19" s="1585">
        <v>52</v>
      </c>
      <c r="O19" s="1585">
        <v>3</v>
      </c>
      <c r="P19" s="1585">
        <v>34</v>
      </c>
      <c r="Q19" s="1647">
        <v>6</v>
      </c>
      <c r="R19" s="1647"/>
      <c r="S19" s="1647"/>
      <c r="T19" s="1647"/>
      <c r="U19" s="1647"/>
      <c r="V19" s="1647"/>
      <c r="W19" s="1647"/>
      <c r="X19" s="1646">
        <v>126</v>
      </c>
      <c r="Y19" s="1646">
        <v>26</v>
      </c>
      <c r="Z19" s="1646"/>
      <c r="AA19" s="1646"/>
      <c r="AB19" s="1646"/>
      <c r="AC19" s="1646"/>
      <c r="AD19" s="1585">
        <v>2105</v>
      </c>
      <c r="AE19" s="1585">
        <v>251</v>
      </c>
      <c r="AF19" s="1585">
        <v>2026</v>
      </c>
      <c r="AG19" s="1585">
        <v>232</v>
      </c>
      <c r="AH19" s="1585">
        <v>40</v>
      </c>
      <c r="AI19" s="1585">
        <v>13</v>
      </c>
      <c r="AJ19" s="1585"/>
      <c r="AK19" s="1585"/>
      <c r="AL19" s="1585"/>
      <c r="AM19" s="1585"/>
      <c r="AN19" s="1585"/>
      <c r="AO19" s="1585"/>
      <c r="AP19" s="1585"/>
      <c r="AQ19" s="1585"/>
      <c r="AR19" s="1585"/>
      <c r="AS19" s="1585"/>
      <c r="AT19" s="1585"/>
      <c r="AU19" s="1585"/>
      <c r="AV19" s="1585">
        <v>164</v>
      </c>
      <c r="AW19" s="1585">
        <v>42</v>
      </c>
      <c r="AX19" s="1585">
        <v>64</v>
      </c>
      <c r="AY19" s="1585">
        <v>13</v>
      </c>
      <c r="AZ19" s="1585">
        <v>13</v>
      </c>
      <c r="BA19" s="1585">
        <v>9</v>
      </c>
      <c r="BB19" s="1585"/>
      <c r="BC19" s="1585"/>
      <c r="BD19" s="1585"/>
      <c r="BE19" s="1585"/>
      <c r="BF19" s="1585"/>
      <c r="BG19" s="1585"/>
      <c r="BH19" s="1585"/>
      <c r="BI19" s="1585"/>
      <c r="BJ19" s="1585"/>
      <c r="BK19" s="1585"/>
      <c r="BL19" s="1585"/>
      <c r="BM19" s="1585"/>
    </row>
    <row r="20" spans="1:65" hidden="1">
      <c r="A20" s="1627" t="s">
        <v>19</v>
      </c>
      <c r="B20" s="1585">
        <v>4049</v>
      </c>
      <c r="C20" s="1585"/>
      <c r="D20" s="1646">
        <v>2403</v>
      </c>
      <c r="E20" s="1646">
        <v>1195</v>
      </c>
      <c r="F20" s="1646">
        <v>333</v>
      </c>
      <c r="G20" s="1646">
        <v>118</v>
      </c>
      <c r="H20" s="1585">
        <v>4008</v>
      </c>
      <c r="I20" s="1585">
        <v>494</v>
      </c>
      <c r="J20" s="1585">
        <v>3743</v>
      </c>
      <c r="K20" s="1585">
        <v>443</v>
      </c>
      <c r="L20" s="1585">
        <v>46</v>
      </c>
      <c r="M20" s="1585">
        <v>18</v>
      </c>
      <c r="N20" s="1585">
        <v>66</v>
      </c>
      <c r="O20" s="1585">
        <v>4</v>
      </c>
      <c r="P20" s="1585">
        <v>32</v>
      </c>
      <c r="Q20" s="1647">
        <v>6</v>
      </c>
      <c r="R20" s="1647"/>
      <c r="S20" s="1647"/>
      <c r="T20" s="1647"/>
      <c r="U20" s="1647"/>
      <c r="V20" s="1647"/>
      <c r="W20" s="1647"/>
      <c r="X20" s="1646">
        <v>120</v>
      </c>
      <c r="Y20" s="1646">
        <v>22</v>
      </c>
      <c r="Z20" s="1646"/>
      <c r="AA20" s="1646"/>
      <c r="AB20" s="1646"/>
      <c r="AC20" s="1646"/>
      <c r="AD20" s="1585">
        <v>3842</v>
      </c>
      <c r="AE20" s="1585">
        <v>452</v>
      </c>
      <c r="AF20" s="1585">
        <v>3742</v>
      </c>
      <c r="AG20" s="1585">
        <v>433</v>
      </c>
      <c r="AH20" s="1585">
        <v>63</v>
      </c>
      <c r="AI20" s="1585">
        <v>13</v>
      </c>
      <c r="AJ20" s="1585"/>
      <c r="AK20" s="1585"/>
      <c r="AL20" s="1585"/>
      <c r="AM20" s="1585"/>
      <c r="AN20" s="1585"/>
      <c r="AO20" s="1585"/>
      <c r="AP20" s="1585"/>
      <c r="AQ20" s="1585"/>
      <c r="AR20" s="1585"/>
      <c r="AS20" s="1585"/>
      <c r="AT20" s="1585"/>
      <c r="AU20" s="1585"/>
      <c r="AV20" s="1585">
        <v>166</v>
      </c>
      <c r="AW20" s="1585">
        <v>42</v>
      </c>
      <c r="AX20" s="1585">
        <v>67</v>
      </c>
      <c r="AY20" s="1585">
        <v>14</v>
      </c>
      <c r="AZ20" s="1585">
        <v>15</v>
      </c>
      <c r="BA20" s="1585">
        <v>10</v>
      </c>
      <c r="BB20" s="1585"/>
      <c r="BC20" s="1585"/>
      <c r="BD20" s="1585"/>
      <c r="BE20" s="1585"/>
      <c r="BF20" s="1585"/>
      <c r="BG20" s="1585"/>
      <c r="BH20" s="1585"/>
      <c r="BI20" s="1585"/>
      <c r="BJ20" s="1585"/>
      <c r="BK20" s="1585"/>
      <c r="BL20" s="1585"/>
      <c r="BM20" s="1585"/>
    </row>
    <row r="21" spans="1:65" hidden="1">
      <c r="A21" s="1627" t="s">
        <v>20</v>
      </c>
      <c r="B21" s="1585">
        <v>4058</v>
      </c>
      <c r="C21" s="1585"/>
      <c r="D21" s="1646">
        <v>2405</v>
      </c>
      <c r="E21" s="1646">
        <v>1191</v>
      </c>
      <c r="F21" s="1646">
        <v>348</v>
      </c>
      <c r="G21" s="1646">
        <v>114</v>
      </c>
      <c r="H21" s="1585">
        <v>4967</v>
      </c>
      <c r="I21" s="1585">
        <v>613</v>
      </c>
      <c r="J21" s="1585">
        <v>4638</v>
      </c>
      <c r="K21" s="1585">
        <v>549</v>
      </c>
      <c r="L21" s="1585">
        <v>52</v>
      </c>
      <c r="M21" s="1585">
        <v>23</v>
      </c>
      <c r="N21" s="1585">
        <v>80</v>
      </c>
      <c r="O21" s="1585">
        <v>5</v>
      </c>
      <c r="P21" s="1585">
        <v>41</v>
      </c>
      <c r="Q21" s="1647">
        <v>6</v>
      </c>
      <c r="R21" s="1647"/>
      <c r="S21" s="1647"/>
      <c r="T21" s="1647"/>
      <c r="U21" s="1647"/>
      <c r="V21" s="1647"/>
      <c r="W21" s="1647"/>
      <c r="X21" s="1646">
        <v>156</v>
      </c>
      <c r="Y21" s="1646">
        <v>30</v>
      </c>
      <c r="Z21" s="1646"/>
      <c r="AA21" s="1646"/>
      <c r="AB21" s="1646"/>
      <c r="AC21" s="1646"/>
      <c r="AD21" s="1585">
        <v>4765</v>
      </c>
      <c r="AE21" s="1585">
        <v>562</v>
      </c>
      <c r="AF21" s="1585">
        <v>4638</v>
      </c>
      <c r="AG21" s="1585">
        <v>536</v>
      </c>
      <c r="AH21" s="1585">
        <v>75</v>
      </c>
      <c r="AI21" s="1585">
        <v>18</v>
      </c>
      <c r="AJ21" s="1585"/>
      <c r="AK21" s="1585"/>
      <c r="AL21" s="1585"/>
      <c r="AM21" s="1585"/>
      <c r="AN21" s="1585"/>
      <c r="AO21" s="1585"/>
      <c r="AP21" s="1585"/>
      <c r="AQ21" s="1585"/>
      <c r="AR21" s="1585"/>
      <c r="AS21" s="1585"/>
      <c r="AT21" s="1585"/>
      <c r="AU21" s="1585"/>
      <c r="AV21" s="1585">
        <v>203</v>
      </c>
      <c r="AW21" s="1585">
        <v>52</v>
      </c>
      <c r="AX21" s="1585">
        <v>80</v>
      </c>
      <c r="AY21" s="1585">
        <v>17</v>
      </c>
      <c r="AZ21" s="1585">
        <v>18</v>
      </c>
      <c r="BA21" s="1585">
        <v>11</v>
      </c>
      <c r="BB21" s="1585"/>
      <c r="BC21" s="1585"/>
      <c r="BD21" s="1585"/>
      <c r="BE21" s="1585"/>
      <c r="BF21" s="1585"/>
      <c r="BG21" s="1585"/>
      <c r="BH21" s="1585"/>
      <c r="BI21" s="1585"/>
      <c r="BJ21" s="1585"/>
      <c r="BK21" s="1585"/>
      <c r="BL21" s="1585"/>
      <c r="BM21" s="1585"/>
    </row>
    <row r="22" spans="1:65" hidden="1">
      <c r="A22" s="1627" t="s">
        <v>21</v>
      </c>
      <c r="B22" s="1585">
        <v>4105</v>
      </c>
      <c r="C22" s="1585"/>
      <c r="D22" s="1646">
        <v>2426</v>
      </c>
      <c r="E22" s="1646">
        <v>1205</v>
      </c>
      <c r="F22" s="1646">
        <v>351</v>
      </c>
      <c r="G22" s="1646">
        <v>123</v>
      </c>
      <c r="H22" s="1585">
        <v>3426</v>
      </c>
      <c r="I22" s="1585">
        <v>434</v>
      </c>
      <c r="J22" s="1585">
        <v>3154</v>
      </c>
      <c r="K22" s="1585">
        <v>381</v>
      </c>
      <c r="L22" s="1585">
        <v>32</v>
      </c>
      <c r="M22" s="1585">
        <v>21</v>
      </c>
      <c r="N22" s="1585">
        <v>74</v>
      </c>
      <c r="O22" s="1585">
        <v>5</v>
      </c>
      <c r="P22" s="1585">
        <v>43</v>
      </c>
      <c r="Q22" s="1647">
        <v>5</v>
      </c>
      <c r="R22" s="1647"/>
      <c r="S22" s="1647"/>
      <c r="T22" s="1647"/>
      <c r="U22" s="1647"/>
      <c r="V22" s="1647"/>
      <c r="W22" s="1647"/>
      <c r="X22" s="1646">
        <v>123</v>
      </c>
      <c r="Y22" s="1646">
        <v>22</v>
      </c>
      <c r="Z22" s="1646"/>
      <c r="AA22" s="1646"/>
      <c r="AB22" s="1646"/>
      <c r="AC22" s="1646"/>
      <c r="AD22" s="1585">
        <v>3256</v>
      </c>
      <c r="AE22" s="1585">
        <v>390</v>
      </c>
      <c r="AF22" s="1585">
        <v>3154</v>
      </c>
      <c r="AG22" s="1585">
        <v>369</v>
      </c>
      <c r="AH22" s="1585">
        <v>60</v>
      </c>
      <c r="AI22" s="1585">
        <v>15</v>
      </c>
      <c r="AJ22" s="1585"/>
      <c r="AK22" s="1585"/>
      <c r="AL22" s="1585"/>
      <c r="AM22" s="1585"/>
      <c r="AN22" s="1585"/>
      <c r="AO22" s="1585"/>
      <c r="AP22" s="1585"/>
      <c r="AQ22" s="1585"/>
      <c r="AR22" s="1585"/>
      <c r="AS22" s="1585"/>
      <c r="AT22" s="1585"/>
      <c r="AU22" s="1585"/>
      <c r="AV22" s="1585">
        <v>169</v>
      </c>
      <c r="AW22" s="1585">
        <v>43</v>
      </c>
      <c r="AX22" s="1585">
        <v>74</v>
      </c>
      <c r="AY22" s="1585">
        <v>17</v>
      </c>
      <c r="AZ22" s="1585">
        <v>16</v>
      </c>
      <c r="BA22" s="1585">
        <v>11</v>
      </c>
      <c r="BB22" s="1585"/>
      <c r="BC22" s="1585"/>
      <c r="BD22" s="1585"/>
      <c r="BE22" s="1585"/>
      <c r="BF22" s="1585"/>
      <c r="BG22" s="1585"/>
      <c r="BH22" s="1585"/>
      <c r="BI22" s="1585"/>
      <c r="BJ22" s="1585"/>
      <c r="BK22" s="1585"/>
      <c r="BL22" s="1585"/>
      <c r="BM22" s="1585"/>
    </row>
    <row r="23" spans="1:65" hidden="1">
      <c r="A23" s="1627" t="s">
        <v>22</v>
      </c>
      <c r="B23" s="1585">
        <v>4120</v>
      </c>
      <c r="C23" s="1585"/>
      <c r="D23" s="1646">
        <v>2428</v>
      </c>
      <c r="E23" s="1646">
        <v>1202</v>
      </c>
      <c r="F23" s="1646">
        <v>363</v>
      </c>
      <c r="G23" s="1646">
        <v>127</v>
      </c>
      <c r="H23" s="1585">
        <v>3972</v>
      </c>
      <c r="I23" s="1585">
        <v>498</v>
      </c>
      <c r="J23" s="1585">
        <v>3661</v>
      </c>
      <c r="K23" s="1585">
        <v>440</v>
      </c>
      <c r="L23" s="1585">
        <v>37</v>
      </c>
      <c r="M23" s="1585">
        <v>21</v>
      </c>
      <c r="N23" s="1585">
        <v>85</v>
      </c>
      <c r="O23" s="1585">
        <v>5</v>
      </c>
      <c r="P23" s="1585">
        <v>57</v>
      </c>
      <c r="Q23" s="1647">
        <v>5</v>
      </c>
      <c r="R23" s="1647"/>
      <c r="S23" s="1647"/>
      <c r="T23" s="1647"/>
      <c r="U23" s="1647"/>
      <c r="V23" s="1647"/>
      <c r="W23" s="1647"/>
      <c r="X23" s="1646">
        <v>132</v>
      </c>
      <c r="Y23" s="1646">
        <v>25</v>
      </c>
      <c r="Z23" s="1646"/>
      <c r="AA23" s="1646"/>
      <c r="AB23" s="1646"/>
      <c r="AC23" s="1646"/>
      <c r="AD23" s="1585">
        <v>3794</v>
      </c>
      <c r="AE23" s="1585">
        <v>451</v>
      </c>
      <c r="AF23" s="1585">
        <v>3669</v>
      </c>
      <c r="AG23" s="1585">
        <v>429</v>
      </c>
      <c r="AH23" s="1585">
        <v>78</v>
      </c>
      <c r="AI23" s="1585">
        <v>16</v>
      </c>
      <c r="AJ23" s="1585"/>
      <c r="AK23" s="1585"/>
      <c r="AL23" s="1585"/>
      <c r="AM23" s="1585"/>
      <c r="AN23" s="1585"/>
      <c r="AO23" s="1585"/>
      <c r="AP23" s="1585"/>
      <c r="AQ23" s="1585"/>
      <c r="AR23" s="1585"/>
      <c r="AS23" s="1585"/>
      <c r="AT23" s="1585"/>
      <c r="AU23" s="1585"/>
      <c r="AV23" s="1585">
        <v>178</v>
      </c>
      <c r="AW23" s="1585">
        <v>47</v>
      </c>
      <c r="AX23" s="1585">
        <v>76</v>
      </c>
      <c r="AY23" s="1585">
        <v>17</v>
      </c>
      <c r="AZ23" s="1585">
        <v>16</v>
      </c>
      <c r="BA23" s="1585">
        <v>11</v>
      </c>
      <c r="BB23" s="1585"/>
      <c r="BC23" s="1585"/>
      <c r="BD23" s="1585"/>
      <c r="BE23" s="1585"/>
      <c r="BF23" s="1585"/>
      <c r="BG23" s="1585"/>
      <c r="BH23" s="1585"/>
      <c r="BI23" s="1585"/>
      <c r="BJ23" s="1585"/>
      <c r="BK23" s="1585"/>
      <c r="BL23" s="1585"/>
      <c r="BM23" s="1585"/>
    </row>
    <row r="24" spans="1:65" hidden="1">
      <c r="A24" s="1627" t="s">
        <v>23</v>
      </c>
      <c r="B24" s="1585">
        <v>4148</v>
      </c>
      <c r="C24" s="1585"/>
      <c r="D24" s="1646">
        <v>2437</v>
      </c>
      <c r="E24" s="1646">
        <v>1215</v>
      </c>
      <c r="F24" s="1646">
        <v>367</v>
      </c>
      <c r="G24" s="1646">
        <v>129</v>
      </c>
      <c r="H24" s="1585">
        <v>3499</v>
      </c>
      <c r="I24" s="1585">
        <v>454</v>
      </c>
      <c r="J24" s="1585">
        <v>3213</v>
      </c>
      <c r="K24" s="1585">
        <v>400</v>
      </c>
      <c r="L24" s="1585">
        <v>28</v>
      </c>
      <c r="M24" s="1585">
        <v>18</v>
      </c>
      <c r="N24" s="1585">
        <v>83</v>
      </c>
      <c r="O24" s="1585">
        <v>5</v>
      </c>
      <c r="P24" s="1585">
        <v>45</v>
      </c>
      <c r="Q24" s="1647">
        <v>6</v>
      </c>
      <c r="R24" s="1647"/>
      <c r="S24" s="1647"/>
      <c r="T24" s="1647"/>
      <c r="U24" s="1647"/>
      <c r="V24" s="1647"/>
      <c r="W24" s="1647"/>
      <c r="X24" s="1646">
        <v>130</v>
      </c>
      <c r="Y24" s="1646">
        <v>25</v>
      </c>
      <c r="Z24" s="1646"/>
      <c r="AA24" s="1646"/>
      <c r="AB24" s="1646"/>
      <c r="AC24" s="1646"/>
      <c r="AD24" s="1585">
        <v>3324</v>
      </c>
      <c r="AE24" s="1585">
        <v>409</v>
      </c>
      <c r="AF24" s="1585">
        <v>3218</v>
      </c>
      <c r="AG24" s="1585">
        <v>388</v>
      </c>
      <c r="AH24" s="1585">
        <v>58</v>
      </c>
      <c r="AI24" s="1585">
        <v>14</v>
      </c>
      <c r="AJ24" s="1585"/>
      <c r="AK24" s="1585"/>
      <c r="AL24" s="1585"/>
      <c r="AM24" s="1585"/>
      <c r="AN24" s="1585"/>
      <c r="AO24" s="1585"/>
      <c r="AP24" s="1585"/>
      <c r="AQ24" s="1585"/>
      <c r="AR24" s="1585"/>
      <c r="AS24" s="1585"/>
      <c r="AT24" s="1585"/>
      <c r="AU24" s="1585"/>
      <c r="AV24" s="1585">
        <v>175</v>
      </c>
      <c r="AW24" s="1585">
        <v>45</v>
      </c>
      <c r="AX24" s="1585">
        <v>78</v>
      </c>
      <c r="AY24" s="1585">
        <v>17</v>
      </c>
      <c r="AZ24" s="1585">
        <v>15</v>
      </c>
      <c r="BA24" s="1585">
        <v>10</v>
      </c>
      <c r="BB24" s="1585"/>
      <c r="BC24" s="1585"/>
      <c r="BD24" s="1585"/>
      <c r="BE24" s="1585"/>
      <c r="BF24" s="1585"/>
      <c r="BG24" s="1585"/>
      <c r="BH24" s="1585"/>
      <c r="BI24" s="1585"/>
      <c r="BJ24" s="1585"/>
      <c r="BK24" s="1585"/>
      <c r="BL24" s="1585"/>
      <c r="BM24" s="1585"/>
    </row>
    <row r="25" spans="1:65" hidden="1">
      <c r="A25" s="1627" t="s">
        <v>24</v>
      </c>
      <c r="B25" s="1585">
        <v>4155</v>
      </c>
      <c r="C25" s="1585"/>
      <c r="D25" s="1646">
        <v>2431</v>
      </c>
      <c r="E25" s="1646">
        <v>1220</v>
      </c>
      <c r="F25" s="1646">
        <v>374</v>
      </c>
      <c r="G25" s="1646">
        <v>130</v>
      </c>
      <c r="H25" s="1585">
        <v>4343</v>
      </c>
      <c r="I25" s="1585">
        <v>573</v>
      </c>
      <c r="J25" s="1585">
        <v>4032</v>
      </c>
      <c r="K25" s="1585">
        <v>512</v>
      </c>
      <c r="L25" s="1585">
        <v>40</v>
      </c>
      <c r="M25" s="1585">
        <v>21</v>
      </c>
      <c r="N25" s="1585">
        <v>83</v>
      </c>
      <c r="O25" s="1585">
        <v>6</v>
      </c>
      <c r="P25" s="1585">
        <v>45</v>
      </c>
      <c r="Q25" s="1647">
        <v>6</v>
      </c>
      <c r="R25" s="1647"/>
      <c r="S25" s="1647"/>
      <c r="T25" s="1647"/>
      <c r="U25" s="1647"/>
      <c r="V25" s="1647"/>
      <c r="W25" s="1647"/>
      <c r="X25" s="1646">
        <v>143</v>
      </c>
      <c r="Y25" s="1646">
        <v>29</v>
      </c>
      <c r="Z25" s="1646"/>
      <c r="AA25" s="1646"/>
      <c r="AB25" s="1646"/>
      <c r="AC25" s="1646"/>
      <c r="AD25" s="1585">
        <v>4159</v>
      </c>
      <c r="AE25" s="1585">
        <v>522</v>
      </c>
      <c r="AF25" s="1585">
        <v>4039</v>
      </c>
      <c r="AG25" s="1585">
        <v>499</v>
      </c>
      <c r="AH25" s="1585">
        <v>71</v>
      </c>
      <c r="AI25" s="1585">
        <v>16</v>
      </c>
      <c r="AJ25" s="1585"/>
      <c r="AK25" s="1585"/>
      <c r="AL25" s="1585"/>
      <c r="AM25" s="1585"/>
      <c r="AN25" s="1585"/>
      <c r="AO25" s="1585"/>
      <c r="AP25" s="1585"/>
      <c r="AQ25" s="1585"/>
      <c r="AR25" s="1585"/>
      <c r="AS25" s="1585"/>
      <c r="AT25" s="1585"/>
      <c r="AU25" s="1585"/>
      <c r="AV25" s="1585">
        <v>184</v>
      </c>
      <c r="AW25" s="1585">
        <v>51</v>
      </c>
      <c r="AX25" s="1585">
        <v>75</v>
      </c>
      <c r="AY25" s="1585">
        <v>18</v>
      </c>
      <c r="AZ25" s="1585">
        <v>15</v>
      </c>
      <c r="BA25" s="1585">
        <v>11</v>
      </c>
      <c r="BB25" s="1585"/>
      <c r="BC25" s="1585"/>
      <c r="BD25" s="1585"/>
      <c r="BE25" s="1585"/>
      <c r="BF25" s="1585"/>
      <c r="BG25" s="1585"/>
      <c r="BH25" s="1585"/>
      <c r="BI25" s="1585"/>
      <c r="BJ25" s="1585"/>
      <c r="BK25" s="1585"/>
      <c r="BL25" s="1585"/>
      <c r="BM25" s="1585"/>
    </row>
    <row r="26" spans="1:65" hidden="1">
      <c r="A26" s="1627" t="s">
        <v>25</v>
      </c>
      <c r="B26" s="1585">
        <v>4051</v>
      </c>
      <c r="C26" s="1585"/>
      <c r="D26" s="1646">
        <v>2292</v>
      </c>
      <c r="E26" s="1646">
        <v>1215</v>
      </c>
      <c r="F26" s="1646">
        <v>413</v>
      </c>
      <c r="G26" s="1646">
        <v>131</v>
      </c>
      <c r="H26" s="1585">
        <v>3509</v>
      </c>
      <c r="I26" s="1585">
        <v>456</v>
      </c>
      <c r="J26" s="1585">
        <v>3190</v>
      </c>
      <c r="K26" s="1585">
        <v>387</v>
      </c>
      <c r="L26" s="1585">
        <v>31</v>
      </c>
      <c r="M26" s="1585">
        <v>24</v>
      </c>
      <c r="N26" s="1585">
        <v>77</v>
      </c>
      <c r="O26" s="1585">
        <v>6</v>
      </c>
      <c r="P26" s="1585">
        <v>46</v>
      </c>
      <c r="Q26" s="1647">
        <v>5</v>
      </c>
      <c r="R26" s="1647"/>
      <c r="S26" s="1647"/>
      <c r="T26" s="1647"/>
      <c r="U26" s="1647"/>
      <c r="V26" s="1647"/>
      <c r="W26" s="1647"/>
      <c r="X26" s="1646">
        <v>165</v>
      </c>
      <c r="Y26" s="1646">
        <v>35</v>
      </c>
      <c r="Z26" s="1646"/>
      <c r="AA26" s="1646"/>
      <c r="AB26" s="1646"/>
      <c r="AC26" s="1646"/>
      <c r="AD26" s="1585">
        <v>3308</v>
      </c>
      <c r="AE26" s="1585">
        <v>400</v>
      </c>
      <c r="AF26" s="1585">
        <v>3189</v>
      </c>
      <c r="AG26" s="1585">
        <v>374</v>
      </c>
      <c r="AH26" s="1585">
        <v>61</v>
      </c>
      <c r="AI26" s="1585">
        <v>17</v>
      </c>
      <c r="AJ26" s="1585"/>
      <c r="AK26" s="1585"/>
      <c r="AL26" s="1585"/>
      <c r="AM26" s="1585"/>
      <c r="AN26" s="1585"/>
      <c r="AO26" s="1585"/>
      <c r="AP26" s="1585"/>
      <c r="AQ26" s="1585"/>
      <c r="AR26" s="1585"/>
      <c r="AS26" s="1585"/>
      <c r="AT26" s="1585"/>
      <c r="AU26" s="1585"/>
      <c r="AV26" s="1585">
        <v>202</v>
      </c>
      <c r="AW26" s="1585">
        <v>56</v>
      </c>
      <c r="AX26" s="1585">
        <v>78</v>
      </c>
      <c r="AY26" s="1585">
        <v>19</v>
      </c>
      <c r="AZ26" s="1585">
        <v>16</v>
      </c>
      <c r="BA26" s="1585">
        <v>12</v>
      </c>
      <c r="BB26" s="1585"/>
      <c r="BC26" s="1585"/>
      <c r="BD26" s="1585"/>
      <c r="BE26" s="1585"/>
      <c r="BF26" s="1585"/>
      <c r="BG26" s="1585"/>
      <c r="BH26" s="1585"/>
      <c r="BI26" s="1585"/>
      <c r="BJ26" s="1585"/>
      <c r="BK26" s="1585"/>
      <c r="BL26" s="1585"/>
      <c r="BM26" s="1585"/>
    </row>
    <row r="27" spans="1:65" hidden="1">
      <c r="A27" s="1627" t="s">
        <v>26</v>
      </c>
      <c r="B27" s="1585">
        <v>4059</v>
      </c>
      <c r="C27" s="1585"/>
      <c r="D27" s="1646">
        <v>2263</v>
      </c>
      <c r="E27" s="1646">
        <v>1234</v>
      </c>
      <c r="F27" s="1646">
        <v>426</v>
      </c>
      <c r="G27" s="1646">
        <v>136</v>
      </c>
      <c r="H27" s="1585">
        <v>3804</v>
      </c>
      <c r="I27" s="1585">
        <v>491</v>
      </c>
      <c r="J27" s="1585">
        <v>3478</v>
      </c>
      <c r="K27" s="1585">
        <v>423</v>
      </c>
      <c r="L27" s="1585">
        <v>41</v>
      </c>
      <c r="M27" s="1585">
        <v>25</v>
      </c>
      <c r="N27" s="1585">
        <v>75</v>
      </c>
      <c r="O27" s="1585">
        <v>6</v>
      </c>
      <c r="P27" s="1585">
        <v>45</v>
      </c>
      <c r="Q27" s="1647">
        <v>6</v>
      </c>
      <c r="R27" s="1647"/>
      <c r="S27" s="1647"/>
      <c r="T27" s="1647"/>
      <c r="U27" s="1647"/>
      <c r="V27" s="1647"/>
      <c r="W27" s="1647"/>
      <c r="X27" s="1646">
        <v>165</v>
      </c>
      <c r="Y27" s="1646">
        <v>32</v>
      </c>
      <c r="Z27" s="1646"/>
      <c r="AA27" s="1646"/>
      <c r="AB27" s="1646"/>
      <c r="AC27" s="1646"/>
      <c r="AD27" s="1585">
        <v>3603</v>
      </c>
      <c r="AE27" s="1585">
        <v>435</v>
      </c>
      <c r="AF27" s="1585">
        <v>3472</v>
      </c>
      <c r="AG27" s="1585">
        <v>409</v>
      </c>
      <c r="AH27" s="1585">
        <v>69</v>
      </c>
      <c r="AI27" s="1585">
        <v>17</v>
      </c>
      <c r="AJ27" s="1585"/>
      <c r="AK27" s="1585"/>
      <c r="AL27" s="1585"/>
      <c r="AM27" s="1585"/>
      <c r="AN27" s="1585"/>
      <c r="AO27" s="1585"/>
      <c r="AP27" s="1585"/>
      <c r="AQ27" s="1585"/>
      <c r="AR27" s="1585"/>
      <c r="AS27" s="1585"/>
      <c r="AT27" s="1585"/>
      <c r="AU27" s="1585"/>
      <c r="AV27" s="1585">
        <v>201</v>
      </c>
      <c r="AW27" s="1585">
        <v>56</v>
      </c>
      <c r="AX27" s="1585">
        <v>81</v>
      </c>
      <c r="AY27" s="1585">
        <v>20</v>
      </c>
      <c r="AZ27" s="1585">
        <v>17</v>
      </c>
      <c r="BA27" s="1585">
        <v>13</v>
      </c>
      <c r="BB27" s="1585"/>
      <c r="BC27" s="1585"/>
      <c r="BD27" s="1585"/>
      <c r="BE27" s="1585"/>
      <c r="BF27" s="1585"/>
      <c r="BG27" s="1585"/>
      <c r="BH27" s="1585"/>
      <c r="BI27" s="1585"/>
      <c r="BJ27" s="1585"/>
      <c r="BK27" s="1585"/>
      <c r="BL27" s="1585"/>
      <c r="BM27" s="1585"/>
    </row>
    <row r="28" spans="1:65" hidden="1">
      <c r="A28" s="1627" t="s">
        <v>27</v>
      </c>
      <c r="B28" s="1585">
        <v>4103</v>
      </c>
      <c r="C28" s="1585"/>
      <c r="D28" s="1646">
        <v>2319</v>
      </c>
      <c r="E28" s="1646">
        <v>1231</v>
      </c>
      <c r="F28" s="1646">
        <v>419</v>
      </c>
      <c r="G28" s="1646">
        <v>134</v>
      </c>
      <c r="H28" s="1585">
        <v>3910</v>
      </c>
      <c r="I28" s="1585">
        <v>509</v>
      </c>
      <c r="J28" s="1585">
        <v>3579</v>
      </c>
      <c r="K28" s="1585">
        <v>445</v>
      </c>
      <c r="L28" s="1585">
        <v>37</v>
      </c>
      <c r="M28" s="1585">
        <v>20</v>
      </c>
      <c r="N28" s="1585">
        <v>80</v>
      </c>
      <c r="O28" s="1585">
        <v>7</v>
      </c>
      <c r="P28" s="1585">
        <v>49</v>
      </c>
      <c r="Q28" s="1647">
        <v>6</v>
      </c>
      <c r="R28" s="1647"/>
      <c r="S28" s="1647"/>
      <c r="T28" s="1647"/>
      <c r="U28" s="1647"/>
      <c r="V28" s="1647"/>
      <c r="W28" s="1647"/>
      <c r="X28" s="1646">
        <v>164</v>
      </c>
      <c r="Y28" s="1646">
        <v>31</v>
      </c>
      <c r="Z28" s="1646"/>
      <c r="AA28" s="1646"/>
      <c r="AB28" s="1646"/>
      <c r="AC28" s="1646"/>
      <c r="AD28" s="1585">
        <v>3708</v>
      </c>
      <c r="AE28" s="1585">
        <v>457</v>
      </c>
      <c r="AF28" s="1585">
        <v>3576</v>
      </c>
      <c r="AG28" s="1585">
        <v>431</v>
      </c>
      <c r="AH28" s="1585">
        <v>68</v>
      </c>
      <c r="AI28" s="1585">
        <v>16</v>
      </c>
      <c r="AJ28" s="1585"/>
      <c r="AK28" s="1585"/>
      <c r="AL28" s="1585"/>
      <c r="AM28" s="1585"/>
      <c r="AN28" s="1585"/>
      <c r="AO28" s="1585"/>
      <c r="AP28" s="1585"/>
      <c r="AQ28" s="1585"/>
      <c r="AR28" s="1585"/>
      <c r="AS28" s="1585"/>
      <c r="AT28" s="1585"/>
      <c r="AU28" s="1585"/>
      <c r="AV28" s="1585">
        <v>202</v>
      </c>
      <c r="AW28" s="1585">
        <v>52</v>
      </c>
      <c r="AX28" s="1585">
        <v>83</v>
      </c>
      <c r="AY28" s="1585">
        <v>20</v>
      </c>
      <c r="AZ28" s="1585">
        <v>19</v>
      </c>
      <c r="BA28" s="1585">
        <v>10</v>
      </c>
      <c r="BB28" s="1585"/>
      <c r="BC28" s="1585"/>
      <c r="BD28" s="1585"/>
      <c r="BE28" s="1585"/>
      <c r="BF28" s="1585"/>
      <c r="BG28" s="1585"/>
      <c r="BH28" s="1585"/>
      <c r="BI28" s="1585"/>
      <c r="BJ28" s="1585"/>
      <c r="BK28" s="1585"/>
      <c r="BL28" s="1585"/>
      <c r="BM28" s="1585"/>
    </row>
    <row r="29" spans="1:65" hidden="1">
      <c r="A29" s="1627" t="s">
        <v>28</v>
      </c>
      <c r="B29" s="1585">
        <v>4209</v>
      </c>
      <c r="C29" s="1585"/>
      <c r="D29" s="1646">
        <v>2417</v>
      </c>
      <c r="E29" s="1646">
        <v>1254</v>
      </c>
      <c r="F29" s="1646">
        <v>403</v>
      </c>
      <c r="G29" s="1646">
        <v>135</v>
      </c>
      <c r="H29" s="1585">
        <v>3557</v>
      </c>
      <c r="I29" s="1585">
        <v>486</v>
      </c>
      <c r="J29" s="1585">
        <v>3220</v>
      </c>
      <c r="K29" s="1585">
        <v>419</v>
      </c>
      <c r="L29" s="1585">
        <v>29</v>
      </c>
      <c r="M29" s="1585">
        <v>22</v>
      </c>
      <c r="N29" s="1585">
        <v>82</v>
      </c>
      <c r="O29" s="1648">
        <v>8</v>
      </c>
      <c r="P29" s="1585">
        <v>53</v>
      </c>
      <c r="Q29" s="1647">
        <v>7</v>
      </c>
      <c r="R29" s="1647"/>
      <c r="S29" s="1647"/>
      <c r="T29" s="1647"/>
      <c r="U29" s="1647"/>
      <c r="V29" s="1647"/>
      <c r="W29" s="1647"/>
      <c r="X29" s="1646">
        <v>172</v>
      </c>
      <c r="Y29" s="1646">
        <v>32</v>
      </c>
      <c r="Z29" s="1646"/>
      <c r="AA29" s="1646"/>
      <c r="AB29" s="1646"/>
      <c r="AC29" s="1646"/>
      <c r="AD29" s="1585">
        <v>3341</v>
      </c>
      <c r="AE29" s="1585">
        <v>429</v>
      </c>
      <c r="AF29" s="1585">
        <v>3214</v>
      </c>
      <c r="AG29" s="1585">
        <v>404</v>
      </c>
      <c r="AH29" s="1585">
        <v>62</v>
      </c>
      <c r="AI29" s="1585">
        <v>16</v>
      </c>
      <c r="AJ29" s="1585"/>
      <c r="AK29" s="1585"/>
      <c r="AL29" s="1585"/>
      <c r="AM29" s="1585"/>
      <c r="AN29" s="1585"/>
      <c r="AO29" s="1585"/>
      <c r="AP29" s="1585"/>
      <c r="AQ29" s="1585"/>
      <c r="AR29" s="1585"/>
      <c r="AS29" s="1585"/>
      <c r="AT29" s="1585"/>
      <c r="AU29" s="1585"/>
      <c r="AV29" s="1585">
        <v>215</v>
      </c>
      <c r="AW29" s="1585">
        <v>57</v>
      </c>
      <c r="AX29" s="1585">
        <v>87</v>
      </c>
      <c r="AY29" s="1585">
        <v>22</v>
      </c>
      <c r="AZ29" s="1585">
        <v>20</v>
      </c>
      <c r="BA29" s="1585">
        <v>12</v>
      </c>
      <c r="BB29" s="1585"/>
      <c r="BC29" s="1585"/>
      <c r="BD29" s="1585"/>
      <c r="BE29" s="1585"/>
      <c r="BF29" s="1585"/>
      <c r="BG29" s="1585"/>
      <c r="BH29" s="1585"/>
      <c r="BI29" s="1585"/>
      <c r="BJ29" s="1585"/>
      <c r="BK29" s="1585"/>
      <c r="BL29" s="1585"/>
      <c r="BM29" s="1585"/>
    </row>
    <row r="30" spans="1:65" hidden="1">
      <c r="A30" s="1627" t="s">
        <v>29</v>
      </c>
      <c r="B30" s="1585">
        <v>4231</v>
      </c>
      <c r="C30" s="1585"/>
      <c r="D30" s="1646">
        <v>2427</v>
      </c>
      <c r="E30" s="1646">
        <v>1260</v>
      </c>
      <c r="F30" s="1646">
        <v>410</v>
      </c>
      <c r="G30" s="1646">
        <v>134</v>
      </c>
      <c r="H30" s="1585">
        <v>5239</v>
      </c>
      <c r="I30" s="1585">
        <v>755</v>
      </c>
      <c r="J30" s="1585">
        <v>4822</v>
      </c>
      <c r="K30" s="1585">
        <v>641</v>
      </c>
      <c r="L30" s="1585">
        <v>52</v>
      </c>
      <c r="M30" s="1585">
        <v>26</v>
      </c>
      <c r="N30" s="1585">
        <v>102</v>
      </c>
      <c r="O30" s="1648">
        <v>11</v>
      </c>
      <c r="P30" s="1585">
        <v>73</v>
      </c>
      <c r="Q30" s="1647">
        <v>14</v>
      </c>
      <c r="R30" s="1647"/>
      <c r="S30" s="1647"/>
      <c r="T30" s="1647"/>
      <c r="U30" s="1647"/>
      <c r="V30" s="1647"/>
      <c r="W30" s="1647"/>
      <c r="X30" s="1646">
        <v>191</v>
      </c>
      <c r="Y30" s="1646">
        <v>60</v>
      </c>
      <c r="Z30" s="1646"/>
      <c r="AA30" s="1646"/>
      <c r="AB30" s="1646"/>
      <c r="AC30" s="1646"/>
      <c r="AD30" s="1585">
        <v>5013</v>
      </c>
      <c r="AE30" s="1585">
        <v>672</v>
      </c>
      <c r="AF30" s="1585">
        <v>4833</v>
      </c>
      <c r="AG30" s="1585">
        <v>629</v>
      </c>
      <c r="AH30" s="1585">
        <v>99</v>
      </c>
      <c r="AI30" s="1585">
        <v>24</v>
      </c>
      <c r="AJ30" s="1585"/>
      <c r="AK30" s="1585"/>
      <c r="AL30" s="1585"/>
      <c r="AM30" s="1585"/>
      <c r="AN30" s="1585"/>
      <c r="AO30" s="1585"/>
      <c r="AP30" s="1585"/>
      <c r="AQ30" s="1585"/>
      <c r="AR30" s="1585"/>
      <c r="AS30" s="1585"/>
      <c r="AT30" s="1585"/>
      <c r="AU30" s="1585"/>
      <c r="AV30" s="1585">
        <v>227</v>
      </c>
      <c r="AW30" s="1585">
        <v>83</v>
      </c>
      <c r="AX30" s="1585">
        <v>92</v>
      </c>
      <c r="AY30" s="1585">
        <v>25</v>
      </c>
      <c r="AZ30" s="1585">
        <v>25</v>
      </c>
      <c r="BA30" s="1585">
        <v>17</v>
      </c>
      <c r="BB30" s="1585"/>
      <c r="BC30" s="1585"/>
      <c r="BD30" s="1585"/>
      <c r="BE30" s="1585"/>
      <c r="BF30" s="1585"/>
      <c r="BG30" s="1585"/>
      <c r="BH30" s="1585"/>
      <c r="BI30" s="1585"/>
      <c r="BJ30" s="1585"/>
      <c r="BK30" s="1585"/>
      <c r="BL30" s="1585"/>
      <c r="BM30" s="1585"/>
    </row>
    <row r="31" spans="1:65">
      <c r="A31" s="1645">
        <v>2011</v>
      </c>
      <c r="B31" s="1644">
        <v>4580.2439999999988</v>
      </c>
      <c r="C31" s="1644"/>
      <c r="D31" s="1632">
        <v>2522.4079999999999</v>
      </c>
      <c r="E31" s="1632">
        <v>1330.162</v>
      </c>
      <c r="F31" s="1632">
        <v>546.93499999999995</v>
      </c>
      <c r="G31" s="1632">
        <v>180.739</v>
      </c>
      <c r="H31" s="1644">
        <f t="shared" ref="H31:Q31" si="3">SUM(H32:H43)</f>
        <v>50953.898000000001</v>
      </c>
      <c r="I31" s="1644">
        <f t="shared" si="3"/>
        <v>7229.7502510000004</v>
      </c>
      <c r="J31" s="1644">
        <f t="shared" si="3"/>
        <v>45409.581000000006</v>
      </c>
      <c r="K31" s="1644">
        <f t="shared" si="3"/>
        <v>6263.2250279999998</v>
      </c>
      <c r="L31" s="1644">
        <f t="shared" si="3"/>
        <v>327.41100000000006</v>
      </c>
      <c r="M31" s="1644">
        <f t="shared" si="3"/>
        <v>281.05847300000005</v>
      </c>
      <c r="N31" s="1644">
        <f t="shared" si="3"/>
        <v>1117.7339999999999</v>
      </c>
      <c r="O31" s="1644">
        <f t="shared" si="3"/>
        <v>124.80497600000001</v>
      </c>
      <c r="P31" s="1644">
        <f t="shared" si="3"/>
        <v>1509.971</v>
      </c>
      <c r="Q31" s="1644">
        <f t="shared" si="3"/>
        <v>107.858282</v>
      </c>
      <c r="R31" s="1644"/>
      <c r="S31" s="1644"/>
      <c r="T31" s="1644"/>
      <c r="U31" s="1644"/>
      <c r="V31" s="1644"/>
      <c r="W31" s="1644"/>
      <c r="X31" s="1644">
        <f>SUM(X32:X43)</f>
        <v>2590.201</v>
      </c>
      <c r="Y31" s="1644">
        <f>SUM(Y32:Y43)</f>
        <v>453.83956500000005</v>
      </c>
      <c r="Z31" s="1644"/>
      <c r="AA31" s="1644"/>
      <c r="AB31" s="1644"/>
      <c r="AC31" s="1644"/>
      <c r="AD31" s="1644">
        <f t="shared" ref="AD31:AI31" si="4">SUM(AD32:AD43)</f>
        <v>48129.445</v>
      </c>
      <c r="AE31" s="1644">
        <f t="shared" si="4"/>
        <v>6457.1501229999994</v>
      </c>
      <c r="AF31" s="1644">
        <f t="shared" si="4"/>
        <v>45473.182000000001</v>
      </c>
      <c r="AG31" s="1644">
        <f t="shared" si="4"/>
        <v>6094.4443510000001</v>
      </c>
      <c r="AH31" s="1644">
        <f t="shared" si="4"/>
        <v>1460.885</v>
      </c>
      <c r="AI31" s="1644">
        <f t="shared" si="4"/>
        <v>224.14711800000001</v>
      </c>
      <c r="AJ31" s="1644"/>
      <c r="AK31" s="1644"/>
      <c r="AL31" s="1644"/>
      <c r="AM31" s="1644"/>
      <c r="AN31" s="1644"/>
      <c r="AO31" s="1644"/>
      <c r="AP31" s="1644"/>
      <c r="AQ31" s="1644"/>
      <c r="AR31" s="1644"/>
      <c r="AS31" s="1644"/>
      <c r="AT31" s="1644"/>
      <c r="AU31" s="1644"/>
      <c r="AV31" s="1644">
        <f t="shared" ref="AV31:BA31" si="5">SUM(AV32:AV43)</f>
        <v>2824.453</v>
      </c>
      <c r="AW31" s="1644">
        <f t="shared" si="5"/>
        <v>772.59985700000004</v>
      </c>
      <c r="AX31" s="1644">
        <f t="shared" si="5"/>
        <v>1053.1329999999998</v>
      </c>
      <c r="AY31" s="1644">
        <f t="shared" si="5"/>
        <v>293.548653</v>
      </c>
      <c r="AZ31" s="1644">
        <f t="shared" si="5"/>
        <v>357.45500000000004</v>
      </c>
      <c r="BA31" s="1644">
        <f t="shared" si="5"/>
        <v>171.15694099999999</v>
      </c>
      <c r="BB31" s="1644"/>
      <c r="BC31" s="1644"/>
      <c r="BD31" s="1644"/>
      <c r="BE31" s="1644"/>
      <c r="BF31" s="1644"/>
      <c r="BG31" s="1644"/>
      <c r="BH31" s="1644"/>
      <c r="BI31" s="1644"/>
      <c r="BJ31" s="1644"/>
      <c r="BK31" s="1644"/>
      <c r="BL31" s="1644"/>
      <c r="BM31" s="1644"/>
    </row>
    <row r="32" spans="1:65" hidden="1">
      <c r="A32" s="1627" t="s">
        <v>18</v>
      </c>
      <c r="B32" s="1644">
        <v>4252.7299999999996</v>
      </c>
      <c r="C32" s="1644"/>
      <c r="D32" s="1639">
        <v>2430.3519999999999</v>
      </c>
      <c r="E32" s="1639">
        <v>1260.866</v>
      </c>
      <c r="F32" s="1639">
        <v>426.47699999999998</v>
      </c>
      <c r="G32" s="1632">
        <v>135.035</v>
      </c>
      <c r="H32" s="1639">
        <v>3410.5369999999998</v>
      </c>
      <c r="I32" s="1639">
        <v>447.96898299999998</v>
      </c>
      <c r="J32" s="1644">
        <v>3037.817</v>
      </c>
      <c r="K32" s="1632">
        <v>380.45024599999999</v>
      </c>
      <c r="L32" s="1644">
        <v>27.811</v>
      </c>
      <c r="M32" s="1644">
        <v>18.396101999999999</v>
      </c>
      <c r="N32" s="1644">
        <v>82.926000000000002</v>
      </c>
      <c r="O32" s="1644">
        <v>7.8182320000000001</v>
      </c>
      <c r="P32" s="1644">
        <v>73.075000000000003</v>
      </c>
      <c r="Q32" s="1639">
        <v>6.6364999999999998</v>
      </c>
      <c r="R32" s="1639"/>
      <c r="S32" s="1639"/>
      <c r="T32" s="1639"/>
      <c r="U32" s="1639"/>
      <c r="V32" s="1639"/>
      <c r="W32" s="1639"/>
      <c r="X32" s="1632">
        <v>188.90799999999999</v>
      </c>
      <c r="Y32" s="1632">
        <v>34.667901000000001</v>
      </c>
      <c r="Z32" s="1632"/>
      <c r="AA32" s="1632"/>
      <c r="AB32" s="1632"/>
      <c r="AC32" s="1632"/>
      <c r="AD32" s="1644">
        <v>3183.3449999999998</v>
      </c>
      <c r="AE32" s="1644">
        <v>389.68070599999999</v>
      </c>
      <c r="AF32" s="1644">
        <v>3040.1120000000001</v>
      </c>
      <c r="AG32" s="1644">
        <v>367.68272200000001</v>
      </c>
      <c r="AH32" s="1644">
        <v>79.346000000000004</v>
      </c>
      <c r="AI32" s="1644">
        <v>13.785693</v>
      </c>
      <c r="AJ32" s="1644"/>
      <c r="AK32" s="1644"/>
      <c r="AL32" s="1644"/>
      <c r="AM32" s="1644"/>
      <c r="AN32" s="1644"/>
      <c r="AO32" s="1644"/>
      <c r="AP32" s="1644"/>
      <c r="AQ32" s="1644"/>
      <c r="AR32" s="1644"/>
      <c r="AS32" s="1644"/>
      <c r="AT32" s="1644"/>
      <c r="AU32" s="1644"/>
      <c r="AV32" s="1644">
        <v>227.19200000000001</v>
      </c>
      <c r="AW32" s="1644">
        <v>58.288276000000003</v>
      </c>
      <c r="AX32" s="1644">
        <v>80.631</v>
      </c>
      <c r="AY32" s="1644">
        <v>20.585757000000001</v>
      </c>
      <c r="AZ32" s="1644">
        <v>21.54</v>
      </c>
      <c r="BA32" s="1644">
        <v>11.246907999999999</v>
      </c>
      <c r="BB32" s="1644"/>
      <c r="BC32" s="1644"/>
      <c r="BD32" s="1644"/>
      <c r="BE32" s="1644"/>
      <c r="BF32" s="1644"/>
      <c r="BG32" s="1644"/>
      <c r="BH32" s="1644"/>
      <c r="BI32" s="1644"/>
      <c r="BJ32" s="1644"/>
      <c r="BK32" s="1644"/>
      <c r="BL32" s="1644"/>
      <c r="BM32" s="1644"/>
    </row>
    <row r="33" spans="1:65" hidden="1">
      <c r="A33" s="1627" t="s">
        <v>19</v>
      </c>
      <c r="B33" s="1644">
        <v>4284.6490000000003</v>
      </c>
      <c r="C33" s="1644"/>
      <c r="D33" s="1639">
        <v>2442.2489999999998</v>
      </c>
      <c r="E33" s="1632">
        <v>1272.0160000000001</v>
      </c>
      <c r="F33" s="1632">
        <v>433.36399999999998</v>
      </c>
      <c r="G33" s="1632">
        <v>137.02000000000001</v>
      </c>
      <c r="H33" s="1644">
        <v>4057.027</v>
      </c>
      <c r="I33" s="1644">
        <v>543.08880099999999</v>
      </c>
      <c r="J33" s="1632">
        <v>3713.1729999999998</v>
      </c>
      <c r="K33" s="1632">
        <v>479.57183900000001</v>
      </c>
      <c r="L33" s="1632">
        <v>27.247</v>
      </c>
      <c r="M33" s="1632">
        <v>21.510093999999999</v>
      </c>
      <c r="N33" s="1632">
        <v>90.841999999999999</v>
      </c>
      <c r="O33" s="1644">
        <v>7.2239170000000001</v>
      </c>
      <c r="P33" s="1644">
        <v>68.899000000000001</v>
      </c>
      <c r="Q33" s="1639">
        <v>6.442196</v>
      </c>
      <c r="R33" s="1639"/>
      <c r="S33" s="1639"/>
      <c r="T33" s="1639"/>
      <c r="U33" s="1639"/>
      <c r="V33" s="1639"/>
      <c r="W33" s="1639"/>
      <c r="X33" s="1632">
        <v>156.86600000000001</v>
      </c>
      <c r="Y33" s="1632">
        <v>28.397755</v>
      </c>
      <c r="Z33" s="1632"/>
      <c r="AA33" s="1632"/>
      <c r="AB33" s="1632"/>
      <c r="AC33" s="1632"/>
      <c r="AD33" s="1644">
        <v>3856.7750000000001</v>
      </c>
      <c r="AE33" s="1644">
        <v>488.79816599999998</v>
      </c>
      <c r="AF33" s="1644">
        <v>3722.578</v>
      </c>
      <c r="AG33" s="1644">
        <v>466.03239200000002</v>
      </c>
      <c r="AH33" s="1644">
        <v>75.012</v>
      </c>
      <c r="AI33" s="1644">
        <v>16.346263</v>
      </c>
      <c r="AJ33" s="1644"/>
      <c r="AK33" s="1644"/>
      <c r="AL33" s="1644"/>
      <c r="AM33" s="1644"/>
      <c r="AN33" s="1644"/>
      <c r="AO33" s="1644"/>
      <c r="AP33" s="1644"/>
      <c r="AQ33" s="1644"/>
      <c r="AR33" s="1644"/>
      <c r="AS33" s="1644"/>
      <c r="AT33" s="1644"/>
      <c r="AU33" s="1644"/>
      <c r="AV33" s="1644">
        <v>200.25200000000001</v>
      </c>
      <c r="AW33" s="1644">
        <v>54.290633999999997</v>
      </c>
      <c r="AX33" s="1644">
        <v>81.436999999999998</v>
      </c>
      <c r="AY33" s="1644">
        <v>20.706363</v>
      </c>
      <c r="AZ33" s="1644">
        <v>21.134</v>
      </c>
      <c r="BA33" s="1644">
        <v>11.606026</v>
      </c>
      <c r="BB33" s="1644"/>
      <c r="BC33" s="1644"/>
      <c r="BD33" s="1644"/>
      <c r="BE33" s="1644"/>
      <c r="BF33" s="1644"/>
      <c r="BG33" s="1644"/>
      <c r="BH33" s="1644"/>
      <c r="BI33" s="1644"/>
      <c r="BJ33" s="1644"/>
      <c r="BK33" s="1644"/>
      <c r="BL33" s="1644"/>
      <c r="BM33" s="1644"/>
    </row>
    <row r="34" spans="1:65" hidden="1">
      <c r="A34" s="1627" t="s">
        <v>20</v>
      </c>
      <c r="B34" s="1644">
        <v>4342.1840000000002</v>
      </c>
      <c r="C34" s="1644"/>
      <c r="D34" s="1632">
        <v>2475.6590000000001</v>
      </c>
      <c r="E34" s="1632">
        <v>1289.0509999999999</v>
      </c>
      <c r="F34" s="1632">
        <v>436.55599999999998</v>
      </c>
      <c r="G34" s="1632">
        <v>140.91800000000001</v>
      </c>
      <c r="H34" s="1644">
        <v>4973.241</v>
      </c>
      <c r="I34" s="1644">
        <v>670.89475400000003</v>
      </c>
      <c r="J34" s="1632">
        <v>4515.9539999999997</v>
      </c>
      <c r="K34" s="1632">
        <v>586.62978199999998</v>
      </c>
      <c r="L34" s="1632">
        <v>33.479999999999997</v>
      </c>
      <c r="M34" s="1632">
        <v>27.089735999999998</v>
      </c>
      <c r="N34" s="1632">
        <v>106.033</v>
      </c>
      <c r="O34" s="1644">
        <v>8.5282509999999991</v>
      </c>
      <c r="P34" s="1632">
        <v>97.367999999999995</v>
      </c>
      <c r="Q34" s="1639">
        <v>7.2160000000000002</v>
      </c>
      <c r="R34" s="1639"/>
      <c r="S34" s="1639"/>
      <c r="T34" s="1639"/>
      <c r="U34" s="1639"/>
      <c r="V34" s="1639"/>
      <c r="W34" s="1639"/>
      <c r="X34" s="1632">
        <v>220.40600000000001</v>
      </c>
      <c r="Y34" s="1632">
        <v>41.430723</v>
      </c>
      <c r="Z34" s="1632"/>
      <c r="AA34" s="1632"/>
      <c r="AB34" s="1632"/>
      <c r="AC34" s="1632"/>
      <c r="AD34" s="1644">
        <v>4727.2460000000001</v>
      </c>
      <c r="AE34" s="1644">
        <v>605.02852099999996</v>
      </c>
      <c r="AF34" s="1644">
        <v>4530.3389999999999</v>
      </c>
      <c r="AG34" s="1644">
        <v>572.18353999999999</v>
      </c>
      <c r="AH34" s="1644">
        <v>104.649</v>
      </c>
      <c r="AI34" s="1644">
        <v>20.598258999999999</v>
      </c>
      <c r="AJ34" s="1644"/>
      <c r="AK34" s="1644"/>
      <c r="AL34" s="1644"/>
      <c r="AM34" s="1644"/>
      <c r="AN34" s="1644"/>
      <c r="AO34" s="1644"/>
      <c r="AP34" s="1644"/>
      <c r="AQ34" s="1644"/>
      <c r="AR34" s="1644"/>
      <c r="AS34" s="1644"/>
      <c r="AT34" s="1644"/>
      <c r="AU34" s="1644"/>
      <c r="AV34" s="1644">
        <v>245.995</v>
      </c>
      <c r="AW34" s="1644">
        <v>65.866232999999994</v>
      </c>
      <c r="AX34" s="1644">
        <v>91.647999999999996</v>
      </c>
      <c r="AY34" s="1644">
        <v>22.974492999999999</v>
      </c>
      <c r="AZ34" s="1644">
        <v>26.199000000000002</v>
      </c>
      <c r="BA34" s="1644">
        <v>13.707736000000001</v>
      </c>
      <c r="BB34" s="1644"/>
      <c r="BC34" s="1644"/>
      <c r="BD34" s="1644"/>
      <c r="BE34" s="1644"/>
      <c r="BF34" s="1644"/>
      <c r="BG34" s="1644"/>
      <c r="BH34" s="1644"/>
      <c r="BI34" s="1644"/>
      <c r="BJ34" s="1644"/>
      <c r="BK34" s="1644"/>
      <c r="BL34" s="1644"/>
      <c r="BM34" s="1644"/>
    </row>
    <row r="35" spans="1:65" hidden="1">
      <c r="A35" s="1627" t="s">
        <v>21</v>
      </c>
      <c r="B35" s="1644">
        <v>4352.7209999999995</v>
      </c>
      <c r="C35" s="1644"/>
      <c r="D35" s="1632">
        <v>2476.6239999999998</v>
      </c>
      <c r="E35" s="1632">
        <v>1293.992</v>
      </c>
      <c r="F35" s="1632">
        <v>449.13499999999999</v>
      </c>
      <c r="G35" s="1632">
        <v>132.97</v>
      </c>
      <c r="H35" s="1632">
        <v>3654.4830000000002</v>
      </c>
      <c r="I35" s="1632">
        <v>505.51462099999998</v>
      </c>
      <c r="J35" s="1632">
        <v>3248.6170000000002</v>
      </c>
      <c r="K35" s="1632">
        <v>433.27697600000005</v>
      </c>
      <c r="L35" s="1632">
        <v>23.478000000000002</v>
      </c>
      <c r="M35" s="1632">
        <v>23.787675</v>
      </c>
      <c r="N35" s="1632">
        <v>81.483999999999995</v>
      </c>
      <c r="O35" s="1632">
        <v>9.282157999999999</v>
      </c>
      <c r="P35" s="1632">
        <v>118.991</v>
      </c>
      <c r="Q35" s="1632">
        <v>8.0168929999999996</v>
      </c>
      <c r="R35" s="1632"/>
      <c r="S35" s="1632"/>
      <c r="T35" s="1632"/>
      <c r="U35" s="1632"/>
      <c r="V35" s="1632"/>
      <c r="W35" s="1632"/>
      <c r="X35" s="1632">
        <v>181.91300000000001</v>
      </c>
      <c r="Y35" s="1632">
        <v>31.150919000000002</v>
      </c>
      <c r="Z35" s="1632"/>
      <c r="AA35" s="1632"/>
      <c r="AB35" s="1632"/>
      <c r="AC35" s="1632"/>
      <c r="AD35" s="1639">
        <v>3460.058</v>
      </c>
      <c r="AE35" s="1639">
        <v>450.33194799999995</v>
      </c>
      <c r="AF35" s="1639">
        <v>3254.8359999999998</v>
      </c>
      <c r="AG35" s="1639">
        <v>421.99725699999999</v>
      </c>
      <c r="AH35" s="1639">
        <v>99.004999999999995</v>
      </c>
      <c r="AI35" s="1639">
        <v>23.937512999999999</v>
      </c>
      <c r="AJ35" s="1639"/>
      <c r="AK35" s="1639"/>
      <c r="AL35" s="1639"/>
      <c r="AM35" s="1639"/>
      <c r="AN35" s="1639"/>
      <c r="AO35" s="1639"/>
      <c r="AP35" s="1639"/>
      <c r="AQ35" s="1639"/>
      <c r="AR35" s="1639"/>
      <c r="AS35" s="1639"/>
      <c r="AT35" s="1639"/>
      <c r="AU35" s="1639"/>
      <c r="AV35" s="1639">
        <v>194.42500000000001</v>
      </c>
      <c r="AW35" s="1639">
        <v>55.182673000000001</v>
      </c>
      <c r="AX35" s="1639">
        <v>75.265000000000001</v>
      </c>
      <c r="AY35" s="1639">
        <v>20.561876999999999</v>
      </c>
      <c r="AZ35" s="1639">
        <v>24.422000000000001</v>
      </c>
      <c r="BA35" s="1639">
        <v>14.248882999999999</v>
      </c>
      <c r="BB35" s="1639"/>
      <c r="BC35" s="1639"/>
      <c r="BD35" s="1639"/>
      <c r="BE35" s="1639"/>
      <c r="BF35" s="1639"/>
      <c r="BG35" s="1639"/>
      <c r="BH35" s="1639"/>
      <c r="BI35" s="1639"/>
      <c r="BJ35" s="1639"/>
      <c r="BK35" s="1639"/>
      <c r="BL35" s="1639"/>
      <c r="BM35" s="1639"/>
    </row>
    <row r="36" spans="1:65" hidden="1">
      <c r="A36" s="1627" t="s">
        <v>22</v>
      </c>
      <c r="B36" s="1644">
        <v>4384.5479999999998</v>
      </c>
      <c r="C36" s="1644"/>
      <c r="D36" s="1632">
        <v>2479.8620000000001</v>
      </c>
      <c r="E36" s="1632">
        <v>1305.96</v>
      </c>
      <c r="F36" s="1632">
        <v>459.85599999999999</v>
      </c>
      <c r="G36" s="1632">
        <v>138.87</v>
      </c>
      <c r="H36" s="1632">
        <v>4389.1499999999996</v>
      </c>
      <c r="I36" s="1632">
        <v>582.36800000000005</v>
      </c>
      <c r="J36" s="1632">
        <v>3907.4340000000002</v>
      </c>
      <c r="K36" s="1632">
        <v>506.94799999999998</v>
      </c>
      <c r="L36" s="1632">
        <v>23.559000000000001</v>
      </c>
      <c r="M36" s="1632">
        <v>22.327725000000001</v>
      </c>
      <c r="N36" s="1632">
        <v>101.86799999999999</v>
      </c>
      <c r="O36" s="1632">
        <v>8.8640000000000008</v>
      </c>
      <c r="P36" s="1632">
        <v>144.268</v>
      </c>
      <c r="Q36" s="1632">
        <v>8.7127920000000003</v>
      </c>
      <c r="R36" s="1632"/>
      <c r="S36" s="1632"/>
      <c r="T36" s="1632"/>
      <c r="U36" s="1632"/>
      <c r="V36" s="1632"/>
      <c r="W36" s="1632"/>
      <c r="X36" s="1632">
        <v>212.02099999999999</v>
      </c>
      <c r="Y36" s="1632">
        <v>35.514823</v>
      </c>
      <c r="Z36" s="1632"/>
      <c r="AA36" s="1632"/>
      <c r="AB36" s="1632"/>
      <c r="AC36" s="1632"/>
      <c r="AD36" s="1639">
        <v>4163.2380000000003</v>
      </c>
      <c r="AE36" s="1639">
        <v>523.53572899999995</v>
      </c>
      <c r="AF36" s="1639">
        <v>3921.8829999999998</v>
      </c>
      <c r="AG36" s="1639">
        <v>493.37799999999999</v>
      </c>
      <c r="AH36" s="1639">
        <v>139.02799999999999</v>
      </c>
      <c r="AI36" s="1639">
        <v>16.911000000000001</v>
      </c>
      <c r="AJ36" s="1639"/>
      <c r="AK36" s="1639"/>
      <c r="AL36" s="1639"/>
      <c r="AM36" s="1639"/>
      <c r="AN36" s="1639"/>
      <c r="AO36" s="1639"/>
      <c r="AP36" s="1639"/>
      <c r="AQ36" s="1639"/>
      <c r="AR36" s="1639"/>
      <c r="AS36" s="1639"/>
      <c r="AT36" s="1639"/>
      <c r="AU36" s="1639"/>
      <c r="AV36" s="1639">
        <v>225.91200000000001</v>
      </c>
      <c r="AW36" s="1639">
        <v>58.832000000000001</v>
      </c>
      <c r="AX36" s="1639">
        <v>87.418999999999997</v>
      </c>
      <c r="AY36" s="1639">
        <v>22.434000000000001</v>
      </c>
      <c r="AZ36" s="1639">
        <v>28.798999999999999</v>
      </c>
      <c r="BA36" s="1639">
        <v>14.128</v>
      </c>
      <c r="BB36" s="1639"/>
      <c r="BC36" s="1639"/>
      <c r="BD36" s="1639"/>
      <c r="BE36" s="1639"/>
      <c r="BF36" s="1639"/>
      <c r="BG36" s="1639"/>
      <c r="BH36" s="1639"/>
      <c r="BI36" s="1639"/>
      <c r="BJ36" s="1639"/>
      <c r="BK36" s="1639"/>
      <c r="BL36" s="1639"/>
      <c r="BM36" s="1639"/>
    </row>
    <row r="37" spans="1:65" hidden="1">
      <c r="A37" s="1627" t="s">
        <v>23</v>
      </c>
      <c r="B37" s="1644">
        <v>4393.0119999999997</v>
      </c>
      <c r="C37" s="1644"/>
      <c r="D37" s="1632">
        <v>2467.415</v>
      </c>
      <c r="E37" s="1632">
        <v>1324.5889999999999</v>
      </c>
      <c r="F37" s="1632">
        <v>458.40499999999997</v>
      </c>
      <c r="G37" s="1632">
        <v>142.60300000000001</v>
      </c>
      <c r="H37" s="1632">
        <v>3829.9560000000001</v>
      </c>
      <c r="I37" s="1632">
        <v>551.66715299999998</v>
      </c>
      <c r="J37" s="1632">
        <v>3391.8649999999998</v>
      </c>
      <c r="K37" s="1632">
        <v>468.52484199999998</v>
      </c>
      <c r="L37" s="1632">
        <v>25.024000000000001</v>
      </c>
      <c r="M37" s="1632">
        <v>22.544018000000001</v>
      </c>
      <c r="N37" s="1632">
        <v>92.793000000000006</v>
      </c>
      <c r="O37" s="1632">
        <v>11.613941000000001</v>
      </c>
      <c r="P37" s="1632">
        <v>124.898</v>
      </c>
      <c r="Q37" s="1632">
        <v>8.8638150000000007</v>
      </c>
      <c r="R37" s="1632"/>
      <c r="S37" s="1632"/>
      <c r="T37" s="1632"/>
      <c r="U37" s="1632"/>
      <c r="V37" s="1632"/>
      <c r="W37" s="1632"/>
      <c r="X37" s="1632">
        <v>195.376</v>
      </c>
      <c r="Y37" s="1632">
        <v>40.120536999999999</v>
      </c>
      <c r="Z37" s="1632"/>
      <c r="AA37" s="1632"/>
      <c r="AB37" s="1632"/>
      <c r="AC37" s="1632"/>
      <c r="AD37" s="1639">
        <v>3615.0569999999998</v>
      </c>
      <c r="AE37" s="1639">
        <v>487.47078399999998</v>
      </c>
      <c r="AF37" s="1639">
        <v>3399.174</v>
      </c>
      <c r="AG37" s="1639">
        <v>455.83594399999998</v>
      </c>
      <c r="AH37" s="1639">
        <v>122.014</v>
      </c>
      <c r="AI37" s="1639">
        <v>17.185701000000002</v>
      </c>
      <c r="AJ37" s="1639"/>
      <c r="AK37" s="1639"/>
      <c r="AL37" s="1639"/>
      <c r="AM37" s="1639"/>
      <c r="AN37" s="1639"/>
      <c r="AO37" s="1639"/>
      <c r="AP37" s="1639"/>
      <c r="AQ37" s="1639"/>
      <c r="AR37" s="1639"/>
      <c r="AS37" s="1639"/>
      <c r="AT37" s="1639"/>
      <c r="AU37" s="1639"/>
      <c r="AV37" s="1639">
        <v>214.899</v>
      </c>
      <c r="AW37" s="1639">
        <v>64.196369000000004</v>
      </c>
      <c r="AX37" s="1639">
        <v>85.483999999999995</v>
      </c>
      <c r="AY37" s="1639">
        <v>24.302838999999999</v>
      </c>
      <c r="AZ37" s="1639">
        <v>27.908000000000001</v>
      </c>
      <c r="BA37" s="1639">
        <v>14.222132</v>
      </c>
      <c r="BB37" s="1639"/>
      <c r="BC37" s="1639"/>
      <c r="BD37" s="1639"/>
      <c r="BE37" s="1639"/>
      <c r="BF37" s="1639"/>
      <c r="BG37" s="1639"/>
      <c r="BH37" s="1639"/>
      <c r="BI37" s="1639"/>
      <c r="BJ37" s="1639"/>
      <c r="BK37" s="1639"/>
      <c r="BL37" s="1639"/>
      <c r="BM37" s="1639"/>
    </row>
    <row r="38" spans="1:65" hidden="1">
      <c r="A38" s="1627" t="s">
        <v>24</v>
      </c>
      <c r="B38" s="1644">
        <v>4428.9809999999998</v>
      </c>
      <c r="C38" s="1644"/>
      <c r="D38" s="1632">
        <v>2488.2240000000002</v>
      </c>
      <c r="E38" s="1632">
        <v>1319.8610000000001</v>
      </c>
      <c r="F38" s="1632">
        <v>473.149</v>
      </c>
      <c r="G38" s="1632">
        <v>147.74600000000001</v>
      </c>
      <c r="H38" s="1632">
        <v>4323.0749999999998</v>
      </c>
      <c r="I38" s="1632">
        <v>645.25484700000004</v>
      </c>
      <c r="J38" s="1632">
        <v>3884.2350000000001</v>
      </c>
      <c r="K38" s="1632">
        <v>566.73355500000002</v>
      </c>
      <c r="L38" s="1632">
        <v>23.565000000000001</v>
      </c>
      <c r="M38" s="1632">
        <v>23.219964000000001</v>
      </c>
      <c r="N38" s="1632">
        <v>88.543000000000006</v>
      </c>
      <c r="O38" s="1632">
        <v>10.595152000000001</v>
      </c>
      <c r="P38" s="1632">
        <v>121.026</v>
      </c>
      <c r="Q38" s="1632">
        <v>7.9558809999999998</v>
      </c>
      <c r="R38" s="1632"/>
      <c r="S38" s="1632"/>
      <c r="T38" s="1632"/>
      <c r="U38" s="1632"/>
      <c r="V38" s="1632"/>
      <c r="W38" s="1632"/>
      <c r="X38" s="1632">
        <v>205.70599999999999</v>
      </c>
      <c r="Y38" s="1632">
        <v>36.750295000000001</v>
      </c>
      <c r="Z38" s="1632"/>
      <c r="AA38" s="1632"/>
      <c r="AB38" s="1632"/>
      <c r="AC38" s="1632"/>
      <c r="AD38" s="1639">
        <v>4103.5529999999999</v>
      </c>
      <c r="AE38" s="1639">
        <v>584.37103500000001</v>
      </c>
      <c r="AF38" s="1639">
        <v>3888.8809999999999</v>
      </c>
      <c r="AG38" s="1639">
        <v>553.39298099999996</v>
      </c>
      <c r="AH38" s="1639">
        <v>116.533</v>
      </c>
      <c r="AI38" s="1639">
        <v>18.220611000000002</v>
      </c>
      <c r="AJ38" s="1639"/>
      <c r="AK38" s="1639"/>
      <c r="AL38" s="1639"/>
      <c r="AM38" s="1639"/>
      <c r="AN38" s="1639"/>
      <c r="AO38" s="1639"/>
      <c r="AP38" s="1639"/>
      <c r="AQ38" s="1639"/>
      <c r="AR38" s="1639"/>
      <c r="AS38" s="1639"/>
      <c r="AT38" s="1639"/>
      <c r="AU38" s="1639"/>
      <c r="AV38" s="1639">
        <v>219.52199999999999</v>
      </c>
      <c r="AW38" s="1639">
        <v>60.883813000000004</v>
      </c>
      <c r="AX38" s="1639">
        <v>83.897000000000006</v>
      </c>
      <c r="AY38" s="1639">
        <v>23.935725999999999</v>
      </c>
      <c r="AZ38" s="1639">
        <v>28.058</v>
      </c>
      <c r="BA38" s="1639">
        <v>12.955235</v>
      </c>
      <c r="BB38" s="1639"/>
      <c r="BC38" s="1639"/>
      <c r="BD38" s="1639"/>
      <c r="BE38" s="1639"/>
      <c r="BF38" s="1639"/>
      <c r="BG38" s="1639"/>
      <c r="BH38" s="1639"/>
      <c r="BI38" s="1639"/>
      <c r="BJ38" s="1639"/>
      <c r="BK38" s="1639"/>
      <c r="BL38" s="1639"/>
      <c r="BM38" s="1639"/>
    </row>
    <row r="39" spans="1:65" hidden="1">
      <c r="A39" s="1627" t="s">
        <v>25</v>
      </c>
      <c r="B39" s="1644">
        <v>4448.0190000000002</v>
      </c>
      <c r="C39" s="1644"/>
      <c r="D39" s="1632">
        <v>2488.627</v>
      </c>
      <c r="E39" s="1632">
        <v>1318.1210000000001</v>
      </c>
      <c r="F39" s="1632">
        <v>487.238</v>
      </c>
      <c r="G39" s="1632">
        <v>154.03299999999999</v>
      </c>
      <c r="H39" s="1632">
        <v>4764.0420000000004</v>
      </c>
      <c r="I39" s="1632">
        <v>691.81965200000002</v>
      </c>
      <c r="J39" s="1632">
        <v>4304.7139999999999</v>
      </c>
      <c r="K39" s="1632">
        <v>601.89690900000005</v>
      </c>
      <c r="L39" s="1632">
        <v>30.565000000000001</v>
      </c>
      <c r="M39" s="1632">
        <v>25.642455000000002</v>
      </c>
      <c r="N39" s="1632">
        <v>90.87</v>
      </c>
      <c r="O39" s="1632">
        <v>11.329613999999999</v>
      </c>
      <c r="P39" s="1632">
        <v>120.236</v>
      </c>
      <c r="Q39" s="1632">
        <v>8.308662</v>
      </c>
      <c r="R39" s="1632"/>
      <c r="S39" s="1632"/>
      <c r="T39" s="1632"/>
      <c r="U39" s="1632"/>
      <c r="V39" s="1632"/>
      <c r="W39" s="1632"/>
      <c r="X39" s="1632">
        <v>217.65700000000001</v>
      </c>
      <c r="Y39" s="1632">
        <v>44.642009999999999</v>
      </c>
      <c r="Z39" s="1632"/>
      <c r="AA39" s="1632"/>
      <c r="AB39" s="1632"/>
      <c r="AC39" s="1632"/>
      <c r="AD39" s="1639">
        <v>4529.5240000000003</v>
      </c>
      <c r="AE39" s="1639">
        <v>621.28248299999996</v>
      </c>
      <c r="AF39" s="1639">
        <v>4310.38</v>
      </c>
      <c r="AG39" s="1639">
        <v>587.99785599999996</v>
      </c>
      <c r="AH39" s="1639">
        <v>122.607</v>
      </c>
      <c r="AI39" s="1639">
        <v>19.957851999999999</v>
      </c>
      <c r="AJ39" s="1639"/>
      <c r="AK39" s="1639"/>
      <c r="AL39" s="1639"/>
      <c r="AM39" s="1639"/>
      <c r="AN39" s="1639"/>
      <c r="AO39" s="1639"/>
      <c r="AP39" s="1639"/>
      <c r="AQ39" s="1639"/>
      <c r="AR39" s="1639"/>
      <c r="AS39" s="1639"/>
      <c r="AT39" s="1639"/>
      <c r="AU39" s="1639"/>
      <c r="AV39" s="1639">
        <v>234.518</v>
      </c>
      <c r="AW39" s="1639">
        <v>70.537169000000006</v>
      </c>
      <c r="AX39" s="1639">
        <v>85.203999999999994</v>
      </c>
      <c r="AY39" s="1639">
        <v>25.228667000000002</v>
      </c>
      <c r="AZ39" s="1639">
        <v>28.193999999999999</v>
      </c>
      <c r="BA39" s="1639">
        <v>14</v>
      </c>
      <c r="BB39" s="1639"/>
      <c r="BC39" s="1639"/>
      <c r="BD39" s="1639"/>
      <c r="BE39" s="1639"/>
      <c r="BF39" s="1639"/>
      <c r="BG39" s="1639"/>
      <c r="BH39" s="1639"/>
      <c r="BI39" s="1639"/>
      <c r="BJ39" s="1639"/>
      <c r="BK39" s="1639"/>
      <c r="BL39" s="1639"/>
      <c r="BM39" s="1639"/>
    </row>
    <row r="40" spans="1:65" hidden="1">
      <c r="A40" s="1627" t="s">
        <v>26</v>
      </c>
      <c r="B40" s="1644">
        <v>4459</v>
      </c>
      <c r="C40" s="1644"/>
      <c r="D40" s="1632">
        <v>2481.6660000000002</v>
      </c>
      <c r="E40" s="1632">
        <v>1315.912</v>
      </c>
      <c r="F40" s="1632">
        <v>505.54399999999998</v>
      </c>
      <c r="G40" s="1632">
        <v>156.358</v>
      </c>
      <c r="H40" s="1632">
        <v>4350.4009999999998</v>
      </c>
      <c r="I40" s="1632">
        <v>626.45797700000003</v>
      </c>
      <c r="J40" s="1632">
        <v>3841.1219999999998</v>
      </c>
      <c r="K40" s="1632">
        <v>532.28027699999996</v>
      </c>
      <c r="L40" s="1632">
        <v>25.414999999999999</v>
      </c>
      <c r="M40" s="1632">
        <v>25.027923000000001</v>
      </c>
      <c r="N40" s="1632">
        <v>97.18</v>
      </c>
      <c r="O40" s="1632">
        <v>11.196202</v>
      </c>
      <c r="P40" s="1632">
        <v>146.667</v>
      </c>
      <c r="Q40" s="1632">
        <v>11.428144</v>
      </c>
      <c r="R40" s="1632"/>
      <c r="S40" s="1632"/>
      <c r="T40" s="1632"/>
      <c r="U40" s="1632"/>
      <c r="V40" s="1632"/>
      <c r="W40" s="1632"/>
      <c r="X40" s="1632">
        <v>240.017</v>
      </c>
      <c r="Y40" s="1632">
        <v>46.525430999999998</v>
      </c>
      <c r="Z40" s="1632"/>
      <c r="AA40" s="1632"/>
      <c r="AB40" s="1632"/>
      <c r="AC40" s="1632"/>
      <c r="AD40" s="1639">
        <v>4083.2379999999998</v>
      </c>
      <c r="AE40" s="1639">
        <v>548.66510400000004</v>
      </c>
      <c r="AF40" s="1639">
        <v>3840.4690000000001</v>
      </c>
      <c r="AG40" s="1639">
        <v>515.57756199999994</v>
      </c>
      <c r="AH40" s="1639">
        <v>137.75700000000001</v>
      </c>
      <c r="AI40" s="1639">
        <v>19.474556</v>
      </c>
      <c r="AJ40" s="1639"/>
      <c r="AK40" s="1639"/>
      <c r="AL40" s="1639"/>
      <c r="AM40" s="1639"/>
      <c r="AN40" s="1639"/>
      <c r="AO40" s="1639"/>
      <c r="AP40" s="1639"/>
      <c r="AQ40" s="1639"/>
      <c r="AR40" s="1639"/>
      <c r="AS40" s="1639"/>
      <c r="AT40" s="1639"/>
      <c r="AU40" s="1639"/>
      <c r="AV40" s="1639">
        <v>267.16300000000001</v>
      </c>
      <c r="AW40" s="1639">
        <v>77.792873999999998</v>
      </c>
      <c r="AX40" s="1639">
        <v>97.832999999999998</v>
      </c>
      <c r="AY40" s="1639">
        <v>27.898917000000001</v>
      </c>
      <c r="AZ40" s="1639">
        <v>34.325000000000003</v>
      </c>
      <c r="BA40" s="1639">
        <v>16.981511999999999</v>
      </c>
      <c r="BB40" s="1639"/>
      <c r="BC40" s="1639"/>
      <c r="BD40" s="1639"/>
      <c r="BE40" s="1639"/>
      <c r="BF40" s="1639"/>
      <c r="BG40" s="1639"/>
      <c r="BH40" s="1639"/>
      <c r="BI40" s="1639"/>
      <c r="BJ40" s="1639"/>
      <c r="BK40" s="1639"/>
      <c r="BL40" s="1639"/>
      <c r="BM40" s="1639"/>
    </row>
    <row r="41" spans="1:65" hidden="1">
      <c r="A41" s="1627" t="s">
        <v>27</v>
      </c>
      <c r="B41" s="1644">
        <v>4471</v>
      </c>
      <c r="C41" s="1644"/>
      <c r="D41" s="1632">
        <v>2449</v>
      </c>
      <c r="E41" s="1632">
        <v>1305</v>
      </c>
      <c r="F41" s="1632">
        <v>553</v>
      </c>
      <c r="G41" s="1632">
        <v>164</v>
      </c>
      <c r="H41" s="1632">
        <v>4063</v>
      </c>
      <c r="I41" s="1632">
        <v>585</v>
      </c>
      <c r="J41" s="1632">
        <v>3547</v>
      </c>
      <c r="K41" s="1632">
        <v>503</v>
      </c>
      <c r="L41" s="1632">
        <v>24</v>
      </c>
      <c r="M41" s="1632">
        <v>21</v>
      </c>
      <c r="N41" s="1632">
        <v>97</v>
      </c>
      <c r="O41" s="1632">
        <v>13</v>
      </c>
      <c r="P41" s="1632">
        <v>147</v>
      </c>
      <c r="Q41" s="1632">
        <v>11</v>
      </c>
      <c r="R41" s="1632"/>
      <c r="S41" s="1632"/>
      <c r="T41" s="1632"/>
      <c r="U41" s="1632"/>
      <c r="V41" s="1632"/>
      <c r="W41" s="1632"/>
      <c r="X41" s="1632">
        <v>249</v>
      </c>
      <c r="Y41" s="1632">
        <v>38</v>
      </c>
      <c r="Z41" s="1632"/>
      <c r="AA41" s="1632"/>
      <c r="AB41" s="1632"/>
      <c r="AC41" s="1632"/>
      <c r="AD41" s="1639">
        <v>3806</v>
      </c>
      <c r="AE41" s="1639">
        <v>518</v>
      </c>
      <c r="AF41" s="1639">
        <v>3549</v>
      </c>
      <c r="AG41" s="1639">
        <v>488</v>
      </c>
      <c r="AH41" s="1639">
        <v>137</v>
      </c>
      <c r="AI41" s="1639">
        <v>17</v>
      </c>
      <c r="AJ41" s="1639"/>
      <c r="AK41" s="1639"/>
      <c r="AL41" s="1639"/>
      <c r="AM41" s="1639"/>
      <c r="AN41" s="1639"/>
      <c r="AO41" s="1639"/>
      <c r="AP41" s="1639"/>
      <c r="AQ41" s="1639"/>
      <c r="AR41" s="1639"/>
      <c r="AS41" s="1639"/>
      <c r="AT41" s="1639"/>
      <c r="AU41" s="1639"/>
      <c r="AV41" s="1639">
        <v>257</v>
      </c>
      <c r="AW41" s="1639">
        <v>67</v>
      </c>
      <c r="AX41" s="1639">
        <v>94</v>
      </c>
      <c r="AY41" s="1639">
        <v>28</v>
      </c>
      <c r="AZ41" s="1639">
        <v>34</v>
      </c>
      <c r="BA41" s="1639">
        <v>15</v>
      </c>
      <c r="BB41" s="1639"/>
      <c r="BC41" s="1639"/>
      <c r="BD41" s="1639"/>
      <c r="BE41" s="1639"/>
      <c r="BF41" s="1639"/>
      <c r="BG41" s="1639"/>
      <c r="BH41" s="1639"/>
      <c r="BI41" s="1639"/>
      <c r="BJ41" s="1639"/>
      <c r="BK41" s="1639"/>
      <c r="BL41" s="1639"/>
      <c r="BM41" s="1639"/>
    </row>
    <row r="42" spans="1:65" hidden="1">
      <c r="A42" s="1627" t="s">
        <v>28</v>
      </c>
      <c r="B42" s="1644">
        <v>4534.9269999999997</v>
      </c>
      <c r="C42" s="1644"/>
      <c r="D42" s="1632">
        <v>2534.4430000000002</v>
      </c>
      <c r="E42" s="1632">
        <v>1313.1279999999999</v>
      </c>
      <c r="F42" s="1632">
        <v>521.11</v>
      </c>
      <c r="G42" s="1632">
        <v>166.24600000000001</v>
      </c>
      <c r="H42" s="1632">
        <v>4071.16</v>
      </c>
      <c r="I42" s="1632">
        <v>608.63821099999996</v>
      </c>
      <c r="J42" s="1632">
        <v>3539.9769999999999</v>
      </c>
      <c r="K42" s="1632">
        <v>527.42243800000006</v>
      </c>
      <c r="L42" s="1632">
        <v>27.838000000000001</v>
      </c>
      <c r="M42" s="1632">
        <v>21.732614999999999</v>
      </c>
      <c r="N42" s="1632">
        <v>93.819000000000003</v>
      </c>
      <c r="O42" s="1632">
        <v>12.075663</v>
      </c>
      <c r="P42" s="1632">
        <v>162.209</v>
      </c>
      <c r="Q42" s="1632">
        <v>10.444584000000001</v>
      </c>
      <c r="R42" s="1632"/>
      <c r="S42" s="1632"/>
      <c r="T42" s="1632"/>
      <c r="U42" s="1632"/>
      <c r="V42" s="1632"/>
      <c r="W42" s="1632"/>
      <c r="X42" s="1632">
        <v>247.31700000000001</v>
      </c>
      <c r="Y42" s="1632">
        <v>36.942912</v>
      </c>
      <c r="Z42" s="1632"/>
      <c r="AA42" s="1632"/>
      <c r="AB42" s="1632"/>
      <c r="AC42" s="1632"/>
      <c r="AD42" s="1639">
        <v>3810.848</v>
      </c>
      <c r="AE42" s="1639">
        <v>542.70891600000004</v>
      </c>
      <c r="AF42" s="1639">
        <v>3540.6210000000001</v>
      </c>
      <c r="AG42" s="1639">
        <v>512.24898499999995</v>
      </c>
      <c r="AH42" s="1639">
        <v>151.999</v>
      </c>
      <c r="AI42" s="1639">
        <v>17.458600000000001</v>
      </c>
      <c r="AJ42" s="1639"/>
      <c r="AK42" s="1639"/>
      <c r="AL42" s="1639"/>
      <c r="AM42" s="1639"/>
      <c r="AN42" s="1639"/>
      <c r="AO42" s="1639"/>
      <c r="AP42" s="1639"/>
      <c r="AQ42" s="1639"/>
      <c r="AR42" s="1639"/>
      <c r="AS42" s="1639"/>
      <c r="AT42" s="1639"/>
      <c r="AU42" s="1639"/>
      <c r="AV42" s="1639">
        <v>260.31200000000001</v>
      </c>
      <c r="AW42" s="1639">
        <v>65.929294999999996</v>
      </c>
      <c r="AX42" s="1639">
        <v>93.174999999999997</v>
      </c>
      <c r="AY42" s="1639">
        <v>27.269116</v>
      </c>
      <c r="AZ42" s="1639">
        <v>38.048000000000002</v>
      </c>
      <c r="BA42" s="1639">
        <v>14.718598</v>
      </c>
      <c r="BB42" s="1639"/>
      <c r="BC42" s="1639"/>
      <c r="BD42" s="1639"/>
      <c r="BE42" s="1639"/>
      <c r="BF42" s="1639"/>
      <c r="BG42" s="1639"/>
      <c r="BH42" s="1639"/>
      <c r="BI42" s="1639"/>
      <c r="BJ42" s="1639"/>
      <c r="BK42" s="1639"/>
      <c r="BL42" s="1639"/>
      <c r="BM42" s="1639"/>
    </row>
    <row r="43" spans="1:65" hidden="1">
      <c r="A43" s="1627" t="s">
        <v>29</v>
      </c>
      <c r="B43" s="1644">
        <v>4580.2439999999988</v>
      </c>
      <c r="C43" s="1644"/>
      <c r="D43" s="1632">
        <v>2522.4079999999999</v>
      </c>
      <c r="E43" s="1632">
        <v>1330.162</v>
      </c>
      <c r="F43" s="1632">
        <v>546.93499999999995</v>
      </c>
      <c r="G43" s="1632">
        <v>180.739</v>
      </c>
      <c r="H43" s="1632">
        <v>5067.826</v>
      </c>
      <c r="I43" s="1632">
        <v>771.07725200000004</v>
      </c>
      <c r="J43" s="1632">
        <v>4477.6729999999998</v>
      </c>
      <c r="K43" s="1632">
        <v>676.49016400000005</v>
      </c>
      <c r="L43" s="1632">
        <v>35.429000000000002</v>
      </c>
      <c r="M43" s="1632">
        <v>28.780166000000001</v>
      </c>
      <c r="N43" s="1632">
        <v>94.376000000000005</v>
      </c>
      <c r="O43" s="1632">
        <v>13.277846</v>
      </c>
      <c r="P43" s="1632">
        <v>185.334</v>
      </c>
      <c r="Q43" s="1632">
        <v>12.832815</v>
      </c>
      <c r="R43" s="1632"/>
      <c r="S43" s="1632"/>
      <c r="T43" s="1632"/>
      <c r="U43" s="1632"/>
      <c r="V43" s="1632"/>
      <c r="W43" s="1632"/>
      <c r="X43" s="1632">
        <v>275.01400000000001</v>
      </c>
      <c r="Y43" s="1632">
        <v>39.696258999999998</v>
      </c>
      <c r="Z43" s="1632"/>
      <c r="AA43" s="1632"/>
      <c r="AB43" s="1632"/>
      <c r="AC43" s="1632"/>
      <c r="AD43" s="1639">
        <v>4790.5630000000001</v>
      </c>
      <c r="AE43" s="1639">
        <v>697.27673100000004</v>
      </c>
      <c r="AF43" s="1639">
        <v>4474.9089999999997</v>
      </c>
      <c r="AG43" s="1639">
        <v>660.11711200000002</v>
      </c>
      <c r="AH43" s="1639">
        <v>175.935</v>
      </c>
      <c r="AI43" s="1639">
        <v>23.271070000000002</v>
      </c>
      <c r="AJ43" s="1639"/>
      <c r="AK43" s="1639"/>
      <c r="AL43" s="1639"/>
      <c r="AM43" s="1639"/>
      <c r="AN43" s="1639"/>
      <c r="AO43" s="1639"/>
      <c r="AP43" s="1639"/>
      <c r="AQ43" s="1639"/>
      <c r="AR43" s="1639"/>
      <c r="AS43" s="1639"/>
      <c r="AT43" s="1639"/>
      <c r="AU43" s="1639"/>
      <c r="AV43" s="1639">
        <v>277.26299999999998</v>
      </c>
      <c r="AW43" s="1639">
        <v>73.800521000000003</v>
      </c>
      <c r="AX43" s="1639">
        <v>97.14</v>
      </c>
      <c r="AY43" s="1639">
        <v>29.650898000000002</v>
      </c>
      <c r="AZ43" s="1639">
        <v>44.828000000000003</v>
      </c>
      <c r="BA43" s="1639">
        <v>18.341911</v>
      </c>
      <c r="BB43" s="1639"/>
      <c r="BC43" s="1639"/>
      <c r="BD43" s="1639"/>
      <c r="BE43" s="1639"/>
      <c r="BF43" s="1639"/>
      <c r="BG43" s="1639"/>
      <c r="BH43" s="1639"/>
      <c r="BI43" s="1639"/>
      <c r="BJ43" s="1639"/>
      <c r="BK43" s="1639"/>
      <c r="BL43" s="1639"/>
      <c r="BM43" s="1639"/>
    </row>
    <row r="44" spans="1:65">
      <c r="A44" s="1645">
        <v>2012</v>
      </c>
      <c r="B44" s="1644">
        <v>5008.107</v>
      </c>
      <c r="C44" s="1644"/>
      <c r="D44" s="1639">
        <v>2560.1529999999998</v>
      </c>
      <c r="E44" s="1639">
        <v>1360.665</v>
      </c>
      <c r="F44" s="1639">
        <v>679.346</v>
      </c>
      <c r="G44" s="1632">
        <v>407.94299999999998</v>
      </c>
      <c r="H44" s="1644">
        <f t="shared" ref="H44:Q44" si="6">SUM(H45:H56)</f>
        <v>57169.155000000006</v>
      </c>
      <c r="I44" s="1644">
        <f t="shared" si="6"/>
        <v>8826.7582270000003</v>
      </c>
      <c r="J44" s="1644">
        <f t="shared" si="6"/>
        <v>48118.047999999995</v>
      </c>
      <c r="K44" s="1644">
        <f t="shared" si="6"/>
        <v>7457.2838199999997</v>
      </c>
      <c r="L44" s="1644">
        <f t="shared" si="6"/>
        <v>348.64699999999999</v>
      </c>
      <c r="M44" s="1644">
        <f t="shared" si="6"/>
        <v>421.470707</v>
      </c>
      <c r="N44" s="1644">
        <f t="shared" si="6"/>
        <v>679.76199999999994</v>
      </c>
      <c r="O44" s="1644">
        <f t="shared" si="6"/>
        <v>172.56598429999997</v>
      </c>
      <c r="P44" s="1644">
        <f t="shared" si="6"/>
        <v>4323.5349999999999</v>
      </c>
      <c r="Q44" s="1644">
        <f t="shared" si="6"/>
        <v>177.06827799999999</v>
      </c>
      <c r="R44" s="1644"/>
      <c r="S44" s="1644"/>
      <c r="T44" s="1644"/>
      <c r="U44" s="1644"/>
      <c r="V44" s="1644"/>
      <c r="W44" s="1644"/>
      <c r="X44" s="1644">
        <f>SUM(X45:X56)</f>
        <v>3700.027</v>
      </c>
      <c r="Y44" s="1644">
        <f>SUM(Y45:Y56)</f>
        <v>597.81121200000007</v>
      </c>
      <c r="Z44" s="1644"/>
      <c r="AA44" s="1644"/>
      <c r="AB44" s="1644"/>
      <c r="AC44" s="1644"/>
      <c r="AD44" s="1644">
        <f t="shared" ref="AD44:AI44" si="7">SUM(AD45:AD56)</f>
        <v>52976.212999999996</v>
      </c>
      <c r="AE44" s="1644">
        <f t="shared" si="7"/>
        <v>7759.549930000001</v>
      </c>
      <c r="AF44" s="1644">
        <f t="shared" si="7"/>
        <v>47347.949000000001</v>
      </c>
      <c r="AG44" s="1644">
        <f t="shared" si="7"/>
        <v>7209.892992</v>
      </c>
      <c r="AH44" s="1644">
        <f t="shared" si="7"/>
        <v>3794.3559999999998</v>
      </c>
      <c r="AI44" s="1644">
        <f t="shared" si="7"/>
        <v>375.39755600000001</v>
      </c>
      <c r="AJ44" s="1644"/>
      <c r="AK44" s="1644"/>
      <c r="AL44" s="1644"/>
      <c r="AM44" s="1644"/>
      <c r="AN44" s="1644"/>
      <c r="AO44" s="1644"/>
      <c r="AP44" s="1644"/>
      <c r="AQ44" s="1644"/>
      <c r="AR44" s="1644"/>
      <c r="AS44" s="1644"/>
      <c r="AT44" s="1644"/>
      <c r="AU44" s="1644"/>
      <c r="AV44" s="1644">
        <f t="shared" ref="AV44:BA44" si="8">SUM(AV45:AV56)</f>
        <v>4192.7960000000003</v>
      </c>
      <c r="AW44" s="1644">
        <f t="shared" si="8"/>
        <v>1067.208286</v>
      </c>
      <c r="AX44" s="1644">
        <f t="shared" si="8"/>
        <v>1449.8610000000001</v>
      </c>
      <c r="AY44" s="1644">
        <f t="shared" si="8"/>
        <v>420.54502000000002</v>
      </c>
      <c r="AZ44" s="1644">
        <f t="shared" si="8"/>
        <v>877.81600000000003</v>
      </c>
      <c r="BA44" s="1644">
        <f t="shared" si="8"/>
        <v>223.14142999999999</v>
      </c>
      <c r="BB44" s="1644"/>
      <c r="BC44" s="1644"/>
      <c r="BD44" s="1644"/>
      <c r="BE44" s="1644"/>
      <c r="BF44" s="1644"/>
      <c r="BG44" s="1644"/>
      <c r="BH44" s="1644"/>
      <c r="BI44" s="1644"/>
      <c r="BJ44" s="1644"/>
      <c r="BK44" s="1644"/>
      <c r="BL44" s="1644"/>
      <c r="BM44" s="1644"/>
    </row>
    <row r="45" spans="1:65" hidden="1">
      <c r="A45" s="1627" t="s">
        <v>18</v>
      </c>
      <c r="B45" s="1644">
        <v>4621.4960000000001</v>
      </c>
      <c r="C45" s="1644"/>
      <c r="D45" s="1639">
        <v>2534.0239999999999</v>
      </c>
      <c r="E45" s="1639">
        <v>1345.943</v>
      </c>
      <c r="F45" s="1639">
        <v>557.10599999999999</v>
      </c>
      <c r="G45" s="1632">
        <v>184.423</v>
      </c>
      <c r="H45" s="1639">
        <v>3541.4879999999998</v>
      </c>
      <c r="I45" s="1639">
        <v>531.18804499999999</v>
      </c>
      <c r="J45" s="1644">
        <v>2960.9479999999999</v>
      </c>
      <c r="K45" s="1632">
        <v>437.67669000000001</v>
      </c>
      <c r="L45" s="1644">
        <v>24.54</v>
      </c>
      <c r="M45" s="1644">
        <v>19.885237</v>
      </c>
      <c r="N45" s="1644">
        <v>65.472999999999999</v>
      </c>
      <c r="O45" s="1644">
        <v>11.105435999999999</v>
      </c>
      <c r="P45" s="1644">
        <v>205.49799999999999</v>
      </c>
      <c r="Q45" s="1639">
        <v>11.618316999999999</v>
      </c>
      <c r="R45" s="1639"/>
      <c r="S45" s="1639"/>
      <c r="T45" s="1639"/>
      <c r="U45" s="1639"/>
      <c r="V45" s="1639"/>
      <c r="W45" s="1639"/>
      <c r="X45" s="1632">
        <v>285.029</v>
      </c>
      <c r="Y45" s="1632">
        <v>50.902365000000003</v>
      </c>
      <c r="Z45" s="1632"/>
      <c r="AA45" s="1632"/>
      <c r="AB45" s="1632"/>
      <c r="AC45" s="1632"/>
      <c r="AD45" s="1644">
        <v>3269.3029999999999</v>
      </c>
      <c r="AE45" s="1644">
        <v>454.71205400000002</v>
      </c>
      <c r="AF45" s="1644">
        <v>2940.6</v>
      </c>
      <c r="AG45" s="1644">
        <v>422.88017300000001</v>
      </c>
      <c r="AH45" s="1644">
        <v>185.37</v>
      </c>
      <c r="AI45" s="1644">
        <v>15.904249</v>
      </c>
      <c r="AJ45" s="1644"/>
      <c r="AK45" s="1644"/>
      <c r="AL45" s="1644"/>
      <c r="AM45" s="1644"/>
      <c r="AN45" s="1644"/>
      <c r="AO45" s="1644"/>
      <c r="AP45" s="1644"/>
      <c r="AQ45" s="1644"/>
      <c r="AR45" s="1644"/>
      <c r="AS45" s="1644"/>
      <c r="AT45" s="1644"/>
      <c r="AU45" s="1644"/>
      <c r="AV45" s="1644">
        <v>272.185</v>
      </c>
      <c r="AW45" s="1644">
        <v>76.475990999999993</v>
      </c>
      <c r="AX45" s="1644">
        <v>85.820999999999998</v>
      </c>
      <c r="AY45" s="1644">
        <v>25.901952999999999</v>
      </c>
      <c r="AZ45" s="1644">
        <v>44.667999999999999</v>
      </c>
      <c r="BA45" s="1644">
        <v>15.599304999999999</v>
      </c>
      <c r="BB45" s="1644"/>
      <c r="BC45" s="1644"/>
      <c r="BD45" s="1644"/>
      <c r="BE45" s="1644"/>
      <c r="BF45" s="1644"/>
      <c r="BG45" s="1644"/>
      <c r="BH45" s="1644"/>
      <c r="BI45" s="1644"/>
      <c r="BJ45" s="1644"/>
      <c r="BK45" s="1644"/>
      <c r="BL45" s="1644"/>
      <c r="BM45" s="1644"/>
    </row>
    <row r="46" spans="1:65" hidden="1">
      <c r="A46" s="1627" t="s">
        <v>19</v>
      </c>
      <c r="B46" s="1644">
        <v>4626.6279999999997</v>
      </c>
      <c r="C46" s="1644"/>
      <c r="D46" s="1639">
        <v>2515.5720000000001</v>
      </c>
      <c r="E46" s="1639">
        <v>1351.2570000000001</v>
      </c>
      <c r="F46" s="1639">
        <v>567.11199999999997</v>
      </c>
      <c r="G46" s="1632">
        <v>192.68700000000001</v>
      </c>
      <c r="H46" s="1639">
        <v>4597.6530000000002</v>
      </c>
      <c r="I46" s="1639">
        <v>693.72887000000003</v>
      </c>
      <c r="J46" s="1644">
        <v>4021.2220000000002</v>
      </c>
      <c r="K46" s="1632">
        <v>604.01845600000001</v>
      </c>
      <c r="L46" s="1644">
        <v>29.651</v>
      </c>
      <c r="M46" s="1644">
        <v>24.714974999999999</v>
      </c>
      <c r="N46" s="1644">
        <v>53.344000000000001</v>
      </c>
      <c r="O46" s="1644">
        <v>11.712740999999999</v>
      </c>
      <c r="P46" s="1644">
        <v>244.22399999999999</v>
      </c>
      <c r="Q46" s="1639">
        <v>10.773033</v>
      </c>
      <c r="R46" s="1639"/>
      <c r="S46" s="1639"/>
      <c r="T46" s="1639"/>
      <c r="U46" s="1639"/>
      <c r="V46" s="1639"/>
      <c r="W46" s="1639"/>
      <c r="X46" s="1632">
        <v>249.21199999999999</v>
      </c>
      <c r="Y46" s="1632">
        <v>42.509666000000003</v>
      </c>
      <c r="Z46" s="1632"/>
      <c r="AA46" s="1632"/>
      <c r="AB46" s="1632"/>
      <c r="AC46" s="1632"/>
      <c r="AD46" s="1644">
        <v>4341.6419999999998</v>
      </c>
      <c r="AE46" s="1644">
        <v>624.55278399999997</v>
      </c>
      <c r="AF46" s="1644">
        <v>3990.24</v>
      </c>
      <c r="AG46" s="1644">
        <v>589.63792599999999</v>
      </c>
      <c r="AH46" s="1644">
        <v>227.80600000000001</v>
      </c>
      <c r="AI46" s="1644">
        <v>19.678934000000002</v>
      </c>
      <c r="AJ46" s="1644"/>
      <c r="AK46" s="1644"/>
      <c r="AL46" s="1644"/>
      <c r="AM46" s="1644"/>
      <c r="AN46" s="1644"/>
      <c r="AO46" s="1644"/>
      <c r="AP46" s="1644"/>
      <c r="AQ46" s="1644"/>
      <c r="AR46" s="1644"/>
      <c r="AS46" s="1644"/>
      <c r="AT46" s="1644"/>
      <c r="AU46" s="1644"/>
      <c r="AV46" s="1644">
        <v>256.01100000000002</v>
      </c>
      <c r="AW46" s="1644">
        <v>69.176085999999998</v>
      </c>
      <c r="AX46" s="1644">
        <v>84.325999999999993</v>
      </c>
      <c r="AY46" s="1644">
        <v>26.09327</v>
      </c>
      <c r="AZ46" s="1644">
        <v>46.069000000000003</v>
      </c>
      <c r="BA46" s="1644">
        <v>15.809074000000001</v>
      </c>
      <c r="BB46" s="1644"/>
      <c r="BC46" s="1644"/>
      <c r="BD46" s="1644"/>
      <c r="BE46" s="1644"/>
      <c r="BF46" s="1644"/>
      <c r="BG46" s="1644"/>
      <c r="BH46" s="1644"/>
      <c r="BI46" s="1644"/>
      <c r="BJ46" s="1644"/>
      <c r="BK46" s="1644"/>
      <c r="BL46" s="1644"/>
      <c r="BM46" s="1644"/>
    </row>
    <row r="47" spans="1:65" hidden="1">
      <c r="A47" s="1627" t="s">
        <v>20</v>
      </c>
      <c r="B47" s="1644">
        <v>4659.9939999999997</v>
      </c>
      <c r="C47" s="1644"/>
      <c r="D47" s="1639">
        <v>2518.846</v>
      </c>
      <c r="E47" s="1639">
        <v>1356.348</v>
      </c>
      <c r="F47" s="1639">
        <v>582.37699999999995</v>
      </c>
      <c r="G47" s="1632">
        <v>202.441</v>
      </c>
      <c r="H47" s="1639">
        <v>5273.5640000000003</v>
      </c>
      <c r="I47" s="1639">
        <v>784.077901</v>
      </c>
      <c r="J47" s="1644">
        <v>4565.1880000000001</v>
      </c>
      <c r="K47" s="1632">
        <v>680.83150599999999</v>
      </c>
      <c r="L47" s="1644">
        <v>28.931000000000001</v>
      </c>
      <c r="M47" s="1644">
        <v>27.501636000000001</v>
      </c>
      <c r="N47" s="1644">
        <v>58.459000000000003</v>
      </c>
      <c r="O47" s="1644">
        <v>13.028211000000001</v>
      </c>
      <c r="P47" s="1644">
        <v>298.54599999999999</v>
      </c>
      <c r="Q47" s="1639">
        <v>13.789465</v>
      </c>
      <c r="R47" s="1639"/>
      <c r="S47" s="1639"/>
      <c r="T47" s="1639"/>
      <c r="U47" s="1639"/>
      <c r="V47" s="1639"/>
      <c r="W47" s="1639"/>
      <c r="X47" s="1632">
        <v>322.44</v>
      </c>
      <c r="Y47" s="1632">
        <v>48.927083000000003</v>
      </c>
      <c r="Z47" s="1632"/>
      <c r="AA47" s="1632"/>
      <c r="AB47" s="1632"/>
      <c r="AC47" s="1632"/>
      <c r="AD47" s="1644">
        <v>4959.6689999999999</v>
      </c>
      <c r="AE47" s="1644">
        <v>703.27717500000006</v>
      </c>
      <c r="AF47" s="1644">
        <v>4523.4669999999996</v>
      </c>
      <c r="AG47" s="1644">
        <v>663.46863099999996</v>
      </c>
      <c r="AH47" s="1644">
        <v>270.76799999999997</v>
      </c>
      <c r="AI47" s="1644">
        <v>22.226908000000002</v>
      </c>
      <c r="AJ47" s="1644"/>
      <c r="AK47" s="1644"/>
      <c r="AL47" s="1644"/>
      <c r="AM47" s="1644"/>
      <c r="AN47" s="1644"/>
      <c r="AO47" s="1644"/>
      <c r="AP47" s="1644"/>
      <c r="AQ47" s="1644"/>
      <c r="AR47" s="1644"/>
      <c r="AS47" s="1644"/>
      <c r="AT47" s="1644"/>
      <c r="AU47" s="1644"/>
      <c r="AV47" s="1644">
        <v>313.89499999999998</v>
      </c>
      <c r="AW47" s="1644">
        <v>80.800725</v>
      </c>
      <c r="AX47" s="1644">
        <v>100.18</v>
      </c>
      <c r="AY47" s="1644">
        <v>30.391086000000001</v>
      </c>
      <c r="AZ47" s="1644">
        <v>56.709000000000003</v>
      </c>
      <c r="BA47" s="1644">
        <v>19.064193</v>
      </c>
      <c r="BB47" s="1644"/>
      <c r="BC47" s="1644"/>
      <c r="BD47" s="1644"/>
      <c r="BE47" s="1644"/>
      <c r="BF47" s="1644"/>
      <c r="BG47" s="1644"/>
      <c r="BH47" s="1644"/>
      <c r="BI47" s="1644"/>
      <c r="BJ47" s="1644"/>
      <c r="BK47" s="1644"/>
      <c r="BL47" s="1644"/>
      <c r="BM47" s="1644"/>
    </row>
    <row r="48" spans="1:65" hidden="1">
      <c r="A48" s="1627" t="s">
        <v>21</v>
      </c>
      <c r="B48" s="1644">
        <v>4749.8490000000002</v>
      </c>
      <c r="C48" s="1644"/>
      <c r="D48" s="1639">
        <v>2584.8359999999998</v>
      </c>
      <c r="E48" s="1639">
        <v>1360</v>
      </c>
      <c r="F48" s="1639">
        <v>590.15599999999995</v>
      </c>
      <c r="G48" s="1632">
        <v>214.76</v>
      </c>
      <c r="H48" s="1639">
        <v>4240.826</v>
      </c>
      <c r="I48" s="1639">
        <v>647.43153600000005</v>
      </c>
      <c r="J48" s="1644">
        <v>3549.7979999999998</v>
      </c>
      <c r="K48" s="1632">
        <v>544.69808699999999</v>
      </c>
      <c r="L48" s="1644">
        <v>29.515000000000001</v>
      </c>
      <c r="M48" s="1644">
        <v>31.253577</v>
      </c>
      <c r="N48" s="1644">
        <v>55.625</v>
      </c>
      <c r="O48" s="1644">
        <v>13.304930000000001</v>
      </c>
      <c r="P48" s="1644">
        <v>320.98099999999999</v>
      </c>
      <c r="Q48" s="1639">
        <v>12.775935</v>
      </c>
      <c r="R48" s="1639"/>
      <c r="S48" s="1639"/>
      <c r="T48" s="1639"/>
      <c r="U48" s="1639"/>
      <c r="V48" s="1639"/>
      <c r="W48" s="1639"/>
      <c r="X48" s="1632">
        <v>284.90699999999998</v>
      </c>
      <c r="Y48" s="1632">
        <v>45.399006</v>
      </c>
      <c r="Z48" s="1632"/>
      <c r="AA48" s="1632"/>
      <c r="AB48" s="1632"/>
      <c r="AC48" s="1632"/>
      <c r="AD48" s="1644">
        <v>3944.752</v>
      </c>
      <c r="AE48" s="1644">
        <v>567.07636300000001</v>
      </c>
      <c r="AF48" s="1644">
        <v>3504.788</v>
      </c>
      <c r="AG48" s="1644">
        <v>527.21926199999996</v>
      </c>
      <c r="AH48" s="1644">
        <v>293.44299999999998</v>
      </c>
      <c r="AI48" s="1644">
        <v>25.687453999999999</v>
      </c>
      <c r="AJ48" s="1644"/>
      <c r="AK48" s="1644"/>
      <c r="AL48" s="1644"/>
      <c r="AM48" s="1644"/>
      <c r="AN48" s="1644"/>
      <c r="AO48" s="1644"/>
      <c r="AP48" s="1644"/>
      <c r="AQ48" s="1644"/>
      <c r="AR48" s="1644"/>
      <c r="AS48" s="1644"/>
      <c r="AT48" s="1644"/>
      <c r="AU48" s="1644"/>
      <c r="AV48" s="1644">
        <v>296.07400000000001</v>
      </c>
      <c r="AW48" s="1644">
        <v>80.355172999999994</v>
      </c>
      <c r="AX48" s="1644">
        <v>100.63500000000001</v>
      </c>
      <c r="AY48" s="1644">
        <v>30.783754999999999</v>
      </c>
      <c r="AZ48" s="1644">
        <v>57.052999999999997</v>
      </c>
      <c r="BA48" s="1644">
        <v>18.342058000000002</v>
      </c>
      <c r="BB48" s="1644"/>
      <c r="BC48" s="1644"/>
      <c r="BD48" s="1644"/>
      <c r="BE48" s="1644"/>
      <c r="BF48" s="1644"/>
      <c r="BG48" s="1644"/>
      <c r="BH48" s="1644"/>
      <c r="BI48" s="1644"/>
      <c r="BJ48" s="1644"/>
      <c r="BK48" s="1644"/>
      <c r="BL48" s="1644"/>
      <c r="BM48" s="1644"/>
    </row>
    <row r="49" spans="1:65" hidden="1">
      <c r="A49" s="1627" t="s">
        <v>22</v>
      </c>
      <c r="B49" s="1644">
        <v>4807.4709999999995</v>
      </c>
      <c r="C49" s="1644"/>
      <c r="D49" s="1639">
        <v>2575.223</v>
      </c>
      <c r="E49" s="1639">
        <v>1385.432</v>
      </c>
      <c r="F49" s="1639">
        <v>616.53099999999995</v>
      </c>
      <c r="G49" s="1632">
        <v>230.285</v>
      </c>
      <c r="H49" s="1639">
        <v>5051.1239999999998</v>
      </c>
      <c r="I49" s="1639">
        <v>740.24115400000005</v>
      </c>
      <c r="J49" s="1644">
        <v>4223.9449999999997</v>
      </c>
      <c r="K49" s="1632">
        <v>640.44742399999996</v>
      </c>
      <c r="L49" s="1644">
        <v>27.922999999999998</v>
      </c>
      <c r="M49" s="1644">
        <v>27.007358</v>
      </c>
      <c r="N49" s="1644">
        <v>56.308999999999997</v>
      </c>
      <c r="O49" s="1644">
        <v>14.487467000000001</v>
      </c>
      <c r="P49" s="1644">
        <v>438.411</v>
      </c>
      <c r="Q49" s="1639">
        <v>14.873061999999999</v>
      </c>
      <c r="R49" s="1639"/>
      <c r="S49" s="1639"/>
      <c r="T49" s="1639"/>
      <c r="U49" s="1639"/>
      <c r="V49" s="1639"/>
      <c r="W49" s="1639"/>
      <c r="X49" s="1632">
        <v>304.536</v>
      </c>
      <c r="Y49" s="1632">
        <v>43.425843999999998</v>
      </c>
      <c r="Z49" s="1632"/>
      <c r="AA49" s="1632"/>
      <c r="AB49" s="1632"/>
      <c r="AC49" s="1632"/>
      <c r="AD49" s="1644">
        <v>4716.6509999999998</v>
      </c>
      <c r="AE49" s="1644">
        <v>656.66059800000005</v>
      </c>
      <c r="AF49" s="1644">
        <v>4162.2659999999996</v>
      </c>
      <c r="AG49" s="1644">
        <v>619.59087699999998</v>
      </c>
      <c r="AH49" s="1644">
        <v>398.18799999999999</v>
      </c>
      <c r="AI49" s="1644">
        <v>22.128466</v>
      </c>
      <c r="AJ49" s="1644"/>
      <c r="AK49" s="1644"/>
      <c r="AL49" s="1644"/>
      <c r="AM49" s="1644"/>
      <c r="AN49" s="1644"/>
      <c r="AO49" s="1644"/>
      <c r="AP49" s="1644"/>
      <c r="AQ49" s="1644"/>
      <c r="AR49" s="1644"/>
      <c r="AS49" s="1644"/>
      <c r="AT49" s="1644"/>
      <c r="AU49" s="1644"/>
      <c r="AV49" s="1644">
        <v>334.47300000000001</v>
      </c>
      <c r="AW49" s="1644">
        <v>83.580556999999999</v>
      </c>
      <c r="AX49" s="1644">
        <v>117.988</v>
      </c>
      <c r="AY49" s="1644">
        <v>35.374014000000003</v>
      </c>
      <c r="AZ49" s="1644">
        <v>68.146000000000001</v>
      </c>
      <c r="BA49" s="1644">
        <v>19.751954000000001</v>
      </c>
      <c r="BB49" s="1644"/>
      <c r="BC49" s="1644"/>
      <c r="BD49" s="1644"/>
      <c r="BE49" s="1644"/>
      <c r="BF49" s="1644"/>
      <c r="BG49" s="1644"/>
      <c r="BH49" s="1644"/>
      <c r="BI49" s="1644"/>
      <c r="BJ49" s="1644"/>
      <c r="BK49" s="1644"/>
      <c r="BL49" s="1644"/>
      <c r="BM49" s="1644"/>
    </row>
    <row r="50" spans="1:65" hidden="1">
      <c r="A50" s="1627" t="s">
        <v>23</v>
      </c>
      <c r="B50" s="1644">
        <v>4825.6509999999998</v>
      </c>
      <c r="C50" s="1644"/>
      <c r="D50" s="1639">
        <v>2537.9789999999998</v>
      </c>
      <c r="E50" s="1639">
        <v>1352.0119999999999</v>
      </c>
      <c r="F50" s="1639">
        <v>688.39700000000005</v>
      </c>
      <c r="G50" s="1632">
        <v>247.26300000000001</v>
      </c>
      <c r="H50" s="1639">
        <v>4405.1189999999997</v>
      </c>
      <c r="I50" s="1639">
        <v>676.27633700000001</v>
      </c>
      <c r="J50" s="1644">
        <v>3740.8620000000001</v>
      </c>
      <c r="K50" s="1632">
        <v>579.857709</v>
      </c>
      <c r="L50" s="1644">
        <v>24.995000000000001</v>
      </c>
      <c r="M50" s="1644">
        <v>24.486464000000002</v>
      </c>
      <c r="N50" s="1644">
        <v>51.517000000000003</v>
      </c>
      <c r="O50" s="1644">
        <v>13.699736</v>
      </c>
      <c r="P50" s="1644">
        <v>314.93400000000003</v>
      </c>
      <c r="Q50" s="1639">
        <v>15.048664</v>
      </c>
      <c r="R50" s="1639"/>
      <c r="S50" s="1639"/>
      <c r="T50" s="1639"/>
      <c r="U50" s="1639"/>
      <c r="V50" s="1639"/>
      <c r="W50" s="1639"/>
      <c r="X50" s="1632">
        <v>273.67500000000001</v>
      </c>
      <c r="Y50" s="1632">
        <v>43.183763999999996</v>
      </c>
      <c r="Z50" s="1632"/>
      <c r="AA50" s="1632"/>
      <c r="AB50" s="1632"/>
      <c r="AC50" s="1632"/>
      <c r="AD50" s="1644">
        <v>4101.25</v>
      </c>
      <c r="AE50" s="1644">
        <v>594.05816800000002</v>
      </c>
      <c r="AF50" s="1644">
        <v>3688.8760000000002</v>
      </c>
      <c r="AG50" s="1644">
        <v>562.04636500000004</v>
      </c>
      <c r="AH50" s="1644">
        <v>276.16800000000001</v>
      </c>
      <c r="AI50" s="1644">
        <v>20.548152000000002</v>
      </c>
      <c r="AJ50" s="1644"/>
      <c r="AK50" s="1644"/>
      <c r="AL50" s="1644"/>
      <c r="AM50" s="1644"/>
      <c r="AN50" s="1644"/>
      <c r="AO50" s="1644"/>
      <c r="AP50" s="1644"/>
      <c r="AQ50" s="1644"/>
      <c r="AR50" s="1644"/>
      <c r="AS50" s="1644"/>
      <c r="AT50" s="1644"/>
      <c r="AU50" s="1644"/>
      <c r="AV50" s="1644">
        <v>303.72300000000001</v>
      </c>
      <c r="AW50" s="1644">
        <v>82.218159999999997</v>
      </c>
      <c r="AX50" s="1644">
        <v>103.503</v>
      </c>
      <c r="AY50" s="1644">
        <v>31.511081000000001</v>
      </c>
      <c r="AZ50" s="1644">
        <v>63.750999999999998</v>
      </c>
      <c r="BA50" s="1644">
        <v>18.986977</v>
      </c>
      <c r="BB50" s="1644"/>
      <c r="BC50" s="1644"/>
      <c r="BD50" s="1644"/>
      <c r="BE50" s="1644"/>
      <c r="BF50" s="1644"/>
      <c r="BG50" s="1644"/>
      <c r="BH50" s="1644"/>
      <c r="BI50" s="1644"/>
      <c r="BJ50" s="1644"/>
      <c r="BK50" s="1644"/>
      <c r="BL50" s="1644"/>
      <c r="BM50" s="1644"/>
    </row>
    <row r="51" spans="1:65" hidden="1">
      <c r="A51" s="1627" t="s">
        <v>24</v>
      </c>
      <c r="B51" s="1644">
        <v>4807.8869999999997</v>
      </c>
      <c r="C51" s="1644"/>
      <c r="D51" s="1639">
        <v>2537.4059999999999</v>
      </c>
      <c r="E51" s="1639">
        <v>1361.731</v>
      </c>
      <c r="F51" s="1639">
        <v>629.89499999999998</v>
      </c>
      <c r="G51" s="1632">
        <v>278.85500000000002</v>
      </c>
      <c r="H51" s="1639">
        <v>5018.5600000000004</v>
      </c>
      <c r="I51" s="1639">
        <v>811.19195999999999</v>
      </c>
      <c r="J51" s="1644">
        <v>4291.2219999999998</v>
      </c>
      <c r="K51" s="1632">
        <v>697.97575300000005</v>
      </c>
      <c r="L51" s="1644">
        <v>27.584</v>
      </c>
      <c r="M51" s="1644">
        <v>38.248265000000004</v>
      </c>
      <c r="N51" s="1644">
        <v>53.045000000000002</v>
      </c>
      <c r="O51" s="1644">
        <v>16.009340999999999</v>
      </c>
      <c r="P51" s="1644">
        <v>343.59399999999999</v>
      </c>
      <c r="Q51" s="1639">
        <v>12.950625</v>
      </c>
      <c r="R51" s="1639"/>
      <c r="S51" s="1639"/>
      <c r="T51" s="1639"/>
      <c r="U51" s="1639"/>
      <c r="V51" s="1639"/>
      <c r="W51" s="1639"/>
      <c r="X51" s="1632">
        <v>303.11500000000001</v>
      </c>
      <c r="Y51" s="1632">
        <v>46.007975999999999</v>
      </c>
      <c r="Z51" s="1632"/>
      <c r="AA51" s="1632"/>
      <c r="AB51" s="1632"/>
      <c r="AC51" s="1632"/>
      <c r="AD51" s="1644">
        <v>4663.1109999999999</v>
      </c>
      <c r="AE51" s="1644">
        <v>721.83555100000001</v>
      </c>
      <c r="AF51" s="1644">
        <v>4217.4480000000003</v>
      </c>
      <c r="AG51" s="1644">
        <v>675.15063299999997</v>
      </c>
      <c r="AH51" s="1644">
        <v>301.56400000000002</v>
      </c>
      <c r="AI51" s="1644">
        <v>34.223683999999999</v>
      </c>
      <c r="AJ51" s="1644"/>
      <c r="AK51" s="1644"/>
      <c r="AL51" s="1644"/>
      <c r="AM51" s="1644"/>
      <c r="AN51" s="1644"/>
      <c r="AO51" s="1644"/>
      <c r="AP51" s="1644"/>
      <c r="AQ51" s="1644"/>
      <c r="AR51" s="1644"/>
      <c r="AS51" s="1644"/>
      <c r="AT51" s="1644"/>
      <c r="AU51" s="1644"/>
      <c r="AV51" s="1644">
        <v>355.44900000000001</v>
      </c>
      <c r="AW51" s="1644">
        <v>89.356408999999999</v>
      </c>
      <c r="AX51" s="1644">
        <v>126.819</v>
      </c>
      <c r="AY51" s="1644">
        <v>38.83446</v>
      </c>
      <c r="AZ51" s="1644">
        <v>69.614000000000004</v>
      </c>
      <c r="BA51" s="1644">
        <v>16.975207000000001</v>
      </c>
      <c r="BB51" s="1644"/>
      <c r="BC51" s="1644"/>
      <c r="BD51" s="1644"/>
      <c r="BE51" s="1644"/>
      <c r="BF51" s="1644"/>
      <c r="BG51" s="1644"/>
      <c r="BH51" s="1644"/>
      <c r="BI51" s="1644"/>
      <c r="BJ51" s="1644"/>
      <c r="BK51" s="1644"/>
      <c r="BL51" s="1644"/>
      <c r="BM51" s="1644"/>
    </row>
    <row r="52" spans="1:65" hidden="1">
      <c r="A52" s="1627" t="s">
        <v>25</v>
      </c>
      <c r="B52" s="1644">
        <v>4842.277</v>
      </c>
      <c r="C52" s="1644"/>
      <c r="D52" s="1639">
        <v>2627.5439999999999</v>
      </c>
      <c r="E52" s="1639">
        <v>1360.1110000000001</v>
      </c>
      <c r="F52" s="1639">
        <v>564.84500000000003</v>
      </c>
      <c r="G52" s="1632">
        <v>289.77699999999999</v>
      </c>
      <c r="H52" s="1639">
        <v>4461.357</v>
      </c>
      <c r="I52" s="1639">
        <v>718.60421899999994</v>
      </c>
      <c r="J52" s="1644">
        <v>3694.6840000000002</v>
      </c>
      <c r="K52" s="1632">
        <v>580.02710000000002</v>
      </c>
      <c r="L52" s="1644">
        <v>27.373000000000001</v>
      </c>
      <c r="M52" s="1644">
        <v>43.265681000000001</v>
      </c>
      <c r="N52" s="1644">
        <v>51.197000000000003</v>
      </c>
      <c r="O52" s="1644">
        <v>15.094471</v>
      </c>
      <c r="P52" s="1644">
        <v>362.70400000000001</v>
      </c>
      <c r="Q52" s="1639">
        <v>14.350149999999999</v>
      </c>
      <c r="R52" s="1639"/>
      <c r="S52" s="1639"/>
      <c r="T52" s="1639"/>
      <c r="U52" s="1639"/>
      <c r="V52" s="1639"/>
      <c r="W52" s="1639"/>
      <c r="X52" s="1632">
        <v>325.399</v>
      </c>
      <c r="Y52" s="1632">
        <v>65.866816999999998</v>
      </c>
      <c r="Z52" s="1632"/>
      <c r="AA52" s="1632"/>
      <c r="AB52" s="1632"/>
      <c r="AC52" s="1632"/>
      <c r="AD52" s="1644">
        <v>4085.375</v>
      </c>
      <c r="AE52" s="1644">
        <v>613.08758999999998</v>
      </c>
      <c r="AF52" s="1644">
        <v>3623.4369999999999</v>
      </c>
      <c r="AG52" s="1644">
        <v>558.96905000000004</v>
      </c>
      <c r="AH52" s="1644">
        <v>314.38499999999999</v>
      </c>
      <c r="AI52" s="1644">
        <v>39.395105999999998</v>
      </c>
      <c r="AJ52" s="1644"/>
      <c r="AK52" s="1644"/>
      <c r="AL52" s="1644"/>
      <c r="AM52" s="1644"/>
      <c r="AN52" s="1644"/>
      <c r="AO52" s="1644"/>
      <c r="AP52" s="1644"/>
      <c r="AQ52" s="1644"/>
      <c r="AR52" s="1644"/>
      <c r="AS52" s="1644"/>
      <c r="AT52" s="1644"/>
      <c r="AU52" s="1644"/>
      <c r="AV52" s="1644">
        <v>375.98200000000003</v>
      </c>
      <c r="AW52" s="1644">
        <v>105.516628</v>
      </c>
      <c r="AX52" s="1644">
        <v>122.444</v>
      </c>
      <c r="AY52" s="1644">
        <v>36.152521</v>
      </c>
      <c r="AZ52" s="1644">
        <v>75.691999999999993</v>
      </c>
      <c r="BA52" s="1644">
        <v>18.220725000000002</v>
      </c>
      <c r="BB52" s="1644"/>
      <c r="BC52" s="1644"/>
      <c r="BD52" s="1644"/>
      <c r="BE52" s="1644"/>
      <c r="BF52" s="1644"/>
      <c r="BG52" s="1644"/>
      <c r="BH52" s="1644"/>
      <c r="BI52" s="1644"/>
      <c r="BJ52" s="1644"/>
      <c r="BK52" s="1644"/>
      <c r="BL52" s="1644"/>
      <c r="BM52" s="1644"/>
    </row>
    <row r="53" spans="1:65" hidden="1">
      <c r="A53" s="1627" t="s">
        <v>26</v>
      </c>
      <c r="B53" s="1644">
        <v>4920.2030000000004</v>
      </c>
      <c r="C53" s="1644"/>
      <c r="D53" s="1639">
        <v>2541.2649999999999</v>
      </c>
      <c r="E53" s="1639">
        <v>1336.89</v>
      </c>
      <c r="F53" s="1639">
        <v>724.38800000000003</v>
      </c>
      <c r="G53" s="1632">
        <v>317.66000000000003</v>
      </c>
      <c r="H53" s="1639">
        <v>4689.97</v>
      </c>
      <c r="I53" s="1639">
        <v>734.43695500000001</v>
      </c>
      <c r="J53" s="1644">
        <v>3968.4740000000002</v>
      </c>
      <c r="K53" s="1632">
        <v>603.55264799999998</v>
      </c>
      <c r="L53" s="1644">
        <v>32.234000000000002</v>
      </c>
      <c r="M53" s="1644">
        <v>45.427461999999998</v>
      </c>
      <c r="N53" s="1644">
        <v>50.372999999999998</v>
      </c>
      <c r="O53" s="1644">
        <v>15.3953563</v>
      </c>
      <c r="P53" s="1644">
        <v>349.47300000000001</v>
      </c>
      <c r="Q53" s="1639">
        <v>14.623037999999999</v>
      </c>
      <c r="R53" s="1639"/>
      <c r="S53" s="1639"/>
      <c r="T53" s="1639"/>
      <c r="U53" s="1639"/>
      <c r="V53" s="1639"/>
      <c r="W53" s="1639"/>
      <c r="X53" s="1632">
        <v>289.416</v>
      </c>
      <c r="Y53" s="1632">
        <v>54.880223999999998</v>
      </c>
      <c r="Z53" s="1632"/>
      <c r="AA53" s="1632"/>
      <c r="AB53" s="1632"/>
      <c r="AC53" s="1632"/>
      <c r="AD53" s="1644">
        <v>4330.8010000000004</v>
      </c>
      <c r="AE53" s="1644">
        <v>635.51498100000003</v>
      </c>
      <c r="AF53" s="1644">
        <v>3886.9050000000002</v>
      </c>
      <c r="AG53" s="1644">
        <v>580.99990400000002</v>
      </c>
      <c r="AH53" s="1644">
        <v>304.399</v>
      </c>
      <c r="AI53" s="1644">
        <v>42.100679999999997</v>
      </c>
      <c r="AJ53" s="1644"/>
      <c r="AK53" s="1644"/>
      <c r="AL53" s="1644"/>
      <c r="AM53" s="1644"/>
      <c r="AN53" s="1644"/>
      <c r="AO53" s="1644"/>
      <c r="AP53" s="1644"/>
      <c r="AQ53" s="1644"/>
      <c r="AR53" s="1644"/>
      <c r="AS53" s="1644"/>
      <c r="AT53" s="1644"/>
      <c r="AU53" s="1644"/>
      <c r="AV53" s="1644">
        <v>359.16899999999998</v>
      </c>
      <c r="AW53" s="1644">
        <v>98.921974000000006</v>
      </c>
      <c r="AX53" s="1644">
        <v>131.94200000000001</v>
      </c>
      <c r="AY53" s="1644">
        <v>38.506307999999997</v>
      </c>
      <c r="AZ53" s="1644">
        <v>77.308000000000007</v>
      </c>
      <c r="BA53" s="1644">
        <v>17.949819000000002</v>
      </c>
      <c r="BB53" s="1644"/>
      <c r="BC53" s="1644"/>
      <c r="BD53" s="1644"/>
      <c r="BE53" s="1644"/>
      <c r="BF53" s="1644"/>
      <c r="BG53" s="1644"/>
      <c r="BH53" s="1644"/>
      <c r="BI53" s="1644"/>
      <c r="BJ53" s="1644"/>
      <c r="BK53" s="1644"/>
      <c r="BL53" s="1644"/>
      <c r="BM53" s="1644"/>
    </row>
    <row r="54" spans="1:65" hidden="1">
      <c r="A54" s="1627" t="s">
        <v>27</v>
      </c>
      <c r="B54" s="1644">
        <v>4964.7910000000002</v>
      </c>
      <c r="C54" s="1644"/>
      <c r="D54" s="1639">
        <v>2536.2310000000002</v>
      </c>
      <c r="E54" s="1639">
        <v>1330.194</v>
      </c>
      <c r="F54" s="1639">
        <v>752.23</v>
      </c>
      <c r="G54" s="1632">
        <v>346.13600000000002</v>
      </c>
      <c r="H54" s="1639">
        <v>5139.3149999999996</v>
      </c>
      <c r="I54" s="1639">
        <v>794.73158599999999</v>
      </c>
      <c r="J54" s="1644">
        <v>4258.1549999999997</v>
      </c>
      <c r="K54" s="1632">
        <v>657.14827100000002</v>
      </c>
      <c r="L54" s="1644">
        <v>30.638999999999999</v>
      </c>
      <c r="M54" s="1644">
        <v>45.571235000000001</v>
      </c>
      <c r="N54" s="1644">
        <v>57.244999999999997</v>
      </c>
      <c r="O54" s="1644">
        <v>18.210353999999999</v>
      </c>
      <c r="P54" s="1644">
        <v>436.017</v>
      </c>
      <c r="Q54" s="1639">
        <v>17.794743</v>
      </c>
      <c r="R54" s="1639"/>
      <c r="S54" s="1639"/>
      <c r="T54" s="1639"/>
      <c r="U54" s="1639"/>
      <c r="V54" s="1639"/>
      <c r="W54" s="1639"/>
      <c r="X54" s="1632">
        <v>357.25900000000001</v>
      </c>
      <c r="Y54" s="1632">
        <v>56.006982999999998</v>
      </c>
      <c r="Z54" s="1632"/>
      <c r="AA54" s="1632"/>
      <c r="AB54" s="1632"/>
      <c r="AC54" s="1632"/>
      <c r="AD54" s="1644">
        <v>4703.7560000000003</v>
      </c>
      <c r="AE54" s="1644">
        <v>688.89851499999997</v>
      </c>
      <c r="AF54" s="1644">
        <v>4158.799</v>
      </c>
      <c r="AG54" s="1644">
        <v>631.12466300000006</v>
      </c>
      <c r="AH54" s="1644">
        <v>370.25799999999998</v>
      </c>
      <c r="AI54" s="1644">
        <v>43.289771000000002</v>
      </c>
      <c r="AJ54" s="1644"/>
      <c r="AK54" s="1644"/>
      <c r="AL54" s="1644"/>
      <c r="AM54" s="1644"/>
      <c r="AN54" s="1644"/>
      <c r="AO54" s="1644"/>
      <c r="AP54" s="1644"/>
      <c r="AQ54" s="1644"/>
      <c r="AR54" s="1644"/>
      <c r="AS54" s="1644"/>
      <c r="AT54" s="1644"/>
      <c r="AU54" s="1644"/>
      <c r="AV54" s="1644">
        <v>435.55900000000003</v>
      </c>
      <c r="AW54" s="1644">
        <v>105.833071</v>
      </c>
      <c r="AX54" s="1644">
        <v>156.601</v>
      </c>
      <c r="AY54" s="1644">
        <v>44.233961999999998</v>
      </c>
      <c r="AZ54" s="1644">
        <v>96.397999999999996</v>
      </c>
      <c r="BA54" s="1644">
        <v>20.076208000000001</v>
      </c>
      <c r="BB54" s="1644"/>
      <c r="BC54" s="1644"/>
      <c r="BD54" s="1644"/>
      <c r="BE54" s="1644"/>
      <c r="BF54" s="1644"/>
      <c r="BG54" s="1644"/>
      <c r="BH54" s="1644"/>
      <c r="BI54" s="1644"/>
      <c r="BJ54" s="1644"/>
      <c r="BK54" s="1644"/>
      <c r="BL54" s="1644"/>
      <c r="BM54" s="1644"/>
    </row>
    <row r="55" spans="1:65" hidden="1">
      <c r="A55" s="1627" t="s">
        <v>28</v>
      </c>
      <c r="B55" s="1644">
        <v>5071.3789999999999</v>
      </c>
      <c r="C55" s="1644"/>
      <c r="D55" s="1639">
        <v>2550.9169999999999</v>
      </c>
      <c r="E55" s="1639">
        <v>1353.4159999999999</v>
      </c>
      <c r="F55" s="1639">
        <v>790.37099999999998</v>
      </c>
      <c r="G55" s="1632">
        <v>376.67500000000001</v>
      </c>
      <c r="H55" s="1639">
        <v>4996.8789999999999</v>
      </c>
      <c r="I55" s="1639">
        <v>768.87706900000001</v>
      </c>
      <c r="J55" s="1644">
        <v>4103.74</v>
      </c>
      <c r="K55" s="1632">
        <v>639.66684499999997</v>
      </c>
      <c r="L55" s="1644">
        <v>29.411000000000001</v>
      </c>
      <c r="M55" s="1644">
        <v>41.556666</v>
      </c>
      <c r="N55" s="1644">
        <v>60.856000000000002</v>
      </c>
      <c r="O55" s="1644">
        <v>18.336504000000001</v>
      </c>
      <c r="P55" s="1644">
        <v>452.62900000000002</v>
      </c>
      <c r="Q55" s="1639">
        <v>17.189774</v>
      </c>
      <c r="R55" s="1639"/>
      <c r="S55" s="1639"/>
      <c r="T55" s="1639"/>
      <c r="U55" s="1639"/>
      <c r="V55" s="1639"/>
      <c r="W55" s="1639"/>
      <c r="X55" s="1632">
        <v>350.24299999999999</v>
      </c>
      <c r="Y55" s="1632">
        <v>52.127279999999999</v>
      </c>
      <c r="Z55" s="1632"/>
      <c r="AA55" s="1632"/>
      <c r="AB55" s="1632"/>
      <c r="AC55" s="1632"/>
      <c r="AD55" s="1644">
        <v>4586.3249999999998</v>
      </c>
      <c r="AE55" s="1644">
        <v>674.71586300000001</v>
      </c>
      <c r="AF55" s="1644">
        <v>4025.808</v>
      </c>
      <c r="AG55" s="1644">
        <v>618.10031200000003</v>
      </c>
      <c r="AH55" s="1644">
        <v>384.87799999999999</v>
      </c>
      <c r="AI55" s="1644">
        <v>39.344493999999997</v>
      </c>
      <c r="AJ55" s="1644"/>
      <c r="AK55" s="1644"/>
      <c r="AL55" s="1644"/>
      <c r="AM55" s="1644"/>
      <c r="AN55" s="1644"/>
      <c r="AO55" s="1644"/>
      <c r="AP55" s="1644"/>
      <c r="AQ55" s="1644"/>
      <c r="AR55" s="1644"/>
      <c r="AS55" s="1644"/>
      <c r="AT55" s="1644"/>
      <c r="AU55" s="1644"/>
      <c r="AV55" s="1644">
        <v>410.55399999999997</v>
      </c>
      <c r="AW55" s="1644">
        <v>94.161204999999995</v>
      </c>
      <c r="AX55" s="1644">
        <v>138.78800000000001</v>
      </c>
      <c r="AY55" s="1644">
        <v>39.903038000000002</v>
      </c>
      <c r="AZ55" s="1644">
        <v>97.162000000000006</v>
      </c>
      <c r="BA55" s="1644">
        <v>19.401945000000001</v>
      </c>
      <c r="BB55" s="1644"/>
      <c r="BC55" s="1644"/>
      <c r="BD55" s="1644"/>
      <c r="BE55" s="1644"/>
      <c r="BF55" s="1644"/>
      <c r="BG55" s="1644"/>
      <c r="BH55" s="1644"/>
      <c r="BI55" s="1644"/>
      <c r="BJ55" s="1644"/>
      <c r="BK55" s="1644"/>
      <c r="BL55" s="1644"/>
      <c r="BM55" s="1644"/>
    </row>
    <row r="56" spans="1:65" hidden="1">
      <c r="A56" s="1627" t="s">
        <v>29</v>
      </c>
      <c r="B56" s="1644">
        <v>5008.107</v>
      </c>
      <c r="C56" s="1644"/>
      <c r="D56" s="1639">
        <v>2560.1529999999998</v>
      </c>
      <c r="E56" s="1639">
        <v>1360.665</v>
      </c>
      <c r="F56" s="1639">
        <v>679.346</v>
      </c>
      <c r="G56" s="1632">
        <v>407.94299999999998</v>
      </c>
      <c r="H56" s="1639">
        <v>5753.3</v>
      </c>
      <c r="I56" s="1639">
        <v>925.97259499999996</v>
      </c>
      <c r="J56" s="1644">
        <v>4739.8100000000004</v>
      </c>
      <c r="K56" s="1632">
        <v>791.383331</v>
      </c>
      <c r="L56" s="1644">
        <v>35.850999999999999</v>
      </c>
      <c r="M56" s="1644">
        <v>52.552151000000002</v>
      </c>
      <c r="N56" s="1644">
        <v>66.319000000000003</v>
      </c>
      <c r="O56" s="1644">
        <v>12.181437000000001</v>
      </c>
      <c r="P56" s="1644">
        <v>556.524</v>
      </c>
      <c r="Q56" s="1639">
        <v>21.281472000000001</v>
      </c>
      <c r="R56" s="1639"/>
      <c r="S56" s="1639"/>
      <c r="T56" s="1639"/>
      <c r="U56" s="1639"/>
      <c r="V56" s="1639"/>
      <c r="W56" s="1639"/>
      <c r="X56" s="1632">
        <v>354.79599999999999</v>
      </c>
      <c r="Y56" s="1632">
        <v>48.574204000000002</v>
      </c>
      <c r="Z56" s="1632"/>
      <c r="AA56" s="1632"/>
      <c r="AB56" s="1632"/>
      <c r="AC56" s="1632"/>
      <c r="AD56" s="1644">
        <v>5273.5780000000004</v>
      </c>
      <c r="AE56" s="1644">
        <v>825.16028800000004</v>
      </c>
      <c r="AF56" s="1644">
        <v>4625.3149999999996</v>
      </c>
      <c r="AG56" s="1644">
        <v>760.705196</v>
      </c>
      <c r="AH56" s="1644">
        <v>467.12900000000002</v>
      </c>
      <c r="AI56" s="1644">
        <v>50.869658000000001</v>
      </c>
      <c r="AJ56" s="1644"/>
      <c r="AK56" s="1644"/>
      <c r="AL56" s="1644"/>
      <c r="AM56" s="1644"/>
      <c r="AN56" s="1644"/>
      <c r="AO56" s="1644"/>
      <c r="AP56" s="1644"/>
      <c r="AQ56" s="1644"/>
      <c r="AR56" s="1644"/>
      <c r="AS56" s="1644"/>
      <c r="AT56" s="1644"/>
      <c r="AU56" s="1644"/>
      <c r="AV56" s="1644">
        <v>479.72199999999998</v>
      </c>
      <c r="AW56" s="1644">
        <v>100.812307</v>
      </c>
      <c r="AX56" s="1644">
        <v>180.81399999999999</v>
      </c>
      <c r="AY56" s="1644">
        <v>42.859572</v>
      </c>
      <c r="AZ56" s="1644">
        <v>125.246</v>
      </c>
      <c r="BA56" s="1644">
        <v>22.963965000000002</v>
      </c>
      <c r="BB56" s="1644"/>
      <c r="BC56" s="1644"/>
      <c r="BD56" s="1644"/>
      <c r="BE56" s="1644"/>
      <c r="BF56" s="1644"/>
      <c r="BG56" s="1644"/>
      <c r="BH56" s="1644"/>
      <c r="BI56" s="1644"/>
      <c r="BJ56" s="1644"/>
      <c r="BK56" s="1644"/>
      <c r="BL56" s="1644"/>
      <c r="BM56" s="1644"/>
    </row>
    <row r="57" spans="1:65">
      <c r="A57" s="1645">
        <v>2013</v>
      </c>
      <c r="B57" s="1644">
        <v>5672.6170000000002</v>
      </c>
      <c r="C57" s="1644"/>
      <c r="D57" s="1639">
        <v>2504.9650000000001</v>
      </c>
      <c r="E57" s="1639">
        <v>1437.0409999999999</v>
      </c>
      <c r="F57" s="1639">
        <v>788.15499999999997</v>
      </c>
      <c r="G57" s="1632">
        <v>942.45600000000002</v>
      </c>
      <c r="H57" s="1644">
        <f t="shared" ref="H57:Q57" si="9">SUM(H58:H69)</f>
        <v>67810.095000000016</v>
      </c>
      <c r="I57" s="1644">
        <f t="shared" si="9"/>
        <v>10296.677221999998</v>
      </c>
      <c r="J57" s="1644">
        <f t="shared" si="9"/>
        <v>51008.037000000011</v>
      </c>
      <c r="K57" s="1644">
        <f t="shared" si="9"/>
        <v>8371.1870689999996</v>
      </c>
      <c r="L57" s="1644">
        <f t="shared" si="9"/>
        <v>318.12099999999998</v>
      </c>
      <c r="M57" s="1644">
        <f t="shared" si="9"/>
        <v>593.71614299999999</v>
      </c>
      <c r="N57" s="1644">
        <f t="shared" si="9"/>
        <v>628.14800000000002</v>
      </c>
      <c r="O57" s="1644">
        <f t="shared" si="9"/>
        <v>195.744778</v>
      </c>
      <c r="P57" s="1644">
        <f t="shared" si="9"/>
        <v>10879.55</v>
      </c>
      <c r="Q57" s="1644">
        <f t="shared" si="9"/>
        <v>382.773528</v>
      </c>
      <c r="R57" s="1644"/>
      <c r="S57" s="1644"/>
      <c r="T57" s="1644"/>
      <c r="U57" s="1644"/>
      <c r="V57" s="1644"/>
      <c r="W57" s="1644"/>
      <c r="X57" s="1644">
        <f>SUM(X58:X69)</f>
        <v>4974.16</v>
      </c>
      <c r="Y57" s="1644">
        <f>SUM(Y58:Y69)</f>
        <v>752.38747259999991</v>
      </c>
      <c r="Z57" s="1644"/>
      <c r="AA57" s="1644"/>
      <c r="AB57" s="1644"/>
      <c r="AC57" s="1644"/>
      <c r="AD57" s="1644">
        <f t="shared" ref="AD57:AI57" si="10">SUM(AD58:AD69)</f>
        <v>57325.821000000004</v>
      </c>
      <c r="AE57" s="1644">
        <f t="shared" si="10"/>
        <v>8564.8646469999985</v>
      </c>
      <c r="AF57" s="1644">
        <f t="shared" si="10"/>
        <v>48342.428</v>
      </c>
      <c r="AG57" s="1644">
        <f t="shared" si="10"/>
        <v>7791.6236289999997</v>
      </c>
      <c r="AH57" s="1644">
        <f t="shared" si="10"/>
        <v>6329.0809999999992</v>
      </c>
      <c r="AI57" s="1644">
        <f t="shared" si="10"/>
        <v>561.500675</v>
      </c>
      <c r="AJ57" s="1644"/>
      <c r="AK57" s="1644"/>
      <c r="AL57" s="1644"/>
      <c r="AM57" s="1644"/>
      <c r="AN57" s="1644"/>
      <c r="AO57" s="1644"/>
      <c r="AP57" s="1644"/>
      <c r="AQ57" s="1644"/>
      <c r="AR57" s="1644"/>
      <c r="AS57" s="1644"/>
      <c r="AT57" s="1644"/>
      <c r="AU57" s="1644"/>
      <c r="AV57" s="1644">
        <f t="shared" ref="AV57:BA57" si="11">SUM(AV58:AV69)</f>
        <v>10484.333999999999</v>
      </c>
      <c r="AW57" s="1644">
        <f t="shared" si="11"/>
        <v>1731.8849649999997</v>
      </c>
      <c r="AX57" s="1644">
        <f t="shared" si="11"/>
        <v>3293.7570000000001</v>
      </c>
      <c r="AY57" s="1644">
        <f t="shared" si="11"/>
        <v>776.24705800000004</v>
      </c>
      <c r="AZ57" s="1644">
        <f t="shared" si="11"/>
        <v>4870.5400000000009</v>
      </c>
      <c r="BA57" s="1644">
        <f t="shared" si="11"/>
        <v>414.98973500000005</v>
      </c>
      <c r="BB57" s="1644"/>
      <c r="BC57" s="1644"/>
      <c r="BD57" s="1644"/>
      <c r="BE57" s="1644"/>
      <c r="BF57" s="1644"/>
      <c r="BG57" s="1644"/>
      <c r="BH57" s="1644"/>
      <c r="BI57" s="1644"/>
      <c r="BJ57" s="1644"/>
      <c r="BK57" s="1644"/>
      <c r="BL57" s="1644"/>
      <c r="BM57" s="1644"/>
    </row>
    <row r="58" spans="1:65" hidden="1">
      <c r="A58" s="1627" t="s">
        <v>18</v>
      </c>
      <c r="B58" s="1630">
        <v>5025.7719999999999</v>
      </c>
      <c r="C58" s="1630"/>
      <c r="D58" s="1638">
        <v>2557</v>
      </c>
      <c r="E58" s="1638">
        <v>1348</v>
      </c>
      <c r="F58" s="1638">
        <v>693.5</v>
      </c>
      <c r="G58" s="1623">
        <v>427.27199999999999</v>
      </c>
      <c r="H58" s="1638">
        <v>4264.5129999999999</v>
      </c>
      <c r="I58" s="1638">
        <v>622.71491800000001</v>
      </c>
      <c r="J58" s="1630">
        <v>3251.7150000000001</v>
      </c>
      <c r="K58" s="1623">
        <v>494.86780900000002</v>
      </c>
      <c r="L58" s="1630">
        <v>18.436</v>
      </c>
      <c r="M58" s="1630">
        <v>37.220861999999997</v>
      </c>
      <c r="N58" s="1630">
        <v>52.5</v>
      </c>
      <c r="O58" s="1630">
        <v>13.716703000000001</v>
      </c>
      <c r="P58" s="1630">
        <v>575.42899999999997</v>
      </c>
      <c r="Q58" s="1638">
        <v>21.620916000000001</v>
      </c>
      <c r="R58" s="1638"/>
      <c r="S58" s="1638"/>
      <c r="T58" s="1638"/>
      <c r="U58" s="1638"/>
      <c r="V58" s="1638"/>
      <c r="W58" s="1638"/>
      <c r="X58" s="1623">
        <v>366.43299999999999</v>
      </c>
      <c r="Y58" s="1623">
        <v>55.288692599999997</v>
      </c>
      <c r="Z58" s="1623"/>
      <c r="AA58" s="1623"/>
      <c r="AB58" s="1623"/>
      <c r="AC58" s="1623"/>
      <c r="AD58" s="1630">
        <v>3762.8119999999999</v>
      </c>
      <c r="AE58" s="1630">
        <v>523.06359299999997</v>
      </c>
      <c r="AF58" s="1630">
        <v>3137.35</v>
      </c>
      <c r="AG58" s="1630">
        <v>469.64514100000002</v>
      </c>
      <c r="AH58" s="1630">
        <v>446.69600000000003</v>
      </c>
      <c r="AI58" s="1630">
        <v>38.392682999999998</v>
      </c>
      <c r="AJ58" s="1630"/>
      <c r="AK58" s="1630"/>
      <c r="AL58" s="1630"/>
      <c r="AM58" s="1630"/>
      <c r="AN58" s="1630"/>
      <c r="AO58" s="1630"/>
      <c r="AP58" s="1630"/>
      <c r="AQ58" s="1630"/>
      <c r="AR58" s="1630"/>
      <c r="AS58" s="1630"/>
      <c r="AT58" s="1630"/>
      <c r="AU58" s="1630"/>
      <c r="AV58" s="1630">
        <v>501.70100000000002</v>
      </c>
      <c r="AW58" s="1630">
        <v>99.651325</v>
      </c>
      <c r="AX58" s="1630">
        <v>166.86500000000001</v>
      </c>
      <c r="AY58" s="1630">
        <v>38.939371999999999</v>
      </c>
      <c r="AZ58" s="1630">
        <v>147.16900000000001</v>
      </c>
      <c r="BA58" s="1630">
        <v>20.449095</v>
      </c>
      <c r="BB58" s="1630"/>
      <c r="BC58" s="1630"/>
      <c r="BD58" s="1630"/>
      <c r="BE58" s="1630"/>
      <c r="BF58" s="1630"/>
      <c r="BG58" s="1630"/>
      <c r="BH58" s="1630"/>
      <c r="BI58" s="1630"/>
      <c r="BJ58" s="1630"/>
      <c r="BK58" s="1630"/>
      <c r="BL58" s="1630"/>
      <c r="BM58" s="1630"/>
    </row>
    <row r="59" spans="1:65" hidden="1">
      <c r="A59" s="1627" t="s">
        <v>19</v>
      </c>
      <c r="B59" s="1630">
        <v>5205.1660000000002</v>
      </c>
      <c r="C59" s="1630"/>
      <c r="D59" s="1638">
        <v>2563.174</v>
      </c>
      <c r="E59" s="1638">
        <v>1358.9169999999999</v>
      </c>
      <c r="F59" s="1638">
        <v>801.19100000000003</v>
      </c>
      <c r="G59" s="1623">
        <v>481.88400000000001</v>
      </c>
      <c r="H59" s="1638">
        <v>5335.7340000000004</v>
      </c>
      <c r="I59" s="1638">
        <v>819.62766599999998</v>
      </c>
      <c r="J59" s="1630">
        <v>4322.5749999999998</v>
      </c>
      <c r="K59" s="1623">
        <v>687.73810600000002</v>
      </c>
      <c r="L59" s="1630">
        <v>40.558999999999997</v>
      </c>
      <c r="M59" s="1630">
        <v>46.927861</v>
      </c>
      <c r="N59" s="1630">
        <v>60.774000000000001</v>
      </c>
      <c r="O59" s="1630">
        <v>16.678438</v>
      </c>
      <c r="P59" s="1630">
        <v>579.93600000000004</v>
      </c>
      <c r="Q59" s="1638">
        <v>21.887217</v>
      </c>
      <c r="R59" s="1638"/>
      <c r="S59" s="1638"/>
      <c r="T59" s="1638"/>
      <c r="U59" s="1638"/>
      <c r="V59" s="1638"/>
      <c r="W59" s="1638"/>
      <c r="X59" s="1623">
        <v>331.89</v>
      </c>
      <c r="Y59" s="1623">
        <v>46.396042999999999</v>
      </c>
      <c r="Z59" s="1623"/>
      <c r="AA59" s="1623"/>
      <c r="AB59" s="1623"/>
      <c r="AC59" s="1623"/>
      <c r="AD59" s="1630">
        <v>4841.3220000000001</v>
      </c>
      <c r="AE59" s="1630">
        <v>714.82638099999997</v>
      </c>
      <c r="AF59" s="1630">
        <v>4200.9380000000001</v>
      </c>
      <c r="AG59" s="1630">
        <v>656.52498400000002</v>
      </c>
      <c r="AH59" s="1630">
        <v>469.39800000000002</v>
      </c>
      <c r="AI59" s="1630">
        <v>45.714945</v>
      </c>
      <c r="AJ59" s="1630"/>
      <c r="AK59" s="1630"/>
      <c r="AL59" s="1630"/>
      <c r="AM59" s="1630"/>
      <c r="AN59" s="1630"/>
      <c r="AO59" s="1630"/>
      <c r="AP59" s="1630"/>
      <c r="AQ59" s="1630"/>
      <c r="AR59" s="1630"/>
      <c r="AS59" s="1630"/>
      <c r="AT59" s="1630"/>
      <c r="AU59" s="1630"/>
      <c r="AV59" s="1630">
        <v>494.41199999999998</v>
      </c>
      <c r="AW59" s="1630">
        <v>104.80128499999999</v>
      </c>
      <c r="AX59" s="1630">
        <v>182.411</v>
      </c>
      <c r="AY59" s="1630">
        <v>47.891559999999998</v>
      </c>
      <c r="AZ59" s="1630">
        <v>151.09700000000001</v>
      </c>
      <c r="BA59" s="1630">
        <v>23.100131999999999</v>
      </c>
      <c r="BB59" s="1630"/>
      <c r="BC59" s="1630"/>
      <c r="BD59" s="1630"/>
      <c r="BE59" s="1630"/>
      <c r="BF59" s="1630"/>
      <c r="BG59" s="1630"/>
      <c r="BH59" s="1630"/>
      <c r="BI59" s="1630"/>
      <c r="BJ59" s="1630"/>
      <c r="BK59" s="1630"/>
      <c r="BL59" s="1630"/>
      <c r="BM59" s="1630"/>
    </row>
    <row r="60" spans="1:65" hidden="1">
      <c r="A60" s="1627" t="s">
        <v>20</v>
      </c>
      <c r="B60" s="1630">
        <v>5174.8670000000002</v>
      </c>
      <c r="C60" s="1630"/>
      <c r="D60" s="1638">
        <v>2556.4430000000002</v>
      </c>
      <c r="E60" s="1638">
        <v>1346.896</v>
      </c>
      <c r="F60" s="1638">
        <v>746.83699999999999</v>
      </c>
      <c r="G60" s="1623">
        <v>524.69100000000003</v>
      </c>
      <c r="H60" s="1638">
        <v>5541.482</v>
      </c>
      <c r="I60" s="1638">
        <v>864.83740299999999</v>
      </c>
      <c r="J60" s="1630">
        <v>4493.7110000000002</v>
      </c>
      <c r="K60" s="1623">
        <v>712.928044</v>
      </c>
      <c r="L60" s="1630">
        <v>39.545999999999999</v>
      </c>
      <c r="M60" s="1630">
        <v>44.671734999999998</v>
      </c>
      <c r="N60" s="1630">
        <v>51.743000000000002</v>
      </c>
      <c r="O60" s="1630">
        <v>13.042884000000001</v>
      </c>
      <c r="P60" s="1630">
        <v>570.63800000000003</v>
      </c>
      <c r="Q60" s="1638">
        <v>24.586275000000001</v>
      </c>
      <c r="R60" s="1638"/>
      <c r="S60" s="1638"/>
      <c r="T60" s="1638"/>
      <c r="U60" s="1638"/>
      <c r="V60" s="1638"/>
      <c r="W60" s="1638"/>
      <c r="X60" s="1623">
        <v>385.84399999999999</v>
      </c>
      <c r="Y60" s="1623">
        <v>69.608463</v>
      </c>
      <c r="Z60" s="1623"/>
      <c r="AA60" s="1623"/>
      <c r="AB60" s="1623"/>
      <c r="AC60" s="1623"/>
      <c r="AD60" s="1630">
        <v>4950.4949999999999</v>
      </c>
      <c r="AE60" s="1630">
        <v>737.54371500000002</v>
      </c>
      <c r="AF60" s="1630">
        <v>4331.6139999999996</v>
      </c>
      <c r="AG60" s="1630">
        <v>674.87821099999996</v>
      </c>
      <c r="AH60" s="1630">
        <v>426.548</v>
      </c>
      <c r="AI60" s="1630">
        <v>43.338313999999997</v>
      </c>
      <c r="AJ60" s="1630"/>
      <c r="AK60" s="1630"/>
      <c r="AL60" s="1630"/>
      <c r="AM60" s="1630"/>
      <c r="AN60" s="1630"/>
      <c r="AO60" s="1630"/>
      <c r="AP60" s="1630"/>
      <c r="AQ60" s="1630"/>
      <c r="AR60" s="1630"/>
      <c r="AS60" s="1630"/>
      <c r="AT60" s="1630"/>
      <c r="AU60" s="1630"/>
      <c r="AV60" s="1630">
        <v>590.98699999999997</v>
      </c>
      <c r="AW60" s="1630">
        <v>127.29368700000001</v>
      </c>
      <c r="AX60" s="1630">
        <v>213.84</v>
      </c>
      <c r="AY60" s="1630">
        <v>51.092717</v>
      </c>
      <c r="AZ60" s="1630">
        <v>183.636</v>
      </c>
      <c r="BA60" s="1630">
        <v>25.919696999999999</v>
      </c>
      <c r="BB60" s="1630"/>
      <c r="BC60" s="1630"/>
      <c r="BD60" s="1630"/>
      <c r="BE60" s="1630"/>
      <c r="BF60" s="1630"/>
      <c r="BG60" s="1630"/>
      <c r="BH60" s="1630"/>
      <c r="BI60" s="1630"/>
      <c r="BJ60" s="1630"/>
      <c r="BK60" s="1630"/>
      <c r="BL60" s="1630"/>
      <c r="BM60" s="1630"/>
    </row>
    <row r="61" spans="1:65" hidden="1">
      <c r="A61" s="1627" t="s">
        <v>21</v>
      </c>
      <c r="B61" s="1630">
        <v>5270.2240000000002</v>
      </c>
      <c r="C61" s="1630"/>
      <c r="D61" s="1638">
        <v>2556.9119999999998</v>
      </c>
      <c r="E61" s="1638">
        <v>1381.001</v>
      </c>
      <c r="F61" s="1638">
        <v>680.87800000000004</v>
      </c>
      <c r="G61" s="1623">
        <v>651.43299999999999</v>
      </c>
      <c r="H61" s="1638">
        <v>5230.6180000000004</v>
      </c>
      <c r="I61" s="1638">
        <v>796.30200000000002</v>
      </c>
      <c r="J61" s="1630">
        <v>4020.509</v>
      </c>
      <c r="K61" s="1623">
        <v>638.57005000000004</v>
      </c>
      <c r="L61" s="1630">
        <v>25.602</v>
      </c>
      <c r="M61" s="1630">
        <v>46.122796999999998</v>
      </c>
      <c r="N61" s="1630">
        <v>49.972999999999999</v>
      </c>
      <c r="O61" s="1630">
        <v>13.458605</v>
      </c>
      <c r="P61" s="1630">
        <v>736.05700000000002</v>
      </c>
      <c r="Q61" s="1638">
        <v>27.672536000000001</v>
      </c>
      <c r="R61" s="1638"/>
      <c r="S61" s="1638"/>
      <c r="T61" s="1638"/>
      <c r="U61" s="1638"/>
      <c r="V61" s="1638"/>
      <c r="W61" s="1638"/>
      <c r="X61" s="1623">
        <v>398.47699999999998</v>
      </c>
      <c r="Y61" s="1623">
        <v>70.478123999999994</v>
      </c>
      <c r="Z61" s="1623"/>
      <c r="AA61" s="1623"/>
      <c r="AB61" s="1623"/>
      <c r="AC61" s="1623"/>
      <c r="AD61" s="1630">
        <v>4557.308</v>
      </c>
      <c r="AE61" s="1630">
        <v>654.14490699999999</v>
      </c>
      <c r="AF61" s="1630">
        <v>3845.4540000000002</v>
      </c>
      <c r="AG61" s="1630">
        <v>598.65804000000003</v>
      </c>
      <c r="AH61" s="1630">
        <v>510.51</v>
      </c>
      <c r="AI61" s="1630">
        <v>41.684600000000003</v>
      </c>
      <c r="AJ61" s="1630"/>
      <c r="AK61" s="1630"/>
      <c r="AL61" s="1630"/>
      <c r="AM61" s="1630"/>
      <c r="AN61" s="1630"/>
      <c r="AO61" s="1630"/>
      <c r="AP61" s="1630"/>
      <c r="AQ61" s="1630"/>
      <c r="AR61" s="1630"/>
      <c r="AS61" s="1630"/>
      <c r="AT61" s="1630"/>
      <c r="AU61" s="1630"/>
      <c r="AV61" s="1630">
        <v>673.31</v>
      </c>
      <c r="AW61" s="1630">
        <v>142.15720999999999</v>
      </c>
      <c r="AX61" s="1630">
        <v>225.02799999999999</v>
      </c>
      <c r="AY61" s="1630">
        <v>53.370618999999998</v>
      </c>
      <c r="AZ61" s="1630">
        <v>251.149</v>
      </c>
      <c r="BA61" s="1630">
        <v>32.110733000000003</v>
      </c>
      <c r="BB61" s="1630"/>
      <c r="BC61" s="1630"/>
      <c r="BD61" s="1630"/>
      <c r="BE61" s="1630"/>
      <c r="BF61" s="1630"/>
      <c r="BG61" s="1630"/>
      <c r="BH61" s="1630"/>
      <c r="BI61" s="1630"/>
      <c r="BJ61" s="1630"/>
      <c r="BK61" s="1630"/>
      <c r="BL61" s="1630"/>
      <c r="BM61" s="1630"/>
    </row>
    <row r="62" spans="1:65" hidden="1">
      <c r="A62" s="1627" t="s">
        <v>22</v>
      </c>
      <c r="B62" s="1630">
        <v>5240.8339999999998</v>
      </c>
      <c r="C62" s="1630"/>
      <c r="D62" s="1638">
        <v>2555.5770000000002</v>
      </c>
      <c r="E62" s="1638">
        <v>1380.4010000000001</v>
      </c>
      <c r="F62" s="1638">
        <v>711.42499999999995</v>
      </c>
      <c r="G62" s="1623">
        <v>593.43100000000004</v>
      </c>
      <c r="H62" s="1638">
        <v>5689.86</v>
      </c>
      <c r="I62" s="1638">
        <v>848.11787500000003</v>
      </c>
      <c r="J62" s="1630">
        <v>4332.5259999999998</v>
      </c>
      <c r="K62" s="1623">
        <v>691.01401799999996</v>
      </c>
      <c r="L62" s="1630">
        <v>24.344000000000001</v>
      </c>
      <c r="M62" s="1630">
        <v>47.025016999999998</v>
      </c>
      <c r="N62" s="1630">
        <v>52.762999999999998</v>
      </c>
      <c r="O62" s="1630">
        <v>17.706526</v>
      </c>
      <c r="P62" s="1630">
        <v>876.21500000000003</v>
      </c>
      <c r="Q62" s="1638">
        <v>36.211143999999997</v>
      </c>
      <c r="R62" s="1638"/>
      <c r="S62" s="1638"/>
      <c r="T62" s="1638"/>
      <c r="U62" s="1638"/>
      <c r="V62" s="1638"/>
      <c r="W62" s="1638"/>
      <c r="X62" s="1623">
        <v>402.02100000000002</v>
      </c>
      <c r="Y62" s="1623">
        <v>56.161168000000004</v>
      </c>
      <c r="Z62" s="1623"/>
      <c r="AA62" s="1623"/>
      <c r="AB62" s="1623"/>
      <c r="AC62" s="1623"/>
      <c r="AD62" s="1630">
        <v>4851.37</v>
      </c>
      <c r="AE62" s="1630">
        <v>699.36296300000004</v>
      </c>
      <c r="AF62" s="1630">
        <v>4117.8459999999995</v>
      </c>
      <c r="AG62" s="1630">
        <v>643.28921400000002</v>
      </c>
      <c r="AH62" s="1630">
        <v>524.30799999999999</v>
      </c>
      <c r="AI62" s="1630">
        <v>41.150613</v>
      </c>
      <c r="AJ62" s="1630"/>
      <c r="AK62" s="1630"/>
      <c r="AL62" s="1630"/>
      <c r="AM62" s="1630"/>
      <c r="AN62" s="1630"/>
      <c r="AO62" s="1630"/>
      <c r="AP62" s="1630"/>
      <c r="AQ62" s="1630"/>
      <c r="AR62" s="1630"/>
      <c r="AS62" s="1630"/>
      <c r="AT62" s="1630"/>
      <c r="AU62" s="1630"/>
      <c r="AV62" s="1630">
        <v>838.49</v>
      </c>
      <c r="AW62" s="1630">
        <v>148.75491099999999</v>
      </c>
      <c r="AX62" s="1630">
        <v>267.44299999999998</v>
      </c>
      <c r="AY62" s="1630">
        <v>65.431330000000003</v>
      </c>
      <c r="AZ62" s="1630">
        <v>378.25099999999998</v>
      </c>
      <c r="BA62" s="1630">
        <v>42.085546999999998</v>
      </c>
      <c r="BB62" s="1630"/>
      <c r="BC62" s="1630"/>
      <c r="BD62" s="1630"/>
      <c r="BE62" s="1630"/>
      <c r="BF62" s="1630"/>
      <c r="BG62" s="1630"/>
      <c r="BH62" s="1630"/>
      <c r="BI62" s="1630"/>
      <c r="BJ62" s="1630"/>
      <c r="BK62" s="1630"/>
      <c r="BL62" s="1630"/>
      <c r="BM62" s="1630"/>
    </row>
    <row r="63" spans="1:65" hidden="1">
      <c r="A63" s="1627" t="s">
        <v>23</v>
      </c>
      <c r="B63" s="1630">
        <v>5300.7629999999999</v>
      </c>
      <c r="C63" s="1630"/>
      <c r="D63" s="1638">
        <v>2554.1179999999999</v>
      </c>
      <c r="E63" s="1638">
        <v>1383.6369999999999</v>
      </c>
      <c r="F63" s="1638">
        <v>727.30799999999999</v>
      </c>
      <c r="G63" s="1623">
        <v>635.70000000000005</v>
      </c>
      <c r="H63" s="1638">
        <v>5094.01</v>
      </c>
      <c r="I63" s="1638">
        <v>772.75281099999995</v>
      </c>
      <c r="J63" s="1630">
        <v>3895.2530000000002</v>
      </c>
      <c r="K63" s="1623">
        <v>634.92416600000001</v>
      </c>
      <c r="L63" s="1630">
        <v>23.501999999999999</v>
      </c>
      <c r="M63" s="1630">
        <v>44.209269999999997</v>
      </c>
      <c r="N63" s="1630">
        <v>46.975000000000001</v>
      </c>
      <c r="O63" s="1630">
        <v>14.375405000000001</v>
      </c>
      <c r="P63" s="1630">
        <v>781.81700000000001</v>
      </c>
      <c r="Q63" s="1638">
        <v>33.002355000000001</v>
      </c>
      <c r="R63" s="1638"/>
      <c r="S63" s="1638"/>
      <c r="T63" s="1638"/>
      <c r="U63" s="1638"/>
      <c r="V63" s="1638"/>
      <c r="W63" s="1638"/>
      <c r="X63" s="1623">
        <v>346.46300000000002</v>
      </c>
      <c r="Y63" s="1623">
        <v>46.241613000000001</v>
      </c>
      <c r="Z63" s="1623"/>
      <c r="AA63" s="1623"/>
      <c r="AB63" s="1623"/>
      <c r="AC63" s="1623"/>
      <c r="AD63" s="1630">
        <v>4379.5349999999999</v>
      </c>
      <c r="AE63" s="1630">
        <v>649.13668500000006</v>
      </c>
      <c r="AF63" s="1630">
        <v>3699.8429999999998</v>
      </c>
      <c r="AG63" s="1630">
        <v>593.54223100000002</v>
      </c>
      <c r="AH63" s="1630">
        <v>486.125</v>
      </c>
      <c r="AI63" s="1630">
        <v>40.685842000000001</v>
      </c>
      <c r="AJ63" s="1630"/>
      <c r="AK63" s="1630"/>
      <c r="AL63" s="1630"/>
      <c r="AM63" s="1630"/>
      <c r="AN63" s="1630"/>
      <c r="AO63" s="1630"/>
      <c r="AP63" s="1630"/>
      <c r="AQ63" s="1630"/>
      <c r="AR63" s="1630"/>
      <c r="AS63" s="1630"/>
      <c r="AT63" s="1630"/>
      <c r="AU63" s="1630"/>
      <c r="AV63" s="1630">
        <v>714.47500000000002</v>
      </c>
      <c r="AW63" s="1630">
        <v>123.61612599999999</v>
      </c>
      <c r="AX63" s="1630">
        <v>242.38499999999999</v>
      </c>
      <c r="AY63" s="1630">
        <v>55.757339999999999</v>
      </c>
      <c r="AZ63" s="1630">
        <v>319.19400000000002</v>
      </c>
      <c r="BA63" s="1630">
        <v>36.525784000000002</v>
      </c>
      <c r="BB63" s="1630"/>
      <c r="BC63" s="1630"/>
      <c r="BD63" s="1630"/>
      <c r="BE63" s="1630"/>
      <c r="BF63" s="1630"/>
      <c r="BG63" s="1630"/>
      <c r="BH63" s="1630"/>
      <c r="BI63" s="1630"/>
      <c r="BJ63" s="1630"/>
      <c r="BK63" s="1630"/>
      <c r="BL63" s="1630"/>
      <c r="BM63" s="1630"/>
    </row>
    <row r="64" spans="1:65" hidden="1">
      <c r="A64" s="1627" t="s">
        <v>24</v>
      </c>
      <c r="B64" s="1630">
        <v>5374.902</v>
      </c>
      <c r="C64" s="1630"/>
      <c r="D64" s="1638">
        <v>2545.9740000000002</v>
      </c>
      <c r="E64" s="1638">
        <v>1389.3409999999999</v>
      </c>
      <c r="F64" s="1638">
        <v>753.82100000000003</v>
      </c>
      <c r="G64" s="1623">
        <v>685.75599999999997</v>
      </c>
      <c r="H64" s="1638">
        <v>5981.7449999999999</v>
      </c>
      <c r="I64" s="1638">
        <v>920.41632900000002</v>
      </c>
      <c r="J64" s="1630">
        <v>4396.3159999999998</v>
      </c>
      <c r="K64" s="1623">
        <v>755.11724300000003</v>
      </c>
      <c r="L64" s="1630">
        <v>24.469000000000001</v>
      </c>
      <c r="M64" s="1630">
        <v>54.326723999999999</v>
      </c>
      <c r="N64" s="1630">
        <v>54.606999999999999</v>
      </c>
      <c r="O64" s="1630">
        <v>16.160079</v>
      </c>
      <c r="P64" s="1630">
        <v>1066.2829999999999</v>
      </c>
      <c r="Q64" s="1638">
        <v>32.166069999999998</v>
      </c>
      <c r="R64" s="1638"/>
      <c r="S64" s="1638"/>
      <c r="T64" s="1638"/>
      <c r="U64" s="1638"/>
      <c r="V64" s="1638"/>
      <c r="W64" s="1638"/>
      <c r="X64" s="1623">
        <v>440.07</v>
      </c>
      <c r="Y64" s="1623">
        <v>62.646210000000004</v>
      </c>
      <c r="Z64" s="1623"/>
      <c r="AA64" s="1623"/>
      <c r="AB64" s="1623"/>
      <c r="AC64" s="1623"/>
      <c r="AD64" s="1630">
        <v>4977.5</v>
      </c>
      <c r="AE64" s="1630">
        <v>772.35737300000005</v>
      </c>
      <c r="AF64" s="1630">
        <v>4151.4709999999995</v>
      </c>
      <c r="AG64" s="1630">
        <v>701.30616799999996</v>
      </c>
      <c r="AH64" s="1630">
        <v>589.30499999999995</v>
      </c>
      <c r="AI64" s="1630">
        <v>51.181260999999999</v>
      </c>
      <c r="AJ64" s="1630"/>
      <c r="AK64" s="1630"/>
      <c r="AL64" s="1630"/>
      <c r="AM64" s="1630"/>
      <c r="AN64" s="1630"/>
      <c r="AO64" s="1630"/>
      <c r="AP64" s="1630"/>
      <c r="AQ64" s="1630"/>
      <c r="AR64" s="1630"/>
      <c r="AS64" s="1630"/>
      <c r="AT64" s="1630"/>
      <c r="AU64" s="1630"/>
      <c r="AV64" s="1630">
        <v>1004.245</v>
      </c>
      <c r="AW64" s="1630">
        <v>148.058955</v>
      </c>
      <c r="AX64" s="1630">
        <v>299.452</v>
      </c>
      <c r="AY64" s="1630">
        <v>69.971153999999999</v>
      </c>
      <c r="AZ64" s="1630">
        <v>501.447</v>
      </c>
      <c r="BA64" s="1630">
        <v>35.311534000000002</v>
      </c>
      <c r="BB64" s="1630"/>
      <c r="BC64" s="1630"/>
      <c r="BD64" s="1630"/>
      <c r="BE64" s="1630"/>
      <c r="BF64" s="1630"/>
      <c r="BG64" s="1630"/>
      <c r="BH64" s="1630"/>
      <c r="BI64" s="1630"/>
      <c r="BJ64" s="1630"/>
      <c r="BK64" s="1630"/>
      <c r="BL64" s="1630"/>
      <c r="BM64" s="1630"/>
    </row>
    <row r="65" spans="1:65" hidden="1">
      <c r="A65" s="1627" t="s">
        <v>25</v>
      </c>
      <c r="B65" s="1630">
        <v>5331.0360000000001</v>
      </c>
      <c r="C65" s="1630"/>
      <c r="D65" s="1638">
        <v>2428.7190000000001</v>
      </c>
      <c r="E65" s="1638">
        <v>1388.473</v>
      </c>
      <c r="F65" s="1638">
        <v>793.97699999999998</v>
      </c>
      <c r="G65" s="1623">
        <v>719.86699999999996</v>
      </c>
      <c r="H65" s="1638">
        <v>5745.9189999999999</v>
      </c>
      <c r="I65" s="1638">
        <v>844.87986899999999</v>
      </c>
      <c r="J65" s="1630">
        <v>4232.8760000000002</v>
      </c>
      <c r="K65" s="1623">
        <v>682.03125899999998</v>
      </c>
      <c r="L65" s="1630">
        <v>22.024000000000001</v>
      </c>
      <c r="M65" s="1630">
        <v>48.519308000000002</v>
      </c>
      <c r="N65" s="1630">
        <v>46.759</v>
      </c>
      <c r="O65" s="1630">
        <v>14.897868000000001</v>
      </c>
      <c r="P65" s="1630">
        <v>1003.278</v>
      </c>
      <c r="Q65" s="1638">
        <v>30.222178</v>
      </c>
      <c r="R65" s="1638"/>
      <c r="S65" s="1638"/>
      <c r="T65" s="1638"/>
      <c r="U65" s="1638"/>
      <c r="V65" s="1638"/>
      <c r="W65" s="1638"/>
      <c r="X65" s="1623">
        <v>440.98200000000003</v>
      </c>
      <c r="Y65" s="1623">
        <v>69.209254000000001</v>
      </c>
      <c r="Z65" s="1623"/>
      <c r="AA65" s="1623"/>
      <c r="AB65" s="1623"/>
      <c r="AC65" s="1623"/>
      <c r="AD65" s="1630">
        <v>4779.41</v>
      </c>
      <c r="AE65" s="1630">
        <v>701.60636499999998</v>
      </c>
      <c r="AF65" s="1630">
        <v>4016.6550000000002</v>
      </c>
      <c r="AG65" s="1630">
        <v>636.50743</v>
      </c>
      <c r="AH65" s="1630">
        <v>529.66999999999996</v>
      </c>
      <c r="AI65" s="1630">
        <v>44.929417000000001</v>
      </c>
      <c r="AJ65" s="1630"/>
      <c r="AK65" s="1630"/>
      <c r="AL65" s="1630"/>
      <c r="AM65" s="1630"/>
      <c r="AN65" s="1630"/>
      <c r="AO65" s="1630"/>
      <c r="AP65" s="1630"/>
      <c r="AQ65" s="1630"/>
      <c r="AR65" s="1630"/>
      <c r="AS65" s="1630"/>
      <c r="AT65" s="1630"/>
      <c r="AU65" s="1630"/>
      <c r="AV65" s="1630">
        <v>966.50900000000001</v>
      </c>
      <c r="AW65" s="1630">
        <v>143.27350300000001</v>
      </c>
      <c r="AX65" s="1630">
        <v>262.98</v>
      </c>
      <c r="AY65" s="1630">
        <v>60.421697000000002</v>
      </c>
      <c r="AZ65" s="1630">
        <v>495.63200000000001</v>
      </c>
      <c r="BA65" s="1630">
        <v>33.812069000000001</v>
      </c>
      <c r="BB65" s="1630"/>
      <c r="BC65" s="1630"/>
      <c r="BD65" s="1630"/>
      <c r="BE65" s="1630"/>
      <c r="BF65" s="1630"/>
      <c r="BG65" s="1630"/>
      <c r="BH65" s="1630"/>
      <c r="BI65" s="1630"/>
      <c r="BJ65" s="1630"/>
      <c r="BK65" s="1630"/>
      <c r="BL65" s="1630"/>
      <c r="BM65" s="1630"/>
    </row>
    <row r="66" spans="1:65" hidden="1">
      <c r="A66" s="1627" t="s">
        <v>26</v>
      </c>
      <c r="B66" s="1630">
        <v>5346.7740000000003</v>
      </c>
      <c r="C66" s="1630"/>
      <c r="D66" s="1638">
        <v>2367.8359999999998</v>
      </c>
      <c r="E66" s="1638">
        <v>1410.7449999999999</v>
      </c>
      <c r="F66" s="1638">
        <v>799.88300000000004</v>
      </c>
      <c r="G66" s="1623">
        <v>768.31</v>
      </c>
      <c r="H66" s="1638">
        <v>5617.5649999999996</v>
      </c>
      <c r="I66" s="1638">
        <v>832.99279000000001</v>
      </c>
      <c r="J66" s="1630">
        <v>4135.3530000000001</v>
      </c>
      <c r="K66" s="1623">
        <v>673.57920200000001</v>
      </c>
      <c r="L66" s="1630">
        <v>21.292000000000002</v>
      </c>
      <c r="M66" s="1630">
        <v>47.34064</v>
      </c>
      <c r="N66" s="1630">
        <v>46.615000000000002</v>
      </c>
      <c r="O66" s="1630">
        <v>18.371998000000001</v>
      </c>
      <c r="P66" s="1630">
        <v>1004.782</v>
      </c>
      <c r="Q66" s="1638">
        <v>33.289437</v>
      </c>
      <c r="R66" s="1638"/>
      <c r="S66" s="1638"/>
      <c r="T66" s="1638"/>
      <c r="U66" s="1638"/>
      <c r="V66" s="1638"/>
      <c r="W66" s="1638"/>
      <c r="X66" s="1623">
        <v>409.52300000000002</v>
      </c>
      <c r="Y66" s="1623">
        <v>60.411512000000002</v>
      </c>
      <c r="Z66" s="1623"/>
      <c r="AA66" s="1623"/>
      <c r="AB66" s="1623"/>
      <c r="AC66" s="1623"/>
      <c r="AD66" s="1630">
        <v>4589.6970000000001</v>
      </c>
      <c r="AE66" s="1630">
        <v>682.06382599999995</v>
      </c>
      <c r="AF66" s="1630">
        <v>3864.402</v>
      </c>
      <c r="AG66" s="1630">
        <v>616.71338300000002</v>
      </c>
      <c r="AH66" s="1630">
        <v>498.87599999999998</v>
      </c>
      <c r="AI66" s="1630">
        <v>44.232174000000001</v>
      </c>
      <c r="AJ66" s="1630"/>
      <c r="AK66" s="1630"/>
      <c r="AL66" s="1630"/>
      <c r="AM66" s="1630"/>
      <c r="AN66" s="1630"/>
      <c r="AO66" s="1630"/>
      <c r="AP66" s="1630"/>
      <c r="AQ66" s="1630"/>
      <c r="AR66" s="1630"/>
      <c r="AS66" s="1630"/>
      <c r="AT66" s="1630"/>
      <c r="AU66" s="1630"/>
      <c r="AV66" s="1630">
        <v>1027.8679999999999</v>
      </c>
      <c r="AW66" s="1630">
        <v>150.92896400000001</v>
      </c>
      <c r="AX66" s="1630">
        <v>317.56599999999997</v>
      </c>
      <c r="AY66" s="1630">
        <v>75.237817000000007</v>
      </c>
      <c r="AZ66" s="1630">
        <v>527</v>
      </c>
      <c r="BA66" s="1630">
        <v>36.396999999999998</v>
      </c>
      <c r="BB66" s="1630"/>
      <c r="BC66" s="1630"/>
      <c r="BD66" s="1630"/>
      <c r="BE66" s="1630"/>
      <c r="BF66" s="1630"/>
      <c r="BG66" s="1630"/>
      <c r="BH66" s="1630"/>
      <c r="BI66" s="1630"/>
      <c r="BJ66" s="1630"/>
      <c r="BK66" s="1630"/>
      <c r="BL66" s="1630"/>
      <c r="BM66" s="1630"/>
    </row>
    <row r="67" spans="1:65" hidden="1">
      <c r="A67" s="1627" t="s">
        <v>27</v>
      </c>
      <c r="B67" s="1630">
        <v>5362.835</v>
      </c>
      <c r="C67" s="1630"/>
      <c r="D67" s="1638">
        <v>2403.5369999999998</v>
      </c>
      <c r="E67" s="1638">
        <v>1421.64</v>
      </c>
      <c r="F67" s="1638">
        <v>738.90099999999995</v>
      </c>
      <c r="G67" s="1623">
        <v>798.70699999999999</v>
      </c>
      <c r="H67" s="1638">
        <v>6101.152</v>
      </c>
      <c r="I67" s="1638">
        <v>901.20827799999995</v>
      </c>
      <c r="J67" s="1630">
        <v>4418.9250000000002</v>
      </c>
      <c r="K67" s="1623">
        <v>733.78445399999998</v>
      </c>
      <c r="L67" s="1630">
        <v>24.603999999999999</v>
      </c>
      <c r="M67" s="1630">
        <v>50.368462000000001</v>
      </c>
      <c r="N67" s="1630">
        <v>50.399000000000001</v>
      </c>
      <c r="O67" s="1630">
        <v>19.121523</v>
      </c>
      <c r="P67" s="1630">
        <v>1142.8579999999999</v>
      </c>
      <c r="Q67" s="1638">
        <v>37.986564999999999</v>
      </c>
      <c r="R67" s="1638"/>
      <c r="S67" s="1638"/>
      <c r="T67" s="1638"/>
      <c r="U67" s="1638"/>
      <c r="V67" s="1638"/>
      <c r="W67" s="1638"/>
      <c r="X67" s="1623">
        <v>464.36599999999999</v>
      </c>
      <c r="Y67" s="1623">
        <v>60.019272000000001</v>
      </c>
      <c r="Z67" s="1623"/>
      <c r="AA67" s="1623"/>
      <c r="AB67" s="1623"/>
      <c r="AC67" s="1623"/>
      <c r="AD67" s="1630">
        <v>4963.7</v>
      </c>
      <c r="AE67" s="1630">
        <v>740.93455500000005</v>
      </c>
      <c r="AF67" s="1630">
        <v>4128.567</v>
      </c>
      <c r="AG67" s="1630">
        <v>672.95449199999996</v>
      </c>
      <c r="AH67" s="1630">
        <v>579.41399999999999</v>
      </c>
      <c r="AI67" s="1630">
        <v>49.031638000000001</v>
      </c>
      <c r="AJ67" s="1630"/>
      <c r="AK67" s="1630"/>
      <c r="AL67" s="1630"/>
      <c r="AM67" s="1630"/>
      <c r="AN67" s="1630"/>
      <c r="AO67" s="1630"/>
      <c r="AP67" s="1630"/>
      <c r="AQ67" s="1630"/>
      <c r="AR67" s="1630"/>
      <c r="AS67" s="1630"/>
      <c r="AT67" s="1630"/>
      <c r="AU67" s="1630"/>
      <c r="AV67" s="1630">
        <v>1137.452</v>
      </c>
      <c r="AW67" s="1630">
        <v>160.34572299999999</v>
      </c>
      <c r="AX67" s="1630">
        <v>340.75700000000001</v>
      </c>
      <c r="AY67" s="1630">
        <v>79.951483999999994</v>
      </c>
      <c r="AZ67" s="1630">
        <v>588.048</v>
      </c>
      <c r="BA67" s="1630">
        <v>39.323388999999999</v>
      </c>
      <c r="BB67" s="1630"/>
      <c r="BC67" s="1630"/>
      <c r="BD67" s="1630"/>
      <c r="BE67" s="1630"/>
      <c r="BF67" s="1630"/>
      <c r="BG67" s="1630"/>
      <c r="BH67" s="1630"/>
      <c r="BI67" s="1630"/>
      <c r="BJ67" s="1630"/>
      <c r="BK67" s="1630"/>
      <c r="BL67" s="1630"/>
      <c r="BM67" s="1630"/>
    </row>
    <row r="68" spans="1:65" hidden="1">
      <c r="A68" s="1627" t="s">
        <v>28</v>
      </c>
      <c r="B68" s="1630">
        <v>5515.0029999999997</v>
      </c>
      <c r="C68" s="1630"/>
      <c r="D68" s="1638">
        <v>2472.6729999999998</v>
      </c>
      <c r="E68" s="1638">
        <v>1430.798</v>
      </c>
      <c r="F68" s="1638">
        <v>748.74300000000005</v>
      </c>
      <c r="G68" s="1623">
        <v>862.78899999999999</v>
      </c>
      <c r="H68" s="1638">
        <v>6011.5640000000003</v>
      </c>
      <c r="I68" s="1638">
        <v>923.412283</v>
      </c>
      <c r="J68" s="1630">
        <v>4323.6790000000001</v>
      </c>
      <c r="K68" s="1623">
        <v>729.64671799999996</v>
      </c>
      <c r="L68" s="1630">
        <v>22.957000000000001</v>
      </c>
      <c r="M68" s="1630">
        <v>56.267467000000003</v>
      </c>
      <c r="N68" s="1630">
        <v>49.640999999999998</v>
      </c>
      <c r="O68" s="1630">
        <v>19.854140000000001</v>
      </c>
      <c r="P68" s="1630">
        <v>1142.2570000000001</v>
      </c>
      <c r="Q68" s="1638">
        <v>36.689835000000002</v>
      </c>
      <c r="R68" s="1638"/>
      <c r="S68" s="1638"/>
      <c r="T68" s="1638"/>
      <c r="U68" s="1638"/>
      <c r="V68" s="1638"/>
      <c r="W68" s="1638"/>
      <c r="X68" s="1623">
        <v>473.03</v>
      </c>
      <c r="Y68" s="1623">
        <v>80.954121000000001</v>
      </c>
      <c r="Z68" s="1623"/>
      <c r="AA68" s="1623"/>
      <c r="AB68" s="1623"/>
      <c r="AC68" s="1623"/>
      <c r="AD68" s="1630">
        <v>4856.9080000000004</v>
      </c>
      <c r="AE68" s="1630">
        <v>743.48459500000001</v>
      </c>
      <c r="AF68" s="1630">
        <v>4034.567</v>
      </c>
      <c r="AG68" s="1630">
        <v>671.52391</v>
      </c>
      <c r="AH68" s="1630">
        <v>561.78499999999997</v>
      </c>
      <c r="AI68" s="1630">
        <v>52.575800999999998</v>
      </c>
      <c r="AJ68" s="1630"/>
      <c r="AK68" s="1630"/>
      <c r="AL68" s="1630"/>
      <c r="AM68" s="1630"/>
      <c r="AN68" s="1630"/>
      <c r="AO68" s="1630"/>
      <c r="AP68" s="1630"/>
      <c r="AQ68" s="1630"/>
      <c r="AR68" s="1630"/>
      <c r="AS68" s="1630"/>
      <c r="AT68" s="1630"/>
      <c r="AU68" s="1630"/>
      <c r="AV68" s="1630">
        <v>1154.6559999999999</v>
      </c>
      <c r="AW68" s="1630">
        <v>179.92768799999999</v>
      </c>
      <c r="AX68" s="1630">
        <v>338.75299999999999</v>
      </c>
      <c r="AY68" s="1630">
        <v>77.976949000000005</v>
      </c>
      <c r="AZ68" s="1630">
        <v>603.42899999999997</v>
      </c>
      <c r="BA68" s="1630">
        <v>40.381501</v>
      </c>
      <c r="BB68" s="1630"/>
      <c r="BC68" s="1630"/>
      <c r="BD68" s="1630"/>
      <c r="BE68" s="1630"/>
      <c r="BF68" s="1630"/>
      <c r="BG68" s="1630"/>
      <c r="BH68" s="1630"/>
      <c r="BI68" s="1630"/>
      <c r="BJ68" s="1630"/>
      <c r="BK68" s="1630"/>
      <c r="BL68" s="1630"/>
      <c r="BM68" s="1630"/>
    </row>
    <row r="69" spans="1:65" hidden="1">
      <c r="A69" s="1627" t="s">
        <v>29</v>
      </c>
      <c r="B69" s="1630">
        <v>5672.6170000000002</v>
      </c>
      <c r="C69" s="1630"/>
      <c r="D69" s="1638">
        <v>2504.9650000000001</v>
      </c>
      <c r="E69" s="1638">
        <v>1437.0409999999999</v>
      </c>
      <c r="F69" s="1638">
        <v>788.15499999999997</v>
      </c>
      <c r="G69" s="1623">
        <v>942.45600000000002</v>
      </c>
      <c r="H69" s="1638">
        <v>7195.933</v>
      </c>
      <c r="I69" s="1638">
        <v>1149.415</v>
      </c>
      <c r="J69" s="1630">
        <v>5184.5990000000002</v>
      </c>
      <c r="K69" s="1623">
        <v>936.98599999999999</v>
      </c>
      <c r="L69" s="1630">
        <v>30.786000000000001</v>
      </c>
      <c r="M69" s="1630">
        <v>70.715999999999994</v>
      </c>
      <c r="N69" s="1630">
        <v>65.399000000000001</v>
      </c>
      <c r="O69" s="1630">
        <v>18.360609</v>
      </c>
      <c r="P69" s="1630">
        <v>1400</v>
      </c>
      <c r="Q69" s="1638">
        <v>47.439</v>
      </c>
      <c r="R69" s="1638"/>
      <c r="S69" s="1638"/>
      <c r="T69" s="1638"/>
      <c r="U69" s="1638"/>
      <c r="V69" s="1638"/>
      <c r="W69" s="1638"/>
      <c r="X69" s="1623">
        <v>515.06100000000004</v>
      </c>
      <c r="Y69" s="1623">
        <v>74.972999999999999</v>
      </c>
      <c r="Z69" s="1623"/>
      <c r="AA69" s="1623"/>
      <c r="AB69" s="1623"/>
      <c r="AC69" s="1623"/>
      <c r="AD69" s="1630">
        <v>5815.7640000000001</v>
      </c>
      <c r="AE69" s="1630">
        <v>946.33968900000002</v>
      </c>
      <c r="AF69" s="1630">
        <v>4813.7209999999995</v>
      </c>
      <c r="AG69" s="1630">
        <v>856.08042499999999</v>
      </c>
      <c r="AH69" s="1630">
        <v>706.44600000000003</v>
      </c>
      <c r="AI69" s="1630">
        <v>68.583387000000002</v>
      </c>
      <c r="AJ69" s="1630"/>
      <c r="AK69" s="1630"/>
      <c r="AL69" s="1630"/>
      <c r="AM69" s="1630"/>
      <c r="AN69" s="1630"/>
      <c r="AO69" s="1630"/>
      <c r="AP69" s="1630"/>
      <c r="AQ69" s="1630"/>
      <c r="AR69" s="1630"/>
      <c r="AS69" s="1630"/>
      <c r="AT69" s="1630"/>
      <c r="AU69" s="1630"/>
      <c r="AV69" s="1630">
        <v>1380.229</v>
      </c>
      <c r="AW69" s="1630">
        <v>203.07558800000001</v>
      </c>
      <c r="AX69" s="1630">
        <v>436.27699999999999</v>
      </c>
      <c r="AY69" s="1630">
        <v>100.20501899999999</v>
      </c>
      <c r="AZ69" s="1630">
        <v>724.48800000000006</v>
      </c>
      <c r="BA69" s="1630">
        <v>49.573253999999999</v>
      </c>
      <c r="BB69" s="1630"/>
      <c r="BC69" s="1630"/>
      <c r="BD69" s="1630"/>
      <c r="BE69" s="1630"/>
      <c r="BF69" s="1630"/>
      <c r="BG69" s="1630"/>
      <c r="BH69" s="1630"/>
      <c r="BI69" s="1630"/>
      <c r="BJ69" s="1630"/>
      <c r="BK69" s="1630"/>
      <c r="BL69" s="1630"/>
      <c r="BM69" s="1630"/>
    </row>
    <row r="70" spans="1:65">
      <c r="A70" s="1645">
        <v>2014</v>
      </c>
      <c r="B70" s="1644">
        <v>5965.2070000000003</v>
      </c>
      <c r="C70" s="1644"/>
      <c r="D70" s="1639">
        <v>2426.3000000000002</v>
      </c>
      <c r="E70" s="1639">
        <v>1443.6769999999999</v>
      </c>
      <c r="F70" s="1639">
        <v>793.53200000000004</v>
      </c>
      <c r="G70" s="1632">
        <v>1301.6980000000001</v>
      </c>
      <c r="H70" s="1644">
        <f t="shared" ref="H70:Q70" si="12">SUM(H71:H82)</f>
        <v>79228.133000000002</v>
      </c>
      <c r="I70" s="1644">
        <f t="shared" si="12"/>
        <v>11870.469365000001</v>
      </c>
      <c r="J70" s="1644">
        <f t="shared" si="12"/>
        <v>54452.952000000005</v>
      </c>
      <c r="K70" s="1644">
        <f t="shared" si="12"/>
        <v>9566.2038940000002</v>
      </c>
      <c r="L70" s="1644">
        <f t="shared" si="12"/>
        <v>309.55900000000003</v>
      </c>
      <c r="M70" s="1644">
        <f t="shared" si="12"/>
        <v>727.02784700000007</v>
      </c>
      <c r="N70" s="1644">
        <f t="shared" si="12"/>
        <v>591.43900000000008</v>
      </c>
      <c r="O70" s="1644">
        <f t="shared" si="12"/>
        <v>249.74949900000001</v>
      </c>
      <c r="P70" s="1644">
        <f t="shared" si="12"/>
        <v>10399.359999999999</v>
      </c>
      <c r="Q70" s="1644">
        <f t="shared" si="12"/>
        <v>395.57607999999999</v>
      </c>
      <c r="R70" s="1644"/>
      <c r="S70" s="1204"/>
      <c r="T70" s="1644">
        <v>7639</v>
      </c>
      <c r="U70" s="1644">
        <v>151</v>
      </c>
      <c r="V70" s="1644"/>
      <c r="W70" s="1644"/>
      <c r="X70" s="1644">
        <f>SUM(X71:X82)</f>
        <v>6255.9063999999998</v>
      </c>
      <c r="Y70" s="1644">
        <f>SUM(Y71:Y82)</f>
        <v>784.08735200000001</v>
      </c>
      <c r="Z70" s="1644"/>
      <c r="AA70" s="1644"/>
      <c r="AB70" s="1644"/>
      <c r="AC70" s="1644"/>
      <c r="AD70" s="1644">
        <f t="shared" ref="AD70:AI70" si="13">SUM(AD71:AD82)</f>
        <v>62011.4</v>
      </c>
      <c r="AE70" s="1644">
        <f t="shared" si="13"/>
        <v>9523.5500710000015</v>
      </c>
      <c r="AF70" s="1644">
        <f t="shared" si="13"/>
        <v>49539.234000000004</v>
      </c>
      <c r="AG70" s="1644">
        <f t="shared" si="13"/>
        <v>8561.6427029999995</v>
      </c>
      <c r="AH70" s="1644">
        <f t="shared" si="13"/>
        <v>3501.3059999999991</v>
      </c>
      <c r="AI70" s="1644">
        <f t="shared" si="13"/>
        <v>611.69937099999993</v>
      </c>
      <c r="AJ70" s="1644"/>
      <c r="AK70" s="1644"/>
      <c r="AL70" s="1644">
        <v>5584</v>
      </c>
      <c r="AM70" s="1644">
        <v>79</v>
      </c>
      <c r="AN70" s="1644"/>
      <c r="AO70" s="1644"/>
      <c r="AP70" s="1644">
        <v>3531.259</v>
      </c>
      <c r="AQ70" s="1644">
        <v>275.13348300000001</v>
      </c>
      <c r="AR70" s="1644"/>
      <c r="AS70" s="1644"/>
      <c r="AT70" s="1644"/>
      <c r="AU70" s="1644"/>
      <c r="AV70" s="1644">
        <f t="shared" ref="AV70:BA70" si="14">SUM(AV71:AV82)</f>
        <v>17216.718000000001</v>
      </c>
      <c r="AW70" s="1644">
        <f t="shared" si="14"/>
        <v>2346.9042710000003</v>
      </c>
      <c r="AX70" s="1644">
        <f t="shared" si="14"/>
        <v>5505.7739999999994</v>
      </c>
      <c r="AY70" s="1644">
        <f t="shared" si="14"/>
        <v>1254.3110570000001</v>
      </c>
      <c r="AZ70" s="1644">
        <f t="shared" si="14"/>
        <v>7202.6130000000003</v>
      </c>
      <c r="BA70" s="1644">
        <f t="shared" si="14"/>
        <v>510.908345</v>
      </c>
      <c r="BB70" s="1644"/>
      <c r="BC70" s="1644"/>
      <c r="BD70" s="1644">
        <v>2055</v>
      </c>
      <c r="BE70" s="1644">
        <v>73</v>
      </c>
      <c r="BF70" s="1644"/>
      <c r="BG70" s="1644"/>
      <c r="BH70" s="1644">
        <v>2728.692</v>
      </c>
      <c r="BI70" s="1644">
        <v>511.182952</v>
      </c>
      <c r="BJ70" s="1644"/>
      <c r="BK70" s="1644"/>
      <c r="BL70" s="1644"/>
      <c r="BM70" s="1644"/>
    </row>
    <row r="71" spans="1:65" hidden="1">
      <c r="A71" s="1627" t="s">
        <v>18</v>
      </c>
      <c r="B71" s="1630">
        <v>5752.3389999999999</v>
      </c>
      <c r="C71" s="1630"/>
      <c r="D71" s="1638">
        <v>2533.7620000000002</v>
      </c>
      <c r="E71" s="1638">
        <v>1431.9939999999999</v>
      </c>
      <c r="F71" s="1638">
        <v>819.29200000000003</v>
      </c>
      <c r="G71" s="1623">
        <v>967.29100000000005</v>
      </c>
      <c r="H71" s="1638">
        <v>5533.8450000000003</v>
      </c>
      <c r="I71" s="1638">
        <v>777.78954499999998</v>
      </c>
      <c r="J71" s="1630">
        <v>3695.9560000000001</v>
      </c>
      <c r="K71" s="1623">
        <v>610.03151700000001</v>
      </c>
      <c r="L71" s="1630">
        <v>22.62</v>
      </c>
      <c r="M71" s="1630">
        <v>42.971169000000003</v>
      </c>
      <c r="N71" s="1630">
        <v>48.238</v>
      </c>
      <c r="O71" s="1630">
        <v>16.713816999999999</v>
      </c>
      <c r="P71" s="1630">
        <v>1216.3140000000001</v>
      </c>
      <c r="Q71" s="1638">
        <v>38.103057999999997</v>
      </c>
      <c r="R71" s="1638"/>
      <c r="S71" s="1205"/>
      <c r="T71" s="1638"/>
      <c r="U71" s="1638"/>
      <c r="V71" s="1644"/>
      <c r="W71" s="1644"/>
      <c r="X71" s="1623">
        <v>505.71699999999998</v>
      </c>
      <c r="Y71" s="1623">
        <v>69.969982999999999</v>
      </c>
      <c r="Z71" s="1623"/>
      <c r="AA71" s="1623"/>
      <c r="AB71" s="1623"/>
      <c r="AC71" s="1623"/>
      <c r="AD71" s="1630">
        <v>4281.6260000000002</v>
      </c>
      <c r="AE71" s="1630">
        <v>610.313671</v>
      </c>
      <c r="AF71" s="1630">
        <v>3389.62</v>
      </c>
      <c r="AG71" s="1630">
        <v>548.63338699999997</v>
      </c>
      <c r="AH71" s="1630">
        <v>613.59</v>
      </c>
      <c r="AI71" s="1630">
        <v>41.291817000000002</v>
      </c>
      <c r="AJ71" s="1630"/>
      <c r="AK71" s="1630"/>
      <c r="AL71" s="1630"/>
      <c r="AM71" s="1630"/>
      <c r="AN71" s="1630"/>
      <c r="AO71" s="1630"/>
      <c r="AP71" s="1630"/>
      <c r="AQ71" s="1630"/>
      <c r="AR71" s="1630"/>
      <c r="AS71" s="1630"/>
      <c r="AT71" s="1630"/>
      <c r="AU71" s="1630"/>
      <c r="AV71" s="1630">
        <v>1252.2190000000001</v>
      </c>
      <c r="AW71" s="1630">
        <v>167.475874</v>
      </c>
      <c r="AX71" s="1630">
        <v>354.57400000000001</v>
      </c>
      <c r="AY71" s="1630">
        <v>78.111947000000001</v>
      </c>
      <c r="AZ71" s="1630">
        <v>670.34400000000005</v>
      </c>
      <c r="BA71" s="1630">
        <v>39.782411000000003</v>
      </c>
      <c r="BB71" s="1630"/>
      <c r="BC71" s="1630"/>
      <c r="BD71" s="1630"/>
      <c r="BE71" s="1630"/>
      <c r="BF71" s="1630"/>
      <c r="BG71" s="1630"/>
      <c r="BH71" s="1630"/>
      <c r="BI71" s="1630"/>
      <c r="BJ71" s="1630"/>
      <c r="BK71" s="1630"/>
      <c r="BL71" s="1630"/>
      <c r="BM71" s="1630"/>
    </row>
    <row r="72" spans="1:65" hidden="1">
      <c r="A72" s="1627" t="s">
        <v>19</v>
      </c>
      <c r="B72" s="1630">
        <v>5808.0280000000002</v>
      </c>
      <c r="C72" s="1630"/>
      <c r="D72" s="1638">
        <v>2550.8980000000001</v>
      </c>
      <c r="E72" s="1638">
        <v>1417.3710000000001</v>
      </c>
      <c r="F72" s="1638">
        <v>832.73299999999995</v>
      </c>
      <c r="G72" s="1623">
        <v>1007.026</v>
      </c>
      <c r="H72" s="1638">
        <v>6206.2579999999998</v>
      </c>
      <c r="I72" s="1638">
        <v>941.40361199999995</v>
      </c>
      <c r="J72" s="1630">
        <v>4373.9369999999999</v>
      </c>
      <c r="K72" s="1623">
        <v>764.04607499999997</v>
      </c>
      <c r="L72" s="1630">
        <v>27.242000000000001</v>
      </c>
      <c r="M72" s="1630">
        <v>54.947603999999998</v>
      </c>
      <c r="N72" s="1630">
        <v>50.643999999999998</v>
      </c>
      <c r="O72" s="1630">
        <v>17.764603000000001</v>
      </c>
      <c r="P72" s="1630">
        <v>773.81</v>
      </c>
      <c r="Q72" s="1638">
        <v>27.783197000000001</v>
      </c>
      <c r="R72" s="1638"/>
      <c r="S72" s="1205"/>
      <c r="T72" s="1638"/>
      <c r="U72" s="1638"/>
      <c r="V72" s="1644"/>
      <c r="W72" s="1644"/>
      <c r="X72" s="1623">
        <v>445.23899999999998</v>
      </c>
      <c r="Y72" s="1623">
        <v>66.289141999999998</v>
      </c>
      <c r="Z72" s="1623"/>
      <c r="AA72" s="1623"/>
      <c r="AB72" s="1623"/>
      <c r="AC72" s="1623"/>
      <c r="AD72" s="1630">
        <v>4974.415</v>
      </c>
      <c r="AE72" s="1630">
        <v>767.48937100000001</v>
      </c>
      <c r="AF72" s="1630">
        <v>4064.482</v>
      </c>
      <c r="AG72" s="1630">
        <v>698.295751</v>
      </c>
      <c r="AH72" s="1630">
        <v>243.26400000000001</v>
      </c>
      <c r="AI72" s="1630">
        <v>45.578893999999998</v>
      </c>
      <c r="AJ72" s="1630"/>
      <c r="AK72" s="1630"/>
      <c r="AL72" s="1630"/>
      <c r="AM72" s="1630"/>
      <c r="AN72" s="1630"/>
      <c r="AO72" s="1630"/>
      <c r="AP72" s="1630"/>
      <c r="AQ72" s="1630"/>
      <c r="AR72" s="1630"/>
      <c r="AS72" s="1630"/>
      <c r="AT72" s="1630"/>
      <c r="AU72" s="1630"/>
      <c r="AV72" s="1630">
        <v>1231.8430000000001</v>
      </c>
      <c r="AW72" s="1630">
        <v>173.91424000000001</v>
      </c>
      <c r="AX72" s="1630">
        <v>360.09899999999999</v>
      </c>
      <c r="AY72" s="1630">
        <v>83.514927</v>
      </c>
      <c r="AZ72" s="1630">
        <v>557.78800000000001</v>
      </c>
      <c r="BA72" s="1630">
        <v>37.151905999999997</v>
      </c>
      <c r="BB72" s="1630"/>
      <c r="BC72" s="1630"/>
      <c r="BD72" s="1630"/>
      <c r="BE72" s="1630"/>
      <c r="BF72" s="1630"/>
      <c r="BG72" s="1630"/>
      <c r="BH72" s="1630"/>
      <c r="BI72" s="1630"/>
      <c r="BJ72" s="1630"/>
      <c r="BK72" s="1630"/>
      <c r="BL72" s="1630"/>
      <c r="BM72" s="1630"/>
    </row>
    <row r="73" spans="1:65" hidden="1">
      <c r="A73" s="1627" t="s">
        <v>20</v>
      </c>
      <c r="B73" s="1630">
        <v>5853.4970000000003</v>
      </c>
      <c r="C73" s="1630"/>
      <c r="D73" s="1638">
        <v>2553.4490000000001</v>
      </c>
      <c r="E73" s="1638">
        <v>1405.7190000000001</v>
      </c>
      <c r="F73" s="1638">
        <v>861.96600000000001</v>
      </c>
      <c r="G73" s="1623">
        <v>1032.3630000000001</v>
      </c>
      <c r="H73" s="1638">
        <v>6800.6790000000001</v>
      </c>
      <c r="I73" s="1638">
        <v>1018.96</v>
      </c>
      <c r="J73" s="1630">
        <v>4790.24</v>
      </c>
      <c r="K73" s="1623">
        <v>832.61</v>
      </c>
      <c r="L73" s="1630">
        <v>26.219000000000001</v>
      </c>
      <c r="M73" s="1630">
        <v>56.023285000000001</v>
      </c>
      <c r="N73" s="1630">
        <v>44.244</v>
      </c>
      <c r="O73" s="1630">
        <v>19.522029</v>
      </c>
      <c r="P73" s="1630">
        <v>828.34799999999996</v>
      </c>
      <c r="Q73" s="1638">
        <v>33.023595</v>
      </c>
      <c r="R73" s="1638"/>
      <c r="S73" s="1205"/>
      <c r="T73" s="1638"/>
      <c r="U73" s="1638"/>
      <c r="V73" s="1644"/>
      <c r="W73" s="1644"/>
      <c r="X73" s="1623">
        <v>510.20699999999999</v>
      </c>
      <c r="Y73" s="1623">
        <v>64.013991000000004</v>
      </c>
      <c r="Z73" s="1623"/>
      <c r="AA73" s="1623"/>
      <c r="AB73" s="1623"/>
      <c r="AC73" s="1623"/>
      <c r="AD73" s="1630">
        <v>5412.634</v>
      </c>
      <c r="AE73" s="1630">
        <v>832.09489900000005</v>
      </c>
      <c r="AF73" s="1630">
        <v>4410.2550000000001</v>
      </c>
      <c r="AG73" s="1630">
        <v>754.75607000000002</v>
      </c>
      <c r="AH73" s="1630">
        <v>234.19900000000001</v>
      </c>
      <c r="AI73" s="1630">
        <v>48.905000000000001</v>
      </c>
      <c r="AJ73" s="1630"/>
      <c r="AK73" s="1630"/>
      <c r="AL73" s="1630"/>
      <c r="AM73" s="1630"/>
      <c r="AN73" s="1630"/>
      <c r="AO73" s="1630"/>
      <c r="AP73" s="1630"/>
      <c r="AQ73" s="1630"/>
      <c r="AR73" s="1630"/>
      <c r="AS73" s="1630"/>
      <c r="AT73" s="1630"/>
      <c r="AU73" s="1630"/>
      <c r="AV73" s="1630">
        <v>1388.0450000000001</v>
      </c>
      <c r="AW73" s="1630">
        <v>186.86524800000001</v>
      </c>
      <c r="AX73" s="1630">
        <v>424.22899999999998</v>
      </c>
      <c r="AY73" s="1630">
        <v>97.376327000000003</v>
      </c>
      <c r="AZ73" s="1630">
        <v>620.36800000000005</v>
      </c>
      <c r="BA73" s="1630">
        <v>40.141840000000002</v>
      </c>
      <c r="BB73" s="1630"/>
      <c r="BC73" s="1630"/>
      <c r="BD73" s="1630"/>
      <c r="BE73" s="1630"/>
      <c r="BF73" s="1630"/>
      <c r="BG73" s="1630"/>
      <c r="BH73" s="1630"/>
      <c r="BI73" s="1630"/>
      <c r="BJ73" s="1630"/>
      <c r="BK73" s="1630"/>
      <c r="BL73" s="1630"/>
      <c r="BM73" s="1630"/>
    </row>
    <row r="74" spans="1:65" hidden="1">
      <c r="A74" s="1627" t="s">
        <v>21</v>
      </c>
      <c r="B74" s="1630">
        <v>5908.1469999999999</v>
      </c>
      <c r="C74" s="1630"/>
      <c r="D74" s="1638">
        <v>2566.92</v>
      </c>
      <c r="E74" s="1638">
        <v>1412.123</v>
      </c>
      <c r="F74" s="1638">
        <v>860.79300000000001</v>
      </c>
      <c r="G74" s="1623">
        <v>1068.3109999999999</v>
      </c>
      <c r="H74" s="1638">
        <v>6349.5219999999999</v>
      </c>
      <c r="I74" s="1638">
        <v>938.31736599999999</v>
      </c>
      <c r="J74" s="1630">
        <v>4407.1279999999997</v>
      </c>
      <c r="K74" s="1623">
        <v>758.79992900000002</v>
      </c>
      <c r="L74" s="1630">
        <v>27.887</v>
      </c>
      <c r="M74" s="1630">
        <v>62.992308000000001</v>
      </c>
      <c r="N74" s="1630">
        <v>56.844999999999999</v>
      </c>
      <c r="O74" s="1630">
        <v>20.392423000000001</v>
      </c>
      <c r="P74" s="1630">
        <v>779.10799999999995</v>
      </c>
      <c r="Q74" s="1638">
        <v>28.236070000000002</v>
      </c>
      <c r="R74" s="1638"/>
      <c r="S74" s="1205"/>
      <c r="T74" s="1638"/>
      <c r="U74" s="1638"/>
      <c r="V74" s="1644"/>
      <c r="W74" s="1644"/>
      <c r="X74" s="1623">
        <v>466.59899999999999</v>
      </c>
      <c r="Y74" s="1623">
        <v>55.041131999999998</v>
      </c>
      <c r="Z74" s="1623"/>
      <c r="AA74" s="1623"/>
      <c r="AB74" s="1623"/>
      <c r="AC74" s="1623"/>
      <c r="AD74" s="1630">
        <v>5024.57</v>
      </c>
      <c r="AE74" s="1630">
        <v>757.26842799999997</v>
      </c>
      <c r="AF74" s="1630">
        <v>4043.2649999999999</v>
      </c>
      <c r="AG74" s="1630">
        <v>681.03487199999995</v>
      </c>
      <c r="AH74" s="1630">
        <v>225.45400000000001</v>
      </c>
      <c r="AI74" s="1630">
        <v>51.021918999999997</v>
      </c>
      <c r="AJ74" s="1630"/>
      <c r="AK74" s="1630"/>
      <c r="AL74" s="1630"/>
      <c r="AM74" s="1630"/>
      <c r="AN74" s="1630"/>
      <c r="AO74" s="1630"/>
      <c r="AP74" s="1630"/>
      <c r="AQ74" s="1630"/>
      <c r="AR74" s="1630"/>
      <c r="AS74" s="1630"/>
      <c r="AT74" s="1630"/>
      <c r="AU74" s="1630"/>
      <c r="AV74" s="1630">
        <v>1324.952</v>
      </c>
      <c r="AW74" s="1630">
        <v>181.04893799999999</v>
      </c>
      <c r="AX74" s="1630">
        <v>420.70800000000003</v>
      </c>
      <c r="AY74" s="1630">
        <v>98.157480000000007</v>
      </c>
      <c r="AZ74" s="1630">
        <v>581.54100000000005</v>
      </c>
      <c r="BA74" s="1630">
        <v>40.206000000000003</v>
      </c>
      <c r="BB74" s="1630"/>
      <c r="BC74" s="1630"/>
      <c r="BD74" s="1630"/>
      <c r="BE74" s="1630"/>
      <c r="BF74" s="1630"/>
      <c r="BG74" s="1630"/>
      <c r="BH74" s="1630"/>
      <c r="BI74" s="1630"/>
      <c r="BJ74" s="1630"/>
      <c r="BK74" s="1630"/>
      <c r="BL74" s="1630"/>
      <c r="BM74" s="1630"/>
    </row>
    <row r="75" spans="1:65" hidden="1">
      <c r="A75" s="1627" t="s">
        <v>22</v>
      </c>
      <c r="B75" s="1630">
        <v>5967.4179999999997</v>
      </c>
      <c r="C75" s="1630"/>
      <c r="D75" s="1638">
        <v>2560.3919999999998</v>
      </c>
      <c r="E75" s="1638">
        <v>1400.6089999999999</v>
      </c>
      <c r="F75" s="1638">
        <v>889.12800000000004</v>
      </c>
      <c r="G75" s="1623">
        <v>1117.289</v>
      </c>
      <c r="H75" s="1638">
        <v>6634.1120000000001</v>
      </c>
      <c r="I75" s="1638">
        <v>988.182456</v>
      </c>
      <c r="J75" s="1630">
        <v>4657.4930000000004</v>
      </c>
      <c r="K75" s="1623">
        <v>806.77167799999995</v>
      </c>
      <c r="L75" s="1630">
        <v>26.236999999999998</v>
      </c>
      <c r="M75" s="1630">
        <v>59.758896999999997</v>
      </c>
      <c r="N75" s="1630">
        <v>48.899000000000001</v>
      </c>
      <c r="O75" s="1630">
        <v>20.608657999999998</v>
      </c>
      <c r="P75" s="1630">
        <v>820.10799999999995</v>
      </c>
      <c r="Q75" s="1638">
        <v>30.940999999999999</v>
      </c>
      <c r="R75" s="1638"/>
      <c r="S75" s="1205"/>
      <c r="T75" s="1638"/>
      <c r="U75" s="1638"/>
      <c r="V75" s="1644"/>
      <c r="W75" s="1644"/>
      <c r="X75" s="1623">
        <v>484.97300000000001</v>
      </c>
      <c r="Y75" s="1623">
        <v>59.445628999999997</v>
      </c>
      <c r="Z75" s="1623"/>
      <c r="AA75" s="1623"/>
      <c r="AB75" s="1623"/>
      <c r="AC75" s="1623"/>
      <c r="AD75" s="1630">
        <v>5223.01</v>
      </c>
      <c r="AE75" s="1630">
        <v>794.25419399999998</v>
      </c>
      <c r="AF75" s="1630">
        <v>4238.3190000000004</v>
      </c>
      <c r="AG75" s="1630">
        <v>719.22864000000004</v>
      </c>
      <c r="AH75" s="1630">
        <v>239.119</v>
      </c>
      <c r="AI75" s="1630">
        <v>48.339646999999999</v>
      </c>
      <c r="AJ75" s="1630"/>
      <c r="AK75" s="1630"/>
      <c r="AL75" s="1630"/>
      <c r="AM75" s="1630"/>
      <c r="AN75" s="1630"/>
      <c r="AO75" s="1630"/>
      <c r="AP75" s="1630"/>
      <c r="AQ75" s="1630"/>
      <c r="AR75" s="1630"/>
      <c r="AS75" s="1630"/>
      <c r="AT75" s="1630"/>
      <c r="AU75" s="1630"/>
      <c r="AV75" s="1630">
        <v>1411.1120000000001</v>
      </c>
      <c r="AW75" s="1630">
        <v>193.928</v>
      </c>
      <c r="AX75" s="1630">
        <v>468.07299999999998</v>
      </c>
      <c r="AY75" s="1630">
        <v>108.151696</v>
      </c>
      <c r="AZ75" s="1630">
        <v>607.226</v>
      </c>
      <c r="BA75" s="1630">
        <v>42.365780000000001</v>
      </c>
      <c r="BB75" s="1630"/>
      <c r="BC75" s="1630"/>
      <c r="BD75" s="1630"/>
      <c r="BE75" s="1630"/>
      <c r="BF75" s="1630"/>
      <c r="BG75" s="1630"/>
      <c r="BH75" s="1630"/>
      <c r="BI75" s="1630"/>
      <c r="BJ75" s="1630"/>
      <c r="BK75" s="1630"/>
      <c r="BL75" s="1630"/>
      <c r="BM75" s="1630"/>
    </row>
    <row r="76" spans="1:65" hidden="1">
      <c r="A76" s="1627" t="s">
        <v>23</v>
      </c>
      <c r="B76" s="1630">
        <v>6003.4769999999999</v>
      </c>
      <c r="C76" s="1630"/>
      <c r="D76" s="1638">
        <v>2556.2449999999999</v>
      </c>
      <c r="E76" s="1638">
        <v>1400.7539999999999</v>
      </c>
      <c r="F76" s="1638">
        <v>902.25300000000004</v>
      </c>
      <c r="G76" s="1623">
        <v>1144.2249999999999</v>
      </c>
      <c r="H76" s="1638">
        <v>6406.6549999999997</v>
      </c>
      <c r="I76" s="1638">
        <v>970.25821800000006</v>
      </c>
      <c r="J76" s="1630">
        <v>4431.7539999999999</v>
      </c>
      <c r="K76" s="1623">
        <v>791.62618699999996</v>
      </c>
      <c r="L76" s="1630">
        <v>26.25</v>
      </c>
      <c r="M76" s="1630">
        <v>60.414999999999999</v>
      </c>
      <c r="N76" s="1630">
        <v>49.667000000000002</v>
      </c>
      <c r="O76" s="1630">
        <v>22.308340000000001</v>
      </c>
      <c r="P76" s="1630">
        <v>816.66499999999996</v>
      </c>
      <c r="Q76" s="1638">
        <v>30.410530000000001</v>
      </c>
      <c r="R76" s="1638"/>
      <c r="S76" s="1205"/>
      <c r="T76" s="1638"/>
      <c r="U76" s="1638"/>
      <c r="V76" s="1644"/>
      <c r="W76" s="1644"/>
      <c r="X76" s="1623">
        <v>482.06200000000001</v>
      </c>
      <c r="Y76" s="1623">
        <v>55.004539999999999</v>
      </c>
      <c r="Z76" s="1623"/>
      <c r="AA76" s="1623"/>
      <c r="AB76" s="1623"/>
      <c r="AC76" s="1623"/>
      <c r="AD76" s="1630">
        <v>5009.924</v>
      </c>
      <c r="AE76" s="1630">
        <v>786.19960000000003</v>
      </c>
      <c r="AF76" s="1630">
        <v>4037.0830000000001</v>
      </c>
      <c r="AG76" s="1630">
        <v>710.12895600000002</v>
      </c>
      <c r="AH76" s="1630">
        <v>236.53</v>
      </c>
      <c r="AI76" s="1630">
        <v>49.625608999999997</v>
      </c>
      <c r="AJ76" s="1630"/>
      <c r="AK76" s="1630"/>
      <c r="AL76" s="1630"/>
      <c r="AM76" s="1630"/>
      <c r="AN76" s="1630"/>
      <c r="AO76" s="1630"/>
      <c r="AP76" s="1630"/>
      <c r="AQ76" s="1630"/>
      <c r="AR76" s="1630"/>
      <c r="AS76" s="1630"/>
      <c r="AT76" s="1630"/>
      <c r="AU76" s="1630"/>
      <c r="AV76" s="1630">
        <v>1396.731</v>
      </c>
      <c r="AW76" s="1630">
        <v>184.058618</v>
      </c>
      <c r="AX76" s="1630">
        <v>444.33800000000002</v>
      </c>
      <c r="AY76" s="1630">
        <v>103.805571</v>
      </c>
      <c r="AZ76" s="1630">
        <v>606.38499999999999</v>
      </c>
      <c r="BA76" s="1630">
        <v>41.201155999999997</v>
      </c>
      <c r="BB76" s="1630"/>
      <c r="BC76" s="1630"/>
      <c r="BD76" s="1630"/>
      <c r="BE76" s="1630"/>
      <c r="BF76" s="1630"/>
      <c r="BG76" s="1630"/>
      <c r="BH76" s="1630"/>
      <c r="BI76" s="1630"/>
      <c r="BJ76" s="1630"/>
      <c r="BK76" s="1630"/>
      <c r="BL76" s="1630"/>
      <c r="BM76" s="1630"/>
    </row>
    <row r="77" spans="1:65" hidden="1">
      <c r="A77" s="1627" t="s">
        <v>24</v>
      </c>
      <c r="B77" s="1630">
        <v>5827.1059999999998</v>
      </c>
      <c r="C77" s="1630"/>
      <c r="D77" s="1638">
        <v>2558.5909999999999</v>
      </c>
      <c r="E77" s="1638">
        <v>1398.3430000000001</v>
      </c>
      <c r="F77" s="1638">
        <v>712.61900000000003</v>
      </c>
      <c r="G77" s="1623">
        <v>1157.5530000000001</v>
      </c>
      <c r="H77" s="1638">
        <v>6893.5590000000002</v>
      </c>
      <c r="I77" s="1638">
        <v>1090.081764</v>
      </c>
      <c r="J77" s="1630">
        <v>4678.5879999999997</v>
      </c>
      <c r="K77" s="1623">
        <v>879.25116300000002</v>
      </c>
      <c r="L77" s="1630">
        <v>24.997</v>
      </c>
      <c r="M77" s="1630">
        <v>67.824709999999996</v>
      </c>
      <c r="N77" s="1630">
        <v>51.656999999999996</v>
      </c>
      <c r="O77" s="1630">
        <v>22.274963</v>
      </c>
      <c r="P77" s="1630">
        <v>919.93799999999999</v>
      </c>
      <c r="Q77" s="1638">
        <v>37.223067999999998</v>
      </c>
      <c r="R77" s="1638"/>
      <c r="S77" s="1205"/>
      <c r="T77" s="1638"/>
      <c r="U77" s="1638"/>
      <c r="V77" s="1644"/>
      <c r="W77" s="1644"/>
      <c r="X77" s="1623">
        <v>525.67899999999997</v>
      </c>
      <c r="Y77" s="1623">
        <v>71.622197999999997</v>
      </c>
      <c r="Z77" s="1623"/>
      <c r="AA77" s="1623"/>
      <c r="AB77" s="1623"/>
      <c r="AC77" s="1623"/>
      <c r="AD77" s="1630">
        <v>5357.8490000000002</v>
      </c>
      <c r="AE77" s="1630">
        <v>877.22832900000003</v>
      </c>
      <c r="AF77" s="1630">
        <v>4264.45</v>
      </c>
      <c r="AG77" s="1630">
        <v>789.21132899999998</v>
      </c>
      <c r="AH77" s="1630">
        <v>287.49700000000001</v>
      </c>
      <c r="AI77" s="1630">
        <v>56.321154</v>
      </c>
      <c r="AJ77" s="1630"/>
      <c r="AK77" s="1630"/>
      <c r="AL77" s="1630"/>
      <c r="AM77" s="1630"/>
      <c r="AN77" s="1630"/>
      <c r="AO77" s="1630"/>
      <c r="AP77" s="1630"/>
      <c r="AQ77" s="1630"/>
      <c r="AR77" s="1630"/>
      <c r="AS77" s="1630"/>
      <c r="AT77" s="1630"/>
      <c r="AU77" s="1630"/>
      <c r="AV77" s="1630">
        <v>1535.71</v>
      </c>
      <c r="AW77" s="1630">
        <v>212.85343399999999</v>
      </c>
      <c r="AX77" s="1630">
        <v>465.79500000000002</v>
      </c>
      <c r="AY77" s="1630">
        <v>112.314797</v>
      </c>
      <c r="AZ77" s="1630">
        <v>657.43799999999999</v>
      </c>
      <c r="BA77" s="1630">
        <v>48.726624000000001</v>
      </c>
      <c r="BB77" s="1630"/>
      <c r="BC77" s="1630"/>
      <c r="BD77" s="1630"/>
      <c r="BE77" s="1630"/>
      <c r="BF77" s="1630"/>
      <c r="BG77" s="1630"/>
      <c r="BH77" s="1630"/>
      <c r="BI77" s="1630"/>
      <c r="BJ77" s="1630"/>
      <c r="BK77" s="1630"/>
      <c r="BL77" s="1630"/>
      <c r="BM77" s="1630"/>
    </row>
    <row r="78" spans="1:65" hidden="1">
      <c r="A78" s="1627" t="s">
        <v>25</v>
      </c>
      <c r="B78" s="1630">
        <v>5866.16</v>
      </c>
      <c r="C78" s="1630"/>
      <c r="D78" s="1638">
        <v>2544.2950000000001</v>
      </c>
      <c r="E78" s="1638">
        <v>1401.1790000000001</v>
      </c>
      <c r="F78" s="1638">
        <v>739.89599999999996</v>
      </c>
      <c r="G78" s="1623">
        <v>1180.79</v>
      </c>
      <c r="H78" s="1638">
        <v>6351.0209999999997</v>
      </c>
      <c r="I78" s="1638">
        <v>949.64862000000005</v>
      </c>
      <c r="J78" s="1630">
        <v>4264.5240000000003</v>
      </c>
      <c r="K78" s="1623">
        <v>750.14443400000005</v>
      </c>
      <c r="L78" s="1630">
        <v>23.231999999999999</v>
      </c>
      <c r="M78" s="1630">
        <v>58.360143999999998</v>
      </c>
      <c r="N78" s="1630">
        <v>49.838000000000001</v>
      </c>
      <c r="O78" s="1630">
        <v>23.671796000000001</v>
      </c>
      <c r="P78" s="1630">
        <v>820.74699999999996</v>
      </c>
      <c r="Q78" s="1638">
        <v>28.4</v>
      </c>
      <c r="R78" s="1638"/>
      <c r="S78" s="1205"/>
      <c r="T78" s="1638"/>
      <c r="U78" s="1638"/>
      <c r="V78" s="1644"/>
      <c r="W78" s="1644"/>
      <c r="X78" s="1623">
        <v>536.29999999999995</v>
      </c>
      <c r="Y78" s="1623">
        <v>77.400000000000006</v>
      </c>
      <c r="Z78" s="1623"/>
      <c r="AA78" s="1623"/>
      <c r="AB78" s="1623"/>
      <c r="AC78" s="1623"/>
      <c r="AD78" s="1630">
        <v>4899.7</v>
      </c>
      <c r="AE78" s="1630">
        <v>750.9</v>
      </c>
      <c r="AF78" s="1630">
        <v>3875</v>
      </c>
      <c r="AG78" s="1630">
        <v>672.40764899999999</v>
      </c>
      <c r="AH78" s="1630">
        <v>257.91199999999998</v>
      </c>
      <c r="AI78" s="1630">
        <v>45.103380999999999</v>
      </c>
      <c r="AJ78" s="1630"/>
      <c r="AK78" s="1630"/>
      <c r="AL78" s="1630"/>
      <c r="AM78" s="1630"/>
      <c r="AN78" s="1630"/>
      <c r="AO78" s="1630"/>
      <c r="AP78" s="1630"/>
      <c r="AQ78" s="1630"/>
      <c r="AR78" s="1630"/>
      <c r="AS78" s="1630"/>
      <c r="AT78" s="1630"/>
      <c r="AU78" s="1630"/>
      <c r="AV78" s="1630">
        <v>1451.296</v>
      </c>
      <c r="AW78" s="1630">
        <v>198.73371599999999</v>
      </c>
      <c r="AX78" s="1630">
        <v>439.01499999999999</v>
      </c>
      <c r="AY78" s="1630">
        <v>101.408581</v>
      </c>
      <c r="AZ78" s="1630">
        <v>586.06700000000001</v>
      </c>
      <c r="BA78" s="1630">
        <v>41.654286999999997</v>
      </c>
      <c r="BB78" s="1630"/>
      <c r="BC78" s="1630"/>
      <c r="BD78" s="1630"/>
      <c r="BE78" s="1630"/>
      <c r="BF78" s="1630"/>
      <c r="BG78" s="1630"/>
      <c r="BH78" s="1630"/>
      <c r="BI78" s="1630"/>
      <c r="BJ78" s="1630"/>
      <c r="BK78" s="1630"/>
      <c r="BL78" s="1630"/>
      <c r="BM78" s="1630"/>
    </row>
    <row r="79" spans="1:65" hidden="1">
      <c r="A79" s="1627" t="s">
        <v>26</v>
      </c>
      <c r="B79" s="1630">
        <v>5990.8469999999998</v>
      </c>
      <c r="C79" s="1630"/>
      <c r="D79" s="1638">
        <v>2557.9380000000001</v>
      </c>
      <c r="E79" s="1638">
        <v>1412.5309999999999</v>
      </c>
      <c r="F79" s="1638">
        <v>766.62800000000004</v>
      </c>
      <c r="G79" s="1623">
        <v>1253.75</v>
      </c>
      <c r="H79" s="1638">
        <v>6667.9870000000001</v>
      </c>
      <c r="I79" s="1638">
        <v>983.95674299999996</v>
      </c>
      <c r="J79" s="1630">
        <v>4600.4399999999996</v>
      </c>
      <c r="K79" s="1623">
        <v>783.49029700000006</v>
      </c>
      <c r="L79" s="1630">
        <v>23.631</v>
      </c>
      <c r="M79" s="1630">
        <v>60.741444999999999</v>
      </c>
      <c r="N79" s="1630">
        <v>51.423999999999999</v>
      </c>
      <c r="O79" s="1630">
        <v>23.729980000000001</v>
      </c>
      <c r="P79" s="1630">
        <v>802.79700000000003</v>
      </c>
      <c r="Q79" s="1638">
        <v>32.122777999999997</v>
      </c>
      <c r="R79" s="1638"/>
      <c r="S79" s="1205"/>
      <c r="T79" s="1638"/>
      <c r="U79" s="1638"/>
      <c r="V79" s="1644"/>
      <c r="W79" s="1644"/>
      <c r="X79" s="1623">
        <v>530.255</v>
      </c>
      <c r="Y79" s="1623">
        <v>71.416880000000006</v>
      </c>
      <c r="Z79" s="1623"/>
      <c r="AA79" s="1623"/>
      <c r="AB79" s="1623"/>
      <c r="AC79" s="1623"/>
      <c r="AD79" s="1630">
        <v>5202.5600000000004</v>
      </c>
      <c r="AE79" s="1630">
        <v>776.71330799999998</v>
      </c>
      <c r="AF79" s="1630">
        <v>4145.9629999999997</v>
      </c>
      <c r="AG79" s="1630">
        <v>693.11076600000001</v>
      </c>
      <c r="AH79" s="1630">
        <v>283.19600000000003</v>
      </c>
      <c r="AI79" s="1630">
        <v>51.682613000000003</v>
      </c>
      <c r="AJ79" s="1630"/>
      <c r="AK79" s="1630"/>
      <c r="AL79" s="1630"/>
      <c r="AM79" s="1630"/>
      <c r="AN79" s="1630"/>
      <c r="AO79" s="1630"/>
      <c r="AP79" s="1630"/>
      <c r="AQ79" s="1630"/>
      <c r="AR79" s="1630"/>
      <c r="AS79" s="1630"/>
      <c r="AT79" s="1630"/>
      <c r="AU79" s="1630"/>
      <c r="AV79" s="1630">
        <v>1465.4269999999999</v>
      </c>
      <c r="AW79" s="1630">
        <v>207.24343500000001</v>
      </c>
      <c r="AX79" s="1630">
        <v>505.90100000000001</v>
      </c>
      <c r="AY79" s="1630">
        <v>114.109511</v>
      </c>
      <c r="AZ79" s="1630">
        <v>543.23199999999997</v>
      </c>
      <c r="BA79" s="1630">
        <v>41.181609000000002</v>
      </c>
      <c r="BB79" s="1630"/>
      <c r="BC79" s="1630"/>
      <c r="BD79" s="1630"/>
      <c r="BE79" s="1630"/>
      <c r="BF79" s="1630"/>
      <c r="BG79" s="1630"/>
      <c r="BH79" s="1630"/>
      <c r="BI79" s="1630"/>
      <c r="BJ79" s="1630"/>
      <c r="BK79" s="1630"/>
      <c r="BL79" s="1630"/>
      <c r="BM79" s="1630"/>
    </row>
    <row r="80" spans="1:65" hidden="1">
      <c r="A80" s="1627" t="s">
        <v>27</v>
      </c>
      <c r="B80" s="1630">
        <v>5864.0619999999999</v>
      </c>
      <c r="C80" s="1630"/>
      <c r="D80" s="1638">
        <v>2478.5169999999998</v>
      </c>
      <c r="E80" s="1638">
        <v>1409.1959999999999</v>
      </c>
      <c r="F80" s="1638">
        <v>750.66899999999998</v>
      </c>
      <c r="G80" s="1623">
        <v>1225.68</v>
      </c>
      <c r="H80" s="1638">
        <v>6708.83</v>
      </c>
      <c r="I80" s="1638">
        <v>989.34461099999999</v>
      </c>
      <c r="J80" s="1630">
        <v>4602</v>
      </c>
      <c r="K80" s="1623">
        <v>797.06431699999996</v>
      </c>
      <c r="L80" s="1630">
        <v>23.274999999999999</v>
      </c>
      <c r="M80" s="1630">
        <v>60.100195999999997</v>
      </c>
      <c r="N80" s="1630">
        <v>45.237000000000002</v>
      </c>
      <c r="O80" s="1630">
        <v>17.626608000000001</v>
      </c>
      <c r="P80" s="1630">
        <v>797.827</v>
      </c>
      <c r="Q80" s="1638">
        <v>32.818995999999999</v>
      </c>
      <c r="R80" s="1638"/>
      <c r="S80" s="1205"/>
      <c r="T80" s="1638"/>
      <c r="U80" s="1638"/>
      <c r="V80" s="1644"/>
      <c r="W80" s="1644"/>
      <c r="X80" s="1623">
        <v>544.66600000000005</v>
      </c>
      <c r="Y80" s="1623">
        <v>65.045432000000005</v>
      </c>
      <c r="Z80" s="1623"/>
      <c r="AA80" s="1623"/>
      <c r="AB80" s="1623"/>
      <c r="AC80" s="1623"/>
      <c r="AD80" s="1630">
        <v>5236.8370000000004</v>
      </c>
      <c r="AE80" s="1630">
        <v>787.70974799999999</v>
      </c>
      <c r="AF80" s="1630">
        <v>4130.4610000000002</v>
      </c>
      <c r="AG80" s="1630">
        <v>703.81917499999997</v>
      </c>
      <c r="AH80" s="1630">
        <v>287.16000000000003</v>
      </c>
      <c r="AI80" s="1630">
        <v>51.287520999999998</v>
      </c>
      <c r="AJ80" s="1630"/>
      <c r="AK80" s="1630"/>
      <c r="AL80" s="1630"/>
      <c r="AM80" s="1630"/>
      <c r="AN80" s="1630"/>
      <c r="AO80" s="1630"/>
      <c r="AP80" s="1630"/>
      <c r="AQ80" s="1630"/>
      <c r="AR80" s="1630"/>
      <c r="AS80" s="1630"/>
      <c r="AT80" s="1630"/>
      <c r="AU80" s="1630"/>
      <c r="AV80" s="1630">
        <v>1471.9929999999999</v>
      </c>
      <c r="AW80" s="1630">
        <v>201.634862</v>
      </c>
      <c r="AX80" s="1630">
        <v>517.74</v>
      </c>
      <c r="AY80" s="1630">
        <v>110.87174899999999</v>
      </c>
      <c r="AZ80" s="1630">
        <v>533.94200000000001</v>
      </c>
      <c r="BA80" s="1630">
        <v>41.631672000000002</v>
      </c>
      <c r="BB80" s="1630"/>
      <c r="BC80" s="1630"/>
      <c r="BD80" s="1630"/>
      <c r="BE80" s="1630"/>
      <c r="BF80" s="1630"/>
      <c r="BG80" s="1630"/>
      <c r="BH80" s="1630"/>
      <c r="BI80" s="1630"/>
      <c r="BJ80" s="1630"/>
      <c r="BK80" s="1630"/>
      <c r="BL80" s="1630"/>
      <c r="BM80" s="1630"/>
    </row>
    <row r="81" spans="1:65" hidden="1">
      <c r="A81" s="1627" t="s">
        <v>28</v>
      </c>
      <c r="B81" s="1630">
        <v>5948.3630000000003</v>
      </c>
      <c r="C81" s="1630"/>
      <c r="D81" s="1638">
        <v>2483.1170000000002</v>
      </c>
      <c r="E81" s="1638">
        <v>1429.067</v>
      </c>
      <c r="F81" s="1638">
        <v>771.33600000000001</v>
      </c>
      <c r="G81" s="1623">
        <v>1264.8430000000001</v>
      </c>
      <c r="H81" s="1638">
        <v>6645.29</v>
      </c>
      <c r="I81" s="1638">
        <v>977.29217700000004</v>
      </c>
      <c r="J81" s="1630">
        <v>4467.9949999999999</v>
      </c>
      <c r="K81" s="1623">
        <v>786.07399899999996</v>
      </c>
      <c r="L81" s="1630">
        <v>25.094000000000001</v>
      </c>
      <c r="M81" s="1630">
        <v>59.149683000000003</v>
      </c>
      <c r="N81" s="1630">
        <v>44.024000000000001</v>
      </c>
      <c r="O81" s="1630">
        <v>19.20298</v>
      </c>
      <c r="P81" s="1630">
        <v>836.14800000000002</v>
      </c>
      <c r="Q81" s="1638">
        <v>35.140304999999998</v>
      </c>
      <c r="R81" s="1638"/>
      <c r="S81" s="1205"/>
      <c r="T81" s="1638"/>
      <c r="U81" s="1638"/>
      <c r="V81" s="1644"/>
      <c r="W81" s="1644"/>
      <c r="X81" s="1623">
        <v>568.37800000000004</v>
      </c>
      <c r="Y81" s="1623">
        <v>59.757213</v>
      </c>
      <c r="Z81" s="1623"/>
      <c r="AA81" s="1623"/>
      <c r="AB81" s="1623"/>
      <c r="AC81" s="1623"/>
      <c r="AD81" s="1630">
        <v>5128.607</v>
      </c>
      <c r="AE81" s="1630">
        <v>783.63996299999997</v>
      </c>
      <c r="AF81" s="1630">
        <v>4024.0329999999999</v>
      </c>
      <c r="AG81" s="1630">
        <v>700.80901200000005</v>
      </c>
      <c r="AH81" s="1630">
        <v>227.12899999999999</v>
      </c>
      <c r="AI81" s="1630">
        <v>50.469031000000001</v>
      </c>
      <c r="AJ81" s="1630"/>
      <c r="AK81" s="1630"/>
      <c r="AL81" s="1630"/>
      <c r="AM81" s="1630"/>
      <c r="AN81" s="1630"/>
      <c r="AO81" s="1630"/>
      <c r="AP81" s="1630"/>
      <c r="AQ81" s="1630"/>
      <c r="AR81" s="1630"/>
      <c r="AS81" s="1630"/>
      <c r="AT81" s="1630"/>
      <c r="AU81" s="1630"/>
      <c r="AV81" s="1630">
        <v>1516.683</v>
      </c>
      <c r="AW81" s="1630">
        <v>193.65221399999999</v>
      </c>
      <c r="AX81" s="1630">
        <v>487.98599999999999</v>
      </c>
      <c r="AY81" s="1630">
        <v>104.467967</v>
      </c>
      <c r="AZ81" s="1630">
        <v>584.11300000000006</v>
      </c>
      <c r="BA81" s="1630">
        <v>43.820957</v>
      </c>
      <c r="BB81" s="1630"/>
      <c r="BC81" s="1630"/>
      <c r="BD81" s="1630"/>
      <c r="BE81" s="1630"/>
      <c r="BF81" s="1630"/>
      <c r="BG81" s="1630"/>
      <c r="BH81" s="1630"/>
      <c r="BI81" s="1630"/>
      <c r="BJ81" s="1630"/>
      <c r="BK81" s="1630"/>
      <c r="BL81" s="1630"/>
      <c r="BM81" s="1630"/>
    </row>
    <row r="82" spans="1:65" hidden="1">
      <c r="A82" s="1627" t="s">
        <v>29</v>
      </c>
      <c r="B82" s="1630">
        <v>5965.2070000000003</v>
      </c>
      <c r="C82" s="1630"/>
      <c r="D82" s="1638">
        <v>2426.3000000000002</v>
      </c>
      <c r="E82" s="1638">
        <v>1443.6769999999999</v>
      </c>
      <c r="F82" s="1638">
        <v>793.53200000000004</v>
      </c>
      <c r="G82" s="1623">
        <v>1301.6980000000001</v>
      </c>
      <c r="H82" s="1638">
        <v>8030.375</v>
      </c>
      <c r="I82" s="1638">
        <v>1245.2342530000001</v>
      </c>
      <c r="J82" s="1630">
        <v>5482.8969999999999</v>
      </c>
      <c r="K82" s="1623">
        <v>1006.294298</v>
      </c>
      <c r="L82" s="1630">
        <v>32.875</v>
      </c>
      <c r="M82" s="1630">
        <v>83.743405999999993</v>
      </c>
      <c r="N82" s="1630">
        <v>50.722000000000001</v>
      </c>
      <c r="O82" s="1630">
        <v>25.933302000000001</v>
      </c>
      <c r="P82" s="1630">
        <v>987.55</v>
      </c>
      <c r="Q82" s="1638">
        <v>41.373483</v>
      </c>
      <c r="R82" s="1638"/>
      <c r="S82" s="1205"/>
      <c r="T82" s="1638"/>
      <c r="U82" s="1638"/>
      <c r="V82" s="1644"/>
      <c r="W82" s="1644"/>
      <c r="X82" s="1623">
        <v>655.83140000000003</v>
      </c>
      <c r="Y82" s="1623">
        <v>69.081211999999994</v>
      </c>
      <c r="Z82" s="1623"/>
      <c r="AA82" s="1623"/>
      <c r="AB82" s="1623"/>
      <c r="AC82" s="1623"/>
      <c r="AD82" s="1630">
        <v>6259.6679999999997</v>
      </c>
      <c r="AE82" s="1630">
        <v>999.73856000000001</v>
      </c>
      <c r="AF82" s="1630">
        <v>4916.3029999999999</v>
      </c>
      <c r="AG82" s="1630">
        <v>890.20709599999998</v>
      </c>
      <c r="AH82" s="1630">
        <v>366.25599999999997</v>
      </c>
      <c r="AI82" s="1630">
        <v>72.072784999999996</v>
      </c>
      <c r="AJ82" s="1630"/>
      <c r="AK82" s="1630"/>
      <c r="AL82" s="1630"/>
      <c r="AM82" s="1630"/>
      <c r="AN82" s="1630"/>
      <c r="AO82" s="1630"/>
      <c r="AP82" s="1630"/>
      <c r="AQ82" s="1630"/>
      <c r="AR82" s="1630"/>
      <c r="AS82" s="1630"/>
      <c r="AT82" s="1630"/>
      <c r="AU82" s="1630"/>
      <c r="AV82" s="1630">
        <v>1770.7070000000001</v>
      </c>
      <c r="AW82" s="1630">
        <v>245.49569199999999</v>
      </c>
      <c r="AX82" s="1630">
        <v>617.31600000000003</v>
      </c>
      <c r="AY82" s="1630">
        <v>142.02050399999999</v>
      </c>
      <c r="AZ82" s="1630">
        <v>654.16899999999998</v>
      </c>
      <c r="BA82" s="1630">
        <v>53.044103</v>
      </c>
      <c r="BB82" s="1630"/>
      <c r="BC82" s="1630"/>
      <c r="BD82" s="1630"/>
      <c r="BE82" s="1630"/>
      <c r="BF82" s="1630"/>
      <c r="BG82" s="1630"/>
      <c r="BH82" s="1630"/>
      <c r="BI82" s="1630"/>
      <c r="BJ82" s="1630"/>
      <c r="BK82" s="1630"/>
      <c r="BL82" s="1630"/>
      <c r="BM82" s="1630"/>
    </row>
    <row r="83" spans="1:65">
      <c r="A83" s="1627" t="s">
        <v>1829</v>
      </c>
      <c r="B83" s="1639">
        <v>5659.4589999999998</v>
      </c>
      <c r="C83" s="1639"/>
      <c r="D83" s="1639">
        <v>2451.259</v>
      </c>
      <c r="E83" s="1639">
        <v>1466.752</v>
      </c>
      <c r="F83" s="1639">
        <v>731.75400000000002</v>
      </c>
      <c r="G83" s="1632">
        <v>1009.736</v>
      </c>
      <c r="H83" s="1644">
        <f t="shared" ref="H83:Q83" si="15">SUM(H84:H95)</f>
        <v>85218.361000000004</v>
      </c>
      <c r="I83" s="1644">
        <f t="shared" si="15"/>
        <v>12471.956833732002</v>
      </c>
      <c r="J83" s="1644">
        <f t="shared" si="15"/>
        <v>56306.697999999997</v>
      </c>
      <c r="K83" s="1644">
        <f t="shared" si="15"/>
        <v>9736.3427420499993</v>
      </c>
      <c r="L83" s="1644">
        <f t="shared" si="15"/>
        <v>341.74600000000004</v>
      </c>
      <c r="M83" s="1644">
        <f t="shared" si="15"/>
        <v>816.44843787999991</v>
      </c>
      <c r="N83" s="1644">
        <f t="shared" si="15"/>
        <v>676.26700000000005</v>
      </c>
      <c r="O83" s="1644">
        <f t="shared" si="15"/>
        <v>337.079791</v>
      </c>
      <c r="P83" s="1644">
        <f t="shared" si="15"/>
        <v>9748.8070000000025</v>
      </c>
      <c r="Q83" s="1644">
        <f t="shared" si="15"/>
        <v>394.40349600000002</v>
      </c>
      <c r="R83" s="1644"/>
      <c r="S83" s="1204"/>
      <c r="T83" s="1644">
        <v>11539</v>
      </c>
      <c r="U83" s="1644">
        <v>283</v>
      </c>
      <c r="V83" s="1644"/>
      <c r="W83" s="1644"/>
      <c r="X83" s="1644">
        <f>SUM(X84:X95)</f>
        <v>6634.9660000000003</v>
      </c>
      <c r="Y83" s="1644">
        <f>SUM(Y84:Y95)</f>
        <v>836.05634299999997</v>
      </c>
      <c r="Z83" s="1644"/>
      <c r="AA83" s="1644"/>
      <c r="AB83" s="1644"/>
      <c r="AC83" s="1644"/>
      <c r="AD83" s="1644">
        <f t="shared" ref="AD83:AI83" si="16">SUM(AD84:AD95)</f>
        <v>67739.304999999993</v>
      </c>
      <c r="AE83" s="1644">
        <f t="shared" si="16"/>
        <v>10185.014447000001</v>
      </c>
      <c r="AF83" s="1644">
        <f t="shared" si="16"/>
        <v>51718.557000000008</v>
      </c>
      <c r="AG83" s="1644">
        <f t="shared" si="16"/>
        <v>8995.4527550000003</v>
      </c>
      <c r="AH83" s="1644">
        <f t="shared" si="16"/>
        <v>3850.3139999999999</v>
      </c>
      <c r="AI83" s="1644">
        <f t="shared" si="16"/>
        <v>706.29400400000009</v>
      </c>
      <c r="AJ83" s="1644"/>
      <c r="AK83" s="1644"/>
      <c r="AL83" s="1644">
        <v>8518</v>
      </c>
      <c r="AM83" s="1644">
        <v>141</v>
      </c>
      <c r="AN83" s="1644"/>
      <c r="AO83" s="1644"/>
      <c r="AP83" s="1644">
        <v>3681.576</v>
      </c>
      <c r="AQ83" s="1644">
        <v>342.88858299999998</v>
      </c>
      <c r="AR83" s="1644"/>
      <c r="AS83" s="1644"/>
      <c r="AT83" s="1644"/>
      <c r="AU83" s="1644"/>
      <c r="AV83" s="1644">
        <f t="shared" ref="AV83:BA83" si="17">SUM(AV84:AV95)</f>
        <v>17478.786</v>
      </c>
      <c r="AW83" s="1644">
        <f t="shared" si="17"/>
        <v>2286.9423790000001</v>
      </c>
      <c r="AX83" s="1644">
        <f t="shared" si="17"/>
        <v>5264.4079999999994</v>
      </c>
      <c r="AY83" s="1644">
        <f t="shared" si="17"/>
        <v>1146.2038340000001</v>
      </c>
      <c r="AZ83" s="1644">
        <f t="shared" si="17"/>
        <v>6239.9260000000004</v>
      </c>
      <c r="BA83" s="1644">
        <f t="shared" si="17"/>
        <v>504.55709599999989</v>
      </c>
      <c r="BB83" s="1644"/>
      <c r="BC83" s="1644"/>
      <c r="BD83" s="1644">
        <v>3020</v>
      </c>
      <c r="BE83" s="1644">
        <v>142</v>
      </c>
      <c r="BF83" s="1644"/>
      <c r="BG83" s="1644"/>
      <c r="BH83" s="1644">
        <v>2953.39</v>
      </c>
      <c r="BI83" s="1644">
        <v>493.16776299999998</v>
      </c>
      <c r="BJ83" s="1644"/>
      <c r="BK83" s="1644"/>
      <c r="BL83" s="1644"/>
      <c r="BM83" s="1644"/>
    </row>
    <row r="84" spans="1:65" hidden="1">
      <c r="A84" s="1627" t="s">
        <v>18</v>
      </c>
      <c r="B84" s="1630">
        <v>6017.7079999999996</v>
      </c>
      <c r="C84" s="1630"/>
      <c r="D84" s="1638">
        <v>2440.6060000000002</v>
      </c>
      <c r="E84" s="1638">
        <v>1437.8430000000001</v>
      </c>
      <c r="F84" s="1638">
        <v>817.50199999999995</v>
      </c>
      <c r="G84" s="1623">
        <v>1321.7570000000001</v>
      </c>
      <c r="H84" s="1638">
        <v>6417.7430000000004</v>
      </c>
      <c r="I84" s="1638">
        <v>899.36582799999996</v>
      </c>
      <c r="J84" s="1630">
        <v>4041.748</v>
      </c>
      <c r="K84" s="1623">
        <v>696.41009899999995</v>
      </c>
      <c r="L84" s="1630">
        <v>25.907</v>
      </c>
      <c r="M84" s="1630">
        <v>57.691527999999998</v>
      </c>
      <c r="N84" s="1630">
        <v>44.396999999999998</v>
      </c>
      <c r="O84" s="1630">
        <v>24.051625000000001</v>
      </c>
      <c r="P84" s="1630">
        <v>858.274</v>
      </c>
      <c r="Q84" s="1638">
        <v>32.528063000000003</v>
      </c>
      <c r="R84" s="1638"/>
      <c r="S84" s="1205"/>
      <c r="T84" s="1638"/>
      <c r="U84" s="1638"/>
      <c r="V84" s="1638"/>
      <c r="W84" s="1638"/>
      <c r="X84" s="1623">
        <v>628.63300000000004</v>
      </c>
      <c r="Y84" s="1623">
        <v>69.630151999999995</v>
      </c>
      <c r="Z84" s="1623"/>
      <c r="AA84" s="1623"/>
      <c r="AB84" s="1623"/>
      <c r="AC84" s="1623"/>
      <c r="AD84" s="1630">
        <v>4771.5389999999998</v>
      </c>
      <c r="AE84" s="1630">
        <v>685.66134</v>
      </c>
      <c r="AF84" s="1630">
        <v>3533.788</v>
      </c>
      <c r="AG84" s="1630">
        <v>604.04528600000003</v>
      </c>
      <c r="AH84" s="1630">
        <v>302.839</v>
      </c>
      <c r="AI84" s="1630">
        <v>46.949672</v>
      </c>
      <c r="AJ84" s="1630"/>
      <c r="AK84" s="1630"/>
      <c r="AL84" s="1630"/>
      <c r="AM84" s="1630"/>
      <c r="AN84" s="1630"/>
      <c r="AO84" s="1630"/>
      <c r="AP84" s="1630"/>
      <c r="AQ84" s="1630"/>
      <c r="AR84" s="1630"/>
      <c r="AS84" s="1630"/>
      <c r="AT84" s="1630"/>
      <c r="AU84" s="1630"/>
      <c r="AV84" s="1630">
        <v>1646.204</v>
      </c>
      <c r="AW84" s="1630">
        <v>213.704487</v>
      </c>
      <c r="AX84" s="1630">
        <v>552.35699999999997</v>
      </c>
      <c r="AY84" s="1630">
        <v>116.416439</v>
      </c>
      <c r="AZ84" s="1630">
        <v>581.34199999999998</v>
      </c>
      <c r="BA84" s="1630">
        <v>43.269919000000002</v>
      </c>
      <c r="BB84" s="1630"/>
      <c r="BC84" s="1630"/>
      <c r="BD84" s="1630"/>
      <c r="BE84" s="1630"/>
      <c r="BF84" s="1630"/>
      <c r="BG84" s="1630"/>
      <c r="BH84" s="1630"/>
      <c r="BI84" s="1630"/>
      <c r="BJ84" s="1630"/>
      <c r="BK84" s="1630"/>
      <c r="BL84" s="1630"/>
      <c r="BM84" s="1630"/>
    </row>
    <row r="85" spans="1:65" hidden="1">
      <c r="A85" s="1627" t="s">
        <v>19</v>
      </c>
      <c r="B85" s="1638">
        <v>6032.3149999999996</v>
      </c>
      <c r="C85" s="1638"/>
      <c r="D85" s="1638">
        <v>2447.0970000000002</v>
      </c>
      <c r="E85" s="1638">
        <v>1441.21</v>
      </c>
      <c r="F85" s="1638">
        <v>834.34199999999998</v>
      </c>
      <c r="G85" s="1623">
        <v>1318.5070000000001</v>
      </c>
      <c r="H85" s="1638">
        <v>6838.2219999999998</v>
      </c>
      <c r="I85" s="1638">
        <v>1077.4183390000001</v>
      </c>
      <c r="J85" s="1630">
        <v>4592.2790000000005</v>
      </c>
      <c r="K85" s="1623">
        <v>848.78621399999997</v>
      </c>
      <c r="L85" s="1630">
        <v>31.491</v>
      </c>
      <c r="M85" s="1630">
        <v>93.452937000000006</v>
      </c>
      <c r="N85" s="1630">
        <v>47.731999999999999</v>
      </c>
      <c r="O85" s="1630">
        <v>26.222273999999999</v>
      </c>
      <c r="P85" s="1630">
        <v>831.19799999999998</v>
      </c>
      <c r="Q85" s="1638">
        <v>30.648026000000002</v>
      </c>
      <c r="R85" s="1638"/>
      <c r="S85" s="1205"/>
      <c r="T85" s="1638"/>
      <c r="U85" s="1638"/>
      <c r="V85" s="1638"/>
      <c r="W85" s="1638"/>
      <c r="X85" s="1623">
        <v>526.22</v>
      </c>
      <c r="Y85" s="1623">
        <v>58.248010999999998</v>
      </c>
      <c r="Z85" s="1623"/>
      <c r="AA85" s="1623"/>
      <c r="AB85" s="1623"/>
      <c r="AC85" s="1623"/>
      <c r="AD85" s="1630">
        <v>5321.5159999999996</v>
      </c>
      <c r="AE85" s="1630">
        <v>866.60880099999997</v>
      </c>
      <c r="AF85" s="1630">
        <v>4138.37</v>
      </c>
      <c r="AG85" s="1630">
        <v>760.02604899999994</v>
      </c>
      <c r="AH85" s="1630">
        <v>293.53899999999999</v>
      </c>
      <c r="AI85" s="1630">
        <v>72.389578999999998</v>
      </c>
      <c r="AJ85" s="1630"/>
      <c r="AK85" s="1630"/>
      <c r="AL85" s="1630"/>
      <c r="AM85" s="1630"/>
      <c r="AN85" s="1630"/>
      <c r="AO85" s="1630"/>
      <c r="AP85" s="1630"/>
      <c r="AQ85" s="1630"/>
      <c r="AR85" s="1630"/>
      <c r="AS85" s="1630"/>
      <c r="AT85" s="1630"/>
      <c r="AU85" s="1630"/>
      <c r="AV85" s="1630">
        <v>1516.7059999999999</v>
      </c>
      <c r="AW85" s="1630">
        <v>210.80953700000001</v>
      </c>
      <c r="AX85" s="1630">
        <v>501.64100000000002</v>
      </c>
      <c r="AY85" s="1630">
        <v>114.982439</v>
      </c>
      <c r="AZ85" s="1630">
        <v>569.15</v>
      </c>
      <c r="BA85" s="1630">
        <v>51.711384000000002</v>
      </c>
      <c r="BB85" s="1630"/>
      <c r="BC85" s="1630"/>
      <c r="BD85" s="1630"/>
      <c r="BE85" s="1630"/>
      <c r="BF85" s="1630"/>
      <c r="BG85" s="1630"/>
      <c r="BH85" s="1630"/>
      <c r="BI85" s="1630"/>
      <c r="BJ85" s="1630"/>
      <c r="BK85" s="1630"/>
      <c r="BL85" s="1630"/>
      <c r="BM85" s="1630"/>
    </row>
    <row r="86" spans="1:65" hidden="1">
      <c r="A86" s="1627" t="s">
        <v>20</v>
      </c>
      <c r="B86" s="1638">
        <v>6037.6459999999997</v>
      </c>
      <c r="C86" s="1638"/>
      <c r="D86" s="1638">
        <v>2460.817</v>
      </c>
      <c r="E86" s="1638">
        <v>1441.748</v>
      </c>
      <c r="F86" s="1638">
        <v>853.70100000000002</v>
      </c>
      <c r="G86" s="1623">
        <v>1281.3800000000001</v>
      </c>
      <c r="H86" s="1638">
        <v>7636.8320000000003</v>
      </c>
      <c r="I86" s="1638">
        <v>1136.897874</v>
      </c>
      <c r="J86" s="1630">
        <v>5123.07</v>
      </c>
      <c r="K86" s="1623">
        <v>894.35684400000002</v>
      </c>
      <c r="L86" s="1630">
        <v>29.030999999999999</v>
      </c>
      <c r="M86" s="1630">
        <v>82.639399999999995</v>
      </c>
      <c r="N86" s="1630">
        <v>47.948</v>
      </c>
      <c r="O86" s="1630">
        <v>24.205006000000001</v>
      </c>
      <c r="P86" s="1630">
        <v>908.44299999999998</v>
      </c>
      <c r="Q86" s="1638">
        <v>34.388142000000002</v>
      </c>
      <c r="R86" s="1638"/>
      <c r="S86" s="1205"/>
      <c r="T86" s="1638"/>
      <c r="U86" s="1638"/>
      <c r="V86" s="1638"/>
      <c r="W86" s="1638"/>
      <c r="X86" s="1623">
        <v>579.50300000000004</v>
      </c>
      <c r="Y86" s="1623">
        <v>80.210808999999998</v>
      </c>
      <c r="Z86" s="1623"/>
      <c r="AA86" s="1623"/>
      <c r="AB86" s="1623"/>
      <c r="AC86" s="1623"/>
      <c r="AD86" s="1630">
        <v>6039.13</v>
      </c>
      <c r="AE86" s="1630">
        <v>917.564978</v>
      </c>
      <c r="AF86" s="1630">
        <v>4679.2870000000003</v>
      </c>
      <c r="AG86" s="1630">
        <v>811.52276099999995</v>
      </c>
      <c r="AH86" s="1630">
        <v>328.096</v>
      </c>
      <c r="AI86" s="1630">
        <v>65.745133999999993</v>
      </c>
      <c r="AJ86" s="1630"/>
      <c r="AK86" s="1630"/>
      <c r="AL86" s="1630"/>
      <c r="AM86" s="1630"/>
      <c r="AN86" s="1630"/>
      <c r="AO86" s="1630"/>
      <c r="AP86" s="1630"/>
      <c r="AQ86" s="1630"/>
      <c r="AR86" s="1630"/>
      <c r="AS86" s="1630"/>
      <c r="AT86" s="1630"/>
      <c r="AU86" s="1630"/>
      <c r="AV86" s="1630">
        <v>1597.702</v>
      </c>
      <c r="AW86" s="1630">
        <v>219.33289600000001</v>
      </c>
      <c r="AX86" s="1630">
        <v>491.73099999999999</v>
      </c>
      <c r="AY86" s="1630">
        <v>107.039089</v>
      </c>
      <c r="AZ86" s="1630">
        <v>609.37800000000004</v>
      </c>
      <c r="BA86" s="1630">
        <v>51.282407999999997</v>
      </c>
      <c r="BB86" s="1630"/>
      <c r="BC86" s="1630"/>
      <c r="BD86" s="1630"/>
      <c r="BE86" s="1630"/>
      <c r="BF86" s="1630"/>
      <c r="BG86" s="1630"/>
      <c r="BH86" s="1630"/>
      <c r="BI86" s="1630"/>
      <c r="BJ86" s="1630"/>
      <c r="BK86" s="1630"/>
      <c r="BL86" s="1630"/>
      <c r="BM86" s="1630"/>
    </row>
    <row r="87" spans="1:65" hidden="1">
      <c r="A87" s="1627" t="s">
        <v>21</v>
      </c>
      <c r="B87" s="1638">
        <v>6048.616</v>
      </c>
      <c r="C87" s="1638"/>
      <c r="D87" s="1638">
        <v>2471.239</v>
      </c>
      <c r="E87" s="1638">
        <v>1443.7339999999999</v>
      </c>
      <c r="F87" s="1638">
        <v>869.91399999999999</v>
      </c>
      <c r="G87" s="1623">
        <v>1263.729</v>
      </c>
      <c r="H87" s="1638">
        <v>7074.6549999999997</v>
      </c>
      <c r="I87" s="1638">
        <v>1052.7459140000001</v>
      </c>
      <c r="J87" s="1630">
        <v>4689.3289999999997</v>
      </c>
      <c r="K87" s="1623">
        <v>831.17927899999995</v>
      </c>
      <c r="L87" s="1630">
        <v>31.338000000000001</v>
      </c>
      <c r="M87" s="1630">
        <v>82.119279000000006</v>
      </c>
      <c r="N87" s="1630">
        <v>47.079000000000001</v>
      </c>
      <c r="O87" s="1630">
        <v>26.654919</v>
      </c>
      <c r="P87" s="1630">
        <v>830.83600000000001</v>
      </c>
      <c r="Q87" s="1638">
        <v>29.812194000000002</v>
      </c>
      <c r="R87" s="1638"/>
      <c r="S87" s="1205"/>
      <c r="T87" s="1638"/>
      <c r="U87" s="1638"/>
      <c r="V87" s="1638"/>
      <c r="W87" s="1638"/>
      <c r="X87" s="1623">
        <v>510.47300000000001</v>
      </c>
      <c r="Y87" s="1623">
        <v>61.955136000000003</v>
      </c>
      <c r="Z87" s="1623"/>
      <c r="AA87" s="1623"/>
      <c r="AB87" s="1623"/>
      <c r="AC87" s="1623"/>
      <c r="AD87" s="1630">
        <v>5554.665</v>
      </c>
      <c r="AE87" s="1630">
        <v>857.85576500000002</v>
      </c>
      <c r="AF87" s="1630">
        <v>4264.45</v>
      </c>
      <c r="AG87" s="1630">
        <v>754.82326699999999</v>
      </c>
      <c r="AH87" s="1630">
        <v>302.75799999999998</v>
      </c>
      <c r="AI87" s="1630">
        <v>66.721624000000006</v>
      </c>
      <c r="AJ87" s="1630"/>
      <c r="AK87" s="1630"/>
      <c r="AL87" s="1630"/>
      <c r="AM87" s="1630"/>
      <c r="AN87" s="1630"/>
      <c r="AO87" s="1630"/>
      <c r="AP87" s="1630"/>
      <c r="AQ87" s="1630"/>
      <c r="AR87" s="1630"/>
      <c r="AS87" s="1630"/>
      <c r="AT87" s="1630"/>
      <c r="AU87" s="1630"/>
      <c r="AV87" s="1630">
        <v>1519.99</v>
      </c>
      <c r="AW87" s="1630">
        <v>194.89014900000001</v>
      </c>
      <c r="AX87" s="1630">
        <v>471.95800000000003</v>
      </c>
      <c r="AY87" s="1630">
        <v>103.010931</v>
      </c>
      <c r="AZ87" s="1630">
        <v>559.41600000000005</v>
      </c>
      <c r="BA87" s="1630">
        <v>45.209848000000001</v>
      </c>
      <c r="BB87" s="1630"/>
      <c r="BC87" s="1630"/>
      <c r="BD87" s="1630"/>
      <c r="BE87" s="1630"/>
      <c r="BF87" s="1630"/>
      <c r="BG87" s="1630"/>
      <c r="BH87" s="1630"/>
      <c r="BI87" s="1630"/>
      <c r="BJ87" s="1630"/>
      <c r="BK87" s="1630"/>
      <c r="BL87" s="1630"/>
      <c r="BM87" s="1630"/>
    </row>
    <row r="88" spans="1:65" hidden="1">
      <c r="A88" s="1627" t="s">
        <v>22</v>
      </c>
      <c r="B88" s="1638">
        <v>6073.7290000000003</v>
      </c>
      <c r="C88" s="1638"/>
      <c r="D88" s="1638">
        <v>2482.0529999999999</v>
      </c>
      <c r="E88" s="1638">
        <v>1450.202</v>
      </c>
      <c r="F88" s="1638">
        <v>873.60699999999997</v>
      </c>
      <c r="G88" s="1623">
        <v>1267.867</v>
      </c>
      <c r="H88" s="1638">
        <v>7067.6930000000002</v>
      </c>
      <c r="I88" s="1638">
        <v>982.52083500000003</v>
      </c>
      <c r="J88" s="1630">
        <v>4672.4369999999999</v>
      </c>
      <c r="K88" s="1623">
        <v>792.80112399999996</v>
      </c>
      <c r="L88" s="1630">
        <v>26.442</v>
      </c>
      <c r="M88" s="1630">
        <v>54.423495000000003</v>
      </c>
      <c r="N88" s="1630">
        <v>48.56</v>
      </c>
      <c r="O88" s="1630">
        <v>25.659988999999999</v>
      </c>
      <c r="P88" s="1630">
        <v>898.07299999999998</v>
      </c>
      <c r="Q88" s="1638">
        <v>30.734183999999999</v>
      </c>
      <c r="R88" s="1638"/>
      <c r="S88" s="1205"/>
      <c r="T88" s="1638"/>
      <c r="U88" s="1638"/>
      <c r="V88" s="1638"/>
      <c r="W88" s="1638"/>
      <c r="X88" s="1623">
        <v>489.53</v>
      </c>
      <c r="Y88" s="1623">
        <v>58.954884999999997</v>
      </c>
      <c r="Z88" s="1623"/>
      <c r="AA88" s="1623"/>
      <c r="AB88" s="1623"/>
      <c r="AC88" s="1623"/>
      <c r="AD88" s="1630">
        <v>5556.174</v>
      </c>
      <c r="AE88" s="1630">
        <v>807.00143700000001</v>
      </c>
      <c r="AF88" s="1630">
        <v>4278.6570000000002</v>
      </c>
      <c r="AG88" s="1630">
        <v>725.74611800000002</v>
      </c>
      <c r="AH88" s="1630">
        <v>325.64499999999998</v>
      </c>
      <c r="AI88" s="1630">
        <v>46.280754999999999</v>
      </c>
      <c r="AJ88" s="1630"/>
      <c r="AK88" s="1630"/>
      <c r="AL88" s="1630"/>
      <c r="AM88" s="1630"/>
      <c r="AN88" s="1630"/>
      <c r="AO88" s="1630"/>
      <c r="AP88" s="1630"/>
      <c r="AQ88" s="1630"/>
      <c r="AR88" s="1630"/>
      <c r="AS88" s="1630"/>
      <c r="AT88" s="1630"/>
      <c r="AU88" s="1630"/>
      <c r="AV88" s="1630">
        <v>1511.519</v>
      </c>
      <c r="AW88" s="1630">
        <v>175.519398</v>
      </c>
      <c r="AX88" s="1630">
        <v>442.34</v>
      </c>
      <c r="AY88" s="1630">
        <v>92.714994000000004</v>
      </c>
      <c r="AZ88" s="1630">
        <v>598.70000000000005</v>
      </c>
      <c r="BA88" s="1630">
        <v>38.876924000000002</v>
      </c>
      <c r="BB88" s="1630"/>
      <c r="BC88" s="1630"/>
      <c r="BD88" s="1630"/>
      <c r="BE88" s="1630"/>
      <c r="BF88" s="1630"/>
      <c r="BG88" s="1630"/>
      <c r="BH88" s="1630"/>
      <c r="BI88" s="1630"/>
      <c r="BJ88" s="1630"/>
      <c r="BK88" s="1630"/>
      <c r="BL88" s="1630"/>
      <c r="BM88" s="1630"/>
    </row>
    <row r="89" spans="1:65" hidden="1">
      <c r="A89" s="1627" t="s">
        <v>23</v>
      </c>
      <c r="B89" s="1638">
        <v>6088.39</v>
      </c>
      <c r="C89" s="1638"/>
      <c r="D89" s="1638">
        <v>2484.4679999999998</v>
      </c>
      <c r="E89" s="1638">
        <v>1452.2560000000001</v>
      </c>
      <c r="F89" s="1638">
        <v>907.40300000000002</v>
      </c>
      <c r="G89" s="1623">
        <v>1244.2629999999999</v>
      </c>
      <c r="H89" s="1638">
        <v>6951.9650000000001</v>
      </c>
      <c r="I89" s="1638">
        <v>985.266167</v>
      </c>
      <c r="J89" s="1630">
        <v>4548.2579999999998</v>
      </c>
      <c r="K89" s="1623">
        <v>785.29303300000004</v>
      </c>
      <c r="L89" s="1630">
        <v>24.771999999999998</v>
      </c>
      <c r="M89" s="1630">
        <v>56.171588</v>
      </c>
      <c r="N89" s="1630">
        <v>49.046999999999997</v>
      </c>
      <c r="O89" s="1630">
        <v>23.791639</v>
      </c>
      <c r="P89" s="1630">
        <v>857.99300000000005</v>
      </c>
      <c r="Q89" s="1638">
        <v>33.814489999999999</v>
      </c>
      <c r="R89" s="1638"/>
      <c r="S89" s="1205"/>
      <c r="T89" s="1638"/>
      <c r="U89" s="1638"/>
      <c r="V89" s="1638"/>
      <c r="W89" s="1638"/>
      <c r="X89" s="1623">
        <v>520.11300000000006</v>
      </c>
      <c r="Y89" s="1623">
        <v>64.705067999999997</v>
      </c>
      <c r="Z89" s="1623"/>
      <c r="AA89" s="1623"/>
      <c r="AB89" s="1623"/>
      <c r="AC89" s="1623"/>
      <c r="AD89" s="1630">
        <v>5469.34</v>
      </c>
      <c r="AE89" s="1630">
        <v>805.86586899999998</v>
      </c>
      <c r="AF89" s="1630">
        <v>4171.4269999999997</v>
      </c>
      <c r="AG89" s="1630">
        <v>716.52207399999998</v>
      </c>
      <c r="AH89" s="1630">
        <v>319.28899999999999</v>
      </c>
      <c r="AI89" s="1630">
        <v>52.443016</v>
      </c>
      <c r="AJ89" s="1630"/>
      <c r="AK89" s="1630"/>
      <c r="AL89" s="1630"/>
      <c r="AM89" s="1630"/>
      <c r="AN89" s="1630"/>
      <c r="AO89" s="1630"/>
      <c r="AP89" s="1630"/>
      <c r="AQ89" s="1630"/>
      <c r="AR89" s="1630"/>
      <c r="AS89" s="1630"/>
      <c r="AT89" s="1630"/>
      <c r="AU89" s="1630"/>
      <c r="AV89" s="1630">
        <v>1482.355</v>
      </c>
      <c r="AW89" s="1630">
        <v>179.40029799999999</v>
      </c>
      <c r="AX89" s="1630">
        <v>425.87799999999999</v>
      </c>
      <c r="AY89" s="1630">
        <v>92.562597999999994</v>
      </c>
      <c r="AZ89" s="1630">
        <v>563.476</v>
      </c>
      <c r="BA89" s="1630">
        <v>37.543033000000001</v>
      </c>
      <c r="BB89" s="1630"/>
      <c r="BC89" s="1630"/>
      <c r="BD89" s="1630"/>
      <c r="BE89" s="1630"/>
      <c r="BF89" s="1630"/>
      <c r="BG89" s="1630"/>
      <c r="BH89" s="1630"/>
      <c r="BI89" s="1630"/>
      <c r="BJ89" s="1630"/>
      <c r="BK89" s="1630"/>
      <c r="BL89" s="1630"/>
      <c r="BM89" s="1630"/>
    </row>
    <row r="90" spans="1:65" hidden="1">
      <c r="A90" s="1627" t="s">
        <v>24</v>
      </c>
      <c r="B90" s="1638">
        <v>5855.8990000000003</v>
      </c>
      <c r="C90" s="1638"/>
      <c r="D90" s="1638">
        <v>2486.2600000000002</v>
      </c>
      <c r="E90" s="1638">
        <v>1474.749</v>
      </c>
      <c r="F90" s="1638">
        <v>703.92200000000003</v>
      </c>
      <c r="G90" s="1623">
        <v>1190.9680000000001</v>
      </c>
      <c r="H90" s="1638">
        <v>7358.7659999999996</v>
      </c>
      <c r="I90" s="1638">
        <v>1123.5674529999999</v>
      </c>
      <c r="J90" s="1630">
        <v>4777.2169999999996</v>
      </c>
      <c r="K90" s="1623">
        <v>887.26299700000004</v>
      </c>
      <c r="L90" s="1630">
        <v>28.36</v>
      </c>
      <c r="M90" s="1630">
        <v>70.181286999999998</v>
      </c>
      <c r="N90" s="1630">
        <v>51.164000000000001</v>
      </c>
      <c r="O90" s="1630">
        <v>26.048669</v>
      </c>
      <c r="P90" s="1630">
        <v>897.61099999999999</v>
      </c>
      <c r="Q90" s="1638">
        <v>34.942127999999997</v>
      </c>
      <c r="R90" s="1638"/>
      <c r="S90" s="1205"/>
      <c r="T90" s="1638"/>
      <c r="U90" s="1638"/>
      <c r="V90" s="1638"/>
      <c r="W90" s="1638"/>
      <c r="X90" s="1623">
        <v>564.37699999999995</v>
      </c>
      <c r="Y90" s="1623">
        <v>80.819238999999996</v>
      </c>
      <c r="Z90" s="1623"/>
      <c r="AA90" s="1623"/>
      <c r="AB90" s="1623"/>
      <c r="AC90" s="1623"/>
      <c r="AD90" s="1630">
        <v>5844.8969999999999</v>
      </c>
      <c r="AE90" s="1630">
        <v>932.17335100000003</v>
      </c>
      <c r="AF90" s="1630">
        <v>4411.9380000000001</v>
      </c>
      <c r="AG90" s="1630">
        <v>824.72488799999996</v>
      </c>
      <c r="AH90" s="1630">
        <v>354.90699999999998</v>
      </c>
      <c r="AI90" s="1630">
        <v>64.468579000000005</v>
      </c>
      <c r="AJ90" s="1630"/>
      <c r="AK90" s="1630"/>
      <c r="AL90" s="1630"/>
      <c r="AM90" s="1630"/>
      <c r="AN90" s="1630"/>
      <c r="AO90" s="1630"/>
      <c r="AP90" s="1630"/>
      <c r="AQ90" s="1630"/>
      <c r="AR90" s="1630"/>
      <c r="AS90" s="1630"/>
      <c r="AT90" s="1630"/>
      <c r="AU90" s="1630"/>
      <c r="AV90" s="1630">
        <v>1513.8689999999999</v>
      </c>
      <c r="AW90" s="1630">
        <v>191.394102</v>
      </c>
      <c r="AX90" s="1630">
        <v>416.44299999999998</v>
      </c>
      <c r="AY90" s="1630">
        <v>88.586779000000007</v>
      </c>
      <c r="AZ90" s="1630">
        <v>571.06399999999996</v>
      </c>
      <c r="BA90" s="1630">
        <v>40.654836000000003</v>
      </c>
      <c r="BB90" s="1630"/>
      <c r="BC90" s="1630"/>
      <c r="BD90" s="1630"/>
      <c r="BE90" s="1630"/>
      <c r="BF90" s="1630"/>
      <c r="BG90" s="1630"/>
      <c r="BH90" s="1630"/>
      <c r="BI90" s="1630"/>
      <c r="BJ90" s="1630"/>
      <c r="BK90" s="1630"/>
      <c r="BL90" s="1630"/>
      <c r="BM90" s="1630"/>
    </row>
    <row r="91" spans="1:65" hidden="1">
      <c r="A91" s="1627" t="s">
        <v>25</v>
      </c>
      <c r="B91" s="1638">
        <v>5759.4290000000001</v>
      </c>
      <c r="C91" s="1638"/>
      <c r="D91" s="1638">
        <v>2455.9029999999998</v>
      </c>
      <c r="E91" s="1638">
        <v>1465.1579999999999</v>
      </c>
      <c r="F91" s="1638">
        <v>677.80799999999999</v>
      </c>
      <c r="G91" s="1623">
        <v>1160.56</v>
      </c>
      <c r="H91" s="1638">
        <v>6785.0780000000004</v>
      </c>
      <c r="I91" s="1638">
        <v>996.88386355199998</v>
      </c>
      <c r="J91" s="1630">
        <v>4283.6099999999997</v>
      </c>
      <c r="K91" s="1623">
        <v>756.00812005</v>
      </c>
      <c r="L91" s="1630">
        <v>28.756</v>
      </c>
      <c r="M91" s="1630">
        <v>65.422921579999993</v>
      </c>
      <c r="N91" s="1630">
        <v>51.064999999999998</v>
      </c>
      <c r="O91" s="1630">
        <v>26.512035999999998</v>
      </c>
      <c r="P91" s="1630">
        <v>853.899</v>
      </c>
      <c r="Q91" s="1638">
        <v>31.915308</v>
      </c>
      <c r="R91" s="1638"/>
      <c r="S91" s="1205"/>
      <c r="T91" s="1638"/>
      <c r="U91" s="1638"/>
      <c r="V91" s="1638"/>
      <c r="W91" s="1638"/>
      <c r="X91" s="1623">
        <v>608.22799999999995</v>
      </c>
      <c r="Y91" s="1623">
        <v>91.240618999999995</v>
      </c>
      <c r="Z91" s="1623"/>
      <c r="AA91" s="1623"/>
      <c r="AB91" s="1623"/>
      <c r="AC91" s="1623"/>
      <c r="AD91" s="1630">
        <v>5245.085</v>
      </c>
      <c r="AE91" s="1630">
        <v>793.16433700000005</v>
      </c>
      <c r="AF91" s="1630">
        <v>3907.0279999999998</v>
      </c>
      <c r="AG91" s="1630">
        <v>689.40557799999999</v>
      </c>
      <c r="AH91" s="1630">
        <v>312.303</v>
      </c>
      <c r="AI91" s="1630">
        <v>56.008146000000004</v>
      </c>
      <c r="AJ91" s="1630"/>
      <c r="AK91" s="1630"/>
      <c r="AL91" s="1630"/>
      <c r="AM91" s="1630"/>
      <c r="AN91" s="1630"/>
      <c r="AO91" s="1630"/>
      <c r="AP91" s="1630"/>
      <c r="AQ91" s="1630"/>
      <c r="AR91" s="1630"/>
      <c r="AS91" s="1630"/>
      <c r="AT91" s="1630"/>
      <c r="AU91" s="1630"/>
      <c r="AV91" s="1630">
        <v>1539.9929999999999</v>
      </c>
      <c r="AW91" s="1630">
        <v>203.719525</v>
      </c>
      <c r="AX91" s="1630">
        <v>427.64699999999999</v>
      </c>
      <c r="AY91" s="1630">
        <v>93.114576999999997</v>
      </c>
      <c r="AZ91" s="1630">
        <v>570.35199999999998</v>
      </c>
      <c r="BA91" s="1630">
        <v>41.330083000000002</v>
      </c>
      <c r="BB91" s="1630"/>
      <c r="BC91" s="1630"/>
      <c r="BD91" s="1630"/>
      <c r="BE91" s="1630"/>
      <c r="BF91" s="1630"/>
      <c r="BG91" s="1630"/>
      <c r="BH91" s="1630"/>
      <c r="BI91" s="1630"/>
      <c r="BJ91" s="1630"/>
      <c r="BK91" s="1630"/>
      <c r="BL91" s="1630"/>
      <c r="BM91" s="1630"/>
    </row>
    <row r="92" spans="1:65" hidden="1">
      <c r="A92" s="1627" t="s">
        <v>26</v>
      </c>
      <c r="B92" s="1638">
        <v>5647.3069999999998</v>
      </c>
      <c r="C92" s="1638"/>
      <c r="D92" s="1638">
        <v>2386.44</v>
      </c>
      <c r="E92" s="1638">
        <v>1470.549</v>
      </c>
      <c r="F92" s="1638">
        <v>656.83900000000006</v>
      </c>
      <c r="G92" s="1623">
        <v>1133.479</v>
      </c>
      <c r="H92" s="1638">
        <v>7002.4930000000004</v>
      </c>
      <c r="I92" s="1638">
        <v>962.385896</v>
      </c>
      <c r="J92" s="1630">
        <v>4598.8329999999996</v>
      </c>
      <c r="K92" s="1623">
        <v>748.074928</v>
      </c>
      <c r="L92" s="1630">
        <v>27.83</v>
      </c>
      <c r="M92" s="1630">
        <v>56.655070000000002</v>
      </c>
      <c r="N92" s="1630">
        <v>52.71</v>
      </c>
      <c r="O92" s="1630">
        <v>29.062552</v>
      </c>
      <c r="P92" s="1630">
        <v>834.45699999999999</v>
      </c>
      <c r="Q92" s="1638">
        <v>33.769742999999998</v>
      </c>
      <c r="R92" s="1638"/>
      <c r="S92" s="1205"/>
      <c r="T92" s="1638"/>
      <c r="U92" s="1638"/>
      <c r="V92" s="1638"/>
      <c r="W92" s="1638"/>
      <c r="X92" s="1623">
        <v>518.93299999999999</v>
      </c>
      <c r="Y92" s="1623">
        <v>69.694760000000002</v>
      </c>
      <c r="Z92" s="1623"/>
      <c r="AA92" s="1623"/>
      <c r="AB92" s="1623"/>
      <c r="AC92" s="1623"/>
      <c r="AD92" s="1630">
        <v>5540.0020000000004</v>
      </c>
      <c r="AE92" s="1630">
        <v>783.74276699999996</v>
      </c>
      <c r="AF92" s="1630">
        <v>4237.9889999999996</v>
      </c>
      <c r="AG92" s="1630">
        <v>691.08805299999995</v>
      </c>
      <c r="AH92" s="1630">
        <v>312.56299999999999</v>
      </c>
      <c r="AI92" s="1630">
        <v>52.691738000000001</v>
      </c>
      <c r="AJ92" s="1630"/>
      <c r="AK92" s="1630"/>
      <c r="AL92" s="1630"/>
      <c r="AM92" s="1630"/>
      <c r="AN92" s="1630"/>
      <c r="AO92" s="1630"/>
      <c r="AP92" s="1630"/>
      <c r="AQ92" s="1630"/>
      <c r="AR92" s="1630"/>
      <c r="AS92" s="1630"/>
      <c r="AT92" s="1630"/>
      <c r="AU92" s="1630"/>
      <c r="AV92" s="1630">
        <v>1462.491</v>
      </c>
      <c r="AW92" s="1630">
        <v>178.64312799999999</v>
      </c>
      <c r="AX92" s="1630">
        <v>413.55399999999997</v>
      </c>
      <c r="AY92" s="1630">
        <v>86.049425999999997</v>
      </c>
      <c r="AZ92" s="1630">
        <v>549.72400000000005</v>
      </c>
      <c r="BA92" s="1630">
        <v>37.733074999999999</v>
      </c>
      <c r="BB92" s="1630"/>
      <c r="BC92" s="1630"/>
      <c r="BD92" s="1630"/>
      <c r="BE92" s="1630"/>
      <c r="BF92" s="1630"/>
      <c r="BG92" s="1630"/>
      <c r="BH92" s="1630"/>
      <c r="BI92" s="1630"/>
      <c r="BJ92" s="1630"/>
      <c r="BK92" s="1630"/>
      <c r="BL92" s="1630"/>
      <c r="BM92" s="1630"/>
    </row>
    <row r="93" spans="1:65" hidden="1">
      <c r="A93" s="1627" t="s">
        <v>27</v>
      </c>
      <c r="B93" s="1638">
        <v>5685.1149999999998</v>
      </c>
      <c r="C93" s="1638"/>
      <c r="D93" s="1638">
        <v>2425.2420000000002</v>
      </c>
      <c r="E93" s="1638">
        <v>1483.4839999999999</v>
      </c>
      <c r="F93" s="1638">
        <v>663.30600000000004</v>
      </c>
      <c r="G93" s="1623">
        <v>1113.0830000000001</v>
      </c>
      <c r="H93" s="1638">
        <v>7401.5879999999997</v>
      </c>
      <c r="I93" s="1638">
        <v>1028.980057</v>
      </c>
      <c r="J93" s="1630">
        <v>5076.9799999999996</v>
      </c>
      <c r="K93" s="1623">
        <v>813.30048999999997</v>
      </c>
      <c r="L93" s="1630">
        <v>26.893999999999998</v>
      </c>
      <c r="M93" s="1630">
        <v>60.823455000000003</v>
      </c>
      <c r="N93" s="1630">
        <v>89.126000000000005</v>
      </c>
      <c r="O93" s="1630">
        <v>31.896750999999998</v>
      </c>
      <c r="P93" s="1630">
        <v>666.77</v>
      </c>
      <c r="Q93" s="1638">
        <v>32.990642000000001</v>
      </c>
      <c r="R93" s="1638"/>
      <c r="S93" s="1205"/>
      <c r="T93" s="1638"/>
      <c r="U93" s="1638"/>
      <c r="V93" s="1638"/>
      <c r="W93" s="1638"/>
      <c r="X93" s="1623">
        <v>541.53800000000001</v>
      </c>
      <c r="Y93" s="1623">
        <v>62.980297999999998</v>
      </c>
      <c r="Z93" s="1623"/>
      <c r="AA93" s="1623"/>
      <c r="AB93" s="1623"/>
      <c r="AC93" s="1623"/>
      <c r="AD93" s="1630">
        <v>6128.7330000000002</v>
      </c>
      <c r="AE93" s="1630">
        <v>862.72563700000001</v>
      </c>
      <c r="AF93" s="1630">
        <v>4773.027</v>
      </c>
      <c r="AG93" s="1630">
        <v>764.26900000000001</v>
      </c>
      <c r="AH93" s="1630">
        <v>310.315</v>
      </c>
      <c r="AI93" s="1630">
        <v>57.968201000000001</v>
      </c>
      <c r="AJ93" s="1630"/>
      <c r="AK93" s="1630"/>
      <c r="AL93" s="1630"/>
      <c r="AM93" s="1630"/>
      <c r="AN93" s="1630"/>
      <c r="AO93" s="1630"/>
      <c r="AP93" s="1630"/>
      <c r="AQ93" s="1630"/>
      <c r="AR93" s="1630"/>
      <c r="AS93" s="1630"/>
      <c r="AT93" s="1630"/>
      <c r="AU93" s="1630"/>
      <c r="AV93" s="1630">
        <v>1272.855</v>
      </c>
      <c r="AW93" s="1630">
        <v>166.25441900000001</v>
      </c>
      <c r="AX93" s="1630">
        <v>393.07900000000001</v>
      </c>
      <c r="AY93" s="1630">
        <v>80.927852000000001</v>
      </c>
      <c r="AZ93" s="1630">
        <v>383.34899999999999</v>
      </c>
      <c r="BA93" s="1630">
        <v>35.845896000000003</v>
      </c>
      <c r="BB93" s="1630"/>
      <c r="BC93" s="1630"/>
      <c r="BD93" s="1630"/>
      <c r="BE93" s="1630"/>
      <c r="BF93" s="1630"/>
      <c r="BG93" s="1630"/>
      <c r="BH93" s="1630"/>
      <c r="BI93" s="1630"/>
      <c r="BJ93" s="1630"/>
      <c r="BK93" s="1630"/>
      <c r="BL93" s="1630"/>
      <c r="BM93" s="1630"/>
    </row>
    <row r="94" spans="1:65" hidden="1">
      <c r="A94" s="1627" t="s">
        <v>28</v>
      </c>
      <c r="B94" s="1638">
        <v>5678.5829999999996</v>
      </c>
      <c r="C94" s="1638"/>
      <c r="D94" s="1638">
        <v>2447.7910000000002</v>
      </c>
      <c r="E94" s="1638">
        <v>1473.1220000000001</v>
      </c>
      <c r="F94" s="1638">
        <v>669.11099999999999</v>
      </c>
      <c r="G94" s="1623">
        <v>1088.559</v>
      </c>
      <c r="H94" s="1638">
        <v>6872.3829999999998</v>
      </c>
      <c r="I94" s="1638">
        <v>976.09532718000003</v>
      </c>
      <c r="J94" s="1630">
        <v>4567.3389999999999</v>
      </c>
      <c r="K94" s="1623">
        <v>776.81800899999996</v>
      </c>
      <c r="L94" s="1630">
        <v>25.216000000000001</v>
      </c>
      <c r="M94" s="1630">
        <v>48.122407000000003</v>
      </c>
      <c r="N94" s="1630">
        <v>69.983999999999995</v>
      </c>
      <c r="O94" s="1630">
        <v>30.014154999999999</v>
      </c>
      <c r="P94" s="1630">
        <v>613.07299999999998</v>
      </c>
      <c r="Q94" s="1638">
        <v>30.859254</v>
      </c>
      <c r="R94" s="1638"/>
      <c r="S94" s="1205"/>
      <c r="T94" s="1638"/>
      <c r="U94" s="1638"/>
      <c r="V94" s="1638"/>
      <c r="W94" s="1638"/>
      <c r="X94" s="1623">
        <v>594.00699999999995</v>
      </c>
      <c r="Y94" s="1623">
        <v>63.424655999999999</v>
      </c>
      <c r="Z94" s="1623"/>
      <c r="AA94" s="1623"/>
      <c r="AB94" s="1623"/>
      <c r="AC94" s="1623"/>
      <c r="AD94" s="1630">
        <v>5660.5789999999997</v>
      </c>
      <c r="AE94" s="1630">
        <v>816.03335800000002</v>
      </c>
      <c r="AF94" s="1630">
        <v>4268.76</v>
      </c>
      <c r="AG94" s="1630">
        <v>728.57474100000002</v>
      </c>
      <c r="AH94" s="1630">
        <v>310.31400000000002</v>
      </c>
      <c r="AI94" s="1630">
        <v>45.519970999999998</v>
      </c>
      <c r="AJ94" s="1630"/>
      <c r="AK94" s="1630"/>
      <c r="AL94" s="1630"/>
      <c r="AM94" s="1630"/>
      <c r="AN94" s="1630"/>
      <c r="AO94" s="1630"/>
      <c r="AP94" s="1630"/>
      <c r="AQ94" s="1630"/>
      <c r="AR94" s="1630"/>
      <c r="AS94" s="1630"/>
      <c r="AT94" s="1630"/>
      <c r="AU94" s="1630"/>
      <c r="AV94" s="1630">
        <v>1211.8040000000001</v>
      </c>
      <c r="AW94" s="1630">
        <v>160.06196800000001</v>
      </c>
      <c r="AX94" s="1630">
        <v>368.56299999999999</v>
      </c>
      <c r="AY94" s="1630">
        <v>78.257423000000003</v>
      </c>
      <c r="AZ94" s="1630">
        <v>327.97500000000002</v>
      </c>
      <c r="BA94" s="1630">
        <v>33.461689999999997</v>
      </c>
      <c r="BB94" s="1630"/>
      <c r="BC94" s="1630"/>
      <c r="BD94" s="1630"/>
      <c r="BE94" s="1630"/>
      <c r="BF94" s="1630"/>
      <c r="BG94" s="1630"/>
      <c r="BH94" s="1630"/>
      <c r="BI94" s="1630"/>
      <c r="BJ94" s="1630"/>
      <c r="BK94" s="1630"/>
      <c r="BL94" s="1630"/>
      <c r="BM94" s="1630"/>
    </row>
    <row r="95" spans="1:65" hidden="1">
      <c r="A95" s="1627" t="s">
        <v>29</v>
      </c>
      <c r="B95" s="1638">
        <v>5659.4589999999998</v>
      </c>
      <c r="C95" s="1638"/>
      <c r="D95" s="1638">
        <v>2451.259</v>
      </c>
      <c r="E95" s="1638">
        <v>1466.752</v>
      </c>
      <c r="F95" s="1638">
        <v>731.75400000000002</v>
      </c>
      <c r="G95" s="1623">
        <v>1009.736</v>
      </c>
      <c r="H95" s="1638">
        <v>7810.9430000000002</v>
      </c>
      <c r="I95" s="1638">
        <v>1249.8292799999999</v>
      </c>
      <c r="J95" s="1630">
        <v>5335.598</v>
      </c>
      <c r="K95" s="1623">
        <v>906.051605</v>
      </c>
      <c r="L95" s="1630">
        <v>35.709000000000003</v>
      </c>
      <c r="M95" s="1630">
        <v>88.745070299999995</v>
      </c>
      <c r="N95" s="1630">
        <v>77.454999999999998</v>
      </c>
      <c r="O95" s="1630">
        <v>42.960175999999997</v>
      </c>
      <c r="P95" s="1630">
        <v>698.18</v>
      </c>
      <c r="Q95" s="1638">
        <v>38.001322000000002</v>
      </c>
      <c r="R95" s="1638"/>
      <c r="S95" s="1205"/>
      <c r="T95" s="1638"/>
      <c r="U95" s="1638"/>
      <c r="V95" s="1638"/>
      <c r="W95" s="1638"/>
      <c r="X95" s="1623">
        <v>553.41099999999994</v>
      </c>
      <c r="Y95" s="1623">
        <v>74.192710000000005</v>
      </c>
      <c r="Z95" s="1623"/>
      <c r="AA95" s="1623"/>
      <c r="AB95" s="1623"/>
      <c r="AC95" s="1623"/>
      <c r="AD95" s="1630">
        <v>6607.6450000000004</v>
      </c>
      <c r="AE95" s="1630">
        <v>1056.6168070000001</v>
      </c>
      <c r="AF95" s="1630">
        <v>5053.8360000000002</v>
      </c>
      <c r="AG95" s="1630">
        <v>924.70493999999997</v>
      </c>
      <c r="AH95" s="1630">
        <v>377.74599999999998</v>
      </c>
      <c r="AI95" s="1630">
        <v>79.107589000000004</v>
      </c>
      <c r="AJ95" s="1630"/>
      <c r="AK95" s="1630"/>
      <c r="AL95" s="1630"/>
      <c r="AM95" s="1630"/>
      <c r="AN95" s="1630"/>
      <c r="AO95" s="1630"/>
      <c r="AP95" s="1630"/>
      <c r="AQ95" s="1630"/>
      <c r="AR95" s="1630"/>
      <c r="AS95" s="1630"/>
      <c r="AT95" s="1630"/>
      <c r="AU95" s="1630"/>
      <c r="AV95" s="1630">
        <v>1203.298</v>
      </c>
      <c r="AW95" s="1630">
        <v>193.21247199999999</v>
      </c>
      <c r="AX95" s="1630">
        <v>359.21699999999998</v>
      </c>
      <c r="AY95" s="1630">
        <v>92.541286999999997</v>
      </c>
      <c r="AZ95" s="1630">
        <v>356</v>
      </c>
      <c r="BA95" s="1630">
        <v>47.637999999999998</v>
      </c>
      <c r="BB95" s="1630"/>
      <c r="BC95" s="1630"/>
      <c r="BD95" s="1630"/>
      <c r="BE95" s="1630"/>
      <c r="BF95" s="1630"/>
      <c r="BG95" s="1630"/>
      <c r="BH95" s="1630"/>
      <c r="BI95" s="1630"/>
      <c r="BJ95" s="1630"/>
      <c r="BK95" s="1630"/>
      <c r="BL95" s="1630"/>
      <c r="BM95" s="1630"/>
    </row>
    <row r="96" spans="1:65">
      <c r="A96" s="1627" t="s">
        <v>1852</v>
      </c>
      <c r="B96" s="1639">
        <v>5359.3450000000003</v>
      </c>
      <c r="C96" s="1639">
        <v>90.37</v>
      </c>
      <c r="D96" s="1639">
        <v>2552.415</v>
      </c>
      <c r="E96" s="1639">
        <v>1545.5609999999999</v>
      </c>
      <c r="F96" s="1639">
        <v>630.26700000000005</v>
      </c>
      <c r="G96" s="1632">
        <v>631.10199999999998</v>
      </c>
      <c r="H96" s="1644">
        <f t="shared" ref="H96:S96" si="18">SUM(H97:H108)</f>
        <v>83736.798999999999</v>
      </c>
      <c r="I96" s="1644">
        <f t="shared" si="18"/>
        <v>12829.088643272502</v>
      </c>
      <c r="J96" s="1644">
        <f t="shared" si="18"/>
        <v>55040.283000000003</v>
      </c>
      <c r="K96" s="1644">
        <f t="shared" si="18"/>
        <v>9894.0476295344997</v>
      </c>
      <c r="L96" s="1644">
        <f t="shared" si="18"/>
        <v>475.59000000000003</v>
      </c>
      <c r="M96" s="1644">
        <f t="shared" si="18"/>
        <v>781.53734557899998</v>
      </c>
      <c r="N96" s="1644">
        <f t="shared" si="18"/>
        <v>966.13999999999987</v>
      </c>
      <c r="O96" s="1644">
        <f t="shared" si="18"/>
        <v>330.98298455770004</v>
      </c>
      <c r="P96" s="1644">
        <f t="shared" si="18"/>
        <v>8848.0339999999997</v>
      </c>
      <c r="Q96" s="1644">
        <f t="shared" si="18"/>
        <v>527.44429030369997</v>
      </c>
      <c r="R96" s="1644">
        <f t="shared" si="18"/>
        <v>15.409000000000002</v>
      </c>
      <c r="S96" s="1640">
        <f t="shared" si="18"/>
        <v>0.29341801000000001</v>
      </c>
      <c r="T96" s="1644">
        <v>12344</v>
      </c>
      <c r="U96" s="1644">
        <v>325</v>
      </c>
      <c r="W96" s="1644"/>
      <c r="X96" s="1644">
        <f t="shared" ref="X96:AM96" si="19">SUM(X97:X108)</f>
        <v>5989.6</v>
      </c>
      <c r="Y96" s="1644">
        <f t="shared" si="19"/>
        <v>968.93676570059984</v>
      </c>
      <c r="Z96" s="1644">
        <f t="shared" si="19"/>
        <v>606.68600000000004</v>
      </c>
      <c r="AA96" s="1644">
        <f t="shared" si="19"/>
        <v>218.65526863099998</v>
      </c>
      <c r="AB96" s="1644">
        <f t="shared" si="19"/>
        <v>5382.9139999999998</v>
      </c>
      <c r="AC96" s="1644">
        <f t="shared" si="19"/>
        <v>750.28149706960005</v>
      </c>
      <c r="AD96" s="1644">
        <f t="shared" si="19"/>
        <v>73067.209999999992</v>
      </c>
      <c r="AE96" s="1644">
        <f t="shared" si="19"/>
        <v>11076.9920635705</v>
      </c>
      <c r="AF96" s="1644">
        <f t="shared" si="19"/>
        <v>53710.014000000003</v>
      </c>
      <c r="AG96" s="1644">
        <f t="shared" si="19"/>
        <v>9561.9941494212999</v>
      </c>
      <c r="AH96" s="1644">
        <f t="shared" si="19"/>
        <v>5898.4779999999992</v>
      </c>
      <c r="AI96" s="1644">
        <f t="shared" si="19"/>
        <v>853.85749960789997</v>
      </c>
      <c r="AJ96" s="1644">
        <f t="shared" si="19"/>
        <v>12.175999999999998</v>
      </c>
      <c r="AK96" s="1644">
        <f t="shared" si="19"/>
        <v>0.18758993000000002</v>
      </c>
      <c r="AL96" s="1644">
        <f t="shared" si="19"/>
        <v>9855.7649999999994</v>
      </c>
      <c r="AM96" s="1644">
        <f t="shared" si="19"/>
        <v>209.92891228470003</v>
      </c>
      <c r="AN96" s="1644"/>
      <c r="AO96" s="1644"/>
      <c r="AP96" s="1644">
        <f t="shared" ref="AP96:BH96" si="20">SUM(AP97:AP108)</f>
        <v>3602.9529999999995</v>
      </c>
      <c r="AQ96" s="1644">
        <f t="shared" si="20"/>
        <v>451.2115022566</v>
      </c>
      <c r="AR96" s="1644">
        <f t="shared" si="20"/>
        <v>389.4</v>
      </c>
      <c r="AS96" s="1644">
        <f t="shared" si="20"/>
        <v>131.85014132059999</v>
      </c>
      <c r="AT96" s="1644">
        <f t="shared" si="20"/>
        <v>3213.5530000000003</v>
      </c>
      <c r="AU96" s="1644">
        <f t="shared" si="20"/>
        <v>319.36136093599998</v>
      </c>
      <c r="AV96" s="1644">
        <f t="shared" si="20"/>
        <v>10669.589</v>
      </c>
      <c r="AW96" s="1644">
        <f t="shared" si="20"/>
        <v>1752.0965797020001</v>
      </c>
      <c r="AX96" s="1644">
        <f t="shared" si="20"/>
        <v>2296.4090000000001</v>
      </c>
      <c r="AY96" s="1644">
        <f t="shared" si="20"/>
        <v>663.03646467090005</v>
      </c>
      <c r="AZ96" s="1644">
        <f t="shared" si="20"/>
        <v>3425.1460000000002</v>
      </c>
      <c r="BA96" s="1644">
        <f t="shared" si="20"/>
        <v>455.12413627480004</v>
      </c>
      <c r="BB96" s="1644">
        <f t="shared" si="20"/>
        <v>3.2329999999999997</v>
      </c>
      <c r="BC96" s="1644">
        <f t="shared" si="20"/>
        <v>0.10582808</v>
      </c>
      <c r="BD96" s="1644">
        <f t="shared" si="20"/>
        <v>2561.3870000000002</v>
      </c>
      <c r="BE96" s="1644">
        <f t="shared" si="20"/>
        <v>116.21071531229998</v>
      </c>
      <c r="BF96" s="1644">
        <f t="shared" si="20"/>
        <v>0</v>
      </c>
      <c r="BG96" s="1644">
        <f t="shared" si="20"/>
        <v>0</v>
      </c>
      <c r="BH96" s="1644">
        <f t="shared" si="20"/>
        <v>2386.6469999999999</v>
      </c>
      <c r="BI96" s="1644">
        <v>517.382972</v>
      </c>
      <c r="BJ96" s="1644">
        <f>SUM(BJ97:BJ108)</f>
        <v>217.28599999999997</v>
      </c>
      <c r="BK96" s="1644">
        <v>518.382972</v>
      </c>
      <c r="BL96" s="1644">
        <f>SUM(BL97:BL108)</f>
        <v>2169.3609999999999</v>
      </c>
      <c r="BM96" s="1644">
        <v>519.382972</v>
      </c>
    </row>
    <row r="97" spans="1:65">
      <c r="A97" s="1627" t="s">
        <v>18</v>
      </c>
      <c r="B97" s="1638">
        <v>5403.6989999999996</v>
      </c>
      <c r="C97" s="1638">
        <v>40.841000000000001</v>
      </c>
      <c r="D97" s="1638">
        <v>2444.2260000000001</v>
      </c>
      <c r="E97" s="1638">
        <v>1460.1220000000001</v>
      </c>
      <c r="F97" s="1638">
        <v>690.15599999999995</v>
      </c>
      <c r="G97" s="1623">
        <v>809.19500000000005</v>
      </c>
      <c r="H97" s="1638">
        <v>5962.6</v>
      </c>
      <c r="I97" s="1638">
        <v>878.79689751000001</v>
      </c>
      <c r="J97" s="1630">
        <v>3822.404</v>
      </c>
      <c r="K97" s="1623">
        <v>630.55555375999995</v>
      </c>
      <c r="L97" s="1630">
        <v>36.69</v>
      </c>
      <c r="M97" s="1630">
        <v>80.136979449999998</v>
      </c>
      <c r="N97" s="1630">
        <v>47.503</v>
      </c>
      <c r="O97" s="1630">
        <v>32.5468069</v>
      </c>
      <c r="P97" s="1630">
        <v>650.6</v>
      </c>
      <c r="Q97" s="1638">
        <v>36.62345509</v>
      </c>
      <c r="R97" s="1638">
        <v>0.52600000000000002</v>
      </c>
      <c r="S97" s="1637">
        <v>9.7900000000000001E-3</v>
      </c>
      <c r="T97" s="1638">
        <v>986.56</v>
      </c>
      <c r="U97" s="1638">
        <v>24.575057099999999</v>
      </c>
      <c r="V97" s="1638"/>
      <c r="W97" s="1638"/>
      <c r="X97" s="1623">
        <v>418.84300000000002</v>
      </c>
      <c r="Y97" s="1623">
        <v>74.359045210000005</v>
      </c>
      <c r="Z97" s="1623">
        <v>53.744</v>
      </c>
      <c r="AA97" s="1623">
        <v>19.891607270000002</v>
      </c>
      <c r="AB97" s="1623">
        <v>365.09899999999999</v>
      </c>
      <c r="AC97" s="1623">
        <v>54.467437939999996</v>
      </c>
      <c r="AD97" s="1630">
        <v>4936.2730000000001</v>
      </c>
      <c r="AE97" s="1630">
        <v>702.87473940999996</v>
      </c>
      <c r="AF97" s="1630">
        <v>3618.549</v>
      </c>
      <c r="AG97" s="1630">
        <v>594.59500447000005</v>
      </c>
      <c r="AH97" s="1630">
        <v>337.66199999999998</v>
      </c>
      <c r="AI97" s="1630">
        <v>62.303456160000003</v>
      </c>
      <c r="AJ97" s="1630">
        <v>0.42199999999999999</v>
      </c>
      <c r="AK97" s="1630">
        <v>7.0349999999999996E-3</v>
      </c>
      <c r="AL97" s="1630">
        <v>740.14499999999998</v>
      </c>
      <c r="AM97" s="1630">
        <v>13.136674599999999</v>
      </c>
      <c r="AN97" s="1630"/>
      <c r="AO97" s="1630"/>
      <c r="AP97" s="1630">
        <v>239.917</v>
      </c>
      <c r="AQ97" s="1630">
        <v>32.839604180000002</v>
      </c>
      <c r="AR97" s="1630">
        <v>33.515000000000001</v>
      </c>
      <c r="AS97" s="1630">
        <v>11.371708400000001</v>
      </c>
      <c r="AT97" s="1630">
        <v>206.40199999999999</v>
      </c>
      <c r="AU97" s="1630">
        <v>21.467895780000003</v>
      </c>
      <c r="AV97" s="1630">
        <v>1026.327</v>
      </c>
      <c r="AW97" s="1630">
        <v>175.92215809999999</v>
      </c>
      <c r="AX97" s="1630">
        <v>251.358</v>
      </c>
      <c r="AY97" s="1630">
        <v>68.507356189999996</v>
      </c>
      <c r="AZ97" s="1630">
        <v>349.62799999999999</v>
      </c>
      <c r="BA97" s="1630">
        <v>54.456978380000002</v>
      </c>
      <c r="BB97" s="1548">
        <v>0.104</v>
      </c>
      <c r="BC97" s="1636">
        <v>2.7550000000000001E-3</v>
      </c>
      <c r="BD97" s="1630">
        <v>246.41499999999999</v>
      </c>
      <c r="BE97" s="1630">
        <v>11.438382499999999</v>
      </c>
      <c r="BF97" s="1630"/>
      <c r="BG97" s="1630"/>
      <c r="BH97" s="1630">
        <v>178.92599999999999</v>
      </c>
      <c r="BI97" s="1630">
        <v>41.519441030000003</v>
      </c>
      <c r="BJ97" s="1630">
        <v>20.228999999999999</v>
      </c>
      <c r="BK97" s="1630">
        <v>8.5198988699999987</v>
      </c>
      <c r="BL97" s="1630">
        <v>158.697</v>
      </c>
      <c r="BM97" s="1630">
        <v>32.999542160000004</v>
      </c>
    </row>
    <row r="98" spans="1:65">
      <c r="A98" s="1627" t="s">
        <v>19</v>
      </c>
      <c r="B98" s="1638">
        <v>5398.6279999999997</v>
      </c>
      <c r="C98" s="1638">
        <v>45.982999999999997</v>
      </c>
      <c r="D98" s="1638">
        <v>2422.77</v>
      </c>
      <c r="E98" s="1638">
        <v>1498.124</v>
      </c>
      <c r="F98" s="1638">
        <v>686.07399999999996</v>
      </c>
      <c r="G98" s="1623">
        <v>791.66</v>
      </c>
      <c r="H98" s="1638">
        <v>6519.8149999999996</v>
      </c>
      <c r="I98" s="1638">
        <v>982.54100122</v>
      </c>
      <c r="J98" s="1630">
        <v>4432.9650000000001</v>
      </c>
      <c r="K98" s="1623">
        <v>786.07709034000004</v>
      </c>
      <c r="L98" s="1630">
        <v>37.244</v>
      </c>
      <c r="M98" s="1630">
        <v>60.4752297</v>
      </c>
      <c r="N98" s="1630">
        <v>53.707999999999998</v>
      </c>
      <c r="O98" s="1630">
        <v>20.480360399999999</v>
      </c>
      <c r="P98" s="1630">
        <v>528.51099999999997</v>
      </c>
      <c r="Q98" s="1638">
        <v>27.067653</v>
      </c>
      <c r="R98" s="1638">
        <v>1.2649999999999999</v>
      </c>
      <c r="S98" s="1637">
        <v>1.1972E-2</v>
      </c>
      <c r="T98" s="1638">
        <v>1022.384</v>
      </c>
      <c r="U98" s="1638">
        <v>22.3777382</v>
      </c>
      <c r="V98" s="1638"/>
      <c r="W98" s="1638"/>
      <c r="X98" s="1623">
        <v>445.00299999999999</v>
      </c>
      <c r="Y98" s="1623">
        <v>66.062929580000002</v>
      </c>
      <c r="Z98" s="1623">
        <v>49.353000000000002</v>
      </c>
      <c r="AA98" s="1623">
        <v>18.2087617</v>
      </c>
      <c r="AB98" s="1623">
        <v>395.65</v>
      </c>
      <c r="AC98" s="1623">
        <v>47.854167879999999</v>
      </c>
      <c r="AD98" s="1630">
        <v>5678.21</v>
      </c>
      <c r="AE98" s="1630">
        <v>854.59222421000004</v>
      </c>
      <c r="AF98" s="1630">
        <v>4297.2</v>
      </c>
      <c r="AG98" s="1630">
        <v>756.22561072999997</v>
      </c>
      <c r="AH98" s="1630">
        <v>311.60700000000003</v>
      </c>
      <c r="AI98" s="1630">
        <v>54.092570989999999</v>
      </c>
      <c r="AJ98" s="1630">
        <v>1.0820000000000001</v>
      </c>
      <c r="AK98" s="1630">
        <v>7.5560000000000002E-3</v>
      </c>
      <c r="AL98" s="1630">
        <v>798.779</v>
      </c>
      <c r="AM98" s="1630">
        <v>12.817811300000001</v>
      </c>
      <c r="AN98" s="1630"/>
      <c r="AO98" s="1630"/>
      <c r="AP98" s="1630">
        <v>270.62400000000002</v>
      </c>
      <c r="AQ98" s="1630">
        <v>31.45623119</v>
      </c>
      <c r="AR98" s="1630">
        <v>31.754000000000001</v>
      </c>
      <c r="AS98" s="1630">
        <v>11.12778984</v>
      </c>
      <c r="AT98" s="1630">
        <v>238.87</v>
      </c>
      <c r="AU98" s="1630">
        <v>20.328441350000002</v>
      </c>
      <c r="AV98" s="1630">
        <v>841.60500000000002</v>
      </c>
      <c r="AW98" s="1630">
        <v>127.94877701</v>
      </c>
      <c r="AX98" s="1630">
        <v>189.47300000000001</v>
      </c>
      <c r="AY98" s="1630">
        <v>50.331840010000001</v>
      </c>
      <c r="AZ98" s="1630">
        <v>254.148</v>
      </c>
      <c r="BA98" s="1630">
        <v>33.450311710000001</v>
      </c>
      <c r="BB98" s="1548">
        <v>0.183</v>
      </c>
      <c r="BC98" s="1636">
        <v>4.4159999999999998E-3</v>
      </c>
      <c r="BD98" s="1630">
        <v>223.60499999999999</v>
      </c>
      <c r="BE98" s="1630">
        <v>9.5599269000000007</v>
      </c>
      <c r="BF98" s="1630"/>
      <c r="BG98" s="1630"/>
      <c r="BH98" s="1630">
        <v>174.37899999999999</v>
      </c>
      <c r="BI98" s="1630">
        <v>34.606698389999998</v>
      </c>
      <c r="BJ98" s="1630">
        <v>17.599</v>
      </c>
      <c r="BK98" s="1630">
        <v>7.08097186</v>
      </c>
      <c r="BL98" s="1630">
        <v>156.78</v>
      </c>
      <c r="BM98" s="1630">
        <v>27.52572653</v>
      </c>
    </row>
    <row r="99" spans="1:65">
      <c r="A99" s="1627" t="s">
        <v>20</v>
      </c>
      <c r="B99" s="1638">
        <v>5445.5829999999996</v>
      </c>
      <c r="C99" s="1638">
        <v>48.615000000000002</v>
      </c>
      <c r="D99" s="1638">
        <v>2439.2849999999999</v>
      </c>
      <c r="E99" s="1638">
        <v>1532.8879999999999</v>
      </c>
      <c r="F99" s="1638">
        <v>693.49800000000005</v>
      </c>
      <c r="G99" s="1623">
        <v>779.91200000000003</v>
      </c>
      <c r="H99" s="1638">
        <v>7338.875</v>
      </c>
      <c r="I99" s="1638">
        <v>1098.9443959600001</v>
      </c>
      <c r="J99" s="1630">
        <v>4943.8450000000003</v>
      </c>
      <c r="K99" s="1623">
        <v>873.79492988000004</v>
      </c>
      <c r="L99" s="1630">
        <v>43.390999999999998</v>
      </c>
      <c r="M99" s="1630">
        <v>64.779101260000004</v>
      </c>
      <c r="N99" s="1630">
        <v>55.418999999999997</v>
      </c>
      <c r="O99" s="1630">
        <v>21.061043479999999</v>
      </c>
      <c r="P99" s="1630">
        <v>607.39800000000002</v>
      </c>
      <c r="Q99" s="1638">
        <v>36.964396669999999</v>
      </c>
      <c r="R99" s="1638">
        <v>1.3360000000000001</v>
      </c>
      <c r="S99" s="1637">
        <v>1.5609329999999999E-2</v>
      </c>
      <c r="T99" s="1638">
        <v>1129.924</v>
      </c>
      <c r="U99" s="1638">
        <v>24.699587439999998</v>
      </c>
      <c r="V99" s="1638"/>
      <c r="W99" s="1638"/>
      <c r="X99" s="1623">
        <v>558.89800000000002</v>
      </c>
      <c r="Y99" s="1623">
        <v>77.645337229999996</v>
      </c>
      <c r="Z99" s="1623">
        <v>53.65</v>
      </c>
      <c r="AA99" s="1623">
        <v>18.012206819999999</v>
      </c>
      <c r="AB99" s="1623">
        <v>505.24799999999999</v>
      </c>
      <c r="AC99" s="1623">
        <v>59.63313041</v>
      </c>
      <c r="AD99" s="1630">
        <v>6470.2060000000001</v>
      </c>
      <c r="AE99" s="1630">
        <v>956.39525653999999</v>
      </c>
      <c r="AF99" s="1630">
        <v>4816.76</v>
      </c>
      <c r="AG99" s="1630">
        <v>842.85713931999999</v>
      </c>
      <c r="AH99" s="1630">
        <v>383.56099999999998</v>
      </c>
      <c r="AI99" s="1630">
        <v>63.633386950000002</v>
      </c>
      <c r="AJ99" s="1630">
        <v>1.171</v>
      </c>
      <c r="AK99" s="1630">
        <v>1.1338330000000001E-2</v>
      </c>
      <c r="AL99" s="1630">
        <v>914.375</v>
      </c>
      <c r="AM99" s="1630">
        <v>15.118826500000001</v>
      </c>
      <c r="AN99" s="1630"/>
      <c r="AO99" s="1630"/>
      <c r="AP99" s="1630">
        <v>355.51</v>
      </c>
      <c r="AQ99" s="1630">
        <v>34.785903769999997</v>
      </c>
      <c r="AR99" s="1630">
        <v>33.869</v>
      </c>
      <c r="AS99" s="1630">
        <v>10.668974009999999</v>
      </c>
      <c r="AT99" s="1630">
        <v>321.64100000000002</v>
      </c>
      <c r="AU99" s="1630">
        <v>24.116929760000001</v>
      </c>
      <c r="AV99" s="1630">
        <v>868.66899999999998</v>
      </c>
      <c r="AW99" s="1630">
        <v>142.54913941999999</v>
      </c>
      <c r="AX99" s="1630">
        <v>182.50399999999999</v>
      </c>
      <c r="AY99" s="1630">
        <v>51.998834039999998</v>
      </c>
      <c r="AZ99" s="1630">
        <v>267.22800000000001</v>
      </c>
      <c r="BA99" s="1630">
        <v>38.110110980000002</v>
      </c>
      <c r="BB99" s="1548">
        <v>0.16500000000000001</v>
      </c>
      <c r="BC99" s="1636">
        <v>4.2709999999999996E-3</v>
      </c>
      <c r="BD99" s="1630">
        <v>215.54900000000001</v>
      </c>
      <c r="BE99" s="1630">
        <v>9.5807609399999993</v>
      </c>
      <c r="BF99" s="1630"/>
      <c r="BG99" s="1630"/>
      <c r="BH99" s="1630">
        <v>203.38800000000001</v>
      </c>
      <c r="BI99" s="1630">
        <v>42.859433459999998</v>
      </c>
      <c r="BJ99" s="1630">
        <v>19.780999999999999</v>
      </c>
      <c r="BK99" s="1630">
        <v>7.3432328099999999</v>
      </c>
      <c r="BL99" s="1630">
        <v>183.607</v>
      </c>
      <c r="BM99" s="1630">
        <v>35.516200650000002</v>
      </c>
    </row>
    <row r="100" spans="1:65">
      <c r="A100" s="1627" t="s">
        <v>21</v>
      </c>
      <c r="B100" s="1638">
        <v>5453.4350000000004</v>
      </c>
      <c r="C100" s="1638">
        <v>53.430999999999997</v>
      </c>
      <c r="D100" s="1638">
        <v>2473.9949999999999</v>
      </c>
      <c r="E100" s="1638">
        <v>1492.6980000000001</v>
      </c>
      <c r="F100" s="1638">
        <v>731.93100000000004</v>
      </c>
      <c r="G100" s="1623">
        <v>754.81100000000004</v>
      </c>
      <c r="H100" s="1638">
        <v>6580.2619999999997</v>
      </c>
      <c r="I100" s="1638">
        <v>973.03676429999996</v>
      </c>
      <c r="J100" s="1630">
        <v>4400.808</v>
      </c>
      <c r="K100" s="1623">
        <v>776.13256869999998</v>
      </c>
      <c r="L100" s="1630">
        <v>38.298000000000002</v>
      </c>
      <c r="M100" s="1630">
        <v>55.247871799999999</v>
      </c>
      <c r="N100" s="1630">
        <v>72.385000000000005</v>
      </c>
      <c r="O100" s="1630">
        <v>23.266798900000001</v>
      </c>
      <c r="P100" s="1630">
        <v>755.39300000000003</v>
      </c>
      <c r="Q100" s="1638">
        <v>34.075863599999998</v>
      </c>
      <c r="R100" s="1638">
        <v>1.2989999999999999</v>
      </c>
      <c r="S100" s="1637">
        <v>2.9964999999999999E-2</v>
      </c>
      <c r="T100" s="1638">
        <v>882.70600000000002</v>
      </c>
      <c r="U100" s="1638">
        <v>21.9358325</v>
      </c>
      <c r="V100" s="1638"/>
      <c r="W100" s="1638"/>
      <c r="X100" s="1623">
        <v>430.67200000000003</v>
      </c>
      <c r="Y100" s="1623">
        <v>62.377828800000003</v>
      </c>
      <c r="Z100" s="1623">
        <v>47.436</v>
      </c>
      <c r="AA100" s="1623">
        <v>15.087858199999999</v>
      </c>
      <c r="AB100" s="1623">
        <v>383.23599999999999</v>
      </c>
      <c r="AC100" s="1623">
        <v>47.289970600000004</v>
      </c>
      <c r="AD100" s="1630">
        <v>5750.3950000000004</v>
      </c>
      <c r="AE100" s="1630">
        <v>845.17703589999996</v>
      </c>
      <c r="AF100" s="1630">
        <v>4292.8490000000002</v>
      </c>
      <c r="AG100" s="1630">
        <v>746.80658879999999</v>
      </c>
      <c r="AH100" s="1630">
        <v>526.24300000000005</v>
      </c>
      <c r="AI100" s="1630">
        <v>56.685355100000002</v>
      </c>
      <c r="AJ100" s="1630">
        <v>1.0640000000000001</v>
      </c>
      <c r="AK100" s="1630">
        <v>1.3386E-2</v>
      </c>
      <c r="AL100" s="1630">
        <v>674.59799999999996</v>
      </c>
      <c r="AM100" s="1630">
        <v>12.677512800000001</v>
      </c>
      <c r="AN100" s="1630"/>
      <c r="AO100" s="1630"/>
      <c r="AP100" s="1630">
        <v>256.70499999999998</v>
      </c>
      <c r="AQ100" s="1630">
        <v>29.007579199999999</v>
      </c>
      <c r="AR100" s="1630">
        <v>30.009</v>
      </c>
      <c r="AS100" s="1630">
        <v>8.6537810999999998</v>
      </c>
      <c r="AT100" s="1630">
        <v>226.696</v>
      </c>
      <c r="AU100" s="1630">
        <v>20.353798100000002</v>
      </c>
      <c r="AV100" s="1630">
        <v>829.86699999999996</v>
      </c>
      <c r="AW100" s="1630">
        <v>127.85972839999999</v>
      </c>
      <c r="AX100" s="1630">
        <v>180.34399999999999</v>
      </c>
      <c r="AY100" s="1630">
        <v>52.592778799999998</v>
      </c>
      <c r="AZ100" s="1630">
        <v>267.44799999999998</v>
      </c>
      <c r="BA100" s="1630">
        <v>32.638380300000001</v>
      </c>
      <c r="BB100" s="1548">
        <v>0.23499999999999999</v>
      </c>
      <c r="BC100" s="1636">
        <v>1.6579E-2</v>
      </c>
      <c r="BD100" s="1630">
        <v>208.108</v>
      </c>
      <c r="BE100" s="1630">
        <v>9.2583196999999995</v>
      </c>
      <c r="BF100" s="1630"/>
      <c r="BG100" s="1630"/>
      <c r="BH100" s="1630">
        <v>173.96700000000001</v>
      </c>
      <c r="BI100" s="1630">
        <v>33.370249600000001</v>
      </c>
      <c r="BJ100" s="1630">
        <v>17.427</v>
      </c>
      <c r="BK100" s="1630">
        <v>6.4340770999999997</v>
      </c>
      <c r="BL100" s="1630">
        <v>156.54</v>
      </c>
      <c r="BM100" s="1630">
        <v>26.936172500000001</v>
      </c>
    </row>
    <row r="101" spans="1:65">
      <c r="A101" s="1627" t="s">
        <v>22</v>
      </c>
      <c r="B101" s="1638">
        <v>5434.3630000000003</v>
      </c>
      <c r="C101" s="1638">
        <v>60.798999999999999</v>
      </c>
      <c r="D101" s="1638">
        <v>2477.819</v>
      </c>
      <c r="E101" s="1638">
        <v>1541.204</v>
      </c>
      <c r="F101" s="1638">
        <v>673.73</v>
      </c>
      <c r="G101" s="1623">
        <v>741.61</v>
      </c>
      <c r="H101" s="1638">
        <v>7063.384</v>
      </c>
      <c r="I101" s="1638">
        <v>1052.3024849991</v>
      </c>
      <c r="J101" s="1630">
        <v>4715.857</v>
      </c>
      <c r="K101" s="1623">
        <v>837.41501875999995</v>
      </c>
      <c r="L101" s="1630">
        <v>35.776000000000003</v>
      </c>
      <c r="M101" s="1630">
        <v>53.297657123699999</v>
      </c>
      <c r="N101" s="1630">
        <v>83.182000000000002</v>
      </c>
      <c r="O101" s="1630">
        <v>23.1639670281</v>
      </c>
      <c r="P101" s="1630">
        <v>816.274</v>
      </c>
      <c r="Q101" s="1638">
        <v>38.712619994199997</v>
      </c>
      <c r="R101" s="1638">
        <v>1.3129999999999999</v>
      </c>
      <c r="S101" s="1637">
        <v>2.6942900000000002E-2</v>
      </c>
      <c r="T101" s="1638">
        <v>909.26700000000005</v>
      </c>
      <c r="U101" s="1638">
        <v>21.776039113700001</v>
      </c>
      <c r="V101" s="1638"/>
      <c r="W101" s="1638"/>
      <c r="X101" s="1623">
        <v>503.02800000000002</v>
      </c>
      <c r="Y101" s="1623">
        <v>77.937182979400006</v>
      </c>
      <c r="Z101" s="1623">
        <v>51.845999999999997</v>
      </c>
      <c r="AA101" s="1623">
        <v>17.717383313499997</v>
      </c>
      <c r="AB101" s="1623">
        <v>451.18200000000002</v>
      </c>
      <c r="AC101" s="1623">
        <v>60.219799665899998</v>
      </c>
      <c r="AD101" s="1630">
        <v>6173.1350000000002</v>
      </c>
      <c r="AE101" s="1630">
        <v>916.32209469379995</v>
      </c>
      <c r="AF101" s="1630">
        <v>4602.4809999999998</v>
      </c>
      <c r="AG101" s="1630">
        <v>807.61100299110001</v>
      </c>
      <c r="AH101" s="1630">
        <v>574.95299999999997</v>
      </c>
      <c r="AI101" s="1630">
        <v>60.007763003900003</v>
      </c>
      <c r="AJ101" s="1630">
        <v>1.0109999999999999</v>
      </c>
      <c r="AK101" s="1630">
        <v>1.54062E-2</v>
      </c>
      <c r="AL101" s="1630">
        <v>699.96699999999998</v>
      </c>
      <c r="AM101" s="1630">
        <v>12.6122363355</v>
      </c>
      <c r="AN101" s="1630"/>
      <c r="AO101" s="1630"/>
      <c r="AP101" s="1630">
        <v>295.73399999999998</v>
      </c>
      <c r="AQ101" s="1630">
        <v>36.0910923633</v>
      </c>
      <c r="AR101" s="1630">
        <v>32.613</v>
      </c>
      <c r="AS101" s="1630">
        <v>10.605342587899999</v>
      </c>
      <c r="AT101" s="1630">
        <v>263.12099999999998</v>
      </c>
      <c r="AU101" s="1630">
        <v>25.485749775399999</v>
      </c>
      <c r="AV101" s="1630">
        <v>890.24900000000002</v>
      </c>
      <c r="AW101" s="1630">
        <v>135.98039030530001</v>
      </c>
      <c r="AX101" s="1630">
        <v>196.55799999999999</v>
      </c>
      <c r="AY101" s="1630">
        <v>52.967982796999998</v>
      </c>
      <c r="AZ101" s="1630">
        <v>277.09699999999998</v>
      </c>
      <c r="BA101" s="1630">
        <v>32.002514114</v>
      </c>
      <c r="BB101" s="1548">
        <v>0.30199999999999999</v>
      </c>
      <c r="BC101" s="1636">
        <v>1.15367E-2</v>
      </c>
      <c r="BD101" s="1630">
        <v>209.3</v>
      </c>
      <c r="BE101" s="1630">
        <v>9.1638027782000009</v>
      </c>
      <c r="BF101" s="1630"/>
      <c r="BG101" s="1630"/>
      <c r="BH101" s="1630">
        <v>207.29400000000001</v>
      </c>
      <c r="BI101" s="1630">
        <v>41.8460906161</v>
      </c>
      <c r="BJ101" s="1630">
        <v>19.233000000000001</v>
      </c>
      <c r="BK101" s="1630">
        <v>7.1120407255999991</v>
      </c>
      <c r="BL101" s="1630">
        <v>188.06100000000001</v>
      </c>
      <c r="BM101" s="1630">
        <v>34.734049890500003</v>
      </c>
    </row>
    <row r="102" spans="1:65">
      <c r="A102" s="1627" t="s">
        <v>23</v>
      </c>
      <c r="B102" s="1638">
        <v>5479.6980000000003</v>
      </c>
      <c r="C102" s="1638">
        <v>65.923000000000002</v>
      </c>
      <c r="D102" s="1638">
        <v>2493.3719999999998</v>
      </c>
      <c r="E102" s="1638">
        <v>1541.521</v>
      </c>
      <c r="F102" s="1638">
        <v>663.12900000000002</v>
      </c>
      <c r="G102" s="1623">
        <v>781.67600000000004</v>
      </c>
      <c r="H102" s="1638">
        <v>7002.8680000000004</v>
      </c>
      <c r="I102" s="1638">
        <v>1048.5094405519001</v>
      </c>
      <c r="J102" s="1630">
        <v>4573.4629999999997</v>
      </c>
      <c r="K102" s="1623">
        <v>817.26723701000003</v>
      </c>
      <c r="L102" s="1630">
        <v>34.706000000000003</v>
      </c>
      <c r="M102" s="1630">
        <v>62.187665561999999</v>
      </c>
      <c r="N102" s="1630">
        <v>86.149000000000001</v>
      </c>
      <c r="O102" s="1630">
        <v>23.191707844900002</v>
      </c>
      <c r="P102" s="1630">
        <v>667.50699999999995</v>
      </c>
      <c r="Q102" s="1638">
        <v>41.193660116700002</v>
      </c>
      <c r="R102" s="1638">
        <v>1.431</v>
      </c>
      <c r="S102" s="1637">
        <v>7.0485199999999998E-2</v>
      </c>
      <c r="T102" s="1638">
        <v>1161.1379999999999</v>
      </c>
      <c r="U102" s="1638">
        <v>29.446231082400001</v>
      </c>
      <c r="V102" s="1638"/>
      <c r="W102" s="1638"/>
      <c r="X102" s="1623">
        <v>479.90499999999997</v>
      </c>
      <c r="Y102" s="1623">
        <v>75.222938935900004</v>
      </c>
      <c r="Z102" s="1623">
        <v>48.448999999999998</v>
      </c>
      <c r="AA102" s="1623">
        <v>16.452569512700002</v>
      </c>
      <c r="AB102" s="1623">
        <v>431.45600000000002</v>
      </c>
      <c r="AC102" s="1623">
        <v>58.770369423200002</v>
      </c>
      <c r="AD102" s="1630">
        <v>6095.5630000000001</v>
      </c>
      <c r="AE102" s="1630">
        <v>905.06305173689998</v>
      </c>
      <c r="AF102" s="1630">
        <v>4457.3370000000004</v>
      </c>
      <c r="AG102" s="1630">
        <v>786.12699134779996</v>
      </c>
      <c r="AH102" s="1630">
        <v>413.09300000000002</v>
      </c>
      <c r="AI102" s="1630">
        <v>64.849258133199996</v>
      </c>
      <c r="AJ102" s="1630">
        <v>1.101</v>
      </c>
      <c r="AK102" s="1630">
        <v>5.2089999999999997E-2</v>
      </c>
      <c r="AL102" s="1630">
        <v>939.99400000000003</v>
      </c>
      <c r="AM102" s="1630">
        <v>19.2445842124</v>
      </c>
      <c r="AN102" s="1630"/>
      <c r="AO102" s="1630"/>
      <c r="AP102" s="1630">
        <v>285.13900000000001</v>
      </c>
      <c r="AQ102" s="1630">
        <v>34.842218043499997</v>
      </c>
      <c r="AR102" s="1630">
        <v>30.21</v>
      </c>
      <c r="AS102" s="1630">
        <v>9.295344762700001</v>
      </c>
      <c r="AT102" s="1630">
        <v>254.929</v>
      </c>
      <c r="AU102" s="1630">
        <v>25.5468732808</v>
      </c>
      <c r="AV102" s="1630">
        <v>907.30499999999995</v>
      </c>
      <c r="AW102" s="1630">
        <v>143.44638881500001</v>
      </c>
      <c r="AX102" s="1630">
        <v>202.27500000000001</v>
      </c>
      <c r="AY102" s="1630">
        <v>54.331953507100003</v>
      </c>
      <c r="AZ102" s="1630">
        <v>289.12</v>
      </c>
      <c r="BA102" s="1630">
        <v>38.532067545499999</v>
      </c>
      <c r="BB102" s="1548">
        <v>0.33</v>
      </c>
      <c r="BC102" s="1636">
        <v>1.83952E-2</v>
      </c>
      <c r="BD102" s="1630">
        <v>221.14400000000001</v>
      </c>
      <c r="BE102" s="1630">
        <v>10.201646869999999</v>
      </c>
      <c r="BF102" s="1630"/>
      <c r="BG102" s="1630"/>
      <c r="BH102" s="1630">
        <v>194.76599999999999</v>
      </c>
      <c r="BI102" s="1630">
        <v>40.380720892399999</v>
      </c>
      <c r="BJ102" s="1630">
        <v>18.239000000000001</v>
      </c>
      <c r="BK102" s="1630">
        <v>7.1572247500000001</v>
      </c>
      <c r="BL102" s="1630">
        <v>176.52699999999999</v>
      </c>
      <c r="BM102" s="1630">
        <v>33.223496142399995</v>
      </c>
    </row>
    <row r="103" spans="1:65">
      <c r="A103" s="1627" t="s">
        <v>24</v>
      </c>
      <c r="B103" s="1638">
        <v>5445.9589999999998</v>
      </c>
      <c r="C103" s="1638">
        <v>69.822000000000003</v>
      </c>
      <c r="D103" s="1638">
        <v>2496.9540000000002</v>
      </c>
      <c r="E103" s="1638">
        <v>1544.088</v>
      </c>
      <c r="F103" s="1638">
        <v>661.27300000000002</v>
      </c>
      <c r="G103" s="1623">
        <v>743.64400000000001</v>
      </c>
      <c r="H103" s="1638">
        <v>7047.2250000000004</v>
      </c>
      <c r="I103" s="1638">
        <v>1157.3505587476</v>
      </c>
      <c r="J103" s="1630">
        <v>4721.3459999999995</v>
      </c>
      <c r="K103" s="1623">
        <v>912.54396154000005</v>
      </c>
      <c r="L103" s="1630">
        <v>35.122</v>
      </c>
      <c r="M103" s="1630">
        <v>63.755566906200002</v>
      </c>
      <c r="N103" s="1630">
        <v>73.718999999999994</v>
      </c>
      <c r="O103" s="1630">
        <v>27.678435288700001</v>
      </c>
      <c r="P103" s="1630">
        <v>653.22299999999996</v>
      </c>
      <c r="Q103" s="1638">
        <v>41.318352435199998</v>
      </c>
      <c r="R103" s="1638">
        <v>1.22</v>
      </c>
      <c r="S103" s="1637">
        <v>1.8154759999999999E-2</v>
      </c>
      <c r="T103" s="1638">
        <v>1101.1489999999999</v>
      </c>
      <c r="U103" s="1638">
        <v>27.551255563400002</v>
      </c>
      <c r="V103" s="1638"/>
      <c r="W103" s="1638"/>
      <c r="X103" s="1623">
        <v>462.666</v>
      </c>
      <c r="Y103" s="1623">
        <v>84.5029870141</v>
      </c>
      <c r="Z103" s="1623">
        <v>40.274000000000001</v>
      </c>
      <c r="AA103" s="1623">
        <v>14.5609832993</v>
      </c>
      <c r="AB103" s="1623">
        <v>422.392</v>
      </c>
      <c r="AC103" s="1623">
        <v>69.942003714799995</v>
      </c>
      <c r="AD103" s="1630">
        <v>6193.9880000000003</v>
      </c>
      <c r="AE103" s="1630">
        <v>1009.7974601612</v>
      </c>
      <c r="AF103" s="1630">
        <v>4614.2669999999998</v>
      </c>
      <c r="AG103" s="1630">
        <v>885.2740400074</v>
      </c>
      <c r="AH103" s="1630">
        <v>422.71199999999999</v>
      </c>
      <c r="AI103" s="1630">
        <v>69.736290413899994</v>
      </c>
      <c r="AJ103" s="1630">
        <v>0.95699999999999996</v>
      </c>
      <c r="AK103" s="1630">
        <v>1.2803799999999999E-2</v>
      </c>
      <c r="AL103" s="1630">
        <v>885.75699999999995</v>
      </c>
      <c r="AM103" s="1630">
        <v>17.049618073400001</v>
      </c>
      <c r="AN103" s="1630"/>
      <c r="AO103" s="1630"/>
      <c r="AP103" s="1630">
        <v>271.25200000000001</v>
      </c>
      <c r="AQ103" s="1630">
        <v>37.737511666499998</v>
      </c>
      <c r="AR103" s="1630">
        <v>24.795000000000002</v>
      </c>
      <c r="AS103" s="1630">
        <v>8.2182392165000007</v>
      </c>
      <c r="AT103" s="1630">
        <v>246.45699999999999</v>
      </c>
      <c r="AU103" s="1630">
        <v>29.519272449999999</v>
      </c>
      <c r="AV103" s="1630">
        <v>853.23699999999997</v>
      </c>
      <c r="AW103" s="1630">
        <v>147.55309858640001</v>
      </c>
      <c r="AX103" s="1630">
        <v>180.798</v>
      </c>
      <c r="AY103" s="1630">
        <v>54.948356821300003</v>
      </c>
      <c r="AZ103" s="1630">
        <v>265.63299999999998</v>
      </c>
      <c r="BA103" s="1630">
        <v>35.337628927499999</v>
      </c>
      <c r="BB103" s="1548">
        <v>0.26300000000000001</v>
      </c>
      <c r="BC103" s="1636">
        <v>5.3509600000000001E-3</v>
      </c>
      <c r="BD103" s="1630">
        <v>215.392</v>
      </c>
      <c r="BE103" s="1630">
        <v>10.50163749</v>
      </c>
      <c r="BF103" s="1630"/>
      <c r="BG103" s="1630"/>
      <c r="BH103" s="1630">
        <v>191.41399999999999</v>
      </c>
      <c r="BI103" s="1630">
        <v>46.765475347600002</v>
      </c>
      <c r="BJ103" s="1630">
        <v>15.478999999999999</v>
      </c>
      <c r="BK103" s="1630">
        <v>6.3427440828000003</v>
      </c>
      <c r="BL103" s="1630">
        <v>175.935</v>
      </c>
      <c r="BM103" s="1630">
        <v>40.422731264799999</v>
      </c>
    </row>
    <row r="104" spans="1:65">
      <c r="A104" s="1627" t="s">
        <v>25</v>
      </c>
      <c r="B104" s="1638">
        <v>5291.1090000000004</v>
      </c>
      <c r="C104" s="1638">
        <v>73.004999999999995</v>
      </c>
      <c r="D104" s="1638">
        <v>2362.8939999999998</v>
      </c>
      <c r="E104" s="1638">
        <v>1551.201</v>
      </c>
      <c r="F104" s="1638">
        <v>648.55100000000004</v>
      </c>
      <c r="G104" s="1623">
        <v>728.46299999999997</v>
      </c>
      <c r="H104" s="1638">
        <v>6831.6790000000001</v>
      </c>
      <c r="I104" s="1638">
        <v>1106.8770754831</v>
      </c>
      <c r="J104" s="1630">
        <v>4283.8059999999996</v>
      </c>
      <c r="K104" s="1623">
        <v>787.63200553000001</v>
      </c>
      <c r="L104" s="1630">
        <v>40.69</v>
      </c>
      <c r="M104" s="1630">
        <v>74.542827130999996</v>
      </c>
      <c r="N104" s="1630">
        <v>102.205</v>
      </c>
      <c r="O104" s="1630">
        <v>42.553382300800003</v>
      </c>
      <c r="P104" s="1630">
        <v>699.92499999999995</v>
      </c>
      <c r="Q104" s="1638">
        <v>55.081308701300003</v>
      </c>
      <c r="R104" s="1638">
        <v>1.522</v>
      </c>
      <c r="S104" s="1637">
        <v>2.54921E-2</v>
      </c>
      <c r="T104" s="1638">
        <v>1161.6510000000001</v>
      </c>
      <c r="U104" s="1638">
        <v>34.746976968399998</v>
      </c>
      <c r="V104" s="1638"/>
      <c r="W104" s="1638"/>
      <c r="X104" s="1623">
        <v>543.40200000000004</v>
      </c>
      <c r="Y104" s="1623">
        <v>112.3205748516</v>
      </c>
      <c r="Z104" s="1623">
        <v>49.148000000000003</v>
      </c>
      <c r="AA104" s="1623">
        <v>19.4813004148</v>
      </c>
      <c r="AB104" s="1623">
        <v>494.25400000000002</v>
      </c>
      <c r="AC104" s="1623">
        <v>92.839274436799982</v>
      </c>
      <c r="AD104" s="1630">
        <v>5885.5029999999997</v>
      </c>
      <c r="AE104" s="1630">
        <v>919.23461538909999</v>
      </c>
      <c r="AF104" s="1630">
        <v>4185.7120000000004</v>
      </c>
      <c r="AG104" s="1630">
        <v>761.79066702540001</v>
      </c>
      <c r="AH104" s="1630">
        <v>457.72899999999998</v>
      </c>
      <c r="AI104" s="1630">
        <v>84.466778645399998</v>
      </c>
      <c r="AJ104" s="1630">
        <v>1.256</v>
      </c>
      <c r="AK104" s="1630">
        <v>1.6150899999999999E-2</v>
      </c>
      <c r="AL104" s="1630">
        <v>932.11</v>
      </c>
      <c r="AM104" s="1630">
        <v>22.232953638400001</v>
      </c>
      <c r="AN104" s="1630"/>
      <c r="AO104" s="1630"/>
      <c r="AP104" s="1630">
        <v>309.952</v>
      </c>
      <c r="AQ104" s="1630">
        <v>50.744216079899999</v>
      </c>
      <c r="AR104" s="1630">
        <v>30.064</v>
      </c>
      <c r="AS104" s="1630">
        <v>11.7265342715</v>
      </c>
      <c r="AT104" s="1630">
        <v>279.88799999999998</v>
      </c>
      <c r="AU104" s="1630">
        <v>39.017681808400006</v>
      </c>
      <c r="AV104" s="1630">
        <v>946.17600000000004</v>
      </c>
      <c r="AW104" s="1630">
        <v>187.642460094</v>
      </c>
      <c r="AX104" s="1630">
        <v>200.29900000000001</v>
      </c>
      <c r="AY104" s="1630">
        <v>68.394720805399999</v>
      </c>
      <c r="AZ104" s="1630">
        <v>282.88600000000002</v>
      </c>
      <c r="BA104" s="1630">
        <v>45.157357186900001</v>
      </c>
      <c r="BB104" s="1548">
        <v>0.26600000000000001</v>
      </c>
      <c r="BC104" s="1636">
        <v>9.3412000000000009E-3</v>
      </c>
      <c r="BD104" s="1630">
        <v>229.541</v>
      </c>
      <c r="BE104" s="1630">
        <v>12.514023330000001</v>
      </c>
      <c r="BF104" s="1630"/>
      <c r="BG104" s="1630"/>
      <c r="BH104" s="1630">
        <v>233.45</v>
      </c>
      <c r="BI104" s="1630">
        <v>61.576358771700001</v>
      </c>
      <c r="BJ104" s="1630">
        <v>19.084</v>
      </c>
      <c r="BK104" s="1630">
        <v>7.7547661432999995</v>
      </c>
      <c r="BL104" s="1630">
        <v>214.36600000000001</v>
      </c>
      <c r="BM104" s="1630">
        <v>53.821592628399998</v>
      </c>
    </row>
    <row r="105" spans="1:65">
      <c r="A105" s="1627" t="s">
        <v>26</v>
      </c>
      <c r="B105" s="1638">
        <v>5191.7749999999996</v>
      </c>
      <c r="C105" s="1638">
        <v>75.534000000000006</v>
      </c>
      <c r="D105" s="1638">
        <v>2284.2579999999998</v>
      </c>
      <c r="E105" s="1638">
        <v>1555.2090000000001</v>
      </c>
      <c r="F105" s="1638">
        <v>644.59100000000001</v>
      </c>
      <c r="G105" s="1623">
        <v>707.71699999999998</v>
      </c>
      <c r="H105" s="1638">
        <v>6817.2920000000004</v>
      </c>
      <c r="I105" s="1638">
        <v>1037.8344895881</v>
      </c>
      <c r="J105" s="1630">
        <v>4510.777</v>
      </c>
      <c r="K105" s="1623">
        <v>785.90835002389997</v>
      </c>
      <c r="L105" s="1630">
        <v>42.341999999999999</v>
      </c>
      <c r="M105" s="1630">
        <v>59.3901243197</v>
      </c>
      <c r="N105" s="1630">
        <v>81.486999999999995</v>
      </c>
      <c r="O105" s="1630">
        <v>27.283746149799999</v>
      </c>
      <c r="P105" s="1630">
        <v>637.91099999999994</v>
      </c>
      <c r="Q105" s="1638">
        <v>51.386968876600001</v>
      </c>
      <c r="R105" s="1638">
        <v>1.069</v>
      </c>
      <c r="S105" s="1637">
        <v>1.68922E-2</v>
      </c>
      <c r="T105" s="1638">
        <v>1075.3869999999999</v>
      </c>
      <c r="U105" s="1638">
        <v>31.679907845900001</v>
      </c>
      <c r="V105" s="1638"/>
      <c r="W105" s="1638"/>
      <c r="X105" s="1623">
        <v>469.38799999999998</v>
      </c>
      <c r="Y105" s="1623">
        <v>82.185392372199999</v>
      </c>
      <c r="Z105" s="1623">
        <v>48.823</v>
      </c>
      <c r="AA105" s="1623">
        <v>19.130180170200003</v>
      </c>
      <c r="AB105" s="1623">
        <v>420.565</v>
      </c>
      <c r="AC105" s="1623">
        <v>63.055212202000007</v>
      </c>
      <c r="AD105" s="1630">
        <v>5962.0039999999999</v>
      </c>
      <c r="AE105" s="1630">
        <v>895.46268808570005</v>
      </c>
      <c r="AF105" s="1630">
        <v>4409.4009999999998</v>
      </c>
      <c r="AG105" s="1630">
        <v>760.27650764350005</v>
      </c>
      <c r="AH105" s="1630">
        <v>414.82400000000001</v>
      </c>
      <c r="AI105" s="1630">
        <v>74.552109769899999</v>
      </c>
      <c r="AJ105" s="1630">
        <v>0.71299999999999997</v>
      </c>
      <c r="AK105" s="1630">
        <v>5.2924000000000001E-3</v>
      </c>
      <c r="AL105" s="1630">
        <v>863.59900000000005</v>
      </c>
      <c r="AM105" s="1630">
        <v>23.083664999900002</v>
      </c>
      <c r="AN105" s="1630"/>
      <c r="AO105" s="1630"/>
      <c r="AP105" s="1630">
        <v>274.18</v>
      </c>
      <c r="AQ105" s="1630">
        <v>37.550405672399997</v>
      </c>
      <c r="AR105" s="1630">
        <v>31.545000000000002</v>
      </c>
      <c r="AS105" s="1630">
        <v>11.6457175445</v>
      </c>
      <c r="AT105" s="1630">
        <v>242.63499999999999</v>
      </c>
      <c r="AU105" s="1630">
        <v>25.904688127900002</v>
      </c>
      <c r="AV105" s="1630">
        <v>855.28800000000001</v>
      </c>
      <c r="AW105" s="1630">
        <v>142.37180150239999</v>
      </c>
      <c r="AX105" s="1630">
        <v>182.863</v>
      </c>
      <c r="AY105" s="1630">
        <v>52.915588530199997</v>
      </c>
      <c r="AZ105" s="1630">
        <v>265.42899999999997</v>
      </c>
      <c r="BA105" s="1630">
        <v>36.224983426400001</v>
      </c>
      <c r="BB105" s="1548">
        <v>0.35599999999999998</v>
      </c>
      <c r="BC105" s="1636">
        <v>1.1599799999999999E-2</v>
      </c>
      <c r="BD105" s="1630">
        <v>211.78800000000001</v>
      </c>
      <c r="BE105" s="1630">
        <v>8.5962428460000009</v>
      </c>
      <c r="BF105" s="1630"/>
      <c r="BG105" s="1630"/>
      <c r="BH105" s="1630">
        <v>195.208</v>
      </c>
      <c r="BI105" s="1630">
        <v>44.634986699800002</v>
      </c>
      <c r="BJ105" s="1630">
        <v>17.277999999999999</v>
      </c>
      <c r="BK105" s="1630">
        <v>7.4844626257</v>
      </c>
      <c r="BL105" s="1630">
        <v>177.93</v>
      </c>
      <c r="BM105" s="1630">
        <v>37.150524074100005</v>
      </c>
    </row>
    <row r="106" spans="1:65">
      <c r="A106" s="1627" t="s">
        <v>27</v>
      </c>
      <c r="B106" s="1638">
        <v>5355.07</v>
      </c>
      <c r="C106" s="1638">
        <v>79.600999999999999</v>
      </c>
      <c r="D106" s="1638">
        <v>2506.9459999999999</v>
      </c>
      <c r="E106" s="1638">
        <v>1537.2280000000001</v>
      </c>
      <c r="F106" s="1638">
        <v>623.03499999999997</v>
      </c>
      <c r="G106" s="1623">
        <v>687.86099999999999</v>
      </c>
      <c r="H106" s="1638">
        <v>7152.7650000000003</v>
      </c>
      <c r="I106" s="1638">
        <v>1078.1654557539</v>
      </c>
      <c r="J106" s="1630">
        <v>4703.9229999999998</v>
      </c>
      <c r="K106" s="1623">
        <v>830.46069273759997</v>
      </c>
      <c r="L106" s="1630">
        <v>37.960999999999999</v>
      </c>
      <c r="M106" s="1630">
        <v>60.236431684000003</v>
      </c>
      <c r="N106" s="1630">
        <v>91.453999999999994</v>
      </c>
      <c r="O106" s="1630">
        <v>25.816800997200001</v>
      </c>
      <c r="P106" s="1630">
        <v>654.03700000000003</v>
      </c>
      <c r="Q106" s="1638">
        <v>49.141744086700001</v>
      </c>
      <c r="R106" s="1638">
        <v>1.115</v>
      </c>
      <c r="S106" s="1637">
        <v>1.207925E-2</v>
      </c>
      <c r="T106" s="1638">
        <v>1121.297</v>
      </c>
      <c r="U106" s="1638">
        <v>27.496240710999999</v>
      </c>
      <c r="V106" s="1638"/>
      <c r="W106" s="1638"/>
      <c r="X106" s="1623">
        <v>544.09299999999996</v>
      </c>
      <c r="Y106" s="1623">
        <v>85.013545537400006</v>
      </c>
      <c r="Z106" s="1623">
        <v>55.018000000000001</v>
      </c>
      <c r="AA106" s="1623">
        <v>18.973224580499998</v>
      </c>
      <c r="AB106" s="1623">
        <v>489.07499999999999</v>
      </c>
      <c r="AC106" s="1623">
        <v>66.040320956900004</v>
      </c>
      <c r="AD106" s="1630">
        <v>6305.3010000000004</v>
      </c>
      <c r="AE106" s="1630">
        <v>946.61242395399995</v>
      </c>
      <c r="AF106" s="1630">
        <v>4626.4189999999999</v>
      </c>
      <c r="AG106" s="1630">
        <v>808.54888861740005</v>
      </c>
      <c r="AH106" s="1630">
        <v>435.51</v>
      </c>
      <c r="AI106" s="1630">
        <v>78.506153494599999</v>
      </c>
      <c r="AJ106" s="1630">
        <v>0.80300000000000005</v>
      </c>
      <c r="AK106" s="1630">
        <v>6.2233500000000008E-3</v>
      </c>
      <c r="AL106" s="1630">
        <v>909.41600000000005</v>
      </c>
      <c r="AM106" s="1630">
        <v>19.271641820999999</v>
      </c>
      <c r="AN106" s="1630"/>
      <c r="AO106" s="1630"/>
      <c r="AP106" s="1630">
        <v>333.95600000000002</v>
      </c>
      <c r="AQ106" s="1630">
        <v>40.285740021000002</v>
      </c>
      <c r="AR106" s="1630">
        <v>37.183999999999997</v>
      </c>
      <c r="AS106" s="1630">
        <v>11.8241903475</v>
      </c>
      <c r="AT106" s="1630">
        <v>296.77199999999999</v>
      </c>
      <c r="AU106" s="1630">
        <v>28.461549673500002</v>
      </c>
      <c r="AV106" s="1630">
        <v>847.46400000000006</v>
      </c>
      <c r="AW106" s="1630">
        <v>131.5530317999</v>
      </c>
      <c r="AX106" s="1630">
        <v>168.958</v>
      </c>
      <c r="AY106" s="1630">
        <v>47.728605117400001</v>
      </c>
      <c r="AZ106" s="1630">
        <v>256.488</v>
      </c>
      <c r="BA106" s="1630">
        <v>30.872022276100001</v>
      </c>
      <c r="BB106" s="1548">
        <v>0.312</v>
      </c>
      <c r="BC106" s="1636">
        <v>5.8558999999999998E-3</v>
      </c>
      <c r="BD106" s="1630">
        <v>211.881</v>
      </c>
      <c r="BE106" s="1630">
        <v>8.2245988899999993</v>
      </c>
      <c r="BF106" s="1630"/>
      <c r="BG106" s="1630"/>
      <c r="BH106" s="1630">
        <v>210.137</v>
      </c>
      <c r="BI106" s="1630">
        <v>44.727805516399997</v>
      </c>
      <c r="BJ106" s="1630">
        <v>17.834</v>
      </c>
      <c r="BK106" s="1630">
        <v>7.1490342330000001</v>
      </c>
      <c r="BL106" s="1630">
        <v>192.303</v>
      </c>
      <c r="BM106" s="1630">
        <v>37.578771283400002</v>
      </c>
    </row>
    <row r="107" spans="1:65">
      <c r="A107" s="1627" t="s">
        <v>28</v>
      </c>
      <c r="B107" s="1638">
        <v>5361.3729999999996</v>
      </c>
      <c r="C107" s="1638">
        <v>85.131</v>
      </c>
      <c r="D107" s="1638">
        <v>2516.1680000000001</v>
      </c>
      <c r="E107" s="1638">
        <v>1536.288</v>
      </c>
      <c r="F107" s="1638">
        <v>638.62900000000002</v>
      </c>
      <c r="G107" s="1623">
        <v>670.28800000000001</v>
      </c>
      <c r="H107" s="1638">
        <v>7278.8860000000004</v>
      </c>
      <c r="I107" s="1638">
        <v>1105.1408355686001</v>
      </c>
      <c r="J107" s="1630">
        <v>4589.317</v>
      </c>
      <c r="K107" s="1623">
        <v>835.08913948999998</v>
      </c>
      <c r="L107" s="1630">
        <v>39.231000000000002</v>
      </c>
      <c r="M107" s="1630">
        <v>65.460357560000006</v>
      </c>
      <c r="N107" s="1630">
        <v>108.756</v>
      </c>
      <c r="O107" s="1630">
        <v>30.964626154499999</v>
      </c>
      <c r="P107" s="1630">
        <v>1044.4280000000001</v>
      </c>
      <c r="Q107" s="1638">
        <v>55.917575790000001</v>
      </c>
      <c r="R107" s="1638">
        <v>1.4059999999999999</v>
      </c>
      <c r="S107" s="1637">
        <v>1.8520910000000002E-2</v>
      </c>
      <c r="T107" s="1638">
        <v>915.41300000000001</v>
      </c>
      <c r="U107" s="1638">
        <v>28.714395184099999</v>
      </c>
      <c r="V107" s="1638"/>
      <c r="W107" s="1638"/>
      <c r="X107" s="1623">
        <v>581.74099999999999</v>
      </c>
      <c r="Y107" s="1623">
        <v>88.994741390000002</v>
      </c>
      <c r="Z107" s="1623">
        <v>54.076999999999998</v>
      </c>
      <c r="AA107" s="1623">
        <v>19.30531731</v>
      </c>
      <c r="AB107" s="1623">
        <v>527.66399999999999</v>
      </c>
      <c r="AC107" s="1623">
        <v>69.689424079999995</v>
      </c>
      <c r="AD107" s="1630">
        <v>6382.1710000000003</v>
      </c>
      <c r="AE107" s="1630">
        <v>963.09608964359995</v>
      </c>
      <c r="AF107" s="1630">
        <v>4523.4570000000003</v>
      </c>
      <c r="AG107" s="1630">
        <v>815.60263970949995</v>
      </c>
      <c r="AH107" s="1630">
        <v>766.59400000000005</v>
      </c>
      <c r="AI107" s="1630">
        <v>84.534124669999997</v>
      </c>
      <c r="AJ107" s="1630">
        <v>1.024</v>
      </c>
      <c r="AK107" s="1630">
        <v>1.024535E-2</v>
      </c>
      <c r="AL107" s="1630">
        <v>731.44600000000003</v>
      </c>
      <c r="AM107" s="1630">
        <v>20.4479835241</v>
      </c>
      <c r="AN107" s="1630"/>
      <c r="AO107" s="1630"/>
      <c r="AP107" s="1630">
        <v>360.67399999999998</v>
      </c>
      <c r="AQ107" s="1630">
        <v>42.511341739999999</v>
      </c>
      <c r="AR107" s="1630">
        <v>35.954000000000001</v>
      </c>
      <c r="AS107" s="1630">
        <v>11.99685275</v>
      </c>
      <c r="AT107" s="1630">
        <v>324.72000000000003</v>
      </c>
      <c r="AU107" s="1630">
        <v>30.514488989999997</v>
      </c>
      <c r="AV107" s="1630">
        <v>896.71500000000003</v>
      </c>
      <c r="AW107" s="1630">
        <v>142.044745925</v>
      </c>
      <c r="AX107" s="1630">
        <v>174.61600000000001</v>
      </c>
      <c r="AY107" s="1630">
        <v>50.451125935</v>
      </c>
      <c r="AZ107" s="1630">
        <v>317.065</v>
      </c>
      <c r="BA107" s="1630">
        <v>36.843808680000002</v>
      </c>
      <c r="BB107" s="1548">
        <v>0.38200000000000001</v>
      </c>
      <c r="BC107" s="1636">
        <v>8.2755599999999995E-3</v>
      </c>
      <c r="BD107" s="1630">
        <v>183.96700000000001</v>
      </c>
      <c r="BE107" s="1630">
        <v>8.2664116599999993</v>
      </c>
      <c r="BF107" s="1630"/>
      <c r="BG107" s="1630"/>
      <c r="BH107" s="1630">
        <v>221.06700000000001</v>
      </c>
      <c r="BI107" s="1630">
        <v>46.483399650000003</v>
      </c>
      <c r="BJ107" s="1630">
        <v>18.123000000000001</v>
      </c>
      <c r="BK107" s="1630">
        <v>7.30846456</v>
      </c>
      <c r="BL107" s="1630">
        <v>202.94399999999999</v>
      </c>
      <c r="BM107" s="1630">
        <v>39.174935089999998</v>
      </c>
    </row>
    <row r="108" spans="1:65">
      <c r="A108" s="1627" t="s">
        <v>29</v>
      </c>
      <c r="B108" s="1638">
        <v>5359.3450000000003</v>
      </c>
      <c r="C108" s="1638">
        <v>90.37</v>
      </c>
      <c r="D108" s="1638">
        <v>2552.415</v>
      </c>
      <c r="E108" s="1638">
        <v>1545.5609999999999</v>
      </c>
      <c r="F108" s="1638">
        <v>630.26700000000005</v>
      </c>
      <c r="G108" s="1623">
        <v>631.10199999999998</v>
      </c>
      <c r="H108" s="1638">
        <v>8141.1480000000001</v>
      </c>
      <c r="I108" s="1638">
        <v>1309.5892435902001</v>
      </c>
      <c r="J108" s="1630">
        <v>5341.7719999999999</v>
      </c>
      <c r="K108" s="1623">
        <v>1021.171081763</v>
      </c>
      <c r="L108" s="1630">
        <v>54.139000000000003</v>
      </c>
      <c r="M108" s="1630">
        <v>82.027533082399998</v>
      </c>
      <c r="N108" s="1630">
        <v>110.173</v>
      </c>
      <c r="O108" s="1630">
        <v>32.9753091137</v>
      </c>
      <c r="P108" s="1630">
        <v>1132.827</v>
      </c>
      <c r="Q108" s="1638">
        <v>59.960691943</v>
      </c>
      <c r="R108" s="1638">
        <v>1.907</v>
      </c>
      <c r="S108" s="1637">
        <v>3.7514359999999997E-2</v>
      </c>
      <c r="T108" s="1638">
        <v>950.27599999999995</v>
      </c>
      <c r="U108" s="1638">
        <v>31.1403658881</v>
      </c>
      <c r="V108" s="1638"/>
      <c r="W108" s="1638"/>
      <c r="X108" s="1623">
        <v>551.96100000000001</v>
      </c>
      <c r="Y108" s="1623">
        <v>82.314261799999997</v>
      </c>
      <c r="Z108" s="1623">
        <v>54.868000000000002</v>
      </c>
      <c r="AA108" s="1623">
        <v>21.83387604</v>
      </c>
      <c r="AB108" s="1623">
        <v>497.09300000000002</v>
      </c>
      <c r="AC108" s="1623">
        <v>60.480385759999997</v>
      </c>
      <c r="AD108" s="1630">
        <v>7234.4610000000002</v>
      </c>
      <c r="AE108" s="1630">
        <v>1162.3643838462001</v>
      </c>
      <c r="AF108" s="1630">
        <v>5265.5820000000003</v>
      </c>
      <c r="AG108" s="1630">
        <v>996.27906875919996</v>
      </c>
      <c r="AH108" s="1630">
        <v>853.99</v>
      </c>
      <c r="AI108" s="1630">
        <v>100.490252277</v>
      </c>
      <c r="AJ108" s="1630">
        <v>1.5720000000000001</v>
      </c>
      <c r="AK108" s="1630">
        <v>3.0062599999999998E-2</v>
      </c>
      <c r="AL108" s="1630">
        <v>765.57899999999995</v>
      </c>
      <c r="AM108" s="1630">
        <v>22.23540448</v>
      </c>
      <c r="AN108" s="1630"/>
      <c r="AO108" s="1630"/>
      <c r="AP108" s="1630">
        <v>349.31</v>
      </c>
      <c r="AQ108" s="1630">
        <v>43.359658330000002</v>
      </c>
      <c r="AR108" s="1630">
        <v>37.887999999999998</v>
      </c>
      <c r="AS108" s="1630">
        <v>14.71566649</v>
      </c>
      <c r="AT108" s="1630">
        <v>311.42200000000003</v>
      </c>
      <c r="AU108" s="1630">
        <v>28.643991839999998</v>
      </c>
      <c r="AV108" s="1630">
        <v>906.68700000000001</v>
      </c>
      <c r="AW108" s="1630">
        <v>147.22485974400001</v>
      </c>
      <c r="AX108" s="1630">
        <v>186.363</v>
      </c>
      <c r="AY108" s="1630">
        <v>57.867322117500002</v>
      </c>
      <c r="AZ108" s="1630">
        <v>332.976</v>
      </c>
      <c r="BA108" s="1630">
        <v>41.497972748400002</v>
      </c>
      <c r="BB108" s="1548">
        <v>0.33500000000000002</v>
      </c>
      <c r="BC108" s="1636">
        <v>7.45176E-3</v>
      </c>
      <c r="BD108" s="1630">
        <v>184.697</v>
      </c>
      <c r="BE108" s="1630">
        <v>8.9049614081000001</v>
      </c>
      <c r="BF108" s="1630"/>
      <c r="BG108" s="1630"/>
      <c r="BH108" s="1630">
        <v>202.65100000000001</v>
      </c>
      <c r="BI108" s="1630">
        <v>38.954603470000002</v>
      </c>
      <c r="BJ108" s="1630">
        <v>16.98</v>
      </c>
      <c r="BK108" s="1630">
        <v>7.1182095499999996</v>
      </c>
      <c r="BL108" s="1630">
        <v>185.67099999999999</v>
      </c>
      <c r="BM108" s="1630">
        <v>31.836393920000003</v>
      </c>
    </row>
    <row r="109" spans="1:65">
      <c r="A109" s="1627" t="s">
        <v>1915</v>
      </c>
      <c r="B109" s="1639">
        <v>5873.6769999999997</v>
      </c>
      <c r="C109" s="1639">
        <v>323</v>
      </c>
      <c r="D109" s="1639">
        <v>2535.3690000000001</v>
      </c>
      <c r="E109" s="1639">
        <v>1848.9</v>
      </c>
      <c r="F109" s="1639">
        <v>866.39700000000005</v>
      </c>
      <c r="G109" s="1632">
        <v>623.01099999999997</v>
      </c>
      <c r="H109" s="1644">
        <f t="shared" ref="H109:U109" si="21">SUM(H110:H121)</f>
        <v>97557.371999999988</v>
      </c>
      <c r="I109" s="1644">
        <f t="shared" si="21"/>
        <v>14890.884557246198</v>
      </c>
      <c r="J109" s="1644">
        <f t="shared" si="21"/>
        <v>59998.541999999994</v>
      </c>
      <c r="K109" s="1644">
        <f t="shared" si="21"/>
        <v>11349.7536068642</v>
      </c>
      <c r="L109" s="1644">
        <f t="shared" si="21"/>
        <v>393.35899999999998</v>
      </c>
      <c r="M109" s="1644">
        <f t="shared" si="21"/>
        <v>746.05929980650012</v>
      </c>
      <c r="N109" s="1644">
        <f t="shared" si="21"/>
        <v>1640.338</v>
      </c>
      <c r="O109" s="1644">
        <f t="shared" si="21"/>
        <v>340.46754406529993</v>
      </c>
      <c r="P109" s="1644">
        <f t="shared" si="21"/>
        <v>11181.092999999999</v>
      </c>
      <c r="Q109" s="1644">
        <f t="shared" si="21"/>
        <v>808.20550245990012</v>
      </c>
      <c r="R109" s="1644">
        <f t="shared" si="21"/>
        <v>193.91900000000001</v>
      </c>
      <c r="S109" s="1644">
        <f t="shared" si="21"/>
        <v>5.8747151799999999</v>
      </c>
      <c r="T109" s="1644">
        <f t="shared" si="21"/>
        <v>17410.233</v>
      </c>
      <c r="U109" s="1644">
        <f t="shared" si="21"/>
        <v>622.05893844369996</v>
      </c>
      <c r="V109" s="1644"/>
      <c r="W109" s="1644"/>
      <c r="X109" s="1644">
        <f t="shared" ref="X109:AM109" si="22">SUM(X110:X121)</f>
        <v>6933.8069999999989</v>
      </c>
      <c r="Y109" s="1644">
        <f t="shared" si="22"/>
        <v>1024.3396656067</v>
      </c>
      <c r="Z109" s="1644">
        <f t="shared" si="22"/>
        <v>545.43899999999996</v>
      </c>
      <c r="AA109" s="1644">
        <f t="shared" si="22"/>
        <v>200.90640376170001</v>
      </c>
      <c r="AB109" s="1644">
        <f t="shared" si="22"/>
        <v>6388.3680000000004</v>
      </c>
      <c r="AC109" s="1644">
        <f t="shared" si="22"/>
        <v>823.43326184496539</v>
      </c>
      <c r="AD109" s="1644">
        <f t="shared" si="22"/>
        <v>87968.95</v>
      </c>
      <c r="AE109" s="1644">
        <f t="shared" si="22"/>
        <v>13423.859041142699</v>
      </c>
      <c r="AF109" s="1644">
        <f t="shared" si="22"/>
        <v>59401.968999999997</v>
      </c>
      <c r="AG109" s="1644">
        <f t="shared" si="22"/>
        <v>11194.477753297</v>
      </c>
      <c r="AH109" s="1644">
        <f t="shared" si="22"/>
        <v>8645.527</v>
      </c>
      <c r="AI109" s="1644">
        <f t="shared" si="22"/>
        <v>1179.1559324873999</v>
      </c>
      <c r="AJ109" s="1644">
        <f t="shared" si="22"/>
        <v>154.98900000000003</v>
      </c>
      <c r="AK109" s="1644">
        <f t="shared" si="22"/>
        <v>4.13303858</v>
      </c>
      <c r="AL109" s="1644">
        <f t="shared" si="22"/>
        <v>14925.348</v>
      </c>
      <c r="AM109" s="1644">
        <f t="shared" si="22"/>
        <v>441.18354021680005</v>
      </c>
      <c r="AN109" s="1644"/>
      <c r="AO109" s="1644"/>
      <c r="AP109" s="1644">
        <f t="shared" ref="AP109:BM109" si="23">SUM(AP110:AP121)</f>
        <v>4996.1059999999998</v>
      </c>
      <c r="AQ109" s="1644">
        <f t="shared" si="23"/>
        <v>609.04181514150002</v>
      </c>
      <c r="AR109" s="1644">
        <f t="shared" si="23"/>
        <v>404.35399999999998</v>
      </c>
      <c r="AS109" s="1644">
        <f t="shared" si="23"/>
        <v>135.60580123299999</v>
      </c>
      <c r="AT109" s="1644">
        <f t="shared" si="23"/>
        <v>4591.7519999999995</v>
      </c>
      <c r="AU109" s="1644">
        <f t="shared" si="23"/>
        <v>473.43601390846521</v>
      </c>
      <c r="AV109" s="1644">
        <f t="shared" si="23"/>
        <v>9588.4220000000005</v>
      </c>
      <c r="AW109" s="1644">
        <f t="shared" si="23"/>
        <v>1467.0255161035</v>
      </c>
      <c r="AX109" s="1644">
        <f t="shared" si="23"/>
        <v>2236.9110000000001</v>
      </c>
      <c r="AY109" s="1644">
        <f t="shared" si="23"/>
        <v>495.74339763249998</v>
      </c>
      <c r="AZ109" s="1644">
        <f t="shared" si="23"/>
        <v>2928.9250000000002</v>
      </c>
      <c r="BA109" s="1644">
        <f t="shared" si="23"/>
        <v>375.10886977900003</v>
      </c>
      <c r="BB109" s="1644">
        <f t="shared" si="23"/>
        <v>38.93</v>
      </c>
      <c r="BC109" s="1644">
        <f t="shared" si="23"/>
        <v>1.7416766000000001</v>
      </c>
      <c r="BD109" s="1644">
        <f t="shared" si="23"/>
        <v>2484.8849999999998</v>
      </c>
      <c r="BE109" s="1644">
        <f t="shared" si="23"/>
        <v>180.8753982268</v>
      </c>
      <c r="BF109" s="1644">
        <f t="shared" si="23"/>
        <v>0</v>
      </c>
      <c r="BG109" s="1644">
        <f t="shared" si="23"/>
        <v>0</v>
      </c>
      <c r="BH109" s="1644">
        <f t="shared" si="23"/>
        <v>1937.701</v>
      </c>
      <c r="BI109" s="1644">
        <f t="shared" si="23"/>
        <v>415.29785046519999</v>
      </c>
      <c r="BJ109" s="1644">
        <f t="shared" si="23"/>
        <v>141.08500000000001</v>
      </c>
      <c r="BK109" s="1644">
        <f t="shared" si="23"/>
        <v>65.300602528699997</v>
      </c>
      <c r="BL109" s="1644">
        <f t="shared" si="23"/>
        <v>1796.616</v>
      </c>
      <c r="BM109" s="1644">
        <f t="shared" si="23"/>
        <v>349.9972479365</v>
      </c>
    </row>
    <row r="110" spans="1:65">
      <c r="A110" s="1627" t="s">
        <v>18</v>
      </c>
      <c r="B110" s="1638">
        <v>5367.4059999999999</v>
      </c>
      <c r="C110" s="1638">
        <v>111.18</v>
      </c>
      <c r="D110" s="1638">
        <v>2534.4720000000002</v>
      </c>
      <c r="E110" s="1638">
        <v>1580.546</v>
      </c>
      <c r="F110" s="1638">
        <v>683.39</v>
      </c>
      <c r="G110" s="1623">
        <v>568.99800000000005</v>
      </c>
      <c r="H110" s="1638">
        <v>6504.4840000000004</v>
      </c>
      <c r="I110" s="1638">
        <v>931.94370984620002</v>
      </c>
      <c r="J110" s="1630">
        <v>3839.2640000000001</v>
      </c>
      <c r="K110" s="1623">
        <v>682.20806934999996</v>
      </c>
      <c r="L110" s="1630">
        <v>24.51</v>
      </c>
      <c r="M110" s="1630">
        <v>45.101363744300002</v>
      </c>
      <c r="N110" s="1630">
        <v>109.678</v>
      </c>
      <c r="O110" s="1630">
        <v>27.880774467399998</v>
      </c>
      <c r="P110" s="1630">
        <v>1110.171</v>
      </c>
      <c r="Q110" s="1638">
        <v>57.079334854000003</v>
      </c>
      <c r="R110" s="1638">
        <v>1.724</v>
      </c>
      <c r="S110" s="1640">
        <v>3.140983E-2</v>
      </c>
      <c r="T110" s="1638">
        <v>903.54100000000005</v>
      </c>
      <c r="U110" s="1638">
        <v>30.690220930500001</v>
      </c>
      <c r="V110" s="1638"/>
      <c r="W110" s="1638"/>
      <c r="X110" s="1623">
        <v>517.32000000000005</v>
      </c>
      <c r="Y110" s="1623">
        <v>88.983946500000002</v>
      </c>
      <c r="Z110" s="1623">
        <v>49.856000000000002</v>
      </c>
      <c r="AA110" s="1623">
        <v>20.043058219999999</v>
      </c>
      <c r="AB110" s="1623">
        <v>467.464</v>
      </c>
      <c r="AC110" s="1623">
        <v>68.940888279999996</v>
      </c>
      <c r="AD110" s="1630">
        <v>5746.5959999999995</v>
      </c>
      <c r="AE110" s="1630">
        <v>818.99632950579996</v>
      </c>
      <c r="AF110" s="1630">
        <v>3805.6959999999999</v>
      </c>
      <c r="AG110" s="1630">
        <v>670.60386466</v>
      </c>
      <c r="AH110" s="1630">
        <v>846.60699999999997</v>
      </c>
      <c r="AI110" s="1630">
        <v>75.654201475299999</v>
      </c>
      <c r="AJ110" s="1630">
        <v>1.45</v>
      </c>
      <c r="AK110" s="1428">
        <v>2.5833189999999999E-2</v>
      </c>
      <c r="AL110" s="1630">
        <v>727.45500000000004</v>
      </c>
      <c r="AM110" s="1630">
        <v>23.2139369205</v>
      </c>
      <c r="AN110" s="1630"/>
      <c r="AO110" s="1630"/>
      <c r="AP110" s="1630">
        <v>366.83800000000002</v>
      </c>
      <c r="AQ110" s="1630">
        <v>49.524326449999997</v>
      </c>
      <c r="AR110" s="1630">
        <v>38.514000000000003</v>
      </c>
      <c r="AS110" s="1630">
        <v>14.61452448</v>
      </c>
      <c r="AT110" s="1630">
        <v>328.32400000000001</v>
      </c>
      <c r="AU110" s="1630">
        <v>34.909801969999997</v>
      </c>
      <c r="AV110" s="1630">
        <v>757.88800000000003</v>
      </c>
      <c r="AW110" s="1630">
        <v>112.9473803404</v>
      </c>
      <c r="AX110" s="1630">
        <v>143.24600000000001</v>
      </c>
      <c r="AY110" s="1630">
        <v>39.484979157399998</v>
      </c>
      <c r="AZ110" s="1630">
        <v>288.07400000000001</v>
      </c>
      <c r="BA110" s="1630">
        <v>26.526497122999999</v>
      </c>
      <c r="BB110" s="1630">
        <v>0.27400000000000002</v>
      </c>
      <c r="BC110" s="1636">
        <v>5.5766399999999999E-3</v>
      </c>
      <c r="BD110" s="1630">
        <v>176.08600000000001</v>
      </c>
      <c r="BE110" s="1630">
        <v>7.4762840099999996</v>
      </c>
      <c r="BF110" s="1630"/>
      <c r="BG110" s="1630"/>
      <c r="BH110" s="1630">
        <v>150.482</v>
      </c>
      <c r="BI110" s="1630">
        <v>39.459620049999998</v>
      </c>
      <c r="BJ110" s="1630">
        <v>11.342000000000001</v>
      </c>
      <c r="BK110" s="1630">
        <v>5.4285337400000007</v>
      </c>
      <c r="BL110" s="1630">
        <v>139.13999999999999</v>
      </c>
      <c r="BM110" s="1630">
        <v>34.031086309999999</v>
      </c>
    </row>
    <row r="111" spans="1:65">
      <c r="A111" s="1627" t="s">
        <v>19</v>
      </c>
      <c r="B111" s="1638">
        <v>5456.0590000000002</v>
      </c>
      <c r="C111" s="1638">
        <v>132.923</v>
      </c>
      <c r="D111" s="1638">
        <v>2545.3040000000001</v>
      </c>
      <c r="E111" s="1638">
        <v>1639.5260000000001</v>
      </c>
      <c r="F111" s="1638">
        <v>696.63800000000003</v>
      </c>
      <c r="G111" s="1623">
        <v>574.59100000000001</v>
      </c>
      <c r="H111" s="1638">
        <v>7204.4949999999999</v>
      </c>
      <c r="I111" s="1638">
        <v>1123.9301336786</v>
      </c>
      <c r="J111" s="1630">
        <v>4610.634</v>
      </c>
      <c r="K111" s="1623">
        <v>879.01149484999996</v>
      </c>
      <c r="L111" s="1630">
        <v>34.106000000000002</v>
      </c>
      <c r="M111" s="1630">
        <v>55.063941430500002</v>
      </c>
      <c r="N111" s="1630">
        <v>100.303</v>
      </c>
      <c r="O111" s="1630">
        <v>23.923222490499999</v>
      </c>
      <c r="P111" s="1630">
        <v>1085.277</v>
      </c>
      <c r="Q111" s="1638">
        <v>60.643223636800002</v>
      </c>
      <c r="R111" s="1638">
        <v>3.9870000000000001</v>
      </c>
      <c r="S111" s="1640">
        <v>0.10633138</v>
      </c>
      <c r="T111" s="1638">
        <v>922.70600000000002</v>
      </c>
      <c r="U111" s="1638">
        <v>37.641955290799999</v>
      </c>
      <c r="V111" s="1638"/>
      <c r="W111" s="1638"/>
      <c r="X111" s="1623">
        <v>451.46899999999999</v>
      </c>
      <c r="Y111" s="1623">
        <v>67.646295980000005</v>
      </c>
      <c r="Z111" s="1623">
        <v>41.337000000000003</v>
      </c>
      <c r="AA111" s="1623">
        <v>19.327814800000002</v>
      </c>
      <c r="AB111" s="1623">
        <v>410.13200000000001</v>
      </c>
      <c r="AC111" s="1623">
        <v>48.318481179999999</v>
      </c>
      <c r="AD111" s="1630">
        <v>6512.8909999999996</v>
      </c>
      <c r="AE111" s="1630">
        <v>1022.2702603934</v>
      </c>
      <c r="AF111" s="1630">
        <v>4571.6170000000002</v>
      </c>
      <c r="AG111" s="1630">
        <v>867.22719753479998</v>
      </c>
      <c r="AH111" s="1630">
        <v>852.12099999999998</v>
      </c>
      <c r="AI111" s="1630">
        <v>86.913372627800001</v>
      </c>
      <c r="AJ111" s="1630">
        <v>3.6640000000000001</v>
      </c>
      <c r="AK111" s="1428">
        <v>9.2527789999999999E-2</v>
      </c>
      <c r="AL111" s="1630">
        <v>765.56899999999996</v>
      </c>
      <c r="AM111" s="1630">
        <v>30.962557190799998</v>
      </c>
      <c r="AN111" s="1630"/>
      <c r="AO111" s="1630"/>
      <c r="AP111" s="1630">
        <v>323.584</v>
      </c>
      <c r="AQ111" s="1630">
        <v>37.167133040000003</v>
      </c>
      <c r="AR111" s="1630">
        <v>29.648</v>
      </c>
      <c r="AS111" s="1630">
        <v>10.361727419999999</v>
      </c>
      <c r="AT111" s="1630">
        <v>293.93599999999998</v>
      </c>
      <c r="AU111" s="1630">
        <v>26.805405619999998</v>
      </c>
      <c r="AV111" s="1630">
        <v>691.60400000000004</v>
      </c>
      <c r="AW111" s="1630">
        <v>101.65987328520001</v>
      </c>
      <c r="AX111" s="1630">
        <v>139.32</v>
      </c>
      <c r="AY111" s="1630">
        <v>35.707519805700002</v>
      </c>
      <c r="AZ111" s="1630">
        <v>267.262</v>
      </c>
      <c r="BA111" s="1630">
        <v>28.793792439499999</v>
      </c>
      <c r="BB111" s="1630">
        <v>0.32300000000000001</v>
      </c>
      <c r="BC111" s="1636">
        <v>1.3803590000000001E-2</v>
      </c>
      <c r="BD111" s="1630">
        <v>157.137</v>
      </c>
      <c r="BE111" s="1630">
        <v>6.6793981000000002</v>
      </c>
      <c r="BF111" s="1630"/>
      <c r="BG111" s="1630"/>
      <c r="BH111" s="1630">
        <v>127.88500000000001</v>
      </c>
      <c r="BI111" s="1630">
        <v>30.479162939999998</v>
      </c>
      <c r="BJ111" s="1630">
        <v>11.689</v>
      </c>
      <c r="BK111" s="1630">
        <v>8.9660873800000012</v>
      </c>
      <c r="BL111" s="1630">
        <v>116.196</v>
      </c>
      <c r="BM111" s="1630">
        <v>21.513075560000001</v>
      </c>
    </row>
    <row r="112" spans="1:65">
      <c r="A112" s="1627" t="s">
        <v>20</v>
      </c>
      <c r="B112" s="1638">
        <v>5522.6580000000004</v>
      </c>
      <c r="C112" s="1638">
        <v>154.50299999999999</v>
      </c>
      <c r="D112" s="1638">
        <v>2559.6669999999999</v>
      </c>
      <c r="E112" s="1638">
        <v>1651.7190000000001</v>
      </c>
      <c r="F112" s="1638">
        <v>732.14700000000005</v>
      </c>
      <c r="G112" s="1623">
        <v>579.125</v>
      </c>
      <c r="H112" s="1638">
        <v>8526.0540000000001</v>
      </c>
      <c r="I112" s="1638">
        <v>1315.1897780684001</v>
      </c>
      <c r="J112" s="1630">
        <v>5505.8190000000004</v>
      </c>
      <c r="K112" s="1623">
        <v>1043.7747139600001</v>
      </c>
      <c r="L112" s="1630">
        <v>41.371000000000002</v>
      </c>
      <c r="M112" s="1630">
        <v>63.944595878299999</v>
      </c>
      <c r="N112" s="1630">
        <v>105.03100000000001</v>
      </c>
      <c r="O112" s="1630">
        <v>18.982983894499998</v>
      </c>
      <c r="P112" s="1630">
        <v>1263.423</v>
      </c>
      <c r="Q112" s="1638">
        <v>72.752166740800007</v>
      </c>
      <c r="R112" s="1638">
        <v>7.7089999999999996</v>
      </c>
      <c r="S112" s="1640">
        <v>0.25342701000000001</v>
      </c>
      <c r="T112" s="1638">
        <v>1068.9749999999999</v>
      </c>
      <c r="U112" s="1638">
        <v>34.519784768299999</v>
      </c>
      <c r="V112" s="1638"/>
      <c r="W112" s="1638"/>
      <c r="X112" s="1623">
        <v>541.43499999999995</v>
      </c>
      <c r="Y112" s="1623">
        <v>81.215532826599997</v>
      </c>
      <c r="Z112" s="1623">
        <v>44.484999999999999</v>
      </c>
      <c r="AA112" s="1623">
        <v>15.232690890000001</v>
      </c>
      <c r="AB112" s="1623">
        <v>496.95</v>
      </c>
      <c r="AC112" s="1623">
        <v>65.982841936565208</v>
      </c>
      <c r="AD112" s="1630">
        <v>7734.5910000000003</v>
      </c>
      <c r="AE112" s="1630">
        <v>1201.9431127749999</v>
      </c>
      <c r="AF112" s="1630">
        <v>5443.7950000000001</v>
      </c>
      <c r="AG112" s="1630">
        <v>1028.0015741944001</v>
      </c>
      <c r="AH112" s="1630">
        <v>1013.283</v>
      </c>
      <c r="AI112" s="1630">
        <v>103.2189925688</v>
      </c>
      <c r="AJ112" s="1630">
        <v>6.665</v>
      </c>
      <c r="AK112" s="1428">
        <v>0.18923432000000001</v>
      </c>
      <c r="AL112" s="1630">
        <v>892.28800000000001</v>
      </c>
      <c r="AM112" s="1630">
        <v>23.871534185200002</v>
      </c>
      <c r="AN112" s="1630"/>
      <c r="AO112" s="1630"/>
      <c r="AP112" s="1630">
        <v>385.22500000000002</v>
      </c>
      <c r="AQ112" s="1630">
        <v>46.851011826600001</v>
      </c>
      <c r="AR112" s="1630">
        <v>33.158999999999999</v>
      </c>
      <c r="AS112" s="1630">
        <v>10.31700163</v>
      </c>
      <c r="AT112" s="1630">
        <v>352.06599999999997</v>
      </c>
      <c r="AU112" s="1630">
        <v>36.534010196565198</v>
      </c>
      <c r="AV112" s="1630">
        <v>791.46299999999997</v>
      </c>
      <c r="AW112" s="1630">
        <v>113.2466652934</v>
      </c>
      <c r="AX112" s="1630">
        <v>167.05500000000001</v>
      </c>
      <c r="AY112" s="1630">
        <v>34.756123660100002</v>
      </c>
      <c r="AZ112" s="1630">
        <v>291.51100000000002</v>
      </c>
      <c r="BA112" s="1630">
        <v>33.477770050300002</v>
      </c>
      <c r="BB112" s="1630">
        <v>1.044</v>
      </c>
      <c r="BC112" s="1636">
        <v>6.4192689999999997E-2</v>
      </c>
      <c r="BD112" s="1630">
        <v>176.68700000000001</v>
      </c>
      <c r="BE112" s="1630">
        <v>10.648250582999999</v>
      </c>
      <c r="BF112" s="1630"/>
      <c r="BG112" s="1630"/>
      <c r="BH112" s="1630">
        <v>156.21</v>
      </c>
      <c r="BI112" s="1630">
        <v>34.364521000000003</v>
      </c>
      <c r="BJ112" s="1630">
        <v>11.326000000000001</v>
      </c>
      <c r="BK112" s="1630">
        <v>4.9156892599999997</v>
      </c>
      <c r="BL112" s="1630">
        <v>144.88399999999999</v>
      </c>
      <c r="BM112" s="1630">
        <v>29.448831740000003</v>
      </c>
    </row>
    <row r="113" spans="1:65">
      <c r="A113" s="1627" t="s">
        <v>21</v>
      </c>
      <c r="B113" s="1638">
        <v>5562.2290000000003</v>
      </c>
      <c r="C113" s="1638">
        <v>167.64599999999999</v>
      </c>
      <c r="D113" s="1638">
        <v>2547.3789999999999</v>
      </c>
      <c r="E113" s="1638">
        <v>1679.5429999999999</v>
      </c>
      <c r="F113" s="1638">
        <v>750.01499999999999</v>
      </c>
      <c r="G113" s="1623">
        <v>585.29200000000003</v>
      </c>
      <c r="H113" s="1638">
        <v>7454.3190000000004</v>
      </c>
      <c r="I113" s="1638">
        <v>1113.4786856464</v>
      </c>
      <c r="J113" s="1630">
        <v>4694.6940000000004</v>
      </c>
      <c r="K113" s="1623">
        <v>875.36337562000006</v>
      </c>
      <c r="L113" s="1630">
        <v>29.535</v>
      </c>
      <c r="M113" s="1630">
        <v>57.7898462319</v>
      </c>
      <c r="N113" s="1630">
        <v>93.387</v>
      </c>
      <c r="O113" s="1630">
        <v>18.930635905399999</v>
      </c>
      <c r="P113" s="1630">
        <v>979.77599999999995</v>
      </c>
      <c r="Q113" s="1638">
        <v>60.991423721399997</v>
      </c>
      <c r="R113" s="1638">
        <v>7.7759999999999998</v>
      </c>
      <c r="S113" s="1640">
        <v>0.24739896</v>
      </c>
      <c r="T113" s="1638">
        <v>1122.817</v>
      </c>
      <c r="U113" s="1638">
        <v>34.931524320100003</v>
      </c>
      <c r="V113" s="1638"/>
      <c r="W113" s="1638"/>
      <c r="X113" s="1623">
        <v>534.11</v>
      </c>
      <c r="Y113" s="1623">
        <v>65.471879847599993</v>
      </c>
      <c r="Z113" s="1623">
        <v>44.457000000000001</v>
      </c>
      <c r="AA113" s="1623">
        <v>14.660865852700001</v>
      </c>
      <c r="AB113" s="1623">
        <v>489.65300000000002</v>
      </c>
      <c r="AC113" s="1623">
        <v>50.811013994900001</v>
      </c>
      <c r="AD113" s="1630">
        <v>6705.3959999999997</v>
      </c>
      <c r="AE113" s="1630">
        <v>1007.7756243835</v>
      </c>
      <c r="AF113" s="1630">
        <v>4617.9690000000001</v>
      </c>
      <c r="AG113" s="1630">
        <v>858.13002951500005</v>
      </c>
      <c r="AH113" s="1630">
        <v>758.70600000000002</v>
      </c>
      <c r="AI113" s="1630">
        <v>87.173045960799996</v>
      </c>
      <c r="AJ113" s="1630">
        <v>6.5490000000000004</v>
      </c>
      <c r="AK113" s="1428">
        <v>0.18945728000000001</v>
      </c>
      <c r="AL113" s="1630">
        <v>939.29300000000001</v>
      </c>
      <c r="AM113" s="1630">
        <v>24.129905816299999</v>
      </c>
      <c r="AN113" s="1630"/>
      <c r="AO113" s="1630"/>
      <c r="AP113" s="1630">
        <v>389.428</v>
      </c>
      <c r="AQ113" s="1630">
        <v>38.342643091399999</v>
      </c>
      <c r="AR113" s="1630">
        <v>33.472999999999999</v>
      </c>
      <c r="AS113" s="1630">
        <v>9.7596238899000003</v>
      </c>
      <c r="AT113" s="1630">
        <v>355.95499999999998</v>
      </c>
      <c r="AU113" s="1630">
        <v>28.583019201499997</v>
      </c>
      <c r="AV113" s="1630">
        <v>748.923</v>
      </c>
      <c r="AW113" s="1630">
        <v>105.70306126289999</v>
      </c>
      <c r="AX113" s="1630">
        <v>170.11199999999999</v>
      </c>
      <c r="AY113" s="1630">
        <v>36.163982010399998</v>
      </c>
      <c r="AZ113" s="1630">
        <v>250.60499999999999</v>
      </c>
      <c r="BA113" s="1630">
        <v>31.608223992500001</v>
      </c>
      <c r="BB113" s="1630">
        <v>1.2270000000000001</v>
      </c>
      <c r="BC113" s="1636">
        <v>5.7941680000000002E-2</v>
      </c>
      <c r="BD113" s="1630">
        <v>183.524</v>
      </c>
      <c r="BE113" s="1630">
        <v>10.8016185038</v>
      </c>
      <c r="BF113" s="1630"/>
      <c r="BG113" s="1630"/>
      <c r="BH113" s="1630">
        <v>144.68199999999999</v>
      </c>
      <c r="BI113" s="1630">
        <v>27.129236756200001</v>
      </c>
      <c r="BJ113" s="1630">
        <v>10.984</v>
      </c>
      <c r="BK113" s="1630">
        <v>4.9012419627999995</v>
      </c>
      <c r="BL113" s="1630">
        <v>133.69800000000001</v>
      </c>
      <c r="BM113" s="1630">
        <v>22.227994793399997</v>
      </c>
    </row>
    <row r="114" spans="1:65">
      <c r="A114" s="1627" t="s">
        <v>22</v>
      </c>
      <c r="B114" s="1638">
        <v>5591.2280000000001</v>
      </c>
      <c r="C114" s="1638">
        <v>192.845</v>
      </c>
      <c r="D114" s="1638">
        <v>2545.1550000000002</v>
      </c>
      <c r="E114" s="1638">
        <v>1722.1030000000001</v>
      </c>
      <c r="F114" s="1638">
        <v>757.92499999999995</v>
      </c>
      <c r="G114" s="1623">
        <v>566.04499999999996</v>
      </c>
      <c r="H114" s="1638">
        <v>8397.4220000000005</v>
      </c>
      <c r="I114" s="1638">
        <v>1244.6049035299</v>
      </c>
      <c r="J114" s="1630">
        <v>5173.6279999999997</v>
      </c>
      <c r="K114" s="1623">
        <v>954.11767041999997</v>
      </c>
      <c r="L114" s="1630">
        <v>39.948999999999998</v>
      </c>
      <c r="M114" s="1630">
        <v>75.388806677199995</v>
      </c>
      <c r="N114" s="1630">
        <v>148.066</v>
      </c>
      <c r="O114" s="1630">
        <v>27.222198386799999</v>
      </c>
      <c r="P114" s="1630">
        <v>841.10199999999998</v>
      </c>
      <c r="Q114" s="1638">
        <v>62.907137449300002</v>
      </c>
      <c r="R114" s="1638">
        <v>11.757999999999999</v>
      </c>
      <c r="S114" s="1640">
        <v>0.37819399999999997</v>
      </c>
      <c r="T114" s="1638">
        <v>1599.846</v>
      </c>
      <c r="U114" s="1638">
        <v>43.219501293</v>
      </c>
      <c r="V114" s="1638"/>
      <c r="W114" s="1638"/>
      <c r="X114" s="1623">
        <v>594.83100000000002</v>
      </c>
      <c r="Y114" s="1623">
        <v>81.749589303600004</v>
      </c>
      <c r="Z114" s="1623">
        <v>50.372999999999998</v>
      </c>
      <c r="AA114" s="1623">
        <v>17.5171045765</v>
      </c>
      <c r="AB114" s="1623">
        <v>544.45799999999997</v>
      </c>
      <c r="AC114" s="1623">
        <v>64.232484727100001</v>
      </c>
      <c r="AD114" s="1630">
        <v>7600.9660000000003</v>
      </c>
      <c r="AE114" s="1630">
        <v>1126.4487710645001</v>
      </c>
      <c r="AF114" s="1630">
        <v>5154.2449999999999</v>
      </c>
      <c r="AG114" s="1630">
        <v>945.65916549799999</v>
      </c>
      <c r="AH114" s="1630">
        <v>621.50199999999995</v>
      </c>
      <c r="AI114" s="1630">
        <v>102.21691123479999</v>
      </c>
      <c r="AJ114" s="1630">
        <v>9.8379999999999992</v>
      </c>
      <c r="AK114" s="1428">
        <v>0.28007599999999999</v>
      </c>
      <c r="AL114" s="1630">
        <v>1393.644</v>
      </c>
      <c r="AM114" s="1630">
        <v>29.938652872999999</v>
      </c>
      <c r="AN114" s="1630"/>
      <c r="AO114" s="1630"/>
      <c r="AP114" s="1630">
        <v>431.57499999999999</v>
      </c>
      <c r="AQ114" s="1630">
        <v>48.634041458699997</v>
      </c>
      <c r="AR114" s="1630">
        <v>38.128</v>
      </c>
      <c r="AS114" s="1630">
        <v>11.8046186909</v>
      </c>
      <c r="AT114" s="1630">
        <v>393.447</v>
      </c>
      <c r="AU114" s="1630">
        <v>36.829422767800004</v>
      </c>
      <c r="AV114" s="1630">
        <v>796.45600000000002</v>
      </c>
      <c r="AW114" s="1630">
        <v>118.15613246540001</v>
      </c>
      <c r="AX114" s="1630">
        <v>167.44900000000001</v>
      </c>
      <c r="AY114" s="1630">
        <v>35.680703308799998</v>
      </c>
      <c r="AZ114" s="1630">
        <v>259.54899999999998</v>
      </c>
      <c r="BA114" s="1630">
        <v>36.079032891700002</v>
      </c>
      <c r="BB114" s="1630">
        <v>1.92</v>
      </c>
      <c r="BC114" s="1636">
        <v>9.8117999999999997E-2</v>
      </c>
      <c r="BD114" s="1630">
        <v>206.202</v>
      </c>
      <c r="BE114" s="1630">
        <v>13.28084842</v>
      </c>
      <c r="BF114" s="1630"/>
      <c r="BG114" s="1630"/>
      <c r="BH114" s="1630">
        <v>163.256</v>
      </c>
      <c r="BI114" s="1630">
        <v>33.1155478449</v>
      </c>
      <c r="BJ114" s="1630">
        <v>12.244999999999999</v>
      </c>
      <c r="BK114" s="1630">
        <v>5.7124858855999996</v>
      </c>
      <c r="BL114" s="1630">
        <v>151.011</v>
      </c>
      <c r="BM114" s="1630">
        <v>27.403061959299997</v>
      </c>
    </row>
    <row r="115" spans="1:65">
      <c r="A115" s="1627" t="s">
        <v>23</v>
      </c>
      <c r="B115" s="1638">
        <v>5542.3680000000004</v>
      </c>
      <c r="C115" s="1638">
        <v>221.47200000000001</v>
      </c>
      <c r="D115" s="1638">
        <v>2489.6930000000002</v>
      </c>
      <c r="E115" s="1638">
        <v>1729.0989999999999</v>
      </c>
      <c r="F115" s="1638">
        <v>761.56100000000004</v>
      </c>
      <c r="G115" s="1623">
        <v>562.01499999999999</v>
      </c>
      <c r="H115" s="1638">
        <v>8225.9940000000006</v>
      </c>
      <c r="I115" s="1638">
        <v>1266.1334171792</v>
      </c>
      <c r="J115" s="1630">
        <v>5160.6689999999999</v>
      </c>
      <c r="K115" s="1623">
        <v>991.09177051999995</v>
      </c>
      <c r="L115" s="1630">
        <v>35.417000000000002</v>
      </c>
      <c r="M115" s="1630">
        <v>63.863443543599999</v>
      </c>
      <c r="N115" s="1630">
        <v>134.768</v>
      </c>
      <c r="O115" s="1630">
        <v>28.769434443400002</v>
      </c>
      <c r="P115" s="1630">
        <v>830.56700000000001</v>
      </c>
      <c r="Q115" s="1638">
        <v>58.065896578699999</v>
      </c>
      <c r="R115" s="1638">
        <v>17.427</v>
      </c>
      <c r="S115" s="1640">
        <v>0.45588200000000001</v>
      </c>
      <c r="T115" s="1638">
        <v>1545.23</v>
      </c>
      <c r="U115" s="1638">
        <v>46.981112007</v>
      </c>
      <c r="V115" s="1638"/>
      <c r="W115" s="1638"/>
      <c r="X115" s="1623">
        <v>519.34299999999996</v>
      </c>
      <c r="Y115" s="1623">
        <v>77.361760086499999</v>
      </c>
      <c r="Z115" s="1623">
        <v>42.405999999999999</v>
      </c>
      <c r="AA115" s="1623">
        <v>15.054470634600001</v>
      </c>
      <c r="AB115" s="1623">
        <v>476.93700000000001</v>
      </c>
      <c r="AC115" s="1623">
        <v>62.307289451900004</v>
      </c>
      <c r="AD115" s="1630">
        <v>7499.2160000000003</v>
      </c>
      <c r="AE115" s="1630">
        <v>1158.6504359226999</v>
      </c>
      <c r="AF115" s="1630">
        <v>5138.6369999999997</v>
      </c>
      <c r="AG115" s="1630">
        <v>985.51749040200002</v>
      </c>
      <c r="AH115" s="1630">
        <v>633.95500000000004</v>
      </c>
      <c r="AI115" s="1630">
        <v>94.442534965600004</v>
      </c>
      <c r="AJ115" s="1630">
        <v>14.539</v>
      </c>
      <c r="AK115" s="1428">
        <v>0.327542</v>
      </c>
      <c r="AL115" s="1630">
        <v>1344.6510000000001</v>
      </c>
      <c r="AM115" s="1630">
        <v>32.240892267</v>
      </c>
      <c r="AN115" s="1630"/>
      <c r="AO115" s="1630"/>
      <c r="AP115" s="1630">
        <v>381.97300000000001</v>
      </c>
      <c r="AQ115" s="1630">
        <v>46.449518288100002</v>
      </c>
      <c r="AR115" s="1630">
        <v>32.390999999999998</v>
      </c>
      <c r="AS115" s="1630">
        <v>10.6377425044</v>
      </c>
      <c r="AT115" s="1630">
        <v>349.58199999999999</v>
      </c>
      <c r="AU115" s="1630">
        <v>35.811775783700007</v>
      </c>
      <c r="AV115" s="1630">
        <v>726.77800000000002</v>
      </c>
      <c r="AW115" s="1630">
        <v>107.4829812565</v>
      </c>
      <c r="AX115" s="1630">
        <v>156.80000000000001</v>
      </c>
      <c r="AY115" s="1630">
        <v>34.343714561399999</v>
      </c>
      <c r="AZ115" s="1630">
        <v>232.029</v>
      </c>
      <c r="BA115" s="1630">
        <v>27.486805156700001</v>
      </c>
      <c r="BB115" s="1630">
        <v>2.8879999999999999</v>
      </c>
      <c r="BC115" s="1636">
        <v>0.12834000000000001</v>
      </c>
      <c r="BD115" s="1630">
        <v>200.57900000000001</v>
      </c>
      <c r="BE115" s="1630">
        <v>14.740219740000001</v>
      </c>
      <c r="BF115" s="1630"/>
      <c r="BG115" s="1630"/>
      <c r="BH115" s="1630">
        <v>137.37</v>
      </c>
      <c r="BI115" s="1630">
        <v>30.9122417984</v>
      </c>
      <c r="BJ115" s="1630">
        <v>10.015000000000001</v>
      </c>
      <c r="BK115" s="1630">
        <v>4.4167281301999992</v>
      </c>
      <c r="BL115" s="1630">
        <v>127.355</v>
      </c>
      <c r="BM115" s="1630">
        <v>26.495513668200001</v>
      </c>
    </row>
    <row r="116" spans="1:65">
      <c r="A116" s="1627" t="s">
        <v>24</v>
      </c>
      <c r="B116" s="1638">
        <v>5604.0069999999996</v>
      </c>
      <c r="C116" s="1638">
        <v>260.827</v>
      </c>
      <c r="D116" s="1638">
        <v>2532.9929999999999</v>
      </c>
      <c r="E116" s="1638">
        <v>1750.683</v>
      </c>
      <c r="F116" s="1638">
        <v>753.71799999999996</v>
      </c>
      <c r="G116" s="1623">
        <v>566.61300000000006</v>
      </c>
      <c r="H116" s="1638">
        <v>8181.4009999999998</v>
      </c>
      <c r="I116" s="1638">
        <v>1292.8765905765999</v>
      </c>
      <c r="J116" s="1630">
        <v>4989.7079999999996</v>
      </c>
      <c r="K116" s="1623">
        <v>989.62821176880004</v>
      </c>
      <c r="L116" s="1630">
        <v>31.515000000000001</v>
      </c>
      <c r="M116" s="1630">
        <v>59.6632794625</v>
      </c>
      <c r="N116" s="1630">
        <v>143.37100000000001</v>
      </c>
      <c r="O116" s="1630">
        <v>29.7468363672</v>
      </c>
      <c r="P116" s="1630">
        <v>814.11900000000003</v>
      </c>
      <c r="Q116" s="1638">
        <v>64.117534067899996</v>
      </c>
      <c r="R116" s="1638">
        <v>19.721</v>
      </c>
      <c r="S116" s="1640">
        <v>0.55771599999999999</v>
      </c>
      <c r="T116" s="1638">
        <v>1650.21</v>
      </c>
      <c r="U116" s="1638">
        <v>53.887427416000001</v>
      </c>
      <c r="V116" s="1638"/>
      <c r="W116" s="1638"/>
      <c r="X116" s="1623">
        <v>552.47799999999995</v>
      </c>
      <c r="Y116" s="1623">
        <v>95.833301494200001</v>
      </c>
      <c r="Z116" s="1623">
        <v>38.234000000000002</v>
      </c>
      <c r="AA116" s="1623">
        <v>14.3376799748</v>
      </c>
      <c r="AB116" s="1623">
        <v>514.24400000000003</v>
      </c>
      <c r="AC116" s="1623">
        <v>81.495621519400004</v>
      </c>
      <c r="AD116" s="1630">
        <v>7409.9979999999996</v>
      </c>
      <c r="AE116" s="1630">
        <v>1171.7865905643</v>
      </c>
      <c r="AF116" s="1630">
        <v>4960.0060000000003</v>
      </c>
      <c r="AG116" s="1630">
        <v>981.90482899740005</v>
      </c>
      <c r="AH116" s="1630">
        <v>622.04999999999995</v>
      </c>
      <c r="AI116" s="1630">
        <v>96.643315693399998</v>
      </c>
      <c r="AJ116" s="1630">
        <v>14.768000000000001</v>
      </c>
      <c r="AK116" s="1428">
        <v>0.38022099999999998</v>
      </c>
      <c r="AL116" s="1630">
        <v>1429.547</v>
      </c>
      <c r="AM116" s="1630">
        <v>34.695971526000001</v>
      </c>
      <c r="AN116" s="1630"/>
      <c r="AO116" s="1630"/>
      <c r="AP116" s="1630">
        <v>398.39499999999998</v>
      </c>
      <c r="AQ116" s="1630">
        <v>58.542474347499997</v>
      </c>
      <c r="AR116" s="1630">
        <v>28.21</v>
      </c>
      <c r="AS116" s="1630">
        <v>9.6805085695999988</v>
      </c>
      <c r="AT116" s="1630">
        <v>370.185</v>
      </c>
      <c r="AU116" s="1630">
        <v>48.861965777900004</v>
      </c>
      <c r="AV116" s="1630">
        <v>771.40300000000002</v>
      </c>
      <c r="AW116" s="1630">
        <v>121.0900000123</v>
      </c>
      <c r="AX116" s="1630">
        <v>173.07300000000001</v>
      </c>
      <c r="AY116" s="1630">
        <v>37.470219138600001</v>
      </c>
      <c r="AZ116" s="1630">
        <v>223.584</v>
      </c>
      <c r="BA116" s="1630">
        <v>27.137497837000002</v>
      </c>
      <c r="BB116" s="1630">
        <v>4.9530000000000003</v>
      </c>
      <c r="BC116" s="1636">
        <v>0.17749500000000001</v>
      </c>
      <c r="BD116" s="1630">
        <v>220.66300000000001</v>
      </c>
      <c r="BE116" s="1630">
        <v>19.19145589</v>
      </c>
      <c r="BF116" s="1630"/>
      <c r="BG116" s="1630"/>
      <c r="BH116" s="1630">
        <v>154.083</v>
      </c>
      <c r="BI116" s="1630">
        <v>37.290827146700003</v>
      </c>
      <c r="BJ116" s="1630">
        <v>10.023999999999999</v>
      </c>
      <c r="BK116" s="1630">
        <v>4.6571714051999997</v>
      </c>
      <c r="BL116" s="1630">
        <v>144.059</v>
      </c>
      <c r="BM116" s="1630">
        <v>32.6336557415</v>
      </c>
    </row>
    <row r="117" spans="1:65">
      <c r="A117" s="1627" t="s">
        <v>25</v>
      </c>
      <c r="B117" s="1638">
        <v>5643.78</v>
      </c>
      <c r="C117" s="1638">
        <v>271.98</v>
      </c>
      <c r="D117" s="1638">
        <v>2514.7310000000002</v>
      </c>
      <c r="E117" s="1638">
        <v>1764.9970000000001</v>
      </c>
      <c r="F117" s="1638">
        <v>787.99599999999998</v>
      </c>
      <c r="G117" s="1623">
        <v>576.05600000000004</v>
      </c>
      <c r="H117" s="1638">
        <v>8191.5439999999999</v>
      </c>
      <c r="I117" s="1638">
        <v>1257.6864089059</v>
      </c>
      <c r="J117" s="1630">
        <v>4839.308</v>
      </c>
      <c r="K117" s="1623">
        <v>912.43046282119997</v>
      </c>
      <c r="L117" s="1630">
        <v>32.063000000000002</v>
      </c>
      <c r="M117" s="1630">
        <v>59.376621099099999</v>
      </c>
      <c r="N117" s="1630">
        <v>145.71</v>
      </c>
      <c r="O117" s="1630">
        <v>31.344366047000001</v>
      </c>
      <c r="P117" s="1630">
        <v>849.55399999999997</v>
      </c>
      <c r="Q117" s="1638">
        <v>69.041191081700006</v>
      </c>
      <c r="R117" s="1638">
        <v>21.558</v>
      </c>
      <c r="S117" s="1640">
        <v>0.59857400000000005</v>
      </c>
      <c r="T117" s="1638">
        <v>1696.9190000000001</v>
      </c>
      <c r="U117" s="1638">
        <v>68.373046223900005</v>
      </c>
      <c r="V117" s="1638"/>
      <c r="W117" s="1638"/>
      <c r="X117" s="1623">
        <v>627.99</v>
      </c>
      <c r="Y117" s="1623">
        <v>117.120721633</v>
      </c>
      <c r="Z117" s="1623">
        <v>43.012999999999998</v>
      </c>
      <c r="AA117" s="1623">
        <v>16.701589876499998</v>
      </c>
      <c r="AB117" s="1623">
        <v>584.97699999999998</v>
      </c>
      <c r="AC117" s="1623">
        <v>100.41913175650001</v>
      </c>
      <c r="AD117" s="1630">
        <v>7351.9780000000001</v>
      </c>
      <c r="AE117" s="1630">
        <v>1114.8772793357</v>
      </c>
      <c r="AF117" s="1630">
        <v>4782.9650000000001</v>
      </c>
      <c r="AG117" s="1630">
        <v>900.59653920120002</v>
      </c>
      <c r="AH117" s="1630">
        <v>652.33500000000004</v>
      </c>
      <c r="AI117" s="1630">
        <v>98.650680064499994</v>
      </c>
      <c r="AJ117" s="1630">
        <v>17.303999999999998</v>
      </c>
      <c r="AK117" s="1428">
        <v>0.44031900000000002</v>
      </c>
      <c r="AL117" s="1630">
        <v>1469.9169999999999</v>
      </c>
      <c r="AM117" s="1630">
        <v>45.9493621039</v>
      </c>
      <c r="AN117" s="1630"/>
      <c r="AO117" s="1630"/>
      <c r="AP117" s="1630">
        <v>446.76100000000002</v>
      </c>
      <c r="AQ117" s="1630">
        <v>69.680697966099999</v>
      </c>
      <c r="AR117" s="1630">
        <v>31.888000000000002</v>
      </c>
      <c r="AS117" s="1630">
        <v>11.645223768899999</v>
      </c>
      <c r="AT117" s="1630">
        <v>414.87299999999999</v>
      </c>
      <c r="AU117" s="1630">
        <v>58.035474197200003</v>
      </c>
      <c r="AV117" s="1630">
        <v>839.56600000000003</v>
      </c>
      <c r="AW117" s="1630">
        <v>142.80912957020001</v>
      </c>
      <c r="AX117" s="1630">
        <v>202.053</v>
      </c>
      <c r="AY117" s="1630">
        <v>43.178289667000001</v>
      </c>
      <c r="AZ117" s="1630">
        <v>229.28200000000001</v>
      </c>
      <c r="BA117" s="1630">
        <v>29.767132116300001</v>
      </c>
      <c r="BB117" s="1630">
        <v>4.2539999999999996</v>
      </c>
      <c r="BC117" s="1636">
        <v>0.15825500000000001</v>
      </c>
      <c r="BD117" s="1630">
        <v>227.00200000000001</v>
      </c>
      <c r="BE117" s="1630">
        <v>22.423684120000001</v>
      </c>
      <c r="BF117" s="1630"/>
      <c r="BG117" s="1630"/>
      <c r="BH117" s="1630">
        <v>181.22900000000001</v>
      </c>
      <c r="BI117" s="1630">
        <v>47.440023666899997</v>
      </c>
      <c r="BJ117" s="1630">
        <v>11.125</v>
      </c>
      <c r="BK117" s="1630">
        <v>5.0563661075999997</v>
      </c>
      <c r="BL117" s="1630">
        <v>170.10400000000001</v>
      </c>
      <c r="BM117" s="1630">
        <v>42.383657559299998</v>
      </c>
    </row>
    <row r="118" spans="1:65">
      <c r="A118" s="1627" t="s">
        <v>26</v>
      </c>
      <c r="B118" s="1638">
        <v>5701.1490000000003</v>
      </c>
      <c r="C118" s="1638">
        <v>283.08800000000002</v>
      </c>
      <c r="D118" s="1638">
        <v>2544.2460000000001</v>
      </c>
      <c r="E118" s="1638">
        <v>1777.3050000000001</v>
      </c>
      <c r="F118" s="1638">
        <v>799.42700000000002</v>
      </c>
      <c r="G118" s="1623">
        <v>580.17100000000005</v>
      </c>
      <c r="H118" s="1638">
        <v>8001.2439999999997</v>
      </c>
      <c r="I118" s="1638">
        <v>1191.0694149572</v>
      </c>
      <c r="J118" s="1630">
        <v>4907.9040000000005</v>
      </c>
      <c r="K118" s="1623">
        <v>892.53935381999997</v>
      </c>
      <c r="L118" s="1630">
        <v>27.945</v>
      </c>
      <c r="M118" s="1630">
        <v>57.948252866200001</v>
      </c>
      <c r="N118" s="1630">
        <v>145.023</v>
      </c>
      <c r="O118" s="1630">
        <v>29.739533959999999</v>
      </c>
      <c r="P118" s="1630">
        <v>776.30799999999999</v>
      </c>
      <c r="Q118" s="1638">
        <v>64.749877928199993</v>
      </c>
      <c r="R118" s="1638">
        <v>18.361000000000001</v>
      </c>
      <c r="S118" s="1640">
        <v>0.56934700000000005</v>
      </c>
      <c r="T118" s="1638">
        <v>1573.64</v>
      </c>
      <c r="U118" s="1638">
        <v>58.824490961599999</v>
      </c>
      <c r="V118" s="1638"/>
      <c r="W118" s="1638"/>
      <c r="X118" s="1623">
        <v>570.42399999999998</v>
      </c>
      <c r="Y118" s="1623">
        <v>87.267905421199998</v>
      </c>
      <c r="Z118" s="1623">
        <v>43.286999999999999</v>
      </c>
      <c r="AA118" s="1623">
        <v>16.398241852600002</v>
      </c>
      <c r="AB118" s="1623">
        <v>527.13699999999994</v>
      </c>
      <c r="AC118" s="1623">
        <v>70.869663568600004</v>
      </c>
      <c r="AD118" s="1630">
        <v>7206.1059999999998</v>
      </c>
      <c r="AE118" s="1630">
        <v>1067.0985677067999</v>
      </c>
      <c r="AF118" s="1630">
        <v>4845.1530000000002</v>
      </c>
      <c r="AG118" s="1630">
        <v>878.33618758</v>
      </c>
      <c r="AH118" s="1630">
        <v>597.38699999999994</v>
      </c>
      <c r="AI118" s="1630">
        <v>93.357909270099995</v>
      </c>
      <c r="AJ118" s="1630">
        <v>14.351000000000001</v>
      </c>
      <c r="AK118" s="1428">
        <v>0.40809200000000001</v>
      </c>
      <c r="AL118" s="1630">
        <v>1354.116</v>
      </c>
      <c r="AM118" s="1630">
        <v>41.913874301600003</v>
      </c>
      <c r="AN118" s="1630"/>
      <c r="AO118" s="1630"/>
      <c r="AP118" s="1630">
        <v>409.45</v>
      </c>
      <c r="AQ118" s="1630">
        <v>53.490596555099998</v>
      </c>
      <c r="AR118" s="1630">
        <v>32.052999999999997</v>
      </c>
      <c r="AS118" s="1630">
        <v>11.6614324606</v>
      </c>
      <c r="AT118" s="1630">
        <v>377.39699999999999</v>
      </c>
      <c r="AU118" s="1630">
        <v>41.829164094500008</v>
      </c>
      <c r="AV118" s="1630">
        <v>795.13800000000003</v>
      </c>
      <c r="AW118" s="1630">
        <v>123.9708472504</v>
      </c>
      <c r="AX118" s="1630">
        <v>207.774</v>
      </c>
      <c r="AY118" s="1630">
        <v>43.942700199999997</v>
      </c>
      <c r="AZ118" s="1630">
        <v>206.86600000000001</v>
      </c>
      <c r="BA118" s="1630">
        <v>29.340221524299999</v>
      </c>
      <c r="BB118" s="1630">
        <v>4.01</v>
      </c>
      <c r="BC118" s="1636">
        <v>0.16125500000000001</v>
      </c>
      <c r="BD118" s="1630">
        <v>219.524</v>
      </c>
      <c r="BE118" s="1630">
        <v>16.910616659999999</v>
      </c>
      <c r="BF118" s="1630"/>
      <c r="BG118" s="1630"/>
      <c r="BH118" s="1630">
        <v>160.97399999999999</v>
      </c>
      <c r="BI118" s="1630">
        <v>33.7773088661</v>
      </c>
      <c r="BJ118" s="1630">
        <v>11.234</v>
      </c>
      <c r="BK118" s="1630">
        <v>4.7368093919999996</v>
      </c>
      <c r="BL118" s="1630">
        <v>149.74</v>
      </c>
      <c r="BM118" s="1630">
        <v>29.040499474100002</v>
      </c>
    </row>
    <row r="119" spans="1:65">
      <c r="A119" s="1627" t="s">
        <v>27</v>
      </c>
      <c r="B119" s="1638">
        <v>5755.0559999999996</v>
      </c>
      <c r="C119" s="1638">
        <v>299.428</v>
      </c>
      <c r="D119" s="1638">
        <v>2531.0520000000001</v>
      </c>
      <c r="E119" s="1638">
        <v>1809.5530000000001</v>
      </c>
      <c r="F119" s="1638">
        <v>816.00099999999998</v>
      </c>
      <c r="G119" s="1623">
        <v>598.45000000000005</v>
      </c>
      <c r="H119" s="1638">
        <v>8790.1470000000008</v>
      </c>
      <c r="I119" s="1638">
        <v>1294.9222654811001</v>
      </c>
      <c r="J119" s="1630">
        <v>5298.2690000000002</v>
      </c>
      <c r="K119" s="1623">
        <v>972.29327512999998</v>
      </c>
      <c r="L119" s="1630">
        <v>30.582000000000001</v>
      </c>
      <c r="M119" s="1630">
        <v>63.044018885299998</v>
      </c>
      <c r="N119" s="1630">
        <v>170.72399999999999</v>
      </c>
      <c r="O119" s="1630">
        <v>33.092025521099998</v>
      </c>
      <c r="P119" s="1630">
        <v>857.64599999999996</v>
      </c>
      <c r="Q119" s="1638">
        <v>75.940282234500003</v>
      </c>
      <c r="R119" s="1638">
        <v>25.488</v>
      </c>
      <c r="S119" s="1640">
        <v>0.83426800000000001</v>
      </c>
      <c r="T119" s="1638">
        <v>1761.691</v>
      </c>
      <c r="U119" s="1638">
        <v>63.321004563700001</v>
      </c>
      <c r="V119" s="1638"/>
      <c r="W119" s="1638"/>
      <c r="X119" s="1623">
        <v>671.23500000000001</v>
      </c>
      <c r="Y119" s="1623">
        <v>87.231659146499993</v>
      </c>
      <c r="Z119" s="1623">
        <v>51.667999999999999</v>
      </c>
      <c r="AA119" s="1623">
        <v>18.262833664000002</v>
      </c>
      <c r="AB119" s="1623">
        <v>619.56700000000001</v>
      </c>
      <c r="AC119" s="1623">
        <v>68.968825482500009</v>
      </c>
      <c r="AD119" s="1630">
        <v>7915.9520000000002</v>
      </c>
      <c r="AE119" s="1630">
        <v>1160.8580525967</v>
      </c>
      <c r="AF119" s="1630">
        <v>5246.2139999999999</v>
      </c>
      <c r="AG119" s="1630">
        <v>957.52368448000004</v>
      </c>
      <c r="AH119" s="1630">
        <v>664.13</v>
      </c>
      <c r="AI119" s="1630">
        <v>105.1256286613</v>
      </c>
      <c r="AJ119" s="1630">
        <v>19.945</v>
      </c>
      <c r="AK119" s="1630">
        <v>0.50530600000000003</v>
      </c>
      <c r="AL119" s="1630">
        <v>1524.057</v>
      </c>
      <c r="AM119" s="1630">
        <v>45.2186597237</v>
      </c>
      <c r="AN119" s="1630"/>
      <c r="AO119" s="1630"/>
      <c r="AP119" s="1630">
        <v>481.55099999999999</v>
      </c>
      <c r="AQ119" s="1630">
        <v>52.9900797317</v>
      </c>
      <c r="AR119" s="1630">
        <v>37.264000000000003</v>
      </c>
      <c r="AS119" s="1630">
        <v>12.5327209316</v>
      </c>
      <c r="AT119" s="1630">
        <v>444.28699999999998</v>
      </c>
      <c r="AU119" s="1630">
        <v>40.457358800099996</v>
      </c>
      <c r="AV119" s="1630">
        <v>874.19500000000005</v>
      </c>
      <c r="AW119" s="1630">
        <v>134.06421288440001</v>
      </c>
      <c r="AX119" s="1630">
        <v>222.779</v>
      </c>
      <c r="AY119" s="1630">
        <v>47.861616171100003</v>
      </c>
      <c r="AZ119" s="1630">
        <v>224.09800000000001</v>
      </c>
      <c r="BA119" s="1630">
        <v>33.858672458500003</v>
      </c>
      <c r="BB119" s="1630">
        <v>5.5430000000000001</v>
      </c>
      <c r="BC119" s="1636">
        <v>0.32896199999999998</v>
      </c>
      <c r="BD119" s="1630">
        <v>237.63399999999999</v>
      </c>
      <c r="BE119" s="1630">
        <v>18.102344840000001</v>
      </c>
      <c r="BF119" s="1630"/>
      <c r="BG119" s="1630"/>
      <c r="BH119" s="1630">
        <v>189.684</v>
      </c>
      <c r="BI119" s="1630">
        <v>34.2415794148</v>
      </c>
      <c r="BJ119" s="1630">
        <v>14.404</v>
      </c>
      <c r="BK119" s="1630">
        <v>5.7301127324000003</v>
      </c>
      <c r="BL119" s="1630">
        <v>175.28</v>
      </c>
      <c r="BM119" s="1630">
        <v>28.511466682400002</v>
      </c>
    </row>
    <row r="120" spans="1:65">
      <c r="A120" s="1627" t="s">
        <v>28</v>
      </c>
      <c r="B120" s="1638">
        <v>5841.1660000000002</v>
      </c>
      <c r="C120" s="1638">
        <v>310.06700000000001</v>
      </c>
      <c r="D120" s="1638">
        <v>2527.268</v>
      </c>
      <c r="E120" s="1638">
        <v>1842.463</v>
      </c>
      <c r="F120" s="1638">
        <v>851.351</v>
      </c>
      <c r="G120" s="1623">
        <v>620.08399999999995</v>
      </c>
      <c r="H120" s="1638">
        <v>8543.9169999999995</v>
      </c>
      <c r="I120" s="1638">
        <v>1288.3203881236</v>
      </c>
      <c r="J120" s="1630">
        <v>5046.2650000000003</v>
      </c>
      <c r="K120" s="1623">
        <v>959.56308523999996</v>
      </c>
      <c r="L120" s="1630">
        <v>29.521999999999998</v>
      </c>
      <c r="M120" s="1630">
        <v>60.0247481177</v>
      </c>
      <c r="N120" s="1630">
        <v>169.26</v>
      </c>
      <c r="O120" s="1630">
        <v>33.291807581999997</v>
      </c>
      <c r="P120" s="1630">
        <v>854.23900000000003</v>
      </c>
      <c r="Q120" s="1638">
        <v>76.443934364699999</v>
      </c>
      <c r="R120" s="1638">
        <v>28.082999999999998</v>
      </c>
      <c r="S120" s="1640">
        <v>0.88503500000000002</v>
      </c>
      <c r="T120" s="1638">
        <v>1734.414</v>
      </c>
      <c r="U120" s="1638">
        <v>69.600420371699997</v>
      </c>
      <c r="V120" s="1638"/>
      <c r="W120" s="1638"/>
      <c r="X120" s="1623">
        <v>710.21699999999998</v>
      </c>
      <c r="Y120" s="1623">
        <v>89.396392447500006</v>
      </c>
      <c r="Z120" s="1623">
        <v>49.466999999999999</v>
      </c>
      <c r="AA120" s="1623">
        <v>16.5533313488</v>
      </c>
      <c r="AB120" s="1623">
        <v>660.75</v>
      </c>
      <c r="AC120" s="1623">
        <v>72.843061098700005</v>
      </c>
      <c r="AD120" s="1630">
        <v>7660.6620000000003</v>
      </c>
      <c r="AE120" s="1630">
        <v>1151.2307307144999</v>
      </c>
      <c r="AF120" s="1630">
        <v>4985.6409999999996</v>
      </c>
      <c r="AG120" s="1630">
        <v>943.51892303</v>
      </c>
      <c r="AH120" s="1630">
        <v>661.11599999999999</v>
      </c>
      <c r="AI120" s="1630">
        <v>101.9734603425</v>
      </c>
      <c r="AJ120" s="1630">
        <v>22.199000000000002</v>
      </c>
      <c r="AK120" s="1630">
        <v>0.64075099999999996</v>
      </c>
      <c r="AL120" s="1630">
        <v>1499.1890000000001</v>
      </c>
      <c r="AM120" s="1630">
        <v>50.677213011699997</v>
      </c>
      <c r="AN120" s="1630"/>
      <c r="AO120" s="1630"/>
      <c r="AP120" s="1630">
        <v>514.71600000000001</v>
      </c>
      <c r="AQ120" s="1630">
        <v>55.0611343303</v>
      </c>
      <c r="AR120" s="1630">
        <v>35.807000000000002</v>
      </c>
      <c r="AS120" s="1630">
        <v>11.255068293700001</v>
      </c>
      <c r="AT120" s="1630">
        <v>478.90899999999999</v>
      </c>
      <c r="AU120" s="1630">
        <v>43.806066036600001</v>
      </c>
      <c r="AV120" s="1630">
        <v>883.255</v>
      </c>
      <c r="AW120" s="1630">
        <v>137.0896574091</v>
      </c>
      <c r="AX120" s="1630">
        <v>229.88399999999999</v>
      </c>
      <c r="AY120" s="1630">
        <v>49.335969792</v>
      </c>
      <c r="AZ120" s="1630">
        <v>222.64500000000001</v>
      </c>
      <c r="BA120" s="1630">
        <v>34.495222139900001</v>
      </c>
      <c r="BB120" s="1630">
        <v>5.8840000000000003</v>
      </c>
      <c r="BC120" s="1636">
        <v>0.244284</v>
      </c>
      <c r="BD120" s="1630">
        <v>235.22499999999999</v>
      </c>
      <c r="BE120" s="1630">
        <v>18.923207359999999</v>
      </c>
      <c r="BF120" s="1630"/>
      <c r="BG120" s="1630"/>
      <c r="BH120" s="1630">
        <v>195.501</v>
      </c>
      <c r="BI120" s="1630">
        <v>34.335258117199999</v>
      </c>
      <c r="BJ120" s="1630">
        <v>13.66</v>
      </c>
      <c r="BK120" s="1630">
        <v>5.2982630551000005</v>
      </c>
      <c r="BL120" s="1630">
        <v>181.84100000000001</v>
      </c>
      <c r="BM120" s="1630">
        <v>29.036995062100001</v>
      </c>
    </row>
    <row r="121" spans="1:65">
      <c r="A121" s="1627" t="s">
        <v>29</v>
      </c>
      <c r="B121" s="1638">
        <v>5873.6769999999997</v>
      </c>
      <c r="C121" s="1638">
        <v>323.16199999999998</v>
      </c>
      <c r="D121" s="1638">
        <v>2535.3690000000001</v>
      </c>
      <c r="E121" s="1638">
        <v>1848.9</v>
      </c>
      <c r="F121" s="1638">
        <v>866.39700000000005</v>
      </c>
      <c r="G121" s="1623">
        <v>623.01099999999997</v>
      </c>
      <c r="H121" s="1638">
        <v>9536.3510000000006</v>
      </c>
      <c r="I121" s="1638">
        <v>1570.7288612530999</v>
      </c>
      <c r="J121" s="1630">
        <v>5932.38</v>
      </c>
      <c r="K121" s="1623">
        <v>1197.7321233642001</v>
      </c>
      <c r="L121" s="1630">
        <v>36.844000000000001</v>
      </c>
      <c r="M121" s="1630">
        <v>84.850381869900005</v>
      </c>
      <c r="N121" s="1630">
        <v>175.017</v>
      </c>
      <c r="O121" s="1630">
        <v>37.543725000000002</v>
      </c>
      <c r="P121" s="1630">
        <v>918.91099999999994</v>
      </c>
      <c r="Q121" s="1638">
        <v>85.473499801900005</v>
      </c>
      <c r="R121" s="1638">
        <v>30.327000000000002</v>
      </c>
      <c r="S121" s="1640">
        <v>0.95713199999999998</v>
      </c>
      <c r="T121" s="1638">
        <v>1830.2439999999999</v>
      </c>
      <c r="U121" s="1638">
        <v>80.0684502971</v>
      </c>
      <c r="V121" s="1638"/>
      <c r="W121" s="1638"/>
      <c r="X121" s="1623">
        <v>642.95500000000004</v>
      </c>
      <c r="Y121" s="1623">
        <v>85.060680919999996</v>
      </c>
      <c r="Z121" s="1623">
        <v>46.856000000000002</v>
      </c>
      <c r="AA121" s="1623">
        <v>16.816722071199997</v>
      </c>
      <c r="AB121" s="1623">
        <v>596.09900000000005</v>
      </c>
      <c r="AC121" s="1623">
        <v>68.243958848800006</v>
      </c>
      <c r="AD121" s="1630">
        <v>8624.598</v>
      </c>
      <c r="AE121" s="1630">
        <v>1421.9232861798</v>
      </c>
      <c r="AF121" s="1630">
        <v>5850.0309999999999</v>
      </c>
      <c r="AG121" s="1630">
        <v>1177.4582682042001</v>
      </c>
      <c r="AH121" s="1630">
        <v>722.33500000000004</v>
      </c>
      <c r="AI121" s="1630">
        <v>133.7858796225</v>
      </c>
      <c r="AJ121" s="1630">
        <v>23.716999999999999</v>
      </c>
      <c r="AK121" s="1630">
        <v>0.65367900000000001</v>
      </c>
      <c r="AL121" s="1630">
        <v>1585.6220000000001</v>
      </c>
      <c r="AM121" s="1630">
        <v>58.370980297099997</v>
      </c>
      <c r="AN121" s="1630"/>
      <c r="AO121" s="1630"/>
      <c r="AP121" s="1630">
        <v>466.61</v>
      </c>
      <c r="AQ121" s="1630">
        <v>52.308158056000003</v>
      </c>
      <c r="AR121" s="1630">
        <v>33.819000000000003</v>
      </c>
      <c r="AS121" s="1630">
        <v>11.3356085934</v>
      </c>
      <c r="AT121" s="1630">
        <v>432.791</v>
      </c>
      <c r="AU121" s="1630">
        <v>40.9725494626</v>
      </c>
      <c r="AV121" s="1630">
        <v>911.75300000000004</v>
      </c>
      <c r="AW121" s="1630">
        <v>148.80557507329999</v>
      </c>
      <c r="AX121" s="1630">
        <v>257.36599999999999</v>
      </c>
      <c r="AY121" s="1630">
        <v>57.817580159999999</v>
      </c>
      <c r="AZ121" s="1630">
        <v>233.42</v>
      </c>
      <c r="BA121" s="1630">
        <v>36.538002049299998</v>
      </c>
      <c r="BB121" s="1630">
        <v>6.61</v>
      </c>
      <c r="BC121" s="1636">
        <v>0.30345299999999997</v>
      </c>
      <c r="BD121" s="1630">
        <v>244.62200000000001</v>
      </c>
      <c r="BE121" s="1630">
        <v>21.697469999999999</v>
      </c>
      <c r="BF121" s="1630"/>
      <c r="BG121" s="1630"/>
      <c r="BH121" s="1630">
        <v>176.345</v>
      </c>
      <c r="BI121" s="1630">
        <v>32.752522863999999</v>
      </c>
      <c r="BJ121" s="1630">
        <v>13.037000000000001</v>
      </c>
      <c r="BK121" s="1630">
        <v>5.4811134778000001</v>
      </c>
      <c r="BL121" s="1630">
        <v>163.30799999999999</v>
      </c>
      <c r="BM121" s="1630">
        <v>27.271409386199998</v>
      </c>
    </row>
    <row r="122" spans="1:65">
      <c r="A122" s="1627" t="s">
        <v>2051</v>
      </c>
      <c r="B122" s="1639">
        <v>6656.9430000000002</v>
      </c>
      <c r="C122" s="1639">
        <v>666</v>
      </c>
      <c r="D122" s="1639">
        <v>2522.2919999999999</v>
      </c>
      <c r="E122" s="1639">
        <v>2058.2930000000001</v>
      </c>
      <c r="F122" s="1639">
        <v>1216.6300000000001</v>
      </c>
      <c r="G122" s="1632">
        <v>859.72799999999995</v>
      </c>
      <c r="H122" s="1639">
        <f t="shared" ref="H122:U122" si="24">SUM(H123:H134)</f>
        <v>118753.755</v>
      </c>
      <c r="I122" s="1639">
        <f t="shared" si="24"/>
        <v>18147.2510531919</v>
      </c>
      <c r="J122" s="1639">
        <f t="shared" si="24"/>
        <v>66241.286999999997</v>
      </c>
      <c r="K122" s="1639">
        <f t="shared" si="24"/>
        <v>13098.03893986</v>
      </c>
      <c r="L122" s="1639">
        <f t="shared" si="24"/>
        <v>350.59300000000002</v>
      </c>
      <c r="M122" s="1639">
        <f t="shared" si="24"/>
        <v>842.12150009199991</v>
      </c>
      <c r="N122" s="1639">
        <f t="shared" si="24"/>
        <v>1413.556</v>
      </c>
      <c r="O122" s="1639">
        <f t="shared" si="24"/>
        <v>226.41323733999999</v>
      </c>
      <c r="P122" s="1639">
        <f t="shared" si="24"/>
        <v>14734.543000000001</v>
      </c>
      <c r="Q122" s="1639">
        <f t="shared" si="24"/>
        <v>1118.4751860271999</v>
      </c>
      <c r="R122" s="1639">
        <f t="shared" si="24"/>
        <v>850.93000000000018</v>
      </c>
      <c r="S122" s="1639">
        <f t="shared" si="24"/>
        <v>23.08491848000001</v>
      </c>
      <c r="T122" s="1639">
        <f t="shared" si="24"/>
        <v>26562.073000000004</v>
      </c>
      <c r="U122" s="1639">
        <f t="shared" si="24"/>
        <v>1670.9113431075002</v>
      </c>
      <c r="V122" s="1639"/>
      <c r="W122" s="1639"/>
      <c r="X122" s="1639">
        <f t="shared" ref="X122:AM122" si="25">SUM(X123:X134)</f>
        <v>9451.7029999999995</v>
      </c>
      <c r="Y122" s="1639">
        <f t="shared" si="25"/>
        <v>1191.2908467652001</v>
      </c>
      <c r="Z122" s="1639">
        <f t="shared" si="25"/>
        <v>560.14499999999998</v>
      </c>
      <c r="AA122" s="1639">
        <f t="shared" si="25"/>
        <v>205.26599283320002</v>
      </c>
      <c r="AB122" s="1639">
        <f t="shared" si="25"/>
        <v>8891.5580000000009</v>
      </c>
      <c r="AC122" s="1639">
        <f t="shared" si="25"/>
        <v>986.02485393200004</v>
      </c>
      <c r="AD122" s="1639">
        <f t="shared" si="25"/>
        <v>105050.39000000001</v>
      </c>
      <c r="AE122" s="1639">
        <f t="shared" si="25"/>
        <v>16208.725249180701</v>
      </c>
      <c r="AF122" s="1639">
        <f t="shared" si="25"/>
        <v>63663.211999999992</v>
      </c>
      <c r="AG122" s="1639">
        <f t="shared" si="25"/>
        <v>12575.250722509998</v>
      </c>
      <c r="AH122" s="1639">
        <f t="shared" si="25"/>
        <v>11212.448</v>
      </c>
      <c r="AI122" s="1639">
        <f t="shared" si="25"/>
        <v>1523.6173217945</v>
      </c>
      <c r="AJ122" s="1639">
        <f t="shared" si="25"/>
        <v>689.33299999999997</v>
      </c>
      <c r="AK122" s="1639">
        <f t="shared" si="25"/>
        <v>16.668889610000008</v>
      </c>
      <c r="AL122" s="1639">
        <f t="shared" si="25"/>
        <v>22945.278999999999</v>
      </c>
      <c r="AM122" s="1639">
        <f t="shared" si="25"/>
        <v>1290.2136349510001</v>
      </c>
      <c r="AN122" s="1639"/>
      <c r="AO122" s="1639"/>
      <c r="AP122" s="1639">
        <f t="shared" ref="AP122:BM122" si="26">SUM(AP123:AP134)</f>
        <v>7229.451</v>
      </c>
      <c r="AQ122" s="1639">
        <f t="shared" si="26"/>
        <v>819.64356992520004</v>
      </c>
      <c r="AR122" s="1639">
        <f t="shared" si="26"/>
        <v>433.11400000000003</v>
      </c>
      <c r="AS122" s="1639">
        <f t="shared" si="26"/>
        <v>153.49273203549998</v>
      </c>
      <c r="AT122" s="1639">
        <f t="shared" si="26"/>
        <v>6796.3370000000004</v>
      </c>
      <c r="AU122" s="1639">
        <f t="shared" si="26"/>
        <v>666.15083788970003</v>
      </c>
      <c r="AV122" s="1639">
        <f t="shared" si="26"/>
        <v>13703.364999999998</v>
      </c>
      <c r="AW122" s="1639">
        <f t="shared" si="26"/>
        <v>1938.5258040112001</v>
      </c>
      <c r="AX122" s="1639">
        <f t="shared" si="26"/>
        <v>3991.6310000000003</v>
      </c>
      <c r="AY122" s="1639">
        <f t="shared" si="26"/>
        <v>749.20145469000011</v>
      </c>
      <c r="AZ122" s="1639">
        <f t="shared" si="26"/>
        <v>3872.6879999999996</v>
      </c>
      <c r="BA122" s="1639">
        <f t="shared" si="26"/>
        <v>436.97936432469999</v>
      </c>
      <c r="BB122" s="1639">
        <f t="shared" si="26"/>
        <v>161.59699999999998</v>
      </c>
      <c r="BC122" s="1639">
        <f t="shared" si="26"/>
        <v>6.4160288699999999</v>
      </c>
      <c r="BD122" s="1639">
        <f t="shared" si="26"/>
        <v>3616.7939999999999</v>
      </c>
      <c r="BE122" s="1639">
        <f t="shared" si="26"/>
        <v>380.69770815650003</v>
      </c>
      <c r="BF122" s="1639">
        <f t="shared" si="26"/>
        <v>0</v>
      </c>
      <c r="BG122" s="1639">
        <f t="shared" si="26"/>
        <v>0</v>
      </c>
      <c r="BH122" s="1639">
        <f t="shared" si="26"/>
        <v>2222.252</v>
      </c>
      <c r="BI122" s="1639">
        <f t="shared" si="26"/>
        <v>371.64727684000002</v>
      </c>
      <c r="BJ122" s="1639">
        <f t="shared" si="26"/>
        <v>127.03100000000001</v>
      </c>
      <c r="BK122" s="1639">
        <f t="shared" si="26"/>
        <v>51.773260797700011</v>
      </c>
      <c r="BL122" s="1639">
        <f t="shared" si="26"/>
        <v>2095.221</v>
      </c>
      <c r="BM122" s="1639">
        <f t="shared" si="26"/>
        <v>319.87401604230001</v>
      </c>
    </row>
    <row r="123" spans="1:65">
      <c r="A123" s="1627" t="s">
        <v>18</v>
      </c>
      <c r="B123" s="1638">
        <v>5896.57</v>
      </c>
      <c r="C123" s="1638">
        <v>345.89800000000002</v>
      </c>
      <c r="D123" s="1638">
        <v>2516.9699999999998</v>
      </c>
      <c r="E123" s="1638">
        <v>1864.248</v>
      </c>
      <c r="F123" s="1638">
        <v>860.43</v>
      </c>
      <c r="G123" s="1638">
        <v>654.92200000000003</v>
      </c>
      <c r="H123" s="1638">
        <v>8191.6080000000002</v>
      </c>
      <c r="I123" s="1638">
        <v>1162.2975350412</v>
      </c>
      <c r="J123" s="1638">
        <v>4425.8990000000003</v>
      </c>
      <c r="K123" s="1638">
        <v>814.69999079000002</v>
      </c>
      <c r="L123" s="1638">
        <v>27.890999999999998</v>
      </c>
      <c r="M123" s="1638">
        <v>51.824391590799998</v>
      </c>
      <c r="N123" s="1638">
        <v>114.99299999999999</v>
      </c>
      <c r="O123" s="1638">
        <v>29.263342999999999</v>
      </c>
      <c r="P123" s="1638">
        <v>948.04300000000001</v>
      </c>
      <c r="Q123" s="1638">
        <v>75.996830641200006</v>
      </c>
      <c r="R123" s="1638">
        <v>37.703000000000003</v>
      </c>
      <c r="S123" s="1640">
        <v>1.25207</v>
      </c>
      <c r="T123" s="1638">
        <v>1997.299</v>
      </c>
      <c r="U123" s="1638">
        <v>88.320910407400007</v>
      </c>
      <c r="V123" s="1638"/>
      <c r="W123" s="1638"/>
      <c r="X123" s="1638">
        <v>677.48299999999995</v>
      </c>
      <c r="Y123" s="1638">
        <v>102.1920686118</v>
      </c>
      <c r="Z123" s="1638">
        <v>44.844999999999999</v>
      </c>
      <c r="AA123" s="1638">
        <v>15.717952835999998</v>
      </c>
      <c r="AB123" s="1638">
        <v>632.63800000000003</v>
      </c>
      <c r="AC123" s="1638">
        <v>86.474115775799987</v>
      </c>
      <c r="AD123" s="1638">
        <v>7231.2060000000001</v>
      </c>
      <c r="AE123" s="1638">
        <v>1020.6759023161</v>
      </c>
      <c r="AF123" s="1638">
        <v>4307.0029999999997</v>
      </c>
      <c r="AG123" s="1638">
        <v>796.92316620999998</v>
      </c>
      <c r="AH123" s="1638">
        <v>722.66899999999998</v>
      </c>
      <c r="AI123" s="1638">
        <v>97.628724101100005</v>
      </c>
      <c r="AJ123" s="1638">
        <v>29.497</v>
      </c>
      <c r="AK123" s="1640">
        <v>0.87579399999999996</v>
      </c>
      <c r="AL123" s="1638">
        <v>1709.194</v>
      </c>
      <c r="AM123" s="1638">
        <v>63.721058557399999</v>
      </c>
      <c r="AN123" s="1638"/>
      <c r="AO123" s="1638"/>
      <c r="AP123" s="1638">
        <v>492.34</v>
      </c>
      <c r="AQ123" s="1638">
        <v>62.402953447599998</v>
      </c>
      <c r="AR123" s="1638">
        <v>32.442</v>
      </c>
      <c r="AS123" s="1638">
        <v>10.605321137100001</v>
      </c>
      <c r="AT123" s="1638">
        <v>459.89800000000002</v>
      </c>
      <c r="AU123" s="1638">
        <v>51.797632310499999</v>
      </c>
      <c r="AV123" s="1638">
        <v>960.40200000000004</v>
      </c>
      <c r="AW123" s="1638">
        <v>141.6216327251</v>
      </c>
      <c r="AX123" s="1638">
        <v>233.88900000000001</v>
      </c>
      <c r="AY123" s="1638">
        <v>47.040167580000002</v>
      </c>
      <c r="AZ123" s="1638">
        <v>253.26499999999999</v>
      </c>
      <c r="BA123" s="1638">
        <v>30.192498130899999</v>
      </c>
      <c r="BB123" s="1638">
        <v>8.2059999999999995</v>
      </c>
      <c r="BC123" s="1548">
        <v>0.376276</v>
      </c>
      <c r="BD123" s="1638">
        <v>288.10500000000002</v>
      </c>
      <c r="BE123" s="1638">
        <v>24.59985185</v>
      </c>
      <c r="BF123" s="1638"/>
      <c r="BG123" s="1638"/>
      <c r="BH123" s="1638">
        <v>185.143</v>
      </c>
      <c r="BI123" s="1638">
        <v>39.789115164199998</v>
      </c>
      <c r="BJ123" s="1638">
        <v>12.403</v>
      </c>
      <c r="BK123" s="1638">
        <v>5.1126316989000005</v>
      </c>
      <c r="BL123" s="1638">
        <v>172.74</v>
      </c>
      <c r="BM123" s="1638">
        <v>34.676483465299995</v>
      </c>
    </row>
    <row r="124" spans="1:65">
      <c r="A124" s="1627" t="s">
        <v>19</v>
      </c>
      <c r="B124" s="1638">
        <v>5963.9459999999999</v>
      </c>
      <c r="C124" s="1638">
        <v>358.90699999999998</v>
      </c>
      <c r="D124" s="1638">
        <v>2521.9720000000002</v>
      </c>
      <c r="E124" s="1638">
        <v>1902.991</v>
      </c>
      <c r="F124" s="1638">
        <v>865.63800000000003</v>
      </c>
      <c r="G124" s="1623">
        <v>673.34500000000003</v>
      </c>
      <c r="H124" s="1638">
        <v>8540.5930000000008</v>
      </c>
      <c r="I124" s="1638">
        <v>1349.0955521625001</v>
      </c>
      <c r="J124" s="1630">
        <v>5073.8059999999996</v>
      </c>
      <c r="K124" s="1623">
        <v>993.58148462999998</v>
      </c>
      <c r="L124" s="1630">
        <v>30.927</v>
      </c>
      <c r="M124" s="1630">
        <v>89.483618359999994</v>
      </c>
      <c r="N124" s="1630">
        <v>103.402</v>
      </c>
      <c r="O124" s="1630">
        <v>16.482165999999999</v>
      </c>
      <c r="P124" s="1630">
        <v>861.44</v>
      </c>
      <c r="Q124" s="1638">
        <v>73.269039815499994</v>
      </c>
      <c r="R124" s="1638">
        <v>40.073999999999998</v>
      </c>
      <c r="S124" s="1640">
        <v>1.1221110000000001</v>
      </c>
      <c r="T124" s="1638">
        <v>1878.904</v>
      </c>
      <c r="U124" s="1638">
        <v>98.802990443599995</v>
      </c>
      <c r="V124" s="1638"/>
      <c r="W124" s="1638"/>
      <c r="X124" s="1623">
        <v>592.11400000000003</v>
      </c>
      <c r="Y124" s="1623">
        <v>77.476252913400003</v>
      </c>
      <c r="Z124" s="1623">
        <v>38.326000000000001</v>
      </c>
      <c r="AA124" s="1623">
        <v>16.1757191172</v>
      </c>
      <c r="AB124" s="1623">
        <v>553.78800000000001</v>
      </c>
      <c r="AC124" s="1623">
        <v>61.3005337962</v>
      </c>
      <c r="AD124" s="1630">
        <v>7651.1469999999999</v>
      </c>
      <c r="AE124" s="1630">
        <v>1186.0416596639</v>
      </c>
      <c r="AF124" s="1630">
        <v>4937.1620000000003</v>
      </c>
      <c r="AG124" s="1630">
        <v>958.99678218999998</v>
      </c>
      <c r="AH124" s="1630">
        <v>669.18399999999997</v>
      </c>
      <c r="AI124" s="1630">
        <v>102.38482084269999</v>
      </c>
      <c r="AJ124" s="1630">
        <v>32.43</v>
      </c>
      <c r="AK124" s="1548">
        <v>0.80185499999999998</v>
      </c>
      <c r="AL124" s="1630">
        <v>1615.0519999999999</v>
      </c>
      <c r="AM124" s="1630">
        <v>75.699854503599994</v>
      </c>
      <c r="AN124" s="1630"/>
      <c r="AO124" s="1630"/>
      <c r="AP124" s="1630">
        <v>429.74900000000002</v>
      </c>
      <c r="AQ124" s="1630">
        <v>48.960202127599999</v>
      </c>
      <c r="AR124" s="1630">
        <v>27.423999999999999</v>
      </c>
      <c r="AS124" s="1630">
        <v>11.4972356684</v>
      </c>
      <c r="AT124" s="1630">
        <v>402.32499999999999</v>
      </c>
      <c r="AU124" s="1630">
        <v>37.462966459199997</v>
      </c>
      <c r="AV124" s="1630">
        <v>889.44600000000003</v>
      </c>
      <c r="AW124" s="1630">
        <v>163.05389249859999</v>
      </c>
      <c r="AX124" s="1630">
        <v>240.04599999999999</v>
      </c>
      <c r="AY124" s="1630">
        <v>51.06686844</v>
      </c>
      <c r="AZ124" s="1630">
        <v>223.18299999999999</v>
      </c>
      <c r="BA124" s="1630">
        <v>60.367837332800001</v>
      </c>
      <c r="BB124" s="1630">
        <v>7.6440000000000001</v>
      </c>
      <c r="BC124" s="1548">
        <v>0.32025599999999999</v>
      </c>
      <c r="BD124" s="1630">
        <v>263.85199999999998</v>
      </c>
      <c r="BE124" s="1630">
        <v>23.103135940000001</v>
      </c>
      <c r="BF124" s="1630"/>
      <c r="BG124" s="1630"/>
      <c r="BH124" s="1630">
        <v>162.36500000000001</v>
      </c>
      <c r="BI124" s="1630">
        <v>28.516050785800001</v>
      </c>
      <c r="BJ124" s="1630">
        <v>10.901999999999999</v>
      </c>
      <c r="BK124" s="1630">
        <v>4.6784834488000007</v>
      </c>
      <c r="BL124" s="1630">
        <v>151.46299999999999</v>
      </c>
      <c r="BM124" s="1630">
        <v>23.837567337000003</v>
      </c>
    </row>
    <row r="125" spans="1:65">
      <c r="A125" s="1627" t="s">
        <v>20</v>
      </c>
      <c r="B125" s="1638">
        <v>6019.65</v>
      </c>
      <c r="C125" s="1638">
        <v>369.93900000000002</v>
      </c>
      <c r="D125" s="1638">
        <v>2512.6689999999999</v>
      </c>
      <c r="E125" s="1638">
        <v>1915.4849999999999</v>
      </c>
      <c r="F125" s="1638">
        <v>878.245</v>
      </c>
      <c r="G125" s="1623">
        <v>713.25099999999998</v>
      </c>
      <c r="H125" s="1638">
        <v>10090.708000000001</v>
      </c>
      <c r="I125" s="1638">
        <v>1542.7114686847999</v>
      </c>
      <c r="J125" s="1630">
        <v>6043.9629999999997</v>
      </c>
      <c r="K125" s="1623">
        <v>1170.27077074</v>
      </c>
      <c r="L125" s="1630">
        <v>35.247</v>
      </c>
      <c r="M125" s="1630">
        <v>60.9209931149</v>
      </c>
      <c r="N125" s="1630">
        <v>105.22799999999999</v>
      </c>
      <c r="O125" s="1630">
        <v>17.050311000000001</v>
      </c>
      <c r="P125" s="1630">
        <v>1034.8589999999999</v>
      </c>
      <c r="Q125" s="1638">
        <v>89.675095082699997</v>
      </c>
      <c r="R125" s="1638">
        <v>44.276000000000003</v>
      </c>
      <c r="S125" s="1640">
        <v>1.3271660000000001</v>
      </c>
      <c r="T125" s="1638">
        <v>2140.2260000000001</v>
      </c>
      <c r="U125" s="1638">
        <v>106.83484859719999</v>
      </c>
      <c r="V125" s="1638"/>
      <c r="W125" s="1638"/>
      <c r="X125" s="1623">
        <v>731.18499999999995</v>
      </c>
      <c r="Y125" s="1623">
        <v>97.959450149999995</v>
      </c>
      <c r="Z125" s="1623">
        <v>46.552999999999997</v>
      </c>
      <c r="AA125" s="1623">
        <v>17.66054038</v>
      </c>
      <c r="AB125" s="1623">
        <v>684.63199999999995</v>
      </c>
      <c r="AC125" s="1623">
        <v>80.298909769999995</v>
      </c>
      <c r="AD125" s="1630">
        <v>9036.9760000000006</v>
      </c>
      <c r="AE125" s="1630">
        <v>1380.7979559247999</v>
      </c>
      <c r="AF125" s="1630">
        <v>5859.0709999999999</v>
      </c>
      <c r="AG125" s="1630">
        <v>1127.4884654499999</v>
      </c>
      <c r="AH125" s="1630">
        <v>810.03399999999999</v>
      </c>
      <c r="AI125" s="1630">
        <v>115.11793933760001</v>
      </c>
      <c r="AJ125" s="1630">
        <v>35.454999999999998</v>
      </c>
      <c r="AK125" s="1548">
        <v>0.93624399999999997</v>
      </c>
      <c r="AL125" s="1630">
        <v>1839.81</v>
      </c>
      <c r="AM125" s="1630">
        <v>78.768295667199993</v>
      </c>
      <c r="AN125" s="1630"/>
      <c r="AO125" s="1630"/>
      <c r="AP125" s="1630">
        <v>528.06100000000004</v>
      </c>
      <c r="AQ125" s="1630">
        <v>59.423255470000001</v>
      </c>
      <c r="AR125" s="1630">
        <v>33.241</v>
      </c>
      <c r="AS125" s="1630">
        <v>11.90568264</v>
      </c>
      <c r="AT125" s="1630">
        <v>494.82</v>
      </c>
      <c r="AU125" s="1630">
        <v>47.517572829999999</v>
      </c>
      <c r="AV125" s="1630">
        <v>1053.732</v>
      </c>
      <c r="AW125" s="1630">
        <v>161.91351276</v>
      </c>
      <c r="AX125" s="1630">
        <v>290.12</v>
      </c>
      <c r="AY125" s="1630">
        <v>59.832616289999997</v>
      </c>
      <c r="AZ125" s="1630">
        <v>260.072</v>
      </c>
      <c r="BA125" s="1630">
        <v>35.478148859999997</v>
      </c>
      <c r="BB125" s="1630">
        <v>8.8209999999999997</v>
      </c>
      <c r="BC125" s="1548">
        <v>0.39092199999999999</v>
      </c>
      <c r="BD125" s="1630">
        <v>300.416</v>
      </c>
      <c r="BE125" s="1630">
        <v>28.06655293</v>
      </c>
      <c r="BF125" s="1630"/>
      <c r="BG125" s="1630"/>
      <c r="BH125" s="1630">
        <v>203.124</v>
      </c>
      <c r="BI125" s="1630">
        <v>38.536194680000001</v>
      </c>
      <c r="BJ125" s="1630">
        <v>13.311999999999999</v>
      </c>
      <c r="BK125" s="1630">
        <v>5.7548577400000003</v>
      </c>
      <c r="BL125" s="1630">
        <v>189.81200000000001</v>
      </c>
      <c r="BM125" s="1630">
        <v>32.781336940000003</v>
      </c>
    </row>
    <row r="126" spans="1:65">
      <c r="A126" s="1627" t="s">
        <v>21</v>
      </c>
      <c r="B126" s="1638">
        <v>6116.8980000000001</v>
      </c>
      <c r="C126" s="1638">
        <v>380.851</v>
      </c>
      <c r="D126" s="1638">
        <v>2511.48</v>
      </c>
      <c r="E126" s="1638">
        <v>1912.5229999999999</v>
      </c>
      <c r="F126" s="1638">
        <v>938.05100000000004</v>
      </c>
      <c r="G126" s="1623">
        <v>754.84400000000005</v>
      </c>
      <c r="H126" s="1638">
        <v>9042.2150000000001</v>
      </c>
      <c r="I126" s="1638">
        <v>1391.4545231018001</v>
      </c>
      <c r="J126" s="1630">
        <v>5111.6689999999999</v>
      </c>
      <c r="K126" s="1623">
        <v>1011.2048344900001</v>
      </c>
      <c r="L126" s="1630">
        <v>31.635999999999999</v>
      </c>
      <c r="M126" s="1630">
        <v>72.064995836799994</v>
      </c>
      <c r="N126" s="1630">
        <v>102.709</v>
      </c>
      <c r="O126" s="1630">
        <v>17.595891000000002</v>
      </c>
      <c r="P126" s="1630">
        <v>1002.228</v>
      </c>
      <c r="Q126" s="1638">
        <v>83.620510154000002</v>
      </c>
      <c r="R126" s="1638">
        <v>48.015999999999998</v>
      </c>
      <c r="S126" s="1640">
        <v>1.5059100000000001</v>
      </c>
      <c r="T126" s="1638">
        <v>2106.5740000000001</v>
      </c>
      <c r="U126" s="1638">
        <v>123.387781191</v>
      </c>
      <c r="V126" s="1638"/>
      <c r="W126" s="1638"/>
      <c r="X126" s="1623">
        <v>687.399</v>
      </c>
      <c r="Y126" s="1623">
        <v>83.580510430000004</v>
      </c>
      <c r="Z126" s="1623">
        <v>43.548999999999999</v>
      </c>
      <c r="AA126" s="1623">
        <v>16.482983230000002</v>
      </c>
      <c r="AB126" s="1623">
        <v>643.85</v>
      </c>
      <c r="AC126" s="1623">
        <v>67.097527200000002</v>
      </c>
      <c r="AD126" s="1630">
        <v>7949.8130000000001</v>
      </c>
      <c r="AE126" s="1630">
        <v>1230.0955685517999</v>
      </c>
      <c r="AF126" s="1630">
        <v>4879.049</v>
      </c>
      <c r="AG126" s="1630">
        <v>960.75598794999996</v>
      </c>
      <c r="AH126" s="1630">
        <v>768.78899999999999</v>
      </c>
      <c r="AI126" s="1630">
        <v>120.0589435408</v>
      </c>
      <c r="AJ126" s="1630">
        <v>39.045000000000002</v>
      </c>
      <c r="AK126" s="1548">
        <v>1.090873</v>
      </c>
      <c r="AL126" s="1630">
        <v>1794.8979999999999</v>
      </c>
      <c r="AM126" s="1630">
        <v>94.640909340999997</v>
      </c>
      <c r="AN126" s="1630"/>
      <c r="AO126" s="1630"/>
      <c r="AP126" s="1630">
        <v>507.077</v>
      </c>
      <c r="AQ126" s="1630">
        <v>54.639727720000003</v>
      </c>
      <c r="AR126" s="1630">
        <v>31.754999999999999</v>
      </c>
      <c r="AS126" s="1630">
        <v>11.47164926</v>
      </c>
      <c r="AT126" s="1630">
        <v>475.322</v>
      </c>
      <c r="AU126" s="1630">
        <v>43.168078460000004</v>
      </c>
      <c r="AV126" s="1630">
        <v>1092.402</v>
      </c>
      <c r="AW126" s="1630">
        <v>161.35895454999999</v>
      </c>
      <c r="AX126" s="1630">
        <v>335.32900000000001</v>
      </c>
      <c r="AY126" s="1630">
        <v>68.04473754</v>
      </c>
      <c r="AZ126" s="1630">
        <v>265.07499999999999</v>
      </c>
      <c r="BA126" s="1630">
        <v>35.626562450000002</v>
      </c>
      <c r="BB126" s="1630">
        <v>8.9710000000000001</v>
      </c>
      <c r="BC126" s="1548">
        <v>0.41503699999999999</v>
      </c>
      <c r="BD126" s="1630">
        <v>311.67599999999999</v>
      </c>
      <c r="BE126" s="1630">
        <v>28.746871850000002</v>
      </c>
      <c r="BF126" s="1630"/>
      <c r="BG126" s="1630"/>
      <c r="BH126" s="1630">
        <v>180.322</v>
      </c>
      <c r="BI126" s="1630">
        <v>28.940782710000001</v>
      </c>
      <c r="BJ126" s="1630">
        <v>11.794</v>
      </c>
      <c r="BK126" s="1630">
        <v>5.0113339699999999</v>
      </c>
      <c r="BL126" s="1630">
        <v>168.52799999999999</v>
      </c>
      <c r="BM126" s="1630">
        <v>23.929448740000002</v>
      </c>
    </row>
    <row r="127" spans="1:65">
      <c r="A127" s="1627" t="s">
        <v>22</v>
      </c>
      <c r="B127" s="1638">
        <v>6174.8909999999996</v>
      </c>
      <c r="C127" s="1638">
        <v>398.53199999999998</v>
      </c>
      <c r="D127" s="1638">
        <v>2513.223</v>
      </c>
      <c r="E127" s="1638">
        <v>1900.6020000000001</v>
      </c>
      <c r="F127" s="1638">
        <v>977.51499999999999</v>
      </c>
      <c r="G127" s="1623">
        <v>783.55100000000004</v>
      </c>
      <c r="H127" s="1638">
        <v>9991.2060000000001</v>
      </c>
      <c r="I127" s="1638">
        <v>1514.4655764237</v>
      </c>
      <c r="J127" s="1630">
        <v>5661.4679999999998</v>
      </c>
      <c r="K127" s="1623">
        <v>1110.2853761399999</v>
      </c>
      <c r="L127" s="1630">
        <v>31.745000000000001</v>
      </c>
      <c r="M127" s="1630">
        <v>66.6715366488</v>
      </c>
      <c r="N127" s="1630">
        <v>116.727</v>
      </c>
      <c r="O127" s="1630">
        <v>18.351497999999999</v>
      </c>
      <c r="P127" s="1630">
        <v>1192.951</v>
      </c>
      <c r="Q127" s="1638">
        <v>91.730972502900002</v>
      </c>
      <c r="R127" s="1638">
        <v>60.732999999999997</v>
      </c>
      <c r="S127" s="1640">
        <v>1.71526983</v>
      </c>
      <c r="T127" s="1638">
        <v>2250.4140000000002</v>
      </c>
      <c r="U127" s="1638">
        <v>132.566158742</v>
      </c>
      <c r="V127" s="1638"/>
      <c r="W127" s="1638"/>
      <c r="X127" s="1623">
        <v>737.90099999999995</v>
      </c>
      <c r="Y127" s="1623">
        <v>94.860034389999996</v>
      </c>
      <c r="Z127" s="1623">
        <v>49.545999999999999</v>
      </c>
      <c r="AA127" s="1623">
        <v>18.38653493</v>
      </c>
      <c r="AB127" s="1623">
        <v>688.35500000000002</v>
      </c>
      <c r="AC127" s="1623">
        <v>76.473499460000014</v>
      </c>
      <c r="AD127" s="1630">
        <v>8786.2790000000005</v>
      </c>
      <c r="AE127" s="1630">
        <v>1344.1246877025001</v>
      </c>
      <c r="AF127" s="1630">
        <v>5415.1959999999999</v>
      </c>
      <c r="AG127" s="1630">
        <v>1058.4276867200001</v>
      </c>
      <c r="AH127" s="1630">
        <v>907.02800000000002</v>
      </c>
      <c r="AI127" s="1630">
        <v>124.23439119050001</v>
      </c>
      <c r="AJ127" s="1630">
        <v>49.279000000000003</v>
      </c>
      <c r="AK127" s="1548">
        <v>1.18975673</v>
      </c>
      <c r="AL127" s="1630">
        <v>1926.778</v>
      </c>
      <c r="AM127" s="1630">
        <v>100.090134162</v>
      </c>
      <c r="AN127" s="1630"/>
      <c r="AO127" s="1630"/>
      <c r="AP127" s="1630">
        <v>537.27700000000004</v>
      </c>
      <c r="AQ127" s="1630">
        <v>61.372475629999997</v>
      </c>
      <c r="AR127" s="1630">
        <v>35.677</v>
      </c>
      <c r="AS127" s="1630">
        <v>12.843694259999999</v>
      </c>
      <c r="AT127" s="1630">
        <v>501.6</v>
      </c>
      <c r="AU127" s="1630">
        <v>48.528781370000004</v>
      </c>
      <c r="AV127" s="1630">
        <v>1204.9269999999999</v>
      </c>
      <c r="AW127" s="1630">
        <v>170.3408887212</v>
      </c>
      <c r="AX127" s="1630">
        <v>362.99900000000002</v>
      </c>
      <c r="AY127" s="1630">
        <v>70.209187420000006</v>
      </c>
      <c r="AZ127" s="1630">
        <v>317.66800000000001</v>
      </c>
      <c r="BA127" s="1630">
        <v>34.168117961199997</v>
      </c>
      <c r="BB127" s="1630">
        <v>11.454000000000001</v>
      </c>
      <c r="BC127" s="1548">
        <v>0.52551309999999996</v>
      </c>
      <c r="BD127" s="1630">
        <v>323.63600000000002</v>
      </c>
      <c r="BE127" s="1630">
        <v>32.476024580000001</v>
      </c>
      <c r="BF127" s="1630"/>
      <c r="BG127" s="1630"/>
      <c r="BH127" s="1630">
        <v>200.624</v>
      </c>
      <c r="BI127" s="1630">
        <v>33.487558759999999</v>
      </c>
      <c r="BJ127" s="1630">
        <v>13.869</v>
      </c>
      <c r="BK127" s="1630">
        <v>5.5428406700000004</v>
      </c>
      <c r="BL127" s="1630">
        <v>186.755</v>
      </c>
      <c r="BM127" s="1630">
        <v>27.944718089999999</v>
      </c>
    </row>
    <row r="128" spans="1:65">
      <c r="A128" s="1627" t="s">
        <v>23</v>
      </c>
      <c r="B128" s="1638">
        <v>6218.3230000000003</v>
      </c>
      <c r="C128" s="1638">
        <v>409.03199999999998</v>
      </c>
      <c r="D128" s="1638">
        <v>2520.848</v>
      </c>
      <c r="E128" s="1638">
        <v>1899.817</v>
      </c>
      <c r="F128" s="1638">
        <v>998.22400000000005</v>
      </c>
      <c r="G128" s="1623">
        <v>799.43399999999997</v>
      </c>
      <c r="H128" s="1638">
        <v>9529.4500000000007</v>
      </c>
      <c r="I128" s="1638">
        <v>1437.3650918444</v>
      </c>
      <c r="J128" s="1630">
        <v>5335.0690000000004</v>
      </c>
      <c r="K128" s="1623">
        <v>1055.4949325</v>
      </c>
      <c r="L128" s="1630">
        <v>32.442</v>
      </c>
      <c r="M128" s="1630">
        <v>61.522160419999999</v>
      </c>
      <c r="N128" s="1630">
        <v>108.80500000000001</v>
      </c>
      <c r="O128" s="1630">
        <v>17.043253</v>
      </c>
      <c r="P128" s="1630">
        <v>1177.0909999999999</v>
      </c>
      <c r="Q128" s="1638">
        <v>85.539243772999995</v>
      </c>
      <c r="R128" s="1638">
        <v>59.558</v>
      </c>
      <c r="S128" s="1640">
        <v>1.60352805</v>
      </c>
      <c r="T128" s="1638">
        <v>2180.377</v>
      </c>
      <c r="U128" s="1638">
        <v>126.7775011814</v>
      </c>
      <c r="V128" s="1638"/>
      <c r="W128" s="1638"/>
      <c r="X128" s="1623">
        <v>695.66600000000005</v>
      </c>
      <c r="Y128" s="1623">
        <v>90.988000970000002</v>
      </c>
      <c r="Z128" s="1623">
        <v>43.23</v>
      </c>
      <c r="AA128" s="1623">
        <v>16.334699839999999</v>
      </c>
      <c r="AB128" s="1623">
        <v>652.43600000000004</v>
      </c>
      <c r="AC128" s="1623">
        <v>74.653301129999988</v>
      </c>
      <c r="AD128" s="1630">
        <v>8369.6869999999999</v>
      </c>
      <c r="AE128" s="1630">
        <v>1272.5583930253999</v>
      </c>
      <c r="AF128" s="1630">
        <v>5092.4059999999999</v>
      </c>
      <c r="AG128" s="1630">
        <v>1004.83306109</v>
      </c>
      <c r="AH128" s="1630">
        <v>896.14300000000003</v>
      </c>
      <c r="AI128" s="1630">
        <v>114.228256774</v>
      </c>
      <c r="AJ128" s="1630">
        <v>48.447000000000003</v>
      </c>
      <c r="AK128" s="1548">
        <v>1.1521838500000001</v>
      </c>
      <c r="AL128" s="1630">
        <v>1873.3219999999999</v>
      </c>
      <c r="AM128" s="1630">
        <v>95.027557631400001</v>
      </c>
      <c r="AN128" s="1630"/>
      <c r="AO128" s="1630"/>
      <c r="AP128" s="1630">
        <v>507.81599999999997</v>
      </c>
      <c r="AQ128" s="1630">
        <v>58.469517529999997</v>
      </c>
      <c r="AR128" s="1630">
        <v>30.920999999999999</v>
      </c>
      <c r="AS128" s="1630">
        <v>11.01470829</v>
      </c>
      <c r="AT128" s="1630">
        <v>476.89499999999998</v>
      </c>
      <c r="AU128" s="1630">
        <v>47.454809239999996</v>
      </c>
      <c r="AV128" s="1630">
        <v>1159.7629999999999</v>
      </c>
      <c r="AW128" s="1630">
        <v>164.80669881899999</v>
      </c>
      <c r="AX128" s="1630">
        <v>351.46800000000002</v>
      </c>
      <c r="AY128" s="1630">
        <v>67.705124409999996</v>
      </c>
      <c r="AZ128" s="1630">
        <v>313.39</v>
      </c>
      <c r="BA128" s="1630">
        <v>32.833147418999999</v>
      </c>
      <c r="BB128" s="1630">
        <v>11.111000000000001</v>
      </c>
      <c r="BC128" s="1548">
        <v>0.45134420000000003</v>
      </c>
      <c r="BD128" s="1630">
        <v>307.05500000000001</v>
      </c>
      <c r="BE128" s="1630">
        <v>31.749943550000001</v>
      </c>
      <c r="BF128" s="1630"/>
      <c r="BG128" s="1630"/>
      <c r="BH128" s="1630">
        <v>187.85</v>
      </c>
      <c r="BI128" s="1630">
        <v>32.518483439999997</v>
      </c>
      <c r="BJ128" s="1630">
        <v>12.308999999999999</v>
      </c>
      <c r="BK128" s="1630">
        <v>5.3199915500000001</v>
      </c>
      <c r="BL128" s="1630">
        <v>175.541</v>
      </c>
      <c r="BM128" s="1630">
        <v>27.19849189</v>
      </c>
    </row>
    <row r="129" spans="1:65">
      <c r="A129" s="1627" t="s">
        <v>24</v>
      </c>
      <c r="B129" s="1638">
        <v>6289.0839999999998</v>
      </c>
      <c r="C129" s="1638">
        <v>436.19799999999998</v>
      </c>
      <c r="D129" s="1638">
        <v>2521.4029999999998</v>
      </c>
      <c r="E129" s="1638">
        <v>1929.5940000000001</v>
      </c>
      <c r="F129" s="1638">
        <v>1015.572</v>
      </c>
      <c r="G129" s="1623">
        <v>822.51499999999999</v>
      </c>
      <c r="H129" s="1638">
        <v>10486.421</v>
      </c>
      <c r="I129" s="1638">
        <v>1667.7806076464001</v>
      </c>
      <c r="J129" s="1630">
        <v>5776.5190000000002</v>
      </c>
      <c r="K129" s="1623">
        <v>1210.35304071</v>
      </c>
      <c r="L129" s="1630">
        <v>31.57</v>
      </c>
      <c r="M129" s="1630">
        <v>66.634042846400007</v>
      </c>
      <c r="N129" s="1630">
        <v>120.842</v>
      </c>
      <c r="O129" s="1630">
        <v>19.64424034</v>
      </c>
      <c r="P129" s="1630">
        <v>1328.4760000000001</v>
      </c>
      <c r="Q129" s="1638">
        <v>100.01048146799999</v>
      </c>
      <c r="R129" s="1638">
        <v>72.138000000000005</v>
      </c>
      <c r="S129" s="1640">
        <v>1.9641461299999998</v>
      </c>
      <c r="T129" s="1638">
        <v>2447.6390000000001</v>
      </c>
      <c r="U129" s="1638">
        <v>155.296983552</v>
      </c>
      <c r="V129" s="1638"/>
      <c r="W129" s="1638"/>
      <c r="X129" s="1623">
        <v>781.375</v>
      </c>
      <c r="Y129" s="1623">
        <v>115.84181873</v>
      </c>
      <c r="Z129" s="1623">
        <v>42.353999999999999</v>
      </c>
      <c r="AA129" s="1623">
        <v>15.872672919999999</v>
      </c>
      <c r="AB129" s="1623">
        <v>739.02099999999996</v>
      </c>
      <c r="AC129" s="1623">
        <v>99.969145810000001</v>
      </c>
      <c r="AD129" s="1630">
        <v>9202.893</v>
      </c>
      <c r="AE129" s="1630">
        <v>1470.1975376384</v>
      </c>
      <c r="AF129" s="1630">
        <v>5517.277</v>
      </c>
      <c r="AG129" s="1630">
        <v>1153.7622680100001</v>
      </c>
      <c r="AH129" s="1630">
        <v>1012.962</v>
      </c>
      <c r="AI129" s="1630">
        <v>128.8026833424</v>
      </c>
      <c r="AJ129" s="1630">
        <v>59.744</v>
      </c>
      <c r="AK129" s="1548">
        <v>1.4153429199999998</v>
      </c>
      <c r="AL129" s="1630">
        <v>2098.1999999999998</v>
      </c>
      <c r="AM129" s="1630">
        <v>110.955255596</v>
      </c>
      <c r="AN129" s="1630"/>
      <c r="AO129" s="1630"/>
      <c r="AP129" s="1630">
        <v>574.45399999999995</v>
      </c>
      <c r="AQ129" s="1630">
        <v>76.677330690000005</v>
      </c>
      <c r="AR129" s="1630">
        <v>30.951000000000001</v>
      </c>
      <c r="AS129" s="1630">
        <v>10.99333923</v>
      </c>
      <c r="AT129" s="1630">
        <v>543.50300000000004</v>
      </c>
      <c r="AU129" s="1630">
        <v>65.683991460000001</v>
      </c>
      <c r="AV129" s="1630">
        <v>1283.528</v>
      </c>
      <c r="AW129" s="1630">
        <v>197.58307000799999</v>
      </c>
      <c r="AX129" s="1630">
        <v>380.084</v>
      </c>
      <c r="AY129" s="1630">
        <v>76.235013039999998</v>
      </c>
      <c r="AZ129" s="1630">
        <v>347.084</v>
      </c>
      <c r="BA129" s="1630">
        <v>37.841840972</v>
      </c>
      <c r="BB129" s="1630">
        <v>12.394</v>
      </c>
      <c r="BC129" s="1548">
        <v>0.54880320999999999</v>
      </c>
      <c r="BD129" s="1630">
        <v>349.43900000000002</v>
      </c>
      <c r="BE129" s="1630">
        <v>44.341727956</v>
      </c>
      <c r="BF129" s="1630"/>
      <c r="BG129" s="1630"/>
      <c r="BH129" s="1630">
        <v>206.92099999999999</v>
      </c>
      <c r="BI129" s="1630">
        <v>39.164488040000002</v>
      </c>
      <c r="BJ129" s="1630">
        <v>11.403</v>
      </c>
      <c r="BK129" s="1630">
        <v>4.8793336900000002</v>
      </c>
      <c r="BL129" s="1630">
        <v>195.518</v>
      </c>
      <c r="BM129" s="1630">
        <v>34.285154349999999</v>
      </c>
    </row>
    <row r="130" spans="1:65">
      <c r="A130" s="1627" t="s">
        <v>25</v>
      </c>
      <c r="B130" s="1638">
        <v>6339.0479999999998</v>
      </c>
      <c r="C130" s="1638">
        <v>475.584</v>
      </c>
      <c r="D130" s="1638">
        <v>2504.8290000000002</v>
      </c>
      <c r="E130" s="1638">
        <v>1950.5840000000001</v>
      </c>
      <c r="F130" s="1638">
        <v>1047.7470000000001</v>
      </c>
      <c r="G130" s="1623">
        <v>835.88800000000003</v>
      </c>
      <c r="H130" s="1638">
        <v>9928.5580000000009</v>
      </c>
      <c r="I130" s="1638">
        <v>1547.4760278619999</v>
      </c>
      <c r="J130" s="1630">
        <v>5317.2839999999997</v>
      </c>
      <c r="K130" s="1623">
        <v>1068.2135549100001</v>
      </c>
      <c r="L130" s="1630">
        <v>31.341000000000001</v>
      </c>
      <c r="M130" s="1630">
        <v>75.345752676100005</v>
      </c>
      <c r="N130" s="1630">
        <v>119.70699999999999</v>
      </c>
      <c r="O130" s="1630">
        <v>19.718188000000001</v>
      </c>
      <c r="P130" s="1630">
        <v>1277.191</v>
      </c>
      <c r="Q130" s="1638">
        <v>95.562809027699998</v>
      </c>
      <c r="R130" s="1638">
        <v>66.509</v>
      </c>
      <c r="S130" s="1640">
        <v>1.7756633100000001</v>
      </c>
      <c r="T130" s="1638">
        <v>2294.9369999999999</v>
      </c>
      <c r="U130" s="1638">
        <v>157.3279477582</v>
      </c>
      <c r="V130" s="1638"/>
      <c r="W130" s="1638"/>
      <c r="X130" s="1623">
        <v>888.09799999999996</v>
      </c>
      <c r="Y130" s="1623">
        <v>131.30777549000001</v>
      </c>
      <c r="Z130" s="1623">
        <v>47.945999999999998</v>
      </c>
      <c r="AA130" s="1623">
        <v>17.54844473</v>
      </c>
      <c r="AB130" s="1623">
        <v>840.15200000000004</v>
      </c>
      <c r="AC130" s="1623">
        <v>113.75933076</v>
      </c>
      <c r="AD130" s="1630">
        <v>8568.5519999999997</v>
      </c>
      <c r="AE130" s="1630">
        <v>1334.8567996419999</v>
      </c>
      <c r="AF130" s="1630">
        <v>5016.8329999999996</v>
      </c>
      <c r="AG130" s="1630">
        <v>1003.1768399600001</v>
      </c>
      <c r="AH130" s="1630">
        <v>950.18100000000004</v>
      </c>
      <c r="AI130" s="1630">
        <v>131.48051346380001</v>
      </c>
      <c r="AJ130" s="1630">
        <v>53.031999999999996</v>
      </c>
      <c r="AK130" s="1548">
        <v>1.2350983200000001</v>
      </c>
      <c r="AL130" s="1630">
        <v>1954.116</v>
      </c>
      <c r="AM130" s="1630">
        <v>114.3125287182</v>
      </c>
      <c r="AN130" s="1630"/>
      <c r="AO130" s="1630"/>
      <c r="AP130" s="1630">
        <v>647.42200000000003</v>
      </c>
      <c r="AQ130" s="1630">
        <v>85.886917499999996</v>
      </c>
      <c r="AR130" s="1630">
        <v>35.216999999999999</v>
      </c>
      <c r="AS130" s="1630">
        <v>11.986780550000001</v>
      </c>
      <c r="AT130" s="1630">
        <v>612.20500000000004</v>
      </c>
      <c r="AU130" s="1630">
        <v>73.900136950000004</v>
      </c>
      <c r="AV130" s="1630">
        <v>1360.0060000000001</v>
      </c>
      <c r="AW130" s="1630">
        <v>212.61922822</v>
      </c>
      <c r="AX130" s="1630">
        <v>420.15800000000002</v>
      </c>
      <c r="AY130" s="1630">
        <v>84.754902950000002</v>
      </c>
      <c r="AZ130" s="1630">
        <v>358.351</v>
      </c>
      <c r="BA130" s="1630">
        <v>39.428048240000003</v>
      </c>
      <c r="BB130" s="1630">
        <v>13.477</v>
      </c>
      <c r="BC130" s="1548">
        <v>0.54056499000000002</v>
      </c>
      <c r="BD130" s="1630">
        <v>340.82100000000003</v>
      </c>
      <c r="BE130" s="1630">
        <v>43.015419039999998</v>
      </c>
      <c r="BF130" s="1630"/>
      <c r="BG130" s="1630"/>
      <c r="BH130" s="1630">
        <v>240.67599999999999</v>
      </c>
      <c r="BI130" s="1630">
        <v>45.420857990000002</v>
      </c>
      <c r="BJ130" s="1630">
        <v>12.728999999999999</v>
      </c>
      <c r="BK130" s="1630">
        <v>5.5616641799999993</v>
      </c>
      <c r="BL130" s="1630">
        <v>227.947</v>
      </c>
      <c r="BM130" s="1630">
        <v>39.859193810000001</v>
      </c>
    </row>
    <row r="131" spans="1:65">
      <c r="A131" s="1627" t="s">
        <v>26</v>
      </c>
      <c r="B131" s="1638">
        <v>6476.0590000000002</v>
      </c>
      <c r="C131" s="1638">
        <v>513.47799999999995</v>
      </c>
      <c r="D131" s="1638">
        <v>2547.2449999999999</v>
      </c>
      <c r="E131" s="1638">
        <v>2010.788</v>
      </c>
      <c r="F131" s="1638">
        <v>1134.856</v>
      </c>
      <c r="G131" s="1623">
        <v>783.17</v>
      </c>
      <c r="H131" s="1638">
        <v>9636.375</v>
      </c>
      <c r="I131" s="1638">
        <v>1439.5456659202</v>
      </c>
      <c r="J131" s="1630">
        <v>5387.0010000000002</v>
      </c>
      <c r="K131" s="1623">
        <v>1034.5232342100001</v>
      </c>
      <c r="L131" s="1630">
        <v>23.088000000000001</v>
      </c>
      <c r="M131" s="1630">
        <v>68.713806570000003</v>
      </c>
      <c r="N131" s="1630">
        <v>124.367</v>
      </c>
      <c r="O131" s="1630">
        <v>12.043042</v>
      </c>
      <c r="P131" s="1630">
        <v>1226.5250000000001</v>
      </c>
      <c r="Q131" s="1638">
        <v>89.547614936100004</v>
      </c>
      <c r="R131" s="1638">
        <v>79.771000000000001</v>
      </c>
      <c r="S131" s="1640">
        <v>1.96869041</v>
      </c>
      <c r="T131" s="1638">
        <v>2090.895</v>
      </c>
      <c r="U131" s="1638">
        <v>137.71113338410001</v>
      </c>
      <c r="V131" s="1638"/>
      <c r="W131" s="1638"/>
      <c r="X131" s="1623">
        <v>784.49900000000002</v>
      </c>
      <c r="Y131" s="1623">
        <v>97.006834819999995</v>
      </c>
      <c r="Z131" s="1623">
        <v>43.287999999999997</v>
      </c>
      <c r="AA131" s="1623">
        <v>15.864915310000001</v>
      </c>
      <c r="AB131" s="1623">
        <v>741.21100000000001</v>
      </c>
      <c r="AC131" s="1623">
        <v>81.141919509999994</v>
      </c>
      <c r="AD131" s="1630">
        <v>8597.8610000000008</v>
      </c>
      <c r="AE131" s="1630">
        <v>1304.5466832602001</v>
      </c>
      <c r="AF131" s="1630">
        <v>5193.0910000000003</v>
      </c>
      <c r="AG131" s="1630">
        <v>994.13284422000004</v>
      </c>
      <c r="AH131" s="1630">
        <v>931.24800000000005</v>
      </c>
      <c r="AI131" s="1630">
        <v>125.4516804661</v>
      </c>
      <c r="AJ131" s="1630">
        <v>65.317999999999998</v>
      </c>
      <c r="AK131" s="1548">
        <v>1.4103654999999999</v>
      </c>
      <c r="AL131" s="1630">
        <v>1834.7529999999999</v>
      </c>
      <c r="AM131" s="1630">
        <v>109.7246049141</v>
      </c>
      <c r="AN131" s="1630"/>
      <c r="AO131" s="1630"/>
      <c r="AP131" s="1630">
        <v>638.76900000000001</v>
      </c>
      <c r="AQ131" s="1630">
        <v>75.237553660000003</v>
      </c>
      <c r="AR131" s="1630">
        <v>36.682000000000002</v>
      </c>
      <c r="AS131" s="1630">
        <v>13.38771081</v>
      </c>
      <c r="AT131" s="1630">
        <v>602.08699999999999</v>
      </c>
      <c r="AU131" s="1630">
        <v>61.849842849999995</v>
      </c>
      <c r="AV131" s="1630">
        <v>1038.5139999999999</v>
      </c>
      <c r="AW131" s="1630">
        <v>134.99898266</v>
      </c>
      <c r="AX131" s="1630">
        <v>318.27699999999999</v>
      </c>
      <c r="AY131" s="1630">
        <v>52.433431990000003</v>
      </c>
      <c r="AZ131" s="1630">
        <v>318.36500000000001</v>
      </c>
      <c r="BA131" s="1630">
        <v>32.809741039999999</v>
      </c>
      <c r="BB131" s="1630">
        <v>14.452999999999999</v>
      </c>
      <c r="BC131" s="1548">
        <v>0.55832491000000006</v>
      </c>
      <c r="BD131" s="1630">
        <v>256.142</v>
      </c>
      <c r="BE131" s="1630">
        <v>27.98652847</v>
      </c>
      <c r="BF131" s="1630"/>
      <c r="BG131" s="1630"/>
      <c r="BH131" s="1630">
        <v>145.72999999999999</v>
      </c>
      <c r="BI131" s="1630">
        <v>21.769281159999998</v>
      </c>
      <c r="BJ131" s="1630">
        <v>6.6059999999999999</v>
      </c>
      <c r="BK131" s="1630">
        <v>2.4772045</v>
      </c>
      <c r="BL131" s="1630">
        <v>139.124</v>
      </c>
      <c r="BM131" s="1630">
        <v>19.292076659999999</v>
      </c>
    </row>
    <row r="132" spans="1:65">
      <c r="A132" s="1627" t="s">
        <v>27</v>
      </c>
      <c r="B132" s="1638">
        <v>6562.848</v>
      </c>
      <c r="C132" s="1638">
        <v>529.74400000000003</v>
      </c>
      <c r="D132" s="1638">
        <v>2545.3809999999999</v>
      </c>
      <c r="E132" s="1638">
        <v>2050.386</v>
      </c>
      <c r="F132" s="1638">
        <v>1163.9259999999999</v>
      </c>
      <c r="G132" s="1623">
        <v>803.15499999999997</v>
      </c>
      <c r="H132" s="1638">
        <v>10895.864</v>
      </c>
      <c r="I132" s="1638">
        <v>1622.9343211574001</v>
      </c>
      <c r="J132" s="1630">
        <v>5839.3029999999999</v>
      </c>
      <c r="K132" s="1623">
        <v>1136.4412956900001</v>
      </c>
      <c r="L132" s="1630">
        <v>23.876000000000001</v>
      </c>
      <c r="M132" s="1630">
        <v>74.546484439300002</v>
      </c>
      <c r="N132" s="1630">
        <v>146.40299999999999</v>
      </c>
      <c r="O132" s="1630">
        <v>20.608124</v>
      </c>
      <c r="P132" s="1630">
        <v>1501.7</v>
      </c>
      <c r="Q132" s="1638">
        <v>109.6390294368</v>
      </c>
      <c r="R132" s="1638">
        <v>122.828</v>
      </c>
      <c r="S132" s="1640">
        <v>3.1476221099999999</v>
      </c>
      <c r="T132" s="1638">
        <v>2408.5349999999999</v>
      </c>
      <c r="U132" s="1638">
        <v>173.70501668130001</v>
      </c>
      <c r="V132" s="1638"/>
      <c r="W132" s="1638"/>
      <c r="X132" s="1623">
        <v>976.04700000000003</v>
      </c>
      <c r="Y132" s="1623">
        <v>107.99437091</v>
      </c>
      <c r="Z132" s="1623">
        <v>57.023000000000003</v>
      </c>
      <c r="AA132" s="1623">
        <v>19.431121530000002</v>
      </c>
      <c r="AB132" s="1623">
        <v>919.024</v>
      </c>
      <c r="AC132" s="1623">
        <v>88.563249380000002</v>
      </c>
      <c r="AD132" s="1630">
        <v>9730.6489999999994</v>
      </c>
      <c r="AE132" s="1630">
        <v>1484.4343069469001</v>
      </c>
      <c r="AF132" s="1630">
        <v>5653.9709999999995</v>
      </c>
      <c r="AG132" s="1630">
        <v>1104.04442868</v>
      </c>
      <c r="AH132" s="1630">
        <v>1148.7629999999999</v>
      </c>
      <c r="AI132" s="1630">
        <v>152.90376358610001</v>
      </c>
      <c r="AJ132" s="1630">
        <v>103.038</v>
      </c>
      <c r="AK132" s="1548">
        <v>2.4759246400000001</v>
      </c>
      <c r="AL132" s="1630">
        <v>2119.0030000000002</v>
      </c>
      <c r="AM132" s="1630">
        <v>141.9531589108</v>
      </c>
      <c r="AN132" s="1630"/>
      <c r="AO132" s="1630"/>
      <c r="AP132" s="1630">
        <v>808.91200000000003</v>
      </c>
      <c r="AQ132" s="1630">
        <v>85.532955770000001</v>
      </c>
      <c r="AR132" s="1630">
        <v>49.148000000000003</v>
      </c>
      <c r="AS132" s="1630">
        <v>16.90463523</v>
      </c>
      <c r="AT132" s="1630">
        <v>759.76400000000001</v>
      </c>
      <c r="AU132" s="1630">
        <v>68.62832053999999</v>
      </c>
      <c r="AV132" s="1630">
        <v>1165.2149999999999</v>
      </c>
      <c r="AW132" s="1630">
        <v>138.50001421050001</v>
      </c>
      <c r="AX132" s="1630">
        <v>331.73500000000001</v>
      </c>
      <c r="AY132" s="1630">
        <v>53.004991009999998</v>
      </c>
      <c r="AZ132" s="1630">
        <v>376.81299999999999</v>
      </c>
      <c r="BA132" s="1630">
        <v>31.281750290000002</v>
      </c>
      <c r="BB132" s="1630">
        <v>19.79</v>
      </c>
      <c r="BC132" s="1548">
        <v>0.67169747000000002</v>
      </c>
      <c r="BD132" s="1630">
        <v>289.53199999999998</v>
      </c>
      <c r="BE132" s="1630">
        <v>31.751857770499999</v>
      </c>
      <c r="BF132" s="1630"/>
      <c r="BG132" s="1630"/>
      <c r="BH132" s="1630">
        <v>167.13499999999999</v>
      </c>
      <c r="BI132" s="1630">
        <v>22.46141514</v>
      </c>
      <c r="BJ132" s="1630">
        <v>7.875</v>
      </c>
      <c r="BK132" s="1630">
        <v>2.5264862999999997</v>
      </c>
      <c r="BL132" s="1630">
        <v>159.26</v>
      </c>
      <c r="BM132" s="1630">
        <v>19.934928840000001</v>
      </c>
    </row>
    <row r="133" spans="1:65">
      <c r="A133" s="1627" t="s">
        <v>28</v>
      </c>
      <c r="B133" s="1638">
        <v>6618.4849999999997</v>
      </c>
      <c r="C133" s="1638">
        <v>548.024</v>
      </c>
      <c r="D133" s="1638">
        <v>2531.7919999999999</v>
      </c>
      <c r="E133" s="1638">
        <v>2059.6320000000001</v>
      </c>
      <c r="F133" s="1638">
        <v>1192.1679999999999</v>
      </c>
      <c r="G133" s="1623">
        <v>834.89300000000003</v>
      </c>
      <c r="H133" s="1638">
        <v>10605.295</v>
      </c>
      <c r="I133" s="1638">
        <v>1593.7609340535</v>
      </c>
      <c r="J133" s="1630">
        <v>5658.1130000000003</v>
      </c>
      <c r="K133" s="1623">
        <v>1122.95866475</v>
      </c>
      <c r="L133" s="1630">
        <v>22.434000000000001</v>
      </c>
      <c r="M133" s="1630">
        <v>64.238800490900005</v>
      </c>
      <c r="N133" s="1630">
        <v>127.511</v>
      </c>
      <c r="O133" s="1630">
        <v>18.986373</v>
      </c>
      <c r="P133" s="1630">
        <v>1487.952</v>
      </c>
      <c r="Q133" s="1638">
        <v>104.5811356621</v>
      </c>
      <c r="R133" s="1638">
        <v>102.18600000000001</v>
      </c>
      <c r="S133" s="1640">
        <v>2.5935636800000004</v>
      </c>
      <c r="T133" s="1638">
        <v>2311.712</v>
      </c>
      <c r="U133" s="1638">
        <v>182.03190875050001</v>
      </c>
      <c r="V133" s="1638"/>
      <c r="W133" s="1638"/>
      <c r="X133" s="1623">
        <v>997.57299999999998</v>
      </c>
      <c r="Y133" s="1623">
        <v>100.9640514</v>
      </c>
      <c r="Z133" s="1623">
        <v>52.375</v>
      </c>
      <c r="AA133" s="1623">
        <v>17.71942331</v>
      </c>
      <c r="AB133" s="1623">
        <v>945.19799999999998</v>
      </c>
      <c r="AC133" s="1623">
        <v>83.244628090000006</v>
      </c>
      <c r="AD133" s="1630">
        <v>9396.7810000000009</v>
      </c>
      <c r="AE133" s="1630">
        <v>1454.8914102834999</v>
      </c>
      <c r="AF133" s="1630">
        <v>5436.25</v>
      </c>
      <c r="AG133" s="1630">
        <v>1085.6968297599999</v>
      </c>
      <c r="AH133" s="1630">
        <v>1116.8009999999999</v>
      </c>
      <c r="AI133" s="1630">
        <v>139.60006255299999</v>
      </c>
      <c r="AJ133" s="1630">
        <v>81.474000000000004</v>
      </c>
      <c r="AK133" s="1548">
        <v>1.87700519</v>
      </c>
      <c r="AL133" s="1630">
        <v>2027.6949999999999</v>
      </c>
      <c r="AM133" s="1630">
        <v>150.45056568050001</v>
      </c>
      <c r="AN133" s="1630"/>
      <c r="AO133" s="1630"/>
      <c r="AP133" s="1630">
        <v>816.03499999999997</v>
      </c>
      <c r="AQ133" s="1630">
        <v>79.143952290000001</v>
      </c>
      <c r="AR133" s="1630">
        <v>45.216999999999999</v>
      </c>
      <c r="AS133" s="1630">
        <v>15.32287436</v>
      </c>
      <c r="AT133" s="1630">
        <v>770.81799999999998</v>
      </c>
      <c r="AU133" s="1630">
        <v>63.821077930000008</v>
      </c>
      <c r="AV133" s="1630">
        <v>1208.5139999999999</v>
      </c>
      <c r="AW133" s="1630">
        <v>138.86952377</v>
      </c>
      <c r="AX133" s="1630">
        <v>349.37400000000002</v>
      </c>
      <c r="AY133" s="1630">
        <v>56.248207989999997</v>
      </c>
      <c r="AZ133" s="1630">
        <v>393.58499999999998</v>
      </c>
      <c r="BA133" s="1630">
        <v>29.2198736</v>
      </c>
      <c r="BB133" s="1630">
        <v>20.712</v>
      </c>
      <c r="BC133" s="1548">
        <v>0.71655848999999994</v>
      </c>
      <c r="BD133" s="1630">
        <v>284.017</v>
      </c>
      <c r="BE133" s="1630">
        <v>31.581343069999999</v>
      </c>
      <c r="BF133" s="1630"/>
      <c r="BG133" s="1630"/>
      <c r="BH133" s="1630">
        <v>181.53800000000001</v>
      </c>
      <c r="BI133" s="1630">
        <v>21.820099110000001</v>
      </c>
      <c r="BJ133" s="1630">
        <v>7.1580000000000004</v>
      </c>
      <c r="BK133" s="1630">
        <v>2.3965489500000001</v>
      </c>
      <c r="BL133" s="1630">
        <v>174.38</v>
      </c>
      <c r="BM133" s="1630">
        <v>19.423550160000001</v>
      </c>
    </row>
    <row r="134" spans="1:65">
      <c r="A134" s="1627" t="s">
        <v>29</v>
      </c>
      <c r="B134" s="1638">
        <v>6656.9430000000002</v>
      </c>
      <c r="C134" s="1638">
        <v>665.56</v>
      </c>
      <c r="D134" s="1638">
        <v>2522.2919999999999</v>
      </c>
      <c r="E134" s="1638">
        <v>2058.2930000000001</v>
      </c>
      <c r="F134" s="1638">
        <v>1216.6300000000001</v>
      </c>
      <c r="G134" s="1623">
        <v>859.72799999999995</v>
      </c>
      <c r="H134" s="1638">
        <v>11815.462</v>
      </c>
      <c r="I134" s="1638">
        <v>1878.3637492939999</v>
      </c>
      <c r="J134" s="1630">
        <v>6611.1930000000002</v>
      </c>
      <c r="K134" s="1623">
        <v>1370.0117603000001</v>
      </c>
      <c r="L134" s="1630">
        <v>28.396000000000001</v>
      </c>
      <c r="M134" s="1630">
        <v>90.154917097999999</v>
      </c>
      <c r="N134" s="1630">
        <v>122.86199999999999</v>
      </c>
      <c r="O134" s="1630">
        <v>19.626808</v>
      </c>
      <c r="P134" s="1630">
        <v>1696.087</v>
      </c>
      <c r="Q134" s="1638">
        <v>119.30242352720001</v>
      </c>
      <c r="R134" s="1638">
        <v>117.13800000000001</v>
      </c>
      <c r="S134" s="1640">
        <v>3.10917796000001</v>
      </c>
      <c r="T134" s="1638">
        <v>2454.5610000000001</v>
      </c>
      <c r="U134" s="1638">
        <v>188.14816241880001</v>
      </c>
      <c r="V134" s="1638"/>
      <c r="W134" s="1638"/>
      <c r="X134" s="1623">
        <v>902.36300000000006</v>
      </c>
      <c r="Y134" s="1623">
        <v>91.119677949999996</v>
      </c>
      <c r="Z134" s="1623">
        <v>51.11</v>
      </c>
      <c r="AA134" s="1623">
        <v>18.0709847</v>
      </c>
      <c r="AB134" s="1623">
        <v>851.25300000000004</v>
      </c>
      <c r="AC134" s="1623">
        <v>73.048693249999999</v>
      </c>
      <c r="AD134" s="1630">
        <v>10528.546</v>
      </c>
      <c r="AE134" s="1630">
        <v>1725.5043442251999</v>
      </c>
      <c r="AF134" s="1630">
        <v>6355.9030000000002</v>
      </c>
      <c r="AG134" s="1630">
        <v>1327.01236227</v>
      </c>
      <c r="AH134" s="1630">
        <v>1278.646</v>
      </c>
      <c r="AI134" s="1630">
        <v>171.7255425964</v>
      </c>
      <c r="AJ134" s="1630">
        <v>92.573999999999998</v>
      </c>
      <c r="AK134" s="1548">
        <v>2.20844646000001</v>
      </c>
      <c r="AL134" s="1630">
        <v>2152.4580000000001</v>
      </c>
      <c r="AM134" s="1630">
        <v>154.86971126879999</v>
      </c>
      <c r="AN134" s="1630"/>
      <c r="AO134" s="1630"/>
      <c r="AP134" s="1630">
        <v>741.53899999999999</v>
      </c>
      <c r="AQ134" s="1630">
        <v>71.896728089999996</v>
      </c>
      <c r="AR134" s="1630">
        <v>44.439</v>
      </c>
      <c r="AS134" s="1630">
        <v>15.559100599999999</v>
      </c>
      <c r="AT134" s="1630">
        <v>697.1</v>
      </c>
      <c r="AU134" s="1630">
        <v>56.337627489999996</v>
      </c>
      <c r="AV134" s="1630">
        <v>1286.9159999999999</v>
      </c>
      <c r="AW134" s="1630">
        <v>152.85940506879999</v>
      </c>
      <c r="AX134" s="1630">
        <v>378.15199999999999</v>
      </c>
      <c r="AY134" s="1630">
        <v>62.626206029999999</v>
      </c>
      <c r="AZ134" s="1630">
        <v>445.83699999999999</v>
      </c>
      <c r="BA134" s="1630">
        <v>37.7317980288</v>
      </c>
      <c r="BB134" s="1630">
        <v>24.564</v>
      </c>
      <c r="BC134" s="1548">
        <v>0.90073150000000002</v>
      </c>
      <c r="BD134" s="1630">
        <v>302.10300000000001</v>
      </c>
      <c r="BE134" s="1630">
        <v>33.278451150000002</v>
      </c>
      <c r="BF134" s="1630"/>
      <c r="BG134" s="1630"/>
      <c r="BH134" s="1630">
        <v>160.82400000000001</v>
      </c>
      <c r="BI134" s="1630">
        <v>19.22294986</v>
      </c>
      <c r="BJ134" s="1630">
        <v>6.6710000000000003</v>
      </c>
      <c r="BK134" s="1630">
        <v>2.5118841000000001</v>
      </c>
      <c r="BL134" s="1630">
        <v>154.15299999999999</v>
      </c>
      <c r="BM134" s="1630">
        <v>16.71106576</v>
      </c>
    </row>
    <row r="135" spans="1:65">
      <c r="A135" s="1627" t="s">
        <v>2144</v>
      </c>
      <c r="B135" s="1639">
        <v>7544.759</v>
      </c>
      <c r="C135" s="1639">
        <v>1501</v>
      </c>
      <c r="D135" s="1639">
        <v>2383.087</v>
      </c>
      <c r="E135" s="1639">
        <v>2339.1480000000001</v>
      </c>
      <c r="F135" s="1639">
        <v>2025.0509999999999</v>
      </c>
      <c r="G135" s="1639">
        <v>797.47299999999996</v>
      </c>
      <c r="H135" s="1639">
        <f t="shared" ref="H135:U135" si="27">SUM(H136:H147)</f>
        <v>163724.78899999999</v>
      </c>
      <c r="I135" s="1639">
        <f t="shared" si="27"/>
        <v>23808.045415665401</v>
      </c>
      <c r="J135" s="1639">
        <f t="shared" si="27"/>
        <v>76113.963999999993</v>
      </c>
      <c r="K135" s="1639">
        <f t="shared" si="27"/>
        <v>16569.7509087</v>
      </c>
      <c r="L135" s="1639">
        <f t="shared" si="27"/>
        <v>313.92199999999997</v>
      </c>
      <c r="M135" s="1639">
        <f t="shared" si="27"/>
        <v>997.5366671290999</v>
      </c>
      <c r="N135" s="1639">
        <f t="shared" si="27"/>
        <v>419.57499999999999</v>
      </c>
      <c r="O135" s="1639">
        <f t="shared" si="27"/>
        <v>91.812926258499985</v>
      </c>
      <c r="P135" s="1639">
        <f t="shared" si="27"/>
        <v>25404.917999999998</v>
      </c>
      <c r="Q135" s="1639">
        <f t="shared" si="27"/>
        <v>1336.1824225856001</v>
      </c>
      <c r="R135" s="1639">
        <f t="shared" si="27"/>
        <v>4339.5069999999996</v>
      </c>
      <c r="S135" s="1639">
        <f t="shared" si="27"/>
        <v>91.119110309999428</v>
      </c>
      <c r="T135" s="1639">
        <f t="shared" si="27"/>
        <v>45050.972000000002</v>
      </c>
      <c r="U135" s="1639">
        <f t="shared" si="27"/>
        <v>3334.1704274432004</v>
      </c>
      <c r="V135" s="1639"/>
      <c r="W135" s="1639"/>
      <c r="X135" s="1639">
        <f t="shared" ref="X135:AM135" si="28">SUM(X136:X147)</f>
        <v>16421.437999999998</v>
      </c>
      <c r="Y135" s="1639">
        <f t="shared" si="28"/>
        <v>1478.5920635490002</v>
      </c>
      <c r="Z135" s="1639">
        <f t="shared" si="28"/>
        <v>611.61900000000003</v>
      </c>
      <c r="AA135" s="1639">
        <f t="shared" si="28"/>
        <v>206.42245402629996</v>
      </c>
      <c r="AB135" s="1639">
        <f t="shared" si="28"/>
        <v>15809.818999999998</v>
      </c>
      <c r="AC135" s="1639">
        <f t="shared" si="28"/>
        <v>1272.1696095226998</v>
      </c>
      <c r="AD135" s="1639">
        <f t="shared" si="28"/>
        <v>144878.08900000001</v>
      </c>
      <c r="AE135" s="1639">
        <f t="shared" si="28"/>
        <v>22208.109298787895</v>
      </c>
      <c r="AF135" s="1639">
        <f t="shared" si="28"/>
        <v>73007.940999999992</v>
      </c>
      <c r="AG135" s="1639">
        <f t="shared" si="28"/>
        <v>16105.590534958501</v>
      </c>
      <c r="AH135" s="1639">
        <f t="shared" si="28"/>
        <v>18582.659</v>
      </c>
      <c r="AI135" s="1639">
        <f t="shared" si="28"/>
        <v>1927.9710408672001</v>
      </c>
      <c r="AJ135" s="1639">
        <f t="shared" si="28"/>
        <v>3360.7429999999999</v>
      </c>
      <c r="AK135" s="1639">
        <f t="shared" si="28"/>
        <v>64.494714169999398</v>
      </c>
      <c r="AL135" s="1639">
        <f t="shared" si="28"/>
        <v>38990.495999999999</v>
      </c>
      <c r="AM135" s="1639">
        <f t="shared" si="28"/>
        <v>2930.4711481449003</v>
      </c>
      <c r="AN135" s="1639"/>
      <c r="AO135" s="1639"/>
      <c r="AP135" s="1639">
        <f t="shared" ref="AP135:BE135" si="29">SUM(AP136:AP147)</f>
        <v>14296.992999999999</v>
      </c>
      <c r="AQ135" s="1639">
        <f t="shared" si="29"/>
        <v>1244.0765748173003</v>
      </c>
      <c r="AR135" s="1639">
        <f t="shared" si="29"/>
        <v>565.52800000000002</v>
      </c>
      <c r="AS135" s="1639">
        <f t="shared" si="29"/>
        <v>186.72775867110002</v>
      </c>
      <c r="AT135" s="1639">
        <f t="shared" si="29"/>
        <v>13731.465</v>
      </c>
      <c r="AU135" s="1639">
        <f t="shared" si="29"/>
        <v>1057.3488161462001</v>
      </c>
      <c r="AV135" s="1639">
        <f t="shared" si="29"/>
        <v>18846.7</v>
      </c>
      <c r="AW135" s="1639">
        <f t="shared" si="29"/>
        <v>1599.9361168774999</v>
      </c>
      <c r="AX135" s="1639">
        <f t="shared" si="29"/>
        <v>3525.598</v>
      </c>
      <c r="AY135" s="1639">
        <f t="shared" si="29"/>
        <v>555.97329999999999</v>
      </c>
      <c r="AZ135" s="1639">
        <f t="shared" si="29"/>
        <v>7136.1809999999996</v>
      </c>
      <c r="BA135" s="1639">
        <f t="shared" si="29"/>
        <v>405.7480488475</v>
      </c>
      <c r="BB135" s="1639">
        <f t="shared" si="29"/>
        <v>978.76400000000001</v>
      </c>
      <c r="BC135" s="1639">
        <f t="shared" si="29"/>
        <v>26.624396140000002</v>
      </c>
      <c r="BD135" s="1639">
        <f t="shared" si="29"/>
        <v>6060.4759999999997</v>
      </c>
      <c r="BE135" s="1639">
        <f t="shared" si="29"/>
        <v>403.69927929829993</v>
      </c>
      <c r="BF135" s="1639"/>
      <c r="BG135" s="1639"/>
      <c r="BH135" s="1639">
        <f t="shared" ref="BH135:BM135" si="30">SUM(BH136:BH147)</f>
        <v>2124.4450000000002</v>
      </c>
      <c r="BI135" s="1639">
        <f t="shared" si="30"/>
        <v>234.5154887317</v>
      </c>
      <c r="BJ135" s="1639">
        <f t="shared" si="30"/>
        <v>46.091000000000008</v>
      </c>
      <c r="BK135" s="1639">
        <f t="shared" si="30"/>
        <v>19.694695355200004</v>
      </c>
      <c r="BL135" s="1639">
        <f t="shared" si="30"/>
        <v>2078.3540000000003</v>
      </c>
      <c r="BM135" s="1639">
        <f t="shared" si="30"/>
        <v>214.82079337650001</v>
      </c>
    </row>
    <row r="136" spans="1:65">
      <c r="A136" s="1629" t="s">
        <v>18</v>
      </c>
      <c r="B136" s="1642">
        <v>6703.5820000000003</v>
      </c>
      <c r="C136" s="1642">
        <v>694.63199999999995</v>
      </c>
      <c r="D136" s="1642">
        <v>2520.3890000000001</v>
      </c>
      <c r="E136" s="1642">
        <v>2070.3919999999998</v>
      </c>
      <c r="F136" s="1642">
        <v>1240.2239999999999</v>
      </c>
      <c r="G136" s="1642">
        <v>872.577</v>
      </c>
      <c r="H136" s="1642">
        <v>10690.169</v>
      </c>
      <c r="I136" s="1642">
        <v>1472.3373272844999</v>
      </c>
      <c r="J136" s="1631">
        <v>5108.0609999999997</v>
      </c>
      <c r="K136" s="1641">
        <v>992.89431000000002</v>
      </c>
      <c r="L136" s="1631">
        <v>18.992999999999999</v>
      </c>
      <c r="M136" s="1631">
        <v>59.349707112499999</v>
      </c>
      <c r="N136" s="1631">
        <v>24.289000000000001</v>
      </c>
      <c r="O136" s="1631">
        <v>7.0807960000000003</v>
      </c>
      <c r="P136" s="1631">
        <v>1849.011</v>
      </c>
      <c r="Q136" s="1642">
        <v>107.4031759655</v>
      </c>
      <c r="R136" s="1642">
        <v>132.233</v>
      </c>
      <c r="S136" s="1643">
        <v>3.2956303900000101</v>
      </c>
      <c r="T136" s="1642">
        <v>2671.9160000000002</v>
      </c>
      <c r="U136" s="1642">
        <v>196.06330623650001</v>
      </c>
      <c r="V136" s="1642"/>
      <c r="W136" s="1642"/>
      <c r="X136" s="1641">
        <v>1017.899</v>
      </c>
      <c r="Y136" s="1641">
        <v>109.54603197</v>
      </c>
      <c r="Z136" s="1641">
        <v>50.457000000000001</v>
      </c>
      <c r="AA136" s="1641">
        <v>17.669706379999997</v>
      </c>
      <c r="AB136" s="1641">
        <v>967.44200000000001</v>
      </c>
      <c r="AC136" s="1641">
        <v>91.876325590000008</v>
      </c>
      <c r="AD136" s="1631">
        <v>9296.7870000000003</v>
      </c>
      <c r="AE136" s="1631">
        <v>1332.2559498764999</v>
      </c>
      <c r="AF136" s="1631">
        <v>4745.7110000000002</v>
      </c>
      <c r="AG136" s="1631">
        <v>944.85860300000002</v>
      </c>
      <c r="AH136" s="1631">
        <v>1349.7370000000001</v>
      </c>
      <c r="AI136" s="1631">
        <v>137.46097277000001</v>
      </c>
      <c r="AJ136" s="1631">
        <v>102.56699999999999</v>
      </c>
      <c r="AK136" s="1547">
        <v>2.2848060800000098</v>
      </c>
      <c r="AL136" s="1631">
        <v>2358.0439999999999</v>
      </c>
      <c r="AM136" s="1631">
        <v>163.9499233265</v>
      </c>
      <c r="AN136" s="1631"/>
      <c r="AO136" s="1631"/>
      <c r="AP136" s="1631">
        <v>843.29499999999996</v>
      </c>
      <c r="AQ136" s="1631">
        <v>85.986450779999998</v>
      </c>
      <c r="AR136" s="1631">
        <v>44.386000000000003</v>
      </c>
      <c r="AS136" s="1631">
        <v>15.527965400000001</v>
      </c>
      <c r="AT136" s="1631">
        <v>798.90899999999999</v>
      </c>
      <c r="AU136" s="1631">
        <v>70.458485379999999</v>
      </c>
      <c r="AV136" s="1631">
        <v>1393.3820000000001</v>
      </c>
      <c r="AW136" s="1631">
        <v>140.08137740800001</v>
      </c>
      <c r="AX136" s="1631">
        <v>386.63900000000001</v>
      </c>
      <c r="AY136" s="1631">
        <v>55.116503000000002</v>
      </c>
      <c r="AZ136" s="1631">
        <v>518.26700000000005</v>
      </c>
      <c r="BA136" s="1631">
        <v>29.291910307999999</v>
      </c>
      <c r="BB136" s="1631">
        <v>29.666</v>
      </c>
      <c r="BC136" s="1631">
        <v>1.0108243100000001</v>
      </c>
      <c r="BD136" s="1631">
        <v>313.87200000000001</v>
      </c>
      <c r="BE136" s="1631">
        <v>32.113382909999999</v>
      </c>
      <c r="BF136" s="1631"/>
      <c r="BG136" s="1631"/>
      <c r="BH136" s="1631">
        <v>174.60400000000001</v>
      </c>
      <c r="BI136" s="1631">
        <v>23.559581189999999</v>
      </c>
      <c r="BJ136" s="1631">
        <v>6.0709999999999997</v>
      </c>
      <c r="BK136" s="1631">
        <v>2.1417409799999998</v>
      </c>
      <c r="BL136" s="1631">
        <v>168.53299999999999</v>
      </c>
      <c r="BM136" s="1631">
        <v>21.417840210000001</v>
      </c>
    </row>
    <row r="137" spans="1:65">
      <c r="A137" s="1629" t="s">
        <v>19</v>
      </c>
      <c r="B137" s="1642">
        <v>6788.1750000000002</v>
      </c>
      <c r="C137" s="1642">
        <v>726.39499999999998</v>
      </c>
      <c r="D137" s="1642">
        <v>2535.3290000000002</v>
      </c>
      <c r="E137" s="1642">
        <v>2102.4549999999999</v>
      </c>
      <c r="F137" s="1642">
        <v>1371.412</v>
      </c>
      <c r="G137" s="1642">
        <v>778.97900000000004</v>
      </c>
      <c r="H137" s="1642">
        <v>10886.927</v>
      </c>
      <c r="I137" s="1642">
        <v>1578.455758864</v>
      </c>
      <c r="J137" s="1631">
        <v>5601.7389999999996</v>
      </c>
      <c r="K137" s="1641">
        <v>1125.6259500000001</v>
      </c>
      <c r="L137" s="1631">
        <v>20.469000000000001</v>
      </c>
      <c r="M137" s="1631">
        <v>61.6913625615</v>
      </c>
      <c r="N137" s="1631">
        <v>26.152000000000001</v>
      </c>
      <c r="O137" s="1631">
        <v>5.9758319999999996</v>
      </c>
      <c r="P137" s="1631">
        <v>1421.433</v>
      </c>
      <c r="Q137" s="1642">
        <v>92.711489732000004</v>
      </c>
      <c r="R137" s="1642">
        <v>149.81399999999999</v>
      </c>
      <c r="S137" s="1643">
        <v>3.2965473600000101</v>
      </c>
      <c r="T137" s="1642">
        <v>2885.953</v>
      </c>
      <c r="U137" s="1642">
        <v>205.18893197049999</v>
      </c>
      <c r="V137" s="1642"/>
      <c r="W137" s="1642"/>
      <c r="X137" s="1641">
        <v>931.18100000000004</v>
      </c>
      <c r="Y137" s="1641">
        <v>87.262192600000006</v>
      </c>
      <c r="Z137" s="1641">
        <v>41.796999999999997</v>
      </c>
      <c r="AA137" s="1641">
        <v>15.07977736</v>
      </c>
      <c r="AB137" s="1641">
        <v>889.38400000000001</v>
      </c>
      <c r="AC137" s="1641">
        <v>72.182415239999997</v>
      </c>
      <c r="AD137" s="1631">
        <v>9825.0660000000007</v>
      </c>
      <c r="AE137" s="1631">
        <v>1474.5356902715</v>
      </c>
      <c r="AF137" s="1631">
        <v>5330.47</v>
      </c>
      <c r="AG137" s="1631">
        <v>1089.760053</v>
      </c>
      <c r="AH137" s="1631">
        <v>1102.8620000000001</v>
      </c>
      <c r="AI137" s="1631">
        <v>134.45753155349999</v>
      </c>
      <c r="AJ137" s="1631">
        <v>122.751</v>
      </c>
      <c r="AK137" s="1547">
        <v>2.41527874000001</v>
      </c>
      <c r="AL137" s="1631">
        <v>2568.9340000000002</v>
      </c>
      <c r="AM137" s="1631">
        <v>176.49731596800001</v>
      </c>
      <c r="AN137" s="1631"/>
      <c r="AO137" s="1631"/>
      <c r="AP137" s="1631">
        <v>822.8</v>
      </c>
      <c r="AQ137" s="1631">
        <v>73.820789750000003</v>
      </c>
      <c r="AR137" s="1631">
        <v>39.07</v>
      </c>
      <c r="AS137" s="1631">
        <v>13.930473340000001</v>
      </c>
      <c r="AT137" s="1631">
        <v>783.73</v>
      </c>
      <c r="AU137" s="1631">
        <v>59.890316409999997</v>
      </c>
      <c r="AV137" s="1631">
        <v>1061.8610000000001</v>
      </c>
      <c r="AW137" s="1631">
        <v>103.9200685925</v>
      </c>
      <c r="AX137" s="1631">
        <v>297.42099999999999</v>
      </c>
      <c r="AY137" s="1631">
        <v>41.841729000000001</v>
      </c>
      <c r="AZ137" s="1631">
        <v>339.04</v>
      </c>
      <c r="BA137" s="1631">
        <v>19.94532074</v>
      </c>
      <c r="BB137" s="1631">
        <v>27.062999999999999</v>
      </c>
      <c r="BC137" s="1631">
        <v>0.88126861999999995</v>
      </c>
      <c r="BD137" s="1631">
        <v>317.01900000000001</v>
      </c>
      <c r="BE137" s="1631">
        <v>28.691616002500002</v>
      </c>
      <c r="BF137" s="1631"/>
      <c r="BG137" s="1631"/>
      <c r="BH137" s="1631">
        <v>108.381</v>
      </c>
      <c r="BI137" s="1631">
        <v>13.441402849999999</v>
      </c>
      <c r="BJ137" s="1631">
        <v>2.7269999999999999</v>
      </c>
      <c r="BK137" s="1631">
        <v>1.14930402</v>
      </c>
      <c r="BL137" s="1631">
        <v>105.654</v>
      </c>
      <c r="BM137" s="1631">
        <v>12.29209883</v>
      </c>
    </row>
    <row r="138" spans="1:65">
      <c r="A138" s="1629" t="s">
        <v>20</v>
      </c>
      <c r="B138" s="1642">
        <v>6791.6350000000002</v>
      </c>
      <c r="C138" s="1642">
        <v>770.55899999999997</v>
      </c>
      <c r="D138" s="1642">
        <v>2535.576</v>
      </c>
      <c r="E138" s="1642">
        <v>2094.567</v>
      </c>
      <c r="F138" s="1642">
        <v>1375.615</v>
      </c>
      <c r="G138" s="1642">
        <v>785.87699999999995</v>
      </c>
      <c r="H138" s="1642">
        <v>12511.672</v>
      </c>
      <c r="I138" s="1642">
        <v>1815.3165284638001</v>
      </c>
      <c r="J138" s="1631">
        <v>6437.7809999999999</v>
      </c>
      <c r="K138" s="1641">
        <v>1304.374276</v>
      </c>
      <c r="L138" s="1631">
        <v>24.126000000000001</v>
      </c>
      <c r="M138" s="1631">
        <v>62.170356657799999</v>
      </c>
      <c r="N138" s="1631">
        <v>27.29</v>
      </c>
      <c r="O138" s="1631">
        <v>6.8375310000000002</v>
      </c>
      <c r="P138" s="1631">
        <v>1744.18</v>
      </c>
      <c r="Q138" s="1642">
        <v>112.55270235099999</v>
      </c>
      <c r="R138" s="1642">
        <v>186.11199999999999</v>
      </c>
      <c r="S138" s="1643">
        <v>4.2675884800000201</v>
      </c>
      <c r="T138" s="1642">
        <v>3167.355</v>
      </c>
      <c r="U138" s="1642">
        <v>216.99163655300001</v>
      </c>
      <c r="V138" s="1642"/>
      <c r="W138" s="1642"/>
      <c r="X138" s="1641">
        <v>1110.94</v>
      </c>
      <c r="Y138" s="1641">
        <v>112.390025902</v>
      </c>
      <c r="Z138" s="1641">
        <v>50.433</v>
      </c>
      <c r="AA138" s="1641">
        <v>17.355173342999997</v>
      </c>
      <c r="AB138" s="1641">
        <v>1060.5070000000001</v>
      </c>
      <c r="AC138" s="1641">
        <v>95.034852559000001</v>
      </c>
      <c r="AD138" s="1631">
        <v>11295.674999999999</v>
      </c>
      <c r="AE138" s="1631">
        <v>1694.0425075098001</v>
      </c>
      <c r="AF138" s="1631">
        <v>6138.8980000000001</v>
      </c>
      <c r="AG138" s="1631">
        <v>1264.120985</v>
      </c>
      <c r="AH138" s="1631">
        <v>1367.883</v>
      </c>
      <c r="AI138" s="1631">
        <v>148.58908603879999</v>
      </c>
      <c r="AJ138" s="1631">
        <v>151.61500000000001</v>
      </c>
      <c r="AK138" s="1547">
        <v>3.1941963000000198</v>
      </c>
      <c r="AL138" s="1631">
        <v>2808.4879999999998</v>
      </c>
      <c r="AM138" s="1631">
        <v>186.19946858899999</v>
      </c>
      <c r="AN138" s="1631"/>
      <c r="AO138" s="1631"/>
      <c r="AP138" s="1631">
        <v>980.40599999999995</v>
      </c>
      <c r="AQ138" s="1631">
        <v>95.132967882000003</v>
      </c>
      <c r="AR138" s="1631">
        <v>47.02</v>
      </c>
      <c r="AS138" s="1631">
        <v>15.886975653</v>
      </c>
      <c r="AT138" s="1631">
        <v>933.38599999999997</v>
      </c>
      <c r="AU138" s="1631">
        <v>79.245992228999995</v>
      </c>
      <c r="AV138" s="1631">
        <v>1215.9970000000001</v>
      </c>
      <c r="AW138" s="1631">
        <v>121.27402095399999</v>
      </c>
      <c r="AX138" s="1631">
        <v>326.173</v>
      </c>
      <c r="AY138" s="1631">
        <v>47.090822000000003</v>
      </c>
      <c r="AZ138" s="1631">
        <v>400.423</v>
      </c>
      <c r="BA138" s="1631">
        <v>26.133972969999999</v>
      </c>
      <c r="BB138" s="1631">
        <v>34.497</v>
      </c>
      <c r="BC138" s="1631">
        <v>1.0733921799999999</v>
      </c>
      <c r="BD138" s="1631">
        <v>358.86700000000002</v>
      </c>
      <c r="BE138" s="1631">
        <v>30.792167964000001</v>
      </c>
      <c r="BF138" s="1631"/>
      <c r="BG138" s="1631"/>
      <c r="BH138" s="1631">
        <v>130.53399999999999</v>
      </c>
      <c r="BI138" s="1631">
        <v>17.257058019999999</v>
      </c>
      <c r="BJ138" s="1631">
        <v>3.4129999999999998</v>
      </c>
      <c r="BK138" s="1631">
        <v>1.46819769</v>
      </c>
      <c r="BL138" s="1631">
        <v>127.121</v>
      </c>
      <c r="BM138" s="1631">
        <v>15.78886033</v>
      </c>
    </row>
    <row r="139" spans="1:65">
      <c r="A139" s="1629" t="s">
        <v>21</v>
      </c>
      <c r="B139" s="1642">
        <v>6940.9040000000005</v>
      </c>
      <c r="C139" s="1642">
        <v>876.43700000000001</v>
      </c>
      <c r="D139" s="1642">
        <v>2522.8829999999998</v>
      </c>
      <c r="E139" s="1642">
        <v>2111.2779999999998</v>
      </c>
      <c r="F139" s="1642">
        <v>1511.9159999999999</v>
      </c>
      <c r="G139" s="1642">
        <v>794.827</v>
      </c>
      <c r="H139" s="1642">
        <v>12606.822</v>
      </c>
      <c r="I139" s="1642">
        <v>1809.7966643709999</v>
      </c>
      <c r="J139" s="1631">
        <v>6067.4049999999997</v>
      </c>
      <c r="K139" s="1641">
        <v>1260.4296056999999</v>
      </c>
      <c r="L139" s="1631">
        <v>25.347000000000001</v>
      </c>
      <c r="M139" s="1631">
        <v>77.002975667000001</v>
      </c>
      <c r="N139" s="1631">
        <v>28.675999999999998</v>
      </c>
      <c r="O139" s="1631">
        <v>6.6531442209999998</v>
      </c>
      <c r="P139" s="1631">
        <v>1805.9079999999999</v>
      </c>
      <c r="Q139" s="1642">
        <v>106.052677299</v>
      </c>
      <c r="R139" s="1642">
        <v>229.21299999999999</v>
      </c>
      <c r="S139" s="1643">
        <v>4.6447979900000194</v>
      </c>
      <c r="T139" s="1642">
        <v>3474.0859999999998</v>
      </c>
      <c r="U139" s="1642">
        <v>254.07375280700001</v>
      </c>
      <c r="V139" s="1642"/>
      <c r="W139" s="1642"/>
      <c r="X139" s="1641">
        <v>1205.4000000000001</v>
      </c>
      <c r="Y139" s="1641">
        <v>105.584508677</v>
      </c>
      <c r="Z139" s="1641">
        <v>50.689</v>
      </c>
      <c r="AA139" s="1641">
        <v>17.231980935999999</v>
      </c>
      <c r="AB139" s="1641">
        <v>1154.711</v>
      </c>
      <c r="AC139" s="1641">
        <v>88.352527741000003</v>
      </c>
      <c r="AD139" s="1631">
        <v>11242.656999999999</v>
      </c>
      <c r="AE139" s="1631">
        <v>1677.2560989179999</v>
      </c>
      <c r="AF139" s="1631">
        <v>5714.0410000000002</v>
      </c>
      <c r="AG139" s="1631">
        <v>1213.054066921</v>
      </c>
      <c r="AH139" s="1631">
        <v>1400.6859999999999</v>
      </c>
      <c r="AI139" s="1631">
        <v>158.079754253</v>
      </c>
      <c r="AJ139" s="1631">
        <v>185.04</v>
      </c>
      <c r="AK139" s="1547">
        <v>3.4221168000000199</v>
      </c>
      <c r="AL139" s="1631">
        <v>3060.2809999999999</v>
      </c>
      <c r="AM139" s="1631">
        <v>215.33323413700001</v>
      </c>
      <c r="AN139" s="1631"/>
      <c r="AO139" s="1631"/>
      <c r="AP139" s="1631">
        <v>1067.6489999999999</v>
      </c>
      <c r="AQ139" s="1631">
        <v>90.789043606999996</v>
      </c>
      <c r="AR139" s="1631">
        <v>47.369</v>
      </c>
      <c r="AS139" s="1631">
        <v>15.785176536</v>
      </c>
      <c r="AT139" s="1631">
        <v>1020.28</v>
      </c>
      <c r="AU139" s="1631">
        <v>75.003867071000016</v>
      </c>
      <c r="AV139" s="1631">
        <v>1364.165</v>
      </c>
      <c r="AW139" s="1631">
        <v>132.540565453</v>
      </c>
      <c r="AX139" s="1631">
        <v>382.04</v>
      </c>
      <c r="AY139" s="1631">
        <v>54.028683000000001</v>
      </c>
      <c r="AZ139" s="1631">
        <v>430.56900000000002</v>
      </c>
      <c r="BA139" s="1631">
        <v>24.975898712999999</v>
      </c>
      <c r="BB139" s="1631">
        <v>44.173000000000002</v>
      </c>
      <c r="BC139" s="1631">
        <v>1.2226811899999999</v>
      </c>
      <c r="BD139" s="1631">
        <v>413.80500000000001</v>
      </c>
      <c r="BE139" s="1631">
        <v>38.74051867</v>
      </c>
      <c r="BF139" s="1631"/>
      <c r="BG139" s="1631"/>
      <c r="BH139" s="1631">
        <v>137.751</v>
      </c>
      <c r="BI139" s="1631">
        <v>14.795465070000001</v>
      </c>
      <c r="BJ139" s="1631">
        <v>3.32</v>
      </c>
      <c r="BK139" s="1631">
        <v>1.4468044</v>
      </c>
      <c r="BL139" s="1631">
        <v>134.43100000000001</v>
      </c>
      <c r="BM139" s="1631">
        <v>13.348660669999999</v>
      </c>
    </row>
    <row r="140" spans="1:65">
      <c r="A140" s="1629" t="s">
        <v>22</v>
      </c>
      <c r="B140" s="1642">
        <v>7192.7560000000003</v>
      </c>
      <c r="C140" s="1642">
        <v>952.19100000000003</v>
      </c>
      <c r="D140" s="1642">
        <v>2587.2919999999999</v>
      </c>
      <c r="E140" s="1642">
        <v>2126.9949999999999</v>
      </c>
      <c r="F140" s="1642">
        <v>1671.981</v>
      </c>
      <c r="G140" s="1642">
        <v>806.48800000000006</v>
      </c>
      <c r="H140" s="1642">
        <v>12696.094999999999</v>
      </c>
      <c r="I140" s="1642">
        <v>2051.6024144908001</v>
      </c>
      <c r="J140" s="1631">
        <v>5988.5150000000003</v>
      </c>
      <c r="K140" s="1641">
        <v>1448.3335179999999</v>
      </c>
      <c r="L140" s="1631">
        <v>46.624000000000002</v>
      </c>
      <c r="M140" s="1631">
        <v>106.88166409599999</v>
      </c>
      <c r="N140" s="1631">
        <v>30.881</v>
      </c>
      <c r="O140" s="1631">
        <v>6.8318909999999997</v>
      </c>
      <c r="P140" s="1631">
        <v>1903.5060000000001</v>
      </c>
      <c r="Q140" s="1642">
        <v>100.209486091</v>
      </c>
      <c r="R140" s="1642">
        <v>264.48</v>
      </c>
      <c r="S140" s="1643">
        <v>5.4136393700000198</v>
      </c>
      <c r="T140" s="1642">
        <v>3515.3310000000001</v>
      </c>
      <c r="U140" s="1642">
        <v>280.0725182292</v>
      </c>
      <c r="V140" s="1642"/>
      <c r="W140" s="1642"/>
      <c r="X140" s="1641">
        <v>1211.2380000000001</v>
      </c>
      <c r="Y140" s="1641">
        <v>109.27333707459999</v>
      </c>
      <c r="Z140" s="1641">
        <v>50.366999999999997</v>
      </c>
      <c r="AA140" s="1641">
        <v>16.2463777908</v>
      </c>
      <c r="AB140" s="1641">
        <v>1160.8710000000001</v>
      </c>
      <c r="AC140" s="1641">
        <v>93.026959283800011</v>
      </c>
      <c r="AD140" s="1631">
        <v>11311.055</v>
      </c>
      <c r="AE140" s="1631">
        <v>1912.4361348448001</v>
      </c>
      <c r="AF140" s="1631">
        <v>5690.8530000000001</v>
      </c>
      <c r="AG140" s="1631">
        <v>1396.194524</v>
      </c>
      <c r="AH140" s="1631">
        <v>1473.682</v>
      </c>
      <c r="AI140" s="1631">
        <v>178.2523053054</v>
      </c>
      <c r="AJ140" s="1631">
        <v>212.78299999999999</v>
      </c>
      <c r="AK140" s="1547">
        <v>3.9860707800000199</v>
      </c>
      <c r="AL140" s="1631">
        <v>3079.0509999999999</v>
      </c>
      <c r="AM140" s="1631">
        <v>244.4707936092</v>
      </c>
      <c r="AN140" s="1631"/>
      <c r="AO140" s="1631"/>
      <c r="AP140" s="1631">
        <v>1067.4690000000001</v>
      </c>
      <c r="AQ140" s="1631">
        <v>93.518511930200006</v>
      </c>
      <c r="AR140" s="1631">
        <v>47.064999999999998</v>
      </c>
      <c r="AS140" s="1631">
        <v>14.7697798456</v>
      </c>
      <c r="AT140" s="1631">
        <v>1020.404</v>
      </c>
      <c r="AU140" s="1631">
        <v>78.748732084600007</v>
      </c>
      <c r="AV140" s="1631">
        <v>1385.04</v>
      </c>
      <c r="AW140" s="1631">
        <v>139.16627964599999</v>
      </c>
      <c r="AX140" s="1631">
        <v>328.54300000000001</v>
      </c>
      <c r="AY140" s="1631">
        <v>58.970885000000003</v>
      </c>
      <c r="AZ140" s="1631">
        <v>476.44799999999998</v>
      </c>
      <c r="BA140" s="1631">
        <v>28.8388448816</v>
      </c>
      <c r="BB140" s="1631">
        <v>51.697000000000003</v>
      </c>
      <c r="BC140" s="1631">
        <v>1.4275685900000001</v>
      </c>
      <c r="BD140" s="1631">
        <v>436.28</v>
      </c>
      <c r="BE140" s="1631">
        <v>35.601724619999999</v>
      </c>
      <c r="BF140" s="1631"/>
      <c r="BG140" s="1631"/>
      <c r="BH140" s="1631">
        <v>143.76900000000001</v>
      </c>
      <c r="BI140" s="1631">
        <v>15.7548251444</v>
      </c>
      <c r="BJ140" s="1631">
        <v>3.302</v>
      </c>
      <c r="BK140" s="1631">
        <v>1.4765979452</v>
      </c>
      <c r="BL140" s="1631">
        <v>140.46700000000001</v>
      </c>
      <c r="BM140" s="1631">
        <v>14.2782271992</v>
      </c>
    </row>
    <row r="141" spans="1:65">
      <c r="A141" s="1629" t="s">
        <v>23</v>
      </c>
      <c r="B141" s="1642">
        <v>7240.1090000000004</v>
      </c>
      <c r="C141" s="1642">
        <v>998.36800000000005</v>
      </c>
      <c r="D141" s="1642">
        <v>2604.3380000000002</v>
      </c>
      <c r="E141" s="1642">
        <v>2160.221</v>
      </c>
      <c r="F141" s="1642">
        <v>1678.077</v>
      </c>
      <c r="G141" s="1642">
        <v>797.47299999999996</v>
      </c>
      <c r="H141" s="1642">
        <v>12281.236000000001</v>
      </c>
      <c r="I141" s="1642">
        <v>1735.7722432262001</v>
      </c>
      <c r="J141" s="1631">
        <v>5632.0540000000001</v>
      </c>
      <c r="K141" s="1641">
        <v>1200.969877</v>
      </c>
      <c r="L141" s="1631">
        <v>23.475999999999999</v>
      </c>
      <c r="M141" s="1631">
        <v>67.498395744000007</v>
      </c>
      <c r="N141" s="1631">
        <v>30.914000000000001</v>
      </c>
      <c r="O141" s="1631">
        <v>6.9402670000000004</v>
      </c>
      <c r="P141" s="1631">
        <v>1955.068</v>
      </c>
      <c r="Q141" s="1642">
        <v>95.508226630199999</v>
      </c>
      <c r="R141" s="1642">
        <v>285.577</v>
      </c>
      <c r="S141" s="1643">
        <v>5.7881257199999903</v>
      </c>
      <c r="T141" s="1642">
        <v>3525.0610000000001</v>
      </c>
      <c r="U141" s="1642">
        <v>261.0923162396</v>
      </c>
      <c r="V141" s="1642"/>
      <c r="W141" s="1642"/>
      <c r="X141" s="1641">
        <v>1114.663</v>
      </c>
      <c r="Y141" s="1641">
        <v>103.7631606124</v>
      </c>
      <c r="Z141" s="1641">
        <v>45.033999999999999</v>
      </c>
      <c r="AA141" s="1641">
        <v>15.174670743</v>
      </c>
      <c r="AB141" s="1641">
        <v>1069.6289999999999</v>
      </c>
      <c r="AC141" s="1641">
        <v>88.588489869399993</v>
      </c>
      <c r="AD141" s="1631">
        <v>10946.143</v>
      </c>
      <c r="AE141" s="1631">
        <v>1624.8407044588</v>
      </c>
      <c r="AF141" s="1631">
        <v>5437.9759999999997</v>
      </c>
      <c r="AG141" s="1631">
        <v>1172.0919180000001</v>
      </c>
      <c r="AH141" s="1631">
        <v>1460.1510000000001</v>
      </c>
      <c r="AI141" s="1631">
        <v>136.4574020984</v>
      </c>
      <c r="AJ141" s="1631">
        <v>231.39099999999999</v>
      </c>
      <c r="AK141" s="1547">
        <v>4.4166052899999899</v>
      </c>
      <c r="AL141" s="1631">
        <v>3066.4960000000001</v>
      </c>
      <c r="AM141" s="1631">
        <v>227.05517595960001</v>
      </c>
      <c r="AN141" s="1631"/>
      <c r="AO141" s="1631"/>
      <c r="AP141" s="1631">
        <v>981.52</v>
      </c>
      <c r="AQ141" s="1631">
        <v>89.236208400799995</v>
      </c>
      <c r="AR141" s="1631">
        <v>41.957000000000001</v>
      </c>
      <c r="AS141" s="1631">
        <v>13.912831933</v>
      </c>
      <c r="AT141" s="1631">
        <v>939.56299999999999</v>
      </c>
      <c r="AU141" s="1631">
        <v>75.323376467800003</v>
      </c>
      <c r="AV141" s="1631">
        <v>1335.0930000000001</v>
      </c>
      <c r="AW141" s="1631">
        <v>110.9315387674</v>
      </c>
      <c r="AX141" s="1631">
        <v>224.99199999999999</v>
      </c>
      <c r="AY141" s="1631">
        <v>35.818226000000003</v>
      </c>
      <c r="AZ141" s="1631">
        <v>518.39300000000003</v>
      </c>
      <c r="BA141" s="1631">
        <v>26.5492202758</v>
      </c>
      <c r="BB141" s="1631">
        <v>54.186</v>
      </c>
      <c r="BC141" s="1631">
        <v>1.3715204299999999</v>
      </c>
      <c r="BD141" s="1631">
        <v>458.565</v>
      </c>
      <c r="BE141" s="1631">
        <v>34.037140280000003</v>
      </c>
      <c r="BF141" s="1631"/>
      <c r="BG141" s="1631"/>
      <c r="BH141" s="1631">
        <v>133.143</v>
      </c>
      <c r="BI141" s="1631">
        <v>14.526952211599999</v>
      </c>
      <c r="BJ141" s="1631">
        <v>3.077</v>
      </c>
      <c r="BK141" s="1631">
        <v>1.26183881</v>
      </c>
      <c r="BL141" s="1631">
        <v>130.066</v>
      </c>
      <c r="BM141" s="1631">
        <v>13.265113401599999</v>
      </c>
    </row>
    <row r="142" spans="1:65">
      <c r="A142" s="1629" t="s">
        <v>24</v>
      </c>
      <c r="B142" s="1642">
        <v>7380.8069999999998</v>
      </c>
      <c r="C142" s="1642">
        <v>1061.298</v>
      </c>
      <c r="D142" s="1642">
        <v>2654.297</v>
      </c>
      <c r="E142" s="1642">
        <v>2168.2539999999999</v>
      </c>
      <c r="F142" s="1642">
        <v>1779.162</v>
      </c>
      <c r="G142" s="1642">
        <v>779.09400000000005</v>
      </c>
      <c r="H142" s="1642">
        <v>14987.907999999999</v>
      </c>
      <c r="I142" s="1642">
        <v>2248.3004251868001</v>
      </c>
      <c r="J142" s="1631">
        <v>6969.7380000000003</v>
      </c>
      <c r="K142" s="1641">
        <v>1573.449081</v>
      </c>
      <c r="L142" s="1631">
        <v>23.437999999999999</v>
      </c>
      <c r="M142" s="1631">
        <v>84.064894342800002</v>
      </c>
      <c r="N142" s="1631">
        <v>35.688000000000002</v>
      </c>
      <c r="O142" s="1631">
        <v>8.6610742639999998</v>
      </c>
      <c r="P142" s="1631">
        <v>2348.5459999999998</v>
      </c>
      <c r="Q142" s="1642">
        <v>114.18800046360001</v>
      </c>
      <c r="R142" s="1642">
        <v>381.94400000000002</v>
      </c>
      <c r="S142" s="1643">
        <v>7.8924315599999204</v>
      </c>
      <c r="T142" s="1642">
        <v>4201.5619999999999</v>
      </c>
      <c r="U142" s="1642">
        <v>317.51369640079997</v>
      </c>
      <c r="V142" s="1642"/>
      <c r="W142" s="1642"/>
      <c r="X142" s="1641">
        <v>1408.9359999999999</v>
      </c>
      <c r="Y142" s="1641">
        <v>150.4236787156</v>
      </c>
      <c r="Z142" s="1641">
        <v>51.505000000000003</v>
      </c>
      <c r="AA142" s="1641">
        <v>18.155897497999998</v>
      </c>
      <c r="AB142" s="1641">
        <v>1357.431</v>
      </c>
      <c r="AC142" s="1641">
        <v>132.26778121759997</v>
      </c>
      <c r="AD142" s="1631">
        <v>13512.866</v>
      </c>
      <c r="AE142" s="1631">
        <v>2130.7303815044002</v>
      </c>
      <c r="AF142" s="1631">
        <v>6785.2439999999997</v>
      </c>
      <c r="AG142" s="1631">
        <v>1544.9286592640001</v>
      </c>
      <c r="AH142" s="1631">
        <v>1799.4570000000001</v>
      </c>
      <c r="AI142" s="1631">
        <v>170.48799901960001</v>
      </c>
      <c r="AJ142" s="1631">
        <v>313.846</v>
      </c>
      <c r="AK142" s="1547">
        <v>6.1231154399999204</v>
      </c>
      <c r="AL142" s="1631">
        <v>3687.1350000000002</v>
      </c>
      <c r="AM142" s="1631">
        <v>285.13124023080002</v>
      </c>
      <c r="AN142" s="1631"/>
      <c r="AO142" s="1631"/>
      <c r="AP142" s="1631">
        <v>1241.03</v>
      </c>
      <c r="AQ142" s="1631">
        <v>130.18248299000001</v>
      </c>
      <c r="AR142" s="1631">
        <v>47.58</v>
      </c>
      <c r="AS142" s="1631">
        <v>16.475771427999998</v>
      </c>
      <c r="AT142" s="1631">
        <v>1193.45</v>
      </c>
      <c r="AU142" s="1631">
        <v>113.70671156200001</v>
      </c>
      <c r="AV142" s="1631">
        <v>1475.0419999999999</v>
      </c>
      <c r="AW142" s="1631">
        <v>117.5700436824</v>
      </c>
      <c r="AX142" s="1631">
        <v>220.18199999999999</v>
      </c>
      <c r="AY142" s="1631">
        <v>37.181496000000003</v>
      </c>
      <c r="AZ142" s="1631">
        <v>572.52700000000004</v>
      </c>
      <c r="BA142" s="1631">
        <v>27.7648957868</v>
      </c>
      <c r="BB142" s="1631">
        <v>68.097999999999999</v>
      </c>
      <c r="BC142" s="1631">
        <v>1.76931612</v>
      </c>
      <c r="BD142" s="1631">
        <v>514.42700000000002</v>
      </c>
      <c r="BE142" s="1631">
        <v>32.382456169999998</v>
      </c>
      <c r="BF142" s="1631"/>
      <c r="BG142" s="1631"/>
      <c r="BH142" s="1631">
        <v>167.90600000000001</v>
      </c>
      <c r="BI142" s="1631">
        <v>20.241195725600001</v>
      </c>
      <c r="BJ142" s="1631">
        <v>3.9249999999999998</v>
      </c>
      <c r="BK142" s="1631">
        <v>1.68012607</v>
      </c>
      <c r="BL142" s="1631">
        <v>163.98099999999999</v>
      </c>
      <c r="BM142" s="1631">
        <v>18.561069655600001</v>
      </c>
    </row>
    <row r="143" spans="1:65">
      <c r="A143" s="1627" t="s">
        <v>25</v>
      </c>
      <c r="B143" s="1638">
        <v>7460.3379999999997</v>
      </c>
      <c r="C143" s="1638">
        <v>1112.83</v>
      </c>
      <c r="D143" s="1638">
        <v>2692.9780000000001</v>
      </c>
      <c r="E143" s="1638">
        <v>2192.085</v>
      </c>
      <c r="F143" s="1638">
        <v>1804.575</v>
      </c>
      <c r="G143" s="1623">
        <v>770.7</v>
      </c>
      <c r="H143" s="1638">
        <v>13803.279</v>
      </c>
      <c r="I143" s="1638">
        <v>1950.3090841032999</v>
      </c>
      <c r="J143" s="1630">
        <v>6125.6610000000001</v>
      </c>
      <c r="K143" s="1623">
        <v>1302.5356859999999</v>
      </c>
      <c r="L143" s="1630">
        <v>23.817</v>
      </c>
      <c r="M143" s="1630">
        <v>79.006471591899995</v>
      </c>
      <c r="N143" s="1630">
        <v>36.69</v>
      </c>
      <c r="O143" s="1630">
        <v>8.3929128535000004</v>
      </c>
      <c r="P143" s="1630">
        <v>2137.6860000000001</v>
      </c>
      <c r="Q143" s="1638">
        <v>105.8260355733</v>
      </c>
      <c r="R143" s="1638">
        <v>386.18700000000001</v>
      </c>
      <c r="S143" s="1640">
        <v>7.7579009699999402</v>
      </c>
      <c r="T143" s="1638">
        <v>3988.01</v>
      </c>
      <c r="U143" s="1638">
        <v>289.85250730979999</v>
      </c>
      <c r="V143" s="1638"/>
      <c r="W143" s="1638"/>
      <c r="X143" s="1623">
        <v>1491.415</v>
      </c>
      <c r="Y143" s="1623">
        <v>164.69547077479999</v>
      </c>
      <c r="Z143" s="1623">
        <v>50.820999999999998</v>
      </c>
      <c r="AA143" s="1623">
        <v>17.9210530531</v>
      </c>
      <c r="AB143" s="1623">
        <v>1440.5940000000001</v>
      </c>
      <c r="AC143" s="1623">
        <v>146.77441772170002</v>
      </c>
      <c r="AD143" s="1630">
        <v>12139.974</v>
      </c>
      <c r="AE143" s="1630">
        <v>1815.9292133435999</v>
      </c>
      <c r="AF143" s="1630">
        <v>5910.7250000000004</v>
      </c>
      <c r="AG143" s="1630">
        <v>1268.0560048535001</v>
      </c>
      <c r="AH143" s="1630">
        <v>1518.393</v>
      </c>
      <c r="AI143" s="1630">
        <v>150.63738672810001</v>
      </c>
      <c r="AJ143" s="1630">
        <v>298.98200000000003</v>
      </c>
      <c r="AK143" s="1548">
        <v>5.6074290099999402</v>
      </c>
      <c r="AL143" s="1630">
        <v>3424.9850000000001</v>
      </c>
      <c r="AM143" s="1630">
        <v>259.29267723800001</v>
      </c>
      <c r="AN143" s="1630"/>
      <c r="AO143" s="1630"/>
      <c r="AP143" s="1630">
        <v>1285.8710000000001</v>
      </c>
      <c r="AQ143" s="1630">
        <v>137.94314452399999</v>
      </c>
      <c r="AR143" s="1630">
        <v>46.529000000000003</v>
      </c>
      <c r="AS143" s="1630">
        <v>16.224844553099999</v>
      </c>
      <c r="AT143" s="1630">
        <v>1239.3420000000001</v>
      </c>
      <c r="AU143" s="1630">
        <v>121.71829997090001</v>
      </c>
      <c r="AV143" s="1630">
        <v>1663.3050000000001</v>
      </c>
      <c r="AW143" s="1630">
        <v>134.3798707597</v>
      </c>
      <c r="AX143" s="1630">
        <v>251.626</v>
      </c>
      <c r="AY143" s="1630">
        <v>42.872593999999999</v>
      </c>
      <c r="AZ143" s="1630">
        <v>643.11</v>
      </c>
      <c r="BA143" s="1630">
        <v>34.195120437100002</v>
      </c>
      <c r="BB143" s="1630">
        <v>87.204999999999998</v>
      </c>
      <c r="BC143" s="1630">
        <v>2.15047196</v>
      </c>
      <c r="BD143" s="1630">
        <v>563.02499999999998</v>
      </c>
      <c r="BE143" s="1630">
        <v>30.5598300718</v>
      </c>
      <c r="BF143" s="1630"/>
      <c r="BG143" s="1630"/>
      <c r="BH143" s="1630">
        <v>205.54400000000001</v>
      </c>
      <c r="BI143" s="1630">
        <v>26.752326250799999</v>
      </c>
      <c r="BJ143" s="1630">
        <v>4.2919999999999998</v>
      </c>
      <c r="BK143" s="1630">
        <v>1.6962085</v>
      </c>
      <c r="BL143" s="1630">
        <v>201.25200000000001</v>
      </c>
      <c r="BM143" s="1630">
        <v>25.056117750799999</v>
      </c>
    </row>
    <row r="144" spans="1:65">
      <c r="A144" s="1627" t="s">
        <v>26</v>
      </c>
      <c r="B144" s="1638">
        <v>7526.9939999999997</v>
      </c>
      <c r="C144" s="1638">
        <v>1224.498</v>
      </c>
      <c r="D144" s="1638">
        <v>2653.9659999999999</v>
      </c>
      <c r="E144" s="1638">
        <v>2234.9560000000001</v>
      </c>
      <c r="F144" s="1638">
        <v>1874.72</v>
      </c>
      <c r="G144" s="1623">
        <v>763.35199999999998</v>
      </c>
      <c r="H144" s="1638">
        <v>14245.242</v>
      </c>
      <c r="I144" s="1638">
        <v>1954.3256379855</v>
      </c>
      <c r="J144" s="1630">
        <v>6404.8310000000001</v>
      </c>
      <c r="K144" s="1623">
        <v>1335.908518</v>
      </c>
      <c r="L144" s="1630">
        <v>22.853000000000002</v>
      </c>
      <c r="M144" s="1630">
        <v>78.045650315499998</v>
      </c>
      <c r="N144" s="1630">
        <v>38.564999999999998</v>
      </c>
      <c r="O144" s="1630">
        <v>7.8119573200000003</v>
      </c>
      <c r="P144" s="1630">
        <v>2229.9479999999999</v>
      </c>
      <c r="Q144" s="1638">
        <v>105.5293528448</v>
      </c>
      <c r="R144" s="1638">
        <v>457.375</v>
      </c>
      <c r="S144" s="1640">
        <v>9.1779652199998996</v>
      </c>
      <c r="T144" s="1638">
        <v>4013.9810000000002</v>
      </c>
      <c r="U144" s="1638">
        <v>288.95516631679999</v>
      </c>
      <c r="V144" s="1638"/>
      <c r="W144" s="1638"/>
      <c r="X144" s="1623">
        <v>1535.0640000000001</v>
      </c>
      <c r="Y144" s="1623">
        <v>138.07499318839999</v>
      </c>
      <c r="Z144" s="1623">
        <v>50.424999999999997</v>
      </c>
      <c r="AA144" s="1623">
        <v>18.160196022400001</v>
      </c>
      <c r="AB144" s="1623">
        <v>1484.6389999999999</v>
      </c>
      <c r="AC144" s="1623">
        <v>119.91479716600001</v>
      </c>
      <c r="AD144" s="1630">
        <v>12451.659</v>
      </c>
      <c r="AE144" s="1630">
        <v>1818.7605399639001</v>
      </c>
      <c r="AF144" s="1630">
        <v>6182.1260000000002</v>
      </c>
      <c r="AG144" s="1630">
        <v>1301.9629013199999</v>
      </c>
      <c r="AH144" s="1630">
        <v>1531.3720000000001</v>
      </c>
      <c r="AI144" s="1630">
        <v>144.5041137403</v>
      </c>
      <c r="AJ144" s="1630">
        <v>347.709</v>
      </c>
      <c r="AK144" s="1548">
        <v>6.3550025399999006</v>
      </c>
      <c r="AL144" s="1630">
        <v>3409.2379999999998</v>
      </c>
      <c r="AM144" s="1630">
        <v>257.40511703679999</v>
      </c>
      <c r="AN144" s="1630"/>
      <c r="AO144" s="1630"/>
      <c r="AP144" s="1630">
        <v>1328.923</v>
      </c>
      <c r="AQ144" s="1630">
        <v>114.88840786679999</v>
      </c>
      <c r="AR144" s="1630">
        <v>46.621000000000002</v>
      </c>
      <c r="AS144" s="1630">
        <v>16.3587477224</v>
      </c>
      <c r="AT144" s="1630">
        <v>1282.3019999999999</v>
      </c>
      <c r="AU144" s="1630">
        <v>98.529660144399998</v>
      </c>
      <c r="AV144" s="1630">
        <v>1793.5830000000001</v>
      </c>
      <c r="AW144" s="1630">
        <v>135.56509802159999</v>
      </c>
      <c r="AX144" s="1630">
        <v>261.27</v>
      </c>
      <c r="AY144" s="1630">
        <v>41.757573999999998</v>
      </c>
      <c r="AZ144" s="1630">
        <v>721.42899999999997</v>
      </c>
      <c r="BA144" s="1630">
        <v>39.07088942</v>
      </c>
      <c r="BB144" s="1630">
        <v>109.666</v>
      </c>
      <c r="BC144" s="1630">
        <v>2.8229626800000003</v>
      </c>
      <c r="BD144" s="1630">
        <v>604.74300000000005</v>
      </c>
      <c r="BE144" s="1630">
        <v>31.55004928</v>
      </c>
      <c r="BF144" s="1630"/>
      <c r="BG144" s="1630"/>
      <c r="BH144" s="1630">
        <v>206.14099999999999</v>
      </c>
      <c r="BI144" s="1630">
        <v>23.186585321599999</v>
      </c>
      <c r="BJ144" s="1630">
        <v>3.8039999999999998</v>
      </c>
      <c r="BK144" s="1630">
        <v>1.8014483000000001</v>
      </c>
      <c r="BL144" s="1630">
        <v>202.33699999999999</v>
      </c>
      <c r="BM144" s="1630">
        <v>21.385137021600002</v>
      </c>
    </row>
    <row r="145" spans="1:65">
      <c r="A145" s="1627" t="s">
        <v>27</v>
      </c>
      <c r="B145" s="1638">
        <v>7400.942</v>
      </c>
      <c r="C145" s="1638">
        <v>1291.617</v>
      </c>
      <c r="D145" s="1638">
        <v>2383.067</v>
      </c>
      <c r="E145" s="1638">
        <v>2299.2719999999999</v>
      </c>
      <c r="F145" s="1638">
        <v>1961.0519999999999</v>
      </c>
      <c r="G145" s="1623">
        <v>757.55100000000004</v>
      </c>
      <c r="H145" s="1638">
        <v>15460.852000000001</v>
      </c>
      <c r="I145" s="1638">
        <v>2216.5562001795001</v>
      </c>
      <c r="J145" s="1630">
        <v>6886.2060000000001</v>
      </c>
      <c r="K145" s="1623">
        <v>1516.5256400000001</v>
      </c>
      <c r="L145" s="1630">
        <v>26.852</v>
      </c>
      <c r="M145" s="1630">
        <v>103.30823526010001</v>
      </c>
      <c r="N145" s="1630">
        <v>43.350999999999999</v>
      </c>
      <c r="O145" s="1630">
        <v>8.1774705999999995</v>
      </c>
      <c r="P145" s="1630">
        <v>2432.203</v>
      </c>
      <c r="Q145" s="1638">
        <v>114.3563893452</v>
      </c>
      <c r="R145" s="1638">
        <v>554.15599999999995</v>
      </c>
      <c r="S145" s="1638">
        <v>10.9117558999999</v>
      </c>
      <c r="T145" s="1638">
        <v>4331.3890000000001</v>
      </c>
      <c r="U145" s="1638">
        <v>335.95567577000003</v>
      </c>
      <c r="V145" s="1638"/>
      <c r="W145" s="1638"/>
      <c r="X145" s="1623">
        <v>1740.8510000000001</v>
      </c>
      <c r="Y145" s="1623">
        <v>138.2327892042</v>
      </c>
      <c r="Z145" s="1623">
        <v>59.692999999999998</v>
      </c>
      <c r="AA145" s="1623">
        <v>19.201152459999999</v>
      </c>
      <c r="AB145" s="1623">
        <v>1681.1579999999999</v>
      </c>
      <c r="AC145" s="1623">
        <v>119.03163674419999</v>
      </c>
      <c r="AD145" s="1630">
        <v>13555.342000000001</v>
      </c>
      <c r="AE145" s="1630">
        <v>2071.4804946765998</v>
      </c>
      <c r="AF145" s="1630">
        <v>6662.7079999999996</v>
      </c>
      <c r="AG145" s="1630">
        <v>1481.0981196</v>
      </c>
      <c r="AH145" s="1630">
        <v>1688.89</v>
      </c>
      <c r="AI145" s="1630">
        <v>175.29777897010001</v>
      </c>
      <c r="AJ145" s="1630">
        <v>424.86799999999999</v>
      </c>
      <c r="AK145" s="1548">
        <v>7.6454124699998793</v>
      </c>
      <c r="AL145" s="1630">
        <v>3683.3980000000001</v>
      </c>
      <c r="AM145" s="1630">
        <v>299.49537229999999</v>
      </c>
      <c r="AN145" s="1630"/>
      <c r="AO145" s="1630"/>
      <c r="AP145" s="1630">
        <v>1520.346</v>
      </c>
      <c r="AQ145" s="1630">
        <v>115.5892238065</v>
      </c>
      <c r="AR145" s="1630">
        <v>55.191000000000003</v>
      </c>
      <c r="AS145" s="1630">
        <v>16.972960399999998</v>
      </c>
      <c r="AT145" s="1630">
        <v>1465.155</v>
      </c>
      <c r="AU145" s="1630">
        <v>98.616263406499996</v>
      </c>
      <c r="AV145" s="1630">
        <v>1905.51</v>
      </c>
      <c r="AW145" s="1630">
        <v>145.07570550290001</v>
      </c>
      <c r="AX145" s="1630">
        <v>266.84899999999999</v>
      </c>
      <c r="AY145" s="1630">
        <v>43.604990999999998</v>
      </c>
      <c r="AZ145" s="1630">
        <v>770.16499999999996</v>
      </c>
      <c r="BA145" s="1630">
        <v>42.366845635200001</v>
      </c>
      <c r="BB145" s="1630">
        <v>129.28800000000001</v>
      </c>
      <c r="BC145" s="1630">
        <v>3.26634343</v>
      </c>
      <c r="BD145" s="1630">
        <v>647.99099999999999</v>
      </c>
      <c r="BE145" s="1630">
        <v>36.460303469999999</v>
      </c>
      <c r="BF145" s="1630"/>
      <c r="BG145" s="1630"/>
      <c r="BH145" s="1630">
        <v>220.505</v>
      </c>
      <c r="BI145" s="1630">
        <v>22.643565397700002</v>
      </c>
      <c r="BJ145" s="1630">
        <v>4.5019999999999998</v>
      </c>
      <c r="BK145" s="1630">
        <v>2.22819206</v>
      </c>
      <c r="BL145" s="1630">
        <v>216.00299999999999</v>
      </c>
      <c r="BM145" s="1630">
        <v>20.4153733377</v>
      </c>
    </row>
    <row r="146" spans="1:65">
      <c r="A146" s="1627" t="s">
        <v>28</v>
      </c>
      <c r="B146" s="1638">
        <v>7474.991</v>
      </c>
      <c r="C146" s="1638">
        <v>1351.797</v>
      </c>
      <c r="D146" s="1638">
        <v>2408.8020000000001</v>
      </c>
      <c r="E146" s="1638">
        <v>2329.643</v>
      </c>
      <c r="F146" s="1638">
        <v>1985.06</v>
      </c>
      <c r="G146" s="1623">
        <v>751.48599999999999</v>
      </c>
      <c r="H146" s="1638">
        <v>14984.116</v>
      </c>
      <c r="I146" s="1638">
        <v>2150.9988404999999</v>
      </c>
      <c r="J146" s="1630">
        <v>6408.5860000000002</v>
      </c>
      <c r="K146" s="1623">
        <v>1485.679549</v>
      </c>
      <c r="L146" s="1630">
        <v>24.544</v>
      </c>
      <c r="M146" s="1630">
        <v>85.597268470000003</v>
      </c>
      <c r="N146" s="1630">
        <v>43.173000000000002</v>
      </c>
      <c r="O146" s="1630">
        <v>8.3913709999999995</v>
      </c>
      <c r="P146" s="1630">
        <v>2432.971</v>
      </c>
      <c r="Q146" s="1638">
        <v>116.68734487</v>
      </c>
      <c r="R146" s="1638">
        <v>595.43899999999996</v>
      </c>
      <c r="S146" s="1638">
        <v>12.837712629999901</v>
      </c>
      <c r="T146" s="1638">
        <v>4323.7169999999996</v>
      </c>
      <c r="U146" s="1638">
        <v>321.50474353999999</v>
      </c>
      <c r="V146" s="1638"/>
      <c r="W146" s="1638"/>
      <c r="X146" s="1623">
        <v>1751.125</v>
      </c>
      <c r="Y146" s="1623">
        <v>133.13856362000001</v>
      </c>
      <c r="Z146" s="1623">
        <v>55.097000000000001</v>
      </c>
      <c r="AA146" s="1623">
        <v>17.68224858</v>
      </c>
      <c r="AB146" s="1623">
        <v>1696.028</v>
      </c>
      <c r="AC146" s="1623">
        <v>115.45631504000001</v>
      </c>
      <c r="AD146" s="1630">
        <v>13023.793</v>
      </c>
      <c r="AE146" s="1630">
        <v>2003.8274899400001</v>
      </c>
      <c r="AF146" s="1630">
        <v>6183.8869999999997</v>
      </c>
      <c r="AG146" s="1630">
        <v>1449.1195399999999</v>
      </c>
      <c r="AH146" s="1630">
        <v>1661.173</v>
      </c>
      <c r="AI146" s="1630">
        <v>156.85300365000001</v>
      </c>
      <c r="AJ146" s="1630">
        <v>433.964</v>
      </c>
      <c r="AK146" s="1548">
        <v>8.3301051899998804</v>
      </c>
      <c r="AL146" s="1630">
        <v>3667.8040000000001</v>
      </c>
      <c r="AM146" s="1630">
        <v>288.06848934999999</v>
      </c>
      <c r="AN146" s="1630"/>
      <c r="AO146" s="1630"/>
      <c r="AP146" s="1630">
        <v>1510.9290000000001</v>
      </c>
      <c r="AQ146" s="1630">
        <v>109.78645693999999</v>
      </c>
      <c r="AR146" s="1630">
        <v>51.177</v>
      </c>
      <c r="AS146" s="1630">
        <v>16.004754130000002</v>
      </c>
      <c r="AT146" s="1630">
        <v>1459.752</v>
      </c>
      <c r="AU146" s="1630">
        <v>93.781702809999999</v>
      </c>
      <c r="AV146" s="1630">
        <v>1960.3230000000001</v>
      </c>
      <c r="AW146" s="1630">
        <v>147.17135056000001</v>
      </c>
      <c r="AX146" s="1630">
        <v>267.87200000000001</v>
      </c>
      <c r="AY146" s="1630">
        <v>44.95138</v>
      </c>
      <c r="AZ146" s="1630">
        <v>796.34199999999998</v>
      </c>
      <c r="BA146" s="1630">
        <v>45.431609690000002</v>
      </c>
      <c r="BB146" s="1630">
        <v>161.47499999999999</v>
      </c>
      <c r="BC146" s="1630">
        <v>4.5076074400000001</v>
      </c>
      <c r="BD146" s="1630">
        <v>655.91300000000001</v>
      </c>
      <c r="BE146" s="1630">
        <v>33.43625419</v>
      </c>
      <c r="BF146" s="1630"/>
      <c r="BG146" s="1630"/>
      <c r="BH146" s="1630">
        <v>240.196</v>
      </c>
      <c r="BI146" s="1630">
        <v>23.352106679999999</v>
      </c>
      <c r="BJ146" s="1630">
        <v>3.92</v>
      </c>
      <c r="BK146" s="1630">
        <v>1.67749445</v>
      </c>
      <c r="BL146" s="1630">
        <v>236.27600000000001</v>
      </c>
      <c r="BM146" s="1630">
        <v>21.674612230000001</v>
      </c>
    </row>
    <row r="147" spans="1:65">
      <c r="A147" s="1627" t="s">
        <v>29</v>
      </c>
      <c r="B147" s="1638">
        <v>7544.759</v>
      </c>
      <c r="C147" s="1638">
        <v>1501.095</v>
      </c>
      <c r="D147" s="1638">
        <v>2383.087</v>
      </c>
      <c r="E147" s="1638">
        <v>2339.1480000000001</v>
      </c>
      <c r="F147" s="1638">
        <v>2025.0509999999999</v>
      </c>
      <c r="G147" s="1623">
        <v>797.47299999999996</v>
      </c>
      <c r="H147" s="1638">
        <v>18570.471000000001</v>
      </c>
      <c r="I147" s="1638">
        <v>2824.2742910100001</v>
      </c>
      <c r="J147" s="1630">
        <v>8483.3870000000006</v>
      </c>
      <c r="K147" s="1623">
        <v>2023.0248979999999</v>
      </c>
      <c r="L147" s="1630">
        <v>33.383000000000003</v>
      </c>
      <c r="M147" s="1630">
        <v>132.91968531000001</v>
      </c>
      <c r="N147" s="1630">
        <v>53.905999999999999</v>
      </c>
      <c r="O147" s="1630">
        <v>10.058679</v>
      </c>
      <c r="P147" s="1630">
        <v>3144.4580000000001</v>
      </c>
      <c r="Q147" s="1638">
        <v>165.15754142</v>
      </c>
      <c r="R147" s="1638">
        <v>716.97699999999998</v>
      </c>
      <c r="S147" s="1638">
        <v>15.835014719999799</v>
      </c>
      <c r="T147" s="1638">
        <v>4952.6109999999999</v>
      </c>
      <c r="U147" s="1638">
        <v>366.90617607000001</v>
      </c>
      <c r="V147" s="1638"/>
      <c r="W147" s="1638"/>
      <c r="X147" s="1623">
        <v>1902.7260000000001</v>
      </c>
      <c r="Y147" s="1623">
        <v>126.20731121</v>
      </c>
      <c r="Z147" s="1623">
        <v>55.301000000000002</v>
      </c>
      <c r="AA147" s="1623">
        <v>16.544219859999998</v>
      </c>
      <c r="AB147" s="1623">
        <v>1847.425</v>
      </c>
      <c r="AC147" s="1623">
        <v>109.66309134999999</v>
      </c>
      <c r="AD147" s="1630">
        <v>16277.072</v>
      </c>
      <c r="AE147" s="1630">
        <v>2652.0140934800002</v>
      </c>
      <c r="AF147" s="1630">
        <v>8225.3019999999997</v>
      </c>
      <c r="AG147" s="1630">
        <v>1980.3451600000001</v>
      </c>
      <c r="AH147" s="1630">
        <v>2228.373</v>
      </c>
      <c r="AI147" s="1630">
        <v>236.89370674</v>
      </c>
      <c r="AJ147" s="1630">
        <v>535.22699999999998</v>
      </c>
      <c r="AK147" s="1630">
        <v>10.7145755299998</v>
      </c>
      <c r="AL147" s="1630">
        <v>4176.6419999999998</v>
      </c>
      <c r="AM147" s="1630">
        <v>327.57234039999997</v>
      </c>
      <c r="AN147" s="1630"/>
      <c r="AO147" s="1630"/>
      <c r="AP147" s="1630">
        <v>1646.7550000000001</v>
      </c>
      <c r="AQ147" s="1630">
        <v>107.20288634000001</v>
      </c>
      <c r="AR147" s="1630">
        <v>51.563000000000002</v>
      </c>
      <c r="AS147" s="1630">
        <v>14.877477730000001</v>
      </c>
      <c r="AT147" s="1630">
        <v>1595.192</v>
      </c>
      <c r="AU147" s="1630">
        <v>92.325408609999997</v>
      </c>
      <c r="AV147" s="1630">
        <v>2293.3989999999999</v>
      </c>
      <c r="AW147" s="1630">
        <v>172.26019753</v>
      </c>
      <c r="AX147" s="1630">
        <v>311.99099999999999</v>
      </c>
      <c r="AY147" s="1630">
        <v>52.738416999999998</v>
      </c>
      <c r="AZ147" s="1630">
        <v>949.46799999999996</v>
      </c>
      <c r="BA147" s="1630">
        <v>61.183519990000001</v>
      </c>
      <c r="BB147" s="1630">
        <v>181.75</v>
      </c>
      <c r="BC147" s="1630">
        <v>5.1204391900000008</v>
      </c>
      <c r="BD147" s="1630">
        <v>775.96900000000005</v>
      </c>
      <c r="BE147" s="1630">
        <v>39.333835669999999</v>
      </c>
      <c r="BF147" s="1630"/>
      <c r="BG147" s="1630"/>
      <c r="BH147" s="1630">
        <v>255.971</v>
      </c>
      <c r="BI147" s="1630">
        <v>19.004424870000001</v>
      </c>
      <c r="BJ147" s="1630">
        <v>3.738</v>
      </c>
      <c r="BK147" s="1630">
        <v>1.6667421299999998</v>
      </c>
      <c r="BL147" s="1630">
        <v>252.233</v>
      </c>
      <c r="BM147" s="1630">
        <v>17.337682740000002</v>
      </c>
    </row>
    <row r="148" spans="1:65">
      <c r="A148" s="1627" t="s">
        <v>2375</v>
      </c>
      <c r="B148" s="1639">
        <v>9571.1640000000007</v>
      </c>
      <c r="C148" s="1639">
        <v>3681</v>
      </c>
      <c r="D148" s="1639">
        <v>3443.3139999999999</v>
      </c>
      <c r="E148" s="1639">
        <v>2525.0369999999998</v>
      </c>
      <c r="F148" s="1639">
        <v>2510.0189999999998</v>
      </c>
      <c r="G148" s="1632">
        <v>1092.7940000000001</v>
      </c>
      <c r="H148" s="1628">
        <f t="shared" ref="H148:AM148" si="31">SUM(H149:H160)</f>
        <v>227838.75900000002</v>
      </c>
      <c r="I148" s="1628">
        <f t="shared" si="31"/>
        <v>29447.401445410003</v>
      </c>
      <c r="J148" s="1628">
        <f t="shared" si="31"/>
        <v>84480.773000000001</v>
      </c>
      <c r="K148" s="1628">
        <f t="shared" si="31"/>
        <v>20285.173201999998</v>
      </c>
      <c r="L148" s="1628">
        <f t="shared" si="31"/>
        <v>279.77600000000001</v>
      </c>
      <c r="M148" s="1628">
        <f t="shared" si="31"/>
        <v>1478.9906118500003</v>
      </c>
      <c r="N148" s="1628">
        <f t="shared" si="31"/>
        <v>316.25</v>
      </c>
      <c r="O148" s="1628">
        <f t="shared" si="31"/>
        <v>66.371478999999994</v>
      </c>
      <c r="P148" s="1628">
        <f t="shared" si="31"/>
        <v>48334.738000000005</v>
      </c>
      <c r="Q148" s="1628">
        <f t="shared" si="31"/>
        <v>2177.4736723800002</v>
      </c>
      <c r="R148" s="1628">
        <f t="shared" si="31"/>
        <v>18677.970999999998</v>
      </c>
      <c r="S148" s="1628">
        <f t="shared" si="31"/>
        <v>492.73606024999998</v>
      </c>
      <c r="T148" s="1628">
        <f t="shared" si="31"/>
        <v>69871.207999999999</v>
      </c>
      <c r="U148" s="1628">
        <f t="shared" si="31"/>
        <v>4139.17198345</v>
      </c>
      <c r="V148" s="1628">
        <f t="shared" si="31"/>
        <v>43.014000000000003</v>
      </c>
      <c r="W148" s="1635">
        <f t="shared" si="31"/>
        <v>1.1855390000000001</v>
      </c>
      <c r="X148" s="1628">
        <f t="shared" si="31"/>
        <v>24513</v>
      </c>
      <c r="Y148" s="1628">
        <f t="shared" si="31"/>
        <v>1299.0349577300001</v>
      </c>
      <c r="Z148" s="1628">
        <f t="shared" si="31"/>
        <v>392.04699999999997</v>
      </c>
      <c r="AA148" s="1628">
        <f t="shared" si="31"/>
        <v>145.0527252</v>
      </c>
      <c r="AB148" s="1628">
        <f t="shared" si="31"/>
        <v>24120.952999999998</v>
      </c>
      <c r="AC148" s="1628">
        <f t="shared" si="31"/>
        <v>1153.9822325299999</v>
      </c>
      <c r="AD148" s="1628">
        <f t="shared" si="31"/>
        <v>196108.016</v>
      </c>
      <c r="AE148" s="1628">
        <f t="shared" si="31"/>
        <v>27595.53177741</v>
      </c>
      <c r="AF148" s="1628">
        <f t="shared" si="31"/>
        <v>81980.297000000006</v>
      </c>
      <c r="AG148" s="1628">
        <f t="shared" si="31"/>
        <v>19876.800981</v>
      </c>
      <c r="AH148" s="1628">
        <f t="shared" si="31"/>
        <v>34826.089</v>
      </c>
      <c r="AI148" s="1628">
        <f t="shared" si="31"/>
        <v>2965.7463743499998</v>
      </c>
      <c r="AJ148" s="1628">
        <f t="shared" si="31"/>
        <v>13623.975999999999</v>
      </c>
      <c r="AK148" s="1628">
        <f t="shared" si="31"/>
        <v>356.96652434999999</v>
      </c>
      <c r="AL148" s="1628">
        <f t="shared" si="31"/>
        <v>58242.565999999999</v>
      </c>
      <c r="AM148" s="1628">
        <f t="shared" si="31"/>
        <v>3670.2351931400003</v>
      </c>
      <c r="AN148" s="1628">
        <f t="shared" ref="AN148:BM148" si="32">SUM(AN149:AN160)</f>
        <v>29.247000000000007</v>
      </c>
      <c r="AO148" s="1552">
        <f t="shared" si="32"/>
        <v>0.79795300000000002</v>
      </c>
      <c r="AP148" s="1628">
        <f t="shared" si="32"/>
        <v>20981.613000000005</v>
      </c>
      <c r="AQ148" s="1628">
        <f t="shared" si="32"/>
        <v>1080.27880592</v>
      </c>
      <c r="AR148" s="1628">
        <f t="shared" si="32"/>
        <v>372.38499999999999</v>
      </c>
      <c r="AS148" s="1628">
        <f t="shared" si="32"/>
        <v>136.71474859</v>
      </c>
      <c r="AT148" s="1628">
        <f t="shared" si="32"/>
        <v>20657.431999999997</v>
      </c>
      <c r="AU148" s="1628">
        <f t="shared" si="32"/>
        <v>945.23652732999994</v>
      </c>
      <c r="AV148" s="1628">
        <f t="shared" si="32"/>
        <v>31730.742999999995</v>
      </c>
      <c r="AW148" s="1628">
        <f t="shared" si="32"/>
        <v>1851.869668</v>
      </c>
      <c r="AX148" s="1628">
        <f t="shared" si="32"/>
        <v>2816.7260000000001</v>
      </c>
      <c r="AY148" s="1628">
        <f t="shared" si="32"/>
        <v>474.74369999999999</v>
      </c>
      <c r="AZ148" s="1628">
        <f t="shared" si="32"/>
        <v>13788.424999999997</v>
      </c>
      <c r="BA148" s="1628">
        <f t="shared" si="32"/>
        <v>690.71790987999998</v>
      </c>
      <c r="BB148" s="1628">
        <f t="shared" si="32"/>
        <v>5053.9949999999999</v>
      </c>
      <c r="BC148" s="1628">
        <f t="shared" si="32"/>
        <v>135.76953589999999</v>
      </c>
      <c r="BD148" s="1628">
        <f t="shared" si="32"/>
        <v>11628.642</v>
      </c>
      <c r="BE148" s="1628">
        <f t="shared" si="32"/>
        <v>468.93679030999999</v>
      </c>
      <c r="BF148" s="1628">
        <f t="shared" si="32"/>
        <v>13.766999999999999</v>
      </c>
      <c r="BG148" s="1635">
        <f t="shared" si="32"/>
        <v>0.38758600000000004</v>
      </c>
      <c r="BH148" s="1628">
        <f t="shared" si="32"/>
        <v>3483.183</v>
      </c>
      <c r="BI148" s="1628">
        <f t="shared" si="32"/>
        <v>217.08368180999997</v>
      </c>
      <c r="BJ148" s="1628">
        <f t="shared" si="32"/>
        <v>19.661999999999995</v>
      </c>
      <c r="BK148" s="1628">
        <f t="shared" si="32"/>
        <v>8.3379766100000019</v>
      </c>
      <c r="BL148" s="1628">
        <f t="shared" si="32"/>
        <v>3463.5209999999993</v>
      </c>
      <c r="BM148" s="1628">
        <f t="shared" si="32"/>
        <v>208.7457052</v>
      </c>
    </row>
    <row r="149" spans="1:65">
      <c r="A149" s="1627" t="s">
        <v>18</v>
      </c>
      <c r="B149" s="1638">
        <v>8008.9859999999999</v>
      </c>
      <c r="C149" s="1638">
        <v>1668.1379999999999</v>
      </c>
      <c r="D149" s="1638">
        <v>2707.355</v>
      </c>
      <c r="E149" s="1638">
        <v>2384.1550000000002</v>
      </c>
      <c r="F149" s="1638">
        <v>2088.357</v>
      </c>
      <c r="G149" s="1623">
        <v>829.11900000000003</v>
      </c>
      <c r="H149" s="1638">
        <v>15619.623</v>
      </c>
      <c r="I149" s="1638">
        <v>1931.87815275</v>
      </c>
      <c r="J149" s="1630">
        <v>5978.192</v>
      </c>
      <c r="K149" s="1623">
        <v>1279.8100730000001</v>
      </c>
      <c r="L149" s="1630">
        <v>19.193999999999999</v>
      </c>
      <c r="M149" s="1630">
        <v>67.633097100000001</v>
      </c>
      <c r="N149" s="1630">
        <v>57.375999999999998</v>
      </c>
      <c r="O149" s="1630">
        <v>9.7093520000000009</v>
      </c>
      <c r="P149" s="1630">
        <v>3037.8220000000001</v>
      </c>
      <c r="Q149" s="1638">
        <v>134.40345371999999</v>
      </c>
      <c r="R149" s="1638">
        <v>848.66200000000003</v>
      </c>
      <c r="S149" s="1638">
        <v>19.775222699999897</v>
      </c>
      <c r="T149" s="1638">
        <v>4665.8140000000003</v>
      </c>
      <c r="U149" s="1638">
        <v>297.40421937000002</v>
      </c>
      <c r="V149" s="1622"/>
      <c r="W149" s="1638"/>
      <c r="X149" s="1623">
        <v>1861.2249999999999</v>
      </c>
      <c r="Y149" s="1623">
        <v>142.91795755999999</v>
      </c>
      <c r="Z149" s="1623">
        <v>49.582999999999998</v>
      </c>
      <c r="AA149" s="1623">
        <v>16.966815960000002</v>
      </c>
      <c r="AB149" s="1623">
        <v>1811.6420000000001</v>
      </c>
      <c r="AC149" s="1623">
        <v>125.9511416</v>
      </c>
      <c r="AD149" s="1630">
        <v>13278.543</v>
      </c>
      <c r="AE149" s="1630">
        <v>1772.0139453700001</v>
      </c>
      <c r="AF149" s="1630">
        <v>5745.5680000000002</v>
      </c>
      <c r="AG149" s="1630">
        <v>1245.780831</v>
      </c>
      <c r="AH149" s="1630">
        <v>2063.7890000000002</v>
      </c>
      <c r="AI149" s="1630">
        <v>148.36639117999999</v>
      </c>
      <c r="AJ149" s="1630">
        <v>632.21699999999998</v>
      </c>
      <c r="AK149" s="1630">
        <v>14.0300677999999</v>
      </c>
      <c r="AL149" s="1630">
        <v>3870.46</v>
      </c>
      <c r="AM149" s="1630">
        <v>261.96300007999997</v>
      </c>
      <c r="AN149" s="1630"/>
      <c r="AO149" s="1630"/>
      <c r="AP149" s="1630">
        <v>1595.155</v>
      </c>
      <c r="AQ149" s="1630">
        <v>115.74769611000001</v>
      </c>
      <c r="AR149" s="1630">
        <v>46.087000000000003</v>
      </c>
      <c r="AS149" s="1630">
        <v>15.350044460000001</v>
      </c>
      <c r="AT149" s="1630">
        <v>1552.6389999999999</v>
      </c>
      <c r="AU149" s="1630">
        <v>100.55367865000001</v>
      </c>
      <c r="AV149" s="1630">
        <v>2341.08</v>
      </c>
      <c r="AW149" s="1630">
        <v>159.86420738000001</v>
      </c>
      <c r="AX149" s="1630">
        <v>290</v>
      </c>
      <c r="AY149" s="1630">
        <v>43.738593999999999</v>
      </c>
      <c r="AZ149" s="1630">
        <v>993.22699999999998</v>
      </c>
      <c r="BA149" s="1630">
        <v>53.670159640000001</v>
      </c>
      <c r="BB149" s="1630">
        <v>216.44499999999999</v>
      </c>
      <c r="BC149" s="1630">
        <v>5.7451549000000002</v>
      </c>
      <c r="BD149" s="1630">
        <v>795.35400000000004</v>
      </c>
      <c r="BE149" s="1630">
        <v>35.441219289999999</v>
      </c>
      <c r="BF149" s="1630"/>
      <c r="BG149" s="1630"/>
      <c r="BH149" s="1630">
        <v>262.49900000000002</v>
      </c>
      <c r="BI149" s="1630">
        <v>27.01423445</v>
      </c>
      <c r="BJ149" s="1630">
        <v>3.496</v>
      </c>
      <c r="BK149" s="1630">
        <v>1.6167715</v>
      </c>
      <c r="BL149" s="1630">
        <v>259.00299999999999</v>
      </c>
      <c r="BM149" s="1630">
        <v>25.397462949999998</v>
      </c>
    </row>
    <row r="150" spans="1:65">
      <c r="A150" s="1627" t="s">
        <v>19</v>
      </c>
      <c r="B150" s="1638">
        <v>8140.6880000000001</v>
      </c>
      <c r="C150" s="1638">
        <v>1789.7650000000001</v>
      </c>
      <c r="D150" s="1638">
        <v>2722.5329999999999</v>
      </c>
      <c r="E150" s="1638">
        <v>2370.9360000000001</v>
      </c>
      <c r="F150" s="1638">
        <v>2156.7399999999998</v>
      </c>
      <c r="G150" s="1623">
        <v>890.47900000000004</v>
      </c>
      <c r="H150" s="1638">
        <v>16146.291999999999</v>
      </c>
      <c r="I150" s="1638">
        <v>2271.3782596000001</v>
      </c>
      <c r="J150" s="1630">
        <v>6748.1109999999999</v>
      </c>
      <c r="K150" s="1623">
        <v>1628.6011639999999</v>
      </c>
      <c r="L150" s="1630">
        <v>26.93</v>
      </c>
      <c r="M150" s="1630">
        <v>75.463465560000003</v>
      </c>
      <c r="N150" s="1630">
        <v>25.558</v>
      </c>
      <c r="O150" s="1630">
        <v>6.4679979999999997</v>
      </c>
      <c r="P150" s="1630">
        <v>2980.5309999999999</v>
      </c>
      <c r="Q150" s="1638">
        <v>125.50047646</v>
      </c>
      <c r="R150" s="1638">
        <v>960.29899999999998</v>
      </c>
      <c r="S150" s="1638">
        <v>19.360981289999998</v>
      </c>
      <c r="T150" s="1638">
        <v>4656.5219999999999</v>
      </c>
      <c r="U150" s="1638">
        <v>318.97367985</v>
      </c>
      <c r="V150" s="1622"/>
      <c r="W150" s="1638"/>
      <c r="X150" s="1623">
        <v>1708.64</v>
      </c>
      <c r="Y150" s="1623">
        <v>116.37147573</v>
      </c>
      <c r="Z150" s="1623">
        <v>41.473999999999997</v>
      </c>
      <c r="AA150" s="1623">
        <v>15.25024453</v>
      </c>
      <c r="AB150" s="1623">
        <v>1667.1659999999999</v>
      </c>
      <c r="AC150" s="1623">
        <v>101.1212312</v>
      </c>
      <c r="AD150" s="1630">
        <v>13960.842000000001</v>
      </c>
      <c r="AE150" s="1630">
        <v>2123.9022767000001</v>
      </c>
      <c r="AF150" s="1630">
        <v>6525.3969999999999</v>
      </c>
      <c r="AG150" s="1630">
        <v>1592.1695130000001</v>
      </c>
      <c r="AH150" s="1630">
        <v>2063.8890000000001</v>
      </c>
      <c r="AI150" s="1630">
        <v>152.15108182</v>
      </c>
      <c r="AJ150" s="1630">
        <v>744.87400000000002</v>
      </c>
      <c r="AK150" s="1630">
        <v>13.525012289999999</v>
      </c>
      <c r="AL150" s="1630">
        <v>3893.5830000000001</v>
      </c>
      <c r="AM150" s="1630">
        <v>283.96029263999998</v>
      </c>
      <c r="AN150" s="1630"/>
      <c r="AO150" s="1630"/>
      <c r="AP150" s="1630">
        <v>1474.7339999999999</v>
      </c>
      <c r="AQ150" s="1630">
        <v>95.498312240000004</v>
      </c>
      <c r="AR150" s="1630">
        <v>38.783999999999999</v>
      </c>
      <c r="AS150" s="1630">
        <v>13.95390269</v>
      </c>
      <c r="AT150" s="1630">
        <v>1439.1890000000001</v>
      </c>
      <c r="AU150" s="1630">
        <v>81.667486549999992</v>
      </c>
      <c r="AV150" s="1630">
        <v>2185.4499999999998</v>
      </c>
      <c r="AW150" s="1630">
        <v>147.47598289999999</v>
      </c>
      <c r="AX150" s="1630">
        <v>248.27199999999999</v>
      </c>
      <c r="AY150" s="1630">
        <v>42.899648999999997</v>
      </c>
      <c r="AZ150" s="1630">
        <v>943.572</v>
      </c>
      <c r="BA150" s="1630">
        <v>48.812860200000003</v>
      </c>
      <c r="BB150" s="1630">
        <v>215.42500000000001</v>
      </c>
      <c r="BC150" s="1630">
        <v>5.8359690000000004</v>
      </c>
      <c r="BD150" s="1630">
        <v>762.93899999999996</v>
      </c>
      <c r="BE150" s="1630">
        <v>35.013387209999998</v>
      </c>
      <c r="BF150" s="1630"/>
      <c r="BG150" s="1630"/>
      <c r="BH150" s="1630">
        <v>230.667</v>
      </c>
      <c r="BI150" s="1630">
        <v>20.750086490000001</v>
      </c>
      <c r="BJ150" s="1630">
        <v>2.69</v>
      </c>
      <c r="BK150" s="1630">
        <v>1.2963418400000002</v>
      </c>
      <c r="BL150" s="1630">
        <v>227.977</v>
      </c>
      <c r="BM150" s="1630">
        <v>19.453744649999997</v>
      </c>
    </row>
    <row r="151" spans="1:65">
      <c r="A151" s="1627" t="s">
        <v>20</v>
      </c>
      <c r="B151" s="1638">
        <v>8166.6019999999999</v>
      </c>
      <c r="C151" s="1638">
        <v>1842.5029999999999</v>
      </c>
      <c r="D151" s="1638">
        <v>2754.4789999999998</v>
      </c>
      <c r="E151" s="1638">
        <v>2357.3879999999999</v>
      </c>
      <c r="F151" s="1638">
        <v>2124.83</v>
      </c>
      <c r="G151" s="1623">
        <v>929.90499999999997</v>
      </c>
      <c r="H151" s="1638">
        <v>18662.041000000001</v>
      </c>
      <c r="I151" s="1638">
        <v>2711.9116941500001</v>
      </c>
      <c r="J151" s="1630">
        <v>7919.43</v>
      </c>
      <c r="K151" s="1623">
        <v>1956.791457</v>
      </c>
      <c r="L151" s="1630">
        <v>33.228000000000002</v>
      </c>
      <c r="M151" s="1630">
        <v>125.96862036</v>
      </c>
      <c r="N151" s="1630">
        <v>25.765000000000001</v>
      </c>
      <c r="O151" s="1630">
        <v>7.4927130000000002</v>
      </c>
      <c r="P151" s="1630">
        <v>3598.9079999999999</v>
      </c>
      <c r="Q151" s="1638">
        <v>179.43078629999999</v>
      </c>
      <c r="R151" s="1638">
        <v>1011.36</v>
      </c>
      <c r="S151" s="1638">
        <v>25.018902030000103</v>
      </c>
      <c r="T151" s="1638">
        <v>5285.1210000000001</v>
      </c>
      <c r="U151" s="1638">
        <v>340.58879990000003</v>
      </c>
      <c r="V151" s="1622"/>
      <c r="W151" s="1638"/>
      <c r="X151" s="1623">
        <v>1799.5889999999999</v>
      </c>
      <c r="Y151" s="1623">
        <v>101.63931759</v>
      </c>
      <c r="Z151" s="1623">
        <v>44.186999999999998</v>
      </c>
      <c r="AA151" s="1623">
        <v>15.58099576</v>
      </c>
      <c r="AB151" s="1623">
        <v>1755.402</v>
      </c>
      <c r="AC151" s="1623">
        <v>86.058321829999997</v>
      </c>
      <c r="AD151" s="1630">
        <v>16258.643</v>
      </c>
      <c r="AE151" s="1630">
        <v>2551.1091143499998</v>
      </c>
      <c r="AF151" s="1630">
        <v>7697.9629999999997</v>
      </c>
      <c r="AG151" s="1630">
        <v>1919.0236299999999</v>
      </c>
      <c r="AH151" s="1630">
        <v>2547.2199999999998</v>
      </c>
      <c r="AI151" s="1630">
        <v>242.77703743999999</v>
      </c>
      <c r="AJ151" s="1630">
        <v>745.28700000000003</v>
      </c>
      <c r="AK151" s="1630">
        <v>16.6440960300001</v>
      </c>
      <c r="AL151" s="1630">
        <v>4446.5540000000001</v>
      </c>
      <c r="AM151" s="1630">
        <v>303.77800151000002</v>
      </c>
      <c r="AN151" s="1630"/>
      <c r="AO151" s="1630"/>
      <c r="AP151" s="1630">
        <v>1563.047</v>
      </c>
      <c r="AQ151" s="1630">
        <v>85.397842400000002</v>
      </c>
      <c r="AR151" s="1630">
        <v>41.734999999999999</v>
      </c>
      <c r="AS151" s="1630">
        <v>14.415457890000001</v>
      </c>
      <c r="AT151" s="1630">
        <v>1525.171</v>
      </c>
      <c r="AU151" s="1630">
        <v>71.114987510000006</v>
      </c>
      <c r="AV151" s="1630">
        <v>2403.3980000000001</v>
      </c>
      <c r="AW151" s="1630">
        <v>160.80257979999999</v>
      </c>
      <c r="AX151" s="1630">
        <v>247.232</v>
      </c>
      <c r="AY151" s="1630">
        <v>45.260539999999999</v>
      </c>
      <c r="AZ151" s="1630">
        <v>1084.9159999999999</v>
      </c>
      <c r="BA151" s="1630">
        <v>62.622369220000003</v>
      </c>
      <c r="BB151" s="1630">
        <v>266.07299999999998</v>
      </c>
      <c r="BC151" s="1630">
        <v>8.3748059999999995</v>
      </c>
      <c r="BD151" s="1630">
        <v>838.56700000000001</v>
      </c>
      <c r="BE151" s="1630">
        <v>36.810798390000002</v>
      </c>
      <c r="BF151" s="1630"/>
      <c r="BG151" s="1630"/>
      <c r="BH151" s="1630">
        <v>232.68299999999999</v>
      </c>
      <c r="BI151" s="1630">
        <v>16.10887219</v>
      </c>
      <c r="BJ151" s="1630">
        <v>2.452</v>
      </c>
      <c r="BK151" s="1630">
        <v>1.1655378700000001</v>
      </c>
      <c r="BL151" s="1630">
        <v>230.23099999999999</v>
      </c>
      <c r="BM151" s="1630">
        <v>14.94333432</v>
      </c>
    </row>
    <row r="152" spans="1:65">
      <c r="A152" s="1627" t="s">
        <v>21</v>
      </c>
      <c r="B152" s="1638">
        <v>8336.9069999999992</v>
      </c>
      <c r="C152" s="1638">
        <v>1888.9559999999999</v>
      </c>
      <c r="D152" s="1638">
        <v>3023.627</v>
      </c>
      <c r="E152" s="1638">
        <v>2355.6120000000001</v>
      </c>
      <c r="F152" s="1638">
        <v>2080.259</v>
      </c>
      <c r="G152" s="1623">
        <v>877.40899999999999</v>
      </c>
      <c r="H152" s="1638">
        <v>15749.464</v>
      </c>
      <c r="I152" s="1638">
        <v>1955.1039318799999</v>
      </c>
      <c r="J152" s="1630">
        <v>5769.9759999999997</v>
      </c>
      <c r="K152" s="1623">
        <v>1381.773831</v>
      </c>
      <c r="L152" s="1630">
        <v>15.414999999999999</v>
      </c>
      <c r="M152" s="1630">
        <v>59.861938019999997</v>
      </c>
      <c r="N152" s="1630">
        <v>24.905999999999999</v>
      </c>
      <c r="O152" s="1630">
        <v>4.9060170000000003</v>
      </c>
      <c r="P152" s="1630">
        <v>3393.7979999999998</v>
      </c>
      <c r="Q152" s="1638">
        <v>164.74278430000001</v>
      </c>
      <c r="R152" s="1638">
        <v>977.995</v>
      </c>
      <c r="S152" s="1638">
        <v>22.08130607</v>
      </c>
      <c r="T152" s="1638">
        <v>5186.0510000000004</v>
      </c>
      <c r="U152" s="1638">
        <v>280.18762992000001</v>
      </c>
      <c r="V152" s="1622"/>
      <c r="W152" s="1638"/>
      <c r="X152" s="1623">
        <v>1359.318</v>
      </c>
      <c r="Y152" s="1623">
        <v>63.631731639999998</v>
      </c>
      <c r="Z152" s="1623">
        <v>24.649000000000001</v>
      </c>
      <c r="AA152" s="1623">
        <v>8.82958496</v>
      </c>
      <c r="AB152" s="1623">
        <v>1334.6690000000001</v>
      </c>
      <c r="AC152" s="1623">
        <v>54.80214668</v>
      </c>
      <c r="AD152" s="1630">
        <v>13778.29</v>
      </c>
      <c r="AE152" s="1630">
        <v>1848.10779596</v>
      </c>
      <c r="AF152" s="1630">
        <v>5647.2280000000001</v>
      </c>
      <c r="AG152" s="1630">
        <v>1360.2828910000001</v>
      </c>
      <c r="AH152" s="1630">
        <v>2583.5569999999998</v>
      </c>
      <c r="AI152" s="1630">
        <v>190.1934645</v>
      </c>
      <c r="AJ152" s="1630">
        <v>750.23800000000006</v>
      </c>
      <c r="AK152" s="1630">
        <v>15.74234407</v>
      </c>
      <c r="AL152" s="1630">
        <v>4368.9960000000001</v>
      </c>
      <c r="AM152" s="1630">
        <v>244.28766049999999</v>
      </c>
      <c r="AN152" s="1630"/>
      <c r="AO152" s="1630"/>
      <c r="AP152" s="1630">
        <v>1175.6120000000001</v>
      </c>
      <c r="AQ152" s="1630">
        <v>53.260046959999997</v>
      </c>
      <c r="AR152" s="1630">
        <v>23.343</v>
      </c>
      <c r="AS152" s="1630">
        <v>8.1984125599999995</v>
      </c>
      <c r="AT152" s="1630">
        <v>1155.1659999999999</v>
      </c>
      <c r="AU152" s="1630">
        <v>45.145367399999998</v>
      </c>
      <c r="AV152" s="1630">
        <v>1971.174</v>
      </c>
      <c r="AW152" s="1630">
        <v>106.99613592</v>
      </c>
      <c r="AX152" s="1630">
        <v>147.654</v>
      </c>
      <c r="AY152" s="1630">
        <v>26.396957</v>
      </c>
      <c r="AZ152" s="1630">
        <v>825.65599999999995</v>
      </c>
      <c r="BA152" s="1630">
        <v>34.411257820000003</v>
      </c>
      <c r="BB152" s="1630">
        <v>227.75700000000001</v>
      </c>
      <c r="BC152" s="1630">
        <v>6.3389620000000004</v>
      </c>
      <c r="BD152" s="1630">
        <v>817.05499999999995</v>
      </c>
      <c r="BE152" s="1630">
        <v>35.899969419999998</v>
      </c>
      <c r="BF152" s="1630"/>
      <c r="BG152" s="1630"/>
      <c r="BH152" s="1630">
        <v>180.809</v>
      </c>
      <c r="BI152" s="1630">
        <v>10.287951680000001</v>
      </c>
      <c r="BJ152" s="1630">
        <v>1.306</v>
      </c>
      <c r="BK152" s="1630">
        <v>0.63117240000000008</v>
      </c>
      <c r="BL152" s="1630">
        <v>179.50299999999999</v>
      </c>
      <c r="BM152" s="1630">
        <v>9.6567792799999985</v>
      </c>
    </row>
    <row r="153" spans="1:65">
      <c r="A153" s="1627" t="s">
        <v>22</v>
      </c>
      <c r="B153" s="1638">
        <v>8787.241</v>
      </c>
      <c r="C153" s="1638">
        <v>2101.3580000000002</v>
      </c>
      <c r="D153" s="1638">
        <v>3429.92</v>
      </c>
      <c r="E153" s="1638">
        <v>2347.87</v>
      </c>
      <c r="F153" s="1638">
        <v>2097.3290000000002</v>
      </c>
      <c r="G153" s="1623">
        <v>912.12199999999996</v>
      </c>
      <c r="H153" s="1638">
        <v>18294.422999999999</v>
      </c>
      <c r="I153" s="1638">
        <v>2357.903855</v>
      </c>
      <c r="J153" s="1630">
        <v>7492.4030000000002</v>
      </c>
      <c r="K153" s="1623">
        <v>1742.426367</v>
      </c>
      <c r="L153" s="1630">
        <v>19.838000000000001</v>
      </c>
      <c r="M153" s="1630">
        <v>59.844197999999999</v>
      </c>
      <c r="N153" s="1630">
        <v>26.286999999999999</v>
      </c>
      <c r="O153" s="1630">
        <v>5.5121729999999998</v>
      </c>
      <c r="P153" s="1630">
        <v>3687.491</v>
      </c>
      <c r="Q153" s="1638">
        <v>175.67483100000001</v>
      </c>
      <c r="R153" s="1638">
        <v>1060.4639999999999</v>
      </c>
      <c r="S153" s="1638">
        <v>23.615728000000001</v>
      </c>
      <c r="T153" s="1638">
        <v>5503.0119999999997</v>
      </c>
      <c r="U153" s="1638">
        <v>301.88805300000001</v>
      </c>
      <c r="V153" s="1622"/>
      <c r="W153" s="1638"/>
      <c r="X153" s="1623">
        <v>1565.3920000000001</v>
      </c>
      <c r="Y153" s="1623">
        <v>72.558233000000001</v>
      </c>
      <c r="Z153" s="1623">
        <v>24.762</v>
      </c>
      <c r="AA153" s="1623">
        <v>8.6987780000000008</v>
      </c>
      <c r="AB153" s="1623">
        <v>1540.63</v>
      </c>
      <c r="AC153" s="1623">
        <v>63.859454999999997</v>
      </c>
      <c r="AD153" s="1630">
        <v>15907.776</v>
      </c>
      <c r="AE153" s="1630">
        <v>2224.8050029999999</v>
      </c>
      <c r="AF153" s="1630">
        <v>7317.3689999999997</v>
      </c>
      <c r="AG153" s="1630">
        <v>1715.3217959999999</v>
      </c>
      <c r="AH153" s="1630">
        <v>2666.63</v>
      </c>
      <c r="AI153" s="1630">
        <v>180.94201000000001</v>
      </c>
      <c r="AJ153" s="1630">
        <v>765.03499999999997</v>
      </c>
      <c r="AK153" s="1630">
        <v>15.604685999999999</v>
      </c>
      <c r="AL153" s="1630">
        <v>4574.9219999999996</v>
      </c>
      <c r="AM153" s="1630">
        <v>267.00664399999999</v>
      </c>
      <c r="AN153" s="1630"/>
      <c r="AO153" s="1630"/>
      <c r="AP153" s="1630">
        <v>1344.999</v>
      </c>
      <c r="AQ153" s="1630">
        <v>61.421467</v>
      </c>
      <c r="AR153" s="1630">
        <v>24.181999999999999</v>
      </c>
      <c r="AS153" s="1630">
        <v>8.3900629999999996</v>
      </c>
      <c r="AT153" s="1630">
        <v>1324.673</v>
      </c>
      <c r="AU153" s="1630">
        <v>53.144489999999998</v>
      </c>
      <c r="AV153" s="1630">
        <v>2386.6469999999999</v>
      </c>
      <c r="AW153" s="1630">
        <v>133.09885199999999</v>
      </c>
      <c r="AX153" s="1630">
        <v>201.321</v>
      </c>
      <c r="AY153" s="1630">
        <v>32.616743999999997</v>
      </c>
      <c r="AZ153" s="1630">
        <v>1040.6990000000001</v>
      </c>
      <c r="BA153" s="1630">
        <v>54.577019</v>
      </c>
      <c r="BB153" s="1630">
        <v>295.42899999999997</v>
      </c>
      <c r="BC153" s="1630">
        <v>8.0110419999999998</v>
      </c>
      <c r="BD153" s="1630">
        <v>928.09</v>
      </c>
      <c r="BE153" s="1630">
        <v>34.881408999999998</v>
      </c>
      <c r="BF153" s="1630"/>
      <c r="BG153" s="1630"/>
      <c r="BH153" s="1630">
        <v>216.53700000000001</v>
      </c>
      <c r="BI153" s="1630">
        <v>11.023680000000001</v>
      </c>
      <c r="BJ153" s="1630">
        <v>0.57999999999999996</v>
      </c>
      <c r="BK153" s="1630">
        <v>0.30871500000000002</v>
      </c>
      <c r="BL153" s="1630">
        <v>215.95699999999999</v>
      </c>
      <c r="BM153" s="1630">
        <v>10.714964999999999</v>
      </c>
    </row>
    <row r="154" spans="1:65">
      <c r="A154" s="1627" t="s">
        <v>23</v>
      </c>
      <c r="B154" s="1638">
        <v>8986.9950000000008</v>
      </c>
      <c r="C154" s="1638">
        <v>2347.7310000000002</v>
      </c>
      <c r="D154" s="1638">
        <v>3505.2429999999999</v>
      </c>
      <c r="E154" s="1638">
        <v>2414.12</v>
      </c>
      <c r="F154" s="1638">
        <v>2118.942</v>
      </c>
      <c r="G154" s="1623">
        <v>948.69</v>
      </c>
      <c r="H154" s="1638">
        <v>18682.89</v>
      </c>
      <c r="I154" s="1638">
        <v>2349.5640790000002</v>
      </c>
      <c r="J154" s="1630">
        <v>6761.16</v>
      </c>
      <c r="K154" s="1623">
        <v>1631.484177</v>
      </c>
      <c r="L154" s="1630">
        <v>24.091999999999999</v>
      </c>
      <c r="M154" s="1630">
        <v>124.843953</v>
      </c>
      <c r="N154" s="1630">
        <v>26.486000000000001</v>
      </c>
      <c r="O154" s="1630">
        <v>5.927899</v>
      </c>
      <c r="P154" s="1630">
        <v>4166.0129999999999</v>
      </c>
      <c r="Q154" s="1638">
        <v>173.95560499999999</v>
      </c>
      <c r="R154" s="1638">
        <v>1439.0319999999999</v>
      </c>
      <c r="S154" s="1638">
        <v>32.801513999999997</v>
      </c>
      <c r="T154" s="1638">
        <v>5940.6509999999998</v>
      </c>
      <c r="U154" s="1638">
        <v>341.13626299999999</v>
      </c>
      <c r="V154" s="1622">
        <v>1.8440000000000001</v>
      </c>
      <c r="W154" s="1637">
        <v>6.2872999999999998E-2</v>
      </c>
      <c r="X154" s="1623">
        <v>1762.644</v>
      </c>
      <c r="Y154" s="1623">
        <v>72.153308999999993</v>
      </c>
      <c r="Z154" s="1623">
        <v>29.114000000000001</v>
      </c>
      <c r="AA154" s="1623">
        <v>9.4616609999999994</v>
      </c>
      <c r="AB154" s="1623">
        <v>1733.53</v>
      </c>
      <c r="AC154" s="1623">
        <v>62.691648000000001</v>
      </c>
      <c r="AD154" s="1630">
        <v>16023.476000000001</v>
      </c>
      <c r="AE154" s="1630">
        <v>2210.0239339999998</v>
      </c>
      <c r="AF154" s="1630">
        <v>6555.5569999999998</v>
      </c>
      <c r="AG154" s="1630">
        <v>1599.54718</v>
      </c>
      <c r="AH154" s="1630">
        <v>3021.4969999999998</v>
      </c>
      <c r="AI154" s="1630">
        <v>244.34017800000001</v>
      </c>
      <c r="AJ154" s="1630">
        <v>1069.194</v>
      </c>
      <c r="AK154" s="1630">
        <v>23.520023999999999</v>
      </c>
      <c r="AL154" s="1630">
        <v>4929.4030000000002</v>
      </c>
      <c r="AM154" s="1630">
        <v>303.45389899999998</v>
      </c>
      <c r="AN154" s="1630">
        <v>1.4259999999999999</v>
      </c>
      <c r="AO154" s="1636">
        <v>3.3019E-2</v>
      </c>
      <c r="AP154" s="1630">
        <v>1511.7629999999999</v>
      </c>
      <c r="AQ154" s="1630">
        <v>62.529079000000003</v>
      </c>
      <c r="AR154" s="1630">
        <v>28.244</v>
      </c>
      <c r="AS154" s="1630">
        <v>9.2163699999999995</v>
      </c>
      <c r="AT154" s="1630">
        <v>1487.3489999999999</v>
      </c>
      <c r="AU154" s="1630">
        <v>53.433287999999997</v>
      </c>
      <c r="AV154" s="1630">
        <v>2659.4140000000002</v>
      </c>
      <c r="AW154" s="1630">
        <v>139.540145</v>
      </c>
      <c r="AX154" s="1630">
        <v>232.089</v>
      </c>
      <c r="AY154" s="1630">
        <v>37.864896000000002</v>
      </c>
      <c r="AZ154" s="1630">
        <v>1168.6079999999999</v>
      </c>
      <c r="BA154" s="1630">
        <v>54.459380000000003</v>
      </c>
      <c r="BB154" s="1630">
        <v>369.83800000000002</v>
      </c>
      <c r="BC154" s="1630">
        <v>9.2814899999999998</v>
      </c>
      <c r="BD154" s="1630">
        <v>1011.248</v>
      </c>
      <c r="BE154" s="1630">
        <v>37.682364</v>
      </c>
      <c r="BF154" s="1625">
        <v>0.41799999999999998</v>
      </c>
      <c r="BG154" s="1624">
        <v>2.9853999999999999E-2</v>
      </c>
      <c r="BH154" s="1630">
        <v>247.05099999999999</v>
      </c>
      <c r="BI154" s="1630">
        <v>9.5036509999999996</v>
      </c>
      <c r="BJ154" s="1624">
        <v>0.87</v>
      </c>
      <c r="BK154" s="1624">
        <v>0.24529100000000001</v>
      </c>
      <c r="BL154" s="1630">
        <v>246.18100000000001</v>
      </c>
      <c r="BM154" s="1630">
        <v>9.2583599999999997</v>
      </c>
    </row>
    <row r="155" spans="1:65">
      <c r="A155" s="1627" t="s">
        <v>24</v>
      </c>
      <c r="B155" s="1638">
        <v>9119.6540000000005</v>
      </c>
      <c r="C155" s="1638">
        <v>2453.9479999999999</v>
      </c>
      <c r="D155" s="1638">
        <v>3500.5219999999999</v>
      </c>
      <c r="E155" s="1638">
        <v>2444.6709999999998</v>
      </c>
      <c r="F155" s="1638">
        <v>2189.0970000000002</v>
      </c>
      <c r="G155" s="1623">
        <v>985.36400000000003</v>
      </c>
      <c r="H155" s="1638">
        <v>19400.391</v>
      </c>
      <c r="I155" s="1638">
        <v>2723.2378650000001</v>
      </c>
      <c r="J155" s="1630">
        <v>7256.1710000000003</v>
      </c>
      <c r="K155" s="1623">
        <v>1804.5969720000001</v>
      </c>
      <c r="L155" s="1630">
        <v>27.045000000000002</v>
      </c>
      <c r="M155" s="1630">
        <v>317.16351800000001</v>
      </c>
      <c r="N155" s="1630">
        <v>21.481999999999999</v>
      </c>
      <c r="O155" s="1630">
        <v>4.5839340000000002</v>
      </c>
      <c r="P155" s="1630">
        <v>3872.6480000000001</v>
      </c>
      <c r="Q155" s="1638">
        <v>142.585373</v>
      </c>
      <c r="R155" s="1638">
        <v>1532.482</v>
      </c>
      <c r="S155" s="1638">
        <v>31.323922</v>
      </c>
      <c r="T155" s="1638">
        <v>6134.4</v>
      </c>
      <c r="U155" s="1638">
        <v>350.50322299999999</v>
      </c>
      <c r="V155" s="1622">
        <v>6.3220000000000001</v>
      </c>
      <c r="W155" s="1637">
        <v>0.18315400000000001</v>
      </c>
      <c r="X155" s="1623">
        <v>2082.3229999999999</v>
      </c>
      <c r="Y155" s="1623">
        <v>103.621691</v>
      </c>
      <c r="Z155" s="1623">
        <v>29.79</v>
      </c>
      <c r="AA155" s="1623">
        <v>11.224579</v>
      </c>
      <c r="AB155" s="1623">
        <v>2052.5329999999999</v>
      </c>
      <c r="AC155" s="1623">
        <v>92.397112000000007</v>
      </c>
      <c r="AD155" s="1630">
        <v>16974.866999999998</v>
      </c>
      <c r="AE155" s="1630">
        <v>2594.6812100000002</v>
      </c>
      <c r="AF155" s="1630">
        <v>7090.875</v>
      </c>
      <c r="AG155" s="1630">
        <v>1777.7160140000001</v>
      </c>
      <c r="AH155" s="1630">
        <v>2901.7620000000002</v>
      </c>
      <c r="AI155" s="1630">
        <v>416.99421799999999</v>
      </c>
      <c r="AJ155" s="1630">
        <v>1168.085</v>
      </c>
      <c r="AK155" s="1630">
        <v>21.864367000000001</v>
      </c>
      <c r="AL155" s="1630">
        <v>5172.09</v>
      </c>
      <c r="AM155" s="1630">
        <v>313.02346199999999</v>
      </c>
      <c r="AN155" s="1630">
        <v>5.8470000000000004</v>
      </c>
      <c r="AO155" s="1636">
        <v>0.170212</v>
      </c>
      <c r="AP155" s="1630">
        <v>1799.876</v>
      </c>
      <c r="AQ155" s="1630">
        <v>86.631934999999999</v>
      </c>
      <c r="AR155" s="1630">
        <v>28.831</v>
      </c>
      <c r="AS155" s="1630">
        <v>10.823833</v>
      </c>
      <c r="AT155" s="1630">
        <v>1775.462</v>
      </c>
      <c r="AU155" s="1630">
        <v>75.953470999999993</v>
      </c>
      <c r="AV155" s="1630">
        <v>2425.5239999999999</v>
      </c>
      <c r="AW155" s="1630">
        <v>128.55665500000001</v>
      </c>
      <c r="AX155" s="1630">
        <v>186.77799999999999</v>
      </c>
      <c r="AY155" s="1630">
        <v>31.464891999999999</v>
      </c>
      <c r="AZ155" s="1630">
        <v>997.93100000000004</v>
      </c>
      <c r="BA155" s="1630">
        <v>42.754672999999997</v>
      </c>
      <c r="BB155" s="1630">
        <v>364.39699999999999</v>
      </c>
      <c r="BC155" s="1630">
        <v>9.4595549999999999</v>
      </c>
      <c r="BD155" s="1630">
        <v>962.31</v>
      </c>
      <c r="BE155" s="1630">
        <v>37.479761000000003</v>
      </c>
      <c r="BF155" s="1625">
        <v>0.47499999999999998</v>
      </c>
      <c r="BG155" s="1624">
        <v>1.2942E-2</v>
      </c>
      <c r="BH155" s="1630">
        <v>278.02999999999997</v>
      </c>
      <c r="BI155" s="1630">
        <v>16.844387000000001</v>
      </c>
      <c r="BJ155" s="1624">
        <v>0.95899999999999996</v>
      </c>
      <c r="BK155" s="1624">
        <v>0.40074599999999999</v>
      </c>
      <c r="BL155" s="1630">
        <v>277.07100000000003</v>
      </c>
      <c r="BM155" s="1630">
        <v>16.443641</v>
      </c>
    </row>
    <row r="156" spans="1:65">
      <c r="A156" s="1627" t="s">
        <v>25</v>
      </c>
      <c r="B156" s="1638">
        <v>9097.3220000000001</v>
      </c>
      <c r="C156" s="1638">
        <v>2752.0770000000002</v>
      </c>
      <c r="D156" s="1638">
        <v>3379.2130000000002</v>
      </c>
      <c r="E156" s="1638">
        <v>2459.5949999999998</v>
      </c>
      <c r="F156" s="1638">
        <v>2240.5410000000002</v>
      </c>
      <c r="G156" s="1623">
        <v>1017.973</v>
      </c>
      <c r="H156" s="1638">
        <v>20774.988000000001</v>
      </c>
      <c r="I156" s="1638">
        <v>2531.401621</v>
      </c>
      <c r="J156" s="1630">
        <v>7319.1019999999999</v>
      </c>
      <c r="K156" s="1623">
        <v>1679.8346819999999</v>
      </c>
      <c r="L156" s="1630">
        <v>22.988</v>
      </c>
      <c r="M156" s="1630">
        <v>163.384694</v>
      </c>
      <c r="N156" s="1630">
        <v>22.594999999999999</v>
      </c>
      <c r="O156" s="1630">
        <v>4.8047120000000003</v>
      </c>
      <c r="P156" s="1630">
        <v>4464.1689999999999</v>
      </c>
      <c r="Q156" s="1638">
        <v>179.34751299999999</v>
      </c>
      <c r="R156" s="1638">
        <v>1836.846</v>
      </c>
      <c r="S156" s="1638">
        <v>39.152150450000001</v>
      </c>
      <c r="T156" s="1638">
        <v>6479.7629999999999</v>
      </c>
      <c r="U156" s="1638">
        <v>373.16408999999999</v>
      </c>
      <c r="V156" s="1622">
        <v>7.1289999999999996</v>
      </c>
      <c r="W156" s="1637">
        <v>0.178096</v>
      </c>
      <c r="X156" s="1623">
        <v>2459.2420000000002</v>
      </c>
      <c r="Y156" s="1623">
        <v>130.68783400000001</v>
      </c>
      <c r="Z156" s="1623">
        <v>29.405999999999999</v>
      </c>
      <c r="AA156" s="1623">
        <v>12.052963999999999</v>
      </c>
      <c r="AB156" s="1623">
        <v>2429.8359999999998</v>
      </c>
      <c r="AC156" s="1623">
        <v>118.63487000000001</v>
      </c>
      <c r="AD156" s="1630">
        <v>18026.411</v>
      </c>
      <c r="AE156" s="1630">
        <v>2372.4023849999999</v>
      </c>
      <c r="AF156" s="1630">
        <v>7122.0320000000002</v>
      </c>
      <c r="AG156" s="1630">
        <v>1647.4519849999999</v>
      </c>
      <c r="AH156" s="1630">
        <v>3326.8760000000002</v>
      </c>
      <c r="AI156" s="1630">
        <v>283.82128499999999</v>
      </c>
      <c r="AJ156" s="1630">
        <v>1417.412</v>
      </c>
      <c r="AK156" s="1630">
        <v>28.16028945</v>
      </c>
      <c r="AL156" s="1630">
        <v>5452.6779999999999</v>
      </c>
      <c r="AM156" s="1630">
        <v>331.62051700000001</v>
      </c>
      <c r="AN156" s="1630">
        <v>6.4960000000000004</v>
      </c>
      <c r="AO156" s="1636">
        <v>0.148366</v>
      </c>
      <c r="AP156" s="1630">
        <v>2113.4459999999999</v>
      </c>
      <c r="AQ156" s="1630">
        <v>109.177346</v>
      </c>
      <c r="AR156" s="1630">
        <v>28.271000000000001</v>
      </c>
      <c r="AS156" s="1630">
        <v>11.674193000000001</v>
      </c>
      <c r="AT156" s="1630">
        <v>2090.058</v>
      </c>
      <c r="AU156" s="1630">
        <v>97.686038999999994</v>
      </c>
      <c r="AV156" s="1630">
        <v>2748.5770000000002</v>
      </c>
      <c r="AW156" s="1630">
        <v>158.999236</v>
      </c>
      <c r="AX156" s="1630">
        <v>219.66499999999999</v>
      </c>
      <c r="AY156" s="1630">
        <v>37.187409000000002</v>
      </c>
      <c r="AZ156" s="1630">
        <v>1160.2809999999999</v>
      </c>
      <c r="BA156" s="1630">
        <v>58.910921999999999</v>
      </c>
      <c r="BB156" s="1630">
        <v>419.43400000000003</v>
      </c>
      <c r="BC156" s="1630">
        <v>10.991861</v>
      </c>
      <c r="BD156" s="1630">
        <v>1027.085</v>
      </c>
      <c r="BE156" s="1630">
        <v>41.543573000000002</v>
      </c>
      <c r="BF156" s="1625">
        <v>0.63300000000000001</v>
      </c>
      <c r="BG156" s="1624">
        <v>2.9729999999999999E-2</v>
      </c>
      <c r="BH156" s="1630">
        <v>340.91300000000001</v>
      </c>
      <c r="BI156" s="1630">
        <v>21.327601999999999</v>
      </c>
      <c r="BJ156" s="1624">
        <v>1.135</v>
      </c>
      <c r="BK156" s="1624">
        <v>0.37877100000000002</v>
      </c>
      <c r="BL156" s="1630">
        <v>339.77800000000002</v>
      </c>
      <c r="BM156" s="1630">
        <v>20.948830999999998</v>
      </c>
    </row>
    <row r="157" spans="1:65">
      <c r="A157" s="1627" t="s">
        <v>26</v>
      </c>
      <c r="B157" s="1638">
        <v>9305.9459999999999</v>
      </c>
      <c r="C157" s="1638">
        <v>3011.799</v>
      </c>
      <c r="D157" s="1638">
        <v>3408.038</v>
      </c>
      <c r="E157" s="1638">
        <v>2502.5430000000001</v>
      </c>
      <c r="F157" s="1638">
        <v>2338.2089999999998</v>
      </c>
      <c r="G157" s="1623">
        <v>1057.1559999999999</v>
      </c>
      <c r="H157" s="1638">
        <v>20674.400000000001</v>
      </c>
      <c r="I157" s="1638">
        <v>2478.5402720000002</v>
      </c>
      <c r="J157" s="1630">
        <v>6990.16</v>
      </c>
      <c r="K157" s="1623">
        <v>1642.29602</v>
      </c>
      <c r="L157" s="1630">
        <v>20.739000000000001</v>
      </c>
      <c r="M157" s="1630">
        <v>112.876581</v>
      </c>
      <c r="N157" s="1630">
        <v>21.704000000000001</v>
      </c>
      <c r="O157" s="1630">
        <v>4.4210269999999996</v>
      </c>
      <c r="P157" s="1630">
        <v>4722.6639999999998</v>
      </c>
      <c r="Q157" s="1638">
        <v>206.76544699999999</v>
      </c>
      <c r="R157" s="1638">
        <v>1992.4749999999999</v>
      </c>
      <c r="S157" s="1638">
        <v>48.576447000000002</v>
      </c>
      <c r="T157" s="1638">
        <v>6392.7179999999998</v>
      </c>
      <c r="U157" s="1638">
        <v>377.49714799999998</v>
      </c>
      <c r="V157" s="1622">
        <v>7.61</v>
      </c>
      <c r="W157" s="1637">
        <v>0.22120999999999999</v>
      </c>
      <c r="X157" s="1623">
        <v>2518.8049999999998</v>
      </c>
      <c r="Y157" s="1623">
        <v>134.462839</v>
      </c>
      <c r="Z157" s="1623">
        <v>29.939</v>
      </c>
      <c r="AA157" s="1623">
        <v>12.607407</v>
      </c>
      <c r="AB157" s="1623">
        <v>2488.866</v>
      </c>
      <c r="AC157" s="1623">
        <v>121.85543199999999</v>
      </c>
      <c r="AD157" s="1630">
        <v>17565.598999999998</v>
      </c>
      <c r="AE157" s="1630">
        <v>2299.6619719999999</v>
      </c>
      <c r="AF157" s="1630">
        <v>6734.8329999999996</v>
      </c>
      <c r="AG157" s="1630">
        <v>1601.0193280000001</v>
      </c>
      <c r="AH157" s="1630">
        <v>3360.5940000000001</v>
      </c>
      <c r="AI157" s="1630">
        <v>250.52866900000001</v>
      </c>
      <c r="AJ157" s="1630">
        <v>1457.2080000000001</v>
      </c>
      <c r="AK157" s="1630">
        <v>34.725301000000002</v>
      </c>
      <c r="AL157" s="1630">
        <v>5303.2250000000004</v>
      </c>
      <c r="AM157" s="1630">
        <v>335.45137</v>
      </c>
      <c r="AN157" s="1630">
        <v>6.0940000000000003</v>
      </c>
      <c r="AO157" s="1636">
        <v>0.15751000000000001</v>
      </c>
      <c r="AP157" s="1630">
        <v>2156.4070000000002</v>
      </c>
      <c r="AQ157" s="1630">
        <v>112.34201</v>
      </c>
      <c r="AR157" s="1630">
        <v>28.571999999999999</v>
      </c>
      <c r="AS157" s="1630">
        <v>12.01135</v>
      </c>
      <c r="AT157" s="1630">
        <v>2132.2809999999999</v>
      </c>
      <c r="AU157" s="1630">
        <v>100.493745</v>
      </c>
      <c r="AV157" s="1630">
        <v>3108.8009999999999</v>
      </c>
      <c r="AW157" s="1630">
        <v>178.8783</v>
      </c>
      <c r="AX157" s="1630">
        <v>277.03100000000001</v>
      </c>
      <c r="AY157" s="1630">
        <v>45.697718999999999</v>
      </c>
      <c r="AZ157" s="1630">
        <v>1382.809</v>
      </c>
      <c r="BA157" s="1630">
        <v>69.113359000000003</v>
      </c>
      <c r="BB157" s="1630">
        <v>535.26700000000005</v>
      </c>
      <c r="BC157" s="1630">
        <v>13.851146</v>
      </c>
      <c r="BD157" s="1630">
        <v>1089.4929999999999</v>
      </c>
      <c r="BE157" s="1630">
        <v>42.045777999999999</v>
      </c>
      <c r="BF157" s="1625">
        <v>1.516</v>
      </c>
      <c r="BG157" s="1624">
        <v>6.3700000000000007E-2</v>
      </c>
      <c r="BH157" s="1630">
        <v>357.952</v>
      </c>
      <c r="BI157" s="1630">
        <v>21.957744000000002</v>
      </c>
      <c r="BJ157" s="1624">
        <v>1.367</v>
      </c>
      <c r="BK157" s="1624">
        <v>0.59605699999999995</v>
      </c>
      <c r="BL157" s="1630">
        <v>356.58499999999998</v>
      </c>
      <c r="BM157" s="1630">
        <v>21.361687</v>
      </c>
    </row>
    <row r="158" spans="1:65">
      <c r="A158" s="1627" t="s">
        <v>27</v>
      </c>
      <c r="B158" s="1638">
        <v>9452.6779999999999</v>
      </c>
      <c r="C158" s="1638">
        <v>3215.2429999999999</v>
      </c>
      <c r="D158" s="1638">
        <v>3423.8780000000002</v>
      </c>
      <c r="E158" s="1638">
        <v>2502.7449999999999</v>
      </c>
      <c r="F158" s="1638">
        <v>2459.605</v>
      </c>
      <c r="G158" s="1623">
        <v>1066.45</v>
      </c>
      <c r="H158" s="1638">
        <v>19203.418000000001</v>
      </c>
      <c r="I158" s="1638">
        <v>2417.7256790000001</v>
      </c>
      <c r="J158" s="1630">
        <v>6972.6360000000004</v>
      </c>
      <c r="K158" s="1623">
        <v>1678.585918</v>
      </c>
      <c r="L158" s="1630">
        <v>20.966999999999999</v>
      </c>
      <c r="M158" s="1630">
        <v>88.705933000000002</v>
      </c>
      <c r="N158" s="1630">
        <v>18.881</v>
      </c>
      <c r="O158" s="1630">
        <v>3.804745</v>
      </c>
      <c r="P158" s="1630">
        <v>4288.1210000000001</v>
      </c>
      <c r="Q158" s="1638">
        <v>200.70665399999999</v>
      </c>
      <c r="R158" s="1638">
        <v>2020.1389999999999</v>
      </c>
      <c r="S158" s="1638">
        <v>58.659925000000001</v>
      </c>
      <c r="T158" s="1638">
        <v>5857.8370000000004</v>
      </c>
      <c r="U158" s="1638">
        <v>341.360119</v>
      </c>
      <c r="V158" s="1622">
        <v>6.1550000000000002</v>
      </c>
      <c r="W158" s="1637">
        <v>0.148062</v>
      </c>
      <c r="X158" s="1623">
        <v>2038.8209999999999</v>
      </c>
      <c r="Y158" s="1623">
        <v>104.414248</v>
      </c>
      <c r="Z158" s="1623">
        <v>30.411000000000001</v>
      </c>
      <c r="AA158" s="1623">
        <v>11.670648</v>
      </c>
      <c r="AB158" s="1623">
        <v>2008.41</v>
      </c>
      <c r="AC158" s="1623">
        <v>92.743600000000001</v>
      </c>
      <c r="AD158" s="1630">
        <v>16369.124</v>
      </c>
      <c r="AE158" s="1630">
        <v>2261.3075530000001</v>
      </c>
      <c r="AF158" s="1630">
        <v>6739.0280000000002</v>
      </c>
      <c r="AG158" s="1630">
        <v>1640.8090090000001</v>
      </c>
      <c r="AH158" s="1630">
        <v>3046.1979999999999</v>
      </c>
      <c r="AI158" s="1630">
        <v>230.04723200000001</v>
      </c>
      <c r="AJ158" s="1630">
        <v>1391.2629999999999</v>
      </c>
      <c r="AK158" s="1630">
        <v>42.857540999999998</v>
      </c>
      <c r="AL158" s="1630">
        <v>4831.2020000000002</v>
      </c>
      <c r="AM158" s="1630">
        <v>302.93318399999998</v>
      </c>
      <c r="AN158" s="1630">
        <v>3.01</v>
      </c>
      <c r="AO158" s="1636">
        <v>8.1709000000000004E-2</v>
      </c>
      <c r="AP158" s="1630">
        <v>1746.1120000000001</v>
      </c>
      <c r="AQ158" s="1630">
        <v>87.314482999999996</v>
      </c>
      <c r="AR158" s="1630">
        <v>28.797999999999998</v>
      </c>
      <c r="AS158" s="1630">
        <v>11.117331</v>
      </c>
      <c r="AT158" s="1630">
        <v>1720.8879999999999</v>
      </c>
      <c r="AU158" s="1630">
        <v>76.319087999999994</v>
      </c>
      <c r="AV158" s="1630">
        <v>2834.2939999999999</v>
      </c>
      <c r="AW158" s="1630">
        <v>156.418126</v>
      </c>
      <c r="AX158" s="1630">
        <v>252.489</v>
      </c>
      <c r="AY158" s="1630">
        <v>41.581654</v>
      </c>
      <c r="AZ158" s="1630">
        <v>1262.8900000000001</v>
      </c>
      <c r="BA158" s="1630">
        <v>59.365355000000001</v>
      </c>
      <c r="BB158" s="1630">
        <v>628.87599999999998</v>
      </c>
      <c r="BC158" s="1630">
        <v>15.802384</v>
      </c>
      <c r="BD158" s="1630">
        <v>1026.635</v>
      </c>
      <c r="BE158" s="1630">
        <v>38.426935</v>
      </c>
      <c r="BF158" s="1625">
        <v>3.145</v>
      </c>
      <c r="BG158" s="1624">
        <v>6.6352999999999995E-2</v>
      </c>
      <c r="BH158" s="1630">
        <v>289.13499999999999</v>
      </c>
      <c r="BI158" s="1630">
        <v>16.977829</v>
      </c>
      <c r="BJ158" s="1624">
        <v>1.613</v>
      </c>
      <c r="BK158" s="1624">
        <v>0.55331699999999995</v>
      </c>
      <c r="BL158" s="1630">
        <v>287.52199999999999</v>
      </c>
      <c r="BM158" s="1630">
        <v>16.424512</v>
      </c>
    </row>
    <row r="159" spans="1:65">
      <c r="A159" s="1555">
        <v>11</v>
      </c>
      <c r="B159" s="1622">
        <v>9475.9750000000004</v>
      </c>
      <c r="C159" s="1622">
        <v>3445.0239999999999</v>
      </c>
      <c r="D159" s="1622">
        <v>3424.8130000000001</v>
      </c>
      <c r="E159" s="1622">
        <v>2519.2420000000002</v>
      </c>
      <c r="F159" s="1622">
        <v>2459.0349999999999</v>
      </c>
      <c r="G159" s="1622">
        <v>1072.885</v>
      </c>
      <c r="H159" s="1622">
        <v>20540.238000000001</v>
      </c>
      <c r="I159" s="1622">
        <v>2513.7848939999999</v>
      </c>
      <c r="J159" s="1622">
        <v>6975.174</v>
      </c>
      <c r="K159" s="1622">
        <v>1692.22912</v>
      </c>
      <c r="L159" s="1622">
        <v>19.385000000000002</v>
      </c>
      <c r="M159" s="1622">
        <v>102.336068</v>
      </c>
      <c r="N159" s="1622">
        <v>20.167999999999999</v>
      </c>
      <c r="O159" s="1622">
        <v>3.8771580000000001</v>
      </c>
      <c r="P159" s="1622">
        <v>4618.8469999999998</v>
      </c>
      <c r="Q159" s="1622">
        <v>226.136775</v>
      </c>
      <c r="R159" s="1622">
        <v>2168.0230000000001</v>
      </c>
      <c r="S159" s="1622">
        <v>70.913545499999998</v>
      </c>
      <c r="T159" s="1622">
        <v>6299.8720000000003</v>
      </c>
      <c r="U159" s="1622">
        <v>361.30739799999998</v>
      </c>
      <c r="V159" s="1622">
        <v>5.859</v>
      </c>
      <c r="W159" s="1626">
        <v>0.20042599999999999</v>
      </c>
      <c r="X159" s="1623">
        <v>2600.933</v>
      </c>
      <c r="Y159" s="1623">
        <v>127.69794899999999</v>
      </c>
      <c r="Z159" s="1623">
        <v>30.239000000000001</v>
      </c>
      <c r="AA159" s="1623">
        <v>11.438359</v>
      </c>
      <c r="AB159" s="1623">
        <v>2570.694</v>
      </c>
      <c r="AC159" s="1623">
        <v>116.25959</v>
      </c>
      <c r="AD159" s="1623">
        <v>17394.133000000002</v>
      </c>
      <c r="AE159" s="1623">
        <v>2334.7513669999998</v>
      </c>
      <c r="AF159" s="1623">
        <v>6745.7830000000004</v>
      </c>
      <c r="AG159" s="1623">
        <v>1654.9834350000001</v>
      </c>
      <c r="AH159" s="1623">
        <v>3286.777</v>
      </c>
      <c r="AI159" s="1623">
        <v>256.61196200000001</v>
      </c>
      <c r="AJ159" s="1623">
        <v>1526.673</v>
      </c>
      <c r="AK159" s="1623">
        <v>53.118834499999998</v>
      </c>
      <c r="AL159" s="1623">
        <v>5178.6270000000004</v>
      </c>
      <c r="AM159" s="1623">
        <v>318.550904</v>
      </c>
      <c r="AN159" s="1623">
        <v>2.3839999999999999</v>
      </c>
      <c r="AO159" s="1624">
        <v>0.107824</v>
      </c>
      <c r="AP159" s="1623">
        <v>2175.9180000000001</v>
      </c>
      <c r="AQ159" s="1623">
        <v>104.339814</v>
      </c>
      <c r="AR159" s="1623">
        <v>28.51</v>
      </c>
      <c r="AS159" s="1623">
        <v>10.822011</v>
      </c>
      <c r="AT159" s="1623">
        <v>2152.0520000000001</v>
      </c>
      <c r="AU159" s="1623">
        <v>93.675230999999997</v>
      </c>
      <c r="AV159" s="1623">
        <v>3146.105</v>
      </c>
      <c r="AW159" s="1623">
        <v>179.03352699999999</v>
      </c>
      <c r="AX159" s="1623">
        <v>249.559</v>
      </c>
      <c r="AY159" s="1623">
        <v>41.122843000000003</v>
      </c>
      <c r="AZ159" s="1623">
        <v>1351.4549999999999</v>
      </c>
      <c r="BA159" s="1623">
        <v>71.860881000000006</v>
      </c>
      <c r="BB159" s="1623">
        <v>641.35</v>
      </c>
      <c r="BC159" s="1623">
        <v>17.794711</v>
      </c>
      <c r="BD159" s="1623">
        <v>1121.2449999999999</v>
      </c>
      <c r="BE159" s="1623">
        <v>42.756494000000004</v>
      </c>
      <c r="BF159" s="1625">
        <v>3.4750000000000001</v>
      </c>
      <c r="BG159" s="1624">
        <v>9.2602000000000004E-2</v>
      </c>
      <c r="BH159" s="1623">
        <v>420.37099999999998</v>
      </c>
      <c r="BI159" s="1631">
        <v>23.200707000000001</v>
      </c>
      <c r="BJ159" s="1624">
        <v>1.7290000000000001</v>
      </c>
      <c r="BK159" s="1624">
        <v>0.61634800000000001</v>
      </c>
      <c r="BL159" s="1623">
        <v>418.642</v>
      </c>
      <c r="BM159" s="1631">
        <v>22.584358999999999</v>
      </c>
    </row>
    <row r="160" spans="1:65">
      <c r="A160" s="1555">
        <v>12</v>
      </c>
      <c r="B160" s="1622">
        <v>9571.1640000000007</v>
      </c>
      <c r="C160" s="1622">
        <v>3680.7280000000001</v>
      </c>
      <c r="D160" s="1622">
        <v>3443.3139999999999</v>
      </c>
      <c r="E160" s="1622">
        <v>2525.0369999999998</v>
      </c>
      <c r="F160" s="1622">
        <v>2510.0189999999998</v>
      </c>
      <c r="G160" s="1622">
        <v>1092.7940000000001</v>
      </c>
      <c r="H160" s="1622">
        <v>24090.591</v>
      </c>
      <c r="I160" s="1622">
        <v>3204.97114203</v>
      </c>
      <c r="J160" s="1622">
        <v>8298.2579999999998</v>
      </c>
      <c r="K160" s="1622">
        <v>2166.7434210000001</v>
      </c>
      <c r="L160" s="1622">
        <v>29.954999999999998</v>
      </c>
      <c r="M160" s="1622">
        <v>180.90854580999999</v>
      </c>
      <c r="N160" s="1622">
        <v>25.042000000000002</v>
      </c>
      <c r="O160" s="1622">
        <v>4.8637509999999997</v>
      </c>
      <c r="P160" s="1622">
        <v>5503.7259999999997</v>
      </c>
      <c r="Q160" s="1622">
        <v>268.22397360000002</v>
      </c>
      <c r="R160" s="1622">
        <v>2830.194</v>
      </c>
      <c r="S160" s="1622">
        <v>101.45641621</v>
      </c>
      <c r="T160" s="1622">
        <v>7469.4470000000001</v>
      </c>
      <c r="U160" s="1622">
        <v>455.16136040999999</v>
      </c>
      <c r="V160" s="1622">
        <v>8.0950000000000006</v>
      </c>
      <c r="W160" s="1626">
        <v>0.191718</v>
      </c>
      <c r="X160" s="1623">
        <v>2756.0680000000002</v>
      </c>
      <c r="Y160" s="1623">
        <v>128.87837221000001</v>
      </c>
      <c r="Z160" s="1623">
        <v>28.492999999999999</v>
      </c>
      <c r="AA160" s="1623">
        <v>11.270687990000001</v>
      </c>
      <c r="AB160" s="1623">
        <v>2727.5749999999998</v>
      </c>
      <c r="AC160" s="1623">
        <v>117.60768422</v>
      </c>
      <c r="AD160" s="1623">
        <v>20570.312000000002</v>
      </c>
      <c r="AE160" s="1623">
        <v>3002.7652210299998</v>
      </c>
      <c r="AF160" s="1623">
        <v>8058.6639999999998</v>
      </c>
      <c r="AG160" s="1623">
        <v>2122.695369</v>
      </c>
      <c r="AH160" s="1623">
        <v>3957.3</v>
      </c>
      <c r="AI160" s="1623">
        <v>368.97284540999999</v>
      </c>
      <c r="AJ160" s="1623">
        <v>1956.49</v>
      </c>
      <c r="AK160" s="1623">
        <v>77.173961209999987</v>
      </c>
      <c r="AL160" s="1623">
        <v>6220.826</v>
      </c>
      <c r="AM160" s="1623">
        <v>404.20625840999998</v>
      </c>
      <c r="AN160" s="1623">
        <v>3.99</v>
      </c>
      <c r="AO160" s="1624">
        <v>9.9312999999999999E-2</v>
      </c>
      <c r="AP160" s="1623">
        <v>2324.5439999999999</v>
      </c>
      <c r="AQ160" s="1623">
        <v>106.61877421</v>
      </c>
      <c r="AR160" s="1623">
        <v>27.027999999999999</v>
      </c>
      <c r="AS160" s="1623">
        <v>10.74177999</v>
      </c>
      <c r="AT160" s="1623">
        <v>2302.5039999999999</v>
      </c>
      <c r="AU160" s="1623">
        <v>96.049655220000005</v>
      </c>
      <c r="AV160" s="1623">
        <v>3520.279</v>
      </c>
      <c r="AW160" s="1623">
        <v>202.20592099999999</v>
      </c>
      <c r="AX160" s="1623">
        <v>264.63600000000002</v>
      </c>
      <c r="AY160" s="1623">
        <v>48.911802999999999</v>
      </c>
      <c r="AZ160" s="1623">
        <v>1576.3810000000001</v>
      </c>
      <c r="BA160" s="1623">
        <v>80.159673999999995</v>
      </c>
      <c r="BB160" s="1623">
        <v>873.70399999999995</v>
      </c>
      <c r="BC160" s="1623">
        <v>24.282454999999999</v>
      </c>
      <c r="BD160" s="1623">
        <v>1248.6210000000001</v>
      </c>
      <c r="BE160" s="1623">
        <v>50.955101999999997</v>
      </c>
      <c r="BF160" s="1625">
        <v>4.1050000000000004</v>
      </c>
      <c r="BG160" s="1624">
        <v>9.2405000000000001E-2</v>
      </c>
      <c r="BH160" s="1623">
        <v>426.536</v>
      </c>
      <c r="BI160" s="1631">
        <v>22.086936999999999</v>
      </c>
      <c r="BJ160" s="1624">
        <v>1.4650000000000001</v>
      </c>
      <c r="BK160" s="1624">
        <v>0.52890800000000004</v>
      </c>
      <c r="BL160" s="1623">
        <v>425.07100000000003</v>
      </c>
      <c r="BM160" s="1631">
        <v>21.558029000000001</v>
      </c>
    </row>
    <row r="161" spans="1:65">
      <c r="A161" s="1555">
        <v>2021</v>
      </c>
      <c r="B161" s="1628">
        <v>11480.316000000001</v>
      </c>
      <c r="C161" s="1628">
        <v>7481</v>
      </c>
      <c r="D161" s="1628">
        <v>3469.1590000000001</v>
      </c>
      <c r="E161" s="1628">
        <v>2627.3690000000001</v>
      </c>
      <c r="F161" s="1628">
        <v>3974.317</v>
      </c>
      <c r="G161" s="1628">
        <v>1409.471</v>
      </c>
      <c r="H161" s="1628">
        <f t="shared" ref="H161:AM161" si="33">SUM(H162:H173)</f>
        <v>356800.38299999997</v>
      </c>
      <c r="I161" s="1628">
        <f t="shared" si="33"/>
        <v>37972.953548607198</v>
      </c>
      <c r="J161" s="1628">
        <f t="shared" si="33"/>
        <v>99836.136999999988</v>
      </c>
      <c r="K161" s="1628">
        <f t="shared" si="33"/>
        <v>23510.59604715</v>
      </c>
      <c r="L161" s="1628">
        <f t="shared" si="33"/>
        <v>291.06399999999996</v>
      </c>
      <c r="M161" s="1628">
        <f t="shared" si="33"/>
        <v>1111.12516916</v>
      </c>
      <c r="N161" s="1628">
        <f t="shared" si="33"/>
        <v>136.51199999999997</v>
      </c>
      <c r="O161" s="1628">
        <f t="shared" si="33"/>
        <v>28.538134440000004</v>
      </c>
      <c r="P161" s="1628">
        <f t="shared" si="33"/>
        <v>105143.103</v>
      </c>
      <c r="Q161" s="1628">
        <f t="shared" si="33"/>
        <v>3931.2913734348003</v>
      </c>
      <c r="R161" s="1628">
        <f t="shared" si="33"/>
        <v>71820.837</v>
      </c>
      <c r="S161" s="1628">
        <f t="shared" si="33"/>
        <v>2409.2634418947068</v>
      </c>
      <c r="T161" s="1628">
        <f t="shared" si="33"/>
        <v>110095.22300000001</v>
      </c>
      <c r="U161" s="1628">
        <f t="shared" si="33"/>
        <v>7501.2473664433001</v>
      </c>
      <c r="V161" s="1628">
        <f t="shared" si="33"/>
        <v>247.46</v>
      </c>
      <c r="W161" s="1635">
        <f t="shared" si="33"/>
        <v>7.1047250000000002</v>
      </c>
      <c r="X161" s="1628">
        <f t="shared" si="33"/>
        <v>41050.373999999996</v>
      </c>
      <c r="Y161" s="1628">
        <f t="shared" si="33"/>
        <v>1882.9339679791001</v>
      </c>
      <c r="Z161" s="1628">
        <f t="shared" si="33"/>
        <v>543.86400000000003</v>
      </c>
      <c r="AA161" s="1628">
        <f t="shared" si="33"/>
        <v>147.58227605085401</v>
      </c>
      <c r="AB161" s="1628">
        <f t="shared" si="33"/>
        <v>40506.509999999995</v>
      </c>
      <c r="AC161" s="1628">
        <f t="shared" si="33"/>
        <v>1735.3516919282781</v>
      </c>
      <c r="AD161" s="1628">
        <f t="shared" si="33"/>
        <v>310341.42</v>
      </c>
      <c r="AE161" s="1628">
        <f t="shared" si="33"/>
        <v>35533.667371787305</v>
      </c>
      <c r="AF161" s="1628">
        <f t="shared" si="33"/>
        <v>96509.072</v>
      </c>
      <c r="AG161" s="1628">
        <f t="shared" si="33"/>
        <v>22978.59307237</v>
      </c>
      <c r="AH161" s="1628">
        <f t="shared" si="33"/>
        <v>80919.808999999994</v>
      </c>
      <c r="AI161" s="1628">
        <f t="shared" si="33"/>
        <v>3961.9341812055</v>
      </c>
      <c r="AJ161" s="1628">
        <f t="shared" si="33"/>
        <v>54701.217000000011</v>
      </c>
      <c r="AK161" s="1628">
        <f t="shared" si="33"/>
        <v>1864.1913579147072</v>
      </c>
      <c r="AL161" s="1628">
        <f t="shared" si="33"/>
        <v>95749.596999999994</v>
      </c>
      <c r="AM161" s="1628">
        <f t="shared" si="33"/>
        <v>6916.8214802907996</v>
      </c>
      <c r="AN161" s="1628">
        <f t="shared" ref="AN161:BM161" si="34">SUM(AN162:AN173)</f>
        <v>238.30500000000001</v>
      </c>
      <c r="AO161" s="1635">
        <f t="shared" si="34"/>
        <v>6.4175019999999998</v>
      </c>
      <c r="AP161" s="1628">
        <f t="shared" si="34"/>
        <v>36924.15</v>
      </c>
      <c r="AQ161" s="1628">
        <f t="shared" si="34"/>
        <v>1669.7866659209999</v>
      </c>
      <c r="AR161" s="1628">
        <f t="shared" si="34"/>
        <v>530.90200000000004</v>
      </c>
      <c r="AS161" s="1628">
        <f t="shared" si="34"/>
        <v>144.28198515085398</v>
      </c>
      <c r="AT161" s="1628">
        <f t="shared" si="34"/>
        <v>36393.248000000007</v>
      </c>
      <c r="AU161" s="1628">
        <f t="shared" si="34"/>
        <v>1525.504680770169</v>
      </c>
      <c r="AV161" s="1628">
        <f t="shared" si="34"/>
        <v>46458.963000000003</v>
      </c>
      <c r="AW161" s="1628">
        <f t="shared" si="34"/>
        <v>2439.2861768199</v>
      </c>
      <c r="AX161" s="1628">
        <f t="shared" si="34"/>
        <v>3463.5769999999998</v>
      </c>
      <c r="AY161" s="1628">
        <f t="shared" si="34"/>
        <v>560.54110922000007</v>
      </c>
      <c r="AZ161" s="1628">
        <f t="shared" si="34"/>
        <v>24514.358</v>
      </c>
      <c r="BA161" s="1628">
        <f t="shared" si="34"/>
        <v>1080.4823613893</v>
      </c>
      <c r="BB161" s="1628">
        <f t="shared" si="34"/>
        <v>17119.62</v>
      </c>
      <c r="BC161" s="1628">
        <f t="shared" si="34"/>
        <v>545.07208398</v>
      </c>
      <c r="BD161" s="1632">
        <f t="shared" si="34"/>
        <v>14345.626</v>
      </c>
      <c r="BE161" s="1632">
        <f t="shared" si="34"/>
        <v>584.42588615250008</v>
      </c>
      <c r="BF161" s="1634">
        <f t="shared" si="34"/>
        <v>9.1549999999999994</v>
      </c>
      <c r="BG161" s="1633">
        <f t="shared" si="34"/>
        <v>0.68722299999999992</v>
      </c>
      <c r="BH161" s="1632">
        <f t="shared" si="34"/>
        <v>4126.2240000000002</v>
      </c>
      <c r="BI161" s="1632">
        <f t="shared" si="34"/>
        <v>213.14730205810002</v>
      </c>
      <c r="BJ161" s="1633">
        <f t="shared" si="34"/>
        <v>12.962000000000002</v>
      </c>
      <c r="BK161" s="1633">
        <f t="shared" si="34"/>
        <v>3.3002909000000002</v>
      </c>
      <c r="BL161" s="1632">
        <f t="shared" si="34"/>
        <v>4113.2619999999997</v>
      </c>
      <c r="BM161" s="1632">
        <f t="shared" si="34"/>
        <v>209.84701115810901</v>
      </c>
    </row>
    <row r="162" spans="1:65">
      <c r="A162" s="1627" t="s">
        <v>18</v>
      </c>
      <c r="B162" s="1622">
        <v>9760.6170000000002</v>
      </c>
      <c r="C162" s="1622">
        <v>4014.797</v>
      </c>
      <c r="D162" s="1622">
        <v>3434.6280000000002</v>
      </c>
      <c r="E162" s="1622">
        <v>2581.502</v>
      </c>
      <c r="F162" s="1622">
        <v>2639.6959999999999</v>
      </c>
      <c r="G162" s="1622">
        <v>1104.7909999999999</v>
      </c>
      <c r="H162" s="1622">
        <v>21043.649000000001</v>
      </c>
      <c r="I162" s="1622">
        <v>2273.1569157459999</v>
      </c>
      <c r="J162" s="1622">
        <v>6038.473</v>
      </c>
      <c r="K162" s="1622">
        <v>1468.103601</v>
      </c>
      <c r="L162" s="1622">
        <v>18.361999999999998</v>
      </c>
      <c r="M162" s="1622">
        <v>75.193014689999998</v>
      </c>
      <c r="N162" s="1622">
        <v>26.222000000000001</v>
      </c>
      <c r="O162" s="1622">
        <v>4.9778965399999997</v>
      </c>
      <c r="P162" s="1622">
        <v>5429.8059999999996</v>
      </c>
      <c r="Q162" s="1622">
        <v>221.37275725999999</v>
      </c>
      <c r="R162" s="1622">
        <v>2963.0479999999998</v>
      </c>
      <c r="S162" s="1622">
        <v>94.596223019999996</v>
      </c>
      <c r="T162" s="1622">
        <v>6728.3850000000002</v>
      </c>
      <c r="U162" s="1622">
        <v>380.40862532</v>
      </c>
      <c r="V162" s="1622">
        <v>6.9870000000000001</v>
      </c>
      <c r="W162" s="1626">
        <v>0.152508</v>
      </c>
      <c r="X162" s="1623">
        <v>2795.4140000000002</v>
      </c>
      <c r="Y162" s="1623">
        <v>122.948512936</v>
      </c>
      <c r="Z162" s="1623">
        <v>24.818999999999999</v>
      </c>
      <c r="AA162" s="1623">
        <v>9.4500660399999994</v>
      </c>
      <c r="AB162" s="1623">
        <v>2770.5949999999998</v>
      </c>
      <c r="AC162" s="1623">
        <v>113.498446896</v>
      </c>
      <c r="AD162" s="1623">
        <v>18228.508000000002</v>
      </c>
      <c r="AE162" s="1623">
        <v>2130.2457305859998</v>
      </c>
      <c r="AF162" s="1623">
        <v>5854.2290000000003</v>
      </c>
      <c r="AG162" s="1623">
        <v>1440.3522347600001</v>
      </c>
      <c r="AH162" s="1623">
        <v>4097.0969999999998</v>
      </c>
      <c r="AI162" s="1623">
        <v>234.14933067000001</v>
      </c>
      <c r="AJ162" s="1623">
        <v>2243.6860000000001</v>
      </c>
      <c r="AK162" s="1623">
        <v>75.294888329999992</v>
      </c>
      <c r="AL162" s="1623">
        <v>5761.3329999999996</v>
      </c>
      <c r="AM162" s="1623">
        <v>347.10580184999998</v>
      </c>
      <c r="AN162" s="1623">
        <v>6.6680000000000001</v>
      </c>
      <c r="AO162" s="1624">
        <v>0.13993800000000001</v>
      </c>
      <c r="AP162" s="1623">
        <v>2509.181</v>
      </c>
      <c r="AQ162" s="1623">
        <v>108.498425306</v>
      </c>
      <c r="AR162" s="1623">
        <v>24.263000000000002</v>
      </c>
      <c r="AS162" s="1623">
        <v>9.225507949999999</v>
      </c>
      <c r="AT162" s="1623">
        <v>2484.9180000000001</v>
      </c>
      <c r="AU162" s="1623">
        <v>99.272917355999994</v>
      </c>
      <c r="AV162" s="1623">
        <v>2815.1410000000001</v>
      </c>
      <c r="AW162" s="1623">
        <v>142.91118516</v>
      </c>
      <c r="AX162" s="1623">
        <v>210.46600000000001</v>
      </c>
      <c r="AY162" s="1623">
        <v>32.729262779999999</v>
      </c>
      <c r="AZ162" s="1623">
        <v>1351.0709999999999</v>
      </c>
      <c r="BA162" s="1623">
        <v>62.416441280000001</v>
      </c>
      <c r="BB162" s="1623">
        <v>719.36199999999997</v>
      </c>
      <c r="BC162" s="1623">
        <v>19.301334690000001</v>
      </c>
      <c r="BD162" s="1623">
        <v>967.05200000000002</v>
      </c>
      <c r="BE162" s="1623">
        <v>33.30282347</v>
      </c>
      <c r="BF162" s="1625">
        <v>0.31900000000000001</v>
      </c>
      <c r="BG162" s="1624">
        <v>1.257E-2</v>
      </c>
      <c r="BH162" s="1623">
        <v>286.233</v>
      </c>
      <c r="BI162" s="1631">
        <v>14.450087630000001</v>
      </c>
      <c r="BJ162" s="1624">
        <v>0.55600000000000005</v>
      </c>
      <c r="BK162" s="1624">
        <v>0.22455808999999999</v>
      </c>
      <c r="BL162" s="1623">
        <v>285.67700000000002</v>
      </c>
      <c r="BM162" s="1631">
        <v>14.22552954</v>
      </c>
    </row>
    <row r="163" spans="1:65">
      <c r="A163" s="1555" t="s">
        <v>19</v>
      </c>
      <c r="B163" s="1622">
        <v>9930.3549999999996</v>
      </c>
      <c r="C163" s="1622">
        <v>4257.5590000000002</v>
      </c>
      <c r="D163" s="1622">
        <v>3450.1860000000001</v>
      </c>
      <c r="E163" s="1622">
        <v>2586.0790000000002</v>
      </c>
      <c r="F163" s="1622">
        <v>2773.569</v>
      </c>
      <c r="G163" s="1622">
        <v>1120.521</v>
      </c>
      <c r="H163" s="1622">
        <v>22831.756000000001</v>
      </c>
      <c r="I163" s="1622">
        <v>2631.2725294400002</v>
      </c>
      <c r="J163" s="1622">
        <v>7467.0450000000001</v>
      </c>
      <c r="K163" s="1622">
        <v>1793.239771</v>
      </c>
      <c r="L163" s="1622">
        <v>22.669</v>
      </c>
      <c r="M163" s="1622">
        <v>72.851494500000001</v>
      </c>
      <c r="N163" s="1622">
        <v>25.831</v>
      </c>
      <c r="O163" s="1622">
        <v>5.1244300000000003</v>
      </c>
      <c r="P163" s="1622">
        <v>5889.8289999999997</v>
      </c>
      <c r="Q163" s="1622">
        <v>250.38865820999999</v>
      </c>
      <c r="R163" s="1622">
        <v>3342.2579999999998</v>
      </c>
      <c r="S163" s="1622">
        <v>111.30218594</v>
      </c>
      <c r="T163" s="1622">
        <v>6872.7640000000001</v>
      </c>
      <c r="U163" s="1622">
        <v>394.68785549</v>
      </c>
      <c r="V163" s="1622">
        <v>10.090999999999999</v>
      </c>
      <c r="W163" s="1626">
        <v>0.238403</v>
      </c>
      <c r="X163" s="1623">
        <v>2543.527</v>
      </c>
      <c r="Y163" s="1623">
        <v>114.74191724000001</v>
      </c>
      <c r="Z163" s="1623">
        <v>24.817</v>
      </c>
      <c r="AA163" s="1623">
        <v>10.112923</v>
      </c>
      <c r="AB163" s="1623">
        <v>2518.71</v>
      </c>
      <c r="AC163" s="1623">
        <v>104.62899424</v>
      </c>
      <c r="AD163" s="1623">
        <v>19896.603999999999</v>
      </c>
      <c r="AE163" s="1623">
        <v>2478.1669864400001</v>
      </c>
      <c r="AF163" s="1623">
        <v>7276.6480000000001</v>
      </c>
      <c r="AG163" s="1623">
        <v>1764.824073</v>
      </c>
      <c r="AH163" s="1623">
        <v>4422.9790000000003</v>
      </c>
      <c r="AI163" s="1623">
        <v>250.04170870999999</v>
      </c>
      <c r="AJ163" s="1623">
        <v>2517.0210000000002</v>
      </c>
      <c r="AK163" s="1623">
        <v>86.846934939999997</v>
      </c>
      <c r="AL163" s="1623">
        <v>5901.634</v>
      </c>
      <c r="AM163" s="1623">
        <v>360.81795448999998</v>
      </c>
      <c r="AN163" s="1623">
        <v>9.8230000000000004</v>
      </c>
      <c r="AO163" s="1624">
        <v>0.224715</v>
      </c>
      <c r="AP163" s="1623">
        <v>2285.52</v>
      </c>
      <c r="AQ163" s="1623">
        <v>102.25853524</v>
      </c>
      <c r="AR163" s="1623">
        <v>24.202000000000002</v>
      </c>
      <c r="AS163" s="1623">
        <v>9.9154940000000007</v>
      </c>
      <c r="AT163" s="1623">
        <v>2261.3180000000002</v>
      </c>
      <c r="AU163" s="1623">
        <v>92.343041239999991</v>
      </c>
      <c r="AV163" s="1623">
        <v>2935.152</v>
      </c>
      <c r="AW163" s="1623">
        <v>153.10554300000001</v>
      </c>
      <c r="AX163" s="1623">
        <v>216.22800000000001</v>
      </c>
      <c r="AY163" s="1623">
        <v>33.540128000000003</v>
      </c>
      <c r="AZ163" s="1623">
        <v>1489.519</v>
      </c>
      <c r="BA163" s="1623">
        <v>73.198443999999995</v>
      </c>
      <c r="BB163" s="1623">
        <v>825.23699999999997</v>
      </c>
      <c r="BC163" s="1623">
        <v>24.455251000000001</v>
      </c>
      <c r="BD163" s="1623">
        <v>971.13</v>
      </c>
      <c r="BE163" s="1623">
        <v>33.869900999999999</v>
      </c>
      <c r="BF163" s="1625">
        <v>0.26800000000000002</v>
      </c>
      <c r="BG163" s="1624">
        <v>1.3688000000000001E-2</v>
      </c>
      <c r="BH163" s="1623">
        <v>258.00700000000001</v>
      </c>
      <c r="BI163" s="1631">
        <v>12.483382000000001</v>
      </c>
      <c r="BJ163" s="1624">
        <v>0.61499999999999999</v>
      </c>
      <c r="BK163" s="1624">
        <v>0.19742899999999999</v>
      </c>
      <c r="BL163" s="1623">
        <v>257.392</v>
      </c>
      <c r="BM163" s="1631">
        <v>12.285952999999999</v>
      </c>
    </row>
    <row r="164" spans="1:65">
      <c r="A164" s="1627" t="s">
        <v>20</v>
      </c>
      <c r="B164" s="1622">
        <v>10126.07</v>
      </c>
      <c r="C164" s="1622">
        <v>4595.4570000000003</v>
      </c>
      <c r="D164" s="1622">
        <v>3458.4650000000001</v>
      </c>
      <c r="E164" s="1622">
        <v>2625.65</v>
      </c>
      <c r="F164" s="1622">
        <v>2896.8560000000002</v>
      </c>
      <c r="G164" s="1622">
        <v>1145.0989999999999</v>
      </c>
      <c r="H164" s="1622">
        <v>28053.136999999999</v>
      </c>
      <c r="I164" s="1622">
        <v>3172.2660824599998</v>
      </c>
      <c r="J164" s="1622">
        <v>9118.8649999999998</v>
      </c>
      <c r="K164" s="1622">
        <v>2139.8365170000002</v>
      </c>
      <c r="L164" s="1622">
        <v>24.222999999999999</v>
      </c>
      <c r="M164" s="1622">
        <v>73.025278520000001</v>
      </c>
      <c r="N164" s="1622">
        <v>21.568000000000001</v>
      </c>
      <c r="O164" s="1622">
        <v>3.0772179999999998</v>
      </c>
      <c r="P164" s="1622">
        <v>7685.1989999999996</v>
      </c>
      <c r="Q164" s="1622">
        <v>342.17187173999997</v>
      </c>
      <c r="R164" s="1622">
        <v>4454.4260000000004</v>
      </c>
      <c r="S164" s="1622">
        <v>153.27047540000001</v>
      </c>
      <c r="T164" s="1622">
        <v>8181.88</v>
      </c>
      <c r="U164" s="1622">
        <v>473.91183638000001</v>
      </c>
      <c r="V164" s="1622">
        <v>15.147</v>
      </c>
      <c r="W164" s="1626">
        <v>0.34889799999999999</v>
      </c>
      <c r="X164" s="1623">
        <v>3006.2550000000001</v>
      </c>
      <c r="Y164" s="1623">
        <v>139.89446282</v>
      </c>
      <c r="Z164" s="1623">
        <v>29.164000000000001</v>
      </c>
      <c r="AA164" s="1623">
        <v>11.865093119999999</v>
      </c>
      <c r="AB164" s="1623">
        <v>2977.0909999999999</v>
      </c>
      <c r="AC164" s="1623">
        <v>128.02936969999999</v>
      </c>
      <c r="AD164" s="1623">
        <v>24579.888999999999</v>
      </c>
      <c r="AE164" s="1623">
        <v>2983.06850833</v>
      </c>
      <c r="AF164" s="1623">
        <v>8902.2870000000003</v>
      </c>
      <c r="AG164" s="1623">
        <v>2106.0460194699999</v>
      </c>
      <c r="AH164" s="1623">
        <v>5872.8580000000002</v>
      </c>
      <c r="AI164" s="1623">
        <v>320.40523347999999</v>
      </c>
      <c r="AJ164" s="1623">
        <v>3390.2060000000001</v>
      </c>
      <c r="AK164" s="1623">
        <v>119.03286340000001</v>
      </c>
      <c r="AL164" s="1623">
        <v>7102.0630000000001</v>
      </c>
      <c r="AM164" s="1623">
        <v>435.14045737999999</v>
      </c>
      <c r="AN164" s="1623">
        <v>14.803000000000001</v>
      </c>
      <c r="AO164" s="1624">
        <v>0.33533400000000002</v>
      </c>
      <c r="AP164" s="1623">
        <v>2687.8780000000002</v>
      </c>
      <c r="AQ164" s="1623">
        <v>121.141464</v>
      </c>
      <c r="AR164" s="1623">
        <v>28.390999999999998</v>
      </c>
      <c r="AS164" s="1623">
        <v>11.58530412</v>
      </c>
      <c r="AT164" s="1623">
        <v>2659.4870000000001</v>
      </c>
      <c r="AU164" s="1623">
        <v>109.55615988</v>
      </c>
      <c r="AV164" s="1623">
        <v>3473.248</v>
      </c>
      <c r="AW164" s="1623">
        <v>189.19757412999999</v>
      </c>
      <c r="AX164" s="1623">
        <v>238.14599999999999</v>
      </c>
      <c r="AY164" s="1623">
        <v>36.867715529999998</v>
      </c>
      <c r="AZ164" s="1623">
        <v>1836.5640000000001</v>
      </c>
      <c r="BA164" s="1623">
        <v>94.791916779999994</v>
      </c>
      <c r="BB164" s="1623">
        <v>1064.22</v>
      </c>
      <c r="BC164" s="1623">
        <v>34.237611999999999</v>
      </c>
      <c r="BD164" s="1623">
        <v>1079.817</v>
      </c>
      <c r="BE164" s="1623">
        <v>38.771379000000003</v>
      </c>
      <c r="BF164" s="1625">
        <v>0.34399999999999997</v>
      </c>
      <c r="BG164" s="1624">
        <v>1.3564E-2</v>
      </c>
      <c r="BH164" s="1623">
        <v>318.37700000000001</v>
      </c>
      <c r="BI164" s="1631">
        <v>18.752998819999998</v>
      </c>
      <c r="BJ164" s="1624">
        <v>0.77300000000000002</v>
      </c>
      <c r="BK164" s="1624">
        <v>0.27978900000000001</v>
      </c>
      <c r="BL164" s="1623">
        <v>317.60399999999998</v>
      </c>
      <c r="BM164" s="1631">
        <v>18.473209820000001</v>
      </c>
    </row>
    <row r="165" spans="1:65">
      <c r="A165" s="1627" t="s">
        <v>21</v>
      </c>
      <c r="B165" s="1622">
        <v>10265.402</v>
      </c>
      <c r="C165" s="1622">
        <v>4934.009</v>
      </c>
      <c r="D165" s="1622">
        <v>3513.88</v>
      </c>
      <c r="E165" s="1622">
        <v>2634.3710000000001</v>
      </c>
      <c r="F165" s="1622">
        <v>2953.529</v>
      </c>
      <c r="G165" s="1622">
        <v>1163.6220000000001</v>
      </c>
      <c r="H165" s="1622">
        <v>25415.357</v>
      </c>
      <c r="I165" s="1622">
        <v>2768.7216210400002</v>
      </c>
      <c r="J165" s="1622">
        <v>7590.1610000000001</v>
      </c>
      <c r="K165" s="1622">
        <v>1780.298569</v>
      </c>
      <c r="L165" s="1622">
        <v>21.91</v>
      </c>
      <c r="M165" s="1622">
        <v>95.070249239999995</v>
      </c>
      <c r="N165" s="1622">
        <v>8.2460000000000004</v>
      </c>
      <c r="O165" s="1622">
        <v>2.04278</v>
      </c>
      <c r="P165" s="1622">
        <v>7445.0659999999998</v>
      </c>
      <c r="Q165" s="1622">
        <v>311.76677044000002</v>
      </c>
      <c r="R165" s="1622">
        <v>4575.16</v>
      </c>
      <c r="S165" s="1622">
        <v>151.690372939996</v>
      </c>
      <c r="T165" s="1622">
        <v>7388.6</v>
      </c>
      <c r="U165" s="1622">
        <v>454.14717686</v>
      </c>
      <c r="V165" s="1622">
        <v>18.949000000000002</v>
      </c>
      <c r="W165" s="1626">
        <v>0.52605100000000005</v>
      </c>
      <c r="X165" s="1623">
        <v>2941.915</v>
      </c>
      <c r="Y165" s="1623">
        <v>124.7532595</v>
      </c>
      <c r="Z165" s="1623">
        <v>25.870999999999999</v>
      </c>
      <c r="AA165" s="1623">
        <v>11.089974720000001</v>
      </c>
      <c r="AB165" s="1623">
        <v>2916.0439999999999</v>
      </c>
      <c r="AC165" s="1623">
        <v>113.66328478</v>
      </c>
      <c r="AD165" s="1623">
        <v>22051.011999999999</v>
      </c>
      <c r="AE165" s="1623">
        <v>2600.9660516099998</v>
      </c>
      <c r="AF165" s="1623">
        <v>7342.665</v>
      </c>
      <c r="AG165" s="1623">
        <v>1742.8750091700001</v>
      </c>
      <c r="AH165" s="1623">
        <v>5677.3670000000002</v>
      </c>
      <c r="AI165" s="1623">
        <v>329.61581308000001</v>
      </c>
      <c r="AJ165" s="1623">
        <v>3416.5819999999999</v>
      </c>
      <c r="AK165" s="1623">
        <v>117.826516939996</v>
      </c>
      <c r="AL165" s="1623">
        <v>6361.8739999999998</v>
      </c>
      <c r="AM165" s="1623">
        <v>417.36751786000002</v>
      </c>
      <c r="AN165" s="1623">
        <v>18.600999999999999</v>
      </c>
      <c r="AO165" s="1624">
        <v>0.49982599999999999</v>
      </c>
      <c r="AP165" s="1623">
        <v>2650.018</v>
      </c>
      <c r="AQ165" s="1623">
        <v>110.4934155</v>
      </c>
      <c r="AR165" s="1623">
        <v>25.321000000000002</v>
      </c>
      <c r="AS165" s="1623">
        <v>10.88633972</v>
      </c>
      <c r="AT165" s="1623">
        <v>2624.6970000000001</v>
      </c>
      <c r="AU165" s="1623">
        <v>99.607075780000002</v>
      </c>
      <c r="AV165" s="1623">
        <v>3364.3449999999998</v>
      </c>
      <c r="AW165" s="1623">
        <v>167.75556943000001</v>
      </c>
      <c r="AX165" s="1623">
        <v>255.74199999999999</v>
      </c>
      <c r="AY165" s="1623">
        <v>39.466339830000003</v>
      </c>
      <c r="AZ165" s="1623">
        <v>1789.6089999999999</v>
      </c>
      <c r="BA165" s="1623">
        <v>77.221206600000002</v>
      </c>
      <c r="BB165" s="1623">
        <v>1158.578</v>
      </c>
      <c r="BC165" s="1623">
        <v>33.863855999999998</v>
      </c>
      <c r="BD165" s="1623">
        <v>1026.7260000000001</v>
      </c>
      <c r="BE165" s="1623">
        <v>36.779659000000002</v>
      </c>
      <c r="BF165" s="1625">
        <v>0.34799999999999998</v>
      </c>
      <c r="BG165" s="1624">
        <v>2.6224999999999998E-2</v>
      </c>
      <c r="BH165" s="1623">
        <v>291.89699999999999</v>
      </c>
      <c r="BI165" s="1631">
        <v>14.259843999999999</v>
      </c>
      <c r="BJ165" s="1624">
        <v>0.55000000000000004</v>
      </c>
      <c r="BK165" s="1624">
        <v>0.20363500000000001</v>
      </c>
      <c r="BL165" s="1623">
        <v>291.34699999999998</v>
      </c>
      <c r="BM165" s="1631">
        <v>14.056209000000001</v>
      </c>
    </row>
    <row r="166" spans="1:65">
      <c r="A166" s="1627" t="s">
        <v>22</v>
      </c>
      <c r="B166" s="1622">
        <v>10347.49</v>
      </c>
      <c r="C166" s="1622">
        <v>5130.4669999999996</v>
      </c>
      <c r="D166" s="1622">
        <v>3502.8910000000001</v>
      </c>
      <c r="E166" s="1622">
        <v>2624.7869999999998</v>
      </c>
      <c r="F166" s="1622">
        <v>3038.63</v>
      </c>
      <c r="G166" s="1622">
        <v>1181.182</v>
      </c>
      <c r="H166" s="1622">
        <v>26599.777999999998</v>
      </c>
      <c r="I166" s="1622">
        <v>2876.6013200799998</v>
      </c>
      <c r="J166" s="1622">
        <v>8108.4549999999999</v>
      </c>
      <c r="K166" s="1622">
        <v>1897.116818</v>
      </c>
      <c r="L166" s="1622">
        <v>21.471</v>
      </c>
      <c r="M166" s="1622">
        <v>76.125403399999996</v>
      </c>
      <c r="N166" s="1622">
        <v>8.1839999999999993</v>
      </c>
      <c r="O166" s="1622">
        <v>1.960385</v>
      </c>
      <c r="P166" s="1622">
        <v>7597.2039999999997</v>
      </c>
      <c r="Q166" s="1622">
        <v>313.40117251999999</v>
      </c>
      <c r="R166" s="1622">
        <v>4940.7889999999998</v>
      </c>
      <c r="S166" s="1622">
        <v>199.47280407</v>
      </c>
      <c r="T166" s="1622">
        <v>7968.0910000000003</v>
      </c>
      <c r="U166" s="1622">
        <v>464.66812379999999</v>
      </c>
      <c r="V166" s="1622">
        <v>18.745999999999999</v>
      </c>
      <c r="W166" s="1626">
        <v>0.48996400000000001</v>
      </c>
      <c r="X166" s="1623">
        <v>2877.627</v>
      </c>
      <c r="Y166" s="1623">
        <v>122.83945335999999</v>
      </c>
      <c r="Z166" s="1623">
        <v>41.366</v>
      </c>
      <c r="AA166" s="1623">
        <v>10.555870820000001</v>
      </c>
      <c r="AB166" s="1623">
        <v>2836.261</v>
      </c>
      <c r="AC166" s="1623">
        <v>112.28358254000001</v>
      </c>
      <c r="AD166" s="1623">
        <v>23072.507000000001</v>
      </c>
      <c r="AE166" s="1623">
        <v>2702.6636056000002</v>
      </c>
      <c r="AF166" s="1623">
        <v>7855.759</v>
      </c>
      <c r="AG166" s="1623">
        <v>1859.456445</v>
      </c>
      <c r="AH166" s="1623">
        <v>5767.08</v>
      </c>
      <c r="AI166" s="1623">
        <v>306.01355711999997</v>
      </c>
      <c r="AJ166" s="1623">
        <v>3708.8429999999998</v>
      </c>
      <c r="AK166" s="1623">
        <v>160.93223706999999</v>
      </c>
      <c r="AL166" s="1623">
        <v>6860.8810000000003</v>
      </c>
      <c r="AM166" s="1623">
        <v>428.25697079999998</v>
      </c>
      <c r="AN166" s="1623">
        <v>18.356999999999999</v>
      </c>
      <c r="AO166" s="1624">
        <v>0.46806599999999998</v>
      </c>
      <c r="AP166" s="1623">
        <v>2570.4299999999998</v>
      </c>
      <c r="AQ166" s="1623">
        <v>108.46856668</v>
      </c>
      <c r="AR166" s="1623">
        <v>40.496000000000002</v>
      </c>
      <c r="AS166" s="1623">
        <v>10.324505820000001</v>
      </c>
      <c r="AT166" s="1623">
        <v>2529.9340000000002</v>
      </c>
      <c r="AU166" s="1623">
        <v>98.14406086000001</v>
      </c>
      <c r="AV166" s="1623">
        <v>3527.2710000000002</v>
      </c>
      <c r="AW166" s="1623">
        <v>173.93771448000001</v>
      </c>
      <c r="AX166" s="1623">
        <v>260.88</v>
      </c>
      <c r="AY166" s="1623">
        <v>39.620758000000002</v>
      </c>
      <c r="AZ166" s="1623">
        <v>1851.595</v>
      </c>
      <c r="BA166" s="1623">
        <v>83.513018799999998</v>
      </c>
      <c r="BB166" s="1623">
        <v>1231.9459999999999</v>
      </c>
      <c r="BC166" s="1623">
        <v>38.540567000000003</v>
      </c>
      <c r="BD166" s="1623">
        <v>1107.21</v>
      </c>
      <c r="BE166" s="1623">
        <v>36.411152999999999</v>
      </c>
      <c r="BF166" s="1625">
        <v>0.38900000000000001</v>
      </c>
      <c r="BG166" s="1624">
        <v>2.1898000000000001E-2</v>
      </c>
      <c r="BH166" s="1623">
        <v>307.197</v>
      </c>
      <c r="BI166" s="1631">
        <v>14.37088668</v>
      </c>
      <c r="BJ166" s="1624">
        <v>0.87</v>
      </c>
      <c r="BK166" s="1624">
        <v>0.23136499999999999</v>
      </c>
      <c r="BL166" s="1623">
        <v>306.327</v>
      </c>
      <c r="BM166" s="1631">
        <v>14.13952168</v>
      </c>
    </row>
    <row r="167" spans="1:65">
      <c r="A167" s="1627" t="s">
        <v>23</v>
      </c>
      <c r="B167" s="1622">
        <v>10440.736000000001</v>
      </c>
      <c r="C167" s="1622">
        <v>5412.2150000000001</v>
      </c>
      <c r="D167" s="1622">
        <v>3468.84</v>
      </c>
      <c r="E167" s="1622">
        <v>2622.6559999999999</v>
      </c>
      <c r="F167" s="1622">
        <v>3146.0819999999999</v>
      </c>
      <c r="G167" s="1622">
        <v>1203.1579999999999</v>
      </c>
      <c r="H167" s="1622">
        <v>28051.303</v>
      </c>
      <c r="I167" s="1622">
        <v>2954.6782865199998</v>
      </c>
      <c r="J167" s="1622">
        <v>8147.8680000000004</v>
      </c>
      <c r="K167" s="1622">
        <v>1877.72507</v>
      </c>
      <c r="L167" s="1622">
        <v>22.530999999999999</v>
      </c>
      <c r="M167" s="1622">
        <v>83.271623270000006</v>
      </c>
      <c r="N167" s="1622">
        <v>7.87</v>
      </c>
      <c r="O167" s="1622">
        <v>2.0011749999999999</v>
      </c>
      <c r="P167" s="1622">
        <v>8681.3009999999995</v>
      </c>
      <c r="Q167" s="1622">
        <v>327.89380338000001</v>
      </c>
      <c r="R167" s="1622">
        <v>5934.5529999999999</v>
      </c>
      <c r="S167" s="1622">
        <v>227.11646306</v>
      </c>
      <c r="T167" s="1622">
        <v>8137.4129999999996</v>
      </c>
      <c r="U167" s="1622">
        <v>524.20881325000005</v>
      </c>
      <c r="V167" s="1622">
        <v>16.241</v>
      </c>
      <c r="W167" s="1626">
        <v>0.49815599999999999</v>
      </c>
      <c r="X167" s="1623">
        <v>3038.0790000000002</v>
      </c>
      <c r="Y167" s="1623">
        <v>139.07964562000001</v>
      </c>
      <c r="Z167" s="1623">
        <v>46.277000000000001</v>
      </c>
      <c r="AA167" s="1623">
        <v>10.848074039999998</v>
      </c>
      <c r="AB167" s="1623">
        <v>2991.8020000000001</v>
      </c>
      <c r="AC167" s="1623">
        <v>128.23157158000001</v>
      </c>
      <c r="AD167" s="1623">
        <v>24223.547999999999</v>
      </c>
      <c r="AE167" s="1623">
        <v>2767.8344412699998</v>
      </c>
      <c r="AF167" s="1623">
        <v>7880.4560000000001</v>
      </c>
      <c r="AG167" s="1623">
        <v>1836.4421159999999</v>
      </c>
      <c r="AH167" s="1623">
        <v>6580.0479999999998</v>
      </c>
      <c r="AI167" s="1623">
        <v>323.0089724</v>
      </c>
      <c r="AJ167" s="1623">
        <v>4488.5990000000002</v>
      </c>
      <c r="AK167" s="1623">
        <v>184.14213205999999</v>
      </c>
      <c r="AL167" s="1623">
        <v>7019.8209999999999</v>
      </c>
      <c r="AM167" s="1623">
        <v>485.24677824999998</v>
      </c>
      <c r="AN167" s="1623">
        <v>15.737</v>
      </c>
      <c r="AO167" s="1624">
        <v>0.436089</v>
      </c>
      <c r="AP167" s="1623">
        <v>2727.4859999999999</v>
      </c>
      <c r="AQ167" s="1623">
        <v>122.70048561999999</v>
      </c>
      <c r="AR167" s="1623">
        <v>45.09</v>
      </c>
      <c r="AS167" s="1623">
        <v>10.545224039999999</v>
      </c>
      <c r="AT167" s="1623">
        <v>2682.3960000000002</v>
      </c>
      <c r="AU167" s="1623">
        <v>112.15526158</v>
      </c>
      <c r="AV167" s="1623">
        <v>3827.7550000000001</v>
      </c>
      <c r="AW167" s="1623">
        <v>186.84384524999999</v>
      </c>
      <c r="AX167" s="1623">
        <v>275.28199999999998</v>
      </c>
      <c r="AY167" s="1623">
        <v>43.284129</v>
      </c>
      <c r="AZ167" s="1623">
        <v>2123.7840000000001</v>
      </c>
      <c r="BA167" s="1623">
        <v>88.156454249999996</v>
      </c>
      <c r="BB167" s="1623">
        <v>1445.954</v>
      </c>
      <c r="BC167" s="1623">
        <v>42.974330999999999</v>
      </c>
      <c r="BD167" s="1623">
        <v>1117.5920000000001</v>
      </c>
      <c r="BE167" s="1623">
        <v>38.962035</v>
      </c>
      <c r="BF167" s="1625">
        <v>0.504</v>
      </c>
      <c r="BG167" s="1624">
        <v>6.2066999999999997E-2</v>
      </c>
      <c r="BH167" s="1623">
        <v>310.59300000000002</v>
      </c>
      <c r="BI167" s="1631">
        <v>16.379159999999999</v>
      </c>
      <c r="BJ167" s="1624">
        <v>1.1870000000000001</v>
      </c>
      <c r="BK167" s="1624">
        <v>0.30285000000000001</v>
      </c>
      <c r="BL167" s="1623">
        <v>309.40600000000001</v>
      </c>
      <c r="BM167" s="1631">
        <v>16.076309999999999</v>
      </c>
    </row>
    <row r="168" spans="1:65">
      <c r="A168" s="1627" t="s">
        <v>24</v>
      </c>
      <c r="B168" s="1622">
        <v>10539.574000000001</v>
      </c>
      <c r="C168" s="1622">
        <v>5680.6769999999997</v>
      </c>
      <c r="D168" s="1622">
        <v>3409.366</v>
      </c>
      <c r="E168" s="1622">
        <v>2632.0740000000001</v>
      </c>
      <c r="F168" s="1622">
        <v>3253.712</v>
      </c>
      <c r="G168" s="1622">
        <v>1244.422</v>
      </c>
      <c r="H168" s="1622">
        <v>29234.280999999999</v>
      </c>
      <c r="I168" s="1622">
        <v>3277.5770970901999</v>
      </c>
      <c r="J168" s="1622">
        <v>8595.232</v>
      </c>
      <c r="K168" s="1622">
        <v>2117.0872267999998</v>
      </c>
      <c r="L168" s="1622">
        <v>26.492999999999999</v>
      </c>
      <c r="M168" s="1622">
        <v>95.359112400000001</v>
      </c>
      <c r="N168" s="1622">
        <v>7.4690000000000003</v>
      </c>
      <c r="O168" s="1622">
        <v>1.86396556</v>
      </c>
      <c r="P168" s="1622">
        <v>8991.9120000000003</v>
      </c>
      <c r="Q168" s="1622">
        <v>341.3678977102</v>
      </c>
      <c r="R168" s="1622">
        <v>6213.4780000000001</v>
      </c>
      <c r="S168" s="1622">
        <v>242.87425146000001</v>
      </c>
      <c r="T168" s="1622">
        <v>8559.0190000000002</v>
      </c>
      <c r="U168" s="1622">
        <v>567.34596854979998</v>
      </c>
      <c r="V168" s="1622">
        <v>18.033999999999999</v>
      </c>
      <c r="W168" s="1626">
        <v>0.57712699999999995</v>
      </c>
      <c r="X168" s="1623">
        <v>3036.1219999999998</v>
      </c>
      <c r="Y168" s="1623">
        <v>153.9757990702</v>
      </c>
      <c r="Z168" s="1623">
        <v>51.252000000000002</v>
      </c>
      <c r="AA168" s="1623">
        <v>11.873257736269998</v>
      </c>
      <c r="AB168" s="1623">
        <v>2984.87</v>
      </c>
      <c r="AC168" s="1623">
        <v>142.10254133397299</v>
      </c>
      <c r="AD168" s="1623">
        <v>25460.41</v>
      </c>
      <c r="AE168" s="1623">
        <v>3081.3874718010002</v>
      </c>
      <c r="AF168" s="1623">
        <v>8331.5810000000001</v>
      </c>
      <c r="AG168" s="1623">
        <v>2073.3656786500001</v>
      </c>
      <c r="AH168" s="1623">
        <v>6949.183</v>
      </c>
      <c r="AI168" s="1623">
        <v>344.97264705750001</v>
      </c>
      <c r="AJ168" s="1623">
        <v>4758.4889999999996</v>
      </c>
      <c r="AK168" s="1623">
        <v>197.31790931999998</v>
      </c>
      <c r="AL168" s="1623">
        <v>7433.7849999999999</v>
      </c>
      <c r="AM168" s="1623">
        <v>524.68390301930003</v>
      </c>
      <c r="AN168" s="1623">
        <v>17.672999999999998</v>
      </c>
      <c r="AO168" s="1624">
        <v>0.50939599999999996</v>
      </c>
      <c r="AP168" s="1623">
        <v>2728.1880000000001</v>
      </c>
      <c r="AQ168" s="1623">
        <v>137.8558470742</v>
      </c>
      <c r="AR168" s="1623">
        <v>49.790999999999997</v>
      </c>
      <c r="AS168" s="1623">
        <v>11.57534451627</v>
      </c>
      <c r="AT168" s="1623">
        <v>2678.3969999999999</v>
      </c>
      <c r="AU168" s="1623">
        <v>126.280502557934</v>
      </c>
      <c r="AV168" s="1623">
        <v>3773.8710000000001</v>
      </c>
      <c r="AW168" s="1623">
        <v>196.18962528919999</v>
      </c>
      <c r="AX168" s="1623">
        <v>271.12</v>
      </c>
      <c r="AY168" s="1623">
        <v>45.585513710000001</v>
      </c>
      <c r="AZ168" s="1623">
        <v>2069.2220000000002</v>
      </c>
      <c r="BA168" s="1623">
        <v>91.7543630527</v>
      </c>
      <c r="BB168" s="1623">
        <v>1454.989</v>
      </c>
      <c r="BC168" s="1623">
        <v>45.556342139999998</v>
      </c>
      <c r="BD168" s="1623">
        <v>1125.2339999999999</v>
      </c>
      <c r="BE168" s="1623">
        <v>42.662065530500001</v>
      </c>
      <c r="BF168" s="1625">
        <v>0.36099999999999999</v>
      </c>
      <c r="BG168" s="1624">
        <v>6.7731E-2</v>
      </c>
      <c r="BH168" s="1623">
        <v>307.93400000000003</v>
      </c>
      <c r="BI168" s="1631">
        <v>16.119951996000001</v>
      </c>
      <c r="BJ168" s="1624">
        <v>1.4610000000000001</v>
      </c>
      <c r="BK168" s="1624">
        <v>0.29791321999999998</v>
      </c>
      <c r="BL168" s="1623">
        <v>306.47300000000001</v>
      </c>
      <c r="BM168" s="1631">
        <v>15.822038776039001</v>
      </c>
    </row>
    <row r="169" spans="1:65">
      <c r="A169" s="1627" t="s">
        <v>25</v>
      </c>
      <c r="B169" s="1622">
        <v>10664.52</v>
      </c>
      <c r="C169" s="1622">
        <v>5956.46</v>
      </c>
      <c r="D169" s="1622">
        <v>3401.8989999999999</v>
      </c>
      <c r="E169" s="1622">
        <v>2627.9369999999999</v>
      </c>
      <c r="F169" s="1622">
        <v>3360.0790000000002</v>
      </c>
      <c r="G169" s="1622">
        <v>1274.605</v>
      </c>
      <c r="H169" s="1622">
        <v>29925.391</v>
      </c>
      <c r="I169" s="1622">
        <v>3097.7304719356998</v>
      </c>
      <c r="J169" s="1622">
        <v>8112.0169999999998</v>
      </c>
      <c r="K169" s="1622">
        <v>1885.5144230000001</v>
      </c>
      <c r="L169" s="1622">
        <v>24.614000000000001</v>
      </c>
      <c r="M169" s="1622">
        <v>94.082845860000006</v>
      </c>
      <c r="N169" s="1622">
        <v>7.2249999999999996</v>
      </c>
      <c r="O169" s="1622">
        <v>1.6640060000000001</v>
      </c>
      <c r="P169" s="1622">
        <v>9449.6039999999994</v>
      </c>
      <c r="Q169" s="1622">
        <v>334.70881255220002</v>
      </c>
      <c r="R169" s="1622">
        <v>6608.9750000000004</v>
      </c>
      <c r="S169" s="1622">
        <v>215.35178406</v>
      </c>
      <c r="T169" s="1622">
        <v>8863.7880000000005</v>
      </c>
      <c r="U169" s="1622">
        <v>595.32909677350005</v>
      </c>
      <c r="V169" s="1622">
        <v>19.568000000000001</v>
      </c>
      <c r="W169" s="1626">
        <v>0.51223200000000002</v>
      </c>
      <c r="X169" s="1623">
        <v>3448.5749999999998</v>
      </c>
      <c r="Y169" s="1623">
        <v>185.91905575000001</v>
      </c>
      <c r="Z169" s="1623">
        <v>55.841000000000001</v>
      </c>
      <c r="AA169" s="1623">
        <v>12.731215927584</v>
      </c>
      <c r="AB169" s="1623">
        <v>3392.7339999999999</v>
      </c>
      <c r="AC169" s="1623">
        <v>173.187839822397</v>
      </c>
      <c r="AD169" s="1623">
        <v>25749.113000000001</v>
      </c>
      <c r="AE169" s="1623">
        <v>2888.8769180488998</v>
      </c>
      <c r="AF169" s="1623">
        <v>7804.7719999999999</v>
      </c>
      <c r="AG169" s="1623">
        <v>1837.0774510000001</v>
      </c>
      <c r="AH169" s="1623">
        <v>7211.6490000000003</v>
      </c>
      <c r="AI169" s="1623">
        <v>336.45143860320002</v>
      </c>
      <c r="AJ169" s="1623">
        <v>4967.741</v>
      </c>
      <c r="AK169" s="1623">
        <v>165.60172612</v>
      </c>
      <c r="AL169" s="1623">
        <v>7625.01</v>
      </c>
      <c r="AM169" s="1623">
        <v>549.56166765149999</v>
      </c>
      <c r="AN169" s="1623">
        <v>19.141999999999999</v>
      </c>
      <c r="AO169" s="1624">
        <v>0.46889599999999998</v>
      </c>
      <c r="AP169" s="1623">
        <v>3088.54</v>
      </c>
      <c r="AQ169" s="1623">
        <v>165.31746479419999</v>
      </c>
      <c r="AR169" s="1623">
        <v>54.213999999999999</v>
      </c>
      <c r="AS169" s="1623">
        <v>12.425257023584001</v>
      </c>
      <c r="AT169" s="1623">
        <v>3034.326</v>
      </c>
      <c r="AU169" s="1623">
        <v>152.89220777059901</v>
      </c>
      <c r="AV169" s="1623">
        <v>4176.2780000000002</v>
      </c>
      <c r="AW169" s="1623">
        <v>208.8535538868</v>
      </c>
      <c r="AX169" s="1623">
        <v>314.47000000000003</v>
      </c>
      <c r="AY169" s="1623">
        <v>50.100977999999998</v>
      </c>
      <c r="AZ169" s="1623">
        <v>2262.569</v>
      </c>
      <c r="BA169" s="1623">
        <v>92.340219809000004</v>
      </c>
      <c r="BB169" s="1623">
        <v>1641.2339999999999</v>
      </c>
      <c r="BC169" s="1623">
        <v>49.750057939999998</v>
      </c>
      <c r="BD169" s="1623">
        <v>1238.778</v>
      </c>
      <c r="BE169" s="1623">
        <v>45.767429122000003</v>
      </c>
      <c r="BF169" s="1625">
        <v>0.42599999999999999</v>
      </c>
      <c r="BG169" s="1624">
        <v>4.3336E-2</v>
      </c>
      <c r="BH169" s="1623">
        <v>360.03500000000003</v>
      </c>
      <c r="BI169" s="1630">
        <v>20.601590955799999</v>
      </c>
      <c r="BJ169" s="1624">
        <v>1.627</v>
      </c>
      <c r="BK169" s="1624">
        <v>0.30595890399999998</v>
      </c>
      <c r="BL169" s="1623">
        <v>358.40800000000002</v>
      </c>
      <c r="BM169" s="1630">
        <v>20.295632051798002</v>
      </c>
    </row>
    <row r="170" spans="1:65">
      <c r="A170" s="1627" t="s">
        <v>26</v>
      </c>
      <c r="B170" s="1622">
        <v>10841.662</v>
      </c>
      <c r="C170" s="1622">
        <v>6313.5410000000002</v>
      </c>
      <c r="D170" s="1622">
        <v>3395.6559999999999</v>
      </c>
      <c r="E170" s="1622">
        <v>2638.748</v>
      </c>
      <c r="F170" s="1622">
        <v>3504.0329999999999</v>
      </c>
      <c r="G170" s="1622">
        <v>1303.2249999999999</v>
      </c>
      <c r="H170" s="1622">
        <v>31833.941999999999</v>
      </c>
      <c r="I170" s="1622">
        <v>3339.9213361852999</v>
      </c>
      <c r="J170" s="1622">
        <v>8233.5210000000006</v>
      </c>
      <c r="K170" s="1622">
        <v>1921.8929716600001</v>
      </c>
      <c r="L170" s="1622">
        <v>25.558</v>
      </c>
      <c r="M170" s="1622">
        <v>102.95712875</v>
      </c>
      <c r="N170" s="1622">
        <v>5.9569999999999999</v>
      </c>
      <c r="O170" s="1622">
        <v>1.4525277000000001</v>
      </c>
      <c r="P170" s="1622">
        <v>9539.8700000000008</v>
      </c>
      <c r="Q170" s="1622">
        <v>331.91658686239998</v>
      </c>
      <c r="R170" s="1622">
        <v>6806.9880000000003</v>
      </c>
      <c r="S170" s="1622">
        <v>218.26049670471099</v>
      </c>
      <c r="T170" s="1622">
        <v>10301.966</v>
      </c>
      <c r="U170" s="1622">
        <v>802.08649098000001</v>
      </c>
      <c r="V170" s="1622">
        <v>26.094999999999999</v>
      </c>
      <c r="W170" s="1626">
        <v>0.71980900000000003</v>
      </c>
      <c r="X170" s="1623">
        <v>3700.9749999999999</v>
      </c>
      <c r="Y170" s="1623">
        <v>178.8958212329</v>
      </c>
      <c r="Z170" s="1623">
        <v>59.802</v>
      </c>
      <c r="AA170" s="1623">
        <v>14.133523877</v>
      </c>
      <c r="AB170" s="1623">
        <v>3641.1729999999998</v>
      </c>
      <c r="AC170" s="1623">
        <v>164.762297355908</v>
      </c>
      <c r="AD170" s="1623">
        <v>27533.069</v>
      </c>
      <c r="AE170" s="1623">
        <v>3107.9817791514001</v>
      </c>
      <c r="AF170" s="1623">
        <v>7903.7879999999996</v>
      </c>
      <c r="AG170" s="1623">
        <v>1867.33583404</v>
      </c>
      <c r="AH170" s="1623">
        <v>7308.6850000000004</v>
      </c>
      <c r="AI170" s="1623">
        <v>339.95334240480003</v>
      </c>
      <c r="AJ170" s="1623">
        <v>5139.2659999999996</v>
      </c>
      <c r="AK170" s="1623">
        <v>165.53857622471099</v>
      </c>
      <c r="AL170" s="1623">
        <v>8961.5689999999995</v>
      </c>
      <c r="AM170" s="1623">
        <v>740.09879022999996</v>
      </c>
      <c r="AN170" s="1623">
        <v>24.727</v>
      </c>
      <c r="AO170" s="1624">
        <v>0.63895800000000003</v>
      </c>
      <c r="AP170" s="1623">
        <v>3334.3</v>
      </c>
      <c r="AQ170" s="1623">
        <v>159.95485447659999</v>
      </c>
      <c r="AR170" s="1623">
        <v>58.25</v>
      </c>
      <c r="AS170" s="1623">
        <v>13.787887940999999</v>
      </c>
      <c r="AT170" s="1623">
        <v>3276.05</v>
      </c>
      <c r="AU170" s="1623">
        <v>146.16696653563602</v>
      </c>
      <c r="AV170" s="1623">
        <v>4300.8729999999996</v>
      </c>
      <c r="AW170" s="1623">
        <v>231.9395570339</v>
      </c>
      <c r="AX170" s="1623">
        <v>335.69</v>
      </c>
      <c r="AY170" s="1623">
        <v>56.009665320000003</v>
      </c>
      <c r="AZ170" s="1623">
        <v>2256.7429999999999</v>
      </c>
      <c r="BA170" s="1623">
        <v>94.920373207599994</v>
      </c>
      <c r="BB170" s="1623">
        <v>1667.722</v>
      </c>
      <c r="BC170" s="1623">
        <v>52.721920479999994</v>
      </c>
      <c r="BD170" s="1623">
        <v>1340.3969999999999</v>
      </c>
      <c r="BE170" s="1623">
        <v>61.987700750000002</v>
      </c>
      <c r="BF170" s="1625">
        <v>1.3680000000000001</v>
      </c>
      <c r="BG170" s="1624">
        <v>8.0851000000000006E-2</v>
      </c>
      <c r="BH170" s="1623">
        <v>366.67500000000001</v>
      </c>
      <c r="BI170" s="1630">
        <v>18.9409667563</v>
      </c>
      <c r="BJ170" s="1624">
        <v>1.552</v>
      </c>
      <c r="BK170" s="1624">
        <v>0.34563593599999998</v>
      </c>
      <c r="BL170" s="1623">
        <v>365.12299999999999</v>
      </c>
      <c r="BM170" s="1630">
        <v>18.595330820272</v>
      </c>
    </row>
    <row r="171" spans="1:65">
      <c r="A171" s="1627" t="s">
        <v>27</v>
      </c>
      <c r="B171" s="1622">
        <v>11092.96</v>
      </c>
      <c r="C171" s="1622">
        <v>6764.7520000000004</v>
      </c>
      <c r="D171" s="1622">
        <v>3459.8939999999998</v>
      </c>
      <c r="E171" s="1622">
        <v>2663.8429999999998</v>
      </c>
      <c r="F171" s="1622">
        <v>3638.4209999999998</v>
      </c>
      <c r="G171" s="1622">
        <v>1330.8019999999999</v>
      </c>
      <c r="H171" s="1622">
        <v>33414.995000000003</v>
      </c>
      <c r="I171" s="1622">
        <v>3430.0212674999998</v>
      </c>
      <c r="J171" s="1622">
        <v>8431.8780000000006</v>
      </c>
      <c r="K171" s="1622">
        <v>1970.00581287</v>
      </c>
      <c r="L171" s="1622">
        <v>25.111000000000001</v>
      </c>
      <c r="M171" s="1622">
        <v>103.97690391</v>
      </c>
      <c r="N171" s="1622">
        <v>5.2350000000000003</v>
      </c>
      <c r="O171" s="1622">
        <v>1.2780817600000001</v>
      </c>
      <c r="P171" s="1622">
        <v>10221.950999999999</v>
      </c>
      <c r="Q171" s="1622">
        <v>349.01427107000001</v>
      </c>
      <c r="R171" s="1622">
        <v>7573.152</v>
      </c>
      <c r="S171" s="1622">
        <v>220.59133738999998</v>
      </c>
      <c r="T171" s="1622">
        <v>10718.929</v>
      </c>
      <c r="U171" s="1622">
        <v>826.39384103999998</v>
      </c>
      <c r="V171" s="1622">
        <v>29.445</v>
      </c>
      <c r="W171" s="1626">
        <v>0.92698000000000003</v>
      </c>
      <c r="X171" s="1623">
        <v>3982.4459999999999</v>
      </c>
      <c r="Y171" s="1623">
        <v>178.42537684999999</v>
      </c>
      <c r="Z171" s="1623">
        <v>71.738</v>
      </c>
      <c r="AA171" s="1623">
        <v>14.946051689999999</v>
      </c>
      <c r="AB171" s="1623">
        <v>3910.7080000000001</v>
      </c>
      <c r="AC171" s="1623">
        <v>163.47932516</v>
      </c>
      <c r="AD171" s="1623">
        <v>29150.555</v>
      </c>
      <c r="AE171" s="1623">
        <v>3199.5204839500002</v>
      </c>
      <c r="AF171" s="1623">
        <v>8107.8860000000004</v>
      </c>
      <c r="AG171" s="1623">
        <v>1915.73821385</v>
      </c>
      <c r="AH171" s="1623">
        <v>8001.701</v>
      </c>
      <c r="AI171" s="1623">
        <v>359.84437543000001</v>
      </c>
      <c r="AJ171" s="1623">
        <v>5852.2510000000002</v>
      </c>
      <c r="AK171" s="1623">
        <v>165.27984918999999</v>
      </c>
      <c r="AL171" s="1623">
        <v>9402.3250000000007</v>
      </c>
      <c r="AM171" s="1623">
        <v>763.09587162000003</v>
      </c>
      <c r="AN171" s="1623">
        <v>27.363</v>
      </c>
      <c r="AO171" s="1624">
        <v>0.80193000000000003</v>
      </c>
      <c r="AP171" s="1623">
        <v>3611.28</v>
      </c>
      <c r="AQ171" s="1623">
        <v>160.04009305</v>
      </c>
      <c r="AR171" s="1623">
        <v>70.388999999999996</v>
      </c>
      <c r="AS171" s="1623">
        <v>14.648259560000001</v>
      </c>
      <c r="AT171" s="1623">
        <v>3540.8910000000001</v>
      </c>
      <c r="AU171" s="1623">
        <v>145.39183349000001</v>
      </c>
      <c r="AV171" s="1623">
        <v>4264.4399999999996</v>
      </c>
      <c r="AW171" s="1623">
        <v>230.50078354999999</v>
      </c>
      <c r="AX171" s="1623">
        <v>329.22699999999998</v>
      </c>
      <c r="AY171" s="1623">
        <v>55.545680779999998</v>
      </c>
      <c r="AZ171" s="1623">
        <v>2245.3609999999999</v>
      </c>
      <c r="BA171" s="1623">
        <v>93.146799549999997</v>
      </c>
      <c r="BB171" s="1623">
        <v>1720.9010000000001</v>
      </c>
      <c r="BC171" s="1623">
        <v>55.311488199999999</v>
      </c>
      <c r="BD171" s="1623">
        <v>1316.604</v>
      </c>
      <c r="BE171" s="1623">
        <v>63.297969420000001</v>
      </c>
      <c r="BF171" s="1625">
        <v>2.0819999999999999</v>
      </c>
      <c r="BG171" s="1624">
        <v>0.12504999999999999</v>
      </c>
      <c r="BH171" s="1623">
        <v>371.166</v>
      </c>
      <c r="BI171" s="1630">
        <v>18.3852838</v>
      </c>
      <c r="BJ171" s="1624">
        <v>1.349</v>
      </c>
      <c r="BK171" s="1624">
        <v>0.29779212999999999</v>
      </c>
      <c r="BL171" s="1623">
        <v>369.81700000000001</v>
      </c>
      <c r="BM171" s="1630">
        <v>18.087491669999999</v>
      </c>
    </row>
    <row r="172" spans="1:65">
      <c r="A172" s="1627" t="s">
        <v>28</v>
      </c>
      <c r="B172" s="1622">
        <v>11291.628000000001</v>
      </c>
      <c r="C172" s="1622">
        <v>7078.5469999999996</v>
      </c>
      <c r="D172" s="1622">
        <v>3513.7379999999998</v>
      </c>
      <c r="E172" s="1622">
        <v>2708.5039999999999</v>
      </c>
      <c r="F172" s="1622">
        <v>3697.1970000000001</v>
      </c>
      <c r="G172" s="1622">
        <v>1372.1890000000001</v>
      </c>
      <c r="H172" s="1622">
        <v>38216.686999999998</v>
      </c>
      <c r="I172" s="1622">
        <v>3774.1957878799999</v>
      </c>
      <c r="J172" s="1622">
        <v>9213.0400000000009</v>
      </c>
      <c r="K172" s="1622">
        <v>2126.0435699099999</v>
      </c>
      <c r="L172" s="1622">
        <v>25.289000000000001</v>
      </c>
      <c r="M172" s="1622">
        <v>107.16197434</v>
      </c>
      <c r="N172" s="1622">
        <v>5.4370000000000003</v>
      </c>
      <c r="O172" s="1622">
        <v>1.2870721700000001</v>
      </c>
      <c r="P172" s="1622">
        <v>11722.448</v>
      </c>
      <c r="Q172" s="1622">
        <v>381.25908609999999</v>
      </c>
      <c r="R172" s="1622">
        <v>8915.473</v>
      </c>
      <c r="S172" s="1622">
        <v>266.53639382</v>
      </c>
      <c r="T172" s="1622">
        <v>12434.041999999999</v>
      </c>
      <c r="U172" s="1622">
        <v>939.84661015999995</v>
      </c>
      <c r="V172" s="1622">
        <v>33.819000000000003</v>
      </c>
      <c r="W172" s="1626">
        <v>1.0526690000000001</v>
      </c>
      <c r="X172" s="1623">
        <v>4782.6120000000001</v>
      </c>
      <c r="Y172" s="1623">
        <v>217.54480620000001</v>
      </c>
      <c r="Z172" s="1623">
        <v>57.521999999999998</v>
      </c>
      <c r="AA172" s="1623">
        <v>15.14315468</v>
      </c>
      <c r="AB172" s="1623">
        <v>4725.09</v>
      </c>
      <c r="AC172" s="1623">
        <v>202.40165151999997</v>
      </c>
      <c r="AD172" s="1623">
        <v>33349.249000000003</v>
      </c>
      <c r="AE172" s="1623">
        <v>3501.68935268</v>
      </c>
      <c r="AF172" s="1623">
        <v>8847.9449999999997</v>
      </c>
      <c r="AG172" s="1623">
        <v>2065.5180365299998</v>
      </c>
      <c r="AH172" s="1623">
        <v>9193.4470000000001</v>
      </c>
      <c r="AI172" s="1623">
        <v>375.35814993000002</v>
      </c>
      <c r="AJ172" s="1623">
        <v>6906.3850000000002</v>
      </c>
      <c r="AK172" s="1623">
        <v>196.08875008000001</v>
      </c>
      <c r="AL172" s="1623">
        <v>10963.992</v>
      </c>
      <c r="AM172" s="1623">
        <v>868.38295631999995</v>
      </c>
      <c r="AN172" s="1623">
        <v>32.454999999999998</v>
      </c>
      <c r="AO172" s="1624">
        <v>0.94962100000000005</v>
      </c>
      <c r="AP172" s="1623">
        <v>4311.41</v>
      </c>
      <c r="AQ172" s="1623">
        <v>191.48058889999999</v>
      </c>
      <c r="AR172" s="1623">
        <v>56.273000000000003</v>
      </c>
      <c r="AS172" s="1623">
        <v>14.795815019999999</v>
      </c>
      <c r="AT172" s="1623">
        <v>4255.1369999999997</v>
      </c>
      <c r="AU172" s="1623">
        <v>176.68477387999999</v>
      </c>
      <c r="AV172" s="1623">
        <v>4867.4380000000001</v>
      </c>
      <c r="AW172" s="1623">
        <v>272.5064352</v>
      </c>
      <c r="AX172" s="1623">
        <v>370.53199999999998</v>
      </c>
      <c r="AY172" s="1623">
        <v>61.812605550000001</v>
      </c>
      <c r="AZ172" s="1623">
        <v>2554.29</v>
      </c>
      <c r="BA172" s="1623">
        <v>113.06291050999999</v>
      </c>
      <c r="BB172" s="1623">
        <v>2009.088</v>
      </c>
      <c r="BC172" s="1623">
        <v>70.44764373999999</v>
      </c>
      <c r="BD172" s="1623">
        <v>1470.05</v>
      </c>
      <c r="BE172" s="1623">
        <v>71.463653840000006</v>
      </c>
      <c r="BF172" s="1625">
        <v>1.3640000000000001</v>
      </c>
      <c r="BG172" s="1624">
        <v>0.103048</v>
      </c>
      <c r="BH172" s="1623">
        <v>471.202</v>
      </c>
      <c r="BI172" s="1630">
        <v>26.064217299999999</v>
      </c>
      <c r="BJ172" s="1624">
        <v>1.2490000000000001</v>
      </c>
      <c r="BK172" s="1624">
        <v>0.34733965999999999</v>
      </c>
      <c r="BL172" s="1623">
        <v>469.95299999999997</v>
      </c>
      <c r="BM172" s="1630">
        <v>25.71687764</v>
      </c>
    </row>
    <row r="173" spans="1:65">
      <c r="A173" s="1627" t="s">
        <v>29</v>
      </c>
      <c r="B173" s="1622">
        <v>11480.316000000001</v>
      </c>
      <c r="C173" s="1622">
        <v>7480.9309999999996</v>
      </c>
      <c r="D173" s="1622">
        <v>3469.1590000000001</v>
      </c>
      <c r="E173" s="1622">
        <v>2627.3690000000001</v>
      </c>
      <c r="F173" s="1622">
        <v>3974.317</v>
      </c>
      <c r="G173" s="1622">
        <v>1409.471</v>
      </c>
      <c r="H173" s="1622">
        <v>42180.107000000004</v>
      </c>
      <c r="I173" s="1622">
        <v>4376.8108327299997</v>
      </c>
      <c r="J173" s="1622">
        <v>10779.582</v>
      </c>
      <c r="K173" s="1622">
        <v>2533.7316969100002</v>
      </c>
      <c r="L173" s="1622">
        <v>32.832999999999998</v>
      </c>
      <c r="M173" s="1622">
        <v>132.05014027999999</v>
      </c>
      <c r="N173" s="1622">
        <v>7.2679999999999998</v>
      </c>
      <c r="O173" s="1622">
        <v>1.80859671</v>
      </c>
      <c r="P173" s="1622">
        <v>12488.913</v>
      </c>
      <c r="Q173" s="1622">
        <v>426.02968558999999</v>
      </c>
      <c r="R173" s="1622">
        <v>9492.5370000000003</v>
      </c>
      <c r="S173" s="1622">
        <v>308.20065402999995</v>
      </c>
      <c r="T173" s="1622">
        <v>13940.346</v>
      </c>
      <c r="U173" s="1622">
        <v>1078.21292784</v>
      </c>
      <c r="V173" s="1622">
        <v>34.338000000000001</v>
      </c>
      <c r="W173" s="1626">
        <v>1.061928</v>
      </c>
      <c r="X173" s="1623">
        <v>4896.8270000000002</v>
      </c>
      <c r="Y173" s="1623">
        <v>203.91585739999999</v>
      </c>
      <c r="Z173" s="1623">
        <v>55.395000000000003</v>
      </c>
      <c r="AA173" s="1623">
        <v>14.8330704</v>
      </c>
      <c r="AB173" s="1623">
        <v>4841.4319999999998</v>
      </c>
      <c r="AC173" s="1623">
        <v>189.082787</v>
      </c>
      <c r="AD173" s="1623">
        <v>37046.955999999998</v>
      </c>
      <c r="AE173" s="1623">
        <v>4091.26604232</v>
      </c>
      <c r="AF173" s="1623">
        <v>10401.056</v>
      </c>
      <c r="AG173" s="1623">
        <v>2469.5619609</v>
      </c>
      <c r="AH173" s="1623">
        <v>9837.7150000000001</v>
      </c>
      <c r="AI173" s="1623">
        <v>442.11961231999999</v>
      </c>
      <c r="AJ173" s="1623">
        <v>7312.1480000000001</v>
      </c>
      <c r="AK173" s="1623">
        <v>230.28897424000002</v>
      </c>
      <c r="AL173" s="1623">
        <v>12355.31</v>
      </c>
      <c r="AM173" s="1623">
        <v>997.06281081999998</v>
      </c>
      <c r="AN173" s="1623">
        <v>32.956000000000003</v>
      </c>
      <c r="AO173" s="1624">
        <v>0.94473300000000004</v>
      </c>
      <c r="AP173" s="1623">
        <v>4419.9189999999999</v>
      </c>
      <c r="AQ173" s="1623">
        <v>181.57692528000001</v>
      </c>
      <c r="AR173" s="1623">
        <v>54.222000000000001</v>
      </c>
      <c r="AS173" s="1623">
        <v>14.567045439999999</v>
      </c>
      <c r="AT173" s="1623">
        <v>4365.6970000000001</v>
      </c>
      <c r="AU173" s="1623">
        <v>167.00987984</v>
      </c>
      <c r="AV173" s="1623">
        <v>5133.1509999999998</v>
      </c>
      <c r="AW173" s="1623">
        <v>285.54479041000002</v>
      </c>
      <c r="AX173" s="1623">
        <v>385.79399999999998</v>
      </c>
      <c r="AY173" s="1623">
        <v>65.978332719999997</v>
      </c>
      <c r="AZ173" s="1623">
        <v>2684.0309999999999</v>
      </c>
      <c r="BA173" s="1623">
        <v>115.96021355000001</v>
      </c>
      <c r="BB173" s="1623">
        <v>2180.3890000000001</v>
      </c>
      <c r="BC173" s="1623">
        <v>77.911679790000008</v>
      </c>
      <c r="BD173" s="1623">
        <v>1585.0360000000001</v>
      </c>
      <c r="BE173" s="1623">
        <v>81.150117019999996</v>
      </c>
      <c r="BF173" s="1625">
        <v>1.3819999999999999</v>
      </c>
      <c r="BG173" s="1624">
        <v>0.11719499999999999</v>
      </c>
      <c r="BH173" s="1623">
        <v>476.90800000000002</v>
      </c>
      <c r="BI173" s="1630">
        <v>22.338932119999999</v>
      </c>
      <c r="BJ173" s="1624">
        <v>1.173</v>
      </c>
      <c r="BK173" s="1624">
        <v>0.26602496000000003</v>
      </c>
      <c r="BL173" s="1623">
        <v>475.73500000000001</v>
      </c>
      <c r="BM173" s="1630">
        <v>22.07290716</v>
      </c>
    </row>
    <row r="174" spans="1:65">
      <c r="A174" s="1629" t="s">
        <v>2827</v>
      </c>
      <c r="B174" s="1628">
        <v>13630.909</v>
      </c>
      <c r="C174" s="1628">
        <v>9833.4719999999998</v>
      </c>
      <c r="D174" s="1628">
        <v>3547.4850000000001</v>
      </c>
      <c r="E174" s="1628">
        <v>2758.7310000000002</v>
      </c>
      <c r="F174" s="1628">
        <v>5501.5360000000001</v>
      </c>
      <c r="G174" s="1628">
        <v>1823.1569999999999</v>
      </c>
      <c r="H174" s="1628">
        <f t="shared" ref="H174:AM174" si="35">SUM(H175:H186)</f>
        <v>644573.30700000015</v>
      </c>
      <c r="I174" s="1628">
        <f t="shared" si="35"/>
        <v>59026.833436930989</v>
      </c>
      <c r="J174" s="1628">
        <f t="shared" si="35"/>
        <v>128527.67900000002</v>
      </c>
      <c r="K174" s="1628">
        <f t="shared" si="35"/>
        <v>30505.104257899999</v>
      </c>
      <c r="L174" s="1628">
        <f t="shared" si="35"/>
        <v>367.02199999999999</v>
      </c>
      <c r="M174" s="1628">
        <f t="shared" si="35"/>
        <v>1563.2154236300003</v>
      </c>
      <c r="N174" s="1628">
        <f t="shared" si="35"/>
        <v>40.481999999999999</v>
      </c>
      <c r="O174" s="1628">
        <f t="shared" si="35"/>
        <v>12.26667542</v>
      </c>
      <c r="P174" s="1628">
        <f t="shared" si="35"/>
        <v>199137.16300000003</v>
      </c>
      <c r="Q174" s="1628">
        <f t="shared" si="35"/>
        <v>5808.4467218699992</v>
      </c>
      <c r="R174" s="1628">
        <f t="shared" si="35"/>
        <v>183243.723</v>
      </c>
      <c r="S174" s="1628">
        <f t="shared" si="35"/>
        <v>4895.8786656999991</v>
      </c>
      <c r="T174" s="1628">
        <f t="shared" si="35"/>
        <v>261003.11900000001</v>
      </c>
      <c r="U174" s="1628">
        <f t="shared" si="35"/>
        <v>18515.646486130001</v>
      </c>
      <c r="V174" s="1628">
        <f t="shared" si="35"/>
        <v>570.82100000000003</v>
      </c>
      <c r="W174" s="1628">
        <f t="shared" si="35"/>
        <v>28.943074520000003</v>
      </c>
      <c r="X174" s="1628">
        <f t="shared" si="35"/>
        <v>54927.021000000008</v>
      </c>
      <c r="Y174" s="1628">
        <f t="shared" si="35"/>
        <v>2593.2107974610003</v>
      </c>
      <c r="Z174" s="1628">
        <f t="shared" si="35"/>
        <v>608.27499999999998</v>
      </c>
      <c r="AA174" s="1628">
        <f t="shared" si="35"/>
        <v>174.88075451100002</v>
      </c>
      <c r="AB174" s="1628">
        <f t="shared" si="35"/>
        <v>54318.746000000006</v>
      </c>
      <c r="AC174" s="1628">
        <f t="shared" si="35"/>
        <v>2418.33004295</v>
      </c>
      <c r="AD174" s="1628">
        <f t="shared" si="35"/>
        <v>563770.25099999993</v>
      </c>
      <c r="AE174" s="1628">
        <f t="shared" si="35"/>
        <v>54694.229661910991</v>
      </c>
      <c r="AF174" s="1628">
        <f t="shared" si="35"/>
        <v>123309.163</v>
      </c>
      <c r="AG174" s="1628">
        <f t="shared" si="35"/>
        <v>29558.392386289997</v>
      </c>
      <c r="AH174" s="1628">
        <f t="shared" si="35"/>
        <v>157613.95599999998</v>
      </c>
      <c r="AI174" s="1628">
        <f t="shared" si="35"/>
        <v>5763.2596598600003</v>
      </c>
      <c r="AJ174" s="1628">
        <f t="shared" si="35"/>
        <v>144864.12900000002</v>
      </c>
      <c r="AK174" s="1628">
        <f t="shared" si="35"/>
        <v>3636.6820927499998</v>
      </c>
      <c r="AL174" s="1628">
        <f t="shared" si="35"/>
        <v>232762.97999999998</v>
      </c>
      <c r="AM174" s="1628">
        <f t="shared" si="35"/>
        <v>17026.997571309999</v>
      </c>
      <c r="AN174" s="1628">
        <f t="shared" ref="AN174:BM174" si="36">SUM(AN175:AN186)</f>
        <v>543.06399999999996</v>
      </c>
      <c r="AO174" s="1635">
        <f t="shared" si="36"/>
        <v>26.813233519999997</v>
      </c>
      <c r="AP174" s="1628">
        <f t="shared" si="36"/>
        <v>49541.088000000003</v>
      </c>
      <c r="AQ174" s="1628">
        <f t="shared" si="36"/>
        <v>2318.7668109309998</v>
      </c>
      <c r="AR174" s="1628">
        <f t="shared" si="36"/>
        <v>592.41800000000001</v>
      </c>
      <c r="AS174" s="1628">
        <f t="shared" si="36"/>
        <v>170.80065047099998</v>
      </c>
      <c r="AT174" s="1628">
        <f t="shared" si="36"/>
        <v>48948.670000000006</v>
      </c>
      <c r="AU174" s="1628">
        <f t="shared" si="36"/>
        <v>2147.9661604600001</v>
      </c>
      <c r="AV174" s="1628">
        <f t="shared" si="36"/>
        <v>80803.055999999997</v>
      </c>
      <c r="AW174" s="1628">
        <f t="shared" si="36"/>
        <v>4332.6037750200003</v>
      </c>
      <c r="AX174" s="1628">
        <f t="shared" si="36"/>
        <v>5258.9979999999996</v>
      </c>
      <c r="AY174" s="1628">
        <f t="shared" si="36"/>
        <v>958.97854702999985</v>
      </c>
      <c r="AZ174" s="1628">
        <f t="shared" si="36"/>
        <v>41890.228999999999</v>
      </c>
      <c r="BA174" s="1628">
        <f t="shared" si="36"/>
        <v>1608.4024856400001</v>
      </c>
      <c r="BB174" s="1628">
        <f t="shared" si="36"/>
        <v>38379.593999999997</v>
      </c>
      <c r="BC174" s="1628">
        <f t="shared" si="36"/>
        <v>1259.19657295</v>
      </c>
      <c r="BD174" s="1628">
        <f t="shared" si="36"/>
        <v>28240.139000000003</v>
      </c>
      <c r="BE174" s="1628">
        <f t="shared" si="36"/>
        <v>1488.6489148199998</v>
      </c>
      <c r="BF174" s="1552">
        <f t="shared" si="36"/>
        <v>27.756999999999998</v>
      </c>
      <c r="BG174" s="1635">
        <f t="shared" si="36"/>
        <v>2.1298409999999999</v>
      </c>
      <c r="BH174" s="1628">
        <f t="shared" si="36"/>
        <v>5385.9330000000009</v>
      </c>
      <c r="BI174" s="1628">
        <f t="shared" si="36"/>
        <v>274.44398653000002</v>
      </c>
      <c r="BJ174" s="1635">
        <f t="shared" si="36"/>
        <v>15.856999999999999</v>
      </c>
      <c r="BK174" s="1635">
        <f t="shared" si="36"/>
        <v>4.0801040400000002</v>
      </c>
      <c r="BL174" s="1628">
        <f t="shared" si="36"/>
        <v>5370.0760000000009</v>
      </c>
      <c r="BM174" s="1628">
        <f t="shared" si="36"/>
        <v>270.36388248999998</v>
      </c>
    </row>
    <row r="175" spans="1:65">
      <c r="A175" s="1627" t="s">
        <v>18</v>
      </c>
      <c r="B175" s="1622">
        <v>11682.848</v>
      </c>
      <c r="C175" s="1622">
        <v>7772.3689999999997</v>
      </c>
      <c r="D175" s="1622">
        <v>3463.7759999999998</v>
      </c>
      <c r="E175" s="1622">
        <v>2613.3919999999998</v>
      </c>
      <c r="F175" s="1622">
        <v>4165.5569999999998</v>
      </c>
      <c r="G175" s="1622">
        <v>1440.123</v>
      </c>
      <c r="H175" s="1622">
        <v>38349.377</v>
      </c>
      <c r="I175" s="1622">
        <v>3488.0312433099998</v>
      </c>
      <c r="J175" s="1622">
        <v>8504.1779999999999</v>
      </c>
      <c r="K175" s="1622">
        <v>1899.0755959999999</v>
      </c>
      <c r="L175" s="1622">
        <v>20.167999999999999</v>
      </c>
      <c r="M175" s="1622">
        <v>95.359961499999997</v>
      </c>
      <c r="N175" s="1622">
        <v>5.4619999999999997</v>
      </c>
      <c r="O175" s="1622">
        <v>1.3356915</v>
      </c>
      <c r="P175" s="1622">
        <v>12365.101000000001</v>
      </c>
      <c r="Q175" s="1622">
        <v>384.29648859000002</v>
      </c>
      <c r="R175" s="1622">
        <v>9810.8449999999993</v>
      </c>
      <c r="S175" s="1622">
        <v>288.06172029999999</v>
      </c>
      <c r="T175" s="1622">
        <v>13043.338</v>
      </c>
      <c r="U175" s="1622">
        <v>921.45927859000005</v>
      </c>
      <c r="V175" s="1622">
        <v>27.875</v>
      </c>
      <c r="W175" s="1626">
        <v>1.1149309999999999</v>
      </c>
      <c r="X175" s="1623">
        <v>4383.2550000000001</v>
      </c>
      <c r="Y175" s="1623">
        <v>185.38929612999999</v>
      </c>
      <c r="Z175" s="1623">
        <v>51.164000000000001</v>
      </c>
      <c r="AA175" s="1623">
        <v>13.782137499999999</v>
      </c>
      <c r="AB175" s="1623">
        <v>4332.0910000000003</v>
      </c>
      <c r="AC175" s="1623">
        <v>171.60715862999999</v>
      </c>
      <c r="AD175" s="1623">
        <v>33070.915000000001</v>
      </c>
      <c r="AE175" s="1623">
        <v>3212.35673645</v>
      </c>
      <c r="AF175" s="1623">
        <v>8114.8069999999998</v>
      </c>
      <c r="AG175" s="1623">
        <v>1838.83229491</v>
      </c>
      <c r="AH175" s="1623">
        <v>9536.9060000000009</v>
      </c>
      <c r="AI175" s="1623">
        <v>368.64497467000001</v>
      </c>
      <c r="AJ175" s="1623">
        <v>7470.3810000000003</v>
      </c>
      <c r="AK175" s="1623">
        <v>209.50061803999998</v>
      </c>
      <c r="AL175" s="1623">
        <v>11424.79</v>
      </c>
      <c r="AM175" s="1623">
        <v>839.59732544999997</v>
      </c>
      <c r="AN175" s="1623">
        <v>25.974</v>
      </c>
      <c r="AO175" s="1624">
        <v>1.0075940000000001</v>
      </c>
      <c r="AP175" s="1623">
        <v>3968.4380000000001</v>
      </c>
      <c r="AQ175" s="1623">
        <v>164.27454742</v>
      </c>
      <c r="AR175" s="1623">
        <v>50.015000000000001</v>
      </c>
      <c r="AS175" s="1623">
        <v>13.496009039999999</v>
      </c>
      <c r="AT175" s="1623">
        <v>3918.4229999999998</v>
      </c>
      <c r="AU175" s="1623">
        <v>150.77853837999999</v>
      </c>
      <c r="AV175" s="1623">
        <v>5278.4620000000004</v>
      </c>
      <c r="AW175" s="1623">
        <v>275.67450686000001</v>
      </c>
      <c r="AX175" s="1623">
        <v>394.83300000000003</v>
      </c>
      <c r="AY175" s="1623">
        <v>61.578992589999999</v>
      </c>
      <c r="AZ175" s="1623">
        <v>2848.3629999999998</v>
      </c>
      <c r="BA175" s="1623">
        <v>111.01147542</v>
      </c>
      <c r="BB175" s="1623">
        <v>2340.4639999999999</v>
      </c>
      <c r="BC175" s="1623">
        <v>78.561102259999998</v>
      </c>
      <c r="BD175" s="1623">
        <v>1618.548</v>
      </c>
      <c r="BE175" s="1623">
        <v>81.861953139999997</v>
      </c>
      <c r="BF175" s="1625">
        <v>1.901</v>
      </c>
      <c r="BG175" s="1624">
        <v>0.107337</v>
      </c>
      <c r="BH175" s="1623">
        <v>414.81700000000001</v>
      </c>
      <c r="BI175" s="1622">
        <v>21.114748710000001</v>
      </c>
      <c r="BJ175" s="1624">
        <v>1.149</v>
      </c>
      <c r="BK175" s="1624">
        <v>0.28612846000000003</v>
      </c>
      <c r="BL175" s="1623">
        <v>413.66800000000001</v>
      </c>
      <c r="BM175" s="1622">
        <v>20.82862025</v>
      </c>
    </row>
    <row r="176" spans="1:65">
      <c r="A176" s="1627" t="s">
        <v>19</v>
      </c>
      <c r="B176" s="1622">
        <v>11940.005999999999</v>
      </c>
      <c r="C176" s="1622">
        <v>8002.0680000000002</v>
      </c>
      <c r="D176" s="1622">
        <v>3520.31</v>
      </c>
      <c r="E176" s="1622">
        <v>2635.5509999999999</v>
      </c>
      <c r="F176" s="1622">
        <v>4322.6710000000003</v>
      </c>
      <c r="G176" s="1622">
        <v>1461.4739999999999</v>
      </c>
      <c r="H176" s="1622">
        <v>39729.972000000002</v>
      </c>
      <c r="I176" s="1622">
        <v>3847.38703485</v>
      </c>
      <c r="J176" s="1622">
        <v>9364.777</v>
      </c>
      <c r="K176" s="1622">
        <v>2200.35073083</v>
      </c>
      <c r="L176" s="1622">
        <v>25.34</v>
      </c>
      <c r="M176" s="1622">
        <v>93.10026139</v>
      </c>
      <c r="N176" s="1622">
        <v>3.4359999999999999</v>
      </c>
      <c r="O176" s="1622">
        <v>0.86426585</v>
      </c>
      <c r="P176" s="1622">
        <v>12347.332</v>
      </c>
      <c r="Q176" s="1622">
        <v>361.15475957000001</v>
      </c>
      <c r="R176" s="1622">
        <v>10178.638000000001</v>
      </c>
      <c r="S176" s="1622">
        <v>287.31922586000002</v>
      </c>
      <c r="T176" s="1622">
        <v>13981.749</v>
      </c>
      <c r="U176" s="1622">
        <v>1029.3875708999999</v>
      </c>
      <c r="V176" s="1622">
        <v>31.303000000000001</v>
      </c>
      <c r="W176" s="1626">
        <v>1.1871499999999999</v>
      </c>
      <c r="X176" s="1623">
        <v>3976.0349999999999</v>
      </c>
      <c r="Y176" s="1623">
        <v>161.34229630999999</v>
      </c>
      <c r="Z176" s="1623">
        <v>42.122999999999998</v>
      </c>
      <c r="AA176" s="1623">
        <v>13.524073449999999</v>
      </c>
      <c r="AB176" s="1623">
        <v>3933.9119999999998</v>
      </c>
      <c r="AC176" s="1623">
        <v>147.81822286000002</v>
      </c>
      <c r="AD176" s="1623">
        <v>34324.188999999998</v>
      </c>
      <c r="AE176" s="1623">
        <v>3567.1879588900001</v>
      </c>
      <c r="AF176" s="1623">
        <v>8987.0959999999995</v>
      </c>
      <c r="AG176" s="1623">
        <v>2137.7726566400002</v>
      </c>
      <c r="AH176" s="1623">
        <v>9677.4120000000003</v>
      </c>
      <c r="AI176" s="1623">
        <v>353.86883983000001</v>
      </c>
      <c r="AJ176" s="1623">
        <v>7767.9059999999999</v>
      </c>
      <c r="AK176" s="1623">
        <v>211.10113030000002</v>
      </c>
      <c r="AL176" s="1623">
        <v>12032.067999999999</v>
      </c>
      <c r="AM176" s="1623">
        <v>929.09694493999996</v>
      </c>
      <c r="AN176" s="1623">
        <v>28.431999999999999</v>
      </c>
      <c r="AO176" s="1624">
        <v>1.0412859999999999</v>
      </c>
      <c r="AP176" s="1623">
        <v>3599.181</v>
      </c>
      <c r="AQ176" s="1623">
        <v>145.40823148000001</v>
      </c>
      <c r="AR176" s="1623">
        <v>41.158000000000001</v>
      </c>
      <c r="AS176" s="1623">
        <v>13.28718376</v>
      </c>
      <c r="AT176" s="1623">
        <v>3558.0230000000001</v>
      </c>
      <c r="AU176" s="1623">
        <v>132.12104772000001</v>
      </c>
      <c r="AV176" s="1623">
        <v>5405.7830000000004</v>
      </c>
      <c r="AW176" s="1623">
        <v>280.19907596000002</v>
      </c>
      <c r="AX176" s="1623">
        <v>381.11700000000002</v>
      </c>
      <c r="AY176" s="1623">
        <v>63.442340039999998</v>
      </c>
      <c r="AZ176" s="1623">
        <v>2695.26</v>
      </c>
      <c r="BA176" s="1623">
        <v>100.38618113</v>
      </c>
      <c r="BB176" s="1623">
        <v>2410.732</v>
      </c>
      <c r="BC176" s="1623">
        <v>76.218095560000009</v>
      </c>
      <c r="BD176" s="1623">
        <v>1949.681</v>
      </c>
      <c r="BE176" s="1623">
        <v>100.29062596</v>
      </c>
      <c r="BF176" s="1625">
        <v>2.871</v>
      </c>
      <c r="BG176" s="1624">
        <v>0.14586399999999999</v>
      </c>
      <c r="BH176" s="1623">
        <v>376.85399999999998</v>
      </c>
      <c r="BI176" s="1622">
        <v>15.934064830000001</v>
      </c>
      <c r="BJ176" s="1624">
        <v>0.96499999999999997</v>
      </c>
      <c r="BK176" s="1624">
        <v>0.23688969000000001</v>
      </c>
      <c r="BL176" s="1623">
        <v>375.88900000000001</v>
      </c>
      <c r="BM176" s="1622">
        <v>15.697175140000001</v>
      </c>
    </row>
    <row r="177" spans="1:65">
      <c r="A177" s="1627" t="s">
        <v>20</v>
      </c>
      <c r="B177" s="1622">
        <v>12178.953</v>
      </c>
      <c r="C177" s="1622">
        <v>8289.8960000000006</v>
      </c>
      <c r="D177" s="1622">
        <v>3570.1489999999999</v>
      </c>
      <c r="E177" s="1622">
        <v>2646.7840000000001</v>
      </c>
      <c r="F177" s="1622">
        <v>4453.1180000000004</v>
      </c>
      <c r="G177" s="1622">
        <v>1508.902</v>
      </c>
      <c r="H177" s="1622">
        <v>47789.195</v>
      </c>
      <c r="I177" s="1622">
        <v>4465.16994995</v>
      </c>
      <c r="J177" s="1622">
        <v>10799.087</v>
      </c>
      <c r="K177" s="1622">
        <v>2464.5967803200001</v>
      </c>
      <c r="L177" s="1622">
        <v>29.812999999999999</v>
      </c>
      <c r="M177" s="1622">
        <v>114.35463007</v>
      </c>
      <c r="N177" s="1622">
        <v>6.9980000000000002</v>
      </c>
      <c r="O177" s="1622">
        <v>1.7452753999999999</v>
      </c>
      <c r="P177" s="1622">
        <v>13565.433999999999</v>
      </c>
      <c r="Q177" s="1622">
        <v>443.01989438999999</v>
      </c>
      <c r="R177" s="1622">
        <v>12412.120999999999</v>
      </c>
      <c r="S177" s="1622">
        <v>359.64130383999998</v>
      </c>
      <c r="T177" s="1622">
        <v>18935.584999999999</v>
      </c>
      <c r="U177" s="1622">
        <v>1255.6446458</v>
      </c>
      <c r="V177" s="1622">
        <v>30.786999999999999</v>
      </c>
      <c r="W177" s="1626">
        <v>1.158344</v>
      </c>
      <c r="X177" s="1623">
        <v>4421.491</v>
      </c>
      <c r="Y177" s="1623">
        <v>184.65037996999999</v>
      </c>
      <c r="Z177" s="1623">
        <v>48.335999999999999</v>
      </c>
      <c r="AA177" s="1623">
        <v>12.401784060000001</v>
      </c>
      <c r="AB177" s="1623">
        <v>4373.1549999999997</v>
      </c>
      <c r="AC177" s="1623">
        <v>172.24859591000001</v>
      </c>
      <c r="AD177" s="1623">
        <v>41820.373</v>
      </c>
      <c r="AE177" s="1623">
        <v>4149.4503916200001</v>
      </c>
      <c r="AF177" s="1623">
        <v>10401.466</v>
      </c>
      <c r="AG177" s="1623">
        <v>2403.2582567300001</v>
      </c>
      <c r="AH177" s="1623">
        <v>10494.329</v>
      </c>
      <c r="AI177" s="1623">
        <v>428.44242699</v>
      </c>
      <c r="AJ177" s="1623">
        <v>9613.1049999999996</v>
      </c>
      <c r="AK177" s="1623">
        <v>260.03635781000003</v>
      </c>
      <c r="AL177" s="1623">
        <v>16913.564999999999</v>
      </c>
      <c r="AM177" s="1623">
        <v>1155.0434061000001</v>
      </c>
      <c r="AN177" s="1623">
        <v>28.704999999999998</v>
      </c>
      <c r="AO177" s="1624">
        <v>1.044035</v>
      </c>
      <c r="AP177" s="1623">
        <v>3982.308</v>
      </c>
      <c r="AQ177" s="1623">
        <v>161.6622668</v>
      </c>
      <c r="AR177" s="1623">
        <v>46.899000000000001</v>
      </c>
      <c r="AS177" s="1623">
        <v>12.001833830000001</v>
      </c>
      <c r="AT177" s="1623">
        <v>3935.4090000000001</v>
      </c>
      <c r="AU177" s="1623">
        <v>149.66043296999999</v>
      </c>
      <c r="AV177" s="1623">
        <v>5968.8220000000001</v>
      </c>
      <c r="AW177" s="1623">
        <v>315.71955832999998</v>
      </c>
      <c r="AX177" s="1623">
        <v>404.61900000000003</v>
      </c>
      <c r="AY177" s="1623">
        <v>63.083798989999998</v>
      </c>
      <c r="AZ177" s="1623">
        <v>3100.9180000000001</v>
      </c>
      <c r="BA177" s="1623">
        <v>128.93209747</v>
      </c>
      <c r="BB177" s="1623">
        <v>2799.0160000000001</v>
      </c>
      <c r="BC177" s="1623">
        <v>99.604946030000008</v>
      </c>
      <c r="BD177" s="1623">
        <v>2022.02</v>
      </c>
      <c r="BE177" s="1623">
        <v>100.60123969999999</v>
      </c>
      <c r="BF177" s="1625">
        <v>2.0819999999999999</v>
      </c>
      <c r="BG177" s="1624">
        <v>0.11430899999999999</v>
      </c>
      <c r="BH177" s="1623">
        <v>439.18299999999999</v>
      </c>
      <c r="BI177" s="1622">
        <v>22.988113169999998</v>
      </c>
      <c r="BJ177" s="1624">
        <v>1.4370000000000001</v>
      </c>
      <c r="BK177" s="1624">
        <v>0.39995022999999996</v>
      </c>
      <c r="BL177" s="1623">
        <v>437.74599999999998</v>
      </c>
      <c r="BM177" s="1622">
        <v>22.588162939999997</v>
      </c>
    </row>
    <row r="178" spans="1:65">
      <c r="A178" s="1627" t="s">
        <v>21</v>
      </c>
      <c r="B178" s="1622">
        <v>12310.733</v>
      </c>
      <c r="C178" s="1622">
        <v>8474.1239999999998</v>
      </c>
      <c r="D178" s="1622">
        <v>3558.5070000000001</v>
      </c>
      <c r="E178" s="1622">
        <v>2672.5219999999999</v>
      </c>
      <c r="F178" s="1622">
        <v>4547.201</v>
      </c>
      <c r="G178" s="1622">
        <v>1532.5029999999999</v>
      </c>
      <c r="H178" s="1622">
        <v>45483.639000000003</v>
      </c>
      <c r="I178" s="1622">
        <v>4240.9656866300002</v>
      </c>
      <c r="J178" s="1622">
        <v>9805.94</v>
      </c>
      <c r="K178" s="1622">
        <v>2273.0891979100002</v>
      </c>
      <c r="L178" s="1622">
        <v>32.103999999999999</v>
      </c>
      <c r="M178" s="1622">
        <v>127.39126668999999</v>
      </c>
      <c r="N178" s="1622">
        <v>3.4889999999999999</v>
      </c>
      <c r="O178" s="1622">
        <v>0.86773403999999998</v>
      </c>
      <c r="P178" s="1622">
        <v>13004.019</v>
      </c>
      <c r="Q178" s="1622">
        <v>387.02639916999999</v>
      </c>
      <c r="R178" s="1622">
        <v>11971.075999999999</v>
      </c>
      <c r="S178" s="1622">
        <v>318.89720435999999</v>
      </c>
      <c r="T178" s="1622">
        <v>18301.97</v>
      </c>
      <c r="U178" s="1622">
        <v>1286.86953608</v>
      </c>
      <c r="V178" s="1622">
        <v>37.438000000000002</v>
      </c>
      <c r="W178" s="1626">
        <v>1.3979809999999999</v>
      </c>
      <c r="X178" s="1623">
        <v>4298.6790000000001</v>
      </c>
      <c r="Y178" s="1623">
        <v>164.32357174000001</v>
      </c>
      <c r="Z178" s="1623">
        <v>42.338999999999999</v>
      </c>
      <c r="AA178" s="1623">
        <v>10.598525130000001</v>
      </c>
      <c r="AB178" s="1623">
        <v>4256.34</v>
      </c>
      <c r="AC178" s="1623">
        <v>153.72504661000002</v>
      </c>
      <c r="AD178" s="1623">
        <v>39561.716</v>
      </c>
      <c r="AE178" s="1623">
        <v>3933.1946381799999</v>
      </c>
      <c r="AF178" s="1623">
        <v>9388.2909999999993</v>
      </c>
      <c r="AG178" s="1623">
        <v>2202.2616562200001</v>
      </c>
      <c r="AH178" s="1623">
        <v>10047.998</v>
      </c>
      <c r="AI178" s="1623">
        <v>404.12444471999999</v>
      </c>
      <c r="AJ178" s="1623">
        <v>9259.65</v>
      </c>
      <c r="AK178" s="1623">
        <v>232.69359758000002</v>
      </c>
      <c r="AL178" s="1623">
        <v>16213.691999999999</v>
      </c>
      <c r="AM178" s="1623">
        <v>1179.67088973</v>
      </c>
      <c r="AN178" s="1623">
        <v>36.130000000000003</v>
      </c>
      <c r="AO178" s="1624">
        <v>1.302959</v>
      </c>
      <c r="AP178" s="1623">
        <v>3875.605</v>
      </c>
      <c r="AQ178" s="1623">
        <v>145.83468851000001</v>
      </c>
      <c r="AR178" s="1623">
        <v>41.158999999999999</v>
      </c>
      <c r="AS178" s="1623">
        <v>10.2760438</v>
      </c>
      <c r="AT178" s="1623">
        <v>3834.4459999999999</v>
      </c>
      <c r="AU178" s="1623">
        <v>135.55864470999998</v>
      </c>
      <c r="AV178" s="1623">
        <v>5921.9229999999998</v>
      </c>
      <c r="AW178" s="1623">
        <v>307.77104845000002</v>
      </c>
      <c r="AX178" s="1623">
        <v>421.13799999999998</v>
      </c>
      <c r="AY178" s="1623">
        <v>71.695275730000006</v>
      </c>
      <c r="AZ178" s="1623">
        <v>2988.125</v>
      </c>
      <c r="BA178" s="1623">
        <v>110.29322114</v>
      </c>
      <c r="BB178" s="1623">
        <v>2711.4259999999999</v>
      </c>
      <c r="BC178" s="1623">
        <v>86.203606780000001</v>
      </c>
      <c r="BD178" s="1623">
        <v>2088.2779999999998</v>
      </c>
      <c r="BE178" s="1623">
        <v>107.19864635</v>
      </c>
      <c r="BF178" s="1625">
        <v>1.3080000000000001</v>
      </c>
      <c r="BG178" s="1624">
        <v>9.5021999999999995E-2</v>
      </c>
      <c r="BH178" s="1623">
        <v>423.07400000000001</v>
      </c>
      <c r="BI178" s="1622">
        <v>18.488883229999999</v>
      </c>
      <c r="BJ178" s="1624">
        <v>1.18</v>
      </c>
      <c r="BK178" s="1624">
        <v>0.32248133000000001</v>
      </c>
      <c r="BL178" s="1623">
        <v>421.89400000000001</v>
      </c>
      <c r="BM178" s="1622">
        <v>18.166401899999997</v>
      </c>
    </row>
    <row r="179" spans="1:65">
      <c r="A179" s="1627" t="s">
        <v>22</v>
      </c>
      <c r="B179" s="1622">
        <v>12430.844999999999</v>
      </c>
      <c r="C179" s="1622">
        <v>8604.91</v>
      </c>
      <c r="D179" s="1622">
        <v>3500.9189999999999</v>
      </c>
      <c r="E179" s="1622">
        <v>2673.0929999999998</v>
      </c>
      <c r="F179" s="1622">
        <v>4702.2089999999998</v>
      </c>
      <c r="G179" s="1622">
        <v>1554.624</v>
      </c>
      <c r="H179" s="1622">
        <v>50481.47</v>
      </c>
      <c r="I179" s="1622">
        <v>4595.4119622199996</v>
      </c>
      <c r="J179" s="1622">
        <v>10831.366</v>
      </c>
      <c r="K179" s="1622">
        <v>2444.4923322200002</v>
      </c>
      <c r="L179" s="1622">
        <v>28.701000000000001</v>
      </c>
      <c r="M179" s="1622">
        <v>118.11384375999999</v>
      </c>
      <c r="N179" s="1622">
        <v>3.0459999999999998</v>
      </c>
      <c r="O179" s="1622">
        <v>0.96534030000000004</v>
      </c>
      <c r="P179" s="1622">
        <v>14620.932000000001</v>
      </c>
      <c r="Q179" s="1622">
        <v>435.66796420999998</v>
      </c>
      <c r="R179" s="1622">
        <v>13540.486999999999</v>
      </c>
      <c r="S179" s="1622">
        <v>375.33324082999997</v>
      </c>
      <c r="T179" s="1622">
        <v>20107.528999999999</v>
      </c>
      <c r="U179" s="1622">
        <v>1389.0101637400001</v>
      </c>
      <c r="V179" s="1622">
        <v>42.095999999999997</v>
      </c>
      <c r="W179" s="1626">
        <v>1.92757658</v>
      </c>
      <c r="X179" s="1623">
        <v>4847.8</v>
      </c>
      <c r="Y179" s="1623">
        <v>205.23474141</v>
      </c>
      <c r="Z179" s="1623">
        <v>49.008000000000003</v>
      </c>
      <c r="AA179" s="1623">
        <v>13.197057019999999</v>
      </c>
      <c r="AB179" s="1623">
        <v>4798.7920000000004</v>
      </c>
      <c r="AC179" s="1623">
        <v>192.03768438999998</v>
      </c>
      <c r="AD179" s="1623">
        <v>44028.892999999996</v>
      </c>
      <c r="AE179" s="1623">
        <v>4244.7931059499997</v>
      </c>
      <c r="AF179" s="1623">
        <v>10392.476000000001</v>
      </c>
      <c r="AG179" s="1623">
        <v>2365.9795961300001</v>
      </c>
      <c r="AH179" s="1623">
        <v>11378.927</v>
      </c>
      <c r="AI179" s="1623">
        <v>424.65907224</v>
      </c>
      <c r="AJ179" s="1623">
        <v>10579.423000000001</v>
      </c>
      <c r="AK179" s="1623">
        <v>275.58346818000001</v>
      </c>
      <c r="AL179" s="1623">
        <v>17836.357</v>
      </c>
      <c r="AM179" s="1623">
        <v>1270.2050738299999</v>
      </c>
      <c r="AN179" s="1623">
        <v>40.737000000000002</v>
      </c>
      <c r="AO179" s="1624">
        <v>1.8350715800000001</v>
      </c>
      <c r="AP179" s="1623">
        <v>4380.3959999999997</v>
      </c>
      <c r="AQ179" s="1623">
        <v>182.11429217</v>
      </c>
      <c r="AR179" s="1623">
        <v>47.719000000000001</v>
      </c>
      <c r="AS179" s="1623">
        <v>12.88390908</v>
      </c>
      <c r="AT179" s="1623">
        <v>4332.6769999999997</v>
      </c>
      <c r="AU179" s="1623">
        <v>169.23038309</v>
      </c>
      <c r="AV179" s="1623">
        <v>6452.5770000000002</v>
      </c>
      <c r="AW179" s="1623">
        <v>350.61885626999998</v>
      </c>
      <c r="AX179" s="1623">
        <v>441.93599999999998</v>
      </c>
      <c r="AY179" s="1623">
        <v>79.478076389999998</v>
      </c>
      <c r="AZ179" s="1623">
        <v>3270.7060000000001</v>
      </c>
      <c r="BA179" s="1623">
        <v>129.12273572999999</v>
      </c>
      <c r="BB179" s="1623">
        <v>2961.0639999999999</v>
      </c>
      <c r="BC179" s="1623">
        <v>99.749772650000011</v>
      </c>
      <c r="BD179" s="1623">
        <v>2271.172</v>
      </c>
      <c r="BE179" s="1623">
        <v>118.80508991000001</v>
      </c>
      <c r="BF179" s="1625">
        <v>1.359</v>
      </c>
      <c r="BG179" s="1624">
        <v>9.2505000000000004E-2</v>
      </c>
      <c r="BH179" s="1623">
        <v>467.404</v>
      </c>
      <c r="BI179" s="1622">
        <v>23.120449239999999</v>
      </c>
      <c r="BJ179" s="1624">
        <v>1.2889999999999999</v>
      </c>
      <c r="BK179" s="1624">
        <v>0.31314794000000001</v>
      </c>
      <c r="BL179" s="1623">
        <v>466.11500000000001</v>
      </c>
      <c r="BM179" s="1622">
        <v>22.807301300000002</v>
      </c>
    </row>
    <row r="180" spans="1:65">
      <c r="A180" s="1627" t="s">
        <v>23</v>
      </c>
      <c r="B180" s="1622">
        <v>12659.495000000001</v>
      </c>
      <c r="C180" s="1622">
        <v>8787.4609999999993</v>
      </c>
      <c r="D180" s="1622">
        <v>3495.5540000000001</v>
      </c>
      <c r="E180" s="1622">
        <v>2694.768</v>
      </c>
      <c r="F180" s="1622">
        <v>4869.7650000000003</v>
      </c>
      <c r="G180" s="1622">
        <v>1599.4079999999999</v>
      </c>
      <c r="H180" s="1622">
        <v>53123.345000000001</v>
      </c>
      <c r="I180" s="1622">
        <v>5061.4637881199997</v>
      </c>
      <c r="J180" s="1622">
        <v>10825.843999999999</v>
      </c>
      <c r="K180" s="1622">
        <v>2676.7735553399998</v>
      </c>
      <c r="L180" s="1622">
        <v>33.338999999999999</v>
      </c>
      <c r="M180" s="1622">
        <v>137.69376105000001</v>
      </c>
      <c r="N180" s="1622">
        <v>2.8929999999999998</v>
      </c>
      <c r="O180" s="1622">
        <v>1.08100145</v>
      </c>
      <c r="P180" s="1622">
        <v>16542.580999999998</v>
      </c>
      <c r="Q180" s="1622">
        <v>484.36786001000002</v>
      </c>
      <c r="R180" s="1622">
        <v>15404.893</v>
      </c>
      <c r="S180" s="1622">
        <v>405.27243092000003</v>
      </c>
      <c r="T180" s="1622">
        <v>21010.518</v>
      </c>
      <c r="U180" s="1622">
        <v>1542.5254190600001</v>
      </c>
      <c r="V180" s="1622">
        <v>42.290999999999997</v>
      </c>
      <c r="W180" s="1626">
        <v>2.32064351</v>
      </c>
      <c r="X180" s="1623">
        <v>4665.8789999999999</v>
      </c>
      <c r="Y180" s="1623">
        <v>216.70154769999999</v>
      </c>
      <c r="Z180" s="1623">
        <v>47.414999999999999</v>
      </c>
      <c r="AA180" s="1623">
        <v>12.819145279999999</v>
      </c>
      <c r="AB180" s="1623">
        <v>4618.4639999999999</v>
      </c>
      <c r="AC180" s="1623">
        <v>203.88240242000001</v>
      </c>
      <c r="AD180" s="1623">
        <v>46045.739000000001</v>
      </c>
      <c r="AE180" s="1623">
        <v>4675.1080835299999</v>
      </c>
      <c r="AF180" s="1623">
        <v>10348.9</v>
      </c>
      <c r="AG180" s="1623">
        <v>2586.5928015200002</v>
      </c>
      <c r="AH180" s="1623">
        <v>12807.216</v>
      </c>
      <c r="AI180" s="1623">
        <v>482.60943308999998</v>
      </c>
      <c r="AJ180" s="1623">
        <v>11954.764999999999</v>
      </c>
      <c r="AK180" s="1623">
        <v>296.22303343999999</v>
      </c>
      <c r="AL180" s="1623">
        <v>18647.085999999999</v>
      </c>
      <c r="AM180" s="1623">
        <v>1411.5142758699999</v>
      </c>
      <c r="AN180" s="1623">
        <v>39.393999999999998</v>
      </c>
      <c r="AO180" s="1624">
        <v>2.1021415099999996</v>
      </c>
      <c r="AP180" s="1623">
        <v>4203.143</v>
      </c>
      <c r="AQ180" s="1623">
        <v>192.28943154000001</v>
      </c>
      <c r="AR180" s="1623">
        <v>45.902999999999999</v>
      </c>
      <c r="AS180" s="1623">
        <v>12.41282891</v>
      </c>
      <c r="AT180" s="1623">
        <v>4157.24</v>
      </c>
      <c r="AU180" s="1623">
        <v>179.87660263000001</v>
      </c>
      <c r="AV180" s="1623">
        <v>7077.6059999999998</v>
      </c>
      <c r="AW180" s="1623">
        <v>386.35570459000002</v>
      </c>
      <c r="AX180" s="1623">
        <v>479.83699999999999</v>
      </c>
      <c r="AY180" s="1623">
        <v>91.261755269999995</v>
      </c>
      <c r="AZ180" s="1623">
        <v>3768.7040000000002</v>
      </c>
      <c r="BA180" s="1623">
        <v>139.45218797000001</v>
      </c>
      <c r="BB180" s="1623">
        <v>3450.1280000000002</v>
      </c>
      <c r="BC180" s="1623">
        <v>109.04939748000001</v>
      </c>
      <c r="BD180" s="1623">
        <v>2363.4319999999998</v>
      </c>
      <c r="BE180" s="1623">
        <v>131.01114319000001</v>
      </c>
      <c r="BF180" s="1625">
        <v>2.8969999999999998</v>
      </c>
      <c r="BG180" s="1624">
        <v>0.218502</v>
      </c>
      <c r="BH180" s="1623">
        <v>462.73599999999999</v>
      </c>
      <c r="BI180" s="1622">
        <v>24.41211616</v>
      </c>
      <c r="BJ180" s="1624">
        <v>1.512</v>
      </c>
      <c r="BK180" s="1624">
        <v>0.40631636999999998</v>
      </c>
      <c r="BL180" s="1623">
        <v>461.22399999999999</v>
      </c>
      <c r="BM180" s="1622">
        <v>24.005799789999998</v>
      </c>
    </row>
    <row r="181" spans="1:65">
      <c r="A181" s="1627" t="s">
        <v>24</v>
      </c>
      <c r="B181" s="1622">
        <v>12843.772000000001</v>
      </c>
      <c r="C181" s="1622">
        <v>9023.74</v>
      </c>
      <c r="D181" s="1622">
        <v>3501.08</v>
      </c>
      <c r="E181" s="1622">
        <v>2717.81</v>
      </c>
      <c r="F181" s="1622">
        <v>4976.5720000000001</v>
      </c>
      <c r="G181" s="1622">
        <v>1648.31</v>
      </c>
      <c r="H181" s="1622">
        <v>52376.264000000003</v>
      </c>
      <c r="I181" s="1622">
        <v>5143.3901576899998</v>
      </c>
      <c r="J181" s="1622">
        <v>10570.517</v>
      </c>
      <c r="K181" s="1622">
        <v>2726.4976840099998</v>
      </c>
      <c r="L181" s="1622">
        <v>33.234000000000002</v>
      </c>
      <c r="M181" s="1622">
        <v>133.51778625</v>
      </c>
      <c r="N181" s="1622">
        <v>2.6429999999999998</v>
      </c>
      <c r="O181" s="1622">
        <v>0.96894566999999998</v>
      </c>
      <c r="P181" s="1622">
        <v>15936.786</v>
      </c>
      <c r="Q181" s="1622">
        <v>467.28128796999999</v>
      </c>
      <c r="R181" s="1622">
        <v>14778.231</v>
      </c>
      <c r="S181" s="1622">
        <v>393.00190177999997</v>
      </c>
      <c r="T181" s="1622">
        <v>21461.796999999999</v>
      </c>
      <c r="U181" s="1622">
        <v>1583.31870005</v>
      </c>
      <c r="V181" s="1622">
        <v>46.936</v>
      </c>
      <c r="W181" s="1626">
        <v>2.9130280000000002</v>
      </c>
      <c r="X181" s="1623">
        <v>4324.3509999999997</v>
      </c>
      <c r="Y181" s="1623">
        <v>228.89272574</v>
      </c>
      <c r="Z181" s="1623">
        <v>39.418999999999997</v>
      </c>
      <c r="AA181" s="1623">
        <v>13.03851025</v>
      </c>
      <c r="AB181" s="1623">
        <v>4284.9319999999998</v>
      </c>
      <c r="AC181" s="1623">
        <v>215.85421549</v>
      </c>
      <c r="AD181" s="1623">
        <v>45790.500999999997</v>
      </c>
      <c r="AE181" s="1623">
        <v>4776.8940594200003</v>
      </c>
      <c r="AF181" s="1623">
        <v>10138.130999999999</v>
      </c>
      <c r="AG181" s="1623">
        <v>2644.1614146100001</v>
      </c>
      <c r="AH181" s="1623">
        <v>12549.157999999999</v>
      </c>
      <c r="AI181" s="1623">
        <v>468.27135705000001</v>
      </c>
      <c r="AJ181" s="1623">
        <v>11663.144</v>
      </c>
      <c r="AK181" s="1623">
        <v>291.01106483999996</v>
      </c>
      <c r="AL181" s="1623">
        <v>19157.325000000001</v>
      </c>
      <c r="AM181" s="1623">
        <v>1454.8084595800001</v>
      </c>
      <c r="AN181" s="1623">
        <v>43.618000000000002</v>
      </c>
      <c r="AO181" s="1624">
        <v>2.6920959999999998</v>
      </c>
      <c r="AP181" s="1623">
        <v>3902.2689999999998</v>
      </c>
      <c r="AQ181" s="1623">
        <v>206.96073218000001</v>
      </c>
      <c r="AR181" s="1623">
        <v>38.115000000000002</v>
      </c>
      <c r="AS181" s="1623">
        <v>12.69190259</v>
      </c>
      <c r="AT181" s="1623">
        <v>3864.154</v>
      </c>
      <c r="AU181" s="1623">
        <v>194.26882959</v>
      </c>
      <c r="AV181" s="1623">
        <v>6585.7629999999999</v>
      </c>
      <c r="AW181" s="1623">
        <v>366.49609827</v>
      </c>
      <c r="AX181" s="1623">
        <v>435.029</v>
      </c>
      <c r="AY181" s="1623">
        <v>83.305215070000003</v>
      </c>
      <c r="AZ181" s="1623">
        <v>3420.8620000000001</v>
      </c>
      <c r="BA181" s="1623">
        <v>132.52771716999999</v>
      </c>
      <c r="BB181" s="1623">
        <v>3115.087</v>
      </c>
      <c r="BC181" s="1623">
        <v>101.99083693999999</v>
      </c>
      <c r="BD181" s="1623">
        <v>2304.4720000000002</v>
      </c>
      <c r="BE181" s="1623">
        <v>128.51024047000001</v>
      </c>
      <c r="BF181" s="1625">
        <v>3.3180000000000001</v>
      </c>
      <c r="BG181" s="1624">
        <v>0.22093199999999999</v>
      </c>
      <c r="BH181" s="1623">
        <v>422.08199999999999</v>
      </c>
      <c r="BI181" s="1622">
        <v>21.931993559999999</v>
      </c>
      <c r="BJ181" s="1624">
        <v>1.304</v>
      </c>
      <c r="BK181" s="1624">
        <v>0.34660765999999998</v>
      </c>
      <c r="BL181" s="1623">
        <v>420.77800000000002</v>
      </c>
      <c r="BM181" s="1622">
        <v>21.585385899999999</v>
      </c>
    </row>
    <row r="182" spans="1:65">
      <c r="A182" s="1627" t="s">
        <v>25</v>
      </c>
      <c r="B182" s="1622">
        <v>13035.458000000001</v>
      </c>
      <c r="C182" s="1622">
        <v>9219.3690000000006</v>
      </c>
      <c r="D182" s="1622">
        <v>3513.8760000000002</v>
      </c>
      <c r="E182" s="1622">
        <v>2737.7440000000001</v>
      </c>
      <c r="F182" s="1622">
        <v>5088.6419999999998</v>
      </c>
      <c r="G182" s="1622">
        <v>1695.1959999999999</v>
      </c>
      <c r="H182" s="1622">
        <v>57772.567999999999</v>
      </c>
      <c r="I182" s="1622">
        <v>5276.8131115599999</v>
      </c>
      <c r="J182" s="1622">
        <v>10885.263000000001</v>
      </c>
      <c r="K182" s="1622">
        <v>2605.14152706</v>
      </c>
      <c r="L182" s="1622">
        <v>34.65</v>
      </c>
      <c r="M182" s="1622">
        <v>147.72998067</v>
      </c>
      <c r="N182" s="1622">
        <v>2.5179999999999998</v>
      </c>
      <c r="O182" s="1622">
        <v>0.87707595000000005</v>
      </c>
      <c r="P182" s="1622">
        <v>18580.157999999999</v>
      </c>
      <c r="Q182" s="1622">
        <v>524.39802821000001</v>
      </c>
      <c r="R182" s="1622">
        <v>17385.598000000002</v>
      </c>
      <c r="S182" s="1622">
        <v>445.90049800000003</v>
      </c>
      <c r="T182" s="1622">
        <v>23742.600999999999</v>
      </c>
      <c r="U182" s="1622">
        <v>1727.3385492100001</v>
      </c>
      <c r="V182" s="1622">
        <v>60.33</v>
      </c>
      <c r="W182" s="1626">
        <v>3.2509034300000001</v>
      </c>
      <c r="X182" s="1623">
        <v>4467.0479999999998</v>
      </c>
      <c r="Y182" s="1623">
        <v>268.07704703000002</v>
      </c>
      <c r="Z182" s="1623">
        <v>43.72</v>
      </c>
      <c r="AA182" s="1623">
        <v>14.97322945</v>
      </c>
      <c r="AB182" s="1623">
        <v>4423.3280000000004</v>
      </c>
      <c r="AC182" s="1623">
        <v>253.10381757999997</v>
      </c>
      <c r="AD182" s="1623">
        <v>50031.398000000001</v>
      </c>
      <c r="AE182" s="1623">
        <v>4866.8505273299997</v>
      </c>
      <c r="AF182" s="1623">
        <v>10404.716</v>
      </c>
      <c r="AG182" s="1623">
        <v>2513.7960658900001</v>
      </c>
      <c r="AH182" s="1623">
        <v>14492.710999999999</v>
      </c>
      <c r="AI182" s="1623">
        <v>523.57361717000003</v>
      </c>
      <c r="AJ182" s="1623">
        <v>13578.57</v>
      </c>
      <c r="AK182" s="1623">
        <v>329.69250692999998</v>
      </c>
      <c r="AL182" s="1623">
        <v>21100.739000000001</v>
      </c>
      <c r="AM182" s="1623">
        <v>1585.5412836200001</v>
      </c>
      <c r="AN182" s="1623">
        <v>57.082999999999998</v>
      </c>
      <c r="AO182" s="1624">
        <v>3.0338564300000002</v>
      </c>
      <c r="AP182" s="1623">
        <v>3976.1489999999999</v>
      </c>
      <c r="AQ182" s="1623">
        <v>240.90570421999999</v>
      </c>
      <c r="AR182" s="1623">
        <v>42.133000000000003</v>
      </c>
      <c r="AS182" s="1623">
        <v>14.568034449999999</v>
      </c>
      <c r="AT182" s="1623">
        <v>3934.0160000000001</v>
      </c>
      <c r="AU182" s="1623">
        <v>226.33766976999999</v>
      </c>
      <c r="AV182" s="1623">
        <v>7741.17</v>
      </c>
      <c r="AW182" s="1623">
        <v>409.96258423</v>
      </c>
      <c r="AX182" s="1623">
        <v>483.065</v>
      </c>
      <c r="AY182" s="1623">
        <v>92.222537119999998</v>
      </c>
      <c r="AZ182" s="1623">
        <v>4122.0969999999998</v>
      </c>
      <c r="BA182" s="1623">
        <v>148.55439171</v>
      </c>
      <c r="BB182" s="1623">
        <v>3807.0279999999998</v>
      </c>
      <c r="BC182" s="1623">
        <v>116.20799106999999</v>
      </c>
      <c r="BD182" s="1623">
        <v>2641.8620000000001</v>
      </c>
      <c r="BE182" s="1623">
        <v>141.79726558999999</v>
      </c>
      <c r="BF182" s="1625">
        <v>3.2469999999999999</v>
      </c>
      <c r="BG182" s="1624">
        <v>0.21704699999999999</v>
      </c>
      <c r="BH182" s="1623">
        <v>490.899</v>
      </c>
      <c r="BI182" s="1622">
        <v>27.171342809999999</v>
      </c>
      <c r="BJ182" s="1624">
        <v>1.587</v>
      </c>
      <c r="BK182" s="1624">
        <v>0.40519500000000003</v>
      </c>
      <c r="BL182" s="1623">
        <v>489.31200000000001</v>
      </c>
      <c r="BM182" s="1622">
        <v>26.766147810000003</v>
      </c>
    </row>
    <row r="183" spans="1:65">
      <c r="A183" s="1627" t="s">
        <v>26</v>
      </c>
      <c r="B183" s="1622">
        <v>13194.261</v>
      </c>
      <c r="C183" s="1622">
        <v>9420.1260000000002</v>
      </c>
      <c r="D183" s="1622">
        <v>3513.92</v>
      </c>
      <c r="E183" s="1622">
        <v>2738.3580000000002</v>
      </c>
      <c r="F183" s="1622">
        <v>5214.5630000000001</v>
      </c>
      <c r="G183" s="1622">
        <v>1727.42</v>
      </c>
      <c r="H183" s="1622">
        <v>58403.913999999997</v>
      </c>
      <c r="I183" s="1622">
        <v>5189.9611691299997</v>
      </c>
      <c r="J183" s="1622">
        <v>10672.234</v>
      </c>
      <c r="K183" s="1622">
        <v>2543.3662759899998</v>
      </c>
      <c r="L183" s="1622">
        <v>33.414999999999999</v>
      </c>
      <c r="M183" s="1622">
        <v>149.33067858000001</v>
      </c>
      <c r="N183" s="1622">
        <v>2.4780000000000002</v>
      </c>
      <c r="O183" s="1622">
        <v>0.85759346999999997</v>
      </c>
      <c r="P183" s="1622">
        <v>18740.531999999999</v>
      </c>
      <c r="Q183" s="1622">
        <v>507.61121229000003</v>
      </c>
      <c r="R183" s="1622">
        <v>17568.490000000002</v>
      </c>
      <c r="S183" s="1622">
        <v>433.39474094000002</v>
      </c>
      <c r="T183" s="1622">
        <v>24512.512999999999</v>
      </c>
      <c r="U183" s="1622">
        <v>1753.6781955900001</v>
      </c>
      <c r="V183" s="1622">
        <v>59.853000000000002</v>
      </c>
      <c r="W183" s="1626">
        <v>3.3703750000000001</v>
      </c>
      <c r="X183" s="1623">
        <v>4382.8890000000001</v>
      </c>
      <c r="Y183" s="1623">
        <v>231.74683820999999</v>
      </c>
      <c r="Z183" s="1623">
        <v>48.246000000000002</v>
      </c>
      <c r="AA183" s="1623">
        <v>17.06981845</v>
      </c>
      <c r="AB183" s="1623">
        <v>4334.643</v>
      </c>
      <c r="AC183" s="1623">
        <v>214.67701975999998</v>
      </c>
      <c r="AD183" s="1623">
        <v>50923.544000000002</v>
      </c>
      <c r="AE183" s="1623">
        <v>4793.5716648300004</v>
      </c>
      <c r="AF183" s="1623">
        <v>10209.093000000001</v>
      </c>
      <c r="AG183" s="1623">
        <v>2453.94481434</v>
      </c>
      <c r="AH183" s="1623">
        <v>14826.784</v>
      </c>
      <c r="AI183" s="1623">
        <v>514.03196931000002</v>
      </c>
      <c r="AJ183" s="1623">
        <v>13931.367</v>
      </c>
      <c r="AK183" s="1623">
        <v>321.34579744000001</v>
      </c>
      <c r="AL183" s="1623">
        <v>21902.97</v>
      </c>
      <c r="AM183" s="1623">
        <v>1614.56399859</v>
      </c>
      <c r="AN183" s="1623">
        <v>56.616999999999997</v>
      </c>
      <c r="AO183" s="1624">
        <v>3.1275599999999999</v>
      </c>
      <c r="AP183" s="1623">
        <v>3928.08</v>
      </c>
      <c r="AQ183" s="1623">
        <v>207.90332258999999</v>
      </c>
      <c r="AR183" s="1623">
        <v>46.83</v>
      </c>
      <c r="AS183" s="1623">
        <v>16.667971059999999</v>
      </c>
      <c r="AT183" s="1623">
        <v>3881.25</v>
      </c>
      <c r="AU183" s="1623">
        <v>191.23535153</v>
      </c>
      <c r="AV183" s="1623">
        <v>7480.37</v>
      </c>
      <c r="AW183" s="1623">
        <v>396.3895043</v>
      </c>
      <c r="AX183" s="1623">
        <v>465.61900000000003</v>
      </c>
      <c r="AY183" s="1623">
        <v>90.279055119999995</v>
      </c>
      <c r="AZ183" s="1623">
        <v>3947.163</v>
      </c>
      <c r="BA183" s="1623">
        <v>142.90992155999999</v>
      </c>
      <c r="BB183" s="1623">
        <v>3637.123</v>
      </c>
      <c r="BC183" s="1623">
        <v>112.04894349999999</v>
      </c>
      <c r="BD183" s="1623">
        <v>2609.5430000000001</v>
      </c>
      <c r="BE183" s="1623">
        <v>139.11419699999999</v>
      </c>
      <c r="BF183" s="1625">
        <v>3.2360000000000002</v>
      </c>
      <c r="BG183" s="1624">
        <v>0.242815</v>
      </c>
      <c r="BH183" s="1623">
        <v>454.80900000000003</v>
      </c>
      <c r="BI183" s="1622">
        <v>23.843515620000002</v>
      </c>
      <c r="BJ183" s="1624">
        <v>1.4159999999999999</v>
      </c>
      <c r="BK183" s="1624">
        <v>0.40184739000000003</v>
      </c>
      <c r="BL183" s="1623">
        <v>453.39299999999997</v>
      </c>
      <c r="BM183" s="1622">
        <v>23.441668230000001</v>
      </c>
    </row>
    <row r="184" spans="1:65">
      <c r="A184" s="1627" t="s">
        <v>27</v>
      </c>
      <c r="B184" s="1622">
        <v>13402.008</v>
      </c>
      <c r="C184" s="1622">
        <v>9578.7039999999997</v>
      </c>
      <c r="D184" s="1622">
        <v>3520.0659999999998</v>
      </c>
      <c r="E184" s="1622">
        <v>2750.692</v>
      </c>
      <c r="F184" s="1622">
        <v>5368.6540000000005</v>
      </c>
      <c r="G184" s="1622">
        <v>1762.596</v>
      </c>
      <c r="H184" s="1622">
        <v>62361.794000000002</v>
      </c>
      <c r="I184" s="1622">
        <v>5480.38461035</v>
      </c>
      <c r="J184" s="1622">
        <v>11623.864</v>
      </c>
      <c r="K184" s="1622">
        <v>2768.3117917099999</v>
      </c>
      <c r="L184" s="1622">
        <v>31.808</v>
      </c>
      <c r="M184" s="1622">
        <v>141.19458964</v>
      </c>
      <c r="N184" s="1622">
        <v>2.6779999999999999</v>
      </c>
      <c r="O184" s="1622">
        <v>0.86873120999999998</v>
      </c>
      <c r="P184" s="1622">
        <v>19594.441999999999</v>
      </c>
      <c r="Q184" s="1622">
        <v>549.62459290000004</v>
      </c>
      <c r="R184" s="1622">
        <v>18539.998</v>
      </c>
      <c r="S184" s="1622">
        <v>478.08319075000003</v>
      </c>
      <c r="T184" s="1622">
        <v>26201.514999999999</v>
      </c>
      <c r="U184" s="1622">
        <v>1773.3354037300001</v>
      </c>
      <c r="V184" s="1622">
        <v>63.329000000000001</v>
      </c>
      <c r="W184" s="1626">
        <v>3.2464110000000002</v>
      </c>
      <c r="X184" s="1623">
        <v>4844.1580000000004</v>
      </c>
      <c r="Y184" s="1623">
        <v>243.80309016000001</v>
      </c>
      <c r="Z184" s="1623">
        <v>66.418999999999997</v>
      </c>
      <c r="AA184" s="1623">
        <v>18.5980083</v>
      </c>
      <c r="AB184" s="1623">
        <v>4777.7389999999996</v>
      </c>
      <c r="AC184" s="1623">
        <v>225.20508186000001</v>
      </c>
      <c r="AD184" s="1623">
        <v>54887.158000000003</v>
      </c>
      <c r="AE184" s="1623">
        <v>5081.9348445100004</v>
      </c>
      <c r="AF184" s="1623">
        <v>11157.294</v>
      </c>
      <c r="AG184" s="1623">
        <v>2681.1828607900002</v>
      </c>
      <c r="AH184" s="1623">
        <v>15807.101000000001</v>
      </c>
      <c r="AI184" s="1623">
        <v>545.51804413000002</v>
      </c>
      <c r="AJ184" s="1623">
        <v>14919.834000000001</v>
      </c>
      <c r="AK184" s="1623">
        <v>359.39416167000002</v>
      </c>
      <c r="AL184" s="1623">
        <v>23490.159</v>
      </c>
      <c r="AM184" s="1623">
        <v>1633.3403877799999</v>
      </c>
      <c r="AN184" s="1623">
        <v>61.302999999999997</v>
      </c>
      <c r="AO184" s="1624">
        <v>3.030532</v>
      </c>
      <c r="AP184" s="1623">
        <v>4371.3010000000004</v>
      </c>
      <c r="AQ184" s="1623">
        <v>218.86301981</v>
      </c>
      <c r="AR184" s="1623">
        <v>65.099999999999994</v>
      </c>
      <c r="AS184" s="1623">
        <v>18.264174440000001</v>
      </c>
      <c r="AT184" s="1623">
        <v>4306.201</v>
      </c>
      <c r="AU184" s="1623">
        <v>200.59884536999999</v>
      </c>
      <c r="AV184" s="1623">
        <v>7474.6360000000004</v>
      </c>
      <c r="AW184" s="1623">
        <v>398.44976584</v>
      </c>
      <c r="AX184" s="1623">
        <v>469.24799999999999</v>
      </c>
      <c r="AY184" s="1623">
        <v>87.997662129999995</v>
      </c>
      <c r="AZ184" s="1623">
        <v>3819.1489999999999</v>
      </c>
      <c r="BA184" s="1623">
        <v>145.30113840999999</v>
      </c>
      <c r="BB184" s="1623">
        <v>3620.1640000000002</v>
      </c>
      <c r="BC184" s="1623">
        <v>118.68902908</v>
      </c>
      <c r="BD184" s="1623">
        <v>2711.3560000000002</v>
      </c>
      <c r="BE184" s="1623">
        <v>139.99501595000001</v>
      </c>
      <c r="BF184" s="1625">
        <v>2.0259999999999998</v>
      </c>
      <c r="BG184" s="1624">
        <v>0.21587899999999999</v>
      </c>
      <c r="BH184" s="1623">
        <v>472.85700000000003</v>
      </c>
      <c r="BI184" s="1622">
        <v>24.940070349999999</v>
      </c>
      <c r="BJ184" s="1624">
        <v>1.319</v>
      </c>
      <c r="BK184" s="1624">
        <v>0.33383385999999998</v>
      </c>
      <c r="BL184" s="1623">
        <v>471.53800000000001</v>
      </c>
      <c r="BM184" s="1622">
        <v>24.606236490000001</v>
      </c>
    </row>
    <row r="185" spans="1:65">
      <c r="A185" s="1627" t="s">
        <v>28</v>
      </c>
      <c r="B185" s="1622">
        <v>13477.63</v>
      </c>
      <c r="C185" s="1622">
        <v>9711.1170000000002</v>
      </c>
      <c r="D185" s="1622">
        <v>3542.61</v>
      </c>
      <c r="E185" s="1622">
        <v>2759.116</v>
      </c>
      <c r="F185" s="1622">
        <v>5378.1120000000001</v>
      </c>
      <c r="G185" s="1622">
        <v>1797.7919999999999</v>
      </c>
      <c r="H185" s="1622">
        <v>65867.608999999997</v>
      </c>
      <c r="I185" s="1622">
        <v>5627.1669312399999</v>
      </c>
      <c r="J185" s="1622">
        <v>11472.339</v>
      </c>
      <c r="K185" s="1622">
        <v>2680.5007407600001</v>
      </c>
      <c r="L185" s="1622">
        <v>28.901</v>
      </c>
      <c r="M185" s="1622">
        <v>140.71640782</v>
      </c>
      <c r="N185" s="1622">
        <v>2.569</v>
      </c>
      <c r="O185" s="1622">
        <v>0.93708769999999997</v>
      </c>
      <c r="P185" s="1622">
        <v>21143.066999999999</v>
      </c>
      <c r="Q185" s="1622">
        <v>613.59077586000001</v>
      </c>
      <c r="R185" s="1622">
        <v>20123.715</v>
      </c>
      <c r="S185" s="1622">
        <v>543.11152536999998</v>
      </c>
      <c r="T185" s="1622">
        <v>27816.97</v>
      </c>
      <c r="U185" s="1622">
        <v>1923.5429791700001</v>
      </c>
      <c r="V185" s="1622">
        <v>60.502000000000002</v>
      </c>
      <c r="W185" s="1626">
        <v>3.1816230000000001</v>
      </c>
      <c r="X185" s="1623">
        <v>5343.2610000000004</v>
      </c>
      <c r="Y185" s="1623">
        <v>264.69731693</v>
      </c>
      <c r="Z185" s="1623">
        <v>66.951999999999998</v>
      </c>
      <c r="AA185" s="1623">
        <v>17.635534449999998</v>
      </c>
      <c r="AB185" s="1623">
        <v>5276.3090000000002</v>
      </c>
      <c r="AC185" s="1623">
        <v>247.06178248000001</v>
      </c>
      <c r="AD185" s="1623">
        <v>58226.038999999997</v>
      </c>
      <c r="AE185" s="1623">
        <v>5211.0261375500004</v>
      </c>
      <c r="AF185" s="1623">
        <v>11035.358</v>
      </c>
      <c r="AG185" s="1623">
        <v>2596.4053328199998</v>
      </c>
      <c r="AH185" s="1623">
        <v>17238.303</v>
      </c>
      <c r="AI185" s="1623">
        <v>592.69528229000002</v>
      </c>
      <c r="AJ185" s="1623">
        <v>16381.751</v>
      </c>
      <c r="AK185" s="1623">
        <v>410.87587080999998</v>
      </c>
      <c r="AL185" s="1623">
        <v>25066.358</v>
      </c>
      <c r="AM185" s="1623">
        <v>1781.61484509</v>
      </c>
      <c r="AN185" s="1623">
        <v>58.39</v>
      </c>
      <c r="AO185" s="1624">
        <v>2.8932000000000002</v>
      </c>
      <c r="AP185" s="1623">
        <v>4827.63</v>
      </c>
      <c r="AQ185" s="1623">
        <v>237.41747735000001</v>
      </c>
      <c r="AR185" s="1623">
        <v>65.507999999999996</v>
      </c>
      <c r="AS185" s="1623">
        <v>17.293039760000003</v>
      </c>
      <c r="AT185" s="1623">
        <v>4762.1220000000003</v>
      </c>
      <c r="AU185" s="1623">
        <v>220.12443759000004</v>
      </c>
      <c r="AV185" s="1623">
        <v>7641.57</v>
      </c>
      <c r="AW185" s="1623">
        <v>416.14079369000001</v>
      </c>
      <c r="AX185" s="1623">
        <v>439.55</v>
      </c>
      <c r="AY185" s="1623">
        <v>85.032495639999993</v>
      </c>
      <c r="AZ185" s="1623">
        <v>3933.665</v>
      </c>
      <c r="BA185" s="1623">
        <v>161.61190139000001</v>
      </c>
      <c r="BB185" s="1623">
        <v>3741.9639999999999</v>
      </c>
      <c r="BC185" s="1623">
        <v>132.23565456</v>
      </c>
      <c r="BD185" s="1623">
        <v>2750.6120000000001</v>
      </c>
      <c r="BE185" s="1623">
        <v>141.92813408000001</v>
      </c>
      <c r="BF185" s="1625">
        <v>2.1120000000000001</v>
      </c>
      <c r="BG185" s="1624">
        <v>0.28842299999999998</v>
      </c>
      <c r="BH185" s="1623">
        <v>515.63099999999997</v>
      </c>
      <c r="BI185" s="1622">
        <v>27.279839580000001</v>
      </c>
      <c r="BJ185" s="1624">
        <v>1.444</v>
      </c>
      <c r="BK185" s="1624">
        <v>0.34249468999999999</v>
      </c>
      <c r="BL185" s="1623">
        <v>514.18700000000001</v>
      </c>
      <c r="BM185" s="1622">
        <v>26.937344890000002</v>
      </c>
    </row>
    <row r="186" spans="1:65">
      <c r="A186" s="1627" t="s">
        <v>29</v>
      </c>
      <c r="B186" s="1622">
        <v>13630.909</v>
      </c>
      <c r="C186" s="1622">
        <v>9833.4719999999998</v>
      </c>
      <c r="D186" s="1622">
        <v>3547.4850000000001</v>
      </c>
      <c r="E186" s="1622">
        <v>2758.7310000000002</v>
      </c>
      <c r="F186" s="1622">
        <v>5501.5360000000001</v>
      </c>
      <c r="G186" s="1622">
        <v>1823.1569999999999</v>
      </c>
      <c r="H186" s="1622">
        <v>72834.16</v>
      </c>
      <c r="I186" s="1622">
        <v>6610.6877918809996</v>
      </c>
      <c r="J186" s="1622">
        <v>13172.27</v>
      </c>
      <c r="K186" s="1622">
        <v>3222.9080457499999</v>
      </c>
      <c r="L186" s="1622">
        <v>35.548999999999999</v>
      </c>
      <c r="M186" s="1622">
        <v>164.71225620999999</v>
      </c>
      <c r="N186" s="1622">
        <v>2.2719999999999998</v>
      </c>
      <c r="O186" s="1622">
        <v>0.89793288000000004</v>
      </c>
      <c r="P186" s="1622">
        <v>22696.778999999999</v>
      </c>
      <c r="Q186" s="1622">
        <v>650.40745870000001</v>
      </c>
      <c r="R186" s="1622">
        <v>21529.631000000001</v>
      </c>
      <c r="S186" s="1622">
        <v>567.86168275</v>
      </c>
      <c r="T186" s="1622">
        <v>31887.034</v>
      </c>
      <c r="U186" s="1622">
        <v>2329.53604421</v>
      </c>
      <c r="V186" s="1622">
        <v>68.081000000000003</v>
      </c>
      <c r="W186" s="1626">
        <v>3.8741080000000001</v>
      </c>
      <c r="X186" s="1623">
        <v>4972.1750000000002</v>
      </c>
      <c r="Y186" s="1623">
        <v>238.35194613100001</v>
      </c>
      <c r="Z186" s="1623">
        <v>63.134</v>
      </c>
      <c r="AA186" s="1623">
        <v>17.242931170999999</v>
      </c>
      <c r="AB186" s="1623">
        <v>4909.0410000000002</v>
      </c>
      <c r="AC186" s="1623">
        <v>221.10901496</v>
      </c>
      <c r="AD186" s="1623">
        <v>65059.786</v>
      </c>
      <c r="AE186" s="1623">
        <v>6181.8615136509998</v>
      </c>
      <c r="AF186" s="1623">
        <v>12731.535</v>
      </c>
      <c r="AG186" s="1623">
        <v>3134.20463569</v>
      </c>
      <c r="AH186" s="1623">
        <v>18757.111000000001</v>
      </c>
      <c r="AI186" s="1623">
        <v>656.82019836999996</v>
      </c>
      <c r="AJ186" s="1623">
        <v>17744.233</v>
      </c>
      <c r="AK186" s="1623">
        <v>439.22448570999995</v>
      </c>
      <c r="AL186" s="1623">
        <v>28977.870999999999</v>
      </c>
      <c r="AM186" s="1623">
        <v>2172.0006807300001</v>
      </c>
      <c r="AN186" s="1623">
        <v>66.680999999999997</v>
      </c>
      <c r="AO186" s="1624">
        <v>3.7029019999999999</v>
      </c>
      <c r="AP186" s="1623">
        <v>4526.5879999999997</v>
      </c>
      <c r="AQ186" s="1623">
        <v>215.13309686100001</v>
      </c>
      <c r="AR186" s="1623">
        <v>61.878999999999998</v>
      </c>
      <c r="AS186" s="1623">
        <v>16.957719750999999</v>
      </c>
      <c r="AT186" s="1623">
        <v>4464.7089999999998</v>
      </c>
      <c r="AU186" s="1623">
        <v>198.17537710999997</v>
      </c>
      <c r="AV186" s="1623">
        <v>7774.3739999999998</v>
      </c>
      <c r="AW186" s="1623">
        <v>428.82627823000001</v>
      </c>
      <c r="AX186" s="1623">
        <v>443.00700000000001</v>
      </c>
      <c r="AY186" s="1623">
        <v>89.601342939999995</v>
      </c>
      <c r="AZ186" s="1623">
        <v>3975.2170000000001</v>
      </c>
      <c r="BA186" s="1623">
        <v>158.29951654000001</v>
      </c>
      <c r="BB186" s="1623">
        <v>3785.3980000000001</v>
      </c>
      <c r="BC186" s="1623">
        <v>128.63719704000002</v>
      </c>
      <c r="BD186" s="1623">
        <v>2909.163</v>
      </c>
      <c r="BE186" s="1623">
        <v>157.53536348</v>
      </c>
      <c r="BF186" s="1625">
        <v>1.4</v>
      </c>
      <c r="BG186" s="1624">
        <v>0.171206</v>
      </c>
      <c r="BH186" s="1623">
        <v>445.58699999999999</v>
      </c>
      <c r="BI186" s="1622">
        <v>23.21884927</v>
      </c>
      <c r="BJ186" s="1624">
        <v>1.2549999999999999</v>
      </c>
      <c r="BK186" s="1624">
        <v>0.28521141999999999</v>
      </c>
      <c r="BL186" s="1623">
        <v>444.33199999999999</v>
      </c>
      <c r="BM186" s="1622">
        <v>22.93363785</v>
      </c>
    </row>
    <row r="187" spans="1:65">
      <c r="A187" s="1627" t="s">
        <v>3518</v>
      </c>
      <c r="B187" s="1628">
        <v>16925.156999999999</v>
      </c>
      <c r="C187" s="1628">
        <v>12955.138999999999</v>
      </c>
      <c r="D187" s="1628">
        <v>3655.0920000000001</v>
      </c>
      <c r="E187" s="1628">
        <v>2880.8829999999998</v>
      </c>
      <c r="F187" s="1628">
        <v>8173.4979999999996</v>
      </c>
      <c r="G187" s="1628">
        <v>2215.6840000000002</v>
      </c>
      <c r="H187" s="1628">
        <f>SUM(H188:H199)</f>
        <v>1205082.99</v>
      </c>
      <c r="I187" s="1628">
        <f t="shared" ref="I187:BM187" si="37">SUM(I188:I199)</f>
        <v>91340.085825999995</v>
      </c>
      <c r="J187" s="1628">
        <f t="shared" si="37"/>
        <v>162301.71300000002</v>
      </c>
      <c r="K187" s="1628">
        <f t="shared" si="37"/>
        <v>37202.663557740008</v>
      </c>
      <c r="L187" s="1628">
        <f t="shared" si="37"/>
        <v>349.37300000000005</v>
      </c>
      <c r="M187" s="1628">
        <f t="shared" si="37"/>
        <v>1886.60533128</v>
      </c>
      <c r="N187" s="1628">
        <f t="shared" si="37"/>
        <v>22.211000000000002</v>
      </c>
      <c r="O187" s="1628">
        <f t="shared" si="37"/>
        <v>9.0123999099999992</v>
      </c>
      <c r="P187" s="1628">
        <f t="shared" si="37"/>
        <v>416557.97700000007</v>
      </c>
      <c r="Q187" s="1628">
        <f t="shared" si="37"/>
        <v>9787.1195679399989</v>
      </c>
      <c r="R187" s="1628">
        <f t="shared" si="37"/>
        <v>401083.95299999998</v>
      </c>
      <c r="S187" s="1628">
        <f t="shared" si="37"/>
        <v>8934.9641197199999</v>
      </c>
      <c r="T187" s="1628">
        <f t="shared" si="37"/>
        <v>563442.97400000005</v>
      </c>
      <c r="U187" s="1628">
        <f t="shared" si="37"/>
        <v>39170.826237410001</v>
      </c>
      <c r="V187" s="1628">
        <f t="shared" si="37"/>
        <v>1092.7850000000001</v>
      </c>
      <c r="W187" s="1628">
        <f t="shared" si="37"/>
        <v>73.268243999999996</v>
      </c>
      <c r="X187" s="1628">
        <f t="shared" si="37"/>
        <v>61315.953999999998</v>
      </c>
      <c r="Y187" s="1628">
        <f t="shared" si="37"/>
        <v>3210.5898987699998</v>
      </c>
      <c r="Z187" s="1628">
        <f t="shared" si="37"/>
        <v>573.38</v>
      </c>
      <c r="AA187" s="1628">
        <f t="shared" si="37"/>
        <v>179.16996559999995</v>
      </c>
      <c r="AB187" s="1628">
        <f t="shared" si="37"/>
        <v>60742.532000000007</v>
      </c>
      <c r="AC187" s="1628">
        <f t="shared" si="37"/>
        <v>3031.4199304500003</v>
      </c>
      <c r="AD187" s="1628">
        <f t="shared" si="37"/>
        <v>1088081.1980000001</v>
      </c>
      <c r="AE187" s="1628">
        <f t="shared" si="37"/>
        <v>85077.418274129988</v>
      </c>
      <c r="AF187" s="1628">
        <f t="shared" si="37"/>
        <v>156277.20000000001</v>
      </c>
      <c r="AG187" s="1628">
        <f t="shared" si="37"/>
        <v>35963.168750249999</v>
      </c>
      <c r="AH187" s="1628">
        <f t="shared" si="37"/>
        <v>358956.17999999993</v>
      </c>
      <c r="AI187" s="1628">
        <f t="shared" si="37"/>
        <v>9699.9712409099993</v>
      </c>
      <c r="AJ187" s="1628">
        <f t="shared" si="37"/>
        <v>345324.43199999997</v>
      </c>
      <c r="AK187" s="1628">
        <f t="shared" si="37"/>
        <v>7252.48028746</v>
      </c>
      <c r="AL187" s="1628">
        <f t="shared" si="37"/>
        <v>516132.96</v>
      </c>
      <c r="AM187" s="1628">
        <f t="shared" si="37"/>
        <v>36464.193178920003</v>
      </c>
      <c r="AN187" s="1628">
        <f t="shared" si="37"/>
        <v>1061.653</v>
      </c>
      <c r="AO187" s="1635">
        <f t="shared" si="37"/>
        <v>69.606965000000002</v>
      </c>
      <c r="AP187" s="1628">
        <f t="shared" si="37"/>
        <v>55653.21</v>
      </c>
      <c r="AQ187" s="1628">
        <f t="shared" si="37"/>
        <v>2880.8565833400003</v>
      </c>
      <c r="AR187" s="1628">
        <f t="shared" si="37"/>
        <v>556.70799999999997</v>
      </c>
      <c r="AS187" s="1628">
        <f t="shared" si="37"/>
        <v>174.75946499999998</v>
      </c>
      <c r="AT187" s="1628">
        <f t="shared" si="37"/>
        <v>55096.502</v>
      </c>
      <c r="AU187" s="1628">
        <f t="shared" si="37"/>
        <v>2706.0971132699997</v>
      </c>
      <c r="AV187" s="1628">
        <f t="shared" si="37"/>
        <v>117001.79200000002</v>
      </c>
      <c r="AW187" s="1628">
        <f t="shared" si="37"/>
        <v>6262.6675518700004</v>
      </c>
      <c r="AX187" s="1628">
        <f t="shared" si="37"/>
        <v>6046.7240000000002</v>
      </c>
      <c r="AY187" s="1628">
        <f t="shared" si="37"/>
        <v>1248.5072074</v>
      </c>
      <c r="AZ187" s="1628">
        <f t="shared" si="37"/>
        <v>57951.17</v>
      </c>
      <c r="BA187" s="1628">
        <f t="shared" si="37"/>
        <v>1973.7536583100002</v>
      </c>
      <c r="BB187" s="1628">
        <f t="shared" si="37"/>
        <v>55759.056000000011</v>
      </c>
      <c r="BC187" s="1628">
        <f t="shared" si="37"/>
        <v>1682.4847977200002</v>
      </c>
      <c r="BD187" s="1628">
        <f t="shared" si="37"/>
        <v>47309.838000000003</v>
      </c>
      <c r="BE187" s="1628">
        <f t="shared" si="37"/>
        <v>2706.6084756199998</v>
      </c>
      <c r="BF187" s="1552">
        <f t="shared" si="37"/>
        <v>31.131999999999984</v>
      </c>
      <c r="BG187" s="1635">
        <f t="shared" si="37"/>
        <v>4.0403070000000003</v>
      </c>
      <c r="BH187" s="1628">
        <f t="shared" si="37"/>
        <v>5662.7440000000006</v>
      </c>
      <c r="BI187" s="1628">
        <f t="shared" si="37"/>
        <v>329.73331383999999</v>
      </c>
      <c r="BJ187" s="1635">
        <f t="shared" si="37"/>
        <v>16.675384999999995</v>
      </c>
      <c r="BK187" s="1635">
        <f t="shared" si="37"/>
        <v>4.410322589999998</v>
      </c>
      <c r="BL187" s="1628">
        <f t="shared" si="37"/>
        <v>5646.0700000000006</v>
      </c>
      <c r="BM187" s="1628">
        <f t="shared" si="37"/>
        <v>325.32303295000003</v>
      </c>
    </row>
    <row r="188" spans="1:65">
      <c r="A188" s="1627" t="s">
        <v>18</v>
      </c>
      <c r="B188" s="1622">
        <v>13858.509</v>
      </c>
      <c r="C188" s="1622">
        <v>10017.991</v>
      </c>
      <c r="D188" s="1622">
        <v>3572.6529999999998</v>
      </c>
      <c r="E188" s="1622">
        <v>2759.056</v>
      </c>
      <c r="F188" s="1622">
        <v>5672.56</v>
      </c>
      <c r="G188" s="1622">
        <v>1854.24</v>
      </c>
      <c r="H188" s="1622">
        <v>70725.982999999993</v>
      </c>
      <c r="I188" s="1622">
        <v>5336.05481556</v>
      </c>
      <c r="J188" s="1622">
        <v>10700.950999999999</v>
      </c>
      <c r="K188" s="1622">
        <v>2304.4477488000002</v>
      </c>
      <c r="L188" s="1622">
        <v>24.652999999999999</v>
      </c>
      <c r="M188" s="1622">
        <v>115.91586655</v>
      </c>
      <c r="N188" s="1622">
        <v>1.8280000000000001</v>
      </c>
      <c r="O188" s="1622">
        <v>0.56935888000000001</v>
      </c>
      <c r="P188" s="1622">
        <v>24187.167000000001</v>
      </c>
      <c r="Q188" s="1622">
        <v>627.33697178</v>
      </c>
      <c r="R188" s="1622">
        <v>23035.547999999999</v>
      </c>
      <c r="S188" s="1622">
        <v>561.30554239999992</v>
      </c>
      <c r="T188" s="1622">
        <v>30759.904999999999</v>
      </c>
      <c r="U188" s="1622">
        <v>2032.4047235999999</v>
      </c>
      <c r="V188" s="1622">
        <v>65.272999999999996</v>
      </c>
      <c r="W188" s="1626">
        <v>4.2536940000000003</v>
      </c>
      <c r="X188" s="1623">
        <v>4986.2060000000001</v>
      </c>
      <c r="Y188" s="1623">
        <v>251.12645194999999</v>
      </c>
      <c r="Z188" s="1623">
        <v>61.04</v>
      </c>
      <c r="AA188" s="1623">
        <v>17.776724170000001</v>
      </c>
      <c r="AB188" s="1623">
        <v>4925.1660000000002</v>
      </c>
      <c r="AC188" s="1623">
        <v>233.34972778000002</v>
      </c>
      <c r="AD188" s="1623">
        <v>62688.366000000002</v>
      </c>
      <c r="AE188" s="1623">
        <v>4927.9868306300004</v>
      </c>
      <c r="AF188" s="1623">
        <v>10256.561</v>
      </c>
      <c r="AG188" s="1623">
        <v>2222.2175181399998</v>
      </c>
      <c r="AH188" s="1623">
        <v>19972.346000000001</v>
      </c>
      <c r="AI188" s="1623">
        <v>594.55296181000006</v>
      </c>
      <c r="AJ188" s="1623">
        <v>18985.694</v>
      </c>
      <c r="AK188" s="1623">
        <v>436.75564444000003</v>
      </c>
      <c r="AL188" s="1623">
        <v>27851.444</v>
      </c>
      <c r="AM188" s="1623">
        <v>1880.8828333199999</v>
      </c>
      <c r="AN188" s="1623">
        <v>63.476999999999997</v>
      </c>
      <c r="AO188" s="1624">
        <v>4.0726610000000001</v>
      </c>
      <c r="AP188" s="1623">
        <v>4544.5379999999996</v>
      </c>
      <c r="AQ188" s="1623">
        <v>226.26085635999999</v>
      </c>
      <c r="AR188" s="1623">
        <v>59.59</v>
      </c>
      <c r="AS188" s="1623">
        <v>17.428330690000003</v>
      </c>
      <c r="AT188" s="1623">
        <v>4484.9480000000003</v>
      </c>
      <c r="AU188" s="1623">
        <v>208.83252567000002</v>
      </c>
      <c r="AV188" s="1623">
        <v>8037.6170000000002</v>
      </c>
      <c r="AW188" s="1623">
        <v>408.06798493000002</v>
      </c>
      <c r="AX188" s="1623">
        <v>446.21800000000002</v>
      </c>
      <c r="AY188" s="1623">
        <v>82.799589539999999</v>
      </c>
      <c r="AZ188" s="1623">
        <v>4239.4740000000002</v>
      </c>
      <c r="BA188" s="1623">
        <v>148.69987652</v>
      </c>
      <c r="BB188" s="1623">
        <v>4049.8539999999998</v>
      </c>
      <c r="BC188" s="1623">
        <v>124.54989796</v>
      </c>
      <c r="BD188" s="1623">
        <v>2908.4609999999998</v>
      </c>
      <c r="BE188" s="1623">
        <v>151.52189028000001</v>
      </c>
      <c r="BF188" s="1625">
        <v>1.796</v>
      </c>
      <c r="BG188" s="1624">
        <v>0.181033</v>
      </c>
      <c r="BH188" s="1623">
        <v>441.66800000000001</v>
      </c>
      <c r="BI188" s="1622">
        <v>24.865595590000002</v>
      </c>
      <c r="BJ188" s="1624">
        <v>1.45</v>
      </c>
      <c r="BK188" s="1624">
        <v>0.34839347999999998</v>
      </c>
      <c r="BL188" s="1623">
        <v>440.21800000000002</v>
      </c>
      <c r="BM188" s="1622">
        <v>24.517202109999999</v>
      </c>
    </row>
    <row r="189" spans="1:65">
      <c r="A189" s="1627" t="s">
        <v>19</v>
      </c>
      <c r="B189" s="1622">
        <v>14017.331</v>
      </c>
      <c r="C189" s="1622">
        <v>10169.924000000001</v>
      </c>
      <c r="D189" s="1622">
        <v>3593.723</v>
      </c>
      <c r="E189" s="1622">
        <v>2750.3890000000001</v>
      </c>
      <c r="F189" s="1622">
        <v>5791.7510000000002</v>
      </c>
      <c r="G189" s="1622">
        <v>1881.4680000000001</v>
      </c>
      <c r="H189" s="1622">
        <v>72865.319000000003</v>
      </c>
      <c r="I189" s="1622">
        <v>6067.9771899699999</v>
      </c>
      <c r="J189" s="1622">
        <v>11836.324000000001</v>
      </c>
      <c r="K189" s="1622">
        <v>2824.9232472100002</v>
      </c>
      <c r="L189" s="1622">
        <v>28.5</v>
      </c>
      <c r="M189" s="1622">
        <v>133.55106513000001</v>
      </c>
      <c r="N189" s="1622">
        <v>1.8380000000000001</v>
      </c>
      <c r="O189" s="1622">
        <v>0.70753277999999997</v>
      </c>
      <c r="P189" s="1622">
        <v>24048.554</v>
      </c>
      <c r="Q189" s="1622">
        <v>621.85142463</v>
      </c>
      <c r="R189" s="1622">
        <v>23045.252</v>
      </c>
      <c r="S189" s="1622">
        <v>556.36886520000007</v>
      </c>
      <c r="T189" s="1622">
        <v>32577.199000000001</v>
      </c>
      <c r="U189" s="1622">
        <v>2269.86782468</v>
      </c>
      <c r="V189" s="1622">
        <v>71.742000000000004</v>
      </c>
      <c r="W189" s="1626">
        <v>4.0424230000000003</v>
      </c>
      <c r="X189" s="1623">
        <v>4301.1620000000003</v>
      </c>
      <c r="Y189" s="1623">
        <v>213.03367254</v>
      </c>
      <c r="Z189" s="1623">
        <v>45.087000000000003</v>
      </c>
      <c r="AA189" s="1623">
        <v>15.398957800000002</v>
      </c>
      <c r="AB189" s="1623">
        <v>4256.0749999999998</v>
      </c>
      <c r="AC189" s="1623">
        <v>197.63471473999999</v>
      </c>
      <c r="AD189" s="1623">
        <v>65212.436000000002</v>
      </c>
      <c r="AE189" s="1623">
        <v>5666.8075183399997</v>
      </c>
      <c r="AF189" s="1623">
        <v>11428.715</v>
      </c>
      <c r="AG189" s="1623">
        <v>2743.70003228</v>
      </c>
      <c r="AH189" s="1623">
        <v>20103.277999999998</v>
      </c>
      <c r="AI189" s="1623">
        <v>614.30686893999996</v>
      </c>
      <c r="AJ189" s="1623">
        <v>19234.721000000001</v>
      </c>
      <c r="AK189" s="1623">
        <v>438.99946405000003</v>
      </c>
      <c r="AL189" s="1623">
        <v>29694.76</v>
      </c>
      <c r="AM189" s="1623">
        <v>2112.0416190300002</v>
      </c>
      <c r="AN189" s="1623">
        <v>69.619</v>
      </c>
      <c r="AO189" s="1624">
        <v>3.82613</v>
      </c>
      <c r="AP189" s="1623">
        <v>3916.0639999999999</v>
      </c>
      <c r="AQ189" s="1623">
        <v>192.93286809</v>
      </c>
      <c r="AR189" s="1623">
        <v>44.146999999999998</v>
      </c>
      <c r="AS189" s="1623">
        <v>15.193876529999999</v>
      </c>
      <c r="AT189" s="1623">
        <v>3871.9169999999999</v>
      </c>
      <c r="AU189" s="1623">
        <v>177.73899156000002</v>
      </c>
      <c r="AV189" s="1623">
        <v>7652.8829999999998</v>
      </c>
      <c r="AW189" s="1623">
        <v>401.16967162999998</v>
      </c>
      <c r="AX189" s="1623">
        <v>409.447</v>
      </c>
      <c r="AY189" s="1623">
        <v>81.930747710000006</v>
      </c>
      <c r="AZ189" s="1623">
        <v>3973.7759999999998</v>
      </c>
      <c r="BA189" s="1623">
        <v>141.09562081999999</v>
      </c>
      <c r="BB189" s="1623">
        <v>3810.5309999999999</v>
      </c>
      <c r="BC189" s="1623">
        <v>117.36940115</v>
      </c>
      <c r="BD189" s="1623">
        <v>2882.4389999999999</v>
      </c>
      <c r="BE189" s="1623">
        <v>157.82620564999999</v>
      </c>
      <c r="BF189" s="1625">
        <v>2.1230000000000002</v>
      </c>
      <c r="BG189" s="1624">
        <v>0.21629300000000001</v>
      </c>
      <c r="BH189" s="1623">
        <v>385.09800000000001</v>
      </c>
      <c r="BI189" s="1622">
        <v>20.100804449999998</v>
      </c>
      <c r="BJ189" s="1624">
        <v>0.94</v>
      </c>
      <c r="BK189" s="1624">
        <v>0.20508126999999998</v>
      </c>
      <c r="BL189" s="1623">
        <v>384.15800000000002</v>
      </c>
      <c r="BM189" s="1622">
        <v>19.895723180000001</v>
      </c>
    </row>
    <row r="190" spans="1:65">
      <c r="A190" s="1627" t="s">
        <v>20</v>
      </c>
      <c r="B190" s="1622">
        <v>14246.165999999999</v>
      </c>
      <c r="C190" s="1622">
        <v>10378.653</v>
      </c>
      <c r="D190" s="1622">
        <v>3605.547</v>
      </c>
      <c r="E190" s="1622">
        <v>2762.2109999999998</v>
      </c>
      <c r="F190" s="1622">
        <v>5962.0709999999999</v>
      </c>
      <c r="G190" s="1622">
        <v>1916.337</v>
      </c>
      <c r="H190" s="1622">
        <v>86182.892999999996</v>
      </c>
      <c r="I190" s="1622">
        <v>7004.24270738</v>
      </c>
      <c r="J190" s="1622">
        <v>13611.455</v>
      </c>
      <c r="K190" s="1622">
        <v>3141.08332943</v>
      </c>
      <c r="L190" s="1622">
        <v>30.571999999999999</v>
      </c>
      <c r="M190" s="1622">
        <v>142.91627614000001</v>
      </c>
      <c r="N190" s="1622">
        <v>2.0510000000000002</v>
      </c>
      <c r="O190" s="1622">
        <v>0.70455634</v>
      </c>
      <c r="P190" s="1622">
        <v>29379.654999999999</v>
      </c>
      <c r="Q190" s="1622">
        <v>769.45546831000001</v>
      </c>
      <c r="R190" s="1622">
        <v>28169.848999999998</v>
      </c>
      <c r="S190" s="1622">
        <v>692.21521527999994</v>
      </c>
      <c r="T190" s="1622">
        <v>38307.733999999997</v>
      </c>
      <c r="U190" s="1622">
        <v>2683.47622374</v>
      </c>
      <c r="V190" s="1622">
        <v>71.289000000000001</v>
      </c>
      <c r="W190" s="1626">
        <v>4.1610909999999999</v>
      </c>
      <c r="X190" s="1623">
        <v>4780.1369999999997</v>
      </c>
      <c r="Y190" s="1623">
        <v>262.44576241999999</v>
      </c>
      <c r="Z190" s="1623">
        <v>39.991999999999997</v>
      </c>
      <c r="AA190" s="1623">
        <v>14.98940181</v>
      </c>
      <c r="AB190" s="1623">
        <v>4740.1450000000004</v>
      </c>
      <c r="AC190" s="1623">
        <v>247.45636061000002</v>
      </c>
      <c r="AD190" s="1623">
        <v>77613.135999999999</v>
      </c>
      <c r="AE190" s="1623">
        <v>6547.7464970399997</v>
      </c>
      <c r="AF190" s="1623">
        <v>13174.588</v>
      </c>
      <c r="AG190" s="1623">
        <v>3055.2418604300001</v>
      </c>
      <c r="AH190" s="1623">
        <v>24903.845000000001</v>
      </c>
      <c r="AI190" s="1623">
        <v>743.99676712999997</v>
      </c>
      <c r="AJ190" s="1623">
        <v>23846.598000000002</v>
      </c>
      <c r="AK190" s="1623">
        <v>549.89933197000005</v>
      </c>
      <c r="AL190" s="1623">
        <v>35126.383000000002</v>
      </c>
      <c r="AM190" s="1623">
        <v>2508.8979279499999</v>
      </c>
      <c r="AN190" s="1623">
        <v>69.566999999999993</v>
      </c>
      <c r="AO190" s="1624">
        <v>3.8488250000000002</v>
      </c>
      <c r="AP190" s="1623">
        <v>4338.7529999999997</v>
      </c>
      <c r="AQ190" s="1623">
        <v>235.76111653000001</v>
      </c>
      <c r="AR190" s="1623">
        <v>38.720999999999997</v>
      </c>
      <c r="AS190" s="1623">
        <v>14.59071134</v>
      </c>
      <c r="AT190" s="1623">
        <v>4300.0320000000002</v>
      </c>
      <c r="AU190" s="1623">
        <v>221.17040519</v>
      </c>
      <c r="AV190" s="1623">
        <v>8569.7569999999996</v>
      </c>
      <c r="AW190" s="1623">
        <v>456.49621034</v>
      </c>
      <c r="AX190" s="1623">
        <v>438.91800000000001</v>
      </c>
      <c r="AY190" s="1623">
        <v>86.54602534</v>
      </c>
      <c r="AZ190" s="1623">
        <v>4506.3819999999996</v>
      </c>
      <c r="BA190" s="1623">
        <v>168.37497732</v>
      </c>
      <c r="BB190" s="1623">
        <v>4323.2510000000002</v>
      </c>
      <c r="BC190" s="1623">
        <v>142.31588331</v>
      </c>
      <c r="BD190" s="1623">
        <v>3181.3510000000001</v>
      </c>
      <c r="BE190" s="1623">
        <v>174.57829579</v>
      </c>
      <c r="BF190" s="1625">
        <v>1.722</v>
      </c>
      <c r="BG190" s="1624">
        <v>0.31226599999999999</v>
      </c>
      <c r="BH190" s="1623">
        <v>441.38400000000001</v>
      </c>
      <c r="BI190" s="1622">
        <v>26.684645889999999</v>
      </c>
      <c r="BJ190" s="1624">
        <v>1.2709999999999999</v>
      </c>
      <c r="BK190" s="1624">
        <v>0.39869046999999996</v>
      </c>
      <c r="BL190" s="1623">
        <v>440.113</v>
      </c>
      <c r="BM190" s="1622">
        <v>26.285955419999997</v>
      </c>
    </row>
    <row r="191" spans="1:65">
      <c r="A191" s="1627" t="s">
        <v>21</v>
      </c>
      <c r="B191" s="1622">
        <v>14464.737999999999</v>
      </c>
      <c r="C191" s="1622">
        <v>10576.539000000001</v>
      </c>
      <c r="D191" s="1622">
        <v>3605.8670000000002</v>
      </c>
      <c r="E191" s="1622">
        <v>2777.5790000000002</v>
      </c>
      <c r="F191" s="1622">
        <v>6132.1329999999998</v>
      </c>
      <c r="G191" s="1622">
        <v>1949.1590000000001</v>
      </c>
      <c r="H191" s="1622">
        <v>81237.054000000004</v>
      </c>
      <c r="I191" s="1622">
        <v>6327.7961152899998</v>
      </c>
      <c r="J191" s="1622">
        <v>12203.558999999999</v>
      </c>
      <c r="K191" s="1622">
        <v>2771.6028225</v>
      </c>
      <c r="L191" s="1622">
        <v>29.553999999999998</v>
      </c>
      <c r="M191" s="1622">
        <v>136.13334502000001</v>
      </c>
      <c r="N191" s="1622">
        <v>1.88</v>
      </c>
      <c r="O191" s="1622">
        <v>0.64153636000000003</v>
      </c>
      <c r="P191" s="1622">
        <v>27281.641</v>
      </c>
      <c r="Q191" s="1622">
        <v>664.26916409</v>
      </c>
      <c r="R191" s="1622">
        <v>26174.179</v>
      </c>
      <c r="S191" s="1622">
        <v>599.27859999999998</v>
      </c>
      <c r="T191" s="1622">
        <v>37363.775999999998</v>
      </c>
      <c r="U191" s="1622">
        <v>2535.3431603600002</v>
      </c>
      <c r="V191" s="1622">
        <v>69.394000000000005</v>
      </c>
      <c r="W191" s="1626">
        <v>4.0250899999999996</v>
      </c>
      <c r="X191" s="1623">
        <v>4287.25</v>
      </c>
      <c r="Y191" s="1623">
        <v>215.78099599999999</v>
      </c>
      <c r="Z191" s="1623">
        <v>33.957000000000001</v>
      </c>
      <c r="AA191" s="1623">
        <v>12.744325999999999</v>
      </c>
      <c r="AB191" s="1623">
        <v>4253.29</v>
      </c>
      <c r="AC191" s="1623">
        <v>203.03666899999999</v>
      </c>
      <c r="AD191" s="1623">
        <v>73200.145000000004</v>
      </c>
      <c r="AE191" s="1623">
        <v>5911.0463865700003</v>
      </c>
      <c r="AF191" s="1623">
        <v>11779.183000000001</v>
      </c>
      <c r="AG191" s="1623">
        <v>2690.21631179</v>
      </c>
      <c r="AH191" s="1623">
        <v>23219.587</v>
      </c>
      <c r="AI191" s="1623">
        <v>659.36169428999995</v>
      </c>
      <c r="AJ191" s="1623">
        <v>22241.045999999998</v>
      </c>
      <c r="AK191" s="1623">
        <v>478.69514800000002</v>
      </c>
      <c r="AL191" s="1623">
        <v>34235.883000000002</v>
      </c>
      <c r="AM191" s="1623">
        <v>2363.5570911499999</v>
      </c>
      <c r="AN191" s="1623">
        <v>67.694999999999993</v>
      </c>
      <c r="AO191" s="1624">
        <v>3.8019020000000001</v>
      </c>
      <c r="AP191" s="1623">
        <v>3897.797</v>
      </c>
      <c r="AQ191" s="1623">
        <v>194.10938734000001</v>
      </c>
      <c r="AR191" s="1623">
        <v>33.149000000000001</v>
      </c>
      <c r="AS191" s="1623">
        <v>12.55288</v>
      </c>
      <c r="AT191" s="1623">
        <v>3864.6480000000001</v>
      </c>
      <c r="AU191" s="1623">
        <v>181.55650600000001</v>
      </c>
      <c r="AV191" s="1623">
        <v>8036.9089999999997</v>
      </c>
      <c r="AW191" s="1623">
        <v>416.74972872000001</v>
      </c>
      <c r="AX191" s="1623">
        <v>426.25599999999997</v>
      </c>
      <c r="AY191" s="1623">
        <v>82.02804707</v>
      </c>
      <c r="AZ191" s="1623">
        <v>4091.6080000000002</v>
      </c>
      <c r="BA191" s="1623">
        <v>141.04081482000001</v>
      </c>
      <c r="BB191" s="1623">
        <v>3933.1329999999998</v>
      </c>
      <c r="BC191" s="1623">
        <v>120.583451</v>
      </c>
      <c r="BD191" s="1623">
        <v>3127.7139999999999</v>
      </c>
      <c r="BE191" s="1623">
        <v>171.76169920999999</v>
      </c>
      <c r="BF191" s="1625">
        <v>1.6990000000000001</v>
      </c>
      <c r="BG191" s="1624">
        <v>0.223188</v>
      </c>
      <c r="BH191" s="1623">
        <v>389.45299999999997</v>
      </c>
      <c r="BI191" s="1622">
        <v>21.671609</v>
      </c>
      <c r="BJ191" s="1624">
        <v>0.81100000000000005</v>
      </c>
      <c r="BK191" s="1624">
        <v>0.19144598999999998</v>
      </c>
      <c r="BL191" s="1623">
        <v>388.642</v>
      </c>
      <c r="BM191" s="1622">
        <v>21.480163000000001</v>
      </c>
    </row>
    <row r="192" spans="1:65">
      <c r="A192" s="1627" t="s">
        <v>22</v>
      </c>
      <c r="B192" s="1622">
        <v>14741.391</v>
      </c>
      <c r="C192" s="1622">
        <v>10829.386</v>
      </c>
      <c r="D192" s="1622">
        <v>3618.652</v>
      </c>
      <c r="E192" s="1622">
        <v>2783.2289999999998</v>
      </c>
      <c r="F192" s="1622">
        <v>6360.6559999999999</v>
      </c>
      <c r="G192" s="1622">
        <v>1978.854</v>
      </c>
      <c r="H192" s="1622">
        <v>99818.141000000003</v>
      </c>
      <c r="I192" s="1622">
        <v>7552.0955055000004</v>
      </c>
      <c r="J192" s="1622">
        <v>14415.895</v>
      </c>
      <c r="K192" s="1622">
        <v>3200.8631801900001</v>
      </c>
      <c r="L192" s="1622">
        <v>30.687999999999999</v>
      </c>
      <c r="M192" s="1622">
        <v>158.30572882999999</v>
      </c>
      <c r="N192" s="1622">
        <v>2.0939999999999999</v>
      </c>
      <c r="O192" s="1622">
        <v>0.75277567999999995</v>
      </c>
      <c r="P192" s="1622">
        <v>34652.444000000003</v>
      </c>
      <c r="Q192" s="1622">
        <v>826.47456998999996</v>
      </c>
      <c r="R192" s="1622">
        <v>33350.906000000003</v>
      </c>
      <c r="S192" s="1622">
        <v>742.66045429999997</v>
      </c>
      <c r="T192" s="1622">
        <v>45485.932000000001</v>
      </c>
      <c r="U192" s="1622">
        <v>3096.6980323900002</v>
      </c>
      <c r="V192" s="1622">
        <v>99.703999999999994</v>
      </c>
      <c r="W192" s="1626">
        <v>5.9935340000000004</v>
      </c>
      <c r="X192" s="1623">
        <v>5131.384</v>
      </c>
      <c r="Y192" s="1623">
        <v>263.00768441999998</v>
      </c>
      <c r="Z192" s="1623">
        <v>41.976999999999997</v>
      </c>
      <c r="AA192" s="1623">
        <v>15.48611618</v>
      </c>
      <c r="AB192" s="1623">
        <v>5089.4070000000002</v>
      </c>
      <c r="AC192" s="1623">
        <v>247.52156824000002</v>
      </c>
      <c r="AD192" s="1623">
        <v>90066.543000000005</v>
      </c>
      <c r="AE192" s="1623">
        <v>7041.4751683599998</v>
      </c>
      <c r="AF192" s="1623">
        <v>13890.903</v>
      </c>
      <c r="AG192" s="1623">
        <v>3097.2425831800001</v>
      </c>
      <c r="AH192" s="1623">
        <v>29708.657999999999</v>
      </c>
      <c r="AI192" s="1623">
        <v>814.33228823000002</v>
      </c>
      <c r="AJ192" s="1623">
        <v>28560.812999999998</v>
      </c>
      <c r="AK192" s="1623">
        <v>602.73114899999996</v>
      </c>
      <c r="AL192" s="1623">
        <v>41712.006999999998</v>
      </c>
      <c r="AM192" s="1623">
        <v>2887.6886392400002</v>
      </c>
      <c r="AN192" s="1623">
        <v>96.381</v>
      </c>
      <c r="AO192" s="1624">
        <v>5.6098879999999998</v>
      </c>
      <c r="AP192" s="1623">
        <v>4658.5940000000001</v>
      </c>
      <c r="AQ192" s="1623">
        <v>236.60176971000001</v>
      </c>
      <c r="AR192" s="1623">
        <v>40.747</v>
      </c>
      <c r="AS192" s="1623">
        <v>15.079388380000001</v>
      </c>
      <c r="AT192" s="1623">
        <v>4617.8469999999998</v>
      </c>
      <c r="AU192" s="1623">
        <v>221.52238132999997</v>
      </c>
      <c r="AV192" s="1623">
        <v>9751.598</v>
      </c>
      <c r="AW192" s="1623">
        <v>510.62033714</v>
      </c>
      <c r="AX192" s="1623">
        <v>527.08600000000001</v>
      </c>
      <c r="AY192" s="1623">
        <v>104.37337269</v>
      </c>
      <c r="AZ192" s="1623">
        <v>4974.4740000000002</v>
      </c>
      <c r="BA192" s="1623">
        <v>170.44801059</v>
      </c>
      <c r="BB192" s="1623">
        <v>4790.0930000000044</v>
      </c>
      <c r="BC192" s="1623">
        <v>139.92930530000001</v>
      </c>
      <c r="BD192" s="1623">
        <v>3773.9250000000002</v>
      </c>
      <c r="BE192" s="1623">
        <v>209.00939314999999</v>
      </c>
      <c r="BF192" s="1625">
        <v>3.3229999999999933</v>
      </c>
      <c r="BG192" s="1624">
        <v>0.3836460000000006</v>
      </c>
      <c r="BH192" s="1623">
        <v>472.79</v>
      </c>
      <c r="BI192" s="1622">
        <v>26.405914710000001</v>
      </c>
      <c r="BJ192" s="1624">
        <v>1.2299999999999969</v>
      </c>
      <c r="BK192" s="1624">
        <v>0.40672779999999875</v>
      </c>
      <c r="BL192" s="1623">
        <v>471.5600000000004</v>
      </c>
      <c r="BM192" s="1622">
        <v>25.999186910000049</v>
      </c>
    </row>
    <row r="193" spans="1:65">
      <c r="A193" s="1627" t="s">
        <v>23</v>
      </c>
      <c r="B193" s="1622">
        <v>15040.03</v>
      </c>
      <c r="C193" s="1622">
        <v>11129.734</v>
      </c>
      <c r="D193" s="1622">
        <v>3630.0509999999999</v>
      </c>
      <c r="E193" s="1622">
        <v>2801.4340000000002</v>
      </c>
      <c r="F193" s="1622">
        <v>6588.37</v>
      </c>
      <c r="G193" s="1622">
        <v>2020.175</v>
      </c>
      <c r="H193" s="1622">
        <v>89105.342000000004</v>
      </c>
      <c r="I193" s="1622">
        <v>6992.0970189400005</v>
      </c>
      <c r="J193" s="1622">
        <v>12585.849</v>
      </c>
      <c r="K193" s="1622">
        <v>2987.3052473600001</v>
      </c>
      <c r="L193" s="1622">
        <v>27.609000000000002</v>
      </c>
      <c r="M193" s="1622">
        <v>148.21523624</v>
      </c>
      <c r="N193" s="1622">
        <v>1.6830000000000001</v>
      </c>
      <c r="O193" s="1622">
        <v>0.66541885000000001</v>
      </c>
      <c r="P193" s="1622">
        <v>31783.24</v>
      </c>
      <c r="Q193" s="1622">
        <v>751.06084162000002</v>
      </c>
      <c r="R193" s="1622">
        <v>30576.085999999999</v>
      </c>
      <c r="S193" s="1622">
        <v>676.79452354</v>
      </c>
      <c r="T193" s="1622">
        <v>40083.050000000003</v>
      </c>
      <c r="U193" s="1622">
        <v>2867.1671545899999</v>
      </c>
      <c r="V193" s="1622">
        <v>78.227999999999994</v>
      </c>
      <c r="W193" s="1626">
        <v>5.7459749999999996</v>
      </c>
      <c r="X193" s="1623">
        <v>4545.683</v>
      </c>
      <c r="Y193" s="1623">
        <v>231.93714528000001</v>
      </c>
      <c r="Z193" s="1623">
        <v>36.859000000000002</v>
      </c>
      <c r="AA193" s="1623">
        <v>12.563790640000001</v>
      </c>
      <c r="AB193" s="1623">
        <v>4508.8239999999996</v>
      </c>
      <c r="AC193" s="1623">
        <v>219.37335463999997</v>
      </c>
      <c r="AD193" s="1623">
        <v>80360.144</v>
      </c>
      <c r="AE193" s="1623">
        <v>6528.84742723</v>
      </c>
      <c r="AF193" s="1623">
        <v>12130.992</v>
      </c>
      <c r="AG193" s="1623">
        <v>2892.2141637899999</v>
      </c>
      <c r="AH193" s="1623">
        <v>27398.415000000001</v>
      </c>
      <c r="AI193" s="1623">
        <v>746.26542365</v>
      </c>
      <c r="AJ193" s="1623">
        <v>26327.594000000001</v>
      </c>
      <c r="AK193" s="1623">
        <v>552.42655400000001</v>
      </c>
      <c r="AL193" s="1623">
        <v>36641.150999999998</v>
      </c>
      <c r="AM193" s="1623">
        <v>2676.8117659999998</v>
      </c>
      <c r="AN193" s="1623">
        <v>76.268000000000001</v>
      </c>
      <c r="AO193" s="1624">
        <v>5.4704639999999998</v>
      </c>
      <c r="AP193" s="1623">
        <v>4113.3180000000002</v>
      </c>
      <c r="AQ193" s="1623">
        <v>208.08560936999999</v>
      </c>
      <c r="AR193" s="1623">
        <v>35.676000000000002</v>
      </c>
      <c r="AS193" s="1623">
        <v>12.24176306</v>
      </c>
      <c r="AT193" s="1623">
        <v>4077.6419999999998</v>
      </c>
      <c r="AU193" s="1623">
        <v>195.84384631</v>
      </c>
      <c r="AV193" s="1623">
        <v>8745.1980000000003</v>
      </c>
      <c r="AW193" s="1623">
        <v>463.24959171</v>
      </c>
      <c r="AX193" s="1623">
        <v>456.54</v>
      </c>
      <c r="AY193" s="1623">
        <v>95.756502420000004</v>
      </c>
      <c r="AZ193" s="1623">
        <v>4412.4340000000002</v>
      </c>
      <c r="BA193" s="1623">
        <v>153.01065421000001</v>
      </c>
      <c r="BB193" s="1623">
        <v>4248.4920000000002</v>
      </c>
      <c r="BC193" s="1623">
        <v>124.367969</v>
      </c>
      <c r="BD193" s="1623">
        <v>3441.8989999999999</v>
      </c>
      <c r="BE193" s="1623">
        <v>190.355388</v>
      </c>
      <c r="BF193" s="1625">
        <v>1.9599999999999937</v>
      </c>
      <c r="BG193" s="1624">
        <v>0.27551099999999984</v>
      </c>
      <c r="BH193" s="1623">
        <v>432.36500000000001</v>
      </c>
      <c r="BI193" s="1622">
        <v>23.851535909999999</v>
      </c>
      <c r="BJ193" s="1624">
        <v>1.1829999999999998</v>
      </c>
      <c r="BK193" s="1624">
        <v>0.32202758000000031</v>
      </c>
      <c r="BL193" s="1623">
        <v>431.18199999999979</v>
      </c>
      <c r="BM193" s="1622">
        <v>23.52950832999997</v>
      </c>
    </row>
    <row r="194" spans="1:65">
      <c r="A194" s="1627" t="s">
        <v>24</v>
      </c>
      <c r="B194" s="1622">
        <v>15346.348</v>
      </c>
      <c r="C194" s="1622">
        <v>11401.555</v>
      </c>
      <c r="D194" s="1622">
        <v>3646.5169999999998</v>
      </c>
      <c r="E194" s="1622">
        <v>2828.25</v>
      </c>
      <c r="F194" s="1622">
        <v>6819.2330000000002</v>
      </c>
      <c r="G194" s="1622">
        <v>2052.348</v>
      </c>
      <c r="H194" s="1622">
        <v>111949.804</v>
      </c>
      <c r="I194" s="1622">
        <v>8461.2850210899996</v>
      </c>
      <c r="J194" s="1622">
        <v>14850.141</v>
      </c>
      <c r="K194" s="1622">
        <v>3428.1871837100002</v>
      </c>
      <c r="L194" s="1622">
        <v>29.515000000000001</v>
      </c>
      <c r="M194" s="1622">
        <v>160.50809709000001</v>
      </c>
      <c r="N194" s="1622">
        <v>2.0150000000000001</v>
      </c>
      <c r="O194" s="1622">
        <v>0.86727452999999999</v>
      </c>
      <c r="P194" s="1622">
        <v>40882.317000000003</v>
      </c>
      <c r="Q194" s="1622">
        <v>964.67460057999995</v>
      </c>
      <c r="R194" s="1622">
        <v>39425.398000000001</v>
      </c>
      <c r="S194" s="1622">
        <v>881.20377800000006</v>
      </c>
      <c r="T194" s="1622">
        <v>50416.103000000003</v>
      </c>
      <c r="U194" s="1622">
        <v>3583.175675</v>
      </c>
      <c r="V194" s="1622">
        <v>105.42100000000001</v>
      </c>
      <c r="W194" s="1626">
        <v>7.3879999999999999</v>
      </c>
      <c r="X194" s="1623">
        <v>5664.2920000000004</v>
      </c>
      <c r="Y194" s="1623">
        <v>316.48361199999999</v>
      </c>
      <c r="Z194" s="1623">
        <v>44.274000000000001</v>
      </c>
      <c r="AA194" s="1623">
        <v>15.50671</v>
      </c>
      <c r="AB194" s="1623">
        <v>5620.018</v>
      </c>
      <c r="AC194" s="1623">
        <v>300.976902</v>
      </c>
      <c r="AD194" s="1623">
        <v>101119.447</v>
      </c>
      <c r="AE194" s="1623">
        <v>7885.2856683600003</v>
      </c>
      <c r="AF194" s="1623">
        <v>14296.146000000001</v>
      </c>
      <c r="AG194" s="1623">
        <v>3313.9136804599998</v>
      </c>
      <c r="AH194" s="1623">
        <v>35420.19</v>
      </c>
      <c r="AI194" s="1623">
        <v>933.82414085999994</v>
      </c>
      <c r="AJ194" s="1623">
        <v>34128.389000000003</v>
      </c>
      <c r="AK194" s="1623">
        <v>722.44152499999996</v>
      </c>
      <c r="AL194" s="1623">
        <v>46194.508999999998</v>
      </c>
      <c r="AM194" s="1623">
        <v>3345.98911851</v>
      </c>
      <c r="AN194" s="1623">
        <v>102.601</v>
      </c>
      <c r="AO194" s="1624">
        <v>6.9697149999999999</v>
      </c>
      <c r="AP194" s="1623">
        <v>5106.0010000000002</v>
      </c>
      <c r="AQ194" s="1623">
        <v>284.58901352999999</v>
      </c>
      <c r="AR194" s="1623">
        <v>42.594000000000001</v>
      </c>
      <c r="AS194" s="1623">
        <v>15.008955</v>
      </c>
      <c r="AT194" s="1623">
        <v>5063.4070000000002</v>
      </c>
      <c r="AU194" s="1623">
        <v>269.58005800000001</v>
      </c>
      <c r="AV194" s="1623">
        <v>10830.357</v>
      </c>
      <c r="AW194" s="1623">
        <v>575.99935273000006</v>
      </c>
      <c r="AX194" s="1623">
        <v>556.01</v>
      </c>
      <c r="AY194" s="1623">
        <v>115.14077777999999</v>
      </c>
      <c r="AZ194" s="1623">
        <v>5491.6419999999998</v>
      </c>
      <c r="BA194" s="1623">
        <v>191.35855681000001</v>
      </c>
      <c r="BB194" s="1623">
        <v>5297.009</v>
      </c>
      <c r="BC194" s="1623">
        <v>158.76225199999999</v>
      </c>
      <c r="BD194" s="1623">
        <v>4221.5940000000001</v>
      </c>
      <c r="BE194" s="1623">
        <v>237.18655648999999</v>
      </c>
      <c r="BF194" s="1625">
        <v>2.82</v>
      </c>
      <c r="BG194" s="1624">
        <v>0.41886299999999999</v>
      </c>
      <c r="BH194" s="1623">
        <v>558.29100000000005</v>
      </c>
      <c r="BI194" s="1622">
        <v>31.894598649999999</v>
      </c>
      <c r="BJ194" s="1624">
        <v>1.68</v>
      </c>
      <c r="BK194" s="1624">
        <v>0.497755</v>
      </c>
      <c r="BL194" s="1623">
        <v>556.61099999999999</v>
      </c>
      <c r="BM194" s="1622">
        <v>31.396844000000002</v>
      </c>
    </row>
    <row r="195" spans="1:65">
      <c r="A195" s="1627" t="s">
        <v>25</v>
      </c>
      <c r="B195" s="1622">
        <v>15669.379000000001</v>
      </c>
      <c r="C195" s="1622">
        <v>11689.138000000001</v>
      </c>
      <c r="D195" s="1622">
        <v>3660.5439999999999</v>
      </c>
      <c r="E195" s="1622">
        <v>2802.4969999999998</v>
      </c>
      <c r="F195" s="1622">
        <v>7149.0439999999999</v>
      </c>
      <c r="G195" s="1622">
        <v>2057.2939999999999</v>
      </c>
      <c r="H195" s="1622">
        <v>109838.95699999999</v>
      </c>
      <c r="I195" s="1622">
        <v>8098.3709204999996</v>
      </c>
      <c r="J195" s="1622">
        <v>13505.132</v>
      </c>
      <c r="K195" s="1622">
        <v>3095.4694056399999</v>
      </c>
      <c r="L195" s="1622">
        <v>30.481999999999999</v>
      </c>
      <c r="M195" s="1622">
        <v>160.10911532</v>
      </c>
      <c r="N195" s="1622">
        <v>1.6419999999999999</v>
      </c>
      <c r="O195" s="1622">
        <v>0.72827805999999995</v>
      </c>
      <c r="P195" s="1622">
        <v>40868.186000000002</v>
      </c>
      <c r="Q195" s="1622">
        <v>905.41185552000002</v>
      </c>
      <c r="R195" s="1622">
        <v>39596.881999999998</v>
      </c>
      <c r="S195" s="1622">
        <v>842.66776300000004</v>
      </c>
      <c r="T195" s="1622">
        <v>49689.332999999999</v>
      </c>
      <c r="U195" s="1622">
        <v>3595.85264663</v>
      </c>
      <c r="V195" s="1622">
        <v>104.71599999999999</v>
      </c>
      <c r="W195" s="1626">
        <v>7.0928699999999996</v>
      </c>
      <c r="X195" s="1623">
        <v>5639.4660000000003</v>
      </c>
      <c r="Y195" s="1623">
        <v>333.706749</v>
      </c>
      <c r="Z195" s="1623">
        <v>44.634</v>
      </c>
      <c r="AA195" s="1623">
        <v>15.039501</v>
      </c>
      <c r="AB195" s="1623">
        <v>5594.8320000000003</v>
      </c>
      <c r="AC195" s="1623">
        <v>318.66724699999997</v>
      </c>
      <c r="AD195" s="1623">
        <v>98666.922999999995</v>
      </c>
      <c r="AE195" s="1623">
        <v>7514.8882324599999</v>
      </c>
      <c r="AF195" s="1623">
        <v>12952.728999999999</v>
      </c>
      <c r="AG195" s="1623">
        <v>2977.49142072</v>
      </c>
      <c r="AH195" s="1623">
        <v>35323.517</v>
      </c>
      <c r="AI195" s="1623">
        <v>885.49776596000004</v>
      </c>
      <c r="AJ195" s="1623">
        <v>34205.141000000003</v>
      </c>
      <c r="AK195" s="1623">
        <v>693.09484999999995</v>
      </c>
      <c r="AL195" s="1623">
        <v>45208.012999999999</v>
      </c>
      <c r="AM195" s="1623">
        <v>3344.6918342600002</v>
      </c>
      <c r="AN195" s="1623">
        <v>101.931</v>
      </c>
      <c r="AO195" s="1624">
        <v>6.6980300000000002</v>
      </c>
      <c r="AP195" s="1623">
        <v>5080.7330000000002</v>
      </c>
      <c r="AQ195" s="1623">
        <v>300.50918128000001</v>
      </c>
      <c r="AR195" s="1623">
        <v>42.716000000000001</v>
      </c>
      <c r="AS195" s="1623">
        <v>14.454787</v>
      </c>
      <c r="AT195" s="1623">
        <v>5038.0169999999998</v>
      </c>
      <c r="AU195" s="1623">
        <v>286.054393</v>
      </c>
      <c r="AV195" s="1623">
        <v>11172.034</v>
      </c>
      <c r="AW195" s="1623">
        <v>583.48268803999997</v>
      </c>
      <c r="AX195" s="1623">
        <v>554.04499999999996</v>
      </c>
      <c r="AY195" s="1623">
        <v>118.70626298000001</v>
      </c>
      <c r="AZ195" s="1623">
        <v>5575.1509999999998</v>
      </c>
      <c r="BA195" s="1623">
        <v>180.02320488000001</v>
      </c>
      <c r="BB195" s="1623">
        <v>5391.741</v>
      </c>
      <c r="BC195" s="1623">
        <v>149.572912</v>
      </c>
      <c r="BD195" s="1623">
        <v>4481.32</v>
      </c>
      <c r="BE195" s="1623">
        <v>251.16081237</v>
      </c>
      <c r="BF195" s="1625">
        <v>2.7850000000000001</v>
      </c>
      <c r="BG195" s="1624">
        <v>0.39484000000000002</v>
      </c>
      <c r="BH195" s="1623">
        <v>558.73299999999995</v>
      </c>
      <c r="BI195" s="1622">
        <v>33.197566999999999</v>
      </c>
      <c r="BJ195" s="1624">
        <v>1.9179999999999999</v>
      </c>
      <c r="BK195" s="1624">
        <v>0.58471300000000004</v>
      </c>
      <c r="BL195" s="1623">
        <v>556.81500000000005</v>
      </c>
      <c r="BM195" s="1622">
        <v>32.612853000000001</v>
      </c>
    </row>
    <row r="196" spans="1:65">
      <c r="A196" s="1627" t="s">
        <v>26</v>
      </c>
      <c r="B196" s="1622">
        <v>15938.96</v>
      </c>
      <c r="C196" s="1622">
        <v>11967.246999999999</v>
      </c>
      <c r="D196" s="1622">
        <v>3593.9989999999998</v>
      </c>
      <c r="E196" s="1622">
        <v>2829.8490000000002</v>
      </c>
      <c r="F196" s="1622">
        <v>7377.1329999999998</v>
      </c>
      <c r="G196" s="1622">
        <v>2138</v>
      </c>
      <c r="H196" s="1622">
        <v>106993.68700000001</v>
      </c>
      <c r="I196" s="1622">
        <v>7815.0436795899996</v>
      </c>
      <c r="J196" s="1622">
        <v>13205.648999999999</v>
      </c>
      <c r="K196" s="1622">
        <v>3020.1305229</v>
      </c>
      <c r="L196" s="1622">
        <v>28.878</v>
      </c>
      <c r="M196" s="1622">
        <v>146.96564000000001</v>
      </c>
      <c r="N196" s="1622">
        <v>1.3460000000000001</v>
      </c>
      <c r="O196" s="1622">
        <v>0.48639141000000002</v>
      </c>
      <c r="P196" s="1622">
        <v>37830.487999999998</v>
      </c>
      <c r="Q196" s="1622">
        <v>828.86119266000003</v>
      </c>
      <c r="R196" s="1622">
        <v>36664.49</v>
      </c>
      <c r="S196" s="1622">
        <v>772.83900000000006</v>
      </c>
      <c r="T196" s="1622">
        <v>50672.94</v>
      </c>
      <c r="U196" s="1622">
        <v>3551.9583200000002</v>
      </c>
      <c r="V196" s="1622">
        <v>93.8</v>
      </c>
      <c r="W196" s="1626">
        <v>6.45242</v>
      </c>
      <c r="X196" s="1623">
        <v>5160.5829999999996</v>
      </c>
      <c r="Y196" s="1623">
        <v>260.18918485</v>
      </c>
      <c r="Z196" s="1623">
        <v>48.201999999999998</v>
      </c>
      <c r="AA196" s="1623">
        <v>14.592449999999999</v>
      </c>
      <c r="AB196" s="1623">
        <v>5112.3810000000003</v>
      </c>
      <c r="AC196" s="1623">
        <v>245.59673744</v>
      </c>
      <c r="AD196" s="1623">
        <v>96478.164000000004</v>
      </c>
      <c r="AE196" s="1623">
        <v>7254.6287572199999</v>
      </c>
      <c r="AF196" s="1623">
        <v>12663.464</v>
      </c>
      <c r="AG196" s="1623">
        <v>2904.21027736</v>
      </c>
      <c r="AH196" s="1623">
        <v>32812.832999999999</v>
      </c>
      <c r="AI196" s="1623">
        <v>819.05356847999997</v>
      </c>
      <c r="AJ196" s="1623">
        <v>31785.77</v>
      </c>
      <c r="AK196" s="1623">
        <v>633.30963999999994</v>
      </c>
      <c r="AL196" s="1623">
        <v>46250.813999999998</v>
      </c>
      <c r="AM196" s="1623">
        <v>3292.4261976900002</v>
      </c>
      <c r="AN196" s="1623">
        <v>91.19</v>
      </c>
      <c r="AO196" s="1624">
        <v>6.4204999999999997</v>
      </c>
      <c r="AP196" s="1623">
        <v>4659.8680000000004</v>
      </c>
      <c r="AQ196" s="1623">
        <v>232.89666052999999</v>
      </c>
      <c r="AR196" s="1623">
        <v>46.78</v>
      </c>
      <c r="AS196" s="1623">
        <v>14.281658</v>
      </c>
      <c r="AT196" s="1623">
        <v>4613.0879999999997</v>
      </c>
      <c r="AU196" s="1623">
        <v>218.615002</v>
      </c>
      <c r="AV196" s="1623">
        <v>10515.522999999999</v>
      </c>
      <c r="AW196" s="1623">
        <v>560.41492237</v>
      </c>
      <c r="AX196" s="1623">
        <v>543.53099999999995</v>
      </c>
      <c r="AY196" s="1623">
        <v>116.40663695000001</v>
      </c>
      <c r="AZ196" s="1623">
        <v>5046.5330000000004</v>
      </c>
      <c r="BA196" s="1623">
        <v>156.77326418000001</v>
      </c>
      <c r="BB196" s="1623">
        <v>4878.72</v>
      </c>
      <c r="BC196" s="1623">
        <v>139.53032999999999</v>
      </c>
      <c r="BD196" s="1623">
        <v>4422.13</v>
      </c>
      <c r="BE196" s="1623">
        <v>259.53212592</v>
      </c>
      <c r="BF196" s="1625">
        <v>2.61</v>
      </c>
      <c r="BG196" s="1624">
        <v>0.41037000000000001</v>
      </c>
      <c r="BH196" s="1623">
        <v>500.71499999999997</v>
      </c>
      <c r="BI196" s="1622">
        <v>27.292524319999998</v>
      </c>
      <c r="BJ196" s="1624">
        <v>1.422385</v>
      </c>
      <c r="BK196" s="1624">
        <v>0.31078899999999998</v>
      </c>
      <c r="BL196" s="1623">
        <v>499.29300000000001</v>
      </c>
      <c r="BM196" s="1622">
        <v>26.981735</v>
      </c>
    </row>
    <row r="197" spans="1:65">
      <c r="A197" s="1627" t="s">
        <v>27</v>
      </c>
      <c r="B197" s="1622">
        <v>16209.588</v>
      </c>
      <c r="C197" s="1622">
        <v>12290.865</v>
      </c>
      <c r="D197" s="1622">
        <v>3626.3119999999999</v>
      </c>
      <c r="E197" s="1622">
        <v>2822.2249999999999</v>
      </c>
      <c r="F197" s="1622">
        <v>7609.0839999999998</v>
      </c>
      <c r="G197" s="1622">
        <v>2151.9670000000001</v>
      </c>
      <c r="H197" s="1622">
        <v>120754.42600000001</v>
      </c>
      <c r="I197" s="1622">
        <v>8829.7085741600004</v>
      </c>
      <c r="J197" s="1622">
        <v>15242.12</v>
      </c>
      <c r="K197" s="1622">
        <v>3383.8277263800001</v>
      </c>
      <c r="L197" s="1622">
        <v>28.114999999999998</v>
      </c>
      <c r="M197" s="1622">
        <v>154.02448326000001</v>
      </c>
      <c r="N197" s="1622">
        <v>1.9059999999999999</v>
      </c>
      <c r="O197" s="1622">
        <v>0.74716371000000004</v>
      </c>
      <c r="P197" s="1622">
        <v>40978.031999999999</v>
      </c>
      <c r="Q197" s="1622">
        <v>901.98704989999999</v>
      </c>
      <c r="R197" s="1622">
        <v>39650.983999999997</v>
      </c>
      <c r="S197" s="1622">
        <v>836.09853599999997</v>
      </c>
      <c r="T197" s="1622">
        <v>59178.62</v>
      </c>
      <c r="U197" s="1622">
        <v>4106.5593921999998</v>
      </c>
      <c r="V197" s="1622">
        <v>110.499</v>
      </c>
      <c r="W197" s="1626">
        <v>7.6681229999999996</v>
      </c>
      <c r="X197" s="1623">
        <v>5215.134</v>
      </c>
      <c r="Y197" s="1623">
        <v>274.89463531000001</v>
      </c>
      <c r="Z197" s="1623">
        <v>63.237000000000002</v>
      </c>
      <c r="AA197" s="1623">
        <v>15.675862</v>
      </c>
      <c r="AB197" s="1623">
        <v>5151.8969999999999</v>
      </c>
      <c r="AC197" s="1623">
        <v>259.218772</v>
      </c>
      <c r="AD197" s="1623">
        <v>109684.361</v>
      </c>
      <c r="AE197" s="1623">
        <v>8226.17658252</v>
      </c>
      <c r="AF197" s="1623">
        <v>14662.275</v>
      </c>
      <c r="AG197" s="1623">
        <v>3262.9015440500002</v>
      </c>
      <c r="AH197" s="1623">
        <v>35840.262999999999</v>
      </c>
      <c r="AI197" s="1623">
        <v>892.12192987000003</v>
      </c>
      <c r="AJ197" s="1623">
        <v>34661.910000000003</v>
      </c>
      <c r="AK197" s="1623">
        <v>688.99559699999998</v>
      </c>
      <c r="AL197" s="1623">
        <v>54315.046000000002</v>
      </c>
      <c r="AM197" s="1623">
        <v>3818.1418483100001</v>
      </c>
      <c r="AN197" s="1623">
        <v>107.694</v>
      </c>
      <c r="AO197" s="1624">
        <v>7.2891899999999996</v>
      </c>
      <c r="AP197" s="1623">
        <v>4759.0829999999996</v>
      </c>
      <c r="AQ197" s="1623">
        <v>245.722069</v>
      </c>
      <c r="AR197" s="1623">
        <v>61.753999999999998</v>
      </c>
      <c r="AS197" s="1623">
        <v>15.320204</v>
      </c>
      <c r="AT197" s="1623">
        <v>4697.3289999999997</v>
      </c>
      <c r="AU197" s="1623">
        <v>230.40186499999999</v>
      </c>
      <c r="AV197" s="1623">
        <v>11070.065000000001</v>
      </c>
      <c r="AW197" s="1623">
        <v>603.53199164</v>
      </c>
      <c r="AX197" s="1623">
        <v>581.75099999999998</v>
      </c>
      <c r="AY197" s="1623">
        <v>121.67334604</v>
      </c>
      <c r="AZ197" s="1623">
        <v>5165.884</v>
      </c>
      <c r="BA197" s="1623">
        <v>163.88960329</v>
      </c>
      <c r="BB197" s="1623">
        <v>4989.0739999999996</v>
      </c>
      <c r="BC197" s="1623">
        <v>147.10293899999999</v>
      </c>
      <c r="BD197" s="1623">
        <v>4863.5739999999996</v>
      </c>
      <c r="BE197" s="1623">
        <v>288.41754388999999</v>
      </c>
      <c r="BF197" s="1625">
        <v>2.8050000000000002</v>
      </c>
      <c r="BG197" s="1624">
        <v>0.37893300000000002</v>
      </c>
      <c r="BH197" s="1623">
        <v>456.05099999999999</v>
      </c>
      <c r="BI197" s="1622">
        <v>29.172565420000002</v>
      </c>
      <c r="BJ197" s="1624">
        <v>1.4830000000000001</v>
      </c>
      <c r="BK197" s="1624">
        <v>0.35565799999999997</v>
      </c>
      <c r="BL197" s="1623">
        <v>454.56799999999998</v>
      </c>
      <c r="BM197" s="1622">
        <v>28.816907</v>
      </c>
    </row>
    <row r="198" spans="1:65">
      <c r="A198" s="1627" t="s">
        <v>28</v>
      </c>
      <c r="B198" s="1622">
        <v>16565.031999999999</v>
      </c>
      <c r="C198" s="1622">
        <v>12657.371999999999</v>
      </c>
      <c r="D198" s="1622">
        <v>3640.6640000000002</v>
      </c>
      <c r="E198" s="1622">
        <v>2866.1370000000002</v>
      </c>
      <c r="F198" s="1622">
        <v>7879.59</v>
      </c>
      <c r="G198" s="1622">
        <v>2178.6410000000001</v>
      </c>
      <c r="H198" s="1622">
        <v>121365.327</v>
      </c>
      <c r="I198" s="1622">
        <v>8735.4613215600002</v>
      </c>
      <c r="J198" s="1622">
        <v>14169.787</v>
      </c>
      <c r="K198" s="1622">
        <v>3197.2821302399998</v>
      </c>
      <c r="L198" s="1622">
        <v>27.718</v>
      </c>
      <c r="M198" s="1622">
        <v>223.15175963999999</v>
      </c>
      <c r="N198" s="1622">
        <v>1.6539999999999999</v>
      </c>
      <c r="O198" s="1622">
        <v>0.90041828999999995</v>
      </c>
      <c r="P198" s="1622">
        <v>41646.949000000001</v>
      </c>
      <c r="Q198" s="1622">
        <v>938.89967836999995</v>
      </c>
      <c r="R198" s="1622">
        <v>39953.695</v>
      </c>
      <c r="S198" s="1622">
        <v>861.66872499999999</v>
      </c>
      <c r="T198" s="1622">
        <v>59343.135000000002</v>
      </c>
      <c r="U198" s="1622">
        <v>4047.0817160000001</v>
      </c>
      <c r="V198" s="1622">
        <v>115.982</v>
      </c>
      <c r="W198" s="1626">
        <v>7.9442539999999999</v>
      </c>
      <c r="X198" s="1623">
        <v>6060.1019999999999</v>
      </c>
      <c r="Y198" s="1623">
        <v>320.20136500000001</v>
      </c>
      <c r="Z198" s="1623">
        <v>58.604999999999997</v>
      </c>
      <c r="AA198" s="1623">
        <v>14.640045000000001</v>
      </c>
      <c r="AB198" s="1623">
        <v>6001.4970000000003</v>
      </c>
      <c r="AC198" s="1623">
        <v>305.56131900000003</v>
      </c>
      <c r="AD198" s="1623">
        <v>110218.864</v>
      </c>
      <c r="AE198" s="1623">
        <v>8106.8932483099998</v>
      </c>
      <c r="AF198" s="1623">
        <v>13627.117</v>
      </c>
      <c r="AG198" s="1623">
        <v>3081.8081333</v>
      </c>
      <c r="AH198" s="1623">
        <v>36434.453999999998</v>
      </c>
      <c r="AI198" s="1623">
        <v>977.35109173000001</v>
      </c>
      <c r="AJ198" s="1623">
        <v>34934.230000000003</v>
      </c>
      <c r="AK198" s="1623">
        <v>698.20847000000003</v>
      </c>
      <c r="AL198" s="1623">
        <v>54544.794000000002</v>
      </c>
      <c r="AM198" s="1623">
        <v>3756.4108814699998</v>
      </c>
      <c r="AN198" s="1623">
        <v>111.521</v>
      </c>
      <c r="AO198" s="1624">
        <v>7.5824189999999998</v>
      </c>
      <c r="AP198" s="1623">
        <v>5500.9780000000001</v>
      </c>
      <c r="AQ198" s="1623">
        <v>283.740723</v>
      </c>
      <c r="AR198" s="1623">
        <v>56.973999999999997</v>
      </c>
      <c r="AS198" s="1623">
        <v>14.228872000000001</v>
      </c>
      <c r="AT198" s="1623">
        <v>5444.0039999999999</v>
      </c>
      <c r="AU198" s="1623">
        <v>269.51185120999997</v>
      </c>
      <c r="AV198" s="1623">
        <v>11146.463</v>
      </c>
      <c r="AW198" s="1623">
        <v>628.56807325</v>
      </c>
      <c r="AX198" s="1623">
        <v>544.32399999999996</v>
      </c>
      <c r="AY198" s="1623">
        <v>116.37441523</v>
      </c>
      <c r="AZ198" s="1623">
        <v>5240.2129999999997</v>
      </c>
      <c r="BA198" s="1623">
        <v>184.70034627999999</v>
      </c>
      <c r="BB198" s="1623">
        <v>5019</v>
      </c>
      <c r="BC198" s="1623">
        <v>163.46025399999999</v>
      </c>
      <c r="BD198" s="1623">
        <v>4798.34</v>
      </c>
      <c r="BE198" s="1623">
        <v>290.67061863999999</v>
      </c>
      <c r="BF198" s="1625">
        <v>4.4610000000000003</v>
      </c>
      <c r="BG198" s="1624">
        <v>0.36183500000000002</v>
      </c>
      <c r="BH198" s="1623">
        <v>559.12400000000002</v>
      </c>
      <c r="BI198" s="1622">
        <v>36.460641000000003</v>
      </c>
      <c r="BJ198" s="1624">
        <v>1.631</v>
      </c>
      <c r="BK198" s="1624">
        <v>0.41099999999999998</v>
      </c>
      <c r="BL198" s="1623">
        <v>557.49400000000003</v>
      </c>
      <c r="BM198" s="1622">
        <v>36.049684999999997</v>
      </c>
    </row>
    <row r="199" spans="1:65">
      <c r="A199" s="1627" t="s">
        <v>29</v>
      </c>
      <c r="B199" s="1622">
        <v>16925.156999999999</v>
      </c>
      <c r="C199" s="1622">
        <v>12955.138999999999</v>
      </c>
      <c r="D199" s="1622">
        <v>3655.0920000000001</v>
      </c>
      <c r="E199" s="1622">
        <v>2880.8829999999998</v>
      </c>
      <c r="F199" s="1622">
        <v>8173.4979999999996</v>
      </c>
      <c r="G199" s="1622">
        <v>2215.6840000000002</v>
      </c>
      <c r="H199" s="1622">
        <v>134246.057</v>
      </c>
      <c r="I199" s="1622">
        <v>10119.95295646</v>
      </c>
      <c r="J199" s="1622">
        <v>15974.851000000001</v>
      </c>
      <c r="K199" s="1622">
        <v>3847.5410133800001</v>
      </c>
      <c r="L199" s="1622">
        <v>33.088999999999999</v>
      </c>
      <c r="M199" s="1622">
        <v>206.80871805999999</v>
      </c>
      <c r="N199" s="1622">
        <v>2.274</v>
      </c>
      <c r="O199" s="1622">
        <v>1.2416950200000001</v>
      </c>
      <c r="P199" s="1622">
        <v>43019.303999999996</v>
      </c>
      <c r="Q199" s="1622">
        <v>986.83675048999999</v>
      </c>
      <c r="R199" s="1622">
        <v>41440.684000000001</v>
      </c>
      <c r="S199" s="1622">
        <v>911.86311699999999</v>
      </c>
      <c r="T199" s="1622">
        <v>69565.247000000003</v>
      </c>
      <c r="U199" s="1622">
        <v>4801.2413682200004</v>
      </c>
      <c r="V199" s="1622">
        <v>106.73699999999999</v>
      </c>
      <c r="W199" s="1626">
        <v>8.5007699999999993</v>
      </c>
      <c r="X199" s="1623">
        <v>5544.5550000000003</v>
      </c>
      <c r="Y199" s="1623">
        <v>267.78264000000001</v>
      </c>
      <c r="Z199" s="1623">
        <v>55.515999999999998</v>
      </c>
      <c r="AA199" s="1623">
        <v>14.756081</v>
      </c>
      <c r="AB199" s="1623">
        <v>5489</v>
      </c>
      <c r="AC199" s="1623">
        <v>253.02655799999999</v>
      </c>
      <c r="AD199" s="1623">
        <v>122772.66899999999</v>
      </c>
      <c r="AE199" s="1623">
        <v>9465.6359570900004</v>
      </c>
      <c r="AF199" s="1623">
        <v>15414.527</v>
      </c>
      <c r="AG199" s="1623">
        <v>3722.0112247500001</v>
      </c>
      <c r="AH199" s="1623">
        <v>37818.794000000002</v>
      </c>
      <c r="AI199" s="1623">
        <v>1019.30673996</v>
      </c>
      <c r="AJ199" s="1623">
        <v>36412.525999999998</v>
      </c>
      <c r="AK199" s="1623">
        <v>756.92291399999999</v>
      </c>
      <c r="AL199" s="1623">
        <v>64358.156000000003</v>
      </c>
      <c r="AM199" s="1623">
        <v>4476.6534219900004</v>
      </c>
      <c r="AN199" s="1623">
        <v>103.709</v>
      </c>
      <c r="AO199" s="1624">
        <v>8.0172410000000003</v>
      </c>
      <c r="AP199" s="1623">
        <v>5077.4830000000002</v>
      </c>
      <c r="AQ199" s="1623">
        <v>239.64732860000001</v>
      </c>
      <c r="AR199" s="1623">
        <v>53.86</v>
      </c>
      <c r="AS199" s="1623">
        <v>14.378038999999999</v>
      </c>
      <c r="AT199" s="1623">
        <v>5023.6229999999996</v>
      </c>
      <c r="AU199" s="1623">
        <v>225.26928799999999</v>
      </c>
      <c r="AV199" s="1623">
        <v>11473.388000000001</v>
      </c>
      <c r="AW199" s="1623">
        <v>654.31699936999996</v>
      </c>
      <c r="AX199" s="1623">
        <v>562.59799999999996</v>
      </c>
      <c r="AY199" s="1623">
        <v>126.77148364999999</v>
      </c>
      <c r="AZ199" s="1623">
        <v>5233.5990000000002</v>
      </c>
      <c r="BA199" s="1623">
        <v>174.33872858999999</v>
      </c>
      <c r="BB199" s="1623">
        <v>5028.1580000000004</v>
      </c>
      <c r="BC199" s="1623">
        <v>154.940203</v>
      </c>
      <c r="BD199" s="1623">
        <v>5207.0910000000003</v>
      </c>
      <c r="BE199" s="1623">
        <v>324.58794623</v>
      </c>
      <c r="BF199" s="1625">
        <v>3.028</v>
      </c>
      <c r="BG199" s="1624">
        <v>0.48352899999999999</v>
      </c>
      <c r="BH199" s="1623">
        <v>467.072</v>
      </c>
      <c r="BI199" s="1622">
        <v>28.135311900000001</v>
      </c>
      <c r="BJ199" s="1624">
        <v>1.6559999999999999</v>
      </c>
      <c r="BK199" s="1624">
        <v>0.37804100000000002</v>
      </c>
      <c r="BL199" s="1623">
        <v>465.416</v>
      </c>
      <c r="BM199" s="1622">
        <v>27.757269999999998</v>
      </c>
    </row>
    <row r="200" spans="1:65">
      <c r="A200" s="1627" t="s">
        <v>3989</v>
      </c>
      <c r="B200" s="1628">
        <v>19898.735000000001</v>
      </c>
      <c r="C200" s="1628">
        <v>15999.099</v>
      </c>
      <c r="D200" s="1628">
        <v>3381.3</v>
      </c>
      <c r="E200" s="1628">
        <v>2896.9769999999999</v>
      </c>
      <c r="F200" s="1628">
        <v>11364.099</v>
      </c>
      <c r="G200" s="1628">
        <v>2256.3589999999999</v>
      </c>
      <c r="H200" s="1628">
        <f>SUM(H201:H212)</f>
        <v>1899313.0729999999</v>
      </c>
      <c r="I200" s="1628">
        <f t="shared" ref="I200:BM200" si="38">SUM(I201:I212)</f>
        <v>126195.98845226002</v>
      </c>
      <c r="J200" s="1628">
        <f t="shared" si="38"/>
        <v>177315.19200000004</v>
      </c>
      <c r="K200" s="1628">
        <f t="shared" si="38"/>
        <v>41829.472320110006</v>
      </c>
      <c r="L200" s="1628">
        <f t="shared" si="38"/>
        <v>361.64400000000001</v>
      </c>
      <c r="M200" s="1628">
        <f t="shared" si="38"/>
        <v>2180.8110033399998</v>
      </c>
      <c r="N200" s="1628">
        <f t="shared" si="38"/>
        <v>19.845999999999997</v>
      </c>
      <c r="O200" s="1628">
        <f t="shared" si="38"/>
        <v>10.206181770000001</v>
      </c>
      <c r="P200" s="1628">
        <f t="shared" si="38"/>
        <v>621888.94299999997</v>
      </c>
      <c r="Q200" s="1628">
        <f t="shared" si="38"/>
        <v>12273.954585820002</v>
      </c>
      <c r="R200" s="1628">
        <f t="shared" si="38"/>
        <v>599823.45399999991</v>
      </c>
      <c r="S200" s="1628">
        <f t="shared" si="38"/>
        <v>11534.513827709998</v>
      </c>
      <c r="T200" s="1628">
        <f t="shared" si="38"/>
        <v>1033366.544</v>
      </c>
      <c r="U200" s="1628">
        <f t="shared" si="38"/>
        <v>66515.469995969979</v>
      </c>
      <c r="V200" s="1628">
        <f t="shared" si="38"/>
        <v>1176.6659999999999</v>
      </c>
      <c r="W200" s="1628">
        <f t="shared" si="38"/>
        <v>83.369740999999991</v>
      </c>
      <c r="X200" s="1628">
        <f t="shared" si="38"/>
        <v>65184.238000000005</v>
      </c>
      <c r="Y200" s="1628">
        <f t="shared" si="38"/>
        <v>3302.7040516000002</v>
      </c>
      <c r="Z200" s="1628">
        <f t="shared" si="38"/>
        <v>531.35899999999992</v>
      </c>
      <c r="AA200" s="1628">
        <f t="shared" si="38"/>
        <v>160.62193878000002</v>
      </c>
      <c r="AB200" s="1628">
        <f t="shared" si="38"/>
        <v>64653.183000000005</v>
      </c>
      <c r="AC200" s="1628">
        <f t="shared" si="38"/>
        <v>3141.4142548999998</v>
      </c>
      <c r="AD200" s="1628">
        <f t="shared" si="38"/>
        <v>1747292.6449999998</v>
      </c>
      <c r="AE200" s="1628">
        <f t="shared" si="38"/>
        <v>117411.88543416001</v>
      </c>
      <c r="AF200" s="1628">
        <f t="shared" si="38"/>
        <v>171451.141</v>
      </c>
      <c r="AG200" s="1628">
        <f t="shared" si="38"/>
        <v>40399.228694070007</v>
      </c>
      <c r="AH200" s="1628">
        <f t="shared" si="38"/>
        <v>549974.90299999993</v>
      </c>
      <c r="AI200" s="1628">
        <f t="shared" si="38"/>
        <v>12316.422983779999</v>
      </c>
      <c r="AJ200" s="1628">
        <f t="shared" si="38"/>
        <v>530142.54599999997</v>
      </c>
      <c r="AK200" s="1628">
        <f t="shared" si="38"/>
        <v>9607.4698661699986</v>
      </c>
      <c r="AL200" s="1628">
        <f t="shared" si="38"/>
        <v>964617.45399999991</v>
      </c>
      <c r="AM200" s="1628">
        <f t="shared" si="38"/>
        <v>61651.107438260005</v>
      </c>
      <c r="AN200" s="1628">
        <f t="shared" si="38"/>
        <v>1074.7359999999999</v>
      </c>
      <c r="AO200" s="1635">
        <f t="shared" si="38"/>
        <v>74.157358999999985</v>
      </c>
      <c r="AP200" s="1628">
        <f t="shared" si="38"/>
        <v>60174.411</v>
      </c>
      <c r="AQ200" s="1628">
        <f t="shared" si="38"/>
        <v>2970.9680759400003</v>
      </c>
      <c r="AR200" s="1628">
        <f t="shared" si="38"/>
        <v>514.09199999999998</v>
      </c>
      <c r="AS200" s="1628">
        <f t="shared" si="38"/>
        <v>156.47354738999999</v>
      </c>
      <c r="AT200" s="1628">
        <f t="shared" si="38"/>
        <v>59660.345000000001</v>
      </c>
      <c r="AU200" s="1628">
        <f t="shared" si="38"/>
        <v>2814.6646886799999</v>
      </c>
      <c r="AV200" s="1628">
        <f t="shared" si="38"/>
        <v>152020.42799999999</v>
      </c>
      <c r="AW200" s="1628">
        <f t="shared" si="38"/>
        <v>8784.10301746</v>
      </c>
      <c r="AX200" s="1628">
        <f t="shared" si="38"/>
        <v>5883.8969999999999</v>
      </c>
      <c r="AY200" s="1628">
        <f t="shared" si="38"/>
        <v>1440.4491914</v>
      </c>
      <c r="AZ200" s="1628">
        <f t="shared" si="38"/>
        <v>72275.684000000008</v>
      </c>
      <c r="BA200" s="1628">
        <f t="shared" si="38"/>
        <v>2138.3426042799997</v>
      </c>
      <c r="BB200" s="1628">
        <f t="shared" si="38"/>
        <v>69680.907999999996</v>
      </c>
      <c r="BC200" s="1628">
        <f t="shared" si="38"/>
        <v>1924.04456854</v>
      </c>
      <c r="BD200" s="1628">
        <f t="shared" si="38"/>
        <v>68749.09</v>
      </c>
      <c r="BE200" s="1628">
        <f t="shared" si="38"/>
        <v>4864.3625571499997</v>
      </c>
      <c r="BF200" s="1552">
        <f t="shared" si="38"/>
        <v>101.93</v>
      </c>
      <c r="BG200" s="1635">
        <f t="shared" si="38"/>
        <v>9.2120709999999999</v>
      </c>
      <c r="BH200" s="1628">
        <f t="shared" si="38"/>
        <v>5009.8270000000002</v>
      </c>
      <c r="BI200" s="1628">
        <f t="shared" si="38"/>
        <v>331.73597619000003</v>
      </c>
      <c r="BJ200" s="1635">
        <f t="shared" si="38"/>
        <v>17.267000000000003</v>
      </c>
      <c r="BK200" s="1635">
        <f t="shared" si="38"/>
        <v>5.0405623899999989</v>
      </c>
      <c r="BL200" s="1628">
        <f t="shared" si="38"/>
        <v>4992.58</v>
      </c>
      <c r="BM200" s="1628">
        <f t="shared" si="38"/>
        <v>326.21749307000005</v>
      </c>
    </row>
    <row r="201" spans="1:65">
      <c r="A201" s="1627" t="s">
        <v>18</v>
      </c>
      <c r="B201" s="1622">
        <v>17240.879000000001</v>
      </c>
      <c r="C201" s="1622">
        <v>13216.007</v>
      </c>
      <c r="D201" s="1622">
        <v>3659.1370000000002</v>
      </c>
      <c r="E201" s="1622">
        <v>2898.029</v>
      </c>
      <c r="F201" s="1622">
        <v>8446.0720000000001</v>
      </c>
      <c r="G201" s="1622">
        <v>2237.6410000000001</v>
      </c>
      <c r="H201" s="1622">
        <v>128022.59600000001</v>
      </c>
      <c r="I201" s="1622">
        <v>8251.6287882199995</v>
      </c>
      <c r="J201" s="1622">
        <v>13106.066000000001</v>
      </c>
      <c r="K201" s="1622">
        <v>2808.1479143800002</v>
      </c>
      <c r="L201" s="1622">
        <v>23.423999999999999</v>
      </c>
      <c r="M201" s="1622">
        <v>138.89240580000001</v>
      </c>
      <c r="N201" s="1622">
        <v>1.3169999999999999</v>
      </c>
      <c r="O201" s="1622">
        <v>0.62872015000000003</v>
      </c>
      <c r="P201" s="1622">
        <v>43106.97</v>
      </c>
      <c r="Q201" s="1622">
        <v>929.59673467000005</v>
      </c>
      <c r="R201" s="1622">
        <v>41571.517</v>
      </c>
      <c r="S201" s="1622">
        <v>869.75741900000003</v>
      </c>
      <c r="T201" s="1622">
        <v>66298.294999999998</v>
      </c>
      <c r="U201" s="1622">
        <v>4094.4949632500002</v>
      </c>
      <c r="V201" s="1622">
        <v>92.015000000000001</v>
      </c>
      <c r="W201" s="1626">
        <v>7.2034479999999999</v>
      </c>
      <c r="X201" s="1623">
        <v>5394.509</v>
      </c>
      <c r="Y201" s="1623">
        <v>272.66460143</v>
      </c>
      <c r="Z201" s="1623">
        <v>50.646999999999998</v>
      </c>
      <c r="AA201" s="1623">
        <v>14.161599000000001</v>
      </c>
      <c r="AB201" s="1623">
        <v>5343.8620000000001</v>
      </c>
      <c r="AC201" s="1623">
        <v>258.50300199999998</v>
      </c>
      <c r="AD201" s="1623">
        <v>116600.82799999999</v>
      </c>
      <c r="AE201" s="1623">
        <v>7631.85175058</v>
      </c>
      <c r="AF201" s="1623">
        <v>12561.855</v>
      </c>
      <c r="AG201" s="1623">
        <v>2695.2850181200001</v>
      </c>
      <c r="AH201" s="1623">
        <v>37800.224999999999</v>
      </c>
      <c r="AI201" s="1623">
        <v>903.81985429999997</v>
      </c>
      <c r="AJ201" s="1623">
        <v>36439.625999999997</v>
      </c>
      <c r="AK201" s="1623">
        <v>721.34299699999997</v>
      </c>
      <c r="AL201" s="1623">
        <v>61205.464</v>
      </c>
      <c r="AM201" s="1623">
        <v>3782.1262262</v>
      </c>
      <c r="AN201" s="1623">
        <v>86.744</v>
      </c>
      <c r="AO201" s="1624">
        <v>6.710674</v>
      </c>
      <c r="AP201" s="1623">
        <v>4946.54</v>
      </c>
      <c r="AQ201" s="1623">
        <v>243.90997741999999</v>
      </c>
      <c r="AR201" s="1623">
        <v>49.24</v>
      </c>
      <c r="AS201" s="1623">
        <v>13.792495000000001</v>
      </c>
      <c r="AT201" s="1623">
        <v>4897.3</v>
      </c>
      <c r="AU201" s="1623">
        <v>230.117481</v>
      </c>
      <c r="AV201" s="1623">
        <v>11421.768</v>
      </c>
      <c r="AW201" s="1623">
        <v>619.77703699999995</v>
      </c>
      <c r="AX201" s="1623">
        <v>545.52800000000002</v>
      </c>
      <c r="AY201" s="1623">
        <v>113.491</v>
      </c>
      <c r="AZ201" s="1623">
        <v>5330.1689999999999</v>
      </c>
      <c r="BA201" s="1623">
        <v>164.669286</v>
      </c>
      <c r="BB201" s="1623">
        <v>5131.8909999999996</v>
      </c>
      <c r="BC201" s="1623">
        <v>148.414421</v>
      </c>
      <c r="BD201" s="1623">
        <v>5092.8310000000001</v>
      </c>
      <c r="BE201" s="1623">
        <v>312.36873700000001</v>
      </c>
      <c r="BF201" s="1625">
        <v>5.2709999999999999</v>
      </c>
      <c r="BG201" s="1624">
        <v>0.49277399999999999</v>
      </c>
      <c r="BH201" s="1623">
        <v>447.96899999999999</v>
      </c>
      <c r="BI201" s="1622">
        <v>28.754624</v>
      </c>
      <c r="BJ201" s="1624">
        <v>1.407</v>
      </c>
      <c r="BK201" s="1624">
        <v>0.36910300000000001</v>
      </c>
      <c r="BL201" s="1623">
        <v>446.56200000000001</v>
      </c>
      <c r="BM201" s="1622">
        <v>28.38552</v>
      </c>
    </row>
    <row r="202" spans="1:65">
      <c r="A202" s="1627" t="s">
        <v>19</v>
      </c>
      <c r="B202" s="1622">
        <v>17342.636999999999</v>
      </c>
      <c r="C202" s="1622">
        <v>13509.178</v>
      </c>
      <c r="D202" s="1622">
        <v>3471.2489999999998</v>
      </c>
      <c r="E202" s="1622">
        <v>2900.346</v>
      </c>
      <c r="F202" s="1622">
        <v>8708.8950000000004</v>
      </c>
      <c r="G202" s="1622">
        <v>2262.1469999999999</v>
      </c>
      <c r="H202" s="1622">
        <v>130233.92600000001</v>
      </c>
      <c r="I202" s="1622">
        <v>9247.7897132800008</v>
      </c>
      <c r="J202" s="1622">
        <v>14055.991</v>
      </c>
      <c r="K202" s="1622">
        <v>3367.66686884</v>
      </c>
      <c r="L202" s="1622">
        <v>28</v>
      </c>
      <c r="M202" s="1622">
        <v>172.01761349</v>
      </c>
      <c r="N202" s="1622">
        <v>1.196</v>
      </c>
      <c r="O202" s="1622">
        <v>0.55355178000000005</v>
      </c>
      <c r="P202" s="1622">
        <v>43229.31</v>
      </c>
      <c r="Q202" s="1622">
        <v>897.10463142000003</v>
      </c>
      <c r="R202" s="1622">
        <v>41698.355000000003</v>
      </c>
      <c r="S202" s="1622">
        <v>838.90421500000002</v>
      </c>
      <c r="T202" s="1622">
        <v>67945.843999999997</v>
      </c>
      <c r="U202" s="1622">
        <v>4561.5483667799999</v>
      </c>
      <c r="V202" s="1622">
        <v>100.953</v>
      </c>
      <c r="W202" s="1626">
        <v>8.4512689999999999</v>
      </c>
      <c r="X202" s="1623">
        <v>4872.6319999999996</v>
      </c>
      <c r="Y202" s="1623">
        <v>240.44741196999999</v>
      </c>
      <c r="Z202" s="1623">
        <v>42.37</v>
      </c>
      <c r="AA202" s="1623">
        <v>13</v>
      </c>
      <c r="AB202" s="1623">
        <v>4830.2619999999997</v>
      </c>
      <c r="AC202" s="1623">
        <v>226.55299600000001</v>
      </c>
      <c r="AD202" s="1623">
        <v>118998.39</v>
      </c>
      <c r="AE202" s="1623">
        <v>8623.2064046699998</v>
      </c>
      <c r="AF202" s="1623">
        <v>13535.518</v>
      </c>
      <c r="AG202" s="1623">
        <v>3249.90716041</v>
      </c>
      <c r="AH202" s="1623">
        <v>37965.358</v>
      </c>
      <c r="AI202" s="1623">
        <v>911.26340755000001</v>
      </c>
      <c r="AJ202" s="1623">
        <v>36601.177000000003</v>
      </c>
      <c r="AK202" s="1623">
        <v>697.38775099999998</v>
      </c>
      <c r="AL202" s="1623">
        <v>62936.499000000003</v>
      </c>
      <c r="AM202" s="1623">
        <v>4238.3767421800003</v>
      </c>
      <c r="AN202" s="1623">
        <v>92.819000000000003</v>
      </c>
      <c r="AO202" s="1624">
        <v>7.7505649999999999</v>
      </c>
      <c r="AP202" s="1623">
        <v>4468.1959999999999</v>
      </c>
      <c r="AQ202" s="1623">
        <v>215.90852953000001</v>
      </c>
      <c r="AR202" s="1623">
        <v>41.238999999999997</v>
      </c>
      <c r="AS202" s="1623">
        <v>13.545</v>
      </c>
      <c r="AT202" s="1623">
        <v>4426.9570000000003</v>
      </c>
      <c r="AU202" s="1623">
        <v>202.36328900000001</v>
      </c>
      <c r="AV202" s="1623">
        <v>11235.536</v>
      </c>
      <c r="AW202" s="1623">
        <v>624.58330861000002</v>
      </c>
      <c r="AX202" s="1623">
        <v>521.66899999999998</v>
      </c>
      <c r="AY202" s="1623">
        <v>118.31326021</v>
      </c>
      <c r="AZ202" s="1623">
        <v>5291.9520000000002</v>
      </c>
      <c r="BA202" s="1623">
        <v>157.85883736</v>
      </c>
      <c r="BB202" s="1623">
        <v>5097.1779999999999</v>
      </c>
      <c r="BC202" s="1623">
        <v>141.51646400000001</v>
      </c>
      <c r="BD202" s="1623">
        <v>5009.3450000000003</v>
      </c>
      <c r="BE202" s="1623">
        <v>323.17162459999997</v>
      </c>
      <c r="BF202" s="1625">
        <v>8.1340000000000003</v>
      </c>
      <c r="BG202" s="1624">
        <v>0.70070399999999999</v>
      </c>
      <c r="BH202" s="1623">
        <v>404.43599999999998</v>
      </c>
      <c r="BI202" s="1622">
        <v>24.538882439999998</v>
      </c>
      <c r="BJ202" s="1624">
        <v>1.131</v>
      </c>
      <c r="BK202" s="1624">
        <v>0.34917500000000001</v>
      </c>
      <c r="BL202" s="1623">
        <v>403.30500000000001</v>
      </c>
      <c r="BM202" s="1622">
        <v>24.189706999999999</v>
      </c>
    </row>
    <row r="203" spans="1:65">
      <c r="A203" s="1627" t="s">
        <v>20</v>
      </c>
      <c r="B203" s="1622">
        <v>17421.128000000001</v>
      </c>
      <c r="C203" s="1622">
        <v>13716.291999999999</v>
      </c>
      <c r="D203" s="1622">
        <v>3442.6149999999998</v>
      </c>
      <c r="E203" s="1622">
        <v>2736.123</v>
      </c>
      <c r="F203" s="1622">
        <v>8964.5959999999995</v>
      </c>
      <c r="G203" s="1622">
        <v>2277.7939999999999</v>
      </c>
      <c r="H203" s="1622">
        <v>135880.701</v>
      </c>
      <c r="I203" s="1622">
        <v>9551.3584319099991</v>
      </c>
      <c r="J203" s="1622">
        <v>14553.489</v>
      </c>
      <c r="K203" s="1622">
        <v>3422.1057780400001</v>
      </c>
      <c r="L203" s="1622">
        <v>26.673999999999999</v>
      </c>
      <c r="M203" s="1622">
        <v>148.67584891999999</v>
      </c>
      <c r="N203" s="1622">
        <v>1.294</v>
      </c>
      <c r="O203" s="1622">
        <v>0.81360544999999995</v>
      </c>
      <c r="P203" s="1622">
        <v>44386.892</v>
      </c>
      <c r="Q203" s="1622">
        <v>951.82234559000005</v>
      </c>
      <c r="R203" s="1622">
        <v>42838.800999999999</v>
      </c>
      <c r="S203" s="1622">
        <v>891.19908799999996</v>
      </c>
      <c r="T203" s="1622">
        <v>71448.247000000003</v>
      </c>
      <c r="U203" s="1622">
        <v>4736.8556398199999</v>
      </c>
      <c r="V203" s="1622">
        <v>88.06</v>
      </c>
      <c r="W203" s="1626">
        <v>7.8845039999999997</v>
      </c>
      <c r="X203" s="1623">
        <v>5376.0450000000001</v>
      </c>
      <c r="Y203" s="1623">
        <v>283.20070944999998</v>
      </c>
      <c r="Z203" s="1623">
        <v>44.335000000000001</v>
      </c>
      <c r="AA203" s="1623">
        <v>13.177362</v>
      </c>
      <c r="AB203" s="1623">
        <v>5332</v>
      </c>
      <c r="AC203" s="1623">
        <v>270</v>
      </c>
      <c r="AD203" s="1623">
        <v>124543.80899999999</v>
      </c>
      <c r="AE203" s="1623">
        <v>8906.4118397099992</v>
      </c>
      <c r="AF203" s="1623">
        <v>14055.752</v>
      </c>
      <c r="AG203" s="1623">
        <v>3310.7209714599999</v>
      </c>
      <c r="AH203" s="1623">
        <v>39084.516000000003</v>
      </c>
      <c r="AI203" s="1623">
        <v>928.57251151000003</v>
      </c>
      <c r="AJ203" s="1623">
        <v>37706.993999999999</v>
      </c>
      <c r="AK203" s="1623">
        <v>736.48703799999998</v>
      </c>
      <c r="AL203" s="1623">
        <v>66393.358999999997</v>
      </c>
      <c r="AM203" s="1623">
        <v>4407.6126897000004</v>
      </c>
      <c r="AN203" s="1623">
        <v>80.245999999999995</v>
      </c>
      <c r="AO203" s="1624">
        <v>7.1934959999999997</v>
      </c>
      <c r="AP203" s="1623">
        <v>4929.9359999999997</v>
      </c>
      <c r="AQ203" s="1623">
        <v>252.31217040000001</v>
      </c>
      <c r="AR203" s="1623">
        <v>42.95</v>
      </c>
      <c r="AS203" s="1623">
        <v>12.756135</v>
      </c>
      <c r="AT203" s="1623">
        <v>4887</v>
      </c>
      <c r="AU203" s="1623">
        <v>240</v>
      </c>
      <c r="AV203" s="1623">
        <v>11336.892</v>
      </c>
      <c r="AW203" s="1623">
        <v>644.94659220000005</v>
      </c>
      <c r="AX203" s="1623">
        <v>499.03100000000001</v>
      </c>
      <c r="AY203" s="1623">
        <v>112.19841203</v>
      </c>
      <c r="AZ203" s="1623">
        <v>5329.05</v>
      </c>
      <c r="BA203" s="1623">
        <v>171.92568299999999</v>
      </c>
      <c r="BB203" s="1623">
        <v>5131.8069999999998</v>
      </c>
      <c r="BC203" s="1623">
        <v>154.71204900000001</v>
      </c>
      <c r="BD203" s="1623">
        <v>5054.8879999999999</v>
      </c>
      <c r="BE203" s="1623">
        <v>329.24295011999999</v>
      </c>
      <c r="BF203" s="1625">
        <v>7.8140000000000001</v>
      </c>
      <c r="BG203" s="1624">
        <v>0.69100799999999996</v>
      </c>
      <c r="BH203" s="1623">
        <v>446.10899999999998</v>
      </c>
      <c r="BI203" s="1622">
        <v>30.888539049999999</v>
      </c>
      <c r="BJ203" s="1624">
        <v>1.385</v>
      </c>
      <c r="BK203" s="1624">
        <v>0.42122700000000002</v>
      </c>
      <c r="BL203" s="1623">
        <v>444.72399999999999</v>
      </c>
      <c r="BM203" s="1622">
        <v>30.467312</v>
      </c>
    </row>
    <row r="204" spans="1:65">
      <c r="A204" s="1627" t="s">
        <v>21</v>
      </c>
      <c r="B204" s="1622">
        <v>17675.794999999998</v>
      </c>
      <c r="C204" s="1622">
        <v>13981.451999999999</v>
      </c>
      <c r="D204" s="1622">
        <v>3448.9589999999998</v>
      </c>
      <c r="E204" s="1622">
        <v>2741.027</v>
      </c>
      <c r="F204" s="1622">
        <v>9195.9500000000007</v>
      </c>
      <c r="G204" s="1622">
        <v>2289.8589999999999</v>
      </c>
      <c r="H204" s="1622">
        <v>151007.55799999999</v>
      </c>
      <c r="I204" s="1622">
        <v>10019.40798656</v>
      </c>
      <c r="J204" s="1622">
        <v>15344.819</v>
      </c>
      <c r="K204" s="1622">
        <v>3435.2891892399998</v>
      </c>
      <c r="L204" s="1622">
        <v>29.478000000000002</v>
      </c>
      <c r="M204" s="1622">
        <v>177.12103629999999</v>
      </c>
      <c r="N204" s="1622">
        <v>1.601</v>
      </c>
      <c r="O204" s="1622">
        <v>1.05659181</v>
      </c>
      <c r="P204" s="1622">
        <v>51012.83</v>
      </c>
      <c r="Q204" s="1622">
        <v>989.77210449999995</v>
      </c>
      <c r="R204" s="1622">
        <v>49001.620999999999</v>
      </c>
      <c r="S204" s="1622">
        <v>923.33678699999996</v>
      </c>
      <c r="T204" s="1622">
        <v>79270</v>
      </c>
      <c r="U204" s="1622">
        <v>5148.53078267</v>
      </c>
      <c r="V204" s="1622">
        <v>112.578</v>
      </c>
      <c r="W204" s="1626">
        <v>8.2738250000000004</v>
      </c>
      <c r="X204" s="1623">
        <v>5236.2520000000004</v>
      </c>
      <c r="Y204" s="1623">
        <v>259.36445600000002</v>
      </c>
      <c r="Z204" s="1623">
        <v>46.234000000000002</v>
      </c>
      <c r="AA204" s="1623">
        <v>13.593838</v>
      </c>
      <c r="AB204" s="1623">
        <v>5190</v>
      </c>
      <c r="AC204" s="1623">
        <v>245.77</v>
      </c>
      <c r="AD204" s="1623">
        <v>138371.81</v>
      </c>
      <c r="AE204" s="1623">
        <v>9329.0011820100008</v>
      </c>
      <c r="AF204" s="1623">
        <v>14787.579</v>
      </c>
      <c r="AG204" s="1623">
        <v>3310.1489826900001</v>
      </c>
      <c r="AH204" s="1623">
        <v>44885.591</v>
      </c>
      <c r="AI204" s="1623">
        <v>992.27057160000004</v>
      </c>
      <c r="AJ204" s="1623">
        <v>43084.123</v>
      </c>
      <c r="AK204" s="1623">
        <v>766.36503000000005</v>
      </c>
      <c r="AL204" s="1623">
        <v>73759.456999999995</v>
      </c>
      <c r="AM204" s="1623">
        <v>4786.2251858700001</v>
      </c>
      <c r="AN204" s="1623">
        <v>103.765</v>
      </c>
      <c r="AO204" s="1624">
        <v>7.4828840000000003</v>
      </c>
      <c r="AP204" s="1623">
        <v>4835.4179999999997</v>
      </c>
      <c r="AQ204" s="1623">
        <v>232.87355692</v>
      </c>
      <c r="AR204" s="1623">
        <v>44.826999999999998</v>
      </c>
      <c r="AS204" s="1623">
        <v>13.180488</v>
      </c>
      <c r="AT204" s="1623">
        <v>4790.5909999999994</v>
      </c>
      <c r="AU204" s="1623">
        <v>219.69306700000001</v>
      </c>
      <c r="AV204" s="1623">
        <v>12635.748</v>
      </c>
      <c r="AW204" s="1623">
        <v>690.40680454999995</v>
      </c>
      <c r="AX204" s="1623">
        <v>558.84100000000001</v>
      </c>
      <c r="AY204" s="1623">
        <v>126.19679836</v>
      </c>
      <c r="AZ204" s="1623">
        <v>6156.7169999999996</v>
      </c>
      <c r="BA204" s="1623">
        <v>174.62256919999999</v>
      </c>
      <c r="BB204" s="1623">
        <v>5917.4979999999996</v>
      </c>
      <c r="BC204" s="1623">
        <v>156.971757</v>
      </c>
      <c r="BD204" s="1623">
        <v>5510.5429999999997</v>
      </c>
      <c r="BE204" s="1623">
        <v>362.30559679999999</v>
      </c>
      <c r="BF204" s="1625">
        <v>8.8130000000000006</v>
      </c>
      <c r="BG204" s="1624">
        <v>0.79094100000000001</v>
      </c>
      <c r="BH204" s="1623">
        <v>400.834</v>
      </c>
      <c r="BI204" s="1622">
        <v>26.49089919</v>
      </c>
      <c r="BJ204" s="1624">
        <v>1.407</v>
      </c>
      <c r="BK204" s="1624">
        <v>0.41334900000000002</v>
      </c>
      <c r="BL204" s="1623">
        <v>399.42700000000002</v>
      </c>
      <c r="BM204" s="1622">
        <v>26.077549999999999</v>
      </c>
    </row>
    <row r="205" spans="1:65">
      <c r="A205" s="1627" t="s">
        <v>22</v>
      </c>
      <c r="B205" s="1622">
        <v>17866.956999999999</v>
      </c>
      <c r="C205" s="1622">
        <v>14176.852999999999</v>
      </c>
      <c r="D205" s="1622">
        <v>3428.8380000000002</v>
      </c>
      <c r="E205" s="1622">
        <v>2722.9270000000001</v>
      </c>
      <c r="F205" s="1622">
        <v>9433.1139999999996</v>
      </c>
      <c r="G205" s="1622">
        <v>2282.078</v>
      </c>
      <c r="H205" s="1622">
        <v>155719.47500000001</v>
      </c>
      <c r="I205" s="1622">
        <v>10215.770695450001</v>
      </c>
      <c r="J205" s="1622">
        <v>15356.949000000001</v>
      </c>
      <c r="K205" s="1622">
        <v>3505.0372305400001</v>
      </c>
      <c r="L205" s="1622">
        <v>30.321000000000002</v>
      </c>
      <c r="M205" s="1622">
        <v>188.95713867000001</v>
      </c>
      <c r="N205" s="1622">
        <v>1.337</v>
      </c>
      <c r="O205" s="1622">
        <v>0.70281190000000004</v>
      </c>
      <c r="P205" s="1622">
        <v>53092.252</v>
      </c>
      <c r="Q205" s="1622">
        <v>1003.34409433</v>
      </c>
      <c r="R205" s="1622">
        <v>51291.69</v>
      </c>
      <c r="S205" s="1622">
        <v>948.43000900000004</v>
      </c>
      <c r="T205" s="1622">
        <v>81847.392999999996</v>
      </c>
      <c r="U205" s="1622">
        <v>5245.6337196000004</v>
      </c>
      <c r="V205" s="1622">
        <v>115.57599999999999</v>
      </c>
      <c r="W205" s="1626">
        <v>9.0691600000000001</v>
      </c>
      <c r="X205" s="1623">
        <v>5275.6469999999999</v>
      </c>
      <c r="Y205" s="1623">
        <v>263.02654000000001</v>
      </c>
      <c r="Z205" s="1623">
        <v>46.976999999999997</v>
      </c>
      <c r="AA205" s="1623">
        <v>14.053424</v>
      </c>
      <c r="AB205" s="1623">
        <v>5228.67</v>
      </c>
      <c r="AC205" s="1623">
        <v>248.97311500000001</v>
      </c>
      <c r="AD205" s="1623">
        <v>142887.56200000001</v>
      </c>
      <c r="AE205" s="1623">
        <v>9514.4745656100004</v>
      </c>
      <c r="AF205" s="1623">
        <v>14832.236999999999</v>
      </c>
      <c r="AG205" s="1623">
        <v>3378.7460690399998</v>
      </c>
      <c r="AH205" s="1623">
        <v>46810.639000000003</v>
      </c>
      <c r="AI205" s="1623">
        <v>1017.01111056</v>
      </c>
      <c r="AJ205" s="1623">
        <v>45199.328000000001</v>
      </c>
      <c r="AK205" s="1623">
        <v>791.04558799999995</v>
      </c>
      <c r="AL205" s="1623">
        <v>76278.057000000001</v>
      </c>
      <c r="AM205" s="1623">
        <v>4874.2527434499998</v>
      </c>
      <c r="AN205" s="1623">
        <v>105.18300000000001</v>
      </c>
      <c r="AO205" s="1624">
        <v>8.1601909999999993</v>
      </c>
      <c r="AP205" s="1623">
        <v>4861.4459999999999</v>
      </c>
      <c r="AQ205" s="1623">
        <v>236.30445155999999</v>
      </c>
      <c r="AR205" s="1623">
        <v>45.473999999999997</v>
      </c>
      <c r="AS205" s="1623">
        <v>13.552671</v>
      </c>
      <c r="AT205" s="1623">
        <v>4815.9719999999998</v>
      </c>
      <c r="AU205" s="1623">
        <v>222.75178</v>
      </c>
      <c r="AV205" s="1623">
        <v>12831.913</v>
      </c>
      <c r="AW205" s="1623">
        <v>701.29612984000005</v>
      </c>
      <c r="AX205" s="1623">
        <v>526.04899999999998</v>
      </c>
      <c r="AY205" s="1623">
        <v>126.9939734</v>
      </c>
      <c r="AZ205" s="1623">
        <v>6311.9340000000002</v>
      </c>
      <c r="BA205" s="1623">
        <v>175.29012244</v>
      </c>
      <c r="BB205" s="1623">
        <v>6092.3620000000001</v>
      </c>
      <c r="BC205" s="1623">
        <v>157.38442000000001</v>
      </c>
      <c r="BD205" s="1623">
        <v>5569.3360000000002</v>
      </c>
      <c r="BE205" s="1623">
        <v>371.38097614999998</v>
      </c>
      <c r="BF205" s="1625">
        <v>10.393000000000001</v>
      </c>
      <c r="BG205" s="1624">
        <v>0.90896900000000003</v>
      </c>
      <c r="BH205" s="1623">
        <v>414.20100000000002</v>
      </c>
      <c r="BI205" s="1622">
        <v>26.722088849999999</v>
      </c>
      <c r="BJ205" s="1624">
        <v>1.5029999999999999</v>
      </c>
      <c r="BK205" s="1624">
        <v>0.500753</v>
      </c>
      <c r="BL205" s="1623">
        <v>412.69799999999998</v>
      </c>
      <c r="BM205" s="1622">
        <v>26.221335</v>
      </c>
    </row>
    <row r="206" spans="1:65">
      <c r="A206" s="1627" t="s">
        <v>23</v>
      </c>
      <c r="B206" s="1622">
        <v>18091.272000000001</v>
      </c>
      <c r="C206" s="1622">
        <v>14392.707</v>
      </c>
      <c r="D206" s="1622">
        <v>3439.7269999999999</v>
      </c>
      <c r="E206" s="1622">
        <v>2764.828</v>
      </c>
      <c r="F206" s="1622">
        <v>9611.652</v>
      </c>
      <c r="G206" s="1622">
        <v>2275.0650000000001</v>
      </c>
      <c r="H206" s="1622">
        <v>147665.94699999999</v>
      </c>
      <c r="I206" s="1622">
        <v>9824.2048858500002</v>
      </c>
      <c r="J206" s="1622">
        <v>14140.335999999999</v>
      </c>
      <c r="K206" s="1622">
        <v>3331.8697662099999</v>
      </c>
      <c r="L206" s="1622">
        <v>26.327999999999999</v>
      </c>
      <c r="M206" s="1622">
        <v>160.18342071000001</v>
      </c>
      <c r="N206" s="1622">
        <v>1.212</v>
      </c>
      <c r="O206" s="1622">
        <v>0.66294832000000004</v>
      </c>
      <c r="P206" s="1622">
        <v>50481.726000000002</v>
      </c>
      <c r="Q206" s="1622">
        <v>972.47908741000003</v>
      </c>
      <c r="R206" s="1622">
        <v>48494.623</v>
      </c>
      <c r="S206" s="1622">
        <v>908.93253871000002</v>
      </c>
      <c r="T206" s="1622">
        <v>78485.039000000004</v>
      </c>
      <c r="U206" s="1622">
        <v>5122.4459234400001</v>
      </c>
      <c r="V206" s="1622">
        <v>90.409000000000006</v>
      </c>
      <c r="W206" s="1626">
        <v>7.1860280000000003</v>
      </c>
      <c r="X206" s="1623">
        <v>4440.8969999999999</v>
      </c>
      <c r="Y206" s="1623">
        <v>229.37771176000001</v>
      </c>
      <c r="Z206" s="1623">
        <v>41.058999999999997</v>
      </c>
      <c r="AA206" s="1623">
        <v>11.72933806</v>
      </c>
      <c r="AB206" s="1623">
        <v>4399.8379999999997</v>
      </c>
      <c r="AC206" s="1623">
        <v>217.64837370000001</v>
      </c>
      <c r="AD206" s="1623">
        <v>135796.321</v>
      </c>
      <c r="AE206" s="1623">
        <v>9155.2474534499997</v>
      </c>
      <c r="AF206" s="1623">
        <v>13670.745000000001</v>
      </c>
      <c r="AG206" s="1623">
        <v>3217.5073831899999</v>
      </c>
      <c r="AH206" s="1623">
        <v>44712.983999999997</v>
      </c>
      <c r="AI206" s="1623">
        <v>963.66814110999997</v>
      </c>
      <c r="AJ206" s="1623">
        <v>42933.173999999999</v>
      </c>
      <c r="AK206" s="1623">
        <v>757.76627916999996</v>
      </c>
      <c r="AL206" s="1623">
        <v>73234.323999999993</v>
      </c>
      <c r="AM206" s="1623">
        <v>4761.9673424900002</v>
      </c>
      <c r="AN206" s="1623">
        <v>83.292000000000002</v>
      </c>
      <c r="AO206" s="1624">
        <v>6.3898739999999998</v>
      </c>
      <c r="AP206" s="1623">
        <v>4094.9760000000001</v>
      </c>
      <c r="AQ206" s="1623">
        <v>205.71471266</v>
      </c>
      <c r="AR206" s="1623">
        <v>39.755000000000003</v>
      </c>
      <c r="AS206" s="1623">
        <v>11.390462710000001</v>
      </c>
      <c r="AT206" s="1623">
        <v>4055.2209999999995</v>
      </c>
      <c r="AU206" s="1623">
        <v>194.32424995</v>
      </c>
      <c r="AV206" s="1623">
        <v>11869.626</v>
      </c>
      <c r="AW206" s="1623">
        <v>668.95743240000002</v>
      </c>
      <c r="AX206" s="1623">
        <v>470.803</v>
      </c>
      <c r="AY206" s="1623">
        <v>115.02533133999999</v>
      </c>
      <c r="AZ206" s="1623">
        <v>5795.07</v>
      </c>
      <c r="BA206" s="1623">
        <v>168.99436700999999</v>
      </c>
      <c r="BB206" s="1623">
        <v>5561.4489999999996</v>
      </c>
      <c r="BC206" s="1623">
        <v>151.16625954</v>
      </c>
      <c r="BD206" s="1623">
        <v>5250.7150000000001</v>
      </c>
      <c r="BE206" s="1623">
        <v>360.47858094999998</v>
      </c>
      <c r="BF206" s="1625">
        <v>7.117</v>
      </c>
      <c r="BG206" s="1624">
        <v>0.79615400000000003</v>
      </c>
      <c r="BH206" s="1623">
        <v>345.92099999999999</v>
      </c>
      <c r="BI206" s="1622">
        <v>23.6629991</v>
      </c>
      <c r="BJ206" s="1624">
        <v>1.304</v>
      </c>
      <c r="BK206" s="1624">
        <v>0.33887534999999996</v>
      </c>
      <c r="BL206" s="1623">
        <v>344.61699999999996</v>
      </c>
      <c r="BM206" s="1622">
        <v>23.324123749999998</v>
      </c>
    </row>
    <row r="207" spans="1:65">
      <c r="A207" s="1627" t="s">
        <v>24</v>
      </c>
      <c r="B207" s="1622">
        <v>18340.32</v>
      </c>
      <c r="C207" s="1622">
        <v>14651</v>
      </c>
      <c r="D207" s="1622">
        <v>3400.723</v>
      </c>
      <c r="E207" s="1622">
        <v>2786.1239999999998</v>
      </c>
      <c r="F207" s="1622">
        <v>9867.23</v>
      </c>
      <c r="G207" s="1622">
        <v>2286.2429999999999</v>
      </c>
      <c r="H207" s="1622">
        <v>172011.85800000001</v>
      </c>
      <c r="I207" s="1622">
        <v>11681.443472860001</v>
      </c>
      <c r="J207" s="1622">
        <v>15838.614</v>
      </c>
      <c r="K207" s="1622">
        <v>3880.82785332</v>
      </c>
      <c r="L207" s="1622">
        <v>32.573999999999998</v>
      </c>
      <c r="M207" s="1622">
        <v>204.41616278000001</v>
      </c>
      <c r="N207" s="1622">
        <v>1.339</v>
      </c>
      <c r="O207" s="1622">
        <v>0.85142435999999999</v>
      </c>
      <c r="P207" s="1622">
        <v>59838.624000000003</v>
      </c>
      <c r="Q207" s="1622">
        <v>1168.3150528399999</v>
      </c>
      <c r="R207" s="1622">
        <v>57418.459000000003</v>
      </c>
      <c r="S207" s="1622">
        <v>1093.373697</v>
      </c>
      <c r="T207" s="1622">
        <v>90756.777000000002</v>
      </c>
      <c r="U207" s="1622">
        <v>6101.5401005000003</v>
      </c>
      <c r="V207" s="1622">
        <v>119.892</v>
      </c>
      <c r="W207" s="1626">
        <v>9.3685109999999998</v>
      </c>
      <c r="X207" s="1623">
        <v>5424.0379999999996</v>
      </c>
      <c r="Y207" s="1623">
        <v>316.12436805999999</v>
      </c>
      <c r="Z207" s="1623">
        <v>44.07</v>
      </c>
      <c r="AA207" s="1623">
        <v>13.374896</v>
      </c>
      <c r="AB207" s="1623">
        <v>5380</v>
      </c>
      <c r="AC207" s="1623">
        <v>303</v>
      </c>
      <c r="AD207" s="1623">
        <v>158302.36499999999</v>
      </c>
      <c r="AE207" s="1623">
        <v>10907.31556332</v>
      </c>
      <c r="AF207" s="1623">
        <v>15342.691000000001</v>
      </c>
      <c r="AG207" s="1623">
        <v>3757.6402997</v>
      </c>
      <c r="AH207" s="1623">
        <v>53036.83</v>
      </c>
      <c r="AI207" s="1623">
        <v>1182.1601490999999</v>
      </c>
      <c r="AJ207" s="1623">
        <v>50858.841</v>
      </c>
      <c r="AK207" s="1623">
        <v>921.51822300000003</v>
      </c>
      <c r="AL207" s="1623">
        <v>84830.213000000003</v>
      </c>
      <c r="AM207" s="1623">
        <v>5675.1899824599996</v>
      </c>
      <c r="AN207" s="1623">
        <v>108.123</v>
      </c>
      <c r="AO207" s="1624">
        <v>8.1156279999999992</v>
      </c>
      <c r="AP207" s="1623">
        <v>4984.5079999999998</v>
      </c>
      <c r="AQ207" s="1623">
        <v>284.20950405999997</v>
      </c>
      <c r="AR207" s="1623">
        <v>42.52</v>
      </c>
      <c r="AS207" s="1623">
        <v>12.937946999999999</v>
      </c>
      <c r="AT207" s="1623">
        <v>4942</v>
      </c>
      <c r="AU207" s="1623">
        <v>271</v>
      </c>
      <c r="AV207" s="1623">
        <v>13709.493</v>
      </c>
      <c r="AW207" s="1623">
        <v>774.12790954000002</v>
      </c>
      <c r="AX207" s="1623">
        <v>497.262</v>
      </c>
      <c r="AY207" s="1623">
        <v>124.03897798</v>
      </c>
      <c r="AZ207" s="1623">
        <v>6834.3680000000004</v>
      </c>
      <c r="BA207" s="1623">
        <v>190.57106651999999</v>
      </c>
      <c r="BB207" s="1623">
        <v>6559.6180000000004</v>
      </c>
      <c r="BC207" s="1623">
        <v>171.85547299999999</v>
      </c>
      <c r="BD207" s="1623">
        <v>5926.5640000000003</v>
      </c>
      <c r="BE207" s="1623">
        <v>426.35011800000001</v>
      </c>
      <c r="BF207" s="1625">
        <v>11.769</v>
      </c>
      <c r="BG207" s="1624">
        <v>1.252883</v>
      </c>
      <c r="BH207" s="1623">
        <v>439.53</v>
      </c>
      <c r="BI207" s="1622">
        <v>31.914864000000001</v>
      </c>
      <c r="BJ207" s="1624">
        <v>1.55</v>
      </c>
      <c r="BK207" s="1624">
        <v>0.43694899999999998</v>
      </c>
      <c r="BL207" s="1623">
        <v>438</v>
      </c>
      <c r="BM207" s="1622">
        <v>31</v>
      </c>
    </row>
    <row r="208" spans="1:65">
      <c r="A208" s="1627" t="s">
        <v>25</v>
      </c>
      <c r="B208" s="1622">
        <v>18567.098999999998</v>
      </c>
      <c r="C208" s="1622">
        <v>14860.614</v>
      </c>
      <c r="D208" s="1622">
        <v>3359.9749999999999</v>
      </c>
      <c r="E208" s="1622">
        <v>2791.7750000000001</v>
      </c>
      <c r="F208" s="1622">
        <v>10132.965</v>
      </c>
      <c r="G208" s="1622">
        <v>2282.384</v>
      </c>
      <c r="H208" s="1622">
        <v>162413.27299999999</v>
      </c>
      <c r="I208" s="1622">
        <v>10718.772150360001</v>
      </c>
      <c r="J208" s="1622">
        <v>14114.751</v>
      </c>
      <c r="K208" s="1622">
        <v>3401.0994721400002</v>
      </c>
      <c r="L208" s="1622">
        <v>31.614999999999998</v>
      </c>
      <c r="M208" s="1622">
        <v>190.03787983999999</v>
      </c>
      <c r="N208" s="1622">
        <v>1.3360000000000001</v>
      </c>
      <c r="O208" s="1622">
        <v>0.82201747000000003</v>
      </c>
      <c r="P208" s="1622">
        <v>55280.214</v>
      </c>
      <c r="Q208" s="1622">
        <v>1068.93442858</v>
      </c>
      <c r="R208" s="1622">
        <v>53320.468999999997</v>
      </c>
      <c r="S208" s="1622">
        <v>1004.658383</v>
      </c>
      <c r="T208" s="1622">
        <v>87703.994999999995</v>
      </c>
      <c r="U208" s="1622">
        <v>5737.8918211299997</v>
      </c>
      <c r="V208" s="1622">
        <v>99.072999999999993</v>
      </c>
      <c r="W208" s="1626">
        <v>4.0760310000000004</v>
      </c>
      <c r="X208" s="1623">
        <v>5182.2889999999998</v>
      </c>
      <c r="Y208" s="1623">
        <v>315.9105002</v>
      </c>
      <c r="Z208" s="1623">
        <v>38.448</v>
      </c>
      <c r="AA208" s="1623">
        <v>12.551613</v>
      </c>
      <c r="AB208" s="1623">
        <v>5143.8409999999994</v>
      </c>
      <c r="AC208" s="1623">
        <v>303.35888720000003</v>
      </c>
      <c r="AD208" s="1623">
        <v>149396.23499999999</v>
      </c>
      <c r="AE208" s="1623">
        <v>9967.6933097700003</v>
      </c>
      <c r="AF208" s="1623">
        <v>13661.609</v>
      </c>
      <c r="AG208" s="1623">
        <v>3280.6525355499998</v>
      </c>
      <c r="AH208" s="1623">
        <v>49005.762000000002</v>
      </c>
      <c r="AI208" s="1623">
        <v>1080.7789786400001</v>
      </c>
      <c r="AJ208" s="1623">
        <v>47246.981</v>
      </c>
      <c r="AK208" s="1623">
        <v>845.63635099999999</v>
      </c>
      <c r="AL208" s="1623">
        <v>81887.554000000004</v>
      </c>
      <c r="AM208" s="1623">
        <v>5316.9643231700002</v>
      </c>
      <c r="AN208" s="1623">
        <v>90.537000000000006</v>
      </c>
      <c r="AO208" s="1624">
        <v>3.65449</v>
      </c>
      <c r="AP208" s="1623">
        <v>4750.7730000000001</v>
      </c>
      <c r="AQ208" s="1623">
        <v>285.64298241</v>
      </c>
      <c r="AR208" s="1623">
        <v>36.889000000000003</v>
      </c>
      <c r="AS208" s="1623">
        <v>12.026937999999999</v>
      </c>
      <c r="AT208" s="1623">
        <v>4713.884</v>
      </c>
      <c r="AU208" s="1623">
        <v>273.61404399999998</v>
      </c>
      <c r="AV208" s="1623">
        <v>13017.038</v>
      </c>
      <c r="AW208" s="1623">
        <v>751.07884059000003</v>
      </c>
      <c r="AX208" s="1623">
        <v>454.47800000000001</v>
      </c>
      <c r="AY208" s="1623">
        <v>121.26895406</v>
      </c>
      <c r="AZ208" s="1623">
        <v>6306.067</v>
      </c>
      <c r="BA208" s="1623">
        <v>178.19332978</v>
      </c>
      <c r="BB208" s="1623">
        <v>6073.4880000000003</v>
      </c>
      <c r="BC208" s="1623">
        <v>159.022032</v>
      </c>
      <c r="BD208" s="1623">
        <v>5816.4409999999998</v>
      </c>
      <c r="BE208" s="1623">
        <v>420.92749795999998</v>
      </c>
      <c r="BF208" s="1625">
        <v>8.5359999999999996</v>
      </c>
      <c r="BG208" s="1624">
        <v>0.421541</v>
      </c>
      <c r="BH208" s="1623">
        <v>431.51600000000002</v>
      </c>
      <c r="BI208" s="1622">
        <v>30.267517789999999</v>
      </c>
      <c r="BJ208" s="1624">
        <v>1.5589999999999999</v>
      </c>
      <c r="BK208" s="1624">
        <v>0.522675</v>
      </c>
      <c r="BL208" s="1623">
        <v>429.95699999999999</v>
      </c>
      <c r="BM208" s="1622">
        <v>29.74484279</v>
      </c>
    </row>
    <row r="209" spans="1:65">
      <c r="A209" s="1627" t="s">
        <v>26</v>
      </c>
      <c r="B209" s="1622">
        <v>18923.496999999999</v>
      </c>
      <c r="C209" s="1622">
        <v>15189.303</v>
      </c>
      <c r="D209" s="1622">
        <v>3364.9850000000001</v>
      </c>
      <c r="E209" s="1622">
        <v>2834.3069999999998</v>
      </c>
      <c r="F209" s="1622">
        <v>10450.999</v>
      </c>
      <c r="G209" s="1622">
        <v>2273.2060000000001</v>
      </c>
      <c r="H209" s="1622">
        <v>170478.28400000001</v>
      </c>
      <c r="I209" s="1622">
        <v>11143.5872</v>
      </c>
      <c r="J209" s="1622">
        <v>14898.162</v>
      </c>
      <c r="K209" s="1622">
        <v>3541.2698077800001</v>
      </c>
      <c r="L209" s="1622">
        <v>30.545000000000002</v>
      </c>
      <c r="M209" s="1622">
        <v>182.78390643</v>
      </c>
      <c r="N209" s="1622">
        <v>1.556</v>
      </c>
      <c r="O209" s="1622">
        <v>0.96844978999999998</v>
      </c>
      <c r="P209" s="1622">
        <v>55556.523000000001</v>
      </c>
      <c r="Q209" s="1622">
        <v>1076.0532404800001</v>
      </c>
      <c r="R209" s="1622">
        <v>53489.214999999997</v>
      </c>
      <c r="S209" s="1622">
        <v>1010.2007180000001</v>
      </c>
      <c r="T209" s="1622">
        <v>94653.843999999997</v>
      </c>
      <c r="U209" s="1622">
        <v>6069.4422924999999</v>
      </c>
      <c r="V209" s="1622">
        <v>102.178</v>
      </c>
      <c r="W209" s="1626">
        <v>7.6546690000000002</v>
      </c>
      <c r="X209" s="1623">
        <v>5235.4759999999997</v>
      </c>
      <c r="Y209" s="1623">
        <v>265.41483399999998</v>
      </c>
      <c r="Z209" s="1623">
        <v>40.357999999999997</v>
      </c>
      <c r="AA209" s="1623">
        <v>13.278205</v>
      </c>
      <c r="AB209" s="1623">
        <v>5195.1179999999995</v>
      </c>
      <c r="AC209" s="1623">
        <v>252.13662899999997</v>
      </c>
      <c r="AD209" s="1623">
        <v>157172.204</v>
      </c>
      <c r="AE209" s="1623">
        <v>10344.43803922</v>
      </c>
      <c r="AF209" s="1623">
        <v>14426.553</v>
      </c>
      <c r="AG209" s="1623">
        <v>3413.9528605300002</v>
      </c>
      <c r="AH209" s="1623">
        <v>49310.18</v>
      </c>
      <c r="AI209" s="1623">
        <v>1076.45878229</v>
      </c>
      <c r="AJ209" s="1623">
        <v>47452.824000000001</v>
      </c>
      <c r="AK209" s="1623">
        <v>846.67553099999998</v>
      </c>
      <c r="AL209" s="1623">
        <v>88500.888999999996</v>
      </c>
      <c r="AM209" s="1623">
        <v>5608.1889531500001</v>
      </c>
      <c r="AN209" s="1623">
        <v>93.463999999999999</v>
      </c>
      <c r="AO209" s="1624">
        <v>6.5110679999999999</v>
      </c>
      <c r="AP209" s="1623">
        <v>4841.1180000000004</v>
      </c>
      <c r="AQ209" s="1623">
        <v>239.32637525000001</v>
      </c>
      <c r="AR209" s="1623">
        <v>39.003999999999998</v>
      </c>
      <c r="AS209" s="1623">
        <v>12.854335000000001</v>
      </c>
      <c r="AT209" s="1623">
        <v>4802.1140000000005</v>
      </c>
      <c r="AU209" s="1623">
        <v>226.47204025000002</v>
      </c>
      <c r="AV209" s="1623">
        <v>13306.08</v>
      </c>
      <c r="AW209" s="1623">
        <v>799.14916077999999</v>
      </c>
      <c r="AX209" s="1623">
        <v>473.16500000000002</v>
      </c>
      <c r="AY209" s="1623">
        <v>128.28539703999999</v>
      </c>
      <c r="AZ209" s="1623">
        <v>6276.8879999999999</v>
      </c>
      <c r="BA209" s="1623">
        <v>182.37836462000001</v>
      </c>
      <c r="BB209" s="1623">
        <v>6036.3909999999996</v>
      </c>
      <c r="BC209" s="1623">
        <v>163.52518699999999</v>
      </c>
      <c r="BD209" s="1623">
        <v>6152.9549999999999</v>
      </c>
      <c r="BE209" s="1623">
        <v>461.25333934999998</v>
      </c>
      <c r="BF209" s="1625">
        <v>8.7140000000000004</v>
      </c>
      <c r="BG209" s="1624">
        <v>1.1436010000000001</v>
      </c>
      <c r="BH209" s="1623">
        <v>394.358</v>
      </c>
      <c r="BI209" s="1622">
        <v>26.088458769999999</v>
      </c>
      <c r="BJ209" s="1624">
        <v>1.3540000000000001</v>
      </c>
      <c r="BK209" s="1624">
        <v>0.423869</v>
      </c>
      <c r="BL209" s="1623">
        <v>393.00400000000002</v>
      </c>
      <c r="BM209" s="1622">
        <v>25.664589769999999</v>
      </c>
    </row>
    <row r="210" spans="1:65">
      <c r="A210" s="1627" t="s">
        <v>27</v>
      </c>
      <c r="B210" s="1622">
        <v>19161.752</v>
      </c>
      <c r="C210" s="1622">
        <v>15478.040999999999</v>
      </c>
      <c r="D210" s="1622">
        <v>3334.8069999999998</v>
      </c>
      <c r="E210" s="1622">
        <v>2853.9960000000001</v>
      </c>
      <c r="F210" s="1622">
        <v>10746.138000000001</v>
      </c>
      <c r="G210" s="1622">
        <v>2226.8110000000001</v>
      </c>
      <c r="H210" s="1622">
        <v>184330.92</v>
      </c>
      <c r="I210" s="1622">
        <v>11599.007332630001</v>
      </c>
      <c r="J210" s="1622">
        <v>15366.647000000001</v>
      </c>
      <c r="K210" s="1622">
        <v>3619.8913774500002</v>
      </c>
      <c r="L210" s="1622">
        <v>33.795999999999999</v>
      </c>
      <c r="M210" s="1622">
        <v>202.43911818999999</v>
      </c>
      <c r="N210" s="1622">
        <v>1.6890000000000001</v>
      </c>
      <c r="O210" s="1622">
        <v>1.07254366</v>
      </c>
      <c r="P210" s="1622">
        <v>59770.947999999997</v>
      </c>
      <c r="Q210" s="1622">
        <v>1138.7510491800001</v>
      </c>
      <c r="R210" s="1622">
        <v>57697.004999999997</v>
      </c>
      <c r="S210" s="1622">
        <v>1069.6500000000001</v>
      </c>
      <c r="T210" s="1622">
        <v>103172.379</v>
      </c>
      <c r="U210" s="1622">
        <v>6358.5727761899998</v>
      </c>
      <c r="V210" s="1622">
        <v>100.032</v>
      </c>
      <c r="W210" s="1626">
        <v>7.22126</v>
      </c>
      <c r="X210" s="1623">
        <v>5885.4290000000001</v>
      </c>
      <c r="Y210" s="1623">
        <v>271.05920795999998</v>
      </c>
      <c r="Z210" s="1623">
        <v>47.88</v>
      </c>
      <c r="AA210" s="1623">
        <v>14.512884720000001</v>
      </c>
      <c r="AB210" s="1623">
        <v>5837.549</v>
      </c>
      <c r="AC210" s="1623">
        <v>256.54632299999997</v>
      </c>
      <c r="AD210" s="1623">
        <v>170372.33799999999</v>
      </c>
      <c r="AE210" s="1623">
        <v>10776.64899808</v>
      </c>
      <c r="AF210" s="1623">
        <v>14899.989</v>
      </c>
      <c r="AG210" s="1623">
        <v>3493.93168023</v>
      </c>
      <c r="AH210" s="1623">
        <v>53210.332000000002</v>
      </c>
      <c r="AI210" s="1623">
        <v>1148.9905787</v>
      </c>
      <c r="AJ210" s="1623">
        <v>51340.046999999999</v>
      </c>
      <c r="AK210" s="1623">
        <v>898.388645</v>
      </c>
      <c r="AL210" s="1623">
        <v>96695.149000000005</v>
      </c>
      <c r="AM210" s="1623">
        <v>5882.19959999</v>
      </c>
      <c r="AN210" s="1623">
        <v>91.870999999999995</v>
      </c>
      <c r="AO210" s="1624">
        <v>6.2484909999999996</v>
      </c>
      <c r="AP210" s="1623">
        <v>5474.9970000000003</v>
      </c>
      <c r="AQ210" s="1623">
        <v>245.27864815999999</v>
      </c>
      <c r="AR210" s="1623">
        <v>46.338999999999999</v>
      </c>
      <c r="AS210" s="1623">
        <v>14.16122468</v>
      </c>
      <c r="AT210" s="1623">
        <v>5428.6580000000004</v>
      </c>
      <c r="AU210" s="1623">
        <v>231.11742348000001</v>
      </c>
      <c r="AV210" s="1623">
        <v>13958.582</v>
      </c>
      <c r="AW210" s="1623">
        <v>822.35833455</v>
      </c>
      <c r="AX210" s="1623">
        <v>468.34699999999998</v>
      </c>
      <c r="AY210" s="1623">
        <v>127.03224088</v>
      </c>
      <c r="AZ210" s="1623">
        <v>6594.4120000000003</v>
      </c>
      <c r="BA210" s="1623">
        <v>192.19958867</v>
      </c>
      <c r="BB210" s="1623">
        <v>6356.9579999999996</v>
      </c>
      <c r="BC210" s="1623">
        <v>171.261967</v>
      </c>
      <c r="BD210" s="1623">
        <v>6477.23</v>
      </c>
      <c r="BE210" s="1623">
        <v>476.37317619999999</v>
      </c>
      <c r="BF210" s="1625">
        <v>8.1609999999999996</v>
      </c>
      <c r="BG210" s="1624">
        <v>0.97276899999999999</v>
      </c>
      <c r="BH210" s="1623">
        <v>410.43200000000002</v>
      </c>
      <c r="BI210" s="1622">
        <v>25.780559799999999</v>
      </c>
      <c r="BJ210" s="1624">
        <v>1.5409999999999999</v>
      </c>
      <c r="BK210" s="1624">
        <v>0.35166003999999995</v>
      </c>
      <c r="BL210" s="1623">
        <v>408.89100000000002</v>
      </c>
      <c r="BM210" s="1622">
        <v>25.428899759999997</v>
      </c>
    </row>
    <row r="211" spans="1:65">
      <c r="A211" s="1627" t="s">
        <v>28</v>
      </c>
      <c r="B211" s="1622">
        <v>19463.059000000001</v>
      </c>
      <c r="C211" s="1622">
        <v>15755</v>
      </c>
      <c r="D211" s="1622">
        <v>3367.4969999999998</v>
      </c>
      <c r="E211" s="1622">
        <v>2869.5430000000001</v>
      </c>
      <c r="F211" s="1622">
        <v>10978.33</v>
      </c>
      <c r="G211" s="1622">
        <v>2247.6889999999999</v>
      </c>
      <c r="H211" s="1622">
        <v>165875.96900000001</v>
      </c>
      <c r="I211" s="1622">
        <v>10783.639332979999</v>
      </c>
      <c r="J211" s="1622">
        <v>13925.450999999999</v>
      </c>
      <c r="K211" s="1622">
        <v>3359.0756315899998</v>
      </c>
      <c r="L211" s="1622">
        <v>30.95</v>
      </c>
      <c r="M211" s="1622">
        <v>184.87268922000001</v>
      </c>
      <c r="N211" s="1622">
        <v>1.3919999999999999</v>
      </c>
      <c r="O211" s="1622">
        <v>0.86717111000000002</v>
      </c>
      <c r="P211" s="1622">
        <v>49337.35</v>
      </c>
      <c r="Q211" s="1622">
        <v>956.89012778999995</v>
      </c>
      <c r="R211" s="1622">
        <v>47936.254000000001</v>
      </c>
      <c r="S211" s="1622">
        <v>910.63660400000003</v>
      </c>
      <c r="T211" s="1622">
        <v>96213.301000000007</v>
      </c>
      <c r="U211" s="1622">
        <v>5978.23593721</v>
      </c>
      <c r="V211" s="1622">
        <v>70.325999999999993</v>
      </c>
      <c r="W211" s="1626">
        <v>3.235036</v>
      </c>
      <c r="X211" s="1623">
        <v>6297.1989999999996</v>
      </c>
      <c r="Y211" s="1623">
        <v>300.46274005999999</v>
      </c>
      <c r="Z211" s="1623">
        <v>44.426000000000002</v>
      </c>
      <c r="AA211" s="1623">
        <v>13.255943</v>
      </c>
      <c r="AB211" s="1623">
        <v>6252.7730000000001</v>
      </c>
      <c r="AC211" s="1623">
        <v>287.206796</v>
      </c>
      <c r="AD211" s="1623">
        <v>153180.943</v>
      </c>
      <c r="AE211" s="1623">
        <v>9989.6649773600002</v>
      </c>
      <c r="AF211" s="1623">
        <v>13509.352999999999</v>
      </c>
      <c r="AG211" s="1623">
        <v>3249.68798509</v>
      </c>
      <c r="AH211" s="1623">
        <v>43628.815000000002</v>
      </c>
      <c r="AI211" s="1623">
        <v>962.02697908000005</v>
      </c>
      <c r="AJ211" s="1623">
        <v>42348.968999999997</v>
      </c>
      <c r="AK211" s="1623">
        <v>746.45282799999995</v>
      </c>
      <c r="AL211" s="1623">
        <v>90134.99</v>
      </c>
      <c r="AM211" s="1623">
        <v>5506.0641081900003</v>
      </c>
      <c r="AN211" s="1623">
        <v>63.179000000000002</v>
      </c>
      <c r="AO211" s="1624">
        <v>2.6849980000000002</v>
      </c>
      <c r="AP211" s="1623">
        <v>5844.6059999999998</v>
      </c>
      <c r="AQ211" s="1623">
        <v>269.20090699999997</v>
      </c>
      <c r="AR211" s="1623">
        <v>42.709000000000003</v>
      </c>
      <c r="AS211" s="1623">
        <v>12.727881999999999</v>
      </c>
      <c r="AT211" s="1623">
        <v>5801.8969999999999</v>
      </c>
      <c r="AU211" s="1623">
        <v>256.47302400000001</v>
      </c>
      <c r="AV211" s="1623">
        <v>12695.026</v>
      </c>
      <c r="AW211" s="1623">
        <v>793.97435561999998</v>
      </c>
      <c r="AX211" s="1623">
        <v>417.49</v>
      </c>
      <c r="AY211" s="1623">
        <v>110.25481761</v>
      </c>
      <c r="AZ211" s="1623">
        <v>5739.4849999999997</v>
      </c>
      <c r="BA211" s="1623">
        <v>179.735837</v>
      </c>
      <c r="BB211" s="1623">
        <v>5587.2849999999999</v>
      </c>
      <c r="BC211" s="1623">
        <v>161.183775</v>
      </c>
      <c r="BD211" s="1623">
        <v>6078.3109999999997</v>
      </c>
      <c r="BE211" s="1623">
        <v>472.17182902000002</v>
      </c>
      <c r="BF211" s="1625">
        <v>7.1470000000000002</v>
      </c>
      <c r="BG211" s="1624">
        <v>0.55003800000000003</v>
      </c>
      <c r="BH211" s="1623">
        <v>452.59300000000002</v>
      </c>
      <c r="BI211" s="1622">
        <v>31.261833060000001</v>
      </c>
      <c r="BJ211" s="1624">
        <v>1.7170000000000001</v>
      </c>
      <c r="BK211" s="1624">
        <v>0.52805999999999997</v>
      </c>
      <c r="BL211" s="1623">
        <v>450.87599999999998</v>
      </c>
      <c r="BM211" s="1622">
        <v>30.733771000000001</v>
      </c>
    </row>
    <row r="212" spans="1:65">
      <c r="A212" s="1627" t="s">
        <v>29</v>
      </c>
      <c r="B212" s="1622">
        <v>19898.735000000001</v>
      </c>
      <c r="C212" s="1622">
        <v>15999.099</v>
      </c>
      <c r="D212" s="1622">
        <v>3381.3</v>
      </c>
      <c r="E212" s="1622">
        <v>2896.9769999999999</v>
      </c>
      <c r="F212" s="1622">
        <v>11364.099</v>
      </c>
      <c r="G212" s="1622">
        <v>2256.3589999999999</v>
      </c>
      <c r="H212" s="1622">
        <v>195672.56599999999</v>
      </c>
      <c r="I212" s="1622">
        <v>13159.378462160001</v>
      </c>
      <c r="J212" s="1622">
        <v>16613.917000000001</v>
      </c>
      <c r="K212" s="1622">
        <v>4157.1914305800001</v>
      </c>
      <c r="L212" s="1622">
        <v>37.939</v>
      </c>
      <c r="M212" s="1622">
        <v>230.41378298999999</v>
      </c>
      <c r="N212" s="1622">
        <v>4.577</v>
      </c>
      <c r="O212" s="1622">
        <v>1.2063459700000001</v>
      </c>
      <c r="P212" s="1622">
        <v>56795.303999999996</v>
      </c>
      <c r="Q212" s="1622">
        <v>1120.89168903</v>
      </c>
      <c r="R212" s="1622">
        <v>55065.445</v>
      </c>
      <c r="S212" s="1622">
        <v>1065.4343690000001</v>
      </c>
      <c r="T212" s="1622">
        <v>115571.43</v>
      </c>
      <c r="U212" s="1622">
        <v>7360.27767288</v>
      </c>
      <c r="V212" s="1622">
        <v>85.573999999999998</v>
      </c>
      <c r="W212" s="1626">
        <v>3.746</v>
      </c>
      <c r="X212" s="1623">
        <v>6563.8249999999998</v>
      </c>
      <c r="Y212" s="1623">
        <v>285.65097071000002</v>
      </c>
      <c r="Z212" s="1623">
        <v>44.555</v>
      </c>
      <c r="AA212" s="1623">
        <v>13.932836</v>
      </c>
      <c r="AB212" s="1623">
        <v>6519.27</v>
      </c>
      <c r="AC212" s="1623">
        <v>271.71813300000002</v>
      </c>
      <c r="AD212" s="1623">
        <v>181669.84</v>
      </c>
      <c r="AE212" s="1623">
        <v>12265.93135038</v>
      </c>
      <c r="AF212" s="1623">
        <v>16167.26</v>
      </c>
      <c r="AG212" s="1623">
        <v>4041.0477480599998</v>
      </c>
      <c r="AH212" s="1623">
        <v>50523.671000000002</v>
      </c>
      <c r="AI212" s="1623">
        <v>1149.4019193399999</v>
      </c>
      <c r="AJ212" s="1623">
        <v>48930.462</v>
      </c>
      <c r="AK212" s="1623">
        <v>878.40360499999997</v>
      </c>
      <c r="AL212" s="1623">
        <v>108761.499</v>
      </c>
      <c r="AM212" s="1623">
        <v>6811.9395414099999</v>
      </c>
      <c r="AN212" s="1623">
        <v>75.513000000000005</v>
      </c>
      <c r="AO212" s="1624">
        <v>3.2549999999999999</v>
      </c>
      <c r="AP212" s="1623">
        <v>6141.8969999999999</v>
      </c>
      <c r="AQ212" s="1623">
        <v>260.28626057000002</v>
      </c>
      <c r="AR212" s="1623">
        <v>43.146000000000001</v>
      </c>
      <c r="AS212" s="1623">
        <v>13.547969</v>
      </c>
      <c r="AT212" s="1623">
        <v>6098.7510000000002</v>
      </c>
      <c r="AU212" s="1623">
        <v>246.73829000000001</v>
      </c>
      <c r="AV212" s="1623">
        <v>14002.726000000001</v>
      </c>
      <c r="AW212" s="1623">
        <v>893.44711178</v>
      </c>
      <c r="AX212" s="1623">
        <v>451.23399999999998</v>
      </c>
      <c r="AY212" s="1623">
        <v>117.35002849</v>
      </c>
      <c r="AZ212" s="1623">
        <v>6309.5720000000001</v>
      </c>
      <c r="BA212" s="1623">
        <v>201.90355267999999</v>
      </c>
      <c r="BB212" s="1623">
        <v>6134.9830000000002</v>
      </c>
      <c r="BC212" s="1623">
        <v>187.030764</v>
      </c>
      <c r="BD212" s="1623">
        <v>6809.9309999999996</v>
      </c>
      <c r="BE212" s="1623">
        <v>548.33813099999998</v>
      </c>
      <c r="BF212" s="1625">
        <v>10.061</v>
      </c>
      <c r="BG212" s="1624">
        <v>0.49068899999999999</v>
      </c>
      <c r="BH212" s="1623">
        <v>421.928</v>
      </c>
      <c r="BI212" s="1622">
        <v>25.36471014</v>
      </c>
      <c r="BJ212" s="1624">
        <v>1.409</v>
      </c>
      <c r="BK212" s="1624">
        <v>0.38486700000000001</v>
      </c>
      <c r="BL212" s="1623">
        <v>420.51900000000001</v>
      </c>
      <c r="BM212" s="1622">
        <v>24.979842000000001</v>
      </c>
    </row>
    <row r="213" spans="1:65">
      <c r="A213" s="1627" t="s">
        <v>4222</v>
      </c>
      <c r="B213" s="1628"/>
      <c r="C213" s="1628"/>
      <c r="D213" s="1628"/>
      <c r="E213" s="1628"/>
      <c r="F213" s="1628"/>
      <c r="G213" s="1628"/>
      <c r="H213" s="1628"/>
      <c r="I213" s="1628"/>
      <c r="J213" s="1628"/>
      <c r="K213" s="1628"/>
      <c r="L213" s="1628"/>
      <c r="M213" s="1628"/>
      <c r="N213" s="1628"/>
      <c r="O213" s="1628"/>
      <c r="P213" s="1628"/>
      <c r="Q213" s="1628"/>
      <c r="R213" s="1628"/>
      <c r="S213" s="1628"/>
      <c r="T213" s="1628"/>
      <c r="U213" s="1628"/>
      <c r="V213" s="1628"/>
      <c r="W213" s="1628"/>
      <c r="X213" s="1628"/>
      <c r="Y213" s="1628"/>
      <c r="Z213" s="1628"/>
      <c r="AA213" s="1628"/>
      <c r="AB213" s="1628"/>
      <c r="AC213" s="1628"/>
      <c r="AD213" s="1628"/>
      <c r="AE213" s="1628"/>
      <c r="AF213" s="1628"/>
      <c r="AG213" s="1628"/>
      <c r="AH213" s="1628"/>
      <c r="AI213" s="1628"/>
      <c r="AJ213" s="1628"/>
      <c r="AK213" s="1628"/>
      <c r="AL213" s="1628"/>
      <c r="AM213" s="1628"/>
      <c r="AN213" s="1628"/>
      <c r="AO213" s="1635"/>
      <c r="AP213" s="1628"/>
      <c r="AQ213" s="1628"/>
      <c r="AR213" s="1628"/>
      <c r="AS213" s="1628"/>
      <c r="AT213" s="1628"/>
      <c r="AU213" s="1628"/>
      <c r="AV213" s="1628"/>
      <c r="AW213" s="1628"/>
      <c r="AX213" s="1628"/>
      <c r="AY213" s="1628"/>
      <c r="AZ213" s="1628"/>
      <c r="BA213" s="1628"/>
      <c r="BB213" s="1628"/>
      <c r="BC213" s="1628"/>
      <c r="BD213" s="1628"/>
      <c r="BE213" s="1628"/>
      <c r="BF213" s="1552"/>
      <c r="BG213" s="1635"/>
      <c r="BH213" s="1628"/>
      <c r="BI213" s="1628"/>
      <c r="BJ213" s="1635"/>
      <c r="BK213" s="1635"/>
      <c r="BL213" s="1628"/>
      <c r="BM213" s="1628"/>
    </row>
    <row r="214" spans="1:65">
      <c r="A214" s="1627" t="s">
        <v>18</v>
      </c>
      <c r="B214" s="1622">
        <v>19965.329000000002</v>
      </c>
      <c r="C214" s="1622">
        <v>16085.517</v>
      </c>
      <c r="D214" s="1622">
        <v>3371.2869999999998</v>
      </c>
      <c r="E214" s="1622">
        <v>2870.3890000000001</v>
      </c>
      <c r="F214" s="1622">
        <v>11479.432000000001</v>
      </c>
      <c r="G214" s="1622">
        <v>2244.221</v>
      </c>
      <c r="H214" s="1622">
        <v>179722.31599999999</v>
      </c>
      <c r="I214" s="1622">
        <v>10357.148308690001</v>
      </c>
      <c r="J214" s="1622">
        <v>13620.43</v>
      </c>
      <c r="K214" s="1622">
        <v>2996.3381281500001</v>
      </c>
      <c r="L214" s="1622">
        <v>26.959</v>
      </c>
      <c r="M214" s="1622">
        <v>175.63061364999999</v>
      </c>
      <c r="N214" s="1622">
        <v>4.3650000000000002</v>
      </c>
      <c r="O214" s="1622">
        <v>1.05018137</v>
      </c>
      <c r="P214" s="1622">
        <v>56928.125999999997</v>
      </c>
      <c r="Q214" s="1622">
        <v>1051.9914865000001</v>
      </c>
      <c r="R214" s="1622">
        <v>55295.288999999997</v>
      </c>
      <c r="S214" s="1622">
        <v>1004.37368</v>
      </c>
      <c r="T214" s="1622">
        <v>102657.66</v>
      </c>
      <c r="U214" s="1622">
        <v>5845.4903484799997</v>
      </c>
      <c r="V214" s="1622">
        <v>74.251000000000005</v>
      </c>
      <c r="W214" s="1626">
        <v>3.1206399999999999</v>
      </c>
      <c r="X214" s="1623">
        <v>6410.5249999999996</v>
      </c>
      <c r="Y214" s="1623">
        <v>283.52690999999999</v>
      </c>
      <c r="Z214" s="1623">
        <v>40.926000000000002</v>
      </c>
      <c r="AA214" s="1623">
        <v>13.113295000000001</v>
      </c>
      <c r="AB214" s="1623">
        <v>6369.5989999999993</v>
      </c>
      <c r="AC214" s="1623">
        <v>270.41361499999999</v>
      </c>
      <c r="AD214" s="1623">
        <v>165834.29399999999</v>
      </c>
      <c r="AE214" s="1623">
        <v>9516.9579964099994</v>
      </c>
      <c r="AF214" s="1623">
        <v>13181.588</v>
      </c>
      <c r="AG214" s="1623">
        <v>2881.8275853700002</v>
      </c>
      <c r="AH214" s="1623">
        <v>50411.533000000003</v>
      </c>
      <c r="AI214" s="1623">
        <v>1042.0780909499999</v>
      </c>
      <c r="AJ214" s="1623">
        <v>48920.514000000003</v>
      </c>
      <c r="AK214" s="1623">
        <v>832.66128300000003</v>
      </c>
      <c r="AL214" s="1623">
        <v>96175.899000000005</v>
      </c>
      <c r="AM214" s="1623">
        <v>5332.7264471400003</v>
      </c>
      <c r="AN214" s="1623">
        <v>66.433000000000007</v>
      </c>
      <c r="AO214" s="1624">
        <v>2.7118929999999999</v>
      </c>
      <c r="AP214" s="1623">
        <v>5998.8410000000003</v>
      </c>
      <c r="AQ214" s="1623">
        <v>257.61397994999999</v>
      </c>
      <c r="AR214" s="1623">
        <v>39.716999999999999</v>
      </c>
      <c r="AS214" s="1623">
        <v>12.676411</v>
      </c>
      <c r="AT214" s="1623">
        <v>5959.1240000000007</v>
      </c>
      <c r="AU214" s="1623">
        <v>244.93756894999999</v>
      </c>
      <c r="AV214" s="1623">
        <v>13888.022000000001</v>
      </c>
      <c r="AW214" s="1623">
        <v>840.19031227999994</v>
      </c>
      <c r="AX214" s="1623">
        <v>443.20699999999999</v>
      </c>
      <c r="AY214" s="1623">
        <v>115.56072415</v>
      </c>
      <c r="AZ214" s="1623">
        <v>6543.5519999999997</v>
      </c>
      <c r="BA214" s="1623">
        <v>185.5440092</v>
      </c>
      <c r="BB214" s="1623">
        <v>6374.7749999999996</v>
      </c>
      <c r="BC214" s="1623">
        <v>171.71239600000001</v>
      </c>
      <c r="BD214" s="1623">
        <v>6481.7610000000004</v>
      </c>
      <c r="BE214" s="1623">
        <v>512.76390133999996</v>
      </c>
      <c r="BF214" s="1625">
        <v>7.8179999999999996</v>
      </c>
      <c r="BG214" s="1624">
        <v>0.40874700000000003</v>
      </c>
      <c r="BH214" s="1623">
        <v>411.68400000000003</v>
      </c>
      <c r="BI214" s="1622">
        <v>25.912930589999998</v>
      </c>
      <c r="BJ214" s="1624">
        <v>1.2090000000000001</v>
      </c>
      <c r="BK214" s="1624">
        <v>0.43688399999999999</v>
      </c>
      <c r="BL214" s="1623">
        <v>410.47500000000002</v>
      </c>
      <c r="BM214" s="1622">
        <v>25.476046589999999</v>
      </c>
    </row>
    <row r="215" spans="1:65">
      <c r="A215" s="1627" t="s">
        <v>19</v>
      </c>
      <c r="B215" s="1622">
        <v>20238.743999999999</v>
      </c>
      <c r="C215" s="1622">
        <v>16273.078</v>
      </c>
      <c r="D215" s="1622">
        <v>3381.0920000000001</v>
      </c>
      <c r="E215" s="1622">
        <v>2881.9929999999999</v>
      </c>
      <c r="F215" s="1622">
        <v>11711.584000000001</v>
      </c>
      <c r="G215" s="1622">
        <v>2264.0749999999998</v>
      </c>
      <c r="H215" s="1622">
        <v>171143.084</v>
      </c>
      <c r="I215" s="1622">
        <v>10972.57706207</v>
      </c>
      <c r="J215" s="1622">
        <v>13660.538</v>
      </c>
      <c r="K215" s="1622">
        <v>3399.14395259</v>
      </c>
      <c r="L215" s="1622">
        <v>30.637</v>
      </c>
      <c r="M215" s="1622">
        <v>185.62060894999999</v>
      </c>
      <c r="N215" s="1622">
        <v>3.9239999999999999</v>
      </c>
      <c r="O215" s="1622">
        <v>1.08333806</v>
      </c>
      <c r="P215" s="1622">
        <v>50592.296000000002</v>
      </c>
      <c r="Q215" s="1622">
        <v>918.16375483000002</v>
      </c>
      <c r="R215" s="1622">
        <v>49208.921999999999</v>
      </c>
      <c r="S215" s="1622">
        <v>878.12719700000002</v>
      </c>
      <c r="T215" s="1622">
        <v>100716.916</v>
      </c>
      <c r="U215" s="1622">
        <v>6209.9666564999998</v>
      </c>
      <c r="V215" s="1622">
        <v>73.635999999999996</v>
      </c>
      <c r="W215" s="1626">
        <v>3.2901020000000001</v>
      </c>
      <c r="X215" s="1623">
        <v>6065.1369999999997</v>
      </c>
      <c r="Y215" s="1623">
        <v>255.30864904000001</v>
      </c>
      <c r="Z215" s="1623">
        <v>36.084000000000003</v>
      </c>
      <c r="AA215" s="1623">
        <v>11.511965999999999</v>
      </c>
      <c r="AB215" s="1623">
        <v>6029.0529999999999</v>
      </c>
      <c r="AC215" s="1623">
        <v>243.79668304</v>
      </c>
      <c r="AD215" s="1623">
        <v>158649.753</v>
      </c>
      <c r="AE215" s="1623">
        <v>10177.2797914</v>
      </c>
      <c r="AF215" s="1623">
        <v>13260.322</v>
      </c>
      <c r="AG215" s="1623">
        <v>3279.9736184399999</v>
      </c>
      <c r="AH215" s="1623">
        <v>44855.966999999997</v>
      </c>
      <c r="AI215" s="1623">
        <v>940.09788810999999</v>
      </c>
      <c r="AJ215" s="1623">
        <v>43583.250999999997</v>
      </c>
      <c r="AK215" s="1623">
        <v>728.20754199999999</v>
      </c>
      <c r="AL215" s="1623">
        <v>94773.074999999997</v>
      </c>
      <c r="AM215" s="1623">
        <v>5722.3882011100004</v>
      </c>
      <c r="AN215" s="1623">
        <v>66.510000000000005</v>
      </c>
      <c r="AO215" s="1624">
        <v>2.8824049999999999</v>
      </c>
      <c r="AP215" s="1623">
        <v>5693.8789999999999</v>
      </c>
      <c r="AQ215" s="1623">
        <v>231.93767874</v>
      </c>
      <c r="AR215" s="1623">
        <v>35.076999999999998</v>
      </c>
      <c r="AS215" s="1623">
        <v>11.256716000000001</v>
      </c>
      <c r="AT215" s="1623">
        <v>5658.8019999999997</v>
      </c>
      <c r="AU215" s="1623">
        <v>220.68096273999998</v>
      </c>
      <c r="AV215" s="1623">
        <v>12493.331</v>
      </c>
      <c r="AW215" s="1623">
        <v>795.29727066999999</v>
      </c>
      <c r="AX215" s="1623">
        <v>404.14</v>
      </c>
      <c r="AY215" s="1623">
        <v>120.25367221</v>
      </c>
      <c r="AZ215" s="1623">
        <v>5766.9660000000003</v>
      </c>
      <c r="BA215" s="1623">
        <v>163.68647566999999</v>
      </c>
      <c r="BB215" s="1623">
        <v>5625.6710000000003</v>
      </c>
      <c r="BC215" s="1623">
        <v>149.91965503999998</v>
      </c>
      <c r="BD215" s="1623">
        <v>5943.8410000000003</v>
      </c>
      <c r="BE215" s="1623">
        <v>487.57845538999999</v>
      </c>
      <c r="BF215" s="1625">
        <v>7.1260000000000003</v>
      </c>
      <c r="BG215" s="1624">
        <v>0.40769699999999998</v>
      </c>
      <c r="BH215" s="1623">
        <v>371.25799999999998</v>
      </c>
      <c r="BI215" s="1622">
        <v>23.3709703</v>
      </c>
      <c r="BJ215" s="1624">
        <v>1.07</v>
      </c>
      <c r="BK215" s="1624">
        <v>0.255</v>
      </c>
      <c r="BL215" s="1623">
        <v>370.18799999999999</v>
      </c>
      <c r="BM215" s="1622">
        <v>23.115970300000001</v>
      </c>
    </row>
    <row r="216" spans="1:65">
      <c r="A216" s="1627" t="s">
        <v>20</v>
      </c>
      <c r="B216" s="1622">
        <v>20459.91</v>
      </c>
      <c r="C216" s="1622">
        <v>16462.646000000001</v>
      </c>
      <c r="D216" s="1622">
        <v>3387.683</v>
      </c>
      <c r="E216" s="1622">
        <v>2906.6329999999998</v>
      </c>
      <c r="F216" s="1622">
        <v>11887.47</v>
      </c>
      <c r="G216" s="1622">
        <v>2278.1239999999998</v>
      </c>
      <c r="H216" s="1622">
        <v>157271.30600000001</v>
      </c>
      <c r="I216" s="1622">
        <v>10222.709234129999</v>
      </c>
      <c r="J216" s="1622">
        <v>12502.633</v>
      </c>
      <c r="K216" s="1622">
        <v>3214.6559287800001</v>
      </c>
      <c r="L216" s="1622">
        <v>26.030999999999999</v>
      </c>
      <c r="M216" s="1622">
        <v>155.42589727999999</v>
      </c>
      <c r="N216" s="1622">
        <v>4.4470000000000001</v>
      </c>
      <c r="O216" s="1622">
        <v>1.0723311799999999</v>
      </c>
      <c r="P216" s="1622">
        <v>46497.288</v>
      </c>
      <c r="Q216" s="1622">
        <v>890.31948223999996</v>
      </c>
      <c r="R216" s="1622">
        <v>45105.167000000001</v>
      </c>
      <c r="S216" s="1622">
        <v>847.83945800000004</v>
      </c>
      <c r="T216" s="1622">
        <v>91967.975000000006</v>
      </c>
      <c r="U216" s="1622">
        <v>5667.7833325900001</v>
      </c>
      <c r="V216" s="1622">
        <v>54.348999999999997</v>
      </c>
      <c r="W216" s="1626">
        <v>2.487895</v>
      </c>
      <c r="X216" s="1623">
        <v>6218.5829999999996</v>
      </c>
      <c r="Y216" s="1623">
        <v>290.96436685999998</v>
      </c>
      <c r="Z216" s="1623">
        <v>37.045000000000002</v>
      </c>
      <c r="AA216" s="1623">
        <v>12.558878</v>
      </c>
      <c r="AB216" s="1623">
        <v>6181.5379999999996</v>
      </c>
      <c r="AC216" s="1623">
        <v>278.40548799999999</v>
      </c>
      <c r="AD216" s="1623">
        <v>146296.459</v>
      </c>
      <c r="AE216" s="1623">
        <v>9514.3842617099999</v>
      </c>
      <c r="AF216" s="1623">
        <v>12156.688</v>
      </c>
      <c r="AG216" s="1623">
        <v>3102.1074590100002</v>
      </c>
      <c r="AH216" s="1623">
        <v>41457.546000000002</v>
      </c>
      <c r="AI216" s="1623">
        <v>887.74294519</v>
      </c>
      <c r="AJ216" s="1623">
        <v>40176.911</v>
      </c>
      <c r="AK216" s="1623">
        <v>705.128378</v>
      </c>
      <c r="AL216" s="1623">
        <v>86786.816999999995</v>
      </c>
      <c r="AM216" s="1623">
        <v>5256.1209110399996</v>
      </c>
      <c r="AN216" s="1623">
        <v>48.267000000000003</v>
      </c>
      <c r="AO216" s="1624">
        <v>2.0867439999999999</v>
      </c>
      <c r="AP216" s="1623">
        <v>5847</v>
      </c>
      <c r="AQ216" s="1623">
        <v>266</v>
      </c>
      <c r="AR216" s="1623">
        <v>35.89</v>
      </c>
      <c r="AS216" s="1623">
        <v>12.209</v>
      </c>
      <c r="AT216" s="1623">
        <v>5811.2510000000002</v>
      </c>
      <c r="AU216" s="1623">
        <v>254.11670699999999</v>
      </c>
      <c r="AV216" s="1623">
        <v>10974.847</v>
      </c>
      <c r="AW216" s="1623">
        <v>708.32497241999999</v>
      </c>
      <c r="AX216" s="1623">
        <v>350.392</v>
      </c>
      <c r="AY216" s="1623">
        <v>113.62080095</v>
      </c>
      <c r="AZ216" s="1623">
        <v>5065.7730000000001</v>
      </c>
      <c r="BA216" s="1623">
        <v>158.00243433</v>
      </c>
      <c r="BB216" s="1623">
        <v>4928.2560000000003</v>
      </c>
      <c r="BC216" s="1623">
        <v>142.71107900000001</v>
      </c>
      <c r="BD216" s="1623">
        <v>5181.1580000000004</v>
      </c>
      <c r="BE216" s="1623">
        <v>411.66242154999998</v>
      </c>
      <c r="BF216" s="1625">
        <v>6.0819999999999999</v>
      </c>
      <c r="BG216" s="1624">
        <v>0.40115000000000001</v>
      </c>
      <c r="BH216" s="1623">
        <v>371.44200000000001</v>
      </c>
      <c r="BI216" s="1622">
        <v>24.638164790000001</v>
      </c>
      <c r="BJ216" s="1624">
        <v>1.155</v>
      </c>
      <c r="BK216" s="1624">
        <v>0.349383</v>
      </c>
      <c r="BL216" s="1623">
        <v>370.28699999999998</v>
      </c>
      <c r="BM216" s="1622">
        <v>24.288781</v>
      </c>
    </row>
    <row r="217" spans="1:65">
      <c r="A217" s="1627" t="s">
        <v>21</v>
      </c>
      <c r="B217" s="1622">
        <v>20674.66</v>
      </c>
      <c r="C217" s="1622">
        <v>16678.527999999998</v>
      </c>
      <c r="D217" s="1622">
        <v>3395.748</v>
      </c>
      <c r="E217" s="1622">
        <v>2914.2640000000001</v>
      </c>
      <c r="F217" s="1622">
        <v>12076.369000000001</v>
      </c>
      <c r="G217" s="1622">
        <v>2288.279</v>
      </c>
      <c r="H217" s="1622">
        <v>240333.204</v>
      </c>
      <c r="I217" s="1622">
        <v>14171.77837005</v>
      </c>
      <c r="J217" s="1622">
        <v>17974.098999999998</v>
      </c>
      <c r="K217" s="1622">
        <v>4300.51236806</v>
      </c>
      <c r="L217" s="1622">
        <v>33.369</v>
      </c>
      <c r="M217" s="1622">
        <v>209.63593068</v>
      </c>
      <c r="N217" s="1622">
        <v>4.5880000000000001</v>
      </c>
      <c r="O217" s="1622">
        <v>1.56049365</v>
      </c>
      <c r="P217" s="1622">
        <v>71980.512000000002</v>
      </c>
      <c r="Q217" s="1622">
        <v>1224.1726107899999</v>
      </c>
      <c r="R217" s="1622">
        <v>69938.399999999994</v>
      </c>
      <c r="S217" s="1622">
        <v>1173.493324</v>
      </c>
      <c r="T217" s="1622">
        <v>141415.53899999999</v>
      </c>
      <c r="U217" s="1622">
        <v>8070.5674892300003</v>
      </c>
      <c r="V217" s="1622">
        <v>96.168999999999997</v>
      </c>
      <c r="W217" s="1626">
        <v>4.4569999999999999</v>
      </c>
      <c r="X217" s="1623">
        <v>8828.9279999999999</v>
      </c>
      <c r="Y217" s="1623">
        <v>360.87238503999998</v>
      </c>
      <c r="Z217" s="1623">
        <v>45.536000000000001</v>
      </c>
      <c r="AA217" s="1623">
        <v>13.641576000000001</v>
      </c>
      <c r="AB217" s="1623">
        <v>8783.3919999999998</v>
      </c>
      <c r="AC217" s="1623">
        <v>347.23080893999997</v>
      </c>
      <c r="AD217" s="1623">
        <v>223687.24600000001</v>
      </c>
      <c r="AE217" s="1623">
        <v>13183.269083859999</v>
      </c>
      <c r="AF217" s="1623">
        <v>17452.453000000001</v>
      </c>
      <c r="AG217" s="1623">
        <v>4143.2252556499998</v>
      </c>
      <c r="AH217" s="1623">
        <v>64047.192000000003</v>
      </c>
      <c r="AI217" s="1623">
        <v>1210.95615924</v>
      </c>
      <c r="AJ217" s="1623">
        <v>62176.65</v>
      </c>
      <c r="AK217" s="1623">
        <v>968.37269200000003</v>
      </c>
      <c r="AL217" s="1623">
        <v>133833.93599999999</v>
      </c>
      <c r="AM217" s="1623">
        <v>7499.0875195400004</v>
      </c>
      <c r="AN217" s="1623">
        <v>85.724999999999994</v>
      </c>
      <c r="AO217" s="1624">
        <v>3.7854920000000001</v>
      </c>
      <c r="AP217" s="1623">
        <v>8267.94</v>
      </c>
      <c r="AQ217" s="1623">
        <v>326.21465723</v>
      </c>
      <c r="AR217" s="1623">
        <v>44.2</v>
      </c>
      <c r="AS217" s="1623">
        <v>13.254339</v>
      </c>
      <c r="AT217" s="1623">
        <v>8223.74</v>
      </c>
      <c r="AU217" s="1623">
        <v>312.96031799999997</v>
      </c>
      <c r="AV217" s="1623">
        <v>16645.957999999999</v>
      </c>
      <c r="AW217" s="1623">
        <v>988.50928619000001</v>
      </c>
      <c r="AX217" s="1623">
        <v>526.23400000000004</v>
      </c>
      <c r="AY217" s="1623">
        <v>158.84760606</v>
      </c>
      <c r="AZ217" s="1623">
        <v>7966.6890000000003</v>
      </c>
      <c r="BA217" s="1623">
        <v>222.85238222999999</v>
      </c>
      <c r="BB217" s="1623">
        <v>7761.7520000000004</v>
      </c>
      <c r="BC217" s="1623">
        <v>205.120632</v>
      </c>
      <c r="BD217" s="1623">
        <v>7581.6030000000001</v>
      </c>
      <c r="BE217" s="1623">
        <v>571.47996968999996</v>
      </c>
      <c r="BF217" s="1625">
        <v>10.444000000000001</v>
      </c>
      <c r="BG217" s="1624">
        <v>0.67159999999999997</v>
      </c>
      <c r="BH217" s="1623">
        <v>560.98800000000006</v>
      </c>
      <c r="BI217" s="1622">
        <v>34.657727809999997</v>
      </c>
      <c r="BJ217" s="1624">
        <v>1.3360000000000001</v>
      </c>
      <c r="BK217" s="1624">
        <v>0.387237</v>
      </c>
      <c r="BL217" s="1623">
        <v>559.65200000000004</v>
      </c>
      <c r="BM217" s="1622">
        <v>34.270490000000002</v>
      </c>
    </row>
    <row r="218" spans="1:65" s="2120" customFormat="1" ht="13.9" customHeight="1">
      <c r="A218" s="1621" t="s">
        <v>22</v>
      </c>
      <c r="B218" s="1620">
        <v>20460.912</v>
      </c>
      <c r="C218" s="1620">
        <v>16899</v>
      </c>
      <c r="D218" s="1620">
        <v>3286.09</v>
      </c>
      <c r="E218" s="1620">
        <v>2910.8040000000001</v>
      </c>
      <c r="F218" s="1620">
        <v>12146.947</v>
      </c>
      <c r="G218" s="1620">
        <v>2117.0709999999999</v>
      </c>
      <c r="H218" s="1620">
        <v>208830.198</v>
      </c>
      <c r="I218" s="1620">
        <v>12471.537508040001</v>
      </c>
      <c r="J218" s="1620">
        <v>15392.892</v>
      </c>
      <c r="K218" s="1620">
        <v>3823.4667043099998</v>
      </c>
      <c r="L218" s="1620">
        <v>29.466000000000001</v>
      </c>
      <c r="M218" s="1620">
        <v>191.93743133000001</v>
      </c>
      <c r="N218" s="1620">
        <v>2.8809999999999998</v>
      </c>
      <c r="O218" s="1620">
        <v>1.5235327599999999</v>
      </c>
      <c r="P218" s="1620">
        <v>62369.982000000004</v>
      </c>
      <c r="Q218" s="1620">
        <v>1015.99329949</v>
      </c>
      <c r="R218" s="1620">
        <v>60661</v>
      </c>
      <c r="S218" s="1620">
        <v>975.83799999999997</v>
      </c>
      <c r="T218" s="1620">
        <v>122150.961</v>
      </c>
      <c r="U218" s="1620">
        <v>7053.1425373299999</v>
      </c>
      <c r="V218" s="1620">
        <v>67</v>
      </c>
      <c r="W218" s="2119">
        <v>3.1520000000000001</v>
      </c>
      <c r="X218" s="1617">
        <v>8816.9619999999995</v>
      </c>
      <c r="Y218" s="1617">
        <v>382.32160102</v>
      </c>
      <c r="Z218" s="1617">
        <v>40.405999999999999</v>
      </c>
      <c r="AA218" s="1617">
        <v>12.845686000000001</v>
      </c>
      <c r="AB218" s="1617">
        <v>8776.5560000000005</v>
      </c>
      <c r="AC218" s="1617">
        <v>369.47591399999999</v>
      </c>
      <c r="AD218" s="1617">
        <v>194852.47</v>
      </c>
      <c r="AE218" s="1617">
        <v>11660.206985950001</v>
      </c>
      <c r="AF218" s="1617">
        <v>14960.772000000001</v>
      </c>
      <c r="AG218" s="1617">
        <v>3689.1597399000002</v>
      </c>
      <c r="AH218" s="1617">
        <v>55738.483</v>
      </c>
      <c r="AI218" s="1617">
        <v>1028.9861551199999</v>
      </c>
      <c r="AJ218" s="1617">
        <v>54169.214</v>
      </c>
      <c r="AK218" s="1617">
        <v>814.80017999999995</v>
      </c>
      <c r="AL218" s="1617">
        <v>115783.368</v>
      </c>
      <c r="AM218" s="1617">
        <v>6588.5038620400001</v>
      </c>
      <c r="AN218" s="1617">
        <v>60.843000000000004</v>
      </c>
      <c r="AO218" s="1618">
        <v>2.7930860000000002</v>
      </c>
      <c r="AP218" s="1617">
        <v>8309.0040000000008</v>
      </c>
      <c r="AQ218" s="1617">
        <v>350.76414278999999</v>
      </c>
      <c r="AR218" s="1617">
        <v>38.732999999999997</v>
      </c>
      <c r="AS218" s="1617">
        <v>12.478035</v>
      </c>
      <c r="AT218" s="1617">
        <v>8270.2710000000006</v>
      </c>
      <c r="AU218" s="1617">
        <v>338.0286107</v>
      </c>
      <c r="AV218" s="1617">
        <v>13977.727999999999</v>
      </c>
      <c r="AW218" s="1617">
        <v>811.33052209000004</v>
      </c>
      <c r="AX218" s="1617">
        <v>435.00099999999998</v>
      </c>
      <c r="AY218" s="1617">
        <v>135.83049717</v>
      </c>
      <c r="AZ218" s="1617">
        <v>6660.9650000000001</v>
      </c>
      <c r="BA218" s="1617">
        <v>178.9445757</v>
      </c>
      <c r="BB218" s="1617">
        <v>6492</v>
      </c>
      <c r="BC218" s="1617">
        <v>161.03793099999999</v>
      </c>
      <c r="BD218" s="1617">
        <v>6367.5929999999998</v>
      </c>
      <c r="BE218" s="1617">
        <v>464.63867528999998</v>
      </c>
      <c r="BF218" s="1619">
        <v>6.2110000000000003</v>
      </c>
      <c r="BG218" s="1618">
        <v>0.359315</v>
      </c>
      <c r="BH218" s="1617">
        <v>507.95800000000003</v>
      </c>
      <c r="BI218" s="1620">
        <v>31.557458230000002</v>
      </c>
      <c r="BJ218" s="1618">
        <v>1.6</v>
      </c>
      <c r="BK218" s="1618">
        <v>0.36765100000000001</v>
      </c>
      <c r="BL218" s="1617">
        <v>506.28500000000003</v>
      </c>
      <c r="BM218" s="1620">
        <v>31.189806999999998</v>
      </c>
    </row>
    <row r="219" spans="1:65" s="1543" customFormat="1" ht="15.75" customHeight="1">
      <c r="A219" s="2800" t="s">
        <v>4282</v>
      </c>
      <c r="B219" s="2800"/>
      <c r="C219" s="2800"/>
      <c r="D219" s="2800"/>
      <c r="E219" s="2800"/>
      <c r="F219" s="2800"/>
      <c r="G219" s="2800"/>
      <c r="H219" s="2800"/>
      <c r="I219" s="2800"/>
      <c r="J219" s="2800"/>
      <c r="K219" s="2800"/>
      <c r="L219" s="2800"/>
      <c r="M219" s="2800"/>
      <c r="N219" s="2800"/>
      <c r="O219" s="1615"/>
      <c r="P219" s="1615"/>
      <c r="Q219" s="1615"/>
      <c r="R219" s="1614"/>
      <c r="S219" s="1614"/>
      <c r="T219" s="1615"/>
      <c r="U219" s="1615"/>
      <c r="V219" s="1615"/>
      <c r="W219" s="1615"/>
      <c r="X219" s="1615"/>
      <c r="Y219" s="1615"/>
      <c r="Z219" s="1615"/>
      <c r="AA219" s="1615"/>
      <c r="AB219" s="1615"/>
      <c r="AC219" s="1615"/>
      <c r="AD219" s="1615"/>
      <c r="AE219" s="1615"/>
      <c r="AF219" s="1615"/>
      <c r="AG219" s="1615"/>
      <c r="AH219" s="1615"/>
      <c r="AI219" s="1615"/>
      <c r="AJ219" s="1615"/>
      <c r="AK219" s="1615"/>
      <c r="AL219" s="1615"/>
      <c r="AM219" s="1615"/>
      <c r="AN219" s="1541"/>
      <c r="AO219" s="1541"/>
      <c r="AP219" s="1615"/>
      <c r="AQ219" s="1615"/>
      <c r="AR219" s="1615"/>
      <c r="AS219" s="1615"/>
      <c r="AT219" s="1615"/>
      <c r="AU219" s="1615"/>
      <c r="AV219" s="1615"/>
      <c r="AW219" s="1615"/>
      <c r="AX219" s="1615"/>
      <c r="AY219" s="1615"/>
      <c r="AZ219" s="1615"/>
    </row>
    <row r="220" spans="1:65" s="1543" customFormat="1" ht="15" customHeight="1">
      <c r="A220" s="2796" t="s">
        <v>3277</v>
      </c>
      <c r="B220" s="2796"/>
      <c r="C220" s="2796"/>
      <c r="D220" s="2796"/>
      <c r="E220" s="2796"/>
      <c r="F220" s="2796"/>
      <c r="G220" s="2796"/>
      <c r="H220" s="2796"/>
      <c r="I220" s="2796"/>
      <c r="J220" s="2796"/>
      <c r="K220" s="2796"/>
      <c r="L220" s="2796"/>
      <c r="M220" s="2796"/>
      <c r="N220" s="2796"/>
      <c r="O220" s="2796"/>
      <c r="P220" s="2796"/>
      <c r="Q220" s="2796"/>
      <c r="R220" s="1541"/>
      <c r="S220" s="1541"/>
      <c r="T220" s="1614"/>
      <c r="U220" s="1614"/>
      <c r="V220" s="1614"/>
      <c r="W220" s="1614"/>
      <c r="X220" s="1614"/>
      <c r="Y220" s="1614"/>
      <c r="Z220" s="1614"/>
      <c r="AA220" s="1614"/>
      <c r="AB220" s="1614"/>
      <c r="AC220" s="1614"/>
      <c r="AD220" s="1614"/>
      <c r="AE220" s="1614"/>
      <c r="AF220" s="1614"/>
      <c r="AG220" s="1614"/>
      <c r="AH220" s="1614"/>
      <c r="AI220" s="1614"/>
      <c r="AJ220" s="1614"/>
      <c r="AK220" s="1614"/>
      <c r="AL220" s="1614"/>
      <c r="AM220" s="1614"/>
      <c r="AN220" s="1541"/>
      <c r="AO220" s="1541"/>
      <c r="AP220" s="1614"/>
      <c r="AQ220" s="1614"/>
      <c r="AR220" s="1614"/>
      <c r="AS220" s="1614"/>
      <c r="AT220" s="1614"/>
      <c r="AU220" s="1614"/>
      <c r="AV220" s="1614"/>
      <c r="AW220" s="1614"/>
      <c r="AX220" s="1614"/>
      <c r="AY220" s="1614"/>
      <c r="AZ220" s="1614"/>
    </row>
    <row r="222" spans="1:65">
      <c r="B222" s="1613"/>
      <c r="C222" s="1613"/>
      <c r="D222" s="1613"/>
      <c r="E222" s="1613"/>
      <c r="F222" s="1613"/>
      <c r="G222" s="1613"/>
      <c r="H222" s="1613"/>
      <c r="I222" s="1613"/>
    </row>
    <row r="224" spans="1:65">
      <c r="AG224" s="1429"/>
    </row>
  </sheetData>
  <mergeCells count="212">
    <mergeCell ref="BB7:BC7"/>
    <mergeCell ref="BD7:BE7"/>
    <mergeCell ref="BF7:BG7"/>
    <mergeCell ref="X6:AC7"/>
    <mergeCell ref="AD6:AE7"/>
    <mergeCell ref="AF6:AO6"/>
    <mergeCell ref="BH6:BM7"/>
    <mergeCell ref="D7:F7"/>
    <mergeCell ref="G7:G10"/>
    <mergeCell ref="H7:H10"/>
    <mergeCell ref="I7:I10"/>
    <mergeCell ref="J7:M7"/>
    <mergeCell ref="N7:W7"/>
    <mergeCell ref="J8:K8"/>
    <mergeCell ref="L8:M8"/>
    <mergeCell ref="N8:O8"/>
    <mergeCell ref="Z8:AA8"/>
    <mergeCell ref="T9:T10"/>
    <mergeCell ref="U9:U10"/>
    <mergeCell ref="V9:V10"/>
    <mergeCell ref="W9:W10"/>
    <mergeCell ref="AZ8:AZ10"/>
    <mergeCell ref="BA8:BA10"/>
    <mergeCell ref="BB8:BC9"/>
    <mergeCell ref="A2:BM2"/>
    <mergeCell ref="A3:BM3"/>
    <mergeCell ref="A6:A10"/>
    <mergeCell ref="B6:C8"/>
    <mergeCell ref="D6:G6"/>
    <mergeCell ref="H6:I6"/>
    <mergeCell ref="J6:W6"/>
    <mergeCell ref="AF7:AG7"/>
    <mergeCell ref="AH7:AI7"/>
    <mergeCell ref="AJ7:AK7"/>
    <mergeCell ref="AL7:AM7"/>
    <mergeCell ref="AN7:AO7"/>
    <mergeCell ref="AX7:AY7"/>
    <mergeCell ref="AP6:AU7"/>
    <mergeCell ref="AV6:AW7"/>
    <mergeCell ref="AX6:BG6"/>
    <mergeCell ref="AZ7:BA7"/>
    <mergeCell ref="AG8:AG10"/>
    <mergeCell ref="AH8:AH10"/>
    <mergeCell ref="P8:Q8"/>
    <mergeCell ref="R8:S8"/>
    <mergeCell ref="T8:U8"/>
    <mergeCell ref="V8:W8"/>
    <mergeCell ref="X8:Y8"/>
    <mergeCell ref="BL8:BM8"/>
    <mergeCell ref="BD8:BD10"/>
    <mergeCell ref="B9:B10"/>
    <mergeCell ref="C9:C10"/>
    <mergeCell ref="J9:J10"/>
    <mergeCell ref="K9:K10"/>
    <mergeCell ref="L9:L10"/>
    <mergeCell ref="D8:D10"/>
    <mergeCell ref="E8:E10"/>
    <mergeCell ref="F8:F10"/>
    <mergeCell ref="AY8:AY10"/>
    <mergeCell ref="AP8:AQ8"/>
    <mergeCell ref="AR8:AS8"/>
    <mergeCell ref="AT8:AU8"/>
    <mergeCell ref="AV8:AV10"/>
    <mergeCell ref="AW8:AW10"/>
    <mergeCell ref="AX8:AX10"/>
    <mergeCell ref="R9:S9"/>
    <mergeCell ref="AR9:AR10"/>
    <mergeCell ref="AS9:AS10"/>
    <mergeCell ref="AT9:AT10"/>
    <mergeCell ref="AU9:AU10"/>
    <mergeCell ref="AI8:AI10"/>
    <mergeCell ref="AB9:AB10"/>
    <mergeCell ref="AC9:AC10"/>
    <mergeCell ref="AP9:AP10"/>
    <mergeCell ref="AQ9:AQ10"/>
    <mergeCell ref="AO8:AO10"/>
    <mergeCell ref="AB8:AC8"/>
    <mergeCell ref="AD8:AD10"/>
    <mergeCell ref="AE8:AE10"/>
    <mergeCell ref="BF8:BF10"/>
    <mergeCell ref="AJ8:AK9"/>
    <mergeCell ref="AL8:AL10"/>
    <mergeCell ref="AM8:AM10"/>
    <mergeCell ref="BE8:BE10"/>
    <mergeCell ref="X9:X10"/>
    <mergeCell ref="Y9:Y10"/>
    <mergeCell ref="M9:M10"/>
    <mergeCell ref="N9:N10"/>
    <mergeCell ref="O9:O10"/>
    <mergeCell ref="P9:P10"/>
    <mergeCell ref="Q9:Q10"/>
    <mergeCell ref="Z9:Z10"/>
    <mergeCell ref="AA9:AA10"/>
    <mergeCell ref="BH9:BH10"/>
    <mergeCell ref="BI9:BI10"/>
    <mergeCell ref="BJ9:BJ10"/>
    <mergeCell ref="AF8:AF10"/>
    <mergeCell ref="BH11:BM12"/>
    <mergeCell ref="AN12:AO12"/>
    <mergeCell ref="AX12:AY12"/>
    <mergeCell ref="AZ12:BA12"/>
    <mergeCell ref="BB12:BC12"/>
    <mergeCell ref="BD12:BE12"/>
    <mergeCell ref="BF12:BG12"/>
    <mergeCell ref="AJ12:AK12"/>
    <mergeCell ref="AL12:AM12"/>
    <mergeCell ref="AV11:AW12"/>
    <mergeCell ref="AF12:AG12"/>
    <mergeCell ref="AH12:AI12"/>
    <mergeCell ref="AX11:BG11"/>
    <mergeCell ref="AN8:AN10"/>
    <mergeCell ref="BK9:BK10"/>
    <mergeCell ref="BL9:BL10"/>
    <mergeCell ref="BM9:BM10"/>
    <mergeCell ref="BG8:BG10"/>
    <mergeCell ref="BH8:BI8"/>
    <mergeCell ref="BJ8:BK8"/>
    <mergeCell ref="A11:A15"/>
    <mergeCell ref="B11:C12"/>
    <mergeCell ref="D11:G11"/>
    <mergeCell ref="H11:I11"/>
    <mergeCell ref="J11:W11"/>
    <mergeCell ref="X11:AC12"/>
    <mergeCell ref="D12:F12"/>
    <mergeCell ref="G12:G15"/>
    <mergeCell ref="H12:H15"/>
    <mergeCell ref="I12:I15"/>
    <mergeCell ref="R13:S13"/>
    <mergeCell ref="B13:B15"/>
    <mergeCell ref="C13:C15"/>
    <mergeCell ref="D13:D15"/>
    <mergeCell ref="E13:E15"/>
    <mergeCell ref="F13:F15"/>
    <mergeCell ref="J13:K13"/>
    <mergeCell ref="J14:J15"/>
    <mergeCell ref="K14:K15"/>
    <mergeCell ref="L13:M13"/>
    <mergeCell ref="N13:O13"/>
    <mergeCell ref="J12:M12"/>
    <mergeCell ref="N12:W12"/>
    <mergeCell ref="P13:Q13"/>
    <mergeCell ref="T13:U13"/>
    <mergeCell ref="V13:W13"/>
    <mergeCell ref="X13:Y13"/>
    <mergeCell ref="Z13:AA13"/>
    <mergeCell ref="AP11:AU12"/>
    <mergeCell ref="AK14:AK15"/>
    <mergeCell ref="AB13:AC13"/>
    <mergeCell ref="AD13:AD15"/>
    <mergeCell ref="AE13:AE15"/>
    <mergeCell ref="AF13:AF15"/>
    <mergeCell ref="AG13:AG15"/>
    <mergeCell ref="AH13:AH15"/>
    <mergeCell ref="AB14:AB15"/>
    <mergeCell ref="AC14:AC15"/>
    <mergeCell ref="AI13:AI15"/>
    <mergeCell ref="AJ13:AK13"/>
    <mergeCell ref="AL13:AL15"/>
    <mergeCell ref="AM13:AM15"/>
    <mergeCell ref="AN13:AN15"/>
    <mergeCell ref="AO13:AO15"/>
    <mergeCell ref="AJ14:AJ15"/>
    <mergeCell ref="AD11:AE12"/>
    <mergeCell ref="AF11:AO11"/>
    <mergeCell ref="BG13:BG15"/>
    <mergeCell ref="BH13:BI13"/>
    <mergeCell ref="BJ13:BK13"/>
    <mergeCell ref="BL13:BM13"/>
    <mergeCell ref="BB13:BC13"/>
    <mergeCell ref="BD13:BD15"/>
    <mergeCell ref="BE13:BE15"/>
    <mergeCell ref="L14:L15"/>
    <mergeCell ref="M14:M15"/>
    <mergeCell ref="N14:N15"/>
    <mergeCell ref="AY13:AY15"/>
    <mergeCell ref="AZ13:AZ15"/>
    <mergeCell ref="BA13:BA15"/>
    <mergeCell ref="AP13:AQ13"/>
    <mergeCell ref="AR13:AS13"/>
    <mergeCell ref="AT13:AU13"/>
    <mergeCell ref="AV13:AV15"/>
    <mergeCell ref="AX13:AX15"/>
    <mergeCell ref="AP14:AP15"/>
    <mergeCell ref="U14:U16"/>
    <mergeCell ref="AW13:AW15"/>
    <mergeCell ref="AR14:AR15"/>
    <mergeCell ref="AS14:AS15"/>
    <mergeCell ref="AQ14:AQ15"/>
    <mergeCell ref="A220:Q220"/>
    <mergeCell ref="BJ14:BJ15"/>
    <mergeCell ref="BK14:BK15"/>
    <mergeCell ref="BL14:BL15"/>
    <mergeCell ref="W14:W16"/>
    <mergeCell ref="X14:X15"/>
    <mergeCell ref="Y14:Y15"/>
    <mergeCell ref="Z14:Z15"/>
    <mergeCell ref="BM14:BM15"/>
    <mergeCell ref="A219:N219"/>
    <mergeCell ref="AT14:AT15"/>
    <mergeCell ref="AU14:AU15"/>
    <mergeCell ref="BB14:BB15"/>
    <mergeCell ref="BC14:BC15"/>
    <mergeCell ref="BH14:BH15"/>
    <mergeCell ref="BI14:BI15"/>
    <mergeCell ref="V14:V16"/>
    <mergeCell ref="AA14:AA15"/>
    <mergeCell ref="O14:O15"/>
    <mergeCell ref="P14:P15"/>
    <mergeCell ref="Q14:Q15"/>
    <mergeCell ref="R14:S14"/>
    <mergeCell ref="T14:T16"/>
    <mergeCell ref="BF13:BF15"/>
  </mergeCells>
  <pageMargins left="0.25" right="0.17" top="0.75" bottom="0.75" header="0.3" footer="0.3"/>
  <pageSetup scale="17" orientation="landscape"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91C14-C9B2-4FA2-A340-929A4CD9F39E}">
  <sheetPr codeName="Sheet51">
    <tabColor rgb="FF92D050"/>
  </sheetPr>
  <dimension ref="A2:O214"/>
  <sheetViews>
    <sheetView showGridLines="0" view="pageBreakPreview" zoomScale="85" zoomScaleSheetLayoutView="85" workbookViewId="0">
      <pane ySplit="11" topLeftCell="A200" activePane="bottomLeft" state="frozen"/>
      <selection activeCell="B39" sqref="B39"/>
      <selection pane="bottomLeft" activeCell="T229" sqref="T229"/>
    </sheetView>
  </sheetViews>
  <sheetFormatPr defaultColWidth="8.85546875" defaultRowHeight="15"/>
  <cols>
    <col min="1" max="1" width="7.85546875" style="1657" bestFit="1" customWidth="1"/>
    <col min="2" max="2" width="12.85546875" style="1656" customWidth="1"/>
    <col min="3" max="3" width="11.28515625" style="1656" customWidth="1"/>
    <col min="4" max="4" width="13.5703125" style="1656" customWidth="1"/>
    <col min="5" max="5" width="11.85546875" style="1656" customWidth="1"/>
    <col min="6" max="6" width="10.7109375" style="1656" bestFit="1" customWidth="1"/>
    <col min="7" max="7" width="10.85546875" style="1656" customWidth="1"/>
    <col min="8" max="8" width="10.7109375" style="1656" bestFit="1" customWidth="1"/>
    <col min="9" max="9" width="14.5703125" style="1656" customWidth="1"/>
    <col min="10" max="10" width="11.140625" style="1656" customWidth="1"/>
    <col min="11" max="11" width="13.28515625" style="1656" customWidth="1"/>
    <col min="12" max="12" width="12.7109375" style="1656" customWidth="1"/>
    <col min="13" max="13" width="13" style="1656" customWidth="1"/>
    <col min="14" max="14" width="17.5703125" style="1656" customWidth="1"/>
    <col min="15" max="15" width="16" style="1656" customWidth="1"/>
    <col min="16" max="16384" width="8.85546875" style="1656"/>
  </cols>
  <sheetData>
    <row r="2" spans="1:15" s="1669" customFormat="1" ht="17.25" customHeight="1">
      <c r="A2" s="2842" t="s">
        <v>3365</v>
      </c>
      <c r="B2" s="2842"/>
      <c r="C2" s="2842"/>
      <c r="D2" s="2842"/>
      <c r="E2" s="2842"/>
      <c r="F2" s="2842"/>
      <c r="G2" s="2842"/>
      <c r="H2" s="2842"/>
      <c r="I2" s="2842"/>
      <c r="J2" s="2842"/>
      <c r="K2" s="2842"/>
      <c r="L2" s="2842"/>
      <c r="M2" s="2842"/>
      <c r="N2" s="2842"/>
      <c r="O2" s="2842"/>
    </row>
    <row r="3" spans="1:15" s="1669" customFormat="1" ht="30" customHeight="1">
      <c r="A3" s="2843" t="s">
        <v>3366</v>
      </c>
      <c r="B3" s="2843"/>
      <c r="C3" s="2843"/>
      <c r="D3" s="2843"/>
      <c r="E3" s="2843"/>
      <c r="F3" s="2843"/>
      <c r="G3" s="2843"/>
      <c r="H3" s="2843"/>
      <c r="I3" s="2843"/>
      <c r="J3" s="2843"/>
      <c r="K3" s="2843"/>
      <c r="L3" s="2843"/>
      <c r="M3" s="2843"/>
      <c r="N3" s="2843"/>
      <c r="O3" s="2843"/>
    </row>
    <row r="4" spans="1:15" s="1669" customFormat="1" ht="14.25" customHeight="1">
      <c r="A4" s="1670"/>
      <c r="B4" s="1670"/>
      <c r="C4" s="1670"/>
      <c r="D4" s="1670"/>
      <c r="E4" s="1670"/>
      <c r="F4" s="1670"/>
      <c r="G4" s="1670"/>
      <c r="H4" s="1670"/>
      <c r="I4" s="1670"/>
      <c r="J4" s="1670"/>
      <c r="K4" s="1670"/>
      <c r="L4" s="1670"/>
      <c r="M4" s="1670"/>
      <c r="N4" s="1670"/>
      <c r="O4" s="1670"/>
    </row>
    <row r="5" spans="1:15" s="1669" customFormat="1" ht="14.25" customHeight="1">
      <c r="A5" s="528"/>
      <c r="B5" s="528"/>
      <c r="C5" s="528"/>
      <c r="D5" s="528"/>
      <c r="E5" s="528"/>
      <c r="F5" s="528"/>
      <c r="G5" s="528"/>
      <c r="H5" s="528"/>
      <c r="I5" s="528"/>
      <c r="J5" s="528"/>
      <c r="K5" s="528"/>
      <c r="L5" s="528"/>
      <c r="M5" s="528"/>
      <c r="N5" s="528"/>
      <c r="O5" s="528"/>
    </row>
    <row r="6" spans="1:15" s="1668" customFormat="1" ht="51" customHeight="1">
      <c r="A6" s="2838" t="s">
        <v>182</v>
      </c>
      <c r="B6" s="2838" t="s">
        <v>1190</v>
      </c>
      <c r="C6" s="2838"/>
      <c r="D6" s="2838"/>
      <c r="E6" s="2838" t="s">
        <v>2591</v>
      </c>
      <c r="F6" s="2838"/>
      <c r="G6" s="2844" t="s">
        <v>3376</v>
      </c>
      <c r="H6" s="2838"/>
      <c r="I6" s="2838" t="s">
        <v>3310</v>
      </c>
      <c r="J6" s="2838" t="s">
        <v>3311</v>
      </c>
      <c r="K6" s="2838"/>
      <c r="L6" s="2838"/>
      <c r="M6" s="2838"/>
      <c r="N6" s="2838" t="s">
        <v>3312</v>
      </c>
      <c r="O6" s="2838" t="s">
        <v>3309</v>
      </c>
    </row>
    <row r="7" spans="1:15" s="1668" customFormat="1" ht="60.75" customHeight="1">
      <c r="A7" s="2838"/>
      <c r="B7" s="1536" t="s">
        <v>1018</v>
      </c>
      <c r="C7" s="1536" t="s">
        <v>3307</v>
      </c>
      <c r="D7" s="1536" t="s">
        <v>3309</v>
      </c>
      <c r="E7" s="1536" t="s">
        <v>1149</v>
      </c>
      <c r="F7" s="1536" t="s">
        <v>1048</v>
      </c>
      <c r="G7" s="1536" t="s">
        <v>1148</v>
      </c>
      <c r="H7" s="1536" t="s">
        <v>1251</v>
      </c>
      <c r="I7" s="2838"/>
      <c r="J7" s="1536" t="s">
        <v>1149</v>
      </c>
      <c r="K7" s="1536" t="s">
        <v>3309</v>
      </c>
      <c r="L7" s="1536" t="s">
        <v>1251</v>
      </c>
      <c r="M7" s="1536" t="s">
        <v>3309</v>
      </c>
      <c r="N7" s="2838"/>
      <c r="O7" s="2838"/>
    </row>
    <row r="8" spans="1:15" ht="50.25" customHeight="1">
      <c r="A8" s="2838" t="s">
        <v>289</v>
      </c>
      <c r="B8" s="2537" t="s">
        <v>1268</v>
      </c>
      <c r="C8" s="2537"/>
      <c r="D8" s="2537"/>
      <c r="E8" s="2537" t="s">
        <v>1049</v>
      </c>
      <c r="F8" s="2537"/>
      <c r="G8" s="2537" t="s">
        <v>1050</v>
      </c>
      <c r="H8" s="2537"/>
      <c r="I8" s="2537" t="s">
        <v>1051</v>
      </c>
      <c r="J8" s="2839" t="s">
        <v>3315</v>
      </c>
      <c r="K8" s="2840"/>
      <c r="L8" s="2840"/>
      <c r="M8" s="2841"/>
      <c r="N8" s="2537" t="s">
        <v>3313</v>
      </c>
      <c r="O8" s="2537" t="s">
        <v>3314</v>
      </c>
    </row>
    <row r="9" spans="1:15" ht="59.25" customHeight="1">
      <c r="A9" s="2838"/>
      <c r="B9" s="1532" t="s">
        <v>996</v>
      </c>
      <c r="C9" s="1532" t="s">
        <v>1024</v>
      </c>
      <c r="D9" s="1532" t="s">
        <v>3316</v>
      </c>
      <c r="E9" s="1532" t="s">
        <v>3250</v>
      </c>
      <c r="F9" s="1532" t="s">
        <v>1191</v>
      </c>
      <c r="G9" s="1532" t="s">
        <v>3250</v>
      </c>
      <c r="H9" s="1532" t="s">
        <v>1191</v>
      </c>
      <c r="I9" s="2537"/>
      <c r="J9" s="1532" t="s">
        <v>3250</v>
      </c>
      <c r="K9" s="1532" t="s">
        <v>3316</v>
      </c>
      <c r="L9" s="1532" t="s">
        <v>1052</v>
      </c>
      <c r="M9" s="1532" t="s">
        <v>3316</v>
      </c>
      <c r="N9" s="2537"/>
      <c r="O9" s="2537"/>
    </row>
    <row r="10" spans="1:15" hidden="1">
      <c r="A10" s="1657">
        <v>2009</v>
      </c>
      <c r="B10" s="1666"/>
      <c r="C10" s="1666"/>
      <c r="D10" s="1666"/>
      <c r="E10" s="1666"/>
      <c r="F10" s="1666"/>
      <c r="G10" s="1666"/>
      <c r="H10" s="1666"/>
      <c r="I10" s="1666"/>
      <c r="J10" s="1666"/>
      <c r="K10" s="1666"/>
      <c r="L10" s="1666"/>
      <c r="M10" s="1666"/>
      <c r="N10" s="1666"/>
      <c r="O10" s="1666"/>
    </row>
    <row r="11" spans="1:15" hidden="1">
      <c r="B11" s="1666">
        <v>5.2402597402597406</v>
      </c>
      <c r="C11" s="1666">
        <v>1.0254129606099112</v>
      </c>
      <c r="D11" s="1666">
        <v>1.1302521008403361</v>
      </c>
      <c r="E11" s="1666">
        <v>11396.111578557497</v>
      </c>
      <c r="F11" s="1667">
        <v>1372415.6248930632</v>
      </c>
      <c r="G11" s="1666">
        <v>25172.043093270368</v>
      </c>
      <c r="H11" s="1666">
        <v>2848085.8476977567</v>
      </c>
      <c r="I11" s="1667">
        <v>113.14480263460139</v>
      </c>
      <c r="J11" s="1667">
        <v>152.95148434792654</v>
      </c>
      <c r="K11" s="1667">
        <v>101.5445632798574</v>
      </c>
      <c r="L11" s="1667">
        <v>38339.537599630356</v>
      </c>
      <c r="M11" s="1667">
        <v>11715.915075120958</v>
      </c>
      <c r="N11" s="1667">
        <v>250.6646977836283</v>
      </c>
      <c r="O11" s="1666">
        <v>115.37707875932095</v>
      </c>
    </row>
    <row r="12" spans="1:15">
      <c r="A12" s="1661">
        <v>2010</v>
      </c>
      <c r="B12" s="673">
        <v>4.7521141649048628</v>
      </c>
      <c r="C12" s="1662">
        <v>1.1421493902439024</v>
      </c>
      <c r="D12" s="1662">
        <v>1.2884780739466897</v>
      </c>
      <c r="E12" s="673">
        <v>1238.3886147266671</v>
      </c>
      <c r="F12" s="673">
        <v>178366.50005471692</v>
      </c>
      <c r="G12" s="673">
        <v>2602.6617336152221</v>
      </c>
      <c r="H12" s="673">
        <v>345690.83778012689</v>
      </c>
      <c r="I12" s="673">
        <v>132.82203880561372</v>
      </c>
      <c r="J12" s="673">
        <v>15.780233739837398</v>
      </c>
      <c r="K12" s="673">
        <v>10.397535110346805</v>
      </c>
      <c r="L12" s="673">
        <v>5181.0893686483741</v>
      </c>
      <c r="M12" s="673">
        <v>2053.8550515907136</v>
      </c>
      <c r="N12" s="673">
        <v>328.32779628407206</v>
      </c>
      <c r="O12" s="673">
        <v>197.532879648262</v>
      </c>
    </row>
    <row r="13" spans="1:15" hidden="1">
      <c r="A13" s="1665" t="s">
        <v>18</v>
      </c>
      <c r="B13" s="1659">
        <v>5.2640515222482431</v>
      </c>
      <c r="C13" s="1660">
        <v>1.0385814947441376</v>
      </c>
      <c r="D13" s="1660">
        <v>1.1478360781309842</v>
      </c>
      <c r="E13" s="1659">
        <v>564.70286553638562</v>
      </c>
      <c r="F13" s="1659">
        <v>72992.081066547151</v>
      </c>
      <c r="G13" s="1659">
        <v>1223.708430913349</v>
      </c>
      <c r="H13" s="1659">
        <v>143616.09218969557</v>
      </c>
      <c r="I13" s="1659">
        <v>117.36136530701491</v>
      </c>
      <c r="J13" s="1659">
        <v>6.0762388818297328</v>
      </c>
      <c r="K13" s="1659">
        <v>4.3157155623643559</v>
      </c>
      <c r="L13" s="1659">
        <v>2474.0041596395981</v>
      </c>
      <c r="M13" s="1659">
        <v>735.49445040214482</v>
      </c>
      <c r="N13" s="1659">
        <v>407.16045036310408</v>
      </c>
      <c r="O13" s="1659">
        <v>170.42236444312971</v>
      </c>
    </row>
    <row r="14" spans="1:15" hidden="1">
      <c r="A14" s="1665" t="s">
        <v>19</v>
      </c>
      <c r="B14" s="1659">
        <v>5.2456242707117857</v>
      </c>
      <c r="C14" s="1660">
        <v>1.0360682184835215</v>
      </c>
      <c r="D14" s="1660">
        <v>1.1457881993118388</v>
      </c>
      <c r="E14" s="1659">
        <v>989.82744791234495</v>
      </c>
      <c r="F14" s="1659">
        <v>122071.90244899895</v>
      </c>
      <c r="G14" s="1659">
        <v>2222.6697782963829</v>
      </c>
      <c r="H14" s="1659">
        <v>261380.23045507586</v>
      </c>
      <c r="I14" s="1659">
        <v>117.59741955704138</v>
      </c>
      <c r="J14" s="1659">
        <v>9.0747868172389943</v>
      </c>
      <c r="K14" s="1659">
        <v>4.1531795590671594</v>
      </c>
      <c r="L14" s="1659">
        <v>2799.3440527771377</v>
      </c>
      <c r="M14" s="1659">
        <v>759.83622913215243</v>
      </c>
      <c r="N14" s="1659">
        <v>308.47491066780105</v>
      </c>
      <c r="O14" s="1659">
        <v>182.95289628720465</v>
      </c>
    </row>
    <row r="15" spans="1:15" hidden="1">
      <c r="A15" s="1665" t="s">
        <v>20</v>
      </c>
      <c r="B15" s="1659">
        <v>5.2425655976676389</v>
      </c>
      <c r="C15" s="1660">
        <v>1.0290717637633056</v>
      </c>
      <c r="D15" s="1660">
        <v>1.1376692395292927</v>
      </c>
      <c r="E15" s="1659">
        <v>1224.2010378062205</v>
      </c>
      <c r="F15" s="1659">
        <v>151162.96305085556</v>
      </c>
      <c r="G15" s="1659">
        <v>2751.209912536443</v>
      </c>
      <c r="H15" s="1659">
        <v>322750.0728338192</v>
      </c>
      <c r="I15" s="1659">
        <v>117.31204927808066</v>
      </c>
      <c r="J15" s="1659">
        <v>10.740986608675748</v>
      </c>
      <c r="K15" s="1659">
        <v>5.2344679235733267</v>
      </c>
      <c r="L15" s="1659">
        <v>3325.2271683644271</v>
      </c>
      <c r="M15" s="1659">
        <v>766.28747058079205</v>
      </c>
      <c r="N15" s="1659">
        <v>309.58302896295982</v>
      </c>
      <c r="O15" s="1659">
        <v>146.39261941597368</v>
      </c>
    </row>
    <row r="16" spans="1:15" hidden="1">
      <c r="A16" s="1665" t="s">
        <v>21</v>
      </c>
      <c r="B16" s="1659">
        <v>5.1851211072664363</v>
      </c>
      <c r="C16" s="1660">
        <v>1.0315511702615878</v>
      </c>
      <c r="D16" s="1660">
        <v>1.1395437262357415</v>
      </c>
      <c r="E16" s="1659">
        <v>834.48503149642158</v>
      </c>
      <c r="F16" s="1659">
        <v>105597.11699043233</v>
      </c>
      <c r="G16" s="1659">
        <v>1861.670126874279</v>
      </c>
      <c r="H16" s="1659">
        <v>222422.5815109573</v>
      </c>
      <c r="I16" s="1659">
        <v>119.47475457663494</v>
      </c>
      <c r="J16" s="1659">
        <v>8.6259752179899039</v>
      </c>
      <c r="K16" s="1659">
        <v>5.4591888466413181</v>
      </c>
      <c r="L16" s="1659">
        <v>2969.6828625516291</v>
      </c>
      <c r="M16" s="1659">
        <v>650.88158935361218</v>
      </c>
      <c r="N16" s="1659">
        <v>344.27213010746965</v>
      </c>
      <c r="O16" s="1659">
        <v>119.22679497597103</v>
      </c>
    </row>
    <row r="17" spans="1:15" hidden="1">
      <c r="A17" s="1665" t="s">
        <v>22</v>
      </c>
      <c r="B17" s="1659">
        <v>5.131849315068493</v>
      </c>
      <c r="C17" s="1660">
        <v>1.021588455857289</v>
      </c>
      <c r="D17" s="1660">
        <v>1.1286718553853878</v>
      </c>
      <c r="E17" s="1659">
        <v>964.0443542201848</v>
      </c>
      <c r="F17" s="1659">
        <v>120751.99585253188</v>
      </c>
      <c r="G17" s="1659">
        <v>2137.933789954338</v>
      </c>
      <c r="H17" s="1659">
        <v>254566.53834474887</v>
      </c>
      <c r="I17" s="1659">
        <v>119.07129188981381</v>
      </c>
      <c r="J17" s="1659">
        <v>10.701170321554368</v>
      </c>
      <c r="K17" s="1659">
        <v>7.2166708511172484</v>
      </c>
      <c r="L17" s="1659">
        <v>2990.9164049539827</v>
      </c>
      <c r="M17" s="1659">
        <v>687.45916394677386</v>
      </c>
      <c r="N17" s="1659">
        <v>279.49432773064632</v>
      </c>
      <c r="O17" s="1659">
        <v>95.259875104369613</v>
      </c>
    </row>
    <row r="18" spans="1:15" hidden="1">
      <c r="A18" s="1665" t="s">
        <v>23</v>
      </c>
      <c r="B18" s="1659">
        <v>5.0596510973550926</v>
      </c>
      <c r="C18" s="1660">
        <v>1.0199659671015315</v>
      </c>
      <c r="D18" s="1660">
        <v>1.1265505575742387</v>
      </c>
      <c r="E18" s="1659">
        <v>843.62435960085816</v>
      </c>
      <c r="F18" s="1659">
        <v>109373.99002748072</v>
      </c>
      <c r="G18" s="1659">
        <v>1854.6724817107483</v>
      </c>
      <c r="H18" s="1659">
        <v>227862.71739448508</v>
      </c>
      <c r="I18" s="1659">
        <v>122.85873632216978</v>
      </c>
      <c r="J18" s="1659">
        <v>8.3111741349971631</v>
      </c>
      <c r="K18" s="1659">
        <v>5.7036712191454706</v>
      </c>
      <c r="L18" s="1659">
        <v>2740.0134622802043</v>
      </c>
      <c r="M18" s="1659">
        <v>726.46940734243822</v>
      </c>
      <c r="N18" s="1659">
        <v>329.67826419884528</v>
      </c>
      <c r="O18" s="1659">
        <v>127.36873838448189</v>
      </c>
    </row>
    <row r="19" spans="1:15" hidden="1">
      <c r="A19" s="1665" t="s">
        <v>24</v>
      </c>
      <c r="B19" s="1659">
        <v>4.9701492537313436</v>
      </c>
      <c r="C19" s="1660">
        <v>1.0253164556962024</v>
      </c>
      <c r="D19" s="1660">
        <v>1.1362315177555922</v>
      </c>
      <c r="E19" s="1659">
        <v>1045.4981932399176</v>
      </c>
      <c r="F19" s="1659">
        <v>137896.62886564928</v>
      </c>
      <c r="G19" s="1659">
        <v>2274.3847429519074</v>
      </c>
      <c r="H19" s="1659">
        <v>285954.88184079604</v>
      </c>
      <c r="I19" s="1659">
        <v>125.72845589425529</v>
      </c>
      <c r="J19" s="1659">
        <v>9.7674763370965909</v>
      </c>
      <c r="K19" s="1659">
        <v>5.7835207885757614</v>
      </c>
      <c r="L19" s="1659">
        <v>3037.6700650017106</v>
      </c>
      <c r="M19" s="1659">
        <v>722.47050296979648</v>
      </c>
      <c r="N19" s="1659">
        <v>310.99845652706915</v>
      </c>
      <c r="O19" s="1659">
        <v>124.91880454495794</v>
      </c>
    </row>
    <row r="20" spans="1:15" hidden="1">
      <c r="A20" s="1665" t="s">
        <v>25</v>
      </c>
      <c r="B20" s="1659">
        <v>4.9077510917030569</v>
      </c>
      <c r="C20" s="1660">
        <v>1.0226342129208372</v>
      </c>
      <c r="D20" s="1660">
        <v>1.1332240988152256</v>
      </c>
      <c r="E20" s="1659">
        <v>865.78062009116695</v>
      </c>
      <c r="F20" s="1659">
        <v>112485.6238803334</v>
      </c>
      <c r="G20" s="1659">
        <v>1783.1211790393013</v>
      </c>
      <c r="H20" s="1659">
        <v>214381.75301310042</v>
      </c>
      <c r="I20" s="1659">
        <v>120.22837008116502</v>
      </c>
      <c r="J20" s="1659">
        <v>8.8188125568698812</v>
      </c>
      <c r="K20" s="1659">
        <v>4.4200907486765821</v>
      </c>
      <c r="L20" s="1659">
        <v>3245.1651387625111</v>
      </c>
      <c r="M20" s="1659">
        <v>369.97458280816738</v>
      </c>
      <c r="N20" s="1659">
        <v>367.98209711743084</v>
      </c>
      <c r="O20" s="1659">
        <v>83.70293820753372</v>
      </c>
    </row>
    <row r="21" spans="1:15" hidden="1">
      <c r="A21" s="1665" t="s">
        <v>26</v>
      </c>
      <c r="B21" s="1659">
        <v>4.8678938819707636</v>
      </c>
      <c r="C21" s="1660">
        <v>1.0122720108083765</v>
      </c>
      <c r="D21" s="1660">
        <v>1.1217716781035558</v>
      </c>
      <c r="E21" s="1659">
        <v>937.0652835066594</v>
      </c>
      <c r="F21" s="1659">
        <v>121020.20380817376</v>
      </c>
      <c r="G21" s="1659">
        <v>1923.4856524093125</v>
      </c>
      <c r="H21" s="1659">
        <v>232186.2691932864</v>
      </c>
      <c r="I21" s="1659">
        <v>120.71120411137738</v>
      </c>
      <c r="J21" s="1659">
        <v>9.7251745102454397</v>
      </c>
      <c r="K21" s="1659">
        <v>4.1267623206487833</v>
      </c>
      <c r="L21" s="1659">
        <v>3461.6839596937625</v>
      </c>
      <c r="M21" s="1659">
        <v>383.17712289457268</v>
      </c>
      <c r="N21" s="1659">
        <v>355.95083214670234</v>
      </c>
      <c r="O21" s="1659">
        <v>92.85175474664409</v>
      </c>
    </row>
    <row r="22" spans="1:15" hidden="1">
      <c r="A22" s="1665" t="s">
        <v>27</v>
      </c>
      <c r="B22" s="1659">
        <v>4.8131691648822272</v>
      </c>
      <c r="C22" s="1660">
        <v>1.1412795125666413</v>
      </c>
      <c r="D22" s="1660">
        <v>1.2827792837779997</v>
      </c>
      <c r="E22" s="1659">
        <v>952.91010294463888</v>
      </c>
      <c r="F22" s="1659">
        <v>124030.56040947778</v>
      </c>
      <c r="G22" s="1659">
        <v>1959.0926124197001</v>
      </c>
      <c r="H22" s="1659">
        <v>241803.10698072804</v>
      </c>
      <c r="I22" s="1659">
        <v>123.42607258473296</v>
      </c>
      <c r="J22" s="1659">
        <v>10.955699416095456</v>
      </c>
      <c r="K22" s="1659">
        <v>7.0271080039948641</v>
      </c>
      <c r="L22" s="1659">
        <v>3360.1768761106878</v>
      </c>
      <c r="M22" s="1659">
        <v>832.4496119275218</v>
      </c>
      <c r="N22" s="1659">
        <v>306.70582940365432</v>
      </c>
      <c r="O22" s="1659">
        <v>118.46261811463262</v>
      </c>
    </row>
    <row r="23" spans="1:15" hidden="1">
      <c r="A23" s="1665" t="s">
        <v>28</v>
      </c>
      <c r="B23" s="1659">
        <v>4.7849920170303353</v>
      </c>
      <c r="C23" s="1660">
        <v>1.1363751263902933</v>
      </c>
      <c r="D23" s="1660">
        <v>1.2805868109955847</v>
      </c>
      <c r="E23" s="1659">
        <v>866.88681549175692</v>
      </c>
      <c r="F23" s="1659">
        <v>118556.85258185389</v>
      </c>
      <c r="G23" s="1659">
        <v>1757.0835550824906</v>
      </c>
      <c r="H23" s="1659">
        <v>226897.69736029801</v>
      </c>
      <c r="I23" s="1659">
        <v>129.13312898750894</v>
      </c>
      <c r="J23" s="1659">
        <v>10.481294236602629</v>
      </c>
      <c r="K23" s="1659">
        <v>7.6160091155106109</v>
      </c>
      <c r="L23" s="1659">
        <v>3552.9258240647118</v>
      </c>
      <c r="M23" s="1659">
        <v>936.62396382281725</v>
      </c>
      <c r="N23" s="1659">
        <v>338.9777773490257</v>
      </c>
      <c r="O23" s="1659">
        <v>122.98094049222021</v>
      </c>
    </row>
    <row r="24" spans="1:15" hidden="1">
      <c r="A24" s="1665" t="s">
        <v>29</v>
      </c>
      <c r="B24" s="1659">
        <v>4.7521141649048628</v>
      </c>
      <c r="C24" s="1660">
        <v>1.1421493902439024</v>
      </c>
      <c r="D24" s="1660">
        <v>1.2884780739466897</v>
      </c>
      <c r="E24" s="1659">
        <v>1238.3886147266671</v>
      </c>
      <c r="F24" s="1659">
        <v>178366.50005471692</v>
      </c>
      <c r="G24" s="1659">
        <v>2602.6617336152221</v>
      </c>
      <c r="H24" s="1659">
        <v>345690.83778012689</v>
      </c>
      <c r="I24" s="1659">
        <v>132.82203880561372</v>
      </c>
      <c r="J24" s="1659">
        <v>15.780233739837398</v>
      </c>
      <c r="K24" s="1659">
        <v>10.397535110346805</v>
      </c>
      <c r="L24" s="1659">
        <v>5181.0893686483741</v>
      </c>
      <c r="M24" s="1659">
        <v>2053.8550515907136</v>
      </c>
      <c r="N24" s="1659">
        <v>328.32779628407206</v>
      </c>
      <c r="O24" s="1659">
        <v>197.532879648262</v>
      </c>
    </row>
    <row r="25" spans="1:15" ht="19.5" customHeight="1">
      <c r="A25" s="1661">
        <v>2011</v>
      </c>
      <c r="B25" s="673">
        <v>4.2701688555347088</v>
      </c>
      <c r="C25" s="1662">
        <v>0.68865355521936455</v>
      </c>
      <c r="D25" s="1662">
        <v>0.77718968755335494</v>
      </c>
      <c r="E25" s="673">
        <v>1106.4532806549171</v>
      </c>
      <c r="F25" s="673">
        <v>168348.50981738092</v>
      </c>
      <c r="G25" s="673">
        <v>2144.4882739212007</v>
      </c>
      <c r="H25" s="673">
        <v>323530.96200750471</v>
      </c>
      <c r="I25" s="673">
        <v>150.86627702371518</v>
      </c>
      <c r="J25" s="673">
        <v>16.699167927382753</v>
      </c>
      <c r="K25" s="673">
        <v>15.821581014171077</v>
      </c>
      <c r="L25" s="673">
        <v>3147.7293494704991</v>
      </c>
      <c r="M25" s="673">
        <v>1095.5109270957828</v>
      </c>
      <c r="N25" s="673">
        <v>188.49617916045713</v>
      </c>
      <c r="O25" s="673">
        <v>69.241558483602574</v>
      </c>
    </row>
    <row r="26" spans="1:15" hidden="1">
      <c r="A26" s="1661" t="s">
        <v>18</v>
      </c>
      <c r="B26" s="673">
        <v>4.7739905610907183</v>
      </c>
      <c r="C26" s="1662">
        <v>1.1576805696846388</v>
      </c>
      <c r="D26" s="1662">
        <v>1.3152268130598093</v>
      </c>
      <c r="E26" s="673">
        <v>801.96415008712052</v>
      </c>
      <c r="F26" s="673">
        <v>105336.80332163104</v>
      </c>
      <c r="G26" s="673">
        <v>1636.4672260094389</v>
      </c>
      <c r="H26" s="673">
        <v>203601.7196853697</v>
      </c>
      <c r="I26" s="673">
        <v>124.41539705127913</v>
      </c>
      <c r="J26" s="673">
        <v>12.82884028484232</v>
      </c>
      <c r="K26" s="673">
        <v>10.556919965327939</v>
      </c>
      <c r="L26" s="673">
        <v>3183.1895892675484</v>
      </c>
      <c r="M26" s="673">
        <v>958.75480641433103</v>
      </c>
      <c r="N26" s="673">
        <v>248.12761859921099</v>
      </c>
      <c r="O26" s="673">
        <v>90.817663633253503</v>
      </c>
    </row>
    <row r="27" spans="1:15" hidden="1">
      <c r="A27" s="1661" t="s">
        <v>19</v>
      </c>
      <c r="B27" s="673">
        <v>4.7615062761506275</v>
      </c>
      <c r="C27" s="1662">
        <v>1.1404233997244144</v>
      </c>
      <c r="D27" s="1662">
        <v>1.2917139614074915</v>
      </c>
      <c r="E27" s="673">
        <v>946.87499489456422</v>
      </c>
      <c r="F27" s="673">
        <v>126752.22659312349</v>
      </c>
      <c r="G27" s="673">
        <v>1989.5475941422594</v>
      </c>
      <c r="H27" s="673">
        <v>254570.47904288705</v>
      </c>
      <c r="I27" s="673">
        <v>127.95395284456029</v>
      </c>
      <c r="J27" s="673">
        <v>12.0438431667293</v>
      </c>
      <c r="K27" s="673">
        <v>9.775681044267877</v>
      </c>
      <c r="L27" s="673">
        <v>3501.4769460102721</v>
      </c>
      <c r="M27" s="673">
        <v>914.04598893303069</v>
      </c>
      <c r="N27" s="673">
        <v>290.72754415160279</v>
      </c>
      <c r="O27" s="673">
        <v>93.502026589645709</v>
      </c>
    </row>
    <row r="28" spans="1:15" hidden="1">
      <c r="A28" s="1661" t="s">
        <v>20</v>
      </c>
      <c r="B28" s="673">
        <v>4.7195438050803524</v>
      </c>
      <c r="C28" s="1662">
        <v>1.0278875465733319</v>
      </c>
      <c r="D28" s="1662">
        <v>1.1486247792076709</v>
      </c>
      <c r="E28" s="673">
        <v>1145.3625658010344</v>
      </c>
      <c r="F28" s="673">
        <v>154510.45655675052</v>
      </c>
      <c r="G28" s="673">
        <v>2396.0533955417313</v>
      </c>
      <c r="H28" s="673">
        <v>308531.89947641268</v>
      </c>
      <c r="I28" s="673">
        <v>128.76670446931158</v>
      </c>
      <c r="J28" s="673">
        <v>14.773399570960821</v>
      </c>
      <c r="K28" s="673">
        <v>12.284632853898561</v>
      </c>
      <c r="L28" s="673">
        <v>3873.3201546799141</v>
      </c>
      <c r="M28" s="673">
        <v>910.45422533434271</v>
      </c>
      <c r="N28" s="673">
        <v>262.18204794876499</v>
      </c>
      <c r="O28" s="673">
        <v>74.113262981677764</v>
      </c>
    </row>
    <row r="29" spans="1:15" hidden="1">
      <c r="A29" s="1661" t="s">
        <v>21</v>
      </c>
      <c r="B29" s="673">
        <v>4.675911658962506</v>
      </c>
      <c r="C29" s="1662">
        <v>0.96491785903550609</v>
      </c>
      <c r="D29" s="1662">
        <v>1.0732052339974065</v>
      </c>
      <c r="E29" s="673">
        <v>839.58585905230314</v>
      </c>
      <c r="F29" s="673">
        <v>116137.61166865507</v>
      </c>
      <c r="G29" s="673">
        <v>1710.3754494093478</v>
      </c>
      <c r="H29" s="673">
        <v>227303.09914740629</v>
      </c>
      <c r="I29" s="673">
        <v>132.89661005477012</v>
      </c>
      <c r="J29" s="673">
        <v>15.100052994170641</v>
      </c>
      <c r="K29" s="673">
        <v>14.026995166804197</v>
      </c>
      <c r="L29" s="673">
        <v>3370.9133831478539</v>
      </c>
      <c r="M29" s="673">
        <v>945.05395261110448</v>
      </c>
      <c r="N29" s="673">
        <v>223.23851343099201</v>
      </c>
      <c r="O29" s="673">
        <v>67.373941558605267</v>
      </c>
    </row>
    <row r="30" spans="1:15" hidden="1">
      <c r="A30" s="1661" t="s">
        <v>22</v>
      </c>
      <c r="B30" s="673">
        <v>4.6448979591836732</v>
      </c>
      <c r="C30" s="1662">
        <v>0.90183259039128283</v>
      </c>
      <c r="D30" s="1662">
        <v>1.0312641594925238</v>
      </c>
      <c r="E30" s="673">
        <v>1001.0495950779874</v>
      </c>
      <c r="F30" s="673">
        <v>132822.70464367137</v>
      </c>
      <c r="G30" s="673">
        <v>2045.5622448979591</v>
      </c>
      <c r="H30" s="673">
        <v>263169.48163265304</v>
      </c>
      <c r="I30" s="673">
        <v>128.65386144520917</v>
      </c>
      <c r="J30" s="673">
        <v>16.624764735017337</v>
      </c>
      <c r="K30" s="673">
        <v>16.342093339374717</v>
      </c>
      <c r="L30" s="673">
        <v>3074.8407132243683</v>
      </c>
      <c r="M30" s="673">
        <v>986.94970548255549</v>
      </c>
      <c r="N30" s="673">
        <v>184.95544221132477</v>
      </c>
      <c r="O30" s="673">
        <v>60.393101727340785</v>
      </c>
    </row>
    <row r="31" spans="1:15" hidden="1">
      <c r="A31" s="1661" t="s">
        <v>23</v>
      </c>
      <c r="B31" s="673">
        <v>4.5863979848866503</v>
      </c>
      <c r="C31" s="1662">
        <v>0.85813931567536994</v>
      </c>
      <c r="D31" s="1662">
        <v>1.0285843407524573</v>
      </c>
      <c r="E31" s="673">
        <v>871.82916868881762</v>
      </c>
      <c r="F31" s="673">
        <v>125578.33964487235</v>
      </c>
      <c r="G31" s="673">
        <v>1755.4952141057934</v>
      </c>
      <c r="H31" s="673">
        <v>241883.51788413097</v>
      </c>
      <c r="I31" s="673">
        <v>137.78648665091382</v>
      </c>
      <c r="J31" s="673">
        <v>14.131586388915071</v>
      </c>
      <c r="K31" s="673">
        <v>14.111173878657779</v>
      </c>
      <c r="L31" s="673">
        <v>2960.489584315204</v>
      </c>
      <c r="M31" s="673">
        <v>1001.4478589989832</v>
      </c>
      <c r="N31" s="673">
        <v>209.49449713851203</v>
      </c>
      <c r="O31" s="673">
        <v>70.96843023907509</v>
      </c>
    </row>
    <row r="32" spans="1:15" hidden="1">
      <c r="A32" s="1661" t="s">
        <v>24</v>
      </c>
      <c r="B32" s="673">
        <v>4.5474525474525471</v>
      </c>
      <c r="C32" s="1662">
        <v>0.80766501064584817</v>
      </c>
      <c r="D32" s="1662">
        <v>0.91950308049691953</v>
      </c>
      <c r="E32" s="673">
        <v>976.08795341411496</v>
      </c>
      <c r="F32" s="673">
        <v>145689.23348282595</v>
      </c>
      <c r="G32" s="673">
        <v>1984.4045954045955</v>
      </c>
      <c r="H32" s="673">
        <v>288375.97752247751</v>
      </c>
      <c r="I32" s="673">
        <v>145.3211599037248</v>
      </c>
      <c r="J32" s="673">
        <v>12.827448545067424</v>
      </c>
      <c r="K32" s="673">
        <v>12.223613776386223</v>
      </c>
      <c r="L32" s="673">
        <v>2765.7775904897089</v>
      </c>
      <c r="M32" s="673">
        <v>803.54317745682249</v>
      </c>
      <c r="N32" s="673">
        <v>215.6140077874833</v>
      </c>
      <c r="O32" s="673">
        <v>65.736957348007863</v>
      </c>
    </row>
    <row r="33" spans="1:15" hidden="1">
      <c r="A33" s="1661" t="s">
        <v>25</v>
      </c>
      <c r="B33" s="673">
        <v>4.4671246319921494</v>
      </c>
      <c r="C33" s="1662">
        <v>0.7723763468227709</v>
      </c>
      <c r="D33" s="1662">
        <v>0.87504805843906186</v>
      </c>
      <c r="E33" s="673">
        <v>1071.0480328433848</v>
      </c>
      <c r="F33" s="673">
        <v>155534.32932728028</v>
      </c>
      <c r="G33" s="673">
        <v>2156.8125613346419</v>
      </c>
      <c r="H33" s="673">
        <v>300896.23356231599</v>
      </c>
      <c r="I33" s="673">
        <v>139.50968153492232</v>
      </c>
      <c r="J33" s="673">
        <v>12.793840671926699</v>
      </c>
      <c r="K33" s="673">
        <v>11.556708958093042</v>
      </c>
      <c r="L33" s="673">
        <v>2880.3866972087894</v>
      </c>
      <c r="M33" s="673">
        <v>798.60265282583623</v>
      </c>
      <c r="N33" s="673">
        <v>225.13854682661255</v>
      </c>
      <c r="O33" s="673">
        <v>69.102947536511522</v>
      </c>
    </row>
    <row r="34" spans="1:15" hidden="1">
      <c r="A34" s="1661" t="s">
        <v>26</v>
      </c>
      <c r="B34" s="673">
        <v>4.4280155642023349</v>
      </c>
      <c r="C34" s="1662">
        <v>0.74598492297607344</v>
      </c>
      <c r="D34" s="1662">
        <v>0.8432752871433864</v>
      </c>
      <c r="E34" s="673">
        <v>975.54150456791649</v>
      </c>
      <c r="F34" s="673">
        <v>140478.02890610616</v>
      </c>
      <c r="G34" s="673">
        <v>1915.5165369649806</v>
      </c>
      <c r="H34" s="673">
        <v>264336.80885214009</v>
      </c>
      <c r="I34" s="673">
        <v>137.99766472962204</v>
      </c>
      <c r="J34" s="673">
        <v>14.100458865945592</v>
      </c>
      <c r="K34" s="673">
        <v>13.585309373842163</v>
      </c>
      <c r="L34" s="673">
        <v>2987.2227958046542</v>
      </c>
      <c r="M34" s="673">
        <v>1058.5535383475362</v>
      </c>
      <c r="N34" s="673">
        <v>211.85287827896002</v>
      </c>
      <c r="O34" s="673">
        <v>77.918986547757839</v>
      </c>
    </row>
    <row r="35" spans="1:15" hidden="1">
      <c r="A35" s="1661" t="s">
        <v>27</v>
      </c>
      <c r="B35" s="673">
        <v>4.3917028461167389</v>
      </c>
      <c r="C35" s="1662">
        <v>0.72966257914562793</v>
      </c>
      <c r="D35" s="1662">
        <v>0.82869106135081017</v>
      </c>
      <c r="E35" s="673">
        <v>908.7628052105124</v>
      </c>
      <c r="F35" s="673">
        <v>130895.20112393776</v>
      </c>
      <c r="G35" s="673">
        <v>1757.5615050651229</v>
      </c>
      <c r="H35" s="673">
        <v>248859.28412928124</v>
      </c>
      <c r="I35" s="673">
        <v>141.59349952311356</v>
      </c>
      <c r="J35" s="673">
        <v>13.723010339023803</v>
      </c>
      <c r="K35" s="673">
        <v>13.398325141088659</v>
      </c>
      <c r="L35" s="673">
        <v>2533.0968982928589</v>
      </c>
      <c r="M35" s="673">
        <v>992.92135445111956</v>
      </c>
      <c r="N35" s="673">
        <v>184.58755300136664</v>
      </c>
      <c r="O35" s="673">
        <v>74.10787124475182</v>
      </c>
    </row>
    <row r="36" spans="1:15" hidden="1">
      <c r="A36" s="1661" t="s">
        <v>28</v>
      </c>
      <c r="B36" s="673">
        <v>4.5203574975173781</v>
      </c>
      <c r="C36" s="1662">
        <v>0.71247456565972767</v>
      </c>
      <c r="D36" s="1662">
        <v>0.80644875542563554</v>
      </c>
      <c r="E36" s="673">
        <v>897.73440675009761</v>
      </c>
      <c r="F36" s="673">
        <v>134211.24772239994</v>
      </c>
      <c r="G36" s="673">
        <v>1804.2681231380338</v>
      </c>
      <c r="H36" s="673">
        <v>267883.86345580936</v>
      </c>
      <c r="I36" s="673">
        <v>148.47231407596905</v>
      </c>
      <c r="J36" s="673">
        <v>14.872984817655345</v>
      </c>
      <c r="K36" s="673">
        <v>14.368766055452211</v>
      </c>
      <c r="L36" s="673">
        <v>2518.1717013617153</v>
      </c>
      <c r="M36" s="673">
        <v>925.20010629816636</v>
      </c>
      <c r="N36" s="673">
        <v>169.3117912937326</v>
      </c>
      <c r="O36" s="673">
        <v>64.389670116947883</v>
      </c>
    </row>
    <row r="37" spans="1:15" hidden="1">
      <c r="A37" s="1661" t="s">
        <v>29</v>
      </c>
      <c r="B37" s="673">
        <v>4.2701688555347088</v>
      </c>
      <c r="C37" s="1662">
        <v>0.68865355521936455</v>
      </c>
      <c r="D37" s="1662">
        <v>0.77718968755335494</v>
      </c>
      <c r="E37" s="673">
        <v>1106.4532806549171</v>
      </c>
      <c r="F37" s="673">
        <v>168348.50981738092</v>
      </c>
      <c r="G37" s="673">
        <v>2144.4882739212007</v>
      </c>
      <c r="H37" s="673">
        <v>323530.96200750471</v>
      </c>
      <c r="I37" s="673">
        <v>150.86627702371518</v>
      </c>
      <c r="J37" s="673">
        <v>16.699167927382753</v>
      </c>
      <c r="K37" s="673">
        <v>15.821581014171077</v>
      </c>
      <c r="L37" s="673">
        <v>3147.7293494704991</v>
      </c>
      <c r="M37" s="673">
        <v>1095.5109270957828</v>
      </c>
      <c r="N37" s="673">
        <v>188.49617916045713</v>
      </c>
      <c r="O37" s="673">
        <v>69.241558483602574</v>
      </c>
    </row>
    <row r="38" spans="1:15">
      <c r="A38" s="1661" t="s">
        <v>1301</v>
      </c>
      <c r="B38" s="673">
        <v>4.0628318584070797</v>
      </c>
      <c r="C38" s="1662">
        <v>0.24910472056429733</v>
      </c>
      <c r="D38" s="1662">
        <v>0.26208077636649063</v>
      </c>
      <c r="E38" s="673">
        <v>1148.7973399929353</v>
      </c>
      <c r="F38" s="673">
        <v>186285.01527623113</v>
      </c>
      <c r="G38" s="673">
        <v>2126.6057522123892</v>
      </c>
      <c r="H38" s="673">
        <v>355559.63185840705</v>
      </c>
      <c r="I38" s="673">
        <v>167.19583848040699</v>
      </c>
      <c r="J38" s="673">
        <v>16.070944112859468</v>
      </c>
      <c r="K38" s="673">
        <v>15.884800913372342</v>
      </c>
      <c r="L38" s="673">
        <v>2003.0825284861639</v>
      </c>
      <c r="M38" s="673">
        <v>607.4346225203368</v>
      </c>
      <c r="N38" s="673">
        <v>124.64000337623972</v>
      </c>
      <c r="O38" s="673">
        <v>38.239989650042048</v>
      </c>
    </row>
    <row r="39" spans="1:15" hidden="1">
      <c r="A39" s="1661" t="s">
        <v>18</v>
      </c>
      <c r="B39" s="1663">
        <v>4.2476722532588456</v>
      </c>
      <c r="C39" s="1664">
        <v>0.66666666666666663</v>
      </c>
      <c r="D39" s="1664">
        <v>0.74946607524231967</v>
      </c>
      <c r="E39" s="1663">
        <v>766.30770642233597</v>
      </c>
      <c r="F39" s="1663">
        <v>114938.5491191597</v>
      </c>
      <c r="G39" s="1663">
        <v>1408.9483240223465</v>
      </c>
      <c r="H39" s="1663">
        <v>208930.22625698324</v>
      </c>
      <c r="I39" s="1663">
        <v>148.28806897652376</v>
      </c>
      <c r="J39" s="1663">
        <v>16.808271226070438</v>
      </c>
      <c r="K39" s="1663">
        <v>16.880072285197961</v>
      </c>
      <c r="L39" s="1663">
        <v>2301.8817039310243</v>
      </c>
      <c r="M39" s="1663">
        <v>954.35493675045177</v>
      </c>
      <c r="N39" s="1663">
        <v>136.94934315200098</v>
      </c>
      <c r="O39" s="1663">
        <v>56.537372626497579</v>
      </c>
    </row>
    <row r="40" spans="1:15" hidden="1">
      <c r="A40" s="1661" t="s">
        <v>19</v>
      </c>
      <c r="B40" s="1663">
        <v>4.2345850718590636</v>
      </c>
      <c r="C40" s="1664">
        <v>0.50206123234210964</v>
      </c>
      <c r="D40" s="1664">
        <v>0.54839097022094141</v>
      </c>
      <c r="E40" s="1663">
        <v>993.73733959159892</v>
      </c>
      <c r="F40" s="1663">
        <v>149942.65153800999</v>
      </c>
      <c r="G40" s="1663">
        <v>1888.9967547519702</v>
      </c>
      <c r="H40" s="1663">
        <v>285457.20723226701</v>
      </c>
      <c r="I40" s="1663">
        <v>151.11577429350757</v>
      </c>
      <c r="J40" s="1663">
        <v>15.053866871873797</v>
      </c>
      <c r="K40" s="1663">
        <v>14.662824207492795</v>
      </c>
      <c r="L40" s="1663">
        <v>1950.640795910515</v>
      </c>
      <c r="M40" s="1663">
        <v>646.79592939481267</v>
      </c>
      <c r="N40" s="1663">
        <v>129.57739114559561</v>
      </c>
      <c r="O40" s="1663">
        <v>44.111278989779876</v>
      </c>
    </row>
    <row r="41" spans="1:15" hidden="1">
      <c r="A41" s="1661" t="s">
        <v>20</v>
      </c>
      <c r="B41" s="1663">
        <v>4.2177121771217712</v>
      </c>
      <c r="C41" s="1664">
        <v>0.43555301514718492</v>
      </c>
      <c r="D41" s="1664">
        <v>0.47020105928935052</v>
      </c>
      <c r="E41" s="1663">
        <v>1131.6675515032853</v>
      </c>
      <c r="F41" s="1663">
        <v>168257.2769406999</v>
      </c>
      <c r="G41" s="1663">
        <v>2132.6785055350551</v>
      </c>
      <c r="H41" s="1663">
        <v>320045.99492619926</v>
      </c>
      <c r="I41" s="1663">
        <v>150.06762345827872</v>
      </c>
      <c r="J41" s="1663">
        <v>15.598599599885681</v>
      </c>
      <c r="K41" s="1663">
        <v>15.351776623643749</v>
      </c>
      <c r="L41" s="1663">
        <v>1966.8048490044775</v>
      </c>
      <c r="M41" s="1663">
        <v>709.07929243585124</v>
      </c>
      <c r="N41" s="1663">
        <v>126.08855278385963</v>
      </c>
      <c r="O41" s="1663">
        <v>46.188744783048506</v>
      </c>
    </row>
    <row r="42" spans="1:15" hidden="1">
      <c r="A42" s="1661" t="s">
        <v>21</v>
      </c>
      <c r="B42" s="1663">
        <v>4.1933119560238206</v>
      </c>
      <c r="C42" s="1664">
        <v>0.31761562749384131</v>
      </c>
      <c r="D42" s="1664">
        <v>0.33569254464776854</v>
      </c>
      <c r="E42" s="1663">
        <v>892.83385640259303</v>
      </c>
      <c r="F42" s="1663">
        <v>136305.70908675203</v>
      </c>
      <c r="G42" s="1663">
        <v>1651.5909299129637</v>
      </c>
      <c r="H42" s="1663">
        <v>255612.92624828219</v>
      </c>
      <c r="I42" s="1663">
        <v>154.76769799271818</v>
      </c>
      <c r="J42" s="1663">
        <v>12.161132507546581</v>
      </c>
      <c r="K42" s="1663">
        <v>11.770912024643367</v>
      </c>
      <c r="L42" s="1663">
        <v>1527.6885604246904</v>
      </c>
      <c r="M42" s="1663">
        <v>468.51498038065205</v>
      </c>
      <c r="N42" s="1663">
        <v>125.62058340180772</v>
      </c>
      <c r="O42" s="1663">
        <v>39.802776488327972</v>
      </c>
    </row>
    <row r="43" spans="1:15" hidden="1">
      <c r="A43" s="1661" t="s">
        <v>22</v>
      </c>
      <c r="B43" s="1663">
        <v>4.1353790613718413</v>
      </c>
      <c r="C43" s="1664">
        <v>0.24638382534817443</v>
      </c>
      <c r="D43" s="1664">
        <v>0.25729286576634752</v>
      </c>
      <c r="E43" s="1663">
        <v>1050.6821570010511</v>
      </c>
      <c r="F43" s="1663">
        <v>153977.24791267593</v>
      </c>
      <c r="G43" s="1663">
        <v>1931.5225631768953</v>
      </c>
      <c r="H43" s="1663">
        <v>295548.23601083033</v>
      </c>
      <c r="I43" s="1663">
        <v>153.01309011100744</v>
      </c>
      <c r="J43" s="1663">
        <v>12.537882454159273</v>
      </c>
      <c r="K43" s="1663">
        <v>12.309037819019007</v>
      </c>
      <c r="L43" s="1663">
        <v>1125.9993547346346</v>
      </c>
      <c r="M43" s="1663">
        <v>417.58323272594549</v>
      </c>
      <c r="N43" s="1663">
        <v>89.807777258359891</v>
      </c>
      <c r="O43" s="1663">
        <v>33.924928890926552</v>
      </c>
    </row>
    <row r="44" spans="1:15" hidden="1">
      <c r="A44" s="1661" t="s">
        <v>23</v>
      </c>
      <c r="B44" s="1663">
        <v>4.1194431971261789</v>
      </c>
      <c r="C44" s="1664">
        <v>0.25265767006334344</v>
      </c>
      <c r="D44" s="1664">
        <v>0.26407599309153712</v>
      </c>
      <c r="E44" s="1663">
        <v>913.03183756968758</v>
      </c>
      <c r="F44" s="1663">
        <v>140141.99058323944</v>
      </c>
      <c r="G44" s="1663">
        <v>1702.9092950157162</v>
      </c>
      <c r="H44" s="1663">
        <v>266527.81589582399</v>
      </c>
      <c r="I44" s="1663">
        <v>156.5132192747613</v>
      </c>
      <c r="J44" s="1663">
        <v>9.3615808317267977</v>
      </c>
      <c r="K44" s="1663">
        <v>9.0654576856649403</v>
      </c>
      <c r="L44" s="1663">
        <v>1088.8220324979345</v>
      </c>
      <c r="M44" s="1663">
        <v>433.17973517559011</v>
      </c>
      <c r="N44" s="1663">
        <v>116.30749678599902</v>
      </c>
      <c r="O44" s="1663">
        <v>47.783548299008679</v>
      </c>
    </row>
    <row r="45" spans="1:15" hidden="1">
      <c r="A45" s="1661" t="s">
        <v>24</v>
      </c>
      <c r="B45" s="1663">
        <v>4.1831435079726651</v>
      </c>
      <c r="C45" s="1664">
        <v>0.25140322536483861</v>
      </c>
      <c r="D45" s="1664">
        <v>0.26242533367629828</v>
      </c>
      <c r="E45" s="1663">
        <v>1043.8182095377865</v>
      </c>
      <c r="F45" s="1663">
        <v>168721.09515053077</v>
      </c>
      <c r="G45" s="1663">
        <v>1979.1649202733486</v>
      </c>
      <c r="H45" s="1663">
        <v>325265.6460136674</v>
      </c>
      <c r="I45" s="1663">
        <v>164.34489247553154</v>
      </c>
      <c r="J45" s="1663">
        <v>10.162856282342634</v>
      </c>
      <c r="K45" s="1663">
        <v>9.8200577324301932</v>
      </c>
      <c r="L45" s="1663">
        <v>1401.82600005476</v>
      </c>
      <c r="M45" s="1663">
        <v>370.13418502958075</v>
      </c>
      <c r="N45" s="1663">
        <v>137.9362219743627</v>
      </c>
      <c r="O45" s="1663">
        <v>37.691650610895415</v>
      </c>
    </row>
    <row r="46" spans="1:15" hidden="1">
      <c r="A46" s="1661" t="s">
        <v>25</v>
      </c>
      <c r="B46" s="1663">
        <v>4.1472448057813915</v>
      </c>
      <c r="C46" s="1664">
        <v>0.25146519143342277</v>
      </c>
      <c r="D46" s="1664">
        <v>0.2625528994624271</v>
      </c>
      <c r="E46" s="1663">
        <v>921.33452918947012</v>
      </c>
      <c r="F46" s="1663">
        <v>148402.12961794625</v>
      </c>
      <c r="G46" s="1663">
        <v>1691.9065040650407</v>
      </c>
      <c r="H46" s="1663">
        <v>268799.26422764227</v>
      </c>
      <c r="I46" s="1663">
        <v>158.87359235384145</v>
      </c>
      <c r="J46" s="1663">
        <v>10.682943528509613</v>
      </c>
      <c r="K46" s="1663">
        <v>10.371268443326089</v>
      </c>
      <c r="L46" s="1663">
        <v>1577.9106644026949</v>
      </c>
      <c r="M46" s="1663">
        <v>410.33255175569025</v>
      </c>
      <c r="N46" s="1663">
        <v>147.70373541634086</v>
      </c>
      <c r="O46" s="1663">
        <v>39.564355507521284</v>
      </c>
    </row>
    <row r="47" spans="1:15" hidden="1">
      <c r="A47" s="1661" t="s">
        <v>26</v>
      </c>
      <c r="B47" s="1663">
        <v>4.1397482014388487</v>
      </c>
      <c r="C47" s="1664">
        <v>0.25085281456051439</v>
      </c>
      <c r="D47" s="1664">
        <v>0.26275864037215674</v>
      </c>
      <c r="E47" s="1663">
        <v>953.20660549981369</v>
      </c>
      <c r="F47" s="1663">
        <v>149269.64497196558</v>
      </c>
      <c r="G47" s="1663">
        <v>1807.0355215827337</v>
      </c>
      <c r="H47" s="1663">
        <v>278554.95098920865</v>
      </c>
      <c r="I47" s="1663">
        <v>154.15023537845556</v>
      </c>
      <c r="J47" s="1663">
        <v>10.400168928123808</v>
      </c>
      <c r="K47" s="1663">
        <v>9.9738291617911479</v>
      </c>
      <c r="L47" s="1663">
        <v>1636.1642144842242</v>
      </c>
      <c r="M47" s="1663">
        <v>417.33605411113331</v>
      </c>
      <c r="N47" s="1663">
        <v>157.32092678415643</v>
      </c>
      <c r="O47" s="1663">
        <v>41.84311234344284</v>
      </c>
    </row>
    <row r="48" spans="1:15" hidden="1">
      <c r="A48" s="1661" t="s">
        <v>27</v>
      </c>
      <c r="B48" s="1663">
        <v>4.1248876909254264</v>
      </c>
      <c r="C48" s="1664">
        <v>0.25049788569090164</v>
      </c>
      <c r="D48" s="1664">
        <v>0.26252287282708142</v>
      </c>
      <c r="E48" s="1663">
        <v>1035.1523357176566</v>
      </c>
      <c r="F48" s="1663">
        <v>160073.5229337952</v>
      </c>
      <c r="G48" s="1663">
        <v>1938.6343216531895</v>
      </c>
      <c r="H48" s="1663">
        <v>303395.60871518421</v>
      </c>
      <c r="I48" s="1663">
        <v>156.49965820086203</v>
      </c>
      <c r="J48" s="1663">
        <v>12.731032601282227</v>
      </c>
      <c r="K48" s="1663">
        <v>12.466176806953339</v>
      </c>
      <c r="L48" s="1663">
        <v>1728.7131087164098</v>
      </c>
      <c r="M48" s="1663">
        <v>508.7700994967978</v>
      </c>
      <c r="N48" s="1663">
        <v>135.78734442501542</v>
      </c>
      <c r="O48" s="1663">
        <v>40.812039438829217</v>
      </c>
    </row>
    <row r="49" spans="1:15" hidden="1">
      <c r="A49" s="1661" t="s">
        <v>28</v>
      </c>
      <c r="B49" s="1663">
        <v>4.0991071428571431</v>
      </c>
      <c r="C49" s="1664">
        <v>0.25168576284194943</v>
      </c>
      <c r="D49" s="1664">
        <v>0.26399470975532618</v>
      </c>
      <c r="E49" s="1663">
        <v>985.30971556257191</v>
      </c>
      <c r="F49" s="1663">
        <v>152732.84347314606</v>
      </c>
      <c r="G49" s="1663">
        <v>1859.1946428571428</v>
      </c>
      <c r="H49" s="1663">
        <v>293751.49553571426</v>
      </c>
      <c r="I49" s="1663">
        <v>157.99932334372889</v>
      </c>
      <c r="J49" s="1663">
        <v>13.213091387533579</v>
      </c>
      <c r="K49" s="1663">
        <v>13.013685632960524</v>
      </c>
      <c r="L49" s="1663">
        <v>1610.2856203059043</v>
      </c>
      <c r="M49" s="1663">
        <v>494.22886058480202</v>
      </c>
      <c r="N49" s="1663">
        <v>121.87046718114679</v>
      </c>
      <c r="O49" s="1663">
        <v>37.977624058555683</v>
      </c>
    </row>
    <row r="50" spans="1:15" hidden="1">
      <c r="A50" s="1661" t="s">
        <v>29</v>
      </c>
      <c r="B50" s="1663">
        <v>4.0628318584070797</v>
      </c>
      <c r="C50" s="1664">
        <v>0.24910472056429733</v>
      </c>
      <c r="D50" s="1664">
        <v>0.26208077636649063</v>
      </c>
      <c r="E50" s="1663">
        <v>1148.7973399929353</v>
      </c>
      <c r="F50" s="1663">
        <v>186285.01527623113</v>
      </c>
      <c r="G50" s="1663">
        <v>2126.6057522123892</v>
      </c>
      <c r="H50" s="1663">
        <v>355559.63185840705</v>
      </c>
      <c r="I50" s="1663">
        <v>167.19583848040699</v>
      </c>
      <c r="J50" s="1663">
        <v>16.070944112859468</v>
      </c>
      <c r="K50" s="1663">
        <v>15.884800913372342</v>
      </c>
      <c r="L50" s="1663">
        <v>2003.0825284861639</v>
      </c>
      <c r="M50" s="1663">
        <v>607.4346225203368</v>
      </c>
      <c r="N50" s="1663">
        <v>124.64000337623972</v>
      </c>
      <c r="O50" s="1663">
        <v>38.239989650042048</v>
      </c>
    </row>
    <row r="51" spans="1:15">
      <c r="A51" s="1661" t="s">
        <v>1423</v>
      </c>
      <c r="B51" s="673">
        <f t="shared" ref="B51:O51" si="0">AVERAGE(B52:B63)</f>
        <v>3.9675708118856918</v>
      </c>
      <c r="C51" s="1662">
        <f t="shared" si="0"/>
        <v>0.25998889594315494</v>
      </c>
      <c r="D51" s="1662">
        <f t="shared" si="0"/>
        <v>0.27060096946755191</v>
      </c>
      <c r="E51" s="673">
        <f t="shared" si="0"/>
        <v>1048.8757389440268</v>
      </c>
      <c r="F51" s="673">
        <f t="shared" si="0"/>
        <v>158960.36794211017</v>
      </c>
      <c r="G51" s="673">
        <f t="shared" si="0"/>
        <v>1818.6126505699394</v>
      </c>
      <c r="H51" s="673">
        <f t="shared" si="0"/>
        <v>300975.38451166125</v>
      </c>
      <c r="I51" s="673">
        <f t="shared" si="0"/>
        <v>165.01182207424597</v>
      </c>
      <c r="J51" s="673">
        <f t="shared" si="0"/>
        <v>25.523866052473604</v>
      </c>
      <c r="K51" s="673">
        <f t="shared" si="0"/>
        <v>26.553827877137007</v>
      </c>
      <c r="L51" s="673">
        <f t="shared" si="0"/>
        <v>2197.7309176005119</v>
      </c>
      <c r="M51" s="673">
        <f t="shared" si="0"/>
        <v>931.22249904350508</v>
      </c>
      <c r="N51" s="673">
        <f t="shared" si="0"/>
        <v>89.083446437742566</v>
      </c>
      <c r="O51" s="673">
        <f t="shared" si="0"/>
        <v>36.008529103915592</v>
      </c>
    </row>
    <row r="52" spans="1:15">
      <c r="A52" s="1661" t="s">
        <v>18</v>
      </c>
      <c r="B52" s="1659">
        <v>4.0610349402919059</v>
      </c>
      <c r="C52" s="1660">
        <v>0.24699394754539342</v>
      </c>
      <c r="D52" s="1660">
        <v>0.25665967854647098</v>
      </c>
      <c r="E52" s="1659">
        <v>848.57453046481726</v>
      </c>
      <c r="F52" s="1659">
        <v>123910.98778987651</v>
      </c>
      <c r="G52" s="1659">
        <v>1461.3954002653693</v>
      </c>
      <c r="H52" s="1659">
        <v>224937.86436532508</v>
      </c>
      <c r="I52" s="1659">
        <v>153.91992086774013</v>
      </c>
      <c r="J52" s="1659">
        <v>15.974848688634836</v>
      </c>
      <c r="K52" s="1659">
        <v>16.084668064290707</v>
      </c>
      <c r="L52" s="1659">
        <v>1582.831984936113</v>
      </c>
      <c r="M52" s="1659">
        <v>604.3582652690427</v>
      </c>
      <c r="N52" s="1659">
        <v>99.082752881547151</v>
      </c>
      <c r="O52" s="1659">
        <v>37.573561534090217</v>
      </c>
    </row>
    <row r="53" spans="1:15">
      <c r="A53" s="1661" t="s">
        <v>19</v>
      </c>
      <c r="B53" s="1659">
        <v>4.0289600702062307</v>
      </c>
      <c r="C53" s="1660">
        <v>0.248605620837169</v>
      </c>
      <c r="D53" s="1660">
        <v>0.25852408705690233</v>
      </c>
      <c r="E53" s="1659">
        <v>1025.0843104715584</v>
      </c>
      <c r="F53" s="1659">
        <v>157464.27030377128</v>
      </c>
      <c r="G53" s="1659">
        <v>1923.3650724001754</v>
      </c>
      <c r="H53" s="1659">
        <v>309090.19043440104</v>
      </c>
      <c r="I53" s="1659">
        <v>160.70281969334405</v>
      </c>
      <c r="J53" s="1659">
        <v>16.800102886229489</v>
      </c>
      <c r="K53" s="1659">
        <v>16.328406115381366</v>
      </c>
      <c r="L53" s="1659">
        <v>1863.1905019764986</v>
      </c>
      <c r="M53" s="1659">
        <v>616.24622011994256</v>
      </c>
      <c r="N53" s="1659">
        <v>110.90351735308101</v>
      </c>
      <c r="O53" s="1659">
        <v>37.740745530541304</v>
      </c>
    </row>
    <row r="54" spans="1:15">
      <c r="A54" s="1661" t="s">
        <v>20</v>
      </c>
      <c r="B54" s="1659">
        <v>4.0008714596949888</v>
      </c>
      <c r="C54" s="1660">
        <v>0.24639081200021468</v>
      </c>
      <c r="D54" s="1660">
        <v>0.25612273361227333</v>
      </c>
      <c r="E54" s="1659">
        <v>1070.8452990192791</v>
      </c>
      <c r="F54" s="1659">
        <v>167122.63399619737</v>
      </c>
      <c r="G54" s="1659">
        <v>1980.5899782135077</v>
      </c>
      <c r="H54" s="1659">
        <v>316327.2020043573</v>
      </c>
      <c r="I54" s="1659">
        <v>159.71362345763481</v>
      </c>
      <c r="J54" s="1659">
        <v>16.373745505286319</v>
      </c>
      <c r="K54" s="1659">
        <v>15.917377963737797</v>
      </c>
      <c r="L54" s="1659">
        <v>1858.4772076423551</v>
      </c>
      <c r="M54" s="1659">
        <v>685.80962343096235</v>
      </c>
      <c r="N54" s="1659">
        <v>113.50348684986824</v>
      </c>
      <c r="O54" s="1659">
        <v>43.085590163991881</v>
      </c>
    </row>
    <row r="55" spans="1:15">
      <c r="A55" s="1661" t="s">
        <v>21</v>
      </c>
      <c r="B55" s="1659">
        <v>4.025740025740026</v>
      </c>
      <c r="C55" s="1660">
        <v>0.25307443365695792</v>
      </c>
      <c r="D55" s="1660">
        <v>0.26316675079925961</v>
      </c>
      <c r="E55" s="1659">
        <v>992.48494940632509</v>
      </c>
      <c r="F55" s="1659">
        <v>151094.54896604014</v>
      </c>
      <c r="G55" s="1659">
        <v>1746.2385242385242</v>
      </c>
      <c r="H55" s="1659">
        <v>279720.5745945946</v>
      </c>
      <c r="I55" s="1659">
        <v>160.18463154486372</v>
      </c>
      <c r="J55" s="1659">
        <v>20.540965480043148</v>
      </c>
      <c r="K55" s="1659">
        <v>20.642127993718098</v>
      </c>
      <c r="L55" s="1659">
        <v>1990.1654293419635</v>
      </c>
      <c r="M55" s="1659">
        <v>776.05408435694653</v>
      </c>
      <c r="N55" s="1659">
        <v>96.887628348119051</v>
      </c>
      <c r="O55" s="1659">
        <v>37.595643462394897</v>
      </c>
    </row>
    <row r="56" spans="1:15">
      <c r="A56" s="1661" t="s">
        <v>22</v>
      </c>
      <c r="B56" s="1659">
        <v>4.0051216389244555</v>
      </c>
      <c r="C56" s="1660">
        <v>0.25310856372218477</v>
      </c>
      <c r="D56" s="1660">
        <v>0.26304871895498122</v>
      </c>
      <c r="E56" s="1659">
        <v>1085.6783481407731</v>
      </c>
      <c r="F56" s="1659">
        <v>161828.79961280973</v>
      </c>
      <c r="G56" s="1659">
        <v>1871.6555697823303</v>
      </c>
      <c r="H56" s="1659">
        <v>302484.227626974</v>
      </c>
      <c r="I56" s="1659">
        <v>161.61319022075855</v>
      </c>
      <c r="J56" s="1659">
        <v>24.344140256237356</v>
      </c>
      <c r="K56" s="1659">
        <v>24.617788865840669</v>
      </c>
      <c r="L56" s="1659">
        <v>2245.0751525286582</v>
      </c>
      <c r="M56" s="1659">
        <v>1015.0570213600942</v>
      </c>
      <c r="N56" s="1659">
        <v>92.222404607344231</v>
      </c>
      <c r="O56" s="1659">
        <v>41.232664188154381</v>
      </c>
    </row>
    <row r="57" spans="1:15">
      <c r="A57" s="1661" t="s">
        <v>23</v>
      </c>
      <c r="B57" s="1659">
        <v>3.9745870393900891</v>
      </c>
      <c r="C57" s="1660">
        <v>0.25248883388042836</v>
      </c>
      <c r="D57" s="1660">
        <v>0.26243078471950332</v>
      </c>
      <c r="E57" s="1659">
        <v>826.20841565638761</v>
      </c>
      <c r="F57" s="1659">
        <v>122460.99015556816</v>
      </c>
      <c r="G57" s="1659">
        <v>1567.0660736975858</v>
      </c>
      <c r="H57" s="1659">
        <v>251394.42237611182</v>
      </c>
      <c r="I57" s="1659">
        <v>160.42362641603981</v>
      </c>
      <c r="J57" s="1659">
        <v>13.079831028359253</v>
      </c>
      <c r="K57" s="1659">
        <v>21.864114324067341</v>
      </c>
      <c r="L57" s="1659">
        <v>1094.7059726631867</v>
      </c>
      <c r="M57" s="1659">
        <v>922.93628502712681</v>
      </c>
      <c r="N57" s="1659">
        <v>83.69419836461816</v>
      </c>
      <c r="O57" s="1659">
        <v>42.212379214061599</v>
      </c>
    </row>
    <row r="58" spans="1:15">
      <c r="A58" s="1661" t="s">
        <v>24</v>
      </c>
      <c r="B58" s="1659">
        <v>3.9628378378378377</v>
      </c>
      <c r="C58" s="1660">
        <v>0.25788721556557109</v>
      </c>
      <c r="D58" s="1660">
        <v>0.26809130645944634</v>
      </c>
      <c r="E58" s="1659">
        <v>1112.9030817678165</v>
      </c>
      <c r="F58" s="1659">
        <v>171243.36956655211</v>
      </c>
      <c r="G58" s="1659">
        <v>1879.6127533783783</v>
      </c>
      <c r="H58" s="1659">
        <v>325708.32902449323</v>
      </c>
      <c r="I58" s="1659">
        <v>173.28480477644749</v>
      </c>
      <c r="J58" s="1659">
        <v>29.975596350445201</v>
      </c>
      <c r="K58" s="1659">
        <v>30.462617489929436</v>
      </c>
      <c r="L58" s="1659">
        <v>2376.9593157084751</v>
      </c>
      <c r="M58" s="1659">
        <v>918.95183127160522</v>
      </c>
      <c r="N58" s="1659">
        <v>79.296481308308401</v>
      </c>
      <c r="O58" s="1659">
        <v>30.166542043716348</v>
      </c>
    </row>
    <row r="59" spans="1:15">
      <c r="A59" s="1661" t="s">
        <v>25</v>
      </c>
      <c r="B59" s="1659">
        <v>3.9511578947368422</v>
      </c>
      <c r="C59" s="1660">
        <v>0.26274674506509871</v>
      </c>
      <c r="D59" s="1660">
        <v>0.27332304197128127</v>
      </c>
      <c r="E59" s="1659">
        <v>1077.8240852247104</v>
      </c>
      <c r="F59" s="1659">
        <v>158483.24213154818</v>
      </c>
      <c r="G59" s="1659">
        <v>1801.9515789473685</v>
      </c>
      <c r="H59" s="1659">
        <v>293443.84318315785</v>
      </c>
      <c r="I59" s="1659">
        <v>162.84779602933426</v>
      </c>
      <c r="J59" s="1659">
        <v>28.707881842363154</v>
      </c>
      <c r="K59" s="1659">
        <v>29.221973028864358</v>
      </c>
      <c r="L59" s="1659">
        <v>2204.7175332493352</v>
      </c>
      <c r="M59" s="1659">
        <v>880.26617743861595</v>
      </c>
      <c r="N59" s="1659">
        <v>76.798335222207697</v>
      </c>
      <c r="O59" s="1659">
        <v>30.1234340531737</v>
      </c>
    </row>
    <row r="60" spans="1:15">
      <c r="A60" s="1661" t="s">
        <v>26</v>
      </c>
      <c r="B60" s="1659">
        <v>3.9165275459098496</v>
      </c>
      <c r="C60" s="1660">
        <v>0.26695493855257169</v>
      </c>
      <c r="D60" s="1660">
        <v>0.27802796871296515</v>
      </c>
      <c r="E60" s="1659">
        <v>1050.6456790580639</v>
      </c>
      <c r="F60" s="1659">
        <v>155793.5290457386</v>
      </c>
      <c r="G60" s="1659">
        <v>1745.3956594323872</v>
      </c>
      <c r="H60" s="1659">
        <v>288794.32434891484</v>
      </c>
      <c r="I60" s="1659">
        <v>165.46066376882845</v>
      </c>
      <c r="J60" s="1659">
        <v>29.189633591260812</v>
      </c>
      <c r="K60" s="1659">
        <v>29.769554396776488</v>
      </c>
      <c r="L60" s="1659">
        <v>2293.7550412494306</v>
      </c>
      <c r="M60" s="1659">
        <v>986.29524324484476</v>
      </c>
      <c r="N60" s="1659">
        <v>78.581152246329211</v>
      </c>
      <c r="O60" s="1659">
        <v>33.131004586069416</v>
      </c>
    </row>
    <row r="61" spans="1:15">
      <c r="A61" s="1661" t="s">
        <v>27</v>
      </c>
      <c r="B61" s="1659">
        <v>3.9392991239048811</v>
      </c>
      <c r="C61" s="1660">
        <v>0.2694854305202774</v>
      </c>
      <c r="D61" s="1660">
        <v>0.28073435409543629</v>
      </c>
      <c r="E61" s="1659">
        <v>1137.6728912972335</v>
      </c>
      <c r="F61" s="1659">
        <v>168060.41543325497</v>
      </c>
      <c r="G61" s="1659">
        <v>1864.5490196078431</v>
      </c>
      <c r="H61" s="1659">
        <v>314103.45306633291</v>
      </c>
      <c r="I61" s="1659">
        <v>168.46081801185144</v>
      </c>
      <c r="J61" s="1659">
        <v>33.318930334769831</v>
      </c>
      <c r="K61" s="1659">
        <v>33.978236955552255</v>
      </c>
      <c r="L61" s="1659">
        <v>2521.6195667684578</v>
      </c>
      <c r="M61" s="1659">
        <v>1129.3760998959417</v>
      </c>
      <c r="N61" s="1659">
        <v>75.681288127579307</v>
      </c>
      <c r="O61" s="1659">
        <v>33.238219551335334</v>
      </c>
    </row>
    <row r="62" spans="1:15">
      <c r="A62" s="1661" t="s">
        <v>28</v>
      </c>
      <c r="B62" s="1659">
        <v>3.8811696391538781</v>
      </c>
      <c r="C62" s="1660">
        <v>0.2809975676406114</v>
      </c>
      <c r="D62" s="1660">
        <v>0.29336614728657867</v>
      </c>
      <c r="E62" s="1659">
        <v>1090.0382103146635</v>
      </c>
      <c r="F62" s="1659">
        <v>167436.40644075809</v>
      </c>
      <c r="G62" s="1659">
        <v>1813.9029448361675</v>
      </c>
      <c r="H62" s="1659">
        <v>310867.21683533804</v>
      </c>
      <c r="I62" s="1659">
        <v>171.38029226994593</v>
      </c>
      <c r="J62" s="1659">
        <v>34.990360649830336</v>
      </c>
      <c r="K62" s="1659">
        <v>35.810797253660219</v>
      </c>
      <c r="L62" s="1659">
        <v>2791.4267724692954</v>
      </c>
      <c r="M62" s="1659">
        <v>1150.2597607925511</v>
      </c>
      <c r="N62" s="1659">
        <v>79.777022032004425</v>
      </c>
      <c r="O62" s="1659">
        <v>32.12047340484672</v>
      </c>
    </row>
    <row r="63" spans="1:15">
      <c r="A63" s="1661" t="s">
        <v>29</v>
      </c>
      <c r="B63" s="1659">
        <v>3.8635425268373247</v>
      </c>
      <c r="C63" s="1660">
        <v>0.28113264233138052</v>
      </c>
      <c r="D63" s="1660">
        <v>0.29371606139552403</v>
      </c>
      <c r="E63" s="1659">
        <v>1268.5490665066934</v>
      </c>
      <c r="F63" s="1659">
        <v>202625.22186320706</v>
      </c>
      <c r="G63" s="1659">
        <v>2167.6292320396365</v>
      </c>
      <c r="H63" s="1659">
        <v>394832.96627993393</v>
      </c>
      <c r="I63" s="1659">
        <v>182.14967783416299</v>
      </c>
      <c r="J63" s="1659">
        <v>42.990356016223522</v>
      </c>
      <c r="K63" s="1659">
        <v>43.948272073825294</v>
      </c>
      <c r="L63" s="1659">
        <v>3549.8465326723749</v>
      </c>
      <c r="M63" s="1659">
        <v>1489.0593763143854</v>
      </c>
      <c r="N63" s="1659">
        <v>82.573089911903693</v>
      </c>
      <c r="O63" s="1659">
        <v>33.882091514611311</v>
      </c>
    </row>
    <row r="64" spans="1:15">
      <c r="A64" s="1661" t="s">
        <v>1634</v>
      </c>
      <c r="B64" s="673">
        <f t="shared" ref="B64:O64" si="1">AVERAGE(B65:B76)</f>
        <v>3.7898750518508706</v>
      </c>
      <c r="C64" s="1662">
        <f t="shared" si="1"/>
        <v>0.19327249707110047</v>
      </c>
      <c r="D64" s="1662">
        <f t="shared" si="1"/>
        <v>0.19958051142529451</v>
      </c>
      <c r="E64" s="673">
        <f t="shared" si="1"/>
        <v>1119.3422264511364</v>
      </c>
      <c r="F64" s="673">
        <f t="shared" si="1"/>
        <v>167697.10573573477</v>
      </c>
      <c r="G64" s="673">
        <f t="shared" si="1"/>
        <v>1833.6699570819767</v>
      </c>
      <c r="H64" s="673">
        <f t="shared" si="1"/>
        <v>326885.26737017481</v>
      </c>
      <c r="I64" s="673">
        <f t="shared" si="1"/>
        <v>178.00649372780882</v>
      </c>
      <c r="J64" s="673">
        <f t="shared" si="1"/>
        <v>18.540653332080797</v>
      </c>
      <c r="K64" s="673">
        <f t="shared" si="1"/>
        <v>18.614725183695452</v>
      </c>
      <c r="L64" s="673">
        <f t="shared" si="1"/>
        <v>1874.7050477864352</v>
      </c>
      <c r="M64" s="673">
        <f t="shared" si="1"/>
        <v>690.28203949276656</v>
      </c>
      <c r="N64" s="673">
        <f t="shared" si="1"/>
        <v>105.84855379812051</v>
      </c>
      <c r="O64" s="673">
        <f t="shared" si="1"/>
        <v>38.110028476093213</v>
      </c>
    </row>
    <row r="65" spans="1:15">
      <c r="A65" s="1661" t="s">
        <v>18</v>
      </c>
      <c r="B65" s="1659">
        <v>3.8748862225899878</v>
      </c>
      <c r="C65" s="1660">
        <v>0.28341957936147677</v>
      </c>
      <c r="D65" s="1660">
        <v>0.29643603215800468</v>
      </c>
      <c r="E65" s="1659">
        <v>962.01649450771242</v>
      </c>
      <c r="F65" s="1659">
        <v>135212.7449164592</v>
      </c>
      <c r="G65" s="1659">
        <v>1549.1079851055026</v>
      </c>
      <c r="H65" s="1659">
        <v>259307.13061646672</v>
      </c>
      <c r="I65" s="1659">
        <v>167.39125555460001</v>
      </c>
      <c r="J65" s="1659">
        <v>38.85410803449841</v>
      </c>
      <c r="K65" s="1659">
        <v>39.922580236753817</v>
      </c>
      <c r="L65" s="1659">
        <v>2453.4491786957178</v>
      </c>
      <c r="M65" s="1659">
        <v>1206.0219934164716</v>
      </c>
      <c r="N65" s="1659">
        <v>63.145167983712561</v>
      </c>
      <c r="O65" s="1659">
        <v>30.20901921329661</v>
      </c>
    </row>
    <row r="66" spans="1:15">
      <c r="A66" s="1661" t="s">
        <v>19</v>
      </c>
      <c r="B66" s="1659">
        <v>3.862628759785744</v>
      </c>
      <c r="C66" s="1660">
        <v>0.27458481005242963</v>
      </c>
      <c r="D66" s="1660">
        <v>0.28669378268448575</v>
      </c>
      <c r="E66" s="1659">
        <v>1068.5654408002165</v>
      </c>
      <c r="F66" s="1659">
        <v>162086.61735101827</v>
      </c>
      <c r="G66" s="1659">
        <v>1823.0659250103008</v>
      </c>
      <c r="H66" s="1659">
        <v>322130.48125257518</v>
      </c>
      <c r="I66" s="1659">
        <v>176.69711052865796</v>
      </c>
      <c r="J66" s="1659">
        <v>23.463050291438446</v>
      </c>
      <c r="K66" s="1659">
        <v>23.664638062326066</v>
      </c>
      <c r="L66" s="1659">
        <v>2423.2096599396618</v>
      </c>
      <c r="M66" s="1659">
        <v>849.66503562800085</v>
      </c>
      <c r="N66" s="1659">
        <v>103.27769108622162</v>
      </c>
      <c r="O66" s="1659">
        <v>35.904417104974087</v>
      </c>
    </row>
    <row r="67" spans="1:15">
      <c r="A67" s="1661" t="s">
        <v>20</v>
      </c>
      <c r="B67" s="1659">
        <v>3.837331150225133</v>
      </c>
      <c r="C67" s="1660">
        <v>0.24178788816671826</v>
      </c>
      <c r="D67" s="1660">
        <v>0.25055726312976079</v>
      </c>
      <c r="E67" s="1659">
        <v>1161.8147237454807</v>
      </c>
      <c r="F67" s="1659">
        <v>174077.16242102796</v>
      </c>
      <c r="G67" s="1659">
        <v>1978.9128121162505</v>
      </c>
      <c r="H67" s="1659">
        <v>348805.72943102743</v>
      </c>
      <c r="I67" s="1659">
        <v>176.26129220822739</v>
      </c>
      <c r="J67" s="1659">
        <v>22.040828432889715</v>
      </c>
      <c r="K67" s="1659">
        <v>22.139462782306563</v>
      </c>
      <c r="L67" s="1659">
        <v>2296.6800784070979</v>
      </c>
      <c r="M67" s="1659">
        <v>882.62982760924763</v>
      </c>
      <c r="N67" s="1659">
        <v>104.20116854500583</v>
      </c>
      <c r="O67" s="1659">
        <v>39.866813223427833</v>
      </c>
    </row>
    <row r="68" spans="1:15">
      <c r="A68" s="1661" t="s">
        <v>21</v>
      </c>
      <c r="B68" s="1659">
        <v>3.7867688584106491</v>
      </c>
      <c r="C68" s="1660">
        <v>0.21938303341902313</v>
      </c>
      <c r="D68" s="1660">
        <v>0.22770029349698012</v>
      </c>
      <c r="E68" s="1659">
        <v>1074.7061642169701</v>
      </c>
      <c r="F68" s="1659">
        <v>158817.53890009847</v>
      </c>
      <c r="G68" s="1659">
        <v>1800.7152077450585</v>
      </c>
      <c r="H68" s="1659">
        <v>314317.20572811615</v>
      </c>
      <c r="I68" s="1659">
        <v>174.55131404244605</v>
      </c>
      <c r="J68" s="1659">
        <v>18.859429773311522</v>
      </c>
      <c r="K68" s="1659">
        <v>18.898003735416111</v>
      </c>
      <c r="L68" s="1659">
        <v>2132.0023136246787</v>
      </c>
      <c r="M68" s="1659">
        <v>684.89266742668644</v>
      </c>
      <c r="N68" s="1659">
        <v>113.04701887867955</v>
      </c>
      <c r="O68" s="1659">
        <v>36.241535191526722</v>
      </c>
    </row>
    <row r="69" spans="1:15">
      <c r="A69" s="1661" t="s">
        <v>22</v>
      </c>
      <c r="B69" s="1659">
        <v>3.8179935012185213</v>
      </c>
      <c r="C69" s="1660">
        <v>0.19348524144744966</v>
      </c>
      <c r="D69" s="1660">
        <v>0.19948853989813242</v>
      </c>
      <c r="E69" s="1659">
        <v>1111.7240320688111</v>
      </c>
      <c r="F69" s="1659">
        <v>165596.31921209476</v>
      </c>
      <c r="G69" s="1659">
        <v>1911.6133225020308</v>
      </c>
      <c r="H69" s="1659">
        <v>336060.25060926075</v>
      </c>
      <c r="I69" s="1659">
        <v>175.79928255019982</v>
      </c>
      <c r="J69" s="1659">
        <v>17.420958379646784</v>
      </c>
      <c r="K69" s="1659">
        <v>17.404668930390493</v>
      </c>
      <c r="L69" s="1659">
        <v>1866.9512370836935</v>
      </c>
      <c r="M69" s="1659">
        <v>656.64957555178273</v>
      </c>
      <c r="N69" s="1659">
        <v>107.16696500835947</v>
      </c>
      <c r="O69" s="1659">
        <v>37.728357728494295</v>
      </c>
    </row>
    <row r="70" spans="1:15">
      <c r="A70" s="1661" t="s">
        <v>23</v>
      </c>
      <c r="B70" s="1659">
        <v>3.8004442649434571</v>
      </c>
      <c r="C70" s="1660">
        <v>0.17953370347051303</v>
      </c>
      <c r="D70" s="1660">
        <v>0.1846707879501521</v>
      </c>
      <c r="E70" s="1659">
        <v>1067.1574156109868</v>
      </c>
      <c r="F70" s="1659">
        <v>161616.04650105262</v>
      </c>
      <c r="G70" s="1659">
        <v>1809.943861066236</v>
      </c>
      <c r="H70" s="1659">
        <v>328729.6155088853</v>
      </c>
      <c r="I70" s="1659">
        <v>181.62420535807726</v>
      </c>
      <c r="J70" s="1659">
        <v>16.082174269742239</v>
      </c>
      <c r="K70" s="1659">
        <v>16.027180845844374</v>
      </c>
      <c r="L70" s="1659">
        <v>1732.9052906721615</v>
      </c>
      <c r="M70" s="1659">
        <v>596.81150034344034</v>
      </c>
      <c r="N70" s="1659">
        <v>107.75317202802181</v>
      </c>
      <c r="O70" s="1659">
        <v>37.237459668285034</v>
      </c>
    </row>
    <row r="71" spans="1:15">
      <c r="A71" s="1661" t="s">
        <v>24</v>
      </c>
      <c r="B71" s="1659">
        <v>3.8222623345367026</v>
      </c>
      <c r="C71" s="1660">
        <v>0.17650033340742385</v>
      </c>
      <c r="D71" s="1660">
        <v>0.18138884129975444</v>
      </c>
      <c r="E71" s="1659">
        <v>1183.0158915935285</v>
      </c>
      <c r="F71" s="1659">
        <v>187070.86570932466</v>
      </c>
      <c r="G71" s="1659">
        <v>1897.4107501002809</v>
      </c>
      <c r="H71" s="1659">
        <v>361622.99478539912</v>
      </c>
      <c r="I71" s="1659">
        <v>190.58761776609879</v>
      </c>
      <c r="J71" s="1659">
        <v>17.502685782025637</v>
      </c>
      <c r="K71" s="1659">
        <v>17.511621266632403</v>
      </c>
      <c r="L71" s="1659">
        <v>1945.7616322145661</v>
      </c>
      <c r="M71" s="1659">
        <v>708.56543505986713</v>
      </c>
      <c r="N71" s="1659">
        <v>111.16931746628075</v>
      </c>
      <c r="O71" s="1659">
        <v>40.462583348008238</v>
      </c>
    </row>
    <row r="72" spans="1:15">
      <c r="A72" s="1661" t="s">
        <v>25</v>
      </c>
      <c r="B72" s="1659">
        <v>3.8009561752988046</v>
      </c>
      <c r="C72" s="1660">
        <v>0.1681690786342564</v>
      </c>
      <c r="D72" s="1660">
        <v>0.17252079566003617</v>
      </c>
      <c r="E72" s="1659">
        <v>1082.6538996549702</v>
      </c>
      <c r="F72" s="1659">
        <v>161885.9049190612</v>
      </c>
      <c r="G72" s="1659">
        <v>1718.8693227091633</v>
      </c>
      <c r="H72" s="1659">
        <v>308293.31912350596</v>
      </c>
      <c r="I72" s="1659">
        <v>179.35820661316782</v>
      </c>
      <c r="J72" s="1659">
        <v>14.876857450071389</v>
      </c>
      <c r="K72" s="1659">
        <v>14.841717902350814</v>
      </c>
      <c r="L72" s="1659">
        <v>1529.281486312598</v>
      </c>
      <c r="M72" s="1659">
        <v>513.51759493670886</v>
      </c>
      <c r="N72" s="1659">
        <v>102.79600321808955</v>
      </c>
      <c r="O72" s="1659">
        <v>34.599606212389446</v>
      </c>
    </row>
    <row r="73" spans="1:15">
      <c r="A73" s="1661" t="s">
        <v>26</v>
      </c>
      <c r="B73" s="1659">
        <v>3.756390090444357</v>
      </c>
      <c r="C73" s="1660">
        <v>0.16298691327270556</v>
      </c>
      <c r="D73" s="1660">
        <v>0.16704555390399581</v>
      </c>
      <c r="E73" s="1659">
        <v>1113.0290925473475</v>
      </c>
      <c r="F73" s="1659">
        <v>164243.34385848945</v>
      </c>
      <c r="G73" s="1659">
        <v>1829.2819504522217</v>
      </c>
      <c r="H73" s="1659">
        <v>317428.34372976801</v>
      </c>
      <c r="I73" s="1659">
        <v>173.52619898277337</v>
      </c>
      <c r="J73" s="1659">
        <v>14.100701257486051</v>
      </c>
      <c r="K73" s="1659">
        <v>14.038594036897788</v>
      </c>
      <c r="L73" s="1659">
        <v>1584.4703567336073</v>
      </c>
      <c r="M73" s="1659">
        <v>561.73433832298679</v>
      </c>
      <c r="N73" s="1659">
        <v>112.36819558122424</v>
      </c>
      <c r="O73" s="1659">
        <v>40.013575208925793</v>
      </c>
    </row>
    <row r="74" spans="1:15">
      <c r="A74" s="1661" t="s">
        <v>27</v>
      </c>
      <c r="B74" s="1659">
        <v>3.7419405320813772</v>
      </c>
      <c r="C74" s="1660">
        <v>0.14875344106256902</v>
      </c>
      <c r="D74" s="1660">
        <v>0.15211527450855652</v>
      </c>
      <c r="E74" s="1659">
        <v>1144.058504156334</v>
      </c>
      <c r="F74" s="1659">
        <v>168713.19078822836</v>
      </c>
      <c r="G74" s="1659">
        <v>1818.5449921752738</v>
      </c>
      <c r="H74" s="1659">
        <v>318736.66862284823</v>
      </c>
      <c r="I74" s="1659">
        <v>175.27015828274207</v>
      </c>
      <c r="J74" s="1659">
        <v>12.770455853305753</v>
      </c>
      <c r="K74" s="1659">
        <v>12.688895604046058</v>
      </c>
      <c r="L74" s="1659">
        <v>1445.1559637308117</v>
      </c>
      <c r="M74" s="1659">
        <v>521.96381048412752</v>
      </c>
      <c r="N74" s="1659">
        <v>113.16400763851507</v>
      </c>
      <c r="O74" s="1659">
        <v>41.135479932366287</v>
      </c>
    </row>
    <row r="75" spans="1:15">
      <c r="A75" s="1661" t="s">
        <v>28</v>
      </c>
      <c r="B75" s="1659">
        <v>3.7023588553750963</v>
      </c>
      <c r="C75" s="1660">
        <v>0.13941260411206244</v>
      </c>
      <c r="D75" s="1660">
        <v>0.14241748107159324</v>
      </c>
      <c r="E75" s="1659">
        <v>1117.1628227799818</v>
      </c>
      <c r="F75" s="1659">
        <v>164295.98825967751</v>
      </c>
      <c r="G75" s="1659">
        <v>1744.7869296210363</v>
      </c>
      <c r="H75" s="1659">
        <v>311398.67762320186</v>
      </c>
      <c r="I75" s="1659">
        <v>178.47375650093673</v>
      </c>
      <c r="J75" s="1659">
        <v>12.540654668297513</v>
      </c>
      <c r="K75" s="1659">
        <v>12.437681288767905</v>
      </c>
      <c r="L75" s="1659">
        <v>1372.968555785136</v>
      </c>
      <c r="M75" s="1659">
        <v>522.71119498713313</v>
      </c>
      <c r="N75" s="1659">
        <v>109.48141003004963</v>
      </c>
      <c r="O75" s="1659">
        <v>42.026418176447237</v>
      </c>
    </row>
    <row r="76" spans="1:15">
      <c r="A76" s="1661">
        <v>12</v>
      </c>
      <c r="B76" s="1659">
        <v>3.6745398773006137</v>
      </c>
      <c r="C76" s="1660">
        <v>0.13125333844657802</v>
      </c>
      <c r="D76" s="1660">
        <v>0.1339314913420821</v>
      </c>
      <c r="E76" s="1659">
        <v>1346.2022357312999</v>
      </c>
      <c r="F76" s="1659">
        <v>208749.54599228493</v>
      </c>
      <c r="G76" s="1659">
        <v>2121.7864263803681</v>
      </c>
      <c r="H76" s="1659">
        <v>395792.79141104297</v>
      </c>
      <c r="I76" s="1659">
        <v>186.53752634577842</v>
      </c>
      <c r="J76" s="1659">
        <v>13.975935792256173</v>
      </c>
      <c r="K76" s="1659">
        <v>13.801657512613028</v>
      </c>
      <c r="L76" s="1659">
        <v>1713.624820237492</v>
      </c>
      <c r="M76" s="1659">
        <v>578.22150014674435</v>
      </c>
      <c r="N76" s="1659">
        <v>122.61252811328613</v>
      </c>
      <c r="O76" s="1659">
        <v>41.895076704976965</v>
      </c>
    </row>
    <row r="77" spans="1:15">
      <c r="A77" s="1661" t="s">
        <v>1829</v>
      </c>
      <c r="B77" s="673">
        <f t="shared" ref="B77:O77" si="2">AVERAGE(B78:B89)</f>
        <v>3.6069276249663691</v>
      </c>
      <c r="C77" s="1662">
        <f t="shared" si="2"/>
        <v>0.12439566991223994</v>
      </c>
      <c r="D77" s="1662">
        <f t="shared" si="2"/>
        <v>0.12689301594729421</v>
      </c>
      <c r="E77" s="673">
        <f t="shared" si="2"/>
        <v>1208.9179410192573</v>
      </c>
      <c r="F77" s="673">
        <f t="shared" si="2"/>
        <v>176924.83016730755</v>
      </c>
      <c r="G77" s="673">
        <f t="shared" si="2"/>
        <v>1774.5348357651894</v>
      </c>
      <c r="H77" s="673">
        <f t="shared" si="2"/>
        <v>315419.86509208026</v>
      </c>
      <c r="I77" s="673">
        <f t="shared" si="2"/>
        <v>177.65804371351831</v>
      </c>
      <c r="J77" s="673">
        <f t="shared" si="2"/>
        <v>10.847596191645097</v>
      </c>
      <c r="K77" s="673">
        <f t="shared" si="2"/>
        <v>10.678102781907095</v>
      </c>
      <c r="L77" s="673">
        <f t="shared" si="2"/>
        <v>1300.2515719748778</v>
      </c>
      <c r="M77" s="673">
        <f t="shared" si="2"/>
        <v>431.83174298256046</v>
      </c>
      <c r="N77" s="673">
        <f t="shared" si="2"/>
        <v>121.24649171886945</v>
      </c>
      <c r="O77" s="673">
        <f t="shared" si="2"/>
        <v>41.096409929990152</v>
      </c>
    </row>
    <row r="78" spans="1:15">
      <c r="A78" s="1661" t="s">
        <v>18</v>
      </c>
      <c r="B78" s="1659">
        <v>3.6642475171886937</v>
      </c>
      <c r="C78" s="1660">
        <v>0.12862007937359218</v>
      </c>
      <c r="D78" s="1660">
        <v>0.13112714945733892</v>
      </c>
      <c r="E78" s="1659">
        <v>1066.4763062614538</v>
      </c>
      <c r="F78" s="1659">
        <v>149453.21840142462</v>
      </c>
      <c r="G78" s="1659">
        <v>1560.7887700534759</v>
      </c>
      <c r="H78" s="1659">
        <v>275195.46409472881</v>
      </c>
      <c r="I78" s="1659">
        <v>176.31819844866004</v>
      </c>
      <c r="J78" s="1659">
        <v>11.854834817118952</v>
      </c>
      <c r="K78" s="1659">
        <v>11.731785997430219</v>
      </c>
      <c r="L78" s="1659">
        <v>1209.6373484929743</v>
      </c>
      <c r="M78" s="1659">
        <v>444.62755952869134</v>
      </c>
      <c r="N78" s="1659">
        <v>102.03746970360142</v>
      </c>
      <c r="O78" s="1659">
        <v>37.899392268669445</v>
      </c>
    </row>
    <row r="79" spans="1:15">
      <c r="A79" s="1661" t="s">
        <v>19</v>
      </c>
      <c r="B79" s="1659">
        <v>3.6620900076277652</v>
      </c>
      <c r="C79" s="1660">
        <v>0.12463493464518892</v>
      </c>
      <c r="D79" s="1660">
        <v>0.12664872850058034</v>
      </c>
      <c r="E79" s="1659">
        <v>1133.5982951818664</v>
      </c>
      <c r="F79" s="1659">
        <v>178607.77147745102</v>
      </c>
      <c r="G79" s="1659">
        <v>1769.6456903127385</v>
      </c>
      <c r="H79" s="1659">
        <v>333717.95881006867</v>
      </c>
      <c r="I79" s="1659">
        <v>188.57896845503168</v>
      </c>
      <c r="J79" s="1659">
        <v>11.197790786723953</v>
      </c>
      <c r="K79" s="1659">
        <v>10.963358657803102</v>
      </c>
      <c r="L79" s="1659">
        <v>1610.8430965330149</v>
      </c>
      <c r="M79" s="1659">
        <v>404.24219162182123</v>
      </c>
      <c r="N79" s="1659">
        <v>143.85365177949413</v>
      </c>
      <c r="O79" s="1659">
        <v>36.872112300558953</v>
      </c>
    </row>
    <row r="80" spans="1:15">
      <c r="A80" s="1661" t="s">
        <v>20</v>
      </c>
      <c r="B80" s="1659">
        <v>3.6502088872009115</v>
      </c>
      <c r="C80" s="1660">
        <v>0.12380363514575363</v>
      </c>
      <c r="D80" s="1660">
        <v>0.12609716737296475</v>
      </c>
      <c r="E80" s="1659">
        <v>1264.8691228336343</v>
      </c>
      <c r="F80" s="1659">
        <v>188301.51254313352</v>
      </c>
      <c r="G80" s="1659">
        <v>1963.9263197873149</v>
      </c>
      <c r="H80" s="1659">
        <v>348865.11583744775</v>
      </c>
      <c r="I80" s="1659">
        <v>177.636560151212</v>
      </c>
      <c r="J80" s="1659">
        <v>12.076026329687883</v>
      </c>
      <c r="K80" s="1659">
        <v>11.918852254687151</v>
      </c>
      <c r="L80" s="1659">
        <v>1507.4846775128492</v>
      </c>
      <c r="M80" s="1659">
        <v>451.1754549390572</v>
      </c>
      <c r="N80" s="1659">
        <v>124.8328412307968</v>
      </c>
      <c r="O80" s="1659">
        <v>37.853934699260165</v>
      </c>
    </row>
    <row r="81" spans="1:15">
      <c r="A81" s="1661" t="s">
        <v>21</v>
      </c>
      <c r="B81" s="1659">
        <v>3.640423921271764</v>
      </c>
      <c r="C81" s="1660">
        <v>0.12324606927305579</v>
      </c>
      <c r="D81" s="1660">
        <v>0.12555316232621891</v>
      </c>
      <c r="E81" s="1659">
        <v>1169.6320282193481</v>
      </c>
      <c r="F81" s="1659">
        <v>174047.40423263769</v>
      </c>
      <c r="G81" s="1659">
        <v>1792.7358062074186</v>
      </c>
      <c r="H81" s="1659">
        <v>324691.21801665408</v>
      </c>
      <c r="I81" s="1659">
        <v>181.11492886592541</v>
      </c>
      <c r="J81" s="1659">
        <v>11.04798882609977</v>
      </c>
      <c r="K81" s="1659">
        <v>10.845715031655898</v>
      </c>
      <c r="L81" s="1659">
        <v>1434.3017337485103</v>
      </c>
      <c r="M81" s="1659">
        <v>389.16773056588994</v>
      </c>
      <c r="N81" s="1659">
        <v>129.82469083966811</v>
      </c>
      <c r="O81" s="1659">
        <v>35.882164470485151</v>
      </c>
    </row>
    <row r="82" spans="1:15">
      <c r="A82" s="1661" t="s">
        <v>22</v>
      </c>
      <c r="B82" s="1659">
        <v>3.6059550561797753</v>
      </c>
      <c r="C82" s="1660">
        <v>0.1229240079669067</v>
      </c>
      <c r="D82" s="1660">
        <v>0.12521328616761171</v>
      </c>
      <c r="E82" s="1659">
        <v>1163.6497117339281</v>
      </c>
      <c r="F82" s="1659">
        <v>161765.66912188541</v>
      </c>
      <c r="G82" s="1659">
        <v>1768.1636704119851</v>
      </c>
      <c r="H82" s="1659">
        <v>306539.74294007488</v>
      </c>
      <c r="I82" s="1659">
        <v>173.36615838773039</v>
      </c>
      <c r="J82" s="1659">
        <v>11.803725550278331</v>
      </c>
      <c r="K82" s="1659">
        <v>11.679667585704625</v>
      </c>
      <c r="L82" s="1659">
        <v>1087.2488719932589</v>
      </c>
      <c r="M82" s="1659">
        <v>399.70588487749046</v>
      </c>
      <c r="N82" s="1659">
        <v>92.1106533155222</v>
      </c>
      <c r="O82" s="1659">
        <v>34.222368226190966</v>
      </c>
    </row>
    <row r="83" spans="1:15">
      <c r="A83" s="1661" t="s">
        <v>23</v>
      </c>
      <c r="B83" s="1659">
        <v>3.5649278579356269</v>
      </c>
      <c r="C83" s="1660">
        <v>0.12312174179699478</v>
      </c>
      <c r="D83" s="1660">
        <v>0.12541649312786338</v>
      </c>
      <c r="E83" s="1659">
        <v>1141.7952857816269</v>
      </c>
      <c r="F83" s="1659">
        <v>161827.04573787161</v>
      </c>
      <c r="G83" s="1659">
        <v>1682.6703662597115</v>
      </c>
      <c r="H83" s="1659">
        <v>290526.46429892711</v>
      </c>
      <c r="I83" s="1659">
        <v>172.65797872504154</v>
      </c>
      <c r="J83" s="1659">
        <v>11.279323827046918</v>
      </c>
      <c r="K83" s="1659">
        <v>11.167130882965431</v>
      </c>
      <c r="L83" s="1659">
        <v>1149.7757461923745</v>
      </c>
      <c r="M83" s="1659">
        <v>440.10945960016659</v>
      </c>
      <c r="N83" s="1659">
        <v>101.93658448171371</v>
      </c>
      <c r="O83" s="1659">
        <v>39.411149042008503</v>
      </c>
    </row>
    <row r="84" spans="1:15">
      <c r="A84" s="1661" t="s">
        <v>24</v>
      </c>
      <c r="B84" s="1659">
        <v>3.591918063314711</v>
      </c>
      <c r="C84" s="1660">
        <v>0.12370989879295526</v>
      </c>
      <c r="D84" s="1660">
        <v>0.12604456642488401</v>
      </c>
      <c r="E84" s="1659">
        <v>1256.6415506824828</v>
      </c>
      <c r="F84" s="1659">
        <v>191869.33603192266</v>
      </c>
      <c r="G84" s="1659">
        <v>1798.2797020484172</v>
      </c>
      <c r="H84" s="1659">
        <v>340153.32104283053</v>
      </c>
      <c r="I84" s="1659">
        <v>189.15484652101813</v>
      </c>
      <c r="J84" s="1659">
        <v>11.877666465706334</v>
      </c>
      <c r="K84" s="1659">
        <v>11.73117689341959</v>
      </c>
      <c r="L84" s="1659">
        <v>1348.4449005246347</v>
      </c>
      <c r="M84" s="1659">
        <v>456.67029994118798</v>
      </c>
      <c r="N84" s="1659">
        <v>113.5277627485094</v>
      </c>
      <c r="O84" s="1659">
        <v>38.927918664098371</v>
      </c>
    </row>
    <row r="85" spans="1:15">
      <c r="A85" s="1661" t="s">
        <v>25</v>
      </c>
      <c r="B85" s="1659">
        <v>3.5693190229459657</v>
      </c>
      <c r="C85" s="1660">
        <v>0.12378293737887129</v>
      </c>
      <c r="D85" s="1660">
        <v>0.12617153771684239</v>
      </c>
      <c r="E85" s="1659">
        <v>1178.0817160867855</v>
      </c>
      <c r="F85" s="1659">
        <v>173087.27367799831</v>
      </c>
      <c r="G85" s="1659">
        <v>1604.2468541820874</v>
      </c>
      <c r="H85" s="1659">
        <v>289607.75582901557</v>
      </c>
      <c r="I85" s="1659">
        <v>180.52568099107776</v>
      </c>
      <c r="J85" s="1659">
        <v>11.328725629869213</v>
      </c>
      <c r="K85" s="1659">
        <v>11.171132159397159</v>
      </c>
      <c r="L85" s="1659">
        <v>1249.3194970030675</v>
      </c>
      <c r="M85" s="1659">
        <v>417.53196564535966</v>
      </c>
      <c r="N85" s="1659">
        <v>110.27890848632818</v>
      </c>
      <c r="O85" s="1659">
        <v>37.375975835549639</v>
      </c>
    </row>
    <row r="86" spans="1:15">
      <c r="A86" s="1661" t="s">
        <v>26</v>
      </c>
      <c r="B86" s="1659">
        <v>3.5707425193941633</v>
      </c>
      <c r="C86" s="1660">
        <v>0.12525592846961253</v>
      </c>
      <c r="D86" s="1660">
        <v>0.12770342577056717</v>
      </c>
      <c r="E86" s="1659">
        <v>1239.9703079715694</v>
      </c>
      <c r="F86" s="1659">
        <v>170415.01305843654</v>
      </c>
      <c r="G86" s="1659">
        <v>1718.3387513852974</v>
      </c>
      <c r="H86" s="1659">
        <v>287084.40360177314</v>
      </c>
      <c r="I86" s="1659">
        <v>167.07090110743897</v>
      </c>
      <c r="J86" s="1659">
        <v>11.173862900090709</v>
      </c>
      <c r="K86" s="1659">
        <v>11.024520748834075</v>
      </c>
      <c r="L86" s="1659">
        <v>1171.7612279383179</v>
      </c>
      <c r="M86" s="1659">
        <v>446.15268856270887</v>
      </c>
      <c r="N86" s="1659">
        <v>104.86626141876197</v>
      </c>
      <c r="O86" s="1659">
        <v>40.469123214257891</v>
      </c>
    </row>
    <row r="87" spans="1:15">
      <c r="A87" s="1661" t="s">
        <v>27</v>
      </c>
      <c r="B87" s="1659">
        <v>3.5693471043895242</v>
      </c>
      <c r="C87" s="1660">
        <v>0.12577990953049445</v>
      </c>
      <c r="D87" s="1660">
        <v>0.13</v>
      </c>
      <c r="E87" s="1659">
        <v>1301.9240595836673</v>
      </c>
      <c r="F87" s="1659">
        <v>180995.46927898558</v>
      </c>
      <c r="G87" s="1659">
        <v>1905.6090003688676</v>
      </c>
      <c r="H87" s="1659">
        <v>311765.85836591665</v>
      </c>
      <c r="I87" s="1659">
        <v>163.60431668068753</v>
      </c>
      <c r="J87" s="1659">
        <v>9.0165860760151819</v>
      </c>
      <c r="K87" s="1659">
        <v>8.8359549966207709</v>
      </c>
      <c r="L87" s="1659">
        <v>1219.4418171892059</v>
      </c>
      <c r="M87" s="1659">
        <v>437.1879842567684</v>
      </c>
      <c r="N87" s="1659">
        <v>135.24429389445032</v>
      </c>
      <c r="O87" s="1659">
        <v>49.47829458433943</v>
      </c>
    </row>
    <row r="88" spans="1:15">
      <c r="A88" s="1661" t="s">
        <v>28</v>
      </c>
      <c r="B88" s="1659">
        <v>3.5945454545454543</v>
      </c>
      <c r="C88" s="1660">
        <v>0.12711323973231858</v>
      </c>
      <c r="D88" s="1660">
        <v>0.12962546666131428</v>
      </c>
      <c r="E88" s="1659">
        <v>1210.2285024274543</v>
      </c>
      <c r="F88" s="1659">
        <v>171890.65074508902</v>
      </c>
      <c r="G88" s="1659">
        <v>1720.7135435992579</v>
      </c>
      <c r="H88" s="1659">
        <v>299381.13728756958</v>
      </c>
      <c r="I88" s="1659">
        <v>173.98662223657917</v>
      </c>
      <c r="J88" s="1659">
        <v>8.3753969295368069</v>
      </c>
      <c r="K88" s="1659">
        <v>8.2035111664191191</v>
      </c>
      <c r="L88" s="1659">
        <v>1036.3687434719852</v>
      </c>
      <c r="M88" s="1659">
        <v>412.92674762153263</v>
      </c>
      <c r="N88" s="1659">
        <v>123.73965702056591</v>
      </c>
      <c r="O88" s="1659">
        <v>50.335367289050403</v>
      </c>
    </row>
    <row r="89" spans="1:15">
      <c r="A89" s="1661" t="s">
        <v>29</v>
      </c>
      <c r="B89" s="1659">
        <v>3.5994060876020786</v>
      </c>
      <c r="C89" s="1660">
        <v>0.12075565684113522</v>
      </c>
      <c r="D89" s="1660">
        <v>0.1231152078413448</v>
      </c>
      <c r="E89" s="1659">
        <v>1380.1484054672724</v>
      </c>
      <c r="F89" s="1659">
        <v>220837.59770085494</v>
      </c>
      <c r="G89" s="1659">
        <v>2009.2995545657016</v>
      </c>
      <c r="H89" s="1659">
        <v>377509.94097995549</v>
      </c>
      <c r="I89" s="1659">
        <v>187.88136399181755</v>
      </c>
      <c r="J89" s="1659">
        <v>9.1392261615671035</v>
      </c>
      <c r="K89" s="1659">
        <v>8.8644270079479952</v>
      </c>
      <c r="L89" s="1659">
        <v>1578.3912030983424</v>
      </c>
      <c r="M89" s="1659">
        <v>482.48294863005003</v>
      </c>
      <c r="N89" s="1659">
        <v>172.7051257070211</v>
      </c>
      <c r="O89" s="1659">
        <v>54.429118565412928</v>
      </c>
    </row>
    <row r="90" spans="1:15">
      <c r="A90" s="1661" t="s">
        <v>1852</v>
      </c>
      <c r="B90" s="673">
        <f t="shared" ref="B90:O90" si="3">AVERAGE(B91:B102)</f>
        <v>3.8290000000000002</v>
      </c>
      <c r="C90" s="1662">
        <f t="shared" si="3"/>
        <v>0.13283333333333336</v>
      </c>
      <c r="D90" s="1662">
        <f t="shared" si="3"/>
        <v>0.13524999999999998</v>
      </c>
      <c r="E90" s="673">
        <f t="shared" si="3"/>
        <v>1296.1529166666667</v>
      </c>
      <c r="F90" s="673">
        <f t="shared" si="3"/>
        <v>198606.15858333334</v>
      </c>
      <c r="G90" s="673">
        <f t="shared" si="3"/>
        <v>1834.1011666666666</v>
      </c>
      <c r="H90" s="673">
        <f t="shared" si="3"/>
        <v>334941.72324999998</v>
      </c>
      <c r="I90" s="673">
        <f t="shared" si="3"/>
        <v>182.26774999999998</v>
      </c>
      <c r="J90" s="673">
        <f t="shared" si="3"/>
        <v>10.605333333333336</v>
      </c>
      <c r="K90" s="673">
        <f t="shared" si="3"/>
        <v>10.238</v>
      </c>
      <c r="L90" s="673">
        <f t="shared" si="3"/>
        <v>1488.9438333333335</v>
      </c>
      <c r="M90" s="673">
        <f t="shared" si="3"/>
        <v>612.09100000000001</v>
      </c>
      <c r="N90" s="673">
        <f t="shared" si="3"/>
        <v>144.07649999999998</v>
      </c>
      <c r="O90" s="673">
        <f t="shared" si="3"/>
        <v>60.560166666666653</v>
      </c>
    </row>
    <row r="91" spans="1:15">
      <c r="A91" s="1661">
        <v>1</v>
      </c>
      <c r="B91" s="1659">
        <v>3.75</v>
      </c>
      <c r="C91" s="1660">
        <v>0.124</v>
      </c>
      <c r="D91" s="1660">
        <v>0.126</v>
      </c>
      <c r="E91" s="1659">
        <v>1103.4290000000001</v>
      </c>
      <c r="F91" s="1659">
        <v>162628.766</v>
      </c>
      <c r="G91" s="1659">
        <v>1495.327</v>
      </c>
      <c r="H91" s="1659">
        <v>256221.932</v>
      </c>
      <c r="I91" s="1659">
        <v>171.34800000000001</v>
      </c>
      <c r="J91" s="1659">
        <v>8.7460000000000004</v>
      </c>
      <c r="K91" s="1659">
        <v>8.4359999999999999</v>
      </c>
      <c r="L91" s="1659">
        <v>1485.8989999999999</v>
      </c>
      <c r="M91" s="1659">
        <v>474.86500000000001</v>
      </c>
      <c r="N91" s="1659">
        <v>169.88499999999999</v>
      </c>
      <c r="O91" s="1659">
        <v>56.292000000000002</v>
      </c>
    </row>
    <row r="92" spans="1:15">
      <c r="A92" s="1661">
        <v>2</v>
      </c>
      <c r="B92" s="1659">
        <v>3.7690000000000001</v>
      </c>
      <c r="C92" s="1660">
        <v>0.126</v>
      </c>
      <c r="D92" s="1660">
        <v>0.128</v>
      </c>
      <c r="E92" s="1659">
        <v>1207.68</v>
      </c>
      <c r="F92" s="1659">
        <v>181998.27799999999</v>
      </c>
      <c r="G92" s="1659">
        <v>1741.0450000000001</v>
      </c>
      <c r="H92" s="1659">
        <v>312983.10100000002</v>
      </c>
      <c r="I92" s="1659">
        <v>179.767</v>
      </c>
      <c r="J92" s="1659">
        <v>7.3120000000000003</v>
      </c>
      <c r="K92" s="1659">
        <v>6.9619999999999997</v>
      </c>
      <c r="L92" s="1659">
        <v>1131.3810000000001</v>
      </c>
      <c r="M92" s="1659">
        <v>356.53300000000002</v>
      </c>
      <c r="N92" s="1659">
        <v>154.73599999999999</v>
      </c>
      <c r="O92" s="1659">
        <v>51.215000000000003</v>
      </c>
    </row>
    <row r="93" spans="1:15">
      <c r="A93" s="1661">
        <v>3</v>
      </c>
      <c r="B93" s="1659">
        <v>3.7759999999999998</v>
      </c>
      <c r="C93" s="1660">
        <v>0.128</v>
      </c>
      <c r="D93" s="1660">
        <v>0.13100000000000001</v>
      </c>
      <c r="E93" s="1659">
        <v>1347.675</v>
      </c>
      <c r="F93" s="1659">
        <v>201804.728</v>
      </c>
      <c r="G93" s="1659">
        <v>1941.462</v>
      </c>
      <c r="H93" s="1659">
        <v>347516.88299999997</v>
      </c>
      <c r="I93" s="1659">
        <v>178.99799999999999</v>
      </c>
      <c r="J93" s="1659">
        <v>8.5980000000000008</v>
      </c>
      <c r="K93" s="1659">
        <v>8.1780000000000008</v>
      </c>
      <c r="L93" s="1659">
        <v>1344.213</v>
      </c>
      <c r="M93" s="1659">
        <v>497.69</v>
      </c>
      <c r="N93" s="1659">
        <v>156.339</v>
      </c>
      <c r="O93" s="1659">
        <v>60.856999999999999</v>
      </c>
    </row>
    <row r="94" spans="1:15">
      <c r="A94" s="1661">
        <v>4</v>
      </c>
      <c r="B94" s="1659">
        <v>3.7890000000000001</v>
      </c>
      <c r="C94" s="1660">
        <v>0.13100000000000001</v>
      </c>
      <c r="D94" s="1660">
        <v>0.13400000000000001</v>
      </c>
      <c r="E94" s="1659">
        <v>1206.627</v>
      </c>
      <c r="F94" s="1659">
        <v>178426.39799999999</v>
      </c>
      <c r="G94" s="1659">
        <v>1741.8979999999999</v>
      </c>
      <c r="H94" s="1659">
        <v>311292.58899999998</v>
      </c>
      <c r="I94" s="1659">
        <v>178.709</v>
      </c>
      <c r="J94" s="1659">
        <v>10.712999999999999</v>
      </c>
      <c r="K94" s="1659">
        <v>10.394</v>
      </c>
      <c r="L94" s="1659">
        <v>1205.644</v>
      </c>
      <c r="M94" s="1659">
        <v>468.86700000000002</v>
      </c>
      <c r="N94" s="1659">
        <v>112.542</v>
      </c>
      <c r="O94" s="1659">
        <v>45.11</v>
      </c>
    </row>
    <row r="95" spans="1:15">
      <c r="A95" s="1661">
        <v>5</v>
      </c>
      <c r="B95" s="1659">
        <v>3.7629999999999999</v>
      </c>
      <c r="C95" s="1660">
        <v>0.13100000000000001</v>
      </c>
      <c r="D95" s="1660">
        <v>0.13400000000000001</v>
      </c>
      <c r="E95" s="1659">
        <v>1299.7629999999999</v>
      </c>
      <c r="F95" s="1659">
        <v>193638.60800000001</v>
      </c>
      <c r="G95" s="1659">
        <v>1854.3430000000001</v>
      </c>
      <c r="H95" s="1659">
        <v>332526.65600000002</v>
      </c>
      <c r="I95" s="1659">
        <v>179.32300000000001</v>
      </c>
      <c r="J95" s="1659">
        <v>11.503</v>
      </c>
      <c r="K95" s="1659">
        <v>11.238</v>
      </c>
      <c r="L95" s="1659">
        <v>1242.1569999999999</v>
      </c>
      <c r="M95" s="1659">
        <v>532.96</v>
      </c>
      <c r="N95" s="1659">
        <v>107.98699999999999</v>
      </c>
      <c r="O95" s="1659">
        <v>47.426000000000002</v>
      </c>
    </row>
    <row r="96" spans="1:15">
      <c r="A96" s="1661">
        <v>6</v>
      </c>
      <c r="B96" s="1659">
        <v>3.7360000000000002</v>
      </c>
      <c r="C96" s="1660">
        <v>0.13300000000000001</v>
      </c>
      <c r="D96" s="1660">
        <v>0.13600000000000001</v>
      </c>
      <c r="E96" s="1659">
        <v>1277.9659999999999</v>
      </c>
      <c r="F96" s="1659">
        <v>191344.38399999999</v>
      </c>
      <c r="G96" s="1659">
        <v>1785.9760000000001</v>
      </c>
      <c r="H96" s="1659">
        <v>322138.34600000002</v>
      </c>
      <c r="I96" s="1659">
        <v>180.37100000000001</v>
      </c>
      <c r="J96" s="1659">
        <v>9.5730000000000004</v>
      </c>
      <c r="K96" s="1659">
        <v>9.2840000000000007</v>
      </c>
      <c r="L96" s="1659">
        <v>1409.425</v>
      </c>
      <c r="M96" s="1659">
        <v>572.93799999999999</v>
      </c>
      <c r="N96" s="1659">
        <v>147.22200000000001</v>
      </c>
      <c r="O96" s="1659">
        <v>61.713000000000001</v>
      </c>
    </row>
    <row r="97" spans="1:15">
      <c r="A97" s="1661">
        <v>7</v>
      </c>
      <c r="B97" s="1659">
        <v>3.823</v>
      </c>
      <c r="C97" s="1660">
        <v>0.13800000000000001</v>
      </c>
      <c r="D97" s="1660">
        <v>0.14000000000000001</v>
      </c>
      <c r="E97" s="1659">
        <v>1294.028</v>
      </c>
      <c r="F97" s="1659">
        <v>212515.47399999999</v>
      </c>
      <c r="G97" s="1659">
        <v>1878.944</v>
      </c>
      <c r="H97" s="1659">
        <v>368425.70400000003</v>
      </c>
      <c r="I97" s="1659">
        <v>196.08099999999999</v>
      </c>
      <c r="J97" s="1659">
        <v>9.7469999999999999</v>
      </c>
      <c r="K97" s="1659">
        <v>9.3949999999999996</v>
      </c>
      <c r="L97" s="1659">
        <v>1487.8779999999999</v>
      </c>
      <c r="M97" s="1659">
        <v>594.27800000000002</v>
      </c>
      <c r="N97" s="1659">
        <v>152.64699999999999</v>
      </c>
      <c r="O97" s="1659">
        <v>63.253</v>
      </c>
    </row>
    <row r="98" spans="1:15">
      <c r="A98" s="1661">
        <v>8</v>
      </c>
      <c r="B98" s="1659">
        <v>3.81</v>
      </c>
      <c r="C98" s="1660">
        <v>0.13900000000000001</v>
      </c>
      <c r="D98" s="1660">
        <v>0.14099999999999999</v>
      </c>
      <c r="E98" s="1659">
        <v>1291.162</v>
      </c>
      <c r="F98" s="1659">
        <v>209195.66699999999</v>
      </c>
      <c r="G98" s="1659">
        <v>1711.28</v>
      </c>
      <c r="H98" s="1659">
        <v>323911.58299999998</v>
      </c>
      <c r="I98" s="1659">
        <v>189.28</v>
      </c>
      <c r="J98" s="1659">
        <v>10.513</v>
      </c>
      <c r="K98" s="1659">
        <v>10.093</v>
      </c>
      <c r="L98" s="1659">
        <v>1840.05</v>
      </c>
      <c r="M98" s="1659">
        <v>794.274</v>
      </c>
      <c r="N98" s="1659">
        <v>175.02199999999999</v>
      </c>
      <c r="O98" s="1659">
        <v>78.695999999999998</v>
      </c>
    </row>
    <row r="99" spans="1:15">
      <c r="A99" s="1661">
        <v>9</v>
      </c>
      <c r="B99" s="1659">
        <v>3.8159999999999998</v>
      </c>
      <c r="C99" s="1660">
        <v>0.13100000000000001</v>
      </c>
      <c r="D99" s="1660">
        <v>0.13300000000000001</v>
      </c>
      <c r="E99" s="1659">
        <v>1313.095</v>
      </c>
      <c r="F99" s="1659">
        <v>199899.74299999999</v>
      </c>
      <c r="G99" s="1659">
        <v>1798.067</v>
      </c>
      <c r="H99" s="1659">
        <v>318399.41100000002</v>
      </c>
      <c r="I99" s="1659">
        <v>177.07900000000001</v>
      </c>
      <c r="J99" s="1659">
        <v>9.1519999999999992</v>
      </c>
      <c r="K99" s="1659">
        <v>8.7050000000000001</v>
      </c>
      <c r="L99" s="1659">
        <v>1490.442</v>
      </c>
      <c r="M99" s="1659">
        <v>701.22199999999998</v>
      </c>
      <c r="N99" s="1659">
        <v>162.84700000000001</v>
      </c>
      <c r="O99" s="1659">
        <v>80.555000000000007</v>
      </c>
    </row>
    <row r="100" spans="1:15">
      <c r="A100" s="1661">
        <v>10</v>
      </c>
      <c r="B100" s="1659">
        <v>3.9790000000000001</v>
      </c>
      <c r="C100" s="1660">
        <v>0.14299999999999999</v>
      </c>
      <c r="D100" s="1660">
        <v>0.14599999999999999</v>
      </c>
      <c r="E100" s="1659">
        <v>1335.7</v>
      </c>
      <c r="F100" s="1659">
        <v>201335.45499999999</v>
      </c>
      <c r="G100" s="1659">
        <v>1950.133</v>
      </c>
      <c r="H100" s="1659">
        <v>348221.83600000001</v>
      </c>
      <c r="I100" s="1659">
        <v>178.56299999999999</v>
      </c>
      <c r="J100" s="1659">
        <v>10.132</v>
      </c>
      <c r="K100" s="1659">
        <v>9.7460000000000004</v>
      </c>
      <c r="L100" s="1659">
        <v>1601.5550000000001</v>
      </c>
      <c r="M100" s="1659">
        <v>732.27800000000002</v>
      </c>
      <c r="N100" s="1659">
        <v>158.06100000000001</v>
      </c>
      <c r="O100" s="1659">
        <v>75.135999999999996</v>
      </c>
    </row>
    <row r="101" spans="1:15">
      <c r="A101" s="1661">
        <v>11</v>
      </c>
      <c r="B101" s="1659">
        <v>3.97</v>
      </c>
      <c r="C101" s="1660">
        <v>0.13400000000000001</v>
      </c>
      <c r="D101" s="1660">
        <v>0.13600000000000001</v>
      </c>
      <c r="E101" s="1659">
        <v>1357.653</v>
      </c>
      <c r="F101" s="1659">
        <v>206130.19</v>
      </c>
      <c r="G101" s="1659">
        <v>1904.367</v>
      </c>
      <c r="H101" s="1659">
        <v>351055.43800000002</v>
      </c>
      <c r="I101" s="1659">
        <v>184.34200000000001</v>
      </c>
      <c r="J101" s="1659">
        <v>14.78</v>
      </c>
      <c r="K101" s="1659">
        <v>14.45</v>
      </c>
      <c r="L101" s="1659">
        <v>1655.5</v>
      </c>
      <c r="M101" s="1659">
        <v>773.64599999999996</v>
      </c>
      <c r="N101" s="1659">
        <v>112.00700000000001</v>
      </c>
      <c r="O101" s="1659">
        <v>53.539000000000001</v>
      </c>
    </row>
    <row r="102" spans="1:15">
      <c r="A102" s="1661" t="s">
        <v>29</v>
      </c>
      <c r="B102" s="1659">
        <v>3.9670000000000001</v>
      </c>
      <c r="C102" s="1660">
        <v>0.13600000000000001</v>
      </c>
      <c r="D102" s="1660">
        <v>0.13800000000000001</v>
      </c>
      <c r="E102" s="1659">
        <v>1519.057</v>
      </c>
      <c r="F102" s="1659">
        <v>244356.212</v>
      </c>
      <c r="G102" s="1659">
        <v>2206.3719999999998</v>
      </c>
      <c r="H102" s="1659">
        <v>426607.2</v>
      </c>
      <c r="I102" s="1659">
        <v>193.352</v>
      </c>
      <c r="J102" s="1659">
        <v>16.495000000000001</v>
      </c>
      <c r="K102" s="1659">
        <v>15.975</v>
      </c>
      <c r="L102" s="1659">
        <v>1973.182</v>
      </c>
      <c r="M102" s="1659">
        <v>845.54100000000005</v>
      </c>
      <c r="N102" s="1659">
        <v>119.623</v>
      </c>
      <c r="O102" s="1659">
        <v>52.93</v>
      </c>
    </row>
    <row r="103" spans="1:15">
      <c r="A103" s="1661" t="s">
        <v>1915</v>
      </c>
      <c r="B103" s="673">
        <f t="shared" ref="B103:O103" si="4">AVERAGE(B104:B115)</f>
        <v>3.9372499999999993</v>
      </c>
      <c r="C103" s="1662">
        <f t="shared" si="4"/>
        <v>0.14283333333333334</v>
      </c>
      <c r="D103" s="1662">
        <f t="shared" si="4"/>
        <v>0.14516666666666664</v>
      </c>
      <c r="E103" s="673">
        <f t="shared" si="4"/>
        <v>1444.23775</v>
      </c>
      <c r="F103" s="673">
        <f t="shared" si="4"/>
        <v>220371.14691666665</v>
      </c>
      <c r="G103" s="673">
        <f t="shared" si="4"/>
        <v>2053.6009166666668</v>
      </c>
      <c r="H103" s="673">
        <f t="shared" si="4"/>
        <v>389502.81058333331</v>
      </c>
      <c r="I103" s="673">
        <f t="shared" si="4"/>
        <v>189.29666666666665</v>
      </c>
      <c r="J103" s="673">
        <f t="shared" si="4"/>
        <v>13.943916666666667</v>
      </c>
      <c r="K103" s="673">
        <f t="shared" si="4"/>
        <v>13.700000000000001</v>
      </c>
      <c r="L103" s="673">
        <f t="shared" si="4"/>
        <v>1881.5759166666667</v>
      </c>
      <c r="M103" s="673">
        <f t="shared" si="4"/>
        <v>996.13966666666647</v>
      </c>
      <c r="N103" s="673">
        <f t="shared" si="4"/>
        <v>137.27808333333331</v>
      </c>
      <c r="O103" s="673">
        <f t="shared" si="4"/>
        <v>73.859083333333345</v>
      </c>
    </row>
    <row r="104" spans="1:15">
      <c r="A104" s="1661" t="s">
        <v>18</v>
      </c>
      <c r="B104" s="1659">
        <v>3.9569999999999999</v>
      </c>
      <c r="C104" s="1660">
        <v>0.13800000000000001</v>
      </c>
      <c r="D104" s="1660">
        <v>0.13900000000000001</v>
      </c>
      <c r="E104" s="1659">
        <v>1211.8489999999999</v>
      </c>
      <c r="F104" s="1659">
        <v>173630.18700000001</v>
      </c>
      <c r="G104" s="1659">
        <v>1592.9580000000001</v>
      </c>
      <c r="H104" s="1659">
        <v>286441.647</v>
      </c>
      <c r="I104" s="1659">
        <v>179.81700000000001</v>
      </c>
      <c r="J104" s="1659">
        <v>15.91</v>
      </c>
      <c r="K104" s="1659">
        <v>15.782999999999999</v>
      </c>
      <c r="L104" s="1659">
        <v>1432.768</v>
      </c>
      <c r="M104" s="1659">
        <v>811.50099999999998</v>
      </c>
      <c r="N104" s="1659">
        <v>90.052000000000007</v>
      </c>
      <c r="O104" s="1659">
        <v>51.414999999999999</v>
      </c>
    </row>
    <row r="105" spans="1:15">
      <c r="A105" s="1661" t="s">
        <v>19</v>
      </c>
      <c r="B105" s="1659">
        <v>3.9550000000000001</v>
      </c>
      <c r="C105" s="1660">
        <v>0.13800000000000001</v>
      </c>
      <c r="D105" s="1660">
        <v>0.14000000000000001</v>
      </c>
      <c r="E105" s="1659">
        <v>1320.4580000000001</v>
      </c>
      <c r="F105" s="1659">
        <v>205996.69699999999</v>
      </c>
      <c r="G105" s="1659">
        <v>1898.0409999999999</v>
      </c>
      <c r="H105" s="1659">
        <v>363793.19799999997</v>
      </c>
      <c r="I105" s="1659">
        <v>191.66800000000001</v>
      </c>
      <c r="J105" s="1659">
        <v>15.743</v>
      </c>
      <c r="K105" s="1659">
        <v>15.467000000000001</v>
      </c>
      <c r="L105" s="1659">
        <v>1627.3409999999999</v>
      </c>
      <c r="M105" s="1659">
        <v>864.28200000000004</v>
      </c>
      <c r="N105" s="1659">
        <v>103.367</v>
      </c>
      <c r="O105" s="1659">
        <v>55.878</v>
      </c>
    </row>
    <row r="106" spans="1:15">
      <c r="A106" s="1661" t="s">
        <v>20</v>
      </c>
      <c r="B106" s="1659">
        <v>3.9409999999999998</v>
      </c>
      <c r="C106" s="1660">
        <v>0.13800000000000001</v>
      </c>
      <c r="D106" s="1660">
        <v>0.14000000000000001</v>
      </c>
      <c r="E106" s="1659">
        <v>1543.8320000000001</v>
      </c>
      <c r="F106" s="1659">
        <v>238144.34599999999</v>
      </c>
      <c r="G106" s="1659">
        <v>2250.6419999999998</v>
      </c>
      <c r="H106" s="1659">
        <v>426296.71</v>
      </c>
      <c r="I106" s="1659">
        <v>189.411</v>
      </c>
      <c r="J106" s="1659">
        <v>18.391999999999999</v>
      </c>
      <c r="K106" s="1659">
        <v>18.048999999999999</v>
      </c>
      <c r="L106" s="1659">
        <v>1926.799</v>
      </c>
      <c r="M106" s="1659">
        <v>1039.317</v>
      </c>
      <c r="N106" s="1659">
        <v>104.765</v>
      </c>
      <c r="O106" s="1659">
        <v>57.582999999999998</v>
      </c>
    </row>
    <row r="107" spans="1:15">
      <c r="A107" s="1661" t="s">
        <v>21</v>
      </c>
      <c r="B107" s="1659">
        <v>3.9079999999999999</v>
      </c>
      <c r="C107" s="1660">
        <v>0.13900000000000001</v>
      </c>
      <c r="D107" s="1660">
        <v>0.14099999999999999</v>
      </c>
      <c r="E107" s="1659">
        <v>1340.1679999999999</v>
      </c>
      <c r="F107" s="1659">
        <v>200185.696</v>
      </c>
      <c r="G107" s="1659">
        <v>1903.81</v>
      </c>
      <c r="H107" s="1659">
        <v>355584.1</v>
      </c>
      <c r="I107" s="1659">
        <v>186.77500000000001</v>
      </c>
      <c r="J107" s="1659">
        <v>14.263</v>
      </c>
      <c r="K107" s="1659">
        <v>14.055999999999999</v>
      </c>
      <c r="L107" s="1659">
        <v>1678.508</v>
      </c>
      <c r="M107" s="1659">
        <v>874.96799999999996</v>
      </c>
      <c r="N107" s="1659">
        <v>117.68600000000001</v>
      </c>
      <c r="O107" s="1659">
        <v>62.25</v>
      </c>
    </row>
    <row r="108" spans="1:15">
      <c r="A108" s="1661" t="s">
        <v>22</v>
      </c>
      <c r="B108" s="1659">
        <v>3.9359999999999999</v>
      </c>
      <c r="C108" s="1660">
        <v>0.14000000000000001</v>
      </c>
      <c r="D108" s="1660">
        <v>0.14199999999999999</v>
      </c>
      <c r="E108" s="1659">
        <v>1501.8920000000001</v>
      </c>
      <c r="F108" s="1659">
        <v>222599.56200000001</v>
      </c>
      <c r="G108" s="1659">
        <v>2129.529</v>
      </c>
      <c r="H108" s="1659">
        <v>392693.02500000002</v>
      </c>
      <c r="I108" s="1659">
        <v>184.404</v>
      </c>
      <c r="J108" s="1659">
        <v>12.529</v>
      </c>
      <c r="K108" s="1659">
        <v>12.163</v>
      </c>
      <c r="L108" s="1659">
        <v>1966.61</v>
      </c>
      <c r="M108" s="1659">
        <v>909.70699999999999</v>
      </c>
      <c r="N108" s="1659">
        <v>156.96700000000001</v>
      </c>
      <c r="O108" s="1659">
        <v>74.790999999999997</v>
      </c>
    </row>
    <row r="109" spans="1:15">
      <c r="A109" s="1661" t="s">
        <v>23</v>
      </c>
      <c r="B109" s="1659">
        <v>3.8969999999999998</v>
      </c>
      <c r="C109" s="1660">
        <v>0.14000000000000001</v>
      </c>
      <c r="D109" s="1660">
        <v>0.14299999999999999</v>
      </c>
      <c r="E109" s="1659">
        <v>1484.202</v>
      </c>
      <c r="F109" s="1659">
        <v>228446.29199999999</v>
      </c>
      <c r="G109" s="1659">
        <v>2096.373</v>
      </c>
      <c r="H109" s="1659">
        <v>403745.52799999999</v>
      </c>
      <c r="I109" s="1659">
        <v>192.59200000000001</v>
      </c>
      <c r="J109" s="1659">
        <v>12.342000000000001</v>
      </c>
      <c r="K109" s="1659">
        <v>12.037000000000001</v>
      </c>
      <c r="L109" s="1659">
        <v>1737.702</v>
      </c>
      <c r="M109" s="1659">
        <v>841.48599999999999</v>
      </c>
      <c r="N109" s="1659">
        <v>140.79900000000001</v>
      </c>
      <c r="O109" s="1659">
        <v>69.911000000000001</v>
      </c>
    </row>
    <row r="110" spans="1:15">
      <c r="A110" s="1661" t="s">
        <v>24</v>
      </c>
      <c r="B110" s="1659">
        <v>3.8929999999999998</v>
      </c>
      <c r="C110" s="1660">
        <v>0.14199999999999999</v>
      </c>
      <c r="D110" s="1660">
        <v>0.14399999999999999</v>
      </c>
      <c r="E110" s="1659">
        <v>1459.92</v>
      </c>
      <c r="F110" s="1659">
        <v>230705.742</v>
      </c>
      <c r="G110" s="1659">
        <v>2028.885</v>
      </c>
      <c r="H110" s="1659">
        <v>402915.03899999999</v>
      </c>
      <c r="I110" s="1659">
        <v>198.589</v>
      </c>
      <c r="J110" s="1659">
        <v>12.151999999999999</v>
      </c>
      <c r="K110" s="1659">
        <v>11.898</v>
      </c>
      <c r="L110" s="1659">
        <v>1778.818</v>
      </c>
      <c r="M110" s="1659">
        <v>937.08900000000006</v>
      </c>
      <c r="N110" s="1659">
        <v>146.376</v>
      </c>
      <c r="O110" s="1659">
        <v>78.757000000000005</v>
      </c>
    </row>
    <row r="111" spans="1:15">
      <c r="A111" s="1661" t="s">
        <v>25</v>
      </c>
      <c r="B111" s="1659">
        <v>3.9119999999999999</v>
      </c>
      <c r="C111" s="1660">
        <v>0.14399999999999999</v>
      </c>
      <c r="D111" s="1660">
        <v>0.14599999999999999</v>
      </c>
      <c r="E111" s="1659">
        <v>1451.4290000000001</v>
      </c>
      <c r="F111" s="1659">
        <v>222844.69099999999</v>
      </c>
      <c r="G111" s="1659">
        <v>1978.182</v>
      </c>
      <c r="H111" s="1659">
        <v>374513.821</v>
      </c>
      <c r="I111" s="1659">
        <v>189.322</v>
      </c>
      <c r="J111" s="1659">
        <v>12.853999999999999</v>
      </c>
      <c r="K111" s="1659">
        <v>12.614000000000001</v>
      </c>
      <c r="L111" s="1659">
        <v>1872.3889999999999</v>
      </c>
      <c r="M111" s="1659">
        <v>1025.095</v>
      </c>
      <c r="N111" s="1659">
        <v>145.66200000000001</v>
      </c>
      <c r="O111" s="1659">
        <v>81.268000000000001</v>
      </c>
    </row>
    <row r="112" spans="1:15">
      <c r="A112" s="1661" t="s">
        <v>26</v>
      </c>
      <c r="B112" s="1659">
        <v>3.93</v>
      </c>
      <c r="C112" s="1660">
        <v>0.14599999999999999</v>
      </c>
      <c r="D112" s="1660">
        <v>0.14799999999999999</v>
      </c>
      <c r="E112" s="1659">
        <v>1403.444</v>
      </c>
      <c r="F112" s="1659">
        <v>208917.43299999999</v>
      </c>
      <c r="G112" s="1659">
        <v>2012.317</v>
      </c>
      <c r="H112" s="1659">
        <v>367295.45500000002</v>
      </c>
      <c r="I112" s="1659">
        <v>182.524</v>
      </c>
      <c r="J112" s="1659">
        <v>11.869</v>
      </c>
      <c r="K112" s="1659">
        <v>11.667999999999999</v>
      </c>
      <c r="L112" s="1659">
        <v>1810.7750000000001</v>
      </c>
      <c r="M112" s="1659">
        <v>973.18499999999995</v>
      </c>
      <c r="N112" s="1659">
        <v>152.56200000000001</v>
      </c>
      <c r="O112" s="1659">
        <v>83.406999999999996</v>
      </c>
    </row>
    <row r="113" spans="1:15">
      <c r="A113" s="1661">
        <v>10</v>
      </c>
      <c r="B113" s="1659">
        <v>3.9249999999999998</v>
      </c>
      <c r="C113" s="1660">
        <v>0.14899999999999999</v>
      </c>
      <c r="D113" s="1660">
        <v>0.152</v>
      </c>
      <c r="E113" s="1659">
        <v>1527.3779999999999</v>
      </c>
      <c r="F113" s="1659">
        <v>225006.02299999999</v>
      </c>
      <c r="G113" s="1659">
        <v>2173.6860000000001</v>
      </c>
      <c r="H113" s="1659">
        <v>399596.701</v>
      </c>
      <c r="I113" s="1659">
        <v>183.834</v>
      </c>
      <c r="J113" s="1659">
        <v>13.36</v>
      </c>
      <c r="K113" s="1659">
        <v>13.167</v>
      </c>
      <c r="L113" s="1659">
        <v>2090.4609999999998</v>
      </c>
      <c r="M113" s="1659">
        <v>1165.837</v>
      </c>
      <c r="N113" s="1659">
        <v>156.47399999999999</v>
      </c>
      <c r="O113" s="1659">
        <v>88.545000000000002</v>
      </c>
    </row>
    <row r="114" spans="1:15">
      <c r="A114" s="1661">
        <v>11</v>
      </c>
      <c r="B114" s="1659">
        <v>3.9740000000000002</v>
      </c>
      <c r="C114" s="1660">
        <v>0.14899999999999999</v>
      </c>
      <c r="D114" s="1660">
        <v>0.153</v>
      </c>
      <c r="E114" s="1659">
        <v>1462.7070000000001</v>
      </c>
      <c r="F114" s="1659">
        <v>220558.77</v>
      </c>
      <c r="G114" s="1659">
        <v>2097.1149999999998</v>
      </c>
      <c r="H114" s="1659">
        <v>399217.89</v>
      </c>
      <c r="I114" s="1659">
        <v>190.36500000000001</v>
      </c>
      <c r="J114" s="1659">
        <v>13.352</v>
      </c>
      <c r="K114" s="1659">
        <v>13.19</v>
      </c>
      <c r="L114" s="1659">
        <v>2061.8029999999999</v>
      </c>
      <c r="M114" s="1659">
        <v>1180.364</v>
      </c>
      <c r="N114" s="1659">
        <v>154.41800000000001</v>
      </c>
      <c r="O114" s="1659">
        <v>89.488</v>
      </c>
    </row>
    <row r="115" spans="1:15">
      <c r="A115" s="1661" t="s">
        <v>29</v>
      </c>
      <c r="B115" s="1659">
        <v>4.0190000000000001</v>
      </c>
      <c r="C115" s="1660">
        <v>0.151</v>
      </c>
      <c r="D115" s="1660">
        <v>0.154</v>
      </c>
      <c r="E115" s="1659">
        <v>1623.5740000000001</v>
      </c>
      <c r="F115" s="1659">
        <v>267418.32400000002</v>
      </c>
      <c r="G115" s="1659">
        <v>2481.6729999999998</v>
      </c>
      <c r="H115" s="1659">
        <v>501940.61300000001</v>
      </c>
      <c r="I115" s="1659">
        <v>202.25899999999999</v>
      </c>
      <c r="J115" s="1659">
        <v>14.561</v>
      </c>
      <c r="K115" s="1659">
        <v>14.308</v>
      </c>
      <c r="L115" s="1659">
        <v>2594.9369999999999</v>
      </c>
      <c r="M115" s="1659">
        <v>1330.845</v>
      </c>
      <c r="N115" s="1659">
        <v>178.209</v>
      </c>
      <c r="O115" s="1659">
        <v>93.016000000000005</v>
      </c>
    </row>
    <row r="116" spans="1:15">
      <c r="A116" s="1661" t="s">
        <v>2051</v>
      </c>
      <c r="B116" s="673">
        <f t="shared" ref="B116:O116" si="5">AVERAGE(B117:B128)</f>
        <v>3.9459166666666672</v>
      </c>
      <c r="C116" s="1662">
        <f t="shared" si="5"/>
        <v>0.15058333333333329</v>
      </c>
      <c r="D116" s="1662">
        <f t="shared" si="5"/>
        <v>0.15441666666666662</v>
      </c>
      <c r="E116" s="673">
        <f t="shared" si="5"/>
        <v>1573.7892499999998</v>
      </c>
      <c r="F116" s="673">
        <f t="shared" si="5"/>
        <v>240445.39141666668</v>
      </c>
      <c r="G116" s="673">
        <f t="shared" si="5"/>
        <v>2237.7081666666668</v>
      </c>
      <c r="H116" s="673">
        <f t="shared" si="5"/>
        <v>440648.23275000014</v>
      </c>
      <c r="I116" s="673">
        <f t="shared" si="5"/>
        <v>196.60683333333336</v>
      </c>
      <c r="J116" s="673">
        <f t="shared" si="5"/>
        <v>19.06175</v>
      </c>
      <c r="K116" s="673">
        <f t="shared" si="5"/>
        <v>19.070583333333335</v>
      </c>
      <c r="L116" s="673">
        <f t="shared" si="5"/>
        <v>2478.6122499999997</v>
      </c>
      <c r="M116" s="673">
        <f t="shared" si="5"/>
        <v>1448.0604999999998</v>
      </c>
      <c r="N116" s="673">
        <f t="shared" si="5"/>
        <v>132.44591666666665</v>
      </c>
      <c r="O116" s="673">
        <f t="shared" si="5"/>
        <v>76.801500000000004</v>
      </c>
    </row>
    <row r="117" spans="1:15">
      <c r="A117" s="1661" t="s">
        <v>18</v>
      </c>
      <c r="B117" s="1659">
        <v>4.0060000000000002</v>
      </c>
      <c r="C117" s="1659">
        <v>0.151</v>
      </c>
      <c r="D117" s="1659">
        <v>0.155</v>
      </c>
      <c r="E117" s="1659">
        <v>1389.2159999999999</v>
      </c>
      <c r="F117" s="1659">
        <v>197114.17600000001</v>
      </c>
      <c r="G117" s="1659">
        <v>1837.674</v>
      </c>
      <c r="H117" s="1659">
        <v>341547.28200000001</v>
      </c>
      <c r="I117" s="1659">
        <v>185.858</v>
      </c>
      <c r="J117" s="1659">
        <v>14.929</v>
      </c>
      <c r="K117" s="1659">
        <v>14.835000000000001</v>
      </c>
      <c r="L117" s="1659">
        <v>1955.32</v>
      </c>
      <c r="M117" s="1659">
        <v>1189.1790000000001</v>
      </c>
      <c r="N117" s="1659">
        <v>130.97300000000001</v>
      </c>
      <c r="O117" s="1659">
        <v>80.162000000000006</v>
      </c>
    </row>
    <row r="118" spans="1:15">
      <c r="A118" s="1661" t="s">
        <v>19</v>
      </c>
      <c r="B118" s="1659">
        <v>3.996</v>
      </c>
      <c r="C118" s="1660">
        <v>0.151</v>
      </c>
      <c r="D118" s="1660">
        <v>0.155</v>
      </c>
      <c r="E118" s="1659">
        <v>1432.037</v>
      </c>
      <c r="F118" s="1659">
        <v>226208.546</v>
      </c>
      <c r="G118" s="1659">
        <v>2088.4259999999999</v>
      </c>
      <c r="H118" s="1659">
        <v>407448.02399999998</v>
      </c>
      <c r="I118" s="1659">
        <v>195.09800000000001</v>
      </c>
      <c r="J118" s="1659">
        <v>13.638</v>
      </c>
      <c r="K118" s="1659">
        <v>13.467000000000001</v>
      </c>
      <c r="L118" s="1659">
        <v>2487.3939999999998</v>
      </c>
      <c r="M118" s="1659">
        <v>1145.4369999999999</v>
      </c>
      <c r="N118" s="1659">
        <v>182.38300000000001</v>
      </c>
      <c r="O118" s="1659">
        <v>85.054000000000002</v>
      </c>
    </row>
    <row r="119" spans="1:15">
      <c r="A119" s="1661" t="s">
        <v>20</v>
      </c>
      <c r="B119" s="1659">
        <v>3.9790000000000001</v>
      </c>
      <c r="C119" s="1660">
        <v>0.152</v>
      </c>
      <c r="D119" s="1660">
        <v>0.155</v>
      </c>
      <c r="E119" s="1659">
        <v>1676.2950000000001</v>
      </c>
      <c r="F119" s="1659">
        <v>256279.264</v>
      </c>
      <c r="G119" s="1659">
        <v>2468.5630000000001</v>
      </c>
      <c r="H119" s="1659">
        <v>476644.35200000001</v>
      </c>
      <c r="I119" s="1659">
        <v>193.08600000000001</v>
      </c>
      <c r="J119" s="1659">
        <v>16.379000000000001</v>
      </c>
      <c r="K119" s="1659">
        <v>16.204000000000001</v>
      </c>
      <c r="L119" s="1659">
        <v>2305.0189999999998</v>
      </c>
      <c r="M119" s="1659">
        <v>1404.1569999999999</v>
      </c>
      <c r="N119" s="1659">
        <v>140.72999999999999</v>
      </c>
      <c r="O119" s="1659">
        <v>86.653999999999996</v>
      </c>
    </row>
    <row r="120" spans="1:15">
      <c r="A120" s="1661" t="s">
        <v>21</v>
      </c>
      <c r="B120" s="1659">
        <v>3.9620000000000002</v>
      </c>
      <c r="C120" s="1660">
        <v>0.151</v>
      </c>
      <c r="D120" s="1660">
        <v>0.155</v>
      </c>
      <c r="E120" s="1659">
        <v>1478.2349999999999</v>
      </c>
      <c r="F120" s="1659">
        <v>227477.15</v>
      </c>
      <c r="G120" s="1659">
        <v>2083.2510000000002</v>
      </c>
      <c r="H120" s="1659">
        <v>411027.05800000002</v>
      </c>
      <c r="I120" s="1659">
        <v>197.30099999999999</v>
      </c>
      <c r="J120" s="1659">
        <v>15.776</v>
      </c>
      <c r="K120" s="1659">
        <v>15.653</v>
      </c>
      <c r="L120" s="1659">
        <v>2375.6089999999999</v>
      </c>
      <c r="M120" s="1659">
        <v>1306.04</v>
      </c>
      <c r="N120" s="1659">
        <v>150.58600000000001</v>
      </c>
      <c r="O120" s="1659">
        <v>83.435000000000002</v>
      </c>
    </row>
    <row r="121" spans="1:15">
      <c r="A121" s="1661" t="s">
        <v>22</v>
      </c>
      <c r="B121" s="1659">
        <v>3.9580000000000002</v>
      </c>
      <c r="C121" s="1660">
        <v>0.151</v>
      </c>
      <c r="D121" s="1660">
        <v>0.154</v>
      </c>
      <c r="E121" s="1659">
        <v>1618.038</v>
      </c>
      <c r="F121" s="1659">
        <v>245261.913</v>
      </c>
      <c r="G121" s="1659">
        <v>2304.8240000000001</v>
      </c>
      <c r="H121" s="1659">
        <v>450194.20600000001</v>
      </c>
      <c r="I121" s="1659">
        <v>195.327</v>
      </c>
      <c r="J121" s="1659">
        <v>18.617000000000001</v>
      </c>
      <c r="K121" s="1659">
        <v>18.565999999999999</v>
      </c>
      <c r="L121" s="1659">
        <v>2407.9180000000001</v>
      </c>
      <c r="M121" s="1659">
        <v>1427.6310000000001</v>
      </c>
      <c r="N121" s="1659">
        <v>129.34</v>
      </c>
      <c r="O121" s="1659">
        <v>76.894000000000005</v>
      </c>
    </row>
    <row r="122" spans="1:15">
      <c r="A122" s="1661" t="s">
        <v>23</v>
      </c>
      <c r="B122" s="1659">
        <v>3.94</v>
      </c>
      <c r="C122" s="1660">
        <v>0.151</v>
      </c>
      <c r="D122" s="1660">
        <v>0.155</v>
      </c>
      <c r="E122" s="1659">
        <v>1532.479</v>
      </c>
      <c r="F122" s="1659">
        <v>231149.95699999999</v>
      </c>
      <c r="G122" s="1659">
        <v>2160.2669999999998</v>
      </c>
      <c r="H122" s="1659">
        <v>425610.391</v>
      </c>
      <c r="I122" s="1659">
        <v>197.017</v>
      </c>
      <c r="J122" s="1659">
        <v>18.384</v>
      </c>
      <c r="K122" s="1659">
        <v>18.323</v>
      </c>
      <c r="L122" s="1659">
        <v>2235.248</v>
      </c>
      <c r="M122" s="1659">
        <v>1331.557</v>
      </c>
      <c r="N122" s="1659">
        <v>121.58499999999999</v>
      </c>
      <c r="O122" s="1659">
        <v>72.67</v>
      </c>
    </row>
    <row r="123" spans="1:15">
      <c r="A123" s="1661" t="s">
        <v>24</v>
      </c>
      <c r="B123" s="1659">
        <v>3.948</v>
      </c>
      <c r="C123" s="1660">
        <v>0.15</v>
      </c>
      <c r="D123" s="1660">
        <v>0.154</v>
      </c>
      <c r="E123" s="1659">
        <v>1667.4</v>
      </c>
      <c r="F123" s="1659">
        <v>265186.56900000002</v>
      </c>
      <c r="G123" s="1659">
        <v>2343.0120000000002</v>
      </c>
      <c r="H123" s="1659">
        <v>488675.91600000003</v>
      </c>
      <c r="I123" s="1659">
        <v>208.56700000000001</v>
      </c>
      <c r="J123" s="1659">
        <v>20.591000000000001</v>
      </c>
      <c r="K123" s="1659">
        <v>20.596</v>
      </c>
      <c r="L123" s="1659">
        <v>2523.0059999999999</v>
      </c>
      <c r="M123" s="1659">
        <v>1550.502</v>
      </c>
      <c r="N123" s="1659">
        <v>122.529</v>
      </c>
      <c r="O123" s="1659">
        <v>75.281999999999996</v>
      </c>
    </row>
    <row r="124" spans="1:15">
      <c r="A124" s="1661" t="s">
        <v>25</v>
      </c>
      <c r="B124" s="1659">
        <v>3.944</v>
      </c>
      <c r="C124" s="1660">
        <v>0.15</v>
      </c>
      <c r="D124" s="1660">
        <v>0.154</v>
      </c>
      <c r="E124" s="1659">
        <v>1566.2539999999999</v>
      </c>
      <c r="F124" s="1659">
        <v>244118.049</v>
      </c>
      <c r="G124" s="1659">
        <v>2156.6799999999998</v>
      </c>
      <c r="H124" s="1659">
        <v>431547.69699999999</v>
      </c>
      <c r="I124" s="1659">
        <v>200.09800000000001</v>
      </c>
      <c r="J124" s="1659">
        <v>19.794</v>
      </c>
      <c r="K124" s="1659">
        <v>19.798999999999999</v>
      </c>
      <c r="L124" s="1659">
        <v>2585.3710000000001</v>
      </c>
      <c r="M124" s="1659">
        <v>1481.41</v>
      </c>
      <c r="N124" s="1659">
        <v>130.61099999999999</v>
      </c>
      <c r="O124" s="1659">
        <v>74.822999999999993</v>
      </c>
    </row>
    <row r="125" spans="1:15">
      <c r="A125" s="1661" t="s">
        <v>26</v>
      </c>
      <c r="B125" s="1659">
        <v>3.9180000000000001</v>
      </c>
      <c r="C125" s="1660">
        <v>0.15</v>
      </c>
      <c r="D125" s="1660">
        <v>0.154</v>
      </c>
      <c r="E125" s="1659">
        <v>1488</v>
      </c>
      <c r="F125" s="1659">
        <v>222287.299</v>
      </c>
      <c r="G125" s="1659">
        <v>2169.83</v>
      </c>
      <c r="H125" s="1659">
        <v>412033.967</v>
      </c>
      <c r="I125" s="1659">
        <v>189.892</v>
      </c>
      <c r="J125" s="1659">
        <v>18.844000000000001</v>
      </c>
      <c r="K125" s="1659">
        <v>18.952999999999999</v>
      </c>
      <c r="L125" s="1659">
        <v>2386.5459999999998</v>
      </c>
      <c r="M125" s="1659">
        <v>1383.7650000000001</v>
      </c>
      <c r="N125" s="1659">
        <v>126.648</v>
      </c>
      <c r="O125" s="1659">
        <v>73.009</v>
      </c>
    </row>
    <row r="126" spans="1:15">
      <c r="A126" s="1661" t="s">
        <v>27</v>
      </c>
      <c r="B126" s="1659">
        <v>3.9009999999999998</v>
      </c>
      <c r="C126" s="1660">
        <v>0.15</v>
      </c>
      <c r="D126" s="1660">
        <v>0.154</v>
      </c>
      <c r="E126" s="1659">
        <v>1660.2339999999999</v>
      </c>
      <c r="F126" s="1659">
        <v>247291.16399999999</v>
      </c>
      <c r="G126" s="1659">
        <v>2344.5770000000002</v>
      </c>
      <c r="H126" s="1659">
        <v>453211.68</v>
      </c>
      <c r="I126" s="1659">
        <v>193.30199999999999</v>
      </c>
      <c r="J126" s="1659">
        <v>23.042999999999999</v>
      </c>
      <c r="K126" s="1659">
        <v>23.254000000000001</v>
      </c>
      <c r="L126" s="1659">
        <v>2782.0059999999999</v>
      </c>
      <c r="M126" s="1659">
        <v>1697.8030000000001</v>
      </c>
      <c r="N126" s="1659">
        <v>120.732</v>
      </c>
      <c r="O126" s="1659">
        <v>73.010000000000005</v>
      </c>
    </row>
    <row r="127" spans="1:15">
      <c r="A127" s="1661" t="s">
        <v>28</v>
      </c>
      <c r="B127" s="1659">
        <v>3.907</v>
      </c>
      <c r="C127" s="1660">
        <v>0.15</v>
      </c>
      <c r="D127" s="1660">
        <v>0.154</v>
      </c>
      <c r="E127" s="1659">
        <v>1602.375</v>
      </c>
      <c r="F127" s="1659">
        <v>240804.49400000001</v>
      </c>
      <c r="G127" s="1659">
        <v>2267.9830000000002</v>
      </c>
      <c r="H127" s="1659">
        <v>447646.03600000002</v>
      </c>
      <c r="I127" s="1659">
        <v>197.376</v>
      </c>
      <c r="J127" s="1659">
        <v>22.795999999999999</v>
      </c>
      <c r="K127" s="1659">
        <v>23.027999999999999</v>
      </c>
      <c r="L127" s="1659">
        <v>2547.9949999999999</v>
      </c>
      <c r="M127" s="1659">
        <v>1618.527</v>
      </c>
      <c r="N127" s="1659">
        <v>111.773</v>
      </c>
      <c r="O127" s="1659">
        <v>70.284999999999997</v>
      </c>
    </row>
    <row r="128" spans="1:15">
      <c r="A128" s="1661" t="s">
        <v>29</v>
      </c>
      <c r="B128" s="1659">
        <v>3.8919999999999999</v>
      </c>
      <c r="C128" s="1660">
        <v>0.15</v>
      </c>
      <c r="D128" s="1660">
        <v>0.154</v>
      </c>
      <c r="E128" s="1659">
        <v>1774.9079999999999</v>
      </c>
      <c r="F128" s="1659">
        <v>282166.11599999998</v>
      </c>
      <c r="G128" s="1659">
        <v>2627.4110000000001</v>
      </c>
      <c r="H128" s="1659">
        <v>542192.18400000001</v>
      </c>
      <c r="I128" s="1659">
        <v>206.36</v>
      </c>
      <c r="J128" s="1659">
        <v>25.95</v>
      </c>
      <c r="K128" s="1659">
        <v>26.169</v>
      </c>
      <c r="L128" s="1659">
        <v>3151.915</v>
      </c>
      <c r="M128" s="1659">
        <v>1840.7180000000001</v>
      </c>
      <c r="N128" s="1659">
        <v>121.461</v>
      </c>
      <c r="O128" s="1659">
        <v>70.34</v>
      </c>
    </row>
    <row r="129" spans="1:15">
      <c r="A129" s="1661" t="s">
        <v>2144</v>
      </c>
      <c r="B129" s="673">
        <f t="shared" ref="B129:O129" si="6">AVERAGE(B130:B141)</f>
        <v>3.7999166666666668</v>
      </c>
      <c r="C129" s="1662">
        <f t="shared" si="6"/>
        <v>0.15208333333333332</v>
      </c>
      <c r="D129" s="1662">
        <f t="shared" si="6"/>
        <v>0.15591666666666665</v>
      </c>
      <c r="E129" s="673">
        <f t="shared" si="6"/>
        <v>1887.2369166666665</v>
      </c>
      <c r="F129" s="673">
        <f t="shared" si="6"/>
        <v>274370.27283333335</v>
      </c>
      <c r="G129" s="673">
        <f t="shared" si="6"/>
        <v>2415.265166666667</v>
      </c>
      <c r="H129" s="673">
        <f t="shared" si="6"/>
        <v>525390.98608333326</v>
      </c>
      <c r="I129" s="673">
        <f t="shared" si="6"/>
        <v>216.54016666666666</v>
      </c>
      <c r="J129" s="673">
        <f t="shared" si="6"/>
        <v>32.530416666666667</v>
      </c>
      <c r="K129" s="673">
        <f t="shared" si="6"/>
        <v>32.978833333333334</v>
      </c>
      <c r="L129" s="673">
        <f t="shared" si="6"/>
        <v>2948.6278333333339</v>
      </c>
      <c r="M129" s="673">
        <f t="shared" si="6"/>
        <v>1732.7346666666665</v>
      </c>
      <c r="N129" s="673">
        <f t="shared" si="6"/>
        <v>91.575749999999985</v>
      </c>
      <c r="O129" s="673">
        <f t="shared" si="6"/>
        <v>53.417916666666663</v>
      </c>
    </row>
    <row r="130" spans="1:15">
      <c r="A130" s="1661" t="s">
        <v>18</v>
      </c>
      <c r="B130" s="1659">
        <v>3.8809999999999998</v>
      </c>
      <c r="C130" s="1660">
        <v>0.15</v>
      </c>
      <c r="D130" s="1660">
        <v>0.154</v>
      </c>
      <c r="E130" s="1659">
        <v>1594.6949999999999</v>
      </c>
      <c r="F130" s="1659">
        <v>219634.41699999999</v>
      </c>
      <c r="G130" s="1659">
        <v>1995.47</v>
      </c>
      <c r="H130" s="1659">
        <v>388792.80900000001</v>
      </c>
      <c r="I130" s="1659">
        <v>194.83799999999999</v>
      </c>
      <c r="J130" s="1659">
        <v>28.152999999999999</v>
      </c>
      <c r="K130" s="1659">
        <v>28.585000000000001</v>
      </c>
      <c r="L130" s="1659">
        <v>2513.1170000000002</v>
      </c>
      <c r="M130" s="1659">
        <v>1660.403</v>
      </c>
      <c r="N130" s="1659">
        <v>89.268000000000001</v>
      </c>
      <c r="O130" s="1659">
        <v>58.087000000000003</v>
      </c>
    </row>
    <row r="131" spans="1:15">
      <c r="A131" s="1661" t="s">
        <v>19</v>
      </c>
      <c r="B131" s="1659">
        <v>3.8639999999999999</v>
      </c>
      <c r="C131" s="1660">
        <v>0.15</v>
      </c>
      <c r="D131" s="1660">
        <v>0.154</v>
      </c>
      <c r="E131" s="1659">
        <v>1603.808</v>
      </c>
      <c r="F131" s="1659">
        <v>232530.21</v>
      </c>
      <c r="G131" s="1659">
        <v>2177.134</v>
      </c>
      <c r="H131" s="1659">
        <v>437756.97600000002</v>
      </c>
      <c r="I131" s="1659">
        <v>201.07</v>
      </c>
      <c r="J131" s="1659">
        <v>21.716000000000001</v>
      </c>
      <c r="K131" s="1659">
        <v>21.96</v>
      </c>
      <c r="L131" s="1659">
        <v>2325.4490000000001</v>
      </c>
      <c r="M131" s="1659">
        <v>1432.3240000000001</v>
      </c>
      <c r="N131" s="1659">
        <v>107.083</v>
      </c>
      <c r="O131" s="1659">
        <v>65.224000000000004</v>
      </c>
    </row>
    <row r="132" spans="1:15">
      <c r="A132" s="1661" t="s">
        <v>20</v>
      </c>
      <c r="B132" s="1659">
        <v>3.8519999999999999</v>
      </c>
      <c r="C132" s="1660">
        <v>0.15</v>
      </c>
      <c r="D132" s="1660">
        <v>0.153</v>
      </c>
      <c r="E132" s="1659">
        <v>1842.2180000000001</v>
      </c>
      <c r="F132" s="1659">
        <v>267287.11499999999</v>
      </c>
      <c r="G132" s="1659">
        <v>2491.357</v>
      </c>
      <c r="H132" s="1659">
        <v>505283.93300000002</v>
      </c>
      <c r="I132" s="1659">
        <v>202.815</v>
      </c>
      <c r="J132" s="1659">
        <v>26.48</v>
      </c>
      <c r="K132" s="1659">
        <v>26.786000000000001</v>
      </c>
      <c r="L132" s="1659">
        <v>2616.4369999999999</v>
      </c>
      <c r="M132" s="1659">
        <v>1728.5219999999999</v>
      </c>
      <c r="N132" s="1659">
        <v>98.808000000000007</v>
      </c>
      <c r="O132" s="1659">
        <v>64.53</v>
      </c>
    </row>
    <row r="133" spans="1:15">
      <c r="A133" s="1661" t="s">
        <v>21</v>
      </c>
      <c r="B133" s="1659">
        <v>3.8380000000000001</v>
      </c>
      <c r="C133" s="1660">
        <v>0.15</v>
      </c>
      <c r="D133" s="1660">
        <v>0.154</v>
      </c>
      <c r="E133" s="1659">
        <v>1816.308</v>
      </c>
      <c r="F133" s="1659">
        <v>260743.65299999999</v>
      </c>
      <c r="G133" s="1659">
        <v>2340.1460000000002</v>
      </c>
      <c r="H133" s="1659">
        <v>486404.12699999998</v>
      </c>
      <c r="I133" s="1659">
        <v>207.852</v>
      </c>
      <c r="J133" s="1659">
        <v>27.48</v>
      </c>
      <c r="K133" s="1659">
        <v>27.742000000000001</v>
      </c>
      <c r="L133" s="1659">
        <v>2746.9340000000002</v>
      </c>
      <c r="M133" s="1659">
        <v>1629.173</v>
      </c>
      <c r="N133" s="1659">
        <v>99.962000000000003</v>
      </c>
      <c r="O133" s="1659">
        <v>58.725000000000001</v>
      </c>
    </row>
    <row r="134" spans="1:15">
      <c r="A134" s="1661" t="s">
        <v>22</v>
      </c>
      <c r="B134" s="1659">
        <v>3.806</v>
      </c>
      <c r="C134" s="1660">
        <v>0.15</v>
      </c>
      <c r="D134" s="1660">
        <v>0.153</v>
      </c>
      <c r="E134" s="1659">
        <v>1765.1220000000001</v>
      </c>
      <c r="F134" s="1659">
        <v>285231.755</v>
      </c>
      <c r="G134" s="1659">
        <v>2289.614</v>
      </c>
      <c r="H134" s="1659">
        <v>553505.29099999997</v>
      </c>
      <c r="I134" s="1659">
        <v>241.74600000000001</v>
      </c>
      <c r="J134" s="1659">
        <v>29.192</v>
      </c>
      <c r="K134" s="1659">
        <v>29.152999999999999</v>
      </c>
      <c r="L134" s="1659">
        <v>3099.9810000000002</v>
      </c>
      <c r="M134" s="1659">
        <v>1534.7660000000001</v>
      </c>
      <c r="N134" s="1659">
        <v>106.194</v>
      </c>
      <c r="O134" s="1659">
        <v>52.645000000000003</v>
      </c>
    </row>
    <row r="135" spans="1:15">
      <c r="A135" s="1661" t="s">
        <v>23</v>
      </c>
      <c r="B135" s="1659">
        <v>3.8039999999999998</v>
      </c>
      <c r="C135" s="1660">
        <v>0.157</v>
      </c>
      <c r="D135" s="1660">
        <v>0.161</v>
      </c>
      <c r="E135" s="1659">
        <v>1696.278</v>
      </c>
      <c r="F135" s="1659">
        <v>239743.93799999999</v>
      </c>
      <c r="G135" s="1659">
        <v>2151.5839999999998</v>
      </c>
      <c r="H135" s="1659">
        <v>458932.42599999998</v>
      </c>
      <c r="I135" s="1659">
        <v>213.3</v>
      </c>
      <c r="J135" s="1659">
        <v>31.024000000000001</v>
      </c>
      <c r="K135" s="1659">
        <v>31.532</v>
      </c>
      <c r="L135" s="1659">
        <v>2556.0039999999999</v>
      </c>
      <c r="M135" s="1659">
        <v>1540.3810000000001</v>
      </c>
      <c r="N135" s="1659">
        <v>82.387</v>
      </c>
      <c r="O135" s="1659">
        <v>48.851999999999997</v>
      </c>
    </row>
    <row r="136" spans="1:15">
      <c r="A136" s="1661" t="s">
        <v>24</v>
      </c>
      <c r="B136" s="1659">
        <v>3.79</v>
      </c>
      <c r="C136" s="1660">
        <v>0.156</v>
      </c>
      <c r="D136" s="1660">
        <v>0.161</v>
      </c>
      <c r="E136" s="1659">
        <v>2030.66</v>
      </c>
      <c r="F136" s="1659">
        <v>304614.44500000001</v>
      </c>
      <c r="G136" s="1659">
        <v>2649.556</v>
      </c>
      <c r="H136" s="1659">
        <v>598377.51699999999</v>
      </c>
      <c r="I136" s="1659">
        <v>225.84100000000001</v>
      </c>
      <c r="J136" s="1659">
        <v>36.97</v>
      </c>
      <c r="K136" s="1659">
        <v>37.67</v>
      </c>
      <c r="L136" s="1659">
        <v>3089.9769999999999</v>
      </c>
      <c r="M136" s="1659">
        <v>1831.55</v>
      </c>
      <c r="N136" s="1659">
        <v>83.581000000000003</v>
      </c>
      <c r="O136" s="1659">
        <v>48.621000000000002</v>
      </c>
    </row>
    <row r="137" spans="1:15">
      <c r="A137" s="1661" t="s">
        <v>25</v>
      </c>
      <c r="B137" s="1659">
        <v>3.7839999999999998</v>
      </c>
      <c r="C137" s="1660">
        <v>0.155</v>
      </c>
      <c r="D137" s="1660">
        <v>0.16</v>
      </c>
      <c r="E137" s="1659">
        <v>1850.222</v>
      </c>
      <c r="F137" s="1659">
        <v>261423.68900000001</v>
      </c>
      <c r="G137" s="1659">
        <v>2325.415</v>
      </c>
      <c r="H137" s="1659">
        <v>494690.03700000001</v>
      </c>
      <c r="I137" s="1659">
        <v>212.732</v>
      </c>
      <c r="J137" s="1659">
        <v>33.506</v>
      </c>
      <c r="K137" s="1659">
        <v>34.072000000000003</v>
      </c>
      <c r="L137" s="1659">
        <v>2865.1320000000001</v>
      </c>
      <c r="M137" s="1659">
        <v>1686.739</v>
      </c>
      <c r="N137" s="1659">
        <v>85.510999999999996</v>
      </c>
      <c r="O137" s="1659">
        <v>49.505000000000003</v>
      </c>
    </row>
    <row r="138" spans="1:15">
      <c r="A138" s="1661" t="s">
        <v>26</v>
      </c>
      <c r="B138" s="1659">
        <v>3.7810000000000001</v>
      </c>
      <c r="C138" s="1660">
        <v>0.154</v>
      </c>
      <c r="D138" s="1660">
        <v>0.158</v>
      </c>
      <c r="E138" s="1659">
        <v>1892.5540000000001</v>
      </c>
      <c r="F138" s="1659">
        <v>259642.247</v>
      </c>
      <c r="G138" s="1659">
        <v>2427.806</v>
      </c>
      <c r="H138" s="1659">
        <v>506300.10399999999</v>
      </c>
      <c r="I138" s="1659">
        <v>208.542</v>
      </c>
      <c r="J138" s="1659">
        <v>34.576999999999998</v>
      </c>
      <c r="K138" s="1659">
        <v>35.19</v>
      </c>
      <c r="L138" s="1659">
        <v>2817.5990000000002</v>
      </c>
      <c r="M138" s="1659">
        <v>1665.3409999999999</v>
      </c>
      <c r="N138" s="1659">
        <v>81.486999999999995</v>
      </c>
      <c r="O138" s="1659">
        <v>47.323999999999998</v>
      </c>
    </row>
    <row r="139" spans="1:15">
      <c r="A139" s="1661" t="s">
        <v>27</v>
      </c>
      <c r="B139" s="1659">
        <v>3.7549999999999999</v>
      </c>
      <c r="C139" s="1660">
        <v>0.153</v>
      </c>
      <c r="D139" s="1660">
        <v>0.156</v>
      </c>
      <c r="E139" s="1659">
        <v>2089.038</v>
      </c>
      <c r="F139" s="1659">
        <v>299496.49699999997</v>
      </c>
      <c r="G139" s="1659">
        <v>2590.489</v>
      </c>
      <c r="H139" s="1659">
        <v>569982.47100000002</v>
      </c>
      <c r="I139" s="1659">
        <v>220.029</v>
      </c>
      <c r="J139" s="1659">
        <v>37.360999999999997</v>
      </c>
      <c r="K139" s="1659">
        <v>37.872</v>
      </c>
      <c r="L139" s="1659">
        <v>3307.018</v>
      </c>
      <c r="M139" s="1659">
        <v>1780.67</v>
      </c>
      <c r="N139" s="1659">
        <v>88.516000000000005</v>
      </c>
      <c r="O139" s="1659">
        <v>47.018000000000001</v>
      </c>
    </row>
    <row r="140" spans="1:15">
      <c r="A140" s="1661" t="s">
        <v>28</v>
      </c>
      <c r="B140" s="1659">
        <v>3.734</v>
      </c>
      <c r="C140" s="1660">
        <v>0.151</v>
      </c>
      <c r="D140" s="1660">
        <v>0.155</v>
      </c>
      <c r="E140" s="1659">
        <v>2004.566</v>
      </c>
      <c r="F140" s="1659">
        <v>287759.38900000002</v>
      </c>
      <c r="G140" s="1659">
        <v>2396.6419999999998</v>
      </c>
      <c r="H140" s="1659">
        <v>555004.05599999998</v>
      </c>
      <c r="I140" s="1659">
        <v>231.57599999999999</v>
      </c>
      <c r="J140" s="1659">
        <v>36.953000000000003</v>
      </c>
      <c r="K140" s="1659">
        <v>37.521000000000001</v>
      </c>
      <c r="L140" s="1659">
        <v>3041.7370000000001</v>
      </c>
      <c r="M140" s="1659">
        <v>1799.5360000000001</v>
      </c>
      <c r="N140" s="1659">
        <v>82.313000000000002</v>
      </c>
      <c r="O140" s="1659">
        <v>47.960999999999999</v>
      </c>
    </row>
    <row r="141" spans="1:15">
      <c r="A141" s="1661" t="s">
        <v>29</v>
      </c>
      <c r="B141" s="1659">
        <v>3.71</v>
      </c>
      <c r="C141" s="1660">
        <v>0.14899999999999999</v>
      </c>
      <c r="D141" s="1660">
        <v>0.152</v>
      </c>
      <c r="E141" s="1659">
        <v>2461.3739999999998</v>
      </c>
      <c r="F141" s="1659">
        <v>374335.91899999999</v>
      </c>
      <c r="G141" s="1659">
        <v>3147.9690000000001</v>
      </c>
      <c r="H141" s="1659">
        <v>749662.08600000001</v>
      </c>
      <c r="I141" s="1659">
        <v>238.14099999999999</v>
      </c>
      <c r="J141" s="1659">
        <v>46.953000000000003</v>
      </c>
      <c r="K141" s="1659">
        <v>47.662999999999997</v>
      </c>
      <c r="L141" s="1659">
        <v>4404.1490000000003</v>
      </c>
      <c r="M141" s="1659">
        <v>2503.4110000000001</v>
      </c>
      <c r="N141" s="1659">
        <v>93.799000000000007</v>
      </c>
      <c r="O141" s="1659">
        <v>52.523000000000003</v>
      </c>
    </row>
    <row r="142" spans="1:15">
      <c r="A142" s="1661" t="s">
        <v>2375</v>
      </c>
      <c r="B142" s="673">
        <f t="shared" ref="B142:O142" si="7">AVERAGE(B143:B154)</f>
        <v>3.7380833333333334</v>
      </c>
      <c r="C142" s="1662">
        <f t="shared" si="7"/>
        <v>0.16974999999999998</v>
      </c>
      <c r="D142" s="1662">
        <f t="shared" si="7"/>
        <v>0.17441666666666664</v>
      </c>
      <c r="E142" s="673">
        <f t="shared" si="7"/>
        <v>2134.7916666666665</v>
      </c>
      <c r="F142" s="673">
        <f t="shared" si="7"/>
        <v>276308.78450000001</v>
      </c>
      <c r="G142" s="673">
        <f t="shared" si="7"/>
        <v>2616.0503333333336</v>
      </c>
      <c r="H142" s="673">
        <f t="shared" si="7"/>
        <v>627675.81891666679</v>
      </c>
      <c r="I142" s="673">
        <f t="shared" si="7"/>
        <v>239.34833333333333</v>
      </c>
      <c r="J142" s="673">
        <f t="shared" si="7"/>
        <v>68.733666666666664</v>
      </c>
      <c r="K142" s="673">
        <f t="shared" si="7"/>
        <v>70.336000000000013</v>
      </c>
      <c r="L142" s="673">
        <f t="shared" si="7"/>
        <v>5177.651499999999</v>
      </c>
      <c r="M142" s="673">
        <f t="shared" si="7"/>
        <v>3165.0824999999991</v>
      </c>
      <c r="N142" s="673">
        <f t="shared" si="7"/>
        <v>74.876833333333323</v>
      </c>
      <c r="O142" s="673">
        <f t="shared" si="7"/>
        <v>44.951833333333326</v>
      </c>
    </row>
    <row r="143" spans="1:15">
      <c r="A143" s="1661" t="s">
        <v>18</v>
      </c>
      <c r="B143" s="1659">
        <v>3.6960000000000002</v>
      </c>
      <c r="C143" s="1660">
        <v>0.14599999999999999</v>
      </c>
      <c r="D143" s="1660">
        <v>0.14899999999999999</v>
      </c>
      <c r="E143" s="1659">
        <v>1950.2619999999999</v>
      </c>
      <c r="F143" s="1659">
        <v>241213.826</v>
      </c>
      <c r="G143" s="1659">
        <v>2215.6999999999998</v>
      </c>
      <c r="H143" s="1659">
        <v>473391.859</v>
      </c>
      <c r="I143" s="1659">
        <v>213.65299999999999</v>
      </c>
      <c r="J143" s="1659">
        <v>44.287999999999997</v>
      </c>
      <c r="K143" s="1659">
        <v>45.110999999999997</v>
      </c>
      <c r="L143" s="1659">
        <v>2926.9630000000002</v>
      </c>
      <c r="M143" s="1659">
        <v>1995.864</v>
      </c>
      <c r="N143" s="1659">
        <v>66.088999999999999</v>
      </c>
      <c r="O143" s="1659">
        <v>44.243000000000002</v>
      </c>
    </row>
    <row r="144" spans="1:15">
      <c r="A144" s="1661" t="s">
        <v>19</v>
      </c>
      <c r="B144" s="1659">
        <v>3.6989999999999998</v>
      </c>
      <c r="C144" s="1660">
        <v>0.14299999999999999</v>
      </c>
      <c r="D144" s="1660">
        <v>0.14699999999999999</v>
      </c>
      <c r="E144" s="1659">
        <v>1983.4059999999999</v>
      </c>
      <c r="F144" s="1659">
        <v>279015.516</v>
      </c>
      <c r="G144" s="1659">
        <v>2487.576</v>
      </c>
      <c r="H144" s="1659">
        <v>600466.09</v>
      </c>
      <c r="I144" s="1659">
        <v>241.386</v>
      </c>
      <c r="J144" s="1659">
        <v>42.773000000000003</v>
      </c>
      <c r="K144" s="1659">
        <v>43.433</v>
      </c>
      <c r="L144" s="1659">
        <v>2858.174</v>
      </c>
      <c r="M144" s="1659">
        <v>1828.8130000000001</v>
      </c>
      <c r="N144" s="1659">
        <v>66.822000000000003</v>
      </c>
      <c r="O144" s="1659">
        <v>42.106999999999999</v>
      </c>
    </row>
    <row r="145" spans="1:15">
      <c r="A145" s="1661" t="s">
        <v>20</v>
      </c>
      <c r="B145" s="1659">
        <v>3.6760000000000002</v>
      </c>
      <c r="C145" s="1660">
        <v>0.14099999999999999</v>
      </c>
      <c r="D145" s="1660">
        <v>0.14499999999999999</v>
      </c>
      <c r="E145" s="1659">
        <v>2285.1660000000002</v>
      </c>
      <c r="F145" s="1659">
        <v>332073.44900000002</v>
      </c>
      <c r="G145" s="1659">
        <v>2897.5909999999999</v>
      </c>
      <c r="H145" s="1659">
        <v>716369.13600000006</v>
      </c>
      <c r="I145" s="1659">
        <v>247.22900000000001</v>
      </c>
      <c r="J145" s="1659">
        <v>50.906999999999996</v>
      </c>
      <c r="K145" s="1659">
        <v>51.68</v>
      </c>
      <c r="L145" s="1659">
        <v>4280.3599999999997</v>
      </c>
      <c r="M145" s="1659">
        <v>2576.6219999999998</v>
      </c>
      <c r="N145" s="1659">
        <v>84.082999999999998</v>
      </c>
      <c r="O145" s="1659">
        <v>49.856999999999999</v>
      </c>
    </row>
    <row r="146" spans="1:15">
      <c r="A146" s="1661" t="s">
        <v>21</v>
      </c>
      <c r="B146" s="1659">
        <v>3.7320000000000002</v>
      </c>
      <c r="C146" s="1660">
        <v>0.17699999999999999</v>
      </c>
      <c r="D146" s="1660">
        <v>0.182</v>
      </c>
      <c r="E146" s="1659">
        <v>1889.126</v>
      </c>
      <c r="F146" s="1659">
        <v>234511.90400000001</v>
      </c>
      <c r="G146" s="1659">
        <v>2145.4580000000001</v>
      </c>
      <c r="H146" s="1659">
        <v>513394.98300000001</v>
      </c>
      <c r="I146" s="1659">
        <v>239.29400000000001</v>
      </c>
      <c r="J146" s="1659">
        <v>59.924999999999997</v>
      </c>
      <c r="K146" s="1659">
        <v>61.42</v>
      </c>
      <c r="L146" s="1659">
        <v>3947.9830000000002</v>
      </c>
      <c r="M146" s="1659">
        <v>2981.4459999999999</v>
      </c>
      <c r="N146" s="1659">
        <v>65.882000000000005</v>
      </c>
      <c r="O146" s="1659">
        <v>48.542000000000002</v>
      </c>
    </row>
    <row r="147" spans="1:15">
      <c r="A147" s="1661" t="s">
        <v>22</v>
      </c>
      <c r="B147" s="1659">
        <v>3.851</v>
      </c>
      <c r="C147" s="1660">
        <v>0.182</v>
      </c>
      <c r="D147" s="1660">
        <v>0.188</v>
      </c>
      <c r="E147" s="1659">
        <v>2081.9299999999998</v>
      </c>
      <c r="F147" s="1659">
        <v>268332.67200000002</v>
      </c>
      <c r="G147" s="1659">
        <v>2871.9209999999998</v>
      </c>
      <c r="H147" s="1659">
        <v>667661.78</v>
      </c>
      <c r="I147" s="1659">
        <v>232.47900000000001</v>
      </c>
      <c r="J147" s="1659">
        <v>67.100999999999999</v>
      </c>
      <c r="K147" s="1659">
        <v>68.763000000000005</v>
      </c>
      <c r="L147" s="1659">
        <v>4262.7879999999996</v>
      </c>
      <c r="M147" s="1659">
        <v>3275.9259999999999</v>
      </c>
      <c r="N147" s="1659">
        <v>63.527999999999999</v>
      </c>
      <c r="O147" s="1659">
        <v>47.640999999999998</v>
      </c>
    </row>
    <row r="148" spans="1:15">
      <c r="A148" s="1661" t="s">
        <v>23</v>
      </c>
      <c r="B148" s="1659">
        <v>3.8319999999999999</v>
      </c>
      <c r="C148" s="1660">
        <v>0.18099999999999999</v>
      </c>
      <c r="D148" s="1660">
        <v>0.186</v>
      </c>
      <c r="E148" s="1659">
        <v>2078.8809999999999</v>
      </c>
      <c r="F148" s="1659">
        <v>261440.45699999999</v>
      </c>
      <c r="G148" s="1659">
        <v>2577.913</v>
      </c>
      <c r="H148" s="1659">
        <v>621880.77300000004</v>
      </c>
      <c r="I148" s="1659">
        <v>241.23400000000001</v>
      </c>
      <c r="J148" s="1659">
        <v>75.019000000000005</v>
      </c>
      <c r="K148" s="1659">
        <v>76.828000000000003</v>
      </c>
      <c r="L148" s="1659">
        <v>5349.6540000000005</v>
      </c>
      <c r="M148" s="1659">
        <v>3208.0329999999999</v>
      </c>
      <c r="N148" s="1659">
        <v>71.311000000000007</v>
      </c>
      <c r="O148" s="1659">
        <v>41.756</v>
      </c>
    </row>
    <row r="149" spans="1:15">
      <c r="A149" s="1661" t="s">
        <v>24</v>
      </c>
      <c r="B149" s="1659">
        <v>3.8109999999999999</v>
      </c>
      <c r="C149" s="1660">
        <v>0.18099999999999999</v>
      </c>
      <c r="D149" s="1660">
        <v>0.186</v>
      </c>
      <c r="E149" s="1659">
        <v>2127.317</v>
      </c>
      <c r="F149" s="1659">
        <v>298611.97200000001</v>
      </c>
      <c r="G149" s="1659">
        <v>2747.3209999999999</v>
      </c>
      <c r="H149" s="1659">
        <v>682967.49899999995</v>
      </c>
      <c r="I149" s="1659">
        <v>248.59399999999999</v>
      </c>
      <c r="J149" s="1659">
        <v>70</v>
      </c>
      <c r="K149" s="1659">
        <v>71.396000000000001</v>
      </c>
      <c r="L149" s="1659">
        <v>8252.5380000000005</v>
      </c>
      <c r="M149" s="1659">
        <v>2628.6889999999999</v>
      </c>
      <c r="N149" s="1659">
        <v>117.89400000000001</v>
      </c>
      <c r="O149" s="1659">
        <v>36.819000000000003</v>
      </c>
    </row>
    <row r="150" spans="1:15">
      <c r="A150" s="1661" t="s">
        <v>25</v>
      </c>
      <c r="B150" s="1659">
        <v>3.78</v>
      </c>
      <c r="C150" s="1660">
        <v>0.17799999999999999</v>
      </c>
      <c r="D150" s="1660">
        <v>0.183</v>
      </c>
      <c r="E150" s="1659">
        <v>2283.6379999999999</v>
      </c>
      <c r="F150" s="1659">
        <v>278257.89</v>
      </c>
      <c r="G150" s="1659">
        <v>2747.6410000000001</v>
      </c>
      <c r="H150" s="1659">
        <v>630478.81499999994</v>
      </c>
      <c r="I150" s="1659">
        <v>229.46199999999999</v>
      </c>
      <c r="J150" s="1659">
        <v>79.040999999999997</v>
      </c>
      <c r="K150" s="1659">
        <v>81.075000000000003</v>
      </c>
      <c r="L150" s="1659">
        <v>6037.2060000000001</v>
      </c>
      <c r="M150" s="1659">
        <v>3257.192</v>
      </c>
      <c r="N150" s="1659">
        <v>76.381</v>
      </c>
      <c r="O150" s="1659">
        <v>40.174999999999997</v>
      </c>
    </row>
    <row r="151" spans="1:15">
      <c r="A151" s="1661" t="s">
        <v>26</v>
      </c>
      <c r="B151" s="1659">
        <v>3.738</v>
      </c>
      <c r="C151" s="1660">
        <v>0.17699999999999999</v>
      </c>
      <c r="D151" s="1660">
        <v>0.182</v>
      </c>
      <c r="E151" s="1659">
        <v>2221.6329999999998</v>
      </c>
      <c r="F151" s="1659">
        <v>266339.42099999997</v>
      </c>
      <c r="G151" s="1659">
        <v>2593.145</v>
      </c>
      <c r="H151" s="1659">
        <v>608992.99100000004</v>
      </c>
      <c r="I151" s="1659">
        <v>234.84700000000001</v>
      </c>
      <c r="J151" s="1659">
        <v>82.834999999999994</v>
      </c>
      <c r="K151" s="1659">
        <v>85.153000000000006</v>
      </c>
      <c r="L151" s="1659">
        <v>5581.9989999999998</v>
      </c>
      <c r="M151" s="1659">
        <v>3728.123</v>
      </c>
      <c r="N151" s="1659">
        <v>67.387</v>
      </c>
      <c r="O151" s="1659">
        <v>43.781999999999996</v>
      </c>
    </row>
    <row r="152" spans="1:15">
      <c r="A152" s="1661" t="s">
        <v>27</v>
      </c>
      <c r="B152" s="1659">
        <v>3.7210000000000001</v>
      </c>
      <c r="C152" s="1660">
        <v>0.17699999999999999</v>
      </c>
      <c r="D152" s="1660">
        <v>0.182</v>
      </c>
      <c r="E152" s="1659">
        <v>2031.5319999999999</v>
      </c>
      <c r="F152" s="1659">
        <v>255771.505</v>
      </c>
      <c r="G152" s="1659">
        <v>2571.3560000000002</v>
      </c>
      <c r="H152" s="1659">
        <v>618753.46200000006</v>
      </c>
      <c r="I152" s="1659">
        <v>240.63300000000001</v>
      </c>
      <c r="J152" s="1659">
        <v>75.299000000000007</v>
      </c>
      <c r="K152" s="1659">
        <v>77.311999999999998</v>
      </c>
      <c r="L152" s="1659">
        <v>5057.3620000000001</v>
      </c>
      <c r="M152" s="1659">
        <v>3618.6179999999999</v>
      </c>
      <c r="N152" s="1659">
        <v>67.162999999999997</v>
      </c>
      <c r="O152" s="1659">
        <v>46.805</v>
      </c>
    </row>
    <row r="153" spans="1:15">
      <c r="A153" s="1661" t="s">
        <v>28</v>
      </c>
      <c r="B153" s="1659">
        <v>3.6779999999999999</v>
      </c>
      <c r="C153" s="1660">
        <v>0.17699999999999999</v>
      </c>
      <c r="D153" s="1660">
        <v>0.182</v>
      </c>
      <c r="E153" s="1659">
        <v>2167.6120000000001</v>
      </c>
      <c r="F153" s="1659">
        <v>265279.815</v>
      </c>
      <c r="G153" s="1659">
        <v>2541.9119999999998</v>
      </c>
      <c r="H153" s="1659">
        <v>616317.68799999997</v>
      </c>
      <c r="I153" s="1659">
        <v>242.46199999999999</v>
      </c>
      <c r="J153" s="1659">
        <v>81.116</v>
      </c>
      <c r="K153" s="1659">
        <v>83.224000000000004</v>
      </c>
      <c r="L153" s="1659">
        <v>5744.5410000000002</v>
      </c>
      <c r="M153" s="1659">
        <v>4074.61</v>
      </c>
      <c r="N153" s="1659">
        <v>70.819000000000003</v>
      </c>
      <c r="O153" s="1659">
        <v>48.96</v>
      </c>
    </row>
    <row r="154" spans="1:15">
      <c r="A154" s="1661" t="s">
        <v>29</v>
      </c>
      <c r="B154" s="1659">
        <v>3.6429999999999998</v>
      </c>
      <c r="C154" s="1660">
        <v>0.17699999999999999</v>
      </c>
      <c r="D154" s="1660">
        <v>0.18099999999999999</v>
      </c>
      <c r="E154" s="1659">
        <v>2516.9969999999998</v>
      </c>
      <c r="F154" s="1659">
        <v>334856.98700000002</v>
      </c>
      <c r="G154" s="1659">
        <v>2995.07</v>
      </c>
      <c r="H154" s="1659">
        <v>781434.75100000005</v>
      </c>
      <c r="I154" s="1659">
        <v>260.90699999999998</v>
      </c>
      <c r="J154" s="1659">
        <v>96.5</v>
      </c>
      <c r="K154" s="1659">
        <v>98.637</v>
      </c>
      <c r="L154" s="1659">
        <v>7832.25</v>
      </c>
      <c r="M154" s="1659">
        <v>4807.0540000000001</v>
      </c>
      <c r="N154" s="1659">
        <v>81.162999999999997</v>
      </c>
      <c r="O154" s="1659">
        <v>48.734999999999999</v>
      </c>
    </row>
    <row r="155" spans="1:15">
      <c r="A155" s="1661" t="s">
        <v>2537</v>
      </c>
      <c r="B155" s="673">
        <f t="shared" ref="B155:O155" si="8">AVERAGE(B156:B167)</f>
        <v>3.522333333333334</v>
      </c>
      <c r="C155" s="1662">
        <f t="shared" si="8"/>
        <v>0.16933333333333334</v>
      </c>
      <c r="D155" s="1662">
        <f t="shared" si="8"/>
        <v>0.17433333333333331</v>
      </c>
      <c r="E155" s="673">
        <f t="shared" si="8"/>
        <v>2795.4788333333331</v>
      </c>
      <c r="F155" s="673">
        <f t="shared" si="8"/>
        <v>298005.08566666668</v>
      </c>
      <c r="G155" s="673">
        <f t="shared" si="8"/>
        <v>2889.7921666666662</v>
      </c>
      <c r="H155" s="673">
        <f t="shared" si="8"/>
        <v>680506.56024999998</v>
      </c>
      <c r="I155" s="673">
        <f t="shared" si="8"/>
        <v>235.66783333333333</v>
      </c>
      <c r="J155" s="673">
        <f t="shared" si="8"/>
        <v>146.26024999999998</v>
      </c>
      <c r="K155" s="673">
        <f t="shared" si="8"/>
        <v>149.98183333333336</v>
      </c>
      <c r="L155" s="673">
        <f t="shared" si="8"/>
        <v>7006.041166666666</v>
      </c>
      <c r="M155" s="673">
        <f t="shared" si="8"/>
        <v>5618.1759166666661</v>
      </c>
      <c r="N155" s="673">
        <f t="shared" si="8"/>
        <v>48.776166666666661</v>
      </c>
      <c r="O155" s="673">
        <f t="shared" si="8"/>
        <v>38.138416666666672</v>
      </c>
    </row>
    <row r="156" spans="1:15">
      <c r="A156" s="1661" t="s">
        <v>18</v>
      </c>
      <c r="B156" s="1659">
        <v>3.61</v>
      </c>
      <c r="C156" s="1660">
        <v>0.17599999999999999</v>
      </c>
      <c r="D156" s="1660">
        <v>0.18</v>
      </c>
      <c r="E156" s="1659">
        <v>2155.9749999999999</v>
      </c>
      <c r="F156" s="1659">
        <v>232890.69899999999</v>
      </c>
      <c r="G156" s="1659">
        <v>2163.6439999999998</v>
      </c>
      <c r="H156" s="1659">
        <v>525537.45900000003</v>
      </c>
      <c r="I156" s="1659">
        <v>242.89500000000001</v>
      </c>
      <c r="J156" s="1659">
        <v>94.531999999999996</v>
      </c>
      <c r="K156" s="1659">
        <v>96.79</v>
      </c>
      <c r="L156" s="1659">
        <v>5145.7629999999999</v>
      </c>
      <c r="M156" s="1659">
        <v>3946.1089999999999</v>
      </c>
      <c r="N156" s="1659">
        <v>54.433999999999997</v>
      </c>
      <c r="O156" s="1659">
        <v>40.770000000000003</v>
      </c>
    </row>
    <row r="157" spans="1:15">
      <c r="A157" s="1661" t="s">
        <v>19</v>
      </c>
      <c r="B157" s="1659">
        <v>3.6019999999999999</v>
      </c>
      <c r="C157" s="1660">
        <v>0.17499999999999999</v>
      </c>
      <c r="D157" s="1660">
        <v>0.18</v>
      </c>
      <c r="E157" s="1659">
        <v>2299.1880000000001</v>
      </c>
      <c r="F157" s="1659">
        <v>264972.65500000003</v>
      </c>
      <c r="G157" s="1659">
        <v>2666.5039999999999</v>
      </c>
      <c r="H157" s="1659">
        <v>639987.26</v>
      </c>
      <c r="I157" s="1659">
        <v>240.01</v>
      </c>
      <c r="J157" s="1659">
        <v>102.149</v>
      </c>
      <c r="K157" s="1659">
        <v>104.515</v>
      </c>
      <c r="L157" s="1659">
        <v>5584.5640000000003</v>
      </c>
      <c r="M157" s="1659">
        <v>4443.1390000000001</v>
      </c>
      <c r="N157" s="1659">
        <v>54.670999999999999</v>
      </c>
      <c r="O157" s="1659">
        <v>42.512</v>
      </c>
    </row>
    <row r="158" spans="1:15">
      <c r="A158" s="1661" t="s">
        <v>20</v>
      </c>
      <c r="B158" s="1659">
        <v>3.5840000000000001</v>
      </c>
      <c r="C158" s="1660">
        <v>0.17299999999999999</v>
      </c>
      <c r="D158" s="1660">
        <v>0.17899999999999999</v>
      </c>
      <c r="E158" s="1659">
        <v>2770.3870000000002</v>
      </c>
      <c r="F158" s="1659">
        <v>313277.12400000001</v>
      </c>
      <c r="G158" s="1659">
        <v>3234.4070000000002</v>
      </c>
      <c r="H158" s="1659">
        <v>758285.11499999999</v>
      </c>
      <c r="I158" s="1659">
        <v>234.44300000000001</v>
      </c>
      <c r="J158" s="1659">
        <v>131.988</v>
      </c>
      <c r="K158" s="1659">
        <v>135.89400000000001</v>
      </c>
      <c r="L158" s="1659">
        <v>7108.3230000000003</v>
      </c>
      <c r="M158" s="1659">
        <v>6050.4639999999999</v>
      </c>
      <c r="N158" s="1659">
        <v>53.856000000000002</v>
      </c>
      <c r="O158" s="1659">
        <v>44.523000000000003</v>
      </c>
    </row>
    <row r="159" spans="1:15">
      <c r="A159" s="1661" t="s">
        <v>21</v>
      </c>
      <c r="B159" s="1659">
        <v>3.5760000000000001</v>
      </c>
      <c r="C159" s="1660">
        <v>0.17100000000000001</v>
      </c>
      <c r="D159" s="1660">
        <v>0.17599999999999999</v>
      </c>
      <c r="E159" s="1659">
        <v>2475.8270000000002</v>
      </c>
      <c r="F159" s="1659">
        <v>269713.90100000001</v>
      </c>
      <c r="G159" s="1659">
        <v>2682.1060000000002</v>
      </c>
      <c r="H159" s="1659">
        <v>629135.66899999999</v>
      </c>
      <c r="I159" s="1659">
        <v>234.56800000000001</v>
      </c>
      <c r="J159" s="1659">
        <v>125.999</v>
      </c>
      <c r="K159" s="1659">
        <v>129.25899999999999</v>
      </c>
      <c r="L159" s="1659">
        <v>6865.0569999999998</v>
      </c>
      <c r="M159" s="1659">
        <v>5412.8050000000003</v>
      </c>
      <c r="N159" s="1659">
        <v>54.484999999999999</v>
      </c>
      <c r="O159" s="1659">
        <v>41.875999999999998</v>
      </c>
    </row>
    <row r="160" spans="1:15">
      <c r="A160" s="1661" t="s">
        <v>22</v>
      </c>
      <c r="B160" s="1659">
        <v>3.5579999999999998</v>
      </c>
      <c r="C160" s="1660">
        <v>0.16900000000000001</v>
      </c>
      <c r="D160" s="1660">
        <v>0.17399999999999999</v>
      </c>
      <c r="E160" s="1659">
        <v>2570.65</v>
      </c>
      <c r="F160" s="1659">
        <v>277999.913</v>
      </c>
      <c r="G160" s="1659">
        <v>2849.9430000000002</v>
      </c>
      <c r="H160" s="1659">
        <v>666810.81599999999</v>
      </c>
      <c r="I160" s="1659">
        <v>233.97300000000001</v>
      </c>
      <c r="J160" s="1659">
        <v>127.22799999999999</v>
      </c>
      <c r="K160" s="1659">
        <v>130.435</v>
      </c>
      <c r="L160" s="1659">
        <v>6504.9030000000002</v>
      </c>
      <c r="M160" s="1659">
        <v>5380.74</v>
      </c>
      <c r="N160" s="1659">
        <v>51.128</v>
      </c>
      <c r="O160" s="1659">
        <v>41.252000000000002</v>
      </c>
    </row>
    <row r="161" spans="1:15">
      <c r="A161" s="1661" t="s">
        <v>23</v>
      </c>
      <c r="B161" s="1659">
        <v>3.5350000000000001</v>
      </c>
      <c r="C161" s="1660">
        <v>0.16800000000000001</v>
      </c>
      <c r="D161" s="1660">
        <v>0.17299999999999999</v>
      </c>
      <c r="E161" s="1659">
        <v>2686.7170000000001</v>
      </c>
      <c r="F161" s="1659">
        <v>282995.21100000001</v>
      </c>
      <c r="G161" s="1659">
        <v>2844.694</v>
      </c>
      <c r="H161" s="1659">
        <v>655642.22</v>
      </c>
      <c r="I161" s="1659">
        <v>230.47900000000001</v>
      </c>
      <c r="J161" s="1659">
        <v>144.149</v>
      </c>
      <c r="K161" s="1659">
        <v>148.56100000000001</v>
      </c>
      <c r="L161" s="1659">
        <v>6809.5169999999998</v>
      </c>
      <c r="M161" s="1659">
        <v>5611.1610000000001</v>
      </c>
      <c r="N161" s="1659">
        <v>47.24</v>
      </c>
      <c r="O161" s="1659">
        <v>37.770000000000003</v>
      </c>
    </row>
    <row r="162" spans="1:15">
      <c r="A162" s="1661" t="s">
        <v>24</v>
      </c>
      <c r="B162" s="1659">
        <v>3.512</v>
      </c>
      <c r="C162" s="1660">
        <v>0.16800000000000001</v>
      </c>
      <c r="D162" s="1660">
        <v>0.17399999999999999</v>
      </c>
      <c r="E162" s="1659">
        <v>2773.7629999999999</v>
      </c>
      <c r="F162" s="1659">
        <v>310978.13799999998</v>
      </c>
      <c r="G162" s="1659">
        <v>2979.806</v>
      </c>
      <c r="H162" s="1659">
        <v>733963.00399999996</v>
      </c>
      <c r="I162" s="1659">
        <v>246.31200000000001</v>
      </c>
      <c r="J162" s="1659">
        <v>149.745</v>
      </c>
      <c r="K162" s="1659">
        <v>154.32</v>
      </c>
      <c r="L162" s="1659">
        <v>7251.59</v>
      </c>
      <c r="M162" s="1659">
        <v>5858.5829999999996</v>
      </c>
      <c r="N162" s="1659">
        <v>48.426000000000002</v>
      </c>
      <c r="O162" s="1659">
        <v>37.963999999999999</v>
      </c>
    </row>
    <row r="163" spans="1:15">
      <c r="A163" s="1661" t="s">
        <v>25</v>
      </c>
      <c r="B163" s="1659">
        <v>3.4889999999999999</v>
      </c>
      <c r="C163" s="1660">
        <v>0.17</v>
      </c>
      <c r="D163" s="1660">
        <v>0.17499999999999999</v>
      </c>
      <c r="E163" s="1659">
        <v>2806.07</v>
      </c>
      <c r="F163" s="1659">
        <v>290470.68900000001</v>
      </c>
      <c r="G163" s="1659">
        <v>2792.9969999999998</v>
      </c>
      <c r="H163" s="1659">
        <v>649184.18599999999</v>
      </c>
      <c r="I163" s="1659">
        <v>232.43299999999999</v>
      </c>
      <c r="J163" s="1659">
        <v>158.89699999999999</v>
      </c>
      <c r="K163" s="1659">
        <v>162.96100000000001</v>
      </c>
      <c r="L163" s="1659">
        <v>7191.4740000000002</v>
      </c>
      <c r="M163" s="1659">
        <v>5772.1350000000002</v>
      </c>
      <c r="N163" s="1659">
        <v>45.259</v>
      </c>
      <c r="O163" s="1659">
        <v>35.42</v>
      </c>
    </row>
    <row r="164" spans="1:15">
      <c r="A164" s="1661" t="s">
        <v>26</v>
      </c>
      <c r="B164" s="1659">
        <v>3.4780000000000002</v>
      </c>
      <c r="C164" s="1660">
        <v>0.16500000000000001</v>
      </c>
      <c r="D164" s="1660">
        <v>0.17</v>
      </c>
      <c r="E164" s="1659">
        <v>2936.26</v>
      </c>
      <c r="F164" s="1659">
        <v>308063.592</v>
      </c>
      <c r="G164" s="1659">
        <v>2824.6410000000001</v>
      </c>
      <c r="H164" s="1659">
        <v>659357.38800000004</v>
      </c>
      <c r="I164" s="1659">
        <v>233.43100000000001</v>
      </c>
      <c r="J164" s="1659">
        <v>155.94399999999999</v>
      </c>
      <c r="K164" s="1659">
        <v>159.45500000000001</v>
      </c>
      <c r="L164" s="1659">
        <v>7089.6769999999997</v>
      </c>
      <c r="M164" s="1659">
        <v>5547.8469999999998</v>
      </c>
      <c r="N164" s="1659">
        <v>45.463000000000001</v>
      </c>
      <c r="O164" s="1659">
        <v>34.792999999999999</v>
      </c>
    </row>
    <row r="165" spans="1:15">
      <c r="A165" s="1661" t="s">
        <v>27</v>
      </c>
      <c r="B165" s="1659">
        <v>3.4590000000000001</v>
      </c>
      <c r="C165" s="1660">
        <v>0.16500000000000001</v>
      </c>
      <c r="D165" s="1660">
        <v>0.17</v>
      </c>
      <c r="E165" s="1659">
        <v>3012.27</v>
      </c>
      <c r="F165" s="1659">
        <v>309207.03499999997</v>
      </c>
      <c r="G165" s="1659">
        <v>2876.6149999999998</v>
      </c>
      <c r="H165" s="1659">
        <v>672104.97600000002</v>
      </c>
      <c r="I165" s="1659">
        <v>233.64400000000001</v>
      </c>
      <c r="J165" s="1659">
        <v>167.16</v>
      </c>
      <c r="K165" s="1659">
        <v>170.96700000000001</v>
      </c>
      <c r="L165" s="1659">
        <v>7389.6210000000001</v>
      </c>
      <c r="M165" s="1659">
        <v>5837.433</v>
      </c>
      <c r="N165" s="1659">
        <v>44.207000000000001</v>
      </c>
      <c r="O165" s="1659">
        <v>34.143999999999998</v>
      </c>
    </row>
    <row r="166" spans="1:15">
      <c r="A166" s="1661" t="s">
        <v>28</v>
      </c>
      <c r="B166" s="1659">
        <v>3.4470000000000001</v>
      </c>
      <c r="C166" s="1660">
        <v>0.16600000000000001</v>
      </c>
      <c r="D166" s="1660">
        <v>0.17100000000000001</v>
      </c>
      <c r="E166" s="1659">
        <v>3384.5149999999999</v>
      </c>
      <c r="F166" s="1659">
        <v>334247.266</v>
      </c>
      <c r="G166" s="1659">
        <v>3130.2130000000002</v>
      </c>
      <c r="H166" s="1659">
        <v>722353.35900000005</v>
      </c>
      <c r="I166" s="1659">
        <v>230.768</v>
      </c>
      <c r="J166" s="1659">
        <v>192.65799999999999</v>
      </c>
      <c r="K166" s="1659">
        <v>197.238</v>
      </c>
      <c r="L166" s="1659">
        <v>8009.9229999999998</v>
      </c>
      <c r="M166" s="1659">
        <v>6414.9390000000003</v>
      </c>
      <c r="N166" s="1659">
        <v>41.576000000000001</v>
      </c>
      <c r="O166" s="1659">
        <v>32.524000000000001</v>
      </c>
    </row>
    <row r="167" spans="1:15">
      <c r="A167" s="1661" t="s">
        <v>29</v>
      </c>
      <c r="B167" s="1659">
        <v>3.4180000000000001</v>
      </c>
      <c r="C167" s="1660">
        <v>0.16600000000000001</v>
      </c>
      <c r="D167" s="1660">
        <v>0.17</v>
      </c>
      <c r="E167" s="1659">
        <v>3674.1239999999998</v>
      </c>
      <c r="F167" s="1659">
        <v>381244.80499999999</v>
      </c>
      <c r="G167" s="1659">
        <v>3631.9360000000001</v>
      </c>
      <c r="H167" s="1659">
        <v>853717.27099999995</v>
      </c>
      <c r="I167" s="1659">
        <v>235.05799999999999</v>
      </c>
      <c r="J167" s="1659">
        <v>204.67400000000001</v>
      </c>
      <c r="K167" s="1659">
        <v>209.387</v>
      </c>
      <c r="L167" s="1659">
        <v>9122.0820000000003</v>
      </c>
      <c r="M167" s="1659">
        <v>7142.7560000000003</v>
      </c>
      <c r="N167" s="1659">
        <v>44.569000000000003</v>
      </c>
      <c r="O167" s="1659">
        <v>34.113</v>
      </c>
    </row>
    <row r="168" spans="1:15">
      <c r="A168" s="1661" t="s">
        <v>2827</v>
      </c>
      <c r="B168" s="673">
        <f t="shared" ref="B168:O168" si="9">AVERAGE(B169:B180)</f>
        <v>3.3787499999999997</v>
      </c>
      <c r="C168" s="1662">
        <f t="shared" si="9"/>
        <v>0.14458333333333337</v>
      </c>
      <c r="D168" s="1662">
        <f t="shared" si="9"/>
        <v>0.14824999999999999</v>
      </c>
      <c r="E168" s="673">
        <f t="shared" si="9"/>
        <v>4192.1573333333336</v>
      </c>
      <c r="F168" s="673">
        <f t="shared" si="9"/>
        <v>384286.29725</v>
      </c>
      <c r="G168" s="673">
        <f t="shared" si="9"/>
        <v>3551.9205000000002</v>
      </c>
      <c r="H168" s="673">
        <f t="shared" si="9"/>
        <v>842997.35375000013</v>
      </c>
      <c r="I168" s="673">
        <f t="shared" si="9"/>
        <v>236.96275</v>
      </c>
      <c r="J168" s="673">
        <f t="shared" si="9"/>
        <v>232.36483333333334</v>
      </c>
      <c r="K168" s="673">
        <f t="shared" si="9"/>
        <v>238.07666666666668</v>
      </c>
      <c r="L168" s="673">
        <f t="shared" si="9"/>
        <v>8606.4674166666664</v>
      </c>
      <c r="M168" s="673">
        <f t="shared" si="9"/>
        <v>6958.845166666666</v>
      </c>
      <c r="N168" s="673">
        <f t="shared" si="9"/>
        <v>37.219500000000004</v>
      </c>
      <c r="O168" s="673">
        <f t="shared" si="9"/>
        <v>29.348749999999999</v>
      </c>
    </row>
    <row r="169" spans="1:15">
      <c r="A169" s="1661" t="s">
        <v>18</v>
      </c>
      <c r="B169" s="1659">
        <v>3.4049999999999998</v>
      </c>
      <c r="C169" s="1660">
        <v>0.16500000000000001</v>
      </c>
      <c r="D169" s="1660">
        <v>0.16900000000000001</v>
      </c>
      <c r="E169" s="1659">
        <v>3282.5369999999998</v>
      </c>
      <c r="F169" s="1659">
        <v>298560.01199999999</v>
      </c>
      <c r="G169" s="1659">
        <v>2852.712</v>
      </c>
      <c r="H169" s="1659">
        <v>637080.55200000003</v>
      </c>
      <c r="I169" s="1659">
        <v>223.32499999999999</v>
      </c>
      <c r="J169" s="1659">
        <v>200.80199999999999</v>
      </c>
      <c r="K169" s="1659">
        <v>205.47499999999999</v>
      </c>
      <c r="L169" s="1659">
        <v>7776.6570000000002</v>
      </c>
      <c r="M169" s="1659">
        <v>6385.9960000000001</v>
      </c>
      <c r="N169" s="1659">
        <v>38.728000000000002</v>
      </c>
      <c r="O169" s="1659">
        <v>31.079000000000001</v>
      </c>
    </row>
    <row r="170" spans="1:15">
      <c r="A170" s="1661" t="s">
        <v>19</v>
      </c>
      <c r="B170" s="1659">
        <v>3.3940000000000001</v>
      </c>
      <c r="C170" s="1660">
        <v>0.16</v>
      </c>
      <c r="D170" s="1660">
        <v>0.16400000000000001</v>
      </c>
      <c r="E170" s="1659">
        <v>3327.4670000000001</v>
      </c>
      <c r="F170" s="1659">
        <v>322226.55800000002</v>
      </c>
      <c r="G170" s="1659">
        <v>3128.9960000000001</v>
      </c>
      <c r="H170" s="1659">
        <v>735208.75</v>
      </c>
      <c r="I170" s="1659">
        <v>234.96600000000001</v>
      </c>
      <c r="J170" s="1659">
        <v>195.36799999999999</v>
      </c>
      <c r="K170" s="1659">
        <v>199.785</v>
      </c>
      <c r="L170" s="1659">
        <v>7172.8249999999998</v>
      </c>
      <c r="M170" s="1659">
        <v>5843.6440000000002</v>
      </c>
      <c r="N170" s="1659">
        <v>36.713999999999999</v>
      </c>
      <c r="O170" s="1659">
        <v>29.25</v>
      </c>
    </row>
    <row r="171" spans="1:15">
      <c r="A171" s="1661" t="s">
        <v>20</v>
      </c>
      <c r="B171" s="1659">
        <v>3.3919999999999999</v>
      </c>
      <c r="C171" s="1660">
        <v>0.153</v>
      </c>
      <c r="D171" s="1660">
        <v>0.156</v>
      </c>
      <c r="E171" s="1659">
        <v>3923.9169999999999</v>
      </c>
      <c r="F171" s="1659">
        <v>366630.03399999999</v>
      </c>
      <c r="G171" s="1659">
        <v>3605.634</v>
      </c>
      <c r="H171" s="1659">
        <v>822936.95600000001</v>
      </c>
      <c r="I171" s="1659">
        <v>228.23599999999999</v>
      </c>
      <c r="J171" s="1659">
        <v>204.292</v>
      </c>
      <c r="K171" s="1659">
        <v>208.56399999999999</v>
      </c>
      <c r="L171" s="1659">
        <v>8375.5259999999998</v>
      </c>
      <c r="M171" s="1659">
        <v>6811.29</v>
      </c>
      <c r="N171" s="1659">
        <v>40.997999999999998</v>
      </c>
      <c r="O171" s="1659">
        <v>32.658000000000001</v>
      </c>
    </row>
    <row r="172" spans="1:15">
      <c r="A172" s="1661" t="s">
        <v>21</v>
      </c>
      <c r="B172" s="1659">
        <v>3.3940000000000001</v>
      </c>
      <c r="C172" s="1660">
        <v>0.14899999999999999</v>
      </c>
      <c r="D172" s="1660">
        <v>0.152</v>
      </c>
      <c r="E172" s="1659">
        <v>3694.6329999999998</v>
      </c>
      <c r="F172" s="1659">
        <v>344493.353</v>
      </c>
      <c r="G172" s="1659">
        <v>3274.1750000000002</v>
      </c>
      <c r="H172" s="1659">
        <v>758997.64099999995</v>
      </c>
      <c r="I172" s="1659">
        <v>231.81299999999999</v>
      </c>
      <c r="J172" s="1659">
        <v>191.02199999999999</v>
      </c>
      <c r="K172" s="1659">
        <v>194.77600000000001</v>
      </c>
      <c r="L172" s="1659">
        <v>7537.9179999999997</v>
      </c>
      <c r="M172" s="1659">
        <v>5796.9319999999998</v>
      </c>
      <c r="N172" s="1659">
        <v>39.460999999999999</v>
      </c>
      <c r="O172" s="1659">
        <v>29.762</v>
      </c>
    </row>
    <row r="173" spans="1:15">
      <c r="A173" s="1661" t="s">
        <v>22</v>
      </c>
      <c r="B173" s="1659">
        <v>3.3959999999999999</v>
      </c>
      <c r="C173" s="1660">
        <v>0.14699999999999999</v>
      </c>
      <c r="D173" s="1660">
        <v>0.151</v>
      </c>
      <c r="E173" s="1659">
        <v>4060.9850000000001</v>
      </c>
      <c r="F173" s="1659">
        <v>369678.16399999999</v>
      </c>
      <c r="G173" s="1659">
        <v>3616.2919999999999</v>
      </c>
      <c r="H173" s="1659">
        <v>816240.87899999996</v>
      </c>
      <c r="I173" s="1659">
        <v>225.71199999999999</v>
      </c>
      <c r="J173" s="1659">
        <v>211.471</v>
      </c>
      <c r="K173" s="1659">
        <v>217.179</v>
      </c>
      <c r="L173" s="1659">
        <v>7993.9629999999997</v>
      </c>
      <c r="M173" s="1659">
        <v>6471.4059999999999</v>
      </c>
      <c r="N173" s="1659">
        <v>37.802</v>
      </c>
      <c r="O173" s="1659">
        <v>29.797999999999998</v>
      </c>
    </row>
    <row r="174" spans="1:15">
      <c r="A174" s="1661" t="s">
        <v>23</v>
      </c>
      <c r="B174" s="1659">
        <v>3.395</v>
      </c>
      <c r="C174" s="1660">
        <v>0.14399999999999999</v>
      </c>
      <c r="D174" s="1660">
        <v>0.14799999999999999</v>
      </c>
      <c r="E174" s="1659">
        <v>4196.3239999999996</v>
      </c>
      <c r="F174" s="1659">
        <v>399815.61599999998</v>
      </c>
      <c r="G174" s="1659">
        <v>3611.9870000000001</v>
      </c>
      <c r="H174" s="1659">
        <v>893213.66099999996</v>
      </c>
      <c r="I174" s="1659">
        <v>247.291</v>
      </c>
      <c r="J174" s="1659">
        <v>234.077</v>
      </c>
      <c r="K174" s="1659">
        <v>239.73</v>
      </c>
      <c r="L174" s="1659">
        <v>8784.4439999999995</v>
      </c>
      <c r="M174" s="1659">
        <v>7019.3149999999996</v>
      </c>
      <c r="N174" s="1659">
        <v>37.527999999999999</v>
      </c>
      <c r="O174" s="1659">
        <v>29.28</v>
      </c>
    </row>
    <row r="175" spans="1:15">
      <c r="A175" s="1661" t="s">
        <v>24</v>
      </c>
      <c r="B175" s="1659">
        <v>3.3849999999999998</v>
      </c>
      <c r="C175" s="972">
        <v>0.14399999999999999</v>
      </c>
      <c r="D175" s="1660">
        <v>0.14699999999999999</v>
      </c>
      <c r="E175" s="1659">
        <v>4077.95</v>
      </c>
      <c r="F175" s="1659">
        <v>400457.91499999998</v>
      </c>
      <c r="G175" s="1659">
        <v>3513.8449999999998</v>
      </c>
      <c r="H175" s="1659">
        <v>906436.23499999999</v>
      </c>
      <c r="I175" s="1659">
        <v>257.96100000000001</v>
      </c>
      <c r="J175" s="1659">
        <v>225.047</v>
      </c>
      <c r="K175" s="1659">
        <v>230.47399999999999</v>
      </c>
      <c r="L175" s="1659">
        <v>8466.3709999999992</v>
      </c>
      <c r="M175" s="1659">
        <v>6757.6980000000003</v>
      </c>
      <c r="N175" s="1659">
        <v>37.619999999999997</v>
      </c>
      <c r="O175" s="1659">
        <v>29.321000000000002</v>
      </c>
    </row>
    <row r="176" spans="1:15">
      <c r="A176" s="1661" t="s">
        <v>25</v>
      </c>
      <c r="B176" s="1659">
        <v>3.3690000000000002</v>
      </c>
      <c r="C176" s="972">
        <v>0.14099999999999999</v>
      </c>
      <c r="D176" s="1660">
        <v>0.14499999999999999</v>
      </c>
      <c r="E176" s="1659">
        <v>4431.9549999999999</v>
      </c>
      <c r="F176" s="1659">
        <v>404804.58100000001</v>
      </c>
      <c r="G176" s="1659">
        <v>3599.2660000000001</v>
      </c>
      <c r="H176" s="1659">
        <v>861493.75300000003</v>
      </c>
      <c r="I176" s="1659">
        <v>239.35300000000001</v>
      </c>
      <c r="J176" s="1659">
        <v>256.96199999999999</v>
      </c>
      <c r="K176" s="1659">
        <v>263.49200000000002</v>
      </c>
      <c r="L176" s="1659">
        <v>9278.1540000000005</v>
      </c>
      <c r="M176" s="1659">
        <v>7436.6880000000001</v>
      </c>
      <c r="N176" s="1659">
        <v>36.106999999999999</v>
      </c>
      <c r="O176" s="1659">
        <v>28.224</v>
      </c>
    </row>
    <row r="177" spans="1:15">
      <c r="A177" s="1661" t="s">
        <v>26</v>
      </c>
      <c r="B177" s="1659">
        <v>3.367</v>
      </c>
      <c r="C177" s="972">
        <v>0.13700000000000001</v>
      </c>
      <c r="D177" s="1660">
        <v>0.14099999999999999</v>
      </c>
      <c r="E177" s="1659">
        <v>4426.4629999999997</v>
      </c>
      <c r="F177" s="1659">
        <v>393349.89399999997</v>
      </c>
      <c r="G177" s="1659">
        <v>3524.17</v>
      </c>
      <c r="H177" s="1659">
        <v>839955.05799999996</v>
      </c>
      <c r="I177" s="1659">
        <v>238.34100000000001</v>
      </c>
      <c r="J177" s="1659">
        <v>252.148</v>
      </c>
      <c r="K177" s="1659">
        <v>258.59699999999998</v>
      </c>
      <c r="L177" s="1659">
        <v>8823.223</v>
      </c>
      <c r="M177" s="1659">
        <v>7004.4319999999998</v>
      </c>
      <c r="N177" s="1659">
        <v>34.991999999999997</v>
      </c>
      <c r="O177" s="1659">
        <v>27.085999999999999</v>
      </c>
    </row>
    <row r="178" spans="1:15">
      <c r="A178" s="1661" t="s">
        <v>27</v>
      </c>
      <c r="B178" s="1659">
        <v>3.3650000000000002</v>
      </c>
      <c r="C178" s="972">
        <v>0.13500000000000001</v>
      </c>
      <c r="D178" s="1660">
        <v>0.13900000000000001</v>
      </c>
      <c r="E178" s="1659">
        <v>4653.1679999999997</v>
      </c>
      <c r="F178" s="1659">
        <v>408922.64899999998</v>
      </c>
      <c r="G178" s="1659">
        <v>3833.3470000000002</v>
      </c>
      <c r="H178" s="1659">
        <v>913016.98699999996</v>
      </c>
      <c r="I178" s="1659">
        <v>238.17699999999999</v>
      </c>
      <c r="J178" s="1659">
        <v>259.67899999999997</v>
      </c>
      <c r="K178" s="1659">
        <v>266.45699999999999</v>
      </c>
      <c r="L178" s="1659">
        <v>9140.3590000000004</v>
      </c>
      <c r="M178" s="1659">
        <v>7474.1229999999996</v>
      </c>
      <c r="N178" s="1659">
        <v>35.198999999999998</v>
      </c>
      <c r="O178" s="1659">
        <v>28.05</v>
      </c>
    </row>
    <row r="179" spans="1:15">
      <c r="A179" s="1661" t="s">
        <v>28</v>
      </c>
      <c r="B179" s="1659">
        <v>3.3530000000000002</v>
      </c>
      <c r="C179" s="972">
        <v>0.13200000000000001</v>
      </c>
      <c r="D179" s="1660">
        <v>0.13500000000000001</v>
      </c>
      <c r="E179" s="1659">
        <v>4887.18</v>
      </c>
      <c r="F179" s="1659">
        <v>417519.02500000002</v>
      </c>
      <c r="G179" s="1659">
        <v>3768.4430000000002</v>
      </c>
      <c r="H179" s="1659">
        <v>880603.55599999998</v>
      </c>
      <c r="I179" s="1659">
        <v>233.678</v>
      </c>
      <c r="J179" s="1659">
        <v>272.71499999999997</v>
      </c>
      <c r="K179" s="1659">
        <v>279.72199999999998</v>
      </c>
      <c r="L179" s="1659">
        <v>9716.1959999999999</v>
      </c>
      <c r="M179" s="1659">
        <v>8117.7830000000004</v>
      </c>
      <c r="N179" s="1659">
        <v>35.628</v>
      </c>
      <c r="O179" s="1659">
        <v>29.021000000000001</v>
      </c>
    </row>
    <row r="180" spans="1:15">
      <c r="A180" s="1661" t="s">
        <v>29</v>
      </c>
      <c r="B180" s="1659">
        <v>3.33</v>
      </c>
      <c r="C180" s="972">
        <v>0.128</v>
      </c>
      <c r="D180" s="1660">
        <v>0.13200000000000001</v>
      </c>
      <c r="E180" s="1659">
        <v>5343.3090000000002</v>
      </c>
      <c r="F180" s="1659">
        <v>484977.766</v>
      </c>
      <c r="G180" s="1659">
        <v>4294.1790000000001</v>
      </c>
      <c r="H180" s="1659">
        <v>1050784.2169999999</v>
      </c>
      <c r="I180" s="1659">
        <v>244.7</v>
      </c>
      <c r="J180" s="1659">
        <v>284.79500000000002</v>
      </c>
      <c r="K180" s="1659">
        <v>292.66899999999998</v>
      </c>
      <c r="L180" s="1659">
        <v>10211.973</v>
      </c>
      <c r="M180" s="1659">
        <v>8386.8349999999991</v>
      </c>
      <c r="N180" s="1659">
        <v>35.856999999999999</v>
      </c>
      <c r="O180" s="1659">
        <v>28.655999999999999</v>
      </c>
    </row>
    <row r="181" spans="1:15">
      <c r="A181" s="1661" t="s">
        <v>3518</v>
      </c>
      <c r="B181" s="673">
        <f>AVERAGE(B182:B193)</f>
        <v>3.2964166666666661</v>
      </c>
      <c r="C181" s="1662">
        <f t="shared" ref="C181:O181" si="10">AVERAGE(C182:C193)</f>
        <v>0.12425000000000004</v>
      </c>
      <c r="D181" s="1662">
        <f t="shared" si="10"/>
        <v>0.12808333333333335</v>
      </c>
      <c r="E181" s="673">
        <f t="shared" si="10"/>
        <v>6532.3792500000009</v>
      </c>
      <c r="F181" s="673">
        <f t="shared" si="10"/>
        <v>496061.46533333341</v>
      </c>
      <c r="G181" s="673">
        <f t="shared" si="10"/>
        <v>4377.1187499999996</v>
      </c>
      <c r="H181" s="673">
        <f t="shared" si="10"/>
        <v>1003396.5681666667</v>
      </c>
      <c r="I181" s="673">
        <f t="shared" si="10"/>
        <v>229.06874999999999</v>
      </c>
      <c r="J181" s="673">
        <f t="shared" si="10"/>
        <v>424.16974999999996</v>
      </c>
      <c r="K181" s="673">
        <f t="shared" si="10"/>
        <v>437.53783333333331</v>
      </c>
      <c r="L181" s="673">
        <f t="shared" si="10"/>
        <v>11885.536666666667</v>
      </c>
      <c r="M181" s="673">
        <f t="shared" si="10"/>
        <v>10286.862833333333</v>
      </c>
      <c r="N181" s="673">
        <f t="shared" si="10"/>
        <v>28.313083333333335</v>
      </c>
      <c r="O181" s="673">
        <f t="shared" si="10"/>
        <v>23.747416666666666</v>
      </c>
    </row>
    <row r="182" spans="1:15">
      <c r="A182" s="1661" t="s">
        <v>18</v>
      </c>
      <c r="B182" s="1659">
        <v>3.2909999999999999</v>
      </c>
      <c r="C182" s="972">
        <v>0.127</v>
      </c>
      <c r="D182" s="1660">
        <v>0.13</v>
      </c>
      <c r="E182" s="1659">
        <v>5103.4340000000002</v>
      </c>
      <c r="F182" s="1659">
        <v>385038.16100000002</v>
      </c>
      <c r="G182" s="1659">
        <v>3478.3159999999998</v>
      </c>
      <c r="H182" s="1659">
        <v>749111.83200000005</v>
      </c>
      <c r="I182" s="1659">
        <v>215.36600000000001</v>
      </c>
      <c r="J182" s="1659">
        <v>303.10199999999998</v>
      </c>
      <c r="K182" s="1659">
        <v>311.67</v>
      </c>
      <c r="L182" s="1659">
        <v>9304.6170000000002</v>
      </c>
      <c r="M182" s="1659">
        <v>8083.7179999999998</v>
      </c>
      <c r="N182" s="1659">
        <v>30.698</v>
      </c>
      <c r="O182" s="1659">
        <v>25.937000000000001</v>
      </c>
    </row>
    <row r="183" spans="1:15">
      <c r="A183" s="1661" t="s">
        <v>19</v>
      </c>
      <c r="B183" s="1659">
        <v>3.2959999999999998</v>
      </c>
      <c r="C183" s="972">
        <v>0.128</v>
      </c>
      <c r="D183" s="1660">
        <v>0.13200000000000001</v>
      </c>
      <c r="E183" s="1659">
        <v>5198.2309999999998</v>
      </c>
      <c r="F183" s="1659">
        <v>432891.054</v>
      </c>
      <c r="G183" s="1659">
        <v>3851.0610000000001</v>
      </c>
      <c r="H183" s="1659">
        <v>919203.24699999997</v>
      </c>
      <c r="I183" s="1659">
        <v>238.68799999999999</v>
      </c>
      <c r="J183" s="1659">
        <v>304.27199999999999</v>
      </c>
      <c r="K183" s="1659">
        <v>313.14400000000001</v>
      </c>
      <c r="L183" s="1659">
        <v>9546.348</v>
      </c>
      <c r="M183" s="1659">
        <v>8097.34</v>
      </c>
      <c r="N183" s="1659">
        <v>31.373999999999999</v>
      </c>
      <c r="O183" s="1659">
        <v>25.858000000000001</v>
      </c>
    </row>
    <row r="184" spans="1:15">
      <c r="A184" s="1661" t="s">
        <v>20</v>
      </c>
      <c r="B184" s="1659">
        <v>3.3039999999999998</v>
      </c>
      <c r="C184" s="972">
        <v>0.126</v>
      </c>
      <c r="D184" s="1660">
        <v>0.129</v>
      </c>
      <c r="E184" s="1659">
        <v>6049.55</v>
      </c>
      <c r="F184" s="1659">
        <v>491658.08600000001</v>
      </c>
      <c r="G184" s="1659">
        <v>4437.2569999999996</v>
      </c>
      <c r="H184" s="1659">
        <v>1024050.81</v>
      </c>
      <c r="I184" s="1659">
        <v>230.785</v>
      </c>
      <c r="J184" s="1659">
        <v>364.30799999999999</v>
      </c>
      <c r="K184" s="1659">
        <v>374.81200000000001</v>
      </c>
      <c r="L184" s="1659">
        <v>11301.66</v>
      </c>
      <c r="M184" s="1659">
        <v>9816.3610000000008</v>
      </c>
      <c r="N184" s="1659">
        <v>31.021999999999998</v>
      </c>
      <c r="O184" s="1659">
        <v>26.19</v>
      </c>
    </row>
    <row r="185" spans="1:15">
      <c r="A185" s="1661" t="s">
        <v>21</v>
      </c>
      <c r="B185" s="1659">
        <v>3.3039999999999998</v>
      </c>
      <c r="C185" s="972">
        <v>0.126</v>
      </c>
      <c r="D185" s="1660">
        <v>0.129</v>
      </c>
      <c r="E185" s="1659">
        <v>5616.2129999999997</v>
      </c>
      <c r="F185" s="1659">
        <v>437463.58299999998</v>
      </c>
      <c r="G185" s="1659">
        <v>3969.248</v>
      </c>
      <c r="H185" s="1659">
        <v>901542.88100000005</v>
      </c>
      <c r="I185" s="1659">
        <v>227.13200000000001</v>
      </c>
      <c r="J185" s="1659">
        <v>345.19600000000003</v>
      </c>
      <c r="K185" s="1659">
        <v>355.34100000000001</v>
      </c>
      <c r="L185" s="1659">
        <v>10116.566999999999</v>
      </c>
      <c r="M185" s="1659">
        <v>8652.0419999999995</v>
      </c>
      <c r="N185" s="1659">
        <v>29.306999999999999</v>
      </c>
      <c r="O185" s="1659">
        <v>24.349</v>
      </c>
    </row>
    <row r="186" spans="1:15">
      <c r="A186" s="1661" t="s">
        <v>22</v>
      </c>
      <c r="B186" s="1659">
        <v>3.3039999999999998</v>
      </c>
      <c r="C186" s="972">
        <v>0.126</v>
      </c>
      <c r="D186" s="1660">
        <v>0.129</v>
      </c>
      <c r="E186" s="1659">
        <v>6771.2849999999999</v>
      </c>
      <c r="F186" s="1659">
        <v>512305.48800000001</v>
      </c>
      <c r="G186" s="1659">
        <v>4688.777</v>
      </c>
      <c r="H186" s="1659">
        <v>1041175.921</v>
      </c>
      <c r="I186" s="1659">
        <v>222.05699999999999</v>
      </c>
      <c r="J186" s="1659">
        <v>431.05</v>
      </c>
      <c r="K186" s="1659">
        <v>443.68200000000002</v>
      </c>
      <c r="L186" s="1659">
        <v>12239.073</v>
      </c>
      <c r="M186" s="1659">
        <v>10581.99</v>
      </c>
      <c r="N186" s="1659">
        <v>28.393999999999998</v>
      </c>
      <c r="O186" s="1659">
        <v>23.85</v>
      </c>
    </row>
    <row r="187" spans="1:15">
      <c r="A187" s="1661" t="s">
        <v>23</v>
      </c>
      <c r="B187" s="1659">
        <v>3.294</v>
      </c>
      <c r="C187" s="972">
        <v>0.124</v>
      </c>
      <c r="D187" s="1660">
        <v>0.128</v>
      </c>
      <c r="E187" s="1659">
        <v>5924.5450000000001</v>
      </c>
      <c r="F187" s="1659">
        <v>464899.14</v>
      </c>
      <c r="G187" s="1659">
        <v>4085.5349999999999</v>
      </c>
      <c r="H187" s="1659">
        <v>969805.47400000005</v>
      </c>
      <c r="I187" s="1659">
        <v>237.375</v>
      </c>
      <c r="J187" s="1659">
        <v>389.005</v>
      </c>
      <c r="K187" s="1659">
        <v>400.79700000000003</v>
      </c>
      <c r="L187" s="1659">
        <v>10996.956</v>
      </c>
      <c r="M187" s="1659">
        <v>9471.1329999999998</v>
      </c>
      <c r="N187" s="1659">
        <v>28.268999999999998</v>
      </c>
      <c r="O187" s="1659">
        <v>23.631</v>
      </c>
    </row>
    <row r="188" spans="1:15">
      <c r="A188" s="1661" t="s">
        <v>24</v>
      </c>
      <c r="B188" s="1659">
        <v>3.294</v>
      </c>
      <c r="C188" s="972">
        <v>0.124</v>
      </c>
      <c r="D188" s="1660">
        <v>0.128</v>
      </c>
      <c r="E188" s="1659">
        <v>7294.8819999999996</v>
      </c>
      <c r="F188" s="1659">
        <v>551354.95600000001</v>
      </c>
      <c r="G188" s="1659">
        <v>4811.1940000000004</v>
      </c>
      <c r="H188" s="1659">
        <v>1110804.8130000001</v>
      </c>
      <c r="I188" s="1659">
        <v>230.87899999999999</v>
      </c>
      <c r="J188" s="1659">
        <v>492.43900000000002</v>
      </c>
      <c r="K188" s="1659">
        <v>507.26299999999998</v>
      </c>
      <c r="L188" s="1659">
        <v>13543.364</v>
      </c>
      <c r="M188" s="1659">
        <v>11969.558999999999</v>
      </c>
      <c r="N188" s="1659">
        <v>27.503</v>
      </c>
      <c r="O188" s="1659">
        <v>23.596</v>
      </c>
    </row>
    <row r="189" spans="1:15">
      <c r="A189" s="1661" t="s">
        <v>25</v>
      </c>
      <c r="B189" s="1659">
        <v>3.294</v>
      </c>
      <c r="C189" s="972">
        <v>0.13</v>
      </c>
      <c r="D189" s="1660">
        <v>0.128</v>
      </c>
      <c r="E189" s="1659">
        <v>7009.7839999999997</v>
      </c>
      <c r="F189" s="1659">
        <v>516827.81599999999</v>
      </c>
      <c r="G189" s="1659">
        <v>4351.4089999999997</v>
      </c>
      <c r="H189" s="1659">
        <v>997486.36699999997</v>
      </c>
      <c r="I189" s="1659">
        <v>229.233</v>
      </c>
      <c r="J189" s="1659">
        <v>503.56</v>
      </c>
      <c r="K189" s="1659">
        <v>520.79300000000001</v>
      </c>
      <c r="L189" s="1659">
        <v>13119.11</v>
      </c>
      <c r="M189" s="1659">
        <v>11537.877</v>
      </c>
      <c r="N189" s="1659">
        <v>26.053000000000001</v>
      </c>
      <c r="O189" s="1659">
        <v>22.154</v>
      </c>
    </row>
    <row r="190" spans="1:15">
      <c r="A190" s="1661" t="s">
        <v>26</v>
      </c>
      <c r="B190" s="1659">
        <v>3.294</v>
      </c>
      <c r="C190" s="972">
        <v>0.12</v>
      </c>
      <c r="D190" s="1660">
        <v>0.128</v>
      </c>
      <c r="E190" s="1659">
        <v>6712.7139999999999</v>
      </c>
      <c r="F190" s="1659">
        <v>490310.766</v>
      </c>
      <c r="G190" s="1659">
        <v>4234.3680000000004</v>
      </c>
      <c r="H190" s="1659">
        <v>968456.85</v>
      </c>
      <c r="I190" s="1659">
        <v>228.71299999999999</v>
      </c>
      <c r="J190" s="1659">
        <v>462.834</v>
      </c>
      <c r="K190" s="1659">
        <v>478.81200000000001</v>
      </c>
      <c r="L190" s="1659">
        <v>11929.569</v>
      </c>
      <c r="M190" s="1659">
        <v>10490.868</v>
      </c>
      <c r="N190" s="1659">
        <v>25.774999999999999</v>
      </c>
      <c r="O190" s="1659">
        <v>21.91</v>
      </c>
    </row>
    <row r="191" spans="1:15">
      <c r="A191" s="1661" t="s">
        <v>27</v>
      </c>
      <c r="B191" s="1659">
        <v>3.294</v>
      </c>
      <c r="C191" s="972">
        <v>0.12</v>
      </c>
      <c r="D191" s="1660">
        <v>0.128</v>
      </c>
      <c r="E191" s="1659">
        <v>7449.5680000000002</v>
      </c>
      <c r="F191" s="1659">
        <v>544721.34499999997</v>
      </c>
      <c r="G191" s="1659">
        <v>4933.3419999999996</v>
      </c>
      <c r="H191" s="1659">
        <v>1095331.68</v>
      </c>
      <c r="I191" s="1659">
        <v>222.02600000000001</v>
      </c>
      <c r="J191" s="1659">
        <v>496.35199999999998</v>
      </c>
      <c r="K191" s="1659">
        <v>513.17499999999995</v>
      </c>
      <c r="L191" s="1659">
        <v>12782.322</v>
      </c>
      <c r="M191" s="1659">
        <v>11295.735000000001</v>
      </c>
      <c r="N191" s="1659">
        <v>25.753</v>
      </c>
      <c r="O191" s="1659">
        <v>22.010999999999999</v>
      </c>
    </row>
    <row r="192" spans="1:15">
      <c r="A192" s="1661" t="s">
        <v>28</v>
      </c>
      <c r="B192" s="1659">
        <v>3.294</v>
      </c>
      <c r="C192" s="972">
        <v>0.12</v>
      </c>
      <c r="D192" s="1660">
        <v>0.128</v>
      </c>
      <c r="E192" s="1659">
        <v>7326.598</v>
      </c>
      <c r="F192" s="1659">
        <v>527343.46200000006</v>
      </c>
      <c r="G192" s="1659">
        <v>4550.88</v>
      </c>
      <c r="H192" s="1659">
        <v>1027033.574</v>
      </c>
      <c r="I192" s="1659">
        <v>225.678</v>
      </c>
      <c r="J192" s="1659">
        <v>499.529</v>
      </c>
      <c r="K192" s="1659">
        <v>516.28200000000004</v>
      </c>
      <c r="L192" s="1659">
        <v>13928.794</v>
      </c>
      <c r="M192" s="1659">
        <v>11639.204</v>
      </c>
      <c r="N192" s="1659">
        <v>27.884</v>
      </c>
      <c r="O192" s="1659">
        <v>22.544</v>
      </c>
    </row>
    <row r="193" spans="1:15">
      <c r="A193" s="1661" t="s">
        <v>29</v>
      </c>
      <c r="B193" s="1659">
        <v>3.294</v>
      </c>
      <c r="C193" s="972">
        <v>0.12</v>
      </c>
      <c r="D193" s="1660">
        <v>0.12</v>
      </c>
      <c r="E193" s="1659">
        <v>7931.7470000000003</v>
      </c>
      <c r="F193" s="1659">
        <v>597923.72699999996</v>
      </c>
      <c r="G193" s="1659">
        <v>5134.0379999999996</v>
      </c>
      <c r="H193" s="1659">
        <v>1236755.3689999999</v>
      </c>
      <c r="I193" s="1659">
        <v>240.893</v>
      </c>
      <c r="J193" s="1659">
        <v>498.39</v>
      </c>
      <c r="K193" s="1659">
        <v>514.68299999999999</v>
      </c>
      <c r="L193" s="1659">
        <v>13818.06</v>
      </c>
      <c r="M193" s="1659">
        <v>11806.527</v>
      </c>
      <c r="N193" s="1659">
        <v>27.725000000000001</v>
      </c>
      <c r="O193" s="1659">
        <v>22.939</v>
      </c>
    </row>
    <row r="194" spans="1:15">
      <c r="A194" s="1661" t="s">
        <v>3989</v>
      </c>
      <c r="B194" s="673">
        <f>AVERAGE(B195:B206)</f>
        <v>3.2070833333333333</v>
      </c>
      <c r="C194" s="1662">
        <f t="shared" ref="C194:O194" si="11">AVERAGE(C195:C206)</f>
        <v>0.10358333333333332</v>
      </c>
      <c r="D194" s="1662">
        <f t="shared" si="11"/>
        <v>0.10641666666666666</v>
      </c>
      <c r="E194" s="673">
        <f t="shared" si="11"/>
        <v>8605.5454166666677</v>
      </c>
      <c r="F194" s="673">
        <f t="shared" si="11"/>
        <v>572129.67299999995</v>
      </c>
      <c r="G194" s="673">
        <f t="shared" si="11"/>
        <v>4630.4988333333331</v>
      </c>
      <c r="H194" s="673">
        <f>AVERAGE(H195:H206)</f>
        <v>1092008.1786666668</v>
      </c>
      <c r="I194" s="673">
        <f t="shared" si="11"/>
        <v>235.64975000000001</v>
      </c>
      <c r="J194" s="673">
        <f t="shared" si="11"/>
        <v>518.86741666666671</v>
      </c>
      <c r="K194" s="673">
        <f t="shared" si="11"/>
        <v>533.49675000000013</v>
      </c>
      <c r="L194" s="673">
        <f t="shared" si="11"/>
        <v>12067.258583333334</v>
      </c>
      <c r="M194" s="673">
        <f t="shared" si="11"/>
        <v>10549.74325</v>
      </c>
      <c r="N194" s="673">
        <f t="shared" si="11"/>
        <v>23.305083333333332</v>
      </c>
      <c r="O194" s="673">
        <f t="shared" si="11"/>
        <v>19.811499999999999</v>
      </c>
    </row>
    <row r="195" spans="1:15">
      <c r="A195" s="1661" t="s">
        <v>18</v>
      </c>
      <c r="B195" s="1659">
        <v>3.294</v>
      </c>
      <c r="C195" s="972">
        <v>0.12</v>
      </c>
      <c r="D195" s="1660">
        <v>0.12</v>
      </c>
      <c r="E195" s="1659">
        <v>7425.5259999999998</v>
      </c>
      <c r="F195" s="1659">
        <v>478608.35800000001</v>
      </c>
      <c r="G195" s="1659">
        <v>4206.4769999999999</v>
      </c>
      <c r="H195" s="1659">
        <v>901404.56799999997</v>
      </c>
      <c r="I195" s="1659">
        <v>214.29</v>
      </c>
      <c r="J195" s="1659">
        <v>485.971</v>
      </c>
      <c r="K195" s="1659">
        <v>501.61700000000002</v>
      </c>
      <c r="L195" s="1659">
        <v>12039.179</v>
      </c>
      <c r="M195" s="1659">
        <v>10817.314</v>
      </c>
      <c r="N195" s="1659">
        <v>24.773</v>
      </c>
      <c r="O195" s="1659">
        <v>21.565000000000001</v>
      </c>
    </row>
    <row r="196" spans="1:15">
      <c r="A196" s="1661" t="s">
        <v>19</v>
      </c>
      <c r="B196" s="1659">
        <v>3.294</v>
      </c>
      <c r="C196" s="972">
        <v>0.11</v>
      </c>
      <c r="D196" s="1660">
        <v>0.12</v>
      </c>
      <c r="E196" s="1659">
        <v>7509.4650000000001</v>
      </c>
      <c r="F196" s="1659">
        <v>533240.11300000001</v>
      </c>
      <c r="G196" s="1659">
        <v>4482.5209999999997</v>
      </c>
      <c r="H196" s="1659">
        <v>1074049.879</v>
      </c>
      <c r="I196" s="1659">
        <v>239.608</v>
      </c>
      <c r="J196" s="1659">
        <v>477.95499999999998</v>
      </c>
      <c r="K196" s="1659">
        <v>492.81599999999997</v>
      </c>
      <c r="L196" s="1659">
        <v>11812.852999999999</v>
      </c>
      <c r="M196" s="1659">
        <v>10227.028</v>
      </c>
      <c r="N196" s="1659">
        <v>24.715</v>
      </c>
      <c r="O196" s="1659">
        <v>20.751999999999999</v>
      </c>
    </row>
    <row r="197" spans="1:15">
      <c r="A197" s="1661" t="s">
        <v>20</v>
      </c>
      <c r="B197" s="1659">
        <v>3.2320000000000002</v>
      </c>
      <c r="C197" s="972">
        <v>0.111</v>
      </c>
      <c r="D197" s="1660">
        <v>0.115</v>
      </c>
      <c r="E197" s="1659">
        <v>7799.7650000000003</v>
      </c>
      <c r="F197" s="1659">
        <v>548262.91599999997</v>
      </c>
      <c r="G197" s="1659">
        <v>4617.634</v>
      </c>
      <c r="H197" s="1659">
        <v>1085951.581</v>
      </c>
      <c r="I197" s="1659">
        <v>235.17500000000001</v>
      </c>
      <c r="J197" s="1659">
        <v>484.04500000000002</v>
      </c>
      <c r="K197" s="1659">
        <v>498.94200000000001</v>
      </c>
      <c r="L197" s="1659">
        <v>11993.877</v>
      </c>
      <c r="M197" s="1659">
        <v>10699.200999999999</v>
      </c>
      <c r="N197" s="1659">
        <v>24.777999999999999</v>
      </c>
      <c r="O197" s="1659">
        <v>21.443999999999999</v>
      </c>
    </row>
    <row r="198" spans="1:15">
      <c r="A198" s="1661" t="s">
        <v>21</v>
      </c>
      <c r="B198" s="1659">
        <v>3.2320000000000002</v>
      </c>
      <c r="C198" s="972">
        <v>0.111</v>
      </c>
      <c r="D198" s="1660">
        <v>0.11</v>
      </c>
      <c r="E198" s="1659">
        <v>8543.1830000000009</v>
      </c>
      <c r="F198" s="1659">
        <v>566843.41399999999</v>
      </c>
      <c r="G198" s="1659">
        <v>4835.0410000000002</v>
      </c>
      <c r="H198" s="1659">
        <v>1082654.625</v>
      </c>
      <c r="I198" s="1659">
        <v>223.91800000000001</v>
      </c>
      <c r="J198" s="1659">
        <v>549.58699999999999</v>
      </c>
      <c r="K198" s="1659">
        <v>565.19500000000005</v>
      </c>
      <c r="L198" s="1659">
        <v>12564.261</v>
      </c>
      <c r="M198" s="1659">
        <v>10966.153</v>
      </c>
      <c r="N198" s="1659">
        <v>22.861000000000001</v>
      </c>
      <c r="O198" s="1659">
        <v>19.402000000000001</v>
      </c>
    </row>
    <row r="199" spans="1:15">
      <c r="A199" s="1661" t="s">
        <v>22</v>
      </c>
      <c r="B199" s="1659">
        <v>3.2530000000000001</v>
      </c>
      <c r="C199" s="972">
        <v>0.108</v>
      </c>
      <c r="D199" s="1660">
        <v>0.111</v>
      </c>
      <c r="E199" s="1659">
        <v>8715.5010000000002</v>
      </c>
      <c r="F199" s="1659">
        <v>571768.91899999999</v>
      </c>
      <c r="G199" s="1659">
        <v>4900.5379999999996</v>
      </c>
      <c r="H199" s="1659">
        <v>1118615.202</v>
      </c>
      <c r="I199" s="1659">
        <v>228.26400000000001</v>
      </c>
      <c r="J199" s="1659">
        <v>560.84400000000005</v>
      </c>
      <c r="K199" s="1659">
        <v>576.29999999999995</v>
      </c>
      <c r="L199" s="1659">
        <v>12587.772999999999</v>
      </c>
      <c r="M199" s="1659">
        <v>10890.998</v>
      </c>
      <c r="N199" s="1659">
        <v>22.443999999999999</v>
      </c>
      <c r="O199" s="1659">
        <v>18.898</v>
      </c>
    </row>
    <row r="200" spans="1:15">
      <c r="A200" s="1661" t="s">
        <v>23</v>
      </c>
      <c r="B200" s="1659">
        <v>3.2280000000000002</v>
      </c>
      <c r="C200" s="972">
        <v>0.104</v>
      </c>
      <c r="D200" s="1660">
        <v>0.107</v>
      </c>
      <c r="E200" s="1659">
        <v>8162.2759999999998</v>
      </c>
      <c r="F200" s="1659">
        <v>543035.60800000001</v>
      </c>
      <c r="G200" s="1659">
        <v>4476.59</v>
      </c>
      <c r="H200" s="1659">
        <v>1054932.8</v>
      </c>
      <c r="I200" s="1659">
        <v>235.655</v>
      </c>
      <c r="J200" s="1659">
        <v>516.87599999999998</v>
      </c>
      <c r="K200" s="1659">
        <v>531.76700000000005</v>
      </c>
      <c r="L200" s="1659">
        <v>11591.135</v>
      </c>
      <c r="M200" s="1659">
        <v>10243.954</v>
      </c>
      <c r="N200" s="1659">
        <v>22.425000000000001</v>
      </c>
      <c r="O200" s="1659">
        <v>19.263999999999999</v>
      </c>
    </row>
    <row r="201" spans="1:15">
      <c r="A201" s="1661" t="s">
        <v>24</v>
      </c>
      <c r="B201" s="1659">
        <v>3.2090000000000001</v>
      </c>
      <c r="C201" s="972">
        <v>0.10299999999999999</v>
      </c>
      <c r="D201" s="1660">
        <v>0.106</v>
      </c>
      <c r="E201" s="1659">
        <v>9378.8909999999996</v>
      </c>
      <c r="F201" s="1659">
        <v>636926.91700000002</v>
      </c>
      <c r="G201" s="1659">
        <v>4982.6840000000002</v>
      </c>
      <c r="H201" s="1659">
        <v>1221037.835</v>
      </c>
      <c r="I201" s="1659">
        <v>245.05600000000001</v>
      </c>
      <c r="J201" s="1659">
        <v>603.66800000000001</v>
      </c>
      <c r="K201" s="1659">
        <v>620.66800000000001</v>
      </c>
      <c r="L201" s="1659">
        <v>13840.946</v>
      </c>
      <c r="M201" s="1659">
        <v>12118.194</v>
      </c>
      <c r="N201" s="1659">
        <v>22.928000000000001</v>
      </c>
      <c r="O201" s="1659">
        <v>19.524000000000001</v>
      </c>
    </row>
    <row r="202" spans="1:15">
      <c r="A202" s="1661" t="s">
        <v>25</v>
      </c>
      <c r="B202" s="1659">
        <v>3.1909999999999998</v>
      </c>
      <c r="C202" s="972">
        <v>0.10100000000000001</v>
      </c>
      <c r="D202" s="1660">
        <v>0.104</v>
      </c>
      <c r="E202" s="1659">
        <v>8747.3690000000006</v>
      </c>
      <c r="F202" s="1659">
        <v>577299.24</v>
      </c>
      <c r="G202" s="1659">
        <v>4414.0360000000001</v>
      </c>
      <c r="H202" s="1659">
        <v>1063765.3189999999</v>
      </c>
      <c r="I202" s="1659">
        <v>240.99600000000001</v>
      </c>
      <c r="J202" s="1659">
        <v>547.28399999999999</v>
      </c>
      <c r="K202" s="1659">
        <v>562.75699999999995</v>
      </c>
      <c r="L202" s="1659">
        <v>12456.932000000001</v>
      </c>
      <c r="M202" s="1659">
        <v>10881.843999999999</v>
      </c>
      <c r="N202" s="1659">
        <v>22.760999999999999</v>
      </c>
      <c r="O202" s="1659">
        <v>19.337</v>
      </c>
    </row>
    <row r="203" spans="1:15">
      <c r="A203" s="1661" t="s">
        <v>26</v>
      </c>
      <c r="B203" s="1659">
        <v>3.1779999999999999</v>
      </c>
      <c r="C203" s="972">
        <v>9.9000000000000005E-2</v>
      </c>
      <c r="D203" s="1660">
        <v>0.10199999999999999</v>
      </c>
      <c r="E203" s="1659">
        <v>9008.8150000000005</v>
      </c>
      <c r="F203" s="1659">
        <v>588875.68200000003</v>
      </c>
      <c r="G203" s="1659">
        <v>4637.3230000000003</v>
      </c>
      <c r="H203" s="1659">
        <v>1102470.6680000001</v>
      </c>
      <c r="I203" s="1659">
        <v>237.739</v>
      </c>
      <c r="J203" s="1659">
        <v>537.34299999999996</v>
      </c>
      <c r="K203" s="1659">
        <v>552.36699999999996</v>
      </c>
      <c r="L203" s="1659">
        <v>12168.791999999999</v>
      </c>
      <c r="M203" s="1659">
        <v>10698.588</v>
      </c>
      <c r="N203" s="1659">
        <v>22.646000000000001</v>
      </c>
      <c r="O203" s="1659">
        <v>19.369</v>
      </c>
    </row>
    <row r="204" spans="1:15">
      <c r="A204" s="1661" t="s">
        <v>27</v>
      </c>
      <c r="B204" s="1659">
        <v>3.14</v>
      </c>
      <c r="C204" s="972">
        <v>9.5000000000000001E-2</v>
      </c>
      <c r="D204" s="1660">
        <v>9.7000000000000003E-2</v>
      </c>
      <c r="E204" s="1659">
        <v>9619.732</v>
      </c>
      <c r="F204" s="1659">
        <v>605320.81499999994</v>
      </c>
      <c r="G204" s="1659">
        <v>4724.3580000000002</v>
      </c>
      <c r="H204" s="1659">
        <v>1113115.254</v>
      </c>
      <c r="I204" s="1659">
        <v>235.61199999999999</v>
      </c>
      <c r="J204" s="1659">
        <v>554.63599999999997</v>
      </c>
      <c r="K204" s="1659">
        <v>569.524</v>
      </c>
      <c r="L204" s="1659">
        <v>12438.352000000001</v>
      </c>
      <c r="M204" s="1659">
        <v>10850.518</v>
      </c>
      <c r="N204" s="1659">
        <v>22.425999999999998</v>
      </c>
      <c r="O204" s="1659">
        <v>19.052</v>
      </c>
    </row>
    <row r="205" spans="1:15">
      <c r="A205" s="1661" t="s">
        <v>28</v>
      </c>
      <c r="B205" s="1659">
        <v>3.14</v>
      </c>
      <c r="C205" s="972">
        <v>9.5000000000000001E-2</v>
      </c>
      <c r="D205" s="1660">
        <v>9.7000000000000003E-2</v>
      </c>
      <c r="E205" s="1659">
        <v>8522.6049999999996</v>
      </c>
      <c r="F205" s="1659">
        <v>554056.75600000005</v>
      </c>
      <c r="G205" s="1659">
        <v>4258.973</v>
      </c>
      <c r="H205" s="1659">
        <v>1027505.444</v>
      </c>
      <c r="I205" s="1659">
        <v>241.25700000000001</v>
      </c>
      <c r="J205" s="1659">
        <v>432.767</v>
      </c>
      <c r="K205" s="1659">
        <v>443.60500000000002</v>
      </c>
      <c r="L205" s="1659">
        <v>10008.790999999999</v>
      </c>
      <c r="M205" s="1659">
        <v>8603.6569999999992</v>
      </c>
      <c r="N205" s="1659">
        <v>23.126999999999999</v>
      </c>
      <c r="O205" s="1659">
        <v>19.395</v>
      </c>
    </row>
    <row r="206" spans="1:15" ht="13.15" customHeight="1">
      <c r="A206" s="1661" t="s">
        <v>29</v>
      </c>
      <c r="B206" s="1659">
        <v>3.0939999999999999</v>
      </c>
      <c r="C206" s="972">
        <v>8.5999999999999993E-2</v>
      </c>
      <c r="D206" s="1660">
        <v>8.7999999999999995E-2</v>
      </c>
      <c r="E206" s="1659">
        <v>9833.4169999999995</v>
      </c>
      <c r="F206" s="1659">
        <v>661317.33799999999</v>
      </c>
      <c r="G206" s="1659">
        <v>5029.8109999999997</v>
      </c>
      <c r="H206" s="1659">
        <v>1258594.969</v>
      </c>
      <c r="I206" s="1659">
        <v>250.227</v>
      </c>
      <c r="J206" s="1659">
        <v>475.43299999999999</v>
      </c>
      <c r="K206" s="1659">
        <v>486.40300000000002</v>
      </c>
      <c r="L206" s="1659">
        <v>11304.212</v>
      </c>
      <c r="M206" s="1659">
        <v>9599.4699999999993</v>
      </c>
      <c r="N206" s="1659">
        <v>23.777000000000001</v>
      </c>
      <c r="O206" s="1659">
        <v>19.736000000000001</v>
      </c>
    </row>
    <row r="207" spans="1:15" ht="13.15" customHeight="1">
      <c r="A207" s="1661" t="s">
        <v>4222</v>
      </c>
      <c r="B207" s="1659"/>
      <c r="C207" s="972"/>
      <c r="D207" s="1660"/>
      <c r="E207" s="1659"/>
      <c r="F207" s="1659"/>
      <c r="G207" s="1659"/>
      <c r="H207" s="1659"/>
      <c r="I207" s="1659"/>
      <c r="J207" s="1659"/>
      <c r="K207" s="1659"/>
      <c r="L207" s="1659"/>
      <c r="M207" s="1659"/>
      <c r="N207" s="1659"/>
      <c r="O207" s="1659"/>
    </row>
    <row r="208" spans="1:15" ht="13.15" customHeight="1">
      <c r="A208" s="1661" t="s">
        <v>18</v>
      </c>
      <c r="B208" s="1659">
        <v>3.0720000000000001</v>
      </c>
      <c r="C208" s="972">
        <v>8.4000000000000005E-2</v>
      </c>
      <c r="D208" s="1660">
        <v>8.5999999999999993E-2</v>
      </c>
      <c r="E208" s="1659">
        <v>9001.7209999999995</v>
      </c>
      <c r="F208" s="1659">
        <v>518756.70600000001</v>
      </c>
      <c r="G208" s="1659">
        <v>4093.989</v>
      </c>
      <c r="H208" s="1659">
        <v>900657.54500000004</v>
      </c>
      <c r="I208" s="1659">
        <v>219.995</v>
      </c>
      <c r="J208" s="1659">
        <v>467.33100000000002</v>
      </c>
      <c r="K208" s="1659">
        <v>478.08600000000001</v>
      </c>
      <c r="L208" s="1659">
        <v>10072.962</v>
      </c>
      <c r="M208" s="1659">
        <v>8834.6970000000001</v>
      </c>
      <c r="N208" s="1659">
        <v>21.553999999999998</v>
      </c>
      <c r="O208" s="1659">
        <v>18.478999999999999</v>
      </c>
    </row>
    <row r="209" spans="1:15" ht="13.15" customHeight="1">
      <c r="A209" s="1661" t="s">
        <v>19</v>
      </c>
      <c r="B209" s="1659">
        <v>3.0459999999999998</v>
      </c>
      <c r="C209" s="972">
        <v>8.2000000000000003E-2</v>
      </c>
      <c r="D209" s="1660">
        <v>8.4000000000000005E-2</v>
      </c>
      <c r="E209" s="1659">
        <v>8456.2109999999993</v>
      </c>
      <c r="F209" s="1659">
        <v>542157.01599999995</v>
      </c>
      <c r="G209" s="1659">
        <v>4069.2260000000001</v>
      </c>
      <c r="H209" s="1659">
        <v>1012575.1310000001</v>
      </c>
      <c r="I209" s="1659">
        <v>248.83699999999999</v>
      </c>
      <c r="J209" s="1659">
        <v>407.13600000000002</v>
      </c>
      <c r="K209" s="1659">
        <v>416.28100000000001</v>
      </c>
      <c r="L209" s="1659">
        <v>8877.2180000000008</v>
      </c>
      <c r="M209" s="1659">
        <v>7554.7889999999998</v>
      </c>
      <c r="N209" s="1659">
        <v>21.803999999999998</v>
      </c>
      <c r="O209" s="1659">
        <v>18.148</v>
      </c>
    </row>
    <row r="210" spans="1:15" ht="13.15" customHeight="1">
      <c r="A210" s="1661" t="s">
        <v>20</v>
      </c>
      <c r="B210" s="1659">
        <v>3.032</v>
      </c>
      <c r="C210" s="972">
        <v>8.1000000000000003E-2</v>
      </c>
      <c r="D210" s="1660">
        <v>8.3000000000000004E-2</v>
      </c>
      <c r="E210" s="1659">
        <v>7686.8029999999999</v>
      </c>
      <c r="F210" s="1659">
        <v>499645.85499999998</v>
      </c>
      <c r="G210" s="1659">
        <v>3706.9</v>
      </c>
      <c r="H210" s="1659">
        <v>953090.77099999995</v>
      </c>
      <c r="I210" s="1659">
        <v>257.113</v>
      </c>
      <c r="J210" s="1659">
        <v>367.29399999999998</v>
      </c>
      <c r="K210" s="1659">
        <v>375.57499999999999</v>
      </c>
      <c r="L210" s="1659">
        <v>8255.9930000000004</v>
      </c>
      <c r="M210" s="1659">
        <v>7191.4210000000003</v>
      </c>
      <c r="N210" s="1659">
        <v>22.478000000000002</v>
      </c>
      <c r="O210" s="1659">
        <v>19.148</v>
      </c>
    </row>
    <row r="211" spans="1:15" ht="13.15" customHeight="1">
      <c r="A211" s="1661" t="s">
        <v>21</v>
      </c>
      <c r="B211" s="1659">
        <v>3.0139999999999998</v>
      </c>
      <c r="C211" s="972">
        <v>7.9000000000000001E-2</v>
      </c>
      <c r="D211" s="1660">
        <v>8.1000000000000003E-2</v>
      </c>
      <c r="E211" s="1659">
        <v>11624.53</v>
      </c>
      <c r="F211" s="1659">
        <v>685466.09100000001</v>
      </c>
      <c r="G211" s="1659">
        <v>5295.6369999999997</v>
      </c>
      <c r="H211" s="1659">
        <v>1267179.0460000001</v>
      </c>
      <c r="I211" s="1659">
        <v>239.28700000000001</v>
      </c>
      <c r="J211" s="1659">
        <v>555.90300000000002</v>
      </c>
      <c r="K211" s="1659">
        <v>568.18499999999995</v>
      </c>
      <c r="L211" s="1659">
        <v>11068.12</v>
      </c>
      <c r="M211" s="1659">
        <v>9663.1219999999994</v>
      </c>
      <c r="N211" s="1659">
        <v>19.91</v>
      </c>
      <c r="O211" s="1659">
        <v>17.007000000000001</v>
      </c>
    </row>
    <row r="212" spans="1:15" ht="13.15" customHeight="1">
      <c r="A212" s="1661" t="s">
        <v>22</v>
      </c>
      <c r="B212" s="1659">
        <v>2.9969999999999999</v>
      </c>
      <c r="C212" s="972">
        <v>7.5999999999999998E-2</v>
      </c>
      <c r="D212" s="1660">
        <v>7.8E-2</v>
      </c>
      <c r="E212" s="1659">
        <v>10206.299999999999</v>
      </c>
      <c r="F212" s="1659">
        <v>609529.89300000004</v>
      </c>
      <c r="G212" s="1659">
        <v>4506.9589999999998</v>
      </c>
      <c r="H212" s="1659">
        <v>1119727.821</v>
      </c>
      <c r="I212" s="1659">
        <v>248.44399999999999</v>
      </c>
      <c r="J212" s="1659">
        <v>462.72500000000002</v>
      </c>
      <c r="K212" s="1659">
        <v>472.59300000000002</v>
      </c>
      <c r="L212" s="1659">
        <v>8957.4549999999999</v>
      </c>
      <c r="M212" s="1659">
        <v>7698.4350000000004</v>
      </c>
      <c r="N212" s="1659">
        <v>19.358000000000001</v>
      </c>
      <c r="O212" s="1659">
        <v>16.29</v>
      </c>
    </row>
    <row r="213" spans="1:15" s="1658" customFormat="1" ht="15.75" customHeight="1">
      <c r="A213" s="2834" t="s">
        <v>4282</v>
      </c>
      <c r="B213" s="2834"/>
      <c r="C213" s="2834"/>
      <c r="D213" s="2834"/>
      <c r="E213" s="2834"/>
      <c r="F213" s="2834"/>
      <c r="G213" s="2834"/>
      <c r="H213" s="2834"/>
      <c r="I213" s="2834"/>
      <c r="J213" s="2834"/>
      <c r="K213" s="2834"/>
      <c r="L213" s="2834"/>
      <c r="M213" s="2834"/>
      <c r="N213" s="2834"/>
      <c r="O213" s="2835"/>
    </row>
    <row r="214" spans="1:15" s="1658" customFormat="1" ht="15.75">
      <c r="A214" s="2836" t="s">
        <v>3364</v>
      </c>
      <c r="B214" s="2837"/>
      <c r="C214" s="2837"/>
      <c r="D214" s="2837"/>
      <c r="E214" s="2837"/>
      <c r="F214" s="2837"/>
      <c r="G214" s="2837"/>
      <c r="H214" s="2837"/>
      <c r="I214" s="2837"/>
      <c r="J214" s="2837"/>
      <c r="K214" s="2837"/>
      <c r="L214" s="2837"/>
      <c r="M214" s="2837"/>
      <c r="N214" s="2837"/>
      <c r="O214" s="2837"/>
    </row>
  </sheetData>
  <mergeCells count="20">
    <mergeCell ref="A2:O2"/>
    <mergeCell ref="A3:O3"/>
    <mergeCell ref="A6:A7"/>
    <mergeCell ref="B6:D6"/>
    <mergeCell ref="E6:F6"/>
    <mergeCell ref="G6:H6"/>
    <mergeCell ref="I6:I7"/>
    <mergeCell ref="J6:M6"/>
    <mergeCell ref="N6:N7"/>
    <mergeCell ref="O6:O7"/>
    <mergeCell ref="N8:N9"/>
    <mergeCell ref="O8:O9"/>
    <mergeCell ref="A213:O213"/>
    <mergeCell ref="A214:O214"/>
    <mergeCell ref="A8:A9"/>
    <mergeCell ref="B8:D8"/>
    <mergeCell ref="E8:F8"/>
    <mergeCell ref="G8:H8"/>
    <mergeCell ref="I8:I9"/>
    <mergeCell ref="J8:M8"/>
  </mergeCells>
  <pageMargins left="0.7" right="0.7" top="0.3" bottom="0.18" header="0.3" footer="0.3"/>
  <pageSetup scale="21" orientation="landscape"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6671D-E1E8-4048-9CE5-1E182BF0AAE6}">
  <sheetPr codeName="Sheet52">
    <tabColor rgb="FF92D050"/>
  </sheetPr>
  <dimension ref="A1:P219"/>
  <sheetViews>
    <sheetView showGridLines="0" view="pageBreakPreview" zoomScale="85" zoomScaleSheetLayoutView="85" workbookViewId="0">
      <pane ySplit="12" topLeftCell="A206" activePane="bottomLeft" state="frozen"/>
      <selection activeCell="B39" sqref="B39"/>
      <selection pane="bottomLeft" activeCell="S218" sqref="S218"/>
    </sheetView>
  </sheetViews>
  <sheetFormatPr defaultColWidth="8.85546875" defaultRowHeight="15"/>
  <cols>
    <col min="1" max="1" width="6.28515625" style="1673" customWidth="1"/>
    <col min="2" max="2" width="16.28515625" style="1671" customWidth="1"/>
    <col min="3" max="3" width="10.140625" style="1671" bestFit="1" customWidth="1"/>
    <col min="4" max="4" width="12.5703125" style="1671" customWidth="1"/>
    <col min="5" max="5" width="7.7109375" style="1671" customWidth="1"/>
    <col min="6" max="6" width="14.140625" style="1671" customWidth="1"/>
    <col min="7" max="7" width="11.140625" style="1671" customWidth="1"/>
    <col min="8" max="8" width="9.5703125" style="1671" customWidth="1"/>
    <col min="9" max="9" width="8.5703125" style="1671" bestFit="1" customWidth="1"/>
    <col min="10" max="10" width="11.7109375" style="1671" customWidth="1"/>
    <col min="11" max="11" width="11.5703125" style="1671" customWidth="1"/>
    <col min="12" max="12" width="11.85546875" style="1671" customWidth="1"/>
    <col min="13" max="16" width="13.7109375" style="1672" customWidth="1"/>
    <col min="17" max="23" width="8.85546875" style="1671" customWidth="1"/>
    <col min="24" max="16384" width="8.85546875" style="1671"/>
  </cols>
  <sheetData>
    <row r="1" spans="1:16" ht="9" customHeight="1"/>
    <row r="2" spans="1:16" ht="24" customHeight="1">
      <c r="A2" s="2740" t="s">
        <v>3886</v>
      </c>
      <c r="B2" s="2740"/>
      <c r="C2" s="2740"/>
      <c r="D2" s="2740"/>
      <c r="E2" s="2740"/>
      <c r="F2" s="2740"/>
      <c r="G2" s="2740"/>
      <c r="H2" s="2740"/>
      <c r="I2" s="2740"/>
      <c r="J2" s="2740"/>
      <c r="K2" s="2740"/>
      <c r="L2" s="2740"/>
      <c r="M2" s="2740"/>
      <c r="N2" s="2740"/>
      <c r="O2" s="2740"/>
      <c r="P2" s="2740"/>
    </row>
    <row r="3" spans="1:16" ht="28.5" customHeight="1">
      <c r="A3" s="2847" t="s">
        <v>3887</v>
      </c>
      <c r="B3" s="2847"/>
      <c r="C3" s="2847"/>
      <c r="D3" s="2847"/>
      <c r="E3" s="2847"/>
      <c r="F3" s="2847"/>
      <c r="G3" s="2847"/>
      <c r="H3" s="2847"/>
      <c r="I3" s="2847"/>
      <c r="J3" s="2847"/>
      <c r="K3" s="2847"/>
      <c r="L3" s="2847"/>
      <c r="M3" s="2847"/>
      <c r="N3" s="2847"/>
      <c r="O3" s="2847"/>
      <c r="P3" s="2847"/>
    </row>
    <row r="4" spans="1:16" ht="13.5" customHeight="1">
      <c r="A4" s="537"/>
      <c r="B4" s="537"/>
      <c r="C4" s="537"/>
      <c r="D4" s="537"/>
      <c r="E4" s="537"/>
      <c r="F4" s="537"/>
      <c r="G4" s="537"/>
      <c r="H4" s="537"/>
      <c r="I4" s="537"/>
      <c r="J4" s="537"/>
      <c r="K4" s="537"/>
      <c r="L4" s="537"/>
      <c r="M4" s="537"/>
      <c r="N4" s="537"/>
      <c r="O4" s="537"/>
      <c r="P4" s="537"/>
    </row>
    <row r="5" spans="1:16" ht="13.5" customHeight="1">
      <c r="A5" s="2849"/>
      <c r="B5" s="2849"/>
      <c r="C5" s="2849"/>
      <c r="D5" s="2849"/>
      <c r="E5" s="2849"/>
      <c r="F5" s="2849"/>
      <c r="G5" s="2849"/>
      <c r="H5" s="2849"/>
      <c r="I5" s="2849"/>
      <c r="J5" s="2849"/>
      <c r="K5" s="2849"/>
      <c r="L5" s="2849"/>
      <c r="M5" s="2849"/>
      <c r="N5" s="2849"/>
      <c r="O5" s="2849"/>
      <c r="P5" s="2849"/>
    </row>
    <row r="6" spans="1:16" ht="14.45" customHeight="1">
      <c r="A6" s="2861" t="s">
        <v>182</v>
      </c>
      <c r="B6" s="2858" t="s">
        <v>3774</v>
      </c>
      <c r="C6" s="2850" t="s">
        <v>144</v>
      </c>
      <c r="D6" s="2850"/>
      <c r="E6" s="2850"/>
      <c r="F6" s="2858" t="s">
        <v>3775</v>
      </c>
      <c r="G6" s="2850" t="s">
        <v>144</v>
      </c>
      <c r="H6" s="2850"/>
      <c r="I6" s="2850"/>
      <c r="J6" s="2838" t="s">
        <v>997</v>
      </c>
      <c r="K6" s="2838"/>
      <c r="L6" s="2838"/>
      <c r="M6" s="2851" t="s">
        <v>3764</v>
      </c>
      <c r="N6" s="2852"/>
      <c r="O6" s="2852"/>
      <c r="P6" s="2853"/>
    </row>
    <row r="7" spans="1:16" ht="69" customHeight="1">
      <c r="A7" s="2862"/>
      <c r="B7" s="2859"/>
      <c r="C7" s="2857" t="s">
        <v>998</v>
      </c>
      <c r="D7" s="2857" t="s">
        <v>999</v>
      </c>
      <c r="E7" s="2857" t="s">
        <v>1000</v>
      </c>
      <c r="F7" s="2859"/>
      <c r="G7" s="2857" t="s">
        <v>1001</v>
      </c>
      <c r="H7" s="2857" t="s">
        <v>1837</v>
      </c>
      <c r="I7" s="2857" t="s">
        <v>1002</v>
      </c>
      <c r="J7" s="2857" t="s">
        <v>998</v>
      </c>
      <c r="K7" s="2857" t="s">
        <v>999</v>
      </c>
      <c r="L7" s="2857" t="s">
        <v>1000</v>
      </c>
      <c r="M7" s="2851" t="s">
        <v>3765</v>
      </c>
      <c r="N7" s="2853"/>
      <c r="O7" s="2851" t="s">
        <v>3766</v>
      </c>
      <c r="P7" s="2853"/>
    </row>
    <row r="8" spans="1:16" ht="39" customHeight="1">
      <c r="A8" s="2863"/>
      <c r="B8" s="2860"/>
      <c r="C8" s="2857"/>
      <c r="D8" s="2857"/>
      <c r="E8" s="2857"/>
      <c r="F8" s="2860"/>
      <c r="G8" s="2857"/>
      <c r="H8" s="2857"/>
      <c r="I8" s="2857"/>
      <c r="J8" s="2857"/>
      <c r="K8" s="2857"/>
      <c r="L8" s="2857"/>
      <c r="M8" s="1426" t="s">
        <v>3767</v>
      </c>
      <c r="N8" s="1426" t="s">
        <v>3768</v>
      </c>
      <c r="O8" s="1426" t="s">
        <v>3767</v>
      </c>
      <c r="P8" s="1426" t="s">
        <v>3768</v>
      </c>
    </row>
    <row r="9" spans="1:16" ht="22.5" customHeight="1">
      <c r="A9" s="2865" t="s">
        <v>289</v>
      </c>
      <c r="B9" s="2854" t="s">
        <v>3776</v>
      </c>
      <c r="C9" s="1537"/>
      <c r="D9" s="1538" t="s">
        <v>1192</v>
      </c>
      <c r="E9" s="1539"/>
      <c r="F9" s="2854" t="s">
        <v>3777</v>
      </c>
      <c r="G9" s="2868" t="s">
        <v>149</v>
      </c>
      <c r="H9" s="2869"/>
      <c r="I9" s="2870"/>
      <c r="J9" s="2839" t="s">
        <v>1197</v>
      </c>
      <c r="K9" s="2840"/>
      <c r="L9" s="2841"/>
      <c r="M9" s="2871" t="s">
        <v>3769</v>
      </c>
      <c r="N9" s="2872"/>
      <c r="O9" s="2872"/>
      <c r="P9" s="2872"/>
    </row>
    <row r="10" spans="1:16" ht="23.25" customHeight="1">
      <c r="A10" s="2866"/>
      <c r="B10" s="2855"/>
      <c r="C10" s="2848" t="s">
        <v>1188</v>
      </c>
      <c r="D10" s="2848" t="s">
        <v>1193</v>
      </c>
      <c r="E10" s="2848" t="s">
        <v>1194</v>
      </c>
      <c r="F10" s="2855"/>
      <c r="G10" s="2848" t="s">
        <v>1196</v>
      </c>
      <c r="H10" s="2848" t="s">
        <v>1838</v>
      </c>
      <c r="I10" s="2848" t="s">
        <v>1195</v>
      </c>
      <c r="J10" s="2848" t="s">
        <v>1188</v>
      </c>
      <c r="K10" s="2848" t="s">
        <v>1193</v>
      </c>
      <c r="L10" s="2848" t="s">
        <v>1194</v>
      </c>
      <c r="M10" s="2537" t="s">
        <v>3770</v>
      </c>
      <c r="N10" s="2537"/>
      <c r="O10" s="2537" t="s">
        <v>3771</v>
      </c>
      <c r="P10" s="2537"/>
    </row>
    <row r="11" spans="1:16" ht="50.25" customHeight="1">
      <c r="A11" s="2866"/>
      <c r="B11" s="2855"/>
      <c r="C11" s="2848"/>
      <c r="D11" s="2848"/>
      <c r="E11" s="2848"/>
      <c r="F11" s="2855"/>
      <c r="G11" s="2848"/>
      <c r="H11" s="2848"/>
      <c r="I11" s="2848"/>
      <c r="J11" s="2848"/>
      <c r="K11" s="2848"/>
      <c r="L11" s="2848"/>
      <c r="M11" s="2537"/>
      <c r="N11" s="2537"/>
      <c r="O11" s="2537"/>
      <c r="P11" s="2537"/>
    </row>
    <row r="12" spans="1:16" ht="32.25" customHeight="1">
      <c r="A12" s="2867"/>
      <c r="B12" s="2856"/>
      <c r="C12" s="2848"/>
      <c r="D12" s="2848"/>
      <c r="E12" s="2848"/>
      <c r="F12" s="2856"/>
      <c r="G12" s="2848"/>
      <c r="H12" s="2848"/>
      <c r="I12" s="2848"/>
      <c r="J12" s="2848"/>
      <c r="K12" s="2848"/>
      <c r="L12" s="2848"/>
      <c r="M12" s="1532" t="s">
        <v>3772</v>
      </c>
      <c r="N12" s="1532" t="s">
        <v>3773</v>
      </c>
      <c r="O12" s="1532" t="s">
        <v>3772</v>
      </c>
      <c r="P12" s="1532" t="s">
        <v>3773</v>
      </c>
    </row>
    <row r="13" spans="1:16" ht="15" customHeight="1">
      <c r="A13" s="1686">
        <v>2009</v>
      </c>
      <c r="B13" s="1685">
        <v>1941067</v>
      </c>
      <c r="C13" s="1685">
        <v>1870679</v>
      </c>
      <c r="D13" s="1685">
        <v>37190</v>
      </c>
      <c r="E13" s="1685">
        <v>70388</v>
      </c>
      <c r="F13" s="1685">
        <v>2262771</v>
      </c>
      <c r="G13" s="1685">
        <v>2062134</v>
      </c>
      <c r="H13" s="1685"/>
      <c r="I13" s="1685">
        <v>200637</v>
      </c>
      <c r="J13" s="1685">
        <v>1979434</v>
      </c>
      <c r="K13" s="1685">
        <v>41530</v>
      </c>
      <c r="L13" s="1685">
        <v>82700</v>
      </c>
      <c r="M13" s="1427"/>
      <c r="N13" s="1427"/>
      <c r="O13" s="1427"/>
      <c r="P13" s="1427"/>
    </row>
    <row r="14" spans="1:16" hidden="1">
      <c r="A14" s="1684" t="s">
        <v>987</v>
      </c>
      <c r="B14" s="1682">
        <v>1941067</v>
      </c>
      <c r="C14" s="1682">
        <v>1870679</v>
      </c>
      <c r="D14" s="1682">
        <v>37190</v>
      </c>
      <c r="E14" s="1682">
        <v>70388</v>
      </c>
      <c r="F14" s="1682">
        <v>2262771</v>
      </c>
      <c r="G14" s="1682">
        <v>2062134</v>
      </c>
      <c r="H14" s="1682"/>
      <c r="I14" s="1682">
        <v>200637</v>
      </c>
      <c r="J14" s="1682">
        <v>1979434</v>
      </c>
      <c r="K14" s="1682">
        <v>41530</v>
      </c>
      <c r="L14" s="1682">
        <v>82700</v>
      </c>
      <c r="M14" s="1427"/>
      <c r="N14" s="1427"/>
      <c r="O14" s="1427"/>
      <c r="P14" s="1427"/>
    </row>
    <row r="15" spans="1:16">
      <c r="A15" s="1678">
        <v>2010</v>
      </c>
      <c r="B15" s="1682">
        <v>2588957</v>
      </c>
      <c r="C15" s="1682">
        <v>2494325</v>
      </c>
      <c r="D15" s="1682">
        <v>57965</v>
      </c>
      <c r="E15" s="1682">
        <v>94632</v>
      </c>
      <c r="F15" s="1682">
        <v>3173876</v>
      </c>
      <c r="G15" s="1682">
        <v>2896583</v>
      </c>
      <c r="H15" s="1682"/>
      <c r="I15" s="1682">
        <v>277293</v>
      </c>
      <c r="J15" s="1682">
        <v>2772884</v>
      </c>
      <c r="K15" s="1682">
        <v>68717</v>
      </c>
      <c r="L15" s="1682">
        <v>123699</v>
      </c>
      <c r="M15" s="1427"/>
      <c r="N15" s="1427"/>
      <c r="O15" s="1427"/>
      <c r="P15" s="1427"/>
    </row>
    <row r="16" spans="1:16" hidden="1">
      <c r="A16" s="1678" t="s">
        <v>18</v>
      </c>
      <c r="B16" s="1682">
        <v>1982853</v>
      </c>
      <c r="C16" s="1682">
        <v>1911512</v>
      </c>
      <c r="D16" s="1682">
        <v>37647</v>
      </c>
      <c r="E16" s="1682">
        <v>71341</v>
      </c>
      <c r="F16" s="1682">
        <v>2308743</v>
      </c>
      <c r="G16" s="1682">
        <v>2100858</v>
      </c>
      <c r="H16" s="1682"/>
      <c r="I16" s="1682">
        <v>207885</v>
      </c>
      <c r="J16" s="1682">
        <v>2017075</v>
      </c>
      <c r="K16" s="1682">
        <v>41723</v>
      </c>
      <c r="L16" s="1682">
        <v>83783</v>
      </c>
      <c r="M16" s="1427"/>
      <c r="N16" s="1427"/>
      <c r="O16" s="1427"/>
      <c r="P16" s="1427"/>
    </row>
    <row r="17" spans="1:16" hidden="1">
      <c r="A17" s="1678" t="s">
        <v>19</v>
      </c>
      <c r="B17" s="1682">
        <v>2032673</v>
      </c>
      <c r="C17" s="1682">
        <v>1959886</v>
      </c>
      <c r="D17" s="1682">
        <v>38333</v>
      </c>
      <c r="E17" s="1682">
        <v>72787</v>
      </c>
      <c r="F17" s="1682">
        <v>2367720</v>
      </c>
      <c r="G17" s="1682">
        <v>2150296</v>
      </c>
      <c r="H17" s="1682"/>
      <c r="I17" s="1682">
        <v>217424</v>
      </c>
      <c r="J17" s="1682">
        <v>2065387</v>
      </c>
      <c r="K17" s="1682">
        <v>42540</v>
      </c>
      <c r="L17" s="1682">
        <v>84909</v>
      </c>
      <c r="M17" s="1427"/>
      <c r="N17" s="1427"/>
      <c r="O17" s="1427"/>
      <c r="P17" s="1427"/>
    </row>
    <row r="18" spans="1:16" hidden="1">
      <c r="A18" s="1678" t="s">
        <v>20</v>
      </c>
      <c r="B18" s="1682">
        <v>2071691</v>
      </c>
      <c r="C18" s="1682">
        <v>1996066</v>
      </c>
      <c r="D18" s="1682">
        <v>44110</v>
      </c>
      <c r="E18" s="1682">
        <v>75625</v>
      </c>
      <c r="F18" s="1682">
        <v>2426570</v>
      </c>
      <c r="G18" s="1682">
        <v>2202328</v>
      </c>
      <c r="H18" s="1682"/>
      <c r="I18" s="1682">
        <v>224242</v>
      </c>
      <c r="J18" s="1682">
        <v>2118964</v>
      </c>
      <c r="K18" s="1682">
        <v>48723</v>
      </c>
      <c r="L18" s="1682">
        <v>83364</v>
      </c>
      <c r="M18" s="1427"/>
      <c r="N18" s="1427"/>
      <c r="O18" s="1427"/>
      <c r="P18" s="1427"/>
    </row>
    <row r="19" spans="1:16" hidden="1">
      <c r="A19" s="1678" t="s">
        <v>21</v>
      </c>
      <c r="B19" s="1682">
        <v>2125741</v>
      </c>
      <c r="C19" s="1682">
        <v>2045974</v>
      </c>
      <c r="D19" s="1682">
        <v>50799</v>
      </c>
      <c r="E19" s="1682">
        <v>79767</v>
      </c>
      <c r="F19" s="1682">
        <v>2460337</v>
      </c>
      <c r="G19" s="1682">
        <v>2229516</v>
      </c>
      <c r="H19" s="1682"/>
      <c r="I19" s="1682">
        <v>230821</v>
      </c>
      <c r="J19" s="1682">
        <v>2142588</v>
      </c>
      <c r="K19" s="1682">
        <v>55586</v>
      </c>
      <c r="L19" s="1682">
        <v>86928</v>
      </c>
      <c r="M19" s="1427"/>
      <c r="N19" s="1427"/>
      <c r="O19" s="1427"/>
      <c r="P19" s="1427"/>
    </row>
    <row r="20" spans="1:16" hidden="1">
      <c r="A20" s="1678" t="s">
        <v>22</v>
      </c>
      <c r="B20" s="1682">
        <v>2192577</v>
      </c>
      <c r="C20" s="1682">
        <v>2111006</v>
      </c>
      <c r="D20" s="1682">
        <v>51389</v>
      </c>
      <c r="E20" s="1682">
        <v>81571</v>
      </c>
      <c r="F20" s="1682">
        <v>2537995</v>
      </c>
      <c r="G20" s="1683">
        <v>2291771</v>
      </c>
      <c r="H20" s="1683"/>
      <c r="I20" s="1683">
        <v>241315</v>
      </c>
      <c r="J20" s="1682">
        <v>2205517</v>
      </c>
      <c r="K20" s="1682">
        <v>56321</v>
      </c>
      <c r="L20" s="1682">
        <v>88134</v>
      </c>
      <c r="M20" s="1427"/>
      <c r="N20" s="1427"/>
      <c r="O20" s="1427"/>
      <c r="P20" s="1427"/>
    </row>
    <row r="21" spans="1:16" hidden="1">
      <c r="A21" s="1678" t="s">
        <v>23</v>
      </c>
      <c r="B21" s="1682">
        <v>2247948</v>
      </c>
      <c r="C21" s="1682">
        <v>2165001</v>
      </c>
      <c r="D21" s="1682">
        <v>51983</v>
      </c>
      <c r="E21" s="1682">
        <v>82947</v>
      </c>
      <c r="F21" s="1682">
        <v>2626128</v>
      </c>
      <c r="G21" s="1682">
        <v>2375528</v>
      </c>
      <c r="H21" s="1682"/>
      <c r="I21" s="1682">
        <v>250600</v>
      </c>
      <c r="J21" s="1682">
        <v>2285951</v>
      </c>
      <c r="K21" s="1682">
        <v>57031</v>
      </c>
      <c r="L21" s="1682">
        <v>89577</v>
      </c>
      <c r="M21" s="1427"/>
      <c r="N21" s="1427"/>
      <c r="O21" s="1427"/>
      <c r="P21" s="1427"/>
    </row>
    <row r="22" spans="1:16" hidden="1">
      <c r="A22" s="1678" t="s">
        <v>24</v>
      </c>
      <c r="B22" s="1682">
        <v>2322626</v>
      </c>
      <c r="C22" s="1682">
        <v>2238188</v>
      </c>
      <c r="D22" s="1682">
        <v>53076</v>
      </c>
      <c r="E22" s="1682">
        <v>84438</v>
      </c>
      <c r="F22" s="1682">
        <v>2712546</v>
      </c>
      <c r="G22" s="1682">
        <v>2451885</v>
      </c>
      <c r="H22" s="1682"/>
      <c r="I22" s="1682">
        <v>260661</v>
      </c>
      <c r="J22" s="1682">
        <v>2361082</v>
      </c>
      <c r="K22" s="1682">
        <v>57926</v>
      </c>
      <c r="L22" s="1682">
        <v>90803</v>
      </c>
      <c r="M22" s="1427"/>
      <c r="N22" s="1427"/>
      <c r="O22" s="1427"/>
      <c r="P22" s="1427"/>
    </row>
    <row r="23" spans="1:16" hidden="1">
      <c r="A23" s="1678" t="s">
        <v>25</v>
      </c>
      <c r="B23" s="1682">
        <v>2382378</v>
      </c>
      <c r="C23" s="1682">
        <v>2297127</v>
      </c>
      <c r="D23" s="1682">
        <v>53567</v>
      </c>
      <c r="E23" s="1682">
        <v>85251</v>
      </c>
      <c r="F23" s="1682">
        <v>2798023</v>
      </c>
      <c r="G23" s="1682">
        <v>2530124</v>
      </c>
      <c r="H23" s="1682"/>
      <c r="I23" s="1682">
        <v>267899</v>
      </c>
      <c r="J23" s="1682">
        <v>2438274</v>
      </c>
      <c r="K23" s="1682">
        <v>63333</v>
      </c>
      <c r="L23" s="1682">
        <v>91850</v>
      </c>
      <c r="M23" s="1427"/>
      <c r="N23" s="1427"/>
      <c r="O23" s="1427"/>
      <c r="P23" s="1427"/>
    </row>
    <row r="24" spans="1:16" hidden="1">
      <c r="A24" s="1678" t="s">
        <v>26</v>
      </c>
      <c r="B24" s="1682">
        <v>2383798</v>
      </c>
      <c r="C24" s="1682">
        <v>2383798</v>
      </c>
      <c r="D24" s="1682">
        <v>52936</v>
      </c>
      <c r="E24" s="1682">
        <v>82818</v>
      </c>
      <c r="F24" s="1682">
        <v>2837109</v>
      </c>
      <c r="G24" s="1682">
        <v>2560042</v>
      </c>
      <c r="H24" s="1682"/>
      <c r="I24" s="1682">
        <v>277067</v>
      </c>
      <c r="J24" s="1682">
        <v>2468994</v>
      </c>
      <c r="K24" s="1682">
        <v>62200</v>
      </c>
      <c r="L24" s="1682">
        <v>91048</v>
      </c>
      <c r="M24" s="1427"/>
      <c r="N24" s="1427"/>
      <c r="O24" s="1427"/>
      <c r="P24" s="1427"/>
    </row>
    <row r="25" spans="1:16" hidden="1">
      <c r="A25" s="1678" t="s">
        <v>27</v>
      </c>
      <c r="B25" s="1682">
        <v>2503316</v>
      </c>
      <c r="C25" s="1682">
        <v>2415053</v>
      </c>
      <c r="D25" s="1682">
        <v>64766</v>
      </c>
      <c r="E25" s="1682">
        <v>88263</v>
      </c>
      <c r="F25" s="1682">
        <v>2975397</v>
      </c>
      <c r="G25" s="1682">
        <v>2683341</v>
      </c>
      <c r="H25" s="1682"/>
      <c r="I25" s="1682">
        <v>292056</v>
      </c>
      <c r="J25" s="1682">
        <v>2589037</v>
      </c>
      <c r="K25" s="1682">
        <v>64766</v>
      </c>
      <c r="L25" s="1682">
        <v>94304</v>
      </c>
      <c r="M25" s="1427"/>
      <c r="N25" s="1427"/>
      <c r="O25" s="1427"/>
      <c r="P25" s="1427"/>
    </row>
    <row r="26" spans="1:16" hidden="1">
      <c r="A26" s="1678" t="s">
        <v>28</v>
      </c>
      <c r="B26" s="1682">
        <v>2546604</v>
      </c>
      <c r="C26" s="1682">
        <v>2457313</v>
      </c>
      <c r="D26" s="1682">
        <v>54479</v>
      </c>
      <c r="E26" s="1682">
        <v>89291</v>
      </c>
      <c r="F26" s="1682">
        <v>3057713</v>
      </c>
      <c r="G26" s="1682">
        <v>2757026</v>
      </c>
      <c r="H26" s="1682"/>
      <c r="I26" s="1682">
        <v>300687</v>
      </c>
      <c r="J26" s="1682">
        <v>2661913</v>
      </c>
      <c r="K26" s="1682">
        <v>64616</v>
      </c>
      <c r="L26" s="1682">
        <v>95113</v>
      </c>
      <c r="M26" s="1427"/>
      <c r="N26" s="1427"/>
      <c r="O26" s="1427"/>
      <c r="P26" s="1427"/>
    </row>
    <row r="27" spans="1:16" hidden="1">
      <c r="A27" s="1678" t="s">
        <v>29</v>
      </c>
      <c r="B27" s="1682">
        <v>2588957</v>
      </c>
      <c r="C27" s="1682">
        <v>2494325</v>
      </c>
      <c r="D27" s="1682">
        <v>57965</v>
      </c>
      <c r="E27" s="1682">
        <v>94632</v>
      </c>
      <c r="F27" s="1682">
        <v>3173876</v>
      </c>
      <c r="G27" s="1682">
        <v>2896583</v>
      </c>
      <c r="H27" s="1682"/>
      <c r="I27" s="1682">
        <v>277293</v>
      </c>
      <c r="J27" s="1682">
        <v>2772884</v>
      </c>
      <c r="K27" s="1682">
        <v>68717</v>
      </c>
      <c r="L27" s="1682">
        <v>123699</v>
      </c>
      <c r="M27" s="1427"/>
      <c r="N27" s="1427"/>
      <c r="O27" s="1427"/>
      <c r="P27" s="1427"/>
    </row>
    <row r="28" spans="1:16">
      <c r="A28" s="1681">
        <v>2011</v>
      </c>
      <c r="B28" s="1682">
        <v>2916678</v>
      </c>
      <c r="C28" s="1682">
        <v>2831807</v>
      </c>
      <c r="D28" s="1682">
        <v>53175</v>
      </c>
      <c r="E28" s="1682">
        <v>84871</v>
      </c>
      <c r="F28" s="1682">
        <v>4077125</v>
      </c>
      <c r="G28" s="1682">
        <v>3730551</v>
      </c>
      <c r="H28" s="1682"/>
      <c r="I28" s="1682">
        <v>346574</v>
      </c>
      <c r="J28" s="1682">
        <v>3604632</v>
      </c>
      <c r="K28" s="1682">
        <v>70791</v>
      </c>
      <c r="L28" s="1682">
        <v>125919</v>
      </c>
      <c r="M28" s="1427"/>
      <c r="N28" s="1427"/>
      <c r="O28" s="1427"/>
      <c r="P28" s="1427"/>
    </row>
    <row r="29" spans="1:16" hidden="1">
      <c r="A29" s="1678" t="s">
        <v>18</v>
      </c>
      <c r="B29" s="1682">
        <v>2532935</v>
      </c>
      <c r="C29" s="1682">
        <v>2449042</v>
      </c>
      <c r="D29" s="1682">
        <v>46450</v>
      </c>
      <c r="E29" s="1682">
        <v>83893</v>
      </c>
      <c r="F29" s="1682">
        <v>3273522</v>
      </c>
      <c r="G29" s="1682">
        <v>3009183</v>
      </c>
      <c r="H29" s="1682"/>
      <c r="I29" s="1682">
        <v>264339</v>
      </c>
      <c r="J29" s="1682">
        <v>2885233</v>
      </c>
      <c r="K29" s="1682">
        <v>62677</v>
      </c>
      <c r="L29" s="1682">
        <v>123950</v>
      </c>
      <c r="M29" s="1427"/>
      <c r="N29" s="1427"/>
      <c r="O29" s="1427"/>
      <c r="P29" s="1427"/>
    </row>
    <row r="30" spans="1:16" hidden="1">
      <c r="A30" s="1678" t="s">
        <v>19</v>
      </c>
      <c r="B30" s="1682">
        <v>2576435</v>
      </c>
      <c r="C30" s="1682">
        <v>2493277</v>
      </c>
      <c r="D30" s="1682">
        <v>44825</v>
      </c>
      <c r="E30" s="1682">
        <v>83158</v>
      </c>
      <c r="F30" s="1682">
        <v>3217098</v>
      </c>
      <c r="G30" s="1682">
        <v>2944542</v>
      </c>
      <c r="H30" s="1682"/>
      <c r="I30" s="1682">
        <v>272556</v>
      </c>
      <c r="J30" s="1682">
        <v>2823337</v>
      </c>
      <c r="K30" s="1682">
        <v>61019</v>
      </c>
      <c r="L30" s="1682">
        <v>121205</v>
      </c>
      <c r="M30" s="1427"/>
      <c r="N30" s="1427"/>
      <c r="O30" s="1427"/>
      <c r="P30" s="1427"/>
    </row>
    <row r="31" spans="1:16" hidden="1">
      <c r="A31" s="1678" t="s">
        <v>20</v>
      </c>
      <c r="B31" s="1682">
        <v>2551432</v>
      </c>
      <c r="C31" s="1682">
        <v>2468503</v>
      </c>
      <c r="D31" s="1682">
        <v>41358</v>
      </c>
      <c r="E31" s="1682">
        <v>82929</v>
      </c>
      <c r="F31" s="1682">
        <v>3299264</v>
      </c>
      <c r="G31" s="1682">
        <v>3018754</v>
      </c>
      <c r="H31" s="1682"/>
      <c r="I31" s="1682">
        <v>280510</v>
      </c>
      <c r="J31" s="1682">
        <v>2897219</v>
      </c>
      <c r="K31" s="1682">
        <v>60102</v>
      </c>
      <c r="L31" s="1682">
        <v>121535</v>
      </c>
      <c r="M31" s="1427"/>
      <c r="N31" s="1427"/>
      <c r="O31" s="1427"/>
      <c r="P31" s="1427"/>
    </row>
    <row r="32" spans="1:16" hidden="1">
      <c r="A32" s="1678" t="s">
        <v>21</v>
      </c>
      <c r="B32" s="1682">
        <v>2497754</v>
      </c>
      <c r="C32" s="1682">
        <v>2415694</v>
      </c>
      <c r="D32" s="1682">
        <v>41759</v>
      </c>
      <c r="E32" s="1682">
        <v>82060</v>
      </c>
      <c r="F32" s="1682">
        <v>3294808</v>
      </c>
      <c r="G32" s="1682">
        <v>3006587</v>
      </c>
      <c r="H32" s="1682"/>
      <c r="I32" s="1682">
        <v>288221</v>
      </c>
      <c r="J32" s="1682">
        <v>2886039</v>
      </c>
      <c r="K32" s="1682">
        <v>62954</v>
      </c>
      <c r="L32" s="1682">
        <v>120548</v>
      </c>
      <c r="M32" s="1427"/>
      <c r="N32" s="1427"/>
      <c r="O32" s="1427"/>
      <c r="P32" s="1427"/>
    </row>
    <row r="33" spans="1:16" hidden="1">
      <c r="A33" s="1678" t="s">
        <v>22</v>
      </c>
      <c r="B33" s="1682">
        <v>2582960</v>
      </c>
      <c r="C33" s="1682">
        <v>2498982</v>
      </c>
      <c r="D33" s="1682">
        <v>43583</v>
      </c>
      <c r="E33" s="1682">
        <v>83978</v>
      </c>
      <c r="F33" s="1682">
        <v>3411641</v>
      </c>
      <c r="G33" s="1682">
        <v>3120003</v>
      </c>
      <c r="H33" s="1682"/>
      <c r="I33" s="1682">
        <v>291638</v>
      </c>
      <c r="J33" s="1682">
        <v>2996137</v>
      </c>
      <c r="K33" s="1682">
        <v>64686</v>
      </c>
      <c r="L33" s="1682">
        <v>123866</v>
      </c>
      <c r="M33" s="1427"/>
      <c r="N33" s="1427"/>
      <c r="O33" s="1427"/>
      <c r="P33" s="1427"/>
    </row>
    <row r="34" spans="1:16" hidden="1">
      <c r="A34" s="1678" t="s">
        <v>23</v>
      </c>
      <c r="B34" s="1682">
        <v>2658675</v>
      </c>
      <c r="C34" s="1682">
        <v>2574312</v>
      </c>
      <c r="D34" s="1682">
        <v>44677</v>
      </c>
      <c r="E34" s="1682">
        <v>84363</v>
      </c>
      <c r="F34" s="1682">
        <v>3516574</v>
      </c>
      <c r="G34" s="1682">
        <v>3217030</v>
      </c>
      <c r="H34" s="1682"/>
      <c r="I34" s="1682">
        <v>299544</v>
      </c>
      <c r="J34" s="1682">
        <v>3096908</v>
      </c>
      <c r="K34" s="1682">
        <v>66435</v>
      </c>
      <c r="L34" s="1682">
        <v>120122</v>
      </c>
      <c r="M34" s="1427"/>
      <c r="N34" s="1427"/>
      <c r="O34" s="1427"/>
      <c r="P34" s="1427"/>
    </row>
    <row r="35" spans="1:16" hidden="1">
      <c r="A35" s="1678" t="s">
        <v>24</v>
      </c>
      <c r="B35" s="1682">
        <v>2664188</v>
      </c>
      <c r="C35" s="1682">
        <v>2577896</v>
      </c>
      <c r="D35" s="1682">
        <v>45622</v>
      </c>
      <c r="E35" s="1682">
        <v>86292</v>
      </c>
      <c r="F35" s="1682">
        <v>3615651</v>
      </c>
      <c r="G35" s="1682">
        <v>3308956</v>
      </c>
      <c r="H35" s="1682"/>
      <c r="I35" s="1682">
        <v>306695</v>
      </c>
      <c r="J35" s="1682">
        <v>3180614</v>
      </c>
      <c r="K35" s="1682">
        <v>67479</v>
      </c>
      <c r="L35" s="1682">
        <v>128342</v>
      </c>
      <c r="M35" s="1427"/>
      <c r="N35" s="1427"/>
      <c r="O35" s="1427"/>
      <c r="P35" s="1427"/>
    </row>
    <row r="36" spans="1:16" hidden="1">
      <c r="A36" s="1678" t="s">
        <v>25</v>
      </c>
      <c r="B36" s="1682">
        <v>2746704</v>
      </c>
      <c r="C36" s="1682">
        <v>2660204</v>
      </c>
      <c r="D36" s="1682">
        <v>46097</v>
      </c>
      <c r="E36" s="1682">
        <v>86500</v>
      </c>
      <c r="F36" s="1682">
        <v>3687878</v>
      </c>
      <c r="G36" s="1682">
        <v>3373043</v>
      </c>
      <c r="H36" s="1682"/>
      <c r="I36" s="1682">
        <v>314835</v>
      </c>
      <c r="J36" s="1682">
        <v>3243111</v>
      </c>
      <c r="K36" s="1682">
        <v>66949</v>
      </c>
      <c r="L36" s="1682">
        <v>129932</v>
      </c>
      <c r="M36" s="1427"/>
      <c r="N36" s="1427"/>
      <c r="O36" s="1427"/>
      <c r="P36" s="1427"/>
    </row>
    <row r="37" spans="1:16" hidden="1">
      <c r="A37" s="1678" t="s">
        <v>26</v>
      </c>
      <c r="B37" s="1682">
        <v>2732671</v>
      </c>
      <c r="C37" s="1682">
        <v>2645243</v>
      </c>
      <c r="D37" s="1682">
        <v>46367</v>
      </c>
      <c r="E37" s="1682">
        <v>87428</v>
      </c>
      <c r="F37" s="1682">
        <v>3692107</v>
      </c>
      <c r="G37" s="1682">
        <v>3367163</v>
      </c>
      <c r="H37" s="1682"/>
      <c r="I37" s="1682">
        <v>324944</v>
      </c>
      <c r="J37" s="1682">
        <v>3234314</v>
      </c>
      <c r="K37" s="1682">
        <v>66865</v>
      </c>
      <c r="L37" s="1682">
        <v>132849</v>
      </c>
      <c r="M37" s="1427"/>
      <c r="N37" s="1427"/>
      <c r="O37" s="1427"/>
      <c r="P37" s="1427"/>
    </row>
    <row r="38" spans="1:16" hidden="1">
      <c r="A38" s="1678" t="s">
        <v>27</v>
      </c>
      <c r="B38" s="1682">
        <v>2821827</v>
      </c>
      <c r="C38" s="1682">
        <v>2736328</v>
      </c>
      <c r="D38" s="1682">
        <v>52053</v>
      </c>
      <c r="E38" s="1682">
        <v>85499</v>
      </c>
      <c r="F38" s="1682">
        <v>3896163</v>
      </c>
      <c r="G38" s="1682">
        <v>3566494</v>
      </c>
      <c r="H38" s="1682"/>
      <c r="I38" s="1682">
        <v>329669</v>
      </c>
      <c r="J38" s="1682">
        <v>3431999</v>
      </c>
      <c r="K38" s="1682">
        <v>68612</v>
      </c>
      <c r="L38" s="1682">
        <v>134495</v>
      </c>
      <c r="M38" s="1427"/>
      <c r="N38" s="1427"/>
      <c r="O38" s="1427"/>
      <c r="P38" s="1427"/>
    </row>
    <row r="39" spans="1:16" hidden="1">
      <c r="A39" s="1678" t="s">
        <v>28</v>
      </c>
      <c r="B39" s="1682">
        <v>2868688</v>
      </c>
      <c r="C39" s="1682">
        <v>2783452</v>
      </c>
      <c r="D39" s="1682">
        <v>52678</v>
      </c>
      <c r="E39" s="1682">
        <v>85236</v>
      </c>
      <c r="F39" s="1682">
        <v>3988446</v>
      </c>
      <c r="G39" s="1682">
        <v>3650090</v>
      </c>
      <c r="H39" s="1682"/>
      <c r="I39" s="1682">
        <v>338356</v>
      </c>
      <c r="J39" s="1682">
        <v>3515624</v>
      </c>
      <c r="K39" s="1682">
        <v>69417</v>
      </c>
      <c r="L39" s="1682">
        <v>134466</v>
      </c>
      <c r="M39" s="1427"/>
      <c r="N39" s="1427"/>
      <c r="O39" s="1427"/>
      <c r="P39" s="1427"/>
    </row>
    <row r="40" spans="1:16" hidden="1">
      <c r="A40" s="1678" t="s">
        <v>29</v>
      </c>
      <c r="B40" s="1682">
        <v>2916678</v>
      </c>
      <c r="C40" s="1682">
        <v>2831807</v>
      </c>
      <c r="D40" s="1682">
        <v>53175</v>
      </c>
      <c r="E40" s="1682">
        <v>84871</v>
      </c>
      <c r="F40" s="1682">
        <v>4077125</v>
      </c>
      <c r="G40" s="1682">
        <v>3730551</v>
      </c>
      <c r="H40" s="1682"/>
      <c r="I40" s="1682">
        <v>346574</v>
      </c>
      <c r="J40" s="1682">
        <v>3604632</v>
      </c>
      <c r="K40" s="1682">
        <v>70791</v>
      </c>
      <c r="L40" s="1682">
        <v>125919</v>
      </c>
      <c r="M40" s="1427"/>
      <c r="N40" s="1427"/>
      <c r="O40" s="1427"/>
      <c r="P40" s="1427"/>
    </row>
    <row r="41" spans="1:16">
      <c r="A41" s="1681" t="s">
        <v>1301</v>
      </c>
      <c r="B41" s="1682">
        <v>3702832</v>
      </c>
      <c r="C41" s="1682">
        <v>3609503</v>
      </c>
      <c r="D41" s="1682">
        <v>83858</v>
      </c>
      <c r="E41" s="1682">
        <v>93329</v>
      </c>
      <c r="F41" s="1682">
        <v>5899888</v>
      </c>
      <c r="G41" s="1682">
        <v>5471017</v>
      </c>
      <c r="H41" s="1682"/>
      <c r="I41" s="1682">
        <v>428871</v>
      </c>
      <c r="J41" s="1682">
        <v>5313983</v>
      </c>
      <c r="K41" s="1682">
        <v>92132</v>
      </c>
      <c r="L41" s="1682">
        <v>157034</v>
      </c>
      <c r="M41" s="1427"/>
      <c r="N41" s="1427"/>
      <c r="O41" s="1427"/>
      <c r="P41" s="1427"/>
    </row>
    <row r="42" spans="1:16" hidden="1">
      <c r="A42" s="1678" t="s">
        <v>18</v>
      </c>
      <c r="B42" s="1682">
        <v>2912461</v>
      </c>
      <c r="C42" s="1682">
        <v>2829041</v>
      </c>
      <c r="D42" s="1682">
        <v>52803</v>
      </c>
      <c r="E42" s="1682">
        <v>83420</v>
      </c>
      <c r="F42" s="1682">
        <v>4146445</v>
      </c>
      <c r="G42" s="1682">
        <v>3786037</v>
      </c>
      <c r="H42" s="1682"/>
      <c r="I42" s="1682">
        <v>360408</v>
      </c>
      <c r="J42" s="1682">
        <v>3648841</v>
      </c>
      <c r="K42" s="1682">
        <v>70812</v>
      </c>
      <c r="L42" s="1682">
        <v>137196</v>
      </c>
      <c r="M42" s="1427"/>
      <c r="N42" s="1427"/>
      <c r="O42" s="1427"/>
      <c r="P42" s="1427"/>
    </row>
    <row r="43" spans="1:16" hidden="1">
      <c r="A43" s="1678" t="s">
        <v>19</v>
      </c>
      <c r="B43" s="1682">
        <v>2948643</v>
      </c>
      <c r="C43" s="1682">
        <v>2864224</v>
      </c>
      <c r="D43" s="1682">
        <v>56881</v>
      </c>
      <c r="E43" s="1682">
        <v>84419</v>
      </c>
      <c r="F43" s="1682">
        <v>4236074</v>
      </c>
      <c r="G43" s="1682">
        <v>3870516</v>
      </c>
      <c r="H43" s="1682"/>
      <c r="I43" s="1682">
        <v>365558</v>
      </c>
      <c r="J43" s="1682">
        <v>3731715</v>
      </c>
      <c r="K43" s="1682">
        <v>75139</v>
      </c>
      <c r="L43" s="1682">
        <v>138801</v>
      </c>
      <c r="M43" s="1427"/>
      <c r="N43" s="1427"/>
      <c r="O43" s="1427"/>
      <c r="P43" s="1427"/>
    </row>
    <row r="44" spans="1:16" hidden="1">
      <c r="A44" s="1678" t="s">
        <v>20</v>
      </c>
      <c r="B44" s="1682">
        <v>3002854</v>
      </c>
      <c r="C44" s="1682">
        <v>2917672</v>
      </c>
      <c r="D44" s="1682">
        <v>60914</v>
      </c>
      <c r="E44" s="1682">
        <v>85182</v>
      </c>
      <c r="F44" s="1682">
        <v>4345888</v>
      </c>
      <c r="G44" s="1682">
        <v>3970480</v>
      </c>
      <c r="H44" s="1682"/>
      <c r="I44" s="1682">
        <v>375408</v>
      </c>
      <c r="J44" s="1682">
        <v>3830047</v>
      </c>
      <c r="K44" s="1682">
        <v>79374</v>
      </c>
      <c r="L44" s="1682">
        <v>140433</v>
      </c>
      <c r="M44" s="1427"/>
      <c r="N44" s="1427"/>
      <c r="O44" s="1427"/>
      <c r="P44" s="1427"/>
    </row>
    <row r="45" spans="1:16" hidden="1">
      <c r="A45" s="1678" t="s">
        <v>21</v>
      </c>
      <c r="B45" s="1682">
        <v>3068357</v>
      </c>
      <c r="C45" s="1682">
        <v>2981865</v>
      </c>
      <c r="D45" s="1682">
        <v>65497</v>
      </c>
      <c r="E45" s="1682">
        <v>86492</v>
      </c>
      <c r="F45" s="1682">
        <v>4478163</v>
      </c>
      <c r="G45" s="1682">
        <v>4097355</v>
      </c>
      <c r="H45" s="1682"/>
      <c r="I45" s="1682">
        <v>380808</v>
      </c>
      <c r="J45" s="1682">
        <v>3952487</v>
      </c>
      <c r="K45" s="1682">
        <v>82942</v>
      </c>
      <c r="L45" s="1682">
        <v>144868</v>
      </c>
      <c r="M45" s="1427"/>
      <c r="N45" s="1427"/>
      <c r="O45" s="1427"/>
      <c r="P45" s="1427"/>
    </row>
    <row r="46" spans="1:16" hidden="1">
      <c r="A46" s="1678" t="s">
        <v>22</v>
      </c>
      <c r="B46" s="1682">
        <v>3223003</v>
      </c>
      <c r="C46" s="1682">
        <v>3127593</v>
      </c>
      <c r="D46" s="1682">
        <v>67957</v>
      </c>
      <c r="E46" s="1682">
        <v>95411</v>
      </c>
      <c r="F46" s="1682">
        <v>4723638</v>
      </c>
      <c r="G46" s="1682">
        <v>4331798</v>
      </c>
      <c r="H46" s="1682"/>
      <c r="I46" s="1682">
        <v>391840</v>
      </c>
      <c r="J46" s="1682">
        <v>4180423</v>
      </c>
      <c r="K46" s="1682">
        <v>86888</v>
      </c>
      <c r="L46" s="1682">
        <v>151375</v>
      </c>
      <c r="M46" s="1427"/>
      <c r="N46" s="1427"/>
      <c r="O46" s="1427"/>
      <c r="P46" s="1427"/>
    </row>
    <row r="47" spans="1:16" hidden="1">
      <c r="A47" s="1678" t="s">
        <v>23</v>
      </c>
      <c r="B47" s="1682">
        <v>3290332</v>
      </c>
      <c r="C47" s="1682">
        <v>3194176</v>
      </c>
      <c r="D47" s="1682">
        <v>69007</v>
      </c>
      <c r="E47" s="1682">
        <v>96157</v>
      </c>
      <c r="F47" s="1682">
        <v>4838585</v>
      </c>
      <c r="G47" s="1682">
        <v>4444123</v>
      </c>
      <c r="H47" s="1682"/>
      <c r="I47" s="1682">
        <v>394462</v>
      </c>
      <c r="J47" s="1682">
        <v>4299611</v>
      </c>
      <c r="K47" s="1682">
        <v>87921</v>
      </c>
      <c r="L47" s="1682">
        <v>144512</v>
      </c>
      <c r="M47" s="1427"/>
      <c r="N47" s="1427"/>
      <c r="O47" s="1427"/>
      <c r="P47" s="1427"/>
    </row>
    <row r="48" spans="1:16" hidden="1">
      <c r="A48" s="1678" t="s">
        <v>24</v>
      </c>
      <c r="B48" s="1682">
        <v>3265944</v>
      </c>
      <c r="C48" s="1682">
        <v>3177283</v>
      </c>
      <c r="D48" s="1682">
        <v>67593</v>
      </c>
      <c r="E48" s="1682">
        <v>88662</v>
      </c>
      <c r="F48" s="1682">
        <v>4918895</v>
      </c>
      <c r="G48" s="1682">
        <v>4522489</v>
      </c>
      <c r="H48" s="1682"/>
      <c r="I48" s="1682">
        <v>396406</v>
      </c>
      <c r="J48" s="1682">
        <v>4380219</v>
      </c>
      <c r="K48" s="1682">
        <v>85240</v>
      </c>
      <c r="L48" s="1682">
        <v>142270</v>
      </c>
      <c r="M48" s="1427"/>
      <c r="N48" s="1427"/>
      <c r="O48" s="1427"/>
      <c r="P48" s="1427"/>
    </row>
    <row r="49" spans="1:16" hidden="1">
      <c r="A49" s="1678" t="s">
        <v>25</v>
      </c>
      <c r="B49" s="1682">
        <v>3303798</v>
      </c>
      <c r="C49" s="1682">
        <v>3214431</v>
      </c>
      <c r="D49" s="1682">
        <v>68221</v>
      </c>
      <c r="E49" s="1682">
        <v>89368</v>
      </c>
      <c r="F49" s="1682">
        <v>5046228</v>
      </c>
      <c r="G49" s="1682">
        <v>4643638</v>
      </c>
      <c r="H49" s="1682"/>
      <c r="I49" s="1682">
        <v>402590</v>
      </c>
      <c r="J49" s="1682">
        <v>4492485</v>
      </c>
      <c r="K49" s="1682">
        <v>86016</v>
      </c>
      <c r="L49" s="1682">
        <v>151153</v>
      </c>
      <c r="M49" s="1427"/>
      <c r="N49" s="1427"/>
      <c r="O49" s="1427"/>
      <c r="P49" s="1427"/>
    </row>
    <row r="50" spans="1:16" hidden="1">
      <c r="A50" s="1678" t="s">
        <v>26</v>
      </c>
      <c r="B50" s="1682">
        <v>3402481</v>
      </c>
      <c r="C50" s="1682">
        <v>3312173</v>
      </c>
      <c r="D50" s="1682">
        <v>69916</v>
      </c>
      <c r="E50" s="1682">
        <v>90309</v>
      </c>
      <c r="F50" s="1682">
        <v>5221689</v>
      </c>
      <c r="G50" s="1682">
        <v>4811365</v>
      </c>
      <c r="H50" s="1682"/>
      <c r="I50" s="1682">
        <v>410324</v>
      </c>
      <c r="J50" s="1682">
        <v>4658566</v>
      </c>
      <c r="K50" s="1682">
        <v>87863</v>
      </c>
      <c r="L50" s="1682">
        <v>152799</v>
      </c>
      <c r="M50" s="1427"/>
      <c r="N50" s="1427"/>
      <c r="O50" s="1427"/>
      <c r="P50" s="1427"/>
    </row>
    <row r="51" spans="1:16" hidden="1">
      <c r="A51" s="1678" t="s">
        <v>27</v>
      </c>
      <c r="B51" s="1682">
        <v>3491747</v>
      </c>
      <c r="C51" s="1682">
        <v>3400605</v>
      </c>
      <c r="D51" s="1682">
        <v>70950</v>
      </c>
      <c r="E51" s="1682">
        <v>91142</v>
      </c>
      <c r="F51" s="1682">
        <v>5425651</v>
      </c>
      <c r="G51" s="1682">
        <v>5008463</v>
      </c>
      <c r="H51" s="1682"/>
      <c r="I51" s="1682">
        <v>417188</v>
      </c>
      <c r="J51" s="1682">
        <v>4854085</v>
      </c>
      <c r="K51" s="1682">
        <v>89231</v>
      </c>
      <c r="L51" s="1682">
        <v>154378</v>
      </c>
      <c r="M51" s="1427"/>
      <c r="N51" s="1427"/>
      <c r="O51" s="1427"/>
      <c r="P51" s="1427"/>
    </row>
    <row r="52" spans="1:16" hidden="1">
      <c r="A52" s="1678" t="s">
        <v>28</v>
      </c>
      <c r="B52" s="1682">
        <v>3579947</v>
      </c>
      <c r="C52" s="1682">
        <v>3487918</v>
      </c>
      <c r="D52" s="1682">
        <v>72220</v>
      </c>
      <c r="E52" s="1682">
        <v>92029</v>
      </c>
      <c r="F52" s="1682">
        <v>5632906</v>
      </c>
      <c r="G52" s="1682">
        <v>5211062</v>
      </c>
      <c r="H52" s="1682"/>
      <c r="I52" s="1682">
        <v>421844</v>
      </c>
      <c r="J52" s="1682">
        <v>5054997</v>
      </c>
      <c r="K52" s="1682">
        <v>90448</v>
      </c>
      <c r="L52" s="1682">
        <v>156065</v>
      </c>
      <c r="M52" s="1427"/>
      <c r="N52" s="1427"/>
      <c r="O52" s="1427"/>
      <c r="P52" s="1427"/>
    </row>
    <row r="53" spans="1:16" hidden="1">
      <c r="A53" s="1678" t="s">
        <v>29</v>
      </c>
      <c r="B53" s="1682">
        <v>3702832</v>
      </c>
      <c r="C53" s="1682">
        <v>3609503</v>
      </c>
      <c r="D53" s="1682">
        <v>83858</v>
      </c>
      <c r="E53" s="1682">
        <v>93329</v>
      </c>
      <c r="F53" s="1682">
        <v>5899888</v>
      </c>
      <c r="G53" s="1682">
        <v>5471017</v>
      </c>
      <c r="H53" s="1682"/>
      <c r="I53" s="1682">
        <v>428871</v>
      </c>
      <c r="J53" s="1682">
        <v>5313983</v>
      </c>
      <c r="K53" s="1682">
        <v>92132</v>
      </c>
      <c r="L53" s="1682">
        <v>157034</v>
      </c>
      <c r="M53" s="1427"/>
      <c r="N53" s="1427"/>
      <c r="O53" s="1427"/>
      <c r="P53" s="1427"/>
    </row>
    <row r="54" spans="1:16">
      <c r="A54" s="1681" t="s">
        <v>1423</v>
      </c>
      <c r="B54" s="1682">
        <v>5275532</v>
      </c>
      <c r="C54" s="1682">
        <v>5175865</v>
      </c>
      <c r="D54" s="1682">
        <v>89357</v>
      </c>
      <c r="E54" s="1682">
        <v>99667</v>
      </c>
      <c r="F54" s="1682">
        <v>8999842</v>
      </c>
      <c r="G54" s="1682">
        <v>8459677</v>
      </c>
      <c r="H54" s="1682"/>
      <c r="I54" s="1682">
        <v>540165</v>
      </c>
      <c r="J54" s="1682">
        <v>8269663</v>
      </c>
      <c r="K54" s="1682">
        <v>134113</v>
      </c>
      <c r="L54" s="1682">
        <v>190014</v>
      </c>
      <c r="M54" s="1205"/>
      <c r="N54" s="1205"/>
      <c r="O54" s="1205"/>
      <c r="P54" s="1205"/>
    </row>
    <row r="55" spans="1:16" hidden="1">
      <c r="A55" s="1678" t="s">
        <v>18</v>
      </c>
      <c r="B55" s="1638">
        <v>3794593</v>
      </c>
      <c r="C55" s="1638">
        <v>3700693</v>
      </c>
      <c r="D55" s="1638">
        <v>75212</v>
      </c>
      <c r="E55" s="1638">
        <v>93900</v>
      </c>
      <c r="F55" s="1638">
        <v>5677206</v>
      </c>
      <c r="G55" s="1638">
        <v>5248493</v>
      </c>
      <c r="H55" s="1638"/>
      <c r="I55" s="1638">
        <v>428713</v>
      </c>
      <c r="J55" s="1638">
        <v>5076977</v>
      </c>
      <c r="K55" s="1638">
        <v>93884</v>
      </c>
      <c r="L55" s="1638">
        <v>171516</v>
      </c>
      <c r="M55" s="1205"/>
      <c r="N55" s="1205"/>
      <c r="O55" s="1205"/>
      <c r="P55" s="1205"/>
    </row>
    <row r="56" spans="1:16" hidden="1">
      <c r="A56" s="1678" t="s">
        <v>19</v>
      </c>
      <c r="B56" s="1638">
        <v>3916585</v>
      </c>
      <c r="C56" s="1638">
        <v>3820397</v>
      </c>
      <c r="D56" s="1638">
        <v>79184</v>
      </c>
      <c r="E56" s="1638">
        <v>96188</v>
      </c>
      <c r="F56" s="1638">
        <v>5923980</v>
      </c>
      <c r="G56" s="1638">
        <v>5487185</v>
      </c>
      <c r="H56" s="1638"/>
      <c r="I56" s="1638">
        <v>436795</v>
      </c>
      <c r="J56" s="1638">
        <v>5315173</v>
      </c>
      <c r="K56" s="1638">
        <v>98577</v>
      </c>
      <c r="L56" s="1638">
        <v>172012</v>
      </c>
      <c r="M56" s="1205"/>
      <c r="N56" s="1205"/>
      <c r="O56" s="1205"/>
      <c r="P56" s="1205"/>
    </row>
    <row r="57" spans="1:16" hidden="1">
      <c r="A57" s="1678" t="s">
        <v>20</v>
      </c>
      <c r="B57" s="1638">
        <v>4003943</v>
      </c>
      <c r="C57" s="1638">
        <v>3907170</v>
      </c>
      <c r="D57" s="1638">
        <v>79931</v>
      </c>
      <c r="E57" s="1638">
        <v>96773</v>
      </c>
      <c r="F57" s="1638">
        <v>6241709</v>
      </c>
      <c r="G57" s="1638">
        <v>5777900</v>
      </c>
      <c r="H57" s="1638"/>
      <c r="I57" s="1638">
        <v>463809</v>
      </c>
      <c r="J57" s="1638">
        <v>5601833</v>
      </c>
      <c r="K57" s="1638">
        <v>100485</v>
      </c>
      <c r="L57" s="1638">
        <v>176067</v>
      </c>
      <c r="M57" s="1205"/>
      <c r="N57" s="1205"/>
      <c r="O57" s="1205"/>
      <c r="P57" s="1205"/>
    </row>
    <row r="58" spans="1:16" hidden="1">
      <c r="A58" s="1678" t="s">
        <v>21</v>
      </c>
      <c r="B58" s="1638">
        <v>4157795</v>
      </c>
      <c r="C58" s="1638">
        <v>4060550</v>
      </c>
      <c r="D58" s="1638">
        <v>81332</v>
      </c>
      <c r="E58" s="1638">
        <v>97245</v>
      </c>
      <c r="F58" s="1638">
        <v>6584971</v>
      </c>
      <c r="G58" s="1638">
        <v>6113163</v>
      </c>
      <c r="H58" s="1638"/>
      <c r="I58" s="1638">
        <v>471808</v>
      </c>
      <c r="J58" s="1638">
        <v>5938444</v>
      </c>
      <c r="K58" s="1638">
        <v>102116</v>
      </c>
      <c r="L58" s="1638">
        <v>174719</v>
      </c>
      <c r="M58" s="1205"/>
      <c r="N58" s="1205"/>
      <c r="O58" s="1205"/>
      <c r="P58" s="1205"/>
    </row>
    <row r="59" spans="1:16" hidden="1">
      <c r="A59" s="1678" t="s">
        <v>22</v>
      </c>
      <c r="B59" s="1638">
        <v>4274679</v>
      </c>
      <c r="C59" s="1638">
        <v>4178449</v>
      </c>
      <c r="D59" s="1638">
        <v>82828</v>
      </c>
      <c r="E59" s="1638">
        <v>96230</v>
      </c>
      <c r="F59" s="1638">
        <v>6793012</v>
      </c>
      <c r="G59" s="1638">
        <v>6307822</v>
      </c>
      <c r="H59" s="1638"/>
      <c r="I59" s="1638">
        <v>485190</v>
      </c>
      <c r="J59" s="1638">
        <v>6111312</v>
      </c>
      <c r="K59" s="1638">
        <v>125878</v>
      </c>
      <c r="L59" s="1638">
        <v>196510</v>
      </c>
      <c r="M59" s="1205"/>
      <c r="N59" s="1205"/>
      <c r="O59" s="1205"/>
      <c r="P59" s="1205"/>
    </row>
    <row r="60" spans="1:16" hidden="1">
      <c r="A60" s="1678" t="s">
        <v>23</v>
      </c>
      <c r="B60" s="1638">
        <v>4412251</v>
      </c>
      <c r="C60" s="1638">
        <v>4315208</v>
      </c>
      <c r="D60" s="1638">
        <v>83928</v>
      </c>
      <c r="E60" s="1638">
        <v>97043</v>
      </c>
      <c r="F60" s="1638">
        <v>7078725</v>
      </c>
      <c r="G60" s="1638">
        <v>6594824</v>
      </c>
      <c r="H60" s="1638"/>
      <c r="I60" s="1638">
        <v>483901</v>
      </c>
      <c r="J60" s="1638">
        <v>6420247</v>
      </c>
      <c r="K60" s="1638">
        <v>127261</v>
      </c>
      <c r="L60" s="1638">
        <v>174577</v>
      </c>
      <c r="M60" s="1205"/>
      <c r="N60" s="1205"/>
      <c r="O60" s="1205"/>
      <c r="P60" s="1205"/>
    </row>
    <row r="61" spans="1:16" hidden="1">
      <c r="A61" s="1678" t="s">
        <v>24</v>
      </c>
      <c r="B61" s="1638">
        <v>4615706</v>
      </c>
      <c r="C61" s="1638">
        <v>4517856</v>
      </c>
      <c r="D61" s="1638">
        <v>84524</v>
      </c>
      <c r="E61" s="1638">
        <v>97850</v>
      </c>
      <c r="F61" s="1638">
        <v>7385214</v>
      </c>
      <c r="G61" s="1638">
        <v>6894277</v>
      </c>
      <c r="H61" s="1638"/>
      <c r="I61" s="1638">
        <v>490937</v>
      </c>
      <c r="J61" s="1638">
        <v>6727799</v>
      </c>
      <c r="K61" s="1638">
        <v>127200</v>
      </c>
      <c r="L61" s="1638">
        <v>166478</v>
      </c>
      <c r="M61" s="1205"/>
      <c r="N61" s="1205"/>
      <c r="O61" s="1205"/>
      <c r="P61" s="1205"/>
    </row>
    <row r="62" spans="1:16" hidden="1">
      <c r="A62" s="1678" t="s">
        <v>25</v>
      </c>
      <c r="B62" s="1638">
        <v>4755237</v>
      </c>
      <c r="C62" s="1638">
        <v>4654413</v>
      </c>
      <c r="D62" s="1638">
        <v>85866</v>
      </c>
      <c r="E62" s="1638">
        <v>100824</v>
      </c>
      <c r="F62" s="1638">
        <v>7681665</v>
      </c>
      <c r="G62" s="1638">
        <v>7181640</v>
      </c>
      <c r="H62" s="1638"/>
      <c r="I62" s="1638">
        <v>500025</v>
      </c>
      <c r="J62" s="1638">
        <v>7002609</v>
      </c>
      <c r="K62" s="1638">
        <v>129313</v>
      </c>
      <c r="L62" s="1638">
        <v>179031</v>
      </c>
      <c r="M62" s="1205"/>
      <c r="N62" s="1205"/>
      <c r="O62" s="1205"/>
      <c r="P62" s="1205"/>
    </row>
    <row r="63" spans="1:16" hidden="1">
      <c r="A63" s="1678" t="s">
        <v>26</v>
      </c>
      <c r="B63" s="1638">
        <v>4860358</v>
      </c>
      <c r="C63" s="1638">
        <v>4761452</v>
      </c>
      <c r="D63" s="1638">
        <v>85676</v>
      </c>
      <c r="E63" s="1638">
        <v>98906</v>
      </c>
      <c r="F63" s="1638">
        <v>8009442</v>
      </c>
      <c r="G63" s="1638">
        <v>7502445</v>
      </c>
      <c r="H63" s="1638"/>
      <c r="I63" s="1638">
        <v>506997</v>
      </c>
      <c r="J63" s="1638">
        <v>7324918</v>
      </c>
      <c r="K63" s="1638">
        <v>130797</v>
      </c>
      <c r="L63" s="1638">
        <v>177527</v>
      </c>
      <c r="M63" s="1205"/>
      <c r="N63" s="1205"/>
      <c r="O63" s="1205"/>
      <c r="P63" s="1205"/>
    </row>
    <row r="64" spans="1:16" hidden="1">
      <c r="A64" s="1678" t="s">
        <v>27</v>
      </c>
      <c r="B64" s="1638">
        <v>5110636</v>
      </c>
      <c r="C64" s="1638">
        <v>5009287</v>
      </c>
      <c r="D64" s="1638">
        <v>89288</v>
      </c>
      <c r="E64" s="1638">
        <v>101349</v>
      </c>
      <c r="F64" s="1638">
        <v>8382999</v>
      </c>
      <c r="G64" s="1638">
        <v>7860256</v>
      </c>
      <c r="H64" s="1638"/>
      <c r="I64" s="1638">
        <v>522743</v>
      </c>
      <c r="J64" s="1638">
        <v>7679541</v>
      </c>
      <c r="K64" s="1638">
        <v>131050</v>
      </c>
      <c r="L64" s="1638">
        <v>180715</v>
      </c>
      <c r="M64" s="1205"/>
      <c r="N64" s="1205"/>
      <c r="O64" s="1205"/>
      <c r="P64" s="1205"/>
    </row>
    <row r="65" spans="1:16" hidden="1">
      <c r="A65" s="1678" t="s">
        <v>28</v>
      </c>
      <c r="B65" s="1638">
        <v>5178214</v>
      </c>
      <c r="C65" s="1638">
        <v>5082662</v>
      </c>
      <c r="D65" s="1638">
        <v>87776</v>
      </c>
      <c r="E65" s="1638">
        <v>95552</v>
      </c>
      <c r="F65" s="1638">
        <v>8658990</v>
      </c>
      <c r="G65" s="1638">
        <v>8128804</v>
      </c>
      <c r="H65" s="1638"/>
      <c r="I65" s="1638">
        <v>530186</v>
      </c>
      <c r="J65" s="1638">
        <v>7944250</v>
      </c>
      <c r="K65" s="1638">
        <v>134941</v>
      </c>
      <c r="L65" s="1638">
        <v>184554</v>
      </c>
      <c r="M65" s="1205"/>
      <c r="N65" s="1205"/>
      <c r="O65" s="1205"/>
      <c r="P65" s="1205"/>
    </row>
    <row r="66" spans="1:16" hidden="1">
      <c r="A66" s="1678" t="s">
        <v>29</v>
      </c>
      <c r="B66" s="1638">
        <v>5275532</v>
      </c>
      <c r="C66" s="1638">
        <v>5175865</v>
      </c>
      <c r="D66" s="1638">
        <v>89357</v>
      </c>
      <c r="E66" s="1638">
        <v>99667</v>
      </c>
      <c r="F66" s="1638">
        <v>8999842</v>
      </c>
      <c r="G66" s="1638">
        <v>8459677</v>
      </c>
      <c r="H66" s="1638"/>
      <c r="I66" s="1638">
        <v>540165</v>
      </c>
      <c r="J66" s="1638">
        <v>8269663</v>
      </c>
      <c r="K66" s="1638">
        <v>134113</v>
      </c>
      <c r="L66" s="1638">
        <v>190014</v>
      </c>
      <c r="M66" s="776"/>
      <c r="N66" s="776"/>
      <c r="O66" s="776"/>
      <c r="P66" s="776"/>
    </row>
    <row r="67" spans="1:16">
      <c r="A67" s="1681" t="s">
        <v>1634</v>
      </c>
      <c r="B67" s="1555">
        <v>5146029</v>
      </c>
      <c r="C67" s="1555">
        <v>5049500</v>
      </c>
      <c r="D67" s="1555">
        <v>168941</v>
      </c>
      <c r="E67" s="1555">
        <v>96529</v>
      </c>
      <c r="F67" s="1555">
        <v>13985130</v>
      </c>
      <c r="G67" s="1555">
        <v>10447130</v>
      </c>
      <c r="H67" s="1555">
        <v>3136408</v>
      </c>
      <c r="I67" s="1555">
        <v>401592</v>
      </c>
      <c r="J67" s="1555">
        <v>10271550</v>
      </c>
      <c r="K67" s="1555">
        <v>184280</v>
      </c>
      <c r="L67" s="1555">
        <v>175580</v>
      </c>
      <c r="M67" s="1205"/>
      <c r="N67" s="1205"/>
      <c r="O67" s="1205"/>
      <c r="P67" s="1205"/>
    </row>
    <row r="68" spans="1:16" hidden="1">
      <c r="A68" s="1678" t="s">
        <v>18</v>
      </c>
      <c r="B68" s="1638">
        <v>4839561</v>
      </c>
      <c r="C68" s="1638">
        <v>4741921</v>
      </c>
      <c r="D68" s="1638">
        <v>91741</v>
      </c>
      <c r="E68" s="1638">
        <v>97640</v>
      </c>
      <c r="F68" s="1638">
        <v>9073335</v>
      </c>
      <c r="G68" s="1638">
        <v>8553925</v>
      </c>
      <c r="H68" s="1638"/>
      <c r="I68" s="1638">
        <v>519410</v>
      </c>
      <c r="J68" s="1638">
        <v>8368683</v>
      </c>
      <c r="K68" s="1638">
        <v>138247</v>
      </c>
      <c r="L68" s="1638">
        <v>185242</v>
      </c>
      <c r="M68" s="1205"/>
      <c r="N68" s="1205"/>
      <c r="O68" s="1205"/>
      <c r="P68" s="1205"/>
    </row>
    <row r="69" spans="1:16" hidden="1">
      <c r="A69" s="1678" t="s">
        <v>19</v>
      </c>
      <c r="B69" s="1638">
        <v>4350499</v>
      </c>
      <c r="C69" s="1638">
        <v>4253059</v>
      </c>
      <c r="D69" s="1638">
        <v>87354</v>
      </c>
      <c r="E69" s="1638">
        <v>97440</v>
      </c>
      <c r="F69" s="1638">
        <v>10449446</v>
      </c>
      <c r="G69" s="1638">
        <v>7887474</v>
      </c>
      <c r="H69" s="1638">
        <v>2267892</v>
      </c>
      <c r="I69" s="1638">
        <v>294080</v>
      </c>
      <c r="J69" s="1638">
        <v>7726419</v>
      </c>
      <c r="K69" s="1638">
        <v>129629</v>
      </c>
      <c r="L69" s="1638">
        <v>161055</v>
      </c>
      <c r="M69" s="1205"/>
      <c r="N69" s="1205"/>
      <c r="O69" s="1205"/>
      <c r="P69" s="1205"/>
    </row>
    <row r="70" spans="1:16" hidden="1">
      <c r="A70" s="1678" t="s">
        <v>20</v>
      </c>
      <c r="B70" s="1638">
        <v>4382781</v>
      </c>
      <c r="C70" s="1638">
        <v>4292809</v>
      </c>
      <c r="D70" s="1638">
        <v>91047</v>
      </c>
      <c r="E70" s="1638">
        <v>89972</v>
      </c>
      <c r="F70" s="1638">
        <v>10747591</v>
      </c>
      <c r="G70" s="1638">
        <v>8098597</v>
      </c>
      <c r="H70" s="1638">
        <v>2345808</v>
      </c>
      <c r="I70" s="1638">
        <v>303186</v>
      </c>
      <c r="J70" s="1638">
        <v>7936357</v>
      </c>
      <c r="K70" s="1638">
        <v>136123</v>
      </c>
      <c r="L70" s="1638">
        <v>162240</v>
      </c>
      <c r="M70" s="1205"/>
      <c r="N70" s="1205"/>
      <c r="O70" s="1205"/>
      <c r="P70" s="1205"/>
    </row>
    <row r="71" spans="1:16" hidden="1">
      <c r="A71" s="1678" t="s">
        <v>21</v>
      </c>
      <c r="B71" s="1638">
        <v>4505563</v>
      </c>
      <c r="C71" s="1638">
        <v>4414764</v>
      </c>
      <c r="D71" s="1638">
        <v>103230</v>
      </c>
      <c r="E71" s="1638">
        <v>90799</v>
      </c>
      <c r="F71" s="1638">
        <v>11163629</v>
      </c>
      <c r="G71" s="1638">
        <v>8425491</v>
      </c>
      <c r="H71" s="1638">
        <v>2429275</v>
      </c>
      <c r="I71" s="1638">
        <v>308863</v>
      </c>
      <c r="J71" s="1638">
        <v>8254305</v>
      </c>
      <c r="K71" s="1638">
        <v>144354</v>
      </c>
      <c r="L71" s="1638">
        <v>171186</v>
      </c>
      <c r="M71" s="1205"/>
      <c r="N71" s="1205"/>
      <c r="O71" s="1205"/>
      <c r="P71" s="1205"/>
    </row>
    <row r="72" spans="1:16" hidden="1">
      <c r="A72" s="1678" t="s">
        <v>22</v>
      </c>
      <c r="B72" s="1638">
        <v>4640809</v>
      </c>
      <c r="C72" s="1638">
        <v>4548984</v>
      </c>
      <c r="D72" s="1638">
        <v>114871</v>
      </c>
      <c r="E72" s="1638">
        <v>91825</v>
      </c>
      <c r="F72" s="1638">
        <v>11580494</v>
      </c>
      <c r="G72" s="1638">
        <v>8722149</v>
      </c>
      <c r="H72" s="1638">
        <v>2535111</v>
      </c>
      <c r="I72" s="1638">
        <v>323234</v>
      </c>
      <c r="J72" s="1638">
        <v>8545788</v>
      </c>
      <c r="K72" s="1638">
        <v>151969</v>
      </c>
      <c r="L72" s="1638">
        <v>176361</v>
      </c>
      <c r="M72" s="1205"/>
      <c r="N72" s="1205"/>
      <c r="O72" s="1205"/>
      <c r="P72" s="1205"/>
    </row>
    <row r="73" spans="1:16" hidden="1">
      <c r="A73" s="1678" t="s">
        <v>23</v>
      </c>
      <c r="B73" s="1638">
        <v>4754509</v>
      </c>
      <c r="C73" s="1638">
        <v>4661812</v>
      </c>
      <c r="D73" s="1638">
        <v>119894</v>
      </c>
      <c r="E73" s="1638">
        <v>92697</v>
      </c>
      <c r="F73" s="1638">
        <v>11917159</v>
      </c>
      <c r="G73" s="1638">
        <v>8956740</v>
      </c>
      <c r="H73" s="1638">
        <v>2623989</v>
      </c>
      <c r="I73" s="1638">
        <v>336430</v>
      </c>
      <c r="J73" s="1638">
        <v>8782541</v>
      </c>
      <c r="K73" s="1638">
        <v>161292</v>
      </c>
      <c r="L73" s="1638">
        <v>174199</v>
      </c>
      <c r="M73" s="973"/>
      <c r="N73" s="973"/>
      <c r="O73" s="973"/>
      <c r="P73" s="973"/>
    </row>
    <row r="74" spans="1:16" hidden="1">
      <c r="A74" s="1678" t="s">
        <v>24</v>
      </c>
      <c r="B74" s="1677">
        <v>4877035</v>
      </c>
      <c r="C74" s="1677">
        <v>4783165</v>
      </c>
      <c r="D74" s="1677">
        <v>136195</v>
      </c>
      <c r="E74" s="1677">
        <v>93870</v>
      </c>
      <c r="F74" s="1677">
        <v>12271873</v>
      </c>
      <c r="G74" s="1677">
        <v>9230102</v>
      </c>
      <c r="H74" s="1677">
        <v>2694253</v>
      </c>
      <c r="I74" s="1677">
        <v>347518</v>
      </c>
      <c r="J74" s="1677">
        <v>9054303</v>
      </c>
      <c r="K74" s="1677">
        <v>167157</v>
      </c>
      <c r="L74" s="1677">
        <v>175799</v>
      </c>
      <c r="M74" s="973"/>
      <c r="N74" s="973"/>
      <c r="O74" s="973"/>
      <c r="P74" s="973"/>
    </row>
    <row r="75" spans="1:16" hidden="1">
      <c r="A75" s="1678" t="s">
        <v>25</v>
      </c>
      <c r="B75" s="1677">
        <v>4998381</v>
      </c>
      <c r="C75" s="1677">
        <v>4904285</v>
      </c>
      <c r="D75" s="1677">
        <v>143714</v>
      </c>
      <c r="E75" s="1677">
        <v>94096</v>
      </c>
      <c r="F75" s="1677">
        <v>12634082</v>
      </c>
      <c r="G75" s="1677">
        <v>9481842</v>
      </c>
      <c r="H75" s="1677">
        <v>2794467</v>
      </c>
      <c r="I75" s="1677">
        <v>357773</v>
      </c>
      <c r="J75" s="1677">
        <v>9305220</v>
      </c>
      <c r="K75" s="1677">
        <v>171037</v>
      </c>
      <c r="L75" s="1677">
        <v>176622</v>
      </c>
      <c r="M75" s="973"/>
      <c r="N75" s="973"/>
      <c r="O75" s="973"/>
      <c r="P75" s="973"/>
    </row>
    <row r="76" spans="1:16" hidden="1">
      <c r="A76" s="1678" t="s">
        <v>26</v>
      </c>
      <c r="B76" s="1677">
        <v>5084965</v>
      </c>
      <c r="C76" s="1677">
        <v>4989783</v>
      </c>
      <c r="D76" s="1677">
        <v>149974</v>
      </c>
      <c r="E76" s="1677">
        <v>95182</v>
      </c>
      <c r="F76" s="1677">
        <v>12980149</v>
      </c>
      <c r="G76" s="1677">
        <v>9718336</v>
      </c>
      <c r="H76" s="1677">
        <v>2893596</v>
      </c>
      <c r="I76" s="1677">
        <v>368217</v>
      </c>
      <c r="J76" s="1677">
        <v>9540564</v>
      </c>
      <c r="K76" s="1677">
        <v>174308</v>
      </c>
      <c r="L76" s="1677">
        <v>177772</v>
      </c>
      <c r="M76" s="973"/>
      <c r="N76" s="973"/>
      <c r="O76" s="973"/>
      <c r="P76" s="973"/>
    </row>
    <row r="77" spans="1:16" hidden="1">
      <c r="A77" s="1678" t="s">
        <v>27</v>
      </c>
      <c r="B77" s="1677">
        <v>5238250</v>
      </c>
      <c r="C77" s="1677">
        <v>5138124</v>
      </c>
      <c r="D77" s="1677">
        <v>158888</v>
      </c>
      <c r="E77" s="1677">
        <v>100126</v>
      </c>
      <c r="F77" s="1677">
        <v>13465080</v>
      </c>
      <c r="G77" s="1677">
        <v>10083739</v>
      </c>
      <c r="H77" s="1677">
        <v>3003322</v>
      </c>
      <c r="I77" s="1677">
        <v>378019</v>
      </c>
      <c r="J77" s="1677">
        <v>9901652</v>
      </c>
      <c r="K77" s="1677">
        <v>179977</v>
      </c>
      <c r="L77" s="1677">
        <v>182087</v>
      </c>
      <c r="M77" s="973"/>
      <c r="N77" s="973"/>
      <c r="O77" s="973"/>
      <c r="P77" s="973"/>
    </row>
    <row r="78" spans="1:16" hidden="1">
      <c r="A78" s="1678" t="s">
        <v>28</v>
      </c>
      <c r="B78" s="1677">
        <v>5356242</v>
      </c>
      <c r="C78" s="1677">
        <v>5255866</v>
      </c>
      <c r="D78" s="1677">
        <v>165720</v>
      </c>
      <c r="E78" s="1677">
        <v>100376</v>
      </c>
      <c r="F78" s="1677">
        <v>13894410</v>
      </c>
      <c r="G78" s="1677">
        <v>10435538</v>
      </c>
      <c r="H78" s="1677">
        <v>3070297</v>
      </c>
      <c r="I78" s="1677">
        <v>388575</v>
      </c>
      <c r="J78" s="1677">
        <v>10254295</v>
      </c>
      <c r="K78" s="1677">
        <v>183981</v>
      </c>
      <c r="L78" s="1677">
        <v>181243</v>
      </c>
      <c r="M78" s="973"/>
      <c r="N78" s="973"/>
      <c r="O78" s="973"/>
      <c r="P78" s="973"/>
    </row>
    <row r="79" spans="1:16" hidden="1">
      <c r="A79" s="1678">
        <v>12</v>
      </c>
      <c r="B79" s="1677">
        <v>5146029</v>
      </c>
      <c r="C79" s="1677">
        <v>5049500</v>
      </c>
      <c r="D79" s="1677">
        <v>168941</v>
      </c>
      <c r="E79" s="1677">
        <v>96529</v>
      </c>
      <c r="F79" s="1677">
        <v>13985130</v>
      </c>
      <c r="G79" s="1677">
        <v>10447130</v>
      </c>
      <c r="H79" s="1677">
        <v>3136408</v>
      </c>
      <c r="I79" s="1677">
        <v>401592</v>
      </c>
      <c r="J79" s="1677">
        <v>10271550</v>
      </c>
      <c r="K79" s="1677">
        <v>184280</v>
      </c>
      <c r="L79" s="1677">
        <v>175580</v>
      </c>
      <c r="M79" s="776"/>
      <c r="N79" s="776"/>
      <c r="O79" s="776"/>
      <c r="P79" s="776"/>
    </row>
    <row r="80" spans="1:16">
      <c r="A80" s="1678" t="s">
        <v>1829</v>
      </c>
      <c r="B80" s="1555">
        <v>5716385</v>
      </c>
      <c r="C80" s="1555">
        <v>5607028</v>
      </c>
      <c r="D80" s="1555">
        <v>181202</v>
      </c>
      <c r="E80" s="1555">
        <v>109357</v>
      </c>
      <c r="F80" s="1555">
        <v>16229206</v>
      </c>
      <c r="G80" s="1555">
        <v>12647950</v>
      </c>
      <c r="H80" s="1555">
        <v>3120393</v>
      </c>
      <c r="I80" s="1555">
        <v>460863</v>
      </c>
      <c r="J80" s="1555">
        <v>12462546</v>
      </c>
      <c r="K80" s="1555">
        <v>203949</v>
      </c>
      <c r="L80" s="1555">
        <v>185404</v>
      </c>
      <c r="M80" s="973"/>
      <c r="N80" s="973"/>
      <c r="O80" s="973"/>
      <c r="P80" s="973"/>
    </row>
    <row r="81" spans="1:16">
      <c r="A81" s="1678" t="s">
        <v>18</v>
      </c>
      <c r="B81" s="1677">
        <v>5062382</v>
      </c>
      <c r="C81" s="1677">
        <v>4967148</v>
      </c>
      <c r="D81" s="1677">
        <v>167372</v>
      </c>
      <c r="E81" s="1677">
        <v>95234</v>
      </c>
      <c r="F81" s="1677">
        <v>13807552</v>
      </c>
      <c r="G81" s="1677">
        <v>10396083</v>
      </c>
      <c r="H81" s="1677">
        <v>3024092</v>
      </c>
      <c r="I81" s="1677">
        <v>387377</v>
      </c>
      <c r="J81" s="1677">
        <v>10229764</v>
      </c>
      <c r="K81" s="1677">
        <v>156412</v>
      </c>
      <c r="L81" s="1677">
        <v>166319</v>
      </c>
      <c r="M81" s="973"/>
      <c r="N81" s="973"/>
      <c r="O81" s="973"/>
      <c r="P81" s="973"/>
    </row>
    <row r="82" spans="1:16">
      <c r="A82" s="1678" t="s">
        <v>19</v>
      </c>
      <c r="B82" s="1677">
        <v>5094417</v>
      </c>
      <c r="C82" s="1677">
        <v>4997027</v>
      </c>
      <c r="D82" s="1677">
        <v>168410</v>
      </c>
      <c r="E82" s="1677">
        <v>97390</v>
      </c>
      <c r="F82" s="1677">
        <v>14195742</v>
      </c>
      <c r="G82" s="1677">
        <v>10741162</v>
      </c>
      <c r="H82" s="1677">
        <v>3048363</v>
      </c>
      <c r="I82" s="1677">
        <v>406217</v>
      </c>
      <c r="J82" s="1677">
        <v>10564842</v>
      </c>
      <c r="K82" s="1677">
        <v>191634</v>
      </c>
      <c r="L82" s="1677">
        <v>176320</v>
      </c>
      <c r="M82" s="973"/>
      <c r="N82" s="973"/>
      <c r="O82" s="973"/>
      <c r="P82" s="973"/>
    </row>
    <row r="83" spans="1:16">
      <c r="A83" s="1678" t="s">
        <v>20</v>
      </c>
      <c r="B83" s="1677">
        <v>5137523</v>
      </c>
      <c r="C83" s="1677">
        <v>5035778</v>
      </c>
      <c r="D83" s="1677">
        <v>167855</v>
      </c>
      <c r="E83" s="1677">
        <v>101745</v>
      </c>
      <c r="F83" s="1677">
        <v>14443879</v>
      </c>
      <c r="G83" s="1677">
        <v>10926165</v>
      </c>
      <c r="H83" s="1677">
        <v>3088855</v>
      </c>
      <c r="I83" s="1677">
        <v>428859</v>
      </c>
      <c r="J83" s="1677">
        <v>10746476</v>
      </c>
      <c r="K83" s="1677">
        <v>189678</v>
      </c>
      <c r="L83" s="1677">
        <v>179689</v>
      </c>
      <c r="M83" s="973"/>
      <c r="N83" s="973"/>
      <c r="O83" s="973"/>
      <c r="P83" s="973"/>
    </row>
    <row r="84" spans="1:16">
      <c r="A84" s="1678" t="s">
        <v>21</v>
      </c>
      <c r="B84" s="1677">
        <v>5273663</v>
      </c>
      <c r="C84" s="1677">
        <v>5168438</v>
      </c>
      <c r="D84" s="1677">
        <v>171164</v>
      </c>
      <c r="E84" s="1677">
        <v>105225</v>
      </c>
      <c r="F84" s="1677">
        <v>14688425</v>
      </c>
      <c r="G84" s="1677">
        <v>11153454</v>
      </c>
      <c r="H84" s="1677">
        <v>3115450</v>
      </c>
      <c r="I84" s="1677">
        <v>419521</v>
      </c>
      <c r="J84" s="1677">
        <v>10974586</v>
      </c>
      <c r="K84" s="1677">
        <v>192878</v>
      </c>
      <c r="L84" s="1677">
        <v>178868</v>
      </c>
      <c r="M84" s="973"/>
      <c r="N84" s="973"/>
      <c r="O84" s="973"/>
      <c r="P84" s="973"/>
    </row>
    <row r="85" spans="1:16">
      <c r="A85" s="1678" t="s">
        <v>22</v>
      </c>
      <c r="B85" s="1677">
        <v>5348165</v>
      </c>
      <c r="C85" s="1677">
        <v>5242157</v>
      </c>
      <c r="D85" s="1677">
        <v>173090</v>
      </c>
      <c r="E85" s="1677">
        <v>106008</v>
      </c>
      <c r="F85" s="1677">
        <v>14948439</v>
      </c>
      <c r="G85" s="1677">
        <v>11393849</v>
      </c>
      <c r="H85" s="1677">
        <v>3129415</v>
      </c>
      <c r="I85" s="1677">
        <v>425175</v>
      </c>
      <c r="J85" s="1677">
        <v>11213759</v>
      </c>
      <c r="K85" s="1677">
        <v>195383</v>
      </c>
      <c r="L85" s="1677">
        <v>180090</v>
      </c>
      <c r="M85" s="973"/>
      <c r="N85" s="973"/>
      <c r="O85" s="973"/>
      <c r="P85" s="973"/>
    </row>
    <row r="86" spans="1:16">
      <c r="A86" s="1678" t="s">
        <v>23</v>
      </c>
      <c r="B86" s="1677">
        <v>5413682</v>
      </c>
      <c r="C86" s="1677">
        <v>5307065</v>
      </c>
      <c r="D86" s="1677">
        <v>174695</v>
      </c>
      <c r="E86" s="1677">
        <v>106617</v>
      </c>
      <c r="F86" s="1677">
        <v>15102254</v>
      </c>
      <c r="G86" s="1677">
        <v>11601970</v>
      </c>
      <c r="H86" s="1677">
        <v>3067691</v>
      </c>
      <c r="I86" s="1677">
        <v>432593</v>
      </c>
      <c r="J86" s="1677">
        <v>11420488</v>
      </c>
      <c r="K86" s="1677">
        <v>198022</v>
      </c>
      <c r="L86" s="1677">
        <v>181482</v>
      </c>
      <c r="M86" s="973"/>
      <c r="N86" s="973"/>
      <c r="O86" s="973"/>
      <c r="P86" s="973"/>
    </row>
    <row r="87" spans="1:16">
      <c r="A87" s="1678" t="s">
        <v>24</v>
      </c>
      <c r="B87" s="1677">
        <v>5431083</v>
      </c>
      <c r="C87" s="1677">
        <v>5324835</v>
      </c>
      <c r="D87" s="1677">
        <v>175196</v>
      </c>
      <c r="E87" s="1677">
        <v>106034</v>
      </c>
      <c r="F87" s="1677">
        <v>15316682</v>
      </c>
      <c r="G87" s="1677">
        <v>11761467</v>
      </c>
      <c r="H87" s="1677">
        <v>3118972</v>
      </c>
      <c r="I87" s="1677">
        <v>436243</v>
      </c>
      <c r="J87" s="1677">
        <v>11582152</v>
      </c>
      <c r="K87" s="1677">
        <v>198779</v>
      </c>
      <c r="L87" s="1677">
        <v>179315</v>
      </c>
      <c r="M87" s="973"/>
      <c r="N87" s="973"/>
      <c r="O87" s="973"/>
      <c r="P87" s="973"/>
    </row>
    <row r="88" spans="1:16">
      <c r="A88" s="1678" t="s">
        <v>25</v>
      </c>
      <c r="B88" s="1677">
        <v>5495120</v>
      </c>
      <c r="C88" s="1677">
        <v>5388346</v>
      </c>
      <c r="D88" s="1677">
        <v>171641</v>
      </c>
      <c r="E88" s="1677">
        <v>106774</v>
      </c>
      <c r="F88" s="1677">
        <v>15569158</v>
      </c>
      <c r="G88" s="1677">
        <v>11986947</v>
      </c>
      <c r="H88" s="1677">
        <v>3142999</v>
      </c>
      <c r="I88" s="1677">
        <v>439212</v>
      </c>
      <c r="J88" s="1677">
        <v>11806511</v>
      </c>
      <c r="K88" s="1677">
        <v>200638</v>
      </c>
      <c r="L88" s="1677">
        <v>180436</v>
      </c>
      <c r="M88" s="973"/>
      <c r="N88" s="973"/>
      <c r="O88" s="973"/>
      <c r="P88" s="973"/>
    </row>
    <row r="89" spans="1:16">
      <c r="A89" s="1678" t="s">
        <v>26</v>
      </c>
      <c r="B89" s="1677">
        <v>5560451</v>
      </c>
      <c r="C89" s="1677">
        <v>5453024</v>
      </c>
      <c r="D89" s="1677">
        <v>176958</v>
      </c>
      <c r="E89" s="1677">
        <v>107427</v>
      </c>
      <c r="F89" s="1677">
        <v>15804402</v>
      </c>
      <c r="G89" s="1677">
        <v>12192605</v>
      </c>
      <c r="H89" s="1677">
        <v>3165211</v>
      </c>
      <c r="I89" s="1677">
        <v>446586</v>
      </c>
      <c r="J89" s="1677">
        <v>12011113</v>
      </c>
      <c r="K89" s="1677">
        <v>201654</v>
      </c>
      <c r="L89" s="1677">
        <v>181492</v>
      </c>
      <c r="M89" s="973"/>
      <c r="N89" s="973"/>
      <c r="O89" s="973"/>
      <c r="P89" s="973"/>
    </row>
    <row r="90" spans="1:16">
      <c r="A90" s="1678" t="s">
        <v>27</v>
      </c>
      <c r="B90" s="1677">
        <v>5644834</v>
      </c>
      <c r="C90" s="1677">
        <v>5535793</v>
      </c>
      <c r="D90" s="1677">
        <v>178296</v>
      </c>
      <c r="E90" s="1677">
        <v>109041</v>
      </c>
      <c r="F90" s="1677">
        <v>15957945</v>
      </c>
      <c r="G90" s="1677">
        <v>12366584</v>
      </c>
      <c r="H90" s="1677">
        <v>3135513</v>
      </c>
      <c r="I90" s="1677">
        <v>455848</v>
      </c>
      <c r="J90" s="1677">
        <v>12183363</v>
      </c>
      <c r="K90" s="1677">
        <v>242124</v>
      </c>
      <c r="L90" s="1677">
        <v>183221</v>
      </c>
      <c r="M90" s="973"/>
      <c r="N90" s="973"/>
      <c r="O90" s="973"/>
      <c r="P90" s="973"/>
    </row>
    <row r="91" spans="1:16">
      <c r="A91" s="1678" t="s">
        <v>28</v>
      </c>
      <c r="B91" s="1677">
        <v>5667387</v>
      </c>
      <c r="C91" s="1677">
        <v>5557126</v>
      </c>
      <c r="D91" s="1677">
        <v>176423</v>
      </c>
      <c r="E91" s="1677">
        <v>110261</v>
      </c>
      <c r="F91" s="1677">
        <v>16097280</v>
      </c>
      <c r="G91" s="1677">
        <v>12489859</v>
      </c>
      <c r="H91" s="1677">
        <v>3147708</v>
      </c>
      <c r="I91" s="1677">
        <v>459713</v>
      </c>
      <c r="J91" s="1677">
        <v>12306022</v>
      </c>
      <c r="K91" s="1677">
        <v>200104</v>
      </c>
      <c r="L91" s="1677">
        <v>183837</v>
      </c>
      <c r="M91" s="973"/>
      <c r="N91" s="973"/>
      <c r="O91" s="973"/>
      <c r="P91" s="973"/>
    </row>
    <row r="92" spans="1:16">
      <c r="A92" s="1678" t="s">
        <v>29</v>
      </c>
      <c r="B92" s="1677">
        <v>5716385</v>
      </c>
      <c r="C92" s="1677">
        <v>5607028</v>
      </c>
      <c r="D92" s="1677">
        <v>181202</v>
      </c>
      <c r="E92" s="1677">
        <v>109357</v>
      </c>
      <c r="F92" s="1677">
        <v>16229206</v>
      </c>
      <c r="G92" s="1677">
        <v>12647950</v>
      </c>
      <c r="H92" s="1677">
        <v>3120393</v>
      </c>
      <c r="I92" s="1677">
        <v>460863</v>
      </c>
      <c r="J92" s="1677">
        <v>12462546</v>
      </c>
      <c r="K92" s="1677">
        <v>203949</v>
      </c>
      <c r="L92" s="1677">
        <v>185404</v>
      </c>
      <c r="M92" s="973"/>
      <c r="N92" s="973"/>
      <c r="O92" s="973"/>
      <c r="P92" s="973"/>
    </row>
    <row r="93" spans="1:16">
      <c r="A93" s="1678" t="s">
        <v>1852</v>
      </c>
      <c r="B93" s="1555">
        <v>5386819</v>
      </c>
      <c r="C93" s="1555">
        <v>5314184</v>
      </c>
      <c r="D93" s="1555">
        <v>172868</v>
      </c>
      <c r="E93" s="1555">
        <v>72635</v>
      </c>
      <c r="F93" s="1555">
        <v>15195751</v>
      </c>
      <c r="G93" s="1555">
        <v>12512490</v>
      </c>
      <c r="H93" s="1555">
        <v>2304585</v>
      </c>
      <c r="I93" s="1555">
        <v>378676</v>
      </c>
      <c r="J93" s="1555">
        <v>12379083</v>
      </c>
      <c r="K93" s="1555">
        <v>169626</v>
      </c>
      <c r="L93" s="1555">
        <v>133407</v>
      </c>
      <c r="M93" s="1680"/>
      <c r="N93" s="1680"/>
      <c r="O93" s="1680"/>
      <c r="P93" s="1680"/>
    </row>
    <row r="94" spans="1:16">
      <c r="A94" s="1678" t="s">
        <v>18</v>
      </c>
      <c r="B94" s="1677">
        <v>5420958</v>
      </c>
      <c r="C94" s="1677">
        <v>5334993</v>
      </c>
      <c r="D94" s="1677">
        <v>165406</v>
      </c>
      <c r="E94" s="1677">
        <v>85965</v>
      </c>
      <c r="F94" s="1677">
        <v>15654937</v>
      </c>
      <c r="G94" s="1677">
        <v>12272139</v>
      </c>
      <c r="H94" s="1677">
        <v>2961394</v>
      </c>
      <c r="I94" s="1677">
        <v>421404</v>
      </c>
      <c r="J94" s="1677">
        <v>12114523</v>
      </c>
      <c r="K94" s="1677">
        <v>161078</v>
      </c>
      <c r="L94" s="1677">
        <v>157616</v>
      </c>
      <c r="M94" s="1622"/>
      <c r="N94" s="1622"/>
      <c r="O94" s="1622"/>
      <c r="P94" s="1622"/>
    </row>
    <row r="95" spans="1:16">
      <c r="A95" s="1678" t="s">
        <v>19</v>
      </c>
      <c r="B95" s="1677">
        <v>5499131</v>
      </c>
      <c r="C95" s="1677">
        <v>5412518</v>
      </c>
      <c r="D95" s="1677">
        <v>168737</v>
      </c>
      <c r="E95" s="1677">
        <v>86613</v>
      </c>
      <c r="F95" s="1677">
        <v>15705855</v>
      </c>
      <c r="G95" s="1677">
        <v>12379828</v>
      </c>
      <c r="H95" s="1677">
        <v>2906969</v>
      </c>
      <c r="I95" s="1677">
        <v>419058</v>
      </c>
      <c r="J95" s="1677">
        <v>12219249</v>
      </c>
      <c r="K95" s="1677">
        <v>167231</v>
      </c>
      <c r="L95" s="1677">
        <v>160579</v>
      </c>
      <c r="M95" s="1622"/>
      <c r="N95" s="1622"/>
      <c r="O95" s="1622"/>
      <c r="P95" s="1622"/>
    </row>
    <row r="96" spans="1:16">
      <c r="A96" s="1678" t="s">
        <v>20</v>
      </c>
      <c r="B96" s="1677">
        <v>5547620</v>
      </c>
      <c r="C96" s="1677">
        <v>5458954</v>
      </c>
      <c r="D96" s="1677">
        <v>172796</v>
      </c>
      <c r="E96" s="1677">
        <v>88666</v>
      </c>
      <c r="F96" s="1677">
        <v>15790758</v>
      </c>
      <c r="G96" s="1677">
        <v>12481836</v>
      </c>
      <c r="H96" s="1677">
        <v>2888220</v>
      </c>
      <c r="I96" s="1677">
        <v>420702</v>
      </c>
      <c r="J96" s="1677">
        <v>12318108</v>
      </c>
      <c r="K96" s="1677">
        <v>171004</v>
      </c>
      <c r="L96" s="1677">
        <v>163728</v>
      </c>
      <c r="M96" s="1622"/>
      <c r="N96" s="1622"/>
      <c r="O96" s="1622"/>
      <c r="P96" s="1622"/>
    </row>
    <row r="97" spans="1:16">
      <c r="A97" s="1678" t="s">
        <v>21</v>
      </c>
      <c r="B97" s="1677">
        <v>5558982</v>
      </c>
      <c r="C97" s="1677">
        <v>5469774</v>
      </c>
      <c r="D97" s="1677">
        <v>172903</v>
      </c>
      <c r="E97" s="1677">
        <v>89208</v>
      </c>
      <c r="F97" s="1677">
        <v>15729229</v>
      </c>
      <c r="G97" s="1677">
        <v>12517260</v>
      </c>
      <c r="H97" s="1677">
        <v>2791766</v>
      </c>
      <c r="I97" s="1677">
        <v>420203</v>
      </c>
      <c r="J97" s="1677">
        <v>12351710</v>
      </c>
      <c r="K97" s="1677">
        <v>170874</v>
      </c>
      <c r="L97" s="1677">
        <v>165550</v>
      </c>
      <c r="M97" s="1622"/>
      <c r="N97" s="1622"/>
      <c r="O97" s="1622"/>
      <c r="P97" s="1622"/>
    </row>
    <row r="98" spans="1:16">
      <c r="A98" s="1678" t="s">
        <v>22</v>
      </c>
      <c r="B98" s="1677">
        <v>5562229</v>
      </c>
      <c r="C98" s="1677">
        <v>5475145</v>
      </c>
      <c r="D98" s="1677">
        <v>176607</v>
      </c>
      <c r="E98" s="1677">
        <v>87084</v>
      </c>
      <c r="F98" s="1677">
        <v>15585865</v>
      </c>
      <c r="G98" s="1677">
        <v>12449501</v>
      </c>
      <c r="H98" s="1677">
        <v>2710930</v>
      </c>
      <c r="I98" s="1677">
        <v>425434</v>
      </c>
      <c r="J98" s="1677">
        <v>12320171</v>
      </c>
      <c r="K98" s="1677">
        <v>168559</v>
      </c>
      <c r="L98" s="1677">
        <v>129330</v>
      </c>
      <c r="M98" s="1622"/>
      <c r="N98" s="1622"/>
      <c r="O98" s="1622"/>
      <c r="P98" s="1622"/>
    </row>
    <row r="99" spans="1:16">
      <c r="A99" s="1678" t="s">
        <v>23</v>
      </c>
      <c r="B99" s="1677">
        <v>5756066</v>
      </c>
      <c r="C99" s="1677">
        <v>5666899</v>
      </c>
      <c r="D99" s="1677">
        <v>183623</v>
      </c>
      <c r="E99" s="1677">
        <v>89167</v>
      </c>
      <c r="F99" s="1677">
        <v>15625110</v>
      </c>
      <c r="G99" s="1677">
        <v>12607935</v>
      </c>
      <c r="H99" s="1677">
        <v>2604548</v>
      </c>
      <c r="I99" s="1677">
        <v>412627</v>
      </c>
      <c r="J99" s="1677">
        <v>12474935</v>
      </c>
      <c r="K99" s="1677">
        <v>174077</v>
      </c>
      <c r="L99" s="1677">
        <v>133000</v>
      </c>
      <c r="M99" s="1622"/>
      <c r="N99" s="1622"/>
      <c r="O99" s="1622"/>
      <c r="P99" s="1622"/>
    </row>
    <row r="100" spans="1:16">
      <c r="A100" s="1678" t="s">
        <v>24</v>
      </c>
      <c r="B100" s="1677">
        <v>5433190</v>
      </c>
      <c r="C100" s="1677">
        <v>5359673</v>
      </c>
      <c r="D100" s="1677">
        <v>170882</v>
      </c>
      <c r="E100" s="1677">
        <v>73517</v>
      </c>
      <c r="F100" s="1677">
        <v>15126543</v>
      </c>
      <c r="G100" s="1677">
        <v>12301802</v>
      </c>
      <c r="H100" s="1677">
        <v>2430703</v>
      </c>
      <c r="I100" s="1677">
        <v>394038</v>
      </c>
      <c r="J100" s="1677">
        <v>12179146</v>
      </c>
      <c r="K100" s="1677">
        <v>163950</v>
      </c>
      <c r="L100" s="1677">
        <v>122656</v>
      </c>
      <c r="M100" s="1622"/>
      <c r="N100" s="1622"/>
      <c r="O100" s="1622"/>
      <c r="P100" s="1622"/>
    </row>
    <row r="101" spans="1:16">
      <c r="A101" s="1678" t="s">
        <v>25</v>
      </c>
      <c r="B101" s="1677">
        <v>5497936</v>
      </c>
      <c r="C101" s="1677">
        <v>5423467</v>
      </c>
      <c r="D101" s="1677">
        <v>172465</v>
      </c>
      <c r="E101" s="1677">
        <v>74469</v>
      </c>
      <c r="F101" s="1677">
        <v>15207437</v>
      </c>
      <c r="G101" s="1677">
        <v>12396191</v>
      </c>
      <c r="H101" s="1677">
        <v>2414120</v>
      </c>
      <c r="I101" s="1677">
        <v>397126</v>
      </c>
      <c r="J101" s="1677">
        <v>12270547</v>
      </c>
      <c r="K101" s="1677">
        <v>166107</v>
      </c>
      <c r="L101" s="1677">
        <v>125644</v>
      </c>
      <c r="M101" s="1622"/>
      <c r="N101" s="1622"/>
      <c r="O101" s="1622"/>
      <c r="P101" s="1622"/>
    </row>
    <row r="102" spans="1:16">
      <c r="A102" s="1678" t="s">
        <v>26</v>
      </c>
      <c r="B102" s="1677">
        <v>5546215</v>
      </c>
      <c r="C102" s="1677">
        <v>5471137</v>
      </c>
      <c r="D102" s="1677">
        <v>173790</v>
      </c>
      <c r="E102" s="1677">
        <v>75078</v>
      </c>
      <c r="F102" s="1677">
        <v>15374881</v>
      </c>
      <c r="G102" s="1677">
        <v>12547262</v>
      </c>
      <c r="H102" s="1677">
        <v>2427078</v>
      </c>
      <c r="I102" s="1677">
        <v>400541</v>
      </c>
      <c r="J102" s="1677">
        <v>12417318</v>
      </c>
      <c r="K102" s="1677">
        <v>168386</v>
      </c>
      <c r="L102" s="1677">
        <v>129944</v>
      </c>
      <c r="M102" s="1622"/>
      <c r="N102" s="1622"/>
      <c r="O102" s="1622"/>
      <c r="P102" s="1622"/>
    </row>
    <row r="103" spans="1:16">
      <c r="A103" s="1678" t="s">
        <v>27</v>
      </c>
      <c r="B103" s="1677">
        <v>5342079</v>
      </c>
      <c r="C103" s="1677">
        <v>5270541</v>
      </c>
      <c r="D103" s="1677">
        <v>169778</v>
      </c>
      <c r="E103" s="1677">
        <v>71538</v>
      </c>
      <c r="F103" s="1677">
        <v>15138961</v>
      </c>
      <c r="G103" s="1677">
        <v>12386901</v>
      </c>
      <c r="H103" s="1677">
        <v>2362255</v>
      </c>
      <c r="I103" s="1677">
        <v>389805</v>
      </c>
      <c r="J103" s="1677">
        <v>12259400</v>
      </c>
      <c r="K103" s="1677">
        <v>166320</v>
      </c>
      <c r="L103" s="1677">
        <v>127501</v>
      </c>
      <c r="M103" s="1622"/>
      <c r="N103" s="1622"/>
      <c r="O103" s="1622"/>
      <c r="P103" s="1622"/>
    </row>
    <row r="104" spans="1:16">
      <c r="A104" s="1678" t="s">
        <v>28</v>
      </c>
      <c r="B104" s="1677">
        <v>5366184</v>
      </c>
      <c r="C104" s="1677">
        <v>5293933</v>
      </c>
      <c r="D104" s="1677">
        <v>171284</v>
      </c>
      <c r="E104" s="1677">
        <v>72251</v>
      </c>
      <c r="F104" s="1677">
        <v>15199580</v>
      </c>
      <c r="G104" s="1677">
        <v>12465800</v>
      </c>
      <c r="H104" s="1677">
        <v>2347430</v>
      </c>
      <c r="I104" s="1677">
        <v>386350</v>
      </c>
      <c r="J104" s="1677">
        <v>12333321</v>
      </c>
      <c r="K104" s="1677">
        <v>168739</v>
      </c>
      <c r="L104" s="1677">
        <v>132479</v>
      </c>
      <c r="M104" s="1622"/>
      <c r="N104" s="1622"/>
      <c r="O104" s="1622"/>
      <c r="P104" s="1622"/>
    </row>
    <row r="105" spans="1:16">
      <c r="A105" s="1678" t="s">
        <v>29</v>
      </c>
      <c r="B105" s="1677">
        <v>5386819</v>
      </c>
      <c r="C105" s="1677">
        <v>5314184</v>
      </c>
      <c r="D105" s="1677">
        <v>172868</v>
      </c>
      <c r="E105" s="1677">
        <v>72635</v>
      </c>
      <c r="F105" s="1677">
        <v>15195751</v>
      </c>
      <c r="G105" s="1677">
        <v>12512490</v>
      </c>
      <c r="H105" s="1677">
        <v>2304585</v>
      </c>
      <c r="I105" s="1677">
        <v>378676</v>
      </c>
      <c r="J105" s="1677">
        <v>12379083</v>
      </c>
      <c r="K105" s="1677">
        <v>169626</v>
      </c>
      <c r="L105" s="1677">
        <v>133407</v>
      </c>
      <c r="M105" s="1622"/>
      <c r="N105" s="1622"/>
      <c r="O105" s="1622"/>
      <c r="P105" s="1622"/>
    </row>
    <row r="106" spans="1:16">
      <c r="A106" s="1678" t="s">
        <v>1915</v>
      </c>
      <c r="B106" s="1555">
        <v>5851548</v>
      </c>
      <c r="C106" s="1555">
        <v>5761897</v>
      </c>
      <c r="D106" s="1555">
        <v>232158</v>
      </c>
      <c r="E106" s="1555">
        <v>89651</v>
      </c>
      <c r="F106" s="1555">
        <v>16200529</v>
      </c>
      <c r="G106" s="1555">
        <v>13375811</v>
      </c>
      <c r="H106" s="1555">
        <v>2478933</v>
      </c>
      <c r="I106" s="1555">
        <v>345785</v>
      </c>
      <c r="J106" s="1555">
        <v>13203626</v>
      </c>
      <c r="K106" s="1555">
        <v>245080</v>
      </c>
      <c r="L106" s="1555">
        <v>172185</v>
      </c>
      <c r="M106" s="1680"/>
      <c r="N106" s="1680"/>
      <c r="O106" s="1680"/>
      <c r="P106" s="1680"/>
    </row>
    <row r="107" spans="1:16">
      <c r="A107" s="1678" t="s">
        <v>18</v>
      </c>
      <c r="B107" s="1677">
        <v>5433252</v>
      </c>
      <c r="C107" s="1677">
        <v>5358937</v>
      </c>
      <c r="D107" s="1677">
        <v>175795</v>
      </c>
      <c r="E107" s="1677">
        <v>74315</v>
      </c>
      <c r="F107" s="1677">
        <v>15228759</v>
      </c>
      <c r="G107" s="1677">
        <v>12429486</v>
      </c>
      <c r="H107" s="1677">
        <v>2427867</v>
      </c>
      <c r="I107" s="1677">
        <v>371406</v>
      </c>
      <c r="J107" s="1677">
        <v>12295305</v>
      </c>
      <c r="K107" s="1677">
        <v>171408</v>
      </c>
      <c r="L107" s="1677">
        <v>134181</v>
      </c>
      <c r="M107" s="1622"/>
      <c r="N107" s="1622"/>
      <c r="O107" s="1622"/>
      <c r="P107" s="1622"/>
    </row>
    <row r="108" spans="1:16">
      <c r="A108" s="1678" t="s">
        <v>19</v>
      </c>
      <c r="B108" s="1677">
        <v>5513619</v>
      </c>
      <c r="C108" s="1677">
        <v>5437608</v>
      </c>
      <c r="D108" s="1677">
        <v>189234</v>
      </c>
      <c r="E108" s="1677">
        <v>76011</v>
      </c>
      <c r="F108" s="1677">
        <v>15382371</v>
      </c>
      <c r="G108" s="1677">
        <v>12574892</v>
      </c>
      <c r="H108" s="1677">
        <v>2432814</v>
      </c>
      <c r="I108" s="1677">
        <v>374665</v>
      </c>
      <c r="J108" s="1677">
        <v>12436494</v>
      </c>
      <c r="K108" s="1677">
        <v>188156</v>
      </c>
      <c r="L108" s="1677">
        <v>138398</v>
      </c>
      <c r="M108" s="1622"/>
      <c r="N108" s="1622"/>
      <c r="O108" s="1622"/>
      <c r="P108" s="1622"/>
    </row>
    <row r="109" spans="1:16">
      <c r="A109" s="1678" t="s">
        <v>20</v>
      </c>
      <c r="B109" s="1677">
        <v>5576024</v>
      </c>
      <c r="C109" s="1677">
        <v>5499038</v>
      </c>
      <c r="D109" s="1677">
        <v>193921</v>
      </c>
      <c r="E109" s="1677">
        <v>76986</v>
      </c>
      <c r="F109" s="1677">
        <v>15444417</v>
      </c>
      <c r="G109" s="1677">
        <v>12682717</v>
      </c>
      <c r="H109" s="1677">
        <v>2379133</v>
      </c>
      <c r="I109" s="1677">
        <v>382567</v>
      </c>
      <c r="J109" s="1677">
        <v>12540850</v>
      </c>
      <c r="K109" s="1677">
        <v>193943</v>
      </c>
      <c r="L109" s="1677">
        <v>141867</v>
      </c>
      <c r="M109" s="1622"/>
      <c r="N109" s="1622"/>
      <c r="O109" s="1622"/>
      <c r="P109" s="1622"/>
    </row>
    <row r="110" spans="1:16">
      <c r="A110" s="1678" t="s">
        <v>21</v>
      </c>
      <c r="B110" s="1677">
        <v>5654578</v>
      </c>
      <c r="C110" s="1677">
        <v>5575481</v>
      </c>
      <c r="D110" s="1677">
        <v>200230</v>
      </c>
      <c r="E110" s="1677">
        <v>79097</v>
      </c>
      <c r="F110" s="1677">
        <v>15656358</v>
      </c>
      <c r="G110" s="1677">
        <v>12812232</v>
      </c>
      <c r="H110" s="1677">
        <v>2459169</v>
      </c>
      <c r="I110" s="1677">
        <v>384957</v>
      </c>
      <c r="J110" s="1677">
        <v>12665404</v>
      </c>
      <c r="K110" s="1677">
        <v>201348</v>
      </c>
      <c r="L110" s="1677">
        <v>146828</v>
      </c>
      <c r="M110" s="1622"/>
      <c r="N110" s="1622"/>
      <c r="O110" s="1622"/>
      <c r="P110" s="1622"/>
    </row>
    <row r="111" spans="1:16">
      <c r="A111" s="1678" t="s">
        <v>22</v>
      </c>
      <c r="B111" s="1677">
        <v>5786397</v>
      </c>
      <c r="C111" s="1677">
        <v>5700057</v>
      </c>
      <c r="D111" s="1677">
        <v>206456</v>
      </c>
      <c r="E111" s="1677">
        <v>86340</v>
      </c>
      <c r="F111" s="1677">
        <v>15845740</v>
      </c>
      <c r="G111" s="1677">
        <v>12926984</v>
      </c>
      <c r="H111" s="1677">
        <v>2532322</v>
      </c>
      <c r="I111" s="1677">
        <v>386434</v>
      </c>
      <c r="J111" s="1677">
        <v>12776582</v>
      </c>
      <c r="K111" s="1677">
        <v>206631</v>
      </c>
      <c r="L111" s="1677">
        <v>150402</v>
      </c>
      <c r="M111" s="1622"/>
      <c r="N111" s="1622"/>
      <c r="O111" s="1622"/>
      <c r="P111" s="1622"/>
    </row>
    <row r="112" spans="1:16">
      <c r="A112" s="1678" t="s">
        <v>23</v>
      </c>
      <c r="B112" s="1677">
        <v>5640236</v>
      </c>
      <c r="C112" s="1677">
        <v>5558622</v>
      </c>
      <c r="D112" s="1677">
        <v>210252</v>
      </c>
      <c r="E112" s="1677">
        <v>81614</v>
      </c>
      <c r="F112" s="1677">
        <v>15786014</v>
      </c>
      <c r="G112" s="1677">
        <v>12872818</v>
      </c>
      <c r="H112" s="1677">
        <v>2534472</v>
      </c>
      <c r="I112" s="1677">
        <v>378724</v>
      </c>
      <c r="J112" s="1677">
        <v>12720249</v>
      </c>
      <c r="K112" s="1677">
        <v>215148</v>
      </c>
      <c r="L112" s="1677">
        <v>152569</v>
      </c>
      <c r="M112" s="1622"/>
      <c r="N112" s="1622"/>
      <c r="O112" s="1622"/>
      <c r="P112" s="1622"/>
    </row>
    <row r="113" spans="1:16">
      <c r="A113" s="1678" t="s">
        <v>24</v>
      </c>
      <c r="B113" s="1677">
        <v>5695675</v>
      </c>
      <c r="C113" s="1677">
        <v>5611927</v>
      </c>
      <c r="D113" s="1677">
        <v>217623</v>
      </c>
      <c r="E113" s="1677">
        <v>83748</v>
      </c>
      <c r="F113" s="1677">
        <v>15801506</v>
      </c>
      <c r="G113" s="1677">
        <v>12869620</v>
      </c>
      <c r="H113" s="1677">
        <v>2560721</v>
      </c>
      <c r="I113" s="1677">
        <v>371165</v>
      </c>
      <c r="J113" s="1677">
        <v>12713276</v>
      </c>
      <c r="K113" s="1677">
        <v>225631</v>
      </c>
      <c r="L113" s="1677">
        <v>156344</v>
      </c>
      <c r="M113" s="1622"/>
      <c r="N113" s="1622"/>
      <c r="O113" s="1622"/>
      <c r="P113" s="1622"/>
    </row>
    <row r="114" spans="1:16">
      <c r="A114" s="1678" t="s">
        <v>25</v>
      </c>
      <c r="B114" s="1677">
        <v>5759325</v>
      </c>
      <c r="C114" s="1677">
        <v>5673996</v>
      </c>
      <c r="D114" s="1677">
        <v>220738</v>
      </c>
      <c r="E114" s="1677">
        <v>85329</v>
      </c>
      <c r="F114" s="1677">
        <v>15868068</v>
      </c>
      <c r="G114" s="1677">
        <v>12937255</v>
      </c>
      <c r="H114" s="1677">
        <v>2562496</v>
      </c>
      <c r="I114" s="1677">
        <v>368317</v>
      </c>
      <c r="J114" s="1677">
        <v>12777808</v>
      </c>
      <c r="K114" s="1677">
        <v>229266</v>
      </c>
      <c r="L114" s="1677">
        <v>159447</v>
      </c>
      <c r="M114" s="1622"/>
      <c r="N114" s="1622"/>
      <c r="O114" s="1622"/>
      <c r="P114" s="1622"/>
    </row>
    <row r="115" spans="1:16">
      <c r="A115" s="1678" t="s">
        <v>26</v>
      </c>
      <c r="B115" s="1677">
        <v>5820978</v>
      </c>
      <c r="C115" s="1677">
        <v>5734194</v>
      </c>
      <c r="D115" s="1677">
        <v>224637</v>
      </c>
      <c r="E115" s="1677">
        <v>86784</v>
      </c>
      <c r="F115" s="1677">
        <v>15970997</v>
      </c>
      <c r="G115" s="1677">
        <v>13045018</v>
      </c>
      <c r="H115" s="1677">
        <v>2561045</v>
      </c>
      <c r="I115" s="1677">
        <v>364934</v>
      </c>
      <c r="J115" s="1677">
        <v>12883246</v>
      </c>
      <c r="K115" s="1677">
        <v>232727</v>
      </c>
      <c r="L115" s="1677">
        <v>161772</v>
      </c>
      <c r="M115" s="1622"/>
      <c r="N115" s="1622"/>
      <c r="O115" s="1622"/>
      <c r="P115" s="1622"/>
    </row>
    <row r="116" spans="1:16">
      <c r="A116" s="1678" t="s">
        <v>27</v>
      </c>
      <c r="B116" s="1677">
        <v>5885770</v>
      </c>
      <c r="C116" s="1677">
        <v>5797745</v>
      </c>
      <c r="D116" s="1677">
        <v>226871</v>
      </c>
      <c r="E116" s="1677">
        <v>88025</v>
      </c>
      <c r="F116" s="1677">
        <v>16085249</v>
      </c>
      <c r="G116" s="1677">
        <v>13188960</v>
      </c>
      <c r="H116" s="1677">
        <v>2533428</v>
      </c>
      <c r="I116" s="1677">
        <v>362861</v>
      </c>
      <c r="J116" s="1677">
        <v>13024325</v>
      </c>
      <c r="K116" s="1677">
        <v>236803</v>
      </c>
      <c r="L116" s="1677">
        <v>164635</v>
      </c>
      <c r="M116" s="1622"/>
      <c r="N116" s="1622"/>
      <c r="O116" s="1622"/>
      <c r="P116" s="1622"/>
    </row>
    <row r="117" spans="1:16">
      <c r="A117" s="1678" t="s">
        <v>28</v>
      </c>
      <c r="B117" s="1677">
        <v>5951333</v>
      </c>
      <c r="C117" s="1677">
        <v>5861221</v>
      </c>
      <c r="D117" s="1677">
        <v>230623</v>
      </c>
      <c r="E117" s="1677">
        <v>90112</v>
      </c>
      <c r="F117" s="1677">
        <v>16243942</v>
      </c>
      <c r="G117" s="1677">
        <v>13352318</v>
      </c>
      <c r="H117" s="1677">
        <v>2533913</v>
      </c>
      <c r="I117" s="1677">
        <v>357711</v>
      </c>
      <c r="J117" s="1677">
        <v>13183846</v>
      </c>
      <c r="K117" s="1677">
        <v>241096</v>
      </c>
      <c r="L117" s="1677">
        <v>168472</v>
      </c>
      <c r="M117" s="1622"/>
      <c r="N117" s="1622"/>
      <c r="O117" s="1622"/>
      <c r="P117" s="1622"/>
    </row>
    <row r="118" spans="1:16">
      <c r="A118" s="1678" t="s">
        <v>29</v>
      </c>
      <c r="B118" s="1677">
        <v>5851548</v>
      </c>
      <c r="C118" s="1677">
        <v>5761897</v>
      </c>
      <c r="D118" s="1677">
        <v>232158</v>
      </c>
      <c r="E118" s="1677">
        <v>89651</v>
      </c>
      <c r="F118" s="1677">
        <v>16200529</v>
      </c>
      <c r="G118" s="1677">
        <v>13375811</v>
      </c>
      <c r="H118" s="1677">
        <v>2478933</v>
      </c>
      <c r="I118" s="1677">
        <v>345785</v>
      </c>
      <c r="J118" s="1677">
        <v>13203626</v>
      </c>
      <c r="K118" s="1677">
        <v>245080</v>
      </c>
      <c r="L118" s="1677">
        <v>172185</v>
      </c>
      <c r="M118" s="1622"/>
      <c r="N118" s="1622"/>
      <c r="O118" s="1622"/>
      <c r="P118" s="1622"/>
    </row>
    <row r="119" spans="1:16">
      <c r="A119" s="1678" t="s">
        <v>2051</v>
      </c>
      <c r="B119" s="1555">
        <v>6466071</v>
      </c>
      <c r="C119" s="1555">
        <v>6361580</v>
      </c>
      <c r="D119" s="1555">
        <v>265157</v>
      </c>
      <c r="E119" s="1555">
        <v>104491</v>
      </c>
      <c r="F119" s="1555">
        <v>18083747</v>
      </c>
      <c r="G119" s="1555">
        <v>15088607</v>
      </c>
      <c r="H119" s="1555">
        <v>2627156</v>
      </c>
      <c r="I119" s="1555">
        <v>367984</v>
      </c>
      <c r="J119" s="1555">
        <v>14868962</v>
      </c>
      <c r="K119" s="1555">
        <v>293145</v>
      </c>
      <c r="L119" s="1555">
        <v>219645</v>
      </c>
      <c r="M119" s="1680"/>
      <c r="N119" s="1680"/>
      <c r="O119" s="1680"/>
      <c r="P119" s="1680"/>
    </row>
    <row r="120" spans="1:16">
      <c r="A120" s="1678" t="s">
        <v>18</v>
      </c>
      <c r="B120" s="1677">
        <v>5897622</v>
      </c>
      <c r="C120" s="1677">
        <v>5807526</v>
      </c>
      <c r="D120" s="1677">
        <v>232626</v>
      </c>
      <c r="E120" s="1677">
        <v>90096</v>
      </c>
      <c r="F120" s="1677">
        <v>16308802</v>
      </c>
      <c r="G120" s="1677">
        <v>13481288</v>
      </c>
      <c r="H120" s="1677">
        <v>2484506</v>
      </c>
      <c r="I120" s="1677">
        <v>343008</v>
      </c>
      <c r="J120" s="1677">
        <v>13307488</v>
      </c>
      <c r="K120" s="1677">
        <v>245684</v>
      </c>
      <c r="L120" s="1677">
        <v>173800</v>
      </c>
      <c r="M120" s="1622"/>
      <c r="N120" s="1622"/>
      <c r="O120" s="1622"/>
      <c r="P120" s="1622"/>
    </row>
    <row r="121" spans="1:16">
      <c r="A121" s="1678" t="s">
        <v>19</v>
      </c>
      <c r="B121" s="1677">
        <v>5998010</v>
      </c>
      <c r="C121" s="1677">
        <v>5905555</v>
      </c>
      <c r="D121" s="1677">
        <v>235376</v>
      </c>
      <c r="E121" s="1677">
        <v>92455</v>
      </c>
      <c r="F121" s="1677">
        <v>16487631</v>
      </c>
      <c r="G121" s="1677">
        <v>13719546</v>
      </c>
      <c r="H121" s="1677">
        <v>2433035</v>
      </c>
      <c r="I121" s="1677">
        <v>335050</v>
      </c>
      <c r="J121" s="1677">
        <v>13539189</v>
      </c>
      <c r="K121" s="1677">
        <v>251936</v>
      </c>
      <c r="L121" s="1677">
        <v>180357</v>
      </c>
      <c r="M121" s="1622"/>
      <c r="N121" s="1622"/>
      <c r="O121" s="1622"/>
      <c r="P121" s="1622"/>
    </row>
    <row r="122" spans="1:16">
      <c r="A122" s="1678" t="s">
        <v>20</v>
      </c>
      <c r="B122" s="1677">
        <v>6053946</v>
      </c>
      <c r="C122" s="1677">
        <v>5960281</v>
      </c>
      <c r="D122" s="1677">
        <v>238413</v>
      </c>
      <c r="E122" s="1677">
        <v>93665</v>
      </c>
      <c r="F122" s="1677">
        <v>16632926</v>
      </c>
      <c r="G122" s="1677">
        <v>13863820</v>
      </c>
      <c r="H122" s="1677">
        <v>2434677</v>
      </c>
      <c r="I122" s="1677">
        <v>334429</v>
      </c>
      <c r="J122" s="1677">
        <v>13680922</v>
      </c>
      <c r="K122" s="1677">
        <v>254480</v>
      </c>
      <c r="L122" s="1677">
        <v>182898</v>
      </c>
      <c r="M122" s="1622"/>
      <c r="N122" s="1622"/>
      <c r="O122" s="1622"/>
      <c r="P122" s="1622"/>
    </row>
    <row r="123" spans="1:16">
      <c r="A123" s="1678" t="s">
        <v>21</v>
      </c>
      <c r="B123" s="1677">
        <v>6131113</v>
      </c>
      <c r="C123" s="1677">
        <v>6035788</v>
      </c>
      <c r="D123" s="1677">
        <v>242470</v>
      </c>
      <c r="E123" s="1677">
        <v>95325</v>
      </c>
      <c r="F123" s="1677">
        <v>16840161</v>
      </c>
      <c r="G123" s="1677">
        <v>14055747</v>
      </c>
      <c r="H123" s="1677">
        <v>2450517</v>
      </c>
      <c r="I123" s="1677">
        <v>333897</v>
      </c>
      <c r="J123" s="1677">
        <v>13869342</v>
      </c>
      <c r="K123" s="1677">
        <v>263362</v>
      </c>
      <c r="L123" s="1677">
        <v>186405</v>
      </c>
      <c r="M123" s="1622"/>
      <c r="N123" s="1622"/>
      <c r="O123" s="1622"/>
      <c r="P123" s="1622"/>
    </row>
    <row r="124" spans="1:16">
      <c r="A124" s="1678" t="s">
        <v>22</v>
      </c>
      <c r="B124" s="1677">
        <v>6131530</v>
      </c>
      <c r="C124" s="1677">
        <v>6034427</v>
      </c>
      <c r="D124" s="1677">
        <v>245670</v>
      </c>
      <c r="E124" s="1677">
        <v>97103</v>
      </c>
      <c r="F124" s="1677">
        <v>16933037</v>
      </c>
      <c r="G124" s="1677">
        <v>14131160</v>
      </c>
      <c r="H124" s="1677">
        <v>2466564</v>
      </c>
      <c r="I124" s="1677">
        <v>335313</v>
      </c>
      <c r="J124" s="1677">
        <v>13940677</v>
      </c>
      <c r="K124" s="1677">
        <v>269537</v>
      </c>
      <c r="L124" s="1677">
        <v>190483</v>
      </c>
      <c r="M124" s="1622"/>
      <c r="N124" s="1622"/>
      <c r="O124" s="1622"/>
      <c r="P124" s="1622"/>
    </row>
    <row r="125" spans="1:16">
      <c r="A125" s="1678" t="s">
        <v>23</v>
      </c>
      <c r="B125" s="1677">
        <v>6181725</v>
      </c>
      <c r="C125" s="1677">
        <v>6083539</v>
      </c>
      <c r="D125" s="1677">
        <v>247946</v>
      </c>
      <c r="E125" s="1677">
        <v>98186</v>
      </c>
      <c r="F125" s="1677">
        <v>17092001</v>
      </c>
      <c r="G125" s="1677">
        <v>14273681</v>
      </c>
      <c r="H125" s="1677">
        <v>2484136</v>
      </c>
      <c r="I125" s="1677">
        <v>334184</v>
      </c>
      <c r="J125" s="1677">
        <v>14080323</v>
      </c>
      <c r="K125" s="1677">
        <v>273869</v>
      </c>
      <c r="L125" s="1677">
        <v>193358</v>
      </c>
      <c r="M125" s="1622"/>
      <c r="N125" s="1622"/>
      <c r="O125" s="1622"/>
      <c r="P125" s="1622"/>
    </row>
    <row r="126" spans="1:16">
      <c r="A126" s="1678" t="s">
        <v>24</v>
      </c>
      <c r="B126" s="1677">
        <v>6242262</v>
      </c>
      <c r="C126" s="1677">
        <v>6141804</v>
      </c>
      <c r="D126" s="1677">
        <v>250994</v>
      </c>
      <c r="E126" s="1677">
        <v>100458</v>
      </c>
      <c r="F126" s="1677">
        <v>17310700</v>
      </c>
      <c r="G126" s="1677">
        <v>14448982</v>
      </c>
      <c r="H126" s="1677">
        <v>2520476</v>
      </c>
      <c r="I126" s="1677">
        <v>341242</v>
      </c>
      <c r="J126" s="1677">
        <v>14251965</v>
      </c>
      <c r="K126" s="1677">
        <v>277529</v>
      </c>
      <c r="L126" s="1677">
        <v>197017</v>
      </c>
      <c r="M126" s="1622"/>
      <c r="N126" s="1622"/>
      <c r="O126" s="1622"/>
      <c r="P126" s="1622"/>
    </row>
    <row r="127" spans="1:16">
      <c r="A127" s="1678" t="s">
        <v>25</v>
      </c>
      <c r="B127" s="1677">
        <v>6308260</v>
      </c>
      <c r="C127" s="1677">
        <v>6206402</v>
      </c>
      <c r="D127" s="1677">
        <v>253285</v>
      </c>
      <c r="E127" s="1677">
        <v>101858</v>
      </c>
      <c r="F127" s="1677">
        <v>17484482</v>
      </c>
      <c r="G127" s="1677">
        <v>14595762</v>
      </c>
      <c r="H127" s="1677">
        <v>2542978</v>
      </c>
      <c r="I127" s="1677">
        <v>345742</v>
      </c>
      <c r="J127" s="1677">
        <v>14395591</v>
      </c>
      <c r="K127" s="1677">
        <v>280222</v>
      </c>
      <c r="L127" s="1677">
        <v>200171</v>
      </c>
      <c r="M127" s="1622"/>
      <c r="N127" s="1622"/>
      <c r="O127" s="1622"/>
      <c r="P127" s="1622"/>
    </row>
    <row r="128" spans="1:16">
      <c r="A128" s="1678" t="s">
        <v>26</v>
      </c>
      <c r="B128" s="1677">
        <v>6357628</v>
      </c>
      <c r="C128" s="1677">
        <v>6255130</v>
      </c>
      <c r="D128" s="1677">
        <v>255869</v>
      </c>
      <c r="E128" s="1677">
        <v>102498</v>
      </c>
      <c r="F128" s="1677">
        <v>17620321</v>
      </c>
      <c r="G128" s="1677">
        <v>14710921</v>
      </c>
      <c r="H128" s="1677">
        <v>2560671</v>
      </c>
      <c r="I128" s="1677">
        <v>348729</v>
      </c>
      <c r="J128" s="1677">
        <v>14502274</v>
      </c>
      <c r="K128" s="1677">
        <v>286206</v>
      </c>
      <c r="L128" s="1677">
        <v>208647</v>
      </c>
      <c r="M128" s="1622"/>
      <c r="N128" s="1622"/>
      <c r="O128" s="1622"/>
      <c r="P128" s="1622"/>
    </row>
    <row r="129" spans="1:16">
      <c r="A129" s="1678" t="s">
        <v>27</v>
      </c>
      <c r="B129" s="1677">
        <v>6428920</v>
      </c>
      <c r="C129" s="1677">
        <v>6325372</v>
      </c>
      <c r="D129" s="1677">
        <v>259239</v>
      </c>
      <c r="E129" s="1677">
        <v>103548</v>
      </c>
      <c r="F129" s="1677">
        <v>17810008</v>
      </c>
      <c r="G129" s="1677">
        <v>14867965</v>
      </c>
      <c r="H129" s="1677">
        <v>2586810</v>
      </c>
      <c r="I129" s="1677">
        <v>355233</v>
      </c>
      <c r="J129" s="1677">
        <v>14656201</v>
      </c>
      <c r="K129" s="1677">
        <v>290943</v>
      </c>
      <c r="L129" s="1677">
        <v>211764</v>
      </c>
      <c r="M129" s="1622"/>
      <c r="N129" s="1622"/>
      <c r="O129" s="1622"/>
      <c r="P129" s="1622"/>
    </row>
    <row r="130" spans="1:16">
      <c r="A130" s="1678" t="s">
        <v>28</v>
      </c>
      <c r="B130" s="1677">
        <v>6423125</v>
      </c>
      <c r="C130" s="1677">
        <v>6318030</v>
      </c>
      <c r="D130" s="1677">
        <v>262756</v>
      </c>
      <c r="E130" s="1677">
        <v>105095</v>
      </c>
      <c r="F130" s="1677">
        <v>17905443</v>
      </c>
      <c r="G130" s="1677">
        <v>14948388</v>
      </c>
      <c r="H130" s="1677">
        <v>2596150</v>
      </c>
      <c r="I130" s="1677">
        <v>360905</v>
      </c>
      <c r="J130" s="1677">
        <v>14730794</v>
      </c>
      <c r="K130" s="1677">
        <v>296291</v>
      </c>
      <c r="L130" s="1677">
        <v>217594</v>
      </c>
      <c r="M130" s="1622"/>
      <c r="N130" s="1622"/>
      <c r="O130" s="1622"/>
      <c r="P130" s="1622"/>
    </row>
    <row r="131" spans="1:16">
      <c r="A131" s="1678" t="s">
        <v>29</v>
      </c>
      <c r="B131" s="1677">
        <v>6466071</v>
      </c>
      <c r="C131" s="1677">
        <v>6361580</v>
      </c>
      <c r="D131" s="1677">
        <v>265157</v>
      </c>
      <c r="E131" s="1677">
        <v>104491</v>
      </c>
      <c r="F131" s="1677">
        <v>18083747</v>
      </c>
      <c r="G131" s="1677">
        <v>15088607</v>
      </c>
      <c r="H131" s="1677">
        <v>2627156</v>
      </c>
      <c r="I131" s="1677">
        <v>367984</v>
      </c>
      <c r="J131" s="1677">
        <v>14868962</v>
      </c>
      <c r="K131" s="1677">
        <v>293145</v>
      </c>
      <c r="L131" s="1677">
        <v>219645</v>
      </c>
      <c r="M131" s="1622"/>
      <c r="N131" s="1622"/>
      <c r="O131" s="1622"/>
      <c r="P131" s="1622"/>
    </row>
    <row r="132" spans="1:16">
      <c r="A132" s="1678" t="s">
        <v>2144</v>
      </c>
      <c r="B132" s="1555">
        <v>8478075</v>
      </c>
      <c r="C132" s="1555">
        <v>8360421</v>
      </c>
      <c r="D132" s="1555">
        <v>324237</v>
      </c>
      <c r="E132" s="1555">
        <v>117654</v>
      </c>
      <c r="F132" s="1555">
        <v>21265993</v>
      </c>
      <c r="G132" s="1555">
        <v>17261782</v>
      </c>
      <c r="H132" s="1555">
        <v>3607588</v>
      </c>
      <c r="I132" s="1555">
        <v>396623</v>
      </c>
      <c r="J132" s="1555">
        <v>17033018</v>
      </c>
      <c r="K132" s="1555">
        <v>348287</v>
      </c>
      <c r="L132" s="1555">
        <v>228764</v>
      </c>
      <c r="M132" s="1680"/>
      <c r="N132" s="1680"/>
      <c r="O132" s="1680"/>
      <c r="P132" s="1680"/>
    </row>
    <row r="133" spans="1:16">
      <c r="A133" s="1678" t="s">
        <v>18</v>
      </c>
      <c r="B133" s="1677">
        <v>7021733</v>
      </c>
      <c r="C133" s="1677">
        <v>6915906</v>
      </c>
      <c r="D133" s="1677">
        <v>258828</v>
      </c>
      <c r="E133" s="1677">
        <v>105827</v>
      </c>
      <c r="F133" s="1677">
        <v>17051264</v>
      </c>
      <c r="G133" s="1677">
        <v>14045302</v>
      </c>
      <c r="H133" s="1677">
        <v>2695384</v>
      </c>
      <c r="I133" s="1677">
        <v>310578</v>
      </c>
      <c r="J133" s="1677">
        <v>13852291</v>
      </c>
      <c r="K133" s="1677">
        <v>270143</v>
      </c>
      <c r="L133" s="1677">
        <v>193011</v>
      </c>
      <c r="M133" s="1622"/>
      <c r="N133" s="1622"/>
      <c r="O133" s="1622"/>
      <c r="P133" s="1622"/>
    </row>
    <row r="134" spans="1:16">
      <c r="A134" s="1678" t="s">
        <v>19</v>
      </c>
      <c r="B134" s="1677">
        <v>7305129</v>
      </c>
      <c r="C134" s="1677">
        <v>7195982</v>
      </c>
      <c r="D134" s="1677">
        <v>275770</v>
      </c>
      <c r="E134" s="1677">
        <v>109147</v>
      </c>
      <c r="F134" s="1677">
        <v>17682074</v>
      </c>
      <c r="G134" s="1677">
        <v>14619626</v>
      </c>
      <c r="H134" s="1677">
        <v>2744314</v>
      </c>
      <c r="I134" s="1677">
        <v>318134</v>
      </c>
      <c r="J134" s="1677">
        <v>14411765</v>
      </c>
      <c r="K134" s="1677">
        <v>284663</v>
      </c>
      <c r="L134" s="1677">
        <v>207861</v>
      </c>
      <c r="M134" s="1622"/>
      <c r="N134" s="1622"/>
      <c r="O134" s="1622"/>
      <c r="P134" s="1622"/>
    </row>
    <row r="135" spans="1:16">
      <c r="A135" s="1678" t="s">
        <v>20</v>
      </c>
      <c r="B135" s="1677">
        <v>7423685</v>
      </c>
      <c r="C135" s="1677">
        <v>7312622</v>
      </c>
      <c r="D135" s="1677">
        <v>279069</v>
      </c>
      <c r="E135" s="1677">
        <v>111063</v>
      </c>
      <c r="F135" s="1677">
        <v>17936068</v>
      </c>
      <c r="G135" s="1677">
        <v>14801484</v>
      </c>
      <c r="H135" s="1677">
        <v>2809460</v>
      </c>
      <c r="I135" s="1677">
        <v>325124</v>
      </c>
      <c r="J135" s="1677">
        <v>14591867</v>
      </c>
      <c r="K135" s="1677">
        <v>287323</v>
      </c>
      <c r="L135" s="1677">
        <v>209617</v>
      </c>
      <c r="M135" s="1622"/>
      <c r="N135" s="1622"/>
      <c r="O135" s="1622"/>
      <c r="P135" s="1622"/>
    </row>
    <row r="136" spans="1:16">
      <c r="A136" s="1678" t="s">
        <v>21</v>
      </c>
      <c r="B136" s="1677">
        <v>7522896</v>
      </c>
      <c r="C136" s="1677">
        <v>7410113</v>
      </c>
      <c r="D136" s="1677">
        <v>284345</v>
      </c>
      <c r="E136" s="1677">
        <v>112783</v>
      </c>
      <c r="F136" s="1677">
        <v>18246113</v>
      </c>
      <c r="G136" s="1677">
        <v>15024731</v>
      </c>
      <c r="H136" s="1677">
        <v>2887336</v>
      </c>
      <c r="I136" s="1677">
        <v>334046</v>
      </c>
      <c r="J136" s="1677">
        <v>14810813</v>
      </c>
      <c r="K136" s="1677">
        <v>295082</v>
      </c>
      <c r="L136" s="1677">
        <v>213918</v>
      </c>
      <c r="M136" s="1622"/>
      <c r="N136" s="1622"/>
      <c r="O136" s="1622"/>
      <c r="P136" s="1622"/>
    </row>
    <row r="137" spans="1:16">
      <c r="A137" s="1678" t="s">
        <v>22</v>
      </c>
      <c r="B137" s="1677">
        <v>7662895</v>
      </c>
      <c r="C137" s="1677">
        <v>7548427</v>
      </c>
      <c r="D137" s="1677">
        <v>290915</v>
      </c>
      <c r="E137" s="1677">
        <v>114468</v>
      </c>
      <c r="F137" s="1677">
        <v>18646170</v>
      </c>
      <c r="G137" s="1677">
        <v>15321907</v>
      </c>
      <c r="H137" s="1677">
        <v>2981126</v>
      </c>
      <c r="I137" s="1677">
        <v>343137</v>
      </c>
      <c r="J137" s="1677">
        <v>15103933</v>
      </c>
      <c r="K137" s="1677">
        <v>304316</v>
      </c>
      <c r="L137" s="1677">
        <v>217974</v>
      </c>
      <c r="M137" s="1622"/>
      <c r="N137" s="1622"/>
      <c r="O137" s="1622"/>
      <c r="P137" s="1622"/>
    </row>
    <row r="138" spans="1:16">
      <c r="A138" s="1678" t="s">
        <v>23</v>
      </c>
      <c r="B138" s="1677">
        <v>7784435</v>
      </c>
      <c r="C138" s="1677">
        <v>7669134</v>
      </c>
      <c r="D138" s="1677">
        <v>295265</v>
      </c>
      <c r="E138" s="1677">
        <v>115301</v>
      </c>
      <c r="F138" s="1677">
        <v>18966172</v>
      </c>
      <c r="G138" s="1677">
        <v>15537768</v>
      </c>
      <c r="H138" s="1677">
        <v>3078646</v>
      </c>
      <c r="I138" s="1677">
        <v>349758</v>
      </c>
      <c r="J138" s="1677">
        <v>15319928</v>
      </c>
      <c r="K138" s="1677">
        <v>309233</v>
      </c>
      <c r="L138" s="1677">
        <v>217840</v>
      </c>
      <c r="M138" s="1622"/>
      <c r="N138" s="1622"/>
      <c r="O138" s="1622"/>
      <c r="P138" s="1622"/>
    </row>
    <row r="139" spans="1:16">
      <c r="A139" s="1678" t="s">
        <v>24</v>
      </c>
      <c r="B139" s="1677">
        <v>7903367</v>
      </c>
      <c r="C139" s="1677">
        <v>7786852</v>
      </c>
      <c r="D139" s="1677">
        <v>299524</v>
      </c>
      <c r="E139" s="1677">
        <v>116515</v>
      </c>
      <c r="F139" s="1677">
        <v>19353240</v>
      </c>
      <c r="G139" s="1677">
        <v>15819008</v>
      </c>
      <c r="H139" s="1677">
        <v>3174997</v>
      </c>
      <c r="I139" s="1677">
        <v>359235</v>
      </c>
      <c r="J139" s="1677">
        <v>15599847</v>
      </c>
      <c r="K139" s="1677">
        <v>315713</v>
      </c>
      <c r="L139" s="1677">
        <v>219161</v>
      </c>
      <c r="M139" s="1622"/>
      <c r="N139" s="1622"/>
      <c r="O139" s="1622"/>
      <c r="P139" s="1622"/>
    </row>
    <row r="140" spans="1:16">
      <c r="A140" s="1678" t="s">
        <v>25</v>
      </c>
      <c r="B140" s="1677">
        <v>8016098</v>
      </c>
      <c r="C140" s="1677">
        <v>7898360</v>
      </c>
      <c r="D140" s="1677">
        <v>303405</v>
      </c>
      <c r="E140" s="1677">
        <v>117738</v>
      </c>
      <c r="F140" s="1677">
        <v>19708381</v>
      </c>
      <c r="G140" s="1677">
        <v>16086156</v>
      </c>
      <c r="H140" s="1677">
        <v>3254735</v>
      </c>
      <c r="I140" s="1677">
        <v>367490</v>
      </c>
      <c r="J140" s="1677">
        <v>15863662</v>
      </c>
      <c r="K140" s="1677">
        <v>321049</v>
      </c>
      <c r="L140" s="1677">
        <v>222494</v>
      </c>
      <c r="M140" s="1622"/>
      <c r="N140" s="1622"/>
      <c r="O140" s="1622"/>
      <c r="P140" s="1622"/>
    </row>
    <row r="141" spans="1:16">
      <c r="A141" s="1678" t="s">
        <v>26</v>
      </c>
      <c r="B141" s="1677">
        <v>8153107</v>
      </c>
      <c r="C141" s="1677">
        <v>8036142</v>
      </c>
      <c r="D141" s="1677">
        <v>308829</v>
      </c>
      <c r="E141" s="1677">
        <v>116965</v>
      </c>
      <c r="F141" s="1677">
        <v>20141778</v>
      </c>
      <c r="G141" s="1677">
        <v>16420332</v>
      </c>
      <c r="H141" s="1677">
        <v>3346029</v>
      </c>
      <c r="I141" s="1677">
        <v>375417</v>
      </c>
      <c r="J141" s="1677">
        <v>16199595</v>
      </c>
      <c r="K141" s="1677">
        <v>325692</v>
      </c>
      <c r="L141" s="1677">
        <v>220737</v>
      </c>
      <c r="M141" s="1622"/>
      <c r="N141" s="1622"/>
      <c r="O141" s="1622"/>
      <c r="P141" s="1622"/>
    </row>
    <row r="142" spans="1:16">
      <c r="A142" s="1678" t="s">
        <v>27</v>
      </c>
      <c r="B142" s="1677">
        <v>8280548</v>
      </c>
      <c r="C142" s="1677">
        <v>8161786</v>
      </c>
      <c r="D142" s="1677">
        <v>315373</v>
      </c>
      <c r="E142" s="1677">
        <v>118762</v>
      </c>
      <c r="F142" s="1677">
        <v>20589799</v>
      </c>
      <c r="G142" s="1677">
        <v>16760493</v>
      </c>
      <c r="H142" s="1677">
        <v>3447307</v>
      </c>
      <c r="I142" s="1677">
        <v>381999</v>
      </c>
      <c r="J142" s="1677">
        <v>16535999</v>
      </c>
      <c r="K142" s="1677">
        <v>334618</v>
      </c>
      <c r="L142" s="1677">
        <v>224494</v>
      </c>
      <c r="M142" s="1622"/>
      <c r="N142" s="1622"/>
      <c r="O142" s="1622"/>
      <c r="P142" s="1622"/>
    </row>
    <row r="143" spans="1:16">
      <c r="A143" s="1678" t="s">
        <v>28</v>
      </c>
      <c r="B143" s="1677">
        <v>8405330</v>
      </c>
      <c r="C143" s="1677">
        <v>8289292</v>
      </c>
      <c r="D143" s="1677">
        <v>319554</v>
      </c>
      <c r="E143" s="1677">
        <v>116038</v>
      </c>
      <c r="F143" s="1677">
        <v>20951053</v>
      </c>
      <c r="G143" s="1677">
        <v>17025147</v>
      </c>
      <c r="H143" s="1677">
        <v>3537022</v>
      </c>
      <c r="I143" s="1677">
        <v>388884</v>
      </c>
      <c r="J143" s="1677">
        <v>16800249</v>
      </c>
      <c r="K143" s="1677">
        <v>341473</v>
      </c>
      <c r="L143" s="1677">
        <v>224898</v>
      </c>
      <c r="M143" s="1622"/>
      <c r="N143" s="1622"/>
      <c r="O143" s="1622"/>
      <c r="P143" s="1622"/>
    </row>
    <row r="144" spans="1:16">
      <c r="A144" s="1678" t="s">
        <v>29</v>
      </c>
      <c r="B144" s="1677">
        <v>8478075</v>
      </c>
      <c r="C144" s="1677">
        <v>8360421</v>
      </c>
      <c r="D144" s="1677">
        <v>324237</v>
      </c>
      <c r="E144" s="1677">
        <v>117654</v>
      </c>
      <c r="F144" s="1677">
        <v>21265993</v>
      </c>
      <c r="G144" s="1677">
        <v>17261782</v>
      </c>
      <c r="H144" s="1677">
        <v>3607588</v>
      </c>
      <c r="I144" s="1677">
        <v>396623</v>
      </c>
      <c r="J144" s="1677">
        <v>17033018</v>
      </c>
      <c r="K144" s="1677">
        <v>348287</v>
      </c>
      <c r="L144" s="1677">
        <v>228764</v>
      </c>
      <c r="M144" s="1622"/>
      <c r="N144" s="1622"/>
      <c r="O144" s="1622"/>
      <c r="P144" s="1622"/>
    </row>
    <row r="145" spans="1:16">
      <c r="A145" s="1678" t="s">
        <v>2375</v>
      </c>
      <c r="B145" s="1555">
        <v>10490089</v>
      </c>
      <c r="C145" s="1555">
        <v>10375457</v>
      </c>
      <c r="D145" s="1555">
        <v>393486</v>
      </c>
      <c r="E145" s="1555">
        <v>114632</v>
      </c>
      <c r="F145" s="1555">
        <v>24983255</v>
      </c>
      <c r="G145" s="1555">
        <v>21004323</v>
      </c>
      <c r="H145" s="1555">
        <v>3756323</v>
      </c>
      <c r="I145" s="1555">
        <v>222609</v>
      </c>
      <c r="J145" s="1555">
        <v>20770440</v>
      </c>
      <c r="K145" s="1555">
        <v>459098</v>
      </c>
      <c r="L145" s="1555">
        <v>233883</v>
      </c>
      <c r="M145" s="1628"/>
      <c r="N145" s="1628"/>
      <c r="O145" s="1628"/>
      <c r="P145" s="1628"/>
    </row>
    <row r="146" spans="1:16">
      <c r="A146" s="1678" t="s">
        <v>18</v>
      </c>
      <c r="B146" s="1677">
        <v>8847367</v>
      </c>
      <c r="C146" s="1677">
        <v>8725454</v>
      </c>
      <c r="D146" s="1677">
        <v>336014</v>
      </c>
      <c r="E146" s="1677">
        <v>121913</v>
      </c>
      <c r="F146" s="1677">
        <v>21836167</v>
      </c>
      <c r="G146" s="1677">
        <v>17830599</v>
      </c>
      <c r="H146" s="1677">
        <v>3675470</v>
      </c>
      <c r="I146" s="1677">
        <v>330098</v>
      </c>
      <c r="J146" s="1677">
        <v>17597635</v>
      </c>
      <c r="K146" s="1677">
        <v>359831</v>
      </c>
      <c r="L146" s="1677">
        <v>232964</v>
      </c>
      <c r="M146" s="1622"/>
      <c r="N146" s="1622"/>
      <c r="O146" s="1622"/>
      <c r="P146" s="1622"/>
    </row>
    <row r="147" spans="1:16">
      <c r="A147" s="1678" t="s">
        <v>19</v>
      </c>
      <c r="B147" s="1677">
        <v>8854673</v>
      </c>
      <c r="C147" s="1677">
        <v>8735505</v>
      </c>
      <c r="D147" s="1677">
        <v>297539</v>
      </c>
      <c r="E147" s="1677">
        <v>119168</v>
      </c>
      <c r="F147" s="1677">
        <v>21883121</v>
      </c>
      <c r="G147" s="1677">
        <v>17975980</v>
      </c>
      <c r="H147" s="1677">
        <v>3621954</v>
      </c>
      <c r="I147" s="1677">
        <v>285187</v>
      </c>
      <c r="J147" s="1677">
        <v>17746374</v>
      </c>
      <c r="K147" s="1677">
        <v>339430</v>
      </c>
      <c r="L147" s="1677">
        <v>229606</v>
      </c>
      <c r="M147" s="1622"/>
      <c r="N147" s="1622"/>
      <c r="O147" s="1622"/>
      <c r="P147" s="1622"/>
    </row>
    <row r="148" spans="1:16">
      <c r="A148" s="1678" t="s">
        <v>20</v>
      </c>
      <c r="B148" s="1677">
        <v>9012923</v>
      </c>
      <c r="C148" s="1677">
        <v>8892978</v>
      </c>
      <c r="D148" s="1677">
        <v>301182</v>
      </c>
      <c r="E148" s="1677">
        <v>119945</v>
      </c>
      <c r="F148" s="1677">
        <v>22185201</v>
      </c>
      <c r="G148" s="1677">
        <v>18240004</v>
      </c>
      <c r="H148" s="1677">
        <v>3660336</v>
      </c>
      <c r="I148" s="1677">
        <v>284861</v>
      </c>
      <c r="J148" s="1677">
        <v>18008238</v>
      </c>
      <c r="K148" s="1677">
        <v>343420</v>
      </c>
      <c r="L148" s="1677">
        <v>231766</v>
      </c>
      <c r="M148" s="1622"/>
      <c r="N148" s="1622"/>
      <c r="O148" s="1622"/>
      <c r="P148" s="1622"/>
    </row>
    <row r="149" spans="1:16">
      <c r="A149" s="1678" t="s">
        <v>21</v>
      </c>
      <c r="B149" s="1677">
        <v>9169270</v>
      </c>
      <c r="C149" s="1677">
        <v>9055165</v>
      </c>
      <c r="D149" s="1677">
        <v>321352</v>
      </c>
      <c r="E149" s="1677">
        <v>114105</v>
      </c>
      <c r="F149" s="1677">
        <v>22232752</v>
      </c>
      <c r="G149" s="1677">
        <v>18460960</v>
      </c>
      <c r="H149" s="1677">
        <v>3531368</v>
      </c>
      <c r="I149" s="1677">
        <v>240424</v>
      </c>
      <c r="J149" s="1677">
        <v>18238628</v>
      </c>
      <c r="K149" s="1677">
        <v>366344</v>
      </c>
      <c r="L149" s="1677">
        <v>222332</v>
      </c>
      <c r="M149" s="1622"/>
      <c r="N149" s="1622"/>
      <c r="O149" s="1622"/>
      <c r="P149" s="1622"/>
    </row>
    <row r="150" spans="1:16">
      <c r="A150" s="1678" t="s">
        <v>22</v>
      </c>
      <c r="B150" s="1677">
        <v>9385746</v>
      </c>
      <c r="C150" s="1677">
        <v>9276060</v>
      </c>
      <c r="D150" s="1677">
        <v>323710</v>
      </c>
      <c r="E150" s="1677">
        <v>109686</v>
      </c>
      <c r="F150" s="1677">
        <v>22427400</v>
      </c>
      <c r="G150" s="1677">
        <v>18746064</v>
      </c>
      <c r="H150" s="1677">
        <v>3473970</v>
      </c>
      <c r="I150" s="1677">
        <v>207366</v>
      </c>
      <c r="J150" s="1677">
        <v>18531347</v>
      </c>
      <c r="K150" s="1677">
        <v>372017</v>
      </c>
      <c r="L150" s="1677">
        <v>214717</v>
      </c>
      <c r="M150" s="1622"/>
      <c r="N150" s="1622"/>
      <c r="O150" s="1622"/>
      <c r="P150" s="1622"/>
    </row>
    <row r="151" spans="1:16">
      <c r="A151" s="1678" t="s">
        <v>23</v>
      </c>
      <c r="B151" s="1677">
        <v>9515084</v>
      </c>
      <c r="C151" s="1677">
        <v>9402557</v>
      </c>
      <c r="D151" s="1677">
        <v>336228</v>
      </c>
      <c r="E151" s="1677">
        <v>112527</v>
      </c>
      <c r="F151" s="1677">
        <v>22788021</v>
      </c>
      <c r="G151" s="1677">
        <v>19063808</v>
      </c>
      <c r="H151" s="1677">
        <v>3514430</v>
      </c>
      <c r="I151" s="1677">
        <v>209783</v>
      </c>
      <c r="J151" s="1677">
        <v>18842270</v>
      </c>
      <c r="K151" s="1677">
        <v>388561</v>
      </c>
      <c r="L151" s="1677">
        <v>221538</v>
      </c>
      <c r="M151" s="1622"/>
      <c r="N151" s="1622"/>
      <c r="O151" s="1622"/>
      <c r="P151" s="1622"/>
    </row>
    <row r="152" spans="1:16">
      <c r="A152" s="1678" t="s">
        <v>24</v>
      </c>
      <c r="B152" s="1677">
        <v>9650871</v>
      </c>
      <c r="C152" s="1677">
        <v>9536683</v>
      </c>
      <c r="D152" s="1677">
        <v>344527</v>
      </c>
      <c r="E152" s="1677">
        <v>114188</v>
      </c>
      <c r="F152" s="1677">
        <v>23074287</v>
      </c>
      <c r="G152" s="1677">
        <v>19316960</v>
      </c>
      <c r="H152" s="1677">
        <v>3544171</v>
      </c>
      <c r="I152" s="1677">
        <v>213156</v>
      </c>
      <c r="J152" s="1677">
        <v>19090828</v>
      </c>
      <c r="K152" s="1677">
        <v>398808</v>
      </c>
      <c r="L152" s="1677">
        <v>226132</v>
      </c>
      <c r="M152" s="1622"/>
      <c r="N152" s="1622"/>
      <c r="O152" s="1622"/>
      <c r="P152" s="1622"/>
    </row>
    <row r="153" spans="1:16">
      <c r="A153" s="1678" t="s">
        <v>25</v>
      </c>
      <c r="B153" s="1677">
        <v>9768981</v>
      </c>
      <c r="C153" s="1677">
        <v>9653324</v>
      </c>
      <c r="D153" s="1677">
        <v>356294</v>
      </c>
      <c r="E153" s="1677">
        <v>115657</v>
      </c>
      <c r="F153" s="1677">
        <v>23405942</v>
      </c>
      <c r="G153" s="1677">
        <v>19593829</v>
      </c>
      <c r="H153" s="1677">
        <v>3595476</v>
      </c>
      <c r="I153" s="1677">
        <v>216637</v>
      </c>
      <c r="J153" s="1677">
        <v>19364085</v>
      </c>
      <c r="K153" s="1677">
        <v>412916</v>
      </c>
      <c r="L153" s="1677">
        <v>229744</v>
      </c>
      <c r="M153" s="1622"/>
      <c r="N153" s="1622"/>
      <c r="O153" s="1622"/>
      <c r="P153" s="1622"/>
    </row>
    <row r="154" spans="1:16">
      <c r="A154" s="1678" t="s">
        <v>26</v>
      </c>
      <c r="B154" s="1677">
        <v>9919575</v>
      </c>
      <c r="C154" s="1677">
        <v>9804016</v>
      </c>
      <c r="D154" s="1677">
        <v>369841</v>
      </c>
      <c r="E154" s="1677">
        <v>115559</v>
      </c>
      <c r="F154" s="1677">
        <v>23825469</v>
      </c>
      <c r="G154" s="1677">
        <v>19945255</v>
      </c>
      <c r="H154" s="1677">
        <v>3662049</v>
      </c>
      <c r="I154" s="1677">
        <v>218165</v>
      </c>
      <c r="J154" s="1677">
        <v>19714969</v>
      </c>
      <c r="K154" s="1677">
        <v>429216</v>
      </c>
      <c r="L154" s="1677">
        <v>230286</v>
      </c>
      <c r="M154" s="1622"/>
      <c r="N154" s="1622"/>
      <c r="O154" s="1622"/>
      <c r="P154" s="1622"/>
    </row>
    <row r="155" spans="1:16">
      <c r="A155" s="1678" t="s">
        <v>27</v>
      </c>
      <c r="B155" s="1677">
        <v>10064615</v>
      </c>
      <c r="C155" s="1677">
        <v>9951582</v>
      </c>
      <c r="D155" s="1677">
        <v>379247</v>
      </c>
      <c r="E155" s="1677">
        <v>113033</v>
      </c>
      <c r="F155" s="1677">
        <v>24157090</v>
      </c>
      <c r="G155" s="1677">
        <v>20252313</v>
      </c>
      <c r="H155" s="1677">
        <v>3686931</v>
      </c>
      <c r="I155" s="1677">
        <v>217846</v>
      </c>
      <c r="J155" s="1677">
        <v>20022621</v>
      </c>
      <c r="K155" s="1677">
        <v>441038</v>
      </c>
      <c r="L155" s="1677">
        <v>229692</v>
      </c>
      <c r="M155" s="1622"/>
      <c r="N155" s="1622"/>
      <c r="O155" s="1622"/>
      <c r="P155" s="1622"/>
    </row>
    <row r="156" spans="1:16">
      <c r="A156" s="1678" t="s">
        <v>28</v>
      </c>
      <c r="B156" s="1677">
        <v>10262417</v>
      </c>
      <c r="C156" s="1677">
        <v>10148440</v>
      </c>
      <c r="D156" s="1677">
        <v>386204</v>
      </c>
      <c r="E156" s="1677">
        <v>113977</v>
      </c>
      <c r="F156" s="1677">
        <v>24674957</v>
      </c>
      <c r="G156" s="1677">
        <v>20730086</v>
      </c>
      <c r="H156" s="1677">
        <v>3724812</v>
      </c>
      <c r="I156" s="1677">
        <v>220059</v>
      </c>
      <c r="J156" s="1677">
        <v>20497520</v>
      </c>
      <c r="K156" s="1677">
        <v>451161</v>
      </c>
      <c r="L156" s="1677">
        <v>232566</v>
      </c>
      <c r="M156" s="1622"/>
      <c r="N156" s="1622"/>
      <c r="O156" s="1622"/>
      <c r="P156" s="1622"/>
    </row>
    <row r="157" spans="1:16">
      <c r="A157" s="1678" t="s">
        <v>29</v>
      </c>
      <c r="B157" s="1677">
        <v>10490089</v>
      </c>
      <c r="C157" s="1677">
        <v>10375457</v>
      </c>
      <c r="D157" s="1677">
        <v>393486</v>
      </c>
      <c r="E157" s="1677">
        <v>114632</v>
      </c>
      <c r="F157" s="1677">
        <v>24983255</v>
      </c>
      <c r="G157" s="1677">
        <v>21004323</v>
      </c>
      <c r="H157" s="1677">
        <v>3756323</v>
      </c>
      <c r="I157" s="1677">
        <v>222609</v>
      </c>
      <c r="J157" s="1677">
        <v>20770440</v>
      </c>
      <c r="K157" s="1677">
        <v>459098</v>
      </c>
      <c r="L157" s="1677">
        <v>233883</v>
      </c>
      <c r="M157" s="1622"/>
      <c r="N157" s="1622"/>
      <c r="O157" s="1622"/>
      <c r="P157" s="1622"/>
    </row>
    <row r="158" spans="1:16">
      <c r="A158" s="1678" t="s">
        <v>2537</v>
      </c>
      <c r="B158" s="1679">
        <v>12323105</v>
      </c>
      <c r="C158" s="1679">
        <v>12198027</v>
      </c>
      <c r="D158" s="1679">
        <v>505944</v>
      </c>
      <c r="E158" s="1679">
        <v>125078</v>
      </c>
      <c r="F158" s="1679">
        <v>26729371</v>
      </c>
      <c r="G158" s="1679">
        <v>22175499</v>
      </c>
      <c r="H158" s="1679">
        <v>4297069</v>
      </c>
      <c r="I158" s="1679">
        <v>256803</v>
      </c>
      <c r="J158" s="1679">
        <v>21908618</v>
      </c>
      <c r="K158" s="1679">
        <v>607456</v>
      </c>
      <c r="L158" s="1679">
        <v>266881</v>
      </c>
      <c r="M158" s="1628"/>
      <c r="N158" s="1628"/>
      <c r="O158" s="1628"/>
      <c r="P158" s="1628"/>
    </row>
    <row r="159" spans="1:16">
      <c r="A159" s="1678" t="s">
        <v>18</v>
      </c>
      <c r="B159" s="1677">
        <v>10640004</v>
      </c>
      <c r="C159" s="1677">
        <v>10524810</v>
      </c>
      <c r="D159" s="1677">
        <v>402156</v>
      </c>
      <c r="E159" s="1677">
        <v>115194</v>
      </c>
      <c r="F159" s="1677">
        <v>25190099</v>
      </c>
      <c r="G159" s="1677">
        <v>21255332</v>
      </c>
      <c r="H159" s="1677">
        <v>3708727</v>
      </c>
      <c r="I159" s="1677">
        <v>226040</v>
      </c>
      <c r="J159" s="1677">
        <v>21020200</v>
      </c>
      <c r="K159" s="1677">
        <v>469995</v>
      </c>
      <c r="L159" s="1677">
        <v>235132</v>
      </c>
      <c r="M159" s="1622"/>
      <c r="N159" s="1622"/>
      <c r="O159" s="1622"/>
      <c r="P159" s="1622"/>
    </row>
    <row r="160" spans="1:16">
      <c r="A160" s="1678" t="s">
        <v>19</v>
      </c>
      <c r="B160" s="1677">
        <v>10851189</v>
      </c>
      <c r="C160" s="1677">
        <v>10734666</v>
      </c>
      <c r="D160" s="1677">
        <v>412823</v>
      </c>
      <c r="E160" s="1677">
        <v>116523</v>
      </c>
      <c r="F160" s="1677">
        <v>25592381</v>
      </c>
      <c r="G160" s="1677">
        <v>21619830</v>
      </c>
      <c r="H160" s="1677">
        <v>3745475</v>
      </c>
      <c r="I160" s="1677">
        <v>227076</v>
      </c>
      <c r="J160" s="1677">
        <v>21381486</v>
      </c>
      <c r="K160" s="1677">
        <v>481638</v>
      </c>
      <c r="L160" s="1677">
        <v>238344</v>
      </c>
      <c r="M160" s="1622"/>
      <c r="N160" s="1622"/>
      <c r="O160" s="1622"/>
      <c r="P160" s="1622"/>
    </row>
    <row r="161" spans="1:16">
      <c r="A161" s="1678" t="s">
        <v>20</v>
      </c>
      <c r="B161" s="1677">
        <v>11099948</v>
      </c>
      <c r="C161" s="1677">
        <v>10982334</v>
      </c>
      <c r="D161" s="1677">
        <v>423905</v>
      </c>
      <c r="E161" s="1677">
        <v>117614</v>
      </c>
      <c r="F161" s="1677">
        <v>26094302</v>
      </c>
      <c r="G161" s="1677">
        <v>22049078</v>
      </c>
      <c r="H161" s="1677">
        <v>3814866</v>
      </c>
      <c r="I161" s="1677">
        <v>230358</v>
      </c>
      <c r="J161" s="1677">
        <v>21807720</v>
      </c>
      <c r="K161" s="1677">
        <v>493752</v>
      </c>
      <c r="L161" s="1677">
        <v>241358</v>
      </c>
      <c r="M161" s="1622"/>
      <c r="N161" s="1622"/>
      <c r="O161" s="1622"/>
      <c r="P161" s="1622"/>
    </row>
    <row r="162" spans="1:16">
      <c r="A162" s="1678" t="s">
        <v>21</v>
      </c>
      <c r="B162" s="1677">
        <v>11284213</v>
      </c>
      <c r="C162" s="1677">
        <v>11165689</v>
      </c>
      <c r="D162" s="1677">
        <v>433068</v>
      </c>
      <c r="E162" s="1677">
        <v>118524</v>
      </c>
      <c r="F162" s="1677">
        <v>26574096</v>
      </c>
      <c r="G162" s="1677">
        <v>22457113</v>
      </c>
      <c r="H162" s="1677">
        <v>3882280</v>
      </c>
      <c r="I162" s="1677">
        <v>234703</v>
      </c>
      <c r="J162" s="1677">
        <v>22211793</v>
      </c>
      <c r="K162" s="1677">
        <v>510244</v>
      </c>
      <c r="L162" s="1677">
        <v>245320</v>
      </c>
      <c r="M162" s="1622"/>
      <c r="N162" s="1622"/>
      <c r="O162" s="1622"/>
      <c r="P162" s="1622"/>
    </row>
    <row r="163" spans="1:16">
      <c r="A163" s="1678" t="s">
        <v>22</v>
      </c>
      <c r="B163" s="1677">
        <v>11530008</v>
      </c>
      <c r="C163" s="1677">
        <v>11410286</v>
      </c>
      <c r="D163" s="1677">
        <v>442371</v>
      </c>
      <c r="E163" s="1677">
        <v>119722</v>
      </c>
      <c r="F163" s="1677">
        <v>27103576</v>
      </c>
      <c r="G163" s="1677">
        <v>22918641</v>
      </c>
      <c r="H163" s="1677">
        <v>3947433</v>
      </c>
      <c r="I163" s="1677">
        <v>237502</v>
      </c>
      <c r="J163" s="1677">
        <v>22670104</v>
      </c>
      <c r="K163" s="1677">
        <v>521447</v>
      </c>
      <c r="L163" s="1677">
        <v>248537</v>
      </c>
      <c r="M163" s="1622"/>
      <c r="N163" s="1622"/>
      <c r="O163" s="1622"/>
      <c r="P163" s="1622"/>
    </row>
    <row r="164" spans="1:16">
      <c r="A164" s="1678" t="s">
        <v>23</v>
      </c>
      <c r="B164" s="1677">
        <v>11673507</v>
      </c>
      <c r="C164" s="1677">
        <v>11551417</v>
      </c>
      <c r="D164" s="1677">
        <v>453052</v>
      </c>
      <c r="E164" s="1677">
        <v>122090</v>
      </c>
      <c r="F164" s="1677">
        <v>27552109</v>
      </c>
      <c r="G164" s="1677">
        <v>23284134</v>
      </c>
      <c r="H164" s="1677">
        <v>4026891</v>
      </c>
      <c r="I164" s="1677">
        <v>241084</v>
      </c>
      <c r="J164" s="1677">
        <v>23031837</v>
      </c>
      <c r="K164" s="1677">
        <v>534487</v>
      </c>
      <c r="L164" s="1677">
        <v>252297</v>
      </c>
      <c r="M164" s="1622"/>
      <c r="N164" s="1622"/>
      <c r="O164" s="1622"/>
      <c r="P164" s="1622"/>
    </row>
    <row r="165" spans="1:16">
      <c r="A165" s="1678" t="s">
        <v>24</v>
      </c>
      <c r="B165" s="1677">
        <v>11882012</v>
      </c>
      <c r="C165" s="1677">
        <v>11758799</v>
      </c>
      <c r="D165" s="1677">
        <v>462393</v>
      </c>
      <c r="E165" s="1677">
        <v>123213</v>
      </c>
      <c r="F165" s="1677">
        <v>28042033</v>
      </c>
      <c r="G165" s="1677">
        <v>23705255</v>
      </c>
      <c r="H165" s="1677">
        <v>4091254</v>
      </c>
      <c r="I165" s="1677">
        <v>245524</v>
      </c>
      <c r="J165" s="1677">
        <v>23449860</v>
      </c>
      <c r="K165" s="1677">
        <v>546414</v>
      </c>
      <c r="L165" s="1677">
        <v>255395</v>
      </c>
      <c r="M165" s="1622"/>
      <c r="N165" s="1622"/>
      <c r="O165" s="1622"/>
      <c r="P165" s="1622"/>
    </row>
    <row r="166" spans="1:16">
      <c r="A166" s="1678" t="s">
        <v>25</v>
      </c>
      <c r="B166" s="1677">
        <v>12047088</v>
      </c>
      <c r="C166" s="1677">
        <v>11921530</v>
      </c>
      <c r="D166" s="1677">
        <v>468359</v>
      </c>
      <c r="E166" s="1677">
        <v>125558</v>
      </c>
      <c r="F166" s="1677">
        <v>28530273</v>
      </c>
      <c r="G166" s="1677">
        <v>24102271</v>
      </c>
      <c r="H166" s="1677">
        <v>4178663</v>
      </c>
      <c r="I166" s="1677">
        <v>249339</v>
      </c>
      <c r="J166" s="1677">
        <v>23843681</v>
      </c>
      <c r="K166" s="1677">
        <v>558918</v>
      </c>
      <c r="L166" s="1677">
        <v>258590</v>
      </c>
      <c r="M166" s="1622"/>
      <c r="N166" s="1622"/>
      <c r="O166" s="1622"/>
      <c r="P166" s="1622"/>
    </row>
    <row r="167" spans="1:16">
      <c r="A167" s="1678" t="s">
        <v>26</v>
      </c>
      <c r="B167" s="1677">
        <v>12144104</v>
      </c>
      <c r="C167" s="1677">
        <v>12016438</v>
      </c>
      <c r="D167" s="1677">
        <v>476165</v>
      </c>
      <c r="E167" s="1677">
        <v>127666</v>
      </c>
      <c r="F167" s="1677">
        <v>29042200</v>
      </c>
      <c r="G167" s="1677">
        <v>24540840</v>
      </c>
      <c r="H167" s="1677">
        <v>4251378</v>
      </c>
      <c r="I167" s="1677">
        <v>249982</v>
      </c>
      <c r="J167" s="1677">
        <v>24279305</v>
      </c>
      <c r="K167" s="1677">
        <v>575638</v>
      </c>
      <c r="L167" s="1677">
        <v>261535</v>
      </c>
      <c r="M167" s="1622"/>
      <c r="N167" s="1622"/>
      <c r="O167" s="1622"/>
      <c r="P167" s="1622"/>
    </row>
    <row r="168" spans="1:16">
      <c r="A168" s="1678" t="s">
        <v>27</v>
      </c>
      <c r="B168" s="1677">
        <v>12233783</v>
      </c>
      <c r="C168" s="1677">
        <v>12102788</v>
      </c>
      <c r="D168" s="1677">
        <v>486735</v>
      </c>
      <c r="E168" s="1677">
        <v>130995</v>
      </c>
      <c r="F168" s="1677">
        <v>29549492</v>
      </c>
      <c r="G168" s="1677">
        <v>24940254</v>
      </c>
      <c r="H168" s="1677">
        <v>4356505</v>
      </c>
      <c r="I168" s="1677">
        <v>252733</v>
      </c>
      <c r="J168" s="1677">
        <v>24676073</v>
      </c>
      <c r="K168" s="1677">
        <v>586712</v>
      </c>
      <c r="L168" s="1677">
        <v>264181</v>
      </c>
      <c r="M168" s="1622"/>
      <c r="N168" s="1622"/>
      <c r="O168" s="1622"/>
      <c r="P168" s="1622"/>
    </row>
    <row r="169" spans="1:16">
      <c r="A169" s="1678" t="s">
        <v>28</v>
      </c>
      <c r="B169" s="1677">
        <v>12523424</v>
      </c>
      <c r="C169" s="1677">
        <v>12398087</v>
      </c>
      <c r="D169" s="1677">
        <v>495045</v>
      </c>
      <c r="E169" s="1677">
        <v>125337</v>
      </c>
      <c r="F169" s="1677">
        <v>30055586</v>
      </c>
      <c r="G169" s="1677">
        <v>25363759</v>
      </c>
      <c r="H169" s="1677">
        <v>4437171</v>
      </c>
      <c r="I169" s="1677">
        <v>254656</v>
      </c>
      <c r="J169" s="1677">
        <v>25096926</v>
      </c>
      <c r="K169" s="1677">
        <v>599490</v>
      </c>
      <c r="L169" s="1677">
        <v>266833</v>
      </c>
      <c r="M169" s="1622"/>
      <c r="N169" s="1622"/>
      <c r="O169" s="1622"/>
      <c r="P169" s="1622"/>
    </row>
    <row r="170" spans="1:16">
      <c r="A170" s="1678" t="s">
        <v>29</v>
      </c>
      <c r="B170" s="1677">
        <v>12323105</v>
      </c>
      <c r="C170" s="1677">
        <v>12198027</v>
      </c>
      <c r="D170" s="1677">
        <v>505944</v>
      </c>
      <c r="E170" s="1677">
        <v>125078</v>
      </c>
      <c r="F170" s="1677">
        <v>26729371</v>
      </c>
      <c r="G170" s="1677">
        <v>22175499</v>
      </c>
      <c r="H170" s="1677">
        <v>4297069</v>
      </c>
      <c r="I170" s="1677">
        <v>256803</v>
      </c>
      <c r="J170" s="1677">
        <v>21908618</v>
      </c>
      <c r="K170" s="1677">
        <v>607456</v>
      </c>
      <c r="L170" s="1677">
        <v>266881</v>
      </c>
      <c r="M170" s="1622"/>
      <c r="N170" s="1622"/>
      <c r="O170" s="1622"/>
      <c r="P170" s="1622"/>
    </row>
    <row r="171" spans="1:16">
      <c r="A171" s="1678" t="s">
        <v>2827</v>
      </c>
      <c r="B171" s="1679">
        <v>13535655</v>
      </c>
      <c r="C171" s="1679">
        <v>13395443</v>
      </c>
      <c r="D171" s="1679">
        <v>636770</v>
      </c>
      <c r="E171" s="1679">
        <v>140212</v>
      </c>
      <c r="F171" s="1679">
        <v>32131951</v>
      </c>
      <c r="G171" s="1679">
        <v>25911774</v>
      </c>
      <c r="H171" s="1679">
        <v>5920325</v>
      </c>
      <c r="I171" s="1679">
        <v>299852</v>
      </c>
      <c r="J171" s="1679">
        <v>25603713</v>
      </c>
      <c r="K171" s="1679">
        <v>777151</v>
      </c>
      <c r="L171" s="1679">
        <v>308061</v>
      </c>
      <c r="M171" s="1628">
        <f>(SUM(M172:M183))</f>
        <v>24832.154999999999</v>
      </c>
      <c r="N171" s="1628">
        <f>(SUM(N172:N183))</f>
        <v>203368.70504280005</v>
      </c>
      <c r="O171" s="1628">
        <f>(SUM(O172:O183))</f>
        <v>121487.774</v>
      </c>
      <c r="P171" s="1628">
        <f>(SUM(P172:P183))</f>
        <v>22688.23378336</v>
      </c>
    </row>
    <row r="172" spans="1:16">
      <c r="A172" s="1678" t="s">
        <v>18</v>
      </c>
      <c r="B172" s="1677">
        <v>12629978</v>
      </c>
      <c r="C172" s="1677">
        <v>12503644</v>
      </c>
      <c r="D172" s="1677">
        <v>518523</v>
      </c>
      <c r="E172" s="1677">
        <v>126334</v>
      </c>
      <c r="F172" s="1677">
        <v>27270770</v>
      </c>
      <c r="G172" s="1677">
        <v>22604857</v>
      </c>
      <c r="H172" s="1677">
        <v>4405980</v>
      </c>
      <c r="I172" s="1677">
        <v>259933</v>
      </c>
      <c r="J172" s="1677">
        <v>22337304</v>
      </c>
      <c r="K172" s="1677">
        <v>617661</v>
      </c>
      <c r="L172" s="1677">
        <v>267553</v>
      </c>
      <c r="M172" s="1622">
        <v>1237.432</v>
      </c>
      <c r="N172" s="1622">
        <v>11961.60903784</v>
      </c>
      <c r="O172" s="1622">
        <v>5581.6509999999998</v>
      </c>
      <c r="P172" s="1622">
        <v>963.38066869000011</v>
      </c>
    </row>
    <row r="173" spans="1:16">
      <c r="A173" s="1678" t="s">
        <v>19</v>
      </c>
      <c r="B173" s="1677">
        <v>12770701</v>
      </c>
      <c r="C173" s="1677">
        <v>12644236</v>
      </c>
      <c r="D173" s="1677">
        <v>529967</v>
      </c>
      <c r="E173" s="1677">
        <v>126465</v>
      </c>
      <c r="F173" s="1677">
        <v>27734485</v>
      </c>
      <c r="G173" s="1677">
        <v>22986485</v>
      </c>
      <c r="H173" s="1677">
        <v>4485036</v>
      </c>
      <c r="I173" s="1677">
        <v>262964</v>
      </c>
      <c r="J173" s="1677">
        <v>22716483</v>
      </c>
      <c r="K173" s="1677">
        <v>631689</v>
      </c>
      <c r="L173" s="1677">
        <v>270002</v>
      </c>
      <c r="M173" s="1622">
        <v>1002.496</v>
      </c>
      <c r="N173" s="1622">
        <v>13390.82681903</v>
      </c>
      <c r="O173" s="1622">
        <v>6541.259</v>
      </c>
      <c r="P173" s="1622">
        <v>1136.3528868199999</v>
      </c>
    </row>
    <row r="174" spans="1:16">
      <c r="A174" s="1678" t="s">
        <v>20</v>
      </c>
      <c r="B174" s="1677">
        <v>12956913</v>
      </c>
      <c r="C174" s="1677">
        <v>12829565</v>
      </c>
      <c r="D174" s="1677">
        <v>538819</v>
      </c>
      <c r="E174" s="1677">
        <v>127348</v>
      </c>
      <c r="F174" s="1677">
        <v>28261468</v>
      </c>
      <c r="G174" s="1677">
        <v>23387283</v>
      </c>
      <c r="H174" s="1677">
        <v>4609258</v>
      </c>
      <c r="I174" s="1677">
        <v>264927</v>
      </c>
      <c r="J174" s="1677">
        <v>23114820</v>
      </c>
      <c r="K174" s="1677">
        <v>644070</v>
      </c>
      <c r="L174" s="1677">
        <v>272463</v>
      </c>
      <c r="M174" s="1622">
        <v>1799.155</v>
      </c>
      <c r="N174" s="1622">
        <v>15154.87679412</v>
      </c>
      <c r="O174" s="1622">
        <v>7369.1980000000003</v>
      </c>
      <c r="P174" s="1622">
        <v>2681.2841569899997</v>
      </c>
    </row>
    <row r="175" spans="1:16">
      <c r="A175" s="1678" t="s">
        <v>21</v>
      </c>
      <c r="B175" s="1677">
        <v>13026311</v>
      </c>
      <c r="C175" s="1677">
        <v>12897017</v>
      </c>
      <c r="D175" s="1677">
        <v>551724</v>
      </c>
      <c r="E175" s="1677">
        <v>129294</v>
      </c>
      <c r="F175" s="1677">
        <v>28675008</v>
      </c>
      <c r="G175" s="1677">
        <v>23663879</v>
      </c>
      <c r="H175" s="1677">
        <v>4743154</v>
      </c>
      <c r="I175" s="1677">
        <v>267975</v>
      </c>
      <c r="J175" s="1677">
        <v>23386392</v>
      </c>
      <c r="K175" s="1677">
        <v>659788</v>
      </c>
      <c r="L175" s="1677">
        <v>277487</v>
      </c>
      <c r="M175" s="1622">
        <v>2313.5059999999999</v>
      </c>
      <c r="N175" s="1622">
        <v>18497.929535769999</v>
      </c>
      <c r="O175" s="1622">
        <v>8486.2019999999993</v>
      </c>
      <c r="P175" s="1622">
        <v>2003.2690519300002</v>
      </c>
    </row>
    <row r="176" spans="1:16">
      <c r="A176" s="1678" t="s">
        <v>22</v>
      </c>
      <c r="B176" s="1677">
        <v>13140530</v>
      </c>
      <c r="C176" s="1677">
        <v>13009640</v>
      </c>
      <c r="D176" s="1677">
        <v>563093</v>
      </c>
      <c r="E176" s="1677">
        <v>130890</v>
      </c>
      <c r="F176" s="1677">
        <v>29127369</v>
      </c>
      <c r="G176" s="1677">
        <v>23991179</v>
      </c>
      <c r="H176" s="1677">
        <v>4864806</v>
      </c>
      <c r="I176" s="1677">
        <v>271384</v>
      </c>
      <c r="J176" s="1677">
        <v>23709851</v>
      </c>
      <c r="K176" s="1677">
        <v>674039</v>
      </c>
      <c r="L176" s="1677">
        <v>281328</v>
      </c>
      <c r="M176" s="1622">
        <v>2477.1320000000001</v>
      </c>
      <c r="N176" s="1622">
        <v>16078.76729159</v>
      </c>
      <c r="O176" s="1622">
        <v>9531.8160000000007</v>
      </c>
      <c r="P176" s="1622">
        <v>1798.2032927</v>
      </c>
    </row>
    <row r="177" spans="1:16">
      <c r="A177" s="1678" t="s">
        <v>23</v>
      </c>
      <c r="B177" s="1677">
        <v>13013757</v>
      </c>
      <c r="C177" s="1677">
        <v>12878196</v>
      </c>
      <c r="D177" s="1677">
        <v>574648</v>
      </c>
      <c r="E177" s="1677">
        <v>135561</v>
      </c>
      <c r="F177" s="1677">
        <v>29276612</v>
      </c>
      <c r="G177" s="1677">
        <v>24009998</v>
      </c>
      <c r="H177" s="1677">
        <v>4992220</v>
      </c>
      <c r="I177" s="1677">
        <v>274394</v>
      </c>
      <c r="J177" s="1677">
        <v>23724130</v>
      </c>
      <c r="K177" s="1677">
        <v>687772</v>
      </c>
      <c r="L177" s="1677">
        <v>285868</v>
      </c>
      <c r="M177" s="1622">
        <v>2159.9580000000001</v>
      </c>
      <c r="N177" s="1622">
        <v>17371.786488049998</v>
      </c>
      <c r="O177" s="1622">
        <v>9850.8449999999993</v>
      </c>
      <c r="P177" s="1622">
        <v>1609.3084201900001</v>
      </c>
    </row>
    <row r="178" spans="1:16">
      <c r="A178" s="1678" t="s">
        <v>24</v>
      </c>
      <c r="B178" s="1677">
        <v>13141852</v>
      </c>
      <c r="C178" s="1677">
        <v>13009099</v>
      </c>
      <c r="D178" s="1677">
        <v>582788</v>
      </c>
      <c r="E178" s="1677">
        <v>132753</v>
      </c>
      <c r="F178" s="1677">
        <v>29724430</v>
      </c>
      <c r="G178" s="1677">
        <v>24346057</v>
      </c>
      <c r="H178" s="1677">
        <v>5099370</v>
      </c>
      <c r="I178" s="1677">
        <v>279003</v>
      </c>
      <c r="J178" s="1677">
        <v>24056612</v>
      </c>
      <c r="K178" s="1677">
        <v>700420</v>
      </c>
      <c r="L178" s="1677">
        <v>289445</v>
      </c>
      <c r="M178" s="1622">
        <v>2201.0749999999998</v>
      </c>
      <c r="N178" s="1622">
        <v>17050.269165059999</v>
      </c>
      <c r="O178" s="1622">
        <v>10475.921</v>
      </c>
      <c r="P178" s="1622">
        <v>1457.9264834800001</v>
      </c>
    </row>
    <row r="179" spans="1:16">
      <c r="A179" s="1678" t="s">
        <v>25</v>
      </c>
      <c r="B179" s="1677">
        <v>13316889</v>
      </c>
      <c r="C179" s="1677">
        <v>13182234</v>
      </c>
      <c r="D179" s="1677">
        <v>595198</v>
      </c>
      <c r="E179" s="1677">
        <v>134655</v>
      </c>
      <c r="F179" s="1677">
        <v>30346932</v>
      </c>
      <c r="G179" s="1677">
        <v>24823081</v>
      </c>
      <c r="H179" s="1677">
        <v>5239737</v>
      </c>
      <c r="I179" s="1677">
        <v>284114</v>
      </c>
      <c r="J179" s="1677">
        <v>24528808</v>
      </c>
      <c r="K179" s="1677">
        <v>716861</v>
      </c>
      <c r="L179" s="1677">
        <v>294273</v>
      </c>
      <c r="M179" s="1622">
        <v>2337.7730000000001</v>
      </c>
      <c r="N179" s="1622">
        <v>16989.6739103</v>
      </c>
      <c r="O179" s="1622">
        <v>10517.945</v>
      </c>
      <c r="P179" s="1622">
        <v>1471.5610880699999</v>
      </c>
    </row>
    <row r="180" spans="1:16">
      <c r="A180" s="1678" t="s">
        <v>26</v>
      </c>
      <c r="B180" s="1677">
        <v>13483062</v>
      </c>
      <c r="C180" s="1677">
        <v>13346884</v>
      </c>
      <c r="D180" s="1677">
        <v>607639</v>
      </c>
      <c r="E180" s="1677">
        <v>136178</v>
      </c>
      <c r="F180" s="1677">
        <v>30971047</v>
      </c>
      <c r="G180" s="1677">
        <v>25295328</v>
      </c>
      <c r="H180" s="1677">
        <v>5387201</v>
      </c>
      <c r="I180" s="1677">
        <v>288518</v>
      </c>
      <c r="J180" s="1677">
        <v>24997047</v>
      </c>
      <c r="K180" s="1677">
        <v>733107</v>
      </c>
      <c r="L180" s="1677">
        <v>298281</v>
      </c>
      <c r="M180" s="1622">
        <v>2166.7289999999998</v>
      </c>
      <c r="N180" s="1622">
        <v>16607.460387479998</v>
      </c>
      <c r="O180" s="1622">
        <v>11388.531000000001</v>
      </c>
      <c r="P180" s="1622">
        <v>1623.31405593</v>
      </c>
    </row>
    <row r="181" spans="1:16">
      <c r="A181" s="1678" t="s">
        <v>27</v>
      </c>
      <c r="B181" s="1677">
        <v>13649964</v>
      </c>
      <c r="C181" s="1677">
        <v>13512775</v>
      </c>
      <c r="D181" s="1677">
        <v>618910</v>
      </c>
      <c r="E181" s="1677">
        <v>137189</v>
      </c>
      <c r="F181" s="1677">
        <v>31523433</v>
      </c>
      <c r="G181" s="1677">
        <v>25667364</v>
      </c>
      <c r="H181" s="1677">
        <v>5563798</v>
      </c>
      <c r="I181" s="1677">
        <v>292271</v>
      </c>
      <c r="J181" s="1677">
        <v>25366039</v>
      </c>
      <c r="K181" s="1677">
        <v>749085</v>
      </c>
      <c r="L181" s="1677">
        <v>301325</v>
      </c>
      <c r="M181" s="1622">
        <v>2543.5390000000002</v>
      </c>
      <c r="N181" s="1622">
        <v>18326.319987390001</v>
      </c>
      <c r="O181" s="1622">
        <v>12098.885</v>
      </c>
      <c r="P181" s="1622">
        <v>2109.7513973599998</v>
      </c>
    </row>
    <row r="182" spans="1:16">
      <c r="A182" s="1678" t="s">
        <v>28</v>
      </c>
      <c r="B182" s="1677">
        <v>13730617</v>
      </c>
      <c r="C182" s="1677">
        <v>13592041</v>
      </c>
      <c r="D182" s="1677">
        <v>627957</v>
      </c>
      <c r="E182" s="1677">
        <v>138576</v>
      </c>
      <c r="F182" s="1677">
        <v>31978293</v>
      </c>
      <c r="G182" s="1677">
        <v>25939663</v>
      </c>
      <c r="H182" s="1677">
        <v>5743467</v>
      </c>
      <c r="I182" s="1677">
        <v>295163</v>
      </c>
      <c r="J182" s="1677">
        <v>25635315</v>
      </c>
      <c r="K182" s="1677">
        <v>762579</v>
      </c>
      <c r="L182" s="1677">
        <v>304348</v>
      </c>
      <c r="M182" s="1622">
        <v>2649.51</v>
      </c>
      <c r="N182" s="1622">
        <v>18072.96939717</v>
      </c>
      <c r="O182" s="1622">
        <v>13119.107</v>
      </c>
      <c r="P182" s="1622">
        <v>2008.5986308399999</v>
      </c>
    </row>
    <row r="183" spans="1:16">
      <c r="A183" s="1678" t="s">
        <v>29</v>
      </c>
      <c r="B183" s="1677">
        <v>13535655</v>
      </c>
      <c r="C183" s="1677">
        <v>13395443</v>
      </c>
      <c r="D183" s="1677">
        <v>636770</v>
      </c>
      <c r="E183" s="1677">
        <v>140212</v>
      </c>
      <c r="F183" s="1677">
        <v>32131951</v>
      </c>
      <c r="G183" s="1677">
        <v>25911774</v>
      </c>
      <c r="H183" s="1677">
        <v>5920325</v>
      </c>
      <c r="I183" s="1677">
        <v>299852</v>
      </c>
      <c r="J183" s="1677">
        <v>25603713</v>
      </c>
      <c r="K183" s="1677">
        <v>777151</v>
      </c>
      <c r="L183" s="1677">
        <v>308061</v>
      </c>
      <c r="M183" s="1622">
        <v>1943.85</v>
      </c>
      <c r="N183" s="1622">
        <v>23866.216229000001</v>
      </c>
      <c r="O183" s="1622">
        <v>16526.414000000001</v>
      </c>
      <c r="P183" s="1622">
        <v>3825.2836503600001</v>
      </c>
    </row>
    <row r="184" spans="1:16">
      <c r="A184" s="1678" t="s">
        <v>3518</v>
      </c>
      <c r="B184" s="1679">
        <v>14654384</v>
      </c>
      <c r="C184" s="1679">
        <v>14513660</v>
      </c>
      <c r="D184" s="1679">
        <v>712151</v>
      </c>
      <c r="E184" s="1679">
        <v>140724</v>
      </c>
      <c r="F184" s="1679">
        <v>39590672</v>
      </c>
      <c r="G184" s="1679">
        <v>31492104</v>
      </c>
      <c r="H184" s="1679">
        <v>7772955</v>
      </c>
      <c r="I184" s="1679">
        <v>325613</v>
      </c>
      <c r="J184" s="1679">
        <v>31171813</v>
      </c>
      <c r="K184" s="1679">
        <v>896156</v>
      </c>
      <c r="L184" s="1679">
        <v>320291</v>
      </c>
      <c r="M184" s="1628">
        <f>(SUM(M185:M196))</f>
        <v>21208.202000000005</v>
      </c>
      <c r="N184" s="1628">
        <f t="shared" ref="N184:P184" si="0">(SUM(N185:N196))</f>
        <v>227680.43875112</v>
      </c>
      <c r="O184" s="1628">
        <f t="shared" si="0"/>
        <v>290798.86100000003</v>
      </c>
      <c r="P184" s="1628">
        <f t="shared" si="0"/>
        <v>46249.206362060002</v>
      </c>
    </row>
    <row r="185" spans="1:16">
      <c r="A185" s="1678" t="s">
        <v>18</v>
      </c>
      <c r="B185" s="1677">
        <v>13620931</v>
      </c>
      <c r="C185" s="1677">
        <v>13479616</v>
      </c>
      <c r="D185" s="1677">
        <v>644403</v>
      </c>
      <c r="E185" s="1677">
        <v>141315</v>
      </c>
      <c r="F185" s="1677">
        <v>32616431</v>
      </c>
      <c r="G185" s="1677">
        <v>26219243</v>
      </c>
      <c r="H185" s="1677">
        <v>6093746</v>
      </c>
      <c r="I185" s="1677">
        <v>303442</v>
      </c>
      <c r="J185" s="1677">
        <v>25908273</v>
      </c>
      <c r="K185" s="1677">
        <v>788955</v>
      </c>
      <c r="L185" s="1677">
        <v>310970</v>
      </c>
      <c r="M185" s="1622">
        <v>1621.9</v>
      </c>
      <c r="N185" s="1622">
        <v>16749.332172120001</v>
      </c>
      <c r="O185" s="1622">
        <v>15005.156000000001</v>
      </c>
      <c r="P185" s="1622">
        <v>1997.21891835</v>
      </c>
    </row>
    <row r="186" spans="1:16">
      <c r="A186" s="1678" t="s">
        <v>19</v>
      </c>
      <c r="B186" s="1677">
        <v>13737542</v>
      </c>
      <c r="C186" s="1677">
        <v>13594305</v>
      </c>
      <c r="D186" s="1677">
        <v>651612</v>
      </c>
      <c r="E186" s="1677">
        <v>143237</v>
      </c>
      <c r="F186" s="1677">
        <v>33214685</v>
      </c>
      <c r="G186" s="1677">
        <v>26622633</v>
      </c>
      <c r="H186" s="1677">
        <v>6286367</v>
      </c>
      <c r="I186" s="1677">
        <v>305685</v>
      </c>
      <c r="J186" s="1677">
        <v>26307176</v>
      </c>
      <c r="K186" s="1677">
        <v>802373</v>
      </c>
      <c r="L186" s="1677">
        <v>315457</v>
      </c>
      <c r="M186" s="1622">
        <v>1676.857</v>
      </c>
      <c r="N186" s="1622">
        <v>16391.867533690001</v>
      </c>
      <c r="O186" s="1622">
        <v>15825.008</v>
      </c>
      <c r="P186" s="1622">
        <v>2470.4856664899999</v>
      </c>
    </row>
    <row r="187" spans="1:16">
      <c r="A187" s="1678" t="s">
        <v>20</v>
      </c>
      <c r="B187" s="1677">
        <v>13843001</v>
      </c>
      <c r="C187" s="1677">
        <v>13698214</v>
      </c>
      <c r="D187" s="1677">
        <v>657940</v>
      </c>
      <c r="E187" s="1677">
        <v>144787</v>
      </c>
      <c r="F187" s="1677">
        <v>33831265</v>
      </c>
      <c r="G187" s="1677">
        <v>27025083</v>
      </c>
      <c r="H187" s="1677">
        <v>6497228</v>
      </c>
      <c r="I187" s="1677">
        <v>308954</v>
      </c>
      <c r="J187" s="1677">
        <v>26705930</v>
      </c>
      <c r="K187" s="1677">
        <v>812732</v>
      </c>
      <c r="L187" s="1677">
        <v>319153</v>
      </c>
      <c r="M187" s="1622">
        <v>1781.6869999999999</v>
      </c>
      <c r="N187" s="1622">
        <v>17252.171786529998</v>
      </c>
      <c r="O187" s="1622">
        <v>17776.401999999998</v>
      </c>
      <c r="P187" s="1622">
        <v>2956.0988538899996</v>
      </c>
    </row>
    <row r="188" spans="1:16">
      <c r="A188" s="1678" t="s">
        <v>21</v>
      </c>
      <c r="B188" s="1677">
        <v>13772644</v>
      </c>
      <c r="C188" s="1677">
        <v>13629053</v>
      </c>
      <c r="D188" s="1677">
        <v>659422</v>
      </c>
      <c r="E188" s="1677">
        <v>143591</v>
      </c>
      <c r="F188" s="1677">
        <v>34120423</v>
      </c>
      <c r="G188" s="1677">
        <v>27186197</v>
      </c>
      <c r="H188" s="1677">
        <v>6632703</v>
      </c>
      <c r="I188" s="1677">
        <v>301523</v>
      </c>
      <c r="J188" s="1677">
        <v>26874368</v>
      </c>
      <c r="K188" s="1677">
        <v>816142</v>
      </c>
      <c r="L188" s="1677">
        <v>311829</v>
      </c>
      <c r="M188" s="1622">
        <v>1653.816</v>
      </c>
      <c r="N188" s="1622">
        <v>16923.024148619999</v>
      </c>
      <c r="O188" s="1622">
        <v>18220.264999999999</v>
      </c>
      <c r="P188" s="1622">
        <v>2840.4698740200001</v>
      </c>
    </row>
    <row r="189" spans="1:16">
      <c r="A189" s="1678" t="s">
        <v>22</v>
      </c>
      <c r="B189" s="1677">
        <v>13832763</v>
      </c>
      <c r="C189" s="1677">
        <v>13690176</v>
      </c>
      <c r="D189" s="1677">
        <v>661407</v>
      </c>
      <c r="E189" s="1677">
        <v>142587</v>
      </c>
      <c r="F189" s="1677">
        <v>34751954</v>
      </c>
      <c r="G189" s="1677">
        <v>27571526</v>
      </c>
      <c r="H189" s="1677">
        <v>6877981</v>
      </c>
      <c r="I189" s="1677">
        <v>302447</v>
      </c>
      <c r="J189" s="1677">
        <v>27260275</v>
      </c>
      <c r="K189" s="1677">
        <v>818617</v>
      </c>
      <c r="L189" s="1677">
        <v>311251</v>
      </c>
      <c r="M189" s="1622">
        <v>1804.729</v>
      </c>
      <c r="N189" s="1622">
        <v>18036.0202641</v>
      </c>
      <c r="O189" s="1622">
        <v>21074.742999999999</v>
      </c>
      <c r="P189" s="1622">
        <v>3109.6837274699997</v>
      </c>
    </row>
    <row r="190" spans="1:16">
      <c r="A190" s="1678" t="s">
        <v>23</v>
      </c>
      <c r="B190" s="1677">
        <v>13947162</v>
      </c>
      <c r="C190" s="1677">
        <v>13803878</v>
      </c>
      <c r="D190" s="1677">
        <v>670509</v>
      </c>
      <c r="E190" s="1677">
        <v>143284</v>
      </c>
      <c r="F190" s="1677">
        <v>35204219</v>
      </c>
      <c r="G190" s="1677">
        <v>28041933</v>
      </c>
      <c r="H190" s="1677">
        <v>6857787</v>
      </c>
      <c r="I190" s="1677">
        <v>304499</v>
      </c>
      <c r="J190" s="1677">
        <v>27727572</v>
      </c>
      <c r="K190" s="1677">
        <v>829990</v>
      </c>
      <c r="L190" s="1677">
        <v>314361</v>
      </c>
      <c r="M190" s="1622">
        <v>1685.3309999999999</v>
      </c>
      <c r="N190" s="1622">
        <v>16440.254206860001</v>
      </c>
      <c r="O190" s="1622">
        <v>20781.437000000002</v>
      </c>
      <c r="P190" s="1622">
        <v>3986.0517384899999</v>
      </c>
    </row>
    <row r="191" spans="1:16">
      <c r="A191" s="1678" t="s">
        <v>24</v>
      </c>
      <c r="B191" s="1677">
        <v>14063765</v>
      </c>
      <c r="C191" s="1677">
        <v>13919402</v>
      </c>
      <c r="D191" s="1677">
        <v>670151</v>
      </c>
      <c r="E191" s="1677">
        <v>144363</v>
      </c>
      <c r="F191" s="1677">
        <v>35898162</v>
      </c>
      <c r="G191" s="1677">
        <v>28567680</v>
      </c>
      <c r="H191" s="1677">
        <v>7022421</v>
      </c>
      <c r="I191" s="1677">
        <v>308061</v>
      </c>
      <c r="J191" s="1677">
        <v>28251009</v>
      </c>
      <c r="K191" s="1677">
        <v>832341</v>
      </c>
      <c r="L191" s="1677">
        <v>316671</v>
      </c>
      <c r="M191" s="1622">
        <v>1981.0540000000001</v>
      </c>
      <c r="N191" s="1622">
        <v>20023.121856189999</v>
      </c>
      <c r="O191" s="1622">
        <v>24202.174999999999</v>
      </c>
      <c r="P191" s="1622">
        <v>4153.7315737899999</v>
      </c>
    </row>
    <row r="192" spans="1:16">
      <c r="A192" s="1678" t="s">
        <v>25</v>
      </c>
      <c r="B192" s="1677">
        <v>14215258</v>
      </c>
      <c r="C192" s="1677">
        <v>14068615</v>
      </c>
      <c r="D192" s="1677">
        <v>680843</v>
      </c>
      <c r="E192" s="1677">
        <v>146643</v>
      </c>
      <c r="F192" s="1677">
        <v>36750228</v>
      </c>
      <c r="G192" s="1677">
        <v>29229134</v>
      </c>
      <c r="H192" s="1677">
        <v>7209877</v>
      </c>
      <c r="I192" s="1677">
        <v>311217</v>
      </c>
      <c r="J192" s="1677">
        <v>28907008</v>
      </c>
      <c r="K192" s="1677">
        <v>848357</v>
      </c>
      <c r="L192" s="1677">
        <v>322126</v>
      </c>
      <c r="M192" s="1622">
        <v>1798.191</v>
      </c>
      <c r="N192" s="1622">
        <v>19891.138757200002</v>
      </c>
      <c r="O192" s="1622">
        <v>24880.984</v>
      </c>
      <c r="P192" s="1622">
        <v>4568.9208906399999</v>
      </c>
    </row>
    <row r="193" spans="1:16">
      <c r="A193" s="1678" t="s">
        <v>26</v>
      </c>
      <c r="B193" s="1677">
        <v>14340385</v>
      </c>
      <c r="C193" s="1677">
        <v>14191659</v>
      </c>
      <c r="D193" s="1677">
        <v>684975</v>
      </c>
      <c r="E193" s="1677">
        <v>148726</v>
      </c>
      <c r="F193" s="1677">
        <v>37439220</v>
      </c>
      <c r="G193" s="1677">
        <v>29720212</v>
      </c>
      <c r="H193" s="1677">
        <v>7405317</v>
      </c>
      <c r="I193" s="1677">
        <v>313691</v>
      </c>
      <c r="J193" s="1677">
        <v>29392713</v>
      </c>
      <c r="K193" s="1677">
        <v>853729</v>
      </c>
      <c r="L193" s="1677">
        <v>327499</v>
      </c>
      <c r="M193" s="1622">
        <v>1776.317</v>
      </c>
      <c r="N193" s="1622">
        <v>18778.45133819</v>
      </c>
      <c r="O193" s="1622">
        <v>26994.276000000002</v>
      </c>
      <c r="P193" s="1622">
        <v>4210.5683489699995</v>
      </c>
    </row>
    <row r="194" spans="1:16">
      <c r="A194" s="1678" t="s">
        <v>27</v>
      </c>
      <c r="B194" s="1677">
        <v>14350184</v>
      </c>
      <c r="C194" s="1677">
        <v>14214419</v>
      </c>
      <c r="D194" s="1677">
        <v>685813</v>
      </c>
      <c r="E194" s="1677">
        <v>135765</v>
      </c>
      <c r="F194" s="1677">
        <v>37766627</v>
      </c>
      <c r="G194" s="1677">
        <v>30115193</v>
      </c>
      <c r="H194" s="1677">
        <v>7340629</v>
      </c>
      <c r="I194" s="1677">
        <v>310805</v>
      </c>
      <c r="J194" s="1677">
        <v>29806518</v>
      </c>
      <c r="K194" s="1677">
        <v>857281</v>
      </c>
      <c r="L194" s="1677">
        <v>308675</v>
      </c>
      <c r="M194" s="1622">
        <v>1939.759</v>
      </c>
      <c r="N194" s="1622">
        <v>21431.13010862</v>
      </c>
      <c r="O194" s="1622">
        <v>31385.042000000001</v>
      </c>
      <c r="P194" s="1622">
        <v>5675.3090789500002</v>
      </c>
    </row>
    <row r="195" spans="1:16">
      <c r="A195" s="1678" t="s">
        <v>28</v>
      </c>
      <c r="B195" s="1677">
        <v>14497778</v>
      </c>
      <c r="C195" s="1677">
        <v>14359133</v>
      </c>
      <c r="D195" s="1677">
        <v>698810</v>
      </c>
      <c r="E195" s="1677">
        <v>138645</v>
      </c>
      <c r="F195" s="1677">
        <v>38573764</v>
      </c>
      <c r="G195" s="1677">
        <v>30692696</v>
      </c>
      <c r="H195" s="1677">
        <v>7564897</v>
      </c>
      <c r="I195" s="1677">
        <v>316171</v>
      </c>
      <c r="J195" s="1677">
        <v>30377241</v>
      </c>
      <c r="K195" s="1677">
        <v>876130</v>
      </c>
      <c r="L195" s="1677">
        <v>315455</v>
      </c>
      <c r="M195" s="1622">
        <v>1607</v>
      </c>
      <c r="N195" s="1622">
        <v>18785</v>
      </c>
      <c r="O195" s="1622">
        <v>34065</v>
      </c>
      <c r="P195" s="1622">
        <v>4694</v>
      </c>
    </row>
    <row r="196" spans="1:16">
      <c r="A196" s="1678" t="s">
        <v>29</v>
      </c>
      <c r="B196" s="1677">
        <v>14654384</v>
      </c>
      <c r="C196" s="1677">
        <v>14513660</v>
      </c>
      <c r="D196" s="1677">
        <v>712151</v>
      </c>
      <c r="E196" s="1677">
        <v>140724</v>
      </c>
      <c r="F196" s="1677">
        <v>39590672</v>
      </c>
      <c r="G196" s="1677">
        <v>31492104</v>
      </c>
      <c r="H196" s="1677">
        <v>7772955</v>
      </c>
      <c r="I196" s="1677">
        <v>325613</v>
      </c>
      <c r="J196" s="1677">
        <v>31171813</v>
      </c>
      <c r="K196" s="1677">
        <v>896156</v>
      </c>
      <c r="L196" s="1677">
        <v>320291</v>
      </c>
      <c r="M196" s="1622">
        <v>1881.5609999999999</v>
      </c>
      <c r="N196" s="1622">
        <v>26978.926578999999</v>
      </c>
      <c r="O196" s="1622">
        <v>40588.373</v>
      </c>
      <c r="P196" s="1622">
        <v>5586.6676909999996</v>
      </c>
    </row>
    <row r="197" spans="1:16">
      <c r="A197" s="1678" t="s">
        <v>3989</v>
      </c>
      <c r="B197" s="1679">
        <v>15999555</v>
      </c>
      <c r="C197" s="1679">
        <v>15846654</v>
      </c>
      <c r="D197" s="1679">
        <v>856401</v>
      </c>
      <c r="E197" s="1679">
        <v>152901</v>
      </c>
      <c r="F197" s="1679">
        <v>47278994</v>
      </c>
      <c r="G197" s="1679">
        <v>37016419</v>
      </c>
      <c r="H197" s="1679">
        <v>9761889</v>
      </c>
      <c r="I197" s="1679">
        <v>500686</v>
      </c>
      <c r="J197" s="1679">
        <v>36636593</v>
      </c>
      <c r="K197" s="1679">
        <v>1123177</v>
      </c>
      <c r="L197" s="1679">
        <v>379826</v>
      </c>
      <c r="M197" s="1628">
        <f>(SUM(M198:M209))</f>
        <v>21232.026999999998</v>
      </c>
      <c r="N197" s="1628">
        <f t="shared" ref="N197:P197" si="1">(SUM(N198:N209))</f>
        <v>274743.82792234997</v>
      </c>
      <c r="O197" s="1628">
        <f t="shared" si="1"/>
        <v>627905.08699999994</v>
      </c>
      <c r="P197" s="1628">
        <f t="shared" si="1"/>
        <v>63905.636203410002</v>
      </c>
    </row>
    <row r="198" spans="1:16">
      <c r="A198" s="1678" t="s">
        <v>18</v>
      </c>
      <c r="B198" s="1677">
        <v>14803775</v>
      </c>
      <c r="C198" s="1677">
        <v>14661221</v>
      </c>
      <c r="D198" s="1677">
        <v>721021</v>
      </c>
      <c r="E198" s="1677">
        <v>142554</v>
      </c>
      <c r="F198" s="1677">
        <v>40335951</v>
      </c>
      <c r="G198" s="1677">
        <v>32008338</v>
      </c>
      <c r="H198" s="1677">
        <v>7990254</v>
      </c>
      <c r="I198" s="1677">
        <v>337359</v>
      </c>
      <c r="J198" s="1677">
        <v>31683652</v>
      </c>
      <c r="K198" s="1677">
        <v>911136</v>
      </c>
      <c r="L198" s="1677">
        <v>324686</v>
      </c>
      <c r="M198" s="1622">
        <v>1485.3119999999999</v>
      </c>
      <c r="N198" s="1622">
        <v>18305.638999999999</v>
      </c>
      <c r="O198" s="1622">
        <v>37140.928</v>
      </c>
      <c r="P198" s="1622">
        <v>5273.7156400000003</v>
      </c>
    </row>
    <row r="199" spans="1:16">
      <c r="A199" s="1678" t="s">
        <v>19</v>
      </c>
      <c r="B199" s="1677">
        <v>14883892</v>
      </c>
      <c r="C199" s="1677">
        <v>14739173</v>
      </c>
      <c r="D199" s="1677">
        <v>733799</v>
      </c>
      <c r="E199" s="1677">
        <v>144719</v>
      </c>
      <c r="F199" s="1677">
        <v>40622564</v>
      </c>
      <c r="G199" s="1677">
        <v>32094492</v>
      </c>
      <c r="H199" s="1677">
        <v>8173944</v>
      </c>
      <c r="I199" s="1677">
        <v>354128</v>
      </c>
      <c r="J199" s="1677">
        <v>31764345</v>
      </c>
      <c r="K199" s="1677">
        <v>928129</v>
      </c>
      <c r="L199" s="1677">
        <v>330147</v>
      </c>
      <c r="M199" s="1622">
        <v>1656.731</v>
      </c>
      <c r="N199" s="1622">
        <v>20682.151039</v>
      </c>
      <c r="O199" s="1622">
        <v>40007.923999999999</v>
      </c>
      <c r="P199" s="1622">
        <v>5057.073676</v>
      </c>
    </row>
    <row r="200" spans="1:16">
      <c r="A200" s="1678" t="s">
        <v>20</v>
      </c>
      <c r="B200" s="1677">
        <v>15007377</v>
      </c>
      <c r="C200" s="1677">
        <v>14861378</v>
      </c>
      <c r="D200" s="1677">
        <v>741752</v>
      </c>
      <c r="E200" s="1677">
        <v>145999</v>
      </c>
      <c r="F200" s="1677">
        <v>41098194</v>
      </c>
      <c r="G200" s="1677">
        <v>32351523</v>
      </c>
      <c r="H200" s="1677">
        <v>8377126</v>
      </c>
      <c r="I200" s="1677">
        <v>369545</v>
      </c>
      <c r="J200" s="1677">
        <v>32018142</v>
      </c>
      <c r="K200" s="1677">
        <v>940428</v>
      </c>
      <c r="L200" s="1677">
        <v>333381</v>
      </c>
      <c r="M200" s="1622">
        <v>1504.4590000000001</v>
      </c>
      <c r="N200" s="1622">
        <v>20298</v>
      </c>
      <c r="O200" s="1622">
        <v>44154.73</v>
      </c>
      <c r="P200" s="1622">
        <v>4485.5850490000003</v>
      </c>
    </row>
    <row r="201" spans="1:16">
      <c r="A201" s="1678" t="s">
        <v>21</v>
      </c>
      <c r="B201" s="1677">
        <v>15166546</v>
      </c>
      <c r="C201" s="1677">
        <v>15018598</v>
      </c>
      <c r="D201" s="1677">
        <v>754982</v>
      </c>
      <c r="E201" s="1677">
        <v>147948</v>
      </c>
      <c r="F201" s="1677">
        <v>41877781</v>
      </c>
      <c r="G201" s="1677">
        <v>32901745</v>
      </c>
      <c r="H201" s="1677">
        <v>8590665</v>
      </c>
      <c r="I201" s="1677">
        <v>385371</v>
      </c>
      <c r="J201" s="1677">
        <v>32563007</v>
      </c>
      <c r="K201" s="1677">
        <v>959549</v>
      </c>
      <c r="L201" s="1677">
        <v>338738</v>
      </c>
      <c r="M201" s="1622">
        <v>1747.049</v>
      </c>
      <c r="N201" s="1622">
        <v>21149.500978</v>
      </c>
      <c r="O201" s="1622">
        <v>47857.936999999998</v>
      </c>
      <c r="P201" s="1622">
        <v>5957.0783099999999</v>
      </c>
    </row>
    <row r="202" spans="1:16">
      <c r="A202" s="1678" t="s">
        <v>22</v>
      </c>
      <c r="B202" s="1677">
        <v>15264770</v>
      </c>
      <c r="C202" s="1677">
        <v>15115453</v>
      </c>
      <c r="D202" s="1677">
        <v>762162</v>
      </c>
      <c r="E202" s="1677">
        <v>149317</v>
      </c>
      <c r="F202" s="1677">
        <v>42546665</v>
      </c>
      <c r="G202" s="1677">
        <v>33351679</v>
      </c>
      <c r="H202" s="1677">
        <v>8796179</v>
      </c>
      <c r="I202" s="1677">
        <v>398807</v>
      </c>
      <c r="J202" s="1677">
        <v>33011412</v>
      </c>
      <c r="K202" s="1677">
        <v>969044</v>
      </c>
      <c r="L202" s="1677">
        <v>340267</v>
      </c>
      <c r="M202" s="1622">
        <v>1760.1590000000001</v>
      </c>
      <c r="N202" s="1622">
        <v>23104.006947999998</v>
      </c>
      <c r="O202" s="1622">
        <v>52001.900999999998</v>
      </c>
      <c r="P202" s="1622">
        <v>5298.0846970000002</v>
      </c>
    </row>
    <row r="203" spans="1:16">
      <c r="A203" s="1678" t="s">
        <v>23</v>
      </c>
      <c r="B203" s="1677">
        <v>15410656</v>
      </c>
      <c r="C203" s="1677">
        <v>15259684</v>
      </c>
      <c r="D203" s="1677">
        <v>773536</v>
      </c>
      <c r="E203" s="1677">
        <v>150972</v>
      </c>
      <c r="F203" s="1677">
        <v>43207202</v>
      </c>
      <c r="G203" s="1677">
        <v>33786073</v>
      </c>
      <c r="H203" s="1677">
        <v>9011211</v>
      </c>
      <c r="I203" s="1677">
        <v>409918</v>
      </c>
      <c r="J203" s="1677">
        <v>33441330</v>
      </c>
      <c r="K203" s="1677">
        <v>985705</v>
      </c>
      <c r="L203" s="1677">
        <v>344743</v>
      </c>
      <c r="M203" s="1622">
        <v>1472.905</v>
      </c>
      <c r="N203" s="1622">
        <v>18683.274523930002</v>
      </c>
      <c r="O203" s="1622">
        <v>53724.379000000001</v>
      </c>
      <c r="P203" s="1622">
        <v>5104.9219938300002</v>
      </c>
    </row>
    <row r="204" spans="1:16">
      <c r="A204" s="1678" t="s">
        <v>24</v>
      </c>
      <c r="B204" s="1677">
        <v>15506888</v>
      </c>
      <c r="C204" s="1677">
        <v>15363427</v>
      </c>
      <c r="D204" s="1677">
        <v>784770</v>
      </c>
      <c r="E204" s="1677">
        <v>143461</v>
      </c>
      <c r="F204" s="1677">
        <v>43832229</v>
      </c>
      <c r="G204" s="1677">
        <v>34284167</v>
      </c>
      <c r="H204" s="1677">
        <v>9130630</v>
      </c>
      <c r="I204" s="1677">
        <v>417432</v>
      </c>
      <c r="J204" s="1677">
        <v>33934865</v>
      </c>
      <c r="K204" s="1677">
        <v>1004226</v>
      </c>
      <c r="L204" s="1677">
        <v>349302</v>
      </c>
      <c r="M204" s="1622">
        <v>1926.7460000000001</v>
      </c>
      <c r="N204" s="1622">
        <v>25977.494767240001</v>
      </c>
      <c r="O204" s="1622">
        <v>56289.73</v>
      </c>
      <c r="P204" s="1622">
        <v>5467.2232700000004</v>
      </c>
    </row>
    <row r="205" spans="1:16">
      <c r="A205" s="1678" t="s">
        <v>25</v>
      </c>
      <c r="B205" s="1677">
        <v>15635358</v>
      </c>
      <c r="C205" s="1677">
        <v>15489863</v>
      </c>
      <c r="D205" s="1677">
        <v>797685</v>
      </c>
      <c r="E205" s="1677">
        <v>145495</v>
      </c>
      <c r="F205" s="1677">
        <v>44543116</v>
      </c>
      <c r="G205" s="1677">
        <v>34849252</v>
      </c>
      <c r="H205" s="1677">
        <v>9262379</v>
      </c>
      <c r="I205" s="1677">
        <v>431485</v>
      </c>
      <c r="J205" s="1677">
        <v>34494677</v>
      </c>
      <c r="K205" s="1677">
        <v>1022696</v>
      </c>
      <c r="L205" s="1677">
        <v>354575</v>
      </c>
      <c r="M205" s="1622">
        <v>1802.8969999999999</v>
      </c>
      <c r="N205" s="1622">
        <v>26518.796009639998</v>
      </c>
      <c r="O205" s="1622">
        <v>57665</v>
      </c>
      <c r="P205" s="1622">
        <v>5716</v>
      </c>
    </row>
    <row r="206" spans="1:16">
      <c r="A206" s="1678" t="s">
        <v>26</v>
      </c>
      <c r="B206" s="1677">
        <v>15784885</v>
      </c>
      <c r="C206" s="1677">
        <v>15637628</v>
      </c>
      <c r="D206" s="1677">
        <v>810667</v>
      </c>
      <c r="E206" s="1677">
        <v>147257</v>
      </c>
      <c r="F206" s="1677">
        <v>45359360</v>
      </c>
      <c r="G206" s="1677">
        <v>35457858</v>
      </c>
      <c r="H206" s="1677">
        <v>9455050</v>
      </c>
      <c r="I206" s="1677">
        <v>446452</v>
      </c>
      <c r="J206" s="1677">
        <v>35098079</v>
      </c>
      <c r="K206" s="1677">
        <v>1041172</v>
      </c>
      <c r="L206" s="1677">
        <v>359779</v>
      </c>
      <c r="M206" s="1622">
        <v>1939</v>
      </c>
      <c r="N206" s="1622">
        <v>23885</v>
      </c>
      <c r="O206" s="1622">
        <v>59082</v>
      </c>
      <c r="P206" s="1622">
        <v>5725</v>
      </c>
    </row>
    <row r="207" spans="1:16">
      <c r="A207" s="1678" t="s">
        <v>27</v>
      </c>
      <c r="B207" s="1677">
        <v>15903760</v>
      </c>
      <c r="C207" s="1677">
        <v>15753865</v>
      </c>
      <c r="D207" s="1677">
        <v>825726</v>
      </c>
      <c r="E207" s="1677">
        <v>149895</v>
      </c>
      <c r="F207" s="1677">
        <v>46014547</v>
      </c>
      <c r="G207" s="1677">
        <v>36017130</v>
      </c>
      <c r="H207" s="1677">
        <v>9537139</v>
      </c>
      <c r="I207" s="1677">
        <v>460278</v>
      </c>
      <c r="J207" s="1677">
        <v>35650572</v>
      </c>
      <c r="K207" s="1677">
        <v>1064887</v>
      </c>
      <c r="L207" s="1677">
        <v>366558</v>
      </c>
      <c r="M207" s="1622">
        <v>2027.2429999999999</v>
      </c>
      <c r="N207" s="1622">
        <v>26786.523195540001</v>
      </c>
      <c r="O207" s="1622">
        <v>58889.74</v>
      </c>
      <c r="P207" s="1622">
        <v>5627.5178155800004</v>
      </c>
    </row>
    <row r="208" spans="1:16">
      <c r="A208" s="1678" t="s">
        <v>28</v>
      </c>
      <c r="B208" s="1677">
        <v>15999461</v>
      </c>
      <c r="C208" s="1677">
        <v>15848695</v>
      </c>
      <c r="D208" s="1677">
        <v>840434</v>
      </c>
      <c r="E208" s="1677">
        <v>150766</v>
      </c>
      <c r="F208" s="1677">
        <v>46711153</v>
      </c>
      <c r="G208" s="1677">
        <v>36588125</v>
      </c>
      <c r="H208" s="1677">
        <v>9651055</v>
      </c>
      <c r="I208" s="1677">
        <v>471973</v>
      </c>
      <c r="J208" s="1677">
        <v>36214020</v>
      </c>
      <c r="K208" s="1677">
        <v>1093037</v>
      </c>
      <c r="L208" s="1677">
        <v>374105</v>
      </c>
      <c r="M208" s="1622">
        <v>1881.335</v>
      </c>
      <c r="N208" s="1622">
        <v>23398.564754999999</v>
      </c>
      <c r="O208" s="1622">
        <v>55080.614999999998</v>
      </c>
      <c r="P208" s="1622">
        <v>4519.6614220000001</v>
      </c>
    </row>
    <row r="209" spans="1:16">
      <c r="A209" s="1678" t="s">
        <v>29</v>
      </c>
      <c r="B209" s="1677">
        <v>15999555</v>
      </c>
      <c r="C209" s="1677">
        <v>15846654</v>
      </c>
      <c r="D209" s="1677">
        <v>856401</v>
      </c>
      <c r="E209" s="1677">
        <v>152901</v>
      </c>
      <c r="F209" s="1677">
        <v>47278994</v>
      </c>
      <c r="G209" s="1677">
        <v>37016419</v>
      </c>
      <c r="H209" s="1677">
        <v>9761889</v>
      </c>
      <c r="I209" s="1677">
        <v>500686</v>
      </c>
      <c r="J209" s="1677">
        <v>36636593</v>
      </c>
      <c r="K209" s="1677">
        <v>1123177</v>
      </c>
      <c r="L209" s="1677">
        <v>379826</v>
      </c>
      <c r="M209" s="1622">
        <v>2028.191</v>
      </c>
      <c r="N209" s="1622">
        <v>25954.876705999999</v>
      </c>
      <c r="O209" s="1622">
        <v>66010.202999999994</v>
      </c>
      <c r="P209" s="1622">
        <v>5673.7743300000002</v>
      </c>
    </row>
    <row r="210" spans="1:16">
      <c r="A210" s="1678" t="s">
        <v>4222</v>
      </c>
      <c r="B210" s="1677"/>
      <c r="C210" s="1677"/>
      <c r="D210" s="1677"/>
      <c r="E210" s="1677"/>
      <c r="F210" s="1677"/>
      <c r="G210" s="1677"/>
      <c r="H210" s="1677"/>
      <c r="I210" s="1677"/>
      <c r="J210" s="1677"/>
      <c r="K210" s="1677"/>
      <c r="L210" s="1677"/>
      <c r="M210" s="1622"/>
      <c r="N210" s="1622"/>
      <c r="O210" s="1622"/>
      <c r="P210" s="1622"/>
    </row>
    <row r="211" spans="1:16">
      <c r="A211" s="1678" t="s">
        <v>18</v>
      </c>
      <c r="B211" s="1677">
        <v>15963504</v>
      </c>
      <c r="C211" s="1677">
        <v>15815031</v>
      </c>
      <c r="D211" s="1677">
        <v>867966</v>
      </c>
      <c r="E211" s="1677">
        <v>148473</v>
      </c>
      <c r="F211" s="1677">
        <v>47910062</v>
      </c>
      <c r="G211" s="1677">
        <v>37448988</v>
      </c>
      <c r="H211" s="1677">
        <v>9943790</v>
      </c>
      <c r="I211" s="1677">
        <v>517284</v>
      </c>
      <c r="J211" s="1677">
        <v>37064659</v>
      </c>
      <c r="K211" s="1677">
        <v>1148055</v>
      </c>
      <c r="L211" s="1677">
        <v>384329</v>
      </c>
      <c r="M211" s="1622">
        <v>2158.77</v>
      </c>
      <c r="N211" s="1622">
        <v>21242.23</v>
      </c>
      <c r="O211" s="1622">
        <v>55909.641000000003</v>
      </c>
      <c r="P211" s="1622">
        <v>4375.1689919999999</v>
      </c>
    </row>
    <row r="212" spans="1:16">
      <c r="A212" s="1678" t="s">
        <v>19</v>
      </c>
      <c r="B212" s="1677">
        <v>16132172</v>
      </c>
      <c r="C212" s="1677">
        <v>15981848</v>
      </c>
      <c r="D212" s="1677">
        <v>883018</v>
      </c>
      <c r="E212" s="1677">
        <v>150324</v>
      </c>
      <c r="F212" s="1677">
        <v>48573760</v>
      </c>
      <c r="G212" s="1677">
        <v>38000932</v>
      </c>
      <c r="H212" s="1677">
        <v>10040915</v>
      </c>
      <c r="I212" s="1677">
        <v>531913</v>
      </c>
      <c r="J212" s="1677">
        <v>37611859</v>
      </c>
      <c r="K212" s="1677">
        <v>1173221</v>
      </c>
      <c r="L212" s="1677">
        <v>389073</v>
      </c>
      <c r="M212" s="1622">
        <v>2095.88</v>
      </c>
      <c r="N212" s="1622">
        <v>22416.224678999999</v>
      </c>
      <c r="O212" s="1622">
        <v>57679.642</v>
      </c>
      <c r="P212" s="1622">
        <v>4798.5052409999998</v>
      </c>
    </row>
    <row r="213" spans="1:16">
      <c r="A213" s="1678" t="s">
        <v>20</v>
      </c>
      <c r="B213" s="1677">
        <v>16201446</v>
      </c>
      <c r="C213" s="1677">
        <v>16050305</v>
      </c>
      <c r="D213" s="1677">
        <v>892802</v>
      </c>
      <c r="E213" s="1677">
        <v>151141</v>
      </c>
      <c r="F213" s="1677">
        <v>49196924</v>
      </c>
      <c r="G213" s="1677">
        <v>38509534</v>
      </c>
      <c r="H213" s="1677">
        <v>10143919</v>
      </c>
      <c r="I213" s="1677">
        <v>543471</v>
      </c>
      <c r="J213" s="1677">
        <v>38114722</v>
      </c>
      <c r="K213" s="1677">
        <v>1191487</v>
      </c>
      <c r="L213" s="1677">
        <v>394812</v>
      </c>
      <c r="M213" s="1622">
        <v>1722.68</v>
      </c>
      <c r="N213" s="1622">
        <v>19637.791048999999</v>
      </c>
      <c r="O213" s="1622">
        <v>55623.154999999999</v>
      </c>
      <c r="P213" s="1622">
        <v>4557.8663829999996</v>
      </c>
    </row>
    <row r="214" spans="1:16">
      <c r="A214" s="1678" t="s">
        <v>4276</v>
      </c>
      <c r="B214" s="1677">
        <v>15579679</v>
      </c>
      <c r="C214" s="1677">
        <v>15426250</v>
      </c>
      <c r="D214" s="1677">
        <v>907920</v>
      </c>
      <c r="E214" s="1677">
        <v>153429</v>
      </c>
      <c r="F214" s="1677">
        <v>49006282</v>
      </c>
      <c r="G214" s="1677">
        <v>38156972</v>
      </c>
      <c r="H214" s="1677">
        <v>10286635</v>
      </c>
      <c r="I214" s="1677">
        <v>562675</v>
      </c>
      <c r="J214" s="1677">
        <v>37757949</v>
      </c>
      <c r="K214" s="1677">
        <v>1220001</v>
      </c>
      <c r="L214" s="1677">
        <v>399023</v>
      </c>
      <c r="M214" s="1622">
        <v>2576</v>
      </c>
      <c r="N214" s="1622">
        <v>30075</v>
      </c>
      <c r="O214" s="1622">
        <v>81292</v>
      </c>
      <c r="P214" s="1622">
        <v>6552</v>
      </c>
    </row>
    <row r="215" spans="1:16" ht="15" customHeight="1">
      <c r="A215" s="1676" t="s">
        <v>22</v>
      </c>
      <c r="B215" s="1675">
        <v>15639099</v>
      </c>
      <c r="C215" s="1675">
        <v>15483595</v>
      </c>
      <c r="D215" s="1675">
        <v>923401</v>
      </c>
      <c r="E215" s="1675">
        <v>155504</v>
      </c>
      <c r="F215" s="1675">
        <v>49710593</v>
      </c>
      <c r="G215" s="1675">
        <v>38719570</v>
      </c>
      <c r="H215" s="1675">
        <v>10410344</v>
      </c>
      <c r="I215" s="1675">
        <v>580679</v>
      </c>
      <c r="J215" s="1675">
        <v>38314806</v>
      </c>
      <c r="K215" s="1675">
        <v>1244913</v>
      </c>
      <c r="L215" s="1675">
        <v>404764</v>
      </c>
      <c r="M215" s="1620">
        <v>2330.3710000000001</v>
      </c>
      <c r="N215" s="1620">
        <v>27418.315871999999</v>
      </c>
      <c r="O215" s="1620">
        <v>74797.023000000001</v>
      </c>
      <c r="P215" s="1620">
        <v>6062.8431840000003</v>
      </c>
    </row>
    <row r="216" spans="1:16" ht="33" customHeight="1">
      <c r="A216" s="2864" t="s">
        <v>4277</v>
      </c>
      <c r="B216" s="2864"/>
      <c r="C216" s="2864"/>
      <c r="D216" s="2864"/>
      <c r="E216" s="2864"/>
      <c r="F216" s="2864"/>
      <c r="G216" s="2864"/>
      <c r="H216" s="2864"/>
      <c r="I216" s="2864"/>
      <c r="J216" s="2864"/>
      <c r="K216" s="2864"/>
      <c r="L216" s="2864"/>
      <c r="M216" s="2864"/>
      <c r="N216" s="2864"/>
      <c r="O216" s="2864"/>
      <c r="P216" s="2864"/>
    </row>
    <row r="217" spans="1:16">
      <c r="A217" s="2845" t="s">
        <v>4282</v>
      </c>
      <c r="B217" s="2845"/>
      <c r="C217" s="2845"/>
      <c r="D217" s="2845"/>
      <c r="E217" s="2845"/>
      <c r="F217" s="2845"/>
      <c r="G217" s="2845"/>
      <c r="H217" s="2845"/>
      <c r="I217" s="2845"/>
      <c r="J217" s="2845"/>
      <c r="K217" s="2845"/>
      <c r="L217" s="2845"/>
      <c r="M217" s="1671"/>
      <c r="N217" s="1671"/>
      <c r="O217" s="1671"/>
      <c r="P217" s="1671"/>
    </row>
    <row r="218" spans="1:16">
      <c r="A218" s="2845" t="s">
        <v>3367</v>
      </c>
      <c r="B218" s="2846"/>
      <c r="C218" s="2846"/>
      <c r="D218" s="2846"/>
      <c r="E218" s="2846"/>
      <c r="F218" s="2846"/>
      <c r="G218" s="2846"/>
      <c r="H218" s="2846"/>
      <c r="I218" s="2846"/>
      <c r="J218" s="2846"/>
      <c r="K218" s="2846"/>
      <c r="L218" s="2846"/>
      <c r="M218" s="1576"/>
      <c r="N218" s="1674"/>
      <c r="O218" s="1674"/>
      <c r="P218" s="1674"/>
    </row>
    <row r="219" spans="1:16">
      <c r="M219" s="1671" t="s">
        <v>2444</v>
      </c>
      <c r="N219" s="1671"/>
      <c r="O219" s="1671"/>
      <c r="P219" s="1671"/>
    </row>
  </sheetData>
  <mergeCells count="41">
    <mergeCell ref="A216:P216"/>
    <mergeCell ref="A9:A12"/>
    <mergeCell ref="B9:B12"/>
    <mergeCell ref="G9:I9"/>
    <mergeCell ref="J9:L9"/>
    <mergeCell ref="M9:P9"/>
    <mergeCell ref="M10:N11"/>
    <mergeCell ref="O10:P11"/>
    <mergeCell ref="A6:A8"/>
    <mergeCell ref="B6:B8"/>
    <mergeCell ref="C7:C8"/>
    <mergeCell ref="D7:D8"/>
    <mergeCell ref="E7:E8"/>
    <mergeCell ref="L7:L8"/>
    <mergeCell ref="C10:C12"/>
    <mergeCell ref="D10:D12"/>
    <mergeCell ref="F6:F8"/>
    <mergeCell ref="K10:K12"/>
    <mergeCell ref="H7:H8"/>
    <mergeCell ref="I7:I8"/>
    <mergeCell ref="J7:J8"/>
    <mergeCell ref="K7:K8"/>
    <mergeCell ref="H10:H12"/>
    <mergeCell ref="I10:I12"/>
    <mergeCell ref="J10:J12"/>
    <mergeCell ref="A218:L218"/>
    <mergeCell ref="A2:P2"/>
    <mergeCell ref="A3:P3"/>
    <mergeCell ref="L10:L12"/>
    <mergeCell ref="A217:L217"/>
    <mergeCell ref="E10:E12"/>
    <mergeCell ref="G10:G12"/>
    <mergeCell ref="A5:P5"/>
    <mergeCell ref="C6:E6"/>
    <mergeCell ref="G6:I6"/>
    <mergeCell ref="J6:L6"/>
    <mergeCell ref="M6:P6"/>
    <mergeCell ref="O7:P7"/>
    <mergeCell ref="M7:N7"/>
    <mergeCell ref="F9:F12"/>
    <mergeCell ref="G7:G8"/>
  </mergeCells>
  <pageMargins left="0.42" right="0.16" top="0.95" bottom="0.75" header="0.3" footer="0.3"/>
  <pageSetup scale="28"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8D519-8D46-4DCB-B90D-2A232A6BA197}">
  <sheetPr codeName="Sheet53">
    <tabColor rgb="FF92D050"/>
  </sheetPr>
  <dimension ref="A1:AH25"/>
  <sheetViews>
    <sheetView showGridLines="0" view="pageBreakPreview" zoomScaleNormal="100" zoomScaleSheetLayoutView="100" workbookViewId="0">
      <pane ySplit="10" topLeftCell="A11" activePane="bottomLeft" state="frozen"/>
      <selection activeCell="B39" sqref="B39"/>
      <selection pane="bottomLeft" activeCell="J46" sqref="J46"/>
    </sheetView>
  </sheetViews>
  <sheetFormatPr defaultColWidth="9.140625" defaultRowHeight="15"/>
  <cols>
    <col min="1" max="1" width="63.42578125" style="976" customWidth="1"/>
    <col min="2" max="3" width="23.85546875" style="976" customWidth="1"/>
    <col min="4" max="4" width="60.28515625" style="976" customWidth="1"/>
    <col min="5" max="5" width="10.5703125" style="976" bestFit="1" customWidth="1"/>
    <col min="6" max="16384" width="9.140625" style="976"/>
  </cols>
  <sheetData>
    <row r="1" spans="1:5" ht="9.75" customHeight="1"/>
    <row r="2" spans="1:5" ht="12" customHeight="1">
      <c r="A2" s="2773" t="s">
        <v>3368</v>
      </c>
      <c r="B2" s="2773"/>
      <c r="C2" s="2773"/>
      <c r="D2" s="2773"/>
    </row>
    <row r="3" spans="1:5" ht="25.5" customHeight="1">
      <c r="A3" s="2774" t="s">
        <v>3369</v>
      </c>
      <c r="B3" s="2774"/>
      <c r="C3" s="2774"/>
      <c r="D3" s="2774"/>
    </row>
    <row r="4" spans="1:5" ht="11.25" customHeight="1">
      <c r="A4" s="1207"/>
      <c r="B4" s="1207"/>
      <c r="C4" s="1207"/>
      <c r="D4" s="1207"/>
    </row>
    <row r="5" spans="1:5" ht="11.25" customHeight="1">
      <c r="A5" s="1206"/>
      <c r="B5" s="1206"/>
      <c r="C5" s="1899"/>
      <c r="D5" s="1694"/>
    </row>
    <row r="6" spans="1:5" ht="15.75" customHeight="1">
      <c r="A6" s="2877" t="s">
        <v>3088</v>
      </c>
      <c r="B6" s="2883">
        <v>45808</v>
      </c>
      <c r="C6" s="2884"/>
      <c r="D6" s="2880" t="s">
        <v>3128</v>
      </c>
    </row>
    <row r="7" spans="1:5" ht="15.75">
      <c r="A7" s="2878"/>
      <c r="B7" s="2885" t="s">
        <v>3093</v>
      </c>
      <c r="C7" s="2885"/>
      <c r="D7" s="2881"/>
    </row>
    <row r="8" spans="1:5" ht="31.5">
      <c r="A8" s="2878"/>
      <c r="B8" s="1540" t="s">
        <v>3094</v>
      </c>
      <c r="C8" s="1540" t="s">
        <v>3318</v>
      </c>
      <c r="D8" s="2881"/>
    </row>
    <row r="9" spans="1:5" ht="15.75">
      <c r="A9" s="2878"/>
      <c r="B9" s="2875">
        <v>45808</v>
      </c>
      <c r="C9" s="2876"/>
      <c r="D9" s="2881"/>
    </row>
    <row r="10" spans="1:5" ht="31.5">
      <c r="A10" s="2879"/>
      <c r="B10" s="1236" t="s">
        <v>3142</v>
      </c>
      <c r="C10" s="1236" t="s">
        <v>3323</v>
      </c>
      <c r="D10" s="2882"/>
    </row>
    <row r="11" spans="1:5" ht="31.5">
      <c r="A11" s="1693" t="s">
        <v>3374</v>
      </c>
      <c r="B11" s="1306">
        <v>201565.59099999999</v>
      </c>
      <c r="C11" s="1306">
        <v>12043.389290839999</v>
      </c>
      <c r="D11" s="1692" t="s">
        <v>3251</v>
      </c>
      <c r="E11" s="1220"/>
    </row>
    <row r="12" spans="1:5" ht="15.75">
      <c r="A12" s="1691" t="s">
        <v>3095</v>
      </c>
      <c r="B12" s="1307">
        <v>124153.09600000001</v>
      </c>
      <c r="C12" s="1307">
        <v>7001.5637629799994</v>
      </c>
      <c r="D12" s="1690" t="s">
        <v>3095</v>
      </c>
      <c r="E12" s="1220"/>
    </row>
    <row r="13" spans="1:5" ht="15.75">
      <c r="A13" s="1691" t="s">
        <v>3096</v>
      </c>
      <c r="B13" s="1307">
        <v>77346.501000000004</v>
      </c>
      <c r="C13" s="1307">
        <v>4979.6314486299998</v>
      </c>
      <c r="D13" s="1690" t="s">
        <v>3096</v>
      </c>
      <c r="E13" s="1220"/>
    </row>
    <row r="14" spans="1:5" ht="15.75">
      <c r="A14" s="1691" t="s">
        <v>3097</v>
      </c>
      <c r="B14" s="1307">
        <v>7.6029999999999998</v>
      </c>
      <c r="C14" s="1307">
        <v>0.89542036999999997</v>
      </c>
      <c r="D14" s="1690" t="s">
        <v>3097</v>
      </c>
      <c r="E14" s="1220"/>
    </row>
    <row r="15" spans="1:5" ht="15.75">
      <c r="A15" s="1691" t="s">
        <v>3098</v>
      </c>
      <c r="B15" s="1307">
        <v>0.193</v>
      </c>
      <c r="C15" s="1219">
        <v>3.0011880000000001E-2</v>
      </c>
      <c r="D15" s="1690" t="s">
        <v>3098</v>
      </c>
      <c r="E15" s="1220"/>
    </row>
    <row r="16" spans="1:5" ht="15.75">
      <c r="A16" s="1691" t="s">
        <v>3536</v>
      </c>
      <c r="B16" s="1307">
        <v>58.197000000000003</v>
      </c>
      <c r="C16" s="1219">
        <v>61.268645979999995</v>
      </c>
      <c r="D16" s="1690" t="s">
        <v>3537</v>
      </c>
      <c r="E16" s="1220"/>
    </row>
    <row r="17" spans="1:34" ht="15.75">
      <c r="A17" s="1691" t="s">
        <v>3099</v>
      </c>
      <c r="B17" s="2152">
        <v>1E-3</v>
      </c>
      <c r="C17" s="2203">
        <v>9.9999999999999995E-7</v>
      </c>
      <c r="D17" s="1690" t="s">
        <v>3144</v>
      </c>
      <c r="E17" s="1220"/>
    </row>
    <row r="18" spans="1:34" ht="31.5">
      <c r="A18" s="1693" t="s">
        <v>3156</v>
      </c>
      <c r="B18" s="1306">
        <v>1444.0329999999999</v>
      </c>
      <c r="C18" s="1306">
        <v>141.07854331999999</v>
      </c>
      <c r="D18" s="1692" t="s">
        <v>3155</v>
      </c>
      <c r="E18" s="1220"/>
    </row>
    <row r="19" spans="1:34" ht="15.75">
      <c r="A19" s="1691" t="s">
        <v>3095</v>
      </c>
      <c r="B19" s="1307">
        <v>965.73299999999995</v>
      </c>
      <c r="C19" s="1307">
        <v>87.951978170000004</v>
      </c>
      <c r="D19" s="1690" t="s">
        <v>3095</v>
      </c>
      <c r="E19" s="1220"/>
    </row>
    <row r="20" spans="1:34" ht="15.75">
      <c r="A20" s="1691" t="s">
        <v>3096</v>
      </c>
      <c r="B20" s="1307">
        <v>463.33</v>
      </c>
      <c r="C20" s="1307">
        <v>47.935804099999999</v>
      </c>
      <c r="D20" s="1690" t="s">
        <v>3096</v>
      </c>
      <c r="E20" s="1220"/>
    </row>
    <row r="21" spans="1:34" ht="15.75">
      <c r="A21" s="1691" t="s">
        <v>3097</v>
      </c>
      <c r="B21" s="1307">
        <v>1.681</v>
      </c>
      <c r="C21" s="1307">
        <v>0.94430703000000005</v>
      </c>
      <c r="D21" s="1690" t="s">
        <v>3097</v>
      </c>
      <c r="E21" s="1220"/>
    </row>
    <row r="22" spans="1:34" ht="15.75">
      <c r="A22" s="1691" t="s">
        <v>3098</v>
      </c>
      <c r="B22" s="1307">
        <v>2.218</v>
      </c>
      <c r="C22" s="1307">
        <v>0.38743450000000001</v>
      </c>
      <c r="D22" s="1690" t="s">
        <v>3098</v>
      </c>
      <c r="E22" s="1220"/>
    </row>
    <row r="23" spans="1:34" ht="15.75">
      <c r="A23" s="1689" t="s">
        <v>3099</v>
      </c>
      <c r="B23" s="1905">
        <v>11.07</v>
      </c>
      <c r="C23" s="1905">
        <v>3.8590095199999999</v>
      </c>
      <c r="D23" s="1688" t="s">
        <v>3144</v>
      </c>
      <c r="E23" s="1220"/>
    </row>
    <row r="24" spans="1:34">
      <c r="A24" s="2874" t="s">
        <v>4284</v>
      </c>
      <c r="B24" s="2874"/>
      <c r="C24" s="2874"/>
    </row>
    <row r="25" spans="1:34" s="1543" customFormat="1" ht="16.5" customHeight="1">
      <c r="A25" s="2873" t="s">
        <v>3375</v>
      </c>
      <c r="B25" s="2873"/>
      <c r="C25" s="2873"/>
      <c r="D25" s="2873"/>
      <c r="E25" s="1687"/>
      <c r="F25" s="1687"/>
      <c r="G25" s="1687"/>
      <c r="H25" s="1687"/>
      <c r="I25" s="1687"/>
      <c r="J25" s="1687"/>
      <c r="K25" s="1687"/>
      <c r="L25" s="1687"/>
      <c r="M25" s="1687"/>
      <c r="N25" s="1687"/>
      <c r="O25" s="1687"/>
      <c r="P25" s="1687"/>
      <c r="Q25" s="1687"/>
      <c r="R25" s="1687"/>
      <c r="S25" s="1687"/>
      <c r="T25" s="1687"/>
      <c r="U25" s="1687"/>
      <c r="V25" s="1687"/>
      <c r="W25" s="1687"/>
      <c r="X25" s="1687"/>
      <c r="Y25" s="1687"/>
      <c r="Z25" s="1687"/>
      <c r="AA25" s="1687"/>
      <c r="AB25" s="1687"/>
      <c r="AC25" s="1687"/>
      <c r="AD25" s="1687"/>
      <c r="AE25" s="1687"/>
      <c r="AF25" s="1687"/>
      <c r="AG25" s="1687"/>
      <c r="AH25" s="1687"/>
    </row>
  </sheetData>
  <mergeCells count="9">
    <mergeCell ref="A25:D25"/>
    <mergeCell ref="A24:C24"/>
    <mergeCell ref="B9:C9"/>
    <mergeCell ref="A2:D2"/>
    <mergeCell ref="A3:D3"/>
    <mergeCell ref="A6:A10"/>
    <mergeCell ref="D6:D10"/>
    <mergeCell ref="B6:C6"/>
    <mergeCell ref="B7:C7"/>
  </mergeCells>
  <pageMargins left="0.25" right="0.25" top="0.75" bottom="0.75" header="0.3" footer="0.3"/>
  <pageSetup paperSize="9" scale="80"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6088D-6B72-49B4-9FB3-64DAE3BCB8EE}">
  <sheetPr codeName="Sheet54">
    <tabColor rgb="FF92D050"/>
  </sheetPr>
  <dimension ref="A1:BX283"/>
  <sheetViews>
    <sheetView showGridLines="0" view="pageBreakPreview" zoomScale="115" zoomScaleNormal="100" zoomScaleSheetLayoutView="115" workbookViewId="0">
      <pane ySplit="67" topLeftCell="A274" activePane="bottomLeft" state="frozen"/>
      <selection activeCell="B39" sqref="B39"/>
      <selection pane="bottomLeft" activeCell="H293" sqref="H293"/>
    </sheetView>
  </sheetViews>
  <sheetFormatPr defaultColWidth="8.85546875" defaultRowHeight="12.75"/>
  <cols>
    <col min="1" max="1" width="7.7109375" style="1542" customWidth="1"/>
    <col min="2" max="7" width="14.42578125" style="1541" customWidth="1"/>
    <col min="8" max="9" width="8.85546875" style="1541"/>
    <col min="10" max="10" width="9.140625" style="1541" bestFit="1" customWidth="1"/>
    <col min="11" max="73" width="8.85546875" style="1541"/>
    <col min="74" max="74" width="0" style="1541" hidden="1" customWidth="1"/>
    <col min="75" max="16384" width="8.85546875" style="1541"/>
  </cols>
  <sheetData>
    <row r="1" spans="1:76" ht="5.25" customHeight="1">
      <c r="A1" s="2887"/>
      <c r="B1" s="2887"/>
      <c r="C1" s="2887"/>
      <c r="D1" s="2887"/>
      <c r="E1" s="2887"/>
      <c r="F1" s="2887"/>
      <c r="G1" s="2887"/>
    </row>
    <row r="2" spans="1:76" s="1573" customFormat="1" ht="18" customHeight="1">
      <c r="A2" s="2732" t="s">
        <v>3370</v>
      </c>
      <c r="B2" s="2732"/>
      <c r="C2" s="2732"/>
      <c r="D2" s="2732"/>
      <c r="E2" s="2732"/>
      <c r="F2" s="2732"/>
      <c r="G2" s="2732"/>
    </row>
    <row r="3" spans="1:76" ht="22.5" customHeight="1">
      <c r="A3" s="2733" t="s">
        <v>3371</v>
      </c>
      <c r="B3" s="2733"/>
      <c r="C3" s="2733"/>
      <c r="D3" s="2733"/>
      <c r="E3" s="2733"/>
      <c r="F3" s="2733"/>
      <c r="G3" s="2733"/>
    </row>
    <row r="4" spans="1:76" ht="10.5" customHeight="1">
      <c r="A4" s="1461"/>
      <c r="B4" s="1461"/>
      <c r="C4" s="1461"/>
      <c r="D4" s="1461"/>
      <c r="E4" s="1461"/>
      <c r="F4" s="1461"/>
      <c r="G4" s="1461"/>
    </row>
    <row r="5" spans="1:76" ht="10.5" customHeight="1">
      <c r="A5" s="1572"/>
      <c r="B5" s="1572"/>
      <c r="C5" s="1572"/>
      <c r="D5" s="1572"/>
      <c r="E5" s="1572"/>
      <c r="F5" s="1572"/>
      <c r="G5" s="1572"/>
    </row>
    <row r="6" spans="1:76">
      <c r="A6" s="2323" t="s">
        <v>182</v>
      </c>
      <c r="B6" s="2888" t="s">
        <v>1007</v>
      </c>
      <c r="C6" s="2888"/>
      <c r="D6" s="2888"/>
      <c r="E6" s="2888"/>
      <c r="F6" s="2888"/>
      <c r="G6" s="2888"/>
    </row>
    <row r="7" spans="1:76" ht="15.75" customHeight="1">
      <c r="A7" s="2323"/>
      <c r="B7" s="2889" t="s">
        <v>1008</v>
      </c>
      <c r="C7" s="2889"/>
      <c r="D7" s="2889"/>
      <c r="E7" s="2889" t="s">
        <v>1009</v>
      </c>
      <c r="F7" s="2889"/>
      <c r="G7" s="2889"/>
    </row>
    <row r="8" spans="1:76" ht="52.5" customHeight="1">
      <c r="A8" s="2323"/>
      <c r="B8" s="1530" t="s">
        <v>2781</v>
      </c>
      <c r="C8" s="1530" t="s">
        <v>2784</v>
      </c>
      <c r="D8" s="1530" t="s">
        <v>2783</v>
      </c>
      <c r="E8" s="1530" t="s">
        <v>2781</v>
      </c>
      <c r="F8" s="1530" t="s">
        <v>2782</v>
      </c>
      <c r="G8" s="1530" t="s">
        <v>2785</v>
      </c>
      <c r="BW8" s="1571" t="s">
        <v>2062</v>
      </c>
      <c r="BX8" s="1570" t="s">
        <v>2063</v>
      </c>
    </row>
    <row r="9" spans="1:76">
      <c r="A9" s="2730" t="s">
        <v>289</v>
      </c>
      <c r="B9" s="2890" t="s">
        <v>1029</v>
      </c>
      <c r="C9" s="2890"/>
      <c r="D9" s="2890"/>
      <c r="E9" s="2890"/>
      <c r="F9" s="2890"/>
      <c r="G9" s="2890"/>
      <c r="BS9" s="1541">
        <f>BS11+BS23+BS33+BS41</f>
        <v>0</v>
      </c>
      <c r="BW9" s="1541">
        <f>BW11+BW23+BW33+BW41</f>
        <v>622</v>
      </c>
      <c r="BX9" s="1561">
        <f>BS9+BT9+BU9+BW9</f>
        <v>622</v>
      </c>
    </row>
    <row r="10" spans="1:76" ht="16.5" customHeight="1">
      <c r="A10" s="2730"/>
      <c r="B10" s="2891" t="s">
        <v>1010</v>
      </c>
      <c r="C10" s="2891"/>
      <c r="D10" s="2891"/>
      <c r="E10" s="2891" t="s">
        <v>1011</v>
      </c>
      <c r="F10" s="2891"/>
      <c r="G10" s="2891"/>
      <c r="BX10" s="1561"/>
    </row>
    <row r="11" spans="1:76" ht="57" customHeight="1">
      <c r="A11" s="2730"/>
      <c r="B11" s="1533" t="s">
        <v>994</v>
      </c>
      <c r="C11" s="1533" t="s">
        <v>995</v>
      </c>
      <c r="D11" s="1533" t="s">
        <v>1013</v>
      </c>
      <c r="E11" s="1533" t="s">
        <v>994</v>
      </c>
      <c r="F11" s="1533" t="s">
        <v>2786</v>
      </c>
      <c r="G11" s="1533" t="s">
        <v>1013</v>
      </c>
      <c r="BW11" s="1541">
        <f>BW13+BW18</f>
        <v>1713</v>
      </c>
      <c r="BX11" s="1561">
        <f>BS11+BT11+BU11+BW11</f>
        <v>1713</v>
      </c>
    </row>
    <row r="12" spans="1:76" hidden="1">
      <c r="A12" s="1569">
        <v>2001</v>
      </c>
      <c r="B12" s="1710"/>
      <c r="C12" s="1710"/>
      <c r="D12" s="1710"/>
      <c r="E12" s="1710"/>
      <c r="F12" s="1710"/>
      <c r="G12" s="1709"/>
      <c r="BX12" s="1561"/>
    </row>
    <row r="13" spans="1:76" hidden="1">
      <c r="A13" s="1565">
        <v>2002</v>
      </c>
      <c r="B13" s="1707"/>
      <c r="C13" s="1708"/>
      <c r="D13" s="1708"/>
      <c r="E13" s="1707"/>
      <c r="F13" s="1707"/>
      <c r="G13" s="1706"/>
      <c r="BW13" s="1541">
        <f>BW15+BW16</f>
        <v>4361</v>
      </c>
      <c r="BX13" s="1561">
        <f>BS13+BT13+BU13+BW13</f>
        <v>4361</v>
      </c>
    </row>
    <row r="14" spans="1:76" hidden="1">
      <c r="A14" s="1565">
        <f>A13+1</f>
        <v>2003</v>
      </c>
      <c r="B14" s="1707"/>
      <c r="C14" s="1708"/>
      <c r="D14" s="1708"/>
      <c r="E14" s="1707"/>
      <c r="F14" s="1707"/>
      <c r="G14" s="1706"/>
      <c r="BX14" s="1561"/>
    </row>
    <row r="15" spans="1:76" hidden="1">
      <c r="A15" s="1565">
        <f>A14+1</f>
        <v>2004</v>
      </c>
      <c r="B15" s="1707"/>
      <c r="C15" s="1708"/>
      <c r="D15" s="1708"/>
      <c r="E15" s="1707"/>
      <c r="F15" s="1707"/>
      <c r="G15" s="1706"/>
      <c r="BW15" s="1541">
        <v>3917</v>
      </c>
      <c r="BX15" s="1561">
        <f>BS15+BT15+BU15+BW15</f>
        <v>3917</v>
      </c>
    </row>
    <row r="16" spans="1:76" hidden="1">
      <c r="A16" s="1562">
        <v>2005</v>
      </c>
      <c r="B16" s="1704"/>
      <c r="C16" s="1704"/>
      <c r="D16" s="1704"/>
      <c r="E16" s="1704"/>
      <c r="F16" s="1704"/>
      <c r="G16" s="1703"/>
      <c r="BW16" s="1541">
        <v>444</v>
      </c>
      <c r="BX16" s="1561">
        <f>BS16+BT16+BU16+BW16</f>
        <v>444</v>
      </c>
    </row>
    <row r="17" spans="1:76" ht="1.5" hidden="1" customHeight="1">
      <c r="A17" s="1560" t="s">
        <v>18</v>
      </c>
      <c r="B17" s="1704"/>
      <c r="C17" s="1704"/>
      <c r="D17" s="1704"/>
      <c r="E17" s="1704"/>
      <c r="F17" s="1704"/>
      <c r="G17" s="1703"/>
      <c r="BX17" s="1561"/>
    </row>
    <row r="18" spans="1:76" hidden="1">
      <c r="A18" s="1560" t="s">
        <v>19</v>
      </c>
      <c r="B18" s="1704"/>
      <c r="C18" s="1704"/>
      <c r="D18" s="1704"/>
      <c r="E18" s="1704"/>
      <c r="F18" s="1704"/>
      <c r="G18" s="1703"/>
      <c r="BW18" s="1541">
        <f>BW20+BW21</f>
        <v>-2648</v>
      </c>
      <c r="BX18" s="1561">
        <f>BS18+BT18+BU18+BW18</f>
        <v>-2648</v>
      </c>
    </row>
    <row r="19" spans="1:76" hidden="1">
      <c r="A19" s="1560" t="s">
        <v>20</v>
      </c>
      <c r="B19" s="1705"/>
      <c r="C19" s="1704"/>
      <c r="D19" s="1704"/>
      <c r="E19" s="1704"/>
      <c r="F19" s="1704"/>
      <c r="G19" s="1703"/>
      <c r="BX19" s="1561"/>
    </row>
    <row r="20" spans="1:76" hidden="1">
      <c r="A20" s="1560" t="s">
        <v>21</v>
      </c>
      <c r="B20" s="1705"/>
      <c r="C20" s="1704"/>
      <c r="D20" s="1704"/>
      <c r="E20" s="1704"/>
      <c r="F20" s="1704"/>
      <c r="G20" s="1703"/>
      <c r="BW20" s="1541">
        <v>-367</v>
      </c>
      <c r="BX20" s="1561">
        <f>BS20+BT20+BU20+BW20</f>
        <v>-367</v>
      </c>
    </row>
    <row r="21" spans="1:76" hidden="1">
      <c r="A21" s="1560" t="s">
        <v>22</v>
      </c>
      <c r="B21" s="1705"/>
      <c r="C21" s="1704"/>
      <c r="D21" s="1704"/>
      <c r="E21" s="1704"/>
      <c r="F21" s="1704"/>
      <c r="G21" s="1703"/>
      <c r="BW21" s="1541">
        <v>-2281</v>
      </c>
      <c r="BX21" s="1561">
        <f>BS21+BT21+BU21+BW21</f>
        <v>-2281</v>
      </c>
    </row>
    <row r="22" spans="1:76" hidden="1">
      <c r="A22" s="1560" t="s">
        <v>23</v>
      </c>
      <c r="B22" s="1704"/>
      <c r="C22" s="1704"/>
      <c r="D22" s="1704"/>
      <c r="E22" s="1704"/>
      <c r="F22" s="1704"/>
      <c r="G22" s="1703"/>
      <c r="BX22" s="1561"/>
    </row>
    <row r="23" spans="1:76" hidden="1">
      <c r="A23" s="1560" t="s">
        <v>24</v>
      </c>
      <c r="B23" s="1704"/>
      <c r="C23" s="1704"/>
      <c r="D23" s="1704"/>
      <c r="E23" s="1704"/>
      <c r="F23" s="1704"/>
      <c r="G23" s="1703"/>
      <c r="BW23" s="1541">
        <f>BW25+BW26</f>
        <v>-797</v>
      </c>
      <c r="BX23" s="1561">
        <f>BS23+BT23+BU23+BW23</f>
        <v>-797</v>
      </c>
    </row>
    <row r="24" spans="1:76" hidden="1">
      <c r="A24" s="1560" t="s">
        <v>25</v>
      </c>
      <c r="B24" s="1704"/>
      <c r="C24" s="1704"/>
      <c r="D24" s="1704"/>
      <c r="E24" s="1704"/>
      <c r="F24" s="1704"/>
      <c r="G24" s="1703"/>
      <c r="BX24" s="1561"/>
    </row>
    <row r="25" spans="1:76" hidden="1">
      <c r="A25" s="1560" t="s">
        <v>26</v>
      </c>
      <c r="B25" s="1704"/>
      <c r="C25" s="1704"/>
      <c r="D25" s="1704"/>
      <c r="E25" s="1704"/>
      <c r="F25" s="1704"/>
      <c r="G25" s="1703"/>
      <c r="BW25" s="1541">
        <v>-644</v>
      </c>
      <c r="BX25" s="1561">
        <f>BS25+BT25+BU25+BW25</f>
        <v>-644</v>
      </c>
    </row>
    <row r="26" spans="1:76" hidden="1">
      <c r="A26" s="1560" t="s">
        <v>27</v>
      </c>
      <c r="B26" s="1559"/>
      <c r="C26" s="1704"/>
      <c r="D26" s="1704"/>
      <c r="E26" s="1704"/>
      <c r="F26" s="1704"/>
      <c r="G26" s="1701"/>
      <c r="BW26" s="1541">
        <v>-153</v>
      </c>
      <c r="BX26" s="1561">
        <f>BS26+BT26+BU26+BW26</f>
        <v>-153</v>
      </c>
    </row>
    <row r="27" spans="1:76" hidden="1">
      <c r="A27" s="1560" t="s">
        <v>28</v>
      </c>
      <c r="B27" s="1559"/>
      <c r="C27" s="1704"/>
      <c r="D27" s="1704"/>
      <c r="E27" s="1559"/>
      <c r="F27" s="1559"/>
      <c r="G27" s="1701"/>
      <c r="BX27" s="1561"/>
    </row>
    <row r="28" spans="1:76" hidden="1">
      <c r="A28" s="1560" t="s">
        <v>29</v>
      </c>
      <c r="B28" s="1559"/>
      <c r="C28" s="1704"/>
      <c r="D28" s="1704"/>
      <c r="E28" s="1559"/>
      <c r="F28" s="1559"/>
      <c r="G28" s="1701"/>
      <c r="BX28" s="1561"/>
    </row>
    <row r="29" spans="1:76" hidden="1">
      <c r="A29" s="1562">
        <v>2006</v>
      </c>
      <c r="B29" s="1704"/>
      <c r="C29" s="1704"/>
      <c r="D29" s="1704"/>
      <c r="E29" s="1704"/>
      <c r="F29" s="1704"/>
      <c r="G29" s="1703"/>
      <c r="BX29" s="1561"/>
    </row>
    <row r="30" spans="1:76" ht="0.75" hidden="1" customHeight="1">
      <c r="A30" s="1560" t="s">
        <v>18</v>
      </c>
      <c r="B30" s="1704"/>
      <c r="C30" s="1704"/>
      <c r="D30" s="1704"/>
      <c r="E30" s="1704"/>
      <c r="F30" s="1704"/>
      <c r="G30" s="1703"/>
      <c r="BW30" s="1541">
        <v>-31</v>
      </c>
      <c r="BX30" s="1561">
        <f>BS30+BT30+BU30+BW30</f>
        <v>-31</v>
      </c>
    </row>
    <row r="31" spans="1:76" hidden="1">
      <c r="A31" s="1560" t="s">
        <v>19</v>
      </c>
      <c r="B31" s="1704"/>
      <c r="C31" s="1704"/>
      <c r="D31" s="1704"/>
      <c r="E31" s="1704"/>
      <c r="F31" s="1704"/>
      <c r="G31" s="1703"/>
      <c r="BW31" s="1541">
        <v>-440</v>
      </c>
      <c r="BX31" s="1561">
        <f>BS31+BT31+BU31+BW31</f>
        <v>-440</v>
      </c>
    </row>
    <row r="32" spans="1:76" hidden="1">
      <c r="A32" s="1560" t="s">
        <v>20</v>
      </c>
      <c r="B32" s="1705"/>
      <c r="C32" s="1704"/>
      <c r="D32" s="1704"/>
      <c r="E32" s="1704"/>
      <c r="F32" s="1704"/>
      <c r="G32" s="1703"/>
      <c r="BX32" s="1561"/>
    </row>
    <row r="33" spans="1:76" hidden="1">
      <c r="A33" s="1560" t="s">
        <v>21</v>
      </c>
      <c r="B33" s="1705"/>
      <c r="C33" s="1704"/>
      <c r="D33" s="1704"/>
      <c r="E33" s="1704"/>
      <c r="F33" s="1704"/>
      <c r="G33" s="1703"/>
      <c r="BW33" s="1541">
        <f>BW35+BW36</f>
        <v>-498</v>
      </c>
      <c r="BX33" s="1561">
        <f>BS33+BT33+BU33+BW33</f>
        <v>-498</v>
      </c>
    </row>
    <row r="34" spans="1:76" hidden="1">
      <c r="A34" s="1560" t="s">
        <v>22</v>
      </c>
      <c r="B34" s="1705"/>
      <c r="C34" s="1704"/>
      <c r="D34" s="1704"/>
      <c r="E34" s="1704"/>
      <c r="F34" s="1704"/>
      <c r="G34" s="1703"/>
      <c r="BX34" s="1561"/>
    </row>
    <row r="35" spans="1:76" hidden="1">
      <c r="A35" s="1560" t="s">
        <v>23</v>
      </c>
      <c r="B35" s="1704"/>
      <c r="C35" s="1704"/>
      <c r="D35" s="1704"/>
      <c r="E35" s="1704"/>
      <c r="F35" s="1704"/>
      <c r="G35" s="1703"/>
      <c r="BW35" s="1541">
        <v>-521</v>
      </c>
      <c r="BX35" s="1561">
        <f>BS35+BT35+BU35+BW35</f>
        <v>-521</v>
      </c>
    </row>
    <row r="36" spans="1:76" hidden="1">
      <c r="A36" s="1560" t="s">
        <v>24</v>
      </c>
      <c r="B36" s="1704"/>
      <c r="C36" s="1704"/>
      <c r="D36" s="1704"/>
      <c r="E36" s="1704"/>
      <c r="F36" s="1704"/>
      <c r="G36" s="1703"/>
      <c r="BW36" s="1541">
        <v>23</v>
      </c>
      <c r="BX36" s="1561">
        <f>BS36+BT36+BU36+BW36</f>
        <v>23</v>
      </c>
    </row>
    <row r="37" spans="1:76" hidden="1">
      <c r="A37" s="1560" t="s">
        <v>25</v>
      </c>
      <c r="B37" s="1704"/>
      <c r="C37" s="1704"/>
      <c r="D37" s="1704"/>
      <c r="E37" s="1704"/>
      <c r="F37" s="1704"/>
      <c r="G37" s="1703"/>
      <c r="BX37" s="1561"/>
    </row>
    <row r="38" spans="1:76" hidden="1">
      <c r="A38" s="1560" t="s">
        <v>26</v>
      </c>
      <c r="B38" s="1704"/>
      <c r="C38" s="1704"/>
      <c r="D38" s="1704"/>
      <c r="E38" s="1704"/>
      <c r="F38" s="1704"/>
      <c r="G38" s="1703"/>
      <c r="BW38" s="1541">
        <v>433</v>
      </c>
      <c r="BX38" s="1561">
        <f>BS38+BT38+BU38+BW38</f>
        <v>433</v>
      </c>
    </row>
    <row r="39" spans="1:76" hidden="1">
      <c r="A39" s="1560" t="s">
        <v>27</v>
      </c>
      <c r="B39" s="1559"/>
      <c r="C39" s="1559"/>
      <c r="D39" s="1559"/>
      <c r="E39" s="1559"/>
      <c r="F39" s="1559"/>
      <c r="G39" s="1701"/>
      <c r="BW39" s="1541">
        <v>-931</v>
      </c>
      <c r="BX39" s="1561">
        <f>BS39+BT39+BU39+BW39</f>
        <v>-931</v>
      </c>
    </row>
    <row r="40" spans="1:76" hidden="1">
      <c r="A40" s="1560" t="s">
        <v>28</v>
      </c>
      <c r="B40" s="1559"/>
      <c r="C40" s="1559"/>
      <c r="D40" s="1559"/>
      <c r="E40" s="1559"/>
      <c r="F40" s="1559"/>
      <c r="G40" s="1701"/>
      <c r="BX40" s="1561"/>
    </row>
    <row r="41" spans="1:76" hidden="1">
      <c r="A41" s="1560" t="s">
        <v>29</v>
      </c>
      <c r="B41" s="1559"/>
      <c r="C41" s="1559"/>
      <c r="D41" s="1559"/>
      <c r="E41" s="1559"/>
      <c r="F41" s="1559"/>
      <c r="G41" s="1701"/>
      <c r="BW41" s="1541">
        <v>204</v>
      </c>
      <c r="BX41" s="1561">
        <f>BS41+BT41+BU41+BW41</f>
        <v>204</v>
      </c>
    </row>
    <row r="42" spans="1:76" hidden="1">
      <c r="A42" s="1560" t="s">
        <v>121</v>
      </c>
      <c r="B42" s="1559"/>
      <c r="C42" s="1559"/>
      <c r="D42" s="1559"/>
      <c r="E42" s="1559"/>
      <c r="F42" s="1559"/>
      <c r="G42" s="1701"/>
      <c r="BW42" s="1541">
        <v>200</v>
      </c>
      <c r="BX42" s="1561">
        <f>BS42+BT42+BU42+BW42</f>
        <v>200</v>
      </c>
    </row>
    <row r="43" spans="1:76" hidden="1">
      <c r="A43" s="1560" t="s">
        <v>18</v>
      </c>
      <c r="B43" s="1559"/>
      <c r="C43" s="1559"/>
      <c r="D43" s="1559"/>
      <c r="E43" s="1559"/>
      <c r="F43" s="1559"/>
      <c r="G43" s="1701"/>
      <c r="BX43" s="1561"/>
    </row>
    <row r="44" spans="1:76" hidden="1">
      <c r="A44" s="1560" t="s">
        <v>19</v>
      </c>
      <c r="B44" s="1559"/>
      <c r="C44" s="1559"/>
      <c r="D44" s="1559"/>
      <c r="E44" s="1559"/>
      <c r="F44" s="1559"/>
      <c r="G44" s="1701"/>
      <c r="BW44" s="1541">
        <v>295</v>
      </c>
      <c r="BX44" s="1561">
        <f>BS44+BT44+BU44+BW44</f>
        <v>295</v>
      </c>
    </row>
    <row r="45" spans="1:76" hidden="1">
      <c r="A45" s="1560" t="s">
        <v>20</v>
      </c>
      <c r="B45" s="1559"/>
      <c r="C45" s="1559"/>
      <c r="D45" s="1559"/>
      <c r="E45" s="1559"/>
      <c r="F45" s="1559"/>
      <c r="G45" s="1701"/>
      <c r="BW45" s="1541">
        <v>-95</v>
      </c>
      <c r="BX45" s="1561">
        <f>BS45+BT45+BU45+BW45</f>
        <v>-95</v>
      </c>
    </row>
    <row r="46" spans="1:76" hidden="1">
      <c r="A46" s="1560" t="s">
        <v>21</v>
      </c>
      <c r="B46" s="1559"/>
      <c r="C46" s="1559"/>
      <c r="D46" s="1559"/>
      <c r="E46" s="1559"/>
      <c r="F46" s="1559"/>
      <c r="G46" s="1701"/>
      <c r="BX46" s="1561"/>
    </row>
    <row r="47" spans="1:76" hidden="1">
      <c r="A47" s="1560" t="s">
        <v>22</v>
      </c>
      <c r="B47" s="1559"/>
      <c r="C47" s="1559"/>
      <c r="D47" s="1559"/>
      <c r="E47" s="1559"/>
      <c r="F47" s="1559"/>
      <c r="G47" s="1701"/>
      <c r="BW47" s="1541">
        <v>0</v>
      </c>
      <c r="BX47" s="1561">
        <f>BS47+BT47+BU47+BW47</f>
        <v>0</v>
      </c>
    </row>
    <row r="48" spans="1:76" hidden="1">
      <c r="A48" s="1560" t="s">
        <v>23</v>
      </c>
      <c r="B48" s="1559"/>
      <c r="C48" s="1559"/>
      <c r="D48" s="1559"/>
      <c r="E48" s="1559"/>
      <c r="F48" s="1559"/>
      <c r="G48" s="1701"/>
      <c r="BX48" s="1561"/>
    </row>
    <row r="49" spans="1:76" hidden="1">
      <c r="A49" s="1560" t="s">
        <v>24</v>
      </c>
      <c r="B49" s="1559"/>
      <c r="C49" s="1559"/>
      <c r="D49" s="1559"/>
      <c r="E49" s="1559"/>
      <c r="F49" s="1559"/>
      <c r="G49" s="1701"/>
      <c r="BW49" s="1541">
        <f>BW50-BW54</f>
        <v>481</v>
      </c>
      <c r="BX49" s="1561">
        <f>BS49+BT49+BU49+BW49</f>
        <v>481</v>
      </c>
    </row>
    <row r="50" spans="1:76" hidden="1">
      <c r="A50" s="1560" t="s">
        <v>25</v>
      </c>
      <c r="B50" s="1559"/>
      <c r="C50" s="1559"/>
      <c r="D50" s="1559"/>
      <c r="E50" s="1559"/>
      <c r="F50" s="1559"/>
      <c r="G50" s="1701"/>
      <c r="BW50" s="1541">
        <f>BW52+BW53</f>
        <v>965</v>
      </c>
      <c r="BX50" s="1561">
        <f>BS50+BT50+BU50+BW50</f>
        <v>965</v>
      </c>
    </row>
    <row r="51" spans="1:76" hidden="1">
      <c r="A51" s="1560" t="s">
        <v>26</v>
      </c>
      <c r="B51" s="1559"/>
      <c r="C51" s="1559"/>
      <c r="D51" s="1559"/>
      <c r="E51" s="1559"/>
      <c r="F51" s="1559"/>
      <c r="G51" s="1701"/>
      <c r="BX51" s="1561"/>
    </row>
    <row r="52" spans="1:76" hidden="1">
      <c r="A52" s="1560" t="s">
        <v>27</v>
      </c>
      <c r="B52" s="1559" t="s">
        <v>1014</v>
      </c>
      <c r="C52" s="1559"/>
      <c r="D52" s="1559"/>
      <c r="E52" s="1559"/>
      <c r="F52" s="1559"/>
      <c r="G52" s="1701"/>
      <c r="BW52" s="1541">
        <v>954</v>
      </c>
      <c r="BX52" s="1561">
        <f>BS52+BT52+BU52+BW52</f>
        <v>954</v>
      </c>
    </row>
    <row r="53" spans="1:76" hidden="1">
      <c r="A53" s="1560" t="s">
        <v>28</v>
      </c>
      <c r="B53" s="1559"/>
      <c r="C53" s="1559"/>
      <c r="D53" s="1559"/>
      <c r="E53" s="1559"/>
      <c r="F53" s="1559"/>
      <c r="G53" s="1701"/>
      <c r="BW53" s="1541">
        <v>11</v>
      </c>
      <c r="BX53" s="1561">
        <f>BS53+BT53+BU53+BW53</f>
        <v>11</v>
      </c>
    </row>
    <row r="54" spans="1:76" hidden="1">
      <c r="A54" s="1560" t="s">
        <v>29</v>
      </c>
      <c r="B54" s="1559"/>
      <c r="C54" s="1559"/>
      <c r="D54" s="1559"/>
      <c r="E54" s="1559"/>
      <c r="F54" s="1559"/>
      <c r="G54" s="1701"/>
      <c r="BW54" s="1541">
        <f>BW56+BW57+BW58+BW59</f>
        <v>484</v>
      </c>
      <c r="BX54" s="1561">
        <f>BS54+BT54+BU54+BW54</f>
        <v>484</v>
      </c>
    </row>
    <row r="55" spans="1:76" hidden="1">
      <c r="A55" s="1560" t="s">
        <v>114</v>
      </c>
      <c r="B55" s="1559"/>
      <c r="C55" s="1559"/>
      <c r="D55" s="1559"/>
      <c r="E55" s="1559"/>
      <c r="F55" s="1559"/>
      <c r="G55" s="1701"/>
      <c r="BX55" s="1561"/>
    </row>
    <row r="56" spans="1:76" hidden="1">
      <c r="A56" s="1560" t="s">
        <v>18</v>
      </c>
      <c r="B56" s="1559"/>
      <c r="C56" s="1559"/>
      <c r="D56" s="1559"/>
      <c r="E56" s="1559"/>
      <c r="F56" s="1559"/>
      <c r="G56" s="1701"/>
      <c r="BW56" s="1541">
        <v>1214</v>
      </c>
      <c r="BX56" s="1561">
        <f t="shared" ref="BX56:BX61" si="0">BS56+BT56+BU56+BW56</f>
        <v>1214</v>
      </c>
    </row>
    <row r="57" spans="1:76" hidden="1">
      <c r="A57" s="1560" t="s">
        <v>19</v>
      </c>
      <c r="B57" s="1559"/>
      <c r="C57" s="1559"/>
      <c r="D57" s="1559"/>
      <c r="E57" s="1559"/>
      <c r="F57" s="1559"/>
      <c r="G57" s="1701"/>
      <c r="BW57" s="1541">
        <v>-745</v>
      </c>
      <c r="BX57" s="1561">
        <f t="shared" si="0"/>
        <v>-745</v>
      </c>
    </row>
    <row r="58" spans="1:76" hidden="1">
      <c r="A58" s="1560" t="s">
        <v>20</v>
      </c>
      <c r="B58" s="1559"/>
      <c r="C58" s="1559"/>
      <c r="D58" s="1559"/>
      <c r="E58" s="1559"/>
      <c r="F58" s="1559"/>
      <c r="G58" s="1701"/>
      <c r="BW58" s="1541">
        <v>0</v>
      </c>
      <c r="BX58" s="1561">
        <f t="shared" si="0"/>
        <v>0</v>
      </c>
    </row>
    <row r="59" spans="1:76" hidden="1">
      <c r="A59" s="1560" t="s">
        <v>21</v>
      </c>
      <c r="B59" s="1559"/>
      <c r="C59" s="1559"/>
      <c r="D59" s="1559"/>
      <c r="E59" s="1559"/>
      <c r="F59" s="1559"/>
      <c r="G59" s="1701"/>
      <c r="BW59" s="1541">
        <v>15</v>
      </c>
      <c r="BX59" s="1561">
        <f t="shared" si="0"/>
        <v>15</v>
      </c>
    </row>
    <row r="60" spans="1:76" hidden="1">
      <c r="A60" s="1560" t="s">
        <v>22</v>
      </c>
      <c r="B60" s="1559"/>
      <c r="C60" s="1559"/>
      <c r="D60" s="1559"/>
      <c r="E60" s="1559"/>
      <c r="F60" s="1559"/>
      <c r="G60" s="1701"/>
      <c r="BW60" s="1541">
        <v>-372</v>
      </c>
      <c r="BX60" s="1561">
        <f t="shared" si="0"/>
        <v>-372</v>
      </c>
    </row>
    <row r="61" spans="1:76" hidden="1">
      <c r="A61" s="1560" t="s">
        <v>23</v>
      </c>
      <c r="B61" s="1559"/>
      <c r="C61" s="1559"/>
      <c r="D61" s="1559"/>
      <c r="E61" s="1559"/>
      <c r="F61" s="1559"/>
      <c r="G61" s="1701"/>
      <c r="BW61" s="1541">
        <v>-231</v>
      </c>
      <c r="BX61" s="1561">
        <f t="shared" si="0"/>
        <v>-231</v>
      </c>
    </row>
    <row r="62" spans="1:76" hidden="1">
      <c r="A62" s="1560" t="s">
        <v>24</v>
      </c>
      <c r="B62" s="1559"/>
      <c r="C62" s="1559"/>
      <c r="D62" s="1559"/>
      <c r="E62" s="1559"/>
      <c r="F62" s="1559"/>
      <c r="G62" s="1701"/>
      <c r="BX62" s="1561"/>
    </row>
    <row r="63" spans="1:76" hidden="1">
      <c r="A63" s="1560" t="s">
        <v>25</v>
      </c>
      <c r="B63" s="1559"/>
      <c r="C63" s="1559"/>
      <c r="D63" s="1559"/>
      <c r="E63" s="1559"/>
      <c r="F63" s="1559"/>
      <c r="G63" s="1701"/>
      <c r="BW63" s="1541">
        <f>BW9+BW47-BW49+BW60-BW61</f>
        <v>0</v>
      </c>
      <c r="BX63" s="1561">
        <f>BS63+BT63+BU63+BW63</f>
        <v>0</v>
      </c>
    </row>
    <row r="64" spans="1:76" hidden="1">
      <c r="A64" s="1560" t="s">
        <v>26</v>
      </c>
      <c r="B64" s="1559"/>
      <c r="C64" s="1559"/>
      <c r="D64" s="1559"/>
      <c r="E64" s="1559"/>
      <c r="F64" s="1559"/>
      <c r="G64" s="1701"/>
    </row>
    <row r="65" spans="1:7" hidden="1">
      <c r="A65" s="1560" t="s">
        <v>27</v>
      </c>
      <c r="B65" s="1559"/>
      <c r="C65" s="1559"/>
      <c r="D65" s="1559"/>
      <c r="E65" s="1559"/>
      <c r="F65" s="1559"/>
      <c r="G65" s="1701"/>
    </row>
    <row r="66" spans="1:7" hidden="1">
      <c r="A66" s="1560" t="s">
        <v>28</v>
      </c>
      <c r="B66" s="1559"/>
      <c r="C66" s="1559"/>
      <c r="D66" s="1559"/>
      <c r="E66" s="1559"/>
      <c r="F66" s="1559"/>
      <c r="G66" s="1701"/>
    </row>
    <row r="67" spans="1:7" hidden="1">
      <c r="A67" s="1560" t="s">
        <v>29</v>
      </c>
      <c r="B67" s="1559"/>
      <c r="C67" s="1702"/>
      <c r="D67" s="1702"/>
      <c r="E67" s="1559"/>
      <c r="F67" s="1559"/>
      <c r="G67" s="1701"/>
    </row>
    <row r="68" spans="1:7">
      <c r="A68" s="1558" t="s">
        <v>43</v>
      </c>
      <c r="B68" s="1557">
        <f>SUM(B69:B80)</f>
        <v>1295.3400000000001</v>
      </c>
      <c r="C68" s="1557">
        <f>SUM(C69:C80)</f>
        <v>722.2</v>
      </c>
      <c r="D68" s="1557">
        <f t="shared" ref="D68:D81" si="1">+C68/B68*1000</f>
        <v>557.53701730819705</v>
      </c>
      <c r="E68" s="1557">
        <f>SUM(E69:E80)</f>
        <v>326.85000000000002</v>
      </c>
      <c r="F68" s="1557">
        <f>SUM(F69:F80)</f>
        <v>149.05000000000001</v>
      </c>
      <c r="G68" s="1557">
        <f t="shared" ref="G68:G81" si="2">+F68/E68*1000</f>
        <v>456.01958084748355</v>
      </c>
    </row>
    <row r="69" spans="1:7" hidden="1">
      <c r="A69" s="1550" t="s">
        <v>18</v>
      </c>
      <c r="B69" s="1640">
        <v>82.89</v>
      </c>
      <c r="C69" s="1640">
        <v>47.7</v>
      </c>
      <c r="D69" s="1548">
        <f t="shared" si="1"/>
        <v>575.46145494028235</v>
      </c>
      <c r="E69" s="1640">
        <v>28.639999999999997</v>
      </c>
      <c r="F69" s="1640">
        <v>10.4</v>
      </c>
      <c r="G69" s="1548">
        <f t="shared" si="2"/>
        <v>363.12849162011179</v>
      </c>
    </row>
    <row r="70" spans="1:7" hidden="1">
      <c r="A70" s="1550" t="s">
        <v>19</v>
      </c>
      <c r="B70" s="1640">
        <v>79.09</v>
      </c>
      <c r="C70" s="1640">
        <v>38.6</v>
      </c>
      <c r="D70" s="1548">
        <f t="shared" si="1"/>
        <v>488.05158679984828</v>
      </c>
      <c r="E70" s="1640">
        <v>31.66</v>
      </c>
      <c r="F70" s="1640">
        <v>11.7</v>
      </c>
      <c r="G70" s="1548">
        <f t="shared" si="2"/>
        <v>369.55148452305747</v>
      </c>
    </row>
    <row r="71" spans="1:7" hidden="1">
      <c r="A71" s="1550" t="s">
        <v>20</v>
      </c>
      <c r="B71" s="1640">
        <v>86.92</v>
      </c>
      <c r="C71" s="1640">
        <v>42.9</v>
      </c>
      <c r="D71" s="1548">
        <f t="shared" si="1"/>
        <v>493.55729406350662</v>
      </c>
      <c r="E71" s="1640">
        <v>25.29</v>
      </c>
      <c r="F71" s="1640">
        <v>10.1</v>
      </c>
      <c r="G71" s="1548">
        <f t="shared" si="2"/>
        <v>399.36733886911821</v>
      </c>
    </row>
    <row r="72" spans="1:7" hidden="1">
      <c r="A72" s="1550" t="s">
        <v>21</v>
      </c>
      <c r="B72" s="1640">
        <v>100.11</v>
      </c>
      <c r="C72" s="1640">
        <v>47.5</v>
      </c>
      <c r="D72" s="1548">
        <f t="shared" si="1"/>
        <v>474.47807411846969</v>
      </c>
      <c r="E72" s="1640">
        <v>28.91</v>
      </c>
      <c r="F72" s="1640">
        <v>10.3</v>
      </c>
      <c r="G72" s="1548">
        <f t="shared" si="2"/>
        <v>356.27810446212391</v>
      </c>
    </row>
    <row r="73" spans="1:7" hidden="1">
      <c r="A73" s="1550" t="s">
        <v>22</v>
      </c>
      <c r="B73" s="1640">
        <v>97.78</v>
      </c>
      <c r="C73" s="1640">
        <v>61.4</v>
      </c>
      <c r="D73" s="1548">
        <f t="shared" si="1"/>
        <v>627.94027408467991</v>
      </c>
      <c r="E73" s="1640">
        <v>24.43</v>
      </c>
      <c r="F73" s="1640">
        <v>11.4</v>
      </c>
      <c r="G73" s="1548">
        <f t="shared" si="2"/>
        <v>466.63937781416291</v>
      </c>
    </row>
    <row r="74" spans="1:7" hidden="1">
      <c r="A74" s="1550" t="s">
        <v>23</v>
      </c>
      <c r="B74" s="1640">
        <v>115.48</v>
      </c>
      <c r="C74" s="1640">
        <v>66.5</v>
      </c>
      <c r="D74" s="1548">
        <f t="shared" si="1"/>
        <v>575.85729130585389</v>
      </c>
      <c r="E74" s="1640">
        <v>27.279999999999998</v>
      </c>
      <c r="F74" s="1640">
        <v>10.8</v>
      </c>
      <c r="G74" s="1548">
        <f t="shared" si="2"/>
        <v>395.89442815249271</v>
      </c>
    </row>
    <row r="75" spans="1:7" hidden="1">
      <c r="A75" s="1550" t="s">
        <v>24</v>
      </c>
      <c r="B75" s="1640">
        <v>128.52000000000001</v>
      </c>
      <c r="C75" s="1640">
        <v>70.3</v>
      </c>
      <c r="D75" s="1548">
        <f t="shared" si="1"/>
        <v>546.99657640834107</v>
      </c>
      <c r="E75" s="1640">
        <v>28.93</v>
      </c>
      <c r="F75" s="1640">
        <v>12.02</v>
      </c>
      <c r="G75" s="1548">
        <f t="shared" si="2"/>
        <v>415.48565502938123</v>
      </c>
    </row>
    <row r="76" spans="1:7" hidden="1">
      <c r="A76" s="1550" t="s">
        <v>25</v>
      </c>
      <c r="B76" s="1640">
        <v>126.50999999999999</v>
      </c>
      <c r="C76" s="1640">
        <v>66.599999999999994</v>
      </c>
      <c r="D76" s="1548">
        <f t="shared" si="1"/>
        <v>526.44059758121887</v>
      </c>
      <c r="E76" s="1640">
        <v>29.16</v>
      </c>
      <c r="F76" s="1640">
        <v>11.3</v>
      </c>
      <c r="G76" s="1548">
        <f t="shared" si="2"/>
        <v>387.51714677640609</v>
      </c>
    </row>
    <row r="77" spans="1:7" hidden="1">
      <c r="A77" s="1550" t="s">
        <v>26</v>
      </c>
      <c r="B77" s="1640">
        <v>127.57</v>
      </c>
      <c r="C77" s="1640">
        <v>71.2</v>
      </c>
      <c r="D77" s="1548">
        <f t="shared" si="1"/>
        <v>558.12495100729018</v>
      </c>
      <c r="E77" s="1640">
        <v>23.81</v>
      </c>
      <c r="F77" s="1640">
        <v>13.04</v>
      </c>
      <c r="G77" s="1548">
        <f t="shared" si="2"/>
        <v>547.66904661906756</v>
      </c>
    </row>
    <row r="78" spans="1:7" hidden="1">
      <c r="A78" s="1550" t="s">
        <v>27</v>
      </c>
      <c r="B78" s="1640">
        <v>121.75</v>
      </c>
      <c r="C78" s="1640">
        <v>74.599999999999994</v>
      </c>
      <c r="D78" s="1548">
        <f t="shared" si="1"/>
        <v>612.73100616016416</v>
      </c>
      <c r="E78" s="1640">
        <v>25.02</v>
      </c>
      <c r="F78" s="1640">
        <v>13.1</v>
      </c>
      <c r="G78" s="1548">
        <f t="shared" si="2"/>
        <v>523.58113509192651</v>
      </c>
    </row>
    <row r="79" spans="1:7" hidden="1">
      <c r="A79" s="1550" t="s">
        <v>28</v>
      </c>
      <c r="B79" s="1640">
        <v>101.76</v>
      </c>
      <c r="C79" s="1640">
        <v>61.6</v>
      </c>
      <c r="D79" s="1548">
        <f t="shared" si="1"/>
        <v>605.34591194968561</v>
      </c>
      <c r="E79" s="1640">
        <v>23.169999999999998</v>
      </c>
      <c r="F79" s="1640">
        <v>12.09</v>
      </c>
      <c r="G79" s="1548">
        <f t="shared" si="2"/>
        <v>521.79542511868806</v>
      </c>
    </row>
    <row r="80" spans="1:7" hidden="1">
      <c r="A80" s="1550" t="s">
        <v>29</v>
      </c>
      <c r="B80" s="1640">
        <v>126.96000000000001</v>
      </c>
      <c r="C80" s="1640">
        <v>73.3</v>
      </c>
      <c r="D80" s="1548">
        <f t="shared" si="1"/>
        <v>577.34719596723369</v>
      </c>
      <c r="E80" s="1640">
        <v>30.55</v>
      </c>
      <c r="F80" s="1640">
        <v>22.8</v>
      </c>
      <c r="G80" s="1548">
        <f t="shared" si="2"/>
        <v>746.31751227495909</v>
      </c>
    </row>
    <row r="81" spans="1:7">
      <c r="A81" s="1550" t="s">
        <v>48</v>
      </c>
      <c r="B81" s="1553">
        <f>SUM(B82:B93)</f>
        <v>1627.9299999999998</v>
      </c>
      <c r="C81" s="1553">
        <f>SUM(C82:C93)</f>
        <v>876.9</v>
      </c>
      <c r="D81" s="1553">
        <f t="shared" si="1"/>
        <v>538.65952467243687</v>
      </c>
      <c r="E81" s="1553">
        <f>SUM(E82:E93)</f>
        <v>447.85</v>
      </c>
      <c r="F81" s="1553">
        <f>SUM(F82:F93)</f>
        <v>306.60000000000002</v>
      </c>
      <c r="G81" s="1553">
        <f t="shared" si="2"/>
        <v>684.60422016300106</v>
      </c>
    </row>
    <row r="82" spans="1:7" hidden="1">
      <c r="A82" s="1550" t="s">
        <v>1015</v>
      </c>
      <c r="B82" s="1700">
        <v>91.429999999999993</v>
      </c>
      <c r="C82" s="1700">
        <v>54</v>
      </c>
      <c r="D82" s="1551">
        <v>590.61577162856838</v>
      </c>
      <c r="E82" s="1700">
        <v>20.349999999999998</v>
      </c>
      <c r="F82" s="1700">
        <v>18.3</v>
      </c>
      <c r="G82" s="1551">
        <v>899.2628992628994</v>
      </c>
    </row>
    <row r="83" spans="1:7" hidden="1">
      <c r="A83" s="1550" t="s">
        <v>296</v>
      </c>
      <c r="B83" s="1700">
        <v>89</v>
      </c>
      <c r="C83" s="1700">
        <v>45</v>
      </c>
      <c r="D83" s="1551">
        <v>505.61797752808991</v>
      </c>
      <c r="E83" s="1700">
        <v>22</v>
      </c>
      <c r="F83" s="1700">
        <v>14</v>
      </c>
      <c r="G83" s="1551">
        <v>636.36363636363637</v>
      </c>
    </row>
    <row r="84" spans="1:7" hidden="1">
      <c r="A84" s="1550" t="s">
        <v>295</v>
      </c>
      <c r="B84" s="1551">
        <v>124</v>
      </c>
      <c r="C84" s="1551">
        <v>62.4</v>
      </c>
      <c r="D84" s="1551">
        <v>503.22580645161287</v>
      </c>
      <c r="E84" s="1551">
        <v>26</v>
      </c>
      <c r="F84" s="1551">
        <v>19.600000000000001</v>
      </c>
      <c r="G84" s="1551">
        <v>753.84615384615392</v>
      </c>
    </row>
    <row r="85" spans="1:7" hidden="1">
      <c r="A85" s="1550" t="s">
        <v>1016</v>
      </c>
      <c r="B85" s="1551">
        <v>134</v>
      </c>
      <c r="C85" s="1700">
        <v>66</v>
      </c>
      <c r="D85" s="1551">
        <v>492.53731343283579</v>
      </c>
      <c r="E85" s="1551">
        <v>29</v>
      </c>
      <c r="F85" s="1700">
        <v>18</v>
      </c>
      <c r="G85" s="1551">
        <v>620.68965517241384</v>
      </c>
    </row>
    <row r="86" spans="1:7" hidden="1">
      <c r="A86" s="1550" t="s">
        <v>294</v>
      </c>
      <c r="B86" s="1551">
        <v>125</v>
      </c>
      <c r="C86" s="1700">
        <v>63.5</v>
      </c>
      <c r="D86" s="1551">
        <v>508</v>
      </c>
      <c r="E86" s="1551">
        <v>31</v>
      </c>
      <c r="F86" s="1700">
        <v>19</v>
      </c>
      <c r="G86" s="1551">
        <v>612.90322580645159</v>
      </c>
    </row>
    <row r="87" spans="1:7" hidden="1">
      <c r="A87" s="1550" t="s">
        <v>1017</v>
      </c>
      <c r="B87" s="1551">
        <v>142</v>
      </c>
      <c r="C87" s="1700">
        <v>76</v>
      </c>
      <c r="D87" s="1551">
        <v>535.21126760563379</v>
      </c>
      <c r="E87" s="1551">
        <v>36</v>
      </c>
      <c r="F87" s="1700">
        <v>21.7</v>
      </c>
      <c r="G87" s="1551">
        <v>602.77777777777771</v>
      </c>
    </row>
    <row r="88" spans="1:7" hidden="1">
      <c r="A88" s="1550" t="s">
        <v>292</v>
      </c>
      <c r="B88" s="1551">
        <v>144.4</v>
      </c>
      <c r="C88" s="1700">
        <v>82.2</v>
      </c>
      <c r="D88" s="1551">
        <v>569.25207756232692</v>
      </c>
      <c r="E88" s="1551">
        <v>48.5</v>
      </c>
      <c r="F88" s="1700">
        <v>23</v>
      </c>
      <c r="G88" s="1551">
        <v>474.2268041237113</v>
      </c>
    </row>
    <row r="89" spans="1:7" hidden="1">
      <c r="A89" s="1550" t="s">
        <v>293</v>
      </c>
      <c r="B89" s="1551">
        <v>173</v>
      </c>
      <c r="C89" s="1700">
        <v>84.3</v>
      </c>
      <c r="D89" s="1551">
        <v>487.28323699421964</v>
      </c>
      <c r="E89" s="1551">
        <v>54</v>
      </c>
      <c r="F89" s="1700">
        <v>29.8</v>
      </c>
      <c r="G89" s="1551">
        <v>551.85185185185185</v>
      </c>
    </row>
    <row r="90" spans="1:7" hidden="1">
      <c r="A90" s="1550" t="s">
        <v>291</v>
      </c>
      <c r="B90" s="1551">
        <v>163</v>
      </c>
      <c r="C90" s="1700">
        <v>86.5</v>
      </c>
      <c r="D90" s="1551">
        <v>530.67484662576692</v>
      </c>
      <c r="E90" s="1551">
        <v>49</v>
      </c>
      <c r="F90" s="1700">
        <v>26.7</v>
      </c>
      <c r="G90" s="1551">
        <v>544.89795918367349</v>
      </c>
    </row>
    <row r="91" spans="1:7" hidden="1">
      <c r="A91" s="1550" t="s">
        <v>27</v>
      </c>
      <c r="B91" s="1551">
        <v>146.1</v>
      </c>
      <c r="C91" s="1700">
        <v>86.9</v>
      </c>
      <c r="D91" s="1551">
        <v>594.7980835044491</v>
      </c>
      <c r="E91" s="1551">
        <v>40</v>
      </c>
      <c r="F91" s="1700">
        <v>32.5</v>
      </c>
      <c r="G91" s="1551">
        <v>812.5</v>
      </c>
    </row>
    <row r="92" spans="1:7" hidden="1">
      <c r="A92" s="1550" t="s">
        <v>28</v>
      </c>
      <c r="B92" s="1551">
        <v>143</v>
      </c>
      <c r="C92" s="1700">
        <v>81.099999999999994</v>
      </c>
      <c r="D92" s="1551">
        <v>567.13286713286709</v>
      </c>
      <c r="E92" s="1551">
        <v>46</v>
      </c>
      <c r="F92" s="1700">
        <v>41.4</v>
      </c>
      <c r="G92" s="1551">
        <v>900</v>
      </c>
    </row>
    <row r="93" spans="1:7" hidden="1">
      <c r="A93" s="1550" t="s">
        <v>29</v>
      </c>
      <c r="B93" s="1551">
        <v>153</v>
      </c>
      <c r="C93" s="1700">
        <v>89</v>
      </c>
      <c r="D93" s="1551">
        <v>581.69934640522877</v>
      </c>
      <c r="E93" s="1551">
        <v>46</v>
      </c>
      <c r="F93" s="1700">
        <v>42.6</v>
      </c>
      <c r="G93" s="1551">
        <v>926.08695652173913</v>
      </c>
    </row>
    <row r="94" spans="1:7">
      <c r="A94" s="1550" t="s">
        <v>1030</v>
      </c>
      <c r="B94" s="1553">
        <f>SUM(B95:B106)</f>
        <v>1834.67</v>
      </c>
      <c r="C94" s="1553">
        <f>SUM(C95:C106)</f>
        <v>1046.1599999999999</v>
      </c>
      <c r="D94" s="1553">
        <f>+C94/B94*1000</f>
        <v>570.2169872511131</v>
      </c>
      <c r="E94" s="1553">
        <f>SUM(E95:E106)</f>
        <v>464.8</v>
      </c>
      <c r="F94" s="1553">
        <f>SUM(F95:F106)</f>
        <v>416.428</v>
      </c>
      <c r="G94" s="1553">
        <f>+F94/E94*1000</f>
        <v>895.92943201376931</v>
      </c>
    </row>
    <row r="95" spans="1:7" hidden="1">
      <c r="A95" s="1550" t="s">
        <v>18</v>
      </c>
      <c r="B95" s="1551">
        <v>111</v>
      </c>
      <c r="C95" s="1700">
        <v>72.8</v>
      </c>
      <c r="D95" s="1551">
        <v>655.85585585585579</v>
      </c>
      <c r="E95" s="1551">
        <v>29</v>
      </c>
      <c r="F95" s="1700">
        <v>24.6</v>
      </c>
      <c r="G95" s="1551">
        <v>848.27586206896558</v>
      </c>
    </row>
    <row r="96" spans="1:7" hidden="1">
      <c r="A96" s="1550" t="s">
        <v>19</v>
      </c>
      <c r="B96" s="1551">
        <v>111</v>
      </c>
      <c r="C96" s="1700">
        <v>62</v>
      </c>
      <c r="D96" s="1551">
        <v>558.5585585585585</v>
      </c>
      <c r="E96" s="1551">
        <v>28.1</v>
      </c>
      <c r="F96" s="1700">
        <v>27.1</v>
      </c>
      <c r="G96" s="1551">
        <v>964.41281138790032</v>
      </c>
    </row>
    <row r="97" spans="1:7" hidden="1">
      <c r="A97" s="1550" t="s">
        <v>20</v>
      </c>
      <c r="B97" s="1551">
        <v>136</v>
      </c>
      <c r="C97" s="1700">
        <v>70.2</v>
      </c>
      <c r="D97" s="1551">
        <v>516.17647058823536</v>
      </c>
      <c r="E97" s="1551">
        <v>32.9</v>
      </c>
      <c r="F97" s="1700">
        <v>29.1</v>
      </c>
      <c r="G97" s="1551">
        <v>884.49848024316111</v>
      </c>
    </row>
    <row r="98" spans="1:7" hidden="1">
      <c r="A98" s="1550" t="s">
        <v>21</v>
      </c>
      <c r="B98" s="1551">
        <v>146</v>
      </c>
      <c r="C98" s="1700">
        <v>77.900000000000006</v>
      </c>
      <c r="D98" s="1551">
        <v>533.56164383561645</v>
      </c>
      <c r="E98" s="1551">
        <v>36</v>
      </c>
      <c r="F98" s="1700">
        <v>32.799999999999997</v>
      </c>
      <c r="G98" s="1551">
        <v>911.11111111111097</v>
      </c>
    </row>
    <row r="99" spans="1:7" hidden="1">
      <c r="A99" s="1550" t="s">
        <v>22</v>
      </c>
      <c r="B99" s="1551">
        <v>174</v>
      </c>
      <c r="C99" s="1700">
        <v>84.8</v>
      </c>
      <c r="D99" s="1551">
        <v>487.35632183908046</v>
      </c>
      <c r="E99" s="1551">
        <v>32.200000000000003</v>
      </c>
      <c r="F99" s="1700">
        <v>31.3</v>
      </c>
      <c r="G99" s="1551">
        <v>972.04968944099369</v>
      </c>
    </row>
    <row r="100" spans="1:7" hidden="1">
      <c r="A100" s="1550" t="s">
        <v>23</v>
      </c>
      <c r="B100" s="1551">
        <v>172.77</v>
      </c>
      <c r="C100" s="1700">
        <v>98.36</v>
      </c>
      <c r="D100" s="1551">
        <v>569.31180181744514</v>
      </c>
      <c r="E100" s="1551">
        <v>35.9</v>
      </c>
      <c r="F100" s="1700">
        <v>30.128</v>
      </c>
      <c r="G100" s="1551">
        <v>839.2200557103065</v>
      </c>
    </row>
    <row r="101" spans="1:7" hidden="1">
      <c r="A101" s="1550" t="s">
        <v>24</v>
      </c>
      <c r="B101" s="1551">
        <v>185</v>
      </c>
      <c r="C101" s="1700">
        <v>103</v>
      </c>
      <c r="D101" s="1551">
        <v>556.75675675675677</v>
      </c>
      <c r="E101" s="1551">
        <v>37</v>
      </c>
      <c r="F101" s="1700">
        <v>32.1</v>
      </c>
      <c r="G101" s="1551">
        <v>867.56756756756761</v>
      </c>
    </row>
    <row r="102" spans="1:7" hidden="1">
      <c r="A102" s="1550" t="s">
        <v>25</v>
      </c>
      <c r="B102" s="1551">
        <v>159</v>
      </c>
      <c r="C102" s="1700">
        <v>94</v>
      </c>
      <c r="D102" s="1551">
        <v>591.19496855345915</v>
      </c>
      <c r="E102" s="1551">
        <v>47.2</v>
      </c>
      <c r="F102" s="1700">
        <v>34.299999999999997</v>
      </c>
      <c r="G102" s="1551">
        <v>726.69491525423723</v>
      </c>
    </row>
    <row r="103" spans="1:7" hidden="1">
      <c r="A103" s="1550" t="s">
        <v>26</v>
      </c>
      <c r="B103" s="1551">
        <v>179.9</v>
      </c>
      <c r="C103" s="1700">
        <v>102.4</v>
      </c>
      <c r="D103" s="1551">
        <v>569.20511395219569</v>
      </c>
      <c r="E103" s="1551">
        <v>41.5</v>
      </c>
      <c r="F103" s="1700">
        <v>35</v>
      </c>
      <c r="G103" s="1551">
        <v>843.37349397590367</v>
      </c>
    </row>
    <row r="104" spans="1:7" hidden="1">
      <c r="A104" s="1550" t="s">
        <v>27</v>
      </c>
      <c r="B104" s="1551">
        <v>155</v>
      </c>
      <c r="C104" s="1700">
        <v>96.1</v>
      </c>
      <c r="D104" s="1551">
        <v>620</v>
      </c>
      <c r="E104" s="1551">
        <v>45</v>
      </c>
      <c r="F104" s="1700">
        <v>45.7</v>
      </c>
      <c r="G104" s="1551">
        <v>1015.5555555555555</v>
      </c>
    </row>
    <row r="105" spans="1:7" hidden="1">
      <c r="A105" s="1550" t="s">
        <v>28</v>
      </c>
      <c r="B105" s="1551">
        <v>147</v>
      </c>
      <c r="C105" s="1700">
        <v>95.8</v>
      </c>
      <c r="D105" s="1551">
        <v>651.7006802721088</v>
      </c>
      <c r="E105" s="1551">
        <v>45</v>
      </c>
      <c r="F105" s="1700">
        <v>41.7</v>
      </c>
      <c r="G105" s="1551">
        <v>926.66666666666674</v>
      </c>
    </row>
    <row r="106" spans="1:7" hidden="1">
      <c r="A106" s="1550" t="s">
        <v>29</v>
      </c>
      <c r="B106" s="1551">
        <v>158</v>
      </c>
      <c r="C106" s="1700">
        <v>88.8</v>
      </c>
      <c r="D106" s="1551">
        <v>562.02531645569616</v>
      </c>
      <c r="E106" s="1551">
        <v>55</v>
      </c>
      <c r="F106" s="1700">
        <v>52.6</v>
      </c>
      <c r="G106" s="1551">
        <v>956.36363636363637</v>
      </c>
    </row>
    <row r="107" spans="1:7">
      <c r="A107" s="1550" t="s">
        <v>1301</v>
      </c>
      <c r="B107" s="1553">
        <f>SUM(B108:B119)</f>
        <v>2082.34</v>
      </c>
      <c r="C107" s="1553">
        <f>SUM(C108:C119)</f>
        <v>1245.8020000000001</v>
      </c>
      <c r="D107" s="1553">
        <f>+C107/B107*1000</f>
        <v>598.27021523862572</v>
      </c>
      <c r="E107" s="1553">
        <f>SUM(E108:E119)</f>
        <v>695.59999999999991</v>
      </c>
      <c r="F107" s="1553">
        <f>SUM(F108:F119)</f>
        <v>542.51499999999999</v>
      </c>
      <c r="G107" s="1553">
        <f>+F107/E107*1000</f>
        <v>779.92380678550899</v>
      </c>
    </row>
    <row r="108" spans="1:7" hidden="1">
      <c r="A108" s="1550" t="s">
        <v>18</v>
      </c>
      <c r="B108" s="1548">
        <v>113</v>
      </c>
      <c r="C108" s="1640">
        <v>67.2</v>
      </c>
      <c r="D108" s="1548">
        <v>594.69026548672571</v>
      </c>
      <c r="E108" s="1548">
        <v>44</v>
      </c>
      <c r="F108" s="1640">
        <v>38.6</v>
      </c>
      <c r="G108" s="1548">
        <v>877.27272727272737</v>
      </c>
    </row>
    <row r="109" spans="1:7" hidden="1">
      <c r="A109" s="1550" t="s">
        <v>19</v>
      </c>
      <c r="B109" s="1548">
        <v>123.09</v>
      </c>
      <c r="C109" s="1640">
        <v>84.197999999999993</v>
      </c>
      <c r="D109" s="1548">
        <v>684.03607116743831</v>
      </c>
      <c r="E109" s="1548">
        <v>48.13</v>
      </c>
      <c r="F109" s="1640">
        <v>45.182000000000002</v>
      </c>
      <c r="G109" s="1548">
        <v>938.74922086017034</v>
      </c>
    </row>
    <row r="110" spans="1:7" hidden="1">
      <c r="A110" s="1550" t="s">
        <v>20</v>
      </c>
      <c r="B110" s="1548">
        <v>143.69999999999999</v>
      </c>
      <c r="C110" s="1640">
        <v>81</v>
      </c>
      <c r="D110" s="1548">
        <v>563.67432150313152</v>
      </c>
      <c r="E110" s="1548">
        <v>49.6</v>
      </c>
      <c r="F110" s="1640">
        <v>38.700000000000003</v>
      </c>
      <c r="G110" s="1548">
        <v>780.24193548387098</v>
      </c>
    </row>
    <row r="111" spans="1:7" hidden="1">
      <c r="A111" s="1550" t="s">
        <v>21</v>
      </c>
      <c r="B111" s="1548">
        <v>154</v>
      </c>
      <c r="C111" s="1640">
        <v>86.751999999999995</v>
      </c>
      <c r="D111" s="1548">
        <v>563.32467532467535</v>
      </c>
      <c r="E111" s="1548">
        <v>51.61</v>
      </c>
      <c r="F111" s="1640">
        <v>40.075000000000003</v>
      </c>
      <c r="G111" s="1548">
        <v>776.49680294516577</v>
      </c>
    </row>
    <row r="112" spans="1:7" hidden="1">
      <c r="A112" s="1550" t="s">
        <v>22</v>
      </c>
      <c r="B112" s="1548">
        <v>171.6</v>
      </c>
      <c r="C112" s="1640">
        <v>98.64</v>
      </c>
      <c r="D112" s="1548">
        <v>574.82517482517483</v>
      </c>
      <c r="E112" s="1548">
        <v>56.32</v>
      </c>
      <c r="F112" s="1640">
        <v>54.935000000000002</v>
      </c>
      <c r="G112" s="1548">
        <v>975.40838068181824</v>
      </c>
    </row>
    <row r="113" spans="1:7" hidden="1">
      <c r="A113" s="1550" t="s">
        <v>23</v>
      </c>
      <c r="B113" s="1548">
        <v>166.82</v>
      </c>
      <c r="C113" s="1640">
        <v>100.2</v>
      </c>
      <c r="D113" s="1548">
        <v>600.64740438796321</v>
      </c>
      <c r="E113" s="1548">
        <v>51.16</v>
      </c>
      <c r="F113" s="1640">
        <v>49.228999999999999</v>
      </c>
      <c r="G113" s="1548">
        <v>962.25566849100858</v>
      </c>
    </row>
    <row r="114" spans="1:7" hidden="1">
      <c r="A114" s="1550" t="s">
        <v>24</v>
      </c>
      <c r="B114" s="1548">
        <v>189.5</v>
      </c>
      <c r="C114" s="1640">
        <v>101.5</v>
      </c>
      <c r="D114" s="1548">
        <v>535.62005277044852</v>
      </c>
      <c r="E114" s="1548">
        <v>55.6</v>
      </c>
      <c r="F114" s="1640">
        <v>53.8</v>
      </c>
      <c r="G114" s="1548">
        <v>967.62589928057548</v>
      </c>
    </row>
    <row r="115" spans="1:7" hidden="1">
      <c r="A115" s="1550" t="s">
        <v>25</v>
      </c>
      <c r="B115" s="1548">
        <v>206.3</v>
      </c>
      <c r="C115" s="1640">
        <v>126.95399999999999</v>
      </c>
      <c r="D115" s="1548">
        <v>615.38536112457575</v>
      </c>
      <c r="E115" s="1548">
        <v>44.26</v>
      </c>
      <c r="F115" s="1640">
        <v>41.171999999999997</v>
      </c>
      <c r="G115" s="1548">
        <v>930.23045639403529</v>
      </c>
    </row>
    <row r="116" spans="1:7" hidden="1">
      <c r="A116" s="1550" t="s">
        <v>26</v>
      </c>
      <c r="B116" s="1548">
        <v>196.85</v>
      </c>
      <c r="C116" s="1640">
        <v>121.125</v>
      </c>
      <c r="D116" s="1548">
        <v>615.31623063246127</v>
      </c>
      <c r="E116" s="1548">
        <v>63.17</v>
      </c>
      <c r="F116" s="1640">
        <v>40.692999999999998</v>
      </c>
      <c r="G116" s="1548">
        <v>644.18236504669937</v>
      </c>
    </row>
    <row r="117" spans="1:7" hidden="1">
      <c r="A117" s="1550" t="s">
        <v>27</v>
      </c>
      <c r="B117" s="1548">
        <v>219.14</v>
      </c>
      <c r="C117" s="1640">
        <v>129.4</v>
      </c>
      <c r="D117" s="1548">
        <v>590.49009765446749</v>
      </c>
      <c r="E117" s="1548">
        <v>71</v>
      </c>
      <c r="F117" s="1640">
        <v>48.585999999999999</v>
      </c>
      <c r="G117" s="1548">
        <v>684.30985915492954</v>
      </c>
    </row>
    <row r="118" spans="1:7" hidden="1">
      <c r="A118" s="1550" t="s">
        <v>28</v>
      </c>
      <c r="B118" s="1548">
        <v>197.81</v>
      </c>
      <c r="C118" s="1640">
        <v>124.43300000000001</v>
      </c>
      <c r="D118" s="1548">
        <v>629.05313179313487</v>
      </c>
      <c r="E118" s="1548">
        <v>76.430000000000007</v>
      </c>
      <c r="F118" s="1640">
        <v>41.177999999999997</v>
      </c>
      <c r="G118" s="1548">
        <v>538.76749967290323</v>
      </c>
    </row>
    <row r="119" spans="1:7" hidden="1">
      <c r="A119" s="1550" t="s">
        <v>29</v>
      </c>
      <c r="B119" s="1548">
        <v>200.53</v>
      </c>
      <c r="C119" s="1640">
        <v>124.4</v>
      </c>
      <c r="D119" s="1548">
        <v>620.35605645040653</v>
      </c>
      <c r="E119" s="1548">
        <v>84.32</v>
      </c>
      <c r="F119" s="1640">
        <v>50.365000000000002</v>
      </c>
      <c r="G119" s="1548">
        <v>597.30787476280841</v>
      </c>
    </row>
    <row r="120" spans="1:7">
      <c r="A120" s="1550">
        <v>2013</v>
      </c>
      <c r="B120" s="1553">
        <f>SUM(B121:B132)</f>
        <v>2526.13</v>
      </c>
      <c r="C120" s="1553">
        <f>SUM(C121:C132)</f>
        <v>1565.5319999999999</v>
      </c>
      <c r="D120" s="1553">
        <f>+C120/B120*1000</f>
        <v>619.73532636879338</v>
      </c>
      <c r="E120" s="1553">
        <f>SUM(E121:E132)</f>
        <v>985.85099999999989</v>
      </c>
      <c r="F120" s="1553">
        <f>SUM(F121:F132)</f>
        <v>779.57799999999997</v>
      </c>
      <c r="G120" s="1553">
        <f>+F120/E120*1000</f>
        <v>790.76655600085621</v>
      </c>
    </row>
    <row r="121" spans="1:7" hidden="1">
      <c r="A121" s="1550">
        <v>1</v>
      </c>
      <c r="B121" s="1548">
        <v>156.279</v>
      </c>
      <c r="C121" s="1640">
        <v>89.822000000000003</v>
      </c>
      <c r="D121" s="1548">
        <v>574.75412563428233</v>
      </c>
      <c r="E121" s="1548">
        <v>65.950999999999993</v>
      </c>
      <c r="F121" s="1640">
        <v>38.4</v>
      </c>
      <c r="G121" s="1548">
        <v>582.25045867386393</v>
      </c>
    </row>
    <row r="122" spans="1:7" hidden="1">
      <c r="A122" s="1550">
        <v>2</v>
      </c>
      <c r="B122" s="1548">
        <v>164.3</v>
      </c>
      <c r="C122" s="1640">
        <v>93.7</v>
      </c>
      <c r="D122" s="1548">
        <v>570.2982349360924</v>
      </c>
      <c r="E122" s="1548">
        <v>73.8</v>
      </c>
      <c r="F122" s="1640">
        <v>44.1</v>
      </c>
      <c r="G122" s="1548">
        <v>597.56097560975616</v>
      </c>
    </row>
    <row r="123" spans="1:7" hidden="1">
      <c r="A123" s="1550">
        <v>3</v>
      </c>
      <c r="B123" s="1548">
        <v>176.709</v>
      </c>
      <c r="C123" s="1640">
        <v>94.1</v>
      </c>
      <c r="D123" s="1548">
        <v>532.51390704491564</v>
      </c>
      <c r="E123" s="1548">
        <v>73.099999999999994</v>
      </c>
      <c r="F123" s="1640">
        <v>43.4</v>
      </c>
      <c r="G123" s="1548">
        <v>593.70725034199734</v>
      </c>
    </row>
    <row r="124" spans="1:7" hidden="1">
      <c r="A124" s="1550">
        <v>4</v>
      </c>
      <c r="B124" s="1548">
        <v>209.9</v>
      </c>
      <c r="C124" s="1640">
        <v>121.9</v>
      </c>
      <c r="D124" s="1548">
        <v>580.75273939971419</v>
      </c>
      <c r="E124" s="1548">
        <v>87.7</v>
      </c>
      <c r="F124" s="1640">
        <v>60.878</v>
      </c>
      <c r="G124" s="1548">
        <v>694.16191562143672</v>
      </c>
    </row>
    <row r="125" spans="1:7" hidden="1">
      <c r="A125" s="1550">
        <v>5</v>
      </c>
      <c r="B125" s="1548">
        <v>215.24199999999999</v>
      </c>
      <c r="C125" s="1640">
        <v>133.29499999999999</v>
      </c>
      <c r="D125" s="1548">
        <v>619.27969448341867</v>
      </c>
      <c r="E125" s="1548">
        <v>88.1</v>
      </c>
      <c r="F125" s="1640">
        <v>60.7</v>
      </c>
      <c r="G125" s="1548">
        <v>688.98978433598188</v>
      </c>
    </row>
    <row r="126" spans="1:7" hidden="1">
      <c r="A126" s="1550">
        <v>6</v>
      </c>
      <c r="B126" s="1548">
        <v>217.3</v>
      </c>
      <c r="C126" s="1640">
        <v>131.30000000000001</v>
      </c>
      <c r="D126" s="1548">
        <v>604.23377818683855</v>
      </c>
      <c r="E126" s="1548">
        <v>74.7</v>
      </c>
      <c r="F126" s="1640">
        <v>62.3</v>
      </c>
      <c r="G126" s="1548">
        <v>834.00267737617128</v>
      </c>
    </row>
    <row r="127" spans="1:7" hidden="1">
      <c r="A127" s="1550">
        <v>7</v>
      </c>
      <c r="B127" s="1548">
        <v>245.5</v>
      </c>
      <c r="C127" s="1640">
        <v>162.25700000000001</v>
      </c>
      <c r="D127" s="1548">
        <v>660.92464358452139</v>
      </c>
      <c r="E127" s="1548">
        <v>81</v>
      </c>
      <c r="F127" s="1640">
        <v>76.5</v>
      </c>
      <c r="G127" s="1548">
        <v>944.44444444444446</v>
      </c>
    </row>
    <row r="128" spans="1:7" hidden="1">
      <c r="A128" s="1550">
        <v>8</v>
      </c>
      <c r="B128" s="1548">
        <v>237</v>
      </c>
      <c r="C128" s="1640">
        <v>148.4</v>
      </c>
      <c r="D128" s="1548">
        <v>626.16033755274259</v>
      </c>
      <c r="E128" s="1548">
        <v>74</v>
      </c>
      <c r="F128" s="1640">
        <v>84</v>
      </c>
      <c r="G128" s="1548">
        <v>1135.135135135135</v>
      </c>
    </row>
    <row r="129" spans="1:7" hidden="1">
      <c r="A129" s="1550">
        <v>9</v>
      </c>
      <c r="B129" s="1548">
        <v>234.1</v>
      </c>
      <c r="C129" s="1640">
        <v>145.6</v>
      </c>
      <c r="D129" s="1548">
        <v>621.95642887654844</v>
      </c>
      <c r="E129" s="1548">
        <v>83.3</v>
      </c>
      <c r="F129" s="1640">
        <v>69.8</v>
      </c>
      <c r="G129" s="1548">
        <v>837.93517406962781</v>
      </c>
    </row>
    <row r="130" spans="1:7" hidden="1">
      <c r="A130" s="1550">
        <v>10</v>
      </c>
      <c r="B130" s="1548">
        <v>236.9</v>
      </c>
      <c r="C130" s="1640">
        <v>155.9</v>
      </c>
      <c r="D130" s="1548">
        <v>658.0835795694386</v>
      </c>
      <c r="E130" s="1548">
        <v>94.8</v>
      </c>
      <c r="F130" s="1640">
        <v>86.9</v>
      </c>
      <c r="G130" s="1548">
        <v>916.66666666666674</v>
      </c>
    </row>
    <row r="131" spans="1:7" hidden="1">
      <c r="A131" s="1550">
        <v>11</v>
      </c>
      <c r="B131" s="1548">
        <v>214.9</v>
      </c>
      <c r="C131" s="1640">
        <v>148.15799999999999</v>
      </c>
      <c r="D131" s="1548">
        <v>689.42764076314552</v>
      </c>
      <c r="E131" s="1548">
        <v>88.2</v>
      </c>
      <c r="F131" s="1640">
        <v>72.2</v>
      </c>
      <c r="G131" s="1548">
        <v>818.59410430839011</v>
      </c>
    </row>
    <row r="132" spans="1:7" hidden="1">
      <c r="A132" s="1550">
        <v>12</v>
      </c>
      <c r="B132" s="1548">
        <v>218</v>
      </c>
      <c r="C132" s="1640">
        <v>141.1</v>
      </c>
      <c r="D132" s="1548">
        <v>647.24770642201838</v>
      </c>
      <c r="E132" s="1548">
        <v>101.2</v>
      </c>
      <c r="F132" s="1640">
        <v>80.400000000000006</v>
      </c>
      <c r="G132" s="1548">
        <v>794.46640316205537</v>
      </c>
    </row>
    <row r="133" spans="1:7">
      <c r="A133" s="1550">
        <v>2014</v>
      </c>
      <c r="B133" s="1553">
        <f>SUM(B134:B145)</f>
        <v>2626.8220000000001</v>
      </c>
      <c r="C133" s="1553">
        <f>SUM(C134:C145)</f>
        <v>1634.1690000000001</v>
      </c>
      <c r="D133" s="1553">
        <f>+C133/B133*1000</f>
        <v>622.10876869464312</v>
      </c>
      <c r="E133" s="1553">
        <f>SUM(E134:E145)</f>
        <v>1306.9160000000002</v>
      </c>
      <c r="F133" s="1553">
        <f>SUM(F134:F145)</f>
        <v>979.65899999999988</v>
      </c>
      <c r="G133" s="1553">
        <f>+F133/E133*1000</f>
        <v>749.59599545800938</v>
      </c>
    </row>
    <row r="134" spans="1:7" hidden="1">
      <c r="A134" s="1550">
        <v>1</v>
      </c>
      <c r="B134" s="1548">
        <v>194.4</v>
      </c>
      <c r="C134" s="1640">
        <v>122</v>
      </c>
      <c r="D134" s="1548">
        <v>627.57201646090527</v>
      </c>
      <c r="E134" s="1548">
        <v>78.239999999999995</v>
      </c>
      <c r="F134" s="1640">
        <v>64.099999999999994</v>
      </c>
      <c r="G134" s="1548">
        <v>819.27402862985684</v>
      </c>
    </row>
    <row r="135" spans="1:7" hidden="1">
      <c r="A135" s="1550">
        <v>2</v>
      </c>
      <c r="B135" s="1548">
        <v>189.1</v>
      </c>
      <c r="C135" s="1640">
        <v>108.5</v>
      </c>
      <c r="D135" s="1548">
        <v>573.77049180327867</v>
      </c>
      <c r="E135" s="1548">
        <v>101.6</v>
      </c>
      <c r="F135" s="1640">
        <v>100.8</v>
      </c>
      <c r="G135" s="1548">
        <v>992.12598425196848</v>
      </c>
    </row>
    <row r="136" spans="1:7" hidden="1">
      <c r="A136" s="1550">
        <v>3</v>
      </c>
      <c r="B136" s="1548">
        <v>199.7</v>
      </c>
      <c r="C136" s="1640">
        <v>114.9</v>
      </c>
      <c r="D136" s="1548">
        <v>575.36304456685036</v>
      </c>
      <c r="E136" s="1548">
        <v>104.8</v>
      </c>
      <c r="F136" s="1640">
        <v>65.7</v>
      </c>
      <c r="G136" s="1548">
        <v>626.90839694656495</v>
      </c>
    </row>
    <row r="137" spans="1:7" hidden="1">
      <c r="A137" s="1550">
        <v>4</v>
      </c>
      <c r="B137" s="1548">
        <v>237.22200000000001</v>
      </c>
      <c r="C137" s="1640">
        <v>138.76900000000001</v>
      </c>
      <c r="D137" s="1548">
        <v>584.97525524614082</v>
      </c>
      <c r="E137" s="1548">
        <v>119.57599999999999</v>
      </c>
      <c r="F137" s="1640">
        <v>88.858999999999995</v>
      </c>
      <c r="G137" s="1548">
        <v>743.11734796280189</v>
      </c>
    </row>
    <row r="138" spans="1:7" hidden="1">
      <c r="A138" s="1550">
        <v>5</v>
      </c>
      <c r="B138" s="1548">
        <v>229.7</v>
      </c>
      <c r="C138" s="1640">
        <v>145.5</v>
      </c>
      <c r="D138" s="1548">
        <v>633.43491510666092</v>
      </c>
      <c r="E138" s="1548">
        <v>123.6</v>
      </c>
      <c r="F138" s="1640">
        <v>87.2</v>
      </c>
      <c r="G138" s="1548">
        <v>705.50161812297745</v>
      </c>
    </row>
    <row r="139" spans="1:7" hidden="1">
      <c r="A139" s="1550">
        <v>6</v>
      </c>
      <c r="B139" s="1548">
        <v>235</v>
      </c>
      <c r="C139" s="1640">
        <v>154.6</v>
      </c>
      <c r="D139" s="1548">
        <v>657.87234042553189</v>
      </c>
      <c r="E139" s="1548">
        <v>103</v>
      </c>
      <c r="F139" s="1640">
        <v>72.5</v>
      </c>
      <c r="G139" s="1548">
        <v>703.88349514563106</v>
      </c>
    </row>
    <row r="140" spans="1:7" hidden="1">
      <c r="A140" s="1550">
        <v>7</v>
      </c>
      <c r="B140" s="1548">
        <v>239.3</v>
      </c>
      <c r="C140" s="1640">
        <v>158.80000000000001</v>
      </c>
      <c r="D140" s="1548">
        <v>663.60217300459681</v>
      </c>
      <c r="E140" s="1548">
        <v>102.3</v>
      </c>
      <c r="F140" s="1640">
        <v>78.400000000000006</v>
      </c>
      <c r="G140" s="1548">
        <v>766.37341153470197</v>
      </c>
    </row>
    <row r="141" spans="1:7" hidden="1">
      <c r="A141" s="1550">
        <v>8</v>
      </c>
      <c r="B141" s="1548">
        <v>232.8</v>
      </c>
      <c r="C141" s="1640">
        <v>148.19999999999999</v>
      </c>
      <c r="D141" s="1548">
        <v>636.59793814432987</v>
      </c>
      <c r="E141" s="1548">
        <v>94.6</v>
      </c>
      <c r="F141" s="1640">
        <v>75</v>
      </c>
      <c r="G141" s="1548">
        <v>792.81183932346732</v>
      </c>
    </row>
    <row r="142" spans="1:7" hidden="1">
      <c r="A142" s="1550">
        <v>9</v>
      </c>
      <c r="B142" s="1548">
        <v>245.6</v>
      </c>
      <c r="C142" s="1640">
        <v>151.4</v>
      </c>
      <c r="D142" s="1548">
        <v>616.44951140065155</v>
      </c>
      <c r="E142" s="1548">
        <v>107.6</v>
      </c>
      <c r="F142" s="1640">
        <v>83.8</v>
      </c>
      <c r="G142" s="1548">
        <v>778.81040892193312</v>
      </c>
    </row>
    <row r="143" spans="1:7" hidden="1">
      <c r="A143" s="1550">
        <v>10</v>
      </c>
      <c r="B143" s="1548">
        <v>233</v>
      </c>
      <c r="C143" s="1640">
        <v>145.1</v>
      </c>
      <c r="D143" s="1548">
        <v>622.7467811158798</v>
      </c>
      <c r="E143" s="1548">
        <v>113.2</v>
      </c>
      <c r="F143" s="1640">
        <v>77.400000000000006</v>
      </c>
      <c r="G143" s="1548">
        <v>683.74558303886931</v>
      </c>
    </row>
    <row r="144" spans="1:7" hidden="1">
      <c r="A144" s="1550">
        <v>11</v>
      </c>
      <c r="B144" s="1548">
        <v>190.3</v>
      </c>
      <c r="C144" s="1640">
        <v>125</v>
      </c>
      <c r="D144" s="1548">
        <v>656.85759327377821</v>
      </c>
      <c r="E144" s="1548">
        <v>111.7</v>
      </c>
      <c r="F144" s="1640">
        <v>84.1</v>
      </c>
      <c r="G144" s="1548">
        <v>752.90957923008045</v>
      </c>
    </row>
    <row r="145" spans="1:7" hidden="1">
      <c r="A145" s="1550">
        <v>12</v>
      </c>
      <c r="B145" s="1548">
        <v>200.7</v>
      </c>
      <c r="C145" s="1640">
        <v>121.4</v>
      </c>
      <c r="D145" s="1548">
        <v>604.88290981564535</v>
      </c>
      <c r="E145" s="1548">
        <v>146.69999999999999</v>
      </c>
      <c r="F145" s="1640">
        <v>101.8</v>
      </c>
      <c r="G145" s="1548">
        <v>693.93319700068173</v>
      </c>
    </row>
    <row r="146" spans="1:7">
      <c r="A146" s="1550">
        <v>2015</v>
      </c>
      <c r="B146" s="1553">
        <f>SUM(B147:B158)</f>
        <v>2280.172</v>
      </c>
      <c r="C146" s="1553">
        <f>SUM(C147:C158)</f>
        <v>1251.2218320000002</v>
      </c>
      <c r="D146" s="1553">
        <f>+C146/B146*1000</f>
        <v>548.74010907949059</v>
      </c>
      <c r="E146" s="1553">
        <f>SUM(E147:E158)</f>
        <v>1278.3770000000002</v>
      </c>
      <c r="F146" s="1553">
        <f>SUM(F147:F158)</f>
        <v>800.83499999999992</v>
      </c>
      <c r="G146" s="1553">
        <f>+F146/E146*1000</f>
        <v>626.44665853656613</v>
      </c>
    </row>
    <row r="147" spans="1:7" hidden="1">
      <c r="A147" s="1550">
        <v>1</v>
      </c>
      <c r="B147" s="1548">
        <v>148.4</v>
      </c>
      <c r="C147" s="1640">
        <v>77.2</v>
      </c>
      <c r="D147" s="1548">
        <v>520.21563342318052</v>
      </c>
      <c r="E147" s="1548">
        <v>107.9</v>
      </c>
      <c r="F147" s="1640">
        <v>65.293000000000006</v>
      </c>
      <c r="G147" s="1548">
        <v>605.12511584800745</v>
      </c>
    </row>
    <row r="148" spans="1:7" hidden="1">
      <c r="A148" s="1550" t="s">
        <v>296</v>
      </c>
      <c r="B148" s="1548">
        <v>151.19999999999999</v>
      </c>
      <c r="C148" s="1640">
        <v>79.3</v>
      </c>
      <c r="D148" s="1548">
        <v>524.47089947089955</v>
      </c>
      <c r="E148" s="1548">
        <v>116.2</v>
      </c>
      <c r="F148" s="1640">
        <v>70.599999999999994</v>
      </c>
      <c r="G148" s="1548">
        <v>607.57314974182441</v>
      </c>
    </row>
    <row r="149" spans="1:7" hidden="1">
      <c r="A149" s="1550" t="s">
        <v>295</v>
      </c>
      <c r="B149" s="1548">
        <v>159.9</v>
      </c>
      <c r="C149" s="1640">
        <v>84.244</v>
      </c>
      <c r="D149" s="1548">
        <v>526.85428392745462</v>
      </c>
      <c r="E149" s="1548">
        <v>98.1</v>
      </c>
      <c r="F149" s="1640">
        <v>60.488</v>
      </c>
      <c r="G149" s="1548">
        <v>616.59531090723749</v>
      </c>
    </row>
    <row r="150" spans="1:7" hidden="1">
      <c r="A150" s="1550" t="s">
        <v>1016</v>
      </c>
      <c r="B150" s="1548">
        <v>200.3</v>
      </c>
      <c r="C150" s="1640">
        <v>107.19</v>
      </c>
      <c r="D150" s="1548">
        <v>535.9</v>
      </c>
      <c r="E150" s="1548">
        <v>116.7</v>
      </c>
      <c r="F150" s="1640">
        <v>65.14</v>
      </c>
      <c r="G150" s="1548">
        <v>557.79999999999995</v>
      </c>
    </row>
    <row r="151" spans="1:7" hidden="1">
      <c r="A151" s="1550" t="s">
        <v>294</v>
      </c>
      <c r="B151" s="1548">
        <v>199.05199999999999</v>
      </c>
      <c r="C151" s="1640">
        <v>111.957832</v>
      </c>
      <c r="D151" s="1548">
        <v>557.70000000000005</v>
      </c>
      <c r="E151" s="1548">
        <v>107.05500000000001</v>
      </c>
      <c r="F151" s="1640">
        <v>59.588999999999999</v>
      </c>
      <c r="G151" s="1548">
        <v>556</v>
      </c>
    </row>
    <row r="152" spans="1:7" hidden="1">
      <c r="A152" s="1550" t="s">
        <v>1017</v>
      </c>
      <c r="B152" s="1548">
        <v>213.38</v>
      </c>
      <c r="C152" s="1640">
        <v>127.7</v>
      </c>
      <c r="D152" s="1548">
        <v>531.20000000000005</v>
      </c>
      <c r="E152" s="1548">
        <v>108.7</v>
      </c>
      <c r="F152" s="1640">
        <v>65.704999999999998</v>
      </c>
      <c r="G152" s="1548">
        <v>604</v>
      </c>
    </row>
    <row r="153" spans="1:7" hidden="1">
      <c r="A153" s="1550" t="s">
        <v>292</v>
      </c>
      <c r="B153" s="1548">
        <v>206.47</v>
      </c>
      <c r="C153" s="1640">
        <v>120.7</v>
      </c>
      <c r="D153" s="1548">
        <v>585.9</v>
      </c>
      <c r="E153" s="1548">
        <v>98.13</v>
      </c>
      <c r="F153" s="1640">
        <v>74.5</v>
      </c>
      <c r="G153" s="1548">
        <v>759.4</v>
      </c>
    </row>
    <row r="154" spans="1:7" hidden="1">
      <c r="A154" s="1550">
        <v>8</v>
      </c>
      <c r="B154" s="1548">
        <v>195.1</v>
      </c>
      <c r="C154" s="1640">
        <v>107.5</v>
      </c>
      <c r="D154" s="1548">
        <v>550.99948744233734</v>
      </c>
      <c r="E154" s="1548">
        <v>95.9</v>
      </c>
      <c r="F154" s="1640">
        <v>68.900000000000006</v>
      </c>
      <c r="G154" s="1548">
        <v>718.45672575599588</v>
      </c>
    </row>
    <row r="155" spans="1:7" hidden="1">
      <c r="A155" s="1550">
        <v>9</v>
      </c>
      <c r="B155" s="1548">
        <v>203.3</v>
      </c>
      <c r="C155" s="1640">
        <v>100.5</v>
      </c>
      <c r="D155" s="1548">
        <v>494.34333497294637</v>
      </c>
      <c r="E155" s="1548">
        <v>98.262</v>
      </c>
      <c r="F155" s="1640">
        <v>65.55</v>
      </c>
      <c r="G155" s="1548">
        <v>667.09409537766373</v>
      </c>
    </row>
    <row r="156" spans="1:7" hidden="1">
      <c r="A156" s="1550">
        <v>10</v>
      </c>
      <c r="B156" s="1548">
        <v>206.2</v>
      </c>
      <c r="C156" s="1640">
        <v>112.3</v>
      </c>
      <c r="D156" s="1548">
        <v>544.6168768186227</v>
      </c>
      <c r="E156" s="1548">
        <v>109.93</v>
      </c>
      <c r="F156" s="1640">
        <v>66.77</v>
      </c>
      <c r="G156" s="1548">
        <v>607.38651869371404</v>
      </c>
    </row>
    <row r="157" spans="1:7" hidden="1">
      <c r="A157" s="1550">
        <v>11</v>
      </c>
      <c r="B157" s="1548">
        <v>181.1</v>
      </c>
      <c r="C157" s="1640">
        <v>92.2</v>
      </c>
      <c r="D157" s="1548">
        <v>509.23161967938091</v>
      </c>
      <c r="E157" s="1548">
        <v>104.6</v>
      </c>
      <c r="F157" s="1640">
        <v>61.8</v>
      </c>
      <c r="G157" s="1548">
        <v>590.82217973231354</v>
      </c>
    </row>
    <row r="158" spans="1:7" hidden="1">
      <c r="A158" s="1550">
        <v>12</v>
      </c>
      <c r="B158" s="1548">
        <v>215.77</v>
      </c>
      <c r="C158" s="1640">
        <v>130.43</v>
      </c>
      <c r="D158" s="1548">
        <v>604.64037122969842</v>
      </c>
      <c r="E158" s="1548">
        <v>116.9</v>
      </c>
      <c r="F158" s="1640">
        <v>76.5</v>
      </c>
      <c r="G158" s="1548">
        <v>654.40547476475615</v>
      </c>
    </row>
    <row r="159" spans="1:7">
      <c r="A159" s="1550" t="s">
        <v>1852</v>
      </c>
      <c r="B159" s="1553">
        <f>SUM(B160:B171)</f>
        <v>5681.6500000000015</v>
      </c>
      <c r="C159" s="1553">
        <f>SUM(C160:C171)</f>
        <v>1869.0000000000002</v>
      </c>
      <c r="D159" s="1553">
        <f>+C159/B159*1000</f>
        <v>328.95373703061608</v>
      </c>
      <c r="E159" s="1553">
        <f>SUM(E160:E171)</f>
        <v>3901.13</v>
      </c>
      <c r="F159" s="1553">
        <f>SUM(F160:F171)</f>
        <v>882.84</v>
      </c>
      <c r="G159" s="1553">
        <f>+F159/E159*1000</f>
        <v>226.30366073419754</v>
      </c>
    </row>
    <row r="160" spans="1:7">
      <c r="A160" s="1550">
        <v>1</v>
      </c>
      <c r="B160" s="1548">
        <v>360.86</v>
      </c>
      <c r="C160" s="1640">
        <v>99.69</v>
      </c>
      <c r="D160" s="1548">
        <v>276.25672005764</v>
      </c>
      <c r="E160" s="1548">
        <v>259.13</v>
      </c>
      <c r="F160" s="1640">
        <v>54.89</v>
      </c>
      <c r="G160" s="1548">
        <v>211.82418091305499</v>
      </c>
    </row>
    <row r="161" spans="1:9">
      <c r="A161" s="1550">
        <v>2</v>
      </c>
      <c r="B161" s="1548">
        <v>407.78</v>
      </c>
      <c r="C161" s="1640">
        <v>111.59</v>
      </c>
      <c r="D161" s="1548">
        <v>273.65245965961998</v>
      </c>
      <c r="E161" s="1548">
        <v>292.91000000000003</v>
      </c>
      <c r="F161" s="1640">
        <v>65.69</v>
      </c>
      <c r="G161" s="1548">
        <v>224.26683964357699</v>
      </c>
    </row>
    <row r="162" spans="1:9">
      <c r="A162" s="1550" t="s">
        <v>295</v>
      </c>
      <c r="B162" s="1548">
        <v>419.04</v>
      </c>
      <c r="C162" s="1640">
        <v>123.33</v>
      </c>
      <c r="D162" s="1548">
        <v>294.31557846506303</v>
      </c>
      <c r="E162" s="1548">
        <v>280.64</v>
      </c>
      <c r="F162" s="1640">
        <v>64.87</v>
      </c>
      <c r="G162" s="1548">
        <v>231.15022805017099</v>
      </c>
    </row>
    <row r="163" spans="1:9">
      <c r="A163" s="1550" t="s">
        <v>1016</v>
      </c>
      <c r="B163" s="1548">
        <v>460.21</v>
      </c>
      <c r="C163" s="1640">
        <v>135.37</v>
      </c>
      <c r="D163" s="1548">
        <v>294.14832359140399</v>
      </c>
      <c r="E163" s="1548">
        <v>318.32</v>
      </c>
      <c r="F163" s="1640">
        <v>73.069999999999993</v>
      </c>
      <c r="G163" s="1548">
        <v>229.54888162854999</v>
      </c>
    </row>
    <row r="164" spans="1:9">
      <c r="A164" s="1550" t="s">
        <v>294</v>
      </c>
      <c r="B164" s="1548">
        <v>481.06</v>
      </c>
      <c r="C164" s="1640">
        <v>150.57</v>
      </c>
      <c r="D164" s="1548">
        <v>312.99629983785798</v>
      </c>
      <c r="E164" s="1548">
        <v>328.46</v>
      </c>
      <c r="F164" s="1640">
        <v>76.36</v>
      </c>
      <c r="G164" s="1548">
        <v>232.47884065030701</v>
      </c>
    </row>
    <row r="165" spans="1:9">
      <c r="A165" s="1550" t="s">
        <v>1017</v>
      </c>
      <c r="B165" s="1548">
        <v>494.32</v>
      </c>
      <c r="C165" s="1640">
        <v>194.14</v>
      </c>
      <c r="D165" s="1548">
        <v>392.74154393914898</v>
      </c>
      <c r="E165" s="1548">
        <v>330.85</v>
      </c>
      <c r="F165" s="1640">
        <v>82.39</v>
      </c>
      <c r="G165" s="1548">
        <v>249.025238023273</v>
      </c>
    </row>
    <row r="166" spans="1:9">
      <c r="A166" s="1550" t="s">
        <v>292</v>
      </c>
      <c r="B166" s="1548">
        <v>457.44</v>
      </c>
      <c r="C166" s="1640">
        <v>158.6</v>
      </c>
      <c r="D166" s="1548">
        <v>346.71213711087802</v>
      </c>
      <c r="E166" s="1548">
        <v>299.81</v>
      </c>
      <c r="F166" s="1640">
        <v>68.2</v>
      </c>
      <c r="G166" s="1548">
        <v>227.47740235482499</v>
      </c>
    </row>
    <row r="167" spans="1:9">
      <c r="A167" s="1550" t="s">
        <v>293</v>
      </c>
      <c r="B167" s="1548">
        <v>513.63</v>
      </c>
      <c r="C167" s="1640">
        <v>193.04</v>
      </c>
      <c r="D167" s="1548">
        <v>375.83474485524602</v>
      </c>
      <c r="E167" s="1548">
        <v>332.29</v>
      </c>
      <c r="F167" s="1640">
        <v>90.48</v>
      </c>
      <c r="G167" s="1548">
        <v>272.292274820187</v>
      </c>
    </row>
    <row r="168" spans="1:9" s="374" customFormat="1">
      <c r="A168" s="1550">
        <v>9</v>
      </c>
      <c r="B168" s="1548">
        <v>495.55</v>
      </c>
      <c r="C168" s="1640">
        <v>167.66</v>
      </c>
      <c r="D168" s="1548">
        <v>338.33114721017103</v>
      </c>
      <c r="E168" s="1548">
        <v>318.51</v>
      </c>
      <c r="F168" s="1640">
        <v>68.61</v>
      </c>
      <c r="G168" s="1548">
        <v>215.409249317133</v>
      </c>
    </row>
    <row r="169" spans="1:9" s="374" customFormat="1">
      <c r="A169" s="1550">
        <v>10</v>
      </c>
      <c r="B169" s="1548">
        <v>513.52</v>
      </c>
      <c r="C169" s="1640">
        <v>176.15</v>
      </c>
      <c r="D169" s="1548">
        <v>343.02461442592301</v>
      </c>
      <c r="E169" s="1548">
        <v>358.94</v>
      </c>
      <c r="F169" s="1640">
        <v>76.459999999999994</v>
      </c>
      <c r="G169" s="1548">
        <v>213.01610296985601</v>
      </c>
      <c r="I169" s="375"/>
    </row>
    <row r="170" spans="1:9" s="374" customFormat="1">
      <c r="A170" s="1550">
        <v>11</v>
      </c>
      <c r="B170" s="1548">
        <v>508.97</v>
      </c>
      <c r="C170" s="1640">
        <v>168.15</v>
      </c>
      <c r="D170" s="1548">
        <v>330.37310646992898</v>
      </c>
      <c r="E170" s="1548">
        <v>372.63</v>
      </c>
      <c r="F170" s="1640">
        <v>75.599999999999994</v>
      </c>
      <c r="G170" s="1548">
        <v>202.882215602608</v>
      </c>
      <c r="I170" s="375"/>
    </row>
    <row r="171" spans="1:9" s="374" customFormat="1">
      <c r="A171" s="1550" t="s">
        <v>29</v>
      </c>
      <c r="B171" s="1548">
        <v>569.27</v>
      </c>
      <c r="C171" s="1640">
        <v>190.71</v>
      </c>
      <c r="D171" s="1548">
        <v>335.00799269239599</v>
      </c>
      <c r="E171" s="1548">
        <v>408.64</v>
      </c>
      <c r="F171" s="1640">
        <v>86.22</v>
      </c>
      <c r="G171" s="1548">
        <v>210.99256068911501</v>
      </c>
      <c r="I171" s="375"/>
    </row>
    <row r="172" spans="1:9" s="374" customFormat="1">
      <c r="A172" s="1550" t="s">
        <v>1915</v>
      </c>
      <c r="B172" s="1553">
        <f>SUM(B173:B184)</f>
        <v>6453.6600000000008</v>
      </c>
      <c r="C172" s="1553">
        <f>SUM(C173:C184)</f>
        <v>2321.3999999999996</v>
      </c>
      <c r="D172" s="1553">
        <f t="shared" ref="D172:D203" si="3">+C172/B172*1000</f>
        <v>359.70286628052912</v>
      </c>
      <c r="E172" s="1553">
        <f>SUM(E173:E184)</f>
        <v>4308.5300000000007</v>
      </c>
      <c r="F172" s="1553">
        <f>SUM(F173:F184)</f>
        <v>931.51</v>
      </c>
      <c r="G172" s="1553">
        <f t="shared" ref="G172:G203" si="4">+F172/E172*1000</f>
        <v>216.20134941615814</v>
      </c>
      <c r="I172" s="375"/>
    </row>
    <row r="173" spans="1:9" s="374" customFormat="1">
      <c r="A173" s="1550" t="s">
        <v>18</v>
      </c>
      <c r="B173" s="1548">
        <v>428.2</v>
      </c>
      <c r="C173" s="1640">
        <v>152.37</v>
      </c>
      <c r="D173" s="1547">
        <f t="shared" si="3"/>
        <v>355.83839327417098</v>
      </c>
      <c r="E173" s="1548">
        <v>298.52</v>
      </c>
      <c r="F173" s="1640">
        <v>61.46</v>
      </c>
      <c r="G173" s="1547">
        <f t="shared" si="4"/>
        <v>205.88235294117649</v>
      </c>
      <c r="I173" s="375"/>
    </row>
    <row r="174" spans="1:9" s="374" customFormat="1">
      <c r="A174" s="1550" t="s">
        <v>19</v>
      </c>
      <c r="B174" s="1548">
        <v>444.72</v>
      </c>
      <c r="C174" s="1640">
        <v>146.16999999999999</v>
      </c>
      <c r="D174" s="1547">
        <f t="shared" si="3"/>
        <v>328.67871919409964</v>
      </c>
      <c r="E174" s="1548">
        <v>317.20999999999998</v>
      </c>
      <c r="F174" s="1640">
        <v>75.48</v>
      </c>
      <c r="G174" s="1547">
        <f t="shared" si="4"/>
        <v>237.94962327795469</v>
      </c>
      <c r="I174" s="375"/>
    </row>
    <row r="175" spans="1:9" s="374" customFormat="1">
      <c r="A175" s="1550" t="s">
        <v>20</v>
      </c>
      <c r="B175" s="1548">
        <v>499.38</v>
      </c>
      <c r="C175" s="1640">
        <v>163.16</v>
      </c>
      <c r="D175" s="1547">
        <f t="shared" si="3"/>
        <v>326.72513917257402</v>
      </c>
      <c r="E175" s="1548">
        <v>331.23</v>
      </c>
      <c r="F175" s="1640">
        <v>69.08</v>
      </c>
      <c r="G175" s="1547">
        <f t="shared" si="4"/>
        <v>208.55598828608518</v>
      </c>
      <c r="I175" s="375"/>
    </row>
    <row r="176" spans="1:9" s="374" customFormat="1">
      <c r="A176" s="1550" t="s">
        <v>21</v>
      </c>
      <c r="B176" s="1548">
        <v>522.55999999999995</v>
      </c>
      <c r="C176" s="1640">
        <v>177.17</v>
      </c>
      <c r="D176" s="1547">
        <f t="shared" si="3"/>
        <v>339.04240661359466</v>
      </c>
      <c r="E176" s="1548">
        <v>339.18</v>
      </c>
      <c r="F176" s="1640">
        <v>75.42</v>
      </c>
      <c r="G176" s="1547">
        <f t="shared" si="4"/>
        <v>222.35980895099948</v>
      </c>
      <c r="I176" s="375"/>
    </row>
    <row r="177" spans="1:10" s="374" customFormat="1">
      <c r="A177" s="1550" t="s">
        <v>22</v>
      </c>
      <c r="B177" s="1548">
        <v>548.83000000000004</v>
      </c>
      <c r="C177" s="1640">
        <v>202.45</v>
      </c>
      <c r="D177" s="1547">
        <f t="shared" si="3"/>
        <v>368.8756081118014</v>
      </c>
      <c r="E177" s="1548">
        <v>370.2</v>
      </c>
      <c r="F177" s="1640">
        <v>79.38</v>
      </c>
      <c r="G177" s="1547">
        <f t="shared" si="4"/>
        <v>214.42463533225285</v>
      </c>
      <c r="I177" s="375"/>
    </row>
    <row r="178" spans="1:10" s="374" customFormat="1">
      <c r="A178" s="1550" t="s">
        <v>23</v>
      </c>
      <c r="B178" s="1548">
        <v>520.5</v>
      </c>
      <c r="C178" s="1640">
        <v>206.61</v>
      </c>
      <c r="D178" s="1547">
        <f t="shared" si="3"/>
        <v>396.94524495677234</v>
      </c>
      <c r="E178" s="1548">
        <v>338.63</v>
      </c>
      <c r="F178" s="1640">
        <v>73.78</v>
      </c>
      <c r="G178" s="1547">
        <f t="shared" si="4"/>
        <v>217.87791985352746</v>
      </c>
      <c r="I178" s="375"/>
      <c r="J178" s="376"/>
    </row>
    <row r="179" spans="1:10" s="374" customFormat="1">
      <c r="A179" s="1550" t="s">
        <v>24</v>
      </c>
      <c r="B179" s="1548">
        <v>551.04999999999995</v>
      </c>
      <c r="C179" s="1640">
        <v>194.72</v>
      </c>
      <c r="D179" s="1547">
        <f t="shared" si="3"/>
        <v>353.3617639052718</v>
      </c>
      <c r="E179" s="1548">
        <v>362.81</v>
      </c>
      <c r="F179" s="1640">
        <v>70.180000000000007</v>
      </c>
      <c r="G179" s="1547">
        <f t="shared" si="4"/>
        <v>193.43458008323918</v>
      </c>
      <c r="I179" s="375"/>
    </row>
    <row r="180" spans="1:10" s="374" customFormat="1">
      <c r="A180" s="1550" t="s">
        <v>25</v>
      </c>
      <c r="B180" s="1548">
        <v>586.45000000000005</v>
      </c>
      <c r="C180" s="1640">
        <v>214.25</v>
      </c>
      <c r="D180" s="1547">
        <f t="shared" si="3"/>
        <v>365.33378804672179</v>
      </c>
      <c r="E180" s="1548">
        <v>362.59</v>
      </c>
      <c r="F180" s="1640">
        <v>82.75</v>
      </c>
      <c r="G180" s="1547">
        <f t="shared" si="4"/>
        <v>228.21920075015859</v>
      </c>
      <c r="I180" s="375"/>
    </row>
    <row r="181" spans="1:10" s="374" customFormat="1">
      <c r="A181" s="1550" t="s">
        <v>26</v>
      </c>
      <c r="B181" s="1548">
        <v>561.64</v>
      </c>
      <c r="C181" s="1640">
        <v>205.61</v>
      </c>
      <c r="D181" s="1547">
        <f t="shared" si="3"/>
        <v>366.0885976782281</v>
      </c>
      <c r="E181" s="1548">
        <v>359.26</v>
      </c>
      <c r="F181" s="1640">
        <v>80.11</v>
      </c>
      <c r="G181" s="1547">
        <f t="shared" si="4"/>
        <v>222.98613817291098</v>
      </c>
      <c r="I181" s="375"/>
    </row>
    <row r="182" spans="1:10" s="374" customFormat="1">
      <c r="A182" s="1550" t="s">
        <v>27</v>
      </c>
      <c r="B182" s="1548">
        <v>600.76</v>
      </c>
      <c r="C182" s="1640">
        <v>222.06</v>
      </c>
      <c r="D182" s="1547">
        <f t="shared" si="3"/>
        <v>369.63179972035419</v>
      </c>
      <c r="E182" s="1548">
        <v>402.59</v>
      </c>
      <c r="F182" s="1640">
        <v>90.89</v>
      </c>
      <c r="G182" s="1547">
        <f t="shared" si="4"/>
        <v>225.76318338756553</v>
      </c>
      <c r="I182" s="375"/>
    </row>
    <row r="183" spans="1:10" s="374" customFormat="1">
      <c r="A183" s="1550" t="s">
        <v>28</v>
      </c>
      <c r="B183" s="1548">
        <v>561.14</v>
      </c>
      <c r="C183" s="1640">
        <v>224.16</v>
      </c>
      <c r="D183" s="1547">
        <f t="shared" si="3"/>
        <v>399.47250240581673</v>
      </c>
      <c r="E183" s="1548">
        <v>387.15</v>
      </c>
      <c r="F183" s="1640">
        <v>83.04</v>
      </c>
      <c r="G183" s="1547">
        <f t="shared" si="4"/>
        <v>214.49050755521117</v>
      </c>
      <c r="I183" s="375"/>
    </row>
    <row r="184" spans="1:10" s="374" customFormat="1">
      <c r="A184" s="1550" t="s">
        <v>29</v>
      </c>
      <c r="B184" s="1548">
        <v>628.42999999999995</v>
      </c>
      <c r="C184" s="1640">
        <v>212.67</v>
      </c>
      <c r="D184" s="1547">
        <f t="shared" si="3"/>
        <v>338.41477968906639</v>
      </c>
      <c r="E184" s="1548">
        <v>439.16</v>
      </c>
      <c r="F184" s="1640">
        <v>89.94</v>
      </c>
      <c r="G184" s="1547">
        <f t="shared" si="4"/>
        <v>204.80007286638124</v>
      </c>
      <c r="I184" s="375"/>
    </row>
    <row r="185" spans="1:10" s="374" customFormat="1">
      <c r="A185" s="1550" t="s">
        <v>2051</v>
      </c>
      <c r="B185" s="1553">
        <f>SUM(B186:B197)</f>
        <v>6500.88</v>
      </c>
      <c r="C185" s="1553">
        <f>SUM(C186:C197)</f>
        <v>2495.7000000000003</v>
      </c>
      <c r="D185" s="1553">
        <f t="shared" si="3"/>
        <v>383.90187174659434</v>
      </c>
      <c r="E185" s="1553">
        <f>SUM(E186:E197)</f>
        <v>4107.7300000000005</v>
      </c>
      <c r="F185" s="1553">
        <f>SUM(F186:F197)</f>
        <v>1006.5</v>
      </c>
      <c r="G185" s="1553">
        <f t="shared" si="4"/>
        <v>245.02584152317701</v>
      </c>
      <c r="I185" s="375"/>
    </row>
    <row r="186" spans="1:10" s="374" customFormat="1">
      <c r="A186" s="1550" t="s">
        <v>18</v>
      </c>
      <c r="B186" s="1548">
        <v>498.78</v>
      </c>
      <c r="C186" s="1548">
        <v>173.88</v>
      </c>
      <c r="D186" s="1547">
        <f t="shared" si="3"/>
        <v>348.61060988812704</v>
      </c>
      <c r="E186" s="1548">
        <v>335.16</v>
      </c>
      <c r="F186" s="1548">
        <v>69.900000000000006</v>
      </c>
      <c r="G186" s="1547">
        <f t="shared" si="4"/>
        <v>208.55710705334766</v>
      </c>
      <c r="I186" s="375"/>
    </row>
    <row r="187" spans="1:10" s="374" customFormat="1">
      <c r="A187" s="1550" t="s">
        <v>19</v>
      </c>
      <c r="B187" s="1548">
        <v>496.04</v>
      </c>
      <c r="C187" s="1640">
        <v>170.68</v>
      </c>
      <c r="D187" s="1547">
        <f t="shared" si="3"/>
        <v>344.08515442303042</v>
      </c>
      <c r="E187" s="1548">
        <v>342.47</v>
      </c>
      <c r="F187" s="1640">
        <v>74.2</v>
      </c>
      <c r="G187" s="1547">
        <f t="shared" si="4"/>
        <v>216.66131339971383</v>
      </c>
      <c r="I187" s="375"/>
    </row>
    <row r="188" spans="1:10" s="374" customFormat="1">
      <c r="A188" s="1550" t="s">
        <v>20</v>
      </c>
      <c r="B188" s="1548">
        <v>528.1</v>
      </c>
      <c r="C188" s="1640">
        <v>177.57</v>
      </c>
      <c r="D188" s="1547">
        <f t="shared" si="3"/>
        <v>336.24313576974055</v>
      </c>
      <c r="E188" s="1548">
        <v>345.22</v>
      </c>
      <c r="F188" s="1640">
        <v>74.11</v>
      </c>
      <c r="G188" s="1547">
        <f t="shared" si="4"/>
        <v>214.67470019118244</v>
      </c>
      <c r="I188" s="375"/>
    </row>
    <row r="189" spans="1:10" s="374" customFormat="1">
      <c r="A189" s="1550" t="s">
        <v>21</v>
      </c>
      <c r="B189" s="1548">
        <v>521.29</v>
      </c>
      <c r="C189" s="1640">
        <v>189.61</v>
      </c>
      <c r="D189" s="1547">
        <f t="shared" si="3"/>
        <v>363.73227953730174</v>
      </c>
      <c r="E189" s="1548">
        <v>341.21</v>
      </c>
      <c r="F189" s="1640">
        <v>84.39</v>
      </c>
      <c r="G189" s="1547">
        <f t="shared" si="4"/>
        <v>247.32569385422468</v>
      </c>
      <c r="I189" s="375"/>
    </row>
    <row r="190" spans="1:10" s="374" customFormat="1">
      <c r="A190" s="1550" t="s">
        <v>22</v>
      </c>
      <c r="B190" s="1548">
        <v>580.13</v>
      </c>
      <c r="C190" s="1640">
        <v>233.08</v>
      </c>
      <c r="D190" s="1547">
        <f t="shared" si="3"/>
        <v>401.77201661696523</v>
      </c>
      <c r="E190" s="1548">
        <v>363.26</v>
      </c>
      <c r="F190" s="1640">
        <v>88.9</v>
      </c>
      <c r="G190" s="1547">
        <f t="shared" si="4"/>
        <v>244.72829378406652</v>
      </c>
      <c r="I190" s="375"/>
    </row>
    <row r="191" spans="1:10" s="374" customFormat="1">
      <c r="A191" s="1550" t="s">
        <v>23</v>
      </c>
      <c r="B191" s="1548">
        <v>529.84</v>
      </c>
      <c r="C191" s="1640">
        <v>224.94</v>
      </c>
      <c r="D191" s="1547">
        <f t="shared" si="3"/>
        <v>424.54325834214103</v>
      </c>
      <c r="E191" s="1548">
        <v>311.05</v>
      </c>
      <c r="F191" s="1640">
        <v>76.540000000000006</v>
      </c>
      <c r="G191" s="1547">
        <f t="shared" si="4"/>
        <v>246.06976370358464</v>
      </c>
      <c r="I191" s="375"/>
    </row>
    <row r="192" spans="1:10" s="374" customFormat="1">
      <c r="A192" s="1550" t="s">
        <v>24</v>
      </c>
      <c r="B192" s="1548">
        <v>552.80999999999995</v>
      </c>
      <c r="C192" s="1640">
        <v>229.44</v>
      </c>
      <c r="D192" s="1547">
        <f t="shared" si="3"/>
        <v>415.04314321376245</v>
      </c>
      <c r="E192" s="1548">
        <v>322.27999999999997</v>
      </c>
      <c r="F192" s="1640">
        <v>81.84</v>
      </c>
      <c r="G192" s="1547">
        <f t="shared" si="4"/>
        <v>253.94067270696291</v>
      </c>
      <c r="I192" s="375"/>
    </row>
    <row r="193" spans="1:9" s="374" customFormat="1">
      <c r="A193" s="1550" t="s">
        <v>25</v>
      </c>
      <c r="B193" s="1548">
        <v>543.9</v>
      </c>
      <c r="C193" s="1640">
        <v>215.83</v>
      </c>
      <c r="D193" s="1547">
        <f t="shared" si="3"/>
        <v>396.81926824783972</v>
      </c>
      <c r="E193" s="1548">
        <v>309.05</v>
      </c>
      <c r="F193" s="1640">
        <v>87.26</v>
      </c>
      <c r="G193" s="1547">
        <f t="shared" si="4"/>
        <v>282.34913444426468</v>
      </c>
      <c r="I193" s="375"/>
    </row>
    <row r="194" spans="1:9" s="374" customFormat="1">
      <c r="A194" s="1550" t="s">
        <v>26</v>
      </c>
      <c r="B194" s="1548">
        <v>528.25</v>
      </c>
      <c r="C194" s="1640">
        <v>189.25</v>
      </c>
      <c r="D194" s="1547">
        <f t="shared" si="3"/>
        <v>358.2584003786086</v>
      </c>
      <c r="E194" s="1548">
        <v>330.43</v>
      </c>
      <c r="F194" s="1640">
        <v>86.11</v>
      </c>
      <c r="G194" s="1547">
        <f t="shared" si="4"/>
        <v>260.59982447114368</v>
      </c>
      <c r="I194" s="375"/>
    </row>
    <row r="195" spans="1:9" s="374" customFormat="1">
      <c r="A195" s="1550" t="s">
        <v>27</v>
      </c>
      <c r="B195" s="1548">
        <v>586.62</v>
      </c>
      <c r="C195" s="1640">
        <v>228.14</v>
      </c>
      <c r="D195" s="1547">
        <f t="shared" si="3"/>
        <v>388.90593569943059</v>
      </c>
      <c r="E195" s="1548">
        <v>376.63</v>
      </c>
      <c r="F195" s="1640">
        <v>99.26</v>
      </c>
      <c r="G195" s="1547">
        <f t="shared" si="4"/>
        <v>263.54777898733505</v>
      </c>
      <c r="I195" s="375"/>
    </row>
    <row r="196" spans="1:9" s="374" customFormat="1">
      <c r="A196" s="1550" t="s">
        <v>28</v>
      </c>
      <c r="B196" s="1548">
        <v>546.16999999999996</v>
      </c>
      <c r="C196" s="1640">
        <v>205.65</v>
      </c>
      <c r="D196" s="1547">
        <f t="shared" si="3"/>
        <v>376.53111668528118</v>
      </c>
      <c r="E196" s="1548">
        <v>346.6</v>
      </c>
      <c r="F196" s="1640">
        <v>90.51</v>
      </c>
      <c r="G196" s="1547">
        <f t="shared" si="4"/>
        <v>261.13675706866707</v>
      </c>
      <c r="I196" s="375"/>
    </row>
    <row r="197" spans="1:9" s="374" customFormat="1">
      <c r="A197" s="1550" t="s">
        <v>29</v>
      </c>
      <c r="B197" s="1548">
        <v>588.95000000000005</v>
      </c>
      <c r="C197" s="1640">
        <v>257.63</v>
      </c>
      <c r="D197" s="1547">
        <f t="shared" si="3"/>
        <v>437.4395109941421</v>
      </c>
      <c r="E197" s="1548">
        <v>384.37</v>
      </c>
      <c r="F197" s="1640">
        <v>93.48</v>
      </c>
      <c r="G197" s="1547">
        <f t="shared" si="4"/>
        <v>243.20316361838854</v>
      </c>
      <c r="I197" s="375"/>
    </row>
    <row r="198" spans="1:9" s="374" customFormat="1">
      <c r="A198" s="1550" t="s">
        <v>2144</v>
      </c>
      <c r="B198" s="1554">
        <f>SUM(B199:B210)</f>
        <v>7278.68</v>
      </c>
      <c r="C198" s="1554">
        <f>SUM(C199:C210)</f>
        <v>2698.35</v>
      </c>
      <c r="D198" s="1553">
        <f t="shared" si="3"/>
        <v>370.71969093297133</v>
      </c>
      <c r="E198" s="1554">
        <f>SUM(E199:E210)</f>
        <v>4755.3300000000008</v>
      </c>
      <c r="F198" s="1554">
        <f>SUM(F199:F210)</f>
        <v>1327.39</v>
      </c>
      <c r="G198" s="1553">
        <f t="shared" si="4"/>
        <v>279.13730487684342</v>
      </c>
      <c r="I198" s="375"/>
    </row>
    <row r="199" spans="1:9" s="374" customFormat="1">
      <c r="A199" s="1556" t="s">
        <v>18</v>
      </c>
      <c r="B199" s="1547">
        <v>545.72</v>
      </c>
      <c r="C199" s="1547">
        <v>202.41</v>
      </c>
      <c r="D199" s="1547">
        <f t="shared" si="3"/>
        <v>370.90449314666864</v>
      </c>
      <c r="E199" s="1547">
        <v>355.07</v>
      </c>
      <c r="F199" s="1547">
        <v>100.33</v>
      </c>
      <c r="G199" s="1547">
        <f t="shared" si="4"/>
        <v>282.56400146449994</v>
      </c>
      <c r="I199" s="375"/>
    </row>
    <row r="200" spans="1:9" s="374" customFormat="1">
      <c r="A200" s="1556" t="s">
        <v>19</v>
      </c>
      <c r="B200" s="1547">
        <v>539.85</v>
      </c>
      <c r="C200" s="1547">
        <v>185.26</v>
      </c>
      <c r="D200" s="1547">
        <f t="shared" si="3"/>
        <v>343.16939890710381</v>
      </c>
      <c r="E200" s="1547">
        <v>369.42</v>
      </c>
      <c r="F200" s="1547">
        <v>94.83</v>
      </c>
      <c r="G200" s="1547">
        <f t="shared" si="4"/>
        <v>256.69969140815329</v>
      </c>
      <c r="I200" s="375"/>
    </row>
    <row r="201" spans="1:9" s="374" customFormat="1">
      <c r="A201" s="1556" t="s">
        <v>20</v>
      </c>
      <c r="B201" s="1547">
        <v>566.27</v>
      </c>
      <c r="C201" s="1547">
        <v>189.53</v>
      </c>
      <c r="D201" s="1547">
        <f t="shared" si="3"/>
        <v>334.69899517897824</v>
      </c>
      <c r="E201" s="1547">
        <v>362.29</v>
      </c>
      <c r="F201" s="1547">
        <v>92.07</v>
      </c>
      <c r="G201" s="1547">
        <f t="shared" si="4"/>
        <v>254.13342902095005</v>
      </c>
      <c r="I201" s="375"/>
    </row>
    <row r="202" spans="1:9" s="374" customFormat="1">
      <c r="A202" s="1556" t="s">
        <v>21</v>
      </c>
      <c r="B202" s="1547">
        <v>598.04</v>
      </c>
      <c r="C202" s="1547">
        <v>212.71</v>
      </c>
      <c r="D202" s="1547">
        <f t="shared" si="3"/>
        <v>355.67854992977061</v>
      </c>
      <c r="E202" s="1547">
        <v>377.23</v>
      </c>
      <c r="F202" s="1547">
        <v>103.24</v>
      </c>
      <c r="G202" s="1547">
        <f t="shared" si="4"/>
        <v>273.67918776343339</v>
      </c>
      <c r="I202" s="375"/>
    </row>
    <row r="203" spans="1:9" s="374" customFormat="1">
      <c r="A203" s="1556" t="s">
        <v>22</v>
      </c>
      <c r="B203" s="1547">
        <v>735.77</v>
      </c>
      <c r="C203" s="1547">
        <v>246.8</v>
      </c>
      <c r="D203" s="1547">
        <f t="shared" si="3"/>
        <v>335.43090911562041</v>
      </c>
      <c r="E203" s="1547">
        <v>537.28</v>
      </c>
      <c r="F203" s="1547">
        <v>124.43</v>
      </c>
      <c r="G203" s="1547">
        <f t="shared" si="4"/>
        <v>231.59246575342468</v>
      </c>
      <c r="I203" s="375"/>
    </row>
    <row r="204" spans="1:9" s="374" customFormat="1">
      <c r="A204" s="1556" t="s">
        <v>23</v>
      </c>
      <c r="B204" s="1547">
        <v>613.37</v>
      </c>
      <c r="C204" s="1547">
        <v>220.76</v>
      </c>
      <c r="D204" s="1547">
        <f t="shared" ref="D204:D235" si="5">+C204/B204*1000</f>
        <v>359.91326605474671</v>
      </c>
      <c r="E204" s="1547">
        <v>394.96</v>
      </c>
      <c r="F204" s="1547">
        <v>95.11</v>
      </c>
      <c r="G204" s="1547">
        <f t="shared" ref="G204:G235" si="6">+F204/E204*1000</f>
        <v>240.80919586793601</v>
      </c>
      <c r="I204" s="375"/>
    </row>
    <row r="205" spans="1:9" s="374" customFormat="1">
      <c r="A205" s="1556" t="s">
        <v>24</v>
      </c>
      <c r="B205" s="1547">
        <v>682.6</v>
      </c>
      <c r="C205" s="1547">
        <v>257.11</v>
      </c>
      <c r="D205" s="1547">
        <f t="shared" si="5"/>
        <v>376.66276003515969</v>
      </c>
      <c r="E205" s="1547">
        <v>449.52</v>
      </c>
      <c r="F205" s="1547">
        <v>118.71</v>
      </c>
      <c r="G205" s="1547">
        <f t="shared" si="6"/>
        <v>264.08168713294179</v>
      </c>
      <c r="I205" s="375"/>
    </row>
    <row r="206" spans="1:9">
      <c r="A206" s="1550" t="s">
        <v>25</v>
      </c>
      <c r="B206" s="1548">
        <v>606.6</v>
      </c>
      <c r="C206" s="1640">
        <v>237.66</v>
      </c>
      <c r="D206" s="1547">
        <f t="shared" si="5"/>
        <v>391.79030662710187</v>
      </c>
      <c r="E206" s="1548">
        <v>354.15</v>
      </c>
      <c r="F206" s="1640">
        <v>111.67</v>
      </c>
      <c r="G206" s="1547">
        <f t="shared" si="6"/>
        <v>315.31836792319638</v>
      </c>
      <c r="H206" s="374"/>
    </row>
    <row r="207" spans="1:9">
      <c r="A207" s="1550" t="s">
        <v>26</v>
      </c>
      <c r="B207" s="1548">
        <v>603.34</v>
      </c>
      <c r="C207" s="1640">
        <v>237.01</v>
      </c>
      <c r="D207" s="1547">
        <f t="shared" si="5"/>
        <v>392.82991348161892</v>
      </c>
      <c r="E207" s="1548">
        <v>383.09</v>
      </c>
      <c r="F207" s="1640">
        <v>119.84</v>
      </c>
      <c r="G207" s="1547">
        <f t="shared" si="6"/>
        <v>312.82466261191888</v>
      </c>
      <c r="H207" s="374"/>
    </row>
    <row r="208" spans="1:9">
      <c r="A208" s="1550" t="s">
        <v>27</v>
      </c>
      <c r="B208" s="1548">
        <v>607.58000000000004</v>
      </c>
      <c r="C208" s="1640">
        <v>244.54</v>
      </c>
      <c r="D208" s="1547">
        <f t="shared" si="5"/>
        <v>402.48197768195132</v>
      </c>
      <c r="E208" s="1548">
        <v>393.15</v>
      </c>
      <c r="F208" s="1640">
        <v>125.12</v>
      </c>
      <c r="G208" s="1547">
        <f t="shared" si="6"/>
        <v>318.25003179448055</v>
      </c>
      <c r="H208" s="374"/>
    </row>
    <row r="209" spans="1:8">
      <c r="A209" s="1550" t="s">
        <v>28</v>
      </c>
      <c r="B209" s="1548">
        <v>559.20000000000005</v>
      </c>
      <c r="C209" s="1640">
        <v>220.2</v>
      </c>
      <c r="D209" s="1547">
        <f t="shared" si="5"/>
        <v>393.77682403433471</v>
      </c>
      <c r="E209" s="1548">
        <v>364.04</v>
      </c>
      <c r="F209" s="1640">
        <v>114.94</v>
      </c>
      <c r="G209" s="1547">
        <f t="shared" si="6"/>
        <v>315.73453466652012</v>
      </c>
      <c r="H209" s="374"/>
    </row>
    <row r="210" spans="1:8">
      <c r="A210" s="1550" t="s">
        <v>29</v>
      </c>
      <c r="B210" s="1548">
        <v>620.34</v>
      </c>
      <c r="C210" s="1640">
        <v>244.36</v>
      </c>
      <c r="D210" s="1547">
        <f t="shared" si="5"/>
        <v>393.9130154431441</v>
      </c>
      <c r="E210" s="1548">
        <v>415.13</v>
      </c>
      <c r="F210" s="1640">
        <v>127.1</v>
      </c>
      <c r="G210" s="1547">
        <f t="shared" si="6"/>
        <v>306.16915183195624</v>
      </c>
      <c r="H210" s="374"/>
    </row>
    <row r="211" spans="1:8">
      <c r="A211" s="1550" t="s">
        <v>2375</v>
      </c>
      <c r="B211" s="1554">
        <f>SUM(B212:B223)</f>
        <v>6564.4700000000012</v>
      </c>
      <c r="C211" s="1554">
        <f>SUM(C212:C223)</f>
        <v>2446.4199999999996</v>
      </c>
      <c r="D211" s="1553">
        <f t="shared" si="5"/>
        <v>372.67593575718973</v>
      </c>
      <c r="E211" s="1554">
        <f>SUM(E212:E223)</f>
        <v>4566.619999999999</v>
      </c>
      <c r="F211" s="1554">
        <f>SUM(F212:F223)</f>
        <v>1396.98</v>
      </c>
      <c r="G211" s="1554">
        <f t="shared" si="6"/>
        <v>305.91115529647755</v>
      </c>
      <c r="H211" s="374"/>
    </row>
    <row r="212" spans="1:8">
      <c r="A212" s="1550" t="s">
        <v>18</v>
      </c>
      <c r="B212" s="1548">
        <v>492.9</v>
      </c>
      <c r="C212" s="1640">
        <v>196.58</v>
      </c>
      <c r="D212" s="1547">
        <f t="shared" si="5"/>
        <v>398.8232907283425</v>
      </c>
      <c r="E212" s="1548">
        <v>343.32</v>
      </c>
      <c r="F212" s="1640">
        <v>99.24</v>
      </c>
      <c r="G212" s="1547">
        <f t="shared" si="6"/>
        <v>289.05976931142959</v>
      </c>
      <c r="H212" s="374"/>
    </row>
    <row r="213" spans="1:8">
      <c r="A213" s="1550" t="s">
        <v>19</v>
      </c>
      <c r="B213" s="1548">
        <v>505.09</v>
      </c>
      <c r="C213" s="1640">
        <v>200.66</v>
      </c>
      <c r="D213" s="1547">
        <f t="shared" si="5"/>
        <v>397.2757330376765</v>
      </c>
      <c r="E213" s="1548">
        <v>352.22</v>
      </c>
      <c r="F213" s="1640">
        <v>119.96</v>
      </c>
      <c r="G213" s="1547">
        <f t="shared" si="6"/>
        <v>340.58259042643795</v>
      </c>
      <c r="H213" s="374"/>
    </row>
    <row r="214" spans="1:8">
      <c r="A214" s="1550" t="s">
        <v>20</v>
      </c>
      <c r="B214" s="1548">
        <v>479.03</v>
      </c>
      <c r="C214" s="1640">
        <v>158.37</v>
      </c>
      <c r="D214" s="1547">
        <f t="shared" si="5"/>
        <v>330.60559881427054</v>
      </c>
      <c r="E214" s="1548">
        <v>332.75</v>
      </c>
      <c r="F214" s="1640">
        <v>102.64</v>
      </c>
      <c r="G214" s="1547">
        <f t="shared" si="6"/>
        <v>308.45980465815177</v>
      </c>
      <c r="H214" s="374"/>
    </row>
    <row r="215" spans="1:8">
      <c r="A215" s="1550" t="s">
        <v>21</v>
      </c>
      <c r="B215" s="1548">
        <v>822.65</v>
      </c>
      <c r="C215" s="1640">
        <v>203.86</v>
      </c>
      <c r="D215" s="1547">
        <f t="shared" si="5"/>
        <v>247.80891022913755</v>
      </c>
      <c r="E215" s="1548">
        <v>769.92</v>
      </c>
      <c r="F215" s="1640">
        <v>173.14</v>
      </c>
      <c r="G215" s="1547">
        <f t="shared" si="6"/>
        <v>224.88050706566915</v>
      </c>
      <c r="H215" s="374"/>
    </row>
    <row r="216" spans="1:8">
      <c r="A216" s="1550" t="s">
        <v>22</v>
      </c>
      <c r="B216" s="1548">
        <v>598.46</v>
      </c>
      <c r="C216" s="1640">
        <v>186.82</v>
      </c>
      <c r="D216" s="1547">
        <f t="shared" si="5"/>
        <v>312.16789760384984</v>
      </c>
      <c r="E216" s="1548">
        <v>435.24</v>
      </c>
      <c r="F216" s="1640">
        <v>117.33</v>
      </c>
      <c r="G216" s="1547">
        <f t="shared" si="6"/>
        <v>269.5754066721808</v>
      </c>
      <c r="H216" s="374"/>
    </row>
    <row r="217" spans="1:8">
      <c r="A217" s="1550" t="s">
        <v>23</v>
      </c>
      <c r="B217" s="1548">
        <v>534.09</v>
      </c>
      <c r="C217" s="1640">
        <v>230.3</v>
      </c>
      <c r="D217" s="1547">
        <f t="shared" si="5"/>
        <v>431.20073395869605</v>
      </c>
      <c r="E217" s="1548">
        <v>343.75</v>
      </c>
      <c r="F217" s="1640">
        <v>113.45</v>
      </c>
      <c r="G217" s="1547">
        <f t="shared" si="6"/>
        <v>330.0363636363636</v>
      </c>
      <c r="H217" s="374"/>
    </row>
    <row r="218" spans="1:8">
      <c r="A218" s="1550" t="s">
        <v>24</v>
      </c>
      <c r="B218" s="1548">
        <v>558</v>
      </c>
      <c r="C218" s="1640">
        <v>228.61</v>
      </c>
      <c r="D218" s="1547">
        <f t="shared" si="5"/>
        <v>409.69534050179215</v>
      </c>
      <c r="E218" s="1548">
        <v>349.69</v>
      </c>
      <c r="F218" s="1640">
        <v>112.98</v>
      </c>
      <c r="G218" s="1547">
        <f t="shared" si="6"/>
        <v>323.08616202922593</v>
      </c>
      <c r="H218" s="374"/>
    </row>
    <row r="219" spans="1:8">
      <c r="A219" s="1550" t="s">
        <v>25</v>
      </c>
      <c r="B219" s="1548">
        <v>530.91999999999996</v>
      </c>
      <c r="C219" s="1640">
        <v>213.27</v>
      </c>
      <c r="D219" s="1547">
        <f t="shared" si="5"/>
        <v>401.69893769306117</v>
      </c>
      <c r="E219" s="1548">
        <v>329.83</v>
      </c>
      <c r="F219" s="1640">
        <v>115.52</v>
      </c>
      <c r="G219" s="1547">
        <f t="shared" si="6"/>
        <v>350.24103325955798</v>
      </c>
      <c r="H219" s="374"/>
    </row>
    <row r="220" spans="1:8">
      <c r="A220" s="1550" t="s">
        <v>26</v>
      </c>
      <c r="B220" s="1548">
        <v>529.20000000000005</v>
      </c>
      <c r="C220" s="1640">
        <v>215.79</v>
      </c>
      <c r="D220" s="1547">
        <f t="shared" si="5"/>
        <v>407.76643990929699</v>
      </c>
      <c r="E220" s="1548">
        <v>332.85</v>
      </c>
      <c r="F220" s="1640">
        <v>117.9</v>
      </c>
      <c r="G220" s="1547">
        <f t="shared" si="6"/>
        <v>354.21360973411447</v>
      </c>
      <c r="H220" s="374"/>
    </row>
    <row r="221" spans="1:8">
      <c r="A221" s="1550" t="s">
        <v>27</v>
      </c>
      <c r="B221" s="1548">
        <v>501.85</v>
      </c>
      <c r="C221" s="1640">
        <v>197.22</v>
      </c>
      <c r="D221" s="1547">
        <f t="shared" si="5"/>
        <v>392.98595197768253</v>
      </c>
      <c r="E221" s="1548">
        <v>324.27</v>
      </c>
      <c r="F221" s="1640">
        <v>106.31</v>
      </c>
      <c r="G221" s="1547">
        <f t="shared" si="6"/>
        <v>327.84408055015882</v>
      </c>
      <c r="H221" s="374"/>
    </row>
    <row r="222" spans="1:8">
      <c r="A222" s="1550" t="s">
        <v>28</v>
      </c>
      <c r="B222" s="1548">
        <v>478.14</v>
      </c>
      <c r="C222" s="1640">
        <v>197.65</v>
      </c>
      <c r="D222" s="1547">
        <f t="shared" si="5"/>
        <v>413.37265236123318</v>
      </c>
      <c r="E222" s="1548">
        <v>312.20999999999998</v>
      </c>
      <c r="F222" s="1640">
        <v>105.19</v>
      </c>
      <c r="G222" s="1547">
        <f t="shared" si="6"/>
        <v>336.92066237468373</v>
      </c>
      <c r="H222" s="374"/>
    </row>
    <row r="223" spans="1:8">
      <c r="A223" s="1550" t="s">
        <v>29</v>
      </c>
      <c r="B223" s="1548">
        <v>534.14</v>
      </c>
      <c r="C223" s="1640">
        <v>217.29</v>
      </c>
      <c r="D223" s="1547">
        <f t="shared" si="5"/>
        <v>406.80345976710225</v>
      </c>
      <c r="E223" s="1548">
        <v>340.57</v>
      </c>
      <c r="F223" s="1640">
        <v>113.32</v>
      </c>
      <c r="G223" s="1547">
        <f t="shared" si="6"/>
        <v>332.73629503479458</v>
      </c>
      <c r="H223" s="374"/>
    </row>
    <row r="224" spans="1:8">
      <c r="A224" s="1555">
        <v>2021</v>
      </c>
      <c r="B224" s="1554">
        <f>SUM(B225:B236)</f>
        <v>4813.2079999999996</v>
      </c>
      <c r="C224" s="1554">
        <f>SUM(C225:C236)</f>
        <v>2546.4567491099997</v>
      </c>
      <c r="D224" s="1551">
        <f t="shared" si="5"/>
        <v>529.05603686979669</v>
      </c>
      <c r="E224" s="1554">
        <f>SUM(E225:E236)</f>
        <v>2893.1859999999997</v>
      </c>
      <c r="F224" s="1554">
        <f>SUM(F225:F236)</f>
        <v>1633.50937935</v>
      </c>
      <c r="G224" s="1554">
        <f t="shared" si="6"/>
        <v>564.60572508991822</v>
      </c>
      <c r="H224" s="374"/>
    </row>
    <row r="225" spans="1:8">
      <c r="A225" s="1550" t="s">
        <v>18</v>
      </c>
      <c r="B225" s="1548">
        <v>372.91</v>
      </c>
      <c r="C225" s="1640">
        <v>184.25</v>
      </c>
      <c r="D225" s="1547">
        <f t="shared" si="5"/>
        <v>494.08704513153305</v>
      </c>
      <c r="E225" s="1548">
        <v>235.91</v>
      </c>
      <c r="F225" s="1640">
        <v>115.63</v>
      </c>
      <c r="G225" s="1547">
        <f t="shared" si="6"/>
        <v>490.14454664914587</v>
      </c>
      <c r="H225" s="374"/>
    </row>
    <row r="226" spans="1:8">
      <c r="A226" s="1550" t="s">
        <v>19</v>
      </c>
      <c r="B226" s="1548">
        <v>394.41</v>
      </c>
      <c r="C226" s="1640">
        <v>187.43</v>
      </c>
      <c r="D226" s="1547">
        <f t="shared" si="5"/>
        <v>475.21614563525264</v>
      </c>
      <c r="E226" s="1548">
        <v>252.19</v>
      </c>
      <c r="F226" s="1640">
        <v>120.67</v>
      </c>
      <c r="G226" s="1547">
        <f t="shared" si="6"/>
        <v>478.48844125460965</v>
      </c>
      <c r="H226" s="374"/>
    </row>
    <row r="227" spans="1:8">
      <c r="A227" s="1550" t="s">
        <v>20</v>
      </c>
      <c r="B227" s="1548">
        <v>435.2</v>
      </c>
      <c r="C227" s="1640">
        <v>208.33</v>
      </c>
      <c r="D227" s="1547">
        <f t="shared" si="5"/>
        <v>478.69944852941182</v>
      </c>
      <c r="E227" s="1548">
        <v>264.94</v>
      </c>
      <c r="F227" s="1640">
        <v>140.11000000000001</v>
      </c>
      <c r="G227" s="1547">
        <f t="shared" si="6"/>
        <v>528.83671774741458</v>
      </c>
      <c r="H227" s="374"/>
    </row>
    <row r="228" spans="1:8">
      <c r="A228" s="1550" t="s">
        <v>21</v>
      </c>
      <c r="B228" s="1548">
        <v>429.77</v>
      </c>
      <c r="C228" s="1640">
        <v>210.4</v>
      </c>
      <c r="D228" s="1547">
        <f t="shared" si="5"/>
        <v>489.56418549456686</v>
      </c>
      <c r="E228" s="1548">
        <v>272.64</v>
      </c>
      <c r="F228" s="1640">
        <v>145.91</v>
      </c>
      <c r="G228" s="1547">
        <f t="shared" si="6"/>
        <v>535.17458920187801</v>
      </c>
      <c r="H228" s="374"/>
    </row>
    <row r="229" spans="1:8">
      <c r="A229" s="1550" t="s">
        <v>22</v>
      </c>
      <c r="B229" s="1548">
        <v>386.58</v>
      </c>
      <c r="C229" s="1640">
        <v>198.31</v>
      </c>
      <c r="D229" s="1547">
        <f t="shared" si="5"/>
        <v>512.98566920171766</v>
      </c>
      <c r="E229" s="1548">
        <v>224.42</v>
      </c>
      <c r="F229" s="1640">
        <v>124.48</v>
      </c>
      <c r="G229" s="1547">
        <f t="shared" si="6"/>
        <v>554.67427145530701</v>
      </c>
      <c r="H229" s="374"/>
    </row>
    <row r="230" spans="1:8">
      <c r="A230" s="1550" t="s">
        <v>23</v>
      </c>
      <c r="B230" s="1548">
        <v>413.01</v>
      </c>
      <c r="C230" s="1640">
        <v>231.38</v>
      </c>
      <c r="D230" s="1547">
        <f t="shared" si="5"/>
        <v>560.22856589428829</v>
      </c>
      <c r="E230" s="1548">
        <v>235.11</v>
      </c>
      <c r="F230" s="1640">
        <v>139.58000000000001</v>
      </c>
      <c r="G230" s="1547">
        <f t="shared" si="6"/>
        <v>593.67955425120158</v>
      </c>
      <c r="H230" s="374"/>
    </row>
    <row r="231" spans="1:8">
      <c r="A231" s="1550" t="s">
        <v>24</v>
      </c>
      <c r="B231" s="1548">
        <v>413.1</v>
      </c>
      <c r="C231" s="1640">
        <v>224.57</v>
      </c>
      <c r="D231" s="1547">
        <f t="shared" si="5"/>
        <v>543.6213991769547</v>
      </c>
      <c r="E231" s="1548">
        <v>220.62</v>
      </c>
      <c r="F231" s="1640">
        <v>129.97</v>
      </c>
      <c r="G231" s="1547">
        <f t="shared" si="6"/>
        <v>589.1125011331701</v>
      </c>
      <c r="H231" s="374"/>
    </row>
    <row r="232" spans="1:8">
      <c r="A232" s="1550" t="s">
        <v>25</v>
      </c>
      <c r="B232" s="1548">
        <v>407.14</v>
      </c>
      <c r="C232" s="1640">
        <v>224.23</v>
      </c>
      <c r="D232" s="1547">
        <f t="shared" si="5"/>
        <v>550.74421574888243</v>
      </c>
      <c r="E232" s="1548">
        <v>216.92</v>
      </c>
      <c r="F232" s="1640">
        <v>136.49</v>
      </c>
      <c r="G232" s="1547">
        <f t="shared" si="6"/>
        <v>629.21814493822615</v>
      </c>
      <c r="H232" s="374"/>
    </row>
    <row r="233" spans="1:8">
      <c r="A233" s="1550" t="s">
        <v>26</v>
      </c>
      <c r="B233" s="1548">
        <v>396.89</v>
      </c>
      <c r="C233" s="1640">
        <v>227.57</v>
      </c>
      <c r="D233" s="1547">
        <f t="shared" si="5"/>
        <v>573.38305323893269</v>
      </c>
      <c r="E233" s="1548">
        <v>229.12</v>
      </c>
      <c r="F233" s="1640">
        <v>145.34</v>
      </c>
      <c r="G233" s="1547">
        <f t="shared" si="6"/>
        <v>634.34008379888269</v>
      </c>
      <c r="H233" s="374"/>
    </row>
    <row r="234" spans="1:8">
      <c r="A234" s="1550" t="s">
        <v>27</v>
      </c>
      <c r="B234" s="1548">
        <v>384.79</v>
      </c>
      <c r="C234" s="1640">
        <v>224.1</v>
      </c>
      <c r="D234" s="1547">
        <f t="shared" si="5"/>
        <v>582.39559240104984</v>
      </c>
      <c r="E234" s="1548">
        <v>232.4</v>
      </c>
      <c r="F234" s="1640">
        <v>139.84</v>
      </c>
      <c r="G234" s="1547">
        <f t="shared" si="6"/>
        <v>601.72117039586919</v>
      </c>
      <c r="H234" s="374"/>
    </row>
    <row r="235" spans="1:8">
      <c r="A235" s="1550" t="s">
        <v>28</v>
      </c>
      <c r="B235" s="1548">
        <v>366.42599999999999</v>
      </c>
      <c r="C235" s="1640">
        <v>207.66679133</v>
      </c>
      <c r="D235" s="1547">
        <f t="shared" si="5"/>
        <v>566.73596123091704</v>
      </c>
      <c r="E235" s="1548">
        <v>236.941</v>
      </c>
      <c r="F235" s="1640">
        <v>141.02753023</v>
      </c>
      <c r="G235" s="1547">
        <f t="shared" si="6"/>
        <v>595.20104258022036</v>
      </c>
      <c r="H235" s="1333"/>
    </row>
    <row r="236" spans="1:8">
      <c r="A236" s="1550" t="s">
        <v>29</v>
      </c>
      <c r="B236" s="1548">
        <v>412.98200000000003</v>
      </c>
      <c r="C236" s="1640">
        <v>218.21995777999999</v>
      </c>
      <c r="D236" s="1547">
        <f t="shared" ref="D236:D249" si="7">+C236/B236*1000</f>
        <v>528.40065131167933</v>
      </c>
      <c r="E236" s="1548">
        <v>271.97500000000002</v>
      </c>
      <c r="F236" s="1640">
        <v>154.46184912000001</v>
      </c>
      <c r="G236" s="1547">
        <f t="shared" ref="G236:G249" si="8">+F236/E236*1000</f>
        <v>567.92664443423109</v>
      </c>
      <c r="H236" s="374"/>
    </row>
    <row r="237" spans="1:8">
      <c r="A237" s="1550" t="s">
        <v>2827</v>
      </c>
      <c r="B237" s="1551">
        <f>SUM(B238:B249)</f>
        <v>6331.2919999999995</v>
      </c>
      <c r="C237" s="1551">
        <f>SUM(C238:C249)</f>
        <v>5798.6409711300003</v>
      </c>
      <c r="D237" s="1551">
        <f t="shared" si="7"/>
        <v>915.8700895693961</v>
      </c>
      <c r="E237" s="1551">
        <f>SUM(E238:E249)</f>
        <v>2179.0069999999996</v>
      </c>
      <c r="F237" s="1551">
        <f>SUM(F238:F249)</f>
        <v>1004.3912651399999</v>
      </c>
      <c r="G237" s="1551">
        <f t="shared" si="8"/>
        <v>460.93989837572803</v>
      </c>
      <c r="H237" s="374"/>
    </row>
    <row r="238" spans="1:8">
      <c r="A238" s="1550" t="s">
        <v>18</v>
      </c>
      <c r="B238" s="1548">
        <v>303.33300000000003</v>
      </c>
      <c r="C238" s="1640">
        <v>152.37088474999999</v>
      </c>
      <c r="D238" s="1547">
        <f t="shared" si="7"/>
        <v>502.32215007928573</v>
      </c>
      <c r="E238" s="1548">
        <v>197.20099999999999</v>
      </c>
      <c r="F238" s="1640">
        <v>106.54380983999999</v>
      </c>
      <c r="G238" s="1547">
        <f t="shared" si="8"/>
        <v>540.28027160105671</v>
      </c>
      <c r="H238" s="374"/>
    </row>
    <row r="239" spans="1:8">
      <c r="A239" s="1550" t="s">
        <v>19</v>
      </c>
      <c r="B239" s="1548">
        <v>294.709</v>
      </c>
      <c r="C239" s="1640">
        <v>141.55654557</v>
      </c>
      <c r="D239" s="1547">
        <f t="shared" si="7"/>
        <v>480.32651045607702</v>
      </c>
      <c r="E239" s="1548">
        <v>199.304</v>
      </c>
      <c r="F239" s="1640">
        <v>92.19608848</v>
      </c>
      <c r="G239" s="1547">
        <f t="shared" si="8"/>
        <v>462.59025649259422</v>
      </c>
      <c r="H239" s="374"/>
    </row>
    <row r="240" spans="1:8">
      <c r="A240" s="1550" t="s">
        <v>20</v>
      </c>
      <c r="B240" s="1548">
        <v>269.529</v>
      </c>
      <c r="C240" s="1640">
        <v>112.2229392</v>
      </c>
      <c r="D240" s="1547">
        <f t="shared" si="7"/>
        <v>416.36684438409225</v>
      </c>
      <c r="E240" s="1548">
        <v>186.846</v>
      </c>
      <c r="F240" s="1640">
        <v>84.521736809999993</v>
      </c>
      <c r="G240" s="1547">
        <f t="shared" si="8"/>
        <v>452.36042949808927</v>
      </c>
      <c r="H240" s="374"/>
    </row>
    <row r="241" spans="1:8">
      <c r="A241" s="1550" t="s">
        <v>21</v>
      </c>
      <c r="B241" s="1548">
        <v>559.97299999999996</v>
      </c>
      <c r="C241" s="1640">
        <v>646.4460752</v>
      </c>
      <c r="D241" s="1547">
        <f t="shared" si="7"/>
        <v>1154.423651140323</v>
      </c>
      <c r="E241" s="1548">
        <v>207.535</v>
      </c>
      <c r="F241" s="1640">
        <v>90.209881050000007</v>
      </c>
      <c r="G241" s="1547">
        <f t="shared" si="8"/>
        <v>434.67309634519484</v>
      </c>
      <c r="H241" s="374"/>
    </row>
    <row r="242" spans="1:8">
      <c r="A242" s="1550" t="s">
        <v>22</v>
      </c>
      <c r="B242" s="1548">
        <v>615.47</v>
      </c>
      <c r="C242" s="1640">
        <v>744.53237643</v>
      </c>
      <c r="D242" s="1547">
        <f t="shared" si="7"/>
        <v>1209.6972662030644</v>
      </c>
      <c r="E242" s="1548">
        <v>186.26499999999999</v>
      </c>
      <c r="F242" s="1640">
        <v>80.02442112</v>
      </c>
      <c r="G242" s="1547">
        <f t="shared" si="8"/>
        <v>429.62672063994847</v>
      </c>
      <c r="H242" s="374"/>
    </row>
    <row r="243" spans="1:8">
      <c r="A243" s="1550" t="s">
        <v>23</v>
      </c>
      <c r="B243" s="1548">
        <v>722.01700000000005</v>
      </c>
      <c r="C243" s="1640">
        <v>829.83250585999997</v>
      </c>
      <c r="D243" s="1547">
        <f t="shared" si="7"/>
        <v>1149.325439511812</v>
      </c>
      <c r="E243" s="1548">
        <v>184.346</v>
      </c>
      <c r="F243" s="1640">
        <v>82.359443659999997</v>
      </c>
      <c r="G243" s="1547">
        <f t="shared" si="8"/>
        <v>446.76555856921226</v>
      </c>
      <c r="H243" s="374"/>
    </row>
    <row r="244" spans="1:8">
      <c r="A244" s="1550" t="s">
        <v>24</v>
      </c>
      <c r="B244" s="1548">
        <v>649.16099999999994</v>
      </c>
      <c r="C244" s="1640">
        <v>588.11941747000003</v>
      </c>
      <c r="D244" s="1547">
        <f t="shared" si="7"/>
        <v>905.96850006392879</v>
      </c>
      <c r="E244" s="1548">
        <v>163.708</v>
      </c>
      <c r="F244" s="1640">
        <v>67.36881846</v>
      </c>
      <c r="G244" s="1547">
        <f t="shared" si="8"/>
        <v>411.5181815183131</v>
      </c>
      <c r="H244" s="374"/>
    </row>
    <row r="245" spans="1:8">
      <c r="A245" s="1550" t="s">
        <v>25</v>
      </c>
      <c r="B245" s="1548">
        <v>674.63099999999997</v>
      </c>
      <c r="C245" s="1640">
        <v>545.95442357000002</v>
      </c>
      <c r="D245" s="1547">
        <f t="shared" si="7"/>
        <v>809.26376577714348</v>
      </c>
      <c r="E245" s="1548">
        <v>174.93299999999999</v>
      </c>
      <c r="F245" s="1640">
        <v>79.7483766</v>
      </c>
      <c r="G245" s="1547">
        <f t="shared" si="8"/>
        <v>455.87954588328108</v>
      </c>
      <c r="H245" s="374"/>
    </row>
    <row r="246" spans="1:8">
      <c r="A246" s="1550" t="s">
        <v>26</v>
      </c>
      <c r="B246" s="1548">
        <v>646.678</v>
      </c>
      <c r="C246" s="1640">
        <v>658.87638109</v>
      </c>
      <c r="D246" s="1547">
        <f t="shared" si="7"/>
        <v>1018.8631453211646</v>
      </c>
      <c r="E246" s="1548">
        <v>182.74299999999999</v>
      </c>
      <c r="F246" s="1640">
        <v>84.375534549999998</v>
      </c>
      <c r="G246" s="1547">
        <f t="shared" si="8"/>
        <v>461.71691692705059</v>
      </c>
      <c r="H246" s="374"/>
    </row>
    <row r="247" spans="1:8">
      <c r="A247" s="1550" t="s">
        <v>27</v>
      </c>
      <c r="B247" s="1548">
        <v>593.06600000000003</v>
      </c>
      <c r="C247" s="1640">
        <v>504.36361791000002</v>
      </c>
      <c r="D247" s="1547">
        <f t="shared" si="7"/>
        <v>850.43421458994442</v>
      </c>
      <c r="E247" s="1548">
        <v>165.745</v>
      </c>
      <c r="F247" s="1640">
        <v>73.313266970000001</v>
      </c>
      <c r="G247" s="1547">
        <f t="shared" si="8"/>
        <v>442.32566273492415</v>
      </c>
      <c r="H247" s="374"/>
    </row>
    <row r="248" spans="1:8">
      <c r="A248" s="1550" t="s">
        <v>28</v>
      </c>
      <c r="B248" s="1548">
        <v>494.35199999999998</v>
      </c>
      <c r="C248" s="1640">
        <v>474.49482920999998</v>
      </c>
      <c r="D248" s="1547">
        <f t="shared" si="7"/>
        <v>959.8319197859015</v>
      </c>
      <c r="E248" s="1548">
        <v>154.41399999999999</v>
      </c>
      <c r="F248" s="1640">
        <v>73.858214610000005</v>
      </c>
      <c r="G248" s="1547">
        <f t="shared" si="8"/>
        <v>478.31294189646025</v>
      </c>
      <c r="H248" s="374"/>
    </row>
    <row r="249" spans="1:8">
      <c r="A249" s="1550" t="s">
        <v>29</v>
      </c>
      <c r="B249" s="1548">
        <v>508.37299999999999</v>
      </c>
      <c r="C249" s="1640">
        <v>399.87097487</v>
      </c>
      <c r="D249" s="1547">
        <f t="shared" si="7"/>
        <v>786.57004772086634</v>
      </c>
      <c r="E249" s="1548">
        <v>175.96700000000001</v>
      </c>
      <c r="F249" s="1640">
        <v>89.871672989999993</v>
      </c>
      <c r="G249" s="1547">
        <f t="shared" si="8"/>
        <v>510.73026755016559</v>
      </c>
      <c r="H249" s="374"/>
    </row>
    <row r="250" spans="1:8">
      <c r="A250" s="1550" t="s">
        <v>3518</v>
      </c>
      <c r="B250" s="1551">
        <f>SUM(B251:B262)</f>
        <v>4686.4080000000004</v>
      </c>
      <c r="C250" s="1700">
        <f>SUM(C251:C262)</f>
        <v>2468.00024046</v>
      </c>
      <c r="D250" s="1551">
        <f t="shared" ref="D250" si="9">+C250/B250*1000</f>
        <v>526.62940155018509</v>
      </c>
      <c r="E250" s="1551">
        <f>SUM(E251:E262)</f>
        <v>1400.829</v>
      </c>
      <c r="F250" s="1700">
        <f>SUM(F251:F262)</f>
        <v>616.44565897000007</v>
      </c>
      <c r="G250" s="1551">
        <f t="shared" ref="G250" si="10">+F250/E250*1000</f>
        <v>440.05775078185854</v>
      </c>
      <c r="H250" s="374"/>
    </row>
    <row r="251" spans="1:8">
      <c r="A251" s="1550" t="s">
        <v>18</v>
      </c>
      <c r="B251" s="1548">
        <v>415.26</v>
      </c>
      <c r="C251" s="1640">
        <v>249.83574229000001</v>
      </c>
      <c r="D251" s="1547">
        <f t="shared" ref="D251:D281" si="11">+C251/B251*1000</f>
        <v>601.63690769638299</v>
      </c>
      <c r="E251" s="1548">
        <v>119.70699999999999</v>
      </c>
      <c r="F251" s="1640">
        <v>62.400749519999998</v>
      </c>
      <c r="G251" s="1547">
        <f t="shared" ref="G251:G281" si="12">+F251/E251*1000</f>
        <v>521.27903564536746</v>
      </c>
      <c r="H251" s="374"/>
    </row>
    <row r="252" spans="1:8">
      <c r="A252" s="1550" t="s">
        <v>19</v>
      </c>
      <c r="B252" s="1548">
        <v>392.39400000000001</v>
      </c>
      <c r="C252" s="1640">
        <v>212.59366778</v>
      </c>
      <c r="D252" s="1547">
        <f t="shared" si="11"/>
        <v>541.78623470287516</v>
      </c>
      <c r="E252" s="1548">
        <v>133.548</v>
      </c>
      <c r="F252" s="1640">
        <v>61.735612639999999</v>
      </c>
      <c r="G252" s="1547">
        <f t="shared" si="12"/>
        <v>462.27283553478901</v>
      </c>
      <c r="H252" s="374"/>
    </row>
    <row r="253" spans="1:8">
      <c r="A253" s="1550" t="s">
        <v>20</v>
      </c>
      <c r="B253" s="1548">
        <v>399.89600000000002</v>
      </c>
      <c r="C253" s="1640">
        <v>210.3562125</v>
      </c>
      <c r="D253" s="1547">
        <f t="shared" si="11"/>
        <v>526.02729834757031</v>
      </c>
      <c r="E253" s="1548">
        <v>125.99</v>
      </c>
      <c r="F253" s="1640">
        <v>50.700010370000001</v>
      </c>
      <c r="G253" s="1547">
        <f t="shared" si="12"/>
        <v>402.41297222001748</v>
      </c>
      <c r="H253" s="374"/>
    </row>
    <row r="254" spans="1:8">
      <c r="A254" s="1550" t="s">
        <v>21</v>
      </c>
      <c r="B254" s="1548">
        <v>373.75400000000002</v>
      </c>
      <c r="C254" s="1640">
        <v>180.35123949999999</v>
      </c>
      <c r="D254" s="1547">
        <f t="shared" si="11"/>
        <v>482.53995810078283</v>
      </c>
      <c r="E254" s="1548">
        <v>122.78100000000001</v>
      </c>
      <c r="F254" s="1640">
        <v>50.281178599999997</v>
      </c>
      <c r="G254" s="1547">
        <f t="shared" si="12"/>
        <v>409.51921388488444</v>
      </c>
      <c r="H254" s="374"/>
    </row>
    <row r="255" spans="1:8">
      <c r="A255" s="1550" t="s">
        <v>22</v>
      </c>
      <c r="B255" s="1548">
        <v>418.06</v>
      </c>
      <c r="C255" s="1640">
        <v>229.08531984000001</v>
      </c>
      <c r="D255" s="1547">
        <f t="shared" si="11"/>
        <v>547.97234808400708</v>
      </c>
      <c r="E255" s="1548">
        <v>120.601</v>
      </c>
      <c r="F255" s="1640">
        <v>50.590260970000003</v>
      </c>
      <c r="G255" s="1547">
        <f t="shared" si="12"/>
        <v>419.48458943126508</v>
      </c>
      <c r="H255" s="374"/>
    </row>
    <row r="256" spans="1:8">
      <c r="A256" s="1550" t="s">
        <v>23</v>
      </c>
      <c r="B256" s="1548">
        <v>375.71499999999997</v>
      </c>
      <c r="C256" s="1640">
        <v>217.55322293</v>
      </c>
      <c r="D256" s="1547">
        <f t="shared" si="11"/>
        <v>579.03789555913397</v>
      </c>
      <c r="E256" s="1548">
        <v>102.861</v>
      </c>
      <c r="F256" s="1640">
        <v>44.577700720000003</v>
      </c>
      <c r="G256" s="1547">
        <f t="shared" si="12"/>
        <v>433.37806087827261</v>
      </c>
      <c r="H256" s="374"/>
    </row>
    <row r="257" spans="1:8">
      <c r="A257" s="1550" t="s">
        <v>24</v>
      </c>
      <c r="B257" s="1548">
        <v>412.56099999999998</v>
      </c>
      <c r="C257" s="1640">
        <v>209.15187133000001</v>
      </c>
      <c r="D257" s="1547">
        <f t="shared" si="11"/>
        <v>506.95987097665562</v>
      </c>
      <c r="E257" s="1548">
        <v>109.43600000000001</v>
      </c>
      <c r="F257" s="1640">
        <v>47.313207759999997</v>
      </c>
      <c r="G257" s="1547">
        <f t="shared" si="12"/>
        <v>432.33677912204388</v>
      </c>
      <c r="H257" s="374"/>
    </row>
    <row r="258" spans="1:8">
      <c r="A258" s="1550" t="s">
        <v>25</v>
      </c>
      <c r="B258" s="1548">
        <v>383.67099999999999</v>
      </c>
      <c r="C258" s="1640">
        <v>185.69631903999999</v>
      </c>
      <c r="D258" s="1547">
        <f t="shared" si="11"/>
        <v>483.9988402563655</v>
      </c>
      <c r="E258" s="1548">
        <v>104.146</v>
      </c>
      <c r="F258" s="1640">
        <v>48.244791480000004</v>
      </c>
      <c r="G258" s="1547">
        <f t="shared" si="12"/>
        <v>463.24190540203182</v>
      </c>
      <c r="H258" s="374"/>
    </row>
    <row r="259" spans="1:8">
      <c r="A259" s="1550" t="s">
        <v>26</v>
      </c>
      <c r="B259" s="1548">
        <v>387.21199999999999</v>
      </c>
      <c r="C259" s="1640">
        <v>189.42261429999999</v>
      </c>
      <c r="D259" s="1547">
        <f t="shared" si="11"/>
        <v>489.19613622511696</v>
      </c>
      <c r="E259" s="1548">
        <v>105.923</v>
      </c>
      <c r="F259" s="1640">
        <v>49.061813780000001</v>
      </c>
      <c r="G259" s="1547">
        <f t="shared" si="12"/>
        <v>463.18376348857186</v>
      </c>
      <c r="H259" s="374"/>
    </row>
    <row r="260" spans="1:8">
      <c r="A260" s="1550" t="s">
        <v>27</v>
      </c>
      <c r="B260" s="1548">
        <v>382.46699999999998</v>
      </c>
      <c r="C260" s="1640">
        <v>192.15268778000001</v>
      </c>
      <c r="D260" s="1547">
        <f t="shared" si="11"/>
        <v>502.4033126518105</v>
      </c>
      <c r="E260" s="1548">
        <v>110.934</v>
      </c>
      <c r="F260" s="1640">
        <v>52.022195889999999</v>
      </c>
      <c r="G260" s="1547">
        <f t="shared" si="12"/>
        <v>468.94726495033086</v>
      </c>
      <c r="H260" s="374"/>
    </row>
    <row r="261" spans="1:8">
      <c r="A261" s="1550" t="s">
        <v>28</v>
      </c>
      <c r="B261" s="1548">
        <v>353.798</v>
      </c>
      <c r="C261" s="1640">
        <v>191.02361851000001</v>
      </c>
      <c r="D261" s="1547">
        <f t="shared" si="11"/>
        <v>539.92283311381073</v>
      </c>
      <c r="E261" s="1548">
        <v>113.093</v>
      </c>
      <c r="F261" s="1640">
        <v>47.87313803</v>
      </c>
      <c r="G261" s="1547">
        <f t="shared" si="12"/>
        <v>423.30770277559179</v>
      </c>
      <c r="H261" s="374"/>
    </row>
    <row r="262" spans="1:8">
      <c r="A262" s="1550" t="s">
        <v>29</v>
      </c>
      <c r="B262" s="1548">
        <v>391.62</v>
      </c>
      <c r="C262" s="1640">
        <v>200.77772465999999</v>
      </c>
      <c r="D262" s="1547">
        <f t="shared" si="11"/>
        <v>512.68506373525361</v>
      </c>
      <c r="E262" s="1548">
        <v>131.809</v>
      </c>
      <c r="F262" s="1640">
        <v>51.644999210000002</v>
      </c>
      <c r="G262" s="1547">
        <f t="shared" si="12"/>
        <v>391.8169412559082</v>
      </c>
      <c r="H262" s="374"/>
    </row>
    <row r="263" spans="1:8">
      <c r="A263" s="1550" t="s">
        <v>3989</v>
      </c>
      <c r="B263" s="1551">
        <f>SUM(B264:B275)</f>
        <v>3368.3410000000003</v>
      </c>
      <c r="C263" s="1700">
        <f>SUM(C264:C275)</f>
        <v>1674.3405065800002</v>
      </c>
      <c r="D263" s="1551">
        <f t="shared" si="11"/>
        <v>497.08165134705786</v>
      </c>
      <c r="E263" s="1700">
        <f>SUM(E264:E275)</f>
        <v>1195.2909999999999</v>
      </c>
      <c r="F263" s="1700">
        <f>SUM(F264:F275)</f>
        <v>527.86242253</v>
      </c>
      <c r="G263" s="1551">
        <f t="shared" si="12"/>
        <v>441.61833606209706</v>
      </c>
      <c r="H263" s="374"/>
    </row>
    <row r="264" spans="1:8">
      <c r="A264" s="1550" t="s">
        <v>18</v>
      </c>
      <c r="B264" s="1548">
        <v>305.99900000000002</v>
      </c>
      <c r="C264" s="1640">
        <v>166.51175799000001</v>
      </c>
      <c r="D264" s="1547">
        <f t="shared" si="11"/>
        <v>544.15785015637312</v>
      </c>
      <c r="E264" s="1548">
        <v>94.406999999999996</v>
      </c>
      <c r="F264" s="1640">
        <v>41.366510009999999</v>
      </c>
      <c r="G264" s="1547">
        <f t="shared" si="12"/>
        <v>438.17206361816392</v>
      </c>
      <c r="H264" s="374"/>
    </row>
    <row r="265" spans="1:8">
      <c r="A265" s="1550" t="s">
        <v>19</v>
      </c>
      <c r="B265" s="1548">
        <v>299.14400000000001</v>
      </c>
      <c r="C265" s="1640">
        <v>151.43853899000001</v>
      </c>
      <c r="D265" s="1547">
        <f t="shared" si="11"/>
        <v>506.23960029283552</v>
      </c>
      <c r="E265" s="1548">
        <v>103.57</v>
      </c>
      <c r="F265" s="1640">
        <v>45.991003550000002</v>
      </c>
      <c r="G265" s="1547">
        <f t="shared" si="12"/>
        <v>444.05719368543015</v>
      </c>
      <c r="H265" s="374"/>
    </row>
    <row r="266" spans="1:8">
      <c r="A266" s="1550" t="s">
        <v>20</v>
      </c>
      <c r="B266" s="1548">
        <v>292.435</v>
      </c>
      <c r="C266" s="1640">
        <v>147.2847811</v>
      </c>
      <c r="D266" s="1547">
        <f t="shared" si="11"/>
        <v>503.64963530357176</v>
      </c>
      <c r="E266" s="1548">
        <v>98.117000000000004</v>
      </c>
      <c r="F266" s="1640">
        <v>41.628518149999998</v>
      </c>
      <c r="G266" s="1547">
        <f t="shared" si="12"/>
        <v>424.27426592741313</v>
      </c>
      <c r="H266" s="374"/>
    </row>
    <row r="267" spans="1:8">
      <c r="A267" s="1550" t="s">
        <v>21</v>
      </c>
      <c r="B267" s="1548">
        <v>301.52300000000002</v>
      </c>
      <c r="C267" s="1640">
        <v>142.26402234</v>
      </c>
      <c r="D267" s="1547">
        <f t="shared" si="11"/>
        <v>471.81814435383035</v>
      </c>
      <c r="E267" s="1548">
        <v>102.79</v>
      </c>
      <c r="F267" s="1640">
        <v>44.060229339999999</v>
      </c>
      <c r="G267" s="1547">
        <f t="shared" si="12"/>
        <v>428.6431495281642</v>
      </c>
      <c r="H267" s="374"/>
    </row>
    <row r="268" spans="1:8">
      <c r="A268" s="1550" t="s">
        <v>22</v>
      </c>
      <c r="B268" s="1548">
        <v>291.00400000000002</v>
      </c>
      <c r="C268" s="1640">
        <v>143.95348996999999</v>
      </c>
      <c r="D268" s="1547">
        <f t="shared" si="11"/>
        <v>494.67873283528741</v>
      </c>
      <c r="E268" s="1548">
        <v>102.371</v>
      </c>
      <c r="F268" s="1640">
        <v>47.106674099999999</v>
      </c>
      <c r="G268" s="1547">
        <f t="shared" si="12"/>
        <v>460.15643199734302</v>
      </c>
      <c r="H268" s="374"/>
    </row>
    <row r="269" spans="1:8">
      <c r="A269" s="1550" t="s">
        <v>23</v>
      </c>
      <c r="B269" s="1548">
        <v>274.52100000000002</v>
      </c>
      <c r="C269" s="1640">
        <v>141.64653079999999</v>
      </c>
      <c r="D269" s="1547">
        <f t="shared" si="11"/>
        <v>515.97703199390935</v>
      </c>
      <c r="E269" s="1548">
        <v>88.361999999999995</v>
      </c>
      <c r="F269" s="1640">
        <v>39.134088220000002</v>
      </c>
      <c r="G269" s="1547">
        <f t="shared" si="12"/>
        <v>442.88368552092533</v>
      </c>
      <c r="H269" s="374"/>
    </row>
    <row r="270" spans="1:8">
      <c r="A270" s="1550" t="s">
        <v>24</v>
      </c>
      <c r="B270" s="1548">
        <v>298.03100000000001</v>
      </c>
      <c r="C270" s="1640">
        <v>165.12173564</v>
      </c>
      <c r="D270" s="1547">
        <f t="shared" si="11"/>
        <v>554.04214876975891</v>
      </c>
      <c r="E270" s="1548">
        <v>96.31</v>
      </c>
      <c r="F270" s="1640">
        <v>43.731526940000002</v>
      </c>
      <c r="G270" s="1547">
        <f t="shared" si="12"/>
        <v>454.07046973315335</v>
      </c>
      <c r="H270" s="374"/>
    </row>
    <row r="271" spans="1:8">
      <c r="A271" s="1550" t="s">
        <v>25</v>
      </c>
      <c r="B271" s="1548">
        <v>270.58800000000002</v>
      </c>
      <c r="C271" s="1640">
        <v>143.74786696000001</v>
      </c>
      <c r="D271" s="1547">
        <f t="shared" si="11"/>
        <v>531.24257897615564</v>
      </c>
      <c r="E271" s="1548">
        <v>91.346999999999994</v>
      </c>
      <c r="F271" s="1640">
        <v>43.540949820000002</v>
      </c>
      <c r="G271" s="1547">
        <f t="shared" si="12"/>
        <v>476.6544037571021</v>
      </c>
      <c r="H271" s="374"/>
    </row>
    <row r="272" spans="1:8">
      <c r="A272" s="1550" t="s">
        <v>26</v>
      </c>
      <c r="B272" s="1548">
        <v>260.79000000000002</v>
      </c>
      <c r="C272" s="1640">
        <v>130.35828308000001</v>
      </c>
      <c r="D272" s="1547">
        <f t="shared" si="11"/>
        <v>499.85920886537059</v>
      </c>
      <c r="E272" s="1548">
        <v>90.698999999999998</v>
      </c>
      <c r="F272" s="1640">
        <v>46.949138750000003</v>
      </c>
      <c r="G272" s="1547">
        <f t="shared" si="12"/>
        <v>517.63678485981097</v>
      </c>
      <c r="H272" s="374"/>
    </row>
    <row r="273" spans="1:8">
      <c r="A273" s="1550" t="s">
        <v>27</v>
      </c>
      <c r="B273" s="1548">
        <v>254.72200000000001</v>
      </c>
      <c r="C273" s="1640">
        <v>122.30809094</v>
      </c>
      <c r="D273" s="1547">
        <f t="shared" si="11"/>
        <v>480.1630441814998</v>
      </c>
      <c r="E273" s="1548">
        <v>98.159000000000006</v>
      </c>
      <c r="F273" s="1640">
        <v>47.524231180000001</v>
      </c>
      <c r="G273" s="1547">
        <f t="shared" si="12"/>
        <v>484.15561670351167</v>
      </c>
      <c r="H273" s="374"/>
    </row>
    <row r="274" spans="1:8">
      <c r="A274" s="1550" t="s">
        <v>28</v>
      </c>
      <c r="B274" s="1548">
        <v>235.95699999999999</v>
      </c>
      <c r="C274" s="1640">
        <v>106.39337284</v>
      </c>
      <c r="D274" s="1547">
        <f t="shared" si="11"/>
        <v>450.90153222832976</v>
      </c>
      <c r="E274" s="1548">
        <v>99.863</v>
      </c>
      <c r="F274" s="1640">
        <v>41.267470889999998</v>
      </c>
      <c r="G274" s="1547">
        <f t="shared" si="12"/>
        <v>413.24084886294219</v>
      </c>
      <c r="H274" s="374"/>
    </row>
    <row r="275" spans="1:8">
      <c r="A275" s="1550" t="s">
        <v>29</v>
      </c>
      <c r="B275" s="1548">
        <v>283.62700000000001</v>
      </c>
      <c r="C275" s="1640">
        <v>113.31203592999999</v>
      </c>
      <c r="D275" s="1547">
        <f t="shared" si="11"/>
        <v>399.5107515504518</v>
      </c>
      <c r="E275" s="1548">
        <v>129.29599999999999</v>
      </c>
      <c r="F275" s="1640">
        <v>45.562081579999997</v>
      </c>
      <c r="G275" s="1547">
        <f t="shared" si="12"/>
        <v>352.38585555624303</v>
      </c>
      <c r="H275" s="374"/>
    </row>
    <row r="276" spans="1:8">
      <c r="A276" s="1550" t="s">
        <v>4222</v>
      </c>
      <c r="B276" s="1548"/>
      <c r="C276" s="1640"/>
      <c r="D276" s="1547"/>
      <c r="E276" s="1548"/>
      <c r="F276" s="1640"/>
      <c r="G276" s="1547"/>
      <c r="H276" s="374"/>
    </row>
    <row r="277" spans="1:8">
      <c r="A277" s="1550" t="s">
        <v>18</v>
      </c>
      <c r="B277" s="1548">
        <v>211.91499999999999</v>
      </c>
      <c r="C277" s="1640">
        <v>96.376816289999994</v>
      </c>
      <c r="D277" s="1547">
        <f t="shared" si="11"/>
        <v>454.78996904419222</v>
      </c>
      <c r="E277" s="1548">
        <v>83.206000000000003</v>
      </c>
      <c r="F277" s="1640">
        <v>36.276753839999998</v>
      </c>
      <c r="G277" s="1547">
        <f t="shared" si="12"/>
        <v>435.98723457442969</v>
      </c>
      <c r="H277" s="374"/>
    </row>
    <row r="278" spans="1:8">
      <c r="A278" s="1550" t="s">
        <v>19</v>
      </c>
      <c r="B278" s="1548">
        <v>254.58600000000001</v>
      </c>
      <c r="C278" s="1640">
        <v>111.7894715</v>
      </c>
      <c r="D278" s="1547">
        <f t="shared" si="11"/>
        <v>439.10298091803946</v>
      </c>
      <c r="E278" s="1548">
        <v>86.46</v>
      </c>
      <c r="F278" s="1640">
        <v>37.054554670000002</v>
      </c>
      <c r="G278" s="1547">
        <f t="shared" si="12"/>
        <v>428.5745393245432</v>
      </c>
      <c r="H278" s="374"/>
    </row>
    <row r="279" spans="1:8">
      <c r="A279" s="1550" t="s">
        <v>20</v>
      </c>
      <c r="B279" s="1548">
        <v>271.43099999999998</v>
      </c>
      <c r="C279" s="1640">
        <v>111.53838048</v>
      </c>
      <c r="D279" s="1547">
        <f t="shared" si="11"/>
        <v>410.92719873559031</v>
      </c>
      <c r="E279" s="1548">
        <v>88.629000000000005</v>
      </c>
      <c r="F279" s="1640">
        <v>37.043082460000001</v>
      </c>
      <c r="G279" s="1547">
        <f t="shared" si="12"/>
        <v>417.95667851380477</v>
      </c>
      <c r="H279" s="374"/>
    </row>
    <row r="280" spans="1:8">
      <c r="A280" s="1550" t="s">
        <v>21</v>
      </c>
      <c r="B280" s="1548">
        <v>336.637</v>
      </c>
      <c r="C280" s="1640">
        <v>164.62510692000001</v>
      </c>
      <c r="D280" s="1547">
        <f t="shared" si="11"/>
        <v>489.02855871457984</v>
      </c>
      <c r="E280" s="1548">
        <v>94.653000000000006</v>
      </c>
      <c r="F280" s="1640">
        <v>48.268414270000001</v>
      </c>
      <c r="G280" s="1547">
        <f t="shared" si="12"/>
        <v>509.95123524875061</v>
      </c>
      <c r="H280" s="374"/>
    </row>
    <row r="281" spans="1:8" ht="12" customHeight="1">
      <c r="A281" s="1699" t="s">
        <v>22</v>
      </c>
      <c r="B281" s="1698">
        <v>300.49599999999998</v>
      </c>
      <c r="C281" s="1697">
        <v>157.07192094999999</v>
      </c>
      <c r="D281" s="1696">
        <f t="shared" si="11"/>
        <v>522.70885785501309</v>
      </c>
      <c r="E281" s="1698">
        <v>87.789000000000001</v>
      </c>
      <c r="F281" s="1697">
        <v>43.206012149999999</v>
      </c>
      <c r="G281" s="1696">
        <f t="shared" si="12"/>
        <v>492.15747018419165</v>
      </c>
      <c r="H281" s="374"/>
    </row>
    <row r="282" spans="1:8" ht="13.5">
      <c r="A282" s="2886" t="s">
        <v>4282</v>
      </c>
      <c r="B282" s="2886"/>
      <c r="C282" s="2886"/>
      <c r="D282" s="2886"/>
      <c r="E282" s="2886"/>
      <c r="F282" s="2886"/>
      <c r="G282" s="2886"/>
      <c r="H282" s="1695"/>
    </row>
    <row r="283" spans="1:8" ht="13.5">
      <c r="A283" s="2886" t="s">
        <v>3272</v>
      </c>
      <c r="B283" s="2886"/>
      <c r="C283" s="2886"/>
      <c r="D283" s="2886"/>
      <c r="E283" s="2886"/>
      <c r="F283" s="2886"/>
      <c r="G283" s="2886"/>
    </row>
  </sheetData>
  <mergeCells count="13">
    <mergeCell ref="A282:G282"/>
    <mergeCell ref="A283:G283"/>
    <mergeCell ref="A1:G1"/>
    <mergeCell ref="A2:G2"/>
    <mergeCell ref="A3:G3"/>
    <mergeCell ref="A6:A8"/>
    <mergeCell ref="B6:G6"/>
    <mergeCell ref="B7:D7"/>
    <mergeCell ref="E7:G7"/>
    <mergeCell ref="A9:A11"/>
    <mergeCell ref="B9:G9"/>
    <mergeCell ref="B10:D10"/>
    <mergeCell ref="E10:G10"/>
  </mergeCells>
  <pageMargins left="0.7" right="0.7" top="0.75" bottom="0.75" header="0.3" footer="0.3"/>
  <pageSetup paperSize="9" scale="12"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7BEB6-6B4D-4658-B096-157848EFC34D}">
  <sheetPr codeName="Sheet55">
    <tabColor rgb="FF92D050"/>
  </sheetPr>
  <dimension ref="A1:BX71"/>
  <sheetViews>
    <sheetView showGridLines="0" view="pageBreakPreview" zoomScaleNormal="100" zoomScaleSheetLayoutView="100" workbookViewId="0">
      <pane ySplit="12" topLeftCell="A49" activePane="bottomLeft" state="frozen"/>
      <selection activeCell="B39" sqref="B39"/>
      <selection pane="bottomLeft" activeCell="M73" sqref="M73"/>
    </sheetView>
  </sheetViews>
  <sheetFormatPr defaultColWidth="8.85546875" defaultRowHeight="12.75"/>
  <cols>
    <col min="1" max="1" width="9.140625" style="1542" customWidth="1"/>
    <col min="2" max="7" width="15.7109375" style="1541" customWidth="1"/>
    <col min="8" max="9" width="8.85546875" style="1541"/>
    <col min="10" max="10" width="9.140625" style="1541" bestFit="1" customWidth="1"/>
    <col min="11" max="73" width="8.85546875" style="1541"/>
    <col min="74" max="74" width="0" style="1541" hidden="1" customWidth="1"/>
    <col min="75" max="16384" width="8.85546875" style="1541"/>
  </cols>
  <sheetData>
    <row r="1" spans="1:76" ht="12" customHeight="1">
      <c r="A1" s="2732" t="s">
        <v>3780</v>
      </c>
      <c r="B1" s="2732"/>
      <c r="C1" s="2732"/>
      <c r="D1" s="2732"/>
      <c r="E1" s="2732"/>
      <c r="F1" s="2732"/>
      <c r="G1" s="2732"/>
    </row>
    <row r="2" spans="1:76" s="1573" customFormat="1" ht="15.75" customHeight="1">
      <c r="A2" s="2732"/>
      <c r="B2" s="2732"/>
      <c r="C2" s="2732"/>
      <c r="D2" s="2732"/>
      <c r="E2" s="2732"/>
      <c r="F2" s="2732"/>
      <c r="G2" s="2732"/>
    </row>
    <row r="3" spans="1:76" ht="18.75" customHeight="1">
      <c r="A3" s="2893" t="s">
        <v>3781</v>
      </c>
      <c r="B3" s="2893"/>
      <c r="C3" s="2893"/>
      <c r="D3" s="2893"/>
      <c r="E3" s="2893"/>
      <c r="F3" s="2893"/>
      <c r="G3" s="2893"/>
    </row>
    <row r="4" spans="1:76" ht="9" customHeight="1">
      <c r="A4" s="1711"/>
      <c r="B4" s="1711"/>
      <c r="C4" s="1711"/>
      <c r="D4" s="1711"/>
      <c r="E4" s="1711"/>
      <c r="F4" s="1711"/>
      <c r="G4" s="1711"/>
    </row>
    <row r="5" spans="1:76" ht="10.5" customHeight="1">
      <c r="A5" s="1461"/>
      <c r="B5" s="1461"/>
      <c r="C5" s="1461"/>
      <c r="D5" s="1461"/>
      <c r="E5" s="1461"/>
      <c r="F5" s="1461"/>
      <c r="G5" s="1461"/>
    </row>
    <row r="6" spans="1:76" ht="10.5" customHeight="1">
      <c r="A6" s="1572"/>
      <c r="B6" s="1572"/>
      <c r="C6" s="1572"/>
      <c r="D6" s="1572"/>
      <c r="E6" s="1572"/>
      <c r="F6" s="1572"/>
      <c r="G6" s="1572"/>
    </row>
    <row r="7" spans="1:76" ht="9" customHeight="1">
      <c r="A7" s="2323" t="s">
        <v>182</v>
      </c>
      <c r="B7" s="2323" t="s">
        <v>4218</v>
      </c>
      <c r="C7" s="2323"/>
      <c r="D7" s="2323"/>
      <c r="E7" s="2323" t="s">
        <v>4219</v>
      </c>
      <c r="F7" s="2323"/>
      <c r="G7" s="2323"/>
    </row>
    <row r="8" spans="1:76">
      <c r="A8" s="2323"/>
      <c r="B8" s="2323"/>
      <c r="C8" s="2323"/>
      <c r="D8" s="2323"/>
      <c r="E8" s="2323"/>
      <c r="F8" s="2323"/>
      <c r="G8" s="2323"/>
    </row>
    <row r="9" spans="1:76" ht="23.25" customHeight="1">
      <c r="A9" s="2323"/>
      <c r="B9" s="1530" t="s">
        <v>3782</v>
      </c>
      <c r="C9" s="1530" t="s">
        <v>242</v>
      </c>
      <c r="D9" s="1530" t="s">
        <v>3480</v>
      </c>
      <c r="E9" s="1530" t="s">
        <v>3782</v>
      </c>
      <c r="F9" s="1530" t="s">
        <v>242</v>
      </c>
      <c r="G9" s="1530" t="s">
        <v>3480</v>
      </c>
      <c r="BW9" s="1571" t="s">
        <v>2062</v>
      </c>
      <c r="BX9" s="1570" t="s">
        <v>2063</v>
      </c>
    </row>
    <row r="10" spans="1:76" ht="12.75" customHeight="1">
      <c r="A10" s="2384" t="s">
        <v>289</v>
      </c>
      <c r="B10" s="2384" t="s">
        <v>994</v>
      </c>
      <c r="C10" s="2384"/>
      <c r="D10" s="2384"/>
      <c r="E10" s="2384" t="s">
        <v>3783</v>
      </c>
      <c r="F10" s="2384"/>
      <c r="G10" s="2384"/>
      <c r="BS10" s="1541" t="e">
        <f>BS12+#REF!+#REF!+#REF!</f>
        <v>#REF!</v>
      </c>
      <c r="BW10" s="1541" t="e">
        <f>BW12+#REF!+#REF!+#REF!</f>
        <v>#REF!</v>
      </c>
      <c r="BX10" s="1561" t="e">
        <f>BS10+BT10+BU10+BW10</f>
        <v>#REF!</v>
      </c>
    </row>
    <row r="11" spans="1:76" ht="12" customHeight="1">
      <c r="A11" s="2384"/>
      <c r="B11" s="2384"/>
      <c r="C11" s="2384"/>
      <c r="D11" s="2384"/>
      <c r="E11" s="2384"/>
      <c r="F11" s="2384"/>
      <c r="G11" s="2384"/>
      <c r="BX11" s="1561"/>
    </row>
    <row r="12" spans="1:76" ht="20.25" customHeight="1">
      <c r="A12" s="2384"/>
      <c r="B12" s="1531" t="s">
        <v>3784</v>
      </c>
      <c r="C12" s="1531" t="s">
        <v>3785</v>
      </c>
      <c r="D12" s="1531" t="s">
        <v>3786</v>
      </c>
      <c r="E12" s="1531" t="s">
        <v>3784</v>
      </c>
      <c r="F12" s="1531" t="s">
        <v>3785</v>
      </c>
      <c r="G12" s="1531" t="s">
        <v>3786</v>
      </c>
      <c r="BW12" s="1541" t="e">
        <f>#REF!+#REF!</f>
        <v>#REF!</v>
      </c>
      <c r="BX12" s="1561" t="e">
        <f>BS12+BT12+BU12+BW12</f>
        <v>#REF!</v>
      </c>
    </row>
    <row r="13" spans="1:76">
      <c r="A13" s="1628">
        <v>2021</v>
      </c>
      <c r="B13" s="1628">
        <f t="shared" ref="B13:G13" si="0">SUM(B14:B25)</f>
        <v>91853.839000000007</v>
      </c>
      <c r="C13" s="1552">
        <f t="shared" si="0"/>
        <v>89.864000000000004</v>
      </c>
      <c r="D13" s="1552">
        <f t="shared" si="0"/>
        <v>45.247</v>
      </c>
      <c r="E13" s="1628">
        <f t="shared" si="0"/>
        <v>4705.9855538499996</v>
      </c>
      <c r="F13" s="1552">
        <f t="shared" si="0"/>
        <v>19.104749730000002</v>
      </c>
      <c r="G13" s="1552">
        <f t="shared" si="0"/>
        <v>5.3257566700000005</v>
      </c>
      <c r="BX13" s="1561"/>
    </row>
    <row r="14" spans="1:76">
      <c r="A14" s="1550" t="s">
        <v>18</v>
      </c>
      <c r="B14" s="1622">
        <v>5638.7470000000003</v>
      </c>
      <c r="C14" s="1548">
        <v>5.73</v>
      </c>
      <c r="D14" s="1548">
        <v>1.921</v>
      </c>
      <c r="E14" s="1622">
        <v>290.90560776999996</v>
      </c>
      <c r="F14" s="1548">
        <v>1.1702147700000001</v>
      </c>
      <c r="G14" s="1548">
        <v>0.24410524</v>
      </c>
      <c r="BX14" s="1561"/>
    </row>
    <row r="15" spans="1:76">
      <c r="A15" s="1550" t="s">
        <v>19</v>
      </c>
      <c r="B15" s="1622">
        <v>5573.2020000000002</v>
      </c>
      <c r="C15" s="1548">
        <v>5.5209999999999999</v>
      </c>
      <c r="D15" s="1548">
        <v>1.8720000000000001</v>
      </c>
      <c r="E15" s="1622">
        <v>287.51812044000002</v>
      </c>
      <c r="F15" s="1548">
        <v>1.1242425199999999</v>
      </c>
      <c r="G15" s="1548">
        <v>0.21491028000000001</v>
      </c>
      <c r="BX15" s="1561"/>
    </row>
    <row r="16" spans="1:76">
      <c r="A16" s="1550" t="s">
        <v>20</v>
      </c>
      <c r="B16" s="1622">
        <v>6869.3850000000002</v>
      </c>
      <c r="C16" s="1548">
        <v>6.83</v>
      </c>
      <c r="D16" s="1548">
        <v>3.0169999999999999</v>
      </c>
      <c r="E16" s="1622">
        <v>356.80157874999998</v>
      </c>
      <c r="F16" s="1548">
        <v>1.4227481199999998</v>
      </c>
      <c r="G16" s="1548">
        <v>0.31602637</v>
      </c>
      <c r="BX16" s="1561"/>
    </row>
    <row r="17" spans="1:76">
      <c r="A17" s="1550" t="s">
        <v>21</v>
      </c>
      <c r="B17" s="1622">
        <v>6391.94</v>
      </c>
      <c r="C17" s="1548">
        <v>6.8949999999999996</v>
      </c>
      <c r="D17" s="1548">
        <v>2.4860000000000002</v>
      </c>
      <c r="E17" s="1622">
        <v>325.24615839000001</v>
      </c>
      <c r="F17" s="1548">
        <v>1.3785201100000002</v>
      </c>
      <c r="G17" s="1548">
        <v>0.31007686000000001</v>
      </c>
      <c r="BX17" s="1561"/>
    </row>
    <row r="18" spans="1:76">
      <c r="A18" s="1550" t="s">
        <v>22</v>
      </c>
      <c r="B18" s="1622">
        <v>6517.3270000000002</v>
      </c>
      <c r="C18" s="1548">
        <v>6.1909999999999998</v>
      </c>
      <c r="D18" s="1548">
        <v>2.4020000000000001</v>
      </c>
      <c r="E18" s="1622">
        <v>333.95033794</v>
      </c>
      <c r="F18" s="1548">
        <v>1.2291442000000001</v>
      </c>
      <c r="G18" s="1548">
        <v>0.30204331000000001</v>
      </c>
      <c r="BX18" s="1561"/>
    </row>
    <row r="19" spans="1:76">
      <c r="A19" s="1550" t="s">
        <v>23</v>
      </c>
      <c r="B19" s="1622">
        <v>7728.8959999999997</v>
      </c>
      <c r="C19" s="1548">
        <v>6.9420000000000002</v>
      </c>
      <c r="D19" s="1548">
        <v>3.601</v>
      </c>
      <c r="E19" s="1622">
        <v>384.80414675999998</v>
      </c>
      <c r="F19" s="1548">
        <v>1.6051996399999999</v>
      </c>
      <c r="G19" s="1548">
        <v>0.53680695999999994</v>
      </c>
      <c r="BX19" s="1561"/>
    </row>
    <row r="20" spans="1:76">
      <c r="A20" s="1550" t="s">
        <v>24</v>
      </c>
      <c r="B20" s="1622">
        <v>7464.8180000000002</v>
      </c>
      <c r="C20" s="1548">
        <v>7.0170000000000003</v>
      </c>
      <c r="D20" s="1548">
        <v>4.3209999999999997</v>
      </c>
      <c r="E20" s="1622">
        <v>393.91488482</v>
      </c>
      <c r="F20" s="1548">
        <v>1.5555110599999999</v>
      </c>
      <c r="G20" s="1548">
        <v>0.47327085999999996</v>
      </c>
      <c r="BX20" s="1561"/>
    </row>
    <row r="21" spans="1:76">
      <c r="A21" s="1550" t="s">
        <v>25</v>
      </c>
      <c r="B21" s="1622">
        <v>8143.0169999999998</v>
      </c>
      <c r="C21" s="1548">
        <v>8.1639999999999997</v>
      </c>
      <c r="D21" s="1548">
        <v>5.3209999999999997</v>
      </c>
      <c r="E21" s="1622">
        <v>419.70021362</v>
      </c>
      <c r="F21" s="1548">
        <v>1.9100890299999997</v>
      </c>
      <c r="G21" s="1548">
        <v>0.58777029999999997</v>
      </c>
      <c r="BX21" s="1561"/>
    </row>
    <row r="22" spans="1:76">
      <c r="A22" s="1550" t="s">
        <v>26</v>
      </c>
      <c r="B22" s="1622">
        <v>8144.3530000000001</v>
      </c>
      <c r="C22" s="1548">
        <v>7.8319999999999999</v>
      </c>
      <c r="D22" s="1548">
        <v>4.6779999999999999</v>
      </c>
      <c r="E22" s="1622">
        <v>423.56470293000001</v>
      </c>
      <c r="F22" s="1548">
        <v>1.7376005000000001</v>
      </c>
      <c r="G22" s="1548">
        <v>0.50008386999999999</v>
      </c>
      <c r="BX22" s="1561"/>
    </row>
    <row r="23" spans="1:76">
      <c r="A23" s="1550" t="s">
        <v>27</v>
      </c>
      <c r="B23" s="1622">
        <v>8679.6530000000002</v>
      </c>
      <c r="C23" s="1548">
        <v>7.8659999999999997</v>
      </c>
      <c r="D23" s="1548">
        <v>4.4649999999999999</v>
      </c>
      <c r="E23" s="1622">
        <v>433.16883010000004</v>
      </c>
      <c r="F23" s="1548">
        <v>1.7006910200000001</v>
      </c>
      <c r="G23" s="1548">
        <v>0.52075527999999993</v>
      </c>
      <c r="BX23" s="1561"/>
    </row>
    <row r="24" spans="1:76">
      <c r="A24" s="1550" t="s">
        <v>28</v>
      </c>
      <c r="B24" s="1622">
        <v>10059.825999999999</v>
      </c>
      <c r="C24" s="1548">
        <v>10.34</v>
      </c>
      <c r="D24" s="1548">
        <v>5.2039999999999997</v>
      </c>
      <c r="E24" s="1622">
        <v>498.49068463999998</v>
      </c>
      <c r="F24" s="1548">
        <v>2.0796970099999998</v>
      </c>
      <c r="G24" s="1548">
        <v>0.59922401000000003</v>
      </c>
      <c r="BX24" s="1561"/>
    </row>
    <row r="25" spans="1:76">
      <c r="A25" s="1628">
        <v>12</v>
      </c>
      <c r="B25" s="1622">
        <v>10642.674999999999</v>
      </c>
      <c r="C25" s="1548">
        <v>10.536</v>
      </c>
      <c r="D25" s="1548">
        <v>5.9589999999999996</v>
      </c>
      <c r="E25" s="1622">
        <v>557.9202876899999</v>
      </c>
      <c r="F25" s="1548">
        <v>2.19109175</v>
      </c>
      <c r="G25" s="1548">
        <v>0.72068332999999996</v>
      </c>
      <c r="BX25" s="1561"/>
    </row>
    <row r="26" spans="1:76">
      <c r="A26" s="1550" t="s">
        <v>2827</v>
      </c>
      <c r="B26" s="1628">
        <f t="shared" ref="B26:G26" si="1">SUM(B27:B38)</f>
        <v>206759.17899999997</v>
      </c>
      <c r="C26" s="1551">
        <f t="shared" si="1"/>
        <v>150.17400000000001</v>
      </c>
      <c r="D26" s="1551">
        <f t="shared" si="1"/>
        <v>106.012</v>
      </c>
      <c r="E26" s="1628">
        <f t="shared" si="1"/>
        <v>10111.560517090002</v>
      </c>
      <c r="F26" s="1551">
        <f t="shared" si="1"/>
        <v>39.060613859999997</v>
      </c>
      <c r="G26" s="1551">
        <f t="shared" si="1"/>
        <v>14.79198055</v>
      </c>
      <c r="BX26" s="1561"/>
    </row>
    <row r="27" spans="1:76">
      <c r="A27" s="1550" t="s">
        <v>18</v>
      </c>
      <c r="B27" s="1622">
        <v>11152.299000000001</v>
      </c>
      <c r="C27" s="1548">
        <v>11.388999999999999</v>
      </c>
      <c r="D27" s="1548">
        <v>5.9720000000000004</v>
      </c>
      <c r="E27" s="1622">
        <v>550.32223004999992</v>
      </c>
      <c r="F27" s="1548">
        <v>2.3447657099999999</v>
      </c>
      <c r="G27" s="1548">
        <v>0.61725246999999994</v>
      </c>
      <c r="BX27" s="1561"/>
    </row>
    <row r="28" spans="1:76">
      <c r="A28" s="1550" t="s">
        <v>19</v>
      </c>
      <c r="B28" s="1622">
        <v>11686.228999999999</v>
      </c>
      <c r="C28" s="1548">
        <v>9.9329999999999998</v>
      </c>
      <c r="D28" s="1548">
        <v>5.5339999999999998</v>
      </c>
      <c r="E28" s="1622">
        <v>568.58432073000006</v>
      </c>
      <c r="F28" s="1548">
        <v>2.2234407300000001</v>
      </c>
      <c r="G28" s="1548">
        <v>0.59065721999999998</v>
      </c>
      <c r="BX28" s="1561"/>
    </row>
    <row r="29" spans="1:76">
      <c r="A29" s="1550" t="s">
        <v>20</v>
      </c>
      <c r="B29" s="1622">
        <v>14430.772000000001</v>
      </c>
      <c r="C29" s="1548">
        <v>11.138</v>
      </c>
      <c r="D29" s="1548">
        <v>7.0049999999999999</v>
      </c>
      <c r="E29" s="1622">
        <v>694.52381525999999</v>
      </c>
      <c r="F29" s="1548">
        <v>2.3907309700000003</v>
      </c>
      <c r="G29" s="1548">
        <v>0.69591379000000009</v>
      </c>
      <c r="BX29" s="1561"/>
    </row>
    <row r="30" spans="1:76">
      <c r="A30" s="1550" t="s">
        <v>21</v>
      </c>
      <c r="B30" s="1622">
        <v>13996.174000000001</v>
      </c>
      <c r="C30" s="1548">
        <v>10.464</v>
      </c>
      <c r="D30" s="1548">
        <v>5.3970000000000002</v>
      </c>
      <c r="E30" s="1622">
        <v>664.72949320000009</v>
      </c>
      <c r="F30" s="1548">
        <v>2.0551839599999999</v>
      </c>
      <c r="G30" s="1548">
        <v>0.62898645999999991</v>
      </c>
      <c r="BX30" s="1561"/>
    </row>
    <row r="31" spans="1:76">
      <c r="A31" s="1550" t="s">
        <v>22</v>
      </c>
      <c r="B31" s="1622">
        <v>15780.759</v>
      </c>
      <c r="C31" s="1548">
        <v>11.367000000000001</v>
      </c>
      <c r="D31" s="1548">
        <v>6.8129999999999997</v>
      </c>
      <c r="E31" s="1622">
        <v>768.40689305000001</v>
      </c>
      <c r="F31" s="1548">
        <v>2.4702857900000001</v>
      </c>
      <c r="G31" s="1548">
        <v>0.78324634999999998</v>
      </c>
      <c r="BX31" s="1561"/>
    </row>
    <row r="32" spans="1:76">
      <c r="A32" s="1550" t="s">
        <v>23</v>
      </c>
      <c r="B32" s="1622">
        <v>17487.065999999999</v>
      </c>
      <c r="C32" s="1548">
        <v>13.319000000000001</v>
      </c>
      <c r="D32" s="1548">
        <v>8.7289999999999992</v>
      </c>
      <c r="E32" s="1622">
        <v>857.55308088000015</v>
      </c>
      <c r="F32" s="1548">
        <v>3.20356635</v>
      </c>
      <c r="G32" s="1548">
        <v>1.4129091999999999</v>
      </c>
      <c r="BX32" s="1561"/>
    </row>
    <row r="33" spans="1:76">
      <c r="A33" s="1550" t="s">
        <v>24</v>
      </c>
      <c r="B33" s="1622">
        <v>16800.405999999999</v>
      </c>
      <c r="C33" s="1548">
        <v>12.061</v>
      </c>
      <c r="D33" s="1548">
        <v>9.9920000000000009</v>
      </c>
      <c r="E33" s="1622">
        <v>859.35125220000009</v>
      </c>
      <c r="F33" s="1548">
        <v>3.6872409400000001</v>
      </c>
      <c r="G33" s="1548">
        <v>1.6272106400000002</v>
      </c>
      <c r="BX33" s="1561"/>
    </row>
    <row r="34" spans="1:76">
      <c r="A34" s="1550" t="s">
        <v>25</v>
      </c>
      <c r="B34" s="1622">
        <v>20282.184000000001</v>
      </c>
      <c r="C34" s="1548">
        <v>13.693</v>
      </c>
      <c r="D34" s="1548">
        <v>10.942</v>
      </c>
      <c r="E34" s="1622">
        <v>975.81339326</v>
      </c>
      <c r="F34" s="1548">
        <v>4.1412117299999993</v>
      </c>
      <c r="G34" s="1548">
        <v>1.5859583500000001</v>
      </c>
      <c r="BX34" s="1561"/>
    </row>
    <row r="35" spans="1:76">
      <c r="A35" s="1550" t="s">
        <v>26</v>
      </c>
      <c r="B35" s="1622">
        <v>19496.096000000001</v>
      </c>
      <c r="C35" s="1548">
        <v>13.458</v>
      </c>
      <c r="D35" s="1548">
        <v>10.792</v>
      </c>
      <c r="E35" s="1622">
        <v>949.24418721000006</v>
      </c>
      <c r="F35" s="1548">
        <v>3.8169907199999997</v>
      </c>
      <c r="G35" s="1548">
        <v>1.68519083</v>
      </c>
      <c r="BX35" s="1561"/>
    </row>
    <row r="36" spans="1:76">
      <c r="A36" s="1550" t="s">
        <v>27</v>
      </c>
      <c r="B36" s="1622">
        <v>19891.609</v>
      </c>
      <c r="C36" s="1548">
        <v>13.958</v>
      </c>
      <c r="D36" s="1548">
        <v>11.263999999999999</v>
      </c>
      <c r="E36" s="1622">
        <v>986.68313869000008</v>
      </c>
      <c r="F36" s="1548">
        <v>4.3296773699999997</v>
      </c>
      <c r="G36" s="1548">
        <v>1.69251493</v>
      </c>
      <c r="BX36" s="1561"/>
    </row>
    <row r="37" spans="1:76">
      <c r="A37" s="1550" t="s">
        <v>28</v>
      </c>
      <c r="B37" s="1622">
        <v>21986.008000000002</v>
      </c>
      <c r="C37" s="1548">
        <v>14.601000000000001</v>
      </c>
      <c r="D37" s="1548">
        <v>12.375</v>
      </c>
      <c r="E37" s="1622">
        <v>1062.7264637599999</v>
      </c>
      <c r="F37" s="1548">
        <v>4.4191229199999995</v>
      </c>
      <c r="G37" s="1548">
        <v>1.7330697900000001</v>
      </c>
      <c r="BX37" s="1561"/>
    </row>
    <row r="38" spans="1:76">
      <c r="A38" s="1628">
        <v>12</v>
      </c>
      <c r="B38" s="1622">
        <v>23769.577000000001</v>
      </c>
      <c r="C38" s="1548">
        <v>14.792999999999999</v>
      </c>
      <c r="D38" s="1548">
        <v>11.196999999999999</v>
      </c>
      <c r="E38" s="1622">
        <v>1173.6222487999999</v>
      </c>
      <c r="F38" s="1548">
        <v>3.97839667</v>
      </c>
      <c r="G38" s="1548">
        <v>1.7390705200000001</v>
      </c>
      <c r="BX38" s="1561"/>
    </row>
    <row r="39" spans="1:76">
      <c r="A39" s="1550" t="s">
        <v>3518</v>
      </c>
      <c r="B39" s="1628">
        <f>SUM(B40:B51)</f>
        <v>394100.16300000006</v>
      </c>
      <c r="C39" s="1552">
        <f t="shared" ref="C39:G39" si="2">SUM(C40:C51)</f>
        <v>195.62100000000001</v>
      </c>
      <c r="D39" s="1552">
        <f t="shared" si="2"/>
        <v>149.23900000000003</v>
      </c>
      <c r="E39" s="1628">
        <f t="shared" si="2"/>
        <v>18920.899127060002</v>
      </c>
      <c r="F39" s="1552">
        <f t="shared" si="2"/>
        <v>51.244729919999997</v>
      </c>
      <c r="G39" s="1552">
        <f t="shared" si="2"/>
        <v>22.650426450000001</v>
      </c>
      <c r="H39" s="374"/>
    </row>
    <row r="40" spans="1:76">
      <c r="A40" s="1550" t="s">
        <v>18</v>
      </c>
      <c r="B40" s="1622">
        <v>25019.954000000002</v>
      </c>
      <c r="C40" s="1548">
        <v>14.661</v>
      </c>
      <c r="D40" s="1548">
        <v>11.7</v>
      </c>
      <c r="E40" s="1630">
        <v>1164.3941651</v>
      </c>
      <c r="F40" s="1548">
        <v>3.6257551100000005</v>
      </c>
      <c r="G40" s="1548">
        <v>1.5461675299999997</v>
      </c>
      <c r="H40" s="374"/>
    </row>
    <row r="41" spans="1:76">
      <c r="A41" s="1550" t="s">
        <v>19</v>
      </c>
      <c r="B41" s="1622">
        <v>24638.855</v>
      </c>
      <c r="C41" s="1548">
        <v>13.817</v>
      </c>
      <c r="D41" s="1548">
        <v>10.573</v>
      </c>
      <c r="E41" s="1630">
        <v>1181.5560661700001</v>
      </c>
      <c r="F41" s="1548">
        <v>3.5521899499999998</v>
      </c>
      <c r="G41" s="1548">
        <v>1.59492619</v>
      </c>
      <c r="H41" s="374"/>
    </row>
    <row r="42" spans="1:76">
      <c r="A42" s="1550" t="s">
        <v>20</v>
      </c>
      <c r="B42" s="1622">
        <v>28822.878000000001</v>
      </c>
      <c r="C42" s="1548">
        <v>14.162000000000001</v>
      </c>
      <c r="D42" s="1548">
        <v>11.486000000000001</v>
      </c>
      <c r="E42" s="1630">
        <v>1383.1330404300002</v>
      </c>
      <c r="F42" s="1548">
        <v>3.8591079000000006</v>
      </c>
      <c r="G42" s="1548">
        <v>1.7010388999999999</v>
      </c>
      <c r="H42" s="374"/>
    </row>
    <row r="43" spans="1:76">
      <c r="A43" s="1550" t="s">
        <v>21</v>
      </c>
      <c r="B43" s="1622">
        <v>27516.266</v>
      </c>
      <c r="C43" s="1548">
        <v>13.039</v>
      </c>
      <c r="D43" s="1548">
        <v>9.7899999999999991</v>
      </c>
      <c r="E43" s="1630">
        <v>1269.4686323699998</v>
      </c>
      <c r="F43" s="1548">
        <v>3.44374066</v>
      </c>
      <c r="G43" s="1548">
        <v>1.51835941</v>
      </c>
      <c r="H43" s="374"/>
    </row>
    <row r="44" spans="1:76">
      <c r="A44" s="1550" t="s">
        <v>22</v>
      </c>
      <c r="B44" s="1622">
        <v>34770.608</v>
      </c>
      <c r="C44" s="1548">
        <v>16.302</v>
      </c>
      <c r="D44" s="1548">
        <v>13.118</v>
      </c>
      <c r="E44" s="1630">
        <v>1584.5950614799997</v>
      </c>
      <c r="F44" s="1548">
        <v>4.32890745</v>
      </c>
      <c r="G44" s="1548">
        <v>2.0925969100000001</v>
      </c>
      <c r="H44" s="374"/>
    </row>
    <row r="45" spans="1:76">
      <c r="A45" s="1550" t="s">
        <v>23</v>
      </c>
      <c r="B45" s="1622">
        <v>27569.958999999999</v>
      </c>
      <c r="C45" s="1548">
        <v>13.164</v>
      </c>
      <c r="D45" s="1548">
        <v>10.221</v>
      </c>
      <c r="E45" s="1630">
        <v>1327.1979059600001</v>
      </c>
      <c r="F45" s="1548">
        <v>3.6951623899999997</v>
      </c>
      <c r="G45" s="1548">
        <v>1.69013601</v>
      </c>
      <c r="H45" s="374"/>
    </row>
    <row r="46" spans="1:76">
      <c r="A46" s="1550" t="s">
        <v>24</v>
      </c>
      <c r="B46" s="1622">
        <v>37759.99</v>
      </c>
      <c r="C46" s="1548">
        <v>18.841000000000001</v>
      </c>
      <c r="D46" s="1548">
        <v>16.280999999999999</v>
      </c>
      <c r="E46" s="1630">
        <v>1820.3955726700001</v>
      </c>
      <c r="F46" s="1548">
        <v>5.083335550000001</v>
      </c>
      <c r="G46" s="1548">
        <v>2.8477400499999996</v>
      </c>
      <c r="H46" s="374"/>
    </row>
    <row r="47" spans="1:76">
      <c r="A47" s="1550" t="s">
        <v>25</v>
      </c>
      <c r="B47" s="1622">
        <v>35723.472999999998</v>
      </c>
      <c r="C47" s="1548">
        <v>17.446999999999999</v>
      </c>
      <c r="D47" s="1548">
        <v>13.667</v>
      </c>
      <c r="E47" s="1630">
        <v>1718.3169999900001</v>
      </c>
      <c r="F47" s="1548">
        <v>4.9063846599999996</v>
      </c>
      <c r="G47" s="1548">
        <v>2.1747030100000004</v>
      </c>
      <c r="H47" s="374"/>
    </row>
    <row r="48" spans="1:76">
      <c r="A48" s="1550" t="s">
        <v>26</v>
      </c>
      <c r="B48" s="1622">
        <v>34643.084999999999</v>
      </c>
      <c r="C48" s="1548">
        <v>16.931999999999999</v>
      </c>
      <c r="D48" s="1548">
        <v>13.313000000000001</v>
      </c>
      <c r="E48" s="1630">
        <v>1667.8559160499999</v>
      </c>
      <c r="F48" s="1548">
        <v>4.7803670299999999</v>
      </c>
      <c r="G48" s="1548">
        <v>2.1266176699999999</v>
      </c>
      <c r="H48" s="374"/>
    </row>
    <row r="49" spans="1:8">
      <c r="A49" s="1550" t="s">
        <v>27</v>
      </c>
      <c r="B49" s="1622">
        <v>38409.798000000003</v>
      </c>
      <c r="C49" s="1548">
        <v>18.669</v>
      </c>
      <c r="D49" s="1548">
        <v>13.324999999999999</v>
      </c>
      <c r="E49" s="1630">
        <v>1909.9995778200002</v>
      </c>
      <c r="F49" s="1548">
        <v>4.7925978600000008</v>
      </c>
      <c r="G49" s="1548">
        <v>1.9981397700000001</v>
      </c>
      <c r="H49" s="374"/>
    </row>
    <row r="50" spans="1:8">
      <c r="A50" s="1550" t="s">
        <v>28</v>
      </c>
      <c r="B50" s="1622">
        <v>38232.258000000002</v>
      </c>
      <c r="C50" s="1548">
        <v>19.294</v>
      </c>
      <c r="D50" s="1548">
        <v>13.103999999999999</v>
      </c>
      <c r="E50" s="1630">
        <v>1857.82768943</v>
      </c>
      <c r="F50" s="1548">
        <v>4.7031482000000002</v>
      </c>
      <c r="G50" s="1548">
        <v>1.78959154</v>
      </c>
      <c r="H50" s="374"/>
    </row>
    <row r="51" spans="1:8">
      <c r="A51" s="1550" t="s">
        <v>29</v>
      </c>
      <c r="B51" s="1622">
        <v>40993.038999999997</v>
      </c>
      <c r="C51" s="1548">
        <v>19.292999999999999</v>
      </c>
      <c r="D51" s="1548">
        <v>12.661</v>
      </c>
      <c r="E51" s="1630">
        <v>2036.1584995900002</v>
      </c>
      <c r="F51" s="1548">
        <v>4.4740331600000003</v>
      </c>
      <c r="G51" s="1548">
        <v>1.57040946</v>
      </c>
      <c r="H51" s="374"/>
    </row>
    <row r="52" spans="1:8">
      <c r="A52" s="1550" t="s">
        <v>3989</v>
      </c>
      <c r="B52" s="1628">
        <f>SUM(B53:B64)</f>
        <v>646973.50600000005</v>
      </c>
      <c r="C52" s="1628">
        <f t="shared" ref="C52:G52" si="3">SUM(C53:C64)</f>
        <v>292.65300000000002</v>
      </c>
      <c r="D52" s="1628">
        <f t="shared" si="3"/>
        <v>565.35899999999992</v>
      </c>
      <c r="E52" s="1628">
        <f t="shared" si="3"/>
        <v>30630.956348240001</v>
      </c>
      <c r="F52" s="1628">
        <f t="shared" si="3"/>
        <v>69.329295270000017</v>
      </c>
      <c r="G52" s="1628">
        <f t="shared" si="3"/>
        <v>29.579761730000005</v>
      </c>
      <c r="H52" s="374"/>
    </row>
    <row r="53" spans="1:8">
      <c r="A53" s="1550" t="s">
        <v>18</v>
      </c>
      <c r="B53" s="1622">
        <v>42523.406000000003</v>
      </c>
      <c r="C53" s="1548">
        <v>19.628</v>
      </c>
      <c r="D53" s="1548">
        <v>12.505000000000001</v>
      </c>
      <c r="E53" s="1630">
        <v>2012.46664302</v>
      </c>
      <c r="F53" s="1548">
        <v>4.7112102800000004</v>
      </c>
      <c r="G53" s="1548">
        <v>1.48889198</v>
      </c>
      <c r="H53" s="374"/>
    </row>
    <row r="54" spans="1:8">
      <c r="A54" s="1550" t="s">
        <v>19</v>
      </c>
      <c r="B54" s="1622">
        <v>41794.902000000002</v>
      </c>
      <c r="C54" s="1548">
        <v>18.853999999999999</v>
      </c>
      <c r="D54" s="1548">
        <v>11.500999999999999</v>
      </c>
      <c r="E54" s="1630">
        <v>2002.2396229799999</v>
      </c>
      <c r="F54" s="1548">
        <v>4.7014315700000004</v>
      </c>
      <c r="G54" s="1548">
        <v>1.4806760000000001</v>
      </c>
      <c r="H54" s="374"/>
    </row>
    <row r="55" spans="1:8">
      <c r="A55" s="1550" t="s">
        <v>20</v>
      </c>
      <c r="B55" s="1622">
        <v>43362.548000000003</v>
      </c>
      <c r="C55" s="1548">
        <v>19.231999999999999</v>
      </c>
      <c r="D55" s="1548">
        <v>81.521000000000001</v>
      </c>
      <c r="E55" s="1630">
        <v>2107.3654302800001</v>
      </c>
      <c r="F55" s="1548">
        <v>4.8899753100000005</v>
      </c>
      <c r="G55" s="1548">
        <v>2.7468100600000001</v>
      </c>
      <c r="H55" s="374"/>
    </row>
    <row r="56" spans="1:8">
      <c r="A56" s="1550" t="s">
        <v>21</v>
      </c>
      <c r="B56" s="1622">
        <v>49847.35</v>
      </c>
      <c r="C56" s="1548">
        <v>22.047999999999998</v>
      </c>
      <c r="D56" s="1548">
        <v>166.358</v>
      </c>
      <c r="E56" s="1630">
        <v>2325.5930802600001</v>
      </c>
      <c r="F56" s="1548">
        <v>5.3585556600000004</v>
      </c>
      <c r="G56" s="1548">
        <v>4.6606832800000007</v>
      </c>
      <c r="H56" s="374"/>
    </row>
    <row r="57" spans="1:8">
      <c r="A57" s="1550" t="s">
        <v>22</v>
      </c>
      <c r="B57" s="1622">
        <v>50278.159</v>
      </c>
      <c r="C57" s="1548">
        <v>21.184000000000001</v>
      </c>
      <c r="D57" s="1548">
        <v>165.779</v>
      </c>
      <c r="E57" s="1630">
        <v>2363.6581869299998</v>
      </c>
      <c r="F57" s="1548">
        <v>5.2643279299999994</v>
      </c>
      <c r="G57" s="1548">
        <v>5.29221143</v>
      </c>
      <c r="H57" s="374"/>
    </row>
    <row r="58" spans="1:8">
      <c r="A58" s="1550" t="s">
        <v>23</v>
      </c>
      <c r="B58" s="1622">
        <v>47753.788999999997</v>
      </c>
      <c r="C58" s="1548">
        <v>21.399000000000001</v>
      </c>
      <c r="D58" s="1548">
        <v>32.606000000000002</v>
      </c>
      <c r="E58" s="1630">
        <v>2290.2307874600001</v>
      </c>
      <c r="F58" s="1548">
        <v>5.0453814900000005</v>
      </c>
      <c r="G58" s="1548">
        <v>2.1381296700000001</v>
      </c>
      <c r="H58" s="374"/>
    </row>
    <row r="59" spans="1:8">
      <c r="A59" s="1550" t="s">
        <v>24</v>
      </c>
      <c r="B59" s="1622">
        <v>55819.945</v>
      </c>
      <c r="C59" s="1548">
        <v>25.21</v>
      </c>
      <c r="D59" s="1548">
        <v>13.487</v>
      </c>
      <c r="E59" s="1630">
        <v>2715.0441817300002</v>
      </c>
      <c r="F59" s="1548">
        <v>6.1761789</v>
      </c>
      <c r="G59" s="1548">
        <v>1.9351980899999999</v>
      </c>
      <c r="H59" s="374"/>
    </row>
    <row r="60" spans="1:8">
      <c r="A60" s="1550" t="s">
        <v>25</v>
      </c>
      <c r="B60" s="1622">
        <v>56270.457999999999</v>
      </c>
      <c r="C60" s="1548">
        <v>31.507999999999999</v>
      </c>
      <c r="D60" s="1548">
        <v>16.475000000000001</v>
      </c>
      <c r="E60" s="1630">
        <v>2636.5564721799997</v>
      </c>
      <c r="F60" s="1548">
        <v>6.5271282900000003</v>
      </c>
      <c r="G60" s="1548">
        <v>2.0884503400000001</v>
      </c>
      <c r="H60" s="374"/>
    </row>
    <row r="61" spans="1:8">
      <c r="A61" s="1550" t="s">
        <v>26</v>
      </c>
      <c r="B61" s="1622">
        <v>64646.574000000001</v>
      </c>
      <c r="C61" s="1548">
        <v>34.372</v>
      </c>
      <c r="D61" s="1548">
        <v>17.658000000000001</v>
      </c>
      <c r="E61" s="1630">
        <v>3011.0556942999997</v>
      </c>
      <c r="F61" s="1548">
        <v>6.9329172300000002</v>
      </c>
      <c r="G61" s="1548">
        <v>1.9958984399999999</v>
      </c>
      <c r="H61" s="374"/>
    </row>
    <row r="62" spans="1:8">
      <c r="A62" s="1550" t="s">
        <v>27</v>
      </c>
      <c r="B62" s="1622">
        <v>67034.520999999993</v>
      </c>
      <c r="C62" s="1548">
        <v>27.571999999999999</v>
      </c>
      <c r="D62" s="1548">
        <v>15.938000000000001</v>
      </c>
      <c r="E62" s="1630">
        <v>3099.5926005900001</v>
      </c>
      <c r="F62" s="1548">
        <v>6.6750724399999992</v>
      </c>
      <c r="G62" s="1548">
        <v>1.9315011399999999</v>
      </c>
      <c r="H62" s="374"/>
    </row>
    <row r="63" spans="1:8">
      <c r="A63" s="1550" t="s">
        <v>28</v>
      </c>
      <c r="B63" s="1622">
        <v>60045.067000000003</v>
      </c>
      <c r="C63" s="1548">
        <v>24.431999999999999</v>
      </c>
      <c r="D63" s="1548">
        <v>14.958</v>
      </c>
      <c r="E63" s="1630">
        <v>2841.8500574300001</v>
      </c>
      <c r="F63" s="1548">
        <v>6.4253215099999998</v>
      </c>
      <c r="G63" s="1548">
        <v>1.7911675499999999</v>
      </c>
      <c r="H63" s="374"/>
    </row>
    <row r="64" spans="1:8">
      <c r="A64" s="1550" t="s">
        <v>29</v>
      </c>
      <c r="B64" s="1622">
        <v>67596.786999999997</v>
      </c>
      <c r="C64" s="1548">
        <v>27.213999999999999</v>
      </c>
      <c r="D64" s="1548">
        <v>16.573</v>
      </c>
      <c r="E64" s="1630">
        <v>3225.3035910800004</v>
      </c>
      <c r="F64" s="1548">
        <v>6.6217946599999999</v>
      </c>
      <c r="G64" s="1548">
        <v>2.0301437500000001</v>
      </c>
      <c r="H64" s="374"/>
    </row>
    <row r="65" spans="1:31">
      <c r="A65" s="1550" t="s">
        <v>4222</v>
      </c>
      <c r="B65" s="1622"/>
      <c r="C65" s="1548"/>
      <c r="D65" s="1548"/>
      <c r="E65" s="1630"/>
      <c r="F65" s="1548"/>
      <c r="G65" s="1548"/>
      <c r="H65" s="374"/>
    </row>
    <row r="66" spans="1:31">
      <c r="A66" s="1550" t="s">
        <v>18</v>
      </c>
      <c r="B66" s="1622">
        <v>69898.797999999995</v>
      </c>
      <c r="C66" s="1548">
        <v>28.571999999999999</v>
      </c>
      <c r="D66" s="1548">
        <v>16.533999999999999</v>
      </c>
      <c r="E66" s="1630">
        <v>3038.3477450400005</v>
      </c>
      <c r="F66" s="1548">
        <v>7.0410188199999997</v>
      </c>
      <c r="G66" s="1548">
        <v>2.0263377399999998</v>
      </c>
      <c r="H66" s="374"/>
    </row>
    <row r="67" spans="1:31">
      <c r="A67" s="1550" t="s">
        <v>19</v>
      </c>
      <c r="B67" s="1622">
        <v>60461.953999999998</v>
      </c>
      <c r="C67" s="1548">
        <v>24.643000000000001</v>
      </c>
      <c r="D67" s="1548">
        <v>14.891</v>
      </c>
      <c r="E67" s="1630">
        <v>2824.71930858</v>
      </c>
      <c r="F67" s="1548">
        <v>6.0567118099999995</v>
      </c>
      <c r="G67" s="1548">
        <v>1.76487065</v>
      </c>
      <c r="H67" s="374"/>
    </row>
    <row r="68" spans="1:31">
      <c r="A68" s="1550" t="s">
        <v>20</v>
      </c>
      <c r="B68" s="1622">
        <v>68369.312999999995</v>
      </c>
      <c r="C68" s="1548">
        <v>18.178999999999998</v>
      </c>
      <c r="D68" s="1548">
        <v>9.9670000000000005</v>
      </c>
      <c r="E68" s="1630">
        <v>3224.97073116</v>
      </c>
      <c r="F68" s="1548">
        <v>4.8521387499999999</v>
      </c>
      <c r="G68" s="1548">
        <v>1.21275011</v>
      </c>
      <c r="H68" s="374"/>
    </row>
    <row r="69" spans="1:31">
      <c r="A69" s="1550" t="s">
        <v>21</v>
      </c>
      <c r="B69" s="1622">
        <v>71155.797000000006</v>
      </c>
      <c r="C69" s="1548">
        <v>36.344999999999999</v>
      </c>
      <c r="D69" s="1548">
        <v>20.984999999999999</v>
      </c>
      <c r="E69" s="1630">
        <v>3176.9656402800001</v>
      </c>
      <c r="F69" s="1548">
        <v>9.80939592</v>
      </c>
      <c r="G69" s="1548">
        <v>2.5525379400000001</v>
      </c>
      <c r="H69" s="374"/>
    </row>
    <row r="70" spans="1:31">
      <c r="A70" s="1699" t="s">
        <v>22</v>
      </c>
      <c r="B70" s="1620">
        <v>71960.107999999993</v>
      </c>
      <c r="C70" s="1698">
        <v>26.800999999999998</v>
      </c>
      <c r="D70" s="1698">
        <v>14.672000000000001</v>
      </c>
      <c r="E70" s="1616">
        <v>3307.5423133300001</v>
      </c>
      <c r="F70" s="1698">
        <v>6.65297451</v>
      </c>
      <c r="G70" s="1698">
        <v>1.85358672</v>
      </c>
      <c r="H70" s="374"/>
    </row>
    <row r="71" spans="1:31" s="1543" customFormat="1" ht="13.5" customHeight="1">
      <c r="A71" s="2892" t="s">
        <v>2692</v>
      </c>
      <c r="B71" s="2892"/>
      <c r="C71" s="2892"/>
      <c r="D71" s="2892"/>
      <c r="E71" s="2892"/>
      <c r="F71" s="2892"/>
      <c r="G71" s="2892"/>
      <c r="H71" s="1544"/>
      <c r="I71" s="1544"/>
      <c r="J71" s="1544"/>
      <c r="K71" s="1544"/>
      <c r="L71" s="1544"/>
      <c r="M71" s="1544"/>
      <c r="N71" s="1544"/>
      <c r="O71" s="1544"/>
      <c r="P71" s="1544"/>
      <c r="Q71" s="1544"/>
      <c r="R71" s="1544"/>
      <c r="S71" s="1544"/>
      <c r="T71" s="1544"/>
      <c r="U71" s="1544"/>
      <c r="V71" s="1544"/>
      <c r="W71" s="1544"/>
      <c r="X71" s="1544"/>
      <c r="Y71" s="1544"/>
      <c r="Z71" s="1544"/>
      <c r="AA71" s="1544"/>
      <c r="AB71" s="1544"/>
      <c r="AC71" s="1544"/>
      <c r="AD71" s="1544"/>
      <c r="AE71" s="1544"/>
    </row>
  </sheetData>
  <mergeCells count="9">
    <mergeCell ref="A71:G71"/>
    <mergeCell ref="A1:G2"/>
    <mergeCell ref="A3:G3"/>
    <mergeCell ref="A7:A9"/>
    <mergeCell ref="B7:D8"/>
    <mergeCell ref="E7:G8"/>
    <mergeCell ref="A10:A12"/>
    <mergeCell ref="B10:D11"/>
    <mergeCell ref="E10:G11"/>
  </mergeCells>
  <pageMargins left="0.7" right="0.7" top="0.75" bottom="0.75" header="0.3" footer="0.3"/>
  <pageSetup paperSize="9" scale="12" orientation="portrait" verticalDpi="4294967295"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6">
    <tabColor rgb="FF92D050"/>
  </sheetPr>
  <dimension ref="A1:CH29"/>
  <sheetViews>
    <sheetView showGridLines="0" view="pageBreakPreview" zoomScale="55" zoomScaleNormal="90" zoomScaleSheetLayoutView="55" workbookViewId="0">
      <pane xSplit="16" topLeftCell="BR1" activePane="topRight" state="frozen"/>
      <selection activeCell="B39" sqref="B39"/>
      <selection pane="topRight" activeCell="CE44" sqref="CE44"/>
    </sheetView>
  </sheetViews>
  <sheetFormatPr defaultColWidth="9.140625" defaultRowHeight="15.75"/>
  <cols>
    <col min="1" max="1" width="76.140625" style="1039" customWidth="1"/>
    <col min="2" max="16" width="18" style="1039" hidden="1" customWidth="1"/>
    <col min="17" max="17" width="18" style="1040" customWidth="1"/>
    <col min="18" max="20" width="18" style="1040" hidden="1" customWidth="1"/>
    <col min="21" max="21" width="17.28515625" style="1040" hidden="1" customWidth="1"/>
    <col min="22" max="24" width="17.7109375" style="1040" hidden="1" customWidth="1"/>
    <col min="25" max="25" width="18" style="1040" hidden="1" customWidth="1"/>
    <col min="26" max="28" width="17.7109375" style="1040" hidden="1" customWidth="1"/>
    <col min="29" max="29" width="17.7109375" style="1040" customWidth="1"/>
    <col min="30" max="40" width="17.7109375" style="1040" hidden="1" customWidth="1"/>
    <col min="41" max="41" width="17.7109375" style="1040" customWidth="1"/>
    <col min="42" max="52" width="17.7109375" style="1040" hidden="1" customWidth="1"/>
    <col min="53" max="53" width="17.7109375" style="1040" customWidth="1"/>
    <col min="54" max="64" width="17.7109375" style="1040" hidden="1" customWidth="1"/>
    <col min="65" max="81" width="17.7109375" style="1040" customWidth="1"/>
    <col min="82" max="82" width="17.28515625" style="1040" customWidth="1"/>
    <col min="83" max="83" width="77.7109375" style="1040" customWidth="1"/>
    <col min="84" max="84" width="11" style="1041" customWidth="1"/>
    <col min="85" max="85" width="18.42578125" style="1040" customWidth="1"/>
    <col min="86" max="16384" width="9.140625" style="1040"/>
  </cols>
  <sheetData>
    <row r="1" spans="1:84" ht="11.45" customHeight="1">
      <c r="W1" s="1040" t="s">
        <v>2519</v>
      </c>
    </row>
    <row r="2" spans="1:84" s="1042" customFormat="1" ht="31.5" customHeight="1">
      <c r="A2" s="2896" t="s">
        <v>3280</v>
      </c>
      <c r="B2" s="2896"/>
      <c r="C2" s="2896"/>
      <c r="D2" s="2896"/>
      <c r="E2" s="2896"/>
      <c r="F2" s="2896"/>
      <c r="G2" s="2896"/>
      <c r="H2" s="2896"/>
      <c r="I2" s="2896"/>
      <c r="J2" s="2896"/>
      <c r="K2" s="2896"/>
      <c r="L2" s="2896"/>
      <c r="M2" s="2896"/>
      <c r="N2" s="2896"/>
      <c r="O2" s="2896"/>
      <c r="P2" s="2896"/>
      <c r="Q2" s="2896"/>
      <c r="R2" s="2896"/>
      <c r="S2" s="2896"/>
      <c r="T2" s="2896"/>
      <c r="U2" s="2896"/>
      <c r="V2" s="2896"/>
      <c r="W2" s="2896"/>
      <c r="X2" s="2896"/>
      <c r="Y2" s="2896"/>
      <c r="Z2" s="2896"/>
      <c r="AA2" s="2896"/>
      <c r="AB2" s="2896"/>
      <c r="AC2" s="2896"/>
      <c r="AD2" s="2896"/>
      <c r="AE2" s="2896"/>
      <c r="AF2" s="2896"/>
      <c r="AG2" s="2896"/>
      <c r="AH2" s="2896"/>
      <c r="AI2" s="2896"/>
      <c r="AJ2" s="2896"/>
      <c r="AK2" s="2896"/>
      <c r="AL2" s="2896"/>
      <c r="AM2" s="2896"/>
      <c r="AN2" s="2896"/>
      <c r="AO2" s="2896"/>
      <c r="AP2" s="2896"/>
      <c r="AQ2" s="2896"/>
      <c r="AR2" s="2896"/>
      <c r="AS2" s="2896"/>
      <c r="AT2" s="2896"/>
      <c r="AU2" s="2896"/>
      <c r="AV2" s="2896"/>
      <c r="AW2" s="2896"/>
      <c r="AX2" s="2896"/>
      <c r="AY2" s="2896"/>
      <c r="AZ2" s="2896"/>
      <c r="BA2" s="2896"/>
      <c r="BB2" s="2896"/>
      <c r="BC2" s="2896"/>
      <c r="BD2" s="2896"/>
      <c r="BE2" s="2896"/>
      <c r="BF2" s="2896"/>
      <c r="BG2" s="2896"/>
      <c r="BH2" s="2896"/>
      <c r="BI2" s="2896"/>
      <c r="BJ2" s="2896"/>
      <c r="BK2" s="2896"/>
      <c r="BL2" s="2896"/>
      <c r="BM2" s="2896"/>
      <c r="BN2" s="2896"/>
      <c r="BO2" s="2896"/>
      <c r="BP2" s="2896"/>
      <c r="BQ2" s="2896"/>
      <c r="BR2" s="2896"/>
      <c r="BS2" s="2896"/>
      <c r="BT2" s="2896"/>
      <c r="BU2" s="2896"/>
      <c r="BV2" s="2896"/>
      <c r="BW2" s="2896"/>
      <c r="BX2" s="2896"/>
      <c r="BY2" s="2896"/>
      <c r="BZ2" s="2896"/>
      <c r="CA2" s="2896"/>
      <c r="CB2" s="2896"/>
      <c r="CC2" s="2896"/>
      <c r="CD2" s="2896"/>
      <c r="CE2" s="2896"/>
      <c r="CF2" s="1043"/>
    </row>
    <row r="3" spans="1:84" s="1042" customFormat="1" ht="36" customHeight="1">
      <c r="A3" s="2897" t="s">
        <v>3281</v>
      </c>
      <c r="B3" s="2897"/>
      <c r="C3" s="2897"/>
      <c r="D3" s="2897"/>
      <c r="E3" s="2897"/>
      <c r="F3" s="2897"/>
      <c r="G3" s="2897"/>
      <c r="H3" s="2897"/>
      <c r="I3" s="2897"/>
      <c r="J3" s="2897"/>
      <c r="K3" s="2897"/>
      <c r="L3" s="2897"/>
      <c r="M3" s="2897"/>
      <c r="N3" s="2897"/>
      <c r="O3" s="2897"/>
      <c r="P3" s="2897"/>
      <c r="Q3" s="2897"/>
      <c r="R3" s="2897"/>
      <c r="S3" s="2897"/>
      <c r="T3" s="2897"/>
      <c r="U3" s="2897"/>
      <c r="V3" s="2897"/>
      <c r="W3" s="2897"/>
      <c r="X3" s="2897"/>
      <c r="Y3" s="2897"/>
      <c r="Z3" s="2897"/>
      <c r="AA3" s="2897"/>
      <c r="AB3" s="2897"/>
      <c r="AC3" s="2897"/>
      <c r="AD3" s="2897"/>
      <c r="AE3" s="2897"/>
      <c r="AF3" s="2897"/>
      <c r="AG3" s="2897"/>
      <c r="AH3" s="2897"/>
      <c r="AI3" s="2897"/>
      <c r="AJ3" s="2897"/>
      <c r="AK3" s="2897"/>
      <c r="AL3" s="2897"/>
      <c r="AM3" s="2897"/>
      <c r="AN3" s="2897"/>
      <c r="AO3" s="2897"/>
      <c r="AP3" s="2897"/>
      <c r="AQ3" s="2897"/>
      <c r="AR3" s="2897"/>
      <c r="AS3" s="2897"/>
      <c r="AT3" s="2897"/>
      <c r="AU3" s="2897"/>
      <c r="AV3" s="2897"/>
      <c r="AW3" s="2897"/>
      <c r="AX3" s="2897"/>
      <c r="AY3" s="2897"/>
      <c r="AZ3" s="2897"/>
      <c r="BA3" s="2897"/>
      <c r="BB3" s="2897"/>
      <c r="BC3" s="2897"/>
      <c r="BD3" s="2897"/>
      <c r="BE3" s="2897"/>
      <c r="BF3" s="2897"/>
      <c r="BG3" s="2897"/>
      <c r="BH3" s="2897"/>
      <c r="BI3" s="2897"/>
      <c r="BJ3" s="2897"/>
      <c r="BK3" s="2897"/>
      <c r="BL3" s="2897"/>
      <c r="BM3" s="2897"/>
      <c r="BN3" s="2897"/>
      <c r="BO3" s="2897"/>
      <c r="BP3" s="2897"/>
      <c r="BQ3" s="2897"/>
      <c r="BR3" s="2897"/>
      <c r="BS3" s="2897"/>
      <c r="BT3" s="2897"/>
      <c r="BU3" s="2897"/>
      <c r="BV3" s="2897"/>
      <c r="BW3" s="2897"/>
      <c r="BX3" s="2897"/>
      <c r="BY3" s="2897"/>
      <c r="BZ3" s="2897"/>
      <c r="CA3" s="2897"/>
      <c r="CB3" s="2897"/>
      <c r="CC3" s="2897"/>
      <c r="CD3" s="2897"/>
      <c r="CE3" s="2897"/>
      <c r="CF3" s="1043"/>
    </row>
    <row r="4" spans="1:84" s="1042" customFormat="1" ht="24" customHeight="1">
      <c r="A4" s="1366"/>
      <c r="B4" s="1366"/>
      <c r="C4" s="1366"/>
      <c r="D4" s="1366"/>
      <c r="E4" s="1366"/>
      <c r="F4" s="1366"/>
      <c r="G4" s="1366"/>
      <c r="H4" s="1366"/>
      <c r="I4" s="1366"/>
      <c r="J4" s="1366"/>
      <c r="K4" s="1366"/>
      <c r="L4" s="1366"/>
      <c r="M4" s="1366"/>
      <c r="N4" s="1366"/>
      <c r="O4" s="1366"/>
      <c r="P4" s="1366"/>
      <c r="Q4" s="1366"/>
      <c r="R4" s="1366"/>
      <c r="S4" s="1366"/>
      <c r="T4" s="1366"/>
      <c r="U4" s="1366"/>
      <c r="V4" s="1366"/>
      <c r="W4" s="1366"/>
      <c r="X4" s="1366"/>
      <c r="Y4" s="1366"/>
      <c r="Z4" s="1366"/>
      <c r="AA4" s="1366"/>
      <c r="AB4" s="1366"/>
      <c r="AC4" s="1366"/>
      <c r="AD4" s="1366"/>
      <c r="AE4" s="1366"/>
      <c r="AF4" s="1366"/>
      <c r="AG4" s="1366"/>
      <c r="AH4" s="1366"/>
      <c r="AI4" s="1366"/>
      <c r="AJ4" s="1366"/>
      <c r="AK4" s="1366"/>
      <c r="AL4" s="1366"/>
      <c r="AM4" s="1366"/>
      <c r="AN4" s="1366"/>
      <c r="AO4" s="1366"/>
      <c r="AP4" s="1366"/>
      <c r="AQ4" s="1366"/>
      <c r="AR4" s="1366"/>
      <c r="AS4" s="1366"/>
      <c r="AT4" s="1366"/>
      <c r="AU4" s="1366"/>
      <c r="AV4" s="1366"/>
      <c r="AW4" s="1366"/>
      <c r="AX4" s="1366"/>
      <c r="AY4" s="1366"/>
      <c r="AZ4" s="1366"/>
      <c r="BA4" s="1366"/>
      <c r="BB4" s="1366"/>
      <c r="BC4" s="1366"/>
      <c r="BD4" s="1366"/>
      <c r="BE4" s="1366"/>
      <c r="BF4" s="1366"/>
      <c r="BG4" s="1366"/>
      <c r="BH4" s="1366"/>
      <c r="BI4" s="1366"/>
      <c r="BJ4" s="1366"/>
      <c r="BK4" s="1366"/>
      <c r="BL4" s="1366"/>
      <c r="BM4" s="1366"/>
      <c r="BN4" s="1366"/>
      <c r="BO4" s="1366"/>
      <c r="BP4" s="1366"/>
      <c r="BQ4" s="1366"/>
      <c r="BR4" s="1366"/>
      <c r="BS4" s="1366"/>
      <c r="BT4" s="1366"/>
      <c r="BU4" s="1366"/>
      <c r="BV4" s="1366"/>
      <c r="BW4" s="1366"/>
      <c r="BX4" s="1366"/>
      <c r="BY4" s="1366"/>
      <c r="BZ4" s="1366"/>
      <c r="CA4" s="1366"/>
      <c r="CB4" s="1366"/>
      <c r="CC4" s="1366"/>
      <c r="CD4" s="1366"/>
      <c r="CE4" s="1366"/>
      <c r="CF4" s="1043"/>
    </row>
    <row r="5" spans="1:84" s="1042" customFormat="1" ht="24" customHeight="1" thickBot="1">
      <c r="A5" s="1367"/>
      <c r="B5" s="1367"/>
      <c r="C5" s="1367"/>
      <c r="D5" s="1367"/>
      <c r="E5" s="1367"/>
      <c r="F5" s="1367"/>
      <c r="G5" s="1367"/>
      <c r="H5" s="1367"/>
      <c r="I5" s="1367"/>
      <c r="J5" s="1367"/>
      <c r="K5" s="1367"/>
      <c r="L5" s="1367"/>
      <c r="M5" s="1367"/>
      <c r="N5" s="1367"/>
      <c r="O5" s="1367"/>
      <c r="P5" s="1367"/>
      <c r="Q5" s="1367"/>
      <c r="R5" s="1367"/>
      <c r="S5" s="1367"/>
      <c r="T5" s="1367"/>
      <c r="U5" s="1367"/>
      <c r="V5" s="1367"/>
      <c r="W5" s="1367"/>
      <c r="X5" s="1367"/>
      <c r="Y5" s="1367"/>
      <c r="Z5" s="1367"/>
      <c r="AA5" s="1367"/>
      <c r="AB5" s="1367"/>
      <c r="AC5" s="1367"/>
      <c r="AD5" s="1367"/>
      <c r="AE5" s="1367"/>
      <c r="AF5" s="1367"/>
      <c r="AG5" s="1367"/>
      <c r="AH5" s="1367"/>
      <c r="AI5" s="1367"/>
      <c r="AJ5" s="1367"/>
      <c r="AK5" s="1367"/>
      <c r="AL5" s="1367"/>
      <c r="AM5" s="1367"/>
      <c r="AN5" s="1367"/>
      <c r="AO5" s="1367"/>
      <c r="AP5" s="1367"/>
      <c r="AQ5" s="1367"/>
      <c r="AR5" s="1367"/>
      <c r="AS5" s="1367"/>
      <c r="AT5" s="1367"/>
      <c r="AU5" s="1367"/>
      <c r="AV5" s="1367"/>
      <c r="AW5" s="1367"/>
      <c r="AX5" s="1367"/>
      <c r="AY5" s="1367"/>
      <c r="AZ5" s="1367"/>
      <c r="BA5" s="1367"/>
      <c r="BB5" s="1367"/>
      <c r="BC5" s="1367"/>
      <c r="BD5" s="1367"/>
      <c r="BE5" s="1367"/>
      <c r="BF5" s="1367"/>
      <c r="BG5" s="1367"/>
      <c r="BH5" s="1367"/>
      <c r="BI5" s="1367"/>
      <c r="BJ5" s="1367"/>
      <c r="BK5" s="1367"/>
      <c r="BL5" s="1367"/>
      <c r="BM5" s="1367"/>
      <c r="BN5" s="1367"/>
      <c r="BO5" s="1367"/>
      <c r="BP5" s="1367"/>
      <c r="BQ5" s="1367"/>
      <c r="BR5" s="1367"/>
      <c r="BS5" s="1367"/>
      <c r="BT5" s="1367"/>
      <c r="BU5" s="1367"/>
      <c r="BV5" s="1367"/>
      <c r="BW5" s="1367"/>
      <c r="BX5" s="1367"/>
      <c r="BY5" s="1367"/>
      <c r="BZ5" s="1367"/>
      <c r="CA5" s="1367"/>
      <c r="CB5" s="1367"/>
      <c r="CC5" s="1367"/>
      <c r="CD5" s="1367"/>
      <c r="CE5" s="1367"/>
      <c r="CF5" s="1043"/>
    </row>
    <row r="6" spans="1:84" ht="51" customHeight="1" thickBot="1">
      <c r="A6" s="1044"/>
      <c r="B6" s="1045">
        <v>43373</v>
      </c>
      <c r="C6" s="1046">
        <v>43404</v>
      </c>
      <c r="D6" s="1047">
        <v>43434</v>
      </c>
      <c r="E6" s="1048">
        <v>43465</v>
      </c>
      <c r="F6" s="1049">
        <v>43496</v>
      </c>
      <c r="G6" s="1049">
        <v>43524</v>
      </c>
      <c r="H6" s="1049">
        <v>43555</v>
      </c>
      <c r="I6" s="1049">
        <v>43585</v>
      </c>
      <c r="J6" s="1049">
        <v>43616</v>
      </c>
      <c r="K6" s="1049">
        <v>43646</v>
      </c>
      <c r="L6" s="1049">
        <v>43677</v>
      </c>
      <c r="M6" s="1049">
        <v>43708</v>
      </c>
      <c r="N6" s="1049">
        <v>43738</v>
      </c>
      <c r="O6" s="1049">
        <v>43769</v>
      </c>
      <c r="P6" s="1049">
        <v>43799</v>
      </c>
      <c r="Q6" s="1049">
        <v>43830</v>
      </c>
      <c r="R6" s="1049">
        <v>43861</v>
      </c>
      <c r="S6" s="1049">
        <v>43890</v>
      </c>
      <c r="T6" s="1049">
        <v>43921</v>
      </c>
      <c r="U6" s="1049" t="s">
        <v>2578</v>
      </c>
      <c r="V6" s="1049" t="s">
        <v>2579</v>
      </c>
      <c r="W6" s="1049">
        <v>44012</v>
      </c>
      <c r="X6" s="1049">
        <v>44043</v>
      </c>
      <c r="Y6" s="1049">
        <v>44074</v>
      </c>
      <c r="Z6" s="1049">
        <v>44104</v>
      </c>
      <c r="AA6" s="1049">
        <v>44135</v>
      </c>
      <c r="AB6" s="1049">
        <v>44165</v>
      </c>
      <c r="AC6" s="1049">
        <v>44196</v>
      </c>
      <c r="AD6" s="1049">
        <v>44227</v>
      </c>
      <c r="AE6" s="1049">
        <v>44255</v>
      </c>
      <c r="AF6" s="1049">
        <v>44286</v>
      </c>
      <c r="AG6" s="1049">
        <v>44316</v>
      </c>
      <c r="AH6" s="1049">
        <v>44347</v>
      </c>
      <c r="AI6" s="1049">
        <v>44377</v>
      </c>
      <c r="AJ6" s="1049">
        <v>44408</v>
      </c>
      <c r="AK6" s="1049">
        <v>44439</v>
      </c>
      <c r="AL6" s="1049">
        <v>44469</v>
      </c>
      <c r="AM6" s="1049">
        <v>44500</v>
      </c>
      <c r="AN6" s="1049">
        <v>44530</v>
      </c>
      <c r="AO6" s="1049">
        <v>44561</v>
      </c>
      <c r="AP6" s="1049">
        <v>44592</v>
      </c>
      <c r="AQ6" s="1049">
        <v>44620</v>
      </c>
      <c r="AR6" s="1049">
        <v>44651</v>
      </c>
      <c r="AS6" s="1049">
        <v>44681</v>
      </c>
      <c r="AT6" s="1049">
        <v>44712</v>
      </c>
      <c r="AU6" s="1049">
        <v>44742</v>
      </c>
      <c r="AV6" s="1049">
        <v>44773</v>
      </c>
      <c r="AW6" s="1049">
        <v>44804</v>
      </c>
      <c r="AX6" s="1049">
        <v>44834</v>
      </c>
      <c r="AY6" s="1049">
        <v>44865</v>
      </c>
      <c r="AZ6" s="1149">
        <v>44895</v>
      </c>
      <c r="BA6" s="1149">
        <v>44926</v>
      </c>
      <c r="BB6" s="1149">
        <v>44957</v>
      </c>
      <c r="BC6" s="1149">
        <v>44985</v>
      </c>
      <c r="BD6" s="1049">
        <v>45016</v>
      </c>
      <c r="BE6" s="1049">
        <v>45046</v>
      </c>
      <c r="BF6" s="1049">
        <v>45077</v>
      </c>
      <c r="BG6" s="1049">
        <v>45107</v>
      </c>
      <c r="BH6" s="1049">
        <v>45138</v>
      </c>
      <c r="BI6" s="1049">
        <v>45169</v>
      </c>
      <c r="BJ6" s="1049">
        <v>45199</v>
      </c>
      <c r="BK6" s="1049">
        <v>45230</v>
      </c>
      <c r="BL6" s="1049">
        <v>45260</v>
      </c>
      <c r="BM6" s="1049">
        <v>45291</v>
      </c>
      <c r="BN6" s="1049">
        <v>45322</v>
      </c>
      <c r="BO6" s="1049">
        <v>45351</v>
      </c>
      <c r="BP6" s="1049">
        <v>45382</v>
      </c>
      <c r="BQ6" s="1049">
        <v>45412</v>
      </c>
      <c r="BR6" s="1049">
        <v>45443</v>
      </c>
      <c r="BS6" s="1049">
        <v>45473</v>
      </c>
      <c r="BT6" s="1049">
        <v>45504</v>
      </c>
      <c r="BU6" s="1049">
        <v>45535</v>
      </c>
      <c r="BV6" s="1049">
        <v>45565</v>
      </c>
      <c r="BW6" s="1049">
        <v>45596</v>
      </c>
      <c r="BX6" s="1049">
        <v>45626</v>
      </c>
      <c r="BY6" s="1049">
        <v>45657</v>
      </c>
      <c r="BZ6" s="1049">
        <v>45688</v>
      </c>
      <c r="CA6" s="1049">
        <v>45716</v>
      </c>
      <c r="CB6" s="1049">
        <v>45747</v>
      </c>
      <c r="CC6" s="2061">
        <v>45777</v>
      </c>
      <c r="CD6" s="2061">
        <v>45808</v>
      </c>
      <c r="CE6" s="1368"/>
    </row>
    <row r="7" spans="1:84" ht="42" customHeight="1">
      <c r="A7" s="1050" t="s">
        <v>2237</v>
      </c>
      <c r="B7" s="1051">
        <v>30</v>
      </c>
      <c r="C7" s="1052">
        <v>30</v>
      </c>
      <c r="D7" s="1052">
        <v>30</v>
      </c>
      <c r="E7" s="1053">
        <v>30</v>
      </c>
      <c r="F7" s="1054">
        <v>30</v>
      </c>
      <c r="G7" s="1054">
        <v>30</v>
      </c>
      <c r="H7" s="1054">
        <v>30</v>
      </c>
      <c r="I7" s="1054">
        <v>30</v>
      </c>
      <c r="J7" s="1054">
        <v>30</v>
      </c>
      <c r="K7" s="1054">
        <v>30</v>
      </c>
      <c r="L7" s="1054">
        <v>30</v>
      </c>
      <c r="M7" s="1054">
        <v>30</v>
      </c>
      <c r="N7" s="1054">
        <v>30</v>
      </c>
      <c r="O7" s="1054">
        <v>30</v>
      </c>
      <c r="P7" s="1054">
        <v>30</v>
      </c>
      <c r="Q7" s="1054">
        <v>30</v>
      </c>
      <c r="R7" s="1054">
        <v>30</v>
      </c>
      <c r="S7" s="1054">
        <v>30</v>
      </c>
      <c r="T7" s="1054">
        <v>30</v>
      </c>
      <c r="U7" s="1054">
        <v>28</v>
      </c>
      <c r="V7" s="1054">
        <v>26</v>
      </c>
      <c r="W7" s="1054">
        <v>26</v>
      </c>
      <c r="X7" s="1054">
        <v>26</v>
      </c>
      <c r="Y7" s="1054">
        <v>26</v>
      </c>
      <c r="Z7" s="1054">
        <v>26</v>
      </c>
      <c r="AA7" s="1054">
        <v>26</v>
      </c>
      <c r="AB7" s="1054">
        <v>26</v>
      </c>
      <c r="AC7" s="1054">
        <v>26</v>
      </c>
      <c r="AD7" s="1054">
        <v>26</v>
      </c>
      <c r="AE7" s="1054">
        <v>26</v>
      </c>
      <c r="AF7" s="1054">
        <v>26</v>
      </c>
      <c r="AG7" s="1054">
        <v>26</v>
      </c>
      <c r="AH7" s="1054">
        <v>26</v>
      </c>
      <c r="AI7" s="1054">
        <v>26</v>
      </c>
      <c r="AJ7" s="1054">
        <v>26</v>
      </c>
      <c r="AK7" s="1054">
        <v>26</v>
      </c>
      <c r="AL7" s="1054">
        <v>26</v>
      </c>
      <c r="AM7" s="1054">
        <v>26</v>
      </c>
      <c r="AN7" s="1054">
        <v>26</v>
      </c>
      <c r="AO7" s="1054">
        <v>26</v>
      </c>
      <c r="AP7" s="1054">
        <v>26</v>
      </c>
      <c r="AQ7" s="1054">
        <v>26</v>
      </c>
      <c r="AR7" s="1054">
        <v>26</v>
      </c>
      <c r="AS7" s="1054">
        <v>26</v>
      </c>
      <c r="AT7" s="1054">
        <v>26</v>
      </c>
      <c r="AU7" s="1054">
        <v>26</v>
      </c>
      <c r="AV7" s="1054">
        <v>26</v>
      </c>
      <c r="AW7" s="1054">
        <v>26</v>
      </c>
      <c r="AX7" s="1054">
        <v>26</v>
      </c>
      <c r="AY7" s="1054">
        <v>25</v>
      </c>
      <c r="AZ7" s="1334">
        <v>25</v>
      </c>
      <c r="BA7" s="1334">
        <v>25</v>
      </c>
      <c r="BB7" s="1334">
        <v>25</v>
      </c>
      <c r="BC7" s="1334">
        <v>25</v>
      </c>
      <c r="BD7" s="1371">
        <v>25</v>
      </c>
      <c r="BE7" s="1371">
        <v>25</v>
      </c>
      <c r="BF7" s="1371">
        <v>24</v>
      </c>
      <c r="BG7" s="1371">
        <v>24</v>
      </c>
      <c r="BH7" s="1371">
        <v>24</v>
      </c>
      <c r="BI7" s="1371">
        <v>24</v>
      </c>
      <c r="BJ7" s="1371">
        <v>24</v>
      </c>
      <c r="BK7" s="1371">
        <v>23</v>
      </c>
      <c r="BL7" s="1371">
        <v>23</v>
      </c>
      <c r="BM7" s="1371">
        <v>23</v>
      </c>
      <c r="BN7" s="1371">
        <v>23</v>
      </c>
      <c r="BO7" s="1371">
        <v>23</v>
      </c>
      <c r="BP7" s="1371">
        <v>23</v>
      </c>
      <c r="BQ7" s="1371">
        <v>23</v>
      </c>
      <c r="BR7" s="1371">
        <v>23</v>
      </c>
      <c r="BS7" s="1371">
        <v>23</v>
      </c>
      <c r="BT7" s="1371">
        <v>22</v>
      </c>
      <c r="BU7" s="1371">
        <v>22</v>
      </c>
      <c r="BV7" s="1371">
        <v>22</v>
      </c>
      <c r="BW7" s="1371">
        <v>22</v>
      </c>
      <c r="BX7" s="1371">
        <v>22</v>
      </c>
      <c r="BY7" s="1371">
        <v>22</v>
      </c>
      <c r="BZ7" s="1371">
        <v>22</v>
      </c>
      <c r="CA7" s="1371">
        <v>22</v>
      </c>
      <c r="CB7" s="1371">
        <v>22</v>
      </c>
      <c r="CC7" s="1371">
        <v>22</v>
      </c>
      <c r="CD7" s="1371">
        <v>22</v>
      </c>
      <c r="CE7" s="1369" t="s">
        <v>3562</v>
      </c>
    </row>
    <row r="8" spans="1:84" ht="42" customHeight="1">
      <c r="A8" s="1055" t="s">
        <v>152</v>
      </c>
      <c r="B8" s="1056">
        <v>2</v>
      </c>
      <c r="C8" s="1057">
        <v>2</v>
      </c>
      <c r="D8" s="1057">
        <v>2</v>
      </c>
      <c r="E8" s="1058">
        <v>2</v>
      </c>
      <c r="F8" s="1059">
        <v>2</v>
      </c>
      <c r="G8" s="1059">
        <v>2</v>
      </c>
      <c r="H8" s="1059">
        <v>2</v>
      </c>
      <c r="I8" s="1059">
        <v>2</v>
      </c>
      <c r="J8" s="1059">
        <v>2</v>
      </c>
      <c r="K8" s="1059">
        <v>2</v>
      </c>
      <c r="L8" s="1059">
        <v>2</v>
      </c>
      <c r="M8" s="1059">
        <v>2</v>
      </c>
      <c r="N8" s="1059">
        <v>2</v>
      </c>
      <c r="O8" s="1059">
        <v>2</v>
      </c>
      <c r="P8" s="1059">
        <v>2</v>
      </c>
      <c r="Q8" s="1059">
        <v>2</v>
      </c>
      <c r="R8" s="1059">
        <v>2</v>
      </c>
      <c r="S8" s="1059">
        <v>2</v>
      </c>
      <c r="T8" s="1059">
        <v>2</v>
      </c>
      <c r="U8" s="1059">
        <v>2</v>
      </c>
      <c r="V8" s="1059">
        <v>2</v>
      </c>
      <c r="W8" s="1059">
        <v>2</v>
      </c>
      <c r="X8" s="1059">
        <v>2</v>
      </c>
      <c r="Y8" s="1059">
        <v>2</v>
      </c>
      <c r="Z8" s="1059">
        <v>2</v>
      </c>
      <c r="AA8" s="1059">
        <v>2</v>
      </c>
      <c r="AB8" s="1059">
        <v>2</v>
      </c>
      <c r="AC8" s="1059">
        <v>2</v>
      </c>
      <c r="AD8" s="1059">
        <v>2</v>
      </c>
      <c r="AE8" s="1059">
        <v>2</v>
      </c>
      <c r="AF8" s="1059">
        <v>2</v>
      </c>
      <c r="AG8" s="1059">
        <v>2</v>
      </c>
      <c r="AH8" s="1059">
        <v>2</v>
      </c>
      <c r="AI8" s="1059">
        <v>2</v>
      </c>
      <c r="AJ8" s="1059">
        <v>2</v>
      </c>
      <c r="AK8" s="1059">
        <v>2</v>
      </c>
      <c r="AL8" s="1059">
        <v>2</v>
      </c>
      <c r="AM8" s="1059">
        <v>2</v>
      </c>
      <c r="AN8" s="1059">
        <v>2</v>
      </c>
      <c r="AO8" s="1059">
        <v>2</v>
      </c>
      <c r="AP8" s="1059">
        <v>2</v>
      </c>
      <c r="AQ8" s="1059">
        <v>2</v>
      </c>
      <c r="AR8" s="1059">
        <v>2</v>
      </c>
      <c r="AS8" s="1059">
        <v>2</v>
      </c>
      <c r="AT8" s="1059">
        <v>2</v>
      </c>
      <c r="AU8" s="1059">
        <v>2</v>
      </c>
      <c r="AV8" s="1059">
        <v>2</v>
      </c>
      <c r="AW8" s="1059">
        <v>2</v>
      </c>
      <c r="AX8" s="1059">
        <v>2</v>
      </c>
      <c r="AY8" s="1059">
        <v>2</v>
      </c>
      <c r="AZ8" s="1335">
        <v>2</v>
      </c>
      <c r="BA8" s="1335">
        <v>2</v>
      </c>
      <c r="BB8" s="1335">
        <v>2</v>
      </c>
      <c r="BC8" s="1335">
        <v>2</v>
      </c>
      <c r="BD8" s="1089">
        <v>2</v>
      </c>
      <c r="BE8" s="1089">
        <v>2</v>
      </c>
      <c r="BF8" s="1089">
        <v>2</v>
      </c>
      <c r="BG8" s="1089">
        <v>2</v>
      </c>
      <c r="BH8" s="1089">
        <v>2</v>
      </c>
      <c r="BI8" s="1089">
        <v>2</v>
      </c>
      <c r="BJ8" s="1089">
        <v>2</v>
      </c>
      <c r="BK8" s="1089">
        <v>2</v>
      </c>
      <c r="BL8" s="1089">
        <v>2</v>
      </c>
      <c r="BM8" s="1089">
        <v>2</v>
      </c>
      <c r="BN8" s="1089">
        <v>2</v>
      </c>
      <c r="BO8" s="1089">
        <v>2</v>
      </c>
      <c r="BP8" s="1089">
        <v>2</v>
      </c>
      <c r="BQ8" s="1089">
        <v>2</v>
      </c>
      <c r="BR8" s="1089">
        <v>2</v>
      </c>
      <c r="BS8" s="1089">
        <v>2</v>
      </c>
      <c r="BT8" s="1089">
        <v>2</v>
      </c>
      <c r="BU8" s="1089">
        <v>2</v>
      </c>
      <c r="BV8" s="1089">
        <v>2</v>
      </c>
      <c r="BW8" s="1089">
        <v>2</v>
      </c>
      <c r="BX8" s="1089">
        <v>2</v>
      </c>
      <c r="BY8" s="1089">
        <v>2</v>
      </c>
      <c r="BZ8" s="1089">
        <v>2</v>
      </c>
      <c r="CA8" s="1089">
        <v>2</v>
      </c>
      <c r="CB8" s="1089">
        <v>2</v>
      </c>
      <c r="CC8" s="1089">
        <v>2</v>
      </c>
      <c r="CD8" s="1089">
        <v>2</v>
      </c>
      <c r="CE8" s="1370" t="s">
        <v>3563</v>
      </c>
    </row>
    <row r="9" spans="1:84" ht="42" customHeight="1">
      <c r="A9" s="1055" t="s">
        <v>153</v>
      </c>
      <c r="B9" s="1056">
        <v>28</v>
      </c>
      <c r="C9" s="1057">
        <v>28</v>
      </c>
      <c r="D9" s="1057">
        <v>28</v>
      </c>
      <c r="E9" s="1058">
        <v>28</v>
      </c>
      <c r="F9" s="1059">
        <v>28</v>
      </c>
      <c r="G9" s="1059">
        <v>28</v>
      </c>
      <c r="H9" s="1059">
        <v>28</v>
      </c>
      <c r="I9" s="1059">
        <v>28</v>
      </c>
      <c r="J9" s="1059">
        <v>28</v>
      </c>
      <c r="K9" s="1059">
        <v>28</v>
      </c>
      <c r="L9" s="1059">
        <v>28</v>
      </c>
      <c r="M9" s="1059">
        <v>28</v>
      </c>
      <c r="N9" s="1059">
        <v>28</v>
      </c>
      <c r="O9" s="1059">
        <v>28</v>
      </c>
      <c r="P9" s="1059">
        <v>28</v>
      </c>
      <c r="Q9" s="1059">
        <v>28</v>
      </c>
      <c r="R9" s="1059">
        <v>28</v>
      </c>
      <c r="S9" s="1059">
        <v>28</v>
      </c>
      <c r="T9" s="1059">
        <v>28</v>
      </c>
      <c r="U9" s="1059">
        <v>26</v>
      </c>
      <c r="V9" s="1059">
        <v>24</v>
      </c>
      <c r="W9" s="1059">
        <v>24</v>
      </c>
      <c r="X9" s="1059">
        <v>24</v>
      </c>
      <c r="Y9" s="1059">
        <v>24</v>
      </c>
      <c r="Z9" s="1059">
        <v>24</v>
      </c>
      <c r="AA9" s="1059">
        <v>24</v>
      </c>
      <c r="AB9" s="1059">
        <v>24</v>
      </c>
      <c r="AC9" s="1059">
        <v>24</v>
      </c>
      <c r="AD9" s="1059">
        <v>24</v>
      </c>
      <c r="AE9" s="1059">
        <v>24</v>
      </c>
      <c r="AF9" s="1059">
        <v>24</v>
      </c>
      <c r="AG9" s="1059">
        <v>24</v>
      </c>
      <c r="AH9" s="1059">
        <v>24</v>
      </c>
      <c r="AI9" s="1059">
        <v>24</v>
      </c>
      <c r="AJ9" s="1059">
        <v>24</v>
      </c>
      <c r="AK9" s="1059">
        <v>24</v>
      </c>
      <c r="AL9" s="1059">
        <v>24</v>
      </c>
      <c r="AM9" s="1059">
        <v>24</v>
      </c>
      <c r="AN9" s="1059">
        <v>24</v>
      </c>
      <c r="AO9" s="1059">
        <v>24</v>
      </c>
      <c r="AP9" s="1059">
        <v>24</v>
      </c>
      <c r="AQ9" s="1059">
        <v>24</v>
      </c>
      <c r="AR9" s="1059">
        <v>24</v>
      </c>
      <c r="AS9" s="1059">
        <v>24</v>
      </c>
      <c r="AT9" s="1059">
        <v>24</v>
      </c>
      <c r="AU9" s="1059">
        <v>24</v>
      </c>
      <c r="AV9" s="1059">
        <v>24</v>
      </c>
      <c r="AW9" s="1059">
        <v>24</v>
      </c>
      <c r="AX9" s="1059">
        <v>24</v>
      </c>
      <c r="AY9" s="1059">
        <v>23</v>
      </c>
      <c r="AZ9" s="1335">
        <v>23</v>
      </c>
      <c r="BA9" s="1335">
        <v>23</v>
      </c>
      <c r="BB9" s="1335">
        <v>23</v>
      </c>
      <c r="BC9" s="1335">
        <v>23</v>
      </c>
      <c r="BD9" s="1089">
        <v>23</v>
      </c>
      <c r="BE9" s="1089">
        <v>23</v>
      </c>
      <c r="BF9" s="1089">
        <v>22</v>
      </c>
      <c r="BG9" s="1089">
        <v>22</v>
      </c>
      <c r="BH9" s="1089">
        <v>22</v>
      </c>
      <c r="BI9" s="1089">
        <v>22</v>
      </c>
      <c r="BJ9" s="1089">
        <v>22</v>
      </c>
      <c r="BK9" s="1089">
        <v>21</v>
      </c>
      <c r="BL9" s="1089">
        <v>21</v>
      </c>
      <c r="BM9" s="1089">
        <v>21</v>
      </c>
      <c r="BN9" s="1089">
        <v>21</v>
      </c>
      <c r="BO9" s="1089">
        <v>21</v>
      </c>
      <c r="BP9" s="1089">
        <v>21</v>
      </c>
      <c r="BQ9" s="1089">
        <v>21</v>
      </c>
      <c r="BR9" s="1089">
        <v>21</v>
      </c>
      <c r="BS9" s="1089">
        <v>21</v>
      </c>
      <c r="BT9" s="1089">
        <v>20</v>
      </c>
      <c r="BU9" s="1089">
        <v>20</v>
      </c>
      <c r="BV9" s="1089">
        <v>20</v>
      </c>
      <c r="BW9" s="1089">
        <v>20</v>
      </c>
      <c r="BX9" s="1089">
        <v>20</v>
      </c>
      <c r="BY9" s="1089">
        <v>20</v>
      </c>
      <c r="BZ9" s="1089">
        <v>20</v>
      </c>
      <c r="CA9" s="1089">
        <v>20</v>
      </c>
      <c r="CB9" s="1089">
        <v>20</v>
      </c>
      <c r="CC9" s="1089">
        <v>20</v>
      </c>
      <c r="CD9" s="1089">
        <v>20</v>
      </c>
      <c r="CE9" s="1370" t="s">
        <v>161</v>
      </c>
    </row>
    <row r="10" spans="1:84" ht="42" customHeight="1">
      <c r="A10" s="1055" t="s">
        <v>2236</v>
      </c>
      <c r="B10" s="1056">
        <v>15</v>
      </c>
      <c r="C10" s="1057">
        <v>15</v>
      </c>
      <c r="D10" s="1057">
        <v>15</v>
      </c>
      <c r="E10" s="1058">
        <v>15</v>
      </c>
      <c r="F10" s="1059">
        <v>15</v>
      </c>
      <c r="G10" s="1059">
        <v>15</v>
      </c>
      <c r="H10" s="1059">
        <v>15</v>
      </c>
      <c r="I10" s="1059">
        <v>15</v>
      </c>
      <c r="J10" s="1059">
        <v>15</v>
      </c>
      <c r="K10" s="1059">
        <v>14</v>
      </c>
      <c r="L10" s="1059">
        <v>14</v>
      </c>
      <c r="M10" s="1059">
        <v>14</v>
      </c>
      <c r="N10" s="1059">
        <v>14</v>
      </c>
      <c r="O10" s="1059">
        <v>14</v>
      </c>
      <c r="P10" s="1059">
        <v>14</v>
      </c>
      <c r="Q10" s="1059">
        <v>14</v>
      </c>
      <c r="R10" s="1059">
        <v>14</v>
      </c>
      <c r="S10" s="1059">
        <v>14</v>
      </c>
      <c r="T10" s="1059">
        <v>14</v>
      </c>
      <c r="U10" s="1059">
        <v>13</v>
      </c>
      <c r="V10" s="1059">
        <v>12</v>
      </c>
      <c r="W10" s="1059">
        <v>12</v>
      </c>
      <c r="X10" s="1059">
        <v>12</v>
      </c>
      <c r="Y10" s="1059">
        <v>12</v>
      </c>
      <c r="Z10" s="1059">
        <v>12</v>
      </c>
      <c r="AA10" s="1059">
        <v>12</v>
      </c>
      <c r="AB10" s="1059">
        <v>12</v>
      </c>
      <c r="AC10" s="1059">
        <v>12</v>
      </c>
      <c r="AD10" s="1059">
        <v>12</v>
      </c>
      <c r="AE10" s="1059">
        <v>12</v>
      </c>
      <c r="AF10" s="1059">
        <v>12</v>
      </c>
      <c r="AG10" s="1059">
        <v>12</v>
      </c>
      <c r="AH10" s="1059">
        <v>12</v>
      </c>
      <c r="AI10" s="1059">
        <v>12</v>
      </c>
      <c r="AJ10" s="1059">
        <v>12</v>
      </c>
      <c r="AK10" s="1059">
        <v>12</v>
      </c>
      <c r="AL10" s="1059">
        <v>12</v>
      </c>
      <c r="AM10" s="1059">
        <v>12</v>
      </c>
      <c r="AN10" s="1059">
        <v>12</v>
      </c>
      <c r="AO10" s="1059">
        <v>12</v>
      </c>
      <c r="AP10" s="1059">
        <v>12</v>
      </c>
      <c r="AQ10" s="1059">
        <v>12</v>
      </c>
      <c r="AR10" s="1059">
        <v>12</v>
      </c>
      <c r="AS10" s="1059">
        <v>12</v>
      </c>
      <c r="AT10" s="1059">
        <v>12</v>
      </c>
      <c r="AU10" s="1059">
        <v>12</v>
      </c>
      <c r="AV10" s="1059">
        <v>12</v>
      </c>
      <c r="AW10" s="1059">
        <v>12</v>
      </c>
      <c r="AX10" s="1059">
        <v>12</v>
      </c>
      <c r="AY10" s="1059">
        <v>11</v>
      </c>
      <c r="AZ10" s="1335">
        <v>11</v>
      </c>
      <c r="BA10" s="1335">
        <v>10</v>
      </c>
      <c r="BB10" s="1335">
        <v>10</v>
      </c>
      <c r="BC10" s="1335">
        <v>10</v>
      </c>
      <c r="BD10" s="1089">
        <v>10</v>
      </c>
      <c r="BE10" s="1089">
        <v>10</v>
      </c>
      <c r="BF10" s="1089">
        <v>9</v>
      </c>
      <c r="BG10" s="1089">
        <v>9</v>
      </c>
      <c r="BH10" s="1089">
        <v>9</v>
      </c>
      <c r="BI10" s="1089">
        <v>9</v>
      </c>
      <c r="BJ10" s="1089">
        <v>9</v>
      </c>
      <c r="BK10" s="1089">
        <v>9</v>
      </c>
      <c r="BL10" s="1089">
        <v>9</v>
      </c>
      <c r="BM10" s="1089">
        <v>9</v>
      </c>
      <c r="BN10" s="1089">
        <v>9</v>
      </c>
      <c r="BO10" s="1089">
        <v>9</v>
      </c>
      <c r="BP10" s="1089">
        <v>9</v>
      </c>
      <c r="BQ10" s="1089">
        <v>9</v>
      </c>
      <c r="BR10" s="1089">
        <v>9</v>
      </c>
      <c r="BS10" s="1089">
        <v>9</v>
      </c>
      <c r="BT10" s="1089">
        <v>9</v>
      </c>
      <c r="BU10" s="1089">
        <v>9</v>
      </c>
      <c r="BV10" s="1089">
        <v>9</v>
      </c>
      <c r="BW10" s="1089">
        <v>9</v>
      </c>
      <c r="BX10" s="1089">
        <v>9</v>
      </c>
      <c r="BY10" s="1089">
        <v>9</v>
      </c>
      <c r="BZ10" s="1089">
        <v>9</v>
      </c>
      <c r="CA10" s="1089">
        <v>9</v>
      </c>
      <c r="CB10" s="1089">
        <v>9</v>
      </c>
      <c r="CC10" s="1089">
        <v>9</v>
      </c>
      <c r="CD10" s="1089">
        <v>9</v>
      </c>
      <c r="CE10" s="1370" t="s">
        <v>3564</v>
      </c>
    </row>
    <row r="11" spans="1:84" ht="52.15" customHeight="1">
      <c r="A11" s="1060" t="s">
        <v>2544</v>
      </c>
      <c r="B11" s="1056">
        <v>8</v>
      </c>
      <c r="C11" s="1057">
        <v>8</v>
      </c>
      <c r="D11" s="1057">
        <v>8</v>
      </c>
      <c r="E11" s="1058">
        <v>8</v>
      </c>
      <c r="F11" s="1059">
        <v>8</v>
      </c>
      <c r="G11" s="1059">
        <v>8</v>
      </c>
      <c r="H11" s="1059">
        <v>8</v>
      </c>
      <c r="I11" s="1059">
        <v>8</v>
      </c>
      <c r="J11" s="1059">
        <v>8</v>
      </c>
      <c r="K11" s="1059">
        <v>8</v>
      </c>
      <c r="L11" s="1059">
        <v>8</v>
      </c>
      <c r="M11" s="1059">
        <v>8</v>
      </c>
      <c r="N11" s="1059">
        <v>8</v>
      </c>
      <c r="O11" s="1059">
        <v>7</v>
      </c>
      <c r="P11" s="1059">
        <v>7</v>
      </c>
      <c r="Q11" s="1059">
        <v>7</v>
      </c>
      <c r="R11" s="1059">
        <v>7</v>
      </c>
      <c r="S11" s="1059">
        <v>7</v>
      </c>
      <c r="T11" s="1059">
        <v>7</v>
      </c>
      <c r="U11" s="1059">
        <v>7</v>
      </c>
      <c r="V11" s="1059">
        <v>7</v>
      </c>
      <c r="W11" s="1059">
        <v>7</v>
      </c>
      <c r="X11" s="1059">
        <v>7</v>
      </c>
      <c r="Y11" s="1059">
        <v>7</v>
      </c>
      <c r="Z11" s="1059">
        <v>7</v>
      </c>
      <c r="AA11" s="1059">
        <v>7</v>
      </c>
      <c r="AB11" s="1059">
        <v>7</v>
      </c>
      <c r="AC11" s="1059">
        <v>7</v>
      </c>
      <c r="AD11" s="1059">
        <v>7</v>
      </c>
      <c r="AE11" s="1059">
        <v>7</v>
      </c>
      <c r="AF11" s="1059">
        <v>7</v>
      </c>
      <c r="AG11" s="1059">
        <v>7</v>
      </c>
      <c r="AH11" s="1059">
        <v>7</v>
      </c>
      <c r="AI11" s="1059">
        <v>7</v>
      </c>
      <c r="AJ11" s="1059">
        <v>7</v>
      </c>
      <c r="AK11" s="1059">
        <v>7</v>
      </c>
      <c r="AL11" s="1059">
        <v>7</v>
      </c>
      <c r="AM11" s="1059">
        <v>7</v>
      </c>
      <c r="AN11" s="1059">
        <v>7</v>
      </c>
      <c r="AO11" s="1059">
        <v>7</v>
      </c>
      <c r="AP11" s="1059">
        <v>7</v>
      </c>
      <c r="AQ11" s="1059">
        <v>7</v>
      </c>
      <c r="AR11" s="1059">
        <v>7</v>
      </c>
      <c r="AS11" s="1059">
        <v>7</v>
      </c>
      <c r="AT11" s="1059">
        <v>7</v>
      </c>
      <c r="AU11" s="1059">
        <v>7</v>
      </c>
      <c r="AV11" s="1059">
        <v>7</v>
      </c>
      <c r="AW11" s="1059">
        <v>7</v>
      </c>
      <c r="AX11" s="1059">
        <v>7</v>
      </c>
      <c r="AY11" s="1059">
        <v>6</v>
      </c>
      <c r="AZ11" s="1335">
        <v>6</v>
      </c>
      <c r="BA11" s="1335">
        <v>6</v>
      </c>
      <c r="BB11" s="1335">
        <v>6</v>
      </c>
      <c r="BC11" s="1335">
        <v>6</v>
      </c>
      <c r="BD11" s="1089">
        <v>6</v>
      </c>
      <c r="BE11" s="1089">
        <v>6</v>
      </c>
      <c r="BF11" s="1089">
        <v>6</v>
      </c>
      <c r="BG11" s="1089">
        <v>5</v>
      </c>
      <c r="BH11" s="1089">
        <v>5</v>
      </c>
      <c r="BI11" s="1089">
        <v>5</v>
      </c>
      <c r="BJ11" s="1089">
        <v>5</v>
      </c>
      <c r="BK11" s="1089">
        <v>5</v>
      </c>
      <c r="BL11" s="1089">
        <v>5</v>
      </c>
      <c r="BM11" s="1089">
        <v>5</v>
      </c>
      <c r="BN11" s="1089">
        <v>5</v>
      </c>
      <c r="BO11" s="1089">
        <v>5</v>
      </c>
      <c r="BP11" s="1089">
        <v>5</v>
      </c>
      <c r="BQ11" s="1089">
        <v>5</v>
      </c>
      <c r="BR11" s="1089">
        <v>5</v>
      </c>
      <c r="BS11" s="1089">
        <v>5</v>
      </c>
      <c r="BT11" s="1089">
        <v>5</v>
      </c>
      <c r="BU11" s="1089">
        <v>5</v>
      </c>
      <c r="BV11" s="1089">
        <v>5</v>
      </c>
      <c r="BW11" s="1089">
        <v>5</v>
      </c>
      <c r="BX11" s="1089">
        <v>5</v>
      </c>
      <c r="BY11" s="1089">
        <v>5</v>
      </c>
      <c r="BZ11" s="1089">
        <v>5</v>
      </c>
      <c r="CA11" s="1089">
        <v>5</v>
      </c>
      <c r="CB11" s="1089">
        <v>5</v>
      </c>
      <c r="CC11" s="1089">
        <v>5</v>
      </c>
      <c r="CD11" s="1089">
        <v>5</v>
      </c>
      <c r="CE11" s="1372" t="s">
        <v>3565</v>
      </c>
    </row>
    <row r="12" spans="1:84" ht="42" customHeight="1">
      <c r="A12" s="1060" t="s">
        <v>2520</v>
      </c>
      <c r="B12" s="1056">
        <v>2</v>
      </c>
      <c r="C12" s="1057">
        <v>2</v>
      </c>
      <c r="D12" s="1057">
        <v>2</v>
      </c>
      <c r="E12" s="1058">
        <v>2</v>
      </c>
      <c r="F12" s="1059">
        <v>2</v>
      </c>
      <c r="G12" s="1059">
        <v>2</v>
      </c>
      <c r="H12" s="1059">
        <v>2</v>
      </c>
      <c r="I12" s="1059">
        <v>2</v>
      </c>
      <c r="J12" s="1059">
        <v>2</v>
      </c>
      <c r="K12" s="1059">
        <v>2</v>
      </c>
      <c r="L12" s="1059">
        <v>2</v>
      </c>
      <c r="M12" s="1059">
        <v>2</v>
      </c>
      <c r="N12" s="1059">
        <v>2</v>
      </c>
      <c r="O12" s="1059">
        <v>2</v>
      </c>
      <c r="P12" s="1059">
        <v>2</v>
      </c>
      <c r="Q12" s="1059">
        <v>2</v>
      </c>
      <c r="R12" s="1059">
        <v>2</v>
      </c>
      <c r="S12" s="1059">
        <v>2</v>
      </c>
      <c r="T12" s="1059">
        <v>2</v>
      </c>
      <c r="U12" s="1059">
        <v>2</v>
      </c>
      <c r="V12" s="1059">
        <v>2</v>
      </c>
      <c r="W12" s="1059">
        <v>2</v>
      </c>
      <c r="X12" s="1059">
        <v>2</v>
      </c>
      <c r="Y12" s="1059">
        <v>2</v>
      </c>
      <c r="Z12" s="1059">
        <v>2</v>
      </c>
      <c r="AA12" s="1059">
        <v>2</v>
      </c>
      <c r="AB12" s="1059">
        <v>2</v>
      </c>
      <c r="AC12" s="1059">
        <v>2</v>
      </c>
      <c r="AD12" s="1059">
        <v>2</v>
      </c>
      <c r="AE12" s="1059">
        <v>2</v>
      </c>
      <c r="AF12" s="1059">
        <v>2</v>
      </c>
      <c r="AG12" s="1059">
        <v>2</v>
      </c>
      <c r="AH12" s="1059">
        <v>2</v>
      </c>
      <c r="AI12" s="1059">
        <v>2</v>
      </c>
      <c r="AJ12" s="1059">
        <v>2</v>
      </c>
      <c r="AK12" s="1059">
        <v>2</v>
      </c>
      <c r="AL12" s="1059">
        <v>2</v>
      </c>
      <c r="AM12" s="1059">
        <v>2</v>
      </c>
      <c r="AN12" s="1059">
        <v>2</v>
      </c>
      <c r="AO12" s="1059">
        <v>2</v>
      </c>
      <c r="AP12" s="1059">
        <v>2</v>
      </c>
      <c r="AQ12" s="1059">
        <v>2</v>
      </c>
      <c r="AR12" s="1059">
        <v>2</v>
      </c>
      <c r="AS12" s="1059">
        <v>2</v>
      </c>
      <c r="AT12" s="1059">
        <v>2</v>
      </c>
      <c r="AU12" s="1059">
        <v>2</v>
      </c>
      <c r="AV12" s="1059">
        <v>2</v>
      </c>
      <c r="AW12" s="1059">
        <v>2</v>
      </c>
      <c r="AX12" s="1059">
        <v>2</v>
      </c>
      <c r="AY12" s="1059">
        <v>1</v>
      </c>
      <c r="AZ12" s="1335">
        <v>1</v>
      </c>
      <c r="BA12" s="1335">
        <v>1</v>
      </c>
      <c r="BB12" s="1335">
        <v>1</v>
      </c>
      <c r="BC12" s="1335">
        <v>1</v>
      </c>
      <c r="BD12" s="1089">
        <v>1</v>
      </c>
      <c r="BE12" s="1089">
        <v>1</v>
      </c>
      <c r="BF12" s="1089">
        <v>1</v>
      </c>
      <c r="BG12" s="1089">
        <v>1</v>
      </c>
      <c r="BH12" s="1089">
        <v>1</v>
      </c>
      <c r="BI12" s="1089">
        <v>1</v>
      </c>
      <c r="BJ12" s="1089">
        <v>1</v>
      </c>
      <c r="BK12" s="1089">
        <v>1</v>
      </c>
      <c r="BL12" s="1089">
        <v>1</v>
      </c>
      <c r="BM12" s="1089">
        <v>1</v>
      </c>
      <c r="BN12" s="1089">
        <v>1</v>
      </c>
      <c r="BO12" s="1089">
        <v>1</v>
      </c>
      <c r="BP12" s="1089">
        <v>1</v>
      </c>
      <c r="BQ12" s="1089">
        <v>1</v>
      </c>
      <c r="BR12" s="1089">
        <v>1</v>
      </c>
      <c r="BS12" s="1089">
        <v>1</v>
      </c>
      <c r="BT12" s="1089">
        <v>1</v>
      </c>
      <c r="BU12" s="1089">
        <v>1</v>
      </c>
      <c r="BV12" s="1089">
        <v>1</v>
      </c>
      <c r="BW12" s="1089">
        <v>1</v>
      </c>
      <c r="BX12" s="1089">
        <v>1</v>
      </c>
      <c r="BY12" s="1089">
        <v>1</v>
      </c>
      <c r="BZ12" s="1089">
        <v>1</v>
      </c>
      <c r="CA12" s="1089">
        <v>1</v>
      </c>
      <c r="CB12" s="1089">
        <v>1</v>
      </c>
      <c r="CC12" s="1089">
        <v>1</v>
      </c>
      <c r="CD12" s="1089">
        <v>1</v>
      </c>
      <c r="CE12" s="1372" t="s">
        <v>3566</v>
      </c>
    </row>
    <row r="13" spans="1:84" ht="54.6" customHeight="1" thickBot="1">
      <c r="A13" s="1061" t="s">
        <v>2231</v>
      </c>
      <c r="B13" s="1062">
        <v>7</v>
      </c>
      <c r="C13" s="1063">
        <v>7</v>
      </c>
      <c r="D13" s="1063">
        <v>7</v>
      </c>
      <c r="E13" s="1064">
        <v>7</v>
      </c>
      <c r="F13" s="1065">
        <v>7</v>
      </c>
      <c r="G13" s="1065">
        <v>7</v>
      </c>
      <c r="H13" s="1065">
        <v>7</v>
      </c>
      <c r="I13" s="1065">
        <v>7</v>
      </c>
      <c r="J13" s="1065">
        <v>7</v>
      </c>
      <c r="K13" s="1065">
        <v>6</v>
      </c>
      <c r="L13" s="1065">
        <v>6</v>
      </c>
      <c r="M13" s="1065">
        <v>6</v>
      </c>
      <c r="N13" s="1065">
        <v>6</v>
      </c>
      <c r="O13" s="1065">
        <v>6</v>
      </c>
      <c r="P13" s="1065">
        <v>7</v>
      </c>
      <c r="Q13" s="1065">
        <v>7</v>
      </c>
      <c r="R13" s="1065">
        <v>7</v>
      </c>
      <c r="S13" s="1065">
        <v>7</v>
      </c>
      <c r="T13" s="1065">
        <v>7</v>
      </c>
      <c r="U13" s="1065">
        <v>6</v>
      </c>
      <c r="V13" s="1065">
        <v>5</v>
      </c>
      <c r="W13" s="1065">
        <v>5</v>
      </c>
      <c r="X13" s="1065">
        <v>5</v>
      </c>
      <c r="Y13" s="1065">
        <v>5</v>
      </c>
      <c r="Z13" s="1065">
        <v>5</v>
      </c>
      <c r="AA13" s="1065">
        <v>5</v>
      </c>
      <c r="AB13" s="1065">
        <v>5</v>
      </c>
      <c r="AC13" s="1065">
        <v>5</v>
      </c>
      <c r="AD13" s="1065">
        <v>5</v>
      </c>
      <c r="AE13" s="1065">
        <v>5</v>
      </c>
      <c r="AF13" s="1065">
        <v>5</v>
      </c>
      <c r="AG13" s="1065">
        <v>5</v>
      </c>
      <c r="AH13" s="1065">
        <v>5</v>
      </c>
      <c r="AI13" s="1065">
        <v>5</v>
      </c>
      <c r="AJ13" s="1065">
        <v>5</v>
      </c>
      <c r="AK13" s="1065">
        <v>5</v>
      </c>
      <c r="AL13" s="1065">
        <v>5</v>
      </c>
      <c r="AM13" s="1065">
        <v>5</v>
      </c>
      <c r="AN13" s="1065">
        <v>5</v>
      </c>
      <c r="AO13" s="1065">
        <v>5</v>
      </c>
      <c r="AP13" s="1065">
        <v>5</v>
      </c>
      <c r="AQ13" s="1065">
        <v>5</v>
      </c>
      <c r="AR13" s="1065">
        <v>5</v>
      </c>
      <c r="AS13" s="1065">
        <v>5</v>
      </c>
      <c r="AT13" s="1065">
        <v>5</v>
      </c>
      <c r="AU13" s="1065">
        <v>5</v>
      </c>
      <c r="AV13" s="1065">
        <v>5</v>
      </c>
      <c r="AW13" s="1065">
        <v>5</v>
      </c>
      <c r="AX13" s="1065">
        <v>5</v>
      </c>
      <c r="AY13" s="1065">
        <v>5</v>
      </c>
      <c r="AZ13" s="1336">
        <v>5</v>
      </c>
      <c r="BA13" s="1336">
        <v>4</v>
      </c>
      <c r="BB13" s="1336">
        <v>4</v>
      </c>
      <c r="BC13" s="1336">
        <v>4</v>
      </c>
      <c r="BD13" s="1077">
        <v>4</v>
      </c>
      <c r="BE13" s="1077">
        <v>4</v>
      </c>
      <c r="BF13" s="1077">
        <v>3</v>
      </c>
      <c r="BG13" s="1077">
        <v>3</v>
      </c>
      <c r="BH13" s="1077">
        <v>3</v>
      </c>
      <c r="BI13" s="1077">
        <v>3</v>
      </c>
      <c r="BJ13" s="1077">
        <v>3</v>
      </c>
      <c r="BK13" s="1077">
        <v>3</v>
      </c>
      <c r="BL13" s="1077">
        <v>3</v>
      </c>
      <c r="BM13" s="1077">
        <v>3</v>
      </c>
      <c r="BN13" s="1077">
        <v>3</v>
      </c>
      <c r="BO13" s="1077">
        <v>3</v>
      </c>
      <c r="BP13" s="1077">
        <v>3</v>
      </c>
      <c r="BQ13" s="1077">
        <v>3</v>
      </c>
      <c r="BR13" s="1077">
        <v>3</v>
      </c>
      <c r="BS13" s="1077">
        <v>3</v>
      </c>
      <c r="BT13" s="1077">
        <v>3</v>
      </c>
      <c r="BU13" s="1077">
        <v>3</v>
      </c>
      <c r="BV13" s="1077">
        <v>3</v>
      </c>
      <c r="BW13" s="1077">
        <v>3</v>
      </c>
      <c r="BX13" s="1077">
        <v>3</v>
      </c>
      <c r="BY13" s="1077">
        <v>3</v>
      </c>
      <c r="BZ13" s="1077">
        <v>3</v>
      </c>
      <c r="CA13" s="1077">
        <v>3</v>
      </c>
      <c r="CB13" s="1077">
        <v>3</v>
      </c>
      <c r="CC13" s="1077">
        <v>3</v>
      </c>
      <c r="CD13" s="1077">
        <v>3</v>
      </c>
      <c r="CE13" s="1373" t="s">
        <v>3567</v>
      </c>
    </row>
    <row r="14" spans="1:84" ht="13.9" customHeight="1" thickBot="1">
      <c r="A14" s="1066"/>
      <c r="B14" s="1067"/>
      <c r="C14" s="1067"/>
      <c r="D14" s="1067"/>
      <c r="E14" s="1067"/>
      <c r="F14" s="1067"/>
      <c r="G14" s="1067"/>
      <c r="H14" s="1067"/>
      <c r="I14" s="1067"/>
      <c r="J14" s="1067"/>
      <c r="K14" s="1067"/>
      <c r="L14" s="1067"/>
      <c r="M14" s="1067"/>
      <c r="N14" s="1067"/>
      <c r="O14" s="1067"/>
      <c r="P14" s="1067"/>
      <c r="Q14" s="1067"/>
      <c r="R14" s="1067"/>
      <c r="S14" s="1067"/>
      <c r="T14" s="1067"/>
      <c r="U14" s="1067"/>
      <c r="V14" s="1067"/>
      <c r="W14" s="1067"/>
      <c r="X14" s="1067"/>
      <c r="Y14" s="1067"/>
      <c r="Z14" s="1067"/>
      <c r="AA14" s="1067"/>
      <c r="AB14" s="1067"/>
      <c r="AC14" s="1067"/>
      <c r="AD14" s="1067"/>
      <c r="AE14" s="1067"/>
      <c r="AF14" s="1067"/>
      <c r="AG14" s="1067"/>
      <c r="AH14" s="1067"/>
      <c r="AI14" s="1067"/>
      <c r="AJ14" s="1067"/>
      <c r="AK14" s="1067"/>
      <c r="AL14" s="1067"/>
      <c r="AM14" s="1067"/>
      <c r="AN14" s="1067"/>
      <c r="AO14" s="1067"/>
      <c r="AP14" s="1067"/>
      <c r="AQ14" s="1067"/>
      <c r="AR14" s="1067"/>
      <c r="AS14" s="1067"/>
      <c r="AT14" s="1067"/>
      <c r="AU14" s="1067"/>
      <c r="AV14" s="1067"/>
      <c r="AW14" s="1067"/>
      <c r="AX14" s="1067"/>
      <c r="AY14" s="1067"/>
      <c r="AZ14" s="1067"/>
      <c r="BA14" s="1067"/>
      <c r="BB14" s="1067"/>
      <c r="BC14" s="1067"/>
      <c r="BD14" s="1067"/>
      <c r="BE14" s="1067"/>
      <c r="BF14" s="1067"/>
      <c r="BG14" s="1067"/>
      <c r="BH14" s="1067"/>
      <c r="BI14" s="1067"/>
      <c r="BJ14" s="1067"/>
      <c r="BK14" s="1067"/>
      <c r="BL14" s="1067"/>
      <c r="BM14" s="1067"/>
      <c r="BN14" s="1067"/>
      <c r="BO14" s="1067"/>
      <c r="BP14" s="1067"/>
      <c r="BQ14" s="1067"/>
      <c r="BR14" s="1067"/>
      <c r="BS14" s="1067"/>
      <c r="BT14" s="1067"/>
      <c r="BU14" s="1067"/>
      <c r="BV14" s="1067"/>
      <c r="BW14" s="1067"/>
      <c r="BX14" s="1067"/>
      <c r="BY14" s="1067"/>
      <c r="BZ14" s="1067"/>
      <c r="CA14" s="1067"/>
      <c r="CB14" s="1067"/>
      <c r="CC14" s="1067"/>
      <c r="CD14" s="1067"/>
      <c r="CE14" s="1067"/>
    </row>
    <row r="15" spans="1:84" ht="74.25" customHeight="1">
      <c r="A15" s="1068" t="s">
        <v>2235</v>
      </c>
      <c r="B15" s="1069">
        <v>0</v>
      </c>
      <c r="C15" s="1070">
        <v>0</v>
      </c>
      <c r="D15" s="1070">
        <v>0</v>
      </c>
      <c r="E15" s="1071">
        <v>0</v>
      </c>
      <c r="F15" s="1072">
        <v>0</v>
      </c>
      <c r="G15" s="1072">
        <v>0</v>
      </c>
      <c r="H15" s="1072">
        <v>0</v>
      </c>
      <c r="I15" s="1072">
        <v>0</v>
      </c>
      <c r="J15" s="1072">
        <v>0</v>
      </c>
      <c r="K15" s="1072">
        <v>0</v>
      </c>
      <c r="L15" s="1072">
        <v>0</v>
      </c>
      <c r="M15" s="1072">
        <v>0</v>
      </c>
      <c r="N15" s="1072">
        <v>0</v>
      </c>
      <c r="O15" s="1072">
        <v>0</v>
      </c>
      <c r="P15" s="1072">
        <v>0</v>
      </c>
      <c r="Q15" s="1072">
        <v>0</v>
      </c>
      <c r="R15" s="1072">
        <v>0</v>
      </c>
      <c r="S15" s="1072">
        <v>0</v>
      </c>
      <c r="T15" s="1072">
        <v>0</v>
      </c>
      <c r="U15" s="1072">
        <v>0</v>
      </c>
      <c r="V15" s="1072">
        <v>0</v>
      </c>
      <c r="W15" s="1072">
        <v>0</v>
      </c>
      <c r="X15" s="1072">
        <v>0</v>
      </c>
      <c r="Y15" s="1072">
        <v>0</v>
      </c>
      <c r="Z15" s="1072">
        <v>0</v>
      </c>
      <c r="AA15" s="1072">
        <v>0</v>
      </c>
      <c r="AB15" s="1072">
        <v>0</v>
      </c>
      <c r="AC15" s="1072">
        <v>0</v>
      </c>
      <c r="AD15" s="1072">
        <v>0</v>
      </c>
      <c r="AE15" s="1072">
        <v>0</v>
      </c>
      <c r="AF15" s="1072">
        <v>0</v>
      </c>
      <c r="AG15" s="1072">
        <v>0</v>
      </c>
      <c r="AH15" s="1072">
        <v>0</v>
      </c>
      <c r="AI15" s="1072">
        <v>0</v>
      </c>
      <c r="AJ15" s="1072">
        <v>0</v>
      </c>
      <c r="AK15" s="1072">
        <v>0</v>
      </c>
      <c r="AL15" s="1072">
        <v>0</v>
      </c>
      <c r="AM15" s="1072">
        <v>0</v>
      </c>
      <c r="AN15" s="1072">
        <v>0</v>
      </c>
      <c r="AO15" s="1072">
        <v>0</v>
      </c>
      <c r="AP15" s="1072">
        <v>0</v>
      </c>
      <c r="AQ15" s="1072">
        <v>0</v>
      </c>
      <c r="AR15" s="1073">
        <v>0</v>
      </c>
      <c r="AS15" s="1073">
        <v>0</v>
      </c>
      <c r="AT15" s="1073">
        <v>0</v>
      </c>
      <c r="AU15" s="1073">
        <v>0</v>
      </c>
      <c r="AV15" s="1073">
        <v>0</v>
      </c>
      <c r="AW15" s="1073">
        <v>0</v>
      </c>
      <c r="AX15" s="1073">
        <v>0</v>
      </c>
      <c r="AY15" s="1073">
        <v>0</v>
      </c>
      <c r="AZ15" s="1073">
        <v>0</v>
      </c>
      <c r="BA15" s="1073">
        <v>0</v>
      </c>
      <c r="BB15" s="1073">
        <v>0</v>
      </c>
      <c r="BC15" s="1073">
        <v>0</v>
      </c>
      <c r="BD15" s="1073">
        <v>0</v>
      </c>
      <c r="BE15" s="1073">
        <v>0</v>
      </c>
      <c r="BF15" s="1073">
        <v>0</v>
      </c>
      <c r="BG15" s="1073">
        <v>0</v>
      </c>
      <c r="BH15" s="1073">
        <v>0</v>
      </c>
      <c r="BI15" s="1073">
        <v>0</v>
      </c>
      <c r="BJ15" s="1073">
        <v>0</v>
      </c>
      <c r="BK15" s="1073">
        <v>0</v>
      </c>
      <c r="BL15" s="1073">
        <v>0</v>
      </c>
      <c r="BM15" s="1073">
        <v>0</v>
      </c>
      <c r="BN15" s="1073">
        <v>0</v>
      </c>
      <c r="BO15" s="1073">
        <v>0</v>
      </c>
      <c r="BP15" s="1073">
        <v>0</v>
      </c>
      <c r="BQ15" s="1073">
        <v>0</v>
      </c>
      <c r="BR15" s="1073">
        <v>0</v>
      </c>
      <c r="BS15" s="1073">
        <v>0</v>
      </c>
      <c r="BT15" s="1073">
        <v>0</v>
      </c>
      <c r="BU15" s="1073">
        <v>0</v>
      </c>
      <c r="BV15" s="1073">
        <v>0</v>
      </c>
      <c r="BW15" s="1073">
        <v>0</v>
      </c>
      <c r="BX15" s="1073">
        <v>0</v>
      </c>
      <c r="BY15" s="1073">
        <v>0</v>
      </c>
      <c r="BZ15" s="1073">
        <v>0</v>
      </c>
      <c r="CA15" s="1073">
        <v>0</v>
      </c>
      <c r="CB15" s="1073">
        <v>0</v>
      </c>
      <c r="CC15" s="1073">
        <v>0</v>
      </c>
      <c r="CD15" s="1073">
        <v>0</v>
      </c>
      <c r="CE15" s="1374" t="s">
        <v>3568</v>
      </c>
    </row>
    <row r="16" spans="1:84" ht="72.75" customHeight="1" thickBot="1">
      <c r="A16" s="1074" t="s">
        <v>2234</v>
      </c>
      <c r="B16" s="1075">
        <v>0</v>
      </c>
      <c r="C16" s="1076">
        <v>0</v>
      </c>
      <c r="D16" s="1076">
        <v>0</v>
      </c>
      <c r="E16" s="1064">
        <v>0</v>
      </c>
      <c r="F16" s="1065">
        <v>0</v>
      </c>
      <c r="G16" s="1065">
        <v>0</v>
      </c>
      <c r="H16" s="1065">
        <v>0</v>
      </c>
      <c r="I16" s="1065">
        <v>0</v>
      </c>
      <c r="J16" s="1065">
        <v>0</v>
      </c>
      <c r="K16" s="1065">
        <v>0</v>
      </c>
      <c r="L16" s="1065">
        <v>0</v>
      </c>
      <c r="M16" s="1065">
        <v>0</v>
      </c>
      <c r="N16" s="1065">
        <v>0</v>
      </c>
      <c r="O16" s="1065">
        <v>0</v>
      </c>
      <c r="P16" s="1065">
        <v>0</v>
      </c>
      <c r="Q16" s="1065">
        <v>0</v>
      </c>
      <c r="R16" s="1065">
        <v>0</v>
      </c>
      <c r="S16" s="1065">
        <v>0</v>
      </c>
      <c r="T16" s="1065">
        <v>0</v>
      </c>
      <c r="U16" s="1065">
        <v>2</v>
      </c>
      <c r="V16" s="1065">
        <v>4</v>
      </c>
      <c r="W16" s="1065">
        <v>4</v>
      </c>
      <c r="X16" s="1065">
        <v>4</v>
      </c>
      <c r="Y16" s="1065">
        <v>4</v>
      </c>
      <c r="Z16" s="1065">
        <v>4</v>
      </c>
      <c r="AA16" s="1065">
        <v>4</v>
      </c>
      <c r="AB16" s="1065">
        <v>4</v>
      </c>
      <c r="AC16" s="1065">
        <v>4</v>
      </c>
      <c r="AD16" s="1065">
        <v>0</v>
      </c>
      <c r="AE16" s="1065">
        <v>0</v>
      </c>
      <c r="AF16" s="1065">
        <v>0</v>
      </c>
      <c r="AG16" s="1065">
        <v>0</v>
      </c>
      <c r="AH16" s="1065">
        <v>0</v>
      </c>
      <c r="AI16" s="1065">
        <v>0</v>
      </c>
      <c r="AJ16" s="1065">
        <v>0</v>
      </c>
      <c r="AK16" s="1065">
        <v>0</v>
      </c>
      <c r="AL16" s="1065">
        <v>0</v>
      </c>
      <c r="AM16" s="1065">
        <v>0</v>
      </c>
      <c r="AN16" s="1065">
        <v>0</v>
      </c>
      <c r="AO16" s="1065">
        <v>0</v>
      </c>
      <c r="AP16" s="1065">
        <v>0</v>
      </c>
      <c r="AQ16" s="1065">
        <v>0</v>
      </c>
      <c r="AR16" s="1077">
        <v>0</v>
      </c>
      <c r="AS16" s="1077">
        <v>0</v>
      </c>
      <c r="AT16" s="1077">
        <v>0</v>
      </c>
      <c r="AU16" s="1077">
        <v>0</v>
      </c>
      <c r="AV16" s="1077">
        <v>0</v>
      </c>
      <c r="AW16" s="1077">
        <v>0</v>
      </c>
      <c r="AX16" s="1077">
        <v>0</v>
      </c>
      <c r="AY16" s="1077">
        <v>1</v>
      </c>
      <c r="AZ16" s="1077">
        <v>1</v>
      </c>
      <c r="BA16" s="1077">
        <v>1</v>
      </c>
      <c r="BB16" s="1077">
        <v>0</v>
      </c>
      <c r="BC16" s="1077">
        <v>0</v>
      </c>
      <c r="BD16" s="1077">
        <v>0</v>
      </c>
      <c r="BE16" s="1077">
        <v>0</v>
      </c>
      <c r="BF16" s="1077">
        <v>1</v>
      </c>
      <c r="BG16" s="1077">
        <v>1</v>
      </c>
      <c r="BH16" s="1077">
        <v>1</v>
      </c>
      <c r="BI16" s="1077">
        <v>1</v>
      </c>
      <c r="BJ16" s="1077">
        <v>1</v>
      </c>
      <c r="BK16" s="1077">
        <v>2</v>
      </c>
      <c r="BL16" s="1077">
        <v>2</v>
      </c>
      <c r="BM16" s="1077">
        <v>2</v>
      </c>
      <c r="BN16" s="1077">
        <v>0</v>
      </c>
      <c r="BO16" s="1077">
        <v>0</v>
      </c>
      <c r="BP16" s="1077">
        <v>0</v>
      </c>
      <c r="BQ16" s="1077">
        <v>0</v>
      </c>
      <c r="BR16" s="1077">
        <v>0</v>
      </c>
      <c r="BS16" s="1077">
        <v>0</v>
      </c>
      <c r="BT16" s="1077">
        <v>1</v>
      </c>
      <c r="BU16" s="1077">
        <v>1</v>
      </c>
      <c r="BV16" s="1077">
        <v>1</v>
      </c>
      <c r="BW16" s="1077">
        <v>1</v>
      </c>
      <c r="BX16" s="1077">
        <v>1</v>
      </c>
      <c r="BY16" s="1077">
        <v>1</v>
      </c>
      <c r="BZ16" s="1077">
        <v>0</v>
      </c>
      <c r="CA16" s="1077">
        <v>0</v>
      </c>
      <c r="CB16" s="1077">
        <v>0</v>
      </c>
      <c r="CC16" s="1077">
        <v>0</v>
      </c>
      <c r="CD16" s="1077">
        <v>0</v>
      </c>
      <c r="CE16" s="1375" t="s">
        <v>3569</v>
      </c>
    </row>
    <row r="17" spans="1:86" ht="14.45" customHeight="1" thickBot="1">
      <c r="A17" s="2894"/>
      <c r="B17" s="2895"/>
      <c r="C17" s="2895"/>
      <c r="D17" s="2895"/>
      <c r="E17" s="2895"/>
      <c r="F17" s="2895"/>
      <c r="G17" s="2895"/>
      <c r="H17" s="2895"/>
      <c r="I17" s="2895"/>
      <c r="J17" s="2895"/>
      <c r="K17" s="2895"/>
      <c r="L17" s="2895"/>
      <c r="M17" s="2895"/>
      <c r="N17" s="2895"/>
      <c r="O17" s="2895"/>
      <c r="P17" s="2895"/>
      <c r="Q17" s="2895"/>
      <c r="R17" s="2895"/>
      <c r="S17" s="2895"/>
      <c r="T17" s="2895"/>
      <c r="U17" s="2895"/>
      <c r="V17" s="2895"/>
      <c r="W17" s="2895"/>
      <c r="X17" s="2895"/>
      <c r="Y17" s="2895"/>
      <c r="Z17" s="2895"/>
      <c r="AA17" s="2895"/>
      <c r="AB17" s="2895"/>
      <c r="AC17" s="2895"/>
      <c r="AD17" s="2895"/>
      <c r="AE17" s="2895"/>
      <c r="AF17" s="2895"/>
      <c r="AG17" s="2895"/>
      <c r="AH17" s="2895"/>
      <c r="AI17" s="2895"/>
      <c r="AJ17" s="2895"/>
      <c r="AK17" s="2895"/>
      <c r="AL17" s="2895"/>
      <c r="AM17" s="2895"/>
      <c r="AN17" s="2895"/>
      <c r="AO17" s="2895"/>
      <c r="AP17" s="2895"/>
      <c r="AQ17" s="2895"/>
      <c r="AR17" s="2895"/>
      <c r="AS17" s="2895"/>
      <c r="AT17" s="2895"/>
      <c r="AU17" s="2895"/>
      <c r="AV17" s="2895"/>
      <c r="AW17" s="2895"/>
      <c r="AX17" s="2895"/>
      <c r="AY17" s="2895"/>
      <c r="AZ17" s="2895"/>
      <c r="BA17" s="2895"/>
      <c r="BB17" s="2895"/>
      <c r="BC17" s="2895"/>
      <c r="BD17" s="2895"/>
      <c r="BE17" s="2895"/>
      <c r="BF17" s="2895"/>
      <c r="BG17" s="2895"/>
      <c r="BH17" s="2895"/>
      <c r="BI17" s="2895"/>
      <c r="BJ17" s="2895"/>
      <c r="BK17" s="2895"/>
      <c r="BL17" s="2895"/>
      <c r="BM17" s="2895"/>
      <c r="BN17" s="2895"/>
      <c r="BO17" s="2895"/>
      <c r="BP17" s="2895"/>
      <c r="BQ17" s="2895"/>
      <c r="BR17" s="2895"/>
      <c r="BS17" s="2895"/>
      <c r="BT17" s="2895"/>
      <c r="BU17" s="2895"/>
      <c r="BV17" s="2895"/>
      <c r="BW17" s="2895"/>
      <c r="BX17" s="2895"/>
      <c r="BY17" s="2895"/>
      <c r="BZ17" s="2895"/>
      <c r="CA17" s="2895"/>
      <c r="CB17" s="2895"/>
      <c r="CC17" s="2895"/>
      <c r="CD17" s="2895"/>
      <c r="CE17" s="2895"/>
    </row>
    <row r="18" spans="1:86" ht="40.9" customHeight="1">
      <c r="A18" s="1078" t="s">
        <v>2233</v>
      </c>
      <c r="B18" s="1079">
        <v>511</v>
      </c>
      <c r="C18" s="1080">
        <v>508</v>
      </c>
      <c r="D18" s="1081">
        <v>508</v>
      </c>
      <c r="E18" s="1082">
        <v>508</v>
      </c>
      <c r="F18" s="1073">
        <v>508</v>
      </c>
      <c r="G18" s="1073">
        <v>509</v>
      </c>
      <c r="H18" s="1073">
        <v>512</v>
      </c>
      <c r="I18" s="1073">
        <v>512</v>
      </c>
      <c r="J18" s="1073">
        <v>512</v>
      </c>
      <c r="K18" s="1073">
        <v>513</v>
      </c>
      <c r="L18" s="1073">
        <v>514</v>
      </c>
      <c r="M18" s="1073">
        <v>514</v>
      </c>
      <c r="N18" s="1073">
        <v>515</v>
      </c>
      <c r="O18" s="1073">
        <v>515</v>
      </c>
      <c r="P18" s="1073">
        <v>509</v>
      </c>
      <c r="Q18" s="1073">
        <v>509</v>
      </c>
      <c r="R18" s="1073">
        <v>508</v>
      </c>
      <c r="S18" s="1073">
        <v>507</v>
      </c>
      <c r="T18" s="1073">
        <v>506</v>
      </c>
      <c r="U18" s="1073">
        <v>467</v>
      </c>
      <c r="V18" s="1073">
        <v>439</v>
      </c>
      <c r="W18" s="1073">
        <v>440</v>
      </c>
      <c r="X18" s="1073">
        <v>440</v>
      </c>
      <c r="Y18" s="1073">
        <v>440</v>
      </c>
      <c r="Z18" s="1073">
        <v>443</v>
      </c>
      <c r="AA18" s="1073">
        <v>444</v>
      </c>
      <c r="AB18" s="1073">
        <v>446</v>
      </c>
      <c r="AC18" s="1073">
        <v>455</v>
      </c>
      <c r="AD18" s="1073">
        <v>456</v>
      </c>
      <c r="AE18" s="1073">
        <v>456</v>
      </c>
      <c r="AF18" s="1073">
        <v>458</v>
      </c>
      <c r="AG18" s="1073">
        <v>462</v>
      </c>
      <c r="AH18" s="1073">
        <v>465</v>
      </c>
      <c r="AI18" s="1073">
        <v>465</v>
      </c>
      <c r="AJ18" s="1073">
        <v>465</v>
      </c>
      <c r="AK18" s="1073">
        <v>466</v>
      </c>
      <c r="AL18" s="1073">
        <v>466</v>
      </c>
      <c r="AM18" s="1073">
        <v>473</v>
      </c>
      <c r="AN18" s="1073">
        <v>474</v>
      </c>
      <c r="AO18" s="1073">
        <v>479</v>
      </c>
      <c r="AP18" s="1073">
        <v>480</v>
      </c>
      <c r="AQ18" s="1073">
        <v>481</v>
      </c>
      <c r="AR18" s="1073">
        <v>486</v>
      </c>
      <c r="AS18" s="1083">
        <v>487</v>
      </c>
      <c r="AT18" s="1083">
        <v>491</v>
      </c>
      <c r="AU18" s="1083">
        <v>492</v>
      </c>
      <c r="AV18" s="1083">
        <v>480</v>
      </c>
      <c r="AW18" s="1083">
        <v>483</v>
      </c>
      <c r="AX18" s="1083">
        <v>481</v>
      </c>
      <c r="AY18" s="1083">
        <v>483</v>
      </c>
      <c r="AZ18" s="1083">
        <v>484</v>
      </c>
      <c r="BA18" s="1083">
        <v>487</v>
      </c>
      <c r="BB18" s="1083">
        <v>489</v>
      </c>
      <c r="BC18" s="1083">
        <v>490</v>
      </c>
      <c r="BD18" s="1379">
        <v>491</v>
      </c>
      <c r="BE18" s="1379">
        <v>493</v>
      </c>
      <c r="BF18" s="1379">
        <v>483</v>
      </c>
      <c r="BG18" s="1379">
        <v>486</v>
      </c>
      <c r="BH18" s="1379">
        <v>486</v>
      </c>
      <c r="BI18" s="1379">
        <v>488</v>
      </c>
      <c r="BJ18" s="1379">
        <v>491</v>
      </c>
      <c r="BK18" s="1379">
        <v>471</v>
      </c>
      <c r="BL18" s="1379">
        <v>474</v>
      </c>
      <c r="BM18" s="1379">
        <v>475</v>
      </c>
      <c r="BN18" s="1379">
        <v>475</v>
      </c>
      <c r="BO18" s="1379">
        <v>475</v>
      </c>
      <c r="BP18" s="1379">
        <v>476</v>
      </c>
      <c r="BQ18" s="1379">
        <v>480</v>
      </c>
      <c r="BR18" s="1379">
        <v>483</v>
      </c>
      <c r="BS18" s="1379">
        <v>486</v>
      </c>
      <c r="BT18" s="1379">
        <v>487</v>
      </c>
      <c r="BU18" s="1379">
        <v>481</v>
      </c>
      <c r="BV18" s="1379">
        <v>482</v>
      </c>
      <c r="BW18" s="1379">
        <v>481</v>
      </c>
      <c r="BX18" s="1379">
        <v>483</v>
      </c>
      <c r="BY18" s="1379">
        <v>485</v>
      </c>
      <c r="BZ18" s="1379">
        <v>485</v>
      </c>
      <c r="CA18" s="1379">
        <v>488</v>
      </c>
      <c r="CB18" s="1379">
        <v>491</v>
      </c>
      <c r="CC18" s="1379">
        <v>494</v>
      </c>
      <c r="CD18" s="1379">
        <v>494</v>
      </c>
      <c r="CE18" s="1376" t="s">
        <v>3570</v>
      </c>
    </row>
    <row r="19" spans="1:86" ht="40.9" customHeight="1">
      <c r="A19" s="1084" t="s">
        <v>2232</v>
      </c>
      <c r="B19" s="1085">
        <v>143</v>
      </c>
      <c r="C19" s="1086">
        <v>140</v>
      </c>
      <c r="D19" s="1087">
        <v>141</v>
      </c>
      <c r="E19" s="1088">
        <v>130</v>
      </c>
      <c r="F19" s="1089">
        <v>130</v>
      </c>
      <c r="G19" s="1089">
        <v>130</v>
      </c>
      <c r="H19" s="1089">
        <v>129</v>
      </c>
      <c r="I19" s="1089">
        <v>128</v>
      </c>
      <c r="J19" s="1089">
        <v>129</v>
      </c>
      <c r="K19" s="1089">
        <v>129</v>
      </c>
      <c r="L19" s="1089">
        <v>128</v>
      </c>
      <c r="M19" s="1089">
        <v>129</v>
      </c>
      <c r="N19" s="1089">
        <v>129</v>
      </c>
      <c r="O19" s="1089">
        <v>130</v>
      </c>
      <c r="P19" s="1089">
        <v>133</v>
      </c>
      <c r="Q19" s="1089">
        <v>133</v>
      </c>
      <c r="R19" s="1089">
        <v>132</v>
      </c>
      <c r="S19" s="1089">
        <v>127</v>
      </c>
      <c r="T19" s="1089">
        <v>126</v>
      </c>
      <c r="U19" s="1089">
        <v>117</v>
      </c>
      <c r="V19" s="1089">
        <v>115</v>
      </c>
      <c r="W19" s="1089">
        <v>117</v>
      </c>
      <c r="X19" s="1089">
        <v>116</v>
      </c>
      <c r="Y19" s="1089">
        <v>116</v>
      </c>
      <c r="Z19" s="1089">
        <v>116</v>
      </c>
      <c r="AA19" s="1089">
        <v>116</v>
      </c>
      <c r="AB19" s="1089">
        <v>115</v>
      </c>
      <c r="AC19" s="1089">
        <v>109</v>
      </c>
      <c r="AD19" s="1089">
        <v>108</v>
      </c>
      <c r="AE19" s="1089">
        <v>108</v>
      </c>
      <c r="AF19" s="1089">
        <v>105</v>
      </c>
      <c r="AG19" s="1089">
        <v>102</v>
      </c>
      <c r="AH19" s="1089">
        <v>100</v>
      </c>
      <c r="AI19" s="1089">
        <v>101</v>
      </c>
      <c r="AJ19" s="1089">
        <v>102</v>
      </c>
      <c r="AK19" s="1089">
        <v>103</v>
      </c>
      <c r="AL19" s="1089">
        <v>103</v>
      </c>
      <c r="AM19" s="1089">
        <v>97</v>
      </c>
      <c r="AN19" s="1089">
        <v>97</v>
      </c>
      <c r="AO19" s="1089">
        <v>97</v>
      </c>
      <c r="AP19" s="1089">
        <v>97</v>
      </c>
      <c r="AQ19" s="1089">
        <v>97</v>
      </c>
      <c r="AR19" s="1089">
        <v>95</v>
      </c>
      <c r="AS19" s="1090">
        <v>97</v>
      </c>
      <c r="AT19" s="1090">
        <v>96</v>
      </c>
      <c r="AU19" s="1090">
        <v>96</v>
      </c>
      <c r="AV19" s="1090">
        <v>95</v>
      </c>
      <c r="AW19" s="1090">
        <v>94</v>
      </c>
      <c r="AX19" s="1090">
        <v>93</v>
      </c>
      <c r="AY19" s="1090">
        <v>94</v>
      </c>
      <c r="AZ19" s="1090">
        <v>94</v>
      </c>
      <c r="BA19" s="1090">
        <v>91</v>
      </c>
      <c r="BB19" s="1090">
        <v>92</v>
      </c>
      <c r="BC19" s="1090">
        <v>94</v>
      </c>
      <c r="BD19" s="1380">
        <v>94</v>
      </c>
      <c r="BE19" s="1380">
        <v>94</v>
      </c>
      <c r="BF19" s="1380">
        <v>86</v>
      </c>
      <c r="BG19" s="1380">
        <v>86</v>
      </c>
      <c r="BH19" s="1380">
        <v>86</v>
      </c>
      <c r="BI19" s="1380">
        <v>89</v>
      </c>
      <c r="BJ19" s="1380">
        <v>88</v>
      </c>
      <c r="BK19" s="1380">
        <v>86</v>
      </c>
      <c r="BL19" s="1380">
        <v>86</v>
      </c>
      <c r="BM19" s="1380">
        <v>96</v>
      </c>
      <c r="BN19" s="1380">
        <v>104</v>
      </c>
      <c r="BO19" s="1380">
        <v>104</v>
      </c>
      <c r="BP19" s="1380">
        <v>103</v>
      </c>
      <c r="BQ19" s="1380">
        <v>103</v>
      </c>
      <c r="BR19" s="1380">
        <v>97</v>
      </c>
      <c r="BS19" s="1380">
        <v>91</v>
      </c>
      <c r="BT19" s="1380">
        <v>92</v>
      </c>
      <c r="BU19" s="1380">
        <v>88</v>
      </c>
      <c r="BV19" s="1380">
        <v>88</v>
      </c>
      <c r="BW19" s="1380">
        <v>88</v>
      </c>
      <c r="BX19" s="1380">
        <v>88</v>
      </c>
      <c r="BY19" s="1380">
        <v>88</v>
      </c>
      <c r="BZ19" s="1380">
        <v>88</v>
      </c>
      <c r="CA19" s="1380">
        <v>89</v>
      </c>
      <c r="CB19" s="1380">
        <v>85</v>
      </c>
      <c r="CC19" s="1380">
        <v>87</v>
      </c>
      <c r="CD19" s="1380">
        <v>87</v>
      </c>
      <c r="CE19" s="1377" t="s">
        <v>3571</v>
      </c>
    </row>
    <row r="20" spans="1:86" ht="40.9" customHeight="1">
      <c r="A20" s="1084" t="s">
        <v>2521</v>
      </c>
      <c r="B20" s="1085">
        <v>2479</v>
      </c>
      <c r="C20" s="1086">
        <v>2492</v>
      </c>
      <c r="D20" s="1087">
        <v>2490</v>
      </c>
      <c r="E20" s="1088">
        <v>2502</v>
      </c>
      <c r="F20" s="1089">
        <v>2510</v>
      </c>
      <c r="G20" s="1089">
        <v>2524</v>
      </c>
      <c r="H20" s="1089">
        <v>2535</v>
      </c>
      <c r="I20" s="1089">
        <v>2544</v>
      </c>
      <c r="J20" s="1089">
        <v>2568</v>
      </c>
      <c r="K20" s="1089">
        <v>2571</v>
      </c>
      <c r="L20" s="1089">
        <v>2582</v>
      </c>
      <c r="M20" s="1089">
        <v>2588</v>
      </c>
      <c r="N20" s="1089">
        <v>2592</v>
      </c>
      <c r="O20" s="1089">
        <v>2612</v>
      </c>
      <c r="P20" s="1089">
        <v>2627</v>
      </c>
      <c r="Q20" s="1089">
        <v>2647</v>
      </c>
      <c r="R20" s="1089">
        <v>2659</v>
      </c>
      <c r="S20" s="1089">
        <v>2658</v>
      </c>
      <c r="T20" s="1089">
        <v>2677</v>
      </c>
      <c r="U20" s="1089">
        <v>2636</v>
      </c>
      <c r="V20" s="1089">
        <v>2552</v>
      </c>
      <c r="W20" s="1089">
        <v>2569</v>
      </c>
      <c r="X20" s="1089">
        <v>2585</v>
      </c>
      <c r="Y20" s="1089">
        <v>2608</v>
      </c>
      <c r="Z20" s="1089">
        <v>2640</v>
      </c>
      <c r="AA20" s="1089">
        <v>2655</v>
      </c>
      <c r="AB20" s="1089">
        <v>2688</v>
      </c>
      <c r="AC20" s="1089">
        <v>2715</v>
      </c>
      <c r="AD20" s="1089">
        <v>2740</v>
      </c>
      <c r="AE20" s="1089">
        <v>2747</v>
      </c>
      <c r="AF20" s="1089">
        <v>2765</v>
      </c>
      <c r="AG20" s="1089">
        <v>2771</v>
      </c>
      <c r="AH20" s="1089">
        <v>2785</v>
      </c>
      <c r="AI20" s="1089">
        <v>2804</v>
      </c>
      <c r="AJ20" s="1089">
        <v>2824</v>
      </c>
      <c r="AK20" s="1089">
        <v>2844</v>
      </c>
      <c r="AL20" s="1089">
        <v>2854</v>
      </c>
      <c r="AM20" s="1089">
        <v>2870</v>
      </c>
      <c r="AN20" s="1089">
        <v>2882</v>
      </c>
      <c r="AO20" s="1089">
        <v>2907</v>
      </c>
      <c r="AP20" s="1089">
        <v>2920</v>
      </c>
      <c r="AQ20" s="1089">
        <v>2931</v>
      </c>
      <c r="AR20" s="1090">
        <v>2934</v>
      </c>
      <c r="AS20" s="1090">
        <v>2933</v>
      </c>
      <c r="AT20" s="1090">
        <v>2933</v>
      </c>
      <c r="AU20" s="1090">
        <v>2935</v>
      </c>
      <c r="AV20" s="1090">
        <v>2944</v>
      </c>
      <c r="AW20" s="1090">
        <v>2960</v>
      </c>
      <c r="AX20" s="1090">
        <v>2964</v>
      </c>
      <c r="AY20" s="1090">
        <v>2965</v>
      </c>
      <c r="AZ20" s="1090">
        <v>2975</v>
      </c>
      <c r="BA20" s="1090">
        <v>2997</v>
      </c>
      <c r="BB20" s="1090">
        <v>3006</v>
      </c>
      <c r="BC20" s="1090">
        <v>3003</v>
      </c>
      <c r="BD20" s="1380">
        <v>2996</v>
      </c>
      <c r="BE20" s="1380">
        <v>3002</v>
      </c>
      <c r="BF20" s="1380">
        <v>3003</v>
      </c>
      <c r="BG20" s="1380">
        <v>3009</v>
      </c>
      <c r="BH20" s="1380">
        <v>3015</v>
      </c>
      <c r="BI20" s="1380">
        <v>3032</v>
      </c>
      <c r="BJ20" s="1380">
        <v>3047</v>
      </c>
      <c r="BK20" s="1380">
        <v>3018</v>
      </c>
      <c r="BL20" s="1380">
        <v>3042</v>
      </c>
      <c r="BM20" s="1380">
        <v>3040</v>
      </c>
      <c r="BN20" s="1380">
        <v>3044</v>
      </c>
      <c r="BO20" s="1380">
        <v>3064</v>
      </c>
      <c r="BP20" s="1380">
        <v>3080</v>
      </c>
      <c r="BQ20" s="1380">
        <v>3102</v>
      </c>
      <c r="BR20" s="1380">
        <v>3061</v>
      </c>
      <c r="BS20" s="1380">
        <v>3086</v>
      </c>
      <c r="BT20" s="1380">
        <v>3106</v>
      </c>
      <c r="BU20" s="1380">
        <v>3125</v>
      </c>
      <c r="BV20" s="1380">
        <v>3140</v>
      </c>
      <c r="BW20" s="1380">
        <v>3180</v>
      </c>
      <c r="BX20" s="1380">
        <v>3200</v>
      </c>
      <c r="BY20" s="1380">
        <v>3230</v>
      </c>
      <c r="BZ20" s="1380">
        <v>3253</v>
      </c>
      <c r="CA20" s="1380">
        <v>3274</v>
      </c>
      <c r="CB20" s="1380">
        <v>3290</v>
      </c>
      <c r="CC20" s="1380">
        <v>3311</v>
      </c>
      <c r="CD20" s="1380">
        <v>3332</v>
      </c>
      <c r="CE20" s="1377" t="s">
        <v>3572</v>
      </c>
      <c r="CF20" s="1091"/>
      <c r="CG20" s="1092"/>
      <c r="CH20" s="1093"/>
    </row>
    <row r="21" spans="1:86" ht="38.450000000000003" customHeight="1" thickBot="1">
      <c r="A21" s="1094" t="s">
        <v>2522</v>
      </c>
      <c r="B21" s="1095">
        <v>17066</v>
      </c>
      <c r="C21" s="1096">
        <v>17211</v>
      </c>
      <c r="D21" s="1097">
        <v>17321</v>
      </c>
      <c r="E21" s="1098">
        <v>17415</v>
      </c>
      <c r="F21" s="1077">
        <v>17588</v>
      </c>
      <c r="G21" s="1077">
        <v>17683</v>
      </c>
      <c r="H21" s="1077">
        <v>17749</v>
      </c>
      <c r="I21" s="1077">
        <v>17982</v>
      </c>
      <c r="J21" s="1077">
        <v>18191</v>
      </c>
      <c r="K21" s="1077">
        <v>18288</v>
      </c>
      <c r="L21" s="1077">
        <v>18434</v>
      </c>
      <c r="M21" s="1077">
        <v>18711</v>
      </c>
      <c r="N21" s="1077">
        <v>18911</v>
      </c>
      <c r="O21" s="1077">
        <v>19108</v>
      </c>
      <c r="P21" s="1077">
        <v>19241</v>
      </c>
      <c r="Q21" s="1077">
        <v>19460</v>
      </c>
      <c r="R21" s="1077">
        <v>19572</v>
      </c>
      <c r="S21" s="1077">
        <v>19757</v>
      </c>
      <c r="T21" s="1077">
        <v>19846</v>
      </c>
      <c r="U21" s="1077">
        <v>19162</v>
      </c>
      <c r="V21" s="1077">
        <v>18391</v>
      </c>
      <c r="W21" s="1077">
        <v>18400</v>
      </c>
      <c r="X21" s="1077">
        <v>18478</v>
      </c>
      <c r="Y21" s="1077">
        <v>18489</v>
      </c>
      <c r="Z21" s="1077">
        <v>18555</v>
      </c>
      <c r="AA21" s="1077">
        <v>18536</v>
      </c>
      <c r="AB21" s="1077">
        <v>18630</v>
      </c>
      <c r="AC21" s="1077">
        <v>18708</v>
      </c>
      <c r="AD21" s="1077">
        <v>18724</v>
      </c>
      <c r="AE21" s="1077">
        <v>18724</v>
      </c>
      <c r="AF21" s="1077">
        <v>18767</v>
      </c>
      <c r="AG21" s="1077">
        <v>18893</v>
      </c>
      <c r="AH21" s="1077">
        <v>18901</v>
      </c>
      <c r="AI21" s="1077">
        <v>18993</v>
      </c>
      <c r="AJ21" s="1077">
        <v>19169</v>
      </c>
      <c r="AK21" s="1077">
        <v>19344</v>
      </c>
      <c r="AL21" s="1077">
        <v>19488</v>
      </c>
      <c r="AM21" s="1077">
        <v>19835</v>
      </c>
      <c r="AN21" s="1077">
        <v>20035</v>
      </c>
      <c r="AO21" s="1077">
        <v>20329</v>
      </c>
      <c r="AP21" s="1077">
        <v>20601</v>
      </c>
      <c r="AQ21" s="1099">
        <v>20834</v>
      </c>
      <c r="AR21" s="1077">
        <v>21031</v>
      </c>
      <c r="AS21" s="1099">
        <v>21227</v>
      </c>
      <c r="AT21" s="1099">
        <v>21379</v>
      </c>
      <c r="AU21" s="1099">
        <v>21526</v>
      </c>
      <c r="AV21" s="1099">
        <v>21729</v>
      </c>
      <c r="AW21" s="1099">
        <v>21947</v>
      </c>
      <c r="AX21" s="1099">
        <v>22116</v>
      </c>
      <c r="AY21" s="1099">
        <v>22302</v>
      </c>
      <c r="AZ21" s="1099">
        <v>22551</v>
      </c>
      <c r="BA21" s="1099">
        <v>22777</v>
      </c>
      <c r="BB21" s="1099">
        <v>22870</v>
      </c>
      <c r="BC21" s="1099">
        <v>23040</v>
      </c>
      <c r="BD21" s="1381">
        <v>23164</v>
      </c>
      <c r="BE21" s="1381">
        <v>23258</v>
      </c>
      <c r="BF21" s="1381">
        <v>23124</v>
      </c>
      <c r="BG21" s="1381">
        <v>23241</v>
      </c>
      <c r="BH21" s="1381">
        <v>23319</v>
      </c>
      <c r="BI21" s="1381">
        <v>23491</v>
      </c>
      <c r="BJ21" s="1381">
        <v>23530</v>
      </c>
      <c r="BK21" s="1381">
        <v>23292</v>
      </c>
      <c r="BL21" s="1381">
        <v>23354</v>
      </c>
      <c r="BM21" s="1381">
        <v>23569</v>
      </c>
      <c r="BN21" s="1381">
        <v>23633</v>
      </c>
      <c r="BO21" s="1381">
        <v>23878</v>
      </c>
      <c r="BP21" s="1381">
        <v>24036</v>
      </c>
      <c r="BQ21" s="1381">
        <v>24110</v>
      </c>
      <c r="BR21" s="1381">
        <v>24188</v>
      </c>
      <c r="BS21" s="1381">
        <v>24223</v>
      </c>
      <c r="BT21" s="1381">
        <v>24322</v>
      </c>
      <c r="BU21" s="1381">
        <v>24523</v>
      </c>
      <c r="BV21" s="1381">
        <v>24696</v>
      </c>
      <c r="BW21" s="1381">
        <v>25066</v>
      </c>
      <c r="BX21" s="1381">
        <v>25219</v>
      </c>
      <c r="BY21" s="1381">
        <v>25363</v>
      </c>
      <c r="BZ21" s="1381">
        <v>25452</v>
      </c>
      <c r="CA21" s="1381">
        <v>25634</v>
      </c>
      <c r="CB21" s="1381">
        <v>25755</v>
      </c>
      <c r="CC21" s="1381">
        <v>25939</v>
      </c>
      <c r="CD21" s="1381">
        <v>25965</v>
      </c>
      <c r="CE21" s="1378" t="s">
        <v>3573</v>
      </c>
      <c r="CF21" s="1091"/>
      <c r="CG21" s="1266"/>
      <c r="CH21" s="1093"/>
    </row>
    <row r="22" spans="1:86" s="1351" customFormat="1" ht="32.25" customHeight="1">
      <c r="A22" s="1382" t="s">
        <v>3279</v>
      </c>
      <c r="B22" s="1382"/>
      <c r="C22" s="1382"/>
      <c r="D22" s="1382"/>
      <c r="E22" s="1382"/>
      <c r="F22" s="1382"/>
      <c r="G22" s="1382"/>
      <c r="H22" s="1382"/>
      <c r="I22" s="1382"/>
      <c r="J22" s="1382"/>
      <c r="K22" s="1382"/>
      <c r="L22" s="1382"/>
      <c r="M22" s="1382"/>
      <c r="N22" s="1382"/>
      <c r="O22" s="1382"/>
      <c r="P22" s="1382"/>
      <c r="Q22" s="1382"/>
      <c r="R22" s="1382"/>
      <c r="S22" s="1382"/>
      <c r="T22" s="1382"/>
      <c r="U22" s="1382"/>
      <c r="V22" s="1382"/>
      <c r="W22" s="1382"/>
      <c r="X22" s="1382"/>
      <c r="Y22" s="1382"/>
      <c r="Z22" s="1382"/>
      <c r="AA22" s="1382"/>
      <c r="AB22" s="1382"/>
      <c r="AC22" s="1382"/>
      <c r="AD22" s="1382"/>
      <c r="AE22" s="1382"/>
      <c r="AF22" s="1382"/>
      <c r="AG22" s="1382"/>
      <c r="AH22" s="1382"/>
      <c r="AI22" s="1382"/>
      <c r="AJ22" s="1382"/>
      <c r="AK22" s="1382"/>
      <c r="AL22" s="1382"/>
      <c r="AM22" s="1382"/>
      <c r="AN22" s="1382"/>
      <c r="AO22" s="1382"/>
      <c r="AP22" s="1382"/>
      <c r="AQ22" s="1382"/>
      <c r="AR22" s="1382"/>
      <c r="AS22" s="1382"/>
      <c r="AT22" s="1382"/>
      <c r="AU22" s="1382"/>
      <c r="AV22" s="1382"/>
      <c r="AW22" s="1382"/>
      <c r="AX22" s="1382"/>
      <c r="AY22" s="1382"/>
      <c r="AZ22" s="1382"/>
      <c r="BA22" s="1382"/>
      <c r="BB22" s="1382"/>
      <c r="BC22" s="1382"/>
      <c r="BD22" s="1382"/>
      <c r="BE22" s="1382"/>
      <c r="BF22" s="1382"/>
      <c r="BG22" s="1382"/>
      <c r="BH22" s="1382"/>
      <c r="BI22" s="1382"/>
      <c r="BJ22" s="1382"/>
      <c r="BK22" s="1382"/>
      <c r="BL22" s="1382"/>
      <c r="BM22" s="1382"/>
      <c r="BN22" s="1382"/>
      <c r="BO22" s="1382"/>
      <c r="BP22" s="1382"/>
      <c r="BQ22" s="1382"/>
      <c r="BR22" s="1382"/>
      <c r="BS22" s="1382"/>
      <c r="BT22" s="1382"/>
      <c r="BU22" s="1382"/>
      <c r="BV22" s="1382"/>
      <c r="BW22" s="1382"/>
      <c r="BX22" s="1382"/>
      <c r="BY22" s="1382"/>
      <c r="BZ22" s="1382"/>
      <c r="CA22" s="1382"/>
      <c r="CB22" s="1382"/>
      <c r="CC22" s="1382"/>
      <c r="CD22" s="1382"/>
      <c r="CE22" s="1382"/>
    </row>
    <row r="29" spans="1:86">
      <c r="AT29" s="1100"/>
      <c r="AU29" s="1100"/>
      <c r="AV29" s="1100"/>
      <c r="AW29" s="1100"/>
      <c r="AX29" s="1100"/>
      <c r="AY29" s="1100"/>
      <c r="AZ29" s="1100"/>
      <c r="BA29" s="1100"/>
      <c r="BB29" s="1100"/>
      <c r="BC29" s="1100"/>
      <c r="BD29" s="1100"/>
      <c r="BE29" s="1100"/>
      <c r="BF29" s="1100"/>
      <c r="BG29" s="1100"/>
      <c r="BH29" s="1100"/>
      <c r="BI29" s="1100"/>
      <c r="BJ29" s="1100"/>
      <c r="BK29" s="1100"/>
      <c r="BL29" s="1100"/>
      <c r="BM29" s="1100"/>
      <c r="BN29" s="1100"/>
      <c r="BO29" s="1100"/>
      <c r="BP29" s="1100"/>
      <c r="BQ29" s="1100"/>
      <c r="BR29" s="1100"/>
      <c r="BS29" s="1100"/>
      <c r="BT29" s="1100"/>
      <c r="BU29" s="1100"/>
      <c r="BV29" s="1100"/>
      <c r="BW29" s="1100"/>
      <c r="BX29" s="1100"/>
      <c r="BY29" s="1100"/>
      <c r="BZ29" s="1100"/>
      <c r="CA29" s="1100"/>
      <c r="CB29" s="1100"/>
      <c r="CC29" s="1100"/>
      <c r="CD29" s="1100"/>
    </row>
  </sheetData>
  <mergeCells count="3">
    <mergeCell ref="A17:CE17"/>
    <mergeCell ref="A2:CE2"/>
    <mergeCell ref="A3:CE3"/>
  </mergeCells>
  <pageMargins left="0.5" right="0.5" top="0.4" bottom="0.5" header="0.3" footer="0.3"/>
  <pageSetup paperSize="9" scale="24" orientation="landscape" horizontalDpi="4294967295" verticalDpi="4294967295"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7">
    <tabColor rgb="FF92D050"/>
    <pageSetUpPr fitToPage="1"/>
  </sheetPr>
  <dimension ref="A1:EG52"/>
  <sheetViews>
    <sheetView showGridLines="0" view="pageBreakPreview" zoomScale="55" zoomScaleNormal="100" zoomScaleSheetLayoutView="55" workbookViewId="0">
      <pane xSplit="49" ySplit="7" topLeftCell="DG8" activePane="bottomRight" state="frozen"/>
      <selection activeCell="B39" sqref="B39"/>
      <selection pane="topRight" activeCell="B39" sqref="B39"/>
      <selection pane="bottomLeft" activeCell="B39" sqref="B39"/>
      <selection pane="bottomRight" activeCell="DE58" sqref="DE58"/>
    </sheetView>
  </sheetViews>
  <sheetFormatPr defaultColWidth="9.140625" defaultRowHeight="16.5"/>
  <cols>
    <col min="1" max="1" width="62.7109375" style="960" customWidth="1"/>
    <col min="2" max="19" width="16.7109375" style="960" hidden="1" customWidth="1"/>
    <col min="20" max="25" width="16.28515625" style="960" hidden="1" customWidth="1"/>
    <col min="26" max="33" width="17.28515625" style="960" hidden="1" customWidth="1"/>
    <col min="34" max="34" width="17" style="960" hidden="1" customWidth="1"/>
    <col min="35" max="35" width="17.28515625" style="960" hidden="1" customWidth="1"/>
    <col min="36" max="36" width="18.42578125" style="960" hidden="1" customWidth="1"/>
    <col min="37" max="42" width="17" style="960" hidden="1" customWidth="1"/>
    <col min="43" max="43" width="16.7109375" style="960" hidden="1" customWidth="1"/>
    <col min="44" max="45" width="16.85546875" style="960" hidden="1" customWidth="1"/>
    <col min="46" max="49" width="17" style="960" hidden="1" customWidth="1"/>
    <col min="50" max="51" width="17" style="960" customWidth="1"/>
    <col min="52" max="73" width="17" style="960" hidden="1" customWidth="1"/>
    <col min="74" max="75" width="17" style="960" customWidth="1"/>
    <col min="76" max="97" width="17" style="960" hidden="1" customWidth="1"/>
    <col min="98" max="133" width="17" style="960" customWidth="1"/>
    <col min="134" max="134" width="60.28515625" style="960" customWidth="1"/>
    <col min="135" max="135" width="12.140625" style="960" bestFit="1" customWidth="1"/>
    <col min="136" max="136" width="12.7109375" style="960" bestFit="1" customWidth="1"/>
    <col min="137" max="137" width="11.140625" style="960" bestFit="1" customWidth="1"/>
    <col min="138" max="16384" width="9.140625" style="960"/>
  </cols>
  <sheetData>
    <row r="1" spans="1:134" ht="15.75" customHeight="1"/>
    <row r="2" spans="1:134" ht="23.45" customHeight="1">
      <c r="A2" s="2905" t="s">
        <v>2523</v>
      </c>
      <c r="B2" s="2905"/>
      <c r="C2" s="2905"/>
      <c r="D2" s="2905"/>
      <c r="E2" s="2905"/>
      <c r="F2" s="2905"/>
      <c r="G2" s="2905"/>
      <c r="H2" s="2905"/>
      <c r="I2" s="2905"/>
      <c r="J2" s="2905"/>
      <c r="K2" s="2905"/>
      <c r="L2" s="2905"/>
      <c r="M2" s="2905"/>
      <c r="N2" s="2905"/>
      <c r="O2" s="2905"/>
      <c r="P2" s="2905"/>
      <c r="Q2" s="2905"/>
      <c r="R2" s="2905"/>
      <c r="S2" s="2905"/>
      <c r="T2" s="2905"/>
      <c r="U2" s="2905"/>
      <c r="V2" s="2905"/>
      <c r="W2" s="2905"/>
      <c r="X2" s="2905"/>
      <c r="Y2" s="2905"/>
      <c r="Z2" s="2905"/>
      <c r="AA2" s="2905"/>
      <c r="AB2" s="2905"/>
      <c r="AC2" s="2905"/>
      <c r="AD2" s="2905"/>
      <c r="AE2" s="2905"/>
      <c r="AF2" s="2905"/>
      <c r="AG2" s="2905"/>
      <c r="AH2" s="2905"/>
      <c r="AI2" s="2905"/>
      <c r="AJ2" s="2905"/>
      <c r="AK2" s="2905"/>
      <c r="AL2" s="2905"/>
      <c r="AM2" s="2905"/>
      <c r="AN2" s="2905"/>
      <c r="AO2" s="2905"/>
      <c r="AP2" s="2905"/>
      <c r="AQ2" s="2905"/>
      <c r="AR2" s="2905"/>
      <c r="AS2" s="2905"/>
      <c r="AT2" s="2905"/>
      <c r="AU2" s="2905"/>
      <c r="AV2" s="2905"/>
      <c r="AW2" s="2905"/>
      <c r="AX2" s="2905"/>
      <c r="AY2" s="2905"/>
      <c r="AZ2" s="2905"/>
      <c r="BA2" s="2905"/>
      <c r="BB2" s="2905"/>
      <c r="BC2" s="2905"/>
      <c r="BD2" s="2905"/>
      <c r="BE2" s="2905"/>
      <c r="BF2" s="2905"/>
      <c r="BG2" s="2905"/>
      <c r="BH2" s="2905"/>
      <c r="BI2" s="2905"/>
      <c r="BJ2" s="2905"/>
      <c r="BK2" s="2905"/>
      <c r="BL2" s="2905"/>
      <c r="BM2" s="2905"/>
      <c r="BN2" s="2905"/>
      <c r="BO2" s="2905"/>
      <c r="BP2" s="2905"/>
      <c r="BQ2" s="2905"/>
      <c r="BR2" s="2905"/>
      <c r="BS2" s="2905"/>
      <c r="BT2" s="2905"/>
      <c r="BU2" s="2905"/>
      <c r="BV2" s="2905"/>
      <c r="BW2" s="2905"/>
      <c r="BX2" s="2905"/>
      <c r="BY2" s="2905"/>
      <c r="BZ2" s="2905"/>
      <c r="CA2" s="2905"/>
      <c r="CB2" s="2905"/>
      <c r="CC2" s="2905"/>
      <c r="CD2" s="2905"/>
      <c r="CE2" s="2905"/>
      <c r="CF2" s="2905"/>
      <c r="CG2" s="2905"/>
      <c r="CH2" s="2905"/>
      <c r="CI2" s="2905"/>
      <c r="CJ2" s="2905"/>
      <c r="CK2" s="2905"/>
      <c r="CL2" s="2905"/>
      <c r="CM2" s="2905"/>
      <c r="CN2" s="2905"/>
      <c r="CO2" s="2905"/>
      <c r="CP2" s="2905"/>
      <c r="CQ2" s="2905"/>
      <c r="CR2" s="2905"/>
      <c r="CS2" s="2905"/>
      <c r="CT2" s="2905"/>
      <c r="CU2" s="2905"/>
      <c r="CV2" s="2905"/>
      <c r="CW2" s="2905"/>
      <c r="CX2" s="2905"/>
      <c r="CY2" s="2905"/>
      <c r="CZ2" s="2905"/>
      <c r="DA2" s="2905"/>
      <c r="DB2" s="2905"/>
      <c r="DC2" s="2905"/>
      <c r="DD2" s="2905"/>
      <c r="DE2" s="2905"/>
      <c r="DF2" s="2905"/>
      <c r="DG2" s="2905"/>
      <c r="DH2" s="2905"/>
      <c r="DI2" s="2905"/>
      <c r="DJ2" s="2905"/>
      <c r="DK2" s="2905"/>
      <c r="DL2" s="2905"/>
      <c r="DM2" s="2905"/>
      <c r="DN2" s="2905"/>
      <c r="DO2" s="2905"/>
      <c r="DP2" s="2905"/>
      <c r="DQ2" s="2905"/>
      <c r="DR2" s="2905"/>
      <c r="DS2" s="2905"/>
      <c r="DT2" s="2905"/>
      <c r="DU2" s="2905"/>
      <c r="DV2" s="2905"/>
      <c r="DW2" s="2905"/>
      <c r="DX2" s="2905"/>
      <c r="DY2" s="2905"/>
      <c r="DZ2" s="2905"/>
      <c r="EA2" s="2905"/>
      <c r="EB2" s="2905"/>
      <c r="EC2" s="2905"/>
      <c r="ED2" s="2905"/>
    </row>
    <row r="3" spans="1:134" ht="37.5" customHeight="1">
      <c r="A3" s="2906" t="s">
        <v>3282</v>
      </c>
      <c r="B3" s="2906"/>
      <c r="C3" s="2906"/>
      <c r="D3" s="2906"/>
      <c r="E3" s="2906"/>
      <c r="F3" s="2906"/>
      <c r="G3" s="2906"/>
      <c r="H3" s="2906"/>
      <c r="I3" s="2906"/>
      <c r="J3" s="2906"/>
      <c r="K3" s="2906"/>
      <c r="L3" s="2906"/>
      <c r="M3" s="2906"/>
      <c r="N3" s="2906"/>
      <c r="O3" s="2906"/>
      <c r="P3" s="2906"/>
      <c r="Q3" s="2906"/>
      <c r="R3" s="2906"/>
      <c r="S3" s="2906"/>
      <c r="T3" s="2906"/>
      <c r="U3" s="2906"/>
      <c r="V3" s="2906"/>
      <c r="W3" s="2906"/>
      <c r="X3" s="2906"/>
      <c r="Y3" s="2906"/>
      <c r="Z3" s="2906"/>
      <c r="AA3" s="2906"/>
      <c r="AB3" s="2906"/>
      <c r="AC3" s="2906"/>
      <c r="AD3" s="2906"/>
      <c r="AE3" s="2906"/>
      <c r="AF3" s="2906"/>
      <c r="AG3" s="2906"/>
      <c r="AH3" s="2906"/>
      <c r="AI3" s="2906"/>
      <c r="AJ3" s="2906"/>
      <c r="AK3" s="2906"/>
      <c r="AL3" s="2906"/>
      <c r="AM3" s="2906"/>
      <c r="AN3" s="2906"/>
      <c r="AO3" s="2906"/>
      <c r="AP3" s="2906"/>
      <c r="AQ3" s="2906"/>
      <c r="AR3" s="2906"/>
      <c r="AS3" s="2906"/>
      <c r="AT3" s="2906"/>
      <c r="AU3" s="2906"/>
      <c r="AV3" s="2906"/>
      <c r="AW3" s="2906"/>
      <c r="AX3" s="2906"/>
      <c r="AY3" s="2906"/>
      <c r="AZ3" s="2906"/>
      <c r="BA3" s="2906"/>
      <c r="BB3" s="2906"/>
      <c r="BC3" s="2906"/>
      <c r="BD3" s="2906"/>
      <c r="BE3" s="2906"/>
      <c r="BF3" s="2906"/>
      <c r="BG3" s="2906"/>
      <c r="BH3" s="2906"/>
      <c r="BI3" s="2906"/>
      <c r="BJ3" s="2906"/>
      <c r="BK3" s="2906"/>
      <c r="BL3" s="2906"/>
      <c r="BM3" s="2906"/>
      <c r="BN3" s="2906"/>
      <c r="BO3" s="2906"/>
      <c r="BP3" s="2906"/>
      <c r="BQ3" s="2906"/>
      <c r="BR3" s="2906"/>
      <c r="BS3" s="2906"/>
      <c r="BT3" s="2906"/>
      <c r="BU3" s="2906"/>
      <c r="BV3" s="2906"/>
      <c r="BW3" s="2906"/>
      <c r="BX3" s="2906"/>
      <c r="BY3" s="2906"/>
      <c r="BZ3" s="2906"/>
      <c r="CA3" s="2906"/>
      <c r="CB3" s="2906"/>
      <c r="CC3" s="2906"/>
      <c r="CD3" s="2906"/>
      <c r="CE3" s="2906"/>
      <c r="CF3" s="2906"/>
      <c r="CG3" s="2906"/>
      <c r="CH3" s="2906"/>
      <c r="CI3" s="2906"/>
      <c r="CJ3" s="2906"/>
      <c r="CK3" s="2906"/>
      <c r="CL3" s="2906"/>
      <c r="CM3" s="2906"/>
      <c r="CN3" s="2906"/>
      <c r="CO3" s="2906"/>
      <c r="CP3" s="2906"/>
      <c r="CQ3" s="2906"/>
      <c r="CR3" s="2906"/>
      <c r="CS3" s="2906"/>
      <c r="CT3" s="2906"/>
      <c r="CU3" s="2906"/>
      <c r="CV3" s="2906"/>
      <c r="CW3" s="2906"/>
      <c r="CX3" s="2906"/>
      <c r="CY3" s="2906"/>
      <c r="CZ3" s="2906"/>
      <c r="DA3" s="2906"/>
      <c r="DB3" s="2906"/>
      <c r="DC3" s="2906"/>
      <c r="DD3" s="2906"/>
      <c r="DE3" s="2906"/>
      <c r="DF3" s="2906"/>
      <c r="DG3" s="2906"/>
      <c r="DH3" s="2906"/>
      <c r="DI3" s="2906"/>
      <c r="DJ3" s="2906"/>
      <c r="DK3" s="2906"/>
      <c r="DL3" s="2906"/>
      <c r="DM3" s="2906"/>
      <c r="DN3" s="2906"/>
      <c r="DO3" s="2906"/>
      <c r="DP3" s="2906"/>
      <c r="DQ3" s="2906"/>
      <c r="DR3" s="2906"/>
      <c r="DS3" s="2906"/>
      <c r="DT3" s="2906"/>
      <c r="DU3" s="2906"/>
      <c r="DV3" s="2906"/>
      <c r="DW3" s="2906"/>
      <c r="DX3" s="2906"/>
      <c r="DY3" s="2906"/>
      <c r="DZ3" s="2906"/>
      <c r="EA3" s="2906"/>
      <c r="EB3" s="2906"/>
      <c r="EC3" s="2906"/>
      <c r="ED3" s="2906"/>
    </row>
    <row r="4" spans="1:134" ht="19.5" customHeight="1">
      <c r="A4" s="1383"/>
      <c r="B4" s="1383"/>
      <c r="C4" s="1383"/>
      <c r="D4" s="1383"/>
      <c r="E4" s="1383"/>
      <c r="F4" s="1383"/>
      <c r="G4" s="1383"/>
      <c r="H4" s="1383"/>
      <c r="I4" s="1383"/>
      <c r="J4" s="1383"/>
      <c r="K4" s="1383"/>
      <c r="L4" s="1383"/>
      <c r="M4" s="1383"/>
      <c r="N4" s="1383"/>
      <c r="O4" s="1383"/>
      <c r="P4" s="1383"/>
      <c r="Q4" s="1383"/>
      <c r="R4" s="1383"/>
      <c r="S4" s="1383"/>
      <c r="T4" s="1383"/>
      <c r="U4" s="1383"/>
      <c r="V4" s="1383"/>
      <c r="W4" s="1383"/>
      <c r="X4" s="1383"/>
      <c r="Y4" s="1383"/>
      <c r="Z4" s="1383"/>
      <c r="AA4" s="1383"/>
      <c r="AB4" s="1383"/>
      <c r="AC4" s="1383"/>
      <c r="AD4" s="1383"/>
      <c r="AE4" s="1383"/>
      <c r="AF4" s="1383"/>
      <c r="AG4" s="1383"/>
      <c r="AH4" s="1383"/>
      <c r="AI4" s="1383"/>
      <c r="AJ4" s="1383"/>
      <c r="AK4" s="1383"/>
      <c r="AL4" s="1383"/>
      <c r="AM4" s="1383"/>
      <c r="AN4" s="1383"/>
      <c r="AO4" s="1383"/>
      <c r="AP4" s="1383"/>
      <c r="AQ4" s="1383"/>
      <c r="AR4" s="1383"/>
      <c r="AS4" s="1383"/>
      <c r="AT4" s="1383"/>
      <c r="AU4" s="1383"/>
      <c r="AV4" s="1383"/>
      <c r="AW4" s="1383"/>
      <c r="AX4" s="1383"/>
      <c r="AY4" s="1383"/>
      <c r="AZ4" s="1383"/>
      <c r="BA4" s="1383"/>
      <c r="BB4" s="1383"/>
      <c r="BC4" s="1383"/>
      <c r="BD4" s="1383"/>
      <c r="BE4" s="1383"/>
      <c r="BF4" s="1383"/>
      <c r="BG4" s="1383"/>
      <c r="BH4" s="1383"/>
      <c r="BI4" s="1383"/>
      <c r="BJ4" s="1383"/>
      <c r="BK4" s="1383"/>
      <c r="BL4" s="1383"/>
      <c r="BM4" s="1383"/>
      <c r="BN4" s="1383"/>
      <c r="BO4" s="1383"/>
      <c r="BP4" s="1383"/>
      <c r="BQ4" s="1383"/>
      <c r="BR4" s="1383"/>
      <c r="BS4" s="1383"/>
      <c r="BT4" s="1383"/>
      <c r="BU4" s="1383"/>
      <c r="BV4" s="1383"/>
      <c r="BW4" s="1383"/>
      <c r="BX4" s="1383"/>
      <c r="BY4" s="1383"/>
      <c r="BZ4" s="1383"/>
      <c r="CA4" s="1383"/>
      <c r="CB4" s="1383"/>
      <c r="CC4" s="1383"/>
      <c r="CD4" s="1383"/>
      <c r="CE4" s="1383"/>
      <c r="CF4" s="1383"/>
      <c r="CG4" s="1383"/>
      <c r="CH4" s="1383"/>
      <c r="CI4" s="1383"/>
      <c r="CJ4" s="1383"/>
      <c r="CK4" s="1383"/>
      <c r="CL4" s="1383"/>
      <c r="CM4" s="1383"/>
      <c r="CN4" s="1383"/>
      <c r="CO4" s="1383"/>
      <c r="CP4" s="1383"/>
      <c r="CQ4" s="1383"/>
      <c r="CR4" s="1383"/>
      <c r="CS4" s="1383"/>
      <c r="CT4" s="1383"/>
      <c r="CU4" s="1383"/>
      <c r="CV4" s="1383"/>
      <c r="CW4" s="1383"/>
      <c r="CX4" s="1383"/>
      <c r="CY4" s="1383"/>
      <c r="CZ4" s="1383"/>
      <c r="DA4" s="1383"/>
      <c r="DB4" s="1383"/>
      <c r="DC4" s="1383"/>
      <c r="DD4" s="1383"/>
      <c r="DE4" s="1383"/>
      <c r="DF4" s="1383"/>
      <c r="DG4" s="1383"/>
      <c r="DH4" s="1383"/>
      <c r="DI4" s="1383"/>
      <c r="DJ4" s="1383"/>
      <c r="DK4" s="1383"/>
      <c r="DL4" s="1383"/>
      <c r="DM4" s="1383"/>
      <c r="DN4" s="1383"/>
      <c r="DO4" s="1383"/>
      <c r="DP4" s="1383"/>
      <c r="DQ4" s="1383"/>
      <c r="DR4" s="1383"/>
      <c r="DS4" s="1383"/>
      <c r="DT4" s="1383"/>
      <c r="DU4" s="1383"/>
      <c r="DV4" s="1383"/>
      <c r="DW4" s="1383"/>
      <c r="DX4" s="1383"/>
      <c r="DY4" s="1383"/>
      <c r="DZ4" s="1383"/>
      <c r="EA4" s="1383"/>
      <c r="EB4" s="1383"/>
      <c r="EC4" s="1383"/>
      <c r="ED4" s="1383"/>
    </row>
    <row r="5" spans="1:134" ht="19.5" customHeight="1" thickBot="1">
      <c r="A5" s="2907" t="s">
        <v>8</v>
      </c>
      <c r="B5" s="2907"/>
      <c r="C5" s="2907"/>
      <c r="D5" s="2907"/>
      <c r="E5" s="2907"/>
      <c r="F5" s="2907"/>
      <c r="G5" s="2907"/>
      <c r="H5" s="2907"/>
      <c r="I5" s="2907"/>
      <c r="J5" s="2907"/>
      <c r="K5" s="2907"/>
      <c r="L5" s="2907"/>
      <c r="M5" s="2907"/>
      <c r="N5" s="2907"/>
      <c r="O5" s="2907"/>
      <c r="P5" s="2907"/>
      <c r="Q5" s="2907"/>
      <c r="R5" s="2907"/>
      <c r="S5" s="2907"/>
      <c r="T5" s="2907"/>
      <c r="U5" s="2907"/>
      <c r="V5" s="2907"/>
      <c r="W5" s="2907"/>
      <c r="X5" s="2907"/>
      <c r="Y5" s="2907"/>
      <c r="Z5" s="2907"/>
      <c r="AA5" s="2907"/>
      <c r="AB5" s="2907"/>
      <c r="AC5" s="2907"/>
      <c r="AD5" s="2907"/>
      <c r="AE5" s="2907"/>
      <c r="AF5" s="2907"/>
      <c r="AG5" s="2907"/>
      <c r="AH5" s="2907"/>
      <c r="AI5" s="2907"/>
      <c r="AJ5" s="2907"/>
      <c r="AK5" s="2907"/>
      <c r="AL5" s="2907"/>
      <c r="AM5" s="2907"/>
      <c r="AN5" s="2907"/>
      <c r="AO5" s="2907"/>
      <c r="AP5" s="2907"/>
      <c r="AQ5" s="2907"/>
      <c r="AR5" s="2907"/>
      <c r="AS5" s="2907"/>
      <c r="AT5" s="2907"/>
      <c r="AU5" s="2907"/>
      <c r="AV5" s="2907"/>
      <c r="AW5" s="2907"/>
      <c r="AX5" s="2907"/>
      <c r="AY5" s="2907"/>
      <c r="AZ5" s="2907"/>
      <c r="BA5" s="2907"/>
      <c r="BB5" s="2907"/>
      <c r="BC5" s="2907"/>
      <c r="BD5" s="2907"/>
      <c r="BE5" s="2907"/>
      <c r="BF5" s="2907"/>
      <c r="BG5" s="2907"/>
      <c r="BH5" s="2907"/>
      <c r="BI5" s="2907"/>
      <c r="BJ5" s="2907"/>
      <c r="BK5" s="2907"/>
      <c r="BL5" s="2907"/>
      <c r="BM5" s="2907"/>
      <c r="BN5" s="2907"/>
      <c r="BO5" s="2907"/>
      <c r="BP5" s="2907"/>
      <c r="BQ5" s="2907"/>
      <c r="BR5" s="2907"/>
      <c r="BS5" s="2907"/>
      <c r="BT5" s="2907"/>
      <c r="BU5" s="2907"/>
      <c r="BV5" s="2907"/>
      <c r="BW5" s="2907"/>
      <c r="BX5" s="2907"/>
      <c r="BY5" s="2907"/>
      <c r="BZ5" s="2907"/>
      <c r="CA5" s="2907"/>
      <c r="CB5" s="2907"/>
      <c r="CC5" s="2907"/>
      <c r="CD5" s="2907"/>
      <c r="CE5" s="2907"/>
      <c r="CF5" s="2907"/>
      <c r="CG5" s="2907"/>
      <c r="CH5" s="2907"/>
      <c r="CI5" s="2907"/>
      <c r="CJ5" s="2907"/>
      <c r="CK5" s="2907"/>
      <c r="CL5" s="2907"/>
      <c r="CM5" s="2907"/>
      <c r="CN5" s="2907"/>
      <c r="CO5" s="2907"/>
      <c r="CP5" s="2907"/>
      <c r="CQ5" s="2907"/>
      <c r="CR5" s="2907"/>
      <c r="CS5" s="2907"/>
      <c r="CT5" s="2907"/>
      <c r="CU5" s="2907"/>
      <c r="CV5" s="2907"/>
      <c r="CW5" s="2907"/>
      <c r="CX5" s="2907"/>
      <c r="CY5" s="2907"/>
      <c r="CZ5" s="2907"/>
      <c r="DA5" s="2907"/>
      <c r="DB5" s="2907"/>
      <c r="DC5" s="2907"/>
      <c r="DD5" s="2907"/>
      <c r="DE5" s="2907"/>
      <c r="DF5" s="2907"/>
      <c r="DG5" s="2907"/>
      <c r="DH5" s="2907"/>
      <c r="DI5" s="2907"/>
      <c r="DJ5" s="2907"/>
      <c r="DK5" s="2907"/>
      <c r="DL5" s="2907"/>
      <c r="DM5" s="2907"/>
      <c r="DN5" s="2907"/>
      <c r="DO5" s="2907"/>
      <c r="DP5" s="2907"/>
      <c r="DQ5" s="2907"/>
      <c r="DR5" s="2907"/>
      <c r="DS5" s="2907"/>
      <c r="DT5" s="2907"/>
      <c r="DU5" s="2907"/>
      <c r="DV5" s="2907"/>
      <c r="DW5" s="2907"/>
      <c r="DX5" s="2907"/>
      <c r="DY5" s="2907"/>
      <c r="DZ5" s="2907"/>
      <c r="EA5" s="2907"/>
      <c r="EB5" s="2907"/>
      <c r="EC5" s="2907"/>
      <c r="ED5" s="2907"/>
    </row>
    <row r="6" spans="1:134" s="1102" customFormat="1" ht="26.25" customHeight="1" thickBot="1">
      <c r="A6" s="2908" t="s">
        <v>2272</v>
      </c>
      <c r="B6" s="2918">
        <v>43830</v>
      </c>
      <c r="C6" s="2919"/>
      <c r="D6" s="2923">
        <v>43861</v>
      </c>
      <c r="E6" s="2919"/>
      <c r="F6" s="2923">
        <v>43890</v>
      </c>
      <c r="G6" s="2919"/>
      <c r="H6" s="2923">
        <v>43921</v>
      </c>
      <c r="I6" s="2919"/>
      <c r="J6" s="2923">
        <v>43951</v>
      </c>
      <c r="K6" s="2919"/>
      <c r="L6" s="2923">
        <v>43982</v>
      </c>
      <c r="M6" s="2919"/>
      <c r="N6" s="2902">
        <v>44012</v>
      </c>
      <c r="O6" s="2904"/>
      <c r="P6" s="2902">
        <v>44043</v>
      </c>
      <c r="Q6" s="2904"/>
      <c r="R6" s="2902">
        <v>44074</v>
      </c>
      <c r="S6" s="2904"/>
      <c r="T6" s="2902">
        <v>44104</v>
      </c>
      <c r="U6" s="2904"/>
      <c r="V6" s="2902">
        <v>44135</v>
      </c>
      <c r="W6" s="2904"/>
      <c r="X6" s="2902">
        <v>44165</v>
      </c>
      <c r="Y6" s="2904"/>
      <c r="Z6" s="2902">
        <v>44196</v>
      </c>
      <c r="AA6" s="2904"/>
      <c r="AB6" s="2902">
        <v>44227</v>
      </c>
      <c r="AC6" s="2904"/>
      <c r="AD6" s="2902">
        <v>44255</v>
      </c>
      <c r="AE6" s="2904"/>
      <c r="AF6" s="2902">
        <v>44286</v>
      </c>
      <c r="AG6" s="2904"/>
      <c r="AH6" s="2902">
        <v>44316</v>
      </c>
      <c r="AI6" s="2904"/>
      <c r="AJ6" s="2902">
        <v>44347</v>
      </c>
      <c r="AK6" s="2904"/>
      <c r="AL6" s="2902">
        <v>44377</v>
      </c>
      <c r="AM6" s="2904"/>
      <c r="AN6" s="2902">
        <v>44408</v>
      </c>
      <c r="AO6" s="2904"/>
      <c r="AP6" s="2923">
        <v>44439</v>
      </c>
      <c r="AQ6" s="2919"/>
      <c r="AR6" s="2924">
        <v>44469</v>
      </c>
      <c r="AS6" s="2924"/>
      <c r="AT6" s="2925">
        <v>44500</v>
      </c>
      <c r="AU6" s="2925"/>
      <c r="AV6" s="2902">
        <v>44530</v>
      </c>
      <c r="AW6" s="2904"/>
      <c r="AX6" s="2902">
        <v>44561</v>
      </c>
      <c r="AY6" s="2904"/>
      <c r="AZ6" s="2902">
        <v>44592</v>
      </c>
      <c r="BA6" s="2904"/>
      <c r="BB6" s="2902">
        <v>44620</v>
      </c>
      <c r="BC6" s="2904"/>
      <c r="BD6" s="2902">
        <v>44651</v>
      </c>
      <c r="BE6" s="2904"/>
      <c r="BF6" s="2902">
        <v>44681</v>
      </c>
      <c r="BG6" s="2904"/>
      <c r="BH6" s="2902">
        <v>44712</v>
      </c>
      <c r="BI6" s="2904"/>
      <c r="BJ6" s="2902">
        <v>44742</v>
      </c>
      <c r="BK6" s="2904"/>
      <c r="BL6" s="2902">
        <v>44773</v>
      </c>
      <c r="BM6" s="2904"/>
      <c r="BN6" s="2902">
        <v>44804</v>
      </c>
      <c r="BO6" s="2904"/>
      <c r="BP6" s="2902">
        <v>44834</v>
      </c>
      <c r="BQ6" s="2904"/>
      <c r="BR6" s="2902">
        <v>44865</v>
      </c>
      <c r="BS6" s="2904"/>
      <c r="BT6" s="2902">
        <v>44895</v>
      </c>
      <c r="BU6" s="2904"/>
      <c r="BV6" s="2902">
        <v>44926</v>
      </c>
      <c r="BW6" s="2904"/>
      <c r="BX6" s="2902">
        <v>44957</v>
      </c>
      <c r="BY6" s="2904"/>
      <c r="BZ6" s="2902">
        <v>44985</v>
      </c>
      <c r="CA6" s="2904"/>
      <c r="CB6" s="2902">
        <v>45016</v>
      </c>
      <c r="CC6" s="2903"/>
      <c r="CD6" s="2902">
        <v>45046</v>
      </c>
      <c r="CE6" s="2903"/>
      <c r="CF6" s="2902">
        <v>45077</v>
      </c>
      <c r="CG6" s="2903"/>
      <c r="CH6" s="2902">
        <v>45107</v>
      </c>
      <c r="CI6" s="2903"/>
      <c r="CJ6" s="2902">
        <v>45138</v>
      </c>
      <c r="CK6" s="2904"/>
      <c r="CL6" s="2902">
        <v>45169</v>
      </c>
      <c r="CM6" s="2903"/>
      <c r="CN6" s="2902">
        <v>45199</v>
      </c>
      <c r="CO6" s="2903"/>
      <c r="CP6" s="2902">
        <v>45230</v>
      </c>
      <c r="CQ6" s="2903"/>
      <c r="CR6" s="2902">
        <v>45260</v>
      </c>
      <c r="CS6" s="2903"/>
      <c r="CT6" s="2902">
        <v>45291</v>
      </c>
      <c r="CU6" s="2903"/>
      <c r="CV6" s="2902">
        <v>45322</v>
      </c>
      <c r="CW6" s="2903"/>
      <c r="CX6" s="2902">
        <v>45351</v>
      </c>
      <c r="CY6" s="2903"/>
      <c r="CZ6" s="2902">
        <v>45382</v>
      </c>
      <c r="DA6" s="2903"/>
      <c r="DB6" s="2902">
        <v>45412</v>
      </c>
      <c r="DC6" s="2903"/>
      <c r="DD6" s="2898">
        <v>45443</v>
      </c>
      <c r="DE6" s="2899"/>
      <c r="DF6" s="2898">
        <v>45473</v>
      </c>
      <c r="DG6" s="2899"/>
      <c r="DH6" s="2898">
        <v>45504</v>
      </c>
      <c r="DI6" s="2899"/>
      <c r="DJ6" s="2898">
        <v>45535</v>
      </c>
      <c r="DK6" s="2899"/>
      <c r="DL6" s="2898">
        <v>45565</v>
      </c>
      <c r="DM6" s="2899"/>
      <c r="DN6" s="2898">
        <v>45596</v>
      </c>
      <c r="DO6" s="2899"/>
      <c r="DP6" s="2898">
        <v>45626</v>
      </c>
      <c r="DQ6" s="2899"/>
      <c r="DR6" s="2898">
        <v>45657</v>
      </c>
      <c r="DS6" s="2899"/>
      <c r="DT6" s="2898">
        <v>45688</v>
      </c>
      <c r="DU6" s="2899"/>
      <c r="DV6" s="2898">
        <v>45716</v>
      </c>
      <c r="DW6" s="2899"/>
      <c r="DX6" s="2898">
        <v>45747</v>
      </c>
      <c r="DY6" s="2899"/>
      <c r="DZ6" s="2898">
        <v>45777</v>
      </c>
      <c r="EA6" s="2899"/>
      <c r="EB6" s="2898">
        <v>45808</v>
      </c>
      <c r="EC6" s="2899"/>
      <c r="ED6" s="2910" t="s">
        <v>3587</v>
      </c>
    </row>
    <row r="7" spans="1:134" s="1102" customFormat="1" ht="52.5" customHeight="1" thickBot="1">
      <c r="A7" s="2909"/>
      <c r="B7" s="1103" t="s">
        <v>155</v>
      </c>
      <c r="C7" s="1349" t="s">
        <v>2995</v>
      </c>
      <c r="D7" s="1349" t="s">
        <v>155</v>
      </c>
      <c r="E7" s="1349" t="s">
        <v>2995</v>
      </c>
      <c r="F7" s="1349" t="s">
        <v>155</v>
      </c>
      <c r="G7" s="1349" t="s">
        <v>2995</v>
      </c>
      <c r="H7" s="1349" t="s">
        <v>155</v>
      </c>
      <c r="I7" s="1349" t="s">
        <v>2995</v>
      </c>
      <c r="J7" s="1349" t="s">
        <v>155</v>
      </c>
      <c r="K7" s="1349" t="s">
        <v>2995</v>
      </c>
      <c r="L7" s="1349" t="s">
        <v>155</v>
      </c>
      <c r="M7" s="1348" t="s">
        <v>2995</v>
      </c>
      <c r="N7" s="1348" t="s">
        <v>155</v>
      </c>
      <c r="O7" s="1348" t="s">
        <v>2995</v>
      </c>
      <c r="P7" s="1348" t="s">
        <v>155</v>
      </c>
      <c r="Q7" s="1348" t="s">
        <v>2995</v>
      </c>
      <c r="R7" s="1348" t="s">
        <v>155</v>
      </c>
      <c r="S7" s="1348" t="s">
        <v>2995</v>
      </c>
      <c r="T7" s="1348" t="s">
        <v>155</v>
      </c>
      <c r="U7" s="1348" t="s">
        <v>2995</v>
      </c>
      <c r="V7" s="1348" t="s">
        <v>155</v>
      </c>
      <c r="W7" s="1348" t="s">
        <v>2995</v>
      </c>
      <c r="X7" s="1348" t="s">
        <v>155</v>
      </c>
      <c r="Y7" s="1348" t="s">
        <v>2995</v>
      </c>
      <c r="Z7" s="1348" t="s">
        <v>155</v>
      </c>
      <c r="AA7" s="1348" t="s">
        <v>2995</v>
      </c>
      <c r="AB7" s="1348" t="s">
        <v>155</v>
      </c>
      <c r="AC7" s="1348" t="s">
        <v>2995</v>
      </c>
      <c r="AD7" s="1348" t="s">
        <v>155</v>
      </c>
      <c r="AE7" s="1348" t="s">
        <v>2995</v>
      </c>
      <c r="AF7" s="1348" t="s">
        <v>155</v>
      </c>
      <c r="AG7" s="1348" t="s">
        <v>2995</v>
      </c>
      <c r="AH7" s="1348" t="s">
        <v>155</v>
      </c>
      <c r="AI7" s="1348" t="s">
        <v>2995</v>
      </c>
      <c r="AJ7" s="1348" t="s">
        <v>155</v>
      </c>
      <c r="AK7" s="1348" t="s">
        <v>2995</v>
      </c>
      <c r="AL7" s="1348" t="s">
        <v>155</v>
      </c>
      <c r="AM7" s="1348" t="s">
        <v>2995</v>
      </c>
      <c r="AN7" s="1348" t="s">
        <v>155</v>
      </c>
      <c r="AO7" s="1349" t="s">
        <v>2995</v>
      </c>
      <c r="AP7" s="1349" t="s">
        <v>155</v>
      </c>
      <c r="AQ7" s="1349" t="s">
        <v>2995</v>
      </c>
      <c r="AR7" s="1349" t="s">
        <v>155</v>
      </c>
      <c r="AS7" s="1349" t="s">
        <v>2995</v>
      </c>
      <c r="AT7" s="1348" t="s">
        <v>155</v>
      </c>
      <c r="AU7" s="1349" t="s">
        <v>2995</v>
      </c>
      <c r="AV7" s="1348" t="s">
        <v>155</v>
      </c>
      <c r="AW7" s="1348" t="s">
        <v>2995</v>
      </c>
      <c r="AX7" s="1348" t="s">
        <v>155</v>
      </c>
      <c r="AY7" s="1348" t="s">
        <v>2995</v>
      </c>
      <c r="AZ7" s="1348" t="s">
        <v>155</v>
      </c>
      <c r="BA7" s="1348" t="s">
        <v>2995</v>
      </c>
      <c r="BB7" s="1348" t="s">
        <v>155</v>
      </c>
      <c r="BC7" s="1348" t="s">
        <v>2995</v>
      </c>
      <c r="BD7" s="1348" t="s">
        <v>155</v>
      </c>
      <c r="BE7" s="1348" t="s">
        <v>2995</v>
      </c>
      <c r="BF7" s="1348" t="s">
        <v>155</v>
      </c>
      <c r="BG7" s="1348" t="s">
        <v>2995</v>
      </c>
      <c r="BH7" s="1348" t="s">
        <v>155</v>
      </c>
      <c r="BI7" s="1348" t="s">
        <v>2995</v>
      </c>
      <c r="BJ7" s="1348" t="s">
        <v>155</v>
      </c>
      <c r="BK7" s="1348" t="s">
        <v>2995</v>
      </c>
      <c r="BL7" s="1348" t="s">
        <v>155</v>
      </c>
      <c r="BM7" s="1348" t="s">
        <v>2995</v>
      </c>
      <c r="BN7" s="1348" t="s">
        <v>155</v>
      </c>
      <c r="BO7" s="1348" t="s">
        <v>2995</v>
      </c>
      <c r="BP7" s="1348" t="s">
        <v>155</v>
      </c>
      <c r="BQ7" s="1348" t="s">
        <v>2995</v>
      </c>
      <c r="BR7" s="1348" t="s">
        <v>155</v>
      </c>
      <c r="BS7" s="1348" t="s">
        <v>2995</v>
      </c>
      <c r="BT7" s="1348" t="s">
        <v>155</v>
      </c>
      <c r="BU7" s="1348" t="s">
        <v>2995</v>
      </c>
      <c r="BV7" s="1348" t="s">
        <v>155</v>
      </c>
      <c r="BW7" s="1348" t="s">
        <v>2995</v>
      </c>
      <c r="BX7" s="1348" t="s">
        <v>155</v>
      </c>
      <c r="BY7" s="1348" t="s">
        <v>2995</v>
      </c>
      <c r="BZ7" s="1354" t="s">
        <v>155</v>
      </c>
      <c r="CA7" s="1354" t="s">
        <v>2995</v>
      </c>
      <c r="CB7" s="1421" t="s">
        <v>155</v>
      </c>
      <c r="CC7" s="1420" t="s">
        <v>2995</v>
      </c>
      <c r="CD7" s="1425" t="s">
        <v>155</v>
      </c>
      <c r="CE7" s="1425" t="s">
        <v>2995</v>
      </c>
      <c r="CF7" s="1434" t="s">
        <v>155</v>
      </c>
      <c r="CG7" s="1433" t="s">
        <v>2995</v>
      </c>
      <c r="CH7" s="1450" t="s">
        <v>155</v>
      </c>
      <c r="CI7" s="1450" t="s">
        <v>2995</v>
      </c>
      <c r="CJ7" s="1476" t="s">
        <v>155</v>
      </c>
      <c r="CK7" s="1476" t="s">
        <v>2995</v>
      </c>
      <c r="CL7" s="1484" t="s">
        <v>155</v>
      </c>
      <c r="CM7" s="1483" t="s">
        <v>2995</v>
      </c>
      <c r="CN7" s="1506" t="s">
        <v>155</v>
      </c>
      <c r="CO7" s="1506" t="s">
        <v>2995</v>
      </c>
      <c r="CP7" s="1772" t="s">
        <v>155</v>
      </c>
      <c r="CQ7" s="1772" t="s">
        <v>2995</v>
      </c>
      <c r="CR7" s="1828" t="s">
        <v>155</v>
      </c>
      <c r="CS7" s="1828" t="s">
        <v>2995</v>
      </c>
      <c r="CT7" s="1848" t="s">
        <v>155</v>
      </c>
      <c r="CU7" s="1847" t="s">
        <v>2995</v>
      </c>
      <c r="CV7" s="1861" t="s">
        <v>155</v>
      </c>
      <c r="CW7" s="1860" t="s">
        <v>2995</v>
      </c>
      <c r="CX7" s="1900" t="s">
        <v>155</v>
      </c>
      <c r="CY7" s="1900" t="s">
        <v>2995</v>
      </c>
      <c r="CZ7" s="1903" t="s">
        <v>155</v>
      </c>
      <c r="DA7" s="1902" t="s">
        <v>2995</v>
      </c>
      <c r="DB7" s="1910" t="s">
        <v>155</v>
      </c>
      <c r="DC7" s="1909" t="s">
        <v>2995</v>
      </c>
      <c r="DD7" s="1957" t="s">
        <v>155</v>
      </c>
      <c r="DE7" s="1957" t="s">
        <v>2995</v>
      </c>
      <c r="DF7" s="1957" t="s">
        <v>155</v>
      </c>
      <c r="DG7" s="1957" t="s">
        <v>2995</v>
      </c>
      <c r="DH7" s="1957" t="s">
        <v>155</v>
      </c>
      <c r="DI7" s="1957" t="s">
        <v>2995</v>
      </c>
      <c r="DJ7" s="1957" t="s">
        <v>155</v>
      </c>
      <c r="DK7" s="1957" t="s">
        <v>2995</v>
      </c>
      <c r="DL7" s="1957" t="s">
        <v>155</v>
      </c>
      <c r="DM7" s="1957" t="s">
        <v>2995</v>
      </c>
      <c r="DN7" s="1957" t="s">
        <v>155</v>
      </c>
      <c r="DO7" s="1957" t="s">
        <v>2995</v>
      </c>
      <c r="DP7" s="1957" t="s">
        <v>155</v>
      </c>
      <c r="DQ7" s="1957" t="s">
        <v>2995</v>
      </c>
      <c r="DR7" s="1957" t="s">
        <v>155</v>
      </c>
      <c r="DS7" s="1957" t="s">
        <v>2995</v>
      </c>
      <c r="DT7" s="1957" t="s">
        <v>155</v>
      </c>
      <c r="DU7" s="1957" t="s">
        <v>2995</v>
      </c>
      <c r="DV7" s="1957" t="s">
        <v>155</v>
      </c>
      <c r="DW7" s="1957" t="s">
        <v>2995</v>
      </c>
      <c r="DX7" s="1957" t="s">
        <v>155</v>
      </c>
      <c r="DY7" s="1957" t="s">
        <v>2995</v>
      </c>
      <c r="DZ7" s="1957" t="s">
        <v>155</v>
      </c>
      <c r="EA7" s="1957" t="s">
        <v>2995</v>
      </c>
      <c r="EB7" s="1957" t="s">
        <v>155</v>
      </c>
      <c r="EC7" s="1957" t="s">
        <v>2995</v>
      </c>
      <c r="ED7" s="2911"/>
    </row>
    <row r="8" spans="1:134" ht="18.600000000000001" customHeight="1">
      <c r="A8" s="1104" t="s">
        <v>2271</v>
      </c>
      <c r="B8" s="1105">
        <v>1531.4880966400001</v>
      </c>
      <c r="C8" s="1105">
        <v>626.90463707790002</v>
      </c>
      <c r="D8" s="1105">
        <v>1389.3557949000001</v>
      </c>
      <c r="E8" s="1105">
        <v>614.65612881803997</v>
      </c>
      <c r="F8" s="1105">
        <v>1368.61145076</v>
      </c>
      <c r="G8" s="1105">
        <v>580.17640123375998</v>
      </c>
      <c r="H8" s="1105">
        <v>1785.45268298</v>
      </c>
      <c r="I8" s="1105">
        <v>852.50717125821996</v>
      </c>
      <c r="J8" s="1105">
        <v>1309.8722827900001</v>
      </c>
      <c r="K8" s="1105">
        <v>541.41617791214003</v>
      </c>
      <c r="L8" s="1105">
        <v>1510.2247848899999</v>
      </c>
      <c r="M8" s="1105">
        <v>579.26289798217999</v>
      </c>
      <c r="N8" s="1105">
        <v>1372.0811168</v>
      </c>
      <c r="O8" s="1105">
        <v>566.50580871679995</v>
      </c>
      <c r="P8" s="1105">
        <v>1456.6425868599999</v>
      </c>
      <c r="Q8" s="1105">
        <v>570.44021806418004</v>
      </c>
      <c r="R8" s="1105">
        <v>1410.8233962500001</v>
      </c>
      <c r="S8" s="1105">
        <v>617.39885775352002</v>
      </c>
      <c r="T8" s="1105">
        <v>1294.22425101</v>
      </c>
      <c r="U8" s="1105">
        <v>547.63281807392002</v>
      </c>
      <c r="V8" s="1105">
        <v>1267.7982907200001</v>
      </c>
      <c r="W8" s="1105">
        <v>472.15632846940002</v>
      </c>
      <c r="X8" s="1105">
        <v>1295.7898208193401</v>
      </c>
      <c r="Y8" s="1105">
        <v>488.58666516334</v>
      </c>
      <c r="Z8" s="1105">
        <v>1532.1894442099999</v>
      </c>
      <c r="AA8" s="1105">
        <v>466.14869922169999</v>
      </c>
      <c r="AB8" s="1105">
        <v>1610.7715664899999</v>
      </c>
      <c r="AC8" s="1105">
        <v>626.75812583421998</v>
      </c>
      <c r="AD8" s="1105">
        <v>1643.3609415999999</v>
      </c>
      <c r="AE8" s="1105">
        <v>662.90422842895998</v>
      </c>
      <c r="AF8" s="1105">
        <v>1884.4648175299999</v>
      </c>
      <c r="AG8" s="1105">
        <v>643.02350338628003</v>
      </c>
      <c r="AH8" s="1105">
        <v>1689.60980728</v>
      </c>
      <c r="AI8" s="1105">
        <v>730.87489969772002</v>
      </c>
      <c r="AJ8" s="1105">
        <v>1795.747566</v>
      </c>
      <c r="AK8" s="1105">
        <v>815.41662273908003</v>
      </c>
      <c r="AL8" s="1105">
        <v>1839.35551829</v>
      </c>
      <c r="AM8" s="1105">
        <v>835.34099000135996</v>
      </c>
      <c r="AN8" s="1105">
        <v>1778.84714493</v>
      </c>
      <c r="AO8" s="1105">
        <v>750.51318752947998</v>
      </c>
      <c r="AP8" s="1105">
        <v>1710.73168586</v>
      </c>
      <c r="AQ8" s="1105">
        <v>718.45621489354005</v>
      </c>
      <c r="AR8" s="1105">
        <v>1858.2229344499999</v>
      </c>
      <c r="AS8" s="1105">
        <v>801.75684039116004</v>
      </c>
      <c r="AT8" s="1105">
        <v>1777.3173773399999</v>
      </c>
      <c r="AU8" s="1105">
        <v>679.32004671567995</v>
      </c>
      <c r="AV8" s="1105">
        <v>1793.4689266400001</v>
      </c>
      <c r="AW8" s="1105">
        <v>641.04440296799999</v>
      </c>
      <c r="AX8" s="1105">
        <v>1803.2288125115999</v>
      </c>
      <c r="AY8" s="1105">
        <v>434.92272168160002</v>
      </c>
      <c r="AZ8" s="1105">
        <v>1836.54001714626</v>
      </c>
      <c r="BA8" s="1105">
        <v>591.64806061126001</v>
      </c>
      <c r="BB8" s="1105">
        <v>1629.3280488041</v>
      </c>
      <c r="BC8" s="1105">
        <v>545.79175239409994</v>
      </c>
      <c r="BD8" s="1105">
        <v>1794.2225001910999</v>
      </c>
      <c r="BE8" s="1105">
        <v>523.39104323360004</v>
      </c>
      <c r="BF8" s="1105">
        <v>1730.47792077438</v>
      </c>
      <c r="BG8" s="1105">
        <v>545.21124030537999</v>
      </c>
      <c r="BH8" s="1105">
        <v>1691.62588552688</v>
      </c>
      <c r="BI8" s="1105">
        <v>482.13387763638002</v>
      </c>
      <c r="BJ8" s="1105">
        <v>1669.72924068</v>
      </c>
      <c r="BK8" s="1105">
        <v>488.32559719</v>
      </c>
      <c r="BL8" s="1105">
        <v>1866.6990510902399</v>
      </c>
      <c r="BM8" s="1105">
        <v>548.12112787123999</v>
      </c>
      <c r="BN8" s="1105">
        <v>1924.70815586608</v>
      </c>
      <c r="BO8" s="1105">
        <v>578.84528790557999</v>
      </c>
      <c r="BP8" s="1105">
        <v>1911.1703022452</v>
      </c>
      <c r="BQ8" s="1105">
        <v>547.2613321632</v>
      </c>
      <c r="BR8" s="1105">
        <v>1918.4816629769</v>
      </c>
      <c r="BS8" s="1105">
        <v>517.28021927689997</v>
      </c>
      <c r="BT8" s="1105">
        <v>2005.7385535629001</v>
      </c>
      <c r="BU8" s="1105">
        <v>568.66990430290002</v>
      </c>
      <c r="BV8" s="1105">
        <v>1957.7547057336001</v>
      </c>
      <c r="BW8" s="1105">
        <v>540.79567358860004</v>
      </c>
      <c r="BX8" s="1105">
        <v>1924.134635287</v>
      </c>
      <c r="BY8" s="1105">
        <v>624.70317215700004</v>
      </c>
      <c r="BZ8" s="1105">
        <v>1875.3266360609</v>
      </c>
      <c r="CA8" s="1105">
        <v>624.07602515439999</v>
      </c>
      <c r="CB8" s="1105">
        <v>2139.4680679717999</v>
      </c>
      <c r="CC8" s="1392">
        <v>659.28287605180003</v>
      </c>
      <c r="CD8" s="1392">
        <v>2033.432148286</v>
      </c>
      <c r="CE8" s="1392">
        <v>700.34176892799996</v>
      </c>
      <c r="CF8" s="1105">
        <v>2070.9064977110002</v>
      </c>
      <c r="CG8" s="1392">
        <v>744.01845545100002</v>
      </c>
      <c r="CH8" s="1392">
        <v>2219.2808927880001</v>
      </c>
      <c r="CI8" s="1392">
        <v>864.23103490649999</v>
      </c>
      <c r="CJ8" s="1392">
        <v>2013.43897939</v>
      </c>
      <c r="CK8" s="1392">
        <v>653.09108212800004</v>
      </c>
      <c r="CL8" s="1105">
        <v>1967.8860712600001</v>
      </c>
      <c r="CM8" s="1392">
        <v>600.32039185799999</v>
      </c>
      <c r="CN8" s="1392">
        <v>2017.3843448699999</v>
      </c>
      <c r="CO8" s="1392">
        <v>601.38884627250002</v>
      </c>
      <c r="CP8" s="1392">
        <v>1976.1390925000001</v>
      </c>
      <c r="CQ8" s="1392">
        <v>574.14395734000004</v>
      </c>
      <c r="CR8" s="1392">
        <v>2010.8646022800001</v>
      </c>
      <c r="CS8" s="1392">
        <v>715.16066557500005</v>
      </c>
      <c r="CT8" s="1105">
        <v>1877.0198841399999</v>
      </c>
      <c r="CU8" s="1392">
        <v>431.95687389300002</v>
      </c>
      <c r="CV8" s="1105">
        <v>2089.0126929940998</v>
      </c>
      <c r="CW8" s="1392">
        <v>518.79651956409998</v>
      </c>
      <c r="CX8" s="1392">
        <v>2107.7997221174001</v>
      </c>
      <c r="CY8" s="1392">
        <v>650.06644799740002</v>
      </c>
      <c r="CZ8" s="1105">
        <v>2308.1989776099999</v>
      </c>
      <c r="DA8" s="1392">
        <v>559.12280830999998</v>
      </c>
      <c r="DB8" s="1105">
        <v>1994.7001641446</v>
      </c>
      <c r="DC8" s="1392">
        <v>519.39452225560001</v>
      </c>
      <c r="DD8" s="1105">
        <v>1847.1108814700001</v>
      </c>
      <c r="DE8" s="1105">
        <v>530.06898174000003</v>
      </c>
      <c r="DF8" s="1105">
        <v>2311.8995902187698</v>
      </c>
      <c r="DG8" s="1105">
        <v>649.67200620879998</v>
      </c>
      <c r="DH8" s="1105">
        <v>2111.0114001099701</v>
      </c>
      <c r="DI8" s="1105">
        <v>647.40005760996701</v>
      </c>
      <c r="DJ8" s="1105">
        <v>2005.1666527583</v>
      </c>
      <c r="DK8" s="1105">
        <v>492.22266301830001</v>
      </c>
      <c r="DL8" s="1105">
        <v>1923.5057367194599</v>
      </c>
      <c r="DM8" s="1105">
        <v>509.01939142949999</v>
      </c>
      <c r="DN8" s="1105">
        <v>1928.8883662563001</v>
      </c>
      <c r="DO8" s="1105">
        <v>445.0160206763</v>
      </c>
      <c r="DP8" s="1105">
        <v>2106.0995465381102</v>
      </c>
      <c r="DQ8" s="1105">
        <v>458.96538487960999</v>
      </c>
      <c r="DR8" s="1105">
        <v>2019.3609829899999</v>
      </c>
      <c r="DS8" s="1105">
        <v>427.99538716000001</v>
      </c>
      <c r="DT8" s="1105">
        <v>2029.5116517368799</v>
      </c>
      <c r="DU8" s="1105">
        <v>414.04476131688</v>
      </c>
      <c r="DV8" s="1105">
        <v>2020.4674976783399</v>
      </c>
      <c r="DW8" s="1105">
        <v>537.61771373833994</v>
      </c>
      <c r="DX8" s="1105">
        <v>2705.58369146937</v>
      </c>
      <c r="DY8" s="1105">
        <v>621.28700142936896</v>
      </c>
      <c r="DZ8" s="1105">
        <v>2307.16844858284</v>
      </c>
      <c r="EA8" s="1105">
        <v>604.41381223283997</v>
      </c>
      <c r="EB8" s="1105">
        <v>2226.0830842328</v>
      </c>
      <c r="EC8" s="1105">
        <v>757.3398100828</v>
      </c>
      <c r="ED8" s="1104" t="s">
        <v>3574</v>
      </c>
    </row>
    <row r="9" spans="1:134" ht="18" customHeight="1">
      <c r="A9" s="1104" t="s">
        <v>4319</v>
      </c>
      <c r="B9" s="1106">
        <v>2600.7363181946798</v>
      </c>
      <c r="C9" s="1106">
        <v>910.21302709948202</v>
      </c>
      <c r="D9" s="1106">
        <v>2485.4244102100001</v>
      </c>
      <c r="E9" s="1106">
        <v>1034.83553489273</v>
      </c>
      <c r="F9" s="1106">
        <v>2918.5611143800002</v>
      </c>
      <c r="G9" s="1106">
        <v>1212.0822296102499</v>
      </c>
      <c r="H9" s="1106">
        <v>1818.02810475</v>
      </c>
      <c r="I9" s="1106">
        <v>1239.77148312853</v>
      </c>
      <c r="J9" s="1106">
        <v>2218.4078706599998</v>
      </c>
      <c r="K9" s="1106">
        <v>1669.1541927215901</v>
      </c>
      <c r="L9" s="1106">
        <v>2445.2771597400001</v>
      </c>
      <c r="M9" s="1106">
        <v>1486.7799338772099</v>
      </c>
      <c r="N9" s="1106">
        <v>2583.9483715199999</v>
      </c>
      <c r="O9" s="1106">
        <v>1438.4483617783601</v>
      </c>
      <c r="P9" s="1106">
        <v>2060.20277003</v>
      </c>
      <c r="Q9" s="1106">
        <v>1047.3331617787901</v>
      </c>
      <c r="R9" s="1106">
        <v>2287.29012848</v>
      </c>
      <c r="S9" s="1106">
        <v>1058.97670395568</v>
      </c>
      <c r="T9" s="1106">
        <v>2491.46853921</v>
      </c>
      <c r="U9" s="1106">
        <v>905.00751018861797</v>
      </c>
      <c r="V9" s="1106">
        <v>2569.3207591199998</v>
      </c>
      <c r="W9" s="1106">
        <v>1284.58208153276</v>
      </c>
      <c r="X9" s="1106">
        <v>2139.50647759905</v>
      </c>
      <c r="Y9" s="1106">
        <v>1334.12896374969</v>
      </c>
      <c r="Z9" s="1106">
        <v>3071.02961512</v>
      </c>
      <c r="AA9" s="1106">
        <v>1379.20364569701</v>
      </c>
      <c r="AB9" s="1106">
        <v>2716.20890504</v>
      </c>
      <c r="AC9" s="1106">
        <v>1275.0516882811</v>
      </c>
      <c r="AD9" s="1106">
        <v>2630.0339823600002</v>
      </c>
      <c r="AE9" s="1106">
        <v>1241.3162294440499</v>
      </c>
      <c r="AF9" s="1106">
        <v>2781.5621897699998</v>
      </c>
      <c r="AG9" s="1106">
        <v>1318.5927766950999</v>
      </c>
      <c r="AH9" s="1106">
        <v>2965.93595615</v>
      </c>
      <c r="AI9" s="1106">
        <v>1249.2560175441199</v>
      </c>
      <c r="AJ9" s="1106">
        <v>3349.0987366999998</v>
      </c>
      <c r="AK9" s="1106">
        <v>1174.68531489414</v>
      </c>
      <c r="AL9" s="1106">
        <v>3272.2789938000001</v>
      </c>
      <c r="AM9" s="1106">
        <v>1255.1152997163599</v>
      </c>
      <c r="AN9" s="1106">
        <v>3360.1842249400001</v>
      </c>
      <c r="AO9" s="1106">
        <v>1291.9490041295601</v>
      </c>
      <c r="AP9" s="1106">
        <v>3327.9858799399999</v>
      </c>
      <c r="AQ9" s="1106">
        <v>1187.21581039634</v>
      </c>
      <c r="AR9" s="1106">
        <v>3445.65407581</v>
      </c>
      <c r="AS9" s="1106">
        <v>1068.9830086362001</v>
      </c>
      <c r="AT9" s="1106">
        <v>3675.5005553300002</v>
      </c>
      <c r="AU9" s="1106">
        <v>1275.2701303205399</v>
      </c>
      <c r="AV9" s="1106">
        <v>3242.2822204300001</v>
      </c>
      <c r="AW9" s="1106">
        <v>1004.85318651032</v>
      </c>
      <c r="AX9" s="1106">
        <v>7213.8780164722803</v>
      </c>
      <c r="AY9" s="1106">
        <v>1634.10913010229</v>
      </c>
      <c r="AZ9" s="1106">
        <v>3643.42293634</v>
      </c>
      <c r="BA9" s="1106">
        <v>1217.53403143267</v>
      </c>
      <c r="BB9" s="1106">
        <v>3550.2084537000001</v>
      </c>
      <c r="BC9" s="1106">
        <v>1233.3953815699999</v>
      </c>
      <c r="BD9" s="1106">
        <v>4399.8360006367702</v>
      </c>
      <c r="BE9" s="1106">
        <v>1882.2478269767801</v>
      </c>
      <c r="BF9" s="1106">
        <v>3829.39891632024</v>
      </c>
      <c r="BG9" s="1106">
        <v>1361.40331424955</v>
      </c>
      <c r="BH9" s="1106">
        <v>4544.9221885024699</v>
      </c>
      <c r="BI9" s="1106">
        <v>2190.29174246086</v>
      </c>
      <c r="BJ9" s="1106">
        <v>4458.2947054400001</v>
      </c>
      <c r="BK9" s="1106">
        <v>1781.12067493111</v>
      </c>
      <c r="BL9" s="1106">
        <v>4361.1062698547503</v>
      </c>
      <c r="BM9" s="1106">
        <v>1806.6985187366199</v>
      </c>
      <c r="BN9" s="1106">
        <v>4206.28767982507</v>
      </c>
      <c r="BO9" s="1106">
        <v>1596.4806409109201</v>
      </c>
      <c r="BP9" s="1106">
        <v>4026.2283311098499</v>
      </c>
      <c r="BQ9" s="1106">
        <v>1535.4172714014601</v>
      </c>
      <c r="BR9" s="1106">
        <v>4261.2745949404598</v>
      </c>
      <c r="BS9" s="1106">
        <v>1694.38911928838</v>
      </c>
      <c r="BT9" s="1106">
        <v>4499.2271693979601</v>
      </c>
      <c r="BU9" s="1106">
        <v>1979.62806257796</v>
      </c>
      <c r="BV9" s="1106">
        <v>6327.7451841388902</v>
      </c>
      <c r="BW9" s="1106">
        <v>3727.2403475288902</v>
      </c>
      <c r="BX9" s="1106">
        <v>3956.5522691401102</v>
      </c>
      <c r="BY9" s="1106">
        <v>1731.0101350401101</v>
      </c>
      <c r="BZ9" s="1106">
        <v>3895.75518526407</v>
      </c>
      <c r="CA9" s="1106">
        <v>1616.4674134426</v>
      </c>
      <c r="CB9" s="1106">
        <v>4368.8052558995496</v>
      </c>
      <c r="CC9" s="1393">
        <v>1936.9888692895499</v>
      </c>
      <c r="CD9" s="1393">
        <v>3788.50353461334</v>
      </c>
      <c r="CE9" s="1393">
        <v>1406.3974395523901</v>
      </c>
      <c r="CF9" s="1106">
        <v>3863.35456570733</v>
      </c>
      <c r="CG9" s="1393">
        <v>1868.2716309673301</v>
      </c>
      <c r="CH9" s="1393">
        <v>3974.25869536552</v>
      </c>
      <c r="CI9" s="1393">
        <v>1512.95571560552</v>
      </c>
      <c r="CJ9" s="1393">
        <v>3401.7566103300001</v>
      </c>
      <c r="CK9" s="1393">
        <v>1330.1998638974501</v>
      </c>
      <c r="CL9" s="1106">
        <v>3719.3003540999998</v>
      </c>
      <c r="CM9" s="1393">
        <v>1677.3510236355801</v>
      </c>
      <c r="CN9" s="1393">
        <v>3182.1485690700001</v>
      </c>
      <c r="CO9" s="1393">
        <v>1497.4089995020499</v>
      </c>
      <c r="CP9" s="1393">
        <v>3659.7565370799998</v>
      </c>
      <c r="CQ9" s="1393">
        <v>1657.68551080165</v>
      </c>
      <c r="CR9" s="1393">
        <v>3515.4764399999999</v>
      </c>
      <c r="CS9" s="1393">
        <v>1654.8348376470799</v>
      </c>
      <c r="CT9" s="1106">
        <v>6390.2963165312103</v>
      </c>
      <c r="CU9" s="1393">
        <v>2943.53312416784</v>
      </c>
      <c r="CV9" s="1106">
        <v>5668.1274842800003</v>
      </c>
      <c r="CW9" s="1393">
        <v>2472.04680809</v>
      </c>
      <c r="CX9" s="1393">
        <v>6266.3377870699996</v>
      </c>
      <c r="CY9" s="1393">
        <v>2861.0085383220699</v>
      </c>
      <c r="CZ9" s="1106">
        <v>6751.9994102700002</v>
      </c>
      <c r="DA9" s="1393">
        <v>3568.7396747952698</v>
      </c>
      <c r="DB9" s="1106">
        <v>6084.2923334461402</v>
      </c>
      <c r="DC9" s="1393">
        <v>2888.4054659580702</v>
      </c>
      <c r="DD9" s="1106">
        <v>6085.2160280899998</v>
      </c>
      <c r="DE9" s="1106">
        <v>2909.8202588200002</v>
      </c>
      <c r="DF9" s="1106">
        <v>6326.5393068242502</v>
      </c>
      <c r="DG9" s="1106">
        <v>3204.4810308599999</v>
      </c>
      <c r="DH9" s="1106">
        <v>5991.0426335399998</v>
      </c>
      <c r="DI9" s="1106">
        <v>2649.6917931928001</v>
      </c>
      <c r="DJ9" s="1106">
        <v>5763.22830625407</v>
      </c>
      <c r="DK9" s="1106">
        <v>2648.7873719140798</v>
      </c>
      <c r="DL9" s="1106">
        <v>6131.7922521569399</v>
      </c>
      <c r="DM9" s="1106">
        <v>2585.8978159169401</v>
      </c>
      <c r="DN9" s="1106">
        <v>5447.6508948054297</v>
      </c>
      <c r="DO9" s="1106">
        <v>2225.0620239954301</v>
      </c>
      <c r="DP9" s="1106">
        <v>5767.2040286498304</v>
      </c>
      <c r="DQ9" s="1106">
        <v>2472.51661746741</v>
      </c>
      <c r="DR9" s="1106">
        <v>6211.7210515407696</v>
      </c>
      <c r="DS9" s="1106">
        <v>2780.4732690400001</v>
      </c>
      <c r="DT9" s="1106">
        <v>5535.4905042229402</v>
      </c>
      <c r="DU9" s="1106">
        <v>2339.98131684294</v>
      </c>
      <c r="DV9" s="1106">
        <v>5322.0723720334399</v>
      </c>
      <c r="DW9" s="1106">
        <v>2537.9176456734399</v>
      </c>
      <c r="DX9" s="1106">
        <v>5476.8210754976599</v>
      </c>
      <c r="DY9" s="1106">
        <v>2189.6315419676598</v>
      </c>
      <c r="DZ9" s="1106">
        <v>5136.4225693083999</v>
      </c>
      <c r="EA9" s="1106">
        <v>2203.0360306184002</v>
      </c>
      <c r="EB9" s="1106">
        <v>5537.99678614601</v>
      </c>
      <c r="EC9" s="1106">
        <v>2591.1281307660101</v>
      </c>
      <c r="ED9" s="1104" t="s">
        <v>3644</v>
      </c>
    </row>
    <row r="10" spans="1:134" ht="41.25" customHeight="1">
      <c r="A10" s="1104" t="s">
        <v>2270</v>
      </c>
      <c r="B10" s="1106">
        <v>3266.6515646668199</v>
      </c>
      <c r="C10" s="1106">
        <v>3266.6256252268199</v>
      </c>
      <c r="D10" s="1106">
        <v>3388.7044909951301</v>
      </c>
      <c r="E10" s="1106">
        <v>3388.5082907351298</v>
      </c>
      <c r="F10" s="1106">
        <v>2829.9754869573599</v>
      </c>
      <c r="G10" s="1106">
        <v>2829.9514136873599</v>
      </c>
      <c r="H10" s="1106">
        <v>2905.4908033126799</v>
      </c>
      <c r="I10" s="1106">
        <v>2905.47043913268</v>
      </c>
      <c r="J10" s="1106">
        <v>3090.7401775058001</v>
      </c>
      <c r="K10" s="1106">
        <v>3075.2703340458002</v>
      </c>
      <c r="L10" s="1106">
        <v>3625.3734355492202</v>
      </c>
      <c r="M10" s="1106">
        <v>3625.3634344092202</v>
      </c>
      <c r="N10" s="1106">
        <v>2775.6263988462401</v>
      </c>
      <c r="O10" s="1106">
        <v>2773.2096861862401</v>
      </c>
      <c r="P10" s="1106">
        <v>2626.32325570168</v>
      </c>
      <c r="Q10" s="1106">
        <v>2625.01714423168</v>
      </c>
      <c r="R10" s="1106">
        <v>3010.3052973244498</v>
      </c>
      <c r="S10" s="1106">
        <v>3001.1731523244498</v>
      </c>
      <c r="T10" s="1106">
        <v>2508.8593140017902</v>
      </c>
      <c r="U10" s="1106">
        <v>2508.8406051717898</v>
      </c>
      <c r="V10" s="1106">
        <v>2727.5275234707901</v>
      </c>
      <c r="W10" s="1106">
        <v>2727.4949200807901</v>
      </c>
      <c r="X10" s="1106">
        <v>2975.1097915527198</v>
      </c>
      <c r="Y10" s="1106">
        <v>2975.09613535273</v>
      </c>
      <c r="Z10" s="1106">
        <v>3493.8779535697399</v>
      </c>
      <c r="AA10" s="1106">
        <v>3493.8590983397398</v>
      </c>
      <c r="AB10" s="1106">
        <v>3271.8205328147401</v>
      </c>
      <c r="AC10" s="1106">
        <v>3270.54572352474</v>
      </c>
      <c r="AD10" s="1106">
        <v>3075.78428431673</v>
      </c>
      <c r="AE10" s="1106">
        <v>3075.5748967767299</v>
      </c>
      <c r="AF10" s="1106">
        <v>3072.5448353691099</v>
      </c>
      <c r="AG10" s="1106">
        <v>3072.53409443911</v>
      </c>
      <c r="AH10" s="1106">
        <v>2950.78711728386</v>
      </c>
      <c r="AI10" s="1106">
        <v>2950.7746270938601</v>
      </c>
      <c r="AJ10" s="1106">
        <v>3352.56058962624</v>
      </c>
      <c r="AK10" s="1106">
        <v>3352.3720058762401</v>
      </c>
      <c r="AL10" s="1106">
        <v>2724.41422435292</v>
      </c>
      <c r="AM10" s="1106">
        <v>2724.3916458129202</v>
      </c>
      <c r="AN10" s="1106">
        <v>3231.18212608163</v>
      </c>
      <c r="AO10" s="1106">
        <v>3231.1693972416301</v>
      </c>
      <c r="AP10" s="1106">
        <v>3023.4830854485399</v>
      </c>
      <c r="AQ10" s="1106">
        <v>3023.1120925585401</v>
      </c>
      <c r="AR10" s="1106">
        <v>3521.2367100255801</v>
      </c>
      <c r="AS10" s="1106">
        <v>3521.0062309355799</v>
      </c>
      <c r="AT10" s="1106">
        <v>3175.9189783941001</v>
      </c>
      <c r="AU10" s="1106">
        <v>3175.5415187040999</v>
      </c>
      <c r="AV10" s="1106">
        <v>4084.7606297633902</v>
      </c>
      <c r="AW10" s="1106">
        <v>4084.7369527333899</v>
      </c>
      <c r="AX10" s="1106">
        <v>4605.7446833397198</v>
      </c>
      <c r="AY10" s="1106">
        <v>4605.3960890397202</v>
      </c>
      <c r="AZ10" s="1106">
        <v>4841.53257329997</v>
      </c>
      <c r="BA10" s="1106">
        <v>4841.1776097599704</v>
      </c>
      <c r="BB10" s="1106">
        <v>4534.10832532328</v>
      </c>
      <c r="BC10" s="1106">
        <v>4534.0298918232802</v>
      </c>
      <c r="BD10" s="1106">
        <v>4841.7527588334897</v>
      </c>
      <c r="BE10" s="1106">
        <v>4841.5986628534902</v>
      </c>
      <c r="BF10" s="1106">
        <v>5298.4699095770402</v>
      </c>
      <c r="BG10" s="1106">
        <v>5298.3480016870399</v>
      </c>
      <c r="BH10" s="1106">
        <v>4694.1557424611301</v>
      </c>
      <c r="BI10" s="1106">
        <v>4693.0525439611301</v>
      </c>
      <c r="BJ10" s="1106">
        <v>5022.9879502939402</v>
      </c>
      <c r="BK10" s="1106">
        <v>5017.9853298839398</v>
      </c>
      <c r="BL10" s="1106">
        <v>4903.5298222132897</v>
      </c>
      <c r="BM10" s="1106">
        <v>4898.2410324132898</v>
      </c>
      <c r="BN10" s="1106">
        <v>4841.4535496697299</v>
      </c>
      <c r="BO10" s="1106">
        <v>4836.30751313972</v>
      </c>
      <c r="BP10" s="1106">
        <v>3241.9769976600501</v>
      </c>
      <c r="BQ10" s="1106">
        <v>3241.3807417400499</v>
      </c>
      <c r="BR10" s="1106">
        <v>3163.0856309557098</v>
      </c>
      <c r="BS10" s="1106">
        <v>3160.7931378057101</v>
      </c>
      <c r="BT10" s="1106">
        <v>3151.5385419602799</v>
      </c>
      <c r="BU10" s="1106">
        <v>3151.0860854202801</v>
      </c>
      <c r="BV10" s="1106">
        <v>3115.1342913021099</v>
      </c>
      <c r="BW10" s="1106">
        <v>3114.7831079321099</v>
      </c>
      <c r="BX10" s="1106">
        <v>3283.84837085649</v>
      </c>
      <c r="BY10" s="1106">
        <v>3283.5443891964901</v>
      </c>
      <c r="BZ10" s="1106">
        <v>3330.9482390434</v>
      </c>
      <c r="CA10" s="1106">
        <v>3330.8330166134001</v>
      </c>
      <c r="CB10" s="1106">
        <v>2453.6111856421699</v>
      </c>
      <c r="CC10" s="1393">
        <v>2453.45353334217</v>
      </c>
      <c r="CD10" s="1393">
        <v>3069.7937658787901</v>
      </c>
      <c r="CE10" s="1393">
        <v>3068.5219399887901</v>
      </c>
      <c r="CF10" s="1106">
        <v>2413.2367081926</v>
      </c>
      <c r="CG10" s="1393">
        <v>2412.5058908726</v>
      </c>
      <c r="CH10" s="1393">
        <v>2175.0305991468899</v>
      </c>
      <c r="CI10" s="1393">
        <v>2172.6711307568899</v>
      </c>
      <c r="CJ10" s="1393">
        <v>2065.5879347780901</v>
      </c>
      <c r="CK10" s="1393">
        <v>2065.18131356809</v>
      </c>
      <c r="CL10" s="1106">
        <v>2079.1085459115402</v>
      </c>
      <c r="CM10" s="1393">
        <v>2073.0916889515402</v>
      </c>
      <c r="CN10" s="1393">
        <v>2472.8379995475102</v>
      </c>
      <c r="CO10" s="1393">
        <v>2472.7469351875102</v>
      </c>
      <c r="CP10" s="1393">
        <v>2438.5438190141599</v>
      </c>
      <c r="CQ10" s="1393">
        <v>2438.43214464416</v>
      </c>
      <c r="CR10" s="1393">
        <v>2146.4016919851101</v>
      </c>
      <c r="CS10" s="1393">
        <v>2146.0223282751099</v>
      </c>
      <c r="CT10" s="1106">
        <v>2251.1927178932901</v>
      </c>
      <c r="CU10" s="1393">
        <v>2250.7606427732899</v>
      </c>
      <c r="CV10" s="1106">
        <v>2101.7114473861998</v>
      </c>
      <c r="CW10" s="1393">
        <v>2101.3091941562002</v>
      </c>
      <c r="CX10" s="1393">
        <v>1839.21653160284</v>
      </c>
      <c r="CY10" s="1393">
        <v>1838.6749989028399</v>
      </c>
      <c r="CZ10" s="1106">
        <v>1936.7888135903199</v>
      </c>
      <c r="DA10" s="1393">
        <v>1936.3195603603201</v>
      </c>
      <c r="DB10" s="1106">
        <v>2288.5123958484201</v>
      </c>
      <c r="DC10" s="1393">
        <v>2287.50019093842</v>
      </c>
      <c r="DD10" s="1106">
        <v>2123.01885972837</v>
      </c>
      <c r="DE10" s="1106">
        <v>2121.99728070837</v>
      </c>
      <c r="DF10" s="1106">
        <v>1886.7673451163801</v>
      </c>
      <c r="DG10" s="1106">
        <v>1885.7299043763801</v>
      </c>
      <c r="DH10" s="1106">
        <v>1420.7834477930201</v>
      </c>
      <c r="DI10" s="1106">
        <v>1419.36776764302</v>
      </c>
      <c r="DJ10" s="1106">
        <v>1690.3130375721801</v>
      </c>
      <c r="DK10" s="1106">
        <v>1689.83866309218</v>
      </c>
      <c r="DL10" s="1106">
        <v>1964.0964696342301</v>
      </c>
      <c r="DM10" s="1106">
        <v>1963.53239137423</v>
      </c>
      <c r="DN10" s="1106">
        <v>1708.7418388820499</v>
      </c>
      <c r="DO10" s="1106">
        <v>1708.21679277205</v>
      </c>
      <c r="DP10" s="1106">
        <v>1941.7240121428299</v>
      </c>
      <c r="DQ10" s="1106">
        <v>1941.1736408128299</v>
      </c>
      <c r="DR10" s="1106">
        <v>1754.2110443118199</v>
      </c>
      <c r="DS10" s="1106">
        <v>1753.2219402718199</v>
      </c>
      <c r="DT10" s="1106">
        <v>2146.63386318925</v>
      </c>
      <c r="DU10" s="1106">
        <v>2146.0258527092501</v>
      </c>
      <c r="DV10" s="1106">
        <v>2093.3446590682802</v>
      </c>
      <c r="DW10" s="1106">
        <v>2092.48798679828</v>
      </c>
      <c r="DX10" s="1106">
        <v>2575.4417856874202</v>
      </c>
      <c r="DY10" s="1106">
        <v>2573.8727154074199</v>
      </c>
      <c r="DZ10" s="1106">
        <v>2123.4052673759602</v>
      </c>
      <c r="EA10" s="1106">
        <v>2122.7846499659599</v>
      </c>
      <c r="EB10" s="1106">
        <v>2637.8825019578699</v>
      </c>
      <c r="EC10" s="1106">
        <v>2637.7517672178701</v>
      </c>
      <c r="ED10" s="1104" t="s">
        <v>3575</v>
      </c>
    </row>
    <row r="11" spans="1:134" ht="35.25" customHeight="1">
      <c r="A11" s="1104" t="s">
        <v>2269</v>
      </c>
      <c r="B11" s="1106">
        <v>5538.1630043100004</v>
      </c>
      <c r="C11" s="1106">
        <v>2345.9925722900002</v>
      </c>
      <c r="D11" s="1106">
        <v>5586.9349708399996</v>
      </c>
      <c r="E11" s="1106">
        <v>1943.3510885799999</v>
      </c>
      <c r="F11" s="1106">
        <v>5789.6601259999998</v>
      </c>
      <c r="G11" s="1106">
        <v>2337.3632488100002</v>
      </c>
      <c r="H11" s="1106">
        <v>5870.6348787899997</v>
      </c>
      <c r="I11" s="1106">
        <v>2360.8568679</v>
      </c>
      <c r="J11" s="1106">
        <v>5377.31768543</v>
      </c>
      <c r="K11" s="1106">
        <v>2137.7224859900002</v>
      </c>
      <c r="L11" s="1106">
        <v>4809.6911896700003</v>
      </c>
      <c r="M11" s="1106">
        <v>1825.75188987</v>
      </c>
      <c r="N11" s="1106">
        <v>5030.5989135500004</v>
      </c>
      <c r="O11" s="1106">
        <v>2048.3890722800002</v>
      </c>
      <c r="P11" s="1106">
        <v>4797.85293336</v>
      </c>
      <c r="Q11" s="1106">
        <v>1864.66703607</v>
      </c>
      <c r="R11" s="1106">
        <v>4544.4334059399998</v>
      </c>
      <c r="S11" s="1106">
        <v>1663.4870426499999</v>
      </c>
      <c r="T11" s="1106">
        <v>4162.9454568700003</v>
      </c>
      <c r="U11" s="1106">
        <v>1183.10875657</v>
      </c>
      <c r="V11" s="1106">
        <v>4162.2632767100004</v>
      </c>
      <c r="W11" s="1106">
        <v>1132.17921729</v>
      </c>
      <c r="X11" s="1106">
        <v>4139.0531717699996</v>
      </c>
      <c r="Y11" s="1106">
        <v>1246.0574632299999</v>
      </c>
      <c r="Z11" s="1106">
        <v>4155.7474352500003</v>
      </c>
      <c r="AA11" s="1106">
        <v>1228.4337656600001</v>
      </c>
      <c r="AB11" s="1106">
        <v>4057.6053180899999</v>
      </c>
      <c r="AC11" s="1106">
        <v>1440.2305471899999</v>
      </c>
      <c r="AD11" s="1106">
        <v>4086.42593016</v>
      </c>
      <c r="AE11" s="1106">
        <v>1489.3704719499999</v>
      </c>
      <c r="AF11" s="1106">
        <v>3962.5102365100001</v>
      </c>
      <c r="AG11" s="1106">
        <v>1365.1783012799999</v>
      </c>
      <c r="AH11" s="1106">
        <v>4052.97100667</v>
      </c>
      <c r="AI11" s="1106">
        <v>1437.60055117</v>
      </c>
      <c r="AJ11" s="1106">
        <v>3957.31014972</v>
      </c>
      <c r="AK11" s="1106">
        <v>1344.72090587</v>
      </c>
      <c r="AL11" s="1106">
        <v>3813.0659948699999</v>
      </c>
      <c r="AM11" s="1106">
        <v>1298.5462949499999</v>
      </c>
      <c r="AN11" s="1106">
        <v>3709.9755411800002</v>
      </c>
      <c r="AO11" s="1106">
        <v>1256.51710871</v>
      </c>
      <c r="AP11" s="1106">
        <v>3789.9735141299998</v>
      </c>
      <c r="AQ11" s="1106">
        <v>1327.3149089799999</v>
      </c>
      <c r="AR11" s="1106">
        <v>3840.5901892563802</v>
      </c>
      <c r="AS11" s="1106">
        <v>1370.80700644637</v>
      </c>
      <c r="AT11" s="1106">
        <v>3848.0346975038101</v>
      </c>
      <c r="AU11" s="1106">
        <v>1373.2778156638101</v>
      </c>
      <c r="AV11" s="1106">
        <v>3742.8739952635801</v>
      </c>
      <c r="AW11" s="1106">
        <v>1266.2085822535801</v>
      </c>
      <c r="AX11" s="1106">
        <v>1879.25830318971</v>
      </c>
      <c r="AY11" s="1106">
        <v>1583.9556747597101</v>
      </c>
      <c r="AZ11" s="1106">
        <v>3622.0099253264898</v>
      </c>
      <c r="BA11" s="1106">
        <v>1094.14992348649</v>
      </c>
      <c r="BB11" s="1106">
        <v>3628.8809684453799</v>
      </c>
      <c r="BC11" s="1106">
        <v>1103.86877853538</v>
      </c>
      <c r="BD11" s="1106">
        <v>3810.2134332913101</v>
      </c>
      <c r="BE11" s="1106">
        <v>1292.62051811131</v>
      </c>
      <c r="BF11" s="1106">
        <v>3956.22827393751</v>
      </c>
      <c r="BG11" s="1106">
        <v>1398.97022282751</v>
      </c>
      <c r="BH11" s="1106">
        <v>4359.1260361602999</v>
      </c>
      <c r="BI11" s="1106">
        <v>1951.6044946303</v>
      </c>
      <c r="BJ11" s="1106">
        <v>4094.2086527372999</v>
      </c>
      <c r="BK11" s="1106">
        <v>1737.4500204673</v>
      </c>
      <c r="BL11" s="1106">
        <v>3658.2574213457001</v>
      </c>
      <c r="BM11" s="1106">
        <v>2001.9903706257001</v>
      </c>
      <c r="BN11" s="1106">
        <v>4271.5199212133002</v>
      </c>
      <c r="BO11" s="1106">
        <v>2115.7408390332998</v>
      </c>
      <c r="BP11" s="1106">
        <v>6609.4830000192096</v>
      </c>
      <c r="BQ11" s="1106">
        <v>4146.0441037292103</v>
      </c>
      <c r="BR11" s="1106">
        <v>6303.9104897705602</v>
      </c>
      <c r="BS11" s="1106">
        <v>3833.2167668905599</v>
      </c>
      <c r="BT11" s="1106">
        <v>5823.8262627164904</v>
      </c>
      <c r="BU11" s="1106">
        <v>3313.4169333364898</v>
      </c>
      <c r="BV11" s="1106">
        <v>4998.3949876026099</v>
      </c>
      <c r="BW11" s="1106">
        <v>3019.5488868826101</v>
      </c>
      <c r="BX11" s="1106">
        <v>5151.9164315646003</v>
      </c>
      <c r="BY11" s="1106">
        <v>3027.7353580946001</v>
      </c>
      <c r="BZ11" s="1106">
        <v>5086.0036881403503</v>
      </c>
      <c r="CA11" s="1106">
        <v>2340.0288591103499</v>
      </c>
      <c r="CB11" s="1106">
        <v>4169.4732184403501</v>
      </c>
      <c r="CC11" s="1393">
        <v>1921.47890228035</v>
      </c>
      <c r="CD11" s="1393">
        <v>4265.6938841644896</v>
      </c>
      <c r="CE11" s="1393">
        <v>2064.13217026449</v>
      </c>
      <c r="CF11" s="1106">
        <v>4860.4164793474802</v>
      </c>
      <c r="CG11" s="1393">
        <v>2707.6626870874802</v>
      </c>
      <c r="CH11" s="1393">
        <v>3760.8453597668399</v>
      </c>
      <c r="CI11" s="1393">
        <v>2027.53451976684</v>
      </c>
      <c r="CJ11" s="1393">
        <v>3840.40724896764</v>
      </c>
      <c r="CK11" s="1393">
        <v>1776.3537389676401</v>
      </c>
      <c r="CL11" s="1106">
        <v>3636.1772634546101</v>
      </c>
      <c r="CM11" s="1393">
        <v>1552.65816251461</v>
      </c>
      <c r="CN11" s="1393">
        <v>3512.2560737306299</v>
      </c>
      <c r="CO11" s="1393">
        <v>1583.55769197063</v>
      </c>
      <c r="CP11" s="1393">
        <v>3651.59962771238</v>
      </c>
      <c r="CQ11" s="1393">
        <v>1762.2733777123799</v>
      </c>
      <c r="CR11" s="1393">
        <v>3424.0741832114199</v>
      </c>
      <c r="CS11" s="1393">
        <v>1485.34794321142</v>
      </c>
      <c r="CT11" s="1106">
        <v>4006.6052270135001</v>
      </c>
      <c r="CU11" s="1393">
        <v>1888.2687770135001</v>
      </c>
      <c r="CV11" s="1106">
        <v>4047.0221984</v>
      </c>
      <c r="CW11" s="1393">
        <v>1917.59579629</v>
      </c>
      <c r="CX11" s="1393">
        <v>3208.4395950713201</v>
      </c>
      <c r="CY11" s="1393">
        <v>1486.9488947213199</v>
      </c>
      <c r="CZ11" s="1106">
        <v>3395.71153157766</v>
      </c>
      <c r="DA11" s="1393">
        <v>1859.65885157766</v>
      </c>
      <c r="DB11" s="1106">
        <v>3779.0268972303402</v>
      </c>
      <c r="DC11" s="1393">
        <v>2343.19496060034</v>
      </c>
      <c r="DD11" s="1106">
        <v>2868.79057645375</v>
      </c>
      <c r="DE11" s="1106">
        <v>1409.19888761375</v>
      </c>
      <c r="DF11" s="1106">
        <v>2430.3962936100002</v>
      </c>
      <c r="DG11" s="1106">
        <v>1379.1046047699999</v>
      </c>
      <c r="DH11" s="1106">
        <v>2265.7157325899998</v>
      </c>
      <c r="DI11" s="1106">
        <v>1290.97830737</v>
      </c>
      <c r="DJ11" s="1106">
        <v>2241.64792416</v>
      </c>
      <c r="DK11" s="1106">
        <v>1272.5377441600001</v>
      </c>
      <c r="DL11" s="1106">
        <v>2167.00866653</v>
      </c>
      <c r="DM11" s="1106">
        <v>1258.66247653</v>
      </c>
      <c r="DN11" s="1106">
        <v>2276.8991959800001</v>
      </c>
      <c r="DO11" s="1106">
        <v>1338.0680459800001</v>
      </c>
      <c r="DP11" s="1106">
        <v>2378.4498643799998</v>
      </c>
      <c r="DQ11" s="1106">
        <v>1428.1493043800001</v>
      </c>
      <c r="DR11" s="1106">
        <v>3138.9255062000002</v>
      </c>
      <c r="DS11" s="1106">
        <v>2313.2175062000001</v>
      </c>
      <c r="DT11" s="1106">
        <v>2335.1894681399999</v>
      </c>
      <c r="DU11" s="1106">
        <v>2081.0814681400002</v>
      </c>
      <c r="DV11" s="1106">
        <v>2421.3863066785898</v>
      </c>
      <c r="DW11" s="1106">
        <v>1828.1971266800001</v>
      </c>
      <c r="DX11" s="1106">
        <v>2457.8721422499998</v>
      </c>
      <c r="DY11" s="1106">
        <v>2120.2641422500001</v>
      </c>
      <c r="DZ11" s="1106">
        <v>2383.8606942000001</v>
      </c>
      <c r="EA11" s="1106">
        <v>2020.6526942</v>
      </c>
      <c r="EB11" s="1106">
        <v>2669.5916663799999</v>
      </c>
      <c r="EC11" s="1106">
        <v>2294.8836663799998</v>
      </c>
      <c r="ED11" s="1104" t="s">
        <v>3576</v>
      </c>
    </row>
    <row r="12" spans="1:134" ht="18.75" customHeight="1">
      <c r="A12" s="1104" t="s">
        <v>2268</v>
      </c>
      <c r="B12" s="1106">
        <v>3261.3124309700002</v>
      </c>
      <c r="C12" s="1106">
        <v>1827.5045921000001</v>
      </c>
      <c r="D12" s="1106">
        <v>2979.698719385</v>
      </c>
      <c r="E12" s="1106">
        <v>1698.5436084200001</v>
      </c>
      <c r="F12" s="1106">
        <v>2973.5388128599998</v>
      </c>
      <c r="G12" s="1106">
        <v>1592.3532011</v>
      </c>
      <c r="H12" s="1106">
        <v>2866.5675957620001</v>
      </c>
      <c r="I12" s="1106">
        <v>1838.8278665769999</v>
      </c>
      <c r="J12" s="1106">
        <v>3414.8720979320001</v>
      </c>
      <c r="K12" s="1106">
        <v>1873.9242129419999</v>
      </c>
      <c r="L12" s="1106">
        <v>3197.6180010019998</v>
      </c>
      <c r="M12" s="1106">
        <v>1862.2832984219999</v>
      </c>
      <c r="N12" s="1106">
        <v>3321.8205165720001</v>
      </c>
      <c r="O12" s="1106">
        <v>1953.997111182</v>
      </c>
      <c r="P12" s="1106">
        <v>3674.05421037</v>
      </c>
      <c r="Q12" s="1106">
        <v>2133.0112883699999</v>
      </c>
      <c r="R12" s="1106">
        <v>3847.3852259499999</v>
      </c>
      <c r="S12" s="1106">
        <v>2248.0056144099999</v>
      </c>
      <c r="T12" s="1106">
        <v>3990.3647315203002</v>
      </c>
      <c r="U12" s="1106">
        <v>2221.8072455679999</v>
      </c>
      <c r="V12" s="1106">
        <v>4333.4680092079998</v>
      </c>
      <c r="W12" s="1106">
        <v>2373.2834002979998</v>
      </c>
      <c r="X12" s="1106">
        <v>4465.8332347699998</v>
      </c>
      <c r="Y12" s="1106">
        <v>2300.7272777100002</v>
      </c>
      <c r="Z12" s="1106">
        <v>4334.9635927999998</v>
      </c>
      <c r="AA12" s="1106">
        <v>2175.8531112659998</v>
      </c>
      <c r="AB12" s="1106">
        <v>4677.874355936</v>
      </c>
      <c r="AC12" s="1106">
        <v>2177.5789105859999</v>
      </c>
      <c r="AD12" s="1106">
        <v>4830.7010032480002</v>
      </c>
      <c r="AE12" s="1106">
        <v>2255.5880078979999</v>
      </c>
      <c r="AF12" s="1106">
        <v>4726.4529615270003</v>
      </c>
      <c r="AG12" s="1106">
        <v>2270.2551077369999</v>
      </c>
      <c r="AH12" s="1106">
        <v>4790.4027964569996</v>
      </c>
      <c r="AI12" s="1106">
        <v>2341.403763197</v>
      </c>
      <c r="AJ12" s="1106">
        <v>4753.3249078669996</v>
      </c>
      <c r="AK12" s="1106">
        <v>2467.2122014269999</v>
      </c>
      <c r="AL12" s="1106">
        <v>4960.3463562280003</v>
      </c>
      <c r="AM12" s="1106">
        <v>2453.5605965979998</v>
      </c>
      <c r="AN12" s="1106">
        <v>4650.5843679480004</v>
      </c>
      <c r="AO12" s="1106">
        <v>2361.7490708179998</v>
      </c>
      <c r="AP12" s="1106">
        <v>4862.8134720079997</v>
      </c>
      <c r="AQ12" s="1106">
        <v>2555.9511281579998</v>
      </c>
      <c r="AR12" s="1106">
        <v>4770.6447488809999</v>
      </c>
      <c r="AS12" s="1106">
        <v>2480.8618113110001</v>
      </c>
      <c r="AT12" s="1106">
        <v>4705.16842115492</v>
      </c>
      <c r="AU12" s="1106">
        <v>2483.0080601949198</v>
      </c>
      <c r="AV12" s="1106">
        <v>4754.6364792759996</v>
      </c>
      <c r="AW12" s="1106">
        <v>2482.4100305860002</v>
      </c>
      <c r="AX12" s="1106">
        <v>4890.0810217150001</v>
      </c>
      <c r="AY12" s="1106">
        <v>2566.7975040649999</v>
      </c>
      <c r="AZ12" s="1106">
        <v>5205.9083193850001</v>
      </c>
      <c r="BA12" s="1106">
        <v>2502.2081843329102</v>
      </c>
      <c r="BB12" s="1106">
        <v>5814.1634687879996</v>
      </c>
      <c r="BC12" s="1106">
        <v>2772.1820277724801</v>
      </c>
      <c r="BD12" s="1106">
        <v>5589.574230485</v>
      </c>
      <c r="BE12" s="1106">
        <v>2609.5604846249998</v>
      </c>
      <c r="BF12" s="1106">
        <v>5555.4712238740003</v>
      </c>
      <c r="BG12" s="1106">
        <v>2636.4976120840001</v>
      </c>
      <c r="BH12" s="1106">
        <v>5626.7004755170001</v>
      </c>
      <c r="BI12" s="1106">
        <v>2643.1080970369999</v>
      </c>
      <c r="BJ12" s="1106">
        <v>5819.5890554480002</v>
      </c>
      <c r="BK12" s="1106">
        <v>2790.5299099379999</v>
      </c>
      <c r="BL12" s="1106">
        <v>5859.7051713580004</v>
      </c>
      <c r="BM12" s="1106">
        <v>2962.9776105679998</v>
      </c>
      <c r="BN12" s="1106">
        <v>5964.44012608094</v>
      </c>
      <c r="BO12" s="1106">
        <v>3089.848258691</v>
      </c>
      <c r="BP12" s="1106">
        <v>6198.577029004</v>
      </c>
      <c r="BQ12" s="1106">
        <v>3390.191186084</v>
      </c>
      <c r="BR12" s="1106">
        <v>6576.3781529500002</v>
      </c>
      <c r="BS12" s="1106">
        <v>3454.5674931240001</v>
      </c>
      <c r="BT12" s="1106">
        <v>7079.5986473659996</v>
      </c>
      <c r="BU12" s="1106">
        <v>3734.005978226</v>
      </c>
      <c r="BV12" s="1106">
        <v>8337.695806533</v>
      </c>
      <c r="BW12" s="1106">
        <v>4052.54702817</v>
      </c>
      <c r="BX12" s="1106">
        <v>8315.8070334580007</v>
      </c>
      <c r="BY12" s="1106">
        <v>3988.126616048</v>
      </c>
      <c r="BZ12" s="1106">
        <v>7769.0335272479997</v>
      </c>
      <c r="CA12" s="1106">
        <v>3820.4921899780002</v>
      </c>
      <c r="CB12" s="1106">
        <v>7671.7335730459999</v>
      </c>
      <c r="CC12" s="1393">
        <v>3835.4427079460002</v>
      </c>
      <c r="CD12" s="1393">
        <v>7712.5423704169998</v>
      </c>
      <c r="CE12" s="1393">
        <v>3813.0073495484398</v>
      </c>
      <c r="CF12" s="1106">
        <v>7441.9537087364997</v>
      </c>
      <c r="CG12" s="1393">
        <v>3285.770171659</v>
      </c>
      <c r="CH12" s="1393">
        <v>7797.6727632480997</v>
      </c>
      <c r="CI12" s="1393">
        <v>3388.9921926830002</v>
      </c>
      <c r="CJ12" s="1393">
        <v>7709.9259508929999</v>
      </c>
      <c r="CK12" s="1393">
        <v>3101.5521866829999</v>
      </c>
      <c r="CL12" s="1106">
        <v>7622.1619553230003</v>
      </c>
      <c r="CM12" s="1393">
        <v>2978.5529519830002</v>
      </c>
      <c r="CN12" s="1393">
        <v>7839.8673120699996</v>
      </c>
      <c r="CO12" s="1393">
        <v>2965.0583147699999</v>
      </c>
      <c r="CP12" s="1393">
        <v>7338.4281834900003</v>
      </c>
      <c r="CQ12" s="1393">
        <v>2960.6093990712702</v>
      </c>
      <c r="CR12" s="1393">
        <v>7203.1837625400003</v>
      </c>
      <c r="CS12" s="1393">
        <v>2957.4447966840598</v>
      </c>
      <c r="CT12" s="1106">
        <v>7097.9912139899998</v>
      </c>
      <c r="CU12" s="1393">
        <v>3041.5355331430001</v>
      </c>
      <c r="CV12" s="1106">
        <v>7128.6384359800004</v>
      </c>
      <c r="CW12" s="1393">
        <v>3114.5406665330001</v>
      </c>
      <c r="CX12" s="1393">
        <v>7383.0259066199997</v>
      </c>
      <c r="CY12" s="1393">
        <v>3153.9132922499998</v>
      </c>
      <c r="CZ12" s="1106">
        <v>6877.3607085240001</v>
      </c>
      <c r="DA12" s="1393">
        <v>2345.882195399</v>
      </c>
      <c r="DB12" s="1106">
        <v>7119.8331997879995</v>
      </c>
      <c r="DC12" s="1393">
        <v>2658.2280189130001</v>
      </c>
      <c r="DD12" s="1106">
        <v>7697.1399460149996</v>
      </c>
      <c r="DE12" s="1106">
        <v>3408.5020025929998</v>
      </c>
      <c r="DF12" s="1106">
        <v>7514.6723768290003</v>
      </c>
      <c r="DG12" s="1106">
        <v>3183.045238834</v>
      </c>
      <c r="DH12" s="1106">
        <v>7960.0263264470004</v>
      </c>
      <c r="DI12" s="1106">
        <v>3486.7464798204801</v>
      </c>
      <c r="DJ12" s="1106">
        <v>7653.8403053680004</v>
      </c>
      <c r="DK12" s="1106">
        <v>3271.525485528</v>
      </c>
      <c r="DL12" s="1106">
        <v>7610.0469045150003</v>
      </c>
      <c r="DM12" s="1106">
        <v>3757.8796315650002</v>
      </c>
      <c r="DN12" s="1106">
        <v>7352.1652878200002</v>
      </c>
      <c r="DO12" s="1106">
        <v>4463.9541293900002</v>
      </c>
      <c r="DP12" s="1106">
        <v>6857.3094253380004</v>
      </c>
      <c r="DQ12" s="1106">
        <v>3013.4537935100002</v>
      </c>
      <c r="DR12" s="1106">
        <v>9363.6337122280001</v>
      </c>
      <c r="DS12" s="1106">
        <v>3888.6380038759999</v>
      </c>
      <c r="DT12" s="1106">
        <v>9578.3243521269997</v>
      </c>
      <c r="DU12" s="1106">
        <v>4301.4727653549999</v>
      </c>
      <c r="DV12" s="1106">
        <v>9374.1222020296991</v>
      </c>
      <c r="DW12" s="1106">
        <v>4295.654401709</v>
      </c>
      <c r="DX12" s="1106">
        <v>9430.0715513587002</v>
      </c>
      <c r="DY12" s="1106">
        <v>4377.5130788590004</v>
      </c>
      <c r="DZ12" s="1106">
        <v>9542.5587672460006</v>
      </c>
      <c r="EA12" s="1106">
        <v>4601.9835905569998</v>
      </c>
      <c r="EB12" s="1106">
        <v>9789.4134972259999</v>
      </c>
      <c r="EC12" s="1106">
        <v>4830.1986800559998</v>
      </c>
      <c r="ED12" s="1104" t="s">
        <v>3577</v>
      </c>
    </row>
    <row r="13" spans="1:134" ht="41.25" customHeight="1">
      <c r="A13" s="1104" t="s">
        <v>2267</v>
      </c>
      <c r="B13" s="1106">
        <v>304.82624741000001</v>
      </c>
      <c r="C13" s="1106">
        <v>133.36205180000002</v>
      </c>
      <c r="D13" s="1106">
        <v>315.39288590400002</v>
      </c>
      <c r="E13" s="1106">
        <v>141.57897972399999</v>
      </c>
      <c r="F13" s="1106">
        <v>332.54405205900002</v>
      </c>
      <c r="G13" s="1106">
        <v>147.041784509</v>
      </c>
      <c r="H13" s="1106">
        <v>358.15847389300001</v>
      </c>
      <c r="I13" s="1106">
        <v>145.796980953</v>
      </c>
      <c r="J13" s="1106">
        <v>340.19160758700002</v>
      </c>
      <c r="K13" s="1106">
        <v>139.941709777</v>
      </c>
      <c r="L13" s="1106">
        <v>289.44401098999998</v>
      </c>
      <c r="M13" s="1106">
        <v>125.96959622</v>
      </c>
      <c r="N13" s="1106">
        <v>269.37254539899999</v>
      </c>
      <c r="O13" s="1106">
        <v>109.45099836899999</v>
      </c>
      <c r="P13" s="1106">
        <v>272.86217131800004</v>
      </c>
      <c r="Q13" s="1106">
        <v>108.04582351799999</v>
      </c>
      <c r="R13" s="1106">
        <v>265.88835444899996</v>
      </c>
      <c r="S13" s="1106">
        <v>106.58884489900001</v>
      </c>
      <c r="T13" s="1106">
        <v>264.99220915900003</v>
      </c>
      <c r="U13" s="1106">
        <v>103.57346671900001</v>
      </c>
      <c r="V13" s="1106">
        <v>243.919341339</v>
      </c>
      <c r="W13" s="1106">
        <v>96.450848229000002</v>
      </c>
      <c r="X13" s="1106">
        <v>242.33152621899998</v>
      </c>
      <c r="Y13" s="1106">
        <v>83.945950518999993</v>
      </c>
      <c r="Z13" s="1106">
        <v>259.69731968330001</v>
      </c>
      <c r="AA13" s="1106">
        <v>86.537330859000008</v>
      </c>
      <c r="AB13" s="1106">
        <v>251.44434331899998</v>
      </c>
      <c r="AC13" s="1106">
        <v>85.883140628999996</v>
      </c>
      <c r="AD13" s="1106">
        <v>216.08575369900001</v>
      </c>
      <c r="AE13" s="1106">
        <v>49.145216429000001</v>
      </c>
      <c r="AF13" s="1106">
        <v>213.271578089</v>
      </c>
      <c r="AG13" s="1106">
        <v>45.375157289000001</v>
      </c>
      <c r="AH13" s="1106">
        <v>216.90192650900002</v>
      </c>
      <c r="AI13" s="1106">
        <v>44.578865469</v>
      </c>
      <c r="AJ13" s="1106">
        <v>216.52116044900001</v>
      </c>
      <c r="AK13" s="1106">
        <v>46.754112108999998</v>
      </c>
      <c r="AL13" s="1106">
        <v>221.12811425899997</v>
      </c>
      <c r="AM13" s="1106">
        <v>46.451464608999999</v>
      </c>
      <c r="AN13" s="1106">
        <v>227.74018557900001</v>
      </c>
      <c r="AO13" s="1106">
        <v>47.556060449</v>
      </c>
      <c r="AP13" s="1106">
        <v>256.078503549</v>
      </c>
      <c r="AQ13" s="1106">
        <v>50.727748519000002</v>
      </c>
      <c r="AR13" s="1106">
        <v>279.77919726900001</v>
      </c>
      <c r="AS13" s="1106">
        <v>56.439356899000003</v>
      </c>
      <c r="AT13" s="1106">
        <v>290.109702239</v>
      </c>
      <c r="AU13" s="1106">
        <v>56.006596731000002</v>
      </c>
      <c r="AV13" s="1106">
        <v>288.898726329</v>
      </c>
      <c r="AW13" s="1106">
        <v>62.261001899000007</v>
      </c>
      <c r="AX13" s="1106">
        <v>323.493680649</v>
      </c>
      <c r="AY13" s="1106">
        <v>66.462824658999907</v>
      </c>
      <c r="AZ13" s="1106">
        <v>325.69115675900002</v>
      </c>
      <c r="BA13" s="1106">
        <v>65.811652429000006</v>
      </c>
      <c r="BB13" s="1106">
        <v>340.824744549</v>
      </c>
      <c r="BC13" s="1106">
        <v>70.400038168999998</v>
      </c>
      <c r="BD13" s="1106">
        <v>350.17826880999996</v>
      </c>
      <c r="BE13" s="1106">
        <v>78.033101490000007</v>
      </c>
      <c r="BF13" s="1106">
        <v>350.80770802999996</v>
      </c>
      <c r="BG13" s="1106">
        <v>78.989542999999998</v>
      </c>
      <c r="BH13" s="1106">
        <v>355.52126543999998</v>
      </c>
      <c r="BI13" s="1106">
        <v>80.873252400000013</v>
      </c>
      <c r="BJ13" s="1106">
        <v>346.42021833000001</v>
      </c>
      <c r="BK13" s="1106">
        <v>75.254714030000002</v>
      </c>
      <c r="BL13" s="1106">
        <v>346.72243993000001</v>
      </c>
      <c r="BM13" s="1106">
        <v>72.462608899999992</v>
      </c>
      <c r="BN13" s="1106">
        <v>342.54701390000002</v>
      </c>
      <c r="BO13" s="1106">
        <v>73.098770720000005</v>
      </c>
      <c r="BP13" s="1106">
        <v>365.32851277999998</v>
      </c>
      <c r="BQ13" s="1106">
        <v>74.057057399999991</v>
      </c>
      <c r="BR13" s="1106">
        <v>373.67803863</v>
      </c>
      <c r="BS13" s="1106">
        <v>77.652717569999993</v>
      </c>
      <c r="BT13" s="1106">
        <v>402.81914418999997</v>
      </c>
      <c r="BU13" s="1106">
        <v>98.253323899999998</v>
      </c>
      <c r="BV13" s="1106">
        <v>382.90305689000002</v>
      </c>
      <c r="BW13" s="1106">
        <v>84.579327243281995</v>
      </c>
      <c r="BX13" s="1106">
        <v>387.72079058000003</v>
      </c>
      <c r="BY13" s="1106">
        <v>79.515633132282005</v>
      </c>
      <c r="BZ13" s="1106">
        <v>390.32155021</v>
      </c>
      <c r="CA13" s="1106">
        <v>87.491934134060003</v>
      </c>
      <c r="CB13" s="1106">
        <v>396.95742548999999</v>
      </c>
      <c r="CC13" s="1393">
        <v>91.155313384059994</v>
      </c>
      <c r="CD13" s="1393">
        <v>442.4956717</v>
      </c>
      <c r="CE13" s="1393">
        <v>108.27310548811199</v>
      </c>
      <c r="CF13" s="1106">
        <v>421.48153926800001</v>
      </c>
      <c r="CG13" s="1393">
        <v>91.795030230913994</v>
      </c>
      <c r="CH13" s="1393">
        <v>415.320691748</v>
      </c>
      <c r="CI13" s="1393">
        <v>95.699934742105995</v>
      </c>
      <c r="CJ13" s="1393">
        <v>410.68058734800002</v>
      </c>
      <c r="CK13" s="1393">
        <v>86.3617786911</v>
      </c>
      <c r="CL13" s="1106">
        <v>418.06672852000003</v>
      </c>
      <c r="CM13" s="1393">
        <v>88.033330530000001</v>
      </c>
      <c r="CN13" s="1393">
        <v>392.39908788000002</v>
      </c>
      <c r="CO13" s="1393">
        <v>80.617958659999999</v>
      </c>
      <c r="CP13" s="1393">
        <v>387.45367549999997</v>
      </c>
      <c r="CQ13" s="1393">
        <v>81.655155480000005</v>
      </c>
      <c r="CR13" s="1393">
        <v>405.08882762799999</v>
      </c>
      <c r="CS13" s="1393">
        <v>97.407828739999999</v>
      </c>
      <c r="CT13" s="1106">
        <v>420.15787518000002</v>
      </c>
      <c r="CU13" s="1393">
        <v>111.90494246999999</v>
      </c>
      <c r="CV13" s="1106">
        <v>421.72359784000002</v>
      </c>
      <c r="CW13" s="1393">
        <v>122.57152028</v>
      </c>
      <c r="CX13" s="1393">
        <v>420.35546147000002</v>
      </c>
      <c r="CY13" s="1393">
        <v>123.78470485</v>
      </c>
      <c r="CZ13" s="1106">
        <v>401.96262798999999</v>
      </c>
      <c r="DA13" s="1393">
        <v>125.19844326</v>
      </c>
      <c r="DB13" s="1106">
        <v>436.65177</v>
      </c>
      <c r="DC13" s="1393">
        <v>148.51094999</v>
      </c>
      <c r="DD13" s="1106">
        <v>440.38430269999998</v>
      </c>
      <c r="DE13" s="1106">
        <v>150.54193731999999</v>
      </c>
      <c r="DF13" s="1106">
        <v>465.61568733000001</v>
      </c>
      <c r="DG13" s="1106">
        <v>171.82179346999999</v>
      </c>
      <c r="DH13" s="1106">
        <v>467.69249332999999</v>
      </c>
      <c r="DI13" s="1106">
        <v>173.02327814</v>
      </c>
      <c r="DJ13" s="1106">
        <v>486.75899357999998</v>
      </c>
      <c r="DK13" s="1106">
        <v>189.44250646200001</v>
      </c>
      <c r="DL13" s="1106">
        <v>513.23729232000005</v>
      </c>
      <c r="DM13" s="1106">
        <v>189.49671706000001</v>
      </c>
      <c r="DN13" s="1106">
        <v>509.46485898999998</v>
      </c>
      <c r="DO13" s="1106">
        <v>183.05123659</v>
      </c>
      <c r="DP13" s="1106">
        <v>482.14144529999999</v>
      </c>
      <c r="DQ13" s="1106">
        <v>158.07132783</v>
      </c>
      <c r="DR13" s="1106">
        <v>429.51861645999998</v>
      </c>
      <c r="DS13" s="1106">
        <v>152.12574523000001</v>
      </c>
      <c r="DT13" s="1106">
        <v>449.51098488000002</v>
      </c>
      <c r="DU13" s="1106">
        <v>132.94269337</v>
      </c>
      <c r="DV13" s="1106">
        <v>456.43741318000002</v>
      </c>
      <c r="DW13" s="1106">
        <v>138.63389558</v>
      </c>
      <c r="DX13" s="1106">
        <v>460.50518450999999</v>
      </c>
      <c r="DY13" s="1106">
        <v>143.56889215000001</v>
      </c>
      <c r="DZ13" s="1106">
        <v>436.68195050000003</v>
      </c>
      <c r="EA13" s="1106">
        <v>142.69520917</v>
      </c>
      <c r="EB13" s="1106">
        <v>483.66051113999998</v>
      </c>
      <c r="EC13" s="1106">
        <v>186.77498328999999</v>
      </c>
      <c r="ED13" s="1104" t="s">
        <v>3578</v>
      </c>
    </row>
    <row r="14" spans="1:134" ht="21" customHeight="1">
      <c r="A14" s="1305" t="s">
        <v>2266</v>
      </c>
      <c r="B14" s="1106">
        <v>287.65466417524999</v>
      </c>
      <c r="C14" s="1106">
        <v>125.10778404525</v>
      </c>
      <c r="D14" s="1106">
        <v>298.33283016925003</v>
      </c>
      <c r="E14" s="1106">
        <v>133.38623946925</v>
      </c>
      <c r="F14" s="1106">
        <v>315.39708632424998</v>
      </c>
      <c r="G14" s="1106">
        <v>138.86038425424999</v>
      </c>
      <c r="H14" s="1106">
        <v>341.02416330825002</v>
      </c>
      <c r="I14" s="1106">
        <v>137.62823584825</v>
      </c>
      <c r="J14" s="1106">
        <v>324.42533758474997</v>
      </c>
      <c r="K14" s="1106">
        <v>135.70773467225001</v>
      </c>
      <c r="L14" s="1106">
        <v>274.10181672524999</v>
      </c>
      <c r="M14" s="1106">
        <v>121.73561861524999</v>
      </c>
      <c r="N14" s="1106">
        <v>254.18423313425001</v>
      </c>
      <c r="O14" s="1106">
        <v>105.21702076425001</v>
      </c>
      <c r="P14" s="1106">
        <v>257.51997205325</v>
      </c>
      <c r="Q14" s="1106">
        <v>103.81184591325001</v>
      </c>
      <c r="R14" s="1106">
        <v>249.23225447425</v>
      </c>
      <c r="S14" s="1106">
        <v>101.57341479425</v>
      </c>
      <c r="T14" s="1106">
        <v>248.40361989424997</v>
      </c>
      <c r="U14" s="1106">
        <v>98.593094114250007</v>
      </c>
      <c r="V14" s="1106">
        <v>229.46530599425</v>
      </c>
      <c r="W14" s="1106">
        <v>93.605034544250003</v>
      </c>
      <c r="X14" s="1106">
        <v>228.30538587425002</v>
      </c>
      <c r="Y14" s="1106">
        <v>81.528026834249999</v>
      </c>
      <c r="Z14" s="1106">
        <v>244.67803233855</v>
      </c>
      <c r="AA14" s="1106">
        <v>82.626267174249989</v>
      </c>
      <c r="AB14" s="1106">
        <v>236.42506047424999</v>
      </c>
      <c r="AC14" s="1106">
        <v>81.972076944250006</v>
      </c>
      <c r="AD14" s="1106">
        <v>201.06647234425</v>
      </c>
      <c r="AE14" s="1106">
        <v>45.234152744249997</v>
      </c>
      <c r="AF14" s="1106">
        <v>198.25229274424998</v>
      </c>
      <c r="AG14" s="1106">
        <v>41.464093604249996</v>
      </c>
      <c r="AH14" s="1106">
        <v>201.25872445599998</v>
      </c>
      <c r="AI14" s="1106">
        <v>40.043885076000002</v>
      </c>
      <c r="AJ14" s="1106">
        <v>200.5714614195</v>
      </c>
      <c r="AK14" s="1106">
        <v>41.9126347395</v>
      </c>
      <c r="AL14" s="1106">
        <v>204.3377784555</v>
      </c>
      <c r="AM14" s="1106">
        <v>40.769355465499999</v>
      </c>
      <c r="AN14" s="1106">
        <v>210.17820241000001</v>
      </c>
      <c r="AO14" s="1106">
        <v>41.19652894</v>
      </c>
      <c r="AP14" s="1106">
        <v>237.91075288000002</v>
      </c>
      <c r="AQ14" s="1106">
        <v>43.668214509999999</v>
      </c>
      <c r="AR14" s="1106">
        <v>260.91144659999998</v>
      </c>
      <c r="AS14" s="1106">
        <v>48.679822889999997</v>
      </c>
      <c r="AT14" s="1106">
        <v>271.24195156999997</v>
      </c>
      <c r="AU14" s="1106">
        <v>48.247062721999995</v>
      </c>
      <c r="AV14" s="1106">
        <v>268.63097815999998</v>
      </c>
      <c r="AW14" s="1106">
        <v>53.101470390000003</v>
      </c>
      <c r="AX14" s="1106">
        <v>302.71380925</v>
      </c>
      <c r="AY14" s="1106">
        <v>56.791169919999902</v>
      </c>
      <c r="AZ14" s="1106">
        <v>304.93880502000002</v>
      </c>
      <c r="BA14" s="1106">
        <v>56.139997690000001</v>
      </c>
      <c r="BB14" s="1106">
        <v>320.07239281</v>
      </c>
      <c r="BC14" s="1106">
        <v>60.728383430000001</v>
      </c>
      <c r="BD14" s="1106">
        <v>333.14757180999999</v>
      </c>
      <c r="BE14" s="1106">
        <v>72.08310148999999</v>
      </c>
      <c r="BF14" s="1106">
        <v>333.77701103000004</v>
      </c>
      <c r="BG14" s="1106">
        <v>73.039543000000009</v>
      </c>
      <c r="BH14" s="1106">
        <v>338.49056844</v>
      </c>
      <c r="BI14" s="1106">
        <v>74.923252399999996</v>
      </c>
      <c r="BJ14" s="1106">
        <v>334.44592633000002</v>
      </c>
      <c r="BK14" s="1106">
        <v>75.254714030000002</v>
      </c>
      <c r="BL14" s="1106">
        <v>334.74814792999996</v>
      </c>
      <c r="BM14" s="1106">
        <v>72.462608899999992</v>
      </c>
      <c r="BN14" s="1106">
        <v>330.57272189999998</v>
      </c>
      <c r="BO14" s="1106">
        <v>73.098770720000005</v>
      </c>
      <c r="BP14" s="1106">
        <v>353.35422077999999</v>
      </c>
      <c r="BQ14" s="1106">
        <v>74.057057399999991</v>
      </c>
      <c r="BR14" s="1106">
        <v>361.43714163000004</v>
      </c>
      <c r="BS14" s="1106">
        <v>77.652717569999993</v>
      </c>
      <c r="BT14" s="1106">
        <v>390.31164719000003</v>
      </c>
      <c r="BU14" s="1106">
        <v>98.253323899999998</v>
      </c>
      <c r="BV14" s="1106">
        <v>370.92876489000002</v>
      </c>
      <c r="BW14" s="1106">
        <v>84.579327243281995</v>
      </c>
      <c r="BX14" s="1106">
        <v>374.92639258000003</v>
      </c>
      <c r="BY14" s="1106">
        <v>79.515633132282005</v>
      </c>
      <c r="BZ14" s="1106">
        <v>377.55756321000001</v>
      </c>
      <c r="CA14" s="1106">
        <v>87.491934134060003</v>
      </c>
      <c r="CB14" s="1106">
        <v>386.02302849</v>
      </c>
      <c r="CC14" s="1393">
        <v>91.155313384059994</v>
      </c>
      <c r="CD14" s="1393">
        <v>431.59210969999998</v>
      </c>
      <c r="CE14" s="1393">
        <v>108.27310548811199</v>
      </c>
      <c r="CF14" s="1106">
        <v>410.60895926799998</v>
      </c>
      <c r="CG14" s="1393">
        <v>91.795030230913994</v>
      </c>
      <c r="CH14" s="1393">
        <v>404.57340974800002</v>
      </c>
      <c r="CI14" s="1393">
        <v>95.699934742105995</v>
      </c>
      <c r="CJ14" s="1393">
        <v>400.31035484799997</v>
      </c>
      <c r="CK14" s="1393">
        <v>86.3617786911</v>
      </c>
      <c r="CL14" s="1106">
        <v>407.72544275319001</v>
      </c>
      <c r="CM14" s="1393">
        <v>88.033330530000001</v>
      </c>
      <c r="CN14" s="1393">
        <v>381.98555497000001</v>
      </c>
      <c r="CO14" s="1393">
        <v>80.576725749999994</v>
      </c>
      <c r="CP14" s="1393">
        <v>377.09021960500002</v>
      </c>
      <c r="CQ14" s="1393">
        <v>81.623291585000004</v>
      </c>
      <c r="CR14" s="1393">
        <v>394.36704298799998</v>
      </c>
      <c r="CS14" s="1393">
        <v>97.407828739999999</v>
      </c>
      <c r="CT14" s="1106">
        <v>409.61784554000002</v>
      </c>
      <c r="CU14" s="1393">
        <v>111.90494246999999</v>
      </c>
      <c r="CV14" s="1106">
        <v>411.21787619999998</v>
      </c>
      <c r="CW14" s="1393">
        <v>122.57152028</v>
      </c>
      <c r="CX14" s="1393">
        <v>405.56169283000003</v>
      </c>
      <c r="CY14" s="1393">
        <v>123.78470485</v>
      </c>
      <c r="CZ14" s="1106">
        <v>387.19935735000001</v>
      </c>
      <c r="DA14" s="1393">
        <v>125.19844326</v>
      </c>
      <c r="DB14" s="1106">
        <v>421.92432836</v>
      </c>
      <c r="DC14" s="1393">
        <v>148.51094999</v>
      </c>
      <c r="DD14" s="1106">
        <v>425.60680805999999</v>
      </c>
      <c r="DE14" s="1106">
        <v>150.54193731999999</v>
      </c>
      <c r="DF14" s="1106">
        <v>450.47839132000001</v>
      </c>
      <c r="DG14" s="1106">
        <v>171.19835409999999</v>
      </c>
      <c r="DH14" s="1106">
        <v>452.37152232</v>
      </c>
      <c r="DI14" s="1106">
        <v>172.39983877</v>
      </c>
      <c r="DJ14" s="1106">
        <v>471.48018857</v>
      </c>
      <c r="DK14" s="1106">
        <v>188.81906709200001</v>
      </c>
      <c r="DL14" s="1106">
        <v>497.73846030999999</v>
      </c>
      <c r="DM14" s="1106">
        <v>188.87327769000001</v>
      </c>
      <c r="DN14" s="1106">
        <v>494.02615598</v>
      </c>
      <c r="DO14" s="1106">
        <v>182.42779722</v>
      </c>
      <c r="DP14" s="1106">
        <v>466.71486128999999</v>
      </c>
      <c r="DQ14" s="1106">
        <v>157.44788846</v>
      </c>
      <c r="DR14" s="1106">
        <v>428.99066546</v>
      </c>
      <c r="DS14" s="1106">
        <v>152.12574523000001</v>
      </c>
      <c r="DT14" s="1106">
        <v>449.06256488000002</v>
      </c>
      <c r="DU14" s="1106">
        <v>132.94269337</v>
      </c>
      <c r="DV14" s="1106">
        <v>455.99833518000003</v>
      </c>
      <c r="DW14" s="1106">
        <v>138.63389558</v>
      </c>
      <c r="DX14" s="1106">
        <v>460.07753351000002</v>
      </c>
      <c r="DY14" s="1106">
        <v>143.56889215000001</v>
      </c>
      <c r="DZ14" s="1106">
        <v>435.82190750000001</v>
      </c>
      <c r="EA14" s="1106">
        <v>142.69520917</v>
      </c>
      <c r="EB14" s="1106">
        <v>482.85873914000001</v>
      </c>
      <c r="EC14" s="1106">
        <v>186.77498328999999</v>
      </c>
      <c r="ED14" s="1104" t="s">
        <v>3579</v>
      </c>
    </row>
    <row r="15" spans="1:134" ht="21" customHeight="1">
      <c r="A15" s="1104" t="s">
        <v>2265</v>
      </c>
      <c r="B15" s="1106">
        <v>14900.9352388034</v>
      </c>
      <c r="C15" s="1106">
        <v>5255.0493990095702</v>
      </c>
      <c r="D15" s="1106">
        <v>15116.37144325</v>
      </c>
      <c r="E15" s="1106">
        <v>5463.90050651404</v>
      </c>
      <c r="F15" s="1106">
        <v>15299.108394364601</v>
      </c>
      <c r="G15" s="1106">
        <v>5456.7006125895996</v>
      </c>
      <c r="H15" s="1106">
        <v>15232.732370605599</v>
      </c>
      <c r="I15" s="1106">
        <v>5151.7250265306202</v>
      </c>
      <c r="J15" s="1106">
        <v>14742.1609655675</v>
      </c>
      <c r="K15" s="1106">
        <v>4919.7774075725201</v>
      </c>
      <c r="L15" s="1106">
        <v>14361.020016311701</v>
      </c>
      <c r="M15" s="1106">
        <v>4789.2151611806603</v>
      </c>
      <c r="N15" s="1106">
        <v>14169.7916186724</v>
      </c>
      <c r="O15" s="1106">
        <v>4602.79582988122</v>
      </c>
      <c r="P15" s="1106">
        <v>14204.4497066817</v>
      </c>
      <c r="Q15" s="1106">
        <v>4622.0779867639203</v>
      </c>
      <c r="R15" s="1106">
        <v>14304.2281735577</v>
      </c>
      <c r="S15" s="1106">
        <v>4590.84287693024</v>
      </c>
      <c r="T15" s="1106">
        <v>14497.027014687999</v>
      </c>
      <c r="U15" s="1106">
        <v>4613.75238415899</v>
      </c>
      <c r="V15" s="1106">
        <v>14409.3148820396</v>
      </c>
      <c r="W15" s="1106">
        <v>4483.4114157965596</v>
      </c>
      <c r="X15" s="1106">
        <v>14304.6445922701</v>
      </c>
      <c r="Y15" s="1106">
        <v>4360.2208185650497</v>
      </c>
      <c r="Z15" s="1106">
        <v>14156.979535426801</v>
      </c>
      <c r="AA15" s="1106">
        <v>4277.45925788153</v>
      </c>
      <c r="AB15" s="1106">
        <v>14213.695562521099</v>
      </c>
      <c r="AC15" s="1106">
        <v>4238.7366870808901</v>
      </c>
      <c r="AD15" s="1106">
        <v>14246.0991235827</v>
      </c>
      <c r="AE15" s="1106">
        <v>4163.0408165457202</v>
      </c>
      <c r="AF15" s="1106">
        <v>14352.3548978935</v>
      </c>
      <c r="AG15" s="1106">
        <v>4105.4263350335004</v>
      </c>
      <c r="AH15" s="1106">
        <v>14611.8145951636</v>
      </c>
      <c r="AI15" s="1106">
        <v>4103.57628516162</v>
      </c>
      <c r="AJ15" s="1106">
        <v>14691.399157010501</v>
      </c>
      <c r="AK15" s="1106">
        <v>4092.4866728019701</v>
      </c>
      <c r="AL15" s="1106">
        <v>14856.889780031601</v>
      </c>
      <c r="AM15" s="1106">
        <v>4057.01400755854</v>
      </c>
      <c r="AN15" s="1106">
        <v>14966.4982082432</v>
      </c>
      <c r="AO15" s="1106">
        <v>4063.5204313531999</v>
      </c>
      <c r="AP15" s="1106">
        <v>15206.8490947091</v>
      </c>
      <c r="AQ15" s="1106">
        <v>4128.6368770058498</v>
      </c>
      <c r="AR15" s="1106">
        <v>15538.669058032599</v>
      </c>
      <c r="AS15" s="1106">
        <v>4194.2397540725697</v>
      </c>
      <c r="AT15" s="1106">
        <v>15997.290905959901</v>
      </c>
      <c r="AU15" s="1106">
        <v>4446.0568909999001</v>
      </c>
      <c r="AV15" s="1106">
        <v>16281.9655474426</v>
      </c>
      <c r="AW15" s="1106">
        <v>4374.1023055524101</v>
      </c>
      <c r="AX15" s="1106">
        <v>16659.1139423282</v>
      </c>
      <c r="AY15" s="1106">
        <v>4363.2291728801802</v>
      </c>
      <c r="AZ15" s="1106">
        <v>16781.439074845301</v>
      </c>
      <c r="BA15" s="1106">
        <v>4364.1928036587697</v>
      </c>
      <c r="BB15" s="1106">
        <v>17126.533211405698</v>
      </c>
      <c r="BC15" s="1106">
        <v>4374.5311283063502</v>
      </c>
      <c r="BD15" s="1106">
        <v>17528.185609502601</v>
      </c>
      <c r="BE15" s="1106">
        <v>4446.4410717138999</v>
      </c>
      <c r="BF15" s="1106">
        <v>17840.380523788201</v>
      </c>
      <c r="BG15" s="1106">
        <v>4384.8223481534196</v>
      </c>
      <c r="BH15" s="1106">
        <v>18098.283291124499</v>
      </c>
      <c r="BI15" s="1106">
        <v>4408.4187724256099</v>
      </c>
      <c r="BJ15" s="1106">
        <v>18320.0215140129</v>
      </c>
      <c r="BK15" s="1106">
        <v>4271.7779155776598</v>
      </c>
      <c r="BL15" s="1106">
        <v>18487.445165762001</v>
      </c>
      <c r="BM15" s="1106">
        <v>4278.4106697905299</v>
      </c>
      <c r="BN15" s="1106">
        <v>18638.6347982097</v>
      </c>
      <c r="BO15" s="1106">
        <v>4173.8036330370096</v>
      </c>
      <c r="BP15" s="1106">
        <v>19157.176561456799</v>
      </c>
      <c r="BQ15" s="1106">
        <v>4247.7426480550403</v>
      </c>
      <c r="BR15" s="1106">
        <v>19470.7845801437</v>
      </c>
      <c r="BS15" s="1106">
        <v>4296.0958375217497</v>
      </c>
      <c r="BT15" s="1106">
        <v>19674.178382202601</v>
      </c>
      <c r="BU15" s="1106">
        <v>4163.9043623781699</v>
      </c>
      <c r="BV15" s="1106">
        <v>19594.3555676619</v>
      </c>
      <c r="BW15" s="1106">
        <v>3932.38811171111</v>
      </c>
      <c r="BX15" s="1106">
        <v>19669.591816208002</v>
      </c>
      <c r="BY15" s="1106">
        <v>3954.2349919118101</v>
      </c>
      <c r="BZ15" s="1106">
        <v>19757.429416209201</v>
      </c>
      <c r="CA15" s="1106">
        <v>3919.1413503174899</v>
      </c>
      <c r="CB15" s="1106">
        <v>20038.596163516901</v>
      </c>
      <c r="CC15" s="1393">
        <v>3982.1267265384199</v>
      </c>
      <c r="CD15" s="1393">
        <v>20379.627516663699</v>
      </c>
      <c r="CE15" s="1393">
        <v>3974.92287219011</v>
      </c>
      <c r="CF15" s="1106">
        <v>20659.269192317901</v>
      </c>
      <c r="CG15" s="1393">
        <v>3998.8409779178901</v>
      </c>
      <c r="CH15" s="1393">
        <v>21296.236125417599</v>
      </c>
      <c r="CI15" s="1393">
        <v>4240.4855867319302</v>
      </c>
      <c r="CJ15" s="1393">
        <v>21371.9913058085</v>
      </c>
      <c r="CK15" s="1393">
        <v>4078.6533600825701</v>
      </c>
      <c r="CL15" s="1106">
        <v>21814.187154987401</v>
      </c>
      <c r="CM15" s="1393">
        <v>4140.8167096778798</v>
      </c>
      <c r="CN15" s="1393">
        <v>22281.884370937401</v>
      </c>
      <c r="CO15" s="1393">
        <v>4243.7725367286102</v>
      </c>
      <c r="CP15" s="1393">
        <v>22459.711090514498</v>
      </c>
      <c r="CQ15" s="1393">
        <v>4424.1599339703498</v>
      </c>
      <c r="CR15" s="1393">
        <v>22881.231065023101</v>
      </c>
      <c r="CS15" s="1393">
        <v>4425.4043504279998</v>
      </c>
      <c r="CT15" s="1106">
        <v>23182.953697219102</v>
      </c>
      <c r="CU15" s="1393">
        <v>4366.8311645082103</v>
      </c>
      <c r="CV15" s="1106">
        <v>23566.352779695699</v>
      </c>
      <c r="CW15" s="1393">
        <v>4682.0332947120096</v>
      </c>
      <c r="CX15" s="1393">
        <v>23833.019223279101</v>
      </c>
      <c r="CY15" s="1393">
        <v>4662.6753218635404</v>
      </c>
      <c r="CZ15" s="1106">
        <v>24102.613418345802</v>
      </c>
      <c r="DA15" s="1393">
        <v>4641.3582650816998</v>
      </c>
      <c r="DB15" s="1106">
        <v>24644.4506134642</v>
      </c>
      <c r="DC15" s="1393">
        <v>4614.6320121285298</v>
      </c>
      <c r="DD15" s="1106">
        <v>25158.180641573301</v>
      </c>
      <c r="DE15" s="1106">
        <v>4607.6107927173498</v>
      </c>
      <c r="DF15" s="1106">
        <v>25429.517085801599</v>
      </c>
      <c r="DG15" s="1106">
        <v>4588.3815383803803</v>
      </c>
      <c r="DH15" s="1106">
        <v>25694.709418321701</v>
      </c>
      <c r="DI15" s="1106">
        <v>4533.1390247830204</v>
      </c>
      <c r="DJ15" s="1106">
        <v>26075.610911602202</v>
      </c>
      <c r="DK15" s="1106">
        <v>4538.0759415423399</v>
      </c>
      <c r="DL15" s="1106">
        <v>26705.971771929599</v>
      </c>
      <c r="DM15" s="1106">
        <v>4613.2557068873703</v>
      </c>
      <c r="DN15" s="1106">
        <v>27080.522900335</v>
      </c>
      <c r="DO15" s="1106">
        <v>4587.1974646149802</v>
      </c>
      <c r="DP15" s="1106">
        <v>27368.147624521502</v>
      </c>
      <c r="DQ15" s="1106">
        <v>4573.8121267629604</v>
      </c>
      <c r="DR15" s="1106">
        <v>27477.675039954898</v>
      </c>
      <c r="DS15" s="1106">
        <v>4434.5058798459304</v>
      </c>
      <c r="DT15" s="1106">
        <v>27514.700383449701</v>
      </c>
      <c r="DU15" s="1106">
        <v>4354.18426768679</v>
      </c>
      <c r="DV15" s="1106">
        <v>27592.367553362601</v>
      </c>
      <c r="DW15" s="1106">
        <v>4267.1978415862004</v>
      </c>
      <c r="DX15" s="1106">
        <v>27877.1196313092</v>
      </c>
      <c r="DY15" s="1106">
        <v>4311.3500950707803</v>
      </c>
      <c r="DZ15" s="1106">
        <v>28096.518235267398</v>
      </c>
      <c r="EA15" s="1106">
        <v>4264.2771735973902</v>
      </c>
      <c r="EB15" s="1106">
        <v>28386.504129197201</v>
      </c>
      <c r="EC15" s="1106">
        <v>4203.0375547199701</v>
      </c>
      <c r="ED15" s="1104" t="s">
        <v>3580</v>
      </c>
    </row>
    <row r="16" spans="1:134" ht="33.75" customHeight="1">
      <c r="A16" s="1305" t="s">
        <v>2264</v>
      </c>
      <c r="B16" s="1106">
        <v>1449.7417154759301</v>
      </c>
      <c r="C16" s="1106">
        <v>498.28579506678301</v>
      </c>
      <c r="D16" s="1106">
        <v>1458.1459824137801</v>
      </c>
      <c r="E16" s="1106">
        <v>498.31907026911801</v>
      </c>
      <c r="F16" s="1106">
        <v>1469.7561275718999</v>
      </c>
      <c r="G16" s="1106">
        <v>500.10657429888198</v>
      </c>
      <c r="H16" s="1106">
        <v>1473.0343068222801</v>
      </c>
      <c r="I16" s="1106">
        <v>492.49658738057201</v>
      </c>
      <c r="J16" s="1106">
        <v>1457.03075033503</v>
      </c>
      <c r="K16" s="1106">
        <v>484.696724370185</v>
      </c>
      <c r="L16" s="1106">
        <v>1322.3237211676601</v>
      </c>
      <c r="M16" s="1106">
        <v>419.68479147410898</v>
      </c>
      <c r="N16" s="1106">
        <v>1301.45503835301</v>
      </c>
      <c r="O16" s="1106">
        <v>393.493015825707</v>
      </c>
      <c r="P16" s="1106">
        <v>1303.4412588105399</v>
      </c>
      <c r="Q16" s="1106">
        <v>395.56343413770099</v>
      </c>
      <c r="R16" s="1106">
        <v>1338.2565160438801</v>
      </c>
      <c r="S16" s="1106">
        <v>399.70377908726903</v>
      </c>
      <c r="T16" s="1106">
        <v>1328.1037160635101</v>
      </c>
      <c r="U16" s="1106">
        <v>381.531009022175</v>
      </c>
      <c r="V16" s="1106">
        <v>1267.71839602711</v>
      </c>
      <c r="W16" s="1106">
        <v>320.67137892418202</v>
      </c>
      <c r="X16" s="1106">
        <v>1198.7273990983899</v>
      </c>
      <c r="Y16" s="1106">
        <v>268.72951789314197</v>
      </c>
      <c r="Z16" s="1106">
        <v>1136.63295221046</v>
      </c>
      <c r="AA16" s="1106">
        <v>240.67283329458101</v>
      </c>
      <c r="AB16" s="1106">
        <v>1149.64498618729</v>
      </c>
      <c r="AC16" s="1106">
        <v>220.85740804279899</v>
      </c>
      <c r="AD16" s="1106">
        <v>1166.1220926993301</v>
      </c>
      <c r="AE16" s="1106">
        <v>221.26698104887799</v>
      </c>
      <c r="AF16" s="1106">
        <v>1162.74997710805</v>
      </c>
      <c r="AG16" s="1106">
        <v>217.66316501577299</v>
      </c>
      <c r="AH16" s="1106">
        <v>1176.8770689053699</v>
      </c>
      <c r="AI16" s="1106">
        <v>208.83879953595999</v>
      </c>
      <c r="AJ16" s="1106">
        <v>1190.4179051989299</v>
      </c>
      <c r="AK16" s="1106">
        <v>208.44171208102</v>
      </c>
      <c r="AL16" s="1106">
        <v>1199.21026390616</v>
      </c>
      <c r="AM16" s="1106">
        <v>207.28421445094301</v>
      </c>
      <c r="AN16" s="1106">
        <v>1208.90495224757</v>
      </c>
      <c r="AO16" s="1106">
        <v>208.10924230318199</v>
      </c>
      <c r="AP16" s="1106">
        <v>1224.94657969078</v>
      </c>
      <c r="AQ16" s="1106">
        <v>211.35853581502599</v>
      </c>
      <c r="AR16" s="1106">
        <v>1226.580169734</v>
      </c>
      <c r="AS16" s="1106">
        <v>211.558020329431</v>
      </c>
      <c r="AT16" s="1106">
        <v>1177.41271715263</v>
      </c>
      <c r="AU16" s="1106">
        <v>208.09509049162801</v>
      </c>
      <c r="AV16" s="1106">
        <v>1184.96772755801</v>
      </c>
      <c r="AW16" s="1106">
        <v>208.03804792716301</v>
      </c>
      <c r="AX16" s="1106">
        <v>1145.7826870798001</v>
      </c>
      <c r="AY16" s="1106">
        <v>194.692931509728</v>
      </c>
      <c r="AZ16" s="1106">
        <v>1148.6364393599499</v>
      </c>
      <c r="BA16" s="1106">
        <v>192.73271052707199</v>
      </c>
      <c r="BB16" s="1106">
        <v>1150.3472334364201</v>
      </c>
      <c r="BC16" s="1106">
        <v>182.978075154701</v>
      </c>
      <c r="BD16" s="1106">
        <v>1178.18063830867</v>
      </c>
      <c r="BE16" s="1106">
        <v>180.75841243680301</v>
      </c>
      <c r="BF16" s="1106">
        <v>1194.43061149446</v>
      </c>
      <c r="BG16" s="1106">
        <v>181.27327068404</v>
      </c>
      <c r="BH16" s="1106">
        <v>1213.5286662490701</v>
      </c>
      <c r="BI16" s="1106">
        <v>180.133843811167</v>
      </c>
      <c r="BJ16" s="1106">
        <v>1216.5279655729901</v>
      </c>
      <c r="BK16" s="1106">
        <v>179.30713139930401</v>
      </c>
      <c r="BL16" s="1106">
        <v>1212.04261110783</v>
      </c>
      <c r="BM16" s="1106">
        <v>180.86966336735401</v>
      </c>
      <c r="BN16" s="1106">
        <v>1164.9630263265001</v>
      </c>
      <c r="BO16" s="1106">
        <v>157.97182611172599</v>
      </c>
      <c r="BP16" s="1106">
        <v>1166.7712553428501</v>
      </c>
      <c r="BQ16" s="1106">
        <v>152.94873287391201</v>
      </c>
      <c r="BR16" s="1106">
        <v>1185.32108616762</v>
      </c>
      <c r="BS16" s="1106">
        <v>151.61866995601</v>
      </c>
      <c r="BT16" s="1106">
        <v>1205.4410889512401</v>
      </c>
      <c r="BU16" s="1106">
        <v>152.42865911851499</v>
      </c>
      <c r="BV16" s="1106">
        <v>1158.7711385754701</v>
      </c>
      <c r="BW16" s="1106">
        <v>132.34266079228701</v>
      </c>
      <c r="BX16" s="1106">
        <v>1160.47494282142</v>
      </c>
      <c r="BY16" s="1106">
        <v>122.663618235012</v>
      </c>
      <c r="BZ16" s="1106">
        <v>1194.8597070742501</v>
      </c>
      <c r="CA16" s="1106">
        <v>133.28202272350001</v>
      </c>
      <c r="CB16" s="1106">
        <v>1195.1402684356599</v>
      </c>
      <c r="CC16" s="1393">
        <v>134.073036597168</v>
      </c>
      <c r="CD16" s="1393">
        <v>1213.34720782357</v>
      </c>
      <c r="CE16" s="1393">
        <v>132.76165535990901</v>
      </c>
      <c r="CF16" s="1106">
        <v>1230.6425286446399</v>
      </c>
      <c r="CG16" s="1393">
        <v>138.57842734366801</v>
      </c>
      <c r="CH16" s="1393">
        <v>1233.8304421696701</v>
      </c>
      <c r="CI16" s="1393">
        <v>140.279036901463</v>
      </c>
      <c r="CJ16" s="1393">
        <v>1254.65943260381</v>
      </c>
      <c r="CK16" s="1393">
        <v>137.18760100963701</v>
      </c>
      <c r="CL16" s="1106">
        <v>1289.9658645539801</v>
      </c>
      <c r="CM16" s="1393">
        <v>140.72901377996101</v>
      </c>
      <c r="CN16" s="1393">
        <v>1294.5686332676601</v>
      </c>
      <c r="CO16" s="1393">
        <v>130.01420512239301</v>
      </c>
      <c r="CP16" s="1393">
        <v>1346.55466990841</v>
      </c>
      <c r="CQ16" s="1393">
        <v>137.77301385707301</v>
      </c>
      <c r="CR16" s="1393">
        <v>1370.02321572351</v>
      </c>
      <c r="CS16" s="1393">
        <v>134.51755421220699</v>
      </c>
      <c r="CT16" s="1106">
        <v>1338.2861314069501</v>
      </c>
      <c r="CU16" s="1393">
        <v>128.75053772344299</v>
      </c>
      <c r="CV16" s="1106">
        <v>1366.71787902443</v>
      </c>
      <c r="CW16" s="1393">
        <v>129.83522170036801</v>
      </c>
      <c r="CX16" s="1393">
        <v>1384.19945565443</v>
      </c>
      <c r="CY16" s="1393">
        <v>129.45646486504299</v>
      </c>
      <c r="CZ16" s="1106">
        <v>1394.9731744932101</v>
      </c>
      <c r="DA16" s="1393">
        <v>127.986678214866</v>
      </c>
      <c r="DB16" s="1106">
        <v>1419.15587391282</v>
      </c>
      <c r="DC16" s="1393">
        <v>123.252459572598</v>
      </c>
      <c r="DD16" s="1106">
        <v>1438.3047830210501</v>
      </c>
      <c r="DE16" s="1106">
        <v>125.362644762464</v>
      </c>
      <c r="DF16" s="1106">
        <v>1458.8598248128101</v>
      </c>
      <c r="DG16" s="1106">
        <v>127.09614189003599</v>
      </c>
      <c r="DH16" s="1106">
        <v>1495.23430326271</v>
      </c>
      <c r="DI16" s="1106">
        <v>127.088226583145</v>
      </c>
      <c r="DJ16" s="1106">
        <v>1528.0747930380601</v>
      </c>
      <c r="DK16" s="1106">
        <v>128.38286829898999</v>
      </c>
      <c r="DL16" s="1106">
        <v>1538.03900757307</v>
      </c>
      <c r="DM16" s="1106">
        <v>121.433836651859</v>
      </c>
      <c r="DN16" s="1106">
        <v>1564.7443891110699</v>
      </c>
      <c r="DO16" s="1106">
        <v>115.71588568381</v>
      </c>
      <c r="DP16" s="1106">
        <v>1601.94511923657</v>
      </c>
      <c r="DQ16" s="1106">
        <v>111.52702846581001</v>
      </c>
      <c r="DR16" s="1106">
        <v>1552.5047716197</v>
      </c>
      <c r="DS16" s="1106">
        <v>105.500593121329</v>
      </c>
      <c r="DT16" s="1106">
        <v>1604.3242916801701</v>
      </c>
      <c r="DU16" s="1106">
        <v>108.62567321031</v>
      </c>
      <c r="DV16" s="1106">
        <v>1582.41158240555</v>
      </c>
      <c r="DW16" s="1106">
        <v>107.933269097639</v>
      </c>
      <c r="DX16" s="1106">
        <v>1600.80190534286</v>
      </c>
      <c r="DY16" s="1106">
        <v>112.871764861408</v>
      </c>
      <c r="DZ16" s="1106">
        <v>1653.95839037052</v>
      </c>
      <c r="EA16" s="1106">
        <v>115.42465045201</v>
      </c>
      <c r="EB16" s="1106">
        <v>1684.41701497901</v>
      </c>
      <c r="EC16" s="1106">
        <v>113.492761913813</v>
      </c>
      <c r="ED16" s="1104" t="s">
        <v>3581</v>
      </c>
    </row>
    <row r="17" spans="1:137" ht="21" customHeight="1">
      <c r="A17" s="1305" t="s">
        <v>2263</v>
      </c>
      <c r="B17" s="1106">
        <v>13451.1935233275</v>
      </c>
      <c r="C17" s="1106">
        <v>4756.7636039427898</v>
      </c>
      <c r="D17" s="1106">
        <v>13658.2254608363</v>
      </c>
      <c r="E17" s="1106">
        <v>4965.58143624492</v>
      </c>
      <c r="F17" s="1106">
        <v>13829.352266792701</v>
      </c>
      <c r="G17" s="1106">
        <v>4956.5940382907202</v>
      </c>
      <c r="H17" s="1106">
        <v>13759.6980637833</v>
      </c>
      <c r="I17" s="1106">
        <v>4659.2284391500498</v>
      </c>
      <c r="J17" s="1106">
        <v>13285.130215232501</v>
      </c>
      <c r="K17" s="1106">
        <v>4435.08068320234</v>
      </c>
      <c r="L17" s="1106">
        <v>13038.696295144</v>
      </c>
      <c r="M17" s="1106">
        <v>4369.5303697065501</v>
      </c>
      <c r="N17" s="1106">
        <v>12868.336580319399</v>
      </c>
      <c r="O17" s="1106">
        <v>4209.3028140555098</v>
      </c>
      <c r="P17" s="1106">
        <v>12901.0084478712</v>
      </c>
      <c r="Q17" s="1106">
        <v>4226.5145526262204</v>
      </c>
      <c r="R17" s="1106">
        <v>12965.971657513899</v>
      </c>
      <c r="S17" s="1106">
        <v>4191.1390978429699</v>
      </c>
      <c r="T17" s="1106">
        <v>13168.923298624501</v>
      </c>
      <c r="U17" s="1106">
        <v>4232.2213751368099</v>
      </c>
      <c r="V17" s="1106">
        <v>13141.5964860124</v>
      </c>
      <c r="W17" s="1106">
        <v>4162.7400368723802</v>
      </c>
      <c r="X17" s="1106">
        <v>13105.917193171699</v>
      </c>
      <c r="Y17" s="1106">
        <v>4091.4913006719098</v>
      </c>
      <c r="Z17" s="1106">
        <v>13020.3465832164</v>
      </c>
      <c r="AA17" s="1106">
        <v>4036.78642458695</v>
      </c>
      <c r="AB17" s="1106">
        <v>13064.050576333801</v>
      </c>
      <c r="AC17" s="1106">
        <v>4017.8792790380899</v>
      </c>
      <c r="AD17" s="1106">
        <v>13079.977030883399</v>
      </c>
      <c r="AE17" s="1106">
        <v>3941.7738354968401</v>
      </c>
      <c r="AF17" s="1106">
        <v>13189.604920785399</v>
      </c>
      <c r="AG17" s="1106">
        <v>3887.7631700177299</v>
      </c>
      <c r="AH17" s="1106">
        <v>13434.9375262583</v>
      </c>
      <c r="AI17" s="1106">
        <v>3894.7374856256602</v>
      </c>
      <c r="AJ17" s="1106">
        <v>13500.9812518115</v>
      </c>
      <c r="AK17" s="1106">
        <v>3884.0449607209498</v>
      </c>
      <c r="AL17" s="1106">
        <v>13657.679516125399</v>
      </c>
      <c r="AM17" s="1106">
        <v>3849.7297931076</v>
      </c>
      <c r="AN17" s="1106">
        <v>13757.5932559956</v>
      </c>
      <c r="AO17" s="1106">
        <v>3855.4111890500099</v>
      </c>
      <c r="AP17" s="1106">
        <v>13981.902515018301</v>
      </c>
      <c r="AQ17" s="1106">
        <v>3917.2783411908299</v>
      </c>
      <c r="AR17" s="1106">
        <v>14312.0888882986</v>
      </c>
      <c r="AS17" s="1106">
        <v>3982.6817337431398</v>
      </c>
      <c r="AT17" s="1106">
        <v>14819.878188807301</v>
      </c>
      <c r="AU17" s="1106">
        <v>4237.9618005082702</v>
      </c>
      <c r="AV17" s="1106">
        <v>15096.9978198846</v>
      </c>
      <c r="AW17" s="1106">
        <v>4166.0642576252503</v>
      </c>
      <c r="AX17" s="1106">
        <v>15513.3312552484</v>
      </c>
      <c r="AY17" s="1106">
        <v>4168.5362413704497</v>
      </c>
      <c r="AZ17" s="1106">
        <v>15632.802635485399</v>
      </c>
      <c r="BA17" s="1106">
        <v>4171.4600931317</v>
      </c>
      <c r="BB17" s="1106">
        <v>15976.1859779693</v>
      </c>
      <c r="BC17" s="1106">
        <v>4191.5530531516497</v>
      </c>
      <c r="BD17" s="1106">
        <v>16350.004971193899</v>
      </c>
      <c r="BE17" s="1106">
        <v>4265.6826592771004</v>
      </c>
      <c r="BF17" s="1106">
        <v>16645.949912293701</v>
      </c>
      <c r="BG17" s="1106">
        <v>4203.5490774693799</v>
      </c>
      <c r="BH17" s="1106">
        <v>16884.754624875499</v>
      </c>
      <c r="BI17" s="1106">
        <v>4228.2849286144501</v>
      </c>
      <c r="BJ17" s="1106">
        <v>17103.493548439899</v>
      </c>
      <c r="BK17" s="1106">
        <v>4092.4707841783602</v>
      </c>
      <c r="BL17" s="1106">
        <v>17275.4025546542</v>
      </c>
      <c r="BM17" s="1106">
        <v>4097.5410064231701</v>
      </c>
      <c r="BN17" s="1106">
        <v>17473.671771883201</v>
      </c>
      <c r="BO17" s="1106">
        <v>4015.83180692528</v>
      </c>
      <c r="BP17" s="1106">
        <v>17990.405306113898</v>
      </c>
      <c r="BQ17" s="1106">
        <v>4094.7939151811302</v>
      </c>
      <c r="BR17" s="1106">
        <v>18285.463493976102</v>
      </c>
      <c r="BS17" s="1106">
        <v>4144.4771675657403</v>
      </c>
      <c r="BT17" s="1106">
        <v>18468.737293251299</v>
      </c>
      <c r="BU17" s="1106">
        <v>4011.4757032596599</v>
      </c>
      <c r="BV17" s="1106">
        <v>18435.584429086499</v>
      </c>
      <c r="BW17" s="1106">
        <v>3800.0454509188198</v>
      </c>
      <c r="BX17" s="1106">
        <v>18509.1168733866</v>
      </c>
      <c r="BY17" s="1106">
        <v>3831.5713736767998</v>
      </c>
      <c r="BZ17" s="1106">
        <v>18562.569709134899</v>
      </c>
      <c r="CA17" s="1106">
        <v>3785.8593275939902</v>
      </c>
      <c r="CB17" s="1106">
        <v>18843.455895081199</v>
      </c>
      <c r="CC17" s="1393">
        <v>3848.05368994126</v>
      </c>
      <c r="CD17" s="1393">
        <v>19166.2803088402</v>
      </c>
      <c r="CE17" s="1393">
        <v>3842.1612168301999</v>
      </c>
      <c r="CF17" s="1106">
        <v>19428.6266636732</v>
      </c>
      <c r="CG17" s="1393">
        <v>3860.2625505742199</v>
      </c>
      <c r="CH17" s="1393">
        <v>20062.405683247998</v>
      </c>
      <c r="CI17" s="1393">
        <v>4100.2065498304701</v>
      </c>
      <c r="CJ17" s="1393">
        <v>20117.331873204701</v>
      </c>
      <c r="CK17" s="1393">
        <v>3941.4657590729298</v>
      </c>
      <c r="CL17" s="1106">
        <v>20524.221290433499</v>
      </c>
      <c r="CM17" s="1393">
        <v>4000.0876958979202</v>
      </c>
      <c r="CN17" s="1393">
        <v>20987.315737669702</v>
      </c>
      <c r="CO17" s="1393">
        <v>4113.7583316062201</v>
      </c>
      <c r="CP17" s="1393">
        <v>21113.156420606101</v>
      </c>
      <c r="CQ17" s="1393">
        <v>4286.3869201132802</v>
      </c>
      <c r="CR17" s="1393">
        <v>21511.207849299499</v>
      </c>
      <c r="CS17" s="1393">
        <v>4290.8867962157901</v>
      </c>
      <c r="CT17" s="1106">
        <v>21844.6675658122</v>
      </c>
      <c r="CU17" s="1393">
        <v>4238.0806267847702</v>
      </c>
      <c r="CV17" s="1106">
        <v>22199.634900671299</v>
      </c>
      <c r="CW17" s="1393">
        <v>4552.1980730116502</v>
      </c>
      <c r="CX17" s="1393">
        <v>22448.8197676247</v>
      </c>
      <c r="CY17" s="1393">
        <v>4533.2188569985001</v>
      </c>
      <c r="CZ17" s="1106">
        <v>22707.640243852598</v>
      </c>
      <c r="DA17" s="1393">
        <v>4513.3715868668296</v>
      </c>
      <c r="DB17" s="1106">
        <v>23225.294739551398</v>
      </c>
      <c r="DC17" s="1393">
        <v>4491.3795525559299</v>
      </c>
      <c r="DD17" s="1106">
        <v>23719.875858552201</v>
      </c>
      <c r="DE17" s="1106">
        <v>4482.2481479548896</v>
      </c>
      <c r="DF17" s="1106">
        <v>23970.657260988799</v>
      </c>
      <c r="DG17" s="1106">
        <v>4461.2853964903397</v>
      </c>
      <c r="DH17" s="1106">
        <v>24199.475115058998</v>
      </c>
      <c r="DI17" s="1106">
        <v>4406.0507981998699</v>
      </c>
      <c r="DJ17" s="1106">
        <v>24547.5361185642</v>
      </c>
      <c r="DK17" s="1106">
        <v>4409.6930732433502</v>
      </c>
      <c r="DL17" s="1106">
        <v>25167.932764356599</v>
      </c>
      <c r="DM17" s="1106">
        <v>4491.8218702355098</v>
      </c>
      <c r="DN17" s="1106">
        <v>25515.7785112239</v>
      </c>
      <c r="DO17" s="1106">
        <v>4471.4815789311697</v>
      </c>
      <c r="DP17" s="1106">
        <v>25766.202505284899</v>
      </c>
      <c r="DQ17" s="1106">
        <v>4462.2850982971504</v>
      </c>
      <c r="DR17" s="1106">
        <v>25925.1702683351</v>
      </c>
      <c r="DS17" s="1106">
        <v>4329.0052867246004</v>
      </c>
      <c r="DT17" s="1106">
        <v>25910.376091769602</v>
      </c>
      <c r="DU17" s="1106">
        <v>4245.5585944764798</v>
      </c>
      <c r="DV17" s="1106">
        <v>26009.955970956998</v>
      </c>
      <c r="DW17" s="1106">
        <v>4159.2645724885597</v>
      </c>
      <c r="DX17" s="1106">
        <v>26276.317725966401</v>
      </c>
      <c r="DY17" s="1106">
        <v>4198.4783302093701</v>
      </c>
      <c r="DZ17" s="1106">
        <v>26442.559844896899</v>
      </c>
      <c r="EA17" s="1106">
        <v>4148.8525231453796</v>
      </c>
      <c r="EB17" s="1106">
        <v>26702.0871142182</v>
      </c>
      <c r="EC17" s="1106">
        <v>4089.5447928061599</v>
      </c>
      <c r="ED17" s="1104" t="s">
        <v>3582</v>
      </c>
    </row>
    <row r="18" spans="1:137" ht="21" customHeight="1">
      <c r="A18" s="1104" t="s">
        <v>2262</v>
      </c>
      <c r="B18" s="1106">
        <v>987.36059518219997</v>
      </c>
      <c r="C18" s="1106">
        <v>0</v>
      </c>
      <c r="D18" s="1106">
        <v>984.56140181066405</v>
      </c>
      <c r="E18" s="1106">
        <v>0</v>
      </c>
      <c r="F18" s="1106">
        <v>985.24260966300005</v>
      </c>
      <c r="G18" s="1106">
        <v>0</v>
      </c>
      <c r="H18" s="1106">
        <v>985.97731761950001</v>
      </c>
      <c r="I18" s="1106">
        <v>0</v>
      </c>
      <c r="J18" s="1106">
        <v>878.64424370760003</v>
      </c>
      <c r="K18" s="1106">
        <v>0</v>
      </c>
      <c r="L18" s="1106">
        <v>730.72212846970001</v>
      </c>
      <c r="M18" s="1106">
        <v>0</v>
      </c>
      <c r="N18" s="1106">
        <v>736.56234744999995</v>
      </c>
      <c r="O18" s="1106">
        <v>0</v>
      </c>
      <c r="P18" s="1106">
        <v>734.69590585540004</v>
      </c>
      <c r="Q18" s="1106">
        <v>0</v>
      </c>
      <c r="R18" s="1106">
        <v>732.58739179999998</v>
      </c>
      <c r="S18" s="1106">
        <v>0</v>
      </c>
      <c r="T18" s="1106">
        <v>731.78239412999994</v>
      </c>
      <c r="U18" s="1106">
        <v>0</v>
      </c>
      <c r="V18" s="1106">
        <v>737.10694173310003</v>
      </c>
      <c r="W18" s="1106">
        <v>0</v>
      </c>
      <c r="X18" s="1106">
        <v>740.89298027349605</v>
      </c>
      <c r="Y18" s="1106">
        <v>0</v>
      </c>
      <c r="Z18" s="1106">
        <v>741.40586125599998</v>
      </c>
      <c r="AA18" s="1106">
        <v>0</v>
      </c>
      <c r="AB18" s="1106">
        <v>736.69978213399997</v>
      </c>
      <c r="AC18" s="1106">
        <v>0</v>
      </c>
      <c r="AD18" s="1106">
        <v>739.42584847559999</v>
      </c>
      <c r="AE18" s="1106">
        <v>0</v>
      </c>
      <c r="AF18" s="1106">
        <v>737.50619250620002</v>
      </c>
      <c r="AG18" s="1106">
        <v>0</v>
      </c>
      <c r="AH18" s="1106">
        <v>740.15345294300005</v>
      </c>
      <c r="AI18" s="1106">
        <v>0</v>
      </c>
      <c r="AJ18" s="1106">
        <v>745.41227366999999</v>
      </c>
      <c r="AK18" s="1106">
        <v>0</v>
      </c>
      <c r="AL18" s="1106">
        <v>757.32569586572095</v>
      </c>
      <c r="AM18" s="1106">
        <v>0</v>
      </c>
      <c r="AN18" s="1106">
        <v>753.67448890169999</v>
      </c>
      <c r="AO18" s="1106">
        <v>0</v>
      </c>
      <c r="AP18" s="1106">
        <v>761.45348493999995</v>
      </c>
      <c r="AQ18" s="1106">
        <v>0</v>
      </c>
      <c r="AR18" s="1106">
        <v>765.69292516099995</v>
      </c>
      <c r="AS18" s="1106">
        <v>0</v>
      </c>
      <c r="AT18" s="1106">
        <v>764.62387394999996</v>
      </c>
      <c r="AU18" s="1106">
        <v>0</v>
      </c>
      <c r="AV18" s="1106">
        <v>763.7510644509</v>
      </c>
      <c r="AW18" s="1106">
        <v>0</v>
      </c>
      <c r="AX18" s="1106">
        <v>774.79322986299997</v>
      </c>
      <c r="AY18" s="1106">
        <v>0</v>
      </c>
      <c r="AZ18" s="1106">
        <v>772.93976327799999</v>
      </c>
      <c r="BA18" s="1106">
        <v>0</v>
      </c>
      <c r="BB18" s="1106">
        <v>780.77817801699996</v>
      </c>
      <c r="BC18" s="1106">
        <v>0</v>
      </c>
      <c r="BD18" s="1106">
        <v>781.32122232580002</v>
      </c>
      <c r="BE18" s="1106">
        <v>0</v>
      </c>
      <c r="BF18" s="1106">
        <v>781.70646635692299</v>
      </c>
      <c r="BG18" s="1106">
        <v>0</v>
      </c>
      <c r="BH18" s="1106">
        <v>782.7977226905</v>
      </c>
      <c r="BI18" s="1106">
        <v>0</v>
      </c>
      <c r="BJ18" s="1106">
        <v>785.41163827790001</v>
      </c>
      <c r="BK18" s="1106">
        <v>0</v>
      </c>
      <c r="BL18" s="1106">
        <v>784.06695910591202</v>
      </c>
      <c r="BM18" s="1106">
        <v>0</v>
      </c>
      <c r="BN18" s="1106">
        <v>786.95375922239998</v>
      </c>
      <c r="BO18" s="1106">
        <v>0</v>
      </c>
      <c r="BP18" s="1106">
        <v>792.01221928120003</v>
      </c>
      <c r="BQ18" s="1106">
        <v>0</v>
      </c>
      <c r="BR18" s="1106">
        <v>793.05651869634005</v>
      </c>
      <c r="BS18" s="1106">
        <v>0</v>
      </c>
      <c r="BT18" s="1106">
        <v>809.67860204258</v>
      </c>
      <c r="BU18" s="1106">
        <v>0</v>
      </c>
      <c r="BV18" s="1106">
        <v>812.64262287556005</v>
      </c>
      <c r="BW18" s="1106">
        <v>0</v>
      </c>
      <c r="BX18" s="1106">
        <v>810.66294384260505</v>
      </c>
      <c r="BY18" s="1106"/>
      <c r="BZ18" s="1106">
        <v>814.21814944744006</v>
      </c>
      <c r="CA18" s="1106"/>
      <c r="CB18" s="1106">
        <v>816.72999144578</v>
      </c>
      <c r="CC18" s="1393"/>
      <c r="CD18" s="1393">
        <v>814.80586888489995</v>
      </c>
      <c r="CE18" s="1393"/>
      <c r="CF18" s="1106">
        <v>826.83107294882996</v>
      </c>
      <c r="CG18" s="1393">
        <v>0</v>
      </c>
      <c r="CH18" s="1393">
        <v>820.90118034240004</v>
      </c>
      <c r="CI18" s="1393"/>
      <c r="CJ18" s="1393">
        <v>819.78602143361002</v>
      </c>
      <c r="CK18" s="1393"/>
      <c r="CL18" s="1106">
        <v>823.06132938335497</v>
      </c>
      <c r="CM18" s="1393"/>
      <c r="CN18" s="1393">
        <v>822.18144749149997</v>
      </c>
      <c r="CO18" s="1393"/>
      <c r="CP18" s="1393">
        <v>741.735732815495</v>
      </c>
      <c r="CQ18" s="1393"/>
      <c r="CR18" s="1393">
        <v>742.32263225949498</v>
      </c>
      <c r="CS18" s="1393"/>
      <c r="CT18" s="1106">
        <v>749.34262953958603</v>
      </c>
      <c r="CU18" s="1393"/>
      <c r="CV18" s="1106">
        <v>746.90482790999999</v>
      </c>
      <c r="CW18" s="1393"/>
      <c r="CX18" s="1393">
        <v>720.86274358872504</v>
      </c>
      <c r="CY18" s="1393"/>
      <c r="CZ18" s="1106">
        <v>722.03834926399998</v>
      </c>
      <c r="DA18" s="1393"/>
      <c r="DB18" s="1106">
        <v>732.11158392596894</v>
      </c>
      <c r="DC18" s="1393"/>
      <c r="DD18" s="1106">
        <v>738.27352484602704</v>
      </c>
      <c r="DE18" s="1106"/>
      <c r="DF18" s="1106">
        <v>739.93129620798697</v>
      </c>
      <c r="DG18" s="1106"/>
      <c r="DH18" s="1106">
        <v>743.01515209527395</v>
      </c>
      <c r="DI18" s="1106"/>
      <c r="DJ18" s="1106">
        <v>748.92026180105597</v>
      </c>
      <c r="DK18" s="1106"/>
      <c r="DL18" s="1106">
        <v>755.85896198589603</v>
      </c>
      <c r="DM18" s="1106"/>
      <c r="DN18" s="1106">
        <v>755.42932547126497</v>
      </c>
      <c r="DO18" s="1106"/>
      <c r="DP18" s="1106">
        <v>757.85232602574001</v>
      </c>
      <c r="DQ18" s="1106"/>
      <c r="DR18" s="1106">
        <v>769.53645255954905</v>
      </c>
      <c r="DS18" s="1106"/>
      <c r="DT18" s="1106">
        <v>771.82590520340898</v>
      </c>
      <c r="DU18" s="1106"/>
      <c r="DV18" s="1106">
        <v>772.34909978231599</v>
      </c>
      <c r="DW18" s="1106"/>
      <c r="DX18" s="1106">
        <v>766.39607855557006</v>
      </c>
      <c r="DY18" s="1106"/>
      <c r="DZ18" s="1106">
        <v>770.64196540434898</v>
      </c>
      <c r="EA18" s="1106"/>
      <c r="EB18" s="1106">
        <v>766.59860383488103</v>
      </c>
      <c r="EC18" s="1106"/>
      <c r="ED18" s="1104" t="s">
        <v>3583</v>
      </c>
    </row>
    <row r="19" spans="1:137" ht="21" customHeight="1">
      <c r="A19" s="1104" t="s">
        <v>2261</v>
      </c>
      <c r="B19" s="1106">
        <v>167.768590749834</v>
      </c>
      <c r="C19" s="1106">
        <v>0</v>
      </c>
      <c r="D19" s="1106">
        <v>166.25573933370401</v>
      </c>
      <c r="E19" s="1106">
        <v>0</v>
      </c>
      <c r="F19" s="1106">
        <v>165.20179726624201</v>
      </c>
      <c r="G19" s="1106">
        <v>0</v>
      </c>
      <c r="H19" s="1106">
        <v>165.25849240713799</v>
      </c>
      <c r="I19" s="1106">
        <v>0</v>
      </c>
      <c r="J19" s="1106">
        <v>160.057844999461</v>
      </c>
      <c r="K19" s="1106">
        <v>0</v>
      </c>
      <c r="L19" s="1106">
        <v>146.97498478871199</v>
      </c>
      <c r="M19" s="1106">
        <v>0</v>
      </c>
      <c r="N19" s="1106">
        <v>130.77730252773799</v>
      </c>
      <c r="O19" s="1106">
        <v>0</v>
      </c>
      <c r="P19" s="1106">
        <v>130.629067570373</v>
      </c>
      <c r="Q19" s="1106">
        <v>0</v>
      </c>
      <c r="R19" s="1106">
        <v>129.99666467599999</v>
      </c>
      <c r="S19" s="1106">
        <v>11.2878753549995</v>
      </c>
      <c r="T19" s="1106">
        <v>132.85629335482301</v>
      </c>
      <c r="U19" s="1106">
        <v>0</v>
      </c>
      <c r="V19" s="1106">
        <v>135.34661978850201</v>
      </c>
      <c r="W19" s="1106">
        <v>0</v>
      </c>
      <c r="X19" s="1106">
        <v>133.723627897874</v>
      </c>
      <c r="Y19" s="1106">
        <v>0</v>
      </c>
      <c r="Z19" s="1106">
        <v>146.360106886572</v>
      </c>
      <c r="AA19" s="1106">
        <v>0</v>
      </c>
      <c r="AB19" s="1106">
        <v>147.34566323111699</v>
      </c>
      <c r="AC19" s="1106">
        <v>0</v>
      </c>
      <c r="AD19" s="1106">
        <v>146.188425163853</v>
      </c>
      <c r="AE19" s="1106">
        <v>0</v>
      </c>
      <c r="AF19" s="1106">
        <v>146.13858530850101</v>
      </c>
      <c r="AG19" s="1106">
        <v>0</v>
      </c>
      <c r="AH19" s="1106">
        <v>149.33572174474301</v>
      </c>
      <c r="AI19" s="1106">
        <v>0</v>
      </c>
      <c r="AJ19" s="1106">
        <v>149.27212675000001</v>
      </c>
      <c r="AK19" s="1106">
        <v>0</v>
      </c>
      <c r="AL19" s="1106">
        <v>148.47907741599701</v>
      </c>
      <c r="AM19" s="1106">
        <v>0</v>
      </c>
      <c r="AN19" s="1106">
        <v>146.86446055851499</v>
      </c>
      <c r="AO19" s="1106">
        <v>0</v>
      </c>
      <c r="AP19" s="1106">
        <v>150.17044832011899</v>
      </c>
      <c r="AQ19" s="1106">
        <v>0</v>
      </c>
      <c r="AR19" s="1106">
        <v>150.441849658492</v>
      </c>
      <c r="AS19" s="1106">
        <v>0</v>
      </c>
      <c r="AT19" s="1106">
        <v>149.829109145377</v>
      </c>
      <c r="AU19" s="1106">
        <v>0</v>
      </c>
      <c r="AV19" s="1106">
        <v>151.011153722459</v>
      </c>
      <c r="AW19" s="1106">
        <v>0</v>
      </c>
      <c r="AX19" s="1106">
        <v>154.90288136132</v>
      </c>
      <c r="AY19" s="1106">
        <v>0</v>
      </c>
      <c r="AZ19" s="1106">
        <v>152.83626966211</v>
      </c>
      <c r="BA19" s="1106">
        <v>9.6080854799999997</v>
      </c>
      <c r="BB19" s="1106">
        <v>150.82991383155101</v>
      </c>
      <c r="BC19" s="1106">
        <v>9.3835297900000008</v>
      </c>
      <c r="BD19" s="1106">
        <v>149.045258658298</v>
      </c>
      <c r="BE19" s="1106">
        <v>9.3374711999999995</v>
      </c>
      <c r="BF19" s="1106">
        <v>147.88058556452501</v>
      </c>
      <c r="BG19" s="1106">
        <v>0</v>
      </c>
      <c r="BH19" s="1106">
        <v>145.622181519782</v>
      </c>
      <c r="BI19" s="1106">
        <v>0</v>
      </c>
      <c r="BJ19" s="1106">
        <v>144.08006700823901</v>
      </c>
      <c r="BK19" s="1106">
        <v>0</v>
      </c>
      <c r="BL19" s="1106">
        <v>150.27255581724401</v>
      </c>
      <c r="BM19" s="1106">
        <v>0</v>
      </c>
      <c r="BN19" s="1106">
        <v>149.00737794762099</v>
      </c>
      <c r="BO19" s="1106">
        <v>0</v>
      </c>
      <c r="BP19" s="1106">
        <v>148.71786166836401</v>
      </c>
      <c r="BQ19" s="1106">
        <v>0</v>
      </c>
      <c r="BR19" s="1106">
        <v>147.025055686949</v>
      </c>
      <c r="BS19" s="1106">
        <v>0</v>
      </c>
      <c r="BT19" s="1106">
        <v>146.78168935981199</v>
      </c>
      <c r="BU19" s="1106">
        <v>0</v>
      </c>
      <c r="BV19" s="1106">
        <v>152.27937762449201</v>
      </c>
      <c r="BW19" s="1106">
        <v>0</v>
      </c>
      <c r="BX19" s="1106">
        <v>150.04970461488199</v>
      </c>
      <c r="BY19" s="1106">
        <v>0</v>
      </c>
      <c r="BZ19" s="1106">
        <v>149.27340958999801</v>
      </c>
      <c r="CA19" s="1106">
        <v>0</v>
      </c>
      <c r="CB19" s="1106">
        <v>147.39294702798</v>
      </c>
      <c r="CC19" s="1393">
        <v>0</v>
      </c>
      <c r="CD19" s="1393">
        <v>145.77256479243999</v>
      </c>
      <c r="CE19" s="1393">
        <v>0</v>
      </c>
      <c r="CF19" s="1106">
        <v>144.32286195246999</v>
      </c>
      <c r="CG19" s="1393">
        <v>0</v>
      </c>
      <c r="CH19" s="1393">
        <v>142.882607445872</v>
      </c>
      <c r="CI19" s="1393">
        <v>0</v>
      </c>
      <c r="CJ19" s="1393">
        <v>143.763722762502</v>
      </c>
      <c r="CK19" s="1393">
        <v>0</v>
      </c>
      <c r="CL19" s="1106">
        <v>142.86717506340099</v>
      </c>
      <c r="CM19" s="1393">
        <v>0</v>
      </c>
      <c r="CN19" s="1393">
        <v>142.784406937992</v>
      </c>
      <c r="CO19" s="1393">
        <v>0</v>
      </c>
      <c r="CP19" s="1393">
        <v>145.26508303250401</v>
      </c>
      <c r="CQ19" s="1393">
        <v>0</v>
      </c>
      <c r="CR19" s="1393">
        <v>147.44655010613599</v>
      </c>
      <c r="CS19" s="1393">
        <v>0</v>
      </c>
      <c r="CT19" s="1106">
        <v>152.38937225000001</v>
      </c>
      <c r="CU19" s="1393">
        <v>0</v>
      </c>
      <c r="CV19" s="1106">
        <v>151.45493726790801</v>
      </c>
      <c r="CW19" s="1393">
        <v>0</v>
      </c>
      <c r="CX19" s="1393">
        <v>149.13613835500399</v>
      </c>
      <c r="CY19" s="1393">
        <v>0</v>
      </c>
      <c r="CZ19" s="1106">
        <v>148.04369026758101</v>
      </c>
      <c r="DA19" s="1393">
        <v>0</v>
      </c>
      <c r="DB19" s="1106">
        <v>147.87132583600001</v>
      </c>
      <c r="DC19" s="1393">
        <v>0</v>
      </c>
      <c r="DD19" s="1106">
        <v>147.48943164358101</v>
      </c>
      <c r="DE19" s="1106">
        <v>0</v>
      </c>
      <c r="DF19" s="1106">
        <v>148.39965391176699</v>
      </c>
      <c r="DG19" s="1106">
        <v>0</v>
      </c>
      <c r="DH19" s="1106">
        <v>148.279851095927</v>
      </c>
      <c r="DI19" s="1106">
        <v>0</v>
      </c>
      <c r="DJ19" s="1106">
        <v>150.733955451003</v>
      </c>
      <c r="DK19" s="1106">
        <v>0</v>
      </c>
      <c r="DL19" s="1106">
        <v>154.03712798450101</v>
      </c>
      <c r="DM19" s="1106">
        <v>0</v>
      </c>
      <c r="DN19" s="1106">
        <v>154.08787244000001</v>
      </c>
      <c r="DO19" s="1106">
        <v>0</v>
      </c>
      <c r="DP19" s="1106">
        <v>154.08232125249901</v>
      </c>
      <c r="DQ19" s="1106">
        <v>0</v>
      </c>
      <c r="DR19" s="1106">
        <v>163.90810281999899</v>
      </c>
      <c r="DS19" s="1106">
        <v>0</v>
      </c>
      <c r="DT19" s="1106">
        <v>164.126548999996</v>
      </c>
      <c r="DU19" s="1106">
        <v>0</v>
      </c>
      <c r="DV19" s="1106">
        <v>162.29195044850101</v>
      </c>
      <c r="DW19" s="1106">
        <v>0</v>
      </c>
      <c r="DX19" s="1106">
        <v>162.94530965499999</v>
      </c>
      <c r="DY19" s="1106">
        <v>0</v>
      </c>
      <c r="DZ19" s="1106">
        <v>162.53159432399801</v>
      </c>
      <c r="EA19" s="1106">
        <v>0</v>
      </c>
      <c r="EB19" s="1106">
        <v>164.10671117650699</v>
      </c>
      <c r="EC19" s="1106">
        <v>0</v>
      </c>
      <c r="ED19" s="1104" t="s">
        <v>3584</v>
      </c>
    </row>
    <row r="20" spans="1:137" ht="21" customHeight="1" thickBot="1">
      <c r="A20" s="1107" t="s">
        <v>2260</v>
      </c>
      <c r="B20" s="1108">
        <v>1630.3428095235072</v>
      </c>
      <c r="C20" s="1108">
        <v>555.85891563069504</v>
      </c>
      <c r="D20" s="1108">
        <v>1925.73396181516</v>
      </c>
      <c r="E20" s="1108">
        <v>718.08271804040294</v>
      </c>
      <c r="F20" s="1108">
        <v>2020.3606786126302</v>
      </c>
      <c r="G20" s="1108">
        <v>806.06588651974198</v>
      </c>
      <c r="H20" s="1108">
        <v>1720.7767657633701</v>
      </c>
      <c r="I20" s="1108">
        <v>508.165106082242</v>
      </c>
      <c r="J20" s="1108">
        <v>1213.3147520919881</v>
      </c>
      <c r="K20" s="1108">
        <v>96.614264746660979</v>
      </c>
      <c r="L20" s="1108">
        <v>1482.1102937704302</v>
      </c>
      <c r="M20" s="1108">
        <v>65.877058466994995</v>
      </c>
      <c r="N20" s="1108">
        <v>1467.09546851351</v>
      </c>
      <c r="O20" s="1108">
        <v>201.19833495928108</v>
      </c>
      <c r="P20" s="1108">
        <v>1864.5368909217</v>
      </c>
      <c r="Q20" s="1108">
        <v>510.39888618901398</v>
      </c>
      <c r="R20" s="1108">
        <v>1887.90846643399</v>
      </c>
      <c r="S20" s="1108">
        <v>510.67839442422996</v>
      </c>
      <c r="T20" s="1108">
        <v>1889.1011301616827</v>
      </c>
      <c r="U20" s="1108">
        <v>697.57115980768697</v>
      </c>
      <c r="V20" s="1108">
        <v>1381.1988445282079</v>
      </c>
      <c r="W20" s="1108">
        <v>108.509446278197</v>
      </c>
      <c r="X20" s="1108">
        <v>1518.8392359343002</v>
      </c>
      <c r="Y20" s="1108">
        <v>122.38861225561203</v>
      </c>
      <c r="Z20" s="1108">
        <v>1314.710633445191</v>
      </c>
      <c r="AA20" s="1108">
        <v>91.508087302832024</v>
      </c>
      <c r="AB20" s="1108">
        <v>1426.0154839193631</v>
      </c>
      <c r="AC20" s="1108">
        <v>143.44240452723801</v>
      </c>
      <c r="AD20" s="1108">
        <v>1770.482284936525</v>
      </c>
      <c r="AE20" s="1108">
        <v>400.91171106124705</v>
      </c>
      <c r="AF20" s="1108">
        <v>1822.3671662176912</v>
      </c>
      <c r="AG20" s="1108">
        <v>470.25462671528004</v>
      </c>
      <c r="AH20" s="1108">
        <v>1821.296717086072</v>
      </c>
      <c r="AI20" s="1108">
        <v>357.86892044115802</v>
      </c>
      <c r="AJ20" s="1108">
        <v>2006.44840960997</v>
      </c>
      <c r="AK20" s="1108">
        <v>220.672778855416</v>
      </c>
      <c r="AL20" s="1108">
        <v>1692.5744383153242</v>
      </c>
      <c r="AM20" s="1108">
        <v>272.13289177187505</v>
      </c>
      <c r="AN20" s="1108">
        <v>2069.0471946356001</v>
      </c>
      <c r="AO20" s="1108">
        <v>419.71128214723501</v>
      </c>
      <c r="AP20" s="1108">
        <v>1580.31954298662</v>
      </c>
      <c r="AQ20" s="1108">
        <v>103.948251919618</v>
      </c>
      <c r="AR20" s="1108">
        <v>1601.0581881173248</v>
      </c>
      <c r="AS20" s="1108">
        <v>154.03142847996401</v>
      </c>
      <c r="AT20" s="1108">
        <v>1776.04093342329</v>
      </c>
      <c r="AU20" s="1108">
        <v>442.70366575240706</v>
      </c>
      <c r="AV20" s="1108">
        <v>1706.0481858599819</v>
      </c>
      <c r="AW20" s="1108">
        <v>359.86856623459397</v>
      </c>
      <c r="AX20" s="1108">
        <v>1324.2799281068237</v>
      </c>
      <c r="AY20" s="1108">
        <v>109.61402381053801</v>
      </c>
      <c r="AZ20" s="1108">
        <v>1969.3291022200999</v>
      </c>
      <c r="BA20" s="1108">
        <v>590.16851063183503</v>
      </c>
      <c r="BB20" s="1108">
        <v>2098.8693365891809</v>
      </c>
      <c r="BC20" s="1108">
        <v>485.79369038068893</v>
      </c>
      <c r="BD20" s="1108">
        <v>1624.1203213206359</v>
      </c>
      <c r="BE20" s="1108">
        <v>329.34814933408398</v>
      </c>
      <c r="BF20" s="1108">
        <v>1869.7243989802996</v>
      </c>
      <c r="BG20" s="1108">
        <v>541.59656813187701</v>
      </c>
      <c r="BH20" s="1108">
        <v>2303.3531646416</v>
      </c>
      <c r="BI20" s="1108">
        <v>704.16704098980108</v>
      </c>
      <c r="BJ20" s="1108">
        <v>2487.8872879404298</v>
      </c>
      <c r="BK20" s="1108">
        <v>803.58318896670698</v>
      </c>
      <c r="BL20" s="1108">
        <v>2395.9462816404903</v>
      </c>
      <c r="BM20" s="1108">
        <v>982.24027924254005</v>
      </c>
      <c r="BN20" s="1108">
        <v>2456.0453059292199</v>
      </c>
      <c r="BO20" s="1108">
        <v>1008.347012172157</v>
      </c>
      <c r="BP20" s="1108">
        <v>2361.4599099124198</v>
      </c>
      <c r="BQ20" s="1108">
        <v>753.62473671915495</v>
      </c>
      <c r="BR20" s="1108">
        <v>2850.5401410037398</v>
      </c>
      <c r="BS20" s="1108">
        <v>892.18237161351908</v>
      </c>
      <c r="BT20" s="1108">
        <v>3114.8577947291901</v>
      </c>
      <c r="BU20" s="1108">
        <v>1308.1810151696791</v>
      </c>
      <c r="BV20" s="1108">
        <v>2546.7639805048502</v>
      </c>
      <c r="BW20" s="1108">
        <v>725.08887332853305</v>
      </c>
      <c r="BX20" s="1108">
        <v>3384.9115863929401</v>
      </c>
      <c r="BY20" s="1108">
        <v>1650.0258984999</v>
      </c>
      <c r="BZ20" s="1108">
        <v>3847.9038144170299</v>
      </c>
      <c r="CA20" s="1108">
        <v>2066.9991791125299</v>
      </c>
      <c r="CB20" s="1108">
        <v>3846.512592086</v>
      </c>
      <c r="CC20" s="1394">
        <v>2124.7467501808701</v>
      </c>
      <c r="CD20" s="1394">
        <v>4154.2345938428898</v>
      </c>
      <c r="CE20" s="1394">
        <v>2313.7052064958798</v>
      </c>
      <c r="CF20" s="1108">
        <v>4461.52094298461</v>
      </c>
      <c r="CG20" s="1394">
        <v>2428.17074734378</v>
      </c>
      <c r="CH20" s="1394">
        <v>3860.4160528131401</v>
      </c>
      <c r="CI20" s="1394">
        <v>2056.4570320817102</v>
      </c>
      <c r="CJ20" s="1394">
        <v>4368.0230086539004</v>
      </c>
      <c r="CK20" s="1394">
        <v>2030.5273133875901</v>
      </c>
      <c r="CL20" s="1108">
        <v>4436.1770522061097</v>
      </c>
      <c r="CM20" s="1394">
        <v>1840.58837840715</v>
      </c>
      <c r="CN20" s="1394">
        <v>4171.7382755536401</v>
      </c>
      <c r="CO20" s="1394">
        <v>1234.2183073894</v>
      </c>
      <c r="CP20" s="1394">
        <v>4704.8505909799496</v>
      </c>
      <c r="CQ20" s="1394">
        <v>1375.26549302838</v>
      </c>
      <c r="CR20" s="1394">
        <v>5077.13327947179</v>
      </c>
      <c r="CS20" s="1394">
        <v>1351.72306806542</v>
      </c>
      <c r="CT20" s="1108">
        <v>4399.0734454433596</v>
      </c>
      <c r="CU20" s="1394">
        <v>1646.34269082739</v>
      </c>
      <c r="CV20" s="1108">
        <v>4753.0468522347901</v>
      </c>
      <c r="CW20" s="1394">
        <v>1814.39588750078</v>
      </c>
      <c r="CX20" s="1394">
        <v>4206.4784198423504</v>
      </c>
      <c r="CY20" s="1394">
        <v>1521.5622423831201</v>
      </c>
      <c r="CZ20" s="1108">
        <v>3674.9628667455299</v>
      </c>
      <c r="DA20" s="1394">
        <v>1397.4112361098901</v>
      </c>
      <c r="DB20" s="1108">
        <v>3428.0477721411498</v>
      </c>
      <c r="DC20" s="1394">
        <v>1402.5359995742201</v>
      </c>
      <c r="DD20" s="1108">
        <v>3494.9517471935601</v>
      </c>
      <c r="DE20" s="1108">
        <v>1276.6546807432001</v>
      </c>
      <c r="DF20" s="1108">
        <v>4548.3783788889396</v>
      </c>
      <c r="DG20" s="1108">
        <v>1370.3765947187701</v>
      </c>
      <c r="DH20" s="1108">
        <v>3797.5728925375402</v>
      </c>
      <c r="DI20" s="1108">
        <v>1267.6966912432599</v>
      </c>
      <c r="DJ20" s="1108">
        <v>4294.8792293194101</v>
      </c>
      <c r="DK20" s="1108">
        <v>1906.5683865931401</v>
      </c>
      <c r="DL20" s="1108">
        <v>4468.8220246418596</v>
      </c>
      <c r="DM20" s="1108">
        <v>1494.82593367702</v>
      </c>
      <c r="DN20" s="1108">
        <v>4064.0834680152402</v>
      </c>
      <c r="DO20" s="1108">
        <v>1658.8106084037299</v>
      </c>
      <c r="DP20" s="1108">
        <v>3968.97809101655</v>
      </c>
      <c r="DQ20" s="1108">
        <v>1769.0048045065901</v>
      </c>
      <c r="DR20" s="1108">
        <v>3225.9439359877201</v>
      </c>
      <c r="DS20" s="1108">
        <v>551.645912290507</v>
      </c>
      <c r="DT20" s="1108">
        <v>4170.1980547756502</v>
      </c>
      <c r="DU20" s="1108">
        <v>1521.76021901482</v>
      </c>
      <c r="DV20" s="1108">
        <v>4929.6619273604201</v>
      </c>
      <c r="DW20" s="1108">
        <v>1873.8257699542901</v>
      </c>
      <c r="DX20" s="1108">
        <v>4544.1054383798701</v>
      </c>
      <c r="DY20" s="1108">
        <v>1314.8528467849501</v>
      </c>
      <c r="DZ20" s="1108">
        <v>5302.1736256309896</v>
      </c>
      <c r="EA20" s="1108">
        <v>1425.9109311683401</v>
      </c>
      <c r="EB20" s="1108">
        <v>5573.1168892106698</v>
      </c>
      <c r="EC20" s="1108">
        <v>1763.27797993595</v>
      </c>
      <c r="ED20" s="1107" t="s">
        <v>3585</v>
      </c>
    </row>
    <row r="21" spans="1:137" ht="21" customHeight="1" thickBot="1">
      <c r="A21" s="1109" t="s">
        <v>2259</v>
      </c>
      <c r="B21" s="1110">
        <v>32722.7715977398</v>
      </c>
      <c r="C21" s="1110">
        <v>14414.970757412901</v>
      </c>
      <c r="D21" s="1110">
        <v>32863.227780295201</v>
      </c>
      <c r="E21" s="1110">
        <v>14496.9450452005</v>
      </c>
      <c r="F21" s="1110">
        <v>33195.901429616199</v>
      </c>
      <c r="G21" s="1110">
        <v>14453.4468035061</v>
      </c>
      <c r="H21" s="1110">
        <v>32218.908868476301</v>
      </c>
      <c r="I21" s="1110">
        <v>14502.455609077</v>
      </c>
      <c r="J21" s="1110">
        <v>31272.782507934098</v>
      </c>
      <c r="K21" s="1110">
        <v>13964.890086232799</v>
      </c>
      <c r="L21" s="1110">
        <v>31260.790089749298</v>
      </c>
      <c r="M21" s="1110">
        <v>13936.5845013494</v>
      </c>
      <c r="N21" s="1110">
        <v>30541.031249233201</v>
      </c>
      <c r="O21" s="1110">
        <v>13296.2682099225</v>
      </c>
      <c r="P21" s="1110">
        <v>30503.466040593601</v>
      </c>
      <c r="Q21" s="1110">
        <v>13081.1941332431</v>
      </c>
      <c r="R21" s="1110">
        <v>31065.933888842599</v>
      </c>
      <c r="S21" s="1110">
        <v>13403.720153510099</v>
      </c>
      <c r="T21" s="1110">
        <v>30618.9290287773</v>
      </c>
      <c r="U21" s="1110">
        <v>12394.782564631099</v>
      </c>
      <c r="V21" s="1110">
        <v>30685.092057285299</v>
      </c>
      <c r="W21" s="1110">
        <v>12354.550465365801</v>
      </c>
      <c r="X21" s="1110">
        <v>30742.970919662701</v>
      </c>
      <c r="Y21" s="1110">
        <v>12640.004444967501</v>
      </c>
      <c r="Z21" s="1110">
        <v>32055.309258092399</v>
      </c>
      <c r="AA21" s="1110">
        <v>12954.4190992485</v>
      </c>
      <c r="AB21" s="1110">
        <v>31944.817244463298</v>
      </c>
      <c r="AC21" s="1110">
        <v>13033.4587559256</v>
      </c>
      <c r="AD21" s="1110">
        <v>32203.4462034883</v>
      </c>
      <c r="AE21" s="1110">
        <v>13112.6735338001</v>
      </c>
      <c r="AF21" s="1110">
        <v>32521.404198268199</v>
      </c>
      <c r="AG21" s="1110">
        <v>13069.0656738747</v>
      </c>
      <c r="AH21" s="1110">
        <v>32796.6888263289</v>
      </c>
      <c r="AI21" s="1110">
        <v>13002.5601498455</v>
      </c>
      <c r="AJ21" s="1110">
        <v>33810.727473174302</v>
      </c>
      <c r="AK21" s="1110">
        <v>13301.0374251223</v>
      </c>
      <c r="AL21" s="1110">
        <v>33069.857593718902</v>
      </c>
      <c r="AM21" s="1110">
        <v>12729.586867423601</v>
      </c>
      <c r="AN21" s="1110">
        <v>33668.131007581098</v>
      </c>
      <c r="AO21" s="1110">
        <v>13208.216768565901</v>
      </c>
      <c r="AP21" s="1110">
        <v>33426.7443815316</v>
      </c>
      <c r="AQ21" s="1110">
        <v>12876.9449626069</v>
      </c>
      <c r="AR21" s="1110">
        <v>34526.541956258297</v>
      </c>
      <c r="AS21" s="1110">
        <v>13428.8078828334</v>
      </c>
      <c r="AT21" s="1110">
        <v>34963.554086618802</v>
      </c>
      <c r="AU21" s="1110">
        <v>13715.330100581699</v>
      </c>
      <c r="AV21" s="1110">
        <v>35604.461453450996</v>
      </c>
      <c r="AW21" s="1110">
        <v>14058.2874493011</v>
      </c>
      <c r="AX21" s="1110">
        <v>38462.211941057802</v>
      </c>
      <c r="AY21" s="1110">
        <v>15160.1225547493</v>
      </c>
      <c r="AZ21" s="1110">
        <v>37982.260347163297</v>
      </c>
      <c r="BA21" s="1110">
        <v>15074.0944965568</v>
      </c>
      <c r="BB21" s="1110">
        <v>38483.425064277799</v>
      </c>
      <c r="BC21" s="1110">
        <v>14936.7264888476</v>
      </c>
      <c r="BD21" s="1110">
        <v>39673.238268746303</v>
      </c>
      <c r="BE21" s="1110">
        <v>15825.8699171014</v>
      </c>
      <c r="BF21" s="1110">
        <v>40149.084618708599</v>
      </c>
      <c r="BG21" s="1110">
        <v>16058.6155797547</v>
      </c>
      <c r="BH21" s="1110">
        <v>41371.5485903351</v>
      </c>
      <c r="BI21" s="1110">
        <v>16967.565977729901</v>
      </c>
      <c r="BJ21" s="1110">
        <v>41920.128072595697</v>
      </c>
      <c r="BK21" s="1110">
        <v>16786.720219585401</v>
      </c>
      <c r="BL21" s="1110">
        <v>41589.734235009797</v>
      </c>
      <c r="BM21" s="1110">
        <v>17370.2725547806</v>
      </c>
      <c r="BN21" s="1110">
        <v>42404.660369537502</v>
      </c>
      <c r="BO21" s="1110">
        <v>17314.500129497999</v>
      </c>
      <c r="BP21" s="1110">
        <v>43633.385177794204</v>
      </c>
      <c r="BQ21" s="1110">
        <v>17782.770344418201</v>
      </c>
      <c r="BR21" s="1110">
        <v>44660.662882586701</v>
      </c>
      <c r="BS21" s="1110">
        <v>17774.5589931348</v>
      </c>
      <c r="BT21" s="1110">
        <v>45490.196201576502</v>
      </c>
      <c r="BU21" s="1110">
        <v>18164.717006193001</v>
      </c>
      <c r="BV21" s="1110">
        <v>47054.924150291597</v>
      </c>
      <c r="BW21" s="1110">
        <v>19064.628695592801</v>
      </c>
      <c r="BX21" s="1110">
        <v>45861.926241123198</v>
      </c>
      <c r="BY21" s="1110">
        <v>18216.232575845199</v>
      </c>
      <c r="BZ21" s="1110">
        <v>45708.5899215561</v>
      </c>
      <c r="CA21" s="1110">
        <v>17672.247945139301</v>
      </c>
      <c r="CB21" s="1110">
        <v>44843.205755130803</v>
      </c>
      <c r="CC21" s="1395">
        <v>16870.602642416099</v>
      </c>
      <c r="CD21" s="1395">
        <v>45582.651149420002</v>
      </c>
      <c r="CE21" s="1395">
        <v>17316.540197096299</v>
      </c>
      <c r="CF21" s="1110">
        <v>45921.778460522102</v>
      </c>
      <c r="CG21" s="1395">
        <v>17398.4571641863</v>
      </c>
      <c r="CH21" s="1395">
        <v>45218.267243912698</v>
      </c>
      <c r="CI21" s="1395">
        <v>16218.748110373001</v>
      </c>
      <c r="CJ21" s="1395">
        <v>44880.3317052614</v>
      </c>
      <c r="CK21" s="1395">
        <v>14984.733036395801</v>
      </c>
      <c r="CL21" s="1110">
        <v>45358.686479888704</v>
      </c>
      <c r="CM21" s="1395">
        <v>14810.683623777801</v>
      </c>
      <c r="CN21" s="1395">
        <v>45530.499721911001</v>
      </c>
      <c r="CO21" s="1395">
        <v>14548.7141524483</v>
      </c>
      <c r="CP21" s="1395">
        <v>46146.565306835597</v>
      </c>
      <c r="CQ21" s="1395">
        <v>15136.4200942961</v>
      </c>
      <c r="CR21" s="1395">
        <v>46172.478034141503</v>
      </c>
      <c r="CS21" s="1395">
        <v>14698.8282644139</v>
      </c>
      <c r="CT21" s="1110">
        <v>49178.196218153098</v>
      </c>
      <c r="CU21" s="1395">
        <v>16552.3832110728</v>
      </c>
      <c r="CV21" s="1110">
        <v>49296.7716533243</v>
      </c>
      <c r="CW21" s="1395">
        <v>16613.454465425701</v>
      </c>
      <c r="CX21" s="1395">
        <v>48735.6783047223</v>
      </c>
      <c r="CY21" s="1395">
        <v>16169.177976425301</v>
      </c>
      <c r="CZ21" s="1110">
        <v>48909.943949051602</v>
      </c>
      <c r="DA21" s="1395">
        <v>16305.704356679</v>
      </c>
      <c r="DB21" s="1110">
        <v>49221.614740272002</v>
      </c>
      <c r="DC21" s="1395">
        <v>16739.149660785599</v>
      </c>
      <c r="DD21" s="1110">
        <v>49147.4736620525</v>
      </c>
      <c r="DE21" s="1110">
        <v>16289.0321774932</v>
      </c>
      <c r="DF21" s="1110">
        <v>50328.119893915798</v>
      </c>
      <c r="DG21" s="1110">
        <v>16304.893130358299</v>
      </c>
      <c r="DH21" s="1110">
        <v>49089.294073587698</v>
      </c>
      <c r="DI21" s="1110">
        <v>15340.3317338494</v>
      </c>
      <c r="DJ21" s="1110">
        <v>49567.745979818203</v>
      </c>
      <c r="DK21" s="1110">
        <v>15879.9924546411</v>
      </c>
      <c r="DL21" s="1110">
        <v>50840.8393688344</v>
      </c>
      <c r="DM21" s="1110">
        <v>16250.5127884182</v>
      </c>
      <c r="DN21" s="1110">
        <v>49697.750916874204</v>
      </c>
      <c r="DO21" s="1110">
        <v>16493.036997368701</v>
      </c>
      <c r="DP21" s="1110">
        <v>50164.6169819184</v>
      </c>
      <c r="DQ21" s="1110">
        <v>15702.9965323136</v>
      </c>
      <c r="DR21" s="1110">
        <v>53001.401722433002</v>
      </c>
      <c r="DS21" s="1110">
        <v>16196.3230507929</v>
      </c>
      <c r="DT21" s="1110">
        <v>53090.739005044699</v>
      </c>
      <c r="DU21" s="1110">
        <v>17182.867671225398</v>
      </c>
      <c r="DV21" s="1110">
        <v>53561.650321216599</v>
      </c>
      <c r="DW21" s="1110">
        <v>17463.599112621901</v>
      </c>
      <c r="DX21" s="1110">
        <v>54855.6323323299</v>
      </c>
      <c r="DY21" s="1110">
        <v>17539.468549057801</v>
      </c>
      <c r="DZ21" s="1110">
        <v>54607.1446844694</v>
      </c>
      <c r="EA21" s="1110">
        <v>17270.3294410579</v>
      </c>
      <c r="EB21" s="1110">
        <v>56549.735593522899</v>
      </c>
      <c r="EC21" s="1110">
        <v>19150.8998105348</v>
      </c>
      <c r="ED21" s="1109" t="s">
        <v>3586</v>
      </c>
      <c r="EF21" s="1101"/>
    </row>
    <row r="22" spans="1:137" ht="16.149999999999999" customHeight="1">
      <c r="A22" s="1386"/>
      <c r="B22" s="1387"/>
      <c r="C22" s="1387"/>
      <c r="D22" s="1387"/>
      <c r="E22" s="1387"/>
      <c r="F22" s="1387"/>
      <c r="G22" s="1387"/>
      <c r="H22" s="1387"/>
      <c r="I22" s="1387"/>
      <c r="J22" s="1387"/>
      <c r="K22" s="1387"/>
      <c r="L22" s="1387"/>
      <c r="M22" s="1387"/>
      <c r="N22" s="1387"/>
      <c r="O22" s="1387"/>
      <c r="P22" s="1387"/>
      <c r="Q22" s="1387"/>
      <c r="R22" s="1387"/>
      <c r="S22" s="1387"/>
      <c r="T22" s="1387"/>
      <c r="U22" s="1387"/>
      <c r="V22" s="1387"/>
      <c r="W22" s="1387"/>
      <c r="X22" s="1387"/>
      <c r="Y22" s="1387"/>
      <c r="Z22" s="1387"/>
      <c r="AA22" s="1387"/>
      <c r="AB22" s="1387"/>
      <c r="AC22" s="1387"/>
      <c r="AD22" s="1387"/>
      <c r="AE22" s="1387"/>
      <c r="AF22" s="1387"/>
      <c r="AG22" s="1387"/>
      <c r="AH22" s="1387"/>
      <c r="AI22" s="1387"/>
      <c r="AJ22" s="1387"/>
      <c r="AK22" s="1387"/>
      <c r="AL22" s="1387"/>
      <c r="AM22" s="1387"/>
      <c r="AN22" s="1387"/>
      <c r="AO22" s="1387"/>
      <c r="AP22" s="1387"/>
      <c r="AQ22" s="1387"/>
      <c r="AR22" s="1387"/>
      <c r="AS22" s="1387"/>
      <c r="AT22" s="1387"/>
      <c r="AU22" s="1387"/>
      <c r="AV22" s="1387"/>
      <c r="AW22" s="1387"/>
      <c r="AX22" s="1387"/>
      <c r="AY22" s="1387"/>
      <c r="AZ22" s="1387"/>
      <c r="BA22" s="1387"/>
      <c r="BB22" s="1387"/>
      <c r="BC22" s="1387"/>
      <c r="BD22" s="1387"/>
      <c r="BE22" s="1387"/>
      <c r="BF22" s="1387"/>
      <c r="BG22" s="1387"/>
      <c r="BH22" s="1387"/>
      <c r="BI22" s="1387"/>
      <c r="BJ22" s="1387"/>
      <c r="BK22" s="1387"/>
      <c r="BL22" s="1387"/>
      <c r="BM22" s="1387"/>
      <c r="BN22" s="1387"/>
      <c r="BO22" s="1387"/>
      <c r="BP22" s="1387"/>
      <c r="BQ22" s="1387"/>
      <c r="BR22" s="1387"/>
      <c r="BS22" s="1387"/>
      <c r="BT22" s="1387"/>
      <c r="BU22" s="1387"/>
      <c r="BV22" s="1387"/>
      <c r="BW22" s="1387"/>
      <c r="BX22" s="1387"/>
      <c r="BY22" s="1387"/>
      <c r="BZ22" s="1387"/>
      <c r="CA22" s="1387"/>
      <c r="CB22" s="1387"/>
      <c r="CC22" s="1387"/>
      <c r="CD22" s="1387"/>
      <c r="CE22" s="1387"/>
      <c r="CF22" s="1387"/>
      <c r="CG22" s="1387"/>
      <c r="CH22" s="1387"/>
      <c r="CI22" s="1387"/>
      <c r="CJ22" s="1387"/>
      <c r="CK22" s="1387"/>
      <c r="CL22" s="1387"/>
      <c r="CM22" s="1387"/>
      <c r="CN22" s="1387"/>
      <c r="CO22" s="1387"/>
      <c r="CP22" s="1387"/>
      <c r="CQ22" s="1387"/>
      <c r="CR22" s="1387"/>
      <c r="CS22" s="1387"/>
      <c r="CT22" s="1387"/>
      <c r="CU22" s="1387"/>
      <c r="CV22" s="1387"/>
      <c r="CW22" s="1387"/>
      <c r="CX22" s="1387"/>
      <c r="CY22" s="1387"/>
      <c r="CZ22" s="1387"/>
      <c r="DA22" s="1387"/>
      <c r="DB22" s="1387"/>
      <c r="DC22" s="1387"/>
      <c r="DD22" s="1387"/>
      <c r="DE22" s="1387"/>
      <c r="DF22" s="1387"/>
      <c r="DG22" s="1387"/>
      <c r="DH22" s="1387"/>
      <c r="DI22" s="1387"/>
      <c r="DJ22" s="1387"/>
      <c r="DK22" s="1387"/>
      <c r="DL22" s="1387"/>
      <c r="DM22" s="1387"/>
      <c r="DN22" s="1387"/>
      <c r="DO22" s="1387"/>
      <c r="DP22" s="1387"/>
      <c r="DQ22" s="1387"/>
      <c r="DR22" s="1387"/>
      <c r="DS22" s="1387"/>
      <c r="DT22" s="1387"/>
      <c r="DU22" s="1387"/>
      <c r="DV22" s="1387"/>
      <c r="DW22" s="1387"/>
      <c r="DX22" s="1387"/>
      <c r="DY22" s="1387"/>
      <c r="DZ22" s="1387"/>
      <c r="EA22" s="1387"/>
      <c r="EB22" s="1387"/>
      <c r="EC22" s="1387"/>
      <c r="ED22" s="1387"/>
    </row>
    <row r="23" spans="1:137" ht="16.149999999999999" customHeight="1" thickBot="1">
      <c r="A23" s="2914"/>
      <c r="B23" s="2915"/>
      <c r="C23" s="2915"/>
      <c r="D23" s="2915"/>
      <c r="E23" s="2915"/>
      <c r="F23" s="2915"/>
      <c r="G23" s="2915"/>
      <c r="H23" s="2915"/>
      <c r="I23" s="2915"/>
      <c r="J23" s="2915"/>
      <c r="K23" s="2915"/>
      <c r="L23" s="2915"/>
      <c r="M23" s="2915"/>
      <c r="N23" s="2915"/>
      <c r="O23" s="2915"/>
      <c r="P23" s="2915"/>
      <c r="Q23" s="2915"/>
      <c r="R23" s="2915"/>
      <c r="S23" s="2915"/>
      <c r="T23" s="2915"/>
      <c r="U23" s="2915"/>
      <c r="V23" s="2915"/>
      <c r="W23" s="2915"/>
      <c r="X23" s="2915"/>
      <c r="Y23" s="2915"/>
      <c r="Z23" s="2915"/>
      <c r="AA23" s="2915"/>
      <c r="AB23" s="2915"/>
      <c r="AC23" s="2915"/>
      <c r="AD23" s="2915"/>
      <c r="AE23" s="2915"/>
      <c r="AF23" s="2915"/>
      <c r="AG23" s="2915"/>
      <c r="AH23" s="2915"/>
      <c r="AI23" s="2915"/>
      <c r="AJ23" s="2915"/>
      <c r="AK23" s="2915"/>
      <c r="AL23" s="2915"/>
      <c r="AM23" s="2915"/>
      <c r="AN23" s="2915"/>
      <c r="AO23" s="2915"/>
      <c r="AP23" s="2915"/>
      <c r="AQ23" s="2915"/>
      <c r="AR23" s="2915"/>
      <c r="AS23" s="2915"/>
      <c r="AT23" s="2915"/>
      <c r="AU23" s="2915"/>
      <c r="AV23" s="2915"/>
      <c r="AW23" s="2915"/>
      <c r="AX23" s="2915"/>
      <c r="AY23" s="2915"/>
      <c r="AZ23" s="2915"/>
      <c r="BA23" s="2915"/>
      <c r="BB23" s="2915"/>
      <c r="BC23" s="2915"/>
      <c r="BD23" s="2915"/>
      <c r="BE23" s="2915"/>
      <c r="BF23" s="2915"/>
      <c r="BG23" s="2915"/>
      <c r="BH23" s="2915"/>
      <c r="BI23" s="2915"/>
      <c r="BJ23" s="2915"/>
      <c r="BK23" s="2915"/>
      <c r="BL23" s="2915"/>
      <c r="BM23" s="2915"/>
      <c r="BN23" s="2915"/>
      <c r="BO23" s="2915"/>
      <c r="BP23" s="2915"/>
      <c r="BQ23" s="2915"/>
      <c r="BR23" s="2915"/>
      <c r="BS23" s="2915"/>
      <c r="BT23" s="2915"/>
      <c r="BU23" s="2915"/>
      <c r="BV23" s="2915"/>
      <c r="BW23" s="2915"/>
      <c r="BX23" s="2915"/>
      <c r="BY23" s="2915"/>
      <c r="BZ23" s="2915"/>
      <c r="CA23" s="2915"/>
      <c r="CB23" s="2915"/>
      <c r="CC23" s="2915"/>
      <c r="CD23" s="2915"/>
      <c r="CE23" s="2915"/>
      <c r="CF23" s="2915"/>
      <c r="CG23" s="2915"/>
      <c r="CH23" s="2915"/>
      <c r="CI23" s="2915"/>
      <c r="CJ23" s="2915"/>
      <c r="CK23" s="2915"/>
      <c r="CL23" s="2915"/>
      <c r="CM23" s="2915"/>
      <c r="CN23" s="2915"/>
      <c r="CO23" s="2915"/>
      <c r="CP23" s="2915"/>
      <c r="CQ23" s="2915"/>
      <c r="CR23" s="2915"/>
      <c r="CS23" s="2915"/>
      <c r="CT23" s="2915"/>
      <c r="CU23" s="2915"/>
      <c r="CV23" s="2915"/>
      <c r="CW23" s="2915"/>
      <c r="CX23" s="2915"/>
      <c r="CY23" s="2915"/>
      <c r="CZ23" s="2915"/>
      <c r="DA23" s="2915"/>
      <c r="DB23" s="2915"/>
      <c r="DC23" s="2915"/>
      <c r="DD23" s="2915"/>
      <c r="DE23" s="2915"/>
      <c r="DF23" s="2915"/>
      <c r="DG23" s="2915"/>
      <c r="DH23" s="2915"/>
      <c r="DI23" s="2915"/>
      <c r="DJ23" s="2915"/>
      <c r="DK23" s="2915"/>
      <c r="DL23" s="2915"/>
      <c r="DM23" s="2915"/>
      <c r="DN23" s="2915"/>
      <c r="DO23" s="2915"/>
      <c r="DP23" s="2915"/>
      <c r="DQ23" s="2915"/>
      <c r="DR23" s="2915"/>
      <c r="DS23" s="2915"/>
      <c r="DT23" s="2915"/>
      <c r="DU23" s="2915"/>
      <c r="DV23" s="2915"/>
      <c r="DW23" s="2915"/>
      <c r="DX23" s="2915"/>
      <c r="DY23" s="2915"/>
      <c r="DZ23" s="2915"/>
      <c r="EA23" s="2915"/>
      <c r="EB23" s="2915"/>
      <c r="EC23" s="2915"/>
      <c r="ED23" s="2915"/>
    </row>
    <row r="24" spans="1:137" s="1102" customFormat="1" ht="26.25" customHeight="1" thickBot="1">
      <c r="A24" s="2910" t="s">
        <v>2258</v>
      </c>
      <c r="B24" s="2918">
        <v>43830</v>
      </c>
      <c r="C24" s="2919"/>
      <c r="D24" s="2923">
        <v>43861</v>
      </c>
      <c r="E24" s="2919"/>
      <c r="F24" s="2923">
        <v>43890</v>
      </c>
      <c r="G24" s="2919"/>
      <c r="H24" s="2923">
        <v>43921</v>
      </c>
      <c r="I24" s="2919"/>
      <c r="J24" s="2923">
        <v>43951</v>
      </c>
      <c r="K24" s="2919"/>
      <c r="L24" s="2923">
        <v>43982</v>
      </c>
      <c r="M24" s="2919"/>
      <c r="N24" s="2902">
        <v>44012</v>
      </c>
      <c r="O24" s="2904"/>
      <c r="P24" s="2902">
        <v>44043</v>
      </c>
      <c r="Q24" s="2904"/>
      <c r="R24" s="2902">
        <v>44074</v>
      </c>
      <c r="S24" s="2904"/>
      <c r="T24" s="2902">
        <v>44104</v>
      </c>
      <c r="U24" s="2904"/>
      <c r="V24" s="2902">
        <v>44135</v>
      </c>
      <c r="W24" s="2904"/>
      <c r="X24" s="2902">
        <v>44165</v>
      </c>
      <c r="Y24" s="2904"/>
      <c r="Z24" s="2902">
        <v>44196</v>
      </c>
      <c r="AA24" s="2904"/>
      <c r="AB24" s="2902">
        <v>44227</v>
      </c>
      <c r="AC24" s="2904"/>
      <c r="AD24" s="2902">
        <v>44255</v>
      </c>
      <c r="AE24" s="2904"/>
      <c r="AF24" s="2902">
        <v>44286</v>
      </c>
      <c r="AG24" s="2904"/>
      <c r="AH24" s="2902">
        <v>44316</v>
      </c>
      <c r="AI24" s="2904"/>
      <c r="AJ24" s="2902">
        <v>44347</v>
      </c>
      <c r="AK24" s="2904"/>
      <c r="AL24" s="2902">
        <v>44377</v>
      </c>
      <c r="AM24" s="2904"/>
      <c r="AN24" s="2902">
        <v>44408</v>
      </c>
      <c r="AO24" s="2904"/>
      <c r="AP24" s="2923">
        <v>44439</v>
      </c>
      <c r="AQ24" s="2919"/>
      <c r="AR24" s="2923">
        <v>44469</v>
      </c>
      <c r="AS24" s="2919"/>
      <c r="AT24" s="2903">
        <v>44500</v>
      </c>
      <c r="AU24" s="2904"/>
      <c r="AV24" s="2902">
        <v>44530</v>
      </c>
      <c r="AW24" s="2904"/>
      <c r="AX24" s="2902">
        <v>44561</v>
      </c>
      <c r="AY24" s="2904"/>
      <c r="AZ24" s="2902">
        <v>44592</v>
      </c>
      <c r="BA24" s="2904"/>
      <c r="BB24" s="2902">
        <v>44620</v>
      </c>
      <c r="BC24" s="2904"/>
      <c r="BD24" s="2902">
        <v>44651</v>
      </c>
      <c r="BE24" s="2904"/>
      <c r="BF24" s="2902">
        <v>44681</v>
      </c>
      <c r="BG24" s="2904"/>
      <c r="BH24" s="2902">
        <v>44712</v>
      </c>
      <c r="BI24" s="2904"/>
      <c r="BJ24" s="2902">
        <v>44742</v>
      </c>
      <c r="BK24" s="2904"/>
      <c r="BL24" s="2902">
        <v>44773</v>
      </c>
      <c r="BM24" s="2904"/>
      <c r="BN24" s="2902">
        <v>44804</v>
      </c>
      <c r="BO24" s="2904"/>
      <c r="BP24" s="2902">
        <v>44834</v>
      </c>
      <c r="BQ24" s="2904"/>
      <c r="BR24" s="2902">
        <v>44865</v>
      </c>
      <c r="BS24" s="2904"/>
      <c r="BT24" s="2902">
        <v>44895</v>
      </c>
      <c r="BU24" s="2904"/>
      <c r="BV24" s="2902">
        <v>44926</v>
      </c>
      <c r="BW24" s="2904"/>
      <c r="BX24" s="2902">
        <v>44957</v>
      </c>
      <c r="BY24" s="2904"/>
      <c r="BZ24" s="2902">
        <v>44985</v>
      </c>
      <c r="CA24" s="2904"/>
      <c r="CB24" s="2902">
        <v>45016</v>
      </c>
      <c r="CC24" s="2903"/>
      <c r="CD24" s="2902">
        <v>45046</v>
      </c>
      <c r="CE24" s="2903"/>
      <c r="CF24" s="2902">
        <v>45077</v>
      </c>
      <c r="CG24" s="2903"/>
      <c r="CH24" s="2902">
        <v>45107</v>
      </c>
      <c r="CI24" s="2903"/>
      <c r="CJ24" s="2902">
        <v>45138</v>
      </c>
      <c r="CK24" s="2903"/>
      <c r="CL24" s="2902">
        <v>45169</v>
      </c>
      <c r="CM24" s="2903"/>
      <c r="CN24" s="2902">
        <v>45199</v>
      </c>
      <c r="CO24" s="2903"/>
      <c r="CP24" s="2902">
        <v>45230</v>
      </c>
      <c r="CQ24" s="2903"/>
      <c r="CR24" s="2902">
        <v>45260</v>
      </c>
      <c r="CS24" s="2903"/>
      <c r="CT24" s="2902">
        <v>45291</v>
      </c>
      <c r="CU24" s="2903"/>
      <c r="CV24" s="2902">
        <v>45322</v>
      </c>
      <c r="CW24" s="2903"/>
      <c r="CX24" s="2902">
        <v>45351</v>
      </c>
      <c r="CY24" s="2903"/>
      <c r="CZ24" s="2902">
        <v>45382</v>
      </c>
      <c r="DA24" s="2903"/>
      <c r="DB24" s="2902">
        <v>45412</v>
      </c>
      <c r="DC24" s="2903"/>
      <c r="DD24" s="2902">
        <v>45443</v>
      </c>
      <c r="DE24" s="2903"/>
      <c r="DF24" s="2902">
        <v>45473</v>
      </c>
      <c r="DG24" s="2903"/>
      <c r="DH24" s="2898">
        <v>45504</v>
      </c>
      <c r="DI24" s="2899"/>
      <c r="DJ24" s="2898">
        <v>45535</v>
      </c>
      <c r="DK24" s="2899"/>
      <c r="DL24" s="2898">
        <v>45565</v>
      </c>
      <c r="DM24" s="2899"/>
      <c r="DN24" s="2898">
        <v>45596</v>
      </c>
      <c r="DO24" s="2899"/>
      <c r="DP24" s="2898">
        <v>45626</v>
      </c>
      <c r="DQ24" s="2899"/>
      <c r="DR24" s="2898">
        <v>45657</v>
      </c>
      <c r="DS24" s="2899"/>
      <c r="DT24" s="2898">
        <v>45688</v>
      </c>
      <c r="DU24" s="2899"/>
      <c r="DV24" s="2898">
        <v>45716</v>
      </c>
      <c r="DW24" s="2899"/>
      <c r="DX24" s="2898">
        <v>45747</v>
      </c>
      <c r="DY24" s="2899"/>
      <c r="DZ24" s="2898">
        <v>45777</v>
      </c>
      <c r="EA24" s="2899"/>
      <c r="EB24" s="2898">
        <v>45808</v>
      </c>
      <c r="EC24" s="2899"/>
      <c r="ED24" s="2910" t="s">
        <v>3588</v>
      </c>
      <c r="EF24" s="1267"/>
    </row>
    <row r="25" spans="1:137" s="1102" customFormat="1" ht="61.5" customHeight="1" thickBot="1">
      <c r="A25" s="2911"/>
      <c r="B25" s="1111" t="s">
        <v>155</v>
      </c>
      <c r="C25" s="1112" t="s">
        <v>2995</v>
      </c>
      <c r="D25" s="1112" t="s">
        <v>155</v>
      </c>
      <c r="E25" s="1112" t="s">
        <v>2995</v>
      </c>
      <c r="F25" s="1112" t="s">
        <v>155</v>
      </c>
      <c r="G25" s="1112" t="s">
        <v>2995</v>
      </c>
      <c r="H25" s="1112" t="s">
        <v>155</v>
      </c>
      <c r="I25" s="1112" t="s">
        <v>2995</v>
      </c>
      <c r="J25" s="1112" t="s">
        <v>155</v>
      </c>
      <c r="K25" s="1112" t="s">
        <v>2995</v>
      </c>
      <c r="L25" s="1112" t="s">
        <v>155</v>
      </c>
      <c r="M25" s="1113" t="s">
        <v>2995</v>
      </c>
      <c r="N25" s="1113" t="s">
        <v>155</v>
      </c>
      <c r="O25" s="1113" t="s">
        <v>2995</v>
      </c>
      <c r="P25" s="1113" t="s">
        <v>155</v>
      </c>
      <c r="Q25" s="1113" t="s">
        <v>2995</v>
      </c>
      <c r="R25" s="1113" t="s">
        <v>155</v>
      </c>
      <c r="S25" s="1113" t="s">
        <v>2995</v>
      </c>
      <c r="T25" s="1113" t="s">
        <v>155</v>
      </c>
      <c r="U25" s="1113" t="s">
        <v>2995</v>
      </c>
      <c r="V25" s="1113" t="s">
        <v>155</v>
      </c>
      <c r="W25" s="1113" t="s">
        <v>2995</v>
      </c>
      <c r="X25" s="1113" t="s">
        <v>155</v>
      </c>
      <c r="Y25" s="1113" t="s">
        <v>2995</v>
      </c>
      <c r="Z25" s="1113" t="s">
        <v>155</v>
      </c>
      <c r="AA25" s="1113" t="s">
        <v>2995</v>
      </c>
      <c r="AB25" s="1113" t="s">
        <v>155</v>
      </c>
      <c r="AC25" s="1113" t="s">
        <v>2995</v>
      </c>
      <c r="AD25" s="1113" t="s">
        <v>155</v>
      </c>
      <c r="AE25" s="1113" t="s">
        <v>2995</v>
      </c>
      <c r="AF25" s="1113" t="s">
        <v>155</v>
      </c>
      <c r="AG25" s="1113" t="s">
        <v>2995</v>
      </c>
      <c r="AH25" s="1113" t="s">
        <v>155</v>
      </c>
      <c r="AI25" s="1113" t="s">
        <v>2995</v>
      </c>
      <c r="AJ25" s="1113" t="s">
        <v>155</v>
      </c>
      <c r="AK25" s="1113" t="s">
        <v>2995</v>
      </c>
      <c r="AL25" s="1113" t="s">
        <v>155</v>
      </c>
      <c r="AM25" s="1113" t="s">
        <v>2995</v>
      </c>
      <c r="AN25" s="1113" t="s">
        <v>155</v>
      </c>
      <c r="AO25" s="1112" t="s">
        <v>2995</v>
      </c>
      <c r="AP25" s="1112" t="s">
        <v>155</v>
      </c>
      <c r="AQ25" s="1112" t="s">
        <v>2995</v>
      </c>
      <c r="AR25" s="1112" t="s">
        <v>155</v>
      </c>
      <c r="AS25" s="1112" t="s">
        <v>2995</v>
      </c>
      <c r="AT25" s="1113" t="s">
        <v>155</v>
      </c>
      <c r="AU25" s="1112" t="s">
        <v>2995</v>
      </c>
      <c r="AV25" s="1113" t="s">
        <v>155</v>
      </c>
      <c r="AW25" s="1113" t="s">
        <v>2995</v>
      </c>
      <c r="AX25" s="1113" t="s">
        <v>155</v>
      </c>
      <c r="AY25" s="1113" t="s">
        <v>2995</v>
      </c>
      <c r="AZ25" s="1113" t="s">
        <v>155</v>
      </c>
      <c r="BA25" s="1113" t="s">
        <v>2995</v>
      </c>
      <c r="BB25" s="1113" t="s">
        <v>155</v>
      </c>
      <c r="BC25" s="1113" t="s">
        <v>2995</v>
      </c>
      <c r="BD25" s="1113" t="s">
        <v>155</v>
      </c>
      <c r="BE25" s="1113" t="s">
        <v>2995</v>
      </c>
      <c r="BF25" s="1113" t="s">
        <v>155</v>
      </c>
      <c r="BG25" s="1113" t="s">
        <v>2995</v>
      </c>
      <c r="BH25" s="1113" t="s">
        <v>155</v>
      </c>
      <c r="BI25" s="1113" t="s">
        <v>2995</v>
      </c>
      <c r="BJ25" s="1113" t="s">
        <v>155</v>
      </c>
      <c r="BK25" s="1113" t="s">
        <v>2995</v>
      </c>
      <c r="BL25" s="1113" t="s">
        <v>155</v>
      </c>
      <c r="BM25" s="1113" t="s">
        <v>2995</v>
      </c>
      <c r="BN25" s="1113" t="s">
        <v>155</v>
      </c>
      <c r="BO25" s="1113" t="s">
        <v>2995</v>
      </c>
      <c r="BP25" s="1113" t="s">
        <v>155</v>
      </c>
      <c r="BQ25" s="1113" t="s">
        <v>2995</v>
      </c>
      <c r="BR25" s="1113" t="s">
        <v>155</v>
      </c>
      <c r="BS25" s="1113" t="s">
        <v>2995</v>
      </c>
      <c r="BT25" s="1113" t="s">
        <v>155</v>
      </c>
      <c r="BU25" s="1113" t="s">
        <v>2995</v>
      </c>
      <c r="BV25" s="1113" t="s">
        <v>155</v>
      </c>
      <c r="BW25" s="1113" t="s">
        <v>2995</v>
      </c>
      <c r="BX25" s="1113" t="s">
        <v>155</v>
      </c>
      <c r="BY25" s="1113" t="s">
        <v>2995</v>
      </c>
      <c r="BZ25" s="1113" t="s">
        <v>155</v>
      </c>
      <c r="CA25" s="1113" t="s">
        <v>2995</v>
      </c>
      <c r="CB25" s="1113" t="s">
        <v>155</v>
      </c>
      <c r="CC25" s="1391" t="s">
        <v>2995</v>
      </c>
      <c r="CD25" s="1391" t="s">
        <v>155</v>
      </c>
      <c r="CE25" s="1391" t="s">
        <v>2995</v>
      </c>
      <c r="CF25" s="1113" t="s">
        <v>155</v>
      </c>
      <c r="CG25" s="1391" t="s">
        <v>2995</v>
      </c>
      <c r="CH25" s="1391" t="s">
        <v>155</v>
      </c>
      <c r="CI25" s="1391" t="s">
        <v>2995</v>
      </c>
      <c r="CJ25" s="1113" t="s">
        <v>155</v>
      </c>
      <c r="CK25" s="1391" t="s">
        <v>2995</v>
      </c>
      <c r="CL25" s="1113" t="s">
        <v>155</v>
      </c>
      <c r="CM25" s="1391" t="s">
        <v>2995</v>
      </c>
      <c r="CN25" s="1391" t="s">
        <v>155</v>
      </c>
      <c r="CO25" s="1391" t="s">
        <v>2995</v>
      </c>
      <c r="CP25" s="1113" t="s">
        <v>155</v>
      </c>
      <c r="CQ25" s="1391" t="s">
        <v>2995</v>
      </c>
      <c r="CR25" s="1391" t="s">
        <v>155</v>
      </c>
      <c r="CS25" s="1391" t="s">
        <v>2995</v>
      </c>
      <c r="CT25" s="1113" t="s">
        <v>155</v>
      </c>
      <c r="CU25" s="1391" t="s">
        <v>2995</v>
      </c>
      <c r="CV25" s="1113" t="s">
        <v>155</v>
      </c>
      <c r="CW25" s="1391" t="s">
        <v>2995</v>
      </c>
      <c r="CX25" s="1113" t="s">
        <v>155</v>
      </c>
      <c r="CY25" s="1391" t="s">
        <v>2995</v>
      </c>
      <c r="CZ25" s="1113" t="s">
        <v>155</v>
      </c>
      <c r="DA25" s="1391" t="s">
        <v>2995</v>
      </c>
      <c r="DB25" s="1113" t="s">
        <v>155</v>
      </c>
      <c r="DC25" s="1391" t="s">
        <v>2995</v>
      </c>
      <c r="DD25" s="1113" t="s">
        <v>155</v>
      </c>
      <c r="DE25" s="1391" t="s">
        <v>2995</v>
      </c>
      <c r="DF25" s="1113" t="s">
        <v>155</v>
      </c>
      <c r="DG25" s="1391" t="s">
        <v>2995</v>
      </c>
      <c r="DH25" s="1962" t="s">
        <v>155</v>
      </c>
      <c r="DI25" s="1962" t="s">
        <v>2995</v>
      </c>
      <c r="DJ25" s="1962" t="s">
        <v>155</v>
      </c>
      <c r="DK25" s="1962" t="s">
        <v>2995</v>
      </c>
      <c r="DL25" s="1962" t="s">
        <v>155</v>
      </c>
      <c r="DM25" s="1962" t="s">
        <v>2995</v>
      </c>
      <c r="DN25" s="1962" t="s">
        <v>155</v>
      </c>
      <c r="DO25" s="1962" t="s">
        <v>2995</v>
      </c>
      <c r="DP25" s="1962" t="s">
        <v>155</v>
      </c>
      <c r="DQ25" s="1962" t="s">
        <v>2995</v>
      </c>
      <c r="DR25" s="1962" t="s">
        <v>155</v>
      </c>
      <c r="DS25" s="1962" t="s">
        <v>2995</v>
      </c>
      <c r="DT25" s="1962" t="s">
        <v>155</v>
      </c>
      <c r="DU25" s="1962" t="s">
        <v>2995</v>
      </c>
      <c r="DV25" s="1962" t="s">
        <v>155</v>
      </c>
      <c r="DW25" s="1962" t="s">
        <v>2995</v>
      </c>
      <c r="DX25" s="1962" t="s">
        <v>155</v>
      </c>
      <c r="DY25" s="1962" t="s">
        <v>2995</v>
      </c>
      <c r="DZ25" s="1962" t="s">
        <v>155</v>
      </c>
      <c r="EA25" s="1962" t="s">
        <v>2995</v>
      </c>
      <c r="EB25" s="1962" t="s">
        <v>155</v>
      </c>
      <c r="EC25" s="1962" t="s">
        <v>2995</v>
      </c>
      <c r="ED25" s="2911"/>
    </row>
    <row r="26" spans="1:137" ht="19.899999999999999" customHeight="1">
      <c r="A26" s="1114" t="s">
        <v>2257</v>
      </c>
      <c r="B26" s="1115">
        <v>21326.682102355</v>
      </c>
      <c r="C26" s="1115">
        <v>12206.423349385001</v>
      </c>
      <c r="D26" s="1115">
        <v>21660.473465005001</v>
      </c>
      <c r="E26" s="1115">
        <v>12501.982035655001</v>
      </c>
      <c r="F26" s="1115">
        <v>21790.705627815001</v>
      </c>
      <c r="G26" s="1115">
        <v>12490.660262834999</v>
      </c>
      <c r="H26" s="1115">
        <v>20586.610487645001</v>
      </c>
      <c r="I26" s="1115">
        <v>12169.275003045001</v>
      </c>
      <c r="J26" s="1115">
        <v>19940.056643234999</v>
      </c>
      <c r="K26" s="1115">
        <v>11648.261367335001</v>
      </c>
      <c r="L26" s="1115">
        <v>19949.349668735002</v>
      </c>
      <c r="M26" s="1115">
        <v>11463.3235201692</v>
      </c>
      <c r="N26" s="1115">
        <v>19381.768847374999</v>
      </c>
      <c r="O26" s="1115">
        <v>11036.2878269173</v>
      </c>
      <c r="P26" s="1115">
        <v>19367.366617525</v>
      </c>
      <c r="Q26" s="1115">
        <v>10743.1006522648</v>
      </c>
      <c r="R26" s="1115">
        <v>19569.724060205001</v>
      </c>
      <c r="S26" s="1115">
        <v>10927.6526748861</v>
      </c>
      <c r="T26" s="1115">
        <v>19377.425613980002</v>
      </c>
      <c r="U26" s="1115">
        <v>10434.665403832099</v>
      </c>
      <c r="V26" s="1115">
        <v>19407.537831900001</v>
      </c>
      <c r="W26" s="1115">
        <v>10422.3928430043</v>
      </c>
      <c r="X26" s="1115">
        <v>19312.724955720001</v>
      </c>
      <c r="Y26" s="1115">
        <v>10573.4087285038</v>
      </c>
      <c r="Z26" s="1115">
        <v>20722.939527580002</v>
      </c>
      <c r="AA26" s="1115">
        <v>11030.769439903001</v>
      </c>
      <c r="AB26" s="1115">
        <v>20292.943368155</v>
      </c>
      <c r="AC26" s="1115">
        <v>10712.110306279999</v>
      </c>
      <c r="AD26" s="1115">
        <v>20653.798704295001</v>
      </c>
      <c r="AE26" s="1115">
        <v>10710.416969100101</v>
      </c>
      <c r="AF26" s="1115">
        <v>21050.493444495001</v>
      </c>
      <c r="AG26" s="1115">
        <v>10750.4024524835</v>
      </c>
      <c r="AH26" s="1115">
        <v>21357.134023875002</v>
      </c>
      <c r="AI26" s="1115">
        <v>10582.401500763501</v>
      </c>
      <c r="AJ26" s="1115">
        <v>22065.495127664999</v>
      </c>
      <c r="AK26" s="1115">
        <v>10673.4431722478</v>
      </c>
      <c r="AL26" s="1115">
        <v>22125.043188644999</v>
      </c>
      <c r="AM26" s="1115">
        <v>10961.608304615</v>
      </c>
      <c r="AN26" s="1115">
        <v>22849.282289865001</v>
      </c>
      <c r="AO26" s="1115">
        <v>11579.7143857762</v>
      </c>
      <c r="AP26" s="1115">
        <v>22749.710369674802</v>
      </c>
      <c r="AQ26" s="1115">
        <v>11183.4897822448</v>
      </c>
      <c r="AR26" s="1115">
        <v>23650.040902735</v>
      </c>
      <c r="AS26" s="1115">
        <v>11684.851405920699</v>
      </c>
      <c r="AT26" s="1115">
        <v>24026.152705205401</v>
      </c>
      <c r="AU26" s="1115">
        <v>11860.455829340501</v>
      </c>
      <c r="AV26" s="1115">
        <v>24743.616630134999</v>
      </c>
      <c r="AW26" s="1115">
        <v>12142.504536013301</v>
      </c>
      <c r="AX26" s="1115">
        <v>26938.315908053999</v>
      </c>
      <c r="AY26" s="1115">
        <v>12827.630379693601</v>
      </c>
      <c r="AZ26" s="1115">
        <v>26954.0384782113</v>
      </c>
      <c r="BA26" s="1115">
        <v>13364.2384487786</v>
      </c>
      <c r="BB26" s="1115">
        <v>27055.5158204</v>
      </c>
      <c r="BC26" s="1115">
        <v>13439.468633738899</v>
      </c>
      <c r="BD26" s="1115">
        <v>28259.152839019102</v>
      </c>
      <c r="BE26" s="1115">
        <v>14033.8758462184</v>
      </c>
      <c r="BF26" s="1115">
        <v>28613.701051943499</v>
      </c>
      <c r="BG26" s="1115">
        <v>14097.6525655596</v>
      </c>
      <c r="BH26" s="1115">
        <v>29737.604667420899</v>
      </c>
      <c r="BI26" s="1115">
        <v>14631.4544308287</v>
      </c>
      <c r="BJ26" s="1115">
        <v>29982.0754501548</v>
      </c>
      <c r="BK26" s="1115">
        <v>14531.1770474982</v>
      </c>
      <c r="BL26" s="1115">
        <v>29600.539912042401</v>
      </c>
      <c r="BM26" s="1115">
        <v>14465.207010197901</v>
      </c>
      <c r="BN26" s="1115">
        <v>30437.2152682497</v>
      </c>
      <c r="BO26" s="1115">
        <v>14535.6146543376</v>
      </c>
      <c r="BP26" s="1115">
        <v>31373.681937013302</v>
      </c>
      <c r="BQ26" s="1115">
        <v>14895.707788242</v>
      </c>
      <c r="BR26" s="1115">
        <v>32192.095291781199</v>
      </c>
      <c r="BS26" s="1115">
        <v>14994.2902785162</v>
      </c>
      <c r="BT26" s="1115">
        <v>32860.857928113801</v>
      </c>
      <c r="BU26" s="1115">
        <v>15627.4790304907</v>
      </c>
      <c r="BV26" s="1115">
        <v>33762.562900746503</v>
      </c>
      <c r="BW26" s="1115">
        <v>15893.300352092299</v>
      </c>
      <c r="BX26" s="1115">
        <v>32968.760235367903</v>
      </c>
      <c r="BY26" s="1115">
        <v>15674.155936970001</v>
      </c>
      <c r="BZ26" s="1115">
        <v>32560.809615864</v>
      </c>
      <c r="CA26" s="1115">
        <v>15550.1986023102</v>
      </c>
      <c r="CB26" s="1115">
        <v>31933.185341749999</v>
      </c>
      <c r="CC26" s="1396">
        <v>14289.7679359501</v>
      </c>
      <c r="CD26" s="1396">
        <v>32366.92196896</v>
      </c>
      <c r="CE26" s="1396">
        <v>14451.33542093</v>
      </c>
      <c r="CF26" s="1115">
        <v>32678.744620510999</v>
      </c>
      <c r="CG26" s="1396">
        <v>14507.418817354601</v>
      </c>
      <c r="CH26" s="1396">
        <v>32056.7139322806</v>
      </c>
      <c r="CI26" s="1396">
        <v>13356.255721543899</v>
      </c>
      <c r="CJ26" s="1115">
        <v>31841.103618010002</v>
      </c>
      <c r="CK26" s="1396">
        <v>12853.7319246635</v>
      </c>
      <c r="CL26" s="1115">
        <v>31998.689850999999</v>
      </c>
      <c r="CM26" s="1396">
        <v>12554.4548352805</v>
      </c>
      <c r="CN26" s="1396">
        <v>32174.24504365</v>
      </c>
      <c r="CO26" s="1396">
        <v>12303.9899109817</v>
      </c>
      <c r="CP26" s="1115">
        <v>33081.901325480001</v>
      </c>
      <c r="CQ26" s="1396">
        <v>13148.2701235943</v>
      </c>
      <c r="CR26" s="1396">
        <v>33225.739510439998</v>
      </c>
      <c r="CS26" s="1396">
        <v>12628.463498507699</v>
      </c>
      <c r="CT26" s="1115">
        <v>34550.080116010002</v>
      </c>
      <c r="CU26" s="1396">
        <v>13278.111602475101</v>
      </c>
      <c r="CV26" s="1115">
        <v>34995.408944214498</v>
      </c>
      <c r="CW26" s="1396">
        <v>14104.522084213701</v>
      </c>
      <c r="CX26" s="1115">
        <v>34959.32922598</v>
      </c>
      <c r="CY26" s="1396">
        <v>13585.8956284747</v>
      </c>
      <c r="CZ26" s="1115">
        <v>34812.780260170002</v>
      </c>
      <c r="DA26" s="1396">
        <v>13782.251695982301</v>
      </c>
      <c r="DB26" s="1115">
        <v>35361.128396929998</v>
      </c>
      <c r="DC26" s="1396">
        <v>14389.2339966744</v>
      </c>
      <c r="DD26" s="1396">
        <v>34835.217896943599</v>
      </c>
      <c r="DE26" s="1396">
        <v>13779.970917263499</v>
      </c>
      <c r="DF26" s="1115">
        <v>35185.008938997402</v>
      </c>
      <c r="DG26" s="1396">
        <v>13619.9053152222</v>
      </c>
      <c r="DH26" s="1115">
        <v>34381.346759280001</v>
      </c>
      <c r="DI26" s="1115">
        <v>13120.212921652001</v>
      </c>
      <c r="DJ26" s="1115">
        <v>35003.897003550002</v>
      </c>
      <c r="DK26" s="1115">
        <v>13795.5904153501</v>
      </c>
      <c r="DL26" s="1115">
        <v>36058.899709500001</v>
      </c>
      <c r="DM26" s="1115">
        <v>14026.8973999589</v>
      </c>
      <c r="DN26" s="1115">
        <v>34373.8624079</v>
      </c>
      <c r="DO26" s="1115">
        <v>13570.3899206326</v>
      </c>
      <c r="DP26" s="1115">
        <v>35191.957082590001</v>
      </c>
      <c r="DQ26" s="1115">
        <v>13893.9450245221</v>
      </c>
      <c r="DR26" s="1115">
        <v>37696.576788179998</v>
      </c>
      <c r="DS26" s="1115">
        <v>14147.012508011299</v>
      </c>
      <c r="DT26" s="1115">
        <v>36960.955486059996</v>
      </c>
      <c r="DU26" s="1115">
        <v>15063.3198247075</v>
      </c>
      <c r="DV26" s="1115">
        <v>37837.042063314402</v>
      </c>
      <c r="DW26" s="1115">
        <v>15503.9360123525</v>
      </c>
      <c r="DX26" s="1115">
        <v>37293.08247945</v>
      </c>
      <c r="DY26" s="1115">
        <v>15409.0419400099</v>
      </c>
      <c r="DZ26" s="1115">
        <v>36747.506575910003</v>
      </c>
      <c r="EA26" s="1115">
        <v>15323.4799639962</v>
      </c>
      <c r="EB26" s="1115">
        <v>38179.342080609997</v>
      </c>
      <c r="EC26" s="1115">
        <v>16681.567928164499</v>
      </c>
      <c r="ED26" s="1114" t="s">
        <v>3589</v>
      </c>
      <c r="EE26" s="1477"/>
      <c r="EF26" s="1101"/>
      <c r="EG26" s="1142"/>
    </row>
    <row r="27" spans="1:137" ht="19.899999999999999" customHeight="1">
      <c r="A27" s="1104" t="s">
        <v>2256</v>
      </c>
      <c r="B27" s="1106">
        <v>8507.9661916500008</v>
      </c>
      <c r="C27" s="1106">
        <v>4486.0544129500004</v>
      </c>
      <c r="D27" s="1106">
        <v>8425.0119079699998</v>
      </c>
      <c r="E27" s="1106">
        <v>4367.11187832</v>
      </c>
      <c r="F27" s="1106">
        <v>8571.981684549999</v>
      </c>
      <c r="G27" s="1106">
        <v>4549.6280764000003</v>
      </c>
      <c r="H27" s="1106">
        <v>8158.7243008499991</v>
      </c>
      <c r="I27" s="1106">
        <v>4526.7130002600006</v>
      </c>
      <c r="J27" s="1106">
        <v>7657.5636028499903</v>
      </c>
      <c r="K27" s="1106">
        <v>4252.4612538199999</v>
      </c>
      <c r="L27" s="1106">
        <v>7551.0428301499996</v>
      </c>
      <c r="M27" s="1106">
        <v>4106.6702645483401</v>
      </c>
      <c r="N27" s="1106">
        <v>7592.3477487700002</v>
      </c>
      <c r="O27" s="1106">
        <v>4129.9709945102604</v>
      </c>
      <c r="P27" s="1106">
        <v>7675.4436402899992</v>
      </c>
      <c r="Q27" s="1106">
        <v>4067.07445412176</v>
      </c>
      <c r="R27" s="1106">
        <v>7763.7258724999992</v>
      </c>
      <c r="S27" s="1106">
        <v>4273.5706767087195</v>
      </c>
      <c r="T27" s="1106">
        <v>7716.0314098600002</v>
      </c>
      <c r="U27" s="1106">
        <v>4203.9365644755298</v>
      </c>
      <c r="V27" s="1106">
        <v>7760.6720044699996</v>
      </c>
      <c r="W27" s="1106">
        <v>4156.6368707422598</v>
      </c>
      <c r="X27" s="1106">
        <v>7797.8231756599907</v>
      </c>
      <c r="Y27" s="1106">
        <v>4148.2632922815001</v>
      </c>
      <c r="Z27" s="1106">
        <v>8044.6634494699993</v>
      </c>
      <c r="AA27" s="1106">
        <v>4130.2778696697296</v>
      </c>
      <c r="AB27" s="1106">
        <v>8083.9919509199999</v>
      </c>
      <c r="AC27" s="1106">
        <v>4140.2237829224705</v>
      </c>
      <c r="AD27" s="1106">
        <v>8247.5165492699998</v>
      </c>
      <c r="AE27" s="1106">
        <v>4181.0871245256894</v>
      </c>
      <c r="AF27" s="1106">
        <v>8012.7626280799996</v>
      </c>
      <c r="AG27" s="1106">
        <v>4080.7633278785102</v>
      </c>
      <c r="AH27" s="1106">
        <v>8219.9180516699998</v>
      </c>
      <c r="AI27" s="1106">
        <v>4047.4006464884897</v>
      </c>
      <c r="AJ27" s="1106">
        <v>8478.035226420001</v>
      </c>
      <c r="AK27" s="1106">
        <v>3869.5815576628302</v>
      </c>
      <c r="AL27" s="1106">
        <v>8270.6716737200004</v>
      </c>
      <c r="AM27" s="1106">
        <v>3828.0251335100002</v>
      </c>
      <c r="AN27" s="1106">
        <v>8439.4801630000002</v>
      </c>
      <c r="AO27" s="1106">
        <v>3819.6880278911794</v>
      </c>
      <c r="AP27" s="1106">
        <v>8400.1808412397895</v>
      </c>
      <c r="AQ27" s="1106">
        <v>3804.2124958197901</v>
      </c>
      <c r="AR27" s="1106">
        <v>8663.6280245599992</v>
      </c>
      <c r="AS27" s="1106">
        <v>3831.3558314342299</v>
      </c>
      <c r="AT27" s="1106">
        <v>8713.8264041303992</v>
      </c>
      <c r="AU27" s="1106">
        <v>3822.2773082717899</v>
      </c>
      <c r="AV27" s="1106">
        <v>8880.9196912400002</v>
      </c>
      <c r="AW27" s="1106">
        <v>3774.94315531948</v>
      </c>
      <c r="AX27" s="1106">
        <v>9032.4343592139503</v>
      </c>
      <c r="AY27" s="1106">
        <v>3765.4688264242905</v>
      </c>
      <c r="AZ27" s="1106">
        <v>9456.8728554912996</v>
      </c>
      <c r="BA27" s="1106">
        <v>3765.3077951691198</v>
      </c>
      <c r="BB27" s="1106">
        <v>9869.7287334299999</v>
      </c>
      <c r="BC27" s="1106">
        <v>4032.62235523872</v>
      </c>
      <c r="BD27" s="1106">
        <v>10200.770097725079</v>
      </c>
      <c r="BE27" s="1106">
        <v>4364.5279128458096</v>
      </c>
      <c r="BF27" s="1106">
        <v>10340.441990019521</v>
      </c>
      <c r="BG27" s="1106">
        <v>4145.3469300618099</v>
      </c>
      <c r="BH27" s="1106">
        <v>10388.957972849999</v>
      </c>
      <c r="BI27" s="1106">
        <v>4336.0891332399997</v>
      </c>
      <c r="BJ27" s="1106">
        <v>10378.57864829</v>
      </c>
      <c r="BK27" s="1106">
        <v>4233.7704299502202</v>
      </c>
      <c r="BL27" s="1106">
        <v>10605.50772667511</v>
      </c>
      <c r="BM27" s="1106">
        <v>4284.6138262262502</v>
      </c>
      <c r="BN27" s="1106">
        <v>10631.982555091399</v>
      </c>
      <c r="BO27" s="1106">
        <v>4284.0933153640799</v>
      </c>
      <c r="BP27" s="1106">
        <v>10993.00100432703</v>
      </c>
      <c r="BQ27" s="1106">
        <v>4374.3071655334998</v>
      </c>
      <c r="BR27" s="1106">
        <v>11256.57910438718</v>
      </c>
      <c r="BS27" s="1106">
        <v>4409.4683538424797</v>
      </c>
      <c r="BT27" s="1106">
        <v>11339.89209504674</v>
      </c>
      <c r="BU27" s="1106">
        <v>4474.2164876267398</v>
      </c>
      <c r="BV27" s="1106">
        <v>11482.954058515301</v>
      </c>
      <c r="BW27" s="1106">
        <v>4568.8829403788495</v>
      </c>
      <c r="BX27" s="1106">
        <v>11686.75474631</v>
      </c>
      <c r="BY27" s="1106">
        <v>4595.9067602599998</v>
      </c>
      <c r="BZ27" s="1106">
        <v>11653.923635339999</v>
      </c>
      <c r="CA27" s="1106">
        <v>4570.7468919622797</v>
      </c>
      <c r="CB27" s="1106">
        <v>11719.45163123</v>
      </c>
      <c r="CC27" s="1393">
        <v>4533.9901328769902</v>
      </c>
      <c r="CD27" s="1393">
        <v>11955.43092742</v>
      </c>
      <c r="CE27" s="1393">
        <v>4511.4810946899997</v>
      </c>
      <c r="CF27" s="1106">
        <v>12142.99951345</v>
      </c>
      <c r="CG27" s="1393">
        <v>4671.6808838146198</v>
      </c>
      <c r="CH27" s="1393">
        <v>12472.5061308776</v>
      </c>
      <c r="CI27" s="1393">
        <v>4628.11005617091</v>
      </c>
      <c r="CJ27" s="1106">
        <v>12429.34306207</v>
      </c>
      <c r="CK27" s="1393">
        <v>4594.0430889220697</v>
      </c>
      <c r="CL27" s="1106">
        <v>12275.991355530001</v>
      </c>
      <c r="CM27" s="1393">
        <v>4528.7148786605603</v>
      </c>
      <c r="CN27" s="1393">
        <v>12418.427660969999</v>
      </c>
      <c r="CO27" s="1393">
        <v>4422.7094264916896</v>
      </c>
      <c r="CP27" s="1106">
        <v>12271.147393740001</v>
      </c>
      <c r="CQ27" s="1393">
        <v>4392.6634605930303</v>
      </c>
      <c r="CR27" s="1393">
        <v>12253.54616944</v>
      </c>
      <c r="CS27" s="1393">
        <v>4259.7200856976497</v>
      </c>
      <c r="CT27" s="1106">
        <v>12582.168386130001</v>
      </c>
      <c r="CU27" s="1393">
        <v>4271.1964002016502</v>
      </c>
      <c r="CV27" s="1106">
        <v>12831.2376878</v>
      </c>
      <c r="CW27" s="1393">
        <v>4555.5993108642697</v>
      </c>
      <c r="CX27" s="1106">
        <v>13003.61020762</v>
      </c>
      <c r="CY27" s="1393">
        <v>4655.3645736526996</v>
      </c>
      <c r="CZ27" s="1106">
        <v>12868.519788649999</v>
      </c>
      <c r="DA27" s="1393">
        <v>4588.1140903944897</v>
      </c>
      <c r="DB27" s="1106">
        <v>13210.362929839999</v>
      </c>
      <c r="DC27" s="1393">
        <v>4592.6440760260302</v>
      </c>
      <c r="DD27" s="1393">
        <v>13399.5151021036</v>
      </c>
      <c r="DE27" s="1393">
        <v>4714.8812945435102</v>
      </c>
      <c r="DF27" s="1106">
        <v>13880.25798988</v>
      </c>
      <c r="DG27" s="1393">
        <v>4779.8424596695704</v>
      </c>
      <c r="DH27" s="1106">
        <v>13661.02702159</v>
      </c>
      <c r="DI27" s="1106">
        <v>4679.3276024420102</v>
      </c>
      <c r="DJ27" s="1106">
        <v>13891.80374684</v>
      </c>
      <c r="DK27" s="1106">
        <v>4781.6527548501499</v>
      </c>
      <c r="DL27" s="1106">
        <v>13849.10416424</v>
      </c>
      <c r="DM27" s="1106">
        <v>4785.9991815077001</v>
      </c>
      <c r="DN27" s="1106">
        <v>13969.52878362</v>
      </c>
      <c r="DO27" s="1106">
        <v>4753.1444008935596</v>
      </c>
      <c r="DP27" s="1106">
        <v>13859.878145369999</v>
      </c>
      <c r="DQ27" s="1106">
        <v>4825.1160274420499</v>
      </c>
      <c r="DR27" s="1106">
        <v>14299.093513350001</v>
      </c>
      <c r="DS27" s="1106">
        <v>4899.0294030003997</v>
      </c>
      <c r="DT27" s="1106">
        <v>14385.417604050001</v>
      </c>
      <c r="DU27" s="1106">
        <v>4888.3848200788798</v>
      </c>
      <c r="DV27" s="1106">
        <v>14525.3550746643</v>
      </c>
      <c r="DW27" s="1106">
        <v>4876.1147309624002</v>
      </c>
      <c r="DX27" s="1106">
        <v>14744.062806829999</v>
      </c>
      <c r="DY27" s="1106">
        <v>4959.0322299988202</v>
      </c>
      <c r="DZ27" s="1106">
        <v>14547.922594690001</v>
      </c>
      <c r="EA27" s="1106">
        <v>4902.7962373862101</v>
      </c>
      <c r="EB27" s="1106">
        <v>14734.247636440001</v>
      </c>
      <c r="EC27" s="1106">
        <v>4899.1585646907997</v>
      </c>
      <c r="ED27" s="1104" t="s">
        <v>3590</v>
      </c>
      <c r="EE27" s="1958"/>
      <c r="EF27" s="1101"/>
      <c r="EG27" s="1142"/>
    </row>
    <row r="28" spans="1:137" ht="19.899999999999999" customHeight="1">
      <c r="A28" s="1104" t="s">
        <v>2255</v>
      </c>
      <c r="B28" s="1106">
        <v>5658.6364632955401</v>
      </c>
      <c r="C28" s="1106">
        <v>3101.3466812255401</v>
      </c>
      <c r="D28" s="1106">
        <v>5636.0755152274496</v>
      </c>
      <c r="E28" s="1106">
        <v>3012.14752427745</v>
      </c>
      <c r="F28" s="1106">
        <v>5578.04240606847</v>
      </c>
      <c r="G28" s="1106">
        <v>2957.8504355484702</v>
      </c>
      <c r="H28" s="1106">
        <v>5415.8776676592297</v>
      </c>
      <c r="I28" s="1106">
        <v>3053.1510260792302</v>
      </c>
      <c r="J28" s="1106">
        <v>4899.2239992077903</v>
      </c>
      <c r="K28" s="1106">
        <v>2834.7912728378001</v>
      </c>
      <c r="L28" s="1106">
        <v>4675.7654578771098</v>
      </c>
      <c r="M28" s="1106">
        <v>2770.5241486026198</v>
      </c>
      <c r="N28" s="1106">
        <v>4670.1055015066204</v>
      </c>
      <c r="O28" s="1106">
        <v>2752.64901065916</v>
      </c>
      <c r="P28" s="1106">
        <v>4697.2526127053297</v>
      </c>
      <c r="Q28" s="1106">
        <v>2666.36757907938</v>
      </c>
      <c r="R28" s="1106">
        <v>4953.9521524070096</v>
      </c>
      <c r="S28" s="1106">
        <v>2862.15727309574</v>
      </c>
      <c r="T28" s="1106">
        <v>4894.7348306304702</v>
      </c>
      <c r="U28" s="1106">
        <v>2797.2750865362</v>
      </c>
      <c r="V28" s="1106">
        <v>4874.7295025118401</v>
      </c>
      <c r="W28" s="1106">
        <v>2781.84826629912</v>
      </c>
      <c r="X28" s="1106">
        <v>4760.8359977397304</v>
      </c>
      <c r="Y28" s="1106">
        <v>2681.4078408784499</v>
      </c>
      <c r="Z28" s="1106">
        <v>4789.2452372411599</v>
      </c>
      <c r="AA28" s="1106">
        <v>2651.2523601488801</v>
      </c>
      <c r="AB28" s="1106">
        <v>4756.8735388277501</v>
      </c>
      <c r="AC28" s="1106">
        <v>2581.0710465910602</v>
      </c>
      <c r="AD28" s="1106">
        <v>4784.8133582194796</v>
      </c>
      <c r="AE28" s="1106">
        <v>2559.7618265855099</v>
      </c>
      <c r="AF28" s="1106">
        <v>4805.9520057207101</v>
      </c>
      <c r="AG28" s="1106">
        <v>2499.7372854792202</v>
      </c>
      <c r="AH28" s="1106">
        <v>4900.0844712032904</v>
      </c>
      <c r="AI28" s="1106">
        <v>2479.7215357117798</v>
      </c>
      <c r="AJ28" s="1106">
        <v>4981.2711391236699</v>
      </c>
      <c r="AK28" s="1106">
        <v>2499.2712871065</v>
      </c>
      <c r="AL28" s="1106">
        <v>5007.2120268307799</v>
      </c>
      <c r="AM28" s="1106">
        <v>2466.6824688107799</v>
      </c>
      <c r="AN28" s="1106">
        <v>5089.4609964806896</v>
      </c>
      <c r="AO28" s="1106">
        <v>2458.6869742918698</v>
      </c>
      <c r="AP28" s="1106">
        <v>5167.5324045123998</v>
      </c>
      <c r="AQ28" s="1106">
        <v>2466.7911414924001</v>
      </c>
      <c r="AR28" s="1106">
        <v>5237.9675451324601</v>
      </c>
      <c r="AS28" s="1106">
        <v>2445.4128843124599</v>
      </c>
      <c r="AT28" s="1106">
        <v>5260.771494177</v>
      </c>
      <c r="AU28" s="1106">
        <v>2404.13771542208</v>
      </c>
      <c r="AV28" s="1106">
        <v>5267.678796018</v>
      </c>
      <c r="AW28" s="1106">
        <v>2374.4785728099</v>
      </c>
      <c r="AX28" s="1106">
        <v>5339.0398734929504</v>
      </c>
      <c r="AY28" s="1106">
        <v>2380.8110381625702</v>
      </c>
      <c r="AZ28" s="1106">
        <v>5391.4378529303003</v>
      </c>
      <c r="BA28" s="1106">
        <v>2390.3481385702999</v>
      </c>
      <c r="BB28" s="1106">
        <v>5426.5532741280003</v>
      </c>
      <c r="BC28" s="1106">
        <v>2370.0736807032999</v>
      </c>
      <c r="BD28" s="1106">
        <v>5501.5926134696701</v>
      </c>
      <c r="BE28" s="1106">
        <v>2423.9236082678199</v>
      </c>
      <c r="BF28" s="1106">
        <v>5575.4546336834401</v>
      </c>
      <c r="BG28" s="1106">
        <v>2412.4923879994799</v>
      </c>
      <c r="BH28" s="1106">
        <v>5658.1501285470003</v>
      </c>
      <c r="BI28" s="1106">
        <v>2419.5385666369998</v>
      </c>
      <c r="BJ28" s="1106">
        <v>5736.3621133790002</v>
      </c>
      <c r="BK28" s="1106">
        <v>2400.6560975389998</v>
      </c>
      <c r="BL28" s="1106">
        <v>5814.8316768921104</v>
      </c>
      <c r="BM28" s="1106">
        <v>2405.6351858070302</v>
      </c>
      <c r="BN28" s="1106">
        <v>5880.0165887554003</v>
      </c>
      <c r="BO28" s="1106">
        <v>2381.9161691477598</v>
      </c>
      <c r="BP28" s="1106">
        <v>5964.2026268640302</v>
      </c>
      <c r="BQ28" s="1106">
        <v>2390.0988637978799</v>
      </c>
      <c r="BR28" s="1106">
        <v>5973.9945534448098</v>
      </c>
      <c r="BS28" s="1106">
        <v>2340.7853844801102</v>
      </c>
      <c r="BT28" s="1106">
        <v>6058.0030830406204</v>
      </c>
      <c r="BU28" s="1106">
        <v>2372.96273323062</v>
      </c>
      <c r="BV28" s="1106">
        <v>6204.0822370750002</v>
      </c>
      <c r="BW28" s="1106">
        <v>2418.190791855</v>
      </c>
      <c r="BX28" s="1106">
        <v>6196.2918759479999</v>
      </c>
      <c r="BY28" s="1106">
        <v>2327.7845687079998</v>
      </c>
      <c r="BZ28" s="1106">
        <v>6336.0719709080004</v>
      </c>
      <c r="CA28" s="1106">
        <v>2464.4481205975799</v>
      </c>
      <c r="CB28" s="1106">
        <v>6311.4585102450001</v>
      </c>
      <c r="CC28" s="1393">
        <v>2406.9501258149999</v>
      </c>
      <c r="CD28" s="1393">
        <v>6376.2080115950002</v>
      </c>
      <c r="CE28" s="1393">
        <v>2422.3224269249999</v>
      </c>
      <c r="CF28" s="1106">
        <v>6454.0134113249997</v>
      </c>
      <c r="CG28" s="1393">
        <v>2408.9654444396201</v>
      </c>
      <c r="CH28" s="1393">
        <v>6595.5416784551298</v>
      </c>
      <c r="CI28" s="1393">
        <v>2431.08388114847</v>
      </c>
      <c r="CJ28" s="1106">
        <v>6645.6260492310003</v>
      </c>
      <c r="CK28" s="1393">
        <v>2415.54030014417</v>
      </c>
      <c r="CL28" s="1106">
        <v>6691.5127939029999</v>
      </c>
      <c r="CM28" s="1393">
        <v>2395.3388395521802</v>
      </c>
      <c r="CN28" s="1393">
        <v>6745.3674408930001</v>
      </c>
      <c r="CO28" s="1393">
        <v>2377.9447602846799</v>
      </c>
      <c r="CP28" s="1106">
        <v>6597.7447482500002</v>
      </c>
      <c r="CQ28" s="1393">
        <v>2344.73053729</v>
      </c>
      <c r="CR28" s="1393">
        <v>6736.5456473300001</v>
      </c>
      <c r="CS28" s="1393">
        <v>2356.8446933376499</v>
      </c>
      <c r="CT28" s="1106">
        <v>6882.0549302299996</v>
      </c>
      <c r="CU28" s="1393">
        <v>2360.5934122138901</v>
      </c>
      <c r="CV28" s="1106">
        <v>7113.21038804</v>
      </c>
      <c r="CW28" s="1393">
        <v>2482.4885045917899</v>
      </c>
      <c r="CX28" s="1106">
        <v>7174.2242221099996</v>
      </c>
      <c r="CY28" s="1393">
        <v>2495.0188347517801</v>
      </c>
      <c r="CZ28" s="1106">
        <v>7226.6625527799997</v>
      </c>
      <c r="DA28" s="1393">
        <v>2511.7049256627201</v>
      </c>
      <c r="DB28" s="1106">
        <v>7414.09781656</v>
      </c>
      <c r="DC28" s="1393">
        <v>2545.2779046238802</v>
      </c>
      <c r="DD28" s="1393">
        <v>7625.45866965</v>
      </c>
      <c r="DE28" s="1393">
        <v>2650.4697476435099</v>
      </c>
      <c r="DF28" s="1106">
        <v>7750.6270980899999</v>
      </c>
      <c r="DG28" s="1393">
        <v>2752.9983393795701</v>
      </c>
      <c r="DH28" s="1106">
        <v>8067.6597960099998</v>
      </c>
      <c r="DI28" s="1106">
        <v>2786.2716615220102</v>
      </c>
      <c r="DJ28" s="1106">
        <v>8215.48434026</v>
      </c>
      <c r="DK28" s="1106">
        <v>2846.6332583601502</v>
      </c>
      <c r="DL28" s="1106">
        <v>8242.7756749599994</v>
      </c>
      <c r="DM28" s="1106">
        <v>2871.0064533612999</v>
      </c>
      <c r="DN28" s="1106">
        <v>8314.7993405500001</v>
      </c>
      <c r="DO28" s="1106">
        <v>2867.8671537095602</v>
      </c>
      <c r="DP28" s="1106">
        <v>8371.3908408299994</v>
      </c>
      <c r="DQ28" s="1106">
        <v>2904.6249632920499</v>
      </c>
      <c r="DR28" s="1106">
        <v>8600.8335662900008</v>
      </c>
      <c r="DS28" s="1106">
        <v>3020.6948322203998</v>
      </c>
      <c r="DT28" s="1106">
        <v>8746.8197070599999</v>
      </c>
      <c r="DU28" s="1106">
        <v>3039.95807076854</v>
      </c>
      <c r="DV28" s="1106">
        <v>8804.6199594499994</v>
      </c>
      <c r="DW28" s="1106">
        <v>3063.4934648580502</v>
      </c>
      <c r="DX28" s="1106">
        <v>9009.34797162</v>
      </c>
      <c r="DY28" s="1106">
        <v>3130.31078654882</v>
      </c>
      <c r="DZ28" s="1106">
        <v>9135.7486602099998</v>
      </c>
      <c r="EA28" s="1106">
        <v>3133.74262705621</v>
      </c>
      <c r="EB28" s="1106">
        <v>9198.4813601599999</v>
      </c>
      <c r="EC28" s="1106">
        <v>3086.7628341968102</v>
      </c>
      <c r="ED28" s="1104" t="s">
        <v>3591</v>
      </c>
      <c r="EF28" s="1101"/>
      <c r="EG28" s="1142"/>
    </row>
    <row r="29" spans="1:137" ht="19.899999999999999" customHeight="1">
      <c r="A29" s="1104" t="s">
        <v>2254</v>
      </c>
      <c r="B29" s="1106">
        <v>2849.3297283544598</v>
      </c>
      <c r="C29" s="1106">
        <v>1384.70773172446</v>
      </c>
      <c r="D29" s="1106">
        <v>2788.9363927425502</v>
      </c>
      <c r="E29" s="1106">
        <v>1354.96435404255</v>
      </c>
      <c r="F29" s="1106">
        <v>2993.93927848153</v>
      </c>
      <c r="G29" s="1106">
        <v>1591.7776408515299</v>
      </c>
      <c r="H29" s="1106">
        <v>2742.8466331907698</v>
      </c>
      <c r="I29" s="1106">
        <v>1473.56197418077</v>
      </c>
      <c r="J29" s="1106">
        <v>2758.3396036422</v>
      </c>
      <c r="K29" s="1106">
        <v>1417.6699809822001</v>
      </c>
      <c r="L29" s="1106">
        <v>2875.2773722728898</v>
      </c>
      <c r="M29" s="1106">
        <v>1336.1461159457201</v>
      </c>
      <c r="N29" s="1106">
        <v>2922.2422472633798</v>
      </c>
      <c r="O29" s="1106">
        <v>1377.3219838511</v>
      </c>
      <c r="P29" s="1106">
        <v>2978.1910275846699</v>
      </c>
      <c r="Q29" s="1106">
        <v>1400.70687504238</v>
      </c>
      <c r="R29" s="1106">
        <v>2809.7737200929901</v>
      </c>
      <c r="S29" s="1106">
        <v>1411.4134036129799</v>
      </c>
      <c r="T29" s="1106">
        <v>2821.2965792295299</v>
      </c>
      <c r="U29" s="1106">
        <v>1406.6614779393301</v>
      </c>
      <c r="V29" s="1106">
        <v>2885.9425019581599</v>
      </c>
      <c r="W29" s="1106">
        <v>1374.78860444314</v>
      </c>
      <c r="X29" s="1106">
        <v>3036.9871779202599</v>
      </c>
      <c r="Y29" s="1106">
        <v>1466.85545140305</v>
      </c>
      <c r="Z29" s="1106">
        <v>3255.4182122288398</v>
      </c>
      <c r="AA29" s="1106">
        <v>1479.0255095208499</v>
      </c>
      <c r="AB29" s="1106">
        <v>3327.1184120922499</v>
      </c>
      <c r="AC29" s="1106">
        <v>1559.1527363314101</v>
      </c>
      <c r="AD29" s="1106">
        <v>3462.7031910505202</v>
      </c>
      <c r="AE29" s="1106">
        <v>1621.32529794018</v>
      </c>
      <c r="AF29" s="1106">
        <v>3206.8106223592899</v>
      </c>
      <c r="AG29" s="1106">
        <v>1581.02604239929</v>
      </c>
      <c r="AH29" s="1106">
        <v>3319.8335804667099</v>
      </c>
      <c r="AI29" s="1106">
        <v>1567.6791107767101</v>
      </c>
      <c r="AJ29" s="1106">
        <v>3496.7640872963302</v>
      </c>
      <c r="AK29" s="1106">
        <v>1370.3102705563299</v>
      </c>
      <c r="AL29" s="1106">
        <v>3263.45964688922</v>
      </c>
      <c r="AM29" s="1106">
        <v>1361.34266469922</v>
      </c>
      <c r="AN29" s="1106">
        <v>3350.0191665193101</v>
      </c>
      <c r="AO29" s="1106">
        <v>1361.0010535993099</v>
      </c>
      <c r="AP29" s="1106">
        <v>3232.6484367273902</v>
      </c>
      <c r="AQ29" s="1106">
        <v>1337.42135432739</v>
      </c>
      <c r="AR29" s="1106">
        <v>3425.6604794275399</v>
      </c>
      <c r="AS29" s="1106">
        <v>1385.94294712177</v>
      </c>
      <c r="AT29" s="1106">
        <v>3453.0549099534001</v>
      </c>
      <c r="AU29" s="1106">
        <v>1418.13959284971</v>
      </c>
      <c r="AV29" s="1106">
        <v>3613.2408952219998</v>
      </c>
      <c r="AW29" s="1106">
        <v>1400.4645825095799</v>
      </c>
      <c r="AX29" s="1106">
        <v>3693.3944857209999</v>
      </c>
      <c r="AY29" s="1106">
        <v>1384.65778826172</v>
      </c>
      <c r="AZ29" s="1106">
        <v>4065.4350025610001</v>
      </c>
      <c r="BA29" s="1106">
        <v>1374.9596565988199</v>
      </c>
      <c r="BB29" s="1106">
        <v>4443.1754593019996</v>
      </c>
      <c r="BC29" s="1106">
        <v>1662.5486745354201</v>
      </c>
      <c r="BD29" s="1106">
        <v>4699.1774842554096</v>
      </c>
      <c r="BE29" s="1106">
        <v>1940.60430457799</v>
      </c>
      <c r="BF29" s="1106">
        <v>4764.9873563360798</v>
      </c>
      <c r="BG29" s="1106">
        <v>1732.85454206233</v>
      </c>
      <c r="BH29" s="1106">
        <v>4730.8078443029999</v>
      </c>
      <c r="BI29" s="1106">
        <v>1916.5505666030001</v>
      </c>
      <c r="BJ29" s="1106">
        <v>4642.2165349110001</v>
      </c>
      <c r="BK29" s="1106">
        <v>1833.1143324112199</v>
      </c>
      <c r="BL29" s="1106">
        <v>4790.6760497830001</v>
      </c>
      <c r="BM29" s="1106">
        <v>1878.97864041922</v>
      </c>
      <c r="BN29" s="1106">
        <v>4751.9659663359998</v>
      </c>
      <c r="BO29" s="1106">
        <v>1902.1771462163199</v>
      </c>
      <c r="BP29" s="1106">
        <v>5028.7983774630002</v>
      </c>
      <c r="BQ29" s="1106">
        <v>1984.2083017356199</v>
      </c>
      <c r="BR29" s="1106">
        <v>5282.5845509423698</v>
      </c>
      <c r="BS29" s="1106">
        <v>2068.6829693623699</v>
      </c>
      <c r="BT29" s="1106">
        <v>5281.8890120061196</v>
      </c>
      <c r="BU29" s="1106">
        <v>2101.2537543961198</v>
      </c>
      <c r="BV29" s="1106">
        <v>5278.8618214402604</v>
      </c>
      <c r="BW29" s="1106">
        <v>2150.6921485238499</v>
      </c>
      <c r="BX29" s="1106">
        <v>5490.4428703619997</v>
      </c>
      <c r="BY29" s="1106">
        <v>2268.122191552</v>
      </c>
      <c r="BZ29" s="1106">
        <v>5317.8416644319996</v>
      </c>
      <c r="CA29" s="1106">
        <v>2106.2987713646999</v>
      </c>
      <c r="CB29" s="1106">
        <v>5408.0031209850004</v>
      </c>
      <c r="CC29" s="1393">
        <v>2127.0400070619899</v>
      </c>
      <c r="CD29" s="1393">
        <v>5579.2229158250002</v>
      </c>
      <c r="CE29" s="1393">
        <v>2089.1586677649998</v>
      </c>
      <c r="CF29" s="1106">
        <v>5688.9861021249999</v>
      </c>
      <c r="CG29" s="1393">
        <v>2262.7154393750002</v>
      </c>
      <c r="CH29" s="1393">
        <v>5876.9644524224404</v>
      </c>
      <c r="CI29" s="1393">
        <v>2197.0261750224399</v>
      </c>
      <c r="CJ29" s="1106">
        <v>5783.7170128389998</v>
      </c>
      <c r="CK29" s="1393">
        <v>2178.5027887778901</v>
      </c>
      <c r="CL29" s="1106">
        <v>5584.4785616270001</v>
      </c>
      <c r="CM29" s="1393">
        <v>2133.3760391083802</v>
      </c>
      <c r="CN29" s="1393">
        <v>5673.0402200770004</v>
      </c>
      <c r="CO29" s="1393">
        <v>2044.7646662069999</v>
      </c>
      <c r="CP29" s="1106">
        <v>5673.4026454900004</v>
      </c>
      <c r="CQ29" s="1393">
        <v>2047.9329233030301</v>
      </c>
      <c r="CR29" s="1393">
        <v>5516.9805221099996</v>
      </c>
      <c r="CS29" s="1393">
        <v>1902.87539236</v>
      </c>
      <c r="CT29" s="1106">
        <v>5700.1134559000002</v>
      </c>
      <c r="CU29" s="1393">
        <v>1910.6029879877599</v>
      </c>
      <c r="CV29" s="1106">
        <v>5718.0272997599996</v>
      </c>
      <c r="CW29" s="1393">
        <v>2073.1108062724702</v>
      </c>
      <c r="CX29" s="1106">
        <v>5829.38598551</v>
      </c>
      <c r="CY29" s="1393">
        <v>2160.34573890092</v>
      </c>
      <c r="CZ29" s="1106">
        <v>5641.8572358700003</v>
      </c>
      <c r="DA29" s="1393">
        <v>2076.40916473177</v>
      </c>
      <c r="DB29" s="1106">
        <v>5796.2651132800002</v>
      </c>
      <c r="DC29" s="1393">
        <v>2047.36617140215</v>
      </c>
      <c r="DD29" s="1393">
        <v>5774.0564324536099</v>
      </c>
      <c r="DE29" s="1393">
        <v>2064.4115468999998</v>
      </c>
      <c r="DF29" s="1106">
        <v>6129.6308917899996</v>
      </c>
      <c r="DG29" s="1393">
        <v>2026.8441202900001</v>
      </c>
      <c r="DH29" s="1106">
        <v>5593.2672255799998</v>
      </c>
      <c r="DI29" s="1106">
        <v>1893.05594092</v>
      </c>
      <c r="DJ29" s="1106">
        <v>5676.3194065799998</v>
      </c>
      <c r="DK29" s="1106">
        <v>1935.0194964899999</v>
      </c>
      <c r="DL29" s="1106">
        <v>5606.3284892800002</v>
      </c>
      <c r="DM29" s="1106">
        <v>1914.9927281463999</v>
      </c>
      <c r="DN29" s="1106">
        <v>5654.7294430700003</v>
      </c>
      <c r="DO29" s="1106">
        <v>1885.2772471839901</v>
      </c>
      <c r="DP29" s="1106">
        <v>5488.48730454</v>
      </c>
      <c r="DQ29" s="1106">
        <v>1920.4910641500001</v>
      </c>
      <c r="DR29" s="1106">
        <v>5698.2599470599998</v>
      </c>
      <c r="DS29" s="1106">
        <v>1878.3345707799999</v>
      </c>
      <c r="DT29" s="1106">
        <v>5638.5978969899998</v>
      </c>
      <c r="DU29" s="1106">
        <v>1848.42674931034</v>
      </c>
      <c r="DV29" s="1106">
        <v>5720.7351152143501</v>
      </c>
      <c r="DW29" s="1106">
        <v>1812.6212661043501</v>
      </c>
      <c r="DX29" s="1106">
        <v>5734.7148352100003</v>
      </c>
      <c r="DY29" s="1106">
        <v>1828.7214434499999</v>
      </c>
      <c r="DZ29" s="1106">
        <v>5412.1739344799998</v>
      </c>
      <c r="EA29" s="1106">
        <v>1769.0536103300001</v>
      </c>
      <c r="EB29" s="1106">
        <v>5535.7662762800001</v>
      </c>
      <c r="EC29" s="1106">
        <v>1812.395730494</v>
      </c>
      <c r="ED29" s="1104" t="s">
        <v>3592</v>
      </c>
      <c r="EF29" s="1101"/>
      <c r="EG29" s="1142"/>
    </row>
    <row r="30" spans="1:137" ht="19.899999999999999" customHeight="1">
      <c r="A30" s="1104" t="s">
        <v>4320</v>
      </c>
      <c r="B30" s="1106">
        <v>12818.715910704999</v>
      </c>
      <c r="C30" s="1106">
        <v>7720.3689364350003</v>
      </c>
      <c r="D30" s="1106">
        <v>13235.461557035</v>
      </c>
      <c r="E30" s="1106">
        <v>8134.8701573350008</v>
      </c>
      <c r="F30" s="1106">
        <v>13218.723943265</v>
      </c>
      <c r="G30" s="1106">
        <v>7941.0321864349989</v>
      </c>
      <c r="H30" s="1106">
        <v>12427.886186795</v>
      </c>
      <c r="I30" s="1106">
        <v>7642.562002785</v>
      </c>
      <c r="J30" s="1106">
        <v>12282.493040384999</v>
      </c>
      <c r="K30" s="1106">
        <v>7395.8001135149998</v>
      </c>
      <c r="L30" s="1106">
        <v>12398.306838585</v>
      </c>
      <c r="M30" s="1106">
        <v>7356.6532556208203</v>
      </c>
      <c r="N30" s="1106">
        <v>11789.421098605</v>
      </c>
      <c r="O30" s="1106">
        <v>6906.3168324070102</v>
      </c>
      <c r="P30" s="1106">
        <v>11691.922977235001</v>
      </c>
      <c r="Q30" s="1106">
        <v>6676.0261981430795</v>
      </c>
      <c r="R30" s="1106">
        <v>11805.998187705001</v>
      </c>
      <c r="S30" s="1106">
        <v>6654.0819981774202</v>
      </c>
      <c r="T30" s="1106">
        <v>11661.394204120001</v>
      </c>
      <c r="U30" s="1106">
        <v>6230.7288393565996</v>
      </c>
      <c r="V30" s="1106">
        <v>11646.865827430001</v>
      </c>
      <c r="W30" s="1106">
        <v>6265.7559722620208</v>
      </c>
      <c r="X30" s="1106">
        <v>11514.901780060001</v>
      </c>
      <c r="Y30" s="1106">
        <v>6425.1454362223503</v>
      </c>
      <c r="Z30" s="1106">
        <v>12678.276078110001</v>
      </c>
      <c r="AA30" s="1106">
        <v>6900.49157023322</v>
      </c>
      <c r="AB30" s="1106">
        <v>12208.951417235001</v>
      </c>
      <c r="AC30" s="1106">
        <v>6571.8865233574797</v>
      </c>
      <c r="AD30" s="1106">
        <v>12406.282155025001</v>
      </c>
      <c r="AE30" s="1106">
        <v>6529.3298445744294</v>
      </c>
      <c r="AF30" s="1106">
        <v>13037.730816414998</v>
      </c>
      <c r="AG30" s="1106">
        <v>6669.6391246049998</v>
      </c>
      <c r="AH30" s="1106">
        <v>13137.215972205</v>
      </c>
      <c r="AI30" s="1106">
        <v>6535.0008542750002</v>
      </c>
      <c r="AJ30" s="1106">
        <v>13587.459901245002</v>
      </c>
      <c r="AK30" s="1106">
        <v>6803.8616145850001</v>
      </c>
      <c r="AL30" s="1106">
        <v>13854.371514925</v>
      </c>
      <c r="AM30" s="1106">
        <v>7133.5831711049996</v>
      </c>
      <c r="AN30" s="1106">
        <v>14409.802126865001</v>
      </c>
      <c r="AO30" s="1106">
        <v>7760.0263578850008</v>
      </c>
      <c r="AP30" s="1106">
        <v>14349.529528435</v>
      </c>
      <c r="AQ30" s="1106">
        <v>7379.2772864250001</v>
      </c>
      <c r="AR30" s="1106">
        <v>14986.412878175001</v>
      </c>
      <c r="AS30" s="1106">
        <v>7853.4955744864892</v>
      </c>
      <c r="AT30" s="1106">
        <v>15312.326301075</v>
      </c>
      <c r="AU30" s="1106">
        <v>8038.1785210687503</v>
      </c>
      <c r="AV30" s="1106">
        <v>15862.696938895</v>
      </c>
      <c r="AW30" s="1106">
        <v>8367.5613806937999</v>
      </c>
      <c r="AX30" s="1106">
        <v>17905.88154884</v>
      </c>
      <c r="AY30" s="1106">
        <v>9062.1615532693304</v>
      </c>
      <c r="AZ30" s="1106">
        <v>17497.16562272</v>
      </c>
      <c r="BA30" s="1106">
        <v>9598.9306536094609</v>
      </c>
      <c r="BB30" s="1106">
        <v>17185.787086970002</v>
      </c>
      <c r="BC30" s="1106">
        <v>9406.8462785002212</v>
      </c>
      <c r="BD30" s="1106">
        <v>18058.382741294001</v>
      </c>
      <c r="BE30" s="1106">
        <v>9669.3479333725791</v>
      </c>
      <c r="BF30" s="1106">
        <v>18273.259061924</v>
      </c>
      <c r="BG30" s="1106">
        <v>9952.3056354977798</v>
      </c>
      <c r="BH30" s="1106">
        <v>19348.6466945709</v>
      </c>
      <c r="BI30" s="1106">
        <v>10295.36529758872</v>
      </c>
      <c r="BJ30" s="1106">
        <v>19603.4968018648</v>
      </c>
      <c r="BK30" s="1106">
        <v>10297.406617548018</v>
      </c>
      <c r="BL30" s="1106">
        <v>18995.032185367298</v>
      </c>
      <c r="BM30" s="1106">
        <v>10180.59318397164</v>
      </c>
      <c r="BN30" s="1106">
        <v>19805.232713158301</v>
      </c>
      <c r="BO30" s="1106">
        <v>10251.52133897356</v>
      </c>
      <c r="BP30" s="1106">
        <v>20380.6809326863</v>
      </c>
      <c r="BQ30" s="1106">
        <v>10521.40062270855</v>
      </c>
      <c r="BR30" s="1106">
        <v>20935.516187393998</v>
      </c>
      <c r="BS30" s="1106">
        <v>10584.82192467371</v>
      </c>
      <c r="BT30" s="1106">
        <v>21520.965833067101</v>
      </c>
      <c r="BU30" s="1106">
        <v>11153.262542863999</v>
      </c>
      <c r="BV30" s="1106">
        <v>22279.618842231201</v>
      </c>
      <c r="BW30" s="1106">
        <v>11324.417411713499</v>
      </c>
      <c r="BX30" s="1106">
        <v>21282.025489057902</v>
      </c>
      <c r="BY30" s="1106">
        <v>11078.24917671</v>
      </c>
      <c r="BZ30" s="1106">
        <v>20906.885980523999</v>
      </c>
      <c r="CA30" s="1106">
        <v>10979.451710347999</v>
      </c>
      <c r="CB30" s="1106">
        <v>20213.733710519999</v>
      </c>
      <c r="CC30" s="1393">
        <v>9755.7778030730897</v>
      </c>
      <c r="CD30" s="1393">
        <v>20411.491041540001</v>
      </c>
      <c r="CE30" s="1393">
        <v>9939.8543262399999</v>
      </c>
      <c r="CF30" s="1106">
        <v>20535.745107061</v>
      </c>
      <c r="CG30" s="1393">
        <v>9835.7379335400001</v>
      </c>
      <c r="CH30" s="1393">
        <v>19584.207801403001</v>
      </c>
      <c r="CI30" s="1393">
        <v>8728.1456653730002</v>
      </c>
      <c r="CJ30" s="1106">
        <v>19411.76055594</v>
      </c>
      <c r="CK30" s="1393">
        <v>8259.6888357414191</v>
      </c>
      <c r="CL30" s="1106">
        <v>19722.698495469998</v>
      </c>
      <c r="CM30" s="1393">
        <v>8025.7399566199902</v>
      </c>
      <c r="CN30" s="1393">
        <v>19755.837382680002</v>
      </c>
      <c r="CO30" s="1393">
        <v>7881.2804844900002</v>
      </c>
      <c r="CP30" s="1106">
        <v>20810.753931740001</v>
      </c>
      <c r="CQ30" s="1393">
        <v>8755.6066630012501</v>
      </c>
      <c r="CR30" s="1393">
        <v>20972.193340999998</v>
      </c>
      <c r="CS30" s="1393">
        <v>8368.7434128099994</v>
      </c>
      <c r="CT30" s="1106">
        <v>21967.911729880001</v>
      </c>
      <c r="CU30" s="1393">
        <v>9006.9152022734997</v>
      </c>
      <c r="CV30" s="1106">
        <v>22164.171256414498</v>
      </c>
      <c r="CW30" s="1393">
        <v>9548.9227733493899</v>
      </c>
      <c r="CX30" s="1106">
        <v>21955.71901836</v>
      </c>
      <c r="CY30" s="1393">
        <v>8930.5310548219604</v>
      </c>
      <c r="CZ30" s="1106">
        <v>21944.26047152</v>
      </c>
      <c r="DA30" s="1393">
        <v>9194.1376055878609</v>
      </c>
      <c r="DB30" s="1106">
        <v>22150.665467089999</v>
      </c>
      <c r="DC30" s="1393">
        <v>9796.58992064833</v>
      </c>
      <c r="DD30" s="1393">
        <v>21435.702794839999</v>
      </c>
      <c r="DE30" s="1393">
        <v>9065.0896227199992</v>
      </c>
      <c r="DF30" s="1106">
        <v>21304.750949117399</v>
      </c>
      <c r="DG30" s="1393">
        <v>8840.0628555526691</v>
      </c>
      <c r="DH30" s="1106">
        <v>20720.319737689999</v>
      </c>
      <c r="DI30" s="1106">
        <v>8440.8853192099996</v>
      </c>
      <c r="DJ30" s="1106">
        <v>21112.093256709999</v>
      </c>
      <c r="DK30" s="1106">
        <v>9013.9376604999998</v>
      </c>
      <c r="DL30" s="1106">
        <v>22209.79554526</v>
      </c>
      <c r="DM30" s="1106">
        <v>9240.8982184511606</v>
      </c>
      <c r="DN30" s="1106">
        <v>20404.33362428</v>
      </c>
      <c r="DO30" s="1106">
        <v>8817.24551973903</v>
      </c>
      <c r="DP30" s="1106">
        <v>21332.078937220002</v>
      </c>
      <c r="DQ30" s="1106">
        <v>9068.8289970799997</v>
      </c>
      <c r="DR30" s="1106">
        <v>23397.48327483</v>
      </c>
      <c r="DS30" s="1106">
        <v>9247.9831050108696</v>
      </c>
      <c r="DT30" s="1106">
        <v>22575.537882010001</v>
      </c>
      <c r="DU30" s="1106">
        <v>10174.9350046286</v>
      </c>
      <c r="DV30" s="1106">
        <v>23311.686988650101</v>
      </c>
      <c r="DW30" s="1106">
        <v>10627.821281390099</v>
      </c>
      <c r="DX30" s="1106">
        <v>22549.019672620001</v>
      </c>
      <c r="DY30" s="1106">
        <v>10450.009710011</v>
      </c>
      <c r="DZ30" s="1106">
        <v>22199.583981219999</v>
      </c>
      <c r="EA30" s="1106">
        <v>10420.683726609999</v>
      </c>
      <c r="EB30" s="1106">
        <v>23445.094444170001</v>
      </c>
      <c r="EC30" s="1106">
        <v>11782.4093634737</v>
      </c>
      <c r="ED30" s="1104" t="s">
        <v>3645</v>
      </c>
      <c r="EF30" s="1101"/>
      <c r="EG30" s="1142"/>
    </row>
    <row r="31" spans="1:137" ht="19.899999999999999" customHeight="1">
      <c r="A31" s="1104" t="s">
        <v>2253</v>
      </c>
      <c r="B31" s="1106">
        <v>2605.632430785</v>
      </c>
      <c r="C31" s="1106">
        <v>2382.6164468349998</v>
      </c>
      <c r="D31" s="1106">
        <v>2260.6001364849999</v>
      </c>
      <c r="E31" s="1106">
        <v>2083.371422535</v>
      </c>
      <c r="F31" s="1106">
        <v>2605.7393998450002</v>
      </c>
      <c r="G31" s="1106">
        <v>2408.6889228149998</v>
      </c>
      <c r="H31" s="1106">
        <v>2411.1356402850001</v>
      </c>
      <c r="I31" s="1106">
        <v>2231.7058432550002</v>
      </c>
      <c r="J31" s="1106">
        <v>2429.483437375</v>
      </c>
      <c r="K31" s="1106">
        <v>2181.2059713449999</v>
      </c>
      <c r="L31" s="1106">
        <v>2340.9509213649999</v>
      </c>
      <c r="M31" s="1106">
        <v>2094.5010173350001</v>
      </c>
      <c r="N31" s="1106">
        <v>2549.281817305</v>
      </c>
      <c r="O31" s="1106">
        <v>2301.191623275</v>
      </c>
      <c r="P31" s="1106">
        <v>2592.8545816850001</v>
      </c>
      <c r="Q31" s="1106">
        <v>2332.4359476549998</v>
      </c>
      <c r="R31" s="1106">
        <v>2206.1379737450002</v>
      </c>
      <c r="S31" s="1106">
        <v>1948.595340605</v>
      </c>
      <c r="T31" s="1106">
        <v>1934.8432226</v>
      </c>
      <c r="U31" s="1106">
        <v>1571.96863246</v>
      </c>
      <c r="V31" s="1106">
        <v>1937.1434986700001</v>
      </c>
      <c r="W31" s="1106">
        <v>1662.2143385300001</v>
      </c>
      <c r="X31" s="1106">
        <v>2084.3042833099998</v>
      </c>
      <c r="Y31" s="1106">
        <v>1667.5833131700001</v>
      </c>
      <c r="Z31" s="1106">
        <v>2039.0041034599999</v>
      </c>
      <c r="AA31" s="1106">
        <v>1741.4113133200001</v>
      </c>
      <c r="AB31" s="1106">
        <v>2122.7036180549999</v>
      </c>
      <c r="AC31" s="1106">
        <v>1739.5043933899999</v>
      </c>
      <c r="AD31" s="1106">
        <v>2058.1809057149999</v>
      </c>
      <c r="AE31" s="1106">
        <v>1657.037388145</v>
      </c>
      <c r="AF31" s="1106">
        <v>2119.2776282149998</v>
      </c>
      <c r="AG31" s="1106">
        <v>1683.974145165</v>
      </c>
      <c r="AH31" s="1106">
        <v>2118.7239517749999</v>
      </c>
      <c r="AI31" s="1106">
        <v>1705.6937062049999</v>
      </c>
      <c r="AJ31" s="1106">
        <v>2248.0628259949999</v>
      </c>
      <c r="AK31" s="1106">
        <v>1846.9172489949999</v>
      </c>
      <c r="AL31" s="1106">
        <v>2072.9087116350001</v>
      </c>
      <c r="AM31" s="1106">
        <v>1662.2346946350001</v>
      </c>
      <c r="AN31" s="1106">
        <v>2290.118500905</v>
      </c>
      <c r="AO31" s="1106">
        <v>1860.2016339050001</v>
      </c>
      <c r="AP31" s="1106">
        <v>2229.2640762350002</v>
      </c>
      <c r="AQ31" s="1106">
        <v>1860.5797192350001</v>
      </c>
      <c r="AR31" s="1106">
        <v>2091.8701283149999</v>
      </c>
      <c r="AS31" s="1106">
        <v>1663.7679883149999</v>
      </c>
      <c r="AT31" s="1106">
        <v>2081.1034593149998</v>
      </c>
      <c r="AU31" s="1106">
        <v>1648.504192315</v>
      </c>
      <c r="AV31" s="1106">
        <v>2075.1545063449998</v>
      </c>
      <c r="AW31" s="1106">
        <v>1623.9433579449999</v>
      </c>
      <c r="AX31" s="1106">
        <v>2052.5525210000001</v>
      </c>
      <c r="AY31" s="1106">
        <v>1598.7773026</v>
      </c>
      <c r="AZ31" s="1106">
        <v>2024.4199134800001</v>
      </c>
      <c r="BA31" s="1106">
        <v>1576.9024050800001</v>
      </c>
      <c r="BB31" s="1106">
        <v>2016.8563443600001</v>
      </c>
      <c r="BC31" s="1106">
        <v>1582.07607596</v>
      </c>
      <c r="BD31" s="1106">
        <v>1934.044031334</v>
      </c>
      <c r="BE31" s="1106">
        <v>1520.5625439339999</v>
      </c>
      <c r="BF31" s="1106">
        <v>1912.1496058739999</v>
      </c>
      <c r="BG31" s="1106">
        <v>1488.525797474</v>
      </c>
      <c r="BH31" s="1106">
        <v>1873.3525037049999</v>
      </c>
      <c r="BI31" s="1106">
        <v>1440.1944053049999</v>
      </c>
      <c r="BJ31" s="1106">
        <v>2250.8323201849998</v>
      </c>
      <c r="BK31" s="1106">
        <v>1761.958749855</v>
      </c>
      <c r="BL31" s="1106">
        <v>2392.246542544</v>
      </c>
      <c r="BM31" s="1106">
        <v>1769.391132214</v>
      </c>
      <c r="BN31" s="1106">
        <v>2403.2237505640001</v>
      </c>
      <c r="BO31" s="1106">
        <v>1766.720910234</v>
      </c>
      <c r="BP31" s="1106">
        <v>2388.3390784839999</v>
      </c>
      <c r="BQ31" s="1106">
        <v>1757.374037624</v>
      </c>
      <c r="BR31" s="1106">
        <v>2450.1731224139999</v>
      </c>
      <c r="BS31" s="1106">
        <v>1787.916433414</v>
      </c>
      <c r="BT31" s="1106">
        <v>2469.8834878739999</v>
      </c>
      <c r="BU31" s="1106">
        <v>1777.505798874</v>
      </c>
      <c r="BV31" s="1106">
        <v>2577.778223754</v>
      </c>
      <c r="BW31" s="1106">
        <v>1806.754754754</v>
      </c>
      <c r="BX31" s="1106">
        <v>2463.12152522</v>
      </c>
      <c r="BY31" s="1106">
        <v>1757.1726462199999</v>
      </c>
      <c r="BZ31" s="1106">
        <v>2844.651611194</v>
      </c>
      <c r="CA31" s="1106">
        <v>2048.9305321940001</v>
      </c>
      <c r="CB31" s="1106">
        <v>2893.9651612900002</v>
      </c>
      <c r="CC31" s="1393">
        <v>2056.7239412899999</v>
      </c>
      <c r="CD31" s="1393">
        <v>2965.9256805300001</v>
      </c>
      <c r="CE31" s="1393">
        <v>2082.8629455300002</v>
      </c>
      <c r="CF31" s="1106">
        <v>3043.4810976600002</v>
      </c>
      <c r="CG31" s="1393">
        <v>2060.1226120299998</v>
      </c>
      <c r="CH31" s="1393">
        <v>3478.324287763</v>
      </c>
      <c r="CI31" s="1393">
        <v>2354.2539533529998</v>
      </c>
      <c r="CJ31" s="1106">
        <v>3595.3718442300001</v>
      </c>
      <c r="CK31" s="1393">
        <v>2376.2828469800002</v>
      </c>
      <c r="CL31" s="1106">
        <v>3783.1365950999998</v>
      </c>
      <c r="CM31" s="1393">
        <v>2409.0972072200002</v>
      </c>
      <c r="CN31" s="1393">
        <v>3859.7432993100001</v>
      </c>
      <c r="CO31" s="1393">
        <v>2419.0604319099998</v>
      </c>
      <c r="CP31" s="1106">
        <v>3977.5567397</v>
      </c>
      <c r="CQ31" s="1393">
        <v>2368.2097632300001</v>
      </c>
      <c r="CR31" s="1393">
        <v>4127.8273398800002</v>
      </c>
      <c r="CS31" s="1393">
        <v>2448.0963308400001</v>
      </c>
      <c r="CT31" s="1106">
        <v>4499.5109948299996</v>
      </c>
      <c r="CU31" s="1393">
        <v>2663.39424246</v>
      </c>
      <c r="CV31" s="1106">
        <v>4664.38734484</v>
      </c>
      <c r="CW31" s="1393">
        <v>3007.04047726</v>
      </c>
      <c r="CX31" s="1106">
        <v>4918.3782980300002</v>
      </c>
      <c r="CY31" s="1393">
        <v>3194.54447807</v>
      </c>
      <c r="CZ31" s="1106">
        <v>4859.7511706300002</v>
      </c>
      <c r="DA31" s="1393">
        <v>3001.3769324800001</v>
      </c>
      <c r="DB31" s="1106">
        <v>4888.5475029600002</v>
      </c>
      <c r="DC31" s="1393">
        <v>2947.51424481</v>
      </c>
      <c r="DD31" s="1393">
        <v>5133.8285193399997</v>
      </c>
      <c r="DE31" s="1393">
        <v>3087.9493165600002</v>
      </c>
      <c r="DF31" s="1106">
        <v>5051.8630892199999</v>
      </c>
      <c r="DG31" s="1393">
        <v>2852.1186439799999</v>
      </c>
      <c r="DH31" s="1106">
        <v>5328.7550086299998</v>
      </c>
      <c r="DI31" s="1106">
        <v>3096.1035089900001</v>
      </c>
      <c r="DJ31" s="1106">
        <v>5281.3029643899999</v>
      </c>
      <c r="DK31" s="1106">
        <v>2960.9661247499998</v>
      </c>
      <c r="DL31" s="1106">
        <v>5400.8893349299997</v>
      </c>
      <c r="DM31" s="1106">
        <v>2984.7621652900002</v>
      </c>
      <c r="DN31" s="1106">
        <v>5424.5047430300001</v>
      </c>
      <c r="DO31" s="1106">
        <v>2959.1717033899999</v>
      </c>
      <c r="DP31" s="1106">
        <v>5498.2521256199998</v>
      </c>
      <c r="DQ31" s="1106">
        <v>2941.3716459799998</v>
      </c>
      <c r="DR31" s="1106">
        <v>5817.2264351000003</v>
      </c>
      <c r="DS31" s="1106">
        <v>3051.5220566900002</v>
      </c>
      <c r="DT31" s="1106">
        <v>5904.4417439099998</v>
      </c>
      <c r="DU31" s="1106">
        <v>3080.4712967700002</v>
      </c>
      <c r="DV31" s="1106">
        <v>5959.8853055099999</v>
      </c>
      <c r="DW31" s="1106">
        <v>3017.8985553699999</v>
      </c>
      <c r="DX31" s="1106">
        <v>5749.84135092</v>
      </c>
      <c r="DY31" s="1106">
        <v>3028.2832057800001</v>
      </c>
      <c r="DZ31" s="1106">
        <v>5367.3987241300001</v>
      </c>
      <c r="EA31" s="1106">
        <v>2815.3078389900002</v>
      </c>
      <c r="EB31" s="1106">
        <v>5221.2044518800003</v>
      </c>
      <c r="EC31" s="1106">
        <v>2765.1806083699998</v>
      </c>
      <c r="ED31" s="1104" t="s">
        <v>3593</v>
      </c>
      <c r="EF31" s="1101"/>
      <c r="EG31" s="1142"/>
    </row>
    <row r="32" spans="1:137" ht="19.899999999999999" customHeight="1">
      <c r="A32" s="1104" t="s">
        <v>4321</v>
      </c>
      <c r="B32" s="1106">
        <v>10213.08347992</v>
      </c>
      <c r="C32" s="1106">
        <v>5337.7524896000004</v>
      </c>
      <c r="D32" s="1106">
        <v>10974.86142055</v>
      </c>
      <c r="E32" s="1106">
        <v>6051.4987348000004</v>
      </c>
      <c r="F32" s="1106">
        <v>10612.98454342</v>
      </c>
      <c r="G32" s="1106">
        <v>5532.3432636199996</v>
      </c>
      <c r="H32" s="1106">
        <v>10016.75054651</v>
      </c>
      <c r="I32" s="1106">
        <v>5410.8561595299998</v>
      </c>
      <c r="J32" s="1106">
        <v>9853.0096030099994</v>
      </c>
      <c r="K32" s="1106">
        <v>5214.5941421699999</v>
      </c>
      <c r="L32" s="1106">
        <v>10057.35591722</v>
      </c>
      <c r="M32" s="1106">
        <v>5262.1522382858202</v>
      </c>
      <c r="N32" s="1106">
        <v>9240.1392813000002</v>
      </c>
      <c r="O32" s="1106">
        <v>4605.1252091320102</v>
      </c>
      <c r="P32" s="1106">
        <v>9099.0683955500008</v>
      </c>
      <c r="Q32" s="1106">
        <v>4343.5902504880796</v>
      </c>
      <c r="R32" s="1106">
        <v>9599.8602139600007</v>
      </c>
      <c r="S32" s="1106">
        <v>4705.48665757242</v>
      </c>
      <c r="T32" s="1106">
        <v>9726.5509815200003</v>
      </c>
      <c r="U32" s="1106">
        <v>4658.7602068965998</v>
      </c>
      <c r="V32" s="1106">
        <v>9709.7223287600009</v>
      </c>
      <c r="W32" s="1106">
        <v>4603.5416337320203</v>
      </c>
      <c r="X32" s="1106">
        <v>9430.5974967500006</v>
      </c>
      <c r="Y32" s="1106">
        <v>4757.5621230523502</v>
      </c>
      <c r="Z32" s="1106">
        <v>10639.271974650001</v>
      </c>
      <c r="AA32" s="1106">
        <v>5159.0802569132202</v>
      </c>
      <c r="AB32" s="1106">
        <v>10086.247799180001</v>
      </c>
      <c r="AC32" s="1106">
        <v>4832.3821299674801</v>
      </c>
      <c r="AD32" s="1106">
        <v>10348.101249310001</v>
      </c>
      <c r="AE32" s="1106">
        <v>4872.2924564294299</v>
      </c>
      <c r="AF32" s="1106">
        <v>10918.453188199999</v>
      </c>
      <c r="AG32" s="1106">
        <v>4985.66497944</v>
      </c>
      <c r="AH32" s="1106">
        <v>11018.49202043</v>
      </c>
      <c r="AI32" s="1106">
        <v>4829.30714807</v>
      </c>
      <c r="AJ32" s="1106">
        <v>11339.397075250001</v>
      </c>
      <c r="AK32" s="1106">
        <v>4956.9443655900004</v>
      </c>
      <c r="AL32" s="1106">
        <v>11781.46280329</v>
      </c>
      <c r="AM32" s="1106">
        <v>5471.3484764699997</v>
      </c>
      <c r="AN32" s="1106">
        <v>12119.68362596</v>
      </c>
      <c r="AO32" s="1106">
        <v>5899.8247239800003</v>
      </c>
      <c r="AP32" s="1106">
        <v>12120.265452199999</v>
      </c>
      <c r="AQ32" s="1106">
        <v>5518.69756719</v>
      </c>
      <c r="AR32" s="1106">
        <v>12894.54274986</v>
      </c>
      <c r="AS32" s="1106">
        <v>6189.7275861714897</v>
      </c>
      <c r="AT32" s="1106">
        <v>13231.22284176</v>
      </c>
      <c r="AU32" s="1106">
        <v>6389.6743287537502</v>
      </c>
      <c r="AV32" s="1106">
        <v>13787.542432550001</v>
      </c>
      <c r="AW32" s="1106">
        <v>6743.6180227488003</v>
      </c>
      <c r="AX32" s="1106">
        <v>15853.32902784</v>
      </c>
      <c r="AY32" s="1106">
        <v>7463.38425066933</v>
      </c>
      <c r="AZ32" s="1106">
        <v>15472.74570924</v>
      </c>
      <c r="BA32" s="1106">
        <v>8022.0282485294601</v>
      </c>
      <c r="BB32" s="1106">
        <v>15168.93074261</v>
      </c>
      <c r="BC32" s="1106">
        <v>7824.7702025402205</v>
      </c>
      <c r="BD32" s="1106">
        <v>16124.33870996</v>
      </c>
      <c r="BE32" s="1106">
        <v>8148.7853894385798</v>
      </c>
      <c r="BF32" s="1106">
        <v>16361.109456050001</v>
      </c>
      <c r="BG32" s="1106">
        <v>8463.77983802378</v>
      </c>
      <c r="BH32" s="1106">
        <v>17475.294190865901</v>
      </c>
      <c r="BI32" s="1106">
        <v>8855.1708922837206</v>
      </c>
      <c r="BJ32" s="1106">
        <v>17352.6644816798</v>
      </c>
      <c r="BK32" s="1106">
        <v>8535.4478676930194</v>
      </c>
      <c r="BL32" s="1106">
        <v>16602.785642823299</v>
      </c>
      <c r="BM32" s="1106">
        <v>8411.2020517576402</v>
      </c>
      <c r="BN32" s="1106">
        <v>17402.0089625943</v>
      </c>
      <c r="BO32" s="1106">
        <v>8484.8004287395597</v>
      </c>
      <c r="BP32" s="1106">
        <v>17992.341854202299</v>
      </c>
      <c r="BQ32" s="1106">
        <v>8764.0265850845499</v>
      </c>
      <c r="BR32" s="1106">
        <v>18485.343064979999</v>
      </c>
      <c r="BS32" s="1106">
        <v>8796.9054912597094</v>
      </c>
      <c r="BT32" s="1106">
        <v>19051.082345193099</v>
      </c>
      <c r="BU32" s="1106">
        <v>9375.7567439899994</v>
      </c>
      <c r="BV32" s="1106">
        <v>19701.840618477199</v>
      </c>
      <c r="BW32" s="1106">
        <v>9517.6626569594991</v>
      </c>
      <c r="BX32" s="1106">
        <v>18818.9039638379</v>
      </c>
      <c r="BY32" s="1106">
        <v>9321.0765304899996</v>
      </c>
      <c r="BZ32" s="1106">
        <v>18062.234369329999</v>
      </c>
      <c r="CA32" s="1106">
        <v>8930.5211781539492</v>
      </c>
      <c r="CB32" s="1106">
        <v>17319.74854923</v>
      </c>
      <c r="CC32" s="1393">
        <v>7699.0538617830798</v>
      </c>
      <c r="CD32" s="1393">
        <v>17445.565361010002</v>
      </c>
      <c r="CE32" s="1393">
        <v>7856.9913807100002</v>
      </c>
      <c r="CF32" s="1106">
        <v>17492.244009401002</v>
      </c>
      <c r="CG32" s="1393">
        <v>7775.6153215100003</v>
      </c>
      <c r="CH32" s="1393">
        <v>16105.883513639999</v>
      </c>
      <c r="CI32" s="1393">
        <v>6373.8917120200003</v>
      </c>
      <c r="CJ32" s="1106">
        <v>15816.38871171</v>
      </c>
      <c r="CK32" s="1393">
        <v>5883.4059887614203</v>
      </c>
      <c r="CL32" s="1106">
        <v>15939.561900369999</v>
      </c>
      <c r="CM32" s="1393">
        <v>5616.64274939999</v>
      </c>
      <c r="CN32" s="1393">
        <v>15896.08408337</v>
      </c>
      <c r="CO32" s="1393">
        <v>5462.2200525799999</v>
      </c>
      <c r="CP32" s="1106">
        <v>16833.207192040001</v>
      </c>
      <c r="CQ32" s="1393">
        <v>6387.39689977125</v>
      </c>
      <c r="CR32" s="1393">
        <v>16844.366001120001</v>
      </c>
      <c r="CS32" s="1393">
        <v>5920.6470819699998</v>
      </c>
      <c r="CT32" s="1106">
        <v>17468.40073505</v>
      </c>
      <c r="CU32" s="1393">
        <v>6343.5209598134998</v>
      </c>
      <c r="CV32" s="1106">
        <v>17499.783911574501</v>
      </c>
      <c r="CW32" s="1393">
        <v>6541.8822960893904</v>
      </c>
      <c r="CX32" s="1106">
        <v>17037.340720330001</v>
      </c>
      <c r="CY32" s="1393">
        <v>5735.9865767519696</v>
      </c>
      <c r="CZ32" s="1106">
        <v>17084.50930089</v>
      </c>
      <c r="DA32" s="1393">
        <v>6192.7606731078604</v>
      </c>
      <c r="DB32" s="1106">
        <v>17262.217964129999</v>
      </c>
      <c r="DC32" s="1393">
        <v>6849.0756758383304</v>
      </c>
      <c r="DD32" s="1393">
        <v>16301.8742755</v>
      </c>
      <c r="DE32" s="1393">
        <v>5977.1403061600004</v>
      </c>
      <c r="DF32" s="1106">
        <v>16252.887859897401</v>
      </c>
      <c r="DG32" s="1393">
        <v>5987.9442115726797</v>
      </c>
      <c r="DH32" s="1106">
        <v>15391.464729060001</v>
      </c>
      <c r="DI32" s="1106">
        <v>5344.7818102199999</v>
      </c>
      <c r="DJ32" s="1106">
        <v>15830.79029232</v>
      </c>
      <c r="DK32" s="1106">
        <v>6052.9715357499999</v>
      </c>
      <c r="DL32" s="1106">
        <v>16808.906210329998</v>
      </c>
      <c r="DM32" s="1106">
        <v>6256.1360531611699</v>
      </c>
      <c r="DN32" s="1106">
        <v>14979.82888125</v>
      </c>
      <c r="DO32" s="1106">
        <v>5858.0738163490296</v>
      </c>
      <c r="DP32" s="1106">
        <v>15833.8268116</v>
      </c>
      <c r="DQ32" s="1106">
        <v>6127.4573510999999</v>
      </c>
      <c r="DR32" s="1106">
        <v>17580.256839729998</v>
      </c>
      <c r="DS32" s="1106">
        <v>6196.4610483208698</v>
      </c>
      <c r="DT32" s="1106">
        <v>16671.096138100002</v>
      </c>
      <c r="DU32" s="1106">
        <v>7094.4637078586002</v>
      </c>
      <c r="DV32" s="1106">
        <v>17351.8016831401</v>
      </c>
      <c r="DW32" s="1106">
        <v>7609.9227260200696</v>
      </c>
      <c r="DX32" s="1106">
        <v>16799.178321700001</v>
      </c>
      <c r="DY32" s="1106">
        <v>7421.7265042310501</v>
      </c>
      <c r="DZ32" s="1106">
        <v>16832.185257090001</v>
      </c>
      <c r="EA32" s="1106">
        <v>7605.37588762</v>
      </c>
      <c r="EB32" s="1106">
        <v>18223.889992289998</v>
      </c>
      <c r="EC32" s="1106">
        <v>9017.2287551037007</v>
      </c>
      <c r="ED32" s="1104" t="s">
        <v>3646</v>
      </c>
      <c r="EF32" s="1101"/>
      <c r="EG32" s="1142"/>
    </row>
    <row r="33" spans="1:137" ht="45" customHeight="1">
      <c r="A33" s="1104" t="s">
        <v>2252</v>
      </c>
      <c r="B33" s="1106">
        <v>129.95150220000002</v>
      </c>
      <c r="C33" s="1106">
        <v>19.143010879999999</v>
      </c>
      <c r="D33" s="1106">
        <v>163.5</v>
      </c>
      <c r="E33" s="1106">
        <v>21.52852524</v>
      </c>
      <c r="F33" s="1106">
        <v>122.4</v>
      </c>
      <c r="G33" s="1106">
        <v>22.062280520000002</v>
      </c>
      <c r="H33" s="1106">
        <v>93</v>
      </c>
      <c r="I33" s="1106">
        <v>23.282899359999998</v>
      </c>
      <c r="J33" s="1106">
        <v>100.5</v>
      </c>
      <c r="K33" s="1106">
        <v>24.534427040000001</v>
      </c>
      <c r="L33" s="1106">
        <v>110.3</v>
      </c>
      <c r="M33" s="1106">
        <v>26.108711199999998</v>
      </c>
      <c r="N33" s="1106">
        <v>114.1</v>
      </c>
      <c r="O33" s="1106">
        <v>31.476227949999998</v>
      </c>
      <c r="P33" s="1106">
        <v>98.8</v>
      </c>
      <c r="Q33" s="1106">
        <v>22.170521489999999</v>
      </c>
      <c r="R33" s="1106">
        <v>110.7</v>
      </c>
      <c r="S33" s="1106">
        <v>22.122007010000001</v>
      </c>
      <c r="T33" s="1106">
        <v>118.2</v>
      </c>
      <c r="U33" s="1106">
        <v>19.109452080000001</v>
      </c>
      <c r="V33" s="1106">
        <v>109.6</v>
      </c>
      <c r="W33" s="1106">
        <v>18.60909706</v>
      </c>
      <c r="X33" s="1106">
        <v>110.42</v>
      </c>
      <c r="Y33" s="1106">
        <v>18.62141798</v>
      </c>
      <c r="Z33" s="1106">
        <v>133.19999999999999</v>
      </c>
      <c r="AA33" s="1106">
        <v>20.974967110000001</v>
      </c>
      <c r="AB33" s="1106">
        <v>123.3</v>
      </c>
      <c r="AC33" s="1106">
        <v>20.114467319999999</v>
      </c>
      <c r="AD33" s="1106">
        <v>132.4</v>
      </c>
      <c r="AE33" s="1106">
        <v>20.606501120000001</v>
      </c>
      <c r="AF33" s="1106">
        <v>134.69999999999999</v>
      </c>
      <c r="AG33" s="1106">
        <v>20.919112539999997</v>
      </c>
      <c r="AH33" s="1106">
        <v>133</v>
      </c>
      <c r="AI33" s="1106">
        <v>20.316024290000001</v>
      </c>
      <c r="AJ33" s="1106">
        <v>157.19999999999999</v>
      </c>
      <c r="AK33" s="1106">
        <v>23.936149480000001</v>
      </c>
      <c r="AL33" s="1106">
        <v>164.74</v>
      </c>
      <c r="AM33" s="1106">
        <v>25.645431030000001</v>
      </c>
      <c r="AN33" s="1106">
        <v>166.4</v>
      </c>
      <c r="AO33" s="1106">
        <v>25.645431030000001</v>
      </c>
      <c r="AP33" s="1106">
        <v>158.9</v>
      </c>
      <c r="AQ33" s="1106">
        <v>23.883466810000002</v>
      </c>
      <c r="AR33" s="1106">
        <v>174.5</v>
      </c>
      <c r="AS33" s="1106">
        <v>21.670352080000001</v>
      </c>
      <c r="AT33" s="1106">
        <v>173.6</v>
      </c>
      <c r="AU33" s="1106">
        <v>21.75412145</v>
      </c>
      <c r="AV33" s="1106">
        <v>170.8</v>
      </c>
      <c r="AW33" s="1106">
        <v>21.987883790000001</v>
      </c>
      <c r="AX33" s="1106">
        <v>209</v>
      </c>
      <c r="AY33" s="1106">
        <v>23.822197200000002</v>
      </c>
      <c r="AZ33" s="1106">
        <v>178.9</v>
      </c>
      <c r="BA33" s="1106">
        <v>21.797542870000001</v>
      </c>
      <c r="BB33" s="1106">
        <v>166.9</v>
      </c>
      <c r="BC33" s="1106">
        <v>21.582182509999999</v>
      </c>
      <c r="BD33" s="1106">
        <v>171.3</v>
      </c>
      <c r="BE33" s="1106">
        <v>22.603369010000002</v>
      </c>
      <c r="BF33" s="1106">
        <v>175</v>
      </c>
      <c r="BG33" s="1106">
        <v>22.521953230000001</v>
      </c>
      <c r="BH33" s="1106">
        <v>204.2</v>
      </c>
      <c r="BI33" s="1106">
        <v>28.5717517</v>
      </c>
      <c r="BJ33" s="1106">
        <v>217.6</v>
      </c>
      <c r="BK33" s="1106">
        <v>28.53345633</v>
      </c>
      <c r="BL33" s="1106">
        <v>211.6</v>
      </c>
      <c r="BM33" s="1106">
        <v>29.721467109999999</v>
      </c>
      <c r="BN33" s="1106">
        <v>226.4</v>
      </c>
      <c r="BO33" s="1106">
        <v>26.136257789999998</v>
      </c>
      <c r="BP33" s="1106">
        <v>232.7</v>
      </c>
      <c r="BQ33" s="1106">
        <v>27.6</v>
      </c>
      <c r="BR33" s="1106">
        <v>243.4</v>
      </c>
      <c r="BS33" s="1106">
        <v>31.8</v>
      </c>
      <c r="BT33" s="1106">
        <v>248.7</v>
      </c>
      <c r="BU33" s="1106">
        <v>31.8</v>
      </c>
      <c r="BV33" s="1106">
        <v>260.01</v>
      </c>
      <c r="BW33" s="1106">
        <v>34.700000000000003</v>
      </c>
      <c r="BX33" s="1106">
        <v>241.7</v>
      </c>
      <c r="BY33" s="1106">
        <v>33.1</v>
      </c>
      <c r="BZ33" s="1106">
        <v>247.9</v>
      </c>
      <c r="CA33" s="1106">
        <v>32.6</v>
      </c>
      <c r="CB33" s="1106">
        <v>244.9</v>
      </c>
      <c r="CC33" s="1393">
        <v>32.700000000000003</v>
      </c>
      <c r="CD33" s="1393">
        <v>256.2</v>
      </c>
      <c r="CE33" s="1393">
        <v>34.799999999999997</v>
      </c>
      <c r="CF33" s="1106">
        <v>257.7</v>
      </c>
      <c r="CG33" s="1393">
        <v>42.2</v>
      </c>
      <c r="CH33" s="1393">
        <v>276.3</v>
      </c>
      <c r="CI33" s="1393">
        <v>33.299999999999997</v>
      </c>
      <c r="CJ33" s="1106">
        <v>276.2</v>
      </c>
      <c r="CK33" s="1393">
        <v>36.5</v>
      </c>
      <c r="CL33" s="1106">
        <v>304.10000000000002</v>
      </c>
      <c r="CM33" s="1393">
        <v>33.6</v>
      </c>
      <c r="CN33" s="1393">
        <v>287.05</v>
      </c>
      <c r="CO33" s="1393">
        <v>31.2</v>
      </c>
      <c r="CP33" s="1106">
        <v>292.93867286</v>
      </c>
      <c r="CQ33" s="1393">
        <v>29.702603989999997</v>
      </c>
      <c r="CR33" s="1393">
        <v>271.37</v>
      </c>
      <c r="CS33" s="1393">
        <v>30</v>
      </c>
      <c r="CT33" s="1106">
        <v>365.6</v>
      </c>
      <c r="CU33" s="1393">
        <v>30.5</v>
      </c>
      <c r="CV33" s="1106">
        <v>284.93504696000002</v>
      </c>
      <c r="CW33" s="1393">
        <v>29.67</v>
      </c>
      <c r="CX33" s="1106">
        <v>263.60000000000002</v>
      </c>
      <c r="CY33" s="1393">
        <v>32.369999999999997</v>
      </c>
      <c r="CZ33" s="1106">
        <v>282.01094147999999</v>
      </c>
      <c r="DA33" s="1393">
        <v>33.004457280000004</v>
      </c>
      <c r="DB33" s="1106">
        <v>286.67</v>
      </c>
      <c r="DC33" s="1393">
        <v>31.22</v>
      </c>
      <c r="DD33" s="1393">
        <v>279.10000000000002</v>
      </c>
      <c r="DE33" s="1393">
        <v>31.21</v>
      </c>
      <c r="DF33" s="1106">
        <v>300.39999999999998</v>
      </c>
      <c r="DG33" s="1393">
        <v>31.2</v>
      </c>
      <c r="DH33" s="1963">
        <v>302.3</v>
      </c>
      <c r="DI33" s="1963">
        <v>31.1</v>
      </c>
      <c r="DJ33" s="1963">
        <v>293.74</v>
      </c>
      <c r="DK33" s="1963">
        <v>32.24</v>
      </c>
      <c r="DL33" s="1963">
        <v>314.84951448999999</v>
      </c>
      <c r="DM33" s="1963">
        <v>31.25</v>
      </c>
      <c r="DN33" s="1963">
        <v>296.45999999999998</v>
      </c>
      <c r="DO33" s="1963">
        <v>31.14</v>
      </c>
      <c r="DP33" s="1963">
        <v>375.7</v>
      </c>
      <c r="DQ33" s="1963">
        <v>29.96</v>
      </c>
      <c r="DR33" s="1963">
        <v>362.8</v>
      </c>
      <c r="DS33" s="1963">
        <v>32.872138369601487</v>
      </c>
      <c r="DT33" s="1963">
        <v>313.23665826999996</v>
      </c>
      <c r="DU33" s="1963">
        <v>29.181756910000004</v>
      </c>
      <c r="DV33" s="1963">
        <v>310.5108216399999</v>
      </c>
      <c r="DW33" s="1963">
        <v>26.951389980000005</v>
      </c>
      <c r="DX33" s="1963">
        <v>329.93784812000001</v>
      </c>
      <c r="DY33" s="1963">
        <v>24.821375730000003</v>
      </c>
      <c r="DZ33" s="1963">
        <v>305.7</v>
      </c>
      <c r="EA33" s="1963">
        <v>26.94</v>
      </c>
      <c r="EB33" s="1963">
        <v>328.76</v>
      </c>
      <c r="EC33" s="1963">
        <v>27.89</v>
      </c>
      <c r="ED33" s="1104" t="s">
        <v>3647</v>
      </c>
    </row>
    <row r="34" spans="1:137" ht="19.899999999999999" customHeight="1">
      <c r="A34" s="1104" t="s">
        <v>2251</v>
      </c>
      <c r="B34" s="1106">
        <v>326.14865974999998</v>
      </c>
      <c r="C34" s="1106">
        <v>0</v>
      </c>
      <c r="D34" s="1106">
        <v>343.56948649999998</v>
      </c>
      <c r="E34" s="1106">
        <v>0</v>
      </c>
      <c r="F34" s="1106">
        <v>348.07110497000002</v>
      </c>
      <c r="G34" s="1106">
        <v>0</v>
      </c>
      <c r="H34" s="1106">
        <v>350.74512256999998</v>
      </c>
      <c r="I34" s="1106">
        <v>0</v>
      </c>
      <c r="J34" s="1106">
        <v>438.34958712000002</v>
      </c>
      <c r="K34" s="1106">
        <v>0</v>
      </c>
      <c r="L34" s="1106">
        <v>397.70456969000003</v>
      </c>
      <c r="M34" s="1106">
        <v>0</v>
      </c>
      <c r="N34" s="1106">
        <v>382.40186720000003</v>
      </c>
      <c r="O34" s="1106">
        <v>0</v>
      </c>
      <c r="P34" s="1106">
        <v>382.17073699000002</v>
      </c>
      <c r="Q34" s="1106">
        <v>0</v>
      </c>
      <c r="R34" s="1106">
        <v>382.03773698999998</v>
      </c>
      <c r="S34" s="1106">
        <v>0</v>
      </c>
      <c r="T34" s="1106">
        <v>384.83773699</v>
      </c>
      <c r="U34" s="1106">
        <v>0</v>
      </c>
      <c r="V34" s="1106">
        <v>375.83773699</v>
      </c>
      <c r="W34" s="1106">
        <v>0</v>
      </c>
      <c r="X34" s="1106">
        <v>375.73773698999997</v>
      </c>
      <c r="Y34" s="1106">
        <v>0</v>
      </c>
      <c r="Z34" s="1106">
        <v>374.41500698999999</v>
      </c>
      <c r="AA34" s="1106">
        <v>0</v>
      </c>
      <c r="AB34" s="1106">
        <v>374.13773699000001</v>
      </c>
      <c r="AC34" s="1106">
        <v>0</v>
      </c>
      <c r="AD34" s="1106">
        <v>373.58773699</v>
      </c>
      <c r="AE34" s="1106">
        <v>0</v>
      </c>
      <c r="AF34" s="1106">
        <v>371.40262299</v>
      </c>
      <c r="AG34" s="1106">
        <v>0</v>
      </c>
      <c r="AH34" s="1106">
        <v>371.30262298999997</v>
      </c>
      <c r="AI34" s="1106">
        <v>0</v>
      </c>
      <c r="AJ34" s="1106">
        <v>371.30262298999997</v>
      </c>
      <c r="AK34" s="1106">
        <v>2.77450284920633E-6</v>
      </c>
      <c r="AL34" s="1106">
        <v>371.10262298999999</v>
      </c>
      <c r="AM34" s="1106">
        <v>0</v>
      </c>
      <c r="AN34" s="1106">
        <v>371.00073699000001</v>
      </c>
      <c r="AO34" s="1106">
        <v>0</v>
      </c>
      <c r="AP34" s="1106">
        <v>370.90073697000003</v>
      </c>
      <c r="AQ34" s="1106">
        <v>0</v>
      </c>
      <c r="AR34" s="1106">
        <v>370.80073697</v>
      </c>
      <c r="AS34" s="1106">
        <v>0</v>
      </c>
      <c r="AT34" s="1106">
        <v>370.24878697000003</v>
      </c>
      <c r="AU34" s="1106">
        <v>0</v>
      </c>
      <c r="AV34" s="1106">
        <v>324.21888412999999</v>
      </c>
      <c r="AW34" s="1106">
        <v>0</v>
      </c>
      <c r="AX34" s="1106">
        <v>319.05832810999999</v>
      </c>
      <c r="AY34" s="1106">
        <v>0</v>
      </c>
      <c r="AZ34" s="1106">
        <v>317.26032810999999</v>
      </c>
      <c r="BA34" s="1106">
        <v>0</v>
      </c>
      <c r="BB34" s="1106">
        <v>317.16032811000002</v>
      </c>
      <c r="BC34" s="1106">
        <v>0</v>
      </c>
      <c r="BD34" s="1106">
        <v>317.16032811000002</v>
      </c>
      <c r="BE34" s="1106">
        <v>0</v>
      </c>
      <c r="BF34" s="1106">
        <v>325.96032810999998</v>
      </c>
      <c r="BG34" s="1106">
        <v>0</v>
      </c>
      <c r="BH34" s="1106">
        <v>290.86032811000001</v>
      </c>
      <c r="BI34" s="1106">
        <v>69.003859773000002</v>
      </c>
      <c r="BJ34" s="1106">
        <v>280.98227810999998</v>
      </c>
      <c r="BK34" s="1106">
        <v>0</v>
      </c>
      <c r="BL34" s="1106">
        <v>275.42858404999998</v>
      </c>
      <c r="BM34" s="1106">
        <v>82.396163313000002</v>
      </c>
      <c r="BN34" s="1106">
        <v>274.67858404999998</v>
      </c>
      <c r="BO34" s="1106">
        <v>0</v>
      </c>
      <c r="BP34" s="1106">
        <v>270.92857405000001</v>
      </c>
      <c r="BQ34" s="1106">
        <v>0</v>
      </c>
      <c r="BR34" s="1106">
        <v>268.62858404999997</v>
      </c>
      <c r="BS34" s="1106">
        <v>0</v>
      </c>
      <c r="BT34" s="1106">
        <v>222.36971765000001</v>
      </c>
      <c r="BU34" s="1106">
        <v>0</v>
      </c>
      <c r="BV34" s="1106">
        <v>217.04051163</v>
      </c>
      <c r="BW34" s="1106">
        <v>0</v>
      </c>
      <c r="BX34" s="1106">
        <v>215.01116163</v>
      </c>
      <c r="BY34" s="1106">
        <v>0</v>
      </c>
      <c r="BZ34" s="1106">
        <v>214.71116162999999</v>
      </c>
      <c r="CA34" s="1106">
        <v>0</v>
      </c>
      <c r="CB34" s="1106">
        <v>118.86116163</v>
      </c>
      <c r="CC34" s="1393">
        <v>0</v>
      </c>
      <c r="CD34" s="1393">
        <v>108.56116163</v>
      </c>
      <c r="CE34" s="1393">
        <v>0</v>
      </c>
      <c r="CF34" s="1106">
        <v>107.66116163</v>
      </c>
      <c r="CG34" s="1393">
        <v>0</v>
      </c>
      <c r="CH34" s="1393">
        <v>107.66116163</v>
      </c>
      <c r="CI34" s="1393">
        <v>0</v>
      </c>
      <c r="CJ34" s="1106">
        <v>107.66116163</v>
      </c>
      <c r="CK34" s="1393">
        <v>0</v>
      </c>
      <c r="CL34" s="1106">
        <v>107.66116163</v>
      </c>
      <c r="CM34" s="1393">
        <v>0</v>
      </c>
      <c r="CN34" s="1393">
        <v>107.66116163</v>
      </c>
      <c r="CO34" s="1393">
        <v>0</v>
      </c>
      <c r="CP34" s="1106">
        <v>91.961361629999999</v>
      </c>
      <c r="CQ34" s="1393">
        <v>0</v>
      </c>
      <c r="CR34" s="1393">
        <v>50.60039845</v>
      </c>
      <c r="CS34" s="1393">
        <v>0</v>
      </c>
      <c r="CT34" s="1106">
        <v>47.13453243</v>
      </c>
      <c r="CU34" s="1393">
        <v>0</v>
      </c>
      <c r="CV34" s="1106">
        <v>47.13453243</v>
      </c>
      <c r="CW34" s="1393">
        <v>0</v>
      </c>
      <c r="CX34" s="1106">
        <v>47.13453243</v>
      </c>
      <c r="CY34" s="1393">
        <v>0</v>
      </c>
      <c r="CZ34" s="1106">
        <v>47.13453243</v>
      </c>
      <c r="DA34" s="1393">
        <v>0</v>
      </c>
      <c r="DB34" s="1106">
        <v>47.13453243</v>
      </c>
      <c r="DC34" s="1393">
        <v>0</v>
      </c>
      <c r="DD34" s="1393">
        <v>47.13453243</v>
      </c>
      <c r="DE34" s="1393">
        <v>0</v>
      </c>
      <c r="DF34" s="1106">
        <v>47.13453243</v>
      </c>
      <c r="DG34" s="1393">
        <v>0</v>
      </c>
      <c r="DH34" s="1106">
        <v>44.818226490000001</v>
      </c>
      <c r="DI34" s="1106">
        <v>0</v>
      </c>
      <c r="DJ34" s="1106">
        <v>44.818226490000001</v>
      </c>
      <c r="DK34" s="1106">
        <v>0</v>
      </c>
      <c r="DL34" s="1106">
        <v>44.818226490000001</v>
      </c>
      <c r="DM34" s="1106">
        <v>0</v>
      </c>
      <c r="DN34" s="1106">
        <v>44.818226490000001</v>
      </c>
      <c r="DO34" s="1106">
        <v>0</v>
      </c>
      <c r="DP34" s="1106">
        <v>3.4658660000000001</v>
      </c>
      <c r="DQ34" s="1106">
        <v>0</v>
      </c>
      <c r="DR34" s="1106">
        <v>0</v>
      </c>
      <c r="DS34" s="1106">
        <v>0</v>
      </c>
      <c r="DT34" s="1106">
        <v>0</v>
      </c>
      <c r="DU34" s="1106">
        <v>0</v>
      </c>
      <c r="DV34" s="1106">
        <v>0</v>
      </c>
      <c r="DW34" s="1106">
        <v>0</v>
      </c>
      <c r="DX34" s="1106">
        <v>0.49080000000000001</v>
      </c>
      <c r="DY34" s="1106">
        <v>0</v>
      </c>
      <c r="DZ34" s="1106">
        <v>0.48615999999999998</v>
      </c>
      <c r="EA34" s="1106">
        <v>0</v>
      </c>
      <c r="EB34" s="1106">
        <v>0.48148999999999997</v>
      </c>
      <c r="EC34" s="1106">
        <v>0</v>
      </c>
      <c r="ED34" s="1104" t="s">
        <v>3594</v>
      </c>
    </row>
    <row r="35" spans="1:137" ht="19.899999999999999" customHeight="1">
      <c r="A35" s="1104" t="s">
        <v>2250</v>
      </c>
      <c r="B35" s="1106">
        <v>234.95188440999999</v>
      </c>
      <c r="C35" s="1106">
        <v>195.12327683000001</v>
      </c>
      <c r="D35" s="1106">
        <v>268.88079490000001</v>
      </c>
      <c r="E35" s="1106">
        <v>221.43274323</v>
      </c>
      <c r="F35" s="1106">
        <v>206.90925983</v>
      </c>
      <c r="G35" s="1106">
        <v>157.21659851999999</v>
      </c>
      <c r="H35" s="1106">
        <v>344.54410624000002</v>
      </c>
      <c r="I35" s="1106">
        <v>280.95656596999999</v>
      </c>
      <c r="J35" s="1106">
        <v>230.08420482</v>
      </c>
      <c r="K35" s="1106">
        <v>166.74980052000001</v>
      </c>
      <c r="L35" s="1106">
        <v>229.87628418</v>
      </c>
      <c r="M35" s="1106">
        <v>167.22694964999999</v>
      </c>
      <c r="N35" s="1106">
        <v>243.38250004</v>
      </c>
      <c r="O35" s="1106">
        <v>178.9507323405</v>
      </c>
      <c r="P35" s="1106">
        <v>210.99147250999999</v>
      </c>
      <c r="Q35" s="1106">
        <v>149.1312587553</v>
      </c>
      <c r="R35" s="1106">
        <v>221.34554524000001</v>
      </c>
      <c r="S35" s="1106">
        <v>152.62385587</v>
      </c>
      <c r="T35" s="1106">
        <v>220.34780151999999</v>
      </c>
      <c r="U35" s="1106">
        <v>152.3323612332</v>
      </c>
      <c r="V35" s="1106">
        <v>208.16022624114899</v>
      </c>
      <c r="W35" s="1106">
        <v>144.91526914714899</v>
      </c>
      <c r="X35" s="1106">
        <v>182.2740847</v>
      </c>
      <c r="Y35" s="1106">
        <v>119.2670949874</v>
      </c>
      <c r="Z35" s="1106">
        <v>232.02204954000001</v>
      </c>
      <c r="AA35" s="1106">
        <v>189.21168436299999</v>
      </c>
      <c r="AB35" s="1106">
        <v>220.95203647</v>
      </c>
      <c r="AC35" s="1106">
        <v>172.33375380769999</v>
      </c>
      <c r="AD35" s="1106">
        <v>233.29354089</v>
      </c>
      <c r="AE35" s="1106">
        <v>178.90467731909999</v>
      </c>
      <c r="AF35" s="1106">
        <v>233.55590319000001</v>
      </c>
      <c r="AG35" s="1106">
        <v>175.27538393680001</v>
      </c>
      <c r="AH35" s="1106">
        <v>262.92395310000001</v>
      </c>
      <c r="AI35" s="1106">
        <v>200.91243184999999</v>
      </c>
      <c r="AJ35" s="1106">
        <v>286.38107255675197</v>
      </c>
      <c r="AK35" s="1106">
        <v>226.143744995752</v>
      </c>
      <c r="AL35" s="1106">
        <v>227.63048746999999</v>
      </c>
      <c r="AM35" s="1106">
        <v>166.36580282</v>
      </c>
      <c r="AN35" s="1106">
        <v>213.98056588</v>
      </c>
      <c r="AO35" s="1106">
        <v>155.09159245699999</v>
      </c>
      <c r="AP35" s="1106">
        <v>193.33207709999999</v>
      </c>
      <c r="AQ35" s="1106">
        <v>132.359420296</v>
      </c>
      <c r="AR35" s="1106">
        <v>195.54766022000001</v>
      </c>
      <c r="AS35" s="1106">
        <v>134.833952616</v>
      </c>
      <c r="AT35" s="1106">
        <v>229.77275931</v>
      </c>
      <c r="AU35" s="1106">
        <v>169.78752703999999</v>
      </c>
      <c r="AV35" s="1106">
        <v>192.38832054</v>
      </c>
      <c r="AW35" s="1106">
        <v>133.339844629</v>
      </c>
      <c r="AX35" s="1106">
        <v>195.48950944804801</v>
      </c>
      <c r="AY35" s="1106">
        <v>141.84033955804799</v>
      </c>
      <c r="AZ35" s="1106">
        <v>210.17104859193799</v>
      </c>
      <c r="BA35" s="1106">
        <v>155.87378210193799</v>
      </c>
      <c r="BB35" s="1106">
        <v>210.29747437797201</v>
      </c>
      <c r="BC35" s="1106">
        <v>148.599841717972</v>
      </c>
      <c r="BD35" s="1106">
        <v>296.44900424076098</v>
      </c>
      <c r="BE35" s="1106">
        <v>237.555931030761</v>
      </c>
      <c r="BF35" s="1106">
        <v>357.15524324896302</v>
      </c>
      <c r="BG35" s="1106">
        <v>297.89144419896297</v>
      </c>
      <c r="BH35" s="1106">
        <v>418.65025798083002</v>
      </c>
      <c r="BI35" s="1106">
        <v>358.81315937083002</v>
      </c>
      <c r="BJ35" s="1106">
        <v>559.52983333999998</v>
      </c>
      <c r="BK35" s="1106">
        <v>467.95474130999997</v>
      </c>
      <c r="BL35" s="1106">
        <v>359.25306677860902</v>
      </c>
      <c r="BM35" s="1106">
        <v>293.142836318609</v>
      </c>
      <c r="BN35" s="1106">
        <v>426.36335369865299</v>
      </c>
      <c r="BO35" s="1106">
        <v>335.14947911865301</v>
      </c>
      <c r="BP35" s="1106">
        <v>568.23708756689996</v>
      </c>
      <c r="BQ35" s="1106">
        <v>477.3479928269</v>
      </c>
      <c r="BR35" s="1106">
        <v>567.73249526209895</v>
      </c>
      <c r="BS35" s="1106">
        <v>491.89208173209897</v>
      </c>
      <c r="BT35" s="1106">
        <v>512.93045197336403</v>
      </c>
      <c r="BU35" s="1106">
        <v>438.47528286336399</v>
      </c>
      <c r="BV35" s="1106">
        <v>560.36944358786104</v>
      </c>
      <c r="BW35" s="1106">
        <v>480.54995175786098</v>
      </c>
      <c r="BX35" s="1106">
        <v>479.70377755999999</v>
      </c>
      <c r="BY35" s="1106">
        <v>393.29119588999998</v>
      </c>
      <c r="BZ35" s="1106">
        <v>450.34329334276703</v>
      </c>
      <c r="CA35" s="1106">
        <v>370.052596772767</v>
      </c>
      <c r="CB35" s="1106">
        <v>420.296261081978</v>
      </c>
      <c r="CC35" s="1393">
        <v>347.80271800197801</v>
      </c>
      <c r="CD35" s="1393">
        <v>681.54565356000001</v>
      </c>
      <c r="CE35" s="1393">
        <v>598.38687166</v>
      </c>
      <c r="CF35" s="1106">
        <v>645.88828195999997</v>
      </c>
      <c r="CG35" s="1393">
        <v>568.15523129999997</v>
      </c>
      <c r="CH35" s="1393">
        <v>705.55861109</v>
      </c>
      <c r="CI35" s="1393">
        <v>622.76777428000003</v>
      </c>
      <c r="CJ35" s="1106">
        <v>353.30424454000001</v>
      </c>
      <c r="CK35" s="1393">
        <v>280.71941493000003</v>
      </c>
      <c r="CL35" s="1106">
        <v>385.36184363000001</v>
      </c>
      <c r="CM35" s="1393">
        <v>320.32537150000002</v>
      </c>
      <c r="CN35" s="1393">
        <v>291.11862941999999</v>
      </c>
      <c r="CO35" s="1393">
        <v>221.80893753000001</v>
      </c>
      <c r="CP35" s="1106">
        <v>287.04156884000002</v>
      </c>
      <c r="CQ35" s="1393">
        <v>213.65329657999999</v>
      </c>
      <c r="CR35" s="1393">
        <v>260.19356936999998</v>
      </c>
      <c r="CS35" s="1393">
        <v>178.33082769999999</v>
      </c>
      <c r="CT35" s="1106">
        <v>343.33583450162303</v>
      </c>
      <c r="CU35" s="1393">
        <v>256.12987224162299</v>
      </c>
      <c r="CV35" s="1106">
        <v>518.63267185999996</v>
      </c>
      <c r="CW35" s="1393">
        <v>382.52940505999999</v>
      </c>
      <c r="CX35" s="1106">
        <v>382.68585009999998</v>
      </c>
      <c r="CY35" s="1393">
        <v>284.44013920999998</v>
      </c>
      <c r="CZ35" s="1106">
        <v>489.97655817999998</v>
      </c>
      <c r="DA35" s="1393">
        <v>363.12353215000002</v>
      </c>
      <c r="DB35" s="1106">
        <v>375.67761967000001</v>
      </c>
      <c r="DC35" s="1393">
        <v>263.61012027999999</v>
      </c>
      <c r="DD35" s="1393">
        <v>448.13467419500398</v>
      </c>
      <c r="DE35" s="1393">
        <v>345.45475230500398</v>
      </c>
      <c r="DF35" s="1106">
        <v>609.41857464488203</v>
      </c>
      <c r="DG35" s="1393">
        <v>494.11057509488199</v>
      </c>
      <c r="DH35" s="1106">
        <v>472.60974920556498</v>
      </c>
      <c r="DI35" s="1106">
        <v>354.75169313556501</v>
      </c>
      <c r="DJ35" s="1106">
        <v>434.12147990003399</v>
      </c>
      <c r="DK35" s="1106">
        <v>324.41635245999998</v>
      </c>
      <c r="DL35" s="1106">
        <v>533.81886970999994</v>
      </c>
      <c r="DM35" s="1106">
        <v>446.40402124000002</v>
      </c>
      <c r="DN35" s="1106">
        <v>504.14701959000001</v>
      </c>
      <c r="DO35" s="1106">
        <v>424.56517924000002</v>
      </c>
      <c r="DP35" s="1106">
        <v>420.89486676000001</v>
      </c>
      <c r="DQ35" s="1106">
        <v>289.14824313999998</v>
      </c>
      <c r="DR35" s="1106">
        <v>697.75613200999999</v>
      </c>
      <c r="DS35" s="1106">
        <v>464.38529198999998</v>
      </c>
      <c r="DT35" s="1106">
        <v>864.15347244999998</v>
      </c>
      <c r="DU35" s="1106">
        <v>614.42949812999996</v>
      </c>
      <c r="DV35" s="1106">
        <v>750.86938647364798</v>
      </c>
      <c r="DW35" s="1106">
        <v>481.752498803648</v>
      </c>
      <c r="DX35" s="1106">
        <v>889.71546123979203</v>
      </c>
      <c r="DY35" s="1106">
        <v>637.07869806979204</v>
      </c>
      <c r="DZ35" s="1106">
        <v>685.00168755000004</v>
      </c>
      <c r="EA35" s="1106">
        <v>398.97197813999998</v>
      </c>
      <c r="EB35" s="1106">
        <v>568.60497741999995</v>
      </c>
      <c r="EC35" s="1106">
        <v>296.96631823000001</v>
      </c>
      <c r="ED35" s="1104" t="s">
        <v>3595</v>
      </c>
    </row>
    <row r="36" spans="1:137" ht="19.899999999999999" customHeight="1">
      <c r="A36" s="1104" t="s">
        <v>2249</v>
      </c>
      <c r="B36" s="1106">
        <v>1205.473989455</v>
      </c>
      <c r="C36" s="1106">
        <v>805.22246830500001</v>
      </c>
      <c r="D36" s="1106">
        <v>1192.509263935</v>
      </c>
      <c r="E36" s="1106">
        <v>786.42368431499995</v>
      </c>
      <c r="F36" s="1106">
        <v>1216.232269005</v>
      </c>
      <c r="G36" s="1106">
        <v>784.45135568499995</v>
      </c>
      <c r="H36" s="1106">
        <v>1438.5786233650001</v>
      </c>
      <c r="I36" s="1106">
        <v>885.936082425</v>
      </c>
      <c r="J36" s="1106">
        <v>1465.889575205</v>
      </c>
      <c r="K36" s="1106">
        <v>904.29541955499997</v>
      </c>
      <c r="L36" s="1106">
        <v>1429.892652705</v>
      </c>
      <c r="M36" s="1106">
        <v>883.25552543499998</v>
      </c>
      <c r="N36" s="1106">
        <v>1187.458369665</v>
      </c>
      <c r="O36" s="1106">
        <v>711.32252476500003</v>
      </c>
      <c r="P36" s="1106">
        <v>1202.164976215</v>
      </c>
      <c r="Q36" s="1106">
        <v>708.80436991500005</v>
      </c>
      <c r="R36" s="1106">
        <v>1184.3007328450001</v>
      </c>
      <c r="S36" s="1106">
        <v>697.36764365500005</v>
      </c>
      <c r="T36" s="1106">
        <v>1179.843269555</v>
      </c>
      <c r="U36" s="1106">
        <v>690.97068072499997</v>
      </c>
      <c r="V36" s="1106">
        <v>1127.4725294249999</v>
      </c>
      <c r="W36" s="1106">
        <v>644.60388046499997</v>
      </c>
      <c r="X36" s="1106">
        <v>1118.5774672150001</v>
      </c>
      <c r="Y36" s="1106">
        <v>640.782915495</v>
      </c>
      <c r="Z36" s="1106">
        <v>1078.2126508649999</v>
      </c>
      <c r="AA36" s="1106">
        <v>612.19329358499999</v>
      </c>
      <c r="AB36" s="1106">
        <v>1046.630043415</v>
      </c>
      <c r="AC36" s="1106">
        <v>601.56651486500004</v>
      </c>
      <c r="AD36" s="1106">
        <v>965.36994664500003</v>
      </c>
      <c r="AE36" s="1106">
        <v>550.44659183500005</v>
      </c>
      <c r="AF36" s="1106">
        <v>908.68387406500005</v>
      </c>
      <c r="AG36" s="1106">
        <v>537.42387948500004</v>
      </c>
      <c r="AH36" s="1106">
        <v>955.93976571500002</v>
      </c>
      <c r="AI36" s="1106">
        <v>551.17753047500003</v>
      </c>
      <c r="AJ36" s="1106">
        <v>999.89554780499998</v>
      </c>
      <c r="AK36" s="1106">
        <v>564.06212595500006</v>
      </c>
      <c r="AL36" s="1106">
        <v>1014.010982045</v>
      </c>
      <c r="AM36" s="1116">
        <v>566.90805074000002</v>
      </c>
      <c r="AN36" s="1116">
        <v>1069.9918661849999</v>
      </c>
      <c r="AO36" s="1106">
        <v>588.38387067999997</v>
      </c>
      <c r="AP36" s="1106">
        <v>1063.778419125</v>
      </c>
      <c r="AQ36" s="1106">
        <v>581.90072110000006</v>
      </c>
      <c r="AR36" s="1106">
        <v>1077.887039985</v>
      </c>
      <c r="AS36" s="1106">
        <v>593.22481114000004</v>
      </c>
      <c r="AT36" s="1116">
        <v>1072.896557845</v>
      </c>
      <c r="AU36" s="1106">
        <v>604.24897705000001</v>
      </c>
      <c r="AV36" s="1116">
        <v>1058.8683553349999</v>
      </c>
      <c r="AW36" s="1116">
        <v>589.63482986999998</v>
      </c>
      <c r="AX36" s="1116">
        <v>1071.31309487</v>
      </c>
      <c r="AY36" s="1116">
        <v>588.18314038999995</v>
      </c>
      <c r="AZ36" s="1116">
        <v>1023.18830723</v>
      </c>
      <c r="BA36" s="1116">
        <v>558.39187200000003</v>
      </c>
      <c r="BB36" s="1116">
        <v>1132.71004343</v>
      </c>
      <c r="BC36" s="1116">
        <v>608.69567030999997</v>
      </c>
      <c r="BD36" s="1116">
        <v>1174.58826924</v>
      </c>
      <c r="BE36" s="1116">
        <v>642.55953366999995</v>
      </c>
      <c r="BF36" s="1116">
        <v>1208.5517743</v>
      </c>
      <c r="BG36" s="1116">
        <v>662.27499895999995</v>
      </c>
      <c r="BH36" s="1116">
        <v>1156.9450921</v>
      </c>
      <c r="BI36" s="1116">
        <v>645.37396493999995</v>
      </c>
      <c r="BJ36" s="1116">
        <v>1137.444400285</v>
      </c>
      <c r="BK36" s="1116">
        <v>627.08549602999994</v>
      </c>
      <c r="BL36" s="1116">
        <v>1260.52278357</v>
      </c>
      <c r="BM36" s="1116">
        <v>726.49160674999996</v>
      </c>
      <c r="BN36" s="1116">
        <v>1247.4559421500001</v>
      </c>
      <c r="BO36" s="1116">
        <v>714.97885938000002</v>
      </c>
      <c r="BP36" s="1116">
        <v>1305.91164054</v>
      </c>
      <c r="BQ36" s="1116">
        <v>695.96127035999996</v>
      </c>
      <c r="BR36" s="1116">
        <v>1335.9250557600001</v>
      </c>
      <c r="BS36" s="1116">
        <v>676.69708051999999</v>
      </c>
      <c r="BT36" s="1116">
        <v>1380.1945748200001</v>
      </c>
      <c r="BU36" s="1116">
        <v>681.65315321000003</v>
      </c>
      <c r="BV36" s="1116">
        <v>1254.20160315</v>
      </c>
      <c r="BW36" s="1116">
        <v>626.84823133999998</v>
      </c>
      <c r="BX36" s="1116">
        <v>1438.2071495600001</v>
      </c>
      <c r="BY36" s="1116">
        <v>711.15557320000005</v>
      </c>
      <c r="BZ36" s="1116">
        <v>1510.36250853</v>
      </c>
      <c r="CA36" s="1116">
        <v>685.32684826000002</v>
      </c>
      <c r="CB36" s="1116">
        <v>1545.3613018000001</v>
      </c>
      <c r="CC36" s="1397">
        <v>721.14666957999998</v>
      </c>
      <c r="CD36" s="1397">
        <v>1504.0649733400001</v>
      </c>
      <c r="CE36" s="1397">
        <v>709.91041559999996</v>
      </c>
      <c r="CF36" s="1116">
        <v>1472.09690948</v>
      </c>
      <c r="CG36" s="1397">
        <v>692.05065702000002</v>
      </c>
      <c r="CH36" s="1397">
        <v>1156.86397932</v>
      </c>
      <c r="CI36" s="1397">
        <v>598.56722861000003</v>
      </c>
      <c r="CJ36" s="1116">
        <v>1236.89441807</v>
      </c>
      <c r="CK36" s="1397">
        <v>603.56538533000003</v>
      </c>
      <c r="CL36" s="1116">
        <v>1288.7812035100001</v>
      </c>
      <c r="CM36" s="1397">
        <v>607.09491251999998</v>
      </c>
      <c r="CN36" s="1397">
        <v>1151.2962495199999</v>
      </c>
      <c r="CO36" s="1397">
        <v>665.84418252</v>
      </c>
      <c r="CP36" s="1116">
        <v>1024.9306739199999</v>
      </c>
      <c r="CQ36" s="1397">
        <v>533.97309504999998</v>
      </c>
      <c r="CR36" s="1397">
        <v>1048.5644678599999</v>
      </c>
      <c r="CS36" s="1397">
        <v>561.73233622999999</v>
      </c>
      <c r="CT36" s="1116">
        <v>1533.52993877838</v>
      </c>
      <c r="CU36" s="1397">
        <v>712.735014588377</v>
      </c>
      <c r="CV36" s="1116">
        <v>1482.5003056200001</v>
      </c>
      <c r="CW36" s="1397">
        <v>686.23458608999999</v>
      </c>
      <c r="CX36" s="1116">
        <v>1289.83510262</v>
      </c>
      <c r="CY36" s="1397">
        <v>632.14260081999998</v>
      </c>
      <c r="CZ36" s="1116">
        <v>1295.90409224</v>
      </c>
      <c r="DA36" s="1397">
        <v>583.34362829999998</v>
      </c>
      <c r="DB36" s="1116">
        <v>1314.4067910900001</v>
      </c>
      <c r="DC36" s="1397">
        <v>614.08372295000004</v>
      </c>
      <c r="DD36" s="1397">
        <v>1663.684242755</v>
      </c>
      <c r="DE36" s="1397">
        <v>669.98971295499598</v>
      </c>
      <c r="DF36" s="1116">
        <v>1770.3710409351199</v>
      </c>
      <c r="DG36" s="1397">
        <v>635.68457858511795</v>
      </c>
      <c r="DH36" s="1116">
        <v>1505.3309100500001</v>
      </c>
      <c r="DI36" s="1116">
        <v>563.72432859000003</v>
      </c>
      <c r="DJ36" s="1116">
        <v>1364.6618282100001</v>
      </c>
      <c r="DK36" s="1116">
        <v>583.13900287000001</v>
      </c>
      <c r="DL36" s="1116">
        <v>1538.35593692</v>
      </c>
      <c r="DM36" s="1116">
        <v>566.13386834000005</v>
      </c>
      <c r="DN36" s="1116">
        <v>1827.00870657</v>
      </c>
      <c r="DO36" s="1116">
        <v>563.18601799999999</v>
      </c>
      <c r="DP36" s="1116">
        <v>1756.74616234</v>
      </c>
      <c r="DQ36" s="1116">
        <v>731.85014109999997</v>
      </c>
      <c r="DR36" s="1116">
        <v>1659.0977167399999</v>
      </c>
      <c r="DS36" s="1116">
        <v>883.08947945</v>
      </c>
      <c r="DT36" s="1116">
        <v>1986.54390397</v>
      </c>
      <c r="DU36" s="1116">
        <v>701.52014225000005</v>
      </c>
      <c r="DV36" s="1116">
        <v>1420.00333759</v>
      </c>
      <c r="DW36" s="1116">
        <v>662.74094932000003</v>
      </c>
      <c r="DX36" s="1116">
        <v>1942.2665898499999</v>
      </c>
      <c r="DY36" s="1116">
        <v>770.58092322000005</v>
      </c>
      <c r="DZ36" s="1116">
        <v>1883.4668487500001</v>
      </c>
      <c r="EA36" s="1116">
        <v>832.90452151</v>
      </c>
      <c r="EB36" s="1116">
        <v>1661.35957147</v>
      </c>
      <c r="EC36" s="1116">
        <v>871.37750742000003</v>
      </c>
      <c r="ED36" s="1104" t="s">
        <v>3596</v>
      </c>
    </row>
    <row r="37" spans="1:137" ht="19.899999999999999" customHeight="1">
      <c r="A37" s="1104" t="s">
        <v>2248</v>
      </c>
      <c r="B37" s="1106">
        <v>74.492667049999994</v>
      </c>
      <c r="C37" s="1106">
        <v>22.424890000000001</v>
      </c>
      <c r="D37" s="1106">
        <v>69.192667049999997</v>
      </c>
      <c r="E37" s="1106">
        <v>22.424890000000001</v>
      </c>
      <c r="F37" s="1106">
        <v>72.794947050000005</v>
      </c>
      <c r="G37" s="1106">
        <v>20.92717</v>
      </c>
      <c r="H37" s="1106">
        <v>85.794947050000005</v>
      </c>
      <c r="I37" s="1106">
        <v>20.92717</v>
      </c>
      <c r="J37" s="1106">
        <v>89.42494705</v>
      </c>
      <c r="K37" s="1106">
        <v>20.92717</v>
      </c>
      <c r="L37" s="1106">
        <v>74.903480889999997</v>
      </c>
      <c r="M37" s="1106">
        <v>20.92717</v>
      </c>
      <c r="N37" s="1106">
        <v>68.207170000000005</v>
      </c>
      <c r="O37" s="1106">
        <v>14.977169999999999</v>
      </c>
      <c r="P37" s="1106">
        <v>71.307169999999999</v>
      </c>
      <c r="Q37" s="1106">
        <v>14.977169999999999</v>
      </c>
      <c r="R37" s="1106">
        <v>68.179450000000003</v>
      </c>
      <c r="S37" s="1106">
        <v>13.47945</v>
      </c>
      <c r="T37" s="1106">
        <v>68.179450000000003</v>
      </c>
      <c r="U37" s="1106">
        <v>13.47945</v>
      </c>
      <c r="V37" s="1106">
        <v>48.679450000000003</v>
      </c>
      <c r="W37" s="1106">
        <v>13.47945</v>
      </c>
      <c r="X37" s="1106">
        <v>48.679450000000003</v>
      </c>
      <c r="Y37" s="1106">
        <v>13.47945</v>
      </c>
      <c r="Z37" s="1106">
        <v>48.679450000000003</v>
      </c>
      <c r="AA37" s="1106">
        <v>13.47945</v>
      </c>
      <c r="AB37" s="1106">
        <v>48.679450000000003</v>
      </c>
      <c r="AC37" s="1106">
        <v>13.47945</v>
      </c>
      <c r="AD37" s="1106">
        <v>34.18</v>
      </c>
      <c r="AE37" s="1106">
        <v>0</v>
      </c>
      <c r="AF37" s="1106">
        <v>29.18</v>
      </c>
      <c r="AG37" s="1106">
        <v>0</v>
      </c>
      <c r="AH37" s="1106">
        <v>34.28</v>
      </c>
      <c r="AI37" s="1106">
        <v>0</v>
      </c>
      <c r="AJ37" s="1106">
        <v>34.28</v>
      </c>
      <c r="AK37" s="1106">
        <v>0</v>
      </c>
      <c r="AL37" s="1106">
        <v>34.28</v>
      </c>
      <c r="AM37" s="1116">
        <v>0</v>
      </c>
      <c r="AN37" s="1116">
        <v>33.713333329999998</v>
      </c>
      <c r="AO37" s="1106">
        <v>0</v>
      </c>
      <c r="AP37" s="1106">
        <v>42.693333000000003</v>
      </c>
      <c r="AQ37" s="1106">
        <v>0</v>
      </c>
      <c r="AR37" s="1106">
        <v>71.081563000000003</v>
      </c>
      <c r="AS37" s="1106">
        <v>13.38823</v>
      </c>
      <c r="AT37" s="1116">
        <v>75.729456999999996</v>
      </c>
      <c r="AU37" s="1106">
        <v>18.602789999999999</v>
      </c>
      <c r="AV37" s="1116">
        <v>66.750027000000003</v>
      </c>
      <c r="AW37" s="1116">
        <v>9.6233599999999999</v>
      </c>
      <c r="AX37" s="1116">
        <v>130.02509699999999</v>
      </c>
      <c r="AY37" s="1116">
        <v>13.07343</v>
      </c>
      <c r="AZ37" s="1116">
        <v>125.51833999999999</v>
      </c>
      <c r="BA37" s="1116">
        <v>9.1333400000000005</v>
      </c>
      <c r="BB37" s="1116">
        <v>131.25149999999999</v>
      </c>
      <c r="BC37" s="1116">
        <v>7.3864999999999998</v>
      </c>
      <c r="BD37" s="1116">
        <v>141.54510999999999</v>
      </c>
      <c r="BE37" s="1116">
        <v>17.680109999999999</v>
      </c>
      <c r="BF37" s="1116">
        <v>147.47660300000001</v>
      </c>
      <c r="BG37" s="1116">
        <v>17.803270000000001</v>
      </c>
      <c r="BH37" s="1116">
        <v>148.56580299999999</v>
      </c>
      <c r="BI37" s="1116">
        <v>18.892469999999999</v>
      </c>
      <c r="BJ37" s="1116">
        <v>143.96605299999999</v>
      </c>
      <c r="BK37" s="1116">
        <v>14.292719999999999</v>
      </c>
      <c r="BL37" s="1116">
        <v>141.75351699999999</v>
      </c>
      <c r="BM37" s="1116">
        <v>12.646850000000001</v>
      </c>
      <c r="BN37" s="1116">
        <v>135.758657</v>
      </c>
      <c r="BO37" s="1116">
        <v>12.671989999999999</v>
      </c>
      <c r="BP37" s="1116">
        <v>145.760617</v>
      </c>
      <c r="BQ37" s="1116">
        <v>12.67395</v>
      </c>
      <c r="BR37" s="1116">
        <v>144.68964</v>
      </c>
      <c r="BS37" s="1116">
        <v>12.169639999999999</v>
      </c>
      <c r="BT37" s="1116">
        <v>144.85840999999999</v>
      </c>
      <c r="BU37" s="1116">
        <v>12.33841</v>
      </c>
      <c r="BV37" s="1116">
        <v>137.77612999999999</v>
      </c>
      <c r="BW37" s="1116">
        <v>16.756129999999999</v>
      </c>
      <c r="BX37" s="1116">
        <v>134.297303</v>
      </c>
      <c r="BY37" s="1116">
        <v>14.343970000000001</v>
      </c>
      <c r="BZ37" s="1116">
        <v>127.252343</v>
      </c>
      <c r="CA37" s="1116">
        <v>8.3190100000000005</v>
      </c>
      <c r="CB37" s="1116">
        <v>134.31285299999999</v>
      </c>
      <c r="CC37" s="1397">
        <v>8.1545199999999998</v>
      </c>
      <c r="CD37" s="1397">
        <v>150.68659700000001</v>
      </c>
      <c r="CE37" s="1397">
        <v>7.8699300000000001</v>
      </c>
      <c r="CF37" s="1116">
        <v>147.350437</v>
      </c>
      <c r="CG37" s="1397">
        <v>7.6797800000000001</v>
      </c>
      <c r="CH37" s="1397">
        <v>130.843197</v>
      </c>
      <c r="CI37" s="1397">
        <v>7.4775400000000003</v>
      </c>
      <c r="CJ37" s="1116">
        <v>124.88963</v>
      </c>
      <c r="CK37" s="1397">
        <v>3.36564</v>
      </c>
      <c r="CL37" s="1116">
        <v>119.65858</v>
      </c>
      <c r="CM37" s="1397">
        <v>3.1345900000000002</v>
      </c>
      <c r="CN37" s="1397">
        <v>93.281530000000004</v>
      </c>
      <c r="CO37" s="1397">
        <v>3.03254</v>
      </c>
      <c r="CP37" s="1116">
        <v>92.057069999999996</v>
      </c>
      <c r="CQ37" s="1397">
        <v>3.0830799999999998</v>
      </c>
      <c r="CR37" s="1397">
        <v>84.521280000000004</v>
      </c>
      <c r="CS37" s="1397">
        <v>3.14229</v>
      </c>
      <c r="CT37" s="1116">
        <v>89.090320000000006</v>
      </c>
      <c r="CU37" s="1397">
        <v>2.9863300000000002</v>
      </c>
      <c r="CV37" s="1116">
        <v>87.755629999999996</v>
      </c>
      <c r="CW37" s="1397">
        <v>2.9266399999999999</v>
      </c>
      <c r="CX37" s="1116">
        <v>107.10448</v>
      </c>
      <c r="CY37" s="1397">
        <v>2.77549</v>
      </c>
      <c r="CZ37" s="1116">
        <v>90.611069999999998</v>
      </c>
      <c r="DA37" s="1397">
        <v>6.05708</v>
      </c>
      <c r="DB37" s="1116">
        <v>95.219579999999993</v>
      </c>
      <c r="DC37" s="1397">
        <v>5.9405900000000003</v>
      </c>
      <c r="DD37" s="1397">
        <v>91.812839999999994</v>
      </c>
      <c r="DE37" s="1397">
        <v>2.5338500000000002</v>
      </c>
      <c r="DF37" s="1116">
        <v>90.590310000000002</v>
      </c>
      <c r="DG37" s="1397">
        <v>2.5863200000000002</v>
      </c>
      <c r="DH37" s="1116">
        <v>88.307010000000005</v>
      </c>
      <c r="DI37" s="1116">
        <v>7.5780200000000004</v>
      </c>
      <c r="DJ37" s="1116">
        <v>93.608140000000006</v>
      </c>
      <c r="DK37" s="1116">
        <v>7.3262700000000001</v>
      </c>
      <c r="DL37" s="1116">
        <v>116.01008</v>
      </c>
      <c r="DM37" s="1116">
        <v>9.7525600000000008</v>
      </c>
      <c r="DN37" s="1116">
        <v>109.46997</v>
      </c>
      <c r="DO37" s="1116">
        <v>4.4874499999999999</v>
      </c>
      <c r="DP37" s="1116">
        <v>116.42446</v>
      </c>
      <c r="DQ37" s="1116">
        <v>5.0669399999999998</v>
      </c>
      <c r="DR37" s="1116">
        <v>86.457149999999999</v>
      </c>
      <c r="DS37" s="1116">
        <v>7.3536200000000003</v>
      </c>
      <c r="DT37" s="1116">
        <v>117.24541000000001</v>
      </c>
      <c r="DU37" s="1116">
        <v>5.0628900000000003</v>
      </c>
      <c r="DV37" s="1116">
        <v>130.10533000000001</v>
      </c>
      <c r="DW37" s="1116">
        <v>5.1728100000000001</v>
      </c>
      <c r="DX37" s="1116">
        <v>130.13506000000001</v>
      </c>
      <c r="DY37" s="1116">
        <v>5.2025399999999999</v>
      </c>
      <c r="DZ37" s="1116">
        <v>88.396109999999993</v>
      </c>
      <c r="EA37" s="1116">
        <v>5.0925799999999999</v>
      </c>
      <c r="EB37" s="1116">
        <v>463.54343999999998</v>
      </c>
      <c r="EC37" s="1116">
        <v>354.73991000000001</v>
      </c>
      <c r="ED37" s="1104" t="s">
        <v>3597</v>
      </c>
      <c r="EG37" s="1142"/>
    </row>
    <row r="38" spans="1:137" ht="19.899999999999999" customHeight="1">
      <c r="A38" s="1104" t="s">
        <v>2247</v>
      </c>
      <c r="B38" s="1106">
        <v>1991.5959309699999</v>
      </c>
      <c r="C38" s="1106">
        <v>62.311436069999999</v>
      </c>
      <c r="D38" s="1106">
        <v>1994.0447383000001</v>
      </c>
      <c r="E38" s="1106">
        <v>193.48326104</v>
      </c>
      <c r="F38" s="1106">
        <v>2023.6703067399999</v>
      </c>
      <c r="G38" s="1106">
        <v>62.313036070000003</v>
      </c>
      <c r="H38" s="1106">
        <v>2057.5875685999999</v>
      </c>
      <c r="I38" s="1106">
        <v>60.02246117</v>
      </c>
      <c r="J38" s="1106">
        <v>1992.57476993</v>
      </c>
      <c r="K38" s="1106">
        <v>60.02246117</v>
      </c>
      <c r="L38" s="1106">
        <v>1994.19371813</v>
      </c>
      <c r="M38" s="1106">
        <v>60.022453759999998</v>
      </c>
      <c r="N38" s="1106">
        <v>1996.0020677499999</v>
      </c>
      <c r="O38" s="1106">
        <v>57.685599760999999</v>
      </c>
      <c r="P38" s="1106">
        <v>2008.1033840699999</v>
      </c>
      <c r="Q38" s="1106">
        <v>57.685599760999999</v>
      </c>
      <c r="R38" s="1106">
        <v>2015.27253086</v>
      </c>
      <c r="S38" s="1106">
        <v>44.085599760000001</v>
      </c>
      <c r="T38" s="1106">
        <v>2042.0841490800001</v>
      </c>
      <c r="U38" s="1106">
        <v>43.067935030000001</v>
      </c>
      <c r="V38" s="1106">
        <v>2062.4535470300002</v>
      </c>
      <c r="W38" s="1106">
        <v>43.067884030000002</v>
      </c>
      <c r="X38" s="1106">
        <v>2082.6156929099998</v>
      </c>
      <c r="Y38" s="1106">
        <v>43.067884030999998</v>
      </c>
      <c r="Z38" s="1106">
        <v>2099.0267408499999</v>
      </c>
      <c r="AA38" s="1106">
        <v>36.521122847999997</v>
      </c>
      <c r="AB38" s="1106">
        <v>2099.2303352499998</v>
      </c>
      <c r="AC38" s="1106">
        <v>39.921122848000003</v>
      </c>
      <c r="AD38" s="1106">
        <v>2106.6827942</v>
      </c>
      <c r="AE38" s="1106">
        <v>39.921122848000003</v>
      </c>
      <c r="AF38" s="1106">
        <v>2130.2433788899998</v>
      </c>
      <c r="AG38" s="1106">
        <v>39.423464848000002</v>
      </c>
      <c r="AH38" s="1106">
        <v>2161.5614141000001</v>
      </c>
      <c r="AI38" s="1106">
        <v>39.423464848000002</v>
      </c>
      <c r="AJ38" s="1106">
        <v>2181.5851008599998</v>
      </c>
      <c r="AK38" s="1106">
        <v>47.923464848000002</v>
      </c>
      <c r="AL38" s="1106">
        <v>2201.3824807199999</v>
      </c>
      <c r="AM38" s="1116">
        <v>49.019964848000001</v>
      </c>
      <c r="AN38" s="1116">
        <v>2236.9734742000001</v>
      </c>
      <c r="AO38" s="1106">
        <v>49.019964848000001</v>
      </c>
      <c r="AP38" s="1106">
        <v>2262.0172760199998</v>
      </c>
      <c r="AQ38" s="1106">
        <v>49.019964848000001</v>
      </c>
      <c r="AR38" s="1106">
        <v>2287.3991594200002</v>
      </c>
      <c r="AS38" s="1106">
        <v>49.019964848000001</v>
      </c>
      <c r="AT38" s="1116">
        <v>2308.7758762499998</v>
      </c>
      <c r="AU38" s="1106">
        <v>49.019964848000001</v>
      </c>
      <c r="AV38" s="1116">
        <v>2335.1223580199999</v>
      </c>
      <c r="AW38" s="1116">
        <v>49.019964848000001</v>
      </c>
      <c r="AX38" s="1116">
        <v>2380.7902084900002</v>
      </c>
      <c r="AY38" s="1116">
        <v>49.019964848000001</v>
      </c>
      <c r="AZ38" s="1116">
        <v>2384.4248082399999</v>
      </c>
      <c r="BA38" s="1116">
        <v>49.019964848000001</v>
      </c>
      <c r="BB38" s="1116">
        <v>2394.6327143799999</v>
      </c>
      <c r="BC38" s="1116">
        <v>49.019964848000001</v>
      </c>
      <c r="BD38" s="1116">
        <v>2422.67623753</v>
      </c>
      <c r="BE38" s="1116">
        <v>49.019964848000001</v>
      </c>
      <c r="BF38" s="1116">
        <v>2481.2654238800001</v>
      </c>
      <c r="BG38" s="1116">
        <v>43.913333299999998</v>
      </c>
      <c r="BH38" s="1116">
        <v>2507.88645473</v>
      </c>
      <c r="BI38" s="1116">
        <v>43.913333299999998</v>
      </c>
      <c r="BJ38" s="1116">
        <v>2527.3387315999998</v>
      </c>
      <c r="BK38" s="1116">
        <v>50.713333300000002</v>
      </c>
      <c r="BL38" s="1116">
        <v>2555.8420504999999</v>
      </c>
      <c r="BM38" s="1116">
        <v>55.813333299999996</v>
      </c>
      <c r="BN38" s="1116">
        <v>2564.66511593</v>
      </c>
      <c r="BO38" s="1116">
        <v>64.313333299999996</v>
      </c>
      <c r="BP38" s="1116">
        <v>2608.7272801300001</v>
      </c>
      <c r="BQ38" s="1116">
        <v>64.313333299999996</v>
      </c>
      <c r="BR38" s="1116">
        <v>2656.3770637100001</v>
      </c>
      <c r="BS38" s="1116">
        <v>64.313333299999996</v>
      </c>
      <c r="BT38" s="1116">
        <v>2672.2577377699999</v>
      </c>
      <c r="BU38" s="1116">
        <v>50.79943944</v>
      </c>
      <c r="BV38" s="1116">
        <v>2701.09393172</v>
      </c>
      <c r="BW38" s="1116">
        <v>59.21443944</v>
      </c>
      <c r="BX38" s="1116">
        <v>2681.3224838400001</v>
      </c>
      <c r="BY38" s="1116">
        <v>59.29943944</v>
      </c>
      <c r="BZ38" s="1116">
        <v>2734.0961901300002</v>
      </c>
      <c r="CA38" s="1116">
        <v>88.199439440000006</v>
      </c>
      <c r="CB38" s="1116">
        <v>2759.1433795200001</v>
      </c>
      <c r="CC38" s="1397">
        <v>94.788639439999997</v>
      </c>
      <c r="CD38" s="1397">
        <v>2844.6755539699998</v>
      </c>
      <c r="CE38" s="1397">
        <v>97.508639439999996</v>
      </c>
      <c r="CF38" s="1116">
        <v>2867.49136873</v>
      </c>
      <c r="CG38" s="1397">
        <v>98.783639440000002</v>
      </c>
      <c r="CH38" s="1397">
        <v>2895.0998305200001</v>
      </c>
      <c r="CI38" s="1397">
        <v>105.07363943999999</v>
      </c>
      <c r="CJ38" s="1116">
        <v>2918.4541028799999</v>
      </c>
      <c r="CK38" s="1397">
        <v>105.07363943999999</v>
      </c>
      <c r="CL38" s="1116">
        <v>2957.6044099400001</v>
      </c>
      <c r="CM38" s="1397">
        <v>105.07363943999999</v>
      </c>
      <c r="CN38" s="1397">
        <v>3029.8323162500001</v>
      </c>
      <c r="CO38" s="1397">
        <v>105.07363943999999</v>
      </c>
      <c r="CP38" s="1116">
        <v>2927.59141473</v>
      </c>
      <c r="CQ38" s="1397">
        <v>105.07363943999999</v>
      </c>
      <c r="CR38" s="1397">
        <v>3025.35744527</v>
      </c>
      <c r="CS38" s="1397">
        <v>102.94863943999999</v>
      </c>
      <c r="CT38" s="1116">
        <v>3077.7950090499999</v>
      </c>
      <c r="CU38" s="1397">
        <v>98.415306099999995</v>
      </c>
      <c r="CV38" s="1116">
        <v>3063.03833093</v>
      </c>
      <c r="CW38" s="1397">
        <v>90.885496099999997</v>
      </c>
      <c r="CX38" s="1116">
        <v>3062.2009270100002</v>
      </c>
      <c r="CY38" s="1397">
        <v>90.885496099999997</v>
      </c>
      <c r="CZ38" s="1116">
        <v>3098.00876075</v>
      </c>
      <c r="DA38" s="1397">
        <v>89.958737799999994</v>
      </c>
      <c r="DB38" s="1116">
        <v>3181.2432142399998</v>
      </c>
      <c r="DC38" s="1397">
        <v>97.586127869999999</v>
      </c>
      <c r="DD38" s="1397">
        <v>3213.6829313899998</v>
      </c>
      <c r="DE38" s="1397">
        <v>85.871506600000004</v>
      </c>
      <c r="DF38" s="1116">
        <v>3219.7505554999998</v>
      </c>
      <c r="DG38" s="1397">
        <v>82.159000579999997</v>
      </c>
      <c r="DH38" s="1116">
        <v>3207.83179599</v>
      </c>
      <c r="DI38" s="1116">
        <v>78.029190580000005</v>
      </c>
      <c r="DJ38" s="1116">
        <v>3259.3495290300002</v>
      </c>
      <c r="DK38" s="1116">
        <v>79.729190579999994</v>
      </c>
      <c r="DL38" s="1116">
        <v>3332.7990627899999</v>
      </c>
      <c r="DM38" s="1116">
        <v>83.866953159999994</v>
      </c>
      <c r="DN38" s="1116">
        <v>3348.4429272900002</v>
      </c>
      <c r="DO38" s="1116">
        <v>96.560784620000007</v>
      </c>
      <c r="DP38" s="1116">
        <v>3375.4580194</v>
      </c>
      <c r="DQ38" s="1116">
        <v>109.02877422</v>
      </c>
      <c r="DR38" s="1116">
        <v>3484.0405532899999</v>
      </c>
      <c r="DS38" s="1116">
        <v>108.60347504000001</v>
      </c>
      <c r="DT38" s="1116">
        <v>3486.2491947899998</v>
      </c>
      <c r="DU38" s="1116">
        <v>112.95091504</v>
      </c>
      <c r="DV38" s="1116">
        <v>3564.48619912</v>
      </c>
      <c r="DW38" s="1116">
        <v>112.95056504</v>
      </c>
      <c r="DX38" s="1116">
        <v>3592.7821241400002</v>
      </c>
      <c r="DY38" s="1116">
        <v>113.27396503999999</v>
      </c>
      <c r="DZ38" s="1116">
        <v>3664.8422187900001</v>
      </c>
      <c r="EA38" s="1116">
        <v>106.83744978999999</v>
      </c>
      <c r="EB38" s="1116">
        <v>3688.9979393499998</v>
      </c>
      <c r="EC38" s="1116">
        <v>105.64228146000001</v>
      </c>
      <c r="ED38" s="1104" t="s">
        <v>3598</v>
      </c>
    </row>
    <row r="39" spans="1:137" ht="19.899999999999999" customHeight="1">
      <c r="A39" s="1104" t="s">
        <v>2246</v>
      </c>
      <c r="B39" s="1106">
        <v>1747.6720299999999</v>
      </c>
      <c r="C39" s="1106">
        <v>1747.4940300000001</v>
      </c>
      <c r="D39" s="1106">
        <v>1747.67128</v>
      </c>
      <c r="E39" s="1106">
        <v>1747.4940300000001</v>
      </c>
      <c r="F39" s="1106">
        <v>1747.67028</v>
      </c>
      <c r="G39" s="1106">
        <v>1747.4940300000001</v>
      </c>
      <c r="H39" s="1106">
        <v>1747.6698799999999</v>
      </c>
      <c r="I39" s="1106">
        <v>1747.4940300000001</v>
      </c>
      <c r="J39" s="1106">
        <v>1747.66923</v>
      </c>
      <c r="K39" s="1106">
        <v>1747.4940300000001</v>
      </c>
      <c r="L39" s="1106">
        <v>1749.6681325899999</v>
      </c>
      <c r="M39" s="1106">
        <v>1747.49403259</v>
      </c>
      <c r="N39" s="1106">
        <v>1749.6668825899999</v>
      </c>
      <c r="O39" s="1106">
        <v>1747.494032591</v>
      </c>
      <c r="P39" s="1106">
        <v>1749.66648259</v>
      </c>
      <c r="Q39" s="1106">
        <v>1747.494032591</v>
      </c>
      <c r="R39" s="1106">
        <v>1749.66423259</v>
      </c>
      <c r="S39" s="1106">
        <v>1747.49403259</v>
      </c>
      <c r="T39" s="1106">
        <v>1725.36198259</v>
      </c>
      <c r="U39" s="1106">
        <v>1723.69403259</v>
      </c>
      <c r="V39" s="1106">
        <v>1706.70143259</v>
      </c>
      <c r="W39" s="1106">
        <v>1705.20143259</v>
      </c>
      <c r="X39" s="1106">
        <v>1706.70143259</v>
      </c>
      <c r="Y39" s="1106">
        <v>1705.201432591</v>
      </c>
      <c r="Z39" s="1106">
        <v>1729.65143259</v>
      </c>
      <c r="AA39" s="1106">
        <v>1728.151432591</v>
      </c>
      <c r="AB39" s="1106">
        <v>1728.1764325900001</v>
      </c>
      <c r="AC39" s="1106">
        <v>1728.151432591</v>
      </c>
      <c r="AD39" s="1106">
        <v>1728.1764325900001</v>
      </c>
      <c r="AE39" s="1106">
        <v>1728.151432591</v>
      </c>
      <c r="AF39" s="1106">
        <v>1726.0434325900001</v>
      </c>
      <c r="AG39" s="1106">
        <v>1726.0434325910001</v>
      </c>
      <c r="AH39" s="1106">
        <v>1726.0434325900001</v>
      </c>
      <c r="AI39" s="1106">
        <v>1726.0434325910001</v>
      </c>
      <c r="AJ39" s="1106">
        <v>1726.0434325900001</v>
      </c>
      <c r="AK39" s="1106">
        <v>1726.0434325910001</v>
      </c>
      <c r="AL39" s="1106">
        <v>876.04343258999995</v>
      </c>
      <c r="AM39" s="1116">
        <v>876.04343259100006</v>
      </c>
      <c r="AN39" s="1116">
        <v>876.04343258999995</v>
      </c>
      <c r="AO39" s="1106">
        <v>876.04343259100006</v>
      </c>
      <c r="AP39" s="1106">
        <v>876.04343258999995</v>
      </c>
      <c r="AQ39" s="1106">
        <v>876.04343259100006</v>
      </c>
      <c r="AR39" s="1106">
        <v>876.04343258999995</v>
      </c>
      <c r="AS39" s="1106">
        <v>876.04343259100006</v>
      </c>
      <c r="AT39" s="1116">
        <v>891.41143259</v>
      </c>
      <c r="AU39" s="1106">
        <v>891.41143259099999</v>
      </c>
      <c r="AV39" s="1116">
        <v>891.41143259</v>
      </c>
      <c r="AW39" s="1116">
        <v>891.41143259099999</v>
      </c>
      <c r="AX39" s="1116">
        <v>894.44653258999995</v>
      </c>
      <c r="AY39" s="1116">
        <v>884.44653259100005</v>
      </c>
      <c r="AZ39" s="1116">
        <v>942.20197258999997</v>
      </c>
      <c r="BA39" s="1116">
        <v>930.61005800099997</v>
      </c>
      <c r="BB39" s="1116">
        <v>880.84143724</v>
      </c>
      <c r="BC39" s="1116">
        <v>844.54143724100004</v>
      </c>
      <c r="BD39" s="1116">
        <v>893.67917244</v>
      </c>
      <c r="BE39" s="1116">
        <v>857.17117244099995</v>
      </c>
      <c r="BF39" s="1116">
        <v>861.22150260000001</v>
      </c>
      <c r="BG39" s="1116">
        <v>825.47150260000001</v>
      </c>
      <c r="BH39" s="1116">
        <v>858.29285652999999</v>
      </c>
      <c r="BI39" s="1116">
        <v>805.54285652999999</v>
      </c>
      <c r="BJ39" s="1116">
        <v>883.68211259999998</v>
      </c>
      <c r="BK39" s="1116">
        <v>802.93211259999998</v>
      </c>
      <c r="BL39" s="1116">
        <v>883.66386433000002</v>
      </c>
      <c r="BM39" s="1116">
        <v>802.91386433000002</v>
      </c>
      <c r="BN39" s="1116">
        <v>883.58562259999997</v>
      </c>
      <c r="BO39" s="1116">
        <v>802.89562260000002</v>
      </c>
      <c r="BP39" s="1116">
        <v>871.49637259999997</v>
      </c>
      <c r="BQ39" s="1116">
        <v>785.82637260000001</v>
      </c>
      <c r="BR39" s="1116">
        <v>878.32912260000001</v>
      </c>
      <c r="BS39" s="1116">
        <v>792.65912260000005</v>
      </c>
      <c r="BT39" s="1116">
        <v>893.70890259999999</v>
      </c>
      <c r="BU39" s="1116">
        <v>808.08090259999994</v>
      </c>
      <c r="BV39" s="1116">
        <v>821.2798626</v>
      </c>
      <c r="BW39" s="1116">
        <v>735.67186260000005</v>
      </c>
      <c r="BX39" s="1116">
        <v>819.58402260000003</v>
      </c>
      <c r="BY39" s="1116">
        <v>733.97602259999996</v>
      </c>
      <c r="BZ39" s="1116">
        <v>811.49012259999995</v>
      </c>
      <c r="CA39" s="1116">
        <v>725.8821226</v>
      </c>
      <c r="CB39" s="1116">
        <v>810.25127259999999</v>
      </c>
      <c r="CC39" s="1397">
        <v>725.86527260000003</v>
      </c>
      <c r="CD39" s="1397">
        <v>810.40102260000003</v>
      </c>
      <c r="CE39" s="1397">
        <v>726.01502259999995</v>
      </c>
      <c r="CF39" s="1116">
        <v>809.77557260000003</v>
      </c>
      <c r="CG39" s="1397">
        <v>725.38957259999995</v>
      </c>
      <c r="CH39" s="1397">
        <v>807.7553226</v>
      </c>
      <c r="CI39" s="1397">
        <v>725.36932260000003</v>
      </c>
      <c r="CJ39" s="1116">
        <v>793.3490726</v>
      </c>
      <c r="CK39" s="1397">
        <v>725.3490726</v>
      </c>
      <c r="CL39" s="1116">
        <v>793.57702259999996</v>
      </c>
      <c r="CM39" s="1397">
        <v>725.57702259999996</v>
      </c>
      <c r="CN39" s="1397">
        <v>807.59927259999995</v>
      </c>
      <c r="CO39" s="1397">
        <v>725.59927259999995</v>
      </c>
      <c r="CP39" s="1116">
        <v>791.39502259999995</v>
      </c>
      <c r="CQ39" s="1397">
        <v>709.39502259999995</v>
      </c>
      <c r="CR39" s="1397">
        <v>789.05137260000004</v>
      </c>
      <c r="CS39" s="1397">
        <v>709.54137260000005</v>
      </c>
      <c r="CT39" s="1116">
        <v>777.3726226</v>
      </c>
      <c r="CU39" s="1397">
        <v>709.14712259999999</v>
      </c>
      <c r="CV39" s="1116">
        <v>777.52237260000004</v>
      </c>
      <c r="CW39" s="1397">
        <v>709.29687260000003</v>
      </c>
      <c r="CX39" s="1116">
        <v>763.54232260000003</v>
      </c>
      <c r="CY39" s="1397">
        <v>710.31682260000002</v>
      </c>
      <c r="CZ39" s="1116">
        <v>758.88587259999997</v>
      </c>
      <c r="DA39" s="1397">
        <v>710.66037259999996</v>
      </c>
      <c r="DB39" s="1116">
        <v>803.36562260000005</v>
      </c>
      <c r="DC39" s="1397">
        <v>770.14012260000004</v>
      </c>
      <c r="DD39" s="1397">
        <v>802.90437510000004</v>
      </c>
      <c r="DE39" s="1397">
        <v>761.61987260000001</v>
      </c>
      <c r="DF39" s="1116">
        <v>903.49782259999995</v>
      </c>
      <c r="DG39" s="1397">
        <v>774.25122260000001</v>
      </c>
      <c r="DH39" s="1116">
        <v>954.47757260000003</v>
      </c>
      <c r="DI39" s="1116">
        <v>825.23097259999997</v>
      </c>
      <c r="DJ39" s="1116">
        <v>954.45731260000002</v>
      </c>
      <c r="DK39" s="1116">
        <v>825.21071259999997</v>
      </c>
      <c r="DL39" s="1116">
        <v>501.2562666</v>
      </c>
      <c r="DM39" s="1116">
        <v>387.70566259999998</v>
      </c>
      <c r="DN39" s="1116">
        <v>555.23601359999998</v>
      </c>
      <c r="DO39" s="1116">
        <v>421.68541260000001</v>
      </c>
      <c r="DP39" s="1116">
        <v>555.21576359999995</v>
      </c>
      <c r="DQ39" s="1116">
        <v>421.66516259100001</v>
      </c>
      <c r="DR39" s="1116">
        <v>657.0842136</v>
      </c>
      <c r="DS39" s="1116">
        <v>423.53361260000003</v>
      </c>
      <c r="DT39" s="1116">
        <v>699.56396559999996</v>
      </c>
      <c r="DU39" s="1116">
        <v>466.01336259999999</v>
      </c>
      <c r="DV39" s="1116">
        <v>713.14371559999995</v>
      </c>
      <c r="DW39" s="1116">
        <v>479.59311259999998</v>
      </c>
      <c r="DX39" s="1116">
        <v>721.6292651</v>
      </c>
      <c r="DY39" s="1116">
        <v>488.07866259999997</v>
      </c>
      <c r="DZ39" s="1116">
        <v>721.60090460000004</v>
      </c>
      <c r="EA39" s="1116">
        <v>488.05030260000001</v>
      </c>
      <c r="EB39" s="1116">
        <v>719.99632199999996</v>
      </c>
      <c r="EC39" s="1116">
        <v>455.13051999999999</v>
      </c>
      <c r="ED39" s="1104" t="s">
        <v>3599</v>
      </c>
    </row>
    <row r="40" spans="1:137" ht="19.899999999999999" customHeight="1" thickBot="1">
      <c r="A40" s="1107" t="s">
        <v>2245</v>
      </c>
      <c r="B40" s="1117">
        <v>1232.7608181684568</v>
      </c>
      <c r="C40" s="1117">
        <v>593.00923535000004</v>
      </c>
      <c r="D40" s="1117">
        <v>942.67924958078493</v>
      </c>
      <c r="E40" s="1117">
        <v>386.22801181191306</v>
      </c>
      <c r="F40" s="1117">
        <v>1098.84030713488</v>
      </c>
      <c r="G40" s="1117">
        <v>415.87815560000001</v>
      </c>
      <c r="H40" s="1117">
        <v>866.37256658908905</v>
      </c>
      <c r="I40" s="1117">
        <v>305.87570597000001</v>
      </c>
      <c r="J40" s="1117">
        <v>807.3060651574001</v>
      </c>
      <c r="K40" s="1117">
        <v>328.6894413</v>
      </c>
      <c r="L40" s="1108">
        <v>875.75833742220004</v>
      </c>
      <c r="M40" s="1108">
        <v>322.65037169913501</v>
      </c>
      <c r="N40" s="1108">
        <v>929.55158460189705</v>
      </c>
      <c r="O40" s="1108">
        <v>307.06819269526</v>
      </c>
      <c r="P40" s="1108">
        <v>856.34888121438291</v>
      </c>
      <c r="Q40" s="1108">
        <v>286.24200996243701</v>
      </c>
      <c r="R40" s="1108">
        <v>1160.9985301929401</v>
      </c>
      <c r="S40" s="1108">
        <v>535.35833443999991</v>
      </c>
      <c r="T40" s="1108">
        <v>996.54811064860394</v>
      </c>
      <c r="U40" s="1108">
        <v>229.11929028913897</v>
      </c>
      <c r="V40" s="1108">
        <v>1154.492287637715</v>
      </c>
      <c r="W40" s="1108">
        <v>231.11402126000002</v>
      </c>
      <c r="X40" s="1108">
        <v>1254.5346365937501</v>
      </c>
      <c r="Y40" s="1108">
        <v>247.07466127999999</v>
      </c>
      <c r="Z40" s="1108">
        <v>1071.1132113595361</v>
      </c>
      <c r="AA40" s="1108">
        <v>246.69778587399998</v>
      </c>
      <c r="AB40" s="1108">
        <v>1413.3278970781503</v>
      </c>
      <c r="AC40" s="1108">
        <v>399.705752566</v>
      </c>
      <c r="AD40" s="1108">
        <v>1342.5744866432301</v>
      </c>
      <c r="AE40" s="1108">
        <v>308.76178086800002</v>
      </c>
      <c r="AF40" s="1108">
        <v>1222.4318534318099</v>
      </c>
      <c r="AG40" s="1108">
        <v>284.20651355000001</v>
      </c>
      <c r="AH40" s="1108">
        <v>1196.3760829235998</v>
      </c>
      <c r="AI40" s="1108">
        <v>308.20415137100002</v>
      </c>
      <c r="AJ40" s="1108">
        <v>1393.2599373325099</v>
      </c>
      <c r="AK40" s="1108">
        <v>389.433415121</v>
      </c>
      <c r="AL40" s="1108">
        <v>1370.6532682457</v>
      </c>
      <c r="AM40" s="1118">
        <v>504.918647792</v>
      </c>
      <c r="AN40" s="1118">
        <v>1248.6975850617</v>
      </c>
      <c r="AO40" s="1108">
        <v>232.2612827152</v>
      </c>
      <c r="AP40" s="1108">
        <v>1054.5439397145101</v>
      </c>
      <c r="AQ40" s="1108">
        <v>232.18103711000001</v>
      </c>
      <c r="AR40" s="1108">
        <v>1126.3814638638839</v>
      </c>
      <c r="AS40" s="1108">
        <v>305.14338709899999</v>
      </c>
      <c r="AT40" s="1118">
        <v>1053.790017662222</v>
      </c>
      <c r="AU40" s="1108">
        <v>367.55525785330002</v>
      </c>
      <c r="AV40" s="1118">
        <v>1020.017222411901</v>
      </c>
      <c r="AW40" s="1118">
        <v>316.716475124</v>
      </c>
      <c r="AX40" s="1118">
        <v>1563.4389219991001</v>
      </c>
      <c r="AY40" s="1118">
        <v>658.28203002576504</v>
      </c>
      <c r="AZ40" s="1118">
        <v>997.44176829724915</v>
      </c>
      <c r="BA40" s="1118">
        <v>224.964973355475</v>
      </c>
      <c r="BB40" s="1118">
        <v>1299.52951269032</v>
      </c>
      <c r="BC40" s="1118">
        <v>207.62104543217501</v>
      </c>
      <c r="BD40" s="1118">
        <v>1226.4743743270599</v>
      </c>
      <c r="BE40" s="1118">
        <v>309.27019842293498</v>
      </c>
      <c r="BF40" s="1118">
        <v>1163.8475759883302</v>
      </c>
      <c r="BG40" s="1118">
        <v>331.15122000100899</v>
      </c>
      <c r="BH40" s="1118">
        <v>1174.15030354858</v>
      </c>
      <c r="BI40" s="1118">
        <v>316.76159756667499</v>
      </c>
      <c r="BJ40" s="1118">
        <v>1259.20681119652</v>
      </c>
      <c r="BK40" s="1118">
        <v>303.45238163900001</v>
      </c>
      <c r="BL40" s="1118">
        <v>1373.50464222957</v>
      </c>
      <c r="BM40" s="1118">
        <v>529.64704529972801</v>
      </c>
      <c r="BN40" s="1118">
        <v>1168.20845986633</v>
      </c>
      <c r="BO40" s="1118">
        <v>287.85847820019598</v>
      </c>
      <c r="BP40" s="1118">
        <v>1143.5731430391102</v>
      </c>
      <c r="BQ40" s="1118">
        <v>283.57323813373603</v>
      </c>
      <c r="BR40" s="1118">
        <v>1186.9841620029199</v>
      </c>
      <c r="BS40" s="1118">
        <v>279.94102871939998</v>
      </c>
      <c r="BT40" s="1118">
        <v>1283.0466903465499</v>
      </c>
      <c r="BU40" s="1118">
        <v>273.18491201507197</v>
      </c>
      <c r="BV40" s="1118">
        <v>1978.50602698536</v>
      </c>
      <c r="BW40" s="1118">
        <v>840.067722315163</v>
      </c>
      <c r="BX40" s="1118">
        <v>1463.3458516549699</v>
      </c>
      <c r="BY40" s="1118">
        <v>275.223678430299</v>
      </c>
      <c r="BZ40" s="1118">
        <v>1563.45837559902</v>
      </c>
      <c r="CA40" s="1118">
        <v>255.13526551342099</v>
      </c>
      <c r="CB40" s="1118">
        <v>1272.5185162484199</v>
      </c>
      <c r="CC40" s="1398">
        <v>286.18398062649999</v>
      </c>
      <c r="CD40" s="1398">
        <v>1304.39699547194</v>
      </c>
      <c r="CE40" s="1398">
        <v>223.62499245294001</v>
      </c>
      <c r="CF40" s="1118">
        <v>1355.56903980225</v>
      </c>
      <c r="CG40" s="1398">
        <v>234.96886961854599</v>
      </c>
      <c r="CH40" s="1398">
        <v>1445.0644235611401</v>
      </c>
      <c r="CI40" s="1398">
        <v>322.47437264869598</v>
      </c>
      <c r="CJ40" s="1118">
        <v>1665.5360803840299</v>
      </c>
      <c r="CK40" s="1398">
        <v>237.43016633799999</v>
      </c>
      <c r="CL40" s="1118">
        <v>1822.7272920743001</v>
      </c>
      <c r="CM40" s="1398">
        <v>240.27699337999999</v>
      </c>
      <c r="CN40" s="1398">
        <v>1884.0657011562701</v>
      </c>
      <c r="CO40" s="1398">
        <v>236.89763645599999</v>
      </c>
      <c r="CP40" s="1118">
        <v>1936.16089963122</v>
      </c>
      <c r="CQ40" s="1398">
        <v>214.48008824999999</v>
      </c>
      <c r="CR40" s="1398">
        <v>1676.3173277707899</v>
      </c>
      <c r="CS40" s="1398">
        <v>246.01275967199999</v>
      </c>
      <c r="CT40" s="1118">
        <v>2696.5030285564999</v>
      </c>
      <c r="CU40" s="1398">
        <v>1029.788874909</v>
      </c>
      <c r="CV40" s="1118">
        <v>2172.4017842286999</v>
      </c>
      <c r="CW40" s="1398">
        <v>336.35762125299999</v>
      </c>
      <c r="CX40" s="1118">
        <v>1936.6028650533101</v>
      </c>
      <c r="CY40" s="1398">
        <v>365.49561118499997</v>
      </c>
      <c r="CZ40" s="1118">
        <v>2019.1883555065499</v>
      </c>
      <c r="DA40" s="1398">
        <v>650.27704991300004</v>
      </c>
      <c r="DB40" s="1118">
        <v>1719.5145863267401</v>
      </c>
      <c r="DC40" s="1398">
        <v>227.11216566100001</v>
      </c>
      <c r="DD40" s="1398">
        <v>1715.2231745026399</v>
      </c>
      <c r="DE40" s="1398">
        <v>275.29025672300003</v>
      </c>
      <c r="DF40" s="1118">
        <v>2260.5359205750001</v>
      </c>
      <c r="DG40" s="1398">
        <v>246.72084676200001</v>
      </c>
      <c r="DH40" s="1118">
        <v>2219.5507737263802</v>
      </c>
      <c r="DI40" s="1118">
        <v>281.22238917599998</v>
      </c>
      <c r="DJ40" s="1118">
        <v>2101.1484456104899</v>
      </c>
      <c r="DK40" s="1118">
        <v>250.92790905199999</v>
      </c>
      <c r="DL40" s="1118">
        <v>2424.0959218785501</v>
      </c>
      <c r="DM40" s="1118">
        <v>317.85974401999999</v>
      </c>
      <c r="DN40" s="1118">
        <v>2491.6038344444601</v>
      </c>
      <c r="DO40" s="1118">
        <v>369.90123950700098</v>
      </c>
      <c r="DP40" s="1118">
        <v>2242.43465183233</v>
      </c>
      <c r="DQ40" s="1118">
        <v>307.60078551599997</v>
      </c>
      <c r="DR40" s="1118">
        <v>2101.9503563507501</v>
      </c>
      <c r="DS40" s="1118">
        <v>587.20205402700003</v>
      </c>
      <c r="DT40" s="1118">
        <v>2287.5914620731</v>
      </c>
      <c r="DU40" s="1118">
        <v>386.04336407300002</v>
      </c>
      <c r="DV40" s="1118">
        <v>2332.7878455762002</v>
      </c>
      <c r="DW40" s="1118">
        <v>495.66587099300102</v>
      </c>
      <c r="DX40" s="1118">
        <v>3390.6709566679501</v>
      </c>
      <c r="DY40" s="1118">
        <v>546.14794148099998</v>
      </c>
      <c r="DZ40" s="1118">
        <v>3834.2410534321002</v>
      </c>
      <c r="EA40" s="1118">
        <v>373.19803097290799</v>
      </c>
      <c r="EB40" s="1118">
        <v>4407.9285881828</v>
      </c>
      <c r="EC40" s="1118">
        <v>516.41869710700098</v>
      </c>
      <c r="ED40" s="1107" t="s">
        <v>3600</v>
      </c>
    </row>
    <row r="41" spans="1:137" ht="19.899999999999999" customHeight="1" thickBot="1">
      <c r="A41" s="1119" t="s">
        <v>2244</v>
      </c>
      <c r="B41" s="1110">
        <v>28139.7780821585</v>
      </c>
      <c r="C41" s="1110">
        <v>15632.00868594</v>
      </c>
      <c r="D41" s="1110">
        <v>28219.0209452708</v>
      </c>
      <c r="E41" s="1110">
        <v>15859.4686560519</v>
      </c>
      <c r="F41" s="1110">
        <v>28504.894102544898</v>
      </c>
      <c r="G41" s="1110">
        <v>15678.94060871</v>
      </c>
      <c r="H41" s="1110">
        <v>27477.903302059101</v>
      </c>
      <c r="I41" s="1110">
        <v>15470.487018579999</v>
      </c>
      <c r="J41" s="1110">
        <v>26711.3550225174</v>
      </c>
      <c r="K41" s="1110">
        <v>14876.439689880001</v>
      </c>
      <c r="L41" s="1110">
        <v>26701.346844342199</v>
      </c>
      <c r="M41" s="1110">
        <v>14664.9000233033</v>
      </c>
      <c r="N41" s="1110">
        <v>25938.4392892219</v>
      </c>
      <c r="O41" s="1110">
        <v>14053.78607907</v>
      </c>
      <c r="P41" s="1110">
        <v>25848.119721114399</v>
      </c>
      <c r="Q41" s="1110">
        <v>13707.4350932496</v>
      </c>
      <c r="R41" s="1110">
        <v>26351.522818922898</v>
      </c>
      <c r="S41" s="1110">
        <v>14118.0615912011</v>
      </c>
      <c r="T41" s="1110">
        <v>25994.628114363601</v>
      </c>
      <c r="U41" s="1110">
        <v>13287.3291536995</v>
      </c>
      <c r="V41" s="1110">
        <v>26091.335041813902</v>
      </c>
      <c r="W41" s="1110">
        <v>13204.7747804964</v>
      </c>
      <c r="X41" s="1110">
        <v>26081.8454567187</v>
      </c>
      <c r="Y41" s="1110">
        <v>13342.282166888301</v>
      </c>
      <c r="Z41" s="1110">
        <v>27356.060069774499</v>
      </c>
      <c r="AA41" s="1110">
        <v>13857.024209163999</v>
      </c>
      <c r="AB41" s="1110">
        <v>27224.077299948101</v>
      </c>
      <c r="AC41" s="1110">
        <v>13667.268332957699</v>
      </c>
      <c r="AD41" s="1110">
        <v>27437.663642253199</v>
      </c>
      <c r="AE41" s="1110">
        <v>13516.602574561201</v>
      </c>
      <c r="AF41" s="1110">
        <v>27672.034509651799</v>
      </c>
      <c r="AG41" s="1110">
        <v>13512.775126894299</v>
      </c>
      <c r="AH41" s="1110">
        <v>28065.561295293599</v>
      </c>
      <c r="AI41" s="1110">
        <v>13408.162511898499</v>
      </c>
      <c r="AJ41" s="1110">
        <v>29058.2428417993</v>
      </c>
      <c r="AK41" s="1110">
        <v>13627.049358533101</v>
      </c>
      <c r="AL41" s="1110">
        <v>28220.146462705699</v>
      </c>
      <c r="AM41" s="1110">
        <v>13124.864203405999</v>
      </c>
      <c r="AN41" s="1110">
        <v>28899.683284101699</v>
      </c>
      <c r="AO41" s="1110">
        <v>13480.514529067401</v>
      </c>
      <c r="AP41" s="1110">
        <v>28613.019584194299</v>
      </c>
      <c r="AQ41" s="1110">
        <v>13054.994358189801</v>
      </c>
      <c r="AR41" s="1110">
        <v>29655.181958783902</v>
      </c>
      <c r="AS41" s="1110">
        <v>13656.5051842147</v>
      </c>
      <c r="AT41" s="1110">
        <v>30028.777592832601</v>
      </c>
      <c r="AU41" s="1110">
        <v>13961.081778722801</v>
      </c>
      <c r="AV41" s="1110">
        <v>30632.393230161899</v>
      </c>
      <c r="AW41" s="1110">
        <v>14132.2504430753</v>
      </c>
      <c r="AX41" s="1110">
        <v>33492.8776005611</v>
      </c>
      <c r="AY41" s="1110">
        <v>15162.4758171064</v>
      </c>
      <c r="AZ41" s="1110">
        <v>32954.245051270504</v>
      </c>
      <c r="BA41" s="1110">
        <v>15292.232439085001</v>
      </c>
      <c r="BB41" s="1110">
        <v>33421.9388306283</v>
      </c>
      <c r="BC41" s="1110">
        <v>15305.3330932881</v>
      </c>
      <c r="BD41" s="1110">
        <v>34731.7253349069</v>
      </c>
      <c r="BE41" s="1110">
        <v>16147.132756631099</v>
      </c>
      <c r="BF41" s="1110">
        <v>35159.179503070802</v>
      </c>
      <c r="BG41" s="1110">
        <v>16276.1583346196</v>
      </c>
      <c r="BH41" s="1110">
        <v>36292.955763420301</v>
      </c>
      <c r="BI41" s="1110">
        <v>16889.755672309198</v>
      </c>
      <c r="BJ41" s="1110">
        <v>36774.225670286301</v>
      </c>
      <c r="BK41" s="1110">
        <v>16797.607832377202</v>
      </c>
      <c r="BL41" s="1110">
        <v>36450.508420500599</v>
      </c>
      <c r="BM41" s="1110">
        <v>16968.258709509199</v>
      </c>
      <c r="BN41" s="1110">
        <v>37137.931003544698</v>
      </c>
      <c r="BO41" s="1110">
        <v>16753.482416936498</v>
      </c>
      <c r="BP41" s="1110">
        <v>38288.316651939298</v>
      </c>
      <c r="BQ41" s="1110">
        <v>17215.403945462702</v>
      </c>
      <c r="BR41" s="1110">
        <v>39230.6614151662</v>
      </c>
      <c r="BS41" s="1110">
        <v>17311.962565387701</v>
      </c>
      <c r="BT41" s="1110">
        <v>39970.324413273702</v>
      </c>
      <c r="BU41" s="1110">
        <v>17892.011130619201</v>
      </c>
      <c r="BV41" s="1110">
        <v>41432.830410419701</v>
      </c>
      <c r="BW41" s="1110">
        <v>18652.408689545398</v>
      </c>
      <c r="BX41" s="1110">
        <v>40200.2319852129</v>
      </c>
      <c r="BY41" s="1110">
        <v>17861.4458165303</v>
      </c>
      <c r="BZ41" s="1110">
        <v>39972.523610695796</v>
      </c>
      <c r="CA41" s="1110">
        <v>17683.1138848964</v>
      </c>
      <c r="CB41" s="1110">
        <v>38993.930087630397</v>
      </c>
      <c r="CC41" s="1395">
        <v>16473.7097361985</v>
      </c>
      <c r="CD41" s="1395">
        <v>39771.253926531899</v>
      </c>
      <c r="CE41" s="1395">
        <v>16814.651292682898</v>
      </c>
      <c r="CF41" s="1110">
        <v>40084.577391713203</v>
      </c>
      <c r="CG41" s="1395">
        <v>16834.446567333202</v>
      </c>
      <c r="CH41" s="1395">
        <v>39305.560458001703</v>
      </c>
      <c r="CI41" s="1395">
        <v>15737.9855991226</v>
      </c>
      <c r="CJ41" s="1110">
        <v>39041.192328113997</v>
      </c>
      <c r="CK41" s="1395">
        <v>14809.2352433015</v>
      </c>
      <c r="CL41" s="1110">
        <v>39474.061364384303</v>
      </c>
      <c r="CM41" s="1395">
        <v>14555.937364720499</v>
      </c>
      <c r="CN41" s="1395">
        <v>39539.119904226303</v>
      </c>
      <c r="CO41" s="1395">
        <v>14262.246119527699</v>
      </c>
      <c r="CP41" s="1110">
        <v>40232.959336831198</v>
      </c>
      <c r="CQ41" s="1395">
        <v>14927.9283455143</v>
      </c>
      <c r="CR41" s="1395">
        <v>40160.355371760801</v>
      </c>
      <c r="CS41" s="1395">
        <v>14430.171724149701</v>
      </c>
      <c r="CT41" s="1110">
        <v>43114.841401926496</v>
      </c>
      <c r="CU41" s="1395">
        <v>16087.3141229142</v>
      </c>
      <c r="CV41" s="1110">
        <v>43144.394571883196</v>
      </c>
      <c r="CW41" s="1395">
        <v>16312.7527053167</v>
      </c>
      <c r="CX41" s="1110">
        <v>42548.435305793297</v>
      </c>
      <c r="CY41" s="1395">
        <v>15671.951788389701</v>
      </c>
      <c r="CZ41" s="1110">
        <v>42612.489501876596</v>
      </c>
      <c r="DA41" s="1395">
        <v>16185.6720967453</v>
      </c>
      <c r="DB41" s="1110">
        <v>42897.690343286697</v>
      </c>
      <c r="DC41" s="1395">
        <v>16367.7068460354</v>
      </c>
      <c r="DD41" s="1395">
        <v>42817.794667316302</v>
      </c>
      <c r="DE41" s="1395">
        <v>15920.730868446501</v>
      </c>
      <c r="DF41" s="1110">
        <v>44086.307695682401</v>
      </c>
      <c r="DG41" s="1395">
        <v>15855.417858844199</v>
      </c>
      <c r="DH41" s="1964">
        <v>42874.272797341997</v>
      </c>
      <c r="DI41" s="1964">
        <v>15230.7495157336</v>
      </c>
      <c r="DJ41" s="1964">
        <v>43256.041965390497</v>
      </c>
      <c r="DK41" s="1964">
        <v>15866.3398529121</v>
      </c>
      <c r="DL41" s="1964">
        <v>44550.044073888603</v>
      </c>
      <c r="DM41" s="1964">
        <v>15838.6202093189</v>
      </c>
      <c r="DN41" s="1964">
        <v>43254.589105884501</v>
      </c>
      <c r="DO41" s="1964">
        <v>15450.7760045996</v>
      </c>
      <c r="DP41" s="1964">
        <v>43662.596872522299</v>
      </c>
      <c r="DQ41" s="1964">
        <v>15758.3050710891</v>
      </c>
      <c r="DR41" s="1964">
        <v>46382.962910170703</v>
      </c>
      <c r="DS41" s="1964">
        <v>16621.180041118299</v>
      </c>
      <c r="DT41" s="1964">
        <v>46402.302894943103</v>
      </c>
      <c r="DU41" s="1964">
        <v>17349.3399968005</v>
      </c>
      <c r="DV41" s="1964">
        <v>46748.437877674303</v>
      </c>
      <c r="DW41" s="1964">
        <v>17741.811819109102</v>
      </c>
      <c r="DX41" s="1964">
        <v>47960.772736447703</v>
      </c>
      <c r="DY41" s="1964">
        <v>17969.404670420699</v>
      </c>
      <c r="DZ41" s="1964">
        <v>47625.541559032099</v>
      </c>
      <c r="EA41" s="1964">
        <v>17528.534827009102</v>
      </c>
      <c r="EB41" s="1964">
        <v>49690.254409032801</v>
      </c>
      <c r="EC41" s="1964">
        <v>19281.843162381501</v>
      </c>
      <c r="ED41" s="1119" t="s">
        <v>3601</v>
      </c>
      <c r="EF41" s="1101"/>
    </row>
    <row r="42" spans="1:137" ht="16.149999999999999" customHeight="1" thickBot="1">
      <c r="A42" s="2916"/>
      <c r="B42" s="2917"/>
      <c r="C42" s="2917"/>
      <c r="D42" s="2917"/>
      <c r="E42" s="2917"/>
      <c r="F42" s="2917"/>
      <c r="G42" s="2917"/>
      <c r="H42" s="2917"/>
      <c r="I42" s="2917"/>
      <c r="J42" s="2917"/>
      <c r="K42" s="2917"/>
      <c r="L42" s="2917"/>
      <c r="M42" s="2917"/>
      <c r="N42" s="2917"/>
      <c r="O42" s="2917"/>
      <c r="P42" s="2917"/>
      <c r="Q42" s="2917"/>
      <c r="R42" s="2917"/>
      <c r="S42" s="2917"/>
      <c r="T42" s="2917"/>
      <c r="U42" s="2917"/>
      <c r="V42" s="2917"/>
      <c r="W42" s="2917"/>
      <c r="X42" s="2917"/>
      <c r="Y42" s="2917"/>
      <c r="Z42" s="2917"/>
      <c r="AA42" s="2917"/>
      <c r="AB42" s="2917"/>
      <c r="AC42" s="2917"/>
      <c r="AD42" s="2917"/>
      <c r="AE42" s="2917"/>
      <c r="AF42" s="2917"/>
      <c r="AG42" s="2917"/>
      <c r="AH42" s="2917"/>
      <c r="AI42" s="2917"/>
      <c r="AJ42" s="2917"/>
      <c r="AK42" s="2917"/>
      <c r="AL42" s="2917"/>
      <c r="AM42" s="2917"/>
      <c r="AN42" s="2917"/>
      <c r="AO42" s="2917"/>
      <c r="AP42" s="2917"/>
      <c r="AQ42" s="2917"/>
      <c r="AR42" s="2917"/>
      <c r="AS42" s="2917"/>
      <c r="AT42" s="2917"/>
      <c r="AU42" s="2917"/>
      <c r="AV42" s="2917"/>
      <c r="AW42" s="2917"/>
      <c r="AX42" s="2917"/>
      <c r="AY42" s="2917"/>
      <c r="AZ42" s="2917"/>
      <c r="BA42" s="2917"/>
      <c r="BB42" s="2917"/>
      <c r="BC42" s="2917"/>
      <c r="BD42" s="2917"/>
      <c r="BE42" s="2917"/>
      <c r="BF42" s="2917"/>
      <c r="BG42" s="2917"/>
      <c r="BH42" s="2917"/>
      <c r="BI42" s="2917"/>
      <c r="BJ42" s="2917"/>
      <c r="BK42" s="2917"/>
      <c r="BL42" s="2917"/>
      <c r="BM42" s="2917"/>
      <c r="BN42" s="2917"/>
      <c r="BO42" s="2917"/>
      <c r="BP42" s="2917"/>
      <c r="BQ42" s="2917"/>
      <c r="BR42" s="2917"/>
      <c r="BS42" s="2917"/>
      <c r="BT42" s="2917"/>
      <c r="BU42" s="2917"/>
      <c r="BV42" s="2917"/>
      <c r="BW42" s="2917"/>
      <c r="BX42" s="2917"/>
      <c r="BY42" s="2917"/>
      <c r="BZ42" s="2917"/>
      <c r="CA42" s="2917"/>
      <c r="CB42" s="2917"/>
      <c r="CC42" s="2917"/>
      <c r="CD42" s="2917"/>
      <c r="CE42" s="2917"/>
      <c r="CF42" s="2917"/>
      <c r="CG42" s="2917"/>
      <c r="CH42" s="2917"/>
      <c r="CI42" s="2917"/>
      <c r="CJ42" s="2917"/>
      <c r="CK42" s="2917"/>
      <c r="CL42" s="2917"/>
      <c r="CM42" s="2917"/>
      <c r="CN42" s="2917"/>
      <c r="CO42" s="2917"/>
      <c r="CP42" s="2917"/>
      <c r="CQ42" s="2917"/>
      <c r="CR42" s="2917"/>
      <c r="CS42" s="2917"/>
      <c r="CT42" s="2917"/>
      <c r="CU42" s="2917"/>
      <c r="CV42" s="2917"/>
      <c r="CW42" s="2917"/>
      <c r="CX42" s="2917"/>
      <c r="CY42" s="2917"/>
      <c r="CZ42" s="2917"/>
      <c r="DA42" s="2917"/>
      <c r="DB42" s="2917"/>
      <c r="DC42" s="2917"/>
      <c r="DD42" s="2917"/>
      <c r="DE42" s="2917"/>
      <c r="DF42" s="2917"/>
      <c r="DG42" s="2917"/>
      <c r="DH42" s="2917"/>
      <c r="DI42" s="2917"/>
      <c r="DJ42" s="2917"/>
      <c r="DK42" s="2917"/>
      <c r="DL42" s="2917"/>
      <c r="DM42" s="2917"/>
      <c r="DN42" s="2917"/>
      <c r="DO42" s="2917"/>
      <c r="DP42" s="2917"/>
      <c r="DQ42" s="2917"/>
      <c r="DR42" s="2917"/>
      <c r="DS42" s="2917"/>
      <c r="DT42" s="2917"/>
      <c r="DU42" s="2917"/>
      <c r="DV42" s="2917"/>
      <c r="DW42" s="2917"/>
      <c r="DX42" s="2917"/>
      <c r="DY42" s="2917"/>
      <c r="DZ42" s="2917"/>
      <c r="EA42" s="2917"/>
      <c r="EB42" s="2917"/>
      <c r="EC42" s="2917"/>
      <c r="ED42" s="2917"/>
    </row>
    <row r="43" spans="1:137" s="1102" customFormat="1" ht="26.25" customHeight="1" thickBot="1">
      <c r="A43" s="2912" t="s">
        <v>2243</v>
      </c>
      <c r="B43" s="2918">
        <v>43830</v>
      </c>
      <c r="C43" s="2919"/>
      <c r="D43" s="2923">
        <v>43861</v>
      </c>
      <c r="E43" s="2919"/>
      <c r="F43" s="2923">
        <v>43890</v>
      </c>
      <c r="G43" s="2919"/>
      <c r="H43" s="2923">
        <v>43921</v>
      </c>
      <c r="I43" s="2919"/>
      <c r="J43" s="2923">
        <v>43951</v>
      </c>
      <c r="K43" s="2919"/>
      <c r="L43" s="2923">
        <v>43982</v>
      </c>
      <c r="M43" s="2919"/>
      <c r="N43" s="2902">
        <v>44012</v>
      </c>
      <c r="O43" s="2904"/>
      <c r="P43" s="2902">
        <v>44043</v>
      </c>
      <c r="Q43" s="2904"/>
      <c r="R43" s="2902">
        <v>44074</v>
      </c>
      <c r="S43" s="2904"/>
      <c r="T43" s="2902">
        <v>44104</v>
      </c>
      <c r="U43" s="2904"/>
      <c r="V43" s="2902">
        <v>44135</v>
      </c>
      <c r="W43" s="2904"/>
      <c r="X43" s="2902">
        <v>44165</v>
      </c>
      <c r="Y43" s="2904"/>
      <c r="Z43" s="2902">
        <v>44196</v>
      </c>
      <c r="AA43" s="2904"/>
      <c r="AB43" s="2902">
        <v>44227</v>
      </c>
      <c r="AC43" s="2904"/>
      <c r="AD43" s="2902">
        <v>44255</v>
      </c>
      <c r="AE43" s="2904"/>
      <c r="AF43" s="2902">
        <v>44286</v>
      </c>
      <c r="AG43" s="2904"/>
      <c r="AH43" s="2902">
        <v>44316</v>
      </c>
      <c r="AI43" s="2904"/>
      <c r="AJ43" s="2902">
        <v>44347</v>
      </c>
      <c r="AK43" s="2904"/>
      <c r="AL43" s="2902">
        <v>44377</v>
      </c>
      <c r="AM43" s="2904"/>
      <c r="AN43" s="2902">
        <v>44408</v>
      </c>
      <c r="AO43" s="2904"/>
      <c r="AP43" s="2923">
        <v>44439</v>
      </c>
      <c r="AQ43" s="2919"/>
      <c r="AR43" s="2923">
        <v>44469</v>
      </c>
      <c r="AS43" s="2919"/>
      <c r="AT43" s="2903">
        <v>44500</v>
      </c>
      <c r="AU43" s="2904"/>
      <c r="AV43" s="2902">
        <v>44530</v>
      </c>
      <c r="AW43" s="2904"/>
      <c r="AX43" s="2902">
        <v>44561</v>
      </c>
      <c r="AY43" s="2904"/>
      <c r="AZ43" s="2902">
        <v>44592</v>
      </c>
      <c r="BA43" s="2904"/>
      <c r="BB43" s="2902">
        <v>44620</v>
      </c>
      <c r="BC43" s="2904"/>
      <c r="BD43" s="2902">
        <v>44651</v>
      </c>
      <c r="BE43" s="2904"/>
      <c r="BF43" s="2902">
        <v>44681</v>
      </c>
      <c r="BG43" s="2904"/>
      <c r="BH43" s="2902">
        <v>44712</v>
      </c>
      <c r="BI43" s="2904"/>
      <c r="BJ43" s="2902">
        <v>44742</v>
      </c>
      <c r="BK43" s="2904"/>
      <c r="BL43" s="2902">
        <v>44773</v>
      </c>
      <c r="BM43" s="2904"/>
      <c r="BN43" s="2902">
        <v>44804</v>
      </c>
      <c r="BO43" s="2904"/>
      <c r="BP43" s="2902">
        <v>44834</v>
      </c>
      <c r="BQ43" s="2904"/>
      <c r="BR43" s="2902">
        <v>44865</v>
      </c>
      <c r="BS43" s="2904"/>
      <c r="BT43" s="2902">
        <v>44895</v>
      </c>
      <c r="BU43" s="2904"/>
      <c r="BV43" s="2902">
        <v>44926</v>
      </c>
      <c r="BW43" s="2904"/>
      <c r="BX43" s="2902">
        <v>44957</v>
      </c>
      <c r="BY43" s="2904"/>
      <c r="BZ43" s="2902">
        <v>44985</v>
      </c>
      <c r="CA43" s="2904"/>
      <c r="CB43" s="2902">
        <v>45016</v>
      </c>
      <c r="CC43" s="2903"/>
      <c r="CD43" s="2902">
        <v>45046</v>
      </c>
      <c r="CE43" s="2903"/>
      <c r="CF43" s="2902">
        <v>45077</v>
      </c>
      <c r="CG43" s="2903"/>
      <c r="CH43" s="2902">
        <v>45107</v>
      </c>
      <c r="CI43" s="2903"/>
      <c r="CJ43" s="2902">
        <v>45138</v>
      </c>
      <c r="CK43" s="2903"/>
      <c r="CL43" s="2902">
        <v>45169</v>
      </c>
      <c r="CM43" s="2903"/>
      <c r="CN43" s="2902">
        <v>45199</v>
      </c>
      <c r="CO43" s="2903"/>
      <c r="CP43" s="2902">
        <v>45230</v>
      </c>
      <c r="CQ43" s="2903"/>
      <c r="CR43" s="2902">
        <v>45260</v>
      </c>
      <c r="CS43" s="2903"/>
      <c r="CT43" s="2902">
        <v>45291</v>
      </c>
      <c r="CU43" s="2903"/>
      <c r="CV43" s="2902">
        <v>45322</v>
      </c>
      <c r="CW43" s="2903"/>
      <c r="CX43" s="2902">
        <v>45351</v>
      </c>
      <c r="CY43" s="2903"/>
      <c r="CZ43" s="2902">
        <v>45382</v>
      </c>
      <c r="DA43" s="2903"/>
      <c r="DB43" s="2902">
        <v>45412</v>
      </c>
      <c r="DC43" s="2903"/>
      <c r="DD43" s="2902">
        <v>45443</v>
      </c>
      <c r="DE43" s="2903"/>
      <c r="DF43" s="2902">
        <v>45473</v>
      </c>
      <c r="DG43" s="2903"/>
      <c r="DH43" s="2898">
        <v>45504</v>
      </c>
      <c r="DI43" s="2899"/>
      <c r="DJ43" s="2898">
        <v>45535</v>
      </c>
      <c r="DK43" s="2899"/>
      <c r="DL43" s="2898">
        <v>45565</v>
      </c>
      <c r="DM43" s="2899"/>
      <c r="DN43" s="2898">
        <v>45596</v>
      </c>
      <c r="DO43" s="2900"/>
      <c r="DP43" s="2898">
        <v>45626</v>
      </c>
      <c r="DQ43" s="2900"/>
      <c r="DR43" s="2898">
        <v>45657</v>
      </c>
      <c r="DS43" s="2900"/>
      <c r="DT43" s="2901">
        <v>45688</v>
      </c>
      <c r="DU43" s="2899"/>
      <c r="DV43" s="2898">
        <v>45716</v>
      </c>
      <c r="DW43" s="2900"/>
      <c r="DX43" s="2898">
        <v>45747</v>
      </c>
      <c r="DY43" s="2899"/>
      <c r="DZ43" s="2898">
        <v>45777</v>
      </c>
      <c r="EA43" s="2899"/>
      <c r="EB43" s="2898">
        <v>45808</v>
      </c>
      <c r="EC43" s="2899"/>
      <c r="ED43" s="2912" t="s">
        <v>3602</v>
      </c>
    </row>
    <row r="44" spans="1:137" s="1102" customFormat="1" ht="42.75" customHeight="1" thickBot="1">
      <c r="A44" s="2913"/>
      <c r="B44" s="1111" t="s">
        <v>155</v>
      </c>
      <c r="C44" s="1112" t="s">
        <v>2995</v>
      </c>
      <c r="D44" s="1112" t="s">
        <v>155</v>
      </c>
      <c r="E44" s="1112" t="s">
        <v>2995</v>
      </c>
      <c r="F44" s="1112" t="s">
        <v>155</v>
      </c>
      <c r="G44" s="1112" t="s">
        <v>2995</v>
      </c>
      <c r="H44" s="1112" t="s">
        <v>155</v>
      </c>
      <c r="I44" s="1112" t="s">
        <v>2995</v>
      </c>
      <c r="J44" s="1112" t="s">
        <v>155</v>
      </c>
      <c r="K44" s="1112" t="s">
        <v>2995</v>
      </c>
      <c r="L44" s="1112" t="s">
        <v>155</v>
      </c>
      <c r="M44" s="1113" t="s">
        <v>2995</v>
      </c>
      <c r="N44" s="1113" t="s">
        <v>155</v>
      </c>
      <c r="O44" s="1113" t="s">
        <v>2995</v>
      </c>
      <c r="P44" s="1113" t="s">
        <v>155</v>
      </c>
      <c r="Q44" s="1113" t="s">
        <v>2995</v>
      </c>
      <c r="R44" s="1113" t="s">
        <v>155</v>
      </c>
      <c r="S44" s="1113" t="s">
        <v>2995</v>
      </c>
      <c r="T44" s="1113" t="s">
        <v>155</v>
      </c>
      <c r="U44" s="1113" t="s">
        <v>2995</v>
      </c>
      <c r="V44" s="1113" t="s">
        <v>155</v>
      </c>
      <c r="W44" s="1113" t="s">
        <v>2995</v>
      </c>
      <c r="X44" s="1113" t="s">
        <v>155</v>
      </c>
      <c r="Y44" s="1113" t="s">
        <v>2995</v>
      </c>
      <c r="Z44" s="1113" t="s">
        <v>155</v>
      </c>
      <c r="AA44" s="1113" t="s">
        <v>2995</v>
      </c>
      <c r="AB44" s="1113" t="s">
        <v>155</v>
      </c>
      <c r="AC44" s="1113" t="s">
        <v>2995</v>
      </c>
      <c r="AD44" s="1113" t="s">
        <v>155</v>
      </c>
      <c r="AE44" s="1113" t="s">
        <v>2995</v>
      </c>
      <c r="AF44" s="1113" t="s">
        <v>155</v>
      </c>
      <c r="AG44" s="1113" t="s">
        <v>2995</v>
      </c>
      <c r="AH44" s="1113" t="s">
        <v>155</v>
      </c>
      <c r="AI44" s="1113" t="s">
        <v>2995</v>
      </c>
      <c r="AJ44" s="1113" t="s">
        <v>155</v>
      </c>
      <c r="AK44" s="1113" t="s">
        <v>2995</v>
      </c>
      <c r="AL44" s="1113" t="s">
        <v>155</v>
      </c>
      <c r="AM44" s="1113" t="s">
        <v>2995</v>
      </c>
      <c r="AN44" s="1113" t="s">
        <v>155</v>
      </c>
      <c r="AO44" s="1112" t="s">
        <v>2995</v>
      </c>
      <c r="AP44" s="1112" t="s">
        <v>155</v>
      </c>
      <c r="AQ44" s="1112" t="s">
        <v>2995</v>
      </c>
      <c r="AR44" s="1112" t="s">
        <v>155</v>
      </c>
      <c r="AS44" s="1112" t="s">
        <v>2995</v>
      </c>
      <c r="AT44" s="1113" t="s">
        <v>155</v>
      </c>
      <c r="AU44" s="1112" t="s">
        <v>2995</v>
      </c>
      <c r="AV44" s="1113" t="s">
        <v>155</v>
      </c>
      <c r="AW44" s="1113" t="s">
        <v>2995</v>
      </c>
      <c r="AX44" s="1113" t="s">
        <v>155</v>
      </c>
      <c r="AY44" s="1113" t="s">
        <v>2995</v>
      </c>
      <c r="AZ44" s="1113" t="s">
        <v>155</v>
      </c>
      <c r="BA44" s="1113" t="s">
        <v>2995</v>
      </c>
      <c r="BB44" s="1113" t="s">
        <v>155</v>
      </c>
      <c r="BC44" s="1113" t="s">
        <v>2995</v>
      </c>
      <c r="BD44" s="1113" t="s">
        <v>155</v>
      </c>
      <c r="BE44" s="1113" t="s">
        <v>2995</v>
      </c>
      <c r="BF44" s="1113" t="s">
        <v>155</v>
      </c>
      <c r="BG44" s="1113" t="s">
        <v>2995</v>
      </c>
      <c r="BH44" s="1113" t="s">
        <v>155</v>
      </c>
      <c r="BI44" s="1113" t="s">
        <v>2995</v>
      </c>
      <c r="BJ44" s="1113" t="s">
        <v>155</v>
      </c>
      <c r="BK44" s="1113" t="s">
        <v>2995</v>
      </c>
      <c r="BL44" s="1113" t="s">
        <v>155</v>
      </c>
      <c r="BM44" s="1113" t="s">
        <v>2995</v>
      </c>
      <c r="BN44" s="1113" t="s">
        <v>155</v>
      </c>
      <c r="BO44" s="1113" t="s">
        <v>2995</v>
      </c>
      <c r="BP44" s="1113" t="s">
        <v>155</v>
      </c>
      <c r="BQ44" s="1113" t="s">
        <v>2995</v>
      </c>
      <c r="BR44" s="1113" t="s">
        <v>155</v>
      </c>
      <c r="BS44" s="1113" t="s">
        <v>2995</v>
      </c>
      <c r="BT44" s="1113" t="s">
        <v>155</v>
      </c>
      <c r="BU44" s="1113" t="s">
        <v>2995</v>
      </c>
      <c r="BV44" s="1113" t="s">
        <v>155</v>
      </c>
      <c r="BW44" s="1113" t="s">
        <v>2995</v>
      </c>
      <c r="BX44" s="1113" t="s">
        <v>155</v>
      </c>
      <c r="BY44" s="1113" t="s">
        <v>2995</v>
      </c>
      <c r="BZ44" s="1113" t="s">
        <v>155</v>
      </c>
      <c r="CA44" s="1113" t="s">
        <v>2995</v>
      </c>
      <c r="CB44" s="1113" t="s">
        <v>155</v>
      </c>
      <c r="CC44" s="1391" t="s">
        <v>2995</v>
      </c>
      <c r="CD44" s="1391" t="s">
        <v>155</v>
      </c>
      <c r="CE44" s="1391" t="s">
        <v>2995</v>
      </c>
      <c r="CF44" s="1113" t="s">
        <v>155</v>
      </c>
      <c r="CG44" s="1391" t="s">
        <v>2995</v>
      </c>
      <c r="CH44" s="1391" t="s">
        <v>155</v>
      </c>
      <c r="CI44" s="1391" t="s">
        <v>2995</v>
      </c>
      <c r="CJ44" s="1113" t="s">
        <v>155</v>
      </c>
      <c r="CK44" s="1391" t="s">
        <v>2995</v>
      </c>
      <c r="CL44" s="1113" t="s">
        <v>155</v>
      </c>
      <c r="CM44" s="1391" t="s">
        <v>2995</v>
      </c>
      <c r="CN44" s="1391" t="s">
        <v>155</v>
      </c>
      <c r="CO44" s="1391" t="s">
        <v>2995</v>
      </c>
      <c r="CP44" s="1113" t="s">
        <v>155</v>
      </c>
      <c r="CQ44" s="1391" t="s">
        <v>2995</v>
      </c>
      <c r="CR44" s="1391" t="s">
        <v>155</v>
      </c>
      <c r="CS44" s="1391" t="s">
        <v>2995</v>
      </c>
      <c r="CT44" s="1113" t="s">
        <v>155</v>
      </c>
      <c r="CU44" s="1391" t="s">
        <v>2995</v>
      </c>
      <c r="CV44" s="1113" t="s">
        <v>155</v>
      </c>
      <c r="CW44" s="1391" t="s">
        <v>2995</v>
      </c>
      <c r="CX44" s="1113" t="s">
        <v>155</v>
      </c>
      <c r="CY44" s="1391" t="s">
        <v>2995</v>
      </c>
      <c r="CZ44" s="1113" t="s">
        <v>155</v>
      </c>
      <c r="DA44" s="1391" t="s">
        <v>2995</v>
      </c>
      <c r="DB44" s="1113" t="s">
        <v>155</v>
      </c>
      <c r="DC44" s="1391" t="s">
        <v>2995</v>
      </c>
      <c r="DD44" s="1113" t="s">
        <v>155</v>
      </c>
      <c r="DE44" s="1391" t="s">
        <v>2995</v>
      </c>
      <c r="DF44" s="1113" t="s">
        <v>155</v>
      </c>
      <c r="DG44" s="1391" t="s">
        <v>2995</v>
      </c>
      <c r="DH44" s="1962" t="s">
        <v>155</v>
      </c>
      <c r="DI44" s="1962" t="s">
        <v>2995</v>
      </c>
      <c r="DJ44" s="1962" t="s">
        <v>155</v>
      </c>
      <c r="DK44" s="1962" t="s">
        <v>2995</v>
      </c>
      <c r="DL44" s="1962" t="s">
        <v>155</v>
      </c>
      <c r="DM44" s="1962" t="s">
        <v>2995</v>
      </c>
      <c r="DN44" s="1962" t="s">
        <v>155</v>
      </c>
      <c r="DO44" s="1962" t="s">
        <v>2995</v>
      </c>
      <c r="DP44" s="1962" t="s">
        <v>155</v>
      </c>
      <c r="DQ44" s="1962" t="s">
        <v>2995</v>
      </c>
      <c r="DR44" s="1962" t="s">
        <v>155</v>
      </c>
      <c r="DS44" s="1962" t="s">
        <v>2995</v>
      </c>
      <c r="DT44" s="1962" t="s">
        <v>155</v>
      </c>
      <c r="DU44" s="1962" t="s">
        <v>2995</v>
      </c>
      <c r="DV44" s="1962" t="s">
        <v>155</v>
      </c>
      <c r="DW44" s="1962" t="s">
        <v>2995</v>
      </c>
      <c r="DX44" s="1962" t="s">
        <v>155</v>
      </c>
      <c r="DY44" s="1962" t="s">
        <v>2995</v>
      </c>
      <c r="DZ44" s="1962" t="s">
        <v>155</v>
      </c>
      <c r="EA44" s="1962" t="s">
        <v>2995</v>
      </c>
      <c r="EB44" s="1962" t="s">
        <v>155</v>
      </c>
      <c r="EC44" s="1962" t="s">
        <v>2995</v>
      </c>
      <c r="ED44" s="2913"/>
    </row>
    <row r="45" spans="1:137" ht="18" customHeight="1">
      <c r="A45" s="1120" t="s">
        <v>2242</v>
      </c>
      <c r="B45" s="1121">
        <v>4257.9617134878599</v>
      </c>
      <c r="C45" s="1121">
        <v>0</v>
      </c>
      <c r="D45" s="1121">
        <v>4307.4198431908098</v>
      </c>
      <c r="E45" s="1121">
        <v>0</v>
      </c>
      <c r="F45" s="1121">
        <v>4348.6656216912697</v>
      </c>
      <c r="G45" s="1121">
        <v>0</v>
      </c>
      <c r="H45" s="1121">
        <v>4408.1519801664499</v>
      </c>
      <c r="I45" s="1121">
        <v>0</v>
      </c>
      <c r="J45" s="1121">
        <v>4243.3272628137202</v>
      </c>
      <c r="K45" s="1121">
        <v>0</v>
      </c>
      <c r="L45" s="1121">
        <v>4244.4240898530197</v>
      </c>
      <c r="M45" s="1121">
        <v>0</v>
      </c>
      <c r="N45" s="1121">
        <v>4291.1048650420198</v>
      </c>
      <c r="O45" s="1121">
        <v>0</v>
      </c>
      <c r="P45" s="1121">
        <v>4336.1320081519198</v>
      </c>
      <c r="Q45" s="1121">
        <v>0</v>
      </c>
      <c r="R45" s="1121">
        <v>4387.7121877811296</v>
      </c>
      <c r="S45" s="1121">
        <v>0</v>
      </c>
      <c r="T45" s="1121">
        <v>4303.3896301985797</v>
      </c>
      <c r="U45" s="1121">
        <v>0</v>
      </c>
      <c r="V45" s="1121">
        <v>4279.4154486283096</v>
      </c>
      <c r="W45" s="1121">
        <v>0</v>
      </c>
      <c r="X45" s="1121">
        <v>4349.5690064605496</v>
      </c>
      <c r="Y45" s="1121">
        <v>0</v>
      </c>
      <c r="Z45" s="1121">
        <v>4382.8843674853097</v>
      </c>
      <c r="AA45" s="1121">
        <v>0</v>
      </c>
      <c r="AB45" s="1121">
        <v>4391.0314089588001</v>
      </c>
      <c r="AC45" s="1121">
        <v>0</v>
      </c>
      <c r="AD45" s="1121">
        <v>4438.8555008718004</v>
      </c>
      <c r="AE45" s="1121">
        <v>0</v>
      </c>
      <c r="AF45" s="1121">
        <v>4518.53998906787</v>
      </c>
      <c r="AG45" s="1121">
        <v>0</v>
      </c>
      <c r="AH45" s="1121">
        <v>4401.09138321707</v>
      </c>
      <c r="AI45" s="1121">
        <v>0</v>
      </c>
      <c r="AJ45" s="1121">
        <v>4421.8851639925397</v>
      </c>
      <c r="AK45" s="1121">
        <v>0</v>
      </c>
      <c r="AL45" s="1121">
        <v>4518.9997558170398</v>
      </c>
      <c r="AM45" s="1121">
        <v>0</v>
      </c>
      <c r="AN45" s="1121">
        <v>4434.5737748400397</v>
      </c>
      <c r="AO45" s="1121">
        <v>0</v>
      </c>
      <c r="AP45" s="1121">
        <v>4480.9567757552004</v>
      </c>
      <c r="AQ45" s="1121">
        <v>0</v>
      </c>
      <c r="AR45" s="1121">
        <v>4532.36760503</v>
      </c>
      <c r="AS45" s="1121">
        <v>0</v>
      </c>
      <c r="AT45" s="1121">
        <v>4590.7742666201702</v>
      </c>
      <c r="AU45" s="1121">
        <v>0</v>
      </c>
      <c r="AV45" s="1121">
        <v>4620.2757534499997</v>
      </c>
      <c r="AW45" s="1121">
        <v>0</v>
      </c>
      <c r="AX45" s="1121">
        <v>4607.7813907157497</v>
      </c>
      <c r="AY45" s="1121">
        <v>0</v>
      </c>
      <c r="AZ45" s="1121">
        <v>4663.7094914863001</v>
      </c>
      <c r="BA45" s="1121">
        <v>0</v>
      </c>
      <c r="BB45" s="1121">
        <v>4707.9533749744996</v>
      </c>
      <c r="BC45" s="1121">
        <v>0</v>
      </c>
      <c r="BD45" s="1121">
        <v>4620.9125135297099</v>
      </c>
      <c r="BE45" s="1121">
        <v>0</v>
      </c>
      <c r="BF45" s="1121">
        <v>4663.9026236007003</v>
      </c>
      <c r="BG45" s="1121">
        <v>0</v>
      </c>
      <c r="BH45" s="1121">
        <v>4743.8985605159996</v>
      </c>
      <c r="BI45" s="1121">
        <v>0</v>
      </c>
      <c r="BJ45" s="1121">
        <v>4803.7141631643199</v>
      </c>
      <c r="BK45" s="1121">
        <v>0</v>
      </c>
      <c r="BL45" s="1121">
        <v>4790.9808576415398</v>
      </c>
      <c r="BM45" s="1121">
        <v>0</v>
      </c>
      <c r="BN45" s="1121">
        <v>4899.7445418115403</v>
      </c>
      <c r="BO45" s="1121">
        <v>0</v>
      </c>
      <c r="BP45" s="1121">
        <v>4971.4914196085201</v>
      </c>
      <c r="BQ45" s="1121">
        <v>0</v>
      </c>
      <c r="BR45" s="1121">
        <v>5048.8744589048201</v>
      </c>
      <c r="BS45" s="1121">
        <v>0</v>
      </c>
      <c r="BT45" s="1121">
        <v>5142.3962917609997</v>
      </c>
      <c r="BU45" s="1121">
        <v>0</v>
      </c>
      <c r="BV45" s="1121">
        <v>5207.63643744614</v>
      </c>
      <c r="BW45" s="1121">
        <v>0</v>
      </c>
      <c r="BX45" s="1121">
        <v>5236.1981715687498</v>
      </c>
      <c r="BY45" s="1121"/>
      <c r="BZ45" s="1121">
        <v>5301.7027492553798</v>
      </c>
      <c r="CA45" s="1121"/>
      <c r="CB45" s="1121">
        <v>5411.9166524537504</v>
      </c>
      <c r="CC45" s="1399"/>
      <c r="CD45" s="1399">
        <v>5361.5744234999502</v>
      </c>
      <c r="CE45" s="1399"/>
      <c r="CF45" s="1121">
        <v>5389.7448504111098</v>
      </c>
      <c r="CG45" s="1399">
        <v>0</v>
      </c>
      <c r="CH45" s="1399">
        <v>5477.3464039471701</v>
      </c>
      <c r="CI45" s="1399"/>
      <c r="CJ45" s="1121">
        <v>5399.0546256961197</v>
      </c>
      <c r="CK45" s="1399"/>
      <c r="CL45" s="1121">
        <v>5437.7777928482901</v>
      </c>
      <c r="CM45" s="1399"/>
      <c r="CN45" s="1399">
        <v>5546.4778823828001</v>
      </c>
      <c r="CO45" s="1399"/>
      <c r="CP45" s="1121">
        <v>5480.8700956451603</v>
      </c>
      <c r="CQ45" s="1399"/>
      <c r="CR45" s="1399">
        <v>5570.1332107211902</v>
      </c>
      <c r="CS45" s="1399"/>
      <c r="CT45" s="1121">
        <v>5581.3410573281999</v>
      </c>
      <c r="CU45" s="1399"/>
      <c r="CV45" s="1121">
        <v>5680.9214189100003</v>
      </c>
      <c r="CW45" s="1399"/>
      <c r="CX45" s="1121">
        <v>5716.5546972900001</v>
      </c>
      <c r="CY45" s="1399"/>
      <c r="CZ45" s="1121">
        <v>5821.9903960600004</v>
      </c>
      <c r="DA45" s="1399"/>
      <c r="DB45" s="1121">
        <v>5838.2680155792104</v>
      </c>
      <c r="DC45" s="1399"/>
      <c r="DD45" s="1399">
        <v>5841.5926527399997</v>
      </c>
      <c r="DE45" s="1399"/>
      <c r="DF45" s="1121">
        <v>5733.2961809357703</v>
      </c>
      <c r="DG45" s="1399"/>
      <c r="DH45" s="1121">
        <v>5708.7442634199997</v>
      </c>
      <c r="DI45" s="1121"/>
      <c r="DJ45" s="1121">
        <v>5794.8773088400003</v>
      </c>
      <c r="DK45" s="1121"/>
      <c r="DL45" s="1121">
        <v>5759.8403099300003</v>
      </c>
      <c r="DM45" s="1121"/>
      <c r="DN45" s="1121">
        <v>5900.2633529699997</v>
      </c>
      <c r="DO45" s="1121"/>
      <c r="DP45" s="1121">
        <v>5953.0753427</v>
      </c>
      <c r="DQ45" s="1121"/>
      <c r="DR45" s="1121">
        <v>6031.8599192399997</v>
      </c>
      <c r="DS45" s="1121"/>
      <c r="DT45" s="1121">
        <v>6102.8099311699998</v>
      </c>
      <c r="DU45" s="1121"/>
      <c r="DV45" s="1121">
        <v>6196.7976533392903</v>
      </c>
      <c r="DW45" s="1121"/>
      <c r="DX45" s="1121">
        <v>6268.97680459</v>
      </c>
      <c r="DY45" s="1121"/>
      <c r="DZ45" s="1121">
        <v>6358.8472553000001</v>
      </c>
      <c r="EA45" s="1121"/>
      <c r="EB45" s="1121">
        <v>6235.7771877699997</v>
      </c>
      <c r="EC45" s="1121"/>
      <c r="ED45" s="1120" t="s">
        <v>3603</v>
      </c>
    </row>
    <row r="46" spans="1:137" ht="18" customHeight="1">
      <c r="A46" s="1122" t="s">
        <v>2241</v>
      </c>
      <c r="B46" s="1106">
        <v>325.03180210104398</v>
      </c>
      <c r="C46" s="1106">
        <v>0</v>
      </c>
      <c r="D46" s="1106">
        <v>336.78699184043597</v>
      </c>
      <c r="E46" s="1106">
        <v>0</v>
      </c>
      <c r="F46" s="1106">
        <v>342.34170538846399</v>
      </c>
      <c r="G46" s="1106">
        <v>0</v>
      </c>
      <c r="H46" s="1106">
        <v>332.85358624824198</v>
      </c>
      <c r="I46" s="1106">
        <v>0</v>
      </c>
      <c r="J46" s="1106">
        <v>318.10022260447101</v>
      </c>
      <c r="K46" s="1106">
        <v>0</v>
      </c>
      <c r="L46" s="1106">
        <v>315.01915555888797</v>
      </c>
      <c r="M46" s="1106">
        <v>0</v>
      </c>
      <c r="N46" s="1106">
        <v>311.48709497001698</v>
      </c>
      <c r="O46" s="1106">
        <v>0</v>
      </c>
      <c r="P46" s="1106">
        <v>319.21431133750201</v>
      </c>
      <c r="Q46" s="1106">
        <v>0</v>
      </c>
      <c r="R46" s="1106">
        <v>326.69888213528901</v>
      </c>
      <c r="S46" s="1106">
        <v>0</v>
      </c>
      <c r="T46" s="1106">
        <v>320.911284207476</v>
      </c>
      <c r="U46" s="1106">
        <v>0</v>
      </c>
      <c r="V46" s="1106">
        <v>314.34156685697099</v>
      </c>
      <c r="W46" s="1106">
        <v>0</v>
      </c>
      <c r="X46" s="1106">
        <v>311.55645648043901</v>
      </c>
      <c r="Y46" s="1106">
        <v>0</v>
      </c>
      <c r="Z46" s="1106">
        <v>316.36482083149002</v>
      </c>
      <c r="AA46" s="1106">
        <v>0</v>
      </c>
      <c r="AB46" s="1106">
        <v>329.70853555387498</v>
      </c>
      <c r="AC46" s="1106">
        <v>0</v>
      </c>
      <c r="AD46" s="1106">
        <v>326.92706036094899</v>
      </c>
      <c r="AE46" s="1106">
        <v>0</v>
      </c>
      <c r="AF46" s="1106">
        <v>330.82969954752099</v>
      </c>
      <c r="AG46" s="1106">
        <v>0</v>
      </c>
      <c r="AH46" s="1106">
        <v>330.03614782129199</v>
      </c>
      <c r="AI46" s="1106">
        <v>0</v>
      </c>
      <c r="AJ46" s="1106">
        <v>330.59946738031601</v>
      </c>
      <c r="AK46" s="1106">
        <v>0</v>
      </c>
      <c r="AL46" s="1106">
        <v>330.71137519555299</v>
      </c>
      <c r="AM46" s="1106">
        <v>0</v>
      </c>
      <c r="AN46" s="1106">
        <v>333.87394864008098</v>
      </c>
      <c r="AO46" s="1106">
        <v>0</v>
      </c>
      <c r="AP46" s="1106">
        <v>332.76802157315302</v>
      </c>
      <c r="AQ46" s="1106">
        <v>0</v>
      </c>
      <c r="AR46" s="1106">
        <v>338.99239245506402</v>
      </c>
      <c r="AS46" s="1106">
        <v>0</v>
      </c>
      <c r="AT46" s="1106">
        <v>344.00222716598199</v>
      </c>
      <c r="AU46" s="1106">
        <v>0</v>
      </c>
      <c r="AV46" s="1106">
        <v>351.79246984295202</v>
      </c>
      <c r="AW46" s="1106">
        <v>0</v>
      </c>
      <c r="AX46" s="1106">
        <v>361.552949783972</v>
      </c>
      <c r="AY46" s="1106">
        <v>0</v>
      </c>
      <c r="AZ46" s="1106">
        <v>364.30580440991702</v>
      </c>
      <c r="BA46" s="1106">
        <v>0</v>
      </c>
      <c r="BB46" s="1106">
        <v>353.53285867689101</v>
      </c>
      <c r="BC46" s="1106">
        <v>0</v>
      </c>
      <c r="BD46" s="1106">
        <v>320.60042030748701</v>
      </c>
      <c r="BE46" s="1106">
        <v>0</v>
      </c>
      <c r="BF46" s="1106">
        <v>326.00249203760097</v>
      </c>
      <c r="BG46" s="1106">
        <v>0</v>
      </c>
      <c r="BH46" s="1106">
        <v>334.69426640193598</v>
      </c>
      <c r="BI46" s="1106">
        <v>0</v>
      </c>
      <c r="BJ46" s="1106">
        <v>342.18823913773502</v>
      </c>
      <c r="BK46" s="1106">
        <v>0</v>
      </c>
      <c r="BL46" s="1106">
        <v>348.24495686271501</v>
      </c>
      <c r="BM46" s="1106">
        <v>0</v>
      </c>
      <c r="BN46" s="1106">
        <v>366.98482419269101</v>
      </c>
      <c r="BO46" s="1106">
        <v>0</v>
      </c>
      <c r="BP46" s="1106">
        <v>373.57710624446099</v>
      </c>
      <c r="BQ46" s="1106">
        <v>0</v>
      </c>
      <c r="BR46" s="1106">
        <v>381.12700851278402</v>
      </c>
      <c r="BS46" s="1106">
        <v>0</v>
      </c>
      <c r="BT46" s="1106">
        <v>377.47549654156398</v>
      </c>
      <c r="BU46" s="1106">
        <v>0</v>
      </c>
      <c r="BV46" s="1106">
        <v>414.45730242658999</v>
      </c>
      <c r="BW46" s="1106">
        <v>0</v>
      </c>
      <c r="BX46" s="1106">
        <v>425.49608434322897</v>
      </c>
      <c r="BY46" s="1106"/>
      <c r="BZ46" s="1106">
        <v>434.36356160323498</v>
      </c>
      <c r="CA46" s="1106"/>
      <c r="CB46" s="1106">
        <v>437.35901504557302</v>
      </c>
      <c r="CC46" s="1393"/>
      <c r="CD46" s="1393">
        <v>449.82279939222798</v>
      </c>
      <c r="CE46" s="1393"/>
      <c r="CF46" s="1106">
        <v>447.45621840171202</v>
      </c>
      <c r="CG46" s="1393">
        <v>0</v>
      </c>
      <c r="CH46" s="1393">
        <v>435.36038196325597</v>
      </c>
      <c r="CI46" s="1393"/>
      <c r="CJ46" s="1106">
        <v>440.08475146019799</v>
      </c>
      <c r="CK46" s="1393"/>
      <c r="CL46" s="1106">
        <v>446.84732265707902</v>
      </c>
      <c r="CM46" s="1393"/>
      <c r="CN46" s="1393">
        <v>444.90193530170001</v>
      </c>
      <c r="CO46" s="1393"/>
      <c r="CP46" s="1106">
        <v>425.66816141328098</v>
      </c>
      <c r="CQ46" s="1393"/>
      <c r="CR46" s="1393">
        <v>441.999451656818</v>
      </c>
      <c r="CS46" s="1393"/>
      <c r="CT46" s="1106">
        <v>482.05375889790503</v>
      </c>
      <c r="CU46" s="1393"/>
      <c r="CV46" s="1106">
        <v>471.45566252566698</v>
      </c>
      <c r="CW46" s="1393"/>
      <c r="CX46" s="1106">
        <v>470.68830164068999</v>
      </c>
      <c r="CY46" s="1393"/>
      <c r="CZ46" s="1106">
        <v>475.46405111495397</v>
      </c>
      <c r="DA46" s="1393"/>
      <c r="DB46" s="1106">
        <v>485.65638139947703</v>
      </c>
      <c r="DC46" s="1393"/>
      <c r="DD46" s="1393">
        <v>488.08634199437103</v>
      </c>
      <c r="DE46" s="1393"/>
      <c r="DF46" s="1106">
        <v>508.51601728853501</v>
      </c>
      <c r="DG46" s="1393"/>
      <c r="DH46" s="1106">
        <v>506.27701282757801</v>
      </c>
      <c r="DI46" s="1106"/>
      <c r="DJ46" s="1106">
        <v>516.80670558598604</v>
      </c>
      <c r="DK46" s="1106"/>
      <c r="DL46" s="1106">
        <v>530.94498501451403</v>
      </c>
      <c r="DM46" s="1106"/>
      <c r="DN46" s="1106">
        <v>542.89845802222601</v>
      </c>
      <c r="DO46" s="1106"/>
      <c r="DP46" s="1106">
        <v>548.94476669664004</v>
      </c>
      <c r="DQ46" s="1106"/>
      <c r="DR46" s="1106">
        <v>586.57889303078002</v>
      </c>
      <c r="DS46" s="1106"/>
      <c r="DT46" s="1106">
        <v>585.62617888402497</v>
      </c>
      <c r="DU46" s="1106"/>
      <c r="DV46" s="1106">
        <v>616.41479020480494</v>
      </c>
      <c r="DW46" s="1106"/>
      <c r="DX46" s="1106">
        <v>625.88279129441901</v>
      </c>
      <c r="DY46" s="1106"/>
      <c r="DZ46" s="1106">
        <v>622.75587013230904</v>
      </c>
      <c r="EA46" s="1106"/>
      <c r="EB46" s="1106">
        <v>623.70399671745304</v>
      </c>
      <c r="EC46" s="1106"/>
      <c r="ED46" s="1122" t="s">
        <v>3604</v>
      </c>
    </row>
    <row r="47" spans="1:137" ht="24.75" customHeight="1" thickBot="1">
      <c r="A47" s="1123" t="s">
        <v>2240</v>
      </c>
      <c r="B47" s="1124">
        <v>4582.9935155889098</v>
      </c>
      <c r="C47" s="1124">
        <v>0</v>
      </c>
      <c r="D47" s="1124">
        <v>4644.2068350312502</v>
      </c>
      <c r="E47" s="1124">
        <v>0</v>
      </c>
      <c r="F47" s="1124">
        <v>4691.0073270797402</v>
      </c>
      <c r="G47" s="1124">
        <v>0</v>
      </c>
      <c r="H47" s="1124">
        <v>4741.0055664146903</v>
      </c>
      <c r="I47" s="1124">
        <v>0</v>
      </c>
      <c r="J47" s="1124">
        <v>4561.4274854181904</v>
      </c>
      <c r="K47" s="1124">
        <v>0</v>
      </c>
      <c r="L47" s="1125">
        <v>4559.4432454118996</v>
      </c>
      <c r="M47" s="1125">
        <v>0</v>
      </c>
      <c r="N47" s="1125">
        <v>4602.5919600120296</v>
      </c>
      <c r="O47" s="1125">
        <v>0</v>
      </c>
      <c r="P47" s="1125">
        <v>4655.3463194894202</v>
      </c>
      <c r="Q47" s="1125">
        <v>0</v>
      </c>
      <c r="R47" s="1125">
        <v>4714.4110699164203</v>
      </c>
      <c r="S47" s="1125">
        <v>0</v>
      </c>
      <c r="T47" s="1125">
        <v>4624.3009144060497</v>
      </c>
      <c r="U47" s="1125">
        <v>0</v>
      </c>
      <c r="V47" s="1125">
        <v>4593.7570154852801</v>
      </c>
      <c r="W47" s="1125">
        <v>0</v>
      </c>
      <c r="X47" s="1125">
        <v>4661.1254629409896</v>
      </c>
      <c r="Y47" s="1125">
        <v>0</v>
      </c>
      <c r="Z47" s="1125">
        <v>4699.2491883168004</v>
      </c>
      <c r="AA47" s="1125">
        <v>0</v>
      </c>
      <c r="AB47" s="1125">
        <v>4720.7399445126703</v>
      </c>
      <c r="AC47" s="1125">
        <v>0</v>
      </c>
      <c r="AD47" s="1125">
        <v>4765.7825612327497</v>
      </c>
      <c r="AE47" s="1125">
        <v>0</v>
      </c>
      <c r="AF47" s="1125">
        <v>4849.3696886153903</v>
      </c>
      <c r="AG47" s="1125">
        <v>0</v>
      </c>
      <c r="AH47" s="1125">
        <v>4731.1275310383598</v>
      </c>
      <c r="AI47" s="1125">
        <v>0</v>
      </c>
      <c r="AJ47" s="1125">
        <v>4752.4846313728603</v>
      </c>
      <c r="AK47" s="1125">
        <v>0</v>
      </c>
      <c r="AL47" s="1125">
        <v>4849.7111310125902</v>
      </c>
      <c r="AM47" s="1125">
        <v>0</v>
      </c>
      <c r="AN47" s="1125">
        <v>4768.4477234801197</v>
      </c>
      <c r="AO47" s="1125">
        <v>0</v>
      </c>
      <c r="AP47" s="1125">
        <v>4813.7247973283502</v>
      </c>
      <c r="AQ47" s="1125">
        <v>0</v>
      </c>
      <c r="AR47" s="1125">
        <v>4871.3599974850604</v>
      </c>
      <c r="AS47" s="1125">
        <v>0</v>
      </c>
      <c r="AT47" s="1125">
        <v>4934.7764937861502</v>
      </c>
      <c r="AU47" s="1125">
        <v>0</v>
      </c>
      <c r="AV47" s="1125">
        <v>4972.0682232929503</v>
      </c>
      <c r="AW47" s="1125">
        <v>0</v>
      </c>
      <c r="AX47" s="1125">
        <v>4969.3343404997204</v>
      </c>
      <c r="AY47" s="1125">
        <v>0</v>
      </c>
      <c r="AZ47" s="1125">
        <v>5028.0152958962199</v>
      </c>
      <c r="BA47" s="1125">
        <v>0</v>
      </c>
      <c r="BB47" s="1125">
        <v>5061.4862336513897</v>
      </c>
      <c r="BC47" s="1125">
        <v>0</v>
      </c>
      <c r="BD47" s="1125">
        <v>4941.5129338371898</v>
      </c>
      <c r="BE47" s="1125">
        <v>0</v>
      </c>
      <c r="BF47" s="1125">
        <v>4989.9051156383002</v>
      </c>
      <c r="BG47" s="1125">
        <v>0</v>
      </c>
      <c r="BH47" s="1125">
        <v>5078.5928269179403</v>
      </c>
      <c r="BI47" s="1125">
        <v>0</v>
      </c>
      <c r="BJ47" s="1125">
        <v>5145.9024023020602</v>
      </c>
      <c r="BK47" s="1125">
        <v>0</v>
      </c>
      <c r="BL47" s="1125">
        <v>5139.2258145042497</v>
      </c>
      <c r="BM47" s="1125">
        <v>0</v>
      </c>
      <c r="BN47" s="1125">
        <v>5266.7293660042296</v>
      </c>
      <c r="BO47" s="1125">
        <v>0</v>
      </c>
      <c r="BP47" s="1125">
        <v>5345.0685258529802</v>
      </c>
      <c r="BQ47" s="1125">
        <v>0</v>
      </c>
      <c r="BR47" s="1125">
        <v>5430.00146741761</v>
      </c>
      <c r="BS47" s="1125">
        <v>0</v>
      </c>
      <c r="BT47" s="1125">
        <v>5519.8717883025702</v>
      </c>
      <c r="BU47" s="1125">
        <v>0</v>
      </c>
      <c r="BV47" s="1125">
        <v>5622.0937398727301</v>
      </c>
      <c r="BW47" s="1125">
        <v>0</v>
      </c>
      <c r="BX47" s="1125">
        <v>5661.6942559119798</v>
      </c>
      <c r="BY47" s="1125"/>
      <c r="BZ47" s="1125">
        <v>5736.0663108586104</v>
      </c>
      <c r="CA47" s="1125"/>
      <c r="CB47" s="1125">
        <v>5849.2756674993298</v>
      </c>
      <c r="CC47" s="1400"/>
      <c r="CD47" s="1400">
        <v>5811.3972228921803</v>
      </c>
      <c r="CE47" s="1400"/>
      <c r="CF47" s="1125">
        <v>5837.2010688128203</v>
      </c>
      <c r="CG47" s="1400">
        <v>0</v>
      </c>
      <c r="CH47" s="1400">
        <v>5912.70678591042</v>
      </c>
      <c r="CI47" s="1400"/>
      <c r="CJ47" s="1125">
        <v>5839.1393771563198</v>
      </c>
      <c r="CK47" s="1400"/>
      <c r="CL47" s="1125">
        <v>5884.6251155053696</v>
      </c>
      <c r="CM47" s="1400"/>
      <c r="CN47" s="1400">
        <v>5991.3798176845003</v>
      </c>
      <c r="CO47" s="1400"/>
      <c r="CP47" s="1125">
        <v>5913.6259700084402</v>
      </c>
      <c r="CQ47" s="1400"/>
      <c r="CR47" s="1400">
        <v>6012.1326623780096</v>
      </c>
      <c r="CS47" s="1400"/>
      <c r="CT47" s="1125">
        <v>6063.3548162261104</v>
      </c>
      <c r="CU47" s="1400"/>
      <c r="CV47" s="1125">
        <v>6152.3770814356703</v>
      </c>
      <c r="CW47" s="1400"/>
      <c r="CX47" s="1125">
        <v>6187.2529989306904</v>
      </c>
      <c r="CY47" s="1400"/>
      <c r="CZ47" s="1125">
        <v>6297.4544471749596</v>
      </c>
      <c r="DA47" s="1400"/>
      <c r="DB47" s="1125">
        <v>6323.9243969786903</v>
      </c>
      <c r="DC47" s="1400"/>
      <c r="DD47" s="1400">
        <v>6329.6789947343696</v>
      </c>
      <c r="DE47" s="1400"/>
      <c r="DF47" s="1125">
        <v>6241.8121982243001</v>
      </c>
      <c r="DG47" s="1400"/>
      <c r="DH47" s="1125">
        <v>6215.0212762475803</v>
      </c>
      <c r="DI47" s="1125"/>
      <c r="DJ47" s="1125">
        <v>6311.6840144259904</v>
      </c>
      <c r="DK47" s="1125"/>
      <c r="DL47" s="1125">
        <v>6290.7852949445096</v>
      </c>
      <c r="DM47" s="1125"/>
      <c r="DN47" s="1125">
        <v>6443.1618109922201</v>
      </c>
      <c r="DO47" s="1125"/>
      <c r="DP47" s="1125">
        <v>6502.0201093966398</v>
      </c>
      <c r="DQ47" s="1125"/>
      <c r="DR47" s="1125">
        <v>6618.4388122707796</v>
      </c>
      <c r="DS47" s="1125"/>
      <c r="DT47" s="1125">
        <v>6688.43611005402</v>
      </c>
      <c r="DU47" s="1125"/>
      <c r="DV47" s="1125">
        <v>6813.2124435441001</v>
      </c>
      <c r="DW47" s="1125"/>
      <c r="DX47" s="1125">
        <v>6894.8595958844198</v>
      </c>
      <c r="DY47" s="1125"/>
      <c r="DZ47" s="1125">
        <v>6981.6031254323098</v>
      </c>
      <c r="EA47" s="1125"/>
      <c r="EB47" s="1125">
        <v>6859.4811844874503</v>
      </c>
      <c r="EC47" s="1125"/>
      <c r="ED47" s="1123" t="s">
        <v>3605</v>
      </c>
    </row>
    <row r="48" spans="1:137" s="1141" customFormat="1" ht="39.75" customHeight="1" thickBot="1">
      <c r="A48" s="1384" t="s">
        <v>2239</v>
      </c>
      <c r="B48" s="1385">
        <v>32722.7715977474</v>
      </c>
      <c r="C48" s="1385">
        <v>15632.00868594</v>
      </c>
      <c r="D48" s="1385">
        <v>32863.227780301997</v>
      </c>
      <c r="E48" s="1385">
        <v>15859.4686560519</v>
      </c>
      <c r="F48" s="1385">
        <v>33195.901429624602</v>
      </c>
      <c r="G48" s="1385">
        <v>15678.94060871</v>
      </c>
      <c r="H48" s="1385">
        <v>32218.908868473802</v>
      </c>
      <c r="I48" s="1385">
        <v>15470.487018579999</v>
      </c>
      <c r="J48" s="1385">
        <v>31272.782507935601</v>
      </c>
      <c r="K48" s="1385">
        <v>14876.439689880001</v>
      </c>
      <c r="L48" s="1385">
        <v>31260.7900897541</v>
      </c>
      <c r="M48" s="1385">
        <v>14664.9000233033</v>
      </c>
      <c r="N48" s="1385">
        <v>30541.0312492339</v>
      </c>
      <c r="O48" s="1385">
        <v>14053.78607907</v>
      </c>
      <c r="P48" s="1385">
        <v>30503.466040603798</v>
      </c>
      <c r="Q48" s="1385">
        <v>13707.4350932496</v>
      </c>
      <c r="R48" s="1385">
        <v>31065.933888839401</v>
      </c>
      <c r="S48" s="1385">
        <v>14118.0615912011</v>
      </c>
      <c r="T48" s="1385">
        <v>30618.9290287697</v>
      </c>
      <c r="U48" s="1385">
        <v>13287.3291536995</v>
      </c>
      <c r="V48" s="1385">
        <v>30685.092057299102</v>
      </c>
      <c r="W48" s="1385">
        <v>13204.7747804964</v>
      </c>
      <c r="X48" s="1385">
        <v>30742.9709196597</v>
      </c>
      <c r="Y48" s="1385">
        <v>13342.282166888301</v>
      </c>
      <c r="Z48" s="1385">
        <v>32055.3092580913</v>
      </c>
      <c r="AA48" s="1385">
        <v>13857.024209163999</v>
      </c>
      <c r="AB48" s="1385">
        <v>31944.817244460799</v>
      </c>
      <c r="AC48" s="1385">
        <v>13667.268332957699</v>
      </c>
      <c r="AD48" s="1385">
        <v>32203.446203486001</v>
      </c>
      <c r="AE48" s="1385">
        <v>13516.602574561201</v>
      </c>
      <c r="AF48" s="1385">
        <v>32521.404198267199</v>
      </c>
      <c r="AG48" s="1385">
        <v>13512.775126894299</v>
      </c>
      <c r="AH48" s="1385">
        <v>32796.688826332</v>
      </c>
      <c r="AI48" s="1385">
        <v>13408.162511898499</v>
      </c>
      <c r="AJ48" s="1385">
        <v>33810.727473172097</v>
      </c>
      <c r="AK48" s="1385">
        <v>13627.049358533101</v>
      </c>
      <c r="AL48" s="1385">
        <v>33069.857593718298</v>
      </c>
      <c r="AM48" s="1385">
        <v>13124.864203405999</v>
      </c>
      <c r="AN48" s="1385">
        <v>33668.131007581796</v>
      </c>
      <c r="AO48" s="1385">
        <v>13480.514529067401</v>
      </c>
      <c r="AP48" s="1385">
        <v>33426.744381522702</v>
      </c>
      <c r="AQ48" s="1385">
        <v>13054.994358189801</v>
      </c>
      <c r="AR48" s="1385">
        <v>34526.541956268899</v>
      </c>
      <c r="AS48" s="1385">
        <v>13656.5051842147</v>
      </c>
      <c r="AT48" s="1385">
        <v>34963.554086618802</v>
      </c>
      <c r="AU48" s="1385">
        <v>13961.081778722801</v>
      </c>
      <c r="AV48" s="1385">
        <v>35604.461453454896</v>
      </c>
      <c r="AW48" s="1385">
        <v>14132.2504430753</v>
      </c>
      <c r="AX48" s="1385">
        <v>38462.211941060799</v>
      </c>
      <c r="AY48" s="1385">
        <v>15162.4758171064</v>
      </c>
      <c r="AZ48" s="1385">
        <v>37982.260347166703</v>
      </c>
      <c r="BA48" s="1385">
        <v>15292.232439085001</v>
      </c>
      <c r="BB48" s="1385">
        <v>38483.425064279698</v>
      </c>
      <c r="BC48" s="1385">
        <v>15305.3330932881</v>
      </c>
      <c r="BD48" s="1385">
        <v>39673.238268744099</v>
      </c>
      <c r="BE48" s="1385">
        <v>16147.132756631099</v>
      </c>
      <c r="BF48" s="1385">
        <v>40149.084618709101</v>
      </c>
      <c r="BG48" s="1385">
        <v>16276.1583346196</v>
      </c>
      <c r="BH48" s="1385">
        <v>41371.5485903382</v>
      </c>
      <c r="BI48" s="1385">
        <v>16889.755672309198</v>
      </c>
      <c r="BJ48" s="1385">
        <v>41920.128072588399</v>
      </c>
      <c r="BK48" s="1385">
        <v>16797.607832377202</v>
      </c>
      <c r="BL48" s="1385">
        <v>41589.734235004798</v>
      </c>
      <c r="BM48" s="1385">
        <v>16968.258709509199</v>
      </c>
      <c r="BN48" s="1385">
        <v>42404.660369548903</v>
      </c>
      <c r="BO48" s="1385">
        <v>16753.482416936498</v>
      </c>
      <c r="BP48" s="1385">
        <v>43633.385177792297</v>
      </c>
      <c r="BQ48" s="1385">
        <v>17215.403945462702</v>
      </c>
      <c r="BR48" s="1385">
        <v>44660.662882583798</v>
      </c>
      <c r="BS48" s="1385">
        <v>17311.962565387701</v>
      </c>
      <c r="BT48" s="1385">
        <v>45490.196201576298</v>
      </c>
      <c r="BU48" s="1385">
        <v>17892.011130619201</v>
      </c>
      <c r="BV48" s="1385">
        <v>47054.924150292398</v>
      </c>
      <c r="BW48" s="1385">
        <v>18652.408689545398</v>
      </c>
      <c r="BX48" s="1385">
        <v>45861.9262411249</v>
      </c>
      <c r="BY48" s="1385">
        <v>17861.4458165303</v>
      </c>
      <c r="BZ48" s="1385">
        <v>45708.589921554398</v>
      </c>
      <c r="CA48" s="1385">
        <v>17683.1138848964</v>
      </c>
      <c r="CB48" s="1385">
        <v>44843.205755129697</v>
      </c>
      <c r="CC48" s="1401">
        <v>16473.7097361985</v>
      </c>
      <c r="CD48" s="1401">
        <v>45582.651149424099</v>
      </c>
      <c r="CE48" s="1401">
        <v>16814.651292682898</v>
      </c>
      <c r="CF48" s="1385">
        <v>45921.778460526097</v>
      </c>
      <c r="CG48" s="1401">
        <v>16834.446567333202</v>
      </c>
      <c r="CH48" s="1401">
        <v>45218.267243912102</v>
      </c>
      <c r="CI48" s="1401">
        <v>15737.9855991226</v>
      </c>
      <c r="CJ48" s="1385">
        <v>44880.331705270299</v>
      </c>
      <c r="CK48" s="1401">
        <v>14809.2352433015</v>
      </c>
      <c r="CL48" s="1385">
        <v>45358.6864798897</v>
      </c>
      <c r="CM48" s="1401">
        <v>14555.937364720499</v>
      </c>
      <c r="CN48" s="1401">
        <v>45530.499721910797</v>
      </c>
      <c r="CO48" s="1401">
        <v>14262.246119527699</v>
      </c>
      <c r="CP48" s="1385">
        <v>46146.565306839599</v>
      </c>
      <c r="CQ48" s="1401">
        <v>14927.9283455143</v>
      </c>
      <c r="CR48" s="1401">
        <v>46172.478034138803</v>
      </c>
      <c r="CS48" s="1401">
        <v>14430.171724149701</v>
      </c>
      <c r="CT48" s="1385">
        <v>49178.196218152603</v>
      </c>
      <c r="CU48" s="1401">
        <v>16087.3141229142</v>
      </c>
      <c r="CV48" s="1385">
        <v>49296.7716533188</v>
      </c>
      <c r="CW48" s="1401">
        <v>16312.7527053167</v>
      </c>
      <c r="CX48" s="1385">
        <v>48735.678304724002</v>
      </c>
      <c r="CY48" s="1401">
        <v>15671.951788389701</v>
      </c>
      <c r="CZ48" s="1385">
        <v>48909.9439490515</v>
      </c>
      <c r="DA48" s="1401">
        <v>16185.6720967453</v>
      </c>
      <c r="DB48" s="1385">
        <v>49221.614740265402</v>
      </c>
      <c r="DC48" s="1401">
        <v>16367.7068460354</v>
      </c>
      <c r="DD48" s="1401">
        <v>49147.473662050601</v>
      </c>
      <c r="DE48" s="1401">
        <v>15920.730868446501</v>
      </c>
      <c r="DF48" s="1385">
        <v>50328.119893906704</v>
      </c>
      <c r="DG48" s="1401">
        <v>15855.417858844199</v>
      </c>
      <c r="DH48" s="1110">
        <v>49089.294073589503</v>
      </c>
      <c r="DI48" s="1110">
        <v>15230.7495157336</v>
      </c>
      <c r="DJ48" s="1110">
        <v>49567.7459798165</v>
      </c>
      <c r="DK48" s="1110">
        <v>15866.3398529121</v>
      </c>
      <c r="DL48" s="1110">
        <v>50840.839368833003</v>
      </c>
      <c r="DM48" s="1110">
        <v>15838.6202093189</v>
      </c>
      <c r="DN48" s="1110">
        <v>49697.750916876699</v>
      </c>
      <c r="DO48" s="1110">
        <v>15450.7760045996</v>
      </c>
      <c r="DP48" s="1110">
        <v>50164.616981919004</v>
      </c>
      <c r="DQ48" s="1110">
        <v>15758.3050710891</v>
      </c>
      <c r="DR48" s="1110">
        <v>53001.4017224415</v>
      </c>
      <c r="DS48" s="1110">
        <v>16621.180041118299</v>
      </c>
      <c r="DT48" s="1110">
        <v>53090.7390049971</v>
      </c>
      <c r="DU48" s="1110">
        <v>17349.3399968005</v>
      </c>
      <c r="DV48" s="1110">
        <v>53561.650321218403</v>
      </c>
      <c r="DW48" s="1110">
        <v>17741.811819109102</v>
      </c>
      <c r="DX48" s="1110">
        <v>54855.632332332199</v>
      </c>
      <c r="DY48" s="1110">
        <v>17969.404670420699</v>
      </c>
      <c r="DZ48" s="1110">
        <v>54607.144684464402</v>
      </c>
      <c r="EA48" s="1110">
        <v>17528.534827009102</v>
      </c>
      <c r="EB48" s="1110">
        <v>56549.735593520301</v>
      </c>
      <c r="EC48" s="1110">
        <v>19281.843162381501</v>
      </c>
      <c r="ED48" s="1402" t="s">
        <v>3606</v>
      </c>
    </row>
    <row r="49" spans="1:99" s="1126" customFormat="1" ht="20.25" customHeight="1">
      <c r="A49" s="2920" t="s">
        <v>3643</v>
      </c>
      <c r="B49" s="2920"/>
      <c r="C49" s="2920"/>
      <c r="D49" s="2920"/>
      <c r="E49" s="2920"/>
      <c r="F49" s="2920"/>
      <c r="G49" s="2920"/>
      <c r="H49" s="2920"/>
      <c r="I49" s="2920"/>
      <c r="J49" s="2920"/>
      <c r="K49" s="2920"/>
      <c r="L49" s="2920"/>
      <c r="M49" s="2920"/>
      <c r="N49" s="2920"/>
      <c r="O49" s="2920"/>
      <c r="P49" s="2920"/>
      <c r="Q49" s="2920"/>
      <c r="R49" s="2920"/>
      <c r="S49" s="2920"/>
      <c r="T49" s="2920"/>
      <c r="U49" s="2920"/>
      <c r="V49" s="2920"/>
      <c r="W49" s="2920"/>
      <c r="X49" s="2920"/>
      <c r="Y49" s="2920"/>
      <c r="Z49" s="2920"/>
      <c r="AA49" s="2920"/>
      <c r="AB49" s="2920"/>
      <c r="AC49" s="2920"/>
      <c r="AD49" s="2920"/>
      <c r="AE49" s="2920"/>
      <c r="AF49" s="2920"/>
      <c r="AG49" s="2920"/>
      <c r="AH49" s="2920"/>
      <c r="AI49" s="2920"/>
      <c r="AJ49" s="2920"/>
      <c r="AK49" s="2920"/>
      <c r="AL49" s="2920"/>
      <c r="AM49" s="2920"/>
      <c r="AN49" s="2920"/>
      <c r="AO49" s="2920"/>
      <c r="AP49" s="2920"/>
      <c r="AQ49" s="2920"/>
      <c r="AR49" s="2920"/>
      <c r="AS49" s="2920"/>
      <c r="AT49" s="2920"/>
      <c r="AU49" s="2920"/>
      <c r="AV49" s="2920"/>
      <c r="AW49" s="2920"/>
      <c r="AX49" s="2920"/>
      <c r="AY49" s="2920"/>
      <c r="AZ49" s="2920"/>
      <c r="BA49" s="2920"/>
      <c r="BB49" s="2920"/>
      <c r="BC49" s="2920"/>
      <c r="BD49" s="2920"/>
      <c r="BE49" s="2920"/>
      <c r="BF49" s="2920"/>
      <c r="BG49" s="2920"/>
      <c r="BH49" s="2920"/>
      <c r="BI49" s="2920"/>
      <c r="BJ49" s="2920"/>
      <c r="BK49" s="2920"/>
      <c r="BL49" s="2920"/>
      <c r="BM49" s="2920"/>
      <c r="BN49" s="2920"/>
      <c r="BO49" s="2920"/>
      <c r="BP49" s="2920"/>
      <c r="BQ49" s="2920"/>
      <c r="BR49" s="2920"/>
      <c r="BS49" s="2920"/>
      <c r="BT49" s="2920"/>
      <c r="BU49" s="2920"/>
      <c r="BV49" s="2920"/>
      <c r="BW49" s="2920"/>
      <c r="BX49" s="2920"/>
      <c r="BY49" s="2920"/>
      <c r="BZ49" s="2920"/>
      <c r="CA49" s="2920"/>
      <c r="CB49" s="2920"/>
      <c r="CC49" s="2920"/>
      <c r="CD49" s="2920"/>
      <c r="CE49" s="2920"/>
      <c r="CF49" s="2920"/>
      <c r="CG49" s="2920"/>
      <c r="CH49" s="2920"/>
      <c r="CI49" s="2920"/>
      <c r="CJ49" s="2920"/>
      <c r="CK49" s="2920"/>
      <c r="CL49" s="2920"/>
      <c r="CM49" s="2920"/>
      <c r="CN49" s="2920"/>
      <c r="CO49" s="2920"/>
      <c r="CP49" s="2920"/>
      <c r="CQ49" s="2920"/>
      <c r="CR49" s="2920"/>
      <c r="CS49" s="2920"/>
      <c r="CT49" s="2920"/>
      <c r="CU49" s="2920"/>
    </row>
    <row r="50" spans="1:99" s="1127" customFormat="1" ht="35.25" customHeight="1">
      <c r="A50" s="2921" t="s">
        <v>4322</v>
      </c>
      <c r="B50" s="2921"/>
      <c r="C50" s="2921"/>
      <c r="D50" s="2921"/>
      <c r="E50" s="2921"/>
      <c r="F50" s="2921"/>
      <c r="G50" s="2921"/>
      <c r="H50" s="2921"/>
      <c r="I50" s="2921"/>
      <c r="J50" s="2921"/>
      <c r="K50" s="2921"/>
      <c r="L50" s="2921"/>
      <c r="M50" s="2921"/>
      <c r="N50" s="2921"/>
      <c r="O50" s="2921"/>
      <c r="P50" s="2921"/>
      <c r="Q50" s="2921"/>
      <c r="R50" s="2921"/>
      <c r="S50" s="2921"/>
      <c r="T50" s="2921"/>
      <c r="U50" s="2921"/>
      <c r="V50" s="2921"/>
      <c r="W50" s="2921"/>
      <c r="X50" s="2921"/>
      <c r="Y50" s="2921"/>
      <c r="Z50" s="2921"/>
      <c r="AA50" s="2921"/>
      <c r="AB50" s="2921"/>
      <c r="AC50" s="2921"/>
      <c r="AD50" s="2921"/>
      <c r="AE50" s="2921"/>
      <c r="AF50" s="2921"/>
      <c r="AG50" s="2921"/>
      <c r="AH50" s="2921"/>
      <c r="AI50" s="2921"/>
      <c r="AJ50" s="2921"/>
      <c r="AK50" s="2921"/>
      <c r="AL50" s="2921"/>
      <c r="AM50" s="2921"/>
      <c r="AN50" s="2921"/>
      <c r="AO50" s="2921"/>
      <c r="AP50" s="2921"/>
      <c r="AQ50" s="2921"/>
      <c r="AR50" s="2921"/>
      <c r="AS50" s="2921"/>
      <c r="AT50" s="2921"/>
      <c r="AU50" s="2921"/>
      <c r="AV50" s="2921"/>
      <c r="AW50" s="2921"/>
      <c r="AX50" s="2921"/>
      <c r="AY50" s="2921"/>
      <c r="AZ50" s="2921"/>
      <c r="BA50" s="2921"/>
      <c r="BB50" s="2921"/>
      <c r="BC50" s="2921"/>
      <c r="BD50" s="2921"/>
      <c r="BE50" s="2921"/>
      <c r="BF50" s="2921"/>
      <c r="BG50" s="2921"/>
      <c r="BH50" s="2921"/>
      <c r="BI50" s="2921"/>
      <c r="BJ50" s="2921"/>
      <c r="BK50" s="2921"/>
      <c r="BL50" s="2921"/>
      <c r="BM50" s="2921"/>
      <c r="BN50" s="2921"/>
      <c r="BO50" s="2921"/>
      <c r="BP50" s="2921"/>
      <c r="BQ50" s="2921"/>
      <c r="BR50" s="2921"/>
      <c r="BS50" s="2921"/>
      <c r="BT50" s="2921"/>
      <c r="BU50" s="2921"/>
      <c r="BV50" s="2921"/>
      <c r="BW50" s="2921"/>
      <c r="BX50" s="2921"/>
      <c r="BY50" s="2921"/>
      <c r="BZ50" s="2921"/>
      <c r="CA50" s="2921"/>
      <c r="CB50" s="2921"/>
      <c r="CC50" s="2921"/>
      <c r="CD50" s="2921"/>
      <c r="CE50" s="2921"/>
      <c r="CF50" s="2921"/>
      <c r="CG50" s="2921"/>
      <c r="CH50" s="2921"/>
      <c r="CI50" s="2921"/>
      <c r="CJ50" s="2921"/>
      <c r="CK50" s="2921"/>
      <c r="CL50" s="2921"/>
      <c r="CM50" s="2921"/>
      <c r="CN50" s="2921"/>
      <c r="CO50" s="2921"/>
      <c r="CP50" s="2921"/>
      <c r="CQ50" s="2921"/>
      <c r="CR50" s="2921"/>
      <c r="CS50" s="2921"/>
      <c r="CT50" s="2921"/>
      <c r="CU50" s="2921"/>
    </row>
    <row r="51" spans="1:99" s="1128" customFormat="1" ht="33" customHeight="1">
      <c r="A51" s="2922" t="s">
        <v>4323</v>
      </c>
      <c r="B51" s="2922"/>
      <c r="C51" s="2922"/>
      <c r="D51" s="2922"/>
      <c r="E51" s="2922"/>
      <c r="F51" s="2922"/>
      <c r="G51" s="2922"/>
      <c r="H51" s="2922"/>
      <c r="I51" s="2922"/>
      <c r="J51" s="2922"/>
      <c r="K51" s="2922"/>
      <c r="L51" s="2922"/>
      <c r="M51" s="2922"/>
      <c r="N51" s="2922"/>
      <c r="O51" s="2922"/>
      <c r="P51" s="2922"/>
      <c r="Q51" s="2922"/>
      <c r="R51" s="2922"/>
      <c r="S51" s="2922"/>
      <c r="T51" s="2922"/>
      <c r="U51" s="2922"/>
      <c r="V51" s="2922"/>
      <c r="W51" s="2922"/>
      <c r="X51" s="2922"/>
      <c r="Y51" s="2922"/>
      <c r="Z51" s="2922"/>
      <c r="AA51" s="2922"/>
      <c r="AB51" s="2922"/>
      <c r="AC51" s="2922"/>
      <c r="AD51" s="2922"/>
      <c r="AE51" s="2922"/>
      <c r="AF51" s="2922"/>
      <c r="AG51" s="2922"/>
      <c r="AH51" s="2922"/>
      <c r="AI51" s="2922"/>
      <c r="AJ51" s="2922"/>
      <c r="AK51" s="2922"/>
      <c r="AL51" s="2922"/>
      <c r="AM51" s="2922"/>
      <c r="AN51" s="2922"/>
      <c r="AO51" s="2922"/>
      <c r="AP51" s="2922"/>
      <c r="AQ51" s="2922"/>
      <c r="AR51" s="2922"/>
      <c r="AS51" s="2922"/>
      <c r="AT51" s="2922"/>
      <c r="AU51" s="2922"/>
      <c r="AV51" s="2922"/>
      <c r="AW51" s="2922"/>
      <c r="AX51" s="2922"/>
      <c r="AY51" s="2922"/>
      <c r="AZ51" s="2922"/>
      <c r="BA51" s="2922"/>
      <c r="BB51" s="2922"/>
      <c r="BC51" s="2922"/>
      <c r="BD51" s="2922"/>
      <c r="BE51" s="2922"/>
      <c r="BF51" s="2922"/>
      <c r="BG51" s="2922"/>
      <c r="BH51" s="2922"/>
      <c r="BI51" s="2922"/>
      <c r="BJ51" s="2922"/>
      <c r="BK51" s="2922"/>
      <c r="BL51" s="2922"/>
      <c r="BM51" s="2922"/>
      <c r="BN51" s="2922"/>
      <c r="BO51" s="2922"/>
      <c r="BP51" s="2922"/>
      <c r="BQ51" s="2922"/>
      <c r="BR51" s="2922"/>
      <c r="BS51" s="2922"/>
      <c r="BT51" s="2922"/>
      <c r="BU51" s="2922"/>
      <c r="BV51" s="2922"/>
      <c r="BW51" s="2922"/>
      <c r="BX51" s="2922"/>
      <c r="BY51" s="2922"/>
      <c r="BZ51" s="2922"/>
      <c r="CA51" s="2922"/>
      <c r="CB51" s="2922"/>
      <c r="CC51" s="2922"/>
      <c r="CD51" s="2922"/>
      <c r="CE51" s="2922"/>
      <c r="CF51" s="2922"/>
      <c r="CG51" s="2922"/>
      <c r="CH51" s="2922"/>
      <c r="CI51" s="2922"/>
      <c r="CJ51" s="2922"/>
      <c r="CK51" s="2922"/>
      <c r="CL51" s="2922"/>
      <c r="CM51" s="2922"/>
      <c r="CN51" s="2922"/>
      <c r="CO51" s="2922"/>
      <c r="CP51" s="2922"/>
      <c r="CQ51" s="2922"/>
      <c r="CR51" s="2922"/>
      <c r="CS51" s="2922"/>
      <c r="CT51" s="2922"/>
      <c r="CU51" s="2922"/>
    </row>
    <row r="52" spans="1:99" s="1351" customFormat="1" ht="20.25" customHeight="1">
      <c r="A52" s="1352" t="s">
        <v>3277</v>
      </c>
      <c r="B52" s="1350"/>
      <c r="C52" s="1350"/>
      <c r="D52" s="1350"/>
      <c r="E52" s="1350"/>
      <c r="F52" s="1350"/>
      <c r="G52" s="1350"/>
      <c r="H52" s="1350"/>
      <c r="I52" s="1350"/>
      <c r="J52" s="1350"/>
      <c r="K52" s="1350"/>
      <c r="L52" s="1350"/>
      <c r="M52" s="1350"/>
      <c r="N52" s="1350"/>
      <c r="O52" s="1350"/>
      <c r="P52" s="1350"/>
      <c r="Q52" s="1350"/>
      <c r="R52" s="1350"/>
      <c r="S52" s="1350"/>
      <c r="T52" s="1350"/>
      <c r="U52" s="1350"/>
      <c r="V52" s="1350"/>
      <c r="W52" s="1350"/>
      <c r="X52" s="1350"/>
      <c r="Y52" s="1350"/>
      <c r="Z52" s="1350"/>
      <c r="AA52" s="1350"/>
      <c r="AB52" s="1350"/>
      <c r="AC52" s="1350"/>
      <c r="AD52" s="1350"/>
      <c r="AE52" s="1350"/>
      <c r="AF52" s="1350"/>
      <c r="AG52" s="1350"/>
      <c r="AH52" s="1350"/>
    </row>
  </sheetData>
  <mergeCells count="212">
    <mergeCell ref="DZ6:EA6"/>
    <mergeCell ref="DZ24:EA24"/>
    <mergeCell ref="DZ43:EA43"/>
    <mergeCell ref="AL6:AM6"/>
    <mergeCell ref="BF24:BG24"/>
    <mergeCell ref="BH6:BI6"/>
    <mergeCell ref="BJ6:BK6"/>
    <mergeCell ref="AN6:AO6"/>
    <mergeCell ref="AP6:AQ6"/>
    <mergeCell ref="AR6:AS6"/>
    <mergeCell ref="AT6:AU6"/>
    <mergeCell ref="AV6:AW6"/>
    <mergeCell ref="AX6:AY6"/>
    <mergeCell ref="BF6:BG6"/>
    <mergeCell ref="BD6:BE6"/>
    <mergeCell ref="AP24:AQ24"/>
    <mergeCell ref="AZ24:BA24"/>
    <mergeCell ref="BB24:BC24"/>
    <mergeCell ref="BD24:BE24"/>
    <mergeCell ref="AL24:AM24"/>
    <mergeCell ref="BR24:BS24"/>
    <mergeCell ref="BL43:BM43"/>
    <mergeCell ref="CH6:CI6"/>
    <mergeCell ref="BZ43:CA43"/>
    <mergeCell ref="AT24:AU24"/>
    <mergeCell ref="AV24:AW24"/>
    <mergeCell ref="AX24:AY24"/>
    <mergeCell ref="AB24:AC24"/>
    <mergeCell ref="P24:Q24"/>
    <mergeCell ref="R24:S24"/>
    <mergeCell ref="AN24:AO24"/>
    <mergeCell ref="AD24:AE24"/>
    <mergeCell ref="T24:U24"/>
    <mergeCell ref="V24:W24"/>
    <mergeCell ref="X24:Y24"/>
    <mergeCell ref="Z24:AA24"/>
    <mergeCell ref="AF24:AG24"/>
    <mergeCell ref="AH24:AI24"/>
    <mergeCell ref="AJ24:AK24"/>
    <mergeCell ref="B6:C6"/>
    <mergeCell ref="D6:E6"/>
    <mergeCell ref="F6:G6"/>
    <mergeCell ref="H6:I6"/>
    <mergeCell ref="J6:K6"/>
    <mergeCell ref="L6:M6"/>
    <mergeCell ref="N6:O6"/>
    <mergeCell ref="AH6:AI6"/>
    <mergeCell ref="AJ6:AK6"/>
    <mergeCell ref="X6:Y6"/>
    <mergeCell ref="Z6:AA6"/>
    <mergeCell ref="AB6:AC6"/>
    <mergeCell ref="AD6:AE6"/>
    <mergeCell ref="AF6:AG6"/>
    <mergeCell ref="R6:S6"/>
    <mergeCell ref="T6:U6"/>
    <mergeCell ref="V6:W6"/>
    <mergeCell ref="P6:Q6"/>
    <mergeCell ref="EB6:EC6"/>
    <mergeCell ref="B24:C24"/>
    <mergeCell ref="D24:E24"/>
    <mergeCell ref="F24:G24"/>
    <mergeCell ref="H24:I24"/>
    <mergeCell ref="J24:K24"/>
    <mergeCell ref="L24:M24"/>
    <mergeCell ref="N24:O24"/>
    <mergeCell ref="BL6:BM6"/>
    <mergeCell ref="BN6:BO6"/>
    <mergeCell ref="BP6:BQ6"/>
    <mergeCell ref="BR6:BS6"/>
    <mergeCell ref="BT6:BU6"/>
    <mergeCell ref="BV6:BW6"/>
    <mergeCell ref="AZ6:BA6"/>
    <mergeCell ref="BB6:BC6"/>
    <mergeCell ref="AR24:AS24"/>
    <mergeCell ref="BX24:BY24"/>
    <mergeCell ref="EB24:EC24"/>
    <mergeCell ref="CJ6:CK6"/>
    <mergeCell ref="CJ24:CK24"/>
    <mergeCell ref="CL6:CM6"/>
    <mergeCell ref="CN6:CO6"/>
    <mergeCell ref="CN24:CO24"/>
    <mergeCell ref="D43:E43"/>
    <mergeCell ref="F43:G43"/>
    <mergeCell ref="H43:I43"/>
    <mergeCell ref="J43:K43"/>
    <mergeCell ref="L43:M43"/>
    <mergeCell ref="N43:O43"/>
    <mergeCell ref="V43:W43"/>
    <mergeCell ref="X43:Y43"/>
    <mergeCell ref="Z43:AA43"/>
    <mergeCell ref="B43:C43"/>
    <mergeCell ref="R43:S43"/>
    <mergeCell ref="T43:U43"/>
    <mergeCell ref="A49:CU49"/>
    <mergeCell ref="A50:CU50"/>
    <mergeCell ref="A51:CU51"/>
    <mergeCell ref="BN43:BO43"/>
    <mergeCell ref="BP43:BQ43"/>
    <mergeCell ref="AN43:AO43"/>
    <mergeCell ref="AP43:AQ43"/>
    <mergeCell ref="AR43:AS43"/>
    <mergeCell ref="AT43:AU43"/>
    <mergeCell ref="AV43:AW43"/>
    <mergeCell ref="AX43:AY43"/>
    <mergeCell ref="AZ43:BA43"/>
    <mergeCell ref="BB43:BC43"/>
    <mergeCell ref="BD43:BE43"/>
    <mergeCell ref="BF43:BG43"/>
    <mergeCell ref="BH43:BI43"/>
    <mergeCell ref="BJ43:BK43"/>
    <mergeCell ref="AB43:AC43"/>
    <mergeCell ref="AD43:AE43"/>
    <mergeCell ref="AF43:AG43"/>
    <mergeCell ref="AH43:AI43"/>
    <mergeCell ref="BR43:BS43"/>
    <mergeCell ref="BH24:BI24"/>
    <mergeCell ref="BJ24:BK24"/>
    <mergeCell ref="BL24:BM24"/>
    <mergeCell ref="BN24:BO24"/>
    <mergeCell ref="BP24:BQ24"/>
    <mergeCell ref="A2:ED2"/>
    <mergeCell ref="A3:ED3"/>
    <mergeCell ref="A5:ED5"/>
    <mergeCell ref="A6:A7"/>
    <mergeCell ref="A24:A25"/>
    <mergeCell ref="A43:A44"/>
    <mergeCell ref="ED6:ED7"/>
    <mergeCell ref="A23:ED23"/>
    <mergeCell ref="ED24:ED25"/>
    <mergeCell ref="A42:ED42"/>
    <mergeCell ref="ED43:ED44"/>
    <mergeCell ref="BX43:BY43"/>
    <mergeCell ref="EB43:EC43"/>
    <mergeCell ref="AJ43:AK43"/>
    <mergeCell ref="AL43:AM43"/>
    <mergeCell ref="P43:Q43"/>
    <mergeCell ref="CL24:CM24"/>
    <mergeCell ref="CL43:CM43"/>
    <mergeCell ref="CJ43:CK43"/>
    <mergeCell ref="CH43:CI43"/>
    <mergeCell ref="CH24:CI24"/>
    <mergeCell ref="BT43:BU43"/>
    <mergeCell ref="BV43:BW43"/>
    <mergeCell ref="CF6:CG6"/>
    <mergeCell ref="CF24:CG24"/>
    <mergeCell ref="CF43:CG43"/>
    <mergeCell ref="CD6:CE6"/>
    <mergeCell ref="CD24:CE24"/>
    <mergeCell ref="CD43:CE43"/>
    <mergeCell ref="CB6:CC6"/>
    <mergeCell ref="CB24:CC24"/>
    <mergeCell ref="CB43:CC43"/>
    <mergeCell ref="BT24:BU24"/>
    <mergeCell ref="BV24:BW24"/>
    <mergeCell ref="BX6:BY6"/>
    <mergeCell ref="BZ6:CA6"/>
    <mergeCell ref="BZ24:CA24"/>
    <mergeCell ref="CV6:CW6"/>
    <mergeCell ref="CV24:CW24"/>
    <mergeCell ref="CV43:CW43"/>
    <mergeCell ref="CR6:CS6"/>
    <mergeCell ref="CR24:CS24"/>
    <mergeCell ref="CR43:CS43"/>
    <mergeCell ref="CN43:CO43"/>
    <mergeCell ref="CT6:CU6"/>
    <mergeCell ref="CT24:CU24"/>
    <mergeCell ref="CT43:CU43"/>
    <mergeCell ref="CP6:CQ6"/>
    <mergeCell ref="CP24:CQ24"/>
    <mergeCell ref="CP43:CQ43"/>
    <mergeCell ref="DB6:DC6"/>
    <mergeCell ref="DB24:DC24"/>
    <mergeCell ref="DB43:DC43"/>
    <mergeCell ref="CZ6:DA6"/>
    <mergeCell ref="CZ24:DA24"/>
    <mergeCell ref="CZ43:DA43"/>
    <mergeCell ref="CX6:CY6"/>
    <mergeCell ref="CX24:CY24"/>
    <mergeCell ref="CX43:CY43"/>
    <mergeCell ref="DF6:DG6"/>
    <mergeCell ref="DF24:DG24"/>
    <mergeCell ref="DF43:DG43"/>
    <mergeCell ref="DJ6:DK6"/>
    <mergeCell ref="DJ24:DK24"/>
    <mergeCell ref="DJ43:DK43"/>
    <mergeCell ref="DD6:DE6"/>
    <mergeCell ref="DD24:DE24"/>
    <mergeCell ref="DD43:DE43"/>
    <mergeCell ref="DL6:DM6"/>
    <mergeCell ref="DL24:DM24"/>
    <mergeCell ref="DL43:DM43"/>
    <mergeCell ref="DP6:DQ6"/>
    <mergeCell ref="DP24:DQ24"/>
    <mergeCell ref="DP43:DQ43"/>
    <mergeCell ref="DH6:DI6"/>
    <mergeCell ref="DH24:DI24"/>
    <mergeCell ref="DH43:DI43"/>
    <mergeCell ref="DX6:DY6"/>
    <mergeCell ref="DX24:DY24"/>
    <mergeCell ref="DX43:DY43"/>
    <mergeCell ref="DR43:DS43"/>
    <mergeCell ref="DR24:DS24"/>
    <mergeCell ref="DR6:DS6"/>
    <mergeCell ref="DN6:DO6"/>
    <mergeCell ref="DN24:DO24"/>
    <mergeCell ref="DN43:DO43"/>
    <mergeCell ref="DV6:DW6"/>
    <mergeCell ref="DV24:DW24"/>
    <mergeCell ref="DV43:DW43"/>
    <mergeCell ref="DT6:DU6"/>
    <mergeCell ref="DT24:DU24"/>
    <mergeCell ref="DT43:DU43"/>
  </mergeCells>
  <pageMargins left="0.5" right="0.4" top="0.3" bottom="0.3" header="0.3" footer="0.3"/>
  <pageSetup paperSize="9" scale="17" orientation="landscape" r:id="rId1"/>
  <colBreaks count="1" manualBreakCount="1">
    <brk id="41" max="52" man="1"/>
  </colBreak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8">
    <tabColor rgb="FF92D050"/>
  </sheetPr>
  <dimension ref="A1:BU34"/>
  <sheetViews>
    <sheetView showGridLines="0" view="pageBreakPreview" zoomScale="40" zoomScaleNormal="70" zoomScaleSheetLayoutView="40" workbookViewId="0">
      <pane xSplit="1" topLeftCell="BA1" activePane="topRight" state="frozen"/>
      <selection activeCell="B39" sqref="B39"/>
      <selection pane="topRight" activeCell="BR37" sqref="BR37"/>
    </sheetView>
  </sheetViews>
  <sheetFormatPr defaultColWidth="9.140625" defaultRowHeight="18"/>
  <cols>
    <col min="1" max="1" width="126.85546875" style="1129" customWidth="1"/>
    <col min="2" max="2" width="22.7109375" style="1143" customWidth="1"/>
    <col min="3" max="13" width="22.7109375" style="960" hidden="1" customWidth="1"/>
    <col min="14" max="14" width="22.7109375" style="960" customWidth="1"/>
    <col min="15" max="25" width="22.7109375" style="960" hidden="1" customWidth="1"/>
    <col min="26" max="26" width="22.7109375" style="960" customWidth="1"/>
    <col min="27" max="37" width="22.7109375" style="960" hidden="1" customWidth="1"/>
    <col min="38" max="38" width="22.7109375" style="960" customWidth="1"/>
    <col min="39" max="49" width="22.7109375" style="960" hidden="1" customWidth="1"/>
    <col min="50" max="67" width="22.7109375" style="960" customWidth="1"/>
    <col min="68" max="68" width="113.7109375" style="960" customWidth="1"/>
    <col min="69" max="69" width="13.7109375" style="1101" customWidth="1"/>
    <col min="70" max="70" width="15.28515625" style="960" customWidth="1"/>
    <col min="71" max="71" width="19.7109375" style="1101" customWidth="1"/>
    <col min="72" max="72" width="9.140625" style="960"/>
    <col min="73" max="73" width="9.140625" style="1101"/>
    <col min="74" max="16384" width="9.140625" style="960"/>
  </cols>
  <sheetData>
    <row r="1" spans="1:73" ht="15" customHeight="1">
      <c r="B1" s="1130"/>
      <c r="C1" s="1130"/>
      <c r="D1" s="1130"/>
      <c r="E1" s="1130"/>
      <c r="F1" s="1130"/>
      <c r="G1" s="1130"/>
      <c r="H1" s="1130"/>
      <c r="I1" s="1130"/>
      <c r="J1" s="1130"/>
      <c r="K1" s="1130"/>
      <c r="L1" s="1130"/>
      <c r="M1" s="1130"/>
      <c r="N1" s="1130"/>
      <c r="O1" s="1130"/>
      <c r="P1" s="1130"/>
      <c r="Q1" s="1130"/>
      <c r="R1" s="1130"/>
      <c r="S1" s="1130"/>
      <c r="T1" s="1130"/>
      <c r="U1" s="1130"/>
      <c r="V1" s="1130"/>
      <c r="W1" s="1130"/>
      <c r="X1" s="1130"/>
      <c r="Y1" s="1130"/>
      <c r="Z1" s="1130"/>
      <c r="AA1" s="1130"/>
      <c r="AB1" s="1130"/>
      <c r="AC1" s="1130"/>
      <c r="AD1" s="1130"/>
      <c r="AE1" s="1130"/>
      <c r="AF1" s="1130"/>
      <c r="AG1" s="1130"/>
      <c r="AH1" s="1130"/>
      <c r="AI1" s="1130"/>
      <c r="AJ1" s="1130"/>
      <c r="AK1" s="1130"/>
      <c r="AL1" s="1130"/>
      <c r="AM1" s="1130"/>
      <c r="AN1" s="1130"/>
      <c r="AO1" s="1130"/>
      <c r="AP1" s="1130"/>
      <c r="AQ1" s="1130"/>
      <c r="AR1" s="1130"/>
      <c r="AS1" s="1130"/>
      <c r="AT1" s="1130"/>
      <c r="AU1" s="1130"/>
      <c r="AV1" s="1130"/>
      <c r="AW1" s="1130"/>
      <c r="AX1" s="1130"/>
      <c r="AY1" s="1130"/>
      <c r="AZ1" s="1130"/>
      <c r="BA1" s="1130"/>
      <c r="BB1" s="1130"/>
      <c r="BC1" s="1130"/>
      <c r="BD1" s="1130"/>
      <c r="BE1" s="1130"/>
      <c r="BF1" s="1130"/>
      <c r="BG1" s="1130"/>
      <c r="BH1" s="1130"/>
      <c r="BI1" s="1130"/>
      <c r="BJ1" s="1130"/>
      <c r="BK1" s="1130"/>
      <c r="BL1" s="1130"/>
      <c r="BM1" s="1130"/>
      <c r="BN1" s="1130"/>
      <c r="BO1" s="1130"/>
    </row>
    <row r="2" spans="1:73" s="1131" customFormat="1" ht="36" customHeight="1">
      <c r="A2" s="2927" t="s">
        <v>2524</v>
      </c>
      <c r="B2" s="2927"/>
      <c r="C2" s="2927"/>
      <c r="D2" s="2927"/>
      <c r="E2" s="2927"/>
      <c r="F2" s="2927"/>
      <c r="G2" s="2927"/>
      <c r="H2" s="2927"/>
      <c r="I2" s="2927"/>
      <c r="J2" s="2927"/>
      <c r="K2" s="2927"/>
      <c r="L2" s="2927"/>
      <c r="M2" s="2927"/>
      <c r="N2" s="2927"/>
      <c r="O2" s="2927"/>
      <c r="P2" s="2927"/>
      <c r="Q2" s="2927"/>
      <c r="R2" s="2927"/>
      <c r="S2" s="2927"/>
      <c r="T2" s="2927"/>
      <c r="U2" s="2927"/>
      <c r="V2" s="2927"/>
      <c r="W2" s="2927"/>
      <c r="X2" s="2927"/>
      <c r="Y2" s="2927"/>
      <c r="Z2" s="2927"/>
      <c r="AA2" s="2927"/>
      <c r="AB2" s="2927"/>
      <c r="AC2" s="2927"/>
      <c r="AD2" s="2927"/>
      <c r="AE2" s="2927"/>
      <c r="AF2" s="2927"/>
      <c r="AG2" s="2927"/>
      <c r="AH2" s="2927"/>
      <c r="AI2" s="2927"/>
      <c r="AJ2" s="2927"/>
      <c r="AK2" s="2927"/>
      <c r="AL2" s="2927"/>
      <c r="AM2" s="2927"/>
      <c r="AN2" s="2927"/>
      <c r="AO2" s="2927"/>
      <c r="AP2" s="2927"/>
      <c r="AQ2" s="2927"/>
      <c r="AR2" s="2927"/>
      <c r="AS2" s="2927"/>
      <c r="AT2" s="2927"/>
      <c r="AU2" s="2927"/>
      <c r="AV2" s="2927"/>
      <c r="AW2" s="2927"/>
      <c r="AX2" s="2927"/>
      <c r="AY2" s="2927"/>
      <c r="AZ2" s="2927"/>
      <c r="BA2" s="2927"/>
      <c r="BB2" s="2927"/>
      <c r="BC2" s="2927"/>
      <c r="BD2" s="2927"/>
      <c r="BE2" s="2927"/>
      <c r="BF2" s="2927"/>
      <c r="BG2" s="2927"/>
      <c r="BH2" s="2927"/>
      <c r="BI2" s="2927"/>
      <c r="BJ2" s="2927"/>
      <c r="BK2" s="2927"/>
      <c r="BL2" s="2927"/>
      <c r="BM2" s="2927"/>
      <c r="BN2" s="2927"/>
      <c r="BO2" s="2927"/>
      <c r="BP2" s="2927"/>
      <c r="BQ2" s="1132"/>
      <c r="BS2" s="1132"/>
      <c r="BU2" s="1132"/>
    </row>
    <row r="3" spans="1:73" s="1131" customFormat="1" ht="46.5" customHeight="1">
      <c r="A3" s="2928" t="s">
        <v>3283</v>
      </c>
      <c r="B3" s="2928"/>
      <c r="C3" s="2928"/>
      <c r="D3" s="2928"/>
      <c r="E3" s="2928"/>
      <c r="F3" s="2928"/>
      <c r="G3" s="2928"/>
      <c r="H3" s="2928"/>
      <c r="I3" s="2928"/>
      <c r="J3" s="2928"/>
      <c r="K3" s="2928"/>
      <c r="L3" s="2928"/>
      <c r="M3" s="2928"/>
      <c r="N3" s="2928"/>
      <c r="O3" s="2928"/>
      <c r="P3" s="2928"/>
      <c r="Q3" s="2928"/>
      <c r="R3" s="2928"/>
      <c r="S3" s="2928"/>
      <c r="T3" s="2928"/>
      <c r="U3" s="2928"/>
      <c r="V3" s="2928"/>
      <c r="W3" s="2928"/>
      <c r="X3" s="2928"/>
      <c r="Y3" s="2928"/>
      <c r="Z3" s="2928"/>
      <c r="AA3" s="2928"/>
      <c r="AB3" s="2928"/>
      <c r="AC3" s="2928"/>
      <c r="AD3" s="2928"/>
      <c r="AE3" s="2928"/>
      <c r="AF3" s="2928"/>
      <c r="AG3" s="2928"/>
      <c r="AH3" s="2928"/>
      <c r="AI3" s="2928"/>
      <c r="AJ3" s="2928"/>
      <c r="AK3" s="2928"/>
      <c r="AL3" s="2928"/>
      <c r="AM3" s="2928"/>
      <c r="AN3" s="2928"/>
      <c r="AO3" s="2928"/>
      <c r="AP3" s="2928"/>
      <c r="AQ3" s="2928"/>
      <c r="AR3" s="2928"/>
      <c r="AS3" s="2928"/>
      <c r="AT3" s="2928"/>
      <c r="AU3" s="2928"/>
      <c r="AV3" s="2928"/>
      <c r="AW3" s="2928"/>
      <c r="AX3" s="2928"/>
      <c r="AY3" s="2928"/>
      <c r="AZ3" s="2928"/>
      <c r="BA3" s="2928"/>
      <c r="BB3" s="2928"/>
      <c r="BC3" s="2928"/>
      <c r="BD3" s="2928"/>
      <c r="BE3" s="2928"/>
      <c r="BF3" s="2928"/>
      <c r="BG3" s="2928"/>
      <c r="BH3" s="2928"/>
      <c r="BI3" s="2928"/>
      <c r="BJ3" s="2928"/>
      <c r="BK3" s="2928"/>
      <c r="BL3" s="2928"/>
      <c r="BM3" s="2928"/>
      <c r="BN3" s="2928"/>
      <c r="BO3" s="2928"/>
      <c r="BP3" s="2928"/>
      <c r="BQ3" s="1132"/>
      <c r="BS3" s="1132"/>
      <c r="BU3" s="1132"/>
    </row>
    <row r="4" spans="1:73" ht="22.5" customHeight="1">
      <c r="A4" s="1133"/>
      <c r="B4" s="1133"/>
      <c r="C4" s="1133"/>
      <c r="D4" s="1133"/>
      <c r="E4" s="1133"/>
      <c r="F4" s="1133"/>
      <c r="G4" s="1133"/>
      <c r="H4" s="1133"/>
      <c r="I4" s="1133"/>
      <c r="J4" s="1133"/>
      <c r="K4" s="1133"/>
      <c r="L4" s="1133"/>
      <c r="M4" s="1133"/>
      <c r="N4" s="1388"/>
      <c r="O4" s="1388"/>
      <c r="P4" s="1388"/>
      <c r="Q4" s="1388"/>
      <c r="R4" s="1388"/>
      <c r="S4" s="1388"/>
      <c r="T4" s="1388"/>
      <c r="U4" s="1388"/>
      <c r="V4" s="1388"/>
      <c r="W4" s="1388"/>
      <c r="X4" s="1388"/>
      <c r="Y4" s="1388"/>
      <c r="Z4" s="1388"/>
      <c r="AA4" s="1388"/>
      <c r="AB4" s="1388"/>
      <c r="AC4" s="1388"/>
      <c r="AD4" s="1388"/>
      <c r="AE4" s="1388"/>
      <c r="AF4" s="1388"/>
      <c r="AG4" s="1388"/>
      <c r="AH4" s="1388"/>
      <c r="AI4" s="1388"/>
      <c r="AJ4" s="1388"/>
      <c r="AK4" s="1388"/>
      <c r="AL4" s="1388"/>
      <c r="AM4" s="1388"/>
      <c r="AN4" s="1388"/>
      <c r="AO4" s="1388"/>
      <c r="AP4" s="1388"/>
      <c r="AQ4" s="1388"/>
      <c r="AR4" s="1388"/>
      <c r="AS4" s="1388"/>
      <c r="AT4" s="1388"/>
      <c r="AU4" s="1388"/>
      <c r="AV4" s="1388"/>
      <c r="AW4" s="1388"/>
      <c r="AX4" s="1388"/>
      <c r="AY4" s="1388"/>
      <c r="AZ4" s="1388"/>
      <c r="BA4" s="1388"/>
      <c r="BB4" s="1388"/>
      <c r="BC4" s="1388"/>
      <c r="BD4" s="1388"/>
      <c r="BE4" s="1388"/>
      <c r="BF4" s="1388"/>
      <c r="BG4" s="1388"/>
      <c r="BH4" s="1388"/>
      <c r="BI4" s="1388"/>
      <c r="BJ4" s="1388"/>
      <c r="BK4" s="1388"/>
      <c r="BL4" s="1388"/>
      <c r="BM4" s="1388"/>
      <c r="BN4" s="1388"/>
      <c r="BO4" s="1388"/>
      <c r="BP4" s="1388"/>
    </row>
    <row r="5" spans="1:73" ht="22.5" customHeight="1" thickBot="1">
      <c r="A5" s="1268"/>
      <c r="B5" s="1268"/>
      <c r="C5" s="1268"/>
      <c r="D5" s="1268"/>
      <c r="E5" s="1268"/>
      <c r="F5" s="1268"/>
      <c r="G5" s="1268"/>
      <c r="H5" s="1268"/>
      <c r="I5" s="1268"/>
      <c r="J5" s="1268"/>
      <c r="K5" s="1268"/>
      <c r="L5" s="1268"/>
      <c r="M5" s="1268"/>
      <c r="N5" s="1268"/>
      <c r="O5" s="1268"/>
      <c r="P5" s="1268"/>
      <c r="Q5" s="1268"/>
      <c r="R5" s="1268"/>
      <c r="S5" s="1268"/>
      <c r="T5" s="1268"/>
      <c r="U5" s="1268"/>
      <c r="V5" s="1268"/>
      <c r="W5" s="1268"/>
      <c r="X5" s="1268"/>
      <c r="Y5" s="1268"/>
      <c r="Z5" s="1268"/>
      <c r="AA5" s="1268"/>
      <c r="AB5" s="1268"/>
      <c r="AC5" s="1268"/>
      <c r="AD5" s="1268"/>
      <c r="AE5" s="1268"/>
      <c r="AF5" s="1268"/>
      <c r="AG5" s="1268"/>
      <c r="AH5" s="1268"/>
      <c r="AI5" s="2926" t="s">
        <v>8</v>
      </c>
      <c r="AJ5" s="2926"/>
      <c r="AK5" s="2926"/>
      <c r="AL5" s="2926"/>
      <c r="AM5" s="2926"/>
      <c r="AN5" s="2926"/>
      <c r="AO5" s="2926"/>
      <c r="AP5" s="2926"/>
      <c r="AQ5" s="2926"/>
      <c r="AR5" s="2926"/>
      <c r="AS5" s="2926"/>
      <c r="AT5" s="2926"/>
      <c r="AU5" s="2926"/>
      <c r="AV5" s="2926"/>
      <c r="AW5" s="2926"/>
      <c r="AX5" s="2926"/>
      <c r="AY5" s="2926"/>
      <c r="AZ5" s="2926"/>
      <c r="BA5" s="2926"/>
      <c r="BB5" s="2926"/>
      <c r="BC5" s="2926"/>
      <c r="BD5" s="2926"/>
      <c r="BE5" s="2926"/>
      <c r="BF5" s="2926"/>
      <c r="BG5" s="2926"/>
      <c r="BH5" s="2926"/>
      <c r="BI5" s="2926"/>
      <c r="BJ5" s="2926"/>
      <c r="BK5" s="2926"/>
      <c r="BL5" s="2926"/>
      <c r="BM5" s="2926"/>
      <c r="BN5" s="2926"/>
      <c r="BO5" s="2926"/>
      <c r="BP5" s="2926"/>
    </row>
    <row r="6" spans="1:73" s="1137" customFormat="1" ht="39.6" customHeight="1" thickBot="1">
      <c r="A6" s="1134" t="s">
        <v>2281</v>
      </c>
      <c r="B6" s="1135">
        <v>43830</v>
      </c>
      <c r="C6" s="1135">
        <v>43861</v>
      </c>
      <c r="D6" s="1135">
        <v>43890</v>
      </c>
      <c r="E6" s="1135">
        <v>43921</v>
      </c>
      <c r="F6" s="1135">
        <v>43951</v>
      </c>
      <c r="G6" s="1135">
        <v>43982</v>
      </c>
      <c r="H6" s="1135">
        <v>44012</v>
      </c>
      <c r="I6" s="1135">
        <v>44043</v>
      </c>
      <c r="J6" s="1135">
        <v>44074</v>
      </c>
      <c r="K6" s="1135">
        <v>44104</v>
      </c>
      <c r="L6" s="1135">
        <v>44135</v>
      </c>
      <c r="M6" s="1135">
        <v>44165</v>
      </c>
      <c r="N6" s="1135">
        <v>44196</v>
      </c>
      <c r="O6" s="1135">
        <v>44227</v>
      </c>
      <c r="P6" s="1135">
        <v>44255</v>
      </c>
      <c r="Q6" s="1135">
        <v>44286</v>
      </c>
      <c r="R6" s="1135">
        <v>44316</v>
      </c>
      <c r="S6" s="1135">
        <v>44347</v>
      </c>
      <c r="T6" s="1135">
        <v>44377</v>
      </c>
      <c r="U6" s="1135">
        <v>44408</v>
      </c>
      <c r="V6" s="1135">
        <v>44439</v>
      </c>
      <c r="W6" s="1135">
        <v>44469</v>
      </c>
      <c r="X6" s="1135">
        <v>44500</v>
      </c>
      <c r="Y6" s="1136">
        <v>44530</v>
      </c>
      <c r="Z6" s="1136">
        <v>44561</v>
      </c>
      <c r="AA6" s="1135">
        <v>44592</v>
      </c>
      <c r="AB6" s="1135">
        <v>44620</v>
      </c>
      <c r="AC6" s="1135">
        <v>44651</v>
      </c>
      <c r="AD6" s="1135">
        <v>44681</v>
      </c>
      <c r="AE6" s="1135">
        <v>44712</v>
      </c>
      <c r="AF6" s="1135">
        <v>44742</v>
      </c>
      <c r="AG6" s="1135">
        <v>44773</v>
      </c>
      <c r="AH6" s="1135">
        <v>44804</v>
      </c>
      <c r="AI6" s="1135">
        <v>44834</v>
      </c>
      <c r="AJ6" s="1135">
        <v>44865</v>
      </c>
      <c r="AK6" s="1135">
        <v>44895</v>
      </c>
      <c r="AL6" s="1135">
        <v>44926</v>
      </c>
      <c r="AM6" s="1135">
        <v>44957</v>
      </c>
      <c r="AN6" s="1135">
        <v>44985</v>
      </c>
      <c r="AO6" s="1135">
        <v>45016</v>
      </c>
      <c r="AP6" s="1135">
        <v>45046</v>
      </c>
      <c r="AQ6" s="1135">
        <v>45077</v>
      </c>
      <c r="AR6" s="1135">
        <v>45107</v>
      </c>
      <c r="AS6" s="1135">
        <v>45138</v>
      </c>
      <c r="AT6" s="1135">
        <v>45169</v>
      </c>
      <c r="AU6" s="1135">
        <v>45199</v>
      </c>
      <c r="AV6" s="1135">
        <v>45230</v>
      </c>
      <c r="AW6" s="1135">
        <v>45260</v>
      </c>
      <c r="AX6" s="1135">
        <v>45291</v>
      </c>
      <c r="AY6" s="1135">
        <v>45322</v>
      </c>
      <c r="AZ6" s="1135">
        <v>45351</v>
      </c>
      <c r="BA6" s="1135">
        <v>45382</v>
      </c>
      <c r="BB6" s="1135">
        <v>45412</v>
      </c>
      <c r="BC6" s="1135">
        <v>45443</v>
      </c>
      <c r="BD6" s="1135">
        <v>45473</v>
      </c>
      <c r="BE6" s="1135">
        <v>45504</v>
      </c>
      <c r="BF6" s="1135">
        <v>45535</v>
      </c>
      <c r="BG6" s="1135">
        <v>45565</v>
      </c>
      <c r="BH6" s="1135">
        <v>45596</v>
      </c>
      <c r="BI6" s="1135">
        <v>45626</v>
      </c>
      <c r="BJ6" s="1135">
        <v>45657</v>
      </c>
      <c r="BK6" s="1135">
        <v>45688</v>
      </c>
      <c r="BL6" s="1135">
        <v>45716</v>
      </c>
      <c r="BM6" s="1135">
        <v>45747</v>
      </c>
      <c r="BN6" s="1135">
        <v>45777</v>
      </c>
      <c r="BO6" s="1135">
        <v>45808</v>
      </c>
      <c r="BP6" s="1389" t="s">
        <v>3607</v>
      </c>
      <c r="BQ6" s="1138"/>
      <c r="BS6" s="1138"/>
      <c r="BU6" s="1138"/>
    </row>
    <row r="7" spans="1:73" s="1141" customFormat="1" ht="37.5" customHeight="1">
      <c r="A7" s="1512" t="s">
        <v>2280</v>
      </c>
      <c r="B7" s="1513">
        <v>1922.18350958</v>
      </c>
      <c r="C7" s="1513">
        <v>167.36582049</v>
      </c>
      <c r="D7" s="1513">
        <v>334.03538810999999</v>
      </c>
      <c r="E7" s="1513">
        <v>501.55130761999999</v>
      </c>
      <c r="F7" s="1513">
        <v>653.89601643000003</v>
      </c>
      <c r="G7" s="1513">
        <v>799.19558998000002</v>
      </c>
      <c r="H7" s="1513">
        <v>954.68306960999996</v>
      </c>
      <c r="I7" s="1513">
        <v>1109.78274633</v>
      </c>
      <c r="J7" s="1513">
        <v>1267.7251774399999</v>
      </c>
      <c r="K7" s="1513">
        <v>1427.51534152</v>
      </c>
      <c r="L7" s="1513">
        <v>1592.1122517900001</v>
      </c>
      <c r="M7" s="1513">
        <v>1759.35523304</v>
      </c>
      <c r="N7" s="1513">
        <v>1920.5161872599999</v>
      </c>
      <c r="O7" s="1513">
        <v>163.09612456799999</v>
      </c>
      <c r="P7" s="1513">
        <v>324.87427970300001</v>
      </c>
      <c r="Q7" s="1513">
        <v>495.287322179</v>
      </c>
      <c r="R7" s="1513">
        <v>662.59111928000004</v>
      </c>
      <c r="S7" s="1513">
        <v>835.10041541999999</v>
      </c>
      <c r="T7" s="1513">
        <v>1008.6153288100001</v>
      </c>
      <c r="U7" s="1513">
        <v>1184.6435380999999</v>
      </c>
      <c r="V7" s="1513">
        <v>1361.9870598699999</v>
      </c>
      <c r="W7" s="1513">
        <v>1545.79392233</v>
      </c>
      <c r="X7" s="1513">
        <v>1731.0328692400001</v>
      </c>
      <c r="Y7" s="1514">
        <v>1917.1504370099999</v>
      </c>
      <c r="Z7" s="1514">
        <v>2107.0247210399998</v>
      </c>
      <c r="AA7" s="1513">
        <v>189.15087209000001</v>
      </c>
      <c r="AB7" s="1513">
        <v>394.89526642999999</v>
      </c>
      <c r="AC7" s="1513">
        <v>604.17413112999998</v>
      </c>
      <c r="AD7" s="1513">
        <v>815.30793409000103</v>
      </c>
      <c r="AE7" s="1513">
        <v>1033.65586794</v>
      </c>
      <c r="AF7" s="1513">
        <v>1257.9714598979999</v>
      </c>
      <c r="AG7" s="1513">
        <v>1484.7675196499999</v>
      </c>
      <c r="AH7" s="1513">
        <v>1715.8009238300001</v>
      </c>
      <c r="AI7" s="1513">
        <v>1956.58075216</v>
      </c>
      <c r="AJ7" s="1513">
        <v>2211.5007660199999</v>
      </c>
      <c r="AK7" s="1513">
        <v>2470.2828386599999</v>
      </c>
      <c r="AL7" s="1513">
        <v>2738.8418421199999</v>
      </c>
      <c r="AM7" s="1513">
        <v>273.57439110000001</v>
      </c>
      <c r="AN7" s="1513">
        <v>549.5502735</v>
      </c>
      <c r="AO7" s="1513">
        <v>827.37658457999999</v>
      </c>
      <c r="AP7" s="1513">
        <v>1097.0944851162001</v>
      </c>
      <c r="AQ7" s="1513">
        <v>1385.9437322199999</v>
      </c>
      <c r="AR7" s="1513">
        <v>1668.7046987199999</v>
      </c>
      <c r="AS7" s="1513">
        <v>1976.19627056186</v>
      </c>
      <c r="AT7" s="1513">
        <v>2279.5175655057601</v>
      </c>
      <c r="AU7" s="1513">
        <v>2582.4460880603201</v>
      </c>
      <c r="AV7" s="1513">
        <v>2861.9390447081701</v>
      </c>
      <c r="AW7" s="1513">
        <v>3177.7258157361998</v>
      </c>
      <c r="AX7" s="1513">
        <v>3492.8988118673801</v>
      </c>
      <c r="AY7" s="1513">
        <v>320.986386051507</v>
      </c>
      <c r="AZ7" s="1513">
        <v>641.746127</v>
      </c>
      <c r="BA7" s="1513">
        <v>962.60027495999998</v>
      </c>
      <c r="BB7" s="1513">
        <v>1294.8679822292099</v>
      </c>
      <c r="BC7" s="1513">
        <v>1626.1919689199999</v>
      </c>
      <c r="BD7" s="1513">
        <v>1962.8785777325099</v>
      </c>
      <c r="BE7" s="1513">
        <v>2302.3561390998102</v>
      </c>
      <c r="BF7" s="1513">
        <v>2648.4693894366001</v>
      </c>
      <c r="BG7" s="1513">
        <v>2883.3558067899999</v>
      </c>
      <c r="BH7" s="1513">
        <v>3241.9586031499998</v>
      </c>
      <c r="BI7" s="1513">
        <v>3598.6330944800002</v>
      </c>
      <c r="BJ7" s="1513">
        <v>3969.80626199888</v>
      </c>
      <c r="BK7" s="1513">
        <v>377.24140877999997</v>
      </c>
      <c r="BL7" s="1513">
        <v>752.58851484000002</v>
      </c>
      <c r="BM7" s="1513">
        <v>1134.8575458099999</v>
      </c>
      <c r="BN7" s="1513">
        <v>1533.50248042</v>
      </c>
      <c r="BO7" s="1513">
        <v>1956.0462794299999</v>
      </c>
      <c r="BP7" s="1515" t="s">
        <v>3608</v>
      </c>
      <c r="BQ7" s="1140"/>
      <c r="BR7" s="1139"/>
      <c r="BS7" s="1140"/>
      <c r="BU7" s="1140"/>
    </row>
    <row r="8" spans="1:73" s="1141" customFormat="1" ht="37.5" customHeight="1">
      <c r="A8" s="1516" t="s">
        <v>2996</v>
      </c>
      <c r="B8" s="1517">
        <v>1421.5616915840001</v>
      </c>
      <c r="C8" s="1517">
        <v>131.11049270999999</v>
      </c>
      <c r="D8" s="1517">
        <v>264.19833334999998</v>
      </c>
      <c r="E8" s="1517">
        <v>399.2930715</v>
      </c>
      <c r="F8" s="1517">
        <v>520.10729892999996</v>
      </c>
      <c r="G8" s="1517">
        <v>633.62716278000005</v>
      </c>
      <c r="H8" s="1517">
        <v>758.46006046000002</v>
      </c>
      <c r="I8" s="1517">
        <v>881.24205788999996</v>
      </c>
      <c r="J8" s="1517">
        <v>1005.48281518</v>
      </c>
      <c r="K8" s="1517">
        <v>1132.10757388</v>
      </c>
      <c r="L8" s="1517">
        <v>1261.49743994</v>
      </c>
      <c r="M8" s="1517">
        <v>1393.6233150600001</v>
      </c>
      <c r="N8" s="1517">
        <v>1519.5306910300001</v>
      </c>
      <c r="O8" s="1517">
        <v>129.73309539799999</v>
      </c>
      <c r="P8" s="1517">
        <v>259.34639728299999</v>
      </c>
      <c r="Q8" s="1517">
        <v>394.15448168900002</v>
      </c>
      <c r="R8" s="1517">
        <v>527.68435718000001</v>
      </c>
      <c r="S8" s="1517">
        <v>665.04112633</v>
      </c>
      <c r="T8" s="1517">
        <v>805.71367308000004</v>
      </c>
      <c r="U8" s="1517">
        <v>948.36307151000005</v>
      </c>
      <c r="V8" s="1517">
        <v>1092.1127882200001</v>
      </c>
      <c r="W8" s="1517">
        <v>1242.4459611899999</v>
      </c>
      <c r="X8" s="1517">
        <v>1394.2931615699999</v>
      </c>
      <c r="Y8" s="1518">
        <v>1549.30984177</v>
      </c>
      <c r="Z8" s="1518">
        <v>1708.13883403</v>
      </c>
      <c r="AA8" s="1517">
        <v>158.20366501000001</v>
      </c>
      <c r="AB8" s="1517">
        <v>330.25666576999998</v>
      </c>
      <c r="AC8" s="1517">
        <v>501.421078010001</v>
      </c>
      <c r="AD8" s="1517">
        <v>674.32692543000098</v>
      </c>
      <c r="AE8" s="1517">
        <v>852.82972173000098</v>
      </c>
      <c r="AF8" s="1517">
        <v>1036.260445638</v>
      </c>
      <c r="AG8" s="1517">
        <v>1220.9233130800001</v>
      </c>
      <c r="AH8" s="1517">
        <v>1408.56574669</v>
      </c>
      <c r="AI8" s="1517">
        <v>1597.3454924299999</v>
      </c>
      <c r="AJ8" s="1517">
        <v>1795.6375033100001</v>
      </c>
      <c r="AK8" s="1517">
        <v>1993.34529484</v>
      </c>
      <c r="AL8" s="1517">
        <v>2194.4326419700001</v>
      </c>
      <c r="AM8" s="1517">
        <v>199.90132969999999</v>
      </c>
      <c r="AN8" s="1517">
        <v>404.82448291999998</v>
      </c>
      <c r="AO8" s="1517">
        <v>610.40047375999995</v>
      </c>
      <c r="AP8" s="1517">
        <v>810.02508126619603</v>
      </c>
      <c r="AQ8" s="1517">
        <v>1020.91702002</v>
      </c>
      <c r="AR8" s="1517">
        <v>1234.6859653700001</v>
      </c>
      <c r="AS8" s="1517">
        <v>1456.8567157218599</v>
      </c>
      <c r="AT8" s="1517">
        <v>1680.17393438576</v>
      </c>
      <c r="AU8" s="1517">
        <v>1903.1041786912399</v>
      </c>
      <c r="AV8" s="1517">
        <v>2101.7817550090899</v>
      </c>
      <c r="AW8" s="1517">
        <v>2336.6044774071102</v>
      </c>
      <c r="AX8" s="1517">
        <v>2573.7654502482901</v>
      </c>
      <c r="AY8" s="1517">
        <v>239.74393975479799</v>
      </c>
      <c r="AZ8" s="1517">
        <v>482.19490633542199</v>
      </c>
      <c r="BA8" s="1517">
        <v>729.13556042880498</v>
      </c>
      <c r="BB8" s="1517">
        <v>984.00768559689698</v>
      </c>
      <c r="BC8" s="1517">
        <v>1245.0169048569301</v>
      </c>
      <c r="BD8" s="1517">
        <v>1508.7679865908499</v>
      </c>
      <c r="BE8" s="1517">
        <v>1774.50027543684</v>
      </c>
      <c r="BF8" s="1517">
        <v>2048.8062521738302</v>
      </c>
      <c r="BG8" s="1517">
        <v>2232.6640800334499</v>
      </c>
      <c r="BH8" s="1517">
        <v>2518.8665417570701</v>
      </c>
      <c r="BI8" s="1517">
        <v>2807.7415887658599</v>
      </c>
      <c r="BJ8" s="1517">
        <v>3105.9405265241198</v>
      </c>
      <c r="BK8" s="1517">
        <v>294.87568012157499</v>
      </c>
      <c r="BL8" s="1517">
        <v>593.41393548143299</v>
      </c>
      <c r="BM8" s="1517">
        <v>897.75352956999996</v>
      </c>
      <c r="BN8" s="1517">
        <v>1206.7734978000001</v>
      </c>
      <c r="BO8" s="1517">
        <v>1540.723829</v>
      </c>
      <c r="BP8" s="1519" t="s">
        <v>3609</v>
      </c>
      <c r="BQ8" s="1140"/>
      <c r="BR8" s="1139"/>
      <c r="BS8" s="1140"/>
      <c r="BU8" s="1140"/>
    </row>
    <row r="9" spans="1:73" s="1141" customFormat="1" ht="37.5" customHeight="1">
      <c r="A9" s="1520" t="s">
        <v>2997</v>
      </c>
      <c r="B9" s="1517">
        <v>44.026935348824097</v>
      </c>
      <c r="C9" s="1517">
        <v>4.6270340250172097</v>
      </c>
      <c r="D9" s="1517">
        <v>11.4544652022563</v>
      </c>
      <c r="E9" s="1517">
        <v>18.397967333355101</v>
      </c>
      <c r="F9" s="1517">
        <v>23.7770484480621</v>
      </c>
      <c r="G9" s="1517">
        <v>24.5471354302233</v>
      </c>
      <c r="H9" s="1517">
        <v>33.031389219522502</v>
      </c>
      <c r="I9" s="1517">
        <v>36.932245490731198</v>
      </c>
      <c r="J9" s="1517">
        <v>43.959787634119998</v>
      </c>
      <c r="K9" s="1517">
        <v>46.576227493418401</v>
      </c>
      <c r="L9" s="1517">
        <v>59.835957608528403</v>
      </c>
      <c r="M9" s="1517">
        <v>63.516491246918399</v>
      </c>
      <c r="N9" s="1517">
        <v>59.893042865429003</v>
      </c>
      <c r="O9" s="1517">
        <v>10.041754534100001</v>
      </c>
      <c r="P9" s="1517">
        <v>12.8088974888555</v>
      </c>
      <c r="Q9" s="1517">
        <v>14.558249609418001</v>
      </c>
      <c r="R9" s="1517">
        <v>12.648174050610001</v>
      </c>
      <c r="S9" s="1517">
        <v>14.236606472376501</v>
      </c>
      <c r="T9" s="1517">
        <v>15.173885405736</v>
      </c>
      <c r="U9" s="1517">
        <v>19.373225177868601</v>
      </c>
      <c r="V9" s="1517">
        <v>23.782275569883002</v>
      </c>
      <c r="W9" s="1517">
        <v>29.270552907037001</v>
      </c>
      <c r="X9" s="1517">
        <v>32.712899379935003</v>
      </c>
      <c r="Y9" s="1518">
        <v>31.664223531739999</v>
      </c>
      <c r="Z9" s="1518">
        <v>31.0856740926037</v>
      </c>
      <c r="AA9" s="1517">
        <v>4.47476270791541</v>
      </c>
      <c r="AB9" s="1517">
        <v>8.6984154809312209</v>
      </c>
      <c r="AC9" s="1517">
        <v>13.5441543823937</v>
      </c>
      <c r="AD9" s="1517">
        <v>13.8401624087554</v>
      </c>
      <c r="AE9" s="1517">
        <v>18.926761087097798</v>
      </c>
      <c r="AF9" s="1517">
        <v>22.1309346062</v>
      </c>
      <c r="AG9" s="1517">
        <v>27.701147217489201</v>
      </c>
      <c r="AH9" s="1517">
        <v>35.068537723368998</v>
      </c>
      <c r="AI9" s="1517">
        <v>37.052122632554799</v>
      </c>
      <c r="AJ9" s="1517">
        <v>41.535722500609197</v>
      </c>
      <c r="AK9" s="1517">
        <v>43.536139644071099</v>
      </c>
      <c r="AL9" s="1517">
        <v>40.462978024433802</v>
      </c>
      <c r="AM9" s="1517">
        <v>5.81591245141421</v>
      </c>
      <c r="AN9" s="1517">
        <v>12.4301786819554</v>
      </c>
      <c r="AO9" s="1517">
        <v>17.501649871033401</v>
      </c>
      <c r="AP9" s="1517">
        <v>22.5923985143035</v>
      </c>
      <c r="AQ9" s="1517">
        <v>26.4979943227119</v>
      </c>
      <c r="AR9" s="1517">
        <v>28.745792063661501</v>
      </c>
      <c r="AS9" s="1517">
        <v>33.552286157753002</v>
      </c>
      <c r="AT9" s="1517">
        <v>38.264516985956803</v>
      </c>
      <c r="AU9" s="1517">
        <v>40.020571388956803</v>
      </c>
      <c r="AV9" s="1517">
        <v>42.314191302417903</v>
      </c>
      <c r="AW9" s="1517">
        <v>43.881391879480397</v>
      </c>
      <c r="AX9" s="1517">
        <v>44.818891366930899</v>
      </c>
      <c r="AY9" s="1517">
        <v>7.3585658551320101</v>
      </c>
      <c r="AZ9" s="1517">
        <v>12.7415447994485</v>
      </c>
      <c r="BA9" s="1517">
        <v>17.834101450736</v>
      </c>
      <c r="BB9" s="1517">
        <v>21.791722423039801</v>
      </c>
      <c r="BC9" s="1517">
        <v>25.301407515039699</v>
      </c>
      <c r="BD9" s="1517">
        <v>31.635662751164599</v>
      </c>
      <c r="BE9" s="1517">
        <v>24.816987264366102</v>
      </c>
      <c r="BF9" s="1517">
        <v>36.094682598366099</v>
      </c>
      <c r="BG9" s="1517">
        <v>36.383522752875102</v>
      </c>
      <c r="BH9" s="1517">
        <v>25.564188347054898</v>
      </c>
      <c r="BI9" s="1517">
        <v>28.073225102204901</v>
      </c>
      <c r="BJ9" s="1517">
        <v>35.0189420393624</v>
      </c>
      <c r="BK9" s="1517">
        <v>25.831970952802902</v>
      </c>
      <c r="BL9" s="1517">
        <v>8.7942135686262706</v>
      </c>
      <c r="BM9" s="1517">
        <v>19.338963624726301</v>
      </c>
      <c r="BN9" s="1517">
        <v>21.609831681449901</v>
      </c>
      <c r="BO9" s="1517">
        <v>29.791138693773899</v>
      </c>
      <c r="BP9" s="1521" t="s">
        <v>3610</v>
      </c>
      <c r="BQ9" s="1140"/>
      <c r="BR9" s="1139"/>
      <c r="BS9" s="1140"/>
      <c r="BU9" s="1140"/>
    </row>
    <row r="10" spans="1:73" s="1141" customFormat="1" ht="37.5" customHeight="1">
      <c r="A10" s="1516" t="s">
        <v>2998</v>
      </c>
      <c r="B10" s="1517">
        <v>278.14437040599978</v>
      </c>
      <c r="C10" s="1517">
        <v>20.81439391</v>
      </c>
      <c r="D10" s="1517">
        <v>40.705028419999984</v>
      </c>
      <c r="E10" s="1517">
        <v>59.397419890000016</v>
      </c>
      <c r="F10" s="1517">
        <v>77.389534550000022</v>
      </c>
      <c r="G10" s="1517">
        <v>92.957434800000001</v>
      </c>
      <c r="H10" s="1517">
        <v>108.64220639000001</v>
      </c>
      <c r="I10" s="1517">
        <v>123.82178992</v>
      </c>
      <c r="J10" s="1517">
        <v>139.21802933000001</v>
      </c>
      <c r="K10" s="1517">
        <v>152.10475198999998</v>
      </c>
      <c r="L10" s="1517">
        <v>166.28208188000002</v>
      </c>
      <c r="M10" s="1517">
        <v>180.29035636</v>
      </c>
      <c r="N10" s="1517">
        <v>194.16260339000002</v>
      </c>
      <c r="O10" s="1517">
        <v>12.71505099</v>
      </c>
      <c r="P10" s="1517">
        <v>24.047755650000003</v>
      </c>
      <c r="Q10" s="1517">
        <v>36.372481909999998</v>
      </c>
      <c r="R10" s="1517">
        <v>48.357049529999998</v>
      </c>
      <c r="S10" s="1517">
        <v>60.866308199999999</v>
      </c>
      <c r="T10" s="1517">
        <v>71.873093999999995</v>
      </c>
      <c r="U10" s="1517">
        <v>83.223068149999989</v>
      </c>
      <c r="V10" s="1517">
        <v>94.705080080000002</v>
      </c>
      <c r="W10" s="1517">
        <v>105.87100833000001</v>
      </c>
      <c r="X10" s="1517">
        <v>117.41803273000001</v>
      </c>
      <c r="Y10" s="1518">
        <v>128.11040939</v>
      </c>
      <c r="Z10" s="1518">
        <v>137.74457970882258</v>
      </c>
      <c r="AA10" s="1517">
        <v>9.3992107399999991</v>
      </c>
      <c r="AB10" s="1517">
        <v>20.22420447</v>
      </c>
      <c r="AC10" s="1517">
        <v>31.536524610000001</v>
      </c>
      <c r="AD10" s="1517">
        <v>43.589743569999996</v>
      </c>
      <c r="AE10" s="1517">
        <v>57.278620749999995</v>
      </c>
      <c r="AF10" s="1517">
        <v>71.827452120000004</v>
      </c>
      <c r="AG10" s="1517">
        <v>86.747746829999997</v>
      </c>
      <c r="AH10" s="1517">
        <v>103.89231793</v>
      </c>
      <c r="AI10" s="1517">
        <v>125.57658256000001</v>
      </c>
      <c r="AJ10" s="1517">
        <v>150.01074874999998</v>
      </c>
      <c r="AK10" s="1517">
        <v>175.57222056000001</v>
      </c>
      <c r="AL10" s="1517">
        <v>202.70640779000001</v>
      </c>
      <c r="AM10" s="1517">
        <v>26.455791189999999</v>
      </c>
      <c r="AN10" s="1517">
        <v>52.272527910000001</v>
      </c>
      <c r="AO10" s="1517">
        <v>79.408409910000003</v>
      </c>
      <c r="AP10" s="1517">
        <v>106.40535190999999</v>
      </c>
      <c r="AQ10" s="1517">
        <v>137.03044426</v>
      </c>
      <c r="AR10" s="1517">
        <v>164.36272582000001</v>
      </c>
      <c r="AS10" s="1517">
        <v>199.52559661999999</v>
      </c>
      <c r="AT10" s="1517">
        <v>229.71598587</v>
      </c>
      <c r="AU10" s="1517">
        <v>260.06894892000003</v>
      </c>
      <c r="AV10" s="1517">
        <v>287.89653010000001</v>
      </c>
      <c r="AW10" s="1517">
        <v>320.56932941999997</v>
      </c>
      <c r="AX10" s="1517">
        <v>351.32536374</v>
      </c>
      <c r="AY10" s="1517">
        <v>32.855981336709199</v>
      </c>
      <c r="AZ10" s="1517">
        <v>63.598601114578301</v>
      </c>
      <c r="BA10" s="1517">
        <v>90.597341141195002</v>
      </c>
      <c r="BB10" s="1517">
        <v>120.08199637231399</v>
      </c>
      <c r="BC10" s="1517">
        <v>141.46581090306799</v>
      </c>
      <c r="BD10" s="1517">
        <v>165.920825951659</v>
      </c>
      <c r="BE10" s="1517">
        <v>183.53057664297</v>
      </c>
      <c r="BF10" s="1517">
        <v>205.92675297277401</v>
      </c>
      <c r="BG10" s="1517">
        <v>220.50821973654499</v>
      </c>
      <c r="BH10" s="1517">
        <v>244.26015390292599</v>
      </c>
      <c r="BI10" s="1517">
        <v>266.32908643413799</v>
      </c>
      <c r="BJ10" s="1517">
        <v>287.62488978475898</v>
      </c>
      <c r="BK10" s="1517">
        <v>20.902461138425</v>
      </c>
      <c r="BL10" s="1517">
        <v>41.184844688566699</v>
      </c>
      <c r="BM10" s="1517">
        <v>62.47201355</v>
      </c>
      <c r="BN10" s="1517">
        <v>86.861653160000003</v>
      </c>
      <c r="BO10" s="1517">
        <v>108.26637728999999</v>
      </c>
      <c r="BP10" s="1519" t="s">
        <v>3611</v>
      </c>
      <c r="BQ10" s="1140"/>
      <c r="BR10" s="1139"/>
      <c r="BS10" s="1140"/>
      <c r="BU10" s="1140"/>
    </row>
    <row r="11" spans="1:73" s="1141" customFormat="1" ht="37.5" customHeight="1">
      <c r="A11" s="1516" t="s">
        <v>2999</v>
      </c>
      <c r="B11" s="1517">
        <v>170.87955628999998</v>
      </c>
      <c r="C11" s="1517">
        <v>10.943830250000001</v>
      </c>
      <c r="D11" s="1517">
        <v>20.616287159999999</v>
      </c>
      <c r="E11" s="1517">
        <v>30.958997199999999</v>
      </c>
      <c r="F11" s="1517">
        <v>42.031088159999996</v>
      </c>
      <c r="G11" s="1517">
        <v>55.224163910000001</v>
      </c>
      <c r="H11" s="1517">
        <v>67.875867979999995</v>
      </c>
      <c r="I11" s="1517">
        <v>82.373402190000007</v>
      </c>
      <c r="J11" s="1517">
        <v>98.018741070000004</v>
      </c>
      <c r="K11" s="1517">
        <v>115.39330385</v>
      </c>
      <c r="L11" s="1517">
        <v>134.14191305</v>
      </c>
      <c r="M11" s="1517">
        <v>152.22158433000001</v>
      </c>
      <c r="N11" s="1517">
        <v>171.06510257000002</v>
      </c>
      <c r="O11" s="1517">
        <v>18.308235940000003</v>
      </c>
      <c r="P11" s="1517">
        <v>36.872118659999998</v>
      </c>
      <c r="Q11" s="1517">
        <v>57.96633988</v>
      </c>
      <c r="R11" s="1517">
        <v>77.447171040000001</v>
      </c>
      <c r="S11" s="1517">
        <v>97.913995830000005</v>
      </c>
      <c r="T11" s="1517">
        <v>117.44729229000001</v>
      </c>
      <c r="U11" s="1517">
        <v>137.12717845999998</v>
      </c>
      <c r="V11" s="1517">
        <v>157.02902245999999</v>
      </c>
      <c r="W11" s="1517">
        <v>177.01464837</v>
      </c>
      <c r="X11" s="1517">
        <v>196.25123473000002</v>
      </c>
      <c r="Y11" s="1518">
        <v>214.89037901</v>
      </c>
      <c r="Z11" s="1518">
        <v>233.94449924842701</v>
      </c>
      <c r="AA11" s="1517">
        <v>19.67357578</v>
      </c>
      <c r="AB11" s="1517">
        <v>40.543343759999999</v>
      </c>
      <c r="AC11" s="1517">
        <v>63.551696229999997</v>
      </c>
      <c r="AD11" s="1517">
        <v>85.717649960000003</v>
      </c>
      <c r="AE11" s="1517">
        <v>108.25741988</v>
      </c>
      <c r="AF11" s="1517">
        <v>129.75279</v>
      </c>
      <c r="AG11" s="1517">
        <v>151.52512707</v>
      </c>
      <c r="AH11" s="1517">
        <v>173.49937875000001</v>
      </c>
      <c r="AI11" s="1517">
        <v>196.23909086</v>
      </c>
      <c r="AJ11" s="1517">
        <v>220.49407858000001</v>
      </c>
      <c r="AK11" s="1517">
        <v>246.17794873000003</v>
      </c>
      <c r="AL11" s="1517">
        <v>275.12436678999995</v>
      </c>
      <c r="AM11" s="1517">
        <v>34.603138379999997</v>
      </c>
      <c r="AN11" s="1517">
        <v>67.047470579999995</v>
      </c>
      <c r="AO11" s="1517">
        <v>101.3831795</v>
      </c>
      <c r="AP11" s="1517">
        <v>133.21380685</v>
      </c>
      <c r="AQ11" s="1517">
        <v>167.71254127</v>
      </c>
      <c r="AR11" s="1517">
        <v>200.29875987</v>
      </c>
      <c r="AS11" s="1517">
        <v>238.78305362</v>
      </c>
      <c r="AT11" s="1517">
        <v>278.34161674000001</v>
      </c>
      <c r="AU11" s="1517">
        <v>317.1893</v>
      </c>
      <c r="AV11" s="1517">
        <v>358.65066990000003</v>
      </c>
      <c r="AW11" s="1517">
        <v>395.86968931000001</v>
      </c>
      <c r="AX11" s="1517">
        <v>432.27679770999998</v>
      </c>
      <c r="AY11" s="1517">
        <v>36.226071259999998</v>
      </c>
      <c r="AZ11" s="1517">
        <v>71.480219880000007</v>
      </c>
      <c r="BA11" s="1517">
        <v>106.90059036</v>
      </c>
      <c r="BB11" s="1517">
        <v>141.54675685999999</v>
      </c>
      <c r="BC11" s="1517">
        <v>177.97698317000001</v>
      </c>
      <c r="BD11" s="1517">
        <v>214.63071059999999</v>
      </c>
      <c r="BE11" s="1517">
        <v>254.94963349</v>
      </c>
      <c r="BF11" s="1517">
        <v>291.02724573</v>
      </c>
      <c r="BG11" s="1517">
        <v>323.4756605</v>
      </c>
      <c r="BH11" s="1517">
        <v>359.22673764000001</v>
      </c>
      <c r="BI11" s="1517">
        <v>392.71446350000002</v>
      </c>
      <c r="BJ11" s="1517">
        <v>429.32632551</v>
      </c>
      <c r="BK11" s="1517">
        <v>46.902866609999997</v>
      </c>
      <c r="BL11" s="1517">
        <v>89.855155019999998</v>
      </c>
      <c r="BM11" s="1517">
        <v>132.54189690000001</v>
      </c>
      <c r="BN11" s="1517">
        <v>183.36839275</v>
      </c>
      <c r="BO11" s="1517">
        <v>230.44944287999999</v>
      </c>
      <c r="BP11" s="1519" t="s">
        <v>3612</v>
      </c>
      <c r="BQ11" s="1140"/>
      <c r="BR11" s="1139"/>
      <c r="BS11" s="1140"/>
      <c r="BU11" s="1140"/>
    </row>
    <row r="12" spans="1:73" s="1141" customFormat="1" ht="37.5" customHeight="1">
      <c r="A12" s="1516" t="s">
        <v>3000</v>
      </c>
      <c r="B12" s="1517">
        <v>51.597891300000128</v>
      </c>
      <c r="C12" s="1517">
        <v>4.497103620000015</v>
      </c>
      <c r="D12" s="1517">
        <v>8.5157391800000184</v>
      </c>
      <c r="E12" s="1517">
        <v>11.901819029999977</v>
      </c>
      <c r="F12" s="1517">
        <v>14.368094790000058</v>
      </c>
      <c r="G12" s="1517">
        <v>17.386828489999971</v>
      </c>
      <c r="H12" s="1517">
        <v>19.704934779999931</v>
      </c>
      <c r="I12" s="1517">
        <v>22.345496330000046</v>
      </c>
      <c r="J12" s="1517">
        <v>25.005591859999925</v>
      </c>
      <c r="K12" s="1517">
        <v>27.909711799999997</v>
      </c>
      <c r="L12" s="1517">
        <v>30.190816920000003</v>
      </c>
      <c r="M12" s="1517">
        <v>33.219977289999918</v>
      </c>
      <c r="N12" s="1517">
        <v>35.757790269999816</v>
      </c>
      <c r="O12" s="1517">
        <v>2.3397422399999996</v>
      </c>
      <c r="P12" s="1517">
        <v>4.6080081100000285</v>
      </c>
      <c r="Q12" s="1517">
        <v>6.7940186999999739</v>
      </c>
      <c r="R12" s="1517">
        <v>9.102541530000039</v>
      </c>
      <c r="S12" s="1517">
        <v>11.278985059999997</v>
      </c>
      <c r="T12" s="1517">
        <v>13.581269440000028</v>
      </c>
      <c r="U12" s="1517">
        <v>15.930219979999862</v>
      </c>
      <c r="V12" s="1517">
        <v>18.140169109999846</v>
      </c>
      <c r="W12" s="1517">
        <v>20.462304440000054</v>
      </c>
      <c r="X12" s="1517">
        <v>23.070440210000129</v>
      </c>
      <c r="Y12" s="1518">
        <v>24.839806839999852</v>
      </c>
      <c r="Z12" s="1518">
        <v>27.196808052750214</v>
      </c>
      <c r="AA12" s="1517">
        <v>1.8744205599999972</v>
      </c>
      <c r="AB12" s="1517">
        <v>3.871052430000006</v>
      </c>
      <c r="AC12" s="1517">
        <v>7.6648322799989828</v>
      </c>
      <c r="AD12" s="1517">
        <v>11.673615130000044</v>
      </c>
      <c r="AE12" s="1517">
        <v>15.290105579999036</v>
      </c>
      <c r="AF12" s="1517">
        <v>20.130772139999948</v>
      </c>
      <c r="AG12" s="1517">
        <v>25.57133266999989</v>
      </c>
      <c r="AH12" s="1517">
        <v>29.843480460000137</v>
      </c>
      <c r="AI12" s="1517">
        <v>37.419586310000028</v>
      </c>
      <c r="AJ12" s="1517">
        <v>45.358435379999889</v>
      </c>
      <c r="AK12" s="1517">
        <v>55.187374529999943</v>
      </c>
      <c r="AL12" s="1517">
        <v>66.578425569999865</v>
      </c>
      <c r="AM12" s="1517">
        <v>12.61413183</v>
      </c>
      <c r="AN12" s="1517">
        <v>25.405792089999998</v>
      </c>
      <c r="AO12" s="1517">
        <v>36.184521410000002</v>
      </c>
      <c r="AP12" s="1517">
        <v>47.450245090000003</v>
      </c>
      <c r="AQ12" s="1517">
        <v>60.28372667</v>
      </c>
      <c r="AR12" s="1517">
        <v>69.357247659999999</v>
      </c>
      <c r="AS12" s="1517">
        <v>81.0309046</v>
      </c>
      <c r="AT12" s="1517">
        <v>91.286028509999994</v>
      </c>
      <c r="AU12" s="1517">
        <v>102.083660449083</v>
      </c>
      <c r="AV12" s="1517">
        <v>113.61008969908301</v>
      </c>
      <c r="AW12" s="1517">
        <v>124.682319599083</v>
      </c>
      <c r="AX12" s="1517">
        <v>135.53120016908301</v>
      </c>
      <c r="AY12" s="1517">
        <v>12.1603937</v>
      </c>
      <c r="AZ12" s="1517">
        <v>24.472399670000001</v>
      </c>
      <c r="BA12" s="1517">
        <v>35.966783030000002</v>
      </c>
      <c r="BB12" s="1517">
        <v>49.2315434</v>
      </c>
      <c r="BC12" s="1517">
        <v>61.732269989999999</v>
      </c>
      <c r="BD12" s="1517">
        <v>73.559054590000002</v>
      </c>
      <c r="BE12" s="1517">
        <v>89.375653529999994</v>
      </c>
      <c r="BF12" s="1517">
        <v>102.70913856</v>
      </c>
      <c r="BG12" s="1517">
        <v>106.70784652</v>
      </c>
      <c r="BH12" s="1517">
        <v>119.60516985</v>
      </c>
      <c r="BI12" s="1517">
        <v>131.84795578000001</v>
      </c>
      <c r="BJ12" s="1517">
        <v>146.91452018000001</v>
      </c>
      <c r="BK12" s="1517">
        <v>14.56040091</v>
      </c>
      <c r="BL12" s="1517">
        <v>28.134579649999999</v>
      </c>
      <c r="BM12" s="1517">
        <v>42.090105790000003</v>
      </c>
      <c r="BN12" s="1517">
        <v>56.498936710000002</v>
      </c>
      <c r="BO12" s="1517">
        <v>76.606630260000003</v>
      </c>
      <c r="BP12" s="1519" t="s">
        <v>3613</v>
      </c>
      <c r="BQ12" s="1140"/>
      <c r="BR12" s="1139"/>
      <c r="BS12" s="1140"/>
      <c r="BU12" s="1140"/>
    </row>
    <row r="13" spans="1:73" s="1141" customFormat="1" ht="37.5" customHeight="1">
      <c r="A13" s="1520" t="s">
        <v>2279</v>
      </c>
      <c r="B13" s="1517">
        <v>547.88021661000005</v>
      </c>
      <c r="C13" s="1517">
        <v>47.601786760000003</v>
      </c>
      <c r="D13" s="1517">
        <v>92.444297849999998</v>
      </c>
      <c r="E13" s="1517">
        <v>134.87535634</v>
      </c>
      <c r="F13" s="1517">
        <v>170.1848809</v>
      </c>
      <c r="G13" s="1517">
        <v>201.17893853000001</v>
      </c>
      <c r="H13" s="1517">
        <v>241.16265116</v>
      </c>
      <c r="I13" s="1517">
        <v>281.64015332000002</v>
      </c>
      <c r="J13" s="1517">
        <v>322.29072158999998</v>
      </c>
      <c r="K13" s="1517">
        <v>362.44819914999999</v>
      </c>
      <c r="L13" s="1517">
        <v>408.2261939</v>
      </c>
      <c r="M13" s="1517">
        <v>451.20833531</v>
      </c>
      <c r="N13" s="1517">
        <v>492.54256068000001</v>
      </c>
      <c r="O13" s="1517">
        <v>43.443109620000001</v>
      </c>
      <c r="P13" s="1517">
        <v>85.745534340000006</v>
      </c>
      <c r="Q13" s="1517">
        <v>129.00739529000001</v>
      </c>
      <c r="R13" s="1517">
        <v>173.7585871</v>
      </c>
      <c r="S13" s="1517">
        <v>219.24497445</v>
      </c>
      <c r="T13" s="1517">
        <v>262.58779770000001</v>
      </c>
      <c r="U13" s="1517">
        <v>307.07677116000002</v>
      </c>
      <c r="V13" s="1517">
        <v>352.74422120000003</v>
      </c>
      <c r="W13" s="1517">
        <v>397.05689237000001</v>
      </c>
      <c r="X13" s="1517">
        <v>448.01144536999999</v>
      </c>
      <c r="Y13" s="1518">
        <v>490.94436571</v>
      </c>
      <c r="Z13" s="1518">
        <v>538.42681282000001</v>
      </c>
      <c r="AA13" s="1517">
        <v>46.312053810000002</v>
      </c>
      <c r="AB13" s="1517">
        <v>96.010953529999995</v>
      </c>
      <c r="AC13" s="1517">
        <v>143.36095099000099</v>
      </c>
      <c r="AD13" s="1517">
        <v>192.94012753750101</v>
      </c>
      <c r="AE13" s="1517">
        <v>245.10555164000101</v>
      </c>
      <c r="AF13" s="1517">
        <v>297.61723190000203</v>
      </c>
      <c r="AG13" s="1517">
        <v>352.61466219000198</v>
      </c>
      <c r="AH13" s="1517">
        <v>409.78643362000298</v>
      </c>
      <c r="AI13" s="1517">
        <v>467.41806101000299</v>
      </c>
      <c r="AJ13" s="1517">
        <v>528.74461715000302</v>
      </c>
      <c r="AK13" s="1517">
        <v>592.79980589000502</v>
      </c>
      <c r="AL13" s="1517">
        <v>657.80020985000499</v>
      </c>
      <c r="AM13" s="1517">
        <v>67.181827190000007</v>
      </c>
      <c r="AN13" s="1517">
        <v>134.01506075</v>
      </c>
      <c r="AO13" s="1517">
        <v>200.28434100000001</v>
      </c>
      <c r="AP13" s="1517">
        <v>268.35041928999999</v>
      </c>
      <c r="AQ13" s="1517">
        <v>335.23474764700001</v>
      </c>
      <c r="AR13" s="1517">
        <v>405.52060576999997</v>
      </c>
      <c r="AS13" s="1517">
        <v>478.29792848800003</v>
      </c>
      <c r="AT13" s="1517">
        <v>553.73419890000002</v>
      </c>
      <c r="AU13" s="1517">
        <v>628.74312277000001</v>
      </c>
      <c r="AV13" s="1517">
        <v>677.88667132</v>
      </c>
      <c r="AW13" s="1517">
        <v>755.74668654000004</v>
      </c>
      <c r="AX13" s="1517">
        <v>839.36268940000002</v>
      </c>
      <c r="AY13" s="1517">
        <v>86.44751334</v>
      </c>
      <c r="AZ13" s="1517">
        <v>172.47825943000001</v>
      </c>
      <c r="BA13" s="1517">
        <v>259.73728591999998</v>
      </c>
      <c r="BB13" s="1517">
        <v>352.42137148</v>
      </c>
      <c r="BC13" s="1517">
        <v>450.74913791699998</v>
      </c>
      <c r="BD13" s="1517">
        <v>551.85641078000003</v>
      </c>
      <c r="BE13" s="1517">
        <v>660.59799349000002</v>
      </c>
      <c r="BF13" s="1517">
        <v>773.95167844000002</v>
      </c>
      <c r="BG13" s="1517">
        <v>848.30375327000002</v>
      </c>
      <c r="BH13" s="1517">
        <v>969.43167086000005</v>
      </c>
      <c r="BI13" s="1517">
        <v>1091.20564565</v>
      </c>
      <c r="BJ13" s="1517">
        <v>1214.7349744600001</v>
      </c>
      <c r="BK13" s="1517">
        <v>134.17234056000001</v>
      </c>
      <c r="BL13" s="1517">
        <v>262.75726338999999</v>
      </c>
      <c r="BM13" s="1517">
        <v>399.01294909000001</v>
      </c>
      <c r="BN13" s="1517">
        <v>541.50303165000003</v>
      </c>
      <c r="BO13" s="1517">
        <v>695.05955673000005</v>
      </c>
      <c r="BP13" s="1521" t="s">
        <v>3614</v>
      </c>
      <c r="BQ13" s="1140"/>
      <c r="BR13" s="1139"/>
      <c r="BS13" s="1140"/>
      <c r="BU13" s="1140"/>
    </row>
    <row r="14" spans="1:73" s="1141" customFormat="1" ht="37.5" customHeight="1">
      <c r="A14" s="1516" t="s">
        <v>2278</v>
      </c>
      <c r="B14" s="1517">
        <v>372.35475868999998</v>
      </c>
      <c r="C14" s="1517">
        <v>32.638438540000003</v>
      </c>
      <c r="D14" s="1517">
        <v>64.860481120000003</v>
      </c>
      <c r="E14" s="1517">
        <v>91.535804799999994</v>
      </c>
      <c r="F14" s="1517">
        <v>111.35617584000001</v>
      </c>
      <c r="G14" s="1517">
        <v>130.03879531999999</v>
      </c>
      <c r="H14" s="1517">
        <v>154.39488537</v>
      </c>
      <c r="I14" s="1517">
        <v>179.08557185000001</v>
      </c>
      <c r="J14" s="1517">
        <v>204.44773873</v>
      </c>
      <c r="K14" s="1517">
        <v>231.0388222</v>
      </c>
      <c r="L14" s="1517">
        <v>258.34628736000002</v>
      </c>
      <c r="M14" s="1517">
        <v>285.69008399000001</v>
      </c>
      <c r="N14" s="1517">
        <v>312.86389374999999</v>
      </c>
      <c r="O14" s="1517">
        <v>27.616060740000002</v>
      </c>
      <c r="P14" s="1517">
        <v>54.527394999999999</v>
      </c>
      <c r="Q14" s="1517">
        <v>82.558359159999995</v>
      </c>
      <c r="R14" s="1517">
        <v>111.41453525</v>
      </c>
      <c r="S14" s="1517">
        <v>141.69789879999999</v>
      </c>
      <c r="T14" s="1517">
        <v>172.92726016</v>
      </c>
      <c r="U14" s="1517">
        <v>201.62411054</v>
      </c>
      <c r="V14" s="1517">
        <v>231.9696299</v>
      </c>
      <c r="W14" s="1517">
        <v>263.70316704999999</v>
      </c>
      <c r="X14" s="1517">
        <v>296.42873539999999</v>
      </c>
      <c r="Y14" s="1518">
        <v>329.21707875999999</v>
      </c>
      <c r="Z14" s="1518">
        <v>362.26719543000002</v>
      </c>
      <c r="AA14" s="1517">
        <v>33.059568220000003</v>
      </c>
      <c r="AB14" s="1517">
        <v>66.187438589999999</v>
      </c>
      <c r="AC14" s="1517">
        <v>100.00116489000099</v>
      </c>
      <c r="AD14" s="1517">
        <v>134.32201600000101</v>
      </c>
      <c r="AE14" s="1517">
        <v>169.772595660001</v>
      </c>
      <c r="AF14" s="1517">
        <v>205.925754900002</v>
      </c>
      <c r="AG14" s="1517">
        <v>244.98202833000201</v>
      </c>
      <c r="AH14" s="1517">
        <v>284.60583688000298</v>
      </c>
      <c r="AI14" s="1517">
        <v>324.35249061000297</v>
      </c>
      <c r="AJ14" s="1517">
        <v>367.64522229000301</v>
      </c>
      <c r="AK14" s="1517">
        <v>412.55570776000502</v>
      </c>
      <c r="AL14" s="1517">
        <v>458.98606618000503</v>
      </c>
      <c r="AM14" s="1517">
        <v>48.041807550000001</v>
      </c>
      <c r="AN14" s="1517">
        <v>96.255995170000006</v>
      </c>
      <c r="AO14" s="1517">
        <v>142.78879875999999</v>
      </c>
      <c r="AP14" s="1517">
        <v>190.46716581999999</v>
      </c>
      <c r="AQ14" s="1517">
        <v>237.84861348999999</v>
      </c>
      <c r="AR14" s="1517">
        <v>288.48219508</v>
      </c>
      <c r="AS14" s="1517">
        <v>341.40717395799999</v>
      </c>
      <c r="AT14" s="1517">
        <v>395.17018883999998</v>
      </c>
      <c r="AU14" s="1517">
        <v>449.89676867999998</v>
      </c>
      <c r="AV14" s="1517">
        <v>479.94500348999998</v>
      </c>
      <c r="AW14" s="1517">
        <v>536.54010631000006</v>
      </c>
      <c r="AX14" s="1517">
        <v>595.96840538000004</v>
      </c>
      <c r="AY14" s="1517">
        <v>62.114248443333402</v>
      </c>
      <c r="AZ14" s="1517">
        <v>125.46146073</v>
      </c>
      <c r="BA14" s="1517">
        <v>191.41553549</v>
      </c>
      <c r="BB14" s="1517">
        <v>260.94340198999998</v>
      </c>
      <c r="BC14" s="1517">
        <v>332.72201811666702</v>
      </c>
      <c r="BD14" s="1517">
        <v>406.98525861333297</v>
      </c>
      <c r="BE14" s="1517">
        <v>487.59240027666698</v>
      </c>
      <c r="BF14" s="1517">
        <v>570.38297234000004</v>
      </c>
      <c r="BG14" s="1517">
        <v>636.43153443000006</v>
      </c>
      <c r="BH14" s="1517">
        <v>725.79966029000002</v>
      </c>
      <c r="BI14" s="1517">
        <v>813.43260320000002</v>
      </c>
      <c r="BJ14" s="1517">
        <v>905.43108104999999</v>
      </c>
      <c r="BK14" s="1517">
        <v>100.77819739</v>
      </c>
      <c r="BL14" s="1517">
        <v>197.60492787999999</v>
      </c>
      <c r="BM14" s="1517">
        <v>298.92437430000001</v>
      </c>
      <c r="BN14" s="1517">
        <v>392.46131980000001</v>
      </c>
      <c r="BO14" s="1517">
        <v>498.64611735</v>
      </c>
      <c r="BP14" s="1519" t="s">
        <v>3615</v>
      </c>
      <c r="BQ14" s="1140"/>
      <c r="BR14" s="1139"/>
      <c r="BS14" s="1140"/>
      <c r="BU14" s="1140"/>
    </row>
    <row r="15" spans="1:73" s="1141" customFormat="1" ht="37.5" customHeight="1">
      <c r="A15" s="1520" t="s">
        <v>3001</v>
      </c>
      <c r="B15" s="1517">
        <v>343.07353831333302</v>
      </c>
      <c r="C15" s="1517">
        <v>30.22530742</v>
      </c>
      <c r="D15" s="1517">
        <v>60.708178750000002</v>
      </c>
      <c r="E15" s="1517">
        <v>85.421183190000008</v>
      </c>
      <c r="F15" s="1517">
        <v>104.67940378</v>
      </c>
      <c r="G15" s="1517">
        <v>123.42655450999999</v>
      </c>
      <c r="H15" s="1517">
        <v>145.33799035999999</v>
      </c>
      <c r="I15" s="1517">
        <v>168.68256138999999</v>
      </c>
      <c r="J15" s="1517">
        <v>192.38071596999998</v>
      </c>
      <c r="K15" s="1517">
        <v>217.00514679999998</v>
      </c>
      <c r="L15" s="1517">
        <v>242.35503927000002</v>
      </c>
      <c r="M15" s="1517">
        <v>266.33716489</v>
      </c>
      <c r="N15" s="1517">
        <v>292.18078932999998</v>
      </c>
      <c r="O15" s="1517">
        <v>27.032718729999999</v>
      </c>
      <c r="P15" s="1517">
        <v>52.899305409999997</v>
      </c>
      <c r="Q15" s="1517">
        <v>80.029680000000013</v>
      </c>
      <c r="R15" s="1517">
        <v>107.86792407</v>
      </c>
      <c r="S15" s="1517">
        <v>137.00142996</v>
      </c>
      <c r="T15" s="1517">
        <v>167.19063990999999</v>
      </c>
      <c r="U15" s="1517">
        <v>194.94359341999998</v>
      </c>
      <c r="V15" s="1517">
        <v>223.64797007999999</v>
      </c>
      <c r="W15" s="1517">
        <v>254.40946406</v>
      </c>
      <c r="X15" s="1517">
        <v>285.96194958000001</v>
      </c>
      <c r="Y15" s="1518">
        <v>317.42608853000002</v>
      </c>
      <c r="Z15" s="1518">
        <v>349.51441993999998</v>
      </c>
      <c r="AA15" s="1517">
        <v>31.760313889999999</v>
      </c>
      <c r="AB15" s="1517">
        <v>63.199327120000007</v>
      </c>
      <c r="AC15" s="1517">
        <v>95.277764980000001</v>
      </c>
      <c r="AD15" s="1517">
        <v>128.14272854999999</v>
      </c>
      <c r="AE15" s="1517">
        <v>162.93416773000001</v>
      </c>
      <c r="AF15" s="1517">
        <v>193.62540927000001</v>
      </c>
      <c r="AG15" s="1517">
        <v>229.53965640999999</v>
      </c>
      <c r="AH15" s="1517">
        <v>265.69480062999997</v>
      </c>
      <c r="AI15" s="1517">
        <v>301.98941665000001</v>
      </c>
      <c r="AJ15" s="1517">
        <v>339.79040101999999</v>
      </c>
      <c r="AK15" s="1517">
        <v>378.66234365000003</v>
      </c>
      <c r="AL15" s="1517">
        <v>418.67921678000005</v>
      </c>
      <c r="AM15" s="1517">
        <v>37.74582255</v>
      </c>
      <c r="AN15" s="1517">
        <v>75.985990220000005</v>
      </c>
      <c r="AO15" s="1517">
        <v>115.60642398</v>
      </c>
      <c r="AP15" s="1517">
        <v>155.74324211000001</v>
      </c>
      <c r="AQ15" s="1517">
        <v>196.2995981</v>
      </c>
      <c r="AR15" s="1517">
        <v>239.09904176000001</v>
      </c>
      <c r="AS15" s="1517">
        <v>285.20958350799998</v>
      </c>
      <c r="AT15" s="1517">
        <v>331.23423338999999</v>
      </c>
      <c r="AU15" s="1517">
        <v>378.72485756999998</v>
      </c>
      <c r="AV15" s="1517">
        <v>401.43263174999998</v>
      </c>
      <c r="AW15" s="1517">
        <v>450.40125374000002</v>
      </c>
      <c r="AX15" s="1517">
        <v>499.50625821</v>
      </c>
      <c r="AY15" s="1517">
        <v>53.235416653333303</v>
      </c>
      <c r="AZ15" s="1517">
        <v>107.07922381</v>
      </c>
      <c r="BA15" s="1517">
        <v>164.71606568999999</v>
      </c>
      <c r="BB15" s="1517">
        <v>224.12078306999999</v>
      </c>
      <c r="BC15" s="1517">
        <v>285.412365696667</v>
      </c>
      <c r="BD15" s="1517">
        <v>350.426169463333</v>
      </c>
      <c r="BE15" s="1517">
        <v>418.79182404666699</v>
      </c>
      <c r="BF15" s="1517">
        <v>489.47364879000003</v>
      </c>
      <c r="BG15" s="1517">
        <v>547.15882725999995</v>
      </c>
      <c r="BH15" s="1517">
        <v>622.90406925000002</v>
      </c>
      <c r="BI15" s="1517">
        <v>703.39523986999995</v>
      </c>
      <c r="BJ15" s="1517">
        <v>779.43911607999996</v>
      </c>
      <c r="BK15" s="1517">
        <v>47.17023262</v>
      </c>
      <c r="BL15" s="1517">
        <v>171.58228668000001</v>
      </c>
      <c r="BM15" s="1517">
        <v>259.94857430000002</v>
      </c>
      <c r="BN15" s="1517">
        <v>308.48939134</v>
      </c>
      <c r="BO15" s="1517">
        <v>395.69815850999998</v>
      </c>
      <c r="BP15" s="1521" t="s">
        <v>3616</v>
      </c>
      <c r="BQ15" s="1140"/>
      <c r="BR15" s="1139"/>
      <c r="BS15" s="1140"/>
      <c r="BU15" s="1140"/>
    </row>
    <row r="16" spans="1:73" s="1141" customFormat="1" ht="37.5" customHeight="1">
      <c r="A16" s="1516" t="s">
        <v>3002</v>
      </c>
      <c r="B16" s="1517">
        <v>100.50703</v>
      </c>
      <c r="C16" s="1517">
        <v>8.1771599899999998</v>
      </c>
      <c r="D16" s="1517">
        <v>16.49925605</v>
      </c>
      <c r="E16" s="1517">
        <v>25.3591804</v>
      </c>
      <c r="F16" s="1517">
        <v>34.263219140000004</v>
      </c>
      <c r="G16" s="1517">
        <v>40.053230639999995</v>
      </c>
      <c r="H16" s="1517">
        <v>48.629548030000009</v>
      </c>
      <c r="I16" s="1517">
        <v>56.659804829999992</v>
      </c>
      <c r="J16" s="1517">
        <v>64.762398860000005</v>
      </c>
      <c r="K16" s="1517">
        <v>73.518683440000004</v>
      </c>
      <c r="L16" s="1517">
        <v>81.162522670000001</v>
      </c>
      <c r="M16" s="1517">
        <v>88.874423700000008</v>
      </c>
      <c r="N16" s="1517">
        <v>96.76730053</v>
      </c>
      <c r="O16" s="1517">
        <v>7.3612604800000003</v>
      </c>
      <c r="P16" s="1517">
        <v>14.928021879999999</v>
      </c>
      <c r="Q16" s="1517">
        <v>22.412648499999996</v>
      </c>
      <c r="R16" s="1517">
        <v>29.711434059999998</v>
      </c>
      <c r="S16" s="1517">
        <v>37.205600490000002</v>
      </c>
      <c r="T16" s="1517">
        <v>43.096359100000001</v>
      </c>
      <c r="U16" s="1517">
        <v>51.055666349999996</v>
      </c>
      <c r="V16" s="1517">
        <v>62.337085939999994</v>
      </c>
      <c r="W16" s="1517">
        <v>70.624915720000004</v>
      </c>
      <c r="X16" s="1517">
        <v>80.056743279999992</v>
      </c>
      <c r="Y16" s="1518">
        <v>87.95810990999999</v>
      </c>
      <c r="Z16" s="1518">
        <v>96.900946187854814</v>
      </c>
      <c r="AA16" s="1517">
        <v>7.7462051599999997</v>
      </c>
      <c r="AB16" s="1517">
        <v>19.115000430000002</v>
      </c>
      <c r="AC16" s="1517">
        <v>27.803757099999981</v>
      </c>
      <c r="AD16" s="1517">
        <v>34.895005579999996</v>
      </c>
      <c r="AE16" s="1517">
        <v>44.770328589999998</v>
      </c>
      <c r="AF16" s="1517">
        <v>54.941426290000003</v>
      </c>
      <c r="AG16" s="1517">
        <v>65.32609909</v>
      </c>
      <c r="AH16" s="1517">
        <v>76.160271469999998</v>
      </c>
      <c r="AI16" s="1517">
        <v>88.205393169999994</v>
      </c>
      <c r="AJ16" s="1517">
        <v>99.284737100000015</v>
      </c>
      <c r="AK16" s="1517">
        <v>110.53454195999998</v>
      </c>
      <c r="AL16" s="1517">
        <v>122.24876301</v>
      </c>
      <c r="AM16" s="1517">
        <v>12.269709649999999</v>
      </c>
      <c r="AN16" s="1517">
        <v>24.106857089999998</v>
      </c>
      <c r="AO16" s="1517">
        <v>36.718360850000003</v>
      </c>
      <c r="AP16" s="1517">
        <v>49.850404320000003</v>
      </c>
      <c r="AQ16" s="1517">
        <v>62.827472069999999</v>
      </c>
      <c r="AR16" s="1517">
        <v>75.143789479999995</v>
      </c>
      <c r="AS16" s="1517">
        <v>87.632992790000003</v>
      </c>
      <c r="AT16" s="1517">
        <v>100.99677293000001</v>
      </c>
      <c r="AU16" s="1517">
        <v>114.10363549</v>
      </c>
      <c r="AV16" s="1517">
        <v>124.39091703</v>
      </c>
      <c r="AW16" s="1517">
        <v>136.74628003000001</v>
      </c>
      <c r="AX16" s="1517">
        <v>146.54393855000001</v>
      </c>
      <c r="AY16" s="1517">
        <v>17.049983080000001</v>
      </c>
      <c r="AZ16" s="1517">
        <v>32.251625629999999</v>
      </c>
      <c r="BA16" s="1517">
        <v>47.153013970000003</v>
      </c>
      <c r="BB16" s="1517">
        <v>62.160082279999997</v>
      </c>
      <c r="BC16" s="1517">
        <v>79.310652570000002</v>
      </c>
      <c r="BD16" s="1517">
        <v>97.520652119999994</v>
      </c>
      <c r="BE16" s="1517">
        <v>107.11642797</v>
      </c>
      <c r="BF16" s="1517">
        <v>125.52384253</v>
      </c>
      <c r="BG16" s="1517">
        <v>135.16100906</v>
      </c>
      <c r="BH16" s="1517">
        <v>155.29924399000001</v>
      </c>
      <c r="BI16" s="1517">
        <v>176.05728647000001</v>
      </c>
      <c r="BJ16" s="1517">
        <v>196.45353057</v>
      </c>
      <c r="BK16" s="1517">
        <v>19.96386416</v>
      </c>
      <c r="BL16" s="1517">
        <v>39.683880899999998</v>
      </c>
      <c r="BM16" s="1517">
        <v>59.817046040000001</v>
      </c>
      <c r="BN16" s="1517">
        <v>84.582868099999999</v>
      </c>
      <c r="BO16" s="1517">
        <v>113.57789963</v>
      </c>
      <c r="BP16" s="1519" t="s">
        <v>3617</v>
      </c>
      <c r="BQ16" s="1140"/>
      <c r="BR16" s="1139"/>
      <c r="BS16" s="1140"/>
      <c r="BU16" s="1140"/>
    </row>
    <row r="17" spans="1:73" s="1141" customFormat="1" ht="37.5" customHeight="1">
      <c r="A17" s="1516" t="s">
        <v>3268</v>
      </c>
      <c r="B17" s="1517">
        <v>75.018427920000008</v>
      </c>
      <c r="C17" s="1517">
        <v>6.7861882299999996</v>
      </c>
      <c r="D17" s="1517">
        <v>11.084560679999999</v>
      </c>
      <c r="E17" s="1522">
        <v>17.980371139999999</v>
      </c>
      <c r="F17" s="1522">
        <v>24.56548592</v>
      </c>
      <c r="G17" s="1523">
        <v>31.086912570000003</v>
      </c>
      <c r="H17" s="1523">
        <v>38.138217759999996</v>
      </c>
      <c r="I17" s="1523">
        <v>45.894776639999996</v>
      </c>
      <c r="J17" s="1523">
        <v>53.080583999999995</v>
      </c>
      <c r="K17" s="1523">
        <v>57.890693510000006</v>
      </c>
      <c r="L17" s="1523">
        <v>68.717383869999992</v>
      </c>
      <c r="M17" s="1517">
        <v>76.643827619999996</v>
      </c>
      <c r="N17" s="1517">
        <v>82.911366399999991</v>
      </c>
      <c r="O17" s="1517">
        <v>8.465788400000001</v>
      </c>
      <c r="P17" s="1524">
        <v>16.290117460000001</v>
      </c>
      <c r="Q17" s="1524">
        <v>24.03638763</v>
      </c>
      <c r="R17" s="1524">
        <v>32.632617789999998</v>
      </c>
      <c r="S17" s="1524">
        <v>40.341475160000002</v>
      </c>
      <c r="T17" s="1524">
        <v>46.564178439999992</v>
      </c>
      <c r="U17" s="1524">
        <v>54.39699427</v>
      </c>
      <c r="V17" s="1524">
        <v>58.437505360000003</v>
      </c>
      <c r="W17" s="1524">
        <v>62.728809599999998</v>
      </c>
      <c r="X17" s="1524">
        <v>71.525966690000004</v>
      </c>
      <c r="Y17" s="1525">
        <v>73.769177040000002</v>
      </c>
      <c r="Z17" s="1525">
        <v>79.258671202145322</v>
      </c>
      <c r="AA17" s="1523">
        <v>5.5062804300000003</v>
      </c>
      <c r="AB17" s="1523">
        <v>10.708514510000001</v>
      </c>
      <c r="AC17" s="1523">
        <v>15.556029000000001</v>
      </c>
      <c r="AD17" s="1523">
        <v>23.7231059575</v>
      </c>
      <c r="AE17" s="1523">
        <v>30.562627389999999</v>
      </c>
      <c r="AF17" s="1523">
        <v>36.750050710000004</v>
      </c>
      <c r="AG17" s="1523">
        <v>42.306534769999999</v>
      </c>
      <c r="AH17" s="1523">
        <v>49.020325270000001</v>
      </c>
      <c r="AI17" s="1523">
        <v>54.860177229999991</v>
      </c>
      <c r="AJ17" s="1523">
        <v>61.814657760000003</v>
      </c>
      <c r="AK17" s="1523">
        <v>69.709556169999999</v>
      </c>
      <c r="AL17" s="1523">
        <v>76.565380660000002</v>
      </c>
      <c r="AM17" s="1523">
        <v>6.87030999</v>
      </c>
      <c r="AN17" s="1523">
        <v>13.65220849</v>
      </c>
      <c r="AO17" s="1523">
        <v>20.777181389999999</v>
      </c>
      <c r="AP17" s="1523">
        <v>28.032849150000001</v>
      </c>
      <c r="AQ17" s="1523">
        <v>34.558662087000002</v>
      </c>
      <c r="AR17" s="1523">
        <v>41.894621209999997</v>
      </c>
      <c r="AS17" s="1523">
        <v>49.257761739999999</v>
      </c>
      <c r="AT17" s="1523">
        <v>57.567237130000002</v>
      </c>
      <c r="AU17" s="1523">
        <v>64.742718600000003</v>
      </c>
      <c r="AV17" s="1523">
        <v>73.550750800000003</v>
      </c>
      <c r="AW17" s="1523">
        <v>82.460300200000006</v>
      </c>
      <c r="AX17" s="1523">
        <v>96.850345469999993</v>
      </c>
      <c r="AY17" s="1523">
        <v>7.28328181666667</v>
      </c>
      <c r="AZ17" s="1523">
        <v>14.765173069999999</v>
      </c>
      <c r="BA17" s="1523">
        <v>21.168736460000002</v>
      </c>
      <c r="BB17" s="1523">
        <v>29.317887209999899</v>
      </c>
      <c r="BC17" s="1523">
        <v>38.716467230333301</v>
      </c>
      <c r="BD17" s="1523">
        <v>47.350500046666703</v>
      </c>
      <c r="BE17" s="1523">
        <v>65.889165243333295</v>
      </c>
      <c r="BF17" s="1523">
        <v>78.044863570000004</v>
      </c>
      <c r="BG17" s="1523">
        <v>76.711209780000004</v>
      </c>
      <c r="BH17" s="1523">
        <v>88.332766579999998</v>
      </c>
      <c r="BI17" s="1523">
        <v>101.71575598</v>
      </c>
      <c r="BJ17" s="1523">
        <v>112.85036284</v>
      </c>
      <c r="BK17" s="1523">
        <v>13.43027901</v>
      </c>
      <c r="BL17" s="1523">
        <v>25.468454609999998</v>
      </c>
      <c r="BM17" s="1523">
        <v>40.271528750000002</v>
      </c>
      <c r="BN17" s="1523">
        <v>64.45884375</v>
      </c>
      <c r="BO17" s="1523">
        <v>82.835539749999995</v>
      </c>
      <c r="BP17" s="1519" t="s">
        <v>3618</v>
      </c>
      <c r="BQ17" s="1140"/>
      <c r="BR17" s="1139"/>
      <c r="BS17" s="1140"/>
      <c r="BU17" s="1140"/>
    </row>
    <row r="18" spans="1:73" s="1141" customFormat="1" ht="37.5" customHeight="1">
      <c r="A18" s="1520" t="s">
        <v>3003</v>
      </c>
      <c r="B18" s="1517">
        <v>1330.2763576211801</v>
      </c>
      <c r="C18" s="1517">
        <v>115.136999704983</v>
      </c>
      <c r="D18" s="1517">
        <v>230.136625057744</v>
      </c>
      <c r="E18" s="1517">
        <v>348.27798394664501</v>
      </c>
      <c r="F18" s="1517">
        <v>459.934087081938</v>
      </c>
      <c r="G18" s="1517">
        <v>573.46951601977696</v>
      </c>
      <c r="H18" s="1517">
        <v>680.48902923047797</v>
      </c>
      <c r="I18" s="1517">
        <v>791.21034751926902</v>
      </c>
      <c r="J18" s="1517">
        <v>901.47466821588</v>
      </c>
      <c r="K18" s="1517">
        <v>1018.49091487658</v>
      </c>
      <c r="L18" s="1517">
        <v>1124.0501002814699</v>
      </c>
      <c r="M18" s="1517">
        <v>1244.6304064830799</v>
      </c>
      <c r="N18" s="1517">
        <v>1368.0805837145699</v>
      </c>
      <c r="O18" s="1517">
        <v>109.6112604139</v>
      </c>
      <c r="P18" s="1517">
        <v>226.31984787414501</v>
      </c>
      <c r="Q18" s="1517">
        <v>351.72167727958202</v>
      </c>
      <c r="R18" s="1517">
        <v>476.18435812938998</v>
      </c>
      <c r="S18" s="1517">
        <v>601.61883449762297</v>
      </c>
      <c r="T18" s="1517">
        <v>730.85364570426395</v>
      </c>
      <c r="U18" s="1517">
        <v>858.19354176213096</v>
      </c>
      <c r="V18" s="1517">
        <v>985.46056310011704</v>
      </c>
      <c r="W18" s="1517">
        <v>1119.46647705296</v>
      </c>
      <c r="X18" s="1517">
        <v>1250.3085244900601</v>
      </c>
      <c r="Y18" s="1518">
        <v>1394.5418477682599</v>
      </c>
      <c r="Z18" s="1518">
        <v>1537.5122341274</v>
      </c>
      <c r="AA18" s="1517">
        <v>138.36405557208499</v>
      </c>
      <c r="AB18" s="1517">
        <v>290.18589741906902</v>
      </c>
      <c r="AC18" s="1517">
        <v>447.26902575760602</v>
      </c>
      <c r="AD18" s="1517">
        <v>608.52764414374496</v>
      </c>
      <c r="AE18" s="1517">
        <v>769.62355521290203</v>
      </c>
      <c r="AF18" s="1517">
        <v>938.22329339179998</v>
      </c>
      <c r="AG18" s="1517">
        <v>1104.45171024251</v>
      </c>
      <c r="AH18" s="1517">
        <v>1270.9459524866299</v>
      </c>
      <c r="AI18" s="1517">
        <v>1452.11056851745</v>
      </c>
      <c r="AJ18" s="1517">
        <v>1641.22042636939</v>
      </c>
      <c r="AK18" s="1517">
        <v>1833.94689312593</v>
      </c>
      <c r="AL18" s="1517">
        <v>2040.5786542455701</v>
      </c>
      <c r="AM18" s="1517">
        <v>200.57665145858601</v>
      </c>
      <c r="AN18" s="1517">
        <v>403.10503406804497</v>
      </c>
      <c r="AO18" s="1517">
        <v>609.59059370896705</v>
      </c>
      <c r="AP18" s="1517">
        <v>806.15166731189299</v>
      </c>
      <c r="AQ18" s="1517">
        <v>1024.21099025029</v>
      </c>
      <c r="AR18" s="1517">
        <v>1234.4383008863399</v>
      </c>
      <c r="AS18" s="1517">
        <v>1464.3460559161099</v>
      </c>
      <c r="AT18" s="1517">
        <v>1687.51884961981</v>
      </c>
      <c r="AU18" s="1517">
        <v>1913.68239390136</v>
      </c>
      <c r="AV18" s="1517">
        <v>2141.7381820857599</v>
      </c>
      <c r="AW18" s="1517">
        <v>2378.0977373167202</v>
      </c>
      <c r="AX18" s="1517">
        <v>2608.7172311004401</v>
      </c>
      <c r="AY18" s="1517">
        <v>227.18030685637501</v>
      </c>
      <c r="AZ18" s="1517">
        <v>456.52632277055102</v>
      </c>
      <c r="BA18" s="1517">
        <v>685.02888758926395</v>
      </c>
      <c r="BB18" s="1517">
        <v>920.65488832617098</v>
      </c>
      <c r="BC18" s="1517">
        <v>1150.1414234879601</v>
      </c>
      <c r="BD18" s="1517">
        <v>1379.3865042013499</v>
      </c>
      <c r="BE18" s="1517">
        <v>1616.94115834544</v>
      </c>
      <c r="BF18" s="1517">
        <v>1838.4230283982399</v>
      </c>
      <c r="BG18" s="1517">
        <v>1998.66853076712</v>
      </c>
      <c r="BH18" s="1517">
        <v>2246.9627439429401</v>
      </c>
      <c r="BI18" s="1517">
        <v>2479.3542237278002</v>
      </c>
      <c r="BJ18" s="1517">
        <v>2720.05234549952</v>
      </c>
      <c r="BK18" s="1517">
        <v>217.23709726719699</v>
      </c>
      <c r="BL18" s="1517">
        <v>481.03703788137398</v>
      </c>
      <c r="BM18" s="1517">
        <v>716.50563309527399</v>
      </c>
      <c r="BN18" s="1517">
        <v>970.38961708855004</v>
      </c>
      <c r="BO18" s="1517">
        <v>1231.1955840062301</v>
      </c>
      <c r="BP18" s="1521" t="s">
        <v>3619</v>
      </c>
      <c r="BQ18" s="1140"/>
      <c r="BR18" s="1139"/>
      <c r="BS18" s="1140"/>
      <c r="BU18" s="1140"/>
    </row>
    <row r="19" spans="1:73" s="1141" customFormat="1" ht="37.5" customHeight="1">
      <c r="A19" s="1520" t="s">
        <v>2277</v>
      </c>
      <c r="B19" s="1517">
        <v>723.72507134</v>
      </c>
      <c r="C19" s="1517">
        <v>50.10405317</v>
      </c>
      <c r="D19" s="1517">
        <v>109.88105006000001</v>
      </c>
      <c r="E19" s="1517">
        <v>173.97197801999999</v>
      </c>
      <c r="F19" s="1517">
        <v>222.00232753</v>
      </c>
      <c r="G19" s="1517">
        <v>263.08640856</v>
      </c>
      <c r="H19" s="1517">
        <v>319.45122091000002</v>
      </c>
      <c r="I19" s="1517">
        <v>373.30741052000002</v>
      </c>
      <c r="J19" s="1517">
        <v>425.78752899</v>
      </c>
      <c r="K19" s="1517">
        <v>484.31416364</v>
      </c>
      <c r="L19" s="1517">
        <v>538.63744197000005</v>
      </c>
      <c r="M19" s="1517">
        <v>590.80885416000001</v>
      </c>
      <c r="N19" s="1517">
        <v>672.09659682999995</v>
      </c>
      <c r="O19" s="1517">
        <v>49.649908021999998</v>
      </c>
      <c r="P19" s="1517">
        <v>104.888694007</v>
      </c>
      <c r="Q19" s="1517">
        <v>170.78305272099999</v>
      </c>
      <c r="R19" s="1517">
        <v>236.32745337</v>
      </c>
      <c r="S19" s="1517">
        <v>334.17356974</v>
      </c>
      <c r="T19" s="1517">
        <v>418.90089870000003</v>
      </c>
      <c r="U19" s="1517">
        <v>487.94976728</v>
      </c>
      <c r="V19" s="1517">
        <v>575.12139235999996</v>
      </c>
      <c r="W19" s="1517">
        <v>625.12020948999998</v>
      </c>
      <c r="X19" s="1517">
        <v>701.99568292000004</v>
      </c>
      <c r="Y19" s="1518">
        <v>776.06907005999994</v>
      </c>
      <c r="Z19" s="1518">
        <v>875.97401637999997</v>
      </c>
      <c r="AA19" s="1517">
        <v>74.478056850000002</v>
      </c>
      <c r="AB19" s="1517">
        <v>143.99798763000001</v>
      </c>
      <c r="AC19" s="1517">
        <v>225.87735233999999</v>
      </c>
      <c r="AD19" s="1517">
        <v>327.38652169</v>
      </c>
      <c r="AE19" s="1517">
        <v>426.00718202000002</v>
      </c>
      <c r="AF19" s="1517">
        <v>533.87349017999998</v>
      </c>
      <c r="AG19" s="1517">
        <v>646.67816355000002</v>
      </c>
      <c r="AH19" s="1517">
        <v>762.32143624000003</v>
      </c>
      <c r="AI19" s="1517">
        <v>869.92494148369701</v>
      </c>
      <c r="AJ19" s="1517">
        <v>971.18270125000004</v>
      </c>
      <c r="AK19" s="1517">
        <v>1077.7916701900001</v>
      </c>
      <c r="AL19" s="1517">
        <v>1215.9753310640101</v>
      </c>
      <c r="AM19" s="1517">
        <v>84.614915719999999</v>
      </c>
      <c r="AN19" s="1517">
        <v>177.94012014</v>
      </c>
      <c r="AO19" s="1517">
        <v>275.51184685999999</v>
      </c>
      <c r="AP19" s="1517">
        <v>374.93552029976303</v>
      </c>
      <c r="AQ19" s="1517">
        <v>480.36249457000002</v>
      </c>
      <c r="AR19" s="1517">
        <v>598.49614171999997</v>
      </c>
      <c r="AS19" s="1517">
        <v>738.05869712000003</v>
      </c>
      <c r="AT19" s="1517">
        <v>860.94677231000003</v>
      </c>
      <c r="AU19" s="1517">
        <v>988.53276723120996</v>
      </c>
      <c r="AV19" s="1517">
        <v>1086.8048615800001</v>
      </c>
      <c r="AW19" s="1517">
        <v>1215.6781739400001</v>
      </c>
      <c r="AX19" s="1517">
        <v>1368.2014305</v>
      </c>
      <c r="AY19" s="1517">
        <v>141.71190128000001</v>
      </c>
      <c r="AZ19" s="1517">
        <v>269.55600559999999</v>
      </c>
      <c r="BA19" s="1517">
        <v>391.88048381999999</v>
      </c>
      <c r="BB19" s="1517">
        <v>521.64006601999995</v>
      </c>
      <c r="BC19" s="1517">
        <v>674.71817357999998</v>
      </c>
      <c r="BD19" s="1517">
        <v>799.84754427943301</v>
      </c>
      <c r="BE19" s="1517">
        <v>939.02291739054294</v>
      </c>
      <c r="BF19" s="1517">
        <v>1093.5971002834001</v>
      </c>
      <c r="BG19" s="1517">
        <v>1222.13856508</v>
      </c>
      <c r="BH19" s="1517">
        <v>1365.2869222899999</v>
      </c>
      <c r="BI19" s="1517">
        <v>1503.8895695199999</v>
      </c>
      <c r="BJ19" s="1517">
        <v>1715.7480432100001</v>
      </c>
      <c r="BK19" s="1517">
        <v>166.56050823000001</v>
      </c>
      <c r="BL19" s="1517">
        <v>305.11142193000001</v>
      </c>
      <c r="BM19" s="1517">
        <v>420.79739956999998</v>
      </c>
      <c r="BN19" s="1517">
        <v>592.27817450999999</v>
      </c>
      <c r="BO19" s="1517">
        <v>745.40017704000002</v>
      </c>
      <c r="BP19" s="1521" t="s">
        <v>3620</v>
      </c>
      <c r="BQ19" s="1140"/>
      <c r="BR19" s="1139"/>
      <c r="BS19" s="1140"/>
      <c r="BU19" s="1140"/>
    </row>
    <row r="20" spans="1:73" s="1141" customFormat="1" ht="39" customHeight="1">
      <c r="A20" s="1516" t="s">
        <v>3004</v>
      </c>
      <c r="B20" s="1517">
        <v>186.68414805</v>
      </c>
      <c r="C20" s="1517">
        <v>13.394629009999999</v>
      </c>
      <c r="D20" s="1517">
        <v>29.199419970000001</v>
      </c>
      <c r="E20" s="1517">
        <v>45.36901142</v>
      </c>
      <c r="F20" s="1517">
        <v>55.969749880000002</v>
      </c>
      <c r="G20" s="1517">
        <v>67.057290219999999</v>
      </c>
      <c r="H20" s="1517">
        <v>81.098202229999998</v>
      </c>
      <c r="I20" s="1517">
        <v>94.437360179999999</v>
      </c>
      <c r="J20" s="1517">
        <v>109.21975577000001</v>
      </c>
      <c r="K20" s="1517">
        <v>124.09366328999999</v>
      </c>
      <c r="L20" s="1517">
        <v>139.21853557</v>
      </c>
      <c r="M20" s="1517">
        <v>153.19281568</v>
      </c>
      <c r="N20" s="1517">
        <v>171.14248430000001</v>
      </c>
      <c r="O20" s="1517">
        <v>12.84472285</v>
      </c>
      <c r="P20" s="1517">
        <v>26.720168770000001</v>
      </c>
      <c r="Q20" s="1517">
        <v>43.178762210000002</v>
      </c>
      <c r="R20" s="1517">
        <v>60.956473879999997</v>
      </c>
      <c r="S20" s="1517">
        <v>77.94523753</v>
      </c>
      <c r="T20" s="1517">
        <v>96.286128090000005</v>
      </c>
      <c r="U20" s="1517">
        <v>116.09409288000001</v>
      </c>
      <c r="V20" s="1517">
        <v>137.69048563999999</v>
      </c>
      <c r="W20" s="1517">
        <v>156.79305823000001</v>
      </c>
      <c r="X20" s="1517">
        <v>177.79038704000001</v>
      </c>
      <c r="Y20" s="1518">
        <v>198.84579409</v>
      </c>
      <c r="Z20" s="1518">
        <v>226.36177473999999</v>
      </c>
      <c r="AA20" s="1517">
        <v>19.168760219999999</v>
      </c>
      <c r="AB20" s="1517">
        <v>39.299219770000001</v>
      </c>
      <c r="AC20" s="1517">
        <v>60.479556479999999</v>
      </c>
      <c r="AD20" s="1517">
        <v>88.582194009999995</v>
      </c>
      <c r="AE20" s="1517">
        <v>113.7535245</v>
      </c>
      <c r="AF20" s="1517">
        <v>141.14848989000001</v>
      </c>
      <c r="AG20" s="1517">
        <v>169.38462415000001</v>
      </c>
      <c r="AH20" s="1517">
        <v>199.54030897000001</v>
      </c>
      <c r="AI20" s="1517">
        <v>228.52173404000001</v>
      </c>
      <c r="AJ20" s="1517">
        <v>254.20364762</v>
      </c>
      <c r="AK20" s="1517">
        <v>284.59550589000003</v>
      </c>
      <c r="AL20" s="1517">
        <v>321.27369529999999</v>
      </c>
      <c r="AM20" s="1517">
        <v>25.641852400000001</v>
      </c>
      <c r="AN20" s="1517">
        <v>52.439446349999997</v>
      </c>
      <c r="AO20" s="1517">
        <v>81.653791510000005</v>
      </c>
      <c r="AP20" s="1517">
        <v>109.59905307</v>
      </c>
      <c r="AQ20" s="1517">
        <v>139.49856833999999</v>
      </c>
      <c r="AR20" s="1517">
        <v>167.82577462</v>
      </c>
      <c r="AS20" s="1517">
        <v>201.80971101</v>
      </c>
      <c r="AT20" s="1517">
        <v>235.63819358000001</v>
      </c>
      <c r="AU20" s="1517">
        <v>266.69982691000001</v>
      </c>
      <c r="AV20" s="1517">
        <v>285.95622150000003</v>
      </c>
      <c r="AW20" s="1517">
        <v>318.06758323000003</v>
      </c>
      <c r="AX20" s="1517">
        <v>355.77988392999998</v>
      </c>
      <c r="AY20" s="1517">
        <v>30.51965418</v>
      </c>
      <c r="AZ20" s="1517">
        <v>66.669648789999997</v>
      </c>
      <c r="BA20" s="1517">
        <v>98.035466349999993</v>
      </c>
      <c r="BB20" s="1517">
        <v>132.12592463999999</v>
      </c>
      <c r="BC20" s="1517">
        <v>166.18544218</v>
      </c>
      <c r="BD20" s="1517">
        <v>196.67803544</v>
      </c>
      <c r="BE20" s="1517">
        <v>233.31045083000001</v>
      </c>
      <c r="BF20" s="1517">
        <v>273.25785411999999</v>
      </c>
      <c r="BG20" s="1517">
        <v>295.62971878000002</v>
      </c>
      <c r="BH20" s="1517">
        <v>331.93714082999998</v>
      </c>
      <c r="BI20" s="1517">
        <v>364.46753981000001</v>
      </c>
      <c r="BJ20" s="1517">
        <v>404.54622710000001</v>
      </c>
      <c r="BK20" s="1517">
        <v>32.266484900000002</v>
      </c>
      <c r="BL20" s="1517">
        <v>62.979825140000003</v>
      </c>
      <c r="BM20" s="1517">
        <v>91.438397159999994</v>
      </c>
      <c r="BN20" s="1517">
        <v>139.19595670000001</v>
      </c>
      <c r="BO20" s="1517">
        <v>168.27736278</v>
      </c>
      <c r="BP20" s="1519" t="s">
        <v>3621</v>
      </c>
      <c r="BQ20" s="1140"/>
      <c r="BR20" s="1139"/>
      <c r="BS20" s="1140"/>
      <c r="BU20" s="1140"/>
    </row>
    <row r="21" spans="1:73" s="1141" customFormat="1" ht="60.6" customHeight="1">
      <c r="A21" s="1516" t="s">
        <v>3005</v>
      </c>
      <c r="B21" s="1517">
        <v>168.50584155000001</v>
      </c>
      <c r="C21" s="1517">
        <v>11.842949969999999</v>
      </c>
      <c r="D21" s="1517">
        <v>26.075209820000001</v>
      </c>
      <c r="E21" s="1517">
        <v>43.796617650000002</v>
      </c>
      <c r="F21" s="1517">
        <v>59.64914761</v>
      </c>
      <c r="G21" s="1517">
        <v>68.468686109999993</v>
      </c>
      <c r="H21" s="1517">
        <v>80.581506950000005</v>
      </c>
      <c r="I21" s="1517">
        <v>95.937457760000001</v>
      </c>
      <c r="J21" s="1517">
        <v>106.63835553</v>
      </c>
      <c r="K21" s="1517">
        <v>116.33579262000001</v>
      </c>
      <c r="L21" s="1517">
        <v>128.50035224000001</v>
      </c>
      <c r="M21" s="1517">
        <v>137.65809715</v>
      </c>
      <c r="N21" s="1517">
        <v>156.76925575999999</v>
      </c>
      <c r="O21" s="1517">
        <v>10.18230724</v>
      </c>
      <c r="P21" s="1517">
        <v>19.980012240000001</v>
      </c>
      <c r="Q21" s="1517">
        <v>33.260520100000001</v>
      </c>
      <c r="R21" s="1517">
        <v>47.85459298</v>
      </c>
      <c r="S21" s="1517">
        <v>59.56152874</v>
      </c>
      <c r="T21" s="1517">
        <v>73.609874219999995</v>
      </c>
      <c r="U21" s="1517">
        <v>86.788413219999995</v>
      </c>
      <c r="V21" s="1517">
        <v>100.1220883</v>
      </c>
      <c r="W21" s="1517">
        <v>110.86573491999999</v>
      </c>
      <c r="X21" s="1517">
        <v>125.50100479</v>
      </c>
      <c r="Y21" s="1518">
        <v>137.78194912999999</v>
      </c>
      <c r="Z21" s="1518">
        <v>157.8306121</v>
      </c>
      <c r="AA21" s="1517">
        <v>12.33654284</v>
      </c>
      <c r="AB21" s="1517">
        <v>25.408078809999999</v>
      </c>
      <c r="AC21" s="1517">
        <v>56.851026580000003</v>
      </c>
      <c r="AD21" s="1517">
        <v>84.312422920000003</v>
      </c>
      <c r="AE21" s="1517">
        <v>111.31033970999999</v>
      </c>
      <c r="AF21" s="1517">
        <v>138.69608628</v>
      </c>
      <c r="AG21" s="1517">
        <v>160.70929251000001</v>
      </c>
      <c r="AH21" s="1517">
        <v>181.92576338000001</v>
      </c>
      <c r="AI21" s="1517">
        <v>202.18185968369701</v>
      </c>
      <c r="AJ21" s="1517">
        <v>233.13907388999999</v>
      </c>
      <c r="AK21" s="1517">
        <v>255.66029254</v>
      </c>
      <c r="AL21" s="1517">
        <v>286.33099561400701</v>
      </c>
      <c r="AM21" s="1517">
        <v>17.683631850000001</v>
      </c>
      <c r="AN21" s="1517">
        <v>32.424450950000001</v>
      </c>
      <c r="AO21" s="1517">
        <v>54.975092570000001</v>
      </c>
      <c r="AP21" s="1517">
        <v>72.146414829763401</v>
      </c>
      <c r="AQ21" s="1517">
        <v>90.281781859999995</v>
      </c>
      <c r="AR21" s="1517">
        <v>108.77284811</v>
      </c>
      <c r="AS21" s="1517">
        <v>130.26371947000001</v>
      </c>
      <c r="AT21" s="1517">
        <v>154.27928643999999</v>
      </c>
      <c r="AU21" s="1517">
        <v>173.90764640121</v>
      </c>
      <c r="AV21" s="1517">
        <v>191.57406854000001</v>
      </c>
      <c r="AW21" s="1517">
        <v>215.98782842</v>
      </c>
      <c r="AX21" s="1517">
        <v>247.87508219</v>
      </c>
      <c r="AY21" s="1517">
        <v>21.401234800000001</v>
      </c>
      <c r="AZ21" s="1517">
        <v>41.00595388</v>
      </c>
      <c r="BA21" s="1517">
        <v>61.495145049999998</v>
      </c>
      <c r="BB21" s="1517">
        <v>81.534350660000001</v>
      </c>
      <c r="BC21" s="1517">
        <v>103.27100518</v>
      </c>
      <c r="BD21" s="1517">
        <v>122.830253399433</v>
      </c>
      <c r="BE21" s="1517">
        <v>148.03543179054299</v>
      </c>
      <c r="BF21" s="1517">
        <v>174.08907086339801</v>
      </c>
      <c r="BG21" s="1517">
        <v>193.14183312</v>
      </c>
      <c r="BH21" s="1517">
        <v>219.08753580999999</v>
      </c>
      <c r="BI21" s="1517">
        <v>239.08816984000001</v>
      </c>
      <c r="BJ21" s="1517">
        <v>272.65720521999998</v>
      </c>
      <c r="BK21" s="1517">
        <v>27.662878580000001</v>
      </c>
      <c r="BL21" s="1517">
        <v>52.7679591099999</v>
      </c>
      <c r="BM21" s="1517">
        <v>72.272391080000006</v>
      </c>
      <c r="BN21" s="1517">
        <v>98.586297849999994</v>
      </c>
      <c r="BO21" s="1517">
        <v>117.55136649000001</v>
      </c>
      <c r="BP21" s="1519" t="s">
        <v>3622</v>
      </c>
      <c r="BQ21" s="1140"/>
      <c r="BR21" s="1139"/>
      <c r="BS21" s="1140"/>
      <c r="BU21" s="1140"/>
    </row>
    <row r="22" spans="1:73" ht="37.5" customHeight="1">
      <c r="A22" s="1516" t="s">
        <v>3006</v>
      </c>
      <c r="B22" s="1517">
        <v>-0.54753797000000004</v>
      </c>
      <c r="C22" s="1517">
        <v>2.0100000000000001E-3</v>
      </c>
      <c r="D22" s="1517">
        <v>1.8521300000000001</v>
      </c>
      <c r="E22" s="1517">
        <v>4.0109250000000003</v>
      </c>
      <c r="F22" s="1517">
        <v>1.8438950000000001</v>
      </c>
      <c r="G22" s="1517">
        <v>1.67620955</v>
      </c>
      <c r="H22" s="1517">
        <v>1.43372955</v>
      </c>
      <c r="I22" s="1517">
        <v>1.4391395499999999</v>
      </c>
      <c r="J22" s="1517">
        <v>1.2869895499999999</v>
      </c>
      <c r="K22" s="1517">
        <v>2.9185083399999998</v>
      </c>
      <c r="L22" s="1517">
        <v>2.7590395499999998</v>
      </c>
      <c r="M22" s="1517">
        <v>2.4870295499999999</v>
      </c>
      <c r="N22" s="1517">
        <v>2.3576914000000002</v>
      </c>
      <c r="O22" s="1517">
        <v>-0.17444999999999999</v>
      </c>
      <c r="P22" s="1517">
        <v>-0.32443</v>
      </c>
      <c r="Q22" s="1517">
        <v>-0.42041000000000001</v>
      </c>
      <c r="R22" s="1517">
        <v>-0.58995675999999997</v>
      </c>
      <c r="S22" s="1517">
        <v>-0.94005444999999999</v>
      </c>
      <c r="T22" s="1517">
        <v>-1.3904926</v>
      </c>
      <c r="U22" s="1517">
        <v>-0.27386493000000001</v>
      </c>
      <c r="V22" s="1517">
        <v>-0.39068492999999999</v>
      </c>
      <c r="W22" s="1517">
        <v>-0.82508493000000005</v>
      </c>
      <c r="X22" s="1517">
        <v>-0.93461492999999995</v>
      </c>
      <c r="Y22" s="1518">
        <v>-2.0675649300000001</v>
      </c>
      <c r="Z22" s="1518">
        <v>-2.48050579</v>
      </c>
      <c r="AA22" s="1517">
        <v>-1.35442701</v>
      </c>
      <c r="AB22" s="1517">
        <v>-5.1600870099999998</v>
      </c>
      <c r="AC22" s="1517">
        <v>-21.30193478</v>
      </c>
      <c r="AD22" s="1517">
        <v>-22.49786478</v>
      </c>
      <c r="AE22" s="1517">
        <v>-25.639624779999998</v>
      </c>
      <c r="AF22" s="1517">
        <v>-31.02257621</v>
      </c>
      <c r="AG22" s="1517">
        <v>-27.051972989999999</v>
      </c>
      <c r="AH22" s="1517">
        <v>-26.05298299</v>
      </c>
      <c r="AI22" s="1517">
        <v>-33.808582989999998</v>
      </c>
      <c r="AJ22" s="1517">
        <v>-35.336192990000001</v>
      </c>
      <c r="AK22" s="1517">
        <v>-30.896342990000001</v>
      </c>
      <c r="AL22" s="1517">
        <v>-18.225327069999999</v>
      </c>
      <c r="AM22" s="1517">
        <v>0.62390999999999996</v>
      </c>
      <c r="AN22" s="1517">
        <v>0.44738</v>
      </c>
      <c r="AO22" s="1517">
        <v>-2.31785</v>
      </c>
      <c r="AP22" s="1517">
        <v>-2.9508999999999999</v>
      </c>
      <c r="AQ22" s="1517">
        <v>-5.9270050799999998</v>
      </c>
      <c r="AR22" s="1517">
        <v>-6.5710610699999998</v>
      </c>
      <c r="AS22" s="1517">
        <v>-6.98760256</v>
      </c>
      <c r="AT22" s="1517">
        <v>-7.3640724000000004</v>
      </c>
      <c r="AU22" s="1517">
        <v>-7.5979955700000001</v>
      </c>
      <c r="AV22" s="1517">
        <v>-7.8069487400000002</v>
      </c>
      <c r="AW22" s="1517">
        <v>-8.5330419099999997</v>
      </c>
      <c r="AX22" s="1517">
        <v>-9.1156950800000001</v>
      </c>
      <c r="AY22" s="1517">
        <v>-0.47388317000000002</v>
      </c>
      <c r="AZ22" s="1517">
        <v>-8.7791630000000107E-2</v>
      </c>
      <c r="BA22" s="1517">
        <v>-0.37377163000000002</v>
      </c>
      <c r="BB22" s="1517">
        <v>-0.35057649000000002</v>
      </c>
      <c r="BC22" s="1517">
        <v>-0.32017115000000002</v>
      </c>
      <c r="BD22" s="1517">
        <v>0.60493026000000005</v>
      </c>
      <c r="BE22" s="1517">
        <v>0.78889500999999995</v>
      </c>
      <c r="BF22" s="1517">
        <v>1.2012250099999999</v>
      </c>
      <c r="BG22" s="1517">
        <v>1.6466402600000001</v>
      </c>
      <c r="BH22" s="1517">
        <v>1.7661902599999999</v>
      </c>
      <c r="BI22" s="1517">
        <v>2.55128026</v>
      </c>
      <c r="BJ22" s="1517">
        <v>3.1250836400000002</v>
      </c>
      <c r="BK22" s="1517">
        <v>0.40515000000000001</v>
      </c>
      <c r="BL22" s="1517">
        <v>0.75239999999999996</v>
      </c>
      <c r="BM22" s="1517">
        <v>1.09267</v>
      </c>
      <c r="BN22" s="1517">
        <v>2.0552999999999999</v>
      </c>
      <c r="BO22" s="1517">
        <v>2.3836300000000001</v>
      </c>
      <c r="BP22" s="1519" t="s">
        <v>3623</v>
      </c>
      <c r="BQ22" s="1140"/>
      <c r="BR22" s="1139"/>
      <c r="BS22" s="1140"/>
    </row>
    <row r="23" spans="1:73" ht="37.5" customHeight="1">
      <c r="A23" s="1516" t="s">
        <v>3007</v>
      </c>
      <c r="B23" s="1517">
        <v>369.08261971000002</v>
      </c>
      <c r="C23" s="1517">
        <v>24.86446419</v>
      </c>
      <c r="D23" s="1517">
        <v>52.754290269999998</v>
      </c>
      <c r="E23" s="1517">
        <v>80.79542395</v>
      </c>
      <c r="F23" s="1517">
        <v>104.53953504</v>
      </c>
      <c r="G23" s="1517">
        <v>125.88422268000001</v>
      </c>
      <c r="H23" s="1517">
        <v>156.33778218</v>
      </c>
      <c r="I23" s="1517">
        <v>181.49345303000004</v>
      </c>
      <c r="J23" s="1517">
        <v>208.64242813999999</v>
      </c>
      <c r="K23" s="1517">
        <v>240.96619939000001</v>
      </c>
      <c r="L23" s="1517">
        <v>268.15951461000009</v>
      </c>
      <c r="M23" s="1517">
        <v>297.47091178000005</v>
      </c>
      <c r="N23" s="1517">
        <v>341.82716536999999</v>
      </c>
      <c r="O23" s="1517">
        <v>26.797327931999995</v>
      </c>
      <c r="P23" s="1517">
        <v>58.512942996999996</v>
      </c>
      <c r="Q23" s="1517">
        <v>94.764180410999984</v>
      </c>
      <c r="R23" s="1517">
        <v>128.10634327</v>
      </c>
      <c r="S23" s="1517">
        <v>197.60685792000001</v>
      </c>
      <c r="T23" s="1517">
        <v>250.39538899000004</v>
      </c>
      <c r="U23" s="1517">
        <v>285.34112611</v>
      </c>
      <c r="V23" s="1517">
        <v>337.69950334999999</v>
      </c>
      <c r="W23" s="1517">
        <v>358.28650126999992</v>
      </c>
      <c r="X23" s="1517">
        <v>399.63890601999998</v>
      </c>
      <c r="Y23" s="1518">
        <v>441.50889176999993</v>
      </c>
      <c r="Z23" s="1518">
        <v>494.26213532999998</v>
      </c>
      <c r="AA23" s="1517">
        <v>44.327180800000008</v>
      </c>
      <c r="AB23" s="1517">
        <v>84.450776059999995</v>
      </c>
      <c r="AC23" s="1517">
        <v>129.84870405999999</v>
      </c>
      <c r="AD23" s="1517">
        <v>176.98976954</v>
      </c>
      <c r="AE23" s="1517">
        <v>226.58294259000004</v>
      </c>
      <c r="AF23" s="1517">
        <v>285.05149021999995</v>
      </c>
      <c r="AG23" s="1517">
        <v>343.63621988</v>
      </c>
      <c r="AH23" s="1517">
        <v>406.90834688000001</v>
      </c>
      <c r="AI23" s="1517">
        <v>473.02993075000006</v>
      </c>
      <c r="AJ23" s="1517">
        <v>519.17617273000008</v>
      </c>
      <c r="AK23" s="1517">
        <v>568.43221475000007</v>
      </c>
      <c r="AL23" s="1517">
        <v>626.5959672200031</v>
      </c>
      <c r="AM23" s="1517">
        <v>40.665521470000002</v>
      </c>
      <c r="AN23" s="1517">
        <v>92.628842840000004</v>
      </c>
      <c r="AO23" s="1517">
        <v>141.20081278000001</v>
      </c>
      <c r="AP23" s="1517">
        <v>196.1409524</v>
      </c>
      <c r="AQ23" s="1517">
        <v>256.50914945</v>
      </c>
      <c r="AR23" s="1517">
        <v>328.46858006000002</v>
      </c>
      <c r="AS23" s="1517">
        <v>412.97286919999999</v>
      </c>
      <c r="AT23" s="1517">
        <v>478.39336469</v>
      </c>
      <c r="AU23" s="1517">
        <v>555.52328949000002</v>
      </c>
      <c r="AV23" s="1517">
        <v>617.08152027999995</v>
      </c>
      <c r="AW23" s="1517">
        <v>690.15580420000003</v>
      </c>
      <c r="AX23" s="1517">
        <v>773.66215946</v>
      </c>
      <c r="AY23" s="1517">
        <v>90.264895469999999</v>
      </c>
      <c r="AZ23" s="1517">
        <v>161.96819456</v>
      </c>
      <c r="BA23" s="1517">
        <v>232.72364404999999</v>
      </c>
      <c r="BB23" s="1517">
        <v>308.33036721000002</v>
      </c>
      <c r="BC23" s="1517">
        <v>405.58189736999998</v>
      </c>
      <c r="BD23" s="1517">
        <v>479.73432517999998</v>
      </c>
      <c r="BE23" s="1517">
        <v>556.88813975999994</v>
      </c>
      <c r="BF23" s="1517">
        <v>645.04895028999999</v>
      </c>
      <c r="BG23" s="1517">
        <v>731.72037292000005</v>
      </c>
      <c r="BH23" s="1517">
        <v>812.49605539000004</v>
      </c>
      <c r="BI23" s="1517">
        <v>897.78257960999997</v>
      </c>
      <c r="BJ23" s="1517">
        <v>1035.4195272500001</v>
      </c>
      <c r="BK23" s="1517">
        <v>106.22599475</v>
      </c>
      <c r="BL23" s="1517">
        <v>188.61123767999999</v>
      </c>
      <c r="BM23" s="1517">
        <v>255.99394133000001</v>
      </c>
      <c r="BN23" s="1517">
        <v>352.44061995999999</v>
      </c>
      <c r="BO23" s="1517">
        <v>457.18781776999998</v>
      </c>
      <c r="BP23" s="1519" t="s">
        <v>3624</v>
      </c>
      <c r="BQ23" s="1140"/>
      <c r="BR23" s="1139"/>
      <c r="BS23" s="1140"/>
    </row>
    <row r="24" spans="1:73" ht="37.5" customHeight="1">
      <c r="A24" s="1520" t="s">
        <v>2276</v>
      </c>
      <c r="B24" s="1517">
        <v>1205.0047307</v>
      </c>
      <c r="C24" s="1517">
        <v>93.864179759999999</v>
      </c>
      <c r="D24" s="1517">
        <v>193.78675548000001</v>
      </c>
      <c r="E24" s="1517">
        <v>304.61036446000003</v>
      </c>
      <c r="F24" s="1517">
        <v>400.33708194000002</v>
      </c>
      <c r="G24" s="1517">
        <v>476.36899991299998</v>
      </c>
      <c r="H24" s="1517">
        <v>569.25034900000003</v>
      </c>
      <c r="I24" s="1517">
        <v>657.42629749000002</v>
      </c>
      <c r="J24" s="1517">
        <v>752.51954788</v>
      </c>
      <c r="K24" s="1517">
        <v>843.88076945</v>
      </c>
      <c r="L24" s="1517">
        <v>1001.19561645</v>
      </c>
      <c r="M24" s="1517">
        <v>1093.0970190099999</v>
      </c>
      <c r="N24" s="1517">
        <v>1236.5084193800001</v>
      </c>
      <c r="O24" s="1517">
        <v>91.50855507</v>
      </c>
      <c r="P24" s="1517">
        <v>195.03937794999999</v>
      </c>
      <c r="Q24" s="1517">
        <v>301.70303510999997</v>
      </c>
      <c r="R24" s="1517">
        <v>410.91653262</v>
      </c>
      <c r="S24" s="1517">
        <v>524.60471001999997</v>
      </c>
      <c r="T24" s="1517">
        <v>647.20792501000005</v>
      </c>
      <c r="U24" s="1517">
        <v>771.45668995999995</v>
      </c>
      <c r="V24" s="1517">
        <v>916.82324942000002</v>
      </c>
      <c r="W24" s="1517">
        <v>1020.76941966</v>
      </c>
      <c r="X24" s="1517">
        <v>1142.1282048200001</v>
      </c>
      <c r="Y24" s="1518">
        <v>1286.6848744599999</v>
      </c>
      <c r="Z24" s="1518">
        <v>1470.7307884100001</v>
      </c>
      <c r="AA24" s="1517">
        <v>123.38693252</v>
      </c>
      <c r="AB24" s="1517">
        <v>272.37857061</v>
      </c>
      <c r="AC24" s="1517">
        <v>397.76033982000001</v>
      </c>
      <c r="AD24" s="1517">
        <v>546.92157110999995</v>
      </c>
      <c r="AE24" s="1517">
        <v>691.97949572000005</v>
      </c>
      <c r="AF24" s="1517">
        <v>857.816877858</v>
      </c>
      <c r="AG24" s="1517">
        <v>1009.69939694</v>
      </c>
      <c r="AH24" s="1517">
        <v>1183.32035372</v>
      </c>
      <c r="AI24" s="1517">
        <v>1345.10494606</v>
      </c>
      <c r="AJ24" s="1517">
        <v>1495.7351140599999</v>
      </c>
      <c r="AK24" s="1517">
        <v>1672.4158395899999</v>
      </c>
      <c r="AL24" s="1517">
        <v>1885.2014401987999</v>
      </c>
      <c r="AM24" s="1517">
        <v>150.65794267999999</v>
      </c>
      <c r="AN24" s="1517">
        <v>330.43185029</v>
      </c>
      <c r="AO24" s="1517">
        <v>493.08991058999999</v>
      </c>
      <c r="AP24" s="1517">
        <v>668.14647749000005</v>
      </c>
      <c r="AQ24" s="1517">
        <v>860.44429917000002</v>
      </c>
      <c r="AR24" s="1517">
        <v>1060.5913207200001</v>
      </c>
      <c r="AS24" s="1517">
        <v>1271.0127258800001</v>
      </c>
      <c r="AT24" s="1517">
        <v>1484.4651947499999</v>
      </c>
      <c r="AU24" s="1517">
        <v>1674.9537305700001</v>
      </c>
      <c r="AV24" s="1517">
        <v>1858.9993981499999</v>
      </c>
      <c r="AW24" s="1517">
        <v>2072.5774321600002</v>
      </c>
      <c r="AX24" s="1517">
        <v>2335.6930176300002</v>
      </c>
      <c r="AY24" s="1517">
        <v>225.33954061</v>
      </c>
      <c r="AZ24" s="1517">
        <v>427.80804696000001</v>
      </c>
      <c r="BA24" s="1517">
        <v>632.31611039999996</v>
      </c>
      <c r="BB24" s="1517">
        <v>857.28972190000002</v>
      </c>
      <c r="BC24" s="1517">
        <v>1092.24521426</v>
      </c>
      <c r="BD24" s="1517">
        <v>1303.7490499400001</v>
      </c>
      <c r="BE24" s="1517">
        <v>1539.9485244699999</v>
      </c>
      <c r="BF24" s="1517">
        <v>1783.85299285</v>
      </c>
      <c r="BG24" s="1517">
        <v>1952.1255452099999</v>
      </c>
      <c r="BH24" s="1517">
        <v>2189.8009959864999</v>
      </c>
      <c r="BI24" s="1517">
        <v>2447.4278913399999</v>
      </c>
      <c r="BJ24" s="1517">
        <v>2772.57303121</v>
      </c>
      <c r="BK24" s="1517">
        <v>261.25995533999998</v>
      </c>
      <c r="BL24" s="1517">
        <v>510.91855822000002</v>
      </c>
      <c r="BM24" s="1517">
        <v>734.60847434000004</v>
      </c>
      <c r="BN24" s="1517">
        <v>998.27408060000005</v>
      </c>
      <c r="BO24" s="1517">
        <v>1268.4240810399999</v>
      </c>
      <c r="BP24" s="1521" t="s">
        <v>3625</v>
      </c>
      <c r="BQ24" s="1140"/>
      <c r="BR24" s="1139"/>
      <c r="BS24" s="1140"/>
    </row>
    <row r="25" spans="1:73" ht="37.5" customHeight="1">
      <c r="A25" s="1516" t="s">
        <v>3008</v>
      </c>
      <c r="B25" s="1517">
        <v>237.43996727000001</v>
      </c>
      <c r="C25" s="1517">
        <v>18.25410836</v>
      </c>
      <c r="D25" s="1517">
        <v>38.829479220000003</v>
      </c>
      <c r="E25" s="1517">
        <v>60.393550939999997</v>
      </c>
      <c r="F25" s="1517">
        <v>77.585830459999997</v>
      </c>
      <c r="G25" s="1517">
        <v>94.198738770000006</v>
      </c>
      <c r="H25" s="1517">
        <v>112.20862031</v>
      </c>
      <c r="I25" s="1517">
        <v>131.65729454000001</v>
      </c>
      <c r="J25" s="1517">
        <v>151.78302866999999</v>
      </c>
      <c r="K25" s="1517">
        <v>171.99550185000001</v>
      </c>
      <c r="L25" s="1517">
        <v>192.72367937999999</v>
      </c>
      <c r="M25" s="1517">
        <v>212.72268643000001</v>
      </c>
      <c r="N25" s="1517">
        <v>238.01116367</v>
      </c>
      <c r="O25" s="1517">
        <v>18.065429689999998</v>
      </c>
      <c r="P25" s="1517">
        <v>37.149464979999998</v>
      </c>
      <c r="Q25" s="1517">
        <v>58.571727639999999</v>
      </c>
      <c r="R25" s="1517">
        <v>78.696574279999993</v>
      </c>
      <c r="S25" s="1517">
        <v>101.00260914</v>
      </c>
      <c r="T25" s="1517">
        <v>121.26807291</v>
      </c>
      <c r="U25" s="1517">
        <v>142.05498567000001</v>
      </c>
      <c r="V25" s="1517">
        <v>165.23612021</v>
      </c>
      <c r="W25" s="1517">
        <v>187.68358456999999</v>
      </c>
      <c r="X25" s="1517">
        <v>210.41885551999999</v>
      </c>
      <c r="Y25" s="1518">
        <v>237.42387188000001</v>
      </c>
      <c r="Z25" s="1518">
        <v>264.39299384999998</v>
      </c>
      <c r="AA25" s="1517">
        <v>22.37645861</v>
      </c>
      <c r="AB25" s="1517">
        <v>44.45244632</v>
      </c>
      <c r="AC25" s="1517">
        <v>68.281960699999999</v>
      </c>
      <c r="AD25" s="1517">
        <v>92.748986540000004</v>
      </c>
      <c r="AE25" s="1517">
        <v>116.04332137999999</v>
      </c>
      <c r="AF25" s="1517">
        <v>140.15483115999999</v>
      </c>
      <c r="AG25" s="1517">
        <v>163.31928772000001</v>
      </c>
      <c r="AH25" s="1517">
        <v>191.75112554</v>
      </c>
      <c r="AI25" s="1517">
        <v>217.45383164</v>
      </c>
      <c r="AJ25" s="1517">
        <v>244.99032853</v>
      </c>
      <c r="AK25" s="1517">
        <v>271.03678737000001</v>
      </c>
      <c r="AL25" s="1517">
        <v>303.38572993999998</v>
      </c>
      <c r="AM25" s="1517">
        <v>24.380705800000001</v>
      </c>
      <c r="AN25" s="1517">
        <v>50.696051570000002</v>
      </c>
      <c r="AO25" s="1517">
        <v>77.175199430000006</v>
      </c>
      <c r="AP25" s="1517">
        <v>104.11225202999999</v>
      </c>
      <c r="AQ25" s="1517">
        <v>131.46900825</v>
      </c>
      <c r="AR25" s="1517">
        <v>159.20555485</v>
      </c>
      <c r="AS25" s="1517">
        <v>188.21645985000001</v>
      </c>
      <c r="AT25" s="1517">
        <v>218.34092097999999</v>
      </c>
      <c r="AU25" s="1517">
        <v>246.4704327</v>
      </c>
      <c r="AV25" s="1517">
        <v>272.23801003</v>
      </c>
      <c r="AW25" s="1517">
        <v>301.94605093000001</v>
      </c>
      <c r="AX25" s="1517">
        <v>337.13559880999998</v>
      </c>
      <c r="AY25" s="1517">
        <v>25.757036620000001</v>
      </c>
      <c r="AZ25" s="1517">
        <v>55.383691630000001</v>
      </c>
      <c r="BA25" s="1517">
        <v>86.60914502</v>
      </c>
      <c r="BB25" s="1517">
        <v>120.155013</v>
      </c>
      <c r="BC25" s="1517">
        <v>151.5905544</v>
      </c>
      <c r="BD25" s="1517">
        <v>183.38369495000001</v>
      </c>
      <c r="BE25" s="1517">
        <v>215.64183369</v>
      </c>
      <c r="BF25" s="1517">
        <v>247.54877092999999</v>
      </c>
      <c r="BG25" s="1517">
        <v>275.95819785999998</v>
      </c>
      <c r="BH25" s="1517">
        <v>307.99635723649999</v>
      </c>
      <c r="BI25" s="1517">
        <v>339.18623471000001</v>
      </c>
      <c r="BJ25" s="1517">
        <v>385.49565646999997</v>
      </c>
      <c r="BK25" s="1517">
        <v>31.472188490000001</v>
      </c>
      <c r="BL25" s="1517">
        <v>64.593665990000005</v>
      </c>
      <c r="BM25" s="1517">
        <v>100.81790044</v>
      </c>
      <c r="BN25" s="1517">
        <v>133.40889637000001</v>
      </c>
      <c r="BO25" s="1517">
        <v>172.92150355000001</v>
      </c>
      <c r="BP25" s="1519" t="s">
        <v>3626</v>
      </c>
      <c r="BQ25" s="1140"/>
      <c r="BR25" s="1139"/>
      <c r="BS25" s="1140"/>
    </row>
    <row r="26" spans="1:73" ht="37.5" customHeight="1">
      <c r="A26" s="1516" t="s">
        <v>3009</v>
      </c>
      <c r="B26" s="1517">
        <v>180.65592217</v>
      </c>
      <c r="C26" s="1517">
        <v>16.41282374</v>
      </c>
      <c r="D26" s="1517">
        <v>31.2781281</v>
      </c>
      <c r="E26" s="1517">
        <v>49.986383510000003</v>
      </c>
      <c r="F26" s="1517">
        <v>66.051115449999998</v>
      </c>
      <c r="G26" s="1517">
        <v>74.556124229999995</v>
      </c>
      <c r="H26" s="1517">
        <v>89.523589680000001</v>
      </c>
      <c r="I26" s="1517">
        <v>107.40585101000001</v>
      </c>
      <c r="J26" s="1517">
        <v>121.83489401999999</v>
      </c>
      <c r="K26" s="1517">
        <v>136.85528952999999</v>
      </c>
      <c r="L26" s="1517">
        <v>158.57203118999999</v>
      </c>
      <c r="M26" s="1517">
        <v>172.75164538000001</v>
      </c>
      <c r="N26" s="1517">
        <v>203.56105511000001</v>
      </c>
      <c r="O26" s="1517">
        <v>13.80656228</v>
      </c>
      <c r="P26" s="1517">
        <v>37.01860456</v>
      </c>
      <c r="Q26" s="1517">
        <v>55.394225159999998</v>
      </c>
      <c r="R26" s="1517">
        <v>81.527954820000005</v>
      </c>
      <c r="S26" s="1517">
        <v>102.50523948</v>
      </c>
      <c r="T26" s="1517">
        <v>126.29914362</v>
      </c>
      <c r="U26" s="1517">
        <v>155.51404973000001</v>
      </c>
      <c r="V26" s="1517">
        <v>185.14258104999999</v>
      </c>
      <c r="W26" s="1517">
        <v>211.87817122000001</v>
      </c>
      <c r="X26" s="1517">
        <v>238.52946019999999</v>
      </c>
      <c r="Y26" s="1518">
        <v>275.44589753999998</v>
      </c>
      <c r="Z26" s="1518">
        <v>317.32130560000002</v>
      </c>
      <c r="AA26" s="1517">
        <v>27.550809709999999</v>
      </c>
      <c r="AB26" s="1517">
        <v>68.732866200000004</v>
      </c>
      <c r="AC26" s="1517">
        <v>98.580780070000003</v>
      </c>
      <c r="AD26" s="1517">
        <v>136.39904496</v>
      </c>
      <c r="AE26" s="1517">
        <v>173.84113486000001</v>
      </c>
      <c r="AF26" s="1517">
        <v>207.41865077</v>
      </c>
      <c r="AG26" s="1517">
        <v>247.02888265999999</v>
      </c>
      <c r="AH26" s="1517">
        <v>304.78627571999999</v>
      </c>
      <c r="AI26" s="1517">
        <v>343.22379377999999</v>
      </c>
      <c r="AJ26" s="1517">
        <v>384.19431407000002</v>
      </c>
      <c r="AK26" s="1517">
        <v>433.92067693000001</v>
      </c>
      <c r="AL26" s="1517">
        <v>492.3743508</v>
      </c>
      <c r="AM26" s="1517">
        <v>43.909567369999998</v>
      </c>
      <c r="AN26" s="1517">
        <v>94.038931919999996</v>
      </c>
      <c r="AO26" s="1517">
        <v>142.34057627999999</v>
      </c>
      <c r="AP26" s="1517">
        <v>187.81973020999999</v>
      </c>
      <c r="AQ26" s="1517">
        <v>258.54602397000002</v>
      </c>
      <c r="AR26" s="1517">
        <v>306.86452917999998</v>
      </c>
      <c r="AS26" s="1517">
        <v>369.92214849999999</v>
      </c>
      <c r="AT26" s="1517">
        <v>450.40595736</v>
      </c>
      <c r="AU26" s="1517">
        <v>509.45697987</v>
      </c>
      <c r="AV26" s="1517">
        <v>579.97677693000003</v>
      </c>
      <c r="AW26" s="1517">
        <v>663.92385830000001</v>
      </c>
      <c r="AX26" s="1517">
        <v>736.56952896999996</v>
      </c>
      <c r="AY26" s="1517">
        <v>68.992679429999995</v>
      </c>
      <c r="AZ26" s="1517">
        <v>137.04900047999999</v>
      </c>
      <c r="BA26" s="1517">
        <v>194.98954959</v>
      </c>
      <c r="BB26" s="1517">
        <v>272.17070919999998</v>
      </c>
      <c r="BC26" s="1517">
        <v>361.56276546999999</v>
      </c>
      <c r="BD26" s="1517">
        <v>429.12986715</v>
      </c>
      <c r="BE26" s="1517">
        <v>513.59086708999996</v>
      </c>
      <c r="BF26" s="1517">
        <v>603.49470283000005</v>
      </c>
      <c r="BG26" s="1517">
        <v>658.93853903000002</v>
      </c>
      <c r="BH26" s="1517">
        <v>749.61083770000005</v>
      </c>
      <c r="BI26" s="1517">
        <v>850.86157326</v>
      </c>
      <c r="BJ26" s="1517">
        <v>931.62153682999997</v>
      </c>
      <c r="BK26" s="1517">
        <v>83.830898120000001</v>
      </c>
      <c r="BL26" s="1517">
        <v>168.48080311999999</v>
      </c>
      <c r="BM26" s="1517">
        <v>241.72491869999999</v>
      </c>
      <c r="BN26" s="1517">
        <v>336.78502529999997</v>
      </c>
      <c r="BO26" s="1517">
        <v>434.64543121000003</v>
      </c>
      <c r="BP26" s="1519" t="s">
        <v>3627</v>
      </c>
      <c r="BQ26" s="1140"/>
      <c r="BR26" s="1139"/>
      <c r="BS26" s="1140"/>
    </row>
    <row r="27" spans="1:73" ht="37.5" customHeight="1">
      <c r="A27" s="1516" t="s">
        <v>3010</v>
      </c>
      <c r="B27" s="1517">
        <v>786.90884125999992</v>
      </c>
      <c r="C27" s="1517">
        <v>59.197247660000002</v>
      </c>
      <c r="D27" s="1517">
        <v>123.67914816000001</v>
      </c>
      <c r="E27" s="1517">
        <v>194.23043000999999</v>
      </c>
      <c r="F27" s="1517">
        <v>256.70013603000001</v>
      </c>
      <c r="G27" s="1517">
        <v>307.61413691299998</v>
      </c>
      <c r="H27" s="1517">
        <v>367.51813901000003</v>
      </c>
      <c r="I27" s="1517">
        <v>418.36315194000002</v>
      </c>
      <c r="J27" s="1517">
        <v>478.90162519</v>
      </c>
      <c r="K27" s="1517">
        <v>535.02997806999997</v>
      </c>
      <c r="L27" s="1517">
        <v>649.89990588000001</v>
      </c>
      <c r="M27" s="1517">
        <v>707.62268719999997</v>
      </c>
      <c r="N27" s="1517">
        <v>794.93620060000001</v>
      </c>
      <c r="O27" s="1517">
        <v>59.636563100000004</v>
      </c>
      <c r="P27" s="1517">
        <v>120.87130841</v>
      </c>
      <c r="Q27" s="1517">
        <v>187.73708231000001</v>
      </c>
      <c r="R27" s="1517">
        <v>250.69200352000001</v>
      </c>
      <c r="S27" s="1517">
        <v>321.09686139999997</v>
      </c>
      <c r="T27" s="1517">
        <v>399.64070848</v>
      </c>
      <c r="U27" s="1517">
        <v>473.88765455999999</v>
      </c>
      <c r="V27" s="1517">
        <v>566.44454815999995</v>
      </c>
      <c r="W27" s="1517">
        <v>621.20766387000003</v>
      </c>
      <c r="X27" s="1517">
        <v>693.17988909999997</v>
      </c>
      <c r="Y27" s="1518">
        <v>773.81510503999993</v>
      </c>
      <c r="Z27" s="1518">
        <v>889.01648896000006</v>
      </c>
      <c r="AA27" s="1517">
        <v>73.459664199999992</v>
      </c>
      <c r="AB27" s="1517">
        <v>159.19325809</v>
      </c>
      <c r="AC27" s="1517">
        <v>230.89759905</v>
      </c>
      <c r="AD27" s="1517">
        <v>317.77353961</v>
      </c>
      <c r="AE27" s="1517">
        <v>402.09503948000003</v>
      </c>
      <c r="AF27" s="1517">
        <v>510.24339592800004</v>
      </c>
      <c r="AG27" s="1517">
        <v>599.35122655999999</v>
      </c>
      <c r="AH27" s="1517">
        <v>686.78295246000005</v>
      </c>
      <c r="AI27" s="1517">
        <v>784.42732063999995</v>
      </c>
      <c r="AJ27" s="1517">
        <v>866.55047146000004</v>
      </c>
      <c r="AK27" s="1517">
        <v>967.45837529000005</v>
      </c>
      <c r="AL27" s="1517">
        <v>1089.4413594588</v>
      </c>
      <c r="AM27" s="1517">
        <v>82.367669509999999</v>
      </c>
      <c r="AN27" s="1517">
        <v>185.69686680000001</v>
      </c>
      <c r="AO27" s="1517">
        <v>273.57413487999997</v>
      </c>
      <c r="AP27" s="1517">
        <v>376.21449525000003</v>
      </c>
      <c r="AQ27" s="1517">
        <v>470.42926695</v>
      </c>
      <c r="AR27" s="1517">
        <v>594.52123669000002</v>
      </c>
      <c r="AS27" s="1517">
        <v>712.87411753000004</v>
      </c>
      <c r="AT27" s="1517">
        <v>815.71831641000006</v>
      </c>
      <c r="AU27" s="1517">
        <v>919.02631799999995</v>
      </c>
      <c r="AV27" s="1517">
        <v>1006.78461119</v>
      </c>
      <c r="AW27" s="1517">
        <v>1106.7075229300001</v>
      </c>
      <c r="AX27" s="1517">
        <v>1261.9878898500001</v>
      </c>
      <c r="AY27" s="1517">
        <v>130.58982456000001</v>
      </c>
      <c r="AZ27" s="1517">
        <v>235.37535485000001</v>
      </c>
      <c r="BA27" s="1517">
        <v>350.71741579000002</v>
      </c>
      <c r="BB27" s="1517">
        <v>464.96399969999999</v>
      </c>
      <c r="BC27" s="1517">
        <v>579.09189438999999</v>
      </c>
      <c r="BD27" s="1517">
        <v>691.23548784000002</v>
      </c>
      <c r="BE27" s="1517">
        <v>810.71582368999998</v>
      </c>
      <c r="BF27" s="1517">
        <v>932.80951908999998</v>
      </c>
      <c r="BG27" s="1517">
        <v>1017.22880832</v>
      </c>
      <c r="BH27" s="1517">
        <v>1132.19380105</v>
      </c>
      <c r="BI27" s="1517">
        <v>1257.38008337</v>
      </c>
      <c r="BJ27" s="1517">
        <v>1455.4558379099999</v>
      </c>
      <c r="BK27" s="1517">
        <v>145.95686873</v>
      </c>
      <c r="BL27" s="1517">
        <v>277.84408911000003</v>
      </c>
      <c r="BM27" s="1517">
        <v>392.06565519999998</v>
      </c>
      <c r="BN27" s="1517">
        <v>528.08015893000004</v>
      </c>
      <c r="BO27" s="1517">
        <v>660.85714628000005</v>
      </c>
      <c r="BP27" s="1519" t="s">
        <v>3628</v>
      </c>
      <c r="BQ27" s="1140"/>
      <c r="BR27" s="1139"/>
      <c r="BS27" s="1140"/>
    </row>
    <row r="28" spans="1:73" ht="37.5" customHeight="1">
      <c r="A28" s="1520" t="s">
        <v>3011</v>
      </c>
      <c r="B28" s="1517">
        <v>848.99669826117599</v>
      </c>
      <c r="C28" s="1517">
        <v>71.3768731149828</v>
      </c>
      <c r="D28" s="1517">
        <v>146.23091963774399</v>
      </c>
      <c r="E28" s="1517">
        <v>217.639597506645</v>
      </c>
      <c r="F28" s="1517">
        <v>281.59933267193799</v>
      </c>
      <c r="G28" s="1517">
        <v>360.18692466677697</v>
      </c>
      <c r="H28" s="1517">
        <v>430.68990114047699</v>
      </c>
      <c r="I28" s="1517">
        <v>507.09146054926902</v>
      </c>
      <c r="J28" s="1517">
        <v>574.74264932588005</v>
      </c>
      <c r="K28" s="1517">
        <v>658.92430906658103</v>
      </c>
      <c r="L28" s="1517">
        <v>661.49192580147201</v>
      </c>
      <c r="M28" s="1517">
        <v>742.34224163308102</v>
      </c>
      <c r="N28" s="1517">
        <v>803.66876116457104</v>
      </c>
      <c r="O28" s="1517">
        <v>67.752613365900004</v>
      </c>
      <c r="P28" s="1517">
        <v>136.16916393114499</v>
      </c>
      <c r="Q28" s="1517">
        <v>220.80169489058201</v>
      </c>
      <c r="R28" s="1517">
        <v>301.59527887938998</v>
      </c>
      <c r="S28" s="1517">
        <v>411.187694217623</v>
      </c>
      <c r="T28" s="1517">
        <v>502.54661939426398</v>
      </c>
      <c r="U28" s="1517">
        <v>574.68661908213198</v>
      </c>
      <c r="V28" s="1517">
        <v>643.75870604011698</v>
      </c>
      <c r="W28" s="1517">
        <v>723.81726688296305</v>
      </c>
      <c r="X28" s="1517">
        <v>810.17600259006497</v>
      </c>
      <c r="Y28" s="1518">
        <v>883.92604336826003</v>
      </c>
      <c r="Z28" s="1518">
        <v>942.75546209739605</v>
      </c>
      <c r="AA28" s="1517">
        <v>89.455179902084595</v>
      </c>
      <c r="AB28" s="1517">
        <v>161.80531443906901</v>
      </c>
      <c r="AC28" s="1517">
        <v>275.38603827760602</v>
      </c>
      <c r="AD28" s="1517">
        <v>388.99259472374501</v>
      </c>
      <c r="AE28" s="1517">
        <v>503.651241512902</v>
      </c>
      <c r="AF28" s="1517">
        <v>614.27990571379996</v>
      </c>
      <c r="AG28" s="1517">
        <v>741.43047685251099</v>
      </c>
      <c r="AH28" s="1517">
        <v>849.94703500663104</v>
      </c>
      <c r="AI28" s="1517">
        <v>976.93056394114205</v>
      </c>
      <c r="AJ28" s="1517">
        <v>1116.6680135593899</v>
      </c>
      <c r="AK28" s="1517">
        <v>1239.32272372593</v>
      </c>
      <c r="AL28" s="1517">
        <v>1371.3525451107701</v>
      </c>
      <c r="AM28" s="1517">
        <v>134.53362449858599</v>
      </c>
      <c r="AN28" s="1517">
        <v>250.61330391804501</v>
      </c>
      <c r="AO28" s="1517">
        <v>392.012529978967</v>
      </c>
      <c r="AP28" s="1517">
        <v>512.94071012165602</v>
      </c>
      <c r="AQ28" s="1517">
        <v>644.12918565028804</v>
      </c>
      <c r="AR28" s="1517">
        <v>772.34312188633896</v>
      </c>
      <c r="AS28" s="1517">
        <v>931.392027156106</v>
      </c>
      <c r="AT28" s="1517">
        <v>1064.0004271798</v>
      </c>
      <c r="AU28" s="1517">
        <v>1227.26143056257</v>
      </c>
      <c r="AV28" s="1517">
        <v>1369.5436455157601</v>
      </c>
      <c r="AW28" s="1517">
        <v>1521.1984790967199</v>
      </c>
      <c r="AX28" s="1517">
        <v>1641.2256439704399</v>
      </c>
      <c r="AY28" s="1517">
        <v>143.55266752637499</v>
      </c>
      <c r="AZ28" s="1517">
        <v>298.274281410551</v>
      </c>
      <c r="BA28" s="1517">
        <v>444.59326100926398</v>
      </c>
      <c r="BB28" s="1517">
        <v>585.00523244617102</v>
      </c>
      <c r="BC28" s="1517">
        <v>732.61438280796006</v>
      </c>
      <c r="BD28" s="1517">
        <v>875.48499854078</v>
      </c>
      <c r="BE28" s="1517">
        <v>1016.01555126598</v>
      </c>
      <c r="BF28" s="1517">
        <v>1148.16713583163</v>
      </c>
      <c r="BG28" s="1517">
        <v>1268.6815506371199</v>
      </c>
      <c r="BH28" s="1517">
        <v>1422.4486702464401</v>
      </c>
      <c r="BI28" s="1517">
        <v>1535.8159019078</v>
      </c>
      <c r="BJ28" s="1517">
        <v>1663.2273574995199</v>
      </c>
      <c r="BK28" s="1517">
        <v>122.53765015719701</v>
      </c>
      <c r="BL28" s="1517">
        <v>275.22990159137402</v>
      </c>
      <c r="BM28" s="1517">
        <v>402.69455832527399</v>
      </c>
      <c r="BN28" s="1517">
        <v>564.39371099854998</v>
      </c>
      <c r="BO28" s="1517">
        <v>708.17168000622598</v>
      </c>
      <c r="BP28" s="1521" t="s">
        <v>3629</v>
      </c>
      <c r="BQ28" s="1140"/>
      <c r="BR28" s="1139"/>
      <c r="BS28" s="1140"/>
    </row>
    <row r="29" spans="1:73" ht="46.5">
      <c r="A29" s="1520" t="s">
        <v>2282</v>
      </c>
      <c r="B29" s="1517">
        <v>177.34499791117599</v>
      </c>
      <c r="C29" s="1517">
        <v>16.242572235418201</v>
      </c>
      <c r="D29" s="1517">
        <v>30.430880138179099</v>
      </c>
      <c r="E29" s="1517">
        <v>29.697367464352102</v>
      </c>
      <c r="F29" s="1517">
        <v>74.369605122373301</v>
      </c>
      <c r="G29" s="1517">
        <v>-19.951893959787899</v>
      </c>
      <c r="H29" s="1517">
        <v>-21.824867169087099</v>
      </c>
      <c r="I29" s="1517">
        <v>-16.176723660731199</v>
      </c>
      <c r="J29" s="1517">
        <v>30.263432035880001</v>
      </c>
      <c r="K29" s="1517">
        <v>24.067968296581601</v>
      </c>
      <c r="L29" s="1517">
        <v>49.217731341471598</v>
      </c>
      <c r="M29" s="1517">
        <v>48.4831851530816</v>
      </c>
      <c r="N29" s="1517">
        <v>70.973846814571004</v>
      </c>
      <c r="O29" s="1517">
        <v>33.334368355899997</v>
      </c>
      <c r="P29" s="1517">
        <v>46.894571211144502</v>
      </c>
      <c r="Q29" s="1517">
        <v>38.989450090581997</v>
      </c>
      <c r="R29" s="1517">
        <v>63.600950559389901</v>
      </c>
      <c r="S29" s="1517">
        <v>87.514921667623497</v>
      </c>
      <c r="T29" s="1517">
        <v>73.616707304263997</v>
      </c>
      <c r="U29" s="1517">
        <v>94.019531012131296</v>
      </c>
      <c r="V29" s="1517">
        <v>107.398332560117</v>
      </c>
      <c r="W29" s="1517">
        <v>125.00757962296299</v>
      </c>
      <c r="X29" s="1517">
        <v>130.89559369989499</v>
      </c>
      <c r="Y29" s="1518">
        <v>149.14367176825999</v>
      </c>
      <c r="Z29" s="1518">
        <v>168.90138739739601</v>
      </c>
      <c r="AA29" s="1517">
        <v>16.8359898320846</v>
      </c>
      <c r="AB29" s="1517">
        <v>24.6412677190688</v>
      </c>
      <c r="AC29" s="1517">
        <v>59.896751617606299</v>
      </c>
      <c r="AD29" s="1517">
        <v>83.770097413744594</v>
      </c>
      <c r="AE29" s="1517">
        <v>98.944505992902194</v>
      </c>
      <c r="AF29" s="1517">
        <v>124.68711521371</v>
      </c>
      <c r="AG29" s="1517">
        <v>134.321765392511</v>
      </c>
      <c r="AH29" s="1517">
        <v>124.374670816631</v>
      </c>
      <c r="AI29" s="1517">
        <v>136.30783473744501</v>
      </c>
      <c r="AJ29" s="1517">
        <v>168.326829449391</v>
      </c>
      <c r="AK29" s="1517">
        <v>183.01486318592899</v>
      </c>
      <c r="AL29" s="1517">
        <v>195.528384595566</v>
      </c>
      <c r="AM29" s="1517">
        <v>21.471067398585799</v>
      </c>
      <c r="AN29" s="1517">
        <v>50.572409228044599</v>
      </c>
      <c r="AO29" s="1517">
        <v>55.859081218966601</v>
      </c>
      <c r="AP29" s="1517">
        <v>79.113892295696502</v>
      </c>
      <c r="AQ29" s="1517">
        <v>101.306077912788</v>
      </c>
      <c r="AR29" s="1517">
        <v>78.895459915338506</v>
      </c>
      <c r="AS29" s="1517">
        <v>113.13687968424701</v>
      </c>
      <c r="AT29" s="1517">
        <v>152.962724616543</v>
      </c>
      <c r="AU29" s="1517">
        <v>180.62487707704301</v>
      </c>
      <c r="AV29" s="1517">
        <v>226.10931857558199</v>
      </c>
      <c r="AW29" s="1517">
        <v>271.83653743052002</v>
      </c>
      <c r="AX29" s="1517">
        <v>259.34369627306899</v>
      </c>
      <c r="AY29" s="1517">
        <v>21.892886624868002</v>
      </c>
      <c r="AZ29" s="1517">
        <v>41.922403240551397</v>
      </c>
      <c r="BA29" s="1517">
        <v>61.867669959263402</v>
      </c>
      <c r="BB29" s="1517">
        <v>89.661863256960302</v>
      </c>
      <c r="BC29" s="1517">
        <v>107.78323166796</v>
      </c>
      <c r="BD29" s="1517">
        <v>139.74187843883499</v>
      </c>
      <c r="BE29" s="1517">
        <v>182.19940946563401</v>
      </c>
      <c r="BF29" s="1517">
        <v>203.18397904163399</v>
      </c>
      <c r="BG29" s="1517">
        <v>253.07063456712501</v>
      </c>
      <c r="BH29" s="1517">
        <v>299.38287212644502</v>
      </c>
      <c r="BI29" s="1517">
        <v>341.63354208779498</v>
      </c>
      <c r="BJ29" s="1517">
        <v>328.922702040638</v>
      </c>
      <c r="BK29" s="1517">
        <v>27.8788526971971</v>
      </c>
      <c r="BL29" s="1517">
        <v>52.205597241373802</v>
      </c>
      <c r="BM29" s="1517">
        <v>87.975202115273703</v>
      </c>
      <c r="BN29" s="1517">
        <v>134.88394148854999</v>
      </c>
      <c r="BO29" s="1517">
        <v>168.85352635622601</v>
      </c>
      <c r="BP29" s="1521" t="s">
        <v>3630</v>
      </c>
      <c r="BQ29" s="1140"/>
      <c r="BR29" s="1139"/>
      <c r="BS29" s="1140"/>
    </row>
    <row r="30" spans="1:73" ht="37.5" customHeight="1">
      <c r="A30" s="1520" t="s">
        <v>2275</v>
      </c>
      <c r="B30" s="1517">
        <v>21.3236887891</v>
      </c>
      <c r="C30" s="1517">
        <v>2.5629899999999998E-3</v>
      </c>
      <c r="D30" s="1517">
        <v>-2.0076600000000001E-3</v>
      </c>
      <c r="E30" s="1517">
        <v>-1.318164E-2</v>
      </c>
      <c r="F30" s="1517">
        <v>-1.369164E-2</v>
      </c>
      <c r="G30" s="1517">
        <v>7.3081400000000003E-3</v>
      </c>
      <c r="H30" s="1517">
        <v>7.8834849999999998E-2</v>
      </c>
      <c r="I30" s="1517">
        <v>0.13244167000000001</v>
      </c>
      <c r="J30" s="1517">
        <v>0.14898167000000001</v>
      </c>
      <c r="K30" s="1517">
        <v>0.14809367000000001</v>
      </c>
      <c r="L30" s="1517">
        <v>0.33169419</v>
      </c>
      <c r="M30" s="1517">
        <v>0.34329819</v>
      </c>
      <c r="N30" s="1517">
        <v>0.62938432</v>
      </c>
      <c r="O30" s="1517">
        <v>-4.7499999999999999E-3</v>
      </c>
      <c r="P30" s="1517">
        <v>2.3E-3</v>
      </c>
      <c r="Q30" s="1517">
        <v>-0.89840078000000001</v>
      </c>
      <c r="R30" s="1517">
        <v>7.9673740000000007E-2</v>
      </c>
      <c r="S30" s="1517">
        <v>0.141148</v>
      </c>
      <c r="T30" s="1517">
        <v>0.141568</v>
      </c>
      <c r="U30" s="1517">
        <v>0.109539</v>
      </c>
      <c r="V30" s="1517">
        <v>0.71880500000000003</v>
      </c>
      <c r="W30" s="1517">
        <v>0.57383499999999998</v>
      </c>
      <c r="X30" s="1517">
        <v>0.55928900000000004</v>
      </c>
      <c r="Y30" s="1518">
        <v>0.88912800000000003</v>
      </c>
      <c r="Z30" s="1518">
        <v>0.75910639999999996</v>
      </c>
      <c r="AA30" s="1517">
        <v>7.9399999999999991E-3</v>
      </c>
      <c r="AB30" s="1517">
        <v>5.2060000000000002E-2</v>
      </c>
      <c r="AC30" s="1517">
        <v>7.3649999999999993E-2</v>
      </c>
      <c r="AD30" s="1517">
        <v>-4.0758950000000002E-2</v>
      </c>
      <c r="AE30" s="1517">
        <v>-4.1524949999999998E-2</v>
      </c>
      <c r="AF30" s="1517">
        <v>-0.44082094999999999</v>
      </c>
      <c r="AG30" s="1517">
        <v>-0.41664095000000001</v>
      </c>
      <c r="AH30" s="1517">
        <v>-0.41060485000000002</v>
      </c>
      <c r="AI30" s="1517">
        <v>-0.48273885</v>
      </c>
      <c r="AJ30" s="1517">
        <v>-0.46676885000000001</v>
      </c>
      <c r="AK30" s="1517">
        <v>-0.30323885</v>
      </c>
      <c r="AL30" s="1517">
        <v>0.13809104999999999</v>
      </c>
      <c r="AM30" s="1517">
        <v>-7.2609999999999994E-2</v>
      </c>
      <c r="AN30" s="1517">
        <v>-4.777E-2</v>
      </c>
      <c r="AO30" s="1517">
        <v>8.9349999999999999E-2</v>
      </c>
      <c r="AP30" s="1517">
        <v>0.28335199999999999</v>
      </c>
      <c r="AQ30" s="1517">
        <v>0.36943793000000003</v>
      </c>
      <c r="AR30" s="1517">
        <v>1.12921793</v>
      </c>
      <c r="AS30" s="1517">
        <v>0.42236611000000002</v>
      </c>
      <c r="AT30" s="1517">
        <v>0.56522311000000003</v>
      </c>
      <c r="AU30" s="1517">
        <v>0.93518270999999997</v>
      </c>
      <c r="AV30" s="1517">
        <v>2.61077285</v>
      </c>
      <c r="AW30" s="1517">
        <v>2.6354948500000002</v>
      </c>
      <c r="AX30" s="1517">
        <v>2.7122951099999999</v>
      </c>
      <c r="AY30" s="1517">
        <v>-0.12204022</v>
      </c>
      <c r="AZ30" s="1517">
        <v>1.6371337800000001</v>
      </c>
      <c r="BA30" s="1517">
        <v>1.6607637799999999</v>
      </c>
      <c r="BB30" s="1517">
        <v>2.06242378</v>
      </c>
      <c r="BC30" s="1517">
        <v>2.28462633</v>
      </c>
      <c r="BD30" s="1517">
        <v>2.3634963299999998</v>
      </c>
      <c r="BE30" s="1517">
        <v>2.3756020000000002</v>
      </c>
      <c r="BF30" s="1517">
        <v>2.4924020699999998</v>
      </c>
      <c r="BG30" s="1517">
        <v>4.5878617200000003</v>
      </c>
      <c r="BH30" s="1517">
        <v>4.5357417199999999</v>
      </c>
      <c r="BI30" s="1517">
        <v>4.59690172</v>
      </c>
      <c r="BJ30" s="1517">
        <v>4.3411868599999996</v>
      </c>
      <c r="BK30" s="1517">
        <v>3.8119999999999999E-3</v>
      </c>
      <c r="BL30" s="1517">
        <v>1.0991000000000001E-2</v>
      </c>
      <c r="BM30" s="1517">
        <v>0.26743751999999998</v>
      </c>
      <c r="BN30" s="1517">
        <v>0.38190501999999998</v>
      </c>
      <c r="BO30" s="1517">
        <v>0.37754872</v>
      </c>
      <c r="BP30" s="1521" t="s">
        <v>3631</v>
      </c>
      <c r="BQ30" s="1140"/>
      <c r="BR30" s="1139"/>
      <c r="BS30" s="1140"/>
    </row>
    <row r="31" spans="1:73" ht="37.5" customHeight="1">
      <c r="A31" s="1520" t="s">
        <v>3012</v>
      </c>
      <c r="B31" s="1517">
        <v>692.9753891391</v>
      </c>
      <c r="C31" s="1517">
        <v>55.1368638695646</v>
      </c>
      <c r="D31" s="1517">
        <v>115.798031839565</v>
      </c>
      <c r="E31" s="1517">
        <v>187.92904840229301</v>
      </c>
      <c r="F31" s="1517">
        <v>207.21603590956499</v>
      </c>
      <c r="G31" s="1517">
        <v>380.14612676656498</v>
      </c>
      <c r="H31" s="1517">
        <v>452.59360315956502</v>
      </c>
      <c r="I31" s="1517">
        <v>523.40062588000001</v>
      </c>
      <c r="J31" s="1517">
        <v>544.62819895999996</v>
      </c>
      <c r="K31" s="1517">
        <v>635.00443443999995</v>
      </c>
      <c r="L31" s="1517">
        <v>612.60588865</v>
      </c>
      <c r="M31" s="1517">
        <v>694.20235466999998</v>
      </c>
      <c r="N31" s="1517">
        <v>733.32429866999996</v>
      </c>
      <c r="O31" s="1517">
        <v>34.413495009999998</v>
      </c>
      <c r="P31" s="1517">
        <v>89.276892720000006</v>
      </c>
      <c r="Q31" s="1517">
        <v>180.91384402</v>
      </c>
      <c r="R31" s="1517">
        <v>238.07400206</v>
      </c>
      <c r="S31" s="1517">
        <v>323.81392054999998</v>
      </c>
      <c r="T31" s="1517">
        <v>429.07148009000002</v>
      </c>
      <c r="U31" s="1517">
        <v>480.77662707000002</v>
      </c>
      <c r="V31" s="1517">
        <v>537.07917848</v>
      </c>
      <c r="W31" s="1517">
        <v>599.38352225999995</v>
      </c>
      <c r="X31" s="1517">
        <v>679.83969789016999</v>
      </c>
      <c r="Y31" s="1518">
        <v>735.67149959999995</v>
      </c>
      <c r="Z31" s="1518">
        <v>774.61318110000002</v>
      </c>
      <c r="AA31" s="1517">
        <v>72.627130070000007</v>
      </c>
      <c r="AB31" s="1517">
        <v>137.21610672</v>
      </c>
      <c r="AC31" s="1517">
        <v>215.56293665999999</v>
      </c>
      <c r="AD31" s="1517">
        <v>305.18173836</v>
      </c>
      <c r="AE31" s="1517">
        <v>404.66521057</v>
      </c>
      <c r="AF31" s="1517">
        <v>489.15196955008997</v>
      </c>
      <c r="AG31" s="1517">
        <v>606.69207051000001</v>
      </c>
      <c r="AH31" s="1517">
        <v>725.16175934</v>
      </c>
      <c r="AI31" s="1517">
        <v>840.13999035369704</v>
      </c>
      <c r="AJ31" s="1517">
        <v>947.87441525999998</v>
      </c>
      <c r="AK31" s="1517">
        <v>1056.00462169</v>
      </c>
      <c r="AL31" s="1517">
        <v>1175.96225156521</v>
      </c>
      <c r="AM31" s="1517">
        <v>112.98994709999999</v>
      </c>
      <c r="AN31" s="1517">
        <v>199.99312469</v>
      </c>
      <c r="AO31" s="1517">
        <v>336.24279876000003</v>
      </c>
      <c r="AP31" s="1517">
        <v>434.11016982595902</v>
      </c>
      <c r="AQ31" s="1517">
        <v>543.19254566749999</v>
      </c>
      <c r="AR31" s="1517">
        <v>694.57687990099998</v>
      </c>
      <c r="AS31" s="1517">
        <v>818.67751358185899</v>
      </c>
      <c r="AT31" s="1517">
        <v>911.60292567326201</v>
      </c>
      <c r="AU31" s="1517">
        <v>1047.5717361955301</v>
      </c>
      <c r="AV31" s="1517">
        <v>1146.0450997901701</v>
      </c>
      <c r="AW31" s="1517">
        <v>1251.9974365162</v>
      </c>
      <c r="AX31" s="1517">
        <v>1384.5942428073699</v>
      </c>
      <c r="AY31" s="1517">
        <v>121.537740681507</v>
      </c>
      <c r="AZ31" s="1517">
        <v>257.98901195000002</v>
      </c>
      <c r="BA31" s="1517">
        <v>384.38635483000098</v>
      </c>
      <c r="BB31" s="1517">
        <v>497.40579296921101</v>
      </c>
      <c r="BC31" s="1517">
        <v>627.11577747000001</v>
      </c>
      <c r="BD31" s="1517">
        <v>738.10661643194499</v>
      </c>
      <c r="BE31" s="1517">
        <v>836.19174380035099</v>
      </c>
      <c r="BF31" s="1517">
        <v>947.47555885999998</v>
      </c>
      <c r="BG31" s="1517">
        <v>1020.19877779</v>
      </c>
      <c r="BH31" s="1517">
        <v>1127.60153984</v>
      </c>
      <c r="BI31" s="1517">
        <v>1198.7792615400001</v>
      </c>
      <c r="BJ31" s="1517">
        <v>1338.6458423188801</v>
      </c>
      <c r="BK31" s="1517">
        <v>94.662609459999999</v>
      </c>
      <c r="BL31" s="1517">
        <v>223.03529535000001</v>
      </c>
      <c r="BM31" s="1517">
        <v>314.98679372999999</v>
      </c>
      <c r="BN31" s="1517">
        <v>429.89167452999999</v>
      </c>
      <c r="BO31" s="1517">
        <v>539.69570237000005</v>
      </c>
      <c r="BP31" s="1521" t="s">
        <v>3632</v>
      </c>
      <c r="BQ31" s="1140"/>
      <c r="BR31" s="1139"/>
      <c r="BS31" s="1140"/>
    </row>
    <row r="32" spans="1:73" ht="37.5" customHeight="1">
      <c r="A32" s="1520" t="s">
        <v>2274</v>
      </c>
      <c r="B32" s="1517">
        <v>156.04059493928199</v>
      </c>
      <c r="C32" s="1517">
        <v>5.7093485580000003</v>
      </c>
      <c r="D32" s="1517">
        <v>17.893637861799998</v>
      </c>
      <c r="E32" s="1517">
        <v>24.967664163799899</v>
      </c>
      <c r="F32" s="1517">
        <v>51.089239383799999</v>
      </c>
      <c r="G32" s="1517">
        <v>65.69319883</v>
      </c>
      <c r="H32" s="1517">
        <v>80.943094384000005</v>
      </c>
      <c r="I32" s="1517">
        <v>95.276950020000001</v>
      </c>
      <c r="J32" s="1517">
        <v>106.969110138272</v>
      </c>
      <c r="K32" s="1517">
        <v>122.197403035414</v>
      </c>
      <c r="L32" s="1517">
        <v>134.61685801269101</v>
      </c>
      <c r="M32" s="1517">
        <v>146.08238875269799</v>
      </c>
      <c r="N32" s="1517">
        <v>165.51335235793999</v>
      </c>
      <c r="O32" s="1517">
        <v>8.9811244299999995</v>
      </c>
      <c r="P32" s="1517">
        <v>16.221602445999601</v>
      </c>
      <c r="Q32" s="1517">
        <v>32.145205439999998</v>
      </c>
      <c r="R32" s="1517">
        <v>43.406834699999997</v>
      </c>
      <c r="S32" s="1517">
        <v>50.5974801759996</v>
      </c>
      <c r="T32" s="1517">
        <v>62.754082292999797</v>
      </c>
      <c r="U32" s="1517">
        <v>71.908650949999995</v>
      </c>
      <c r="V32" s="1517">
        <v>81.902188005599797</v>
      </c>
      <c r="W32" s="1517">
        <v>93.757336800000004</v>
      </c>
      <c r="X32" s="1517">
        <v>109.75815436000001</v>
      </c>
      <c r="Y32" s="1518">
        <v>121.55951423</v>
      </c>
      <c r="Z32" s="1518">
        <v>165.63430950424899</v>
      </c>
      <c r="AA32" s="1517">
        <v>14.014161339999999</v>
      </c>
      <c r="AB32" s="1517">
        <v>29.487833139999999</v>
      </c>
      <c r="AC32" s="1517">
        <v>41.623565229279997</v>
      </c>
      <c r="AD32" s="1517">
        <v>57.065285788599901</v>
      </c>
      <c r="AE32" s="1517">
        <v>73.126903389999995</v>
      </c>
      <c r="AF32" s="1517">
        <v>88.320747921767904</v>
      </c>
      <c r="AG32" s="1517">
        <v>114.13200504</v>
      </c>
      <c r="AH32" s="1517">
        <v>135.7587704</v>
      </c>
      <c r="AI32" s="1517">
        <v>156.95243816000001</v>
      </c>
      <c r="AJ32" s="1517">
        <v>177.99964438999999</v>
      </c>
      <c r="AK32" s="1517">
        <v>196.62167792</v>
      </c>
      <c r="AL32" s="1517">
        <v>261.48940542857201</v>
      </c>
      <c r="AM32" s="1517">
        <v>22.724642800000002</v>
      </c>
      <c r="AN32" s="1517">
        <v>44.247696339999997</v>
      </c>
      <c r="AO32" s="1517">
        <v>68.379251339999996</v>
      </c>
      <c r="AP32" s="1517">
        <v>88.916096640000006</v>
      </c>
      <c r="AQ32" s="1517">
        <v>106.095774140345</v>
      </c>
      <c r="AR32" s="1517">
        <v>131.26798825</v>
      </c>
      <c r="AS32" s="1517">
        <v>163.38384014129599</v>
      </c>
      <c r="AT32" s="1517">
        <v>187.42952873999999</v>
      </c>
      <c r="AU32" s="1517">
        <v>214.72093387000001</v>
      </c>
      <c r="AV32" s="1517">
        <v>237.84263820999999</v>
      </c>
      <c r="AW32" s="1517">
        <v>254.55454438000001</v>
      </c>
      <c r="AX32" s="1517">
        <v>308.17390952737298</v>
      </c>
      <c r="AY32" s="1517">
        <v>21.888439241510799</v>
      </c>
      <c r="AZ32" s="1517">
        <v>48.14531719</v>
      </c>
      <c r="BA32" s="1517">
        <v>72.909126069999999</v>
      </c>
      <c r="BB32" s="1517">
        <v>89.895233300000001</v>
      </c>
      <c r="BC32" s="1517">
        <v>107.42397403</v>
      </c>
      <c r="BD32" s="1517">
        <v>124.12896913617899</v>
      </c>
      <c r="BE32" s="1517">
        <v>153.43532203035099</v>
      </c>
      <c r="BF32" s="1517">
        <v>175.14741710999999</v>
      </c>
      <c r="BG32" s="1517">
        <v>190.60161595</v>
      </c>
      <c r="BH32" s="1517">
        <v>213.92877587000001</v>
      </c>
      <c r="BI32" s="1517">
        <v>232.29450783999999</v>
      </c>
      <c r="BJ32" s="1517">
        <v>294.31227305888302</v>
      </c>
      <c r="BK32" s="1517">
        <v>23.712567119999999</v>
      </c>
      <c r="BL32" s="1517">
        <v>43.597530840704103</v>
      </c>
      <c r="BM32" s="1517">
        <v>61.652528179999997</v>
      </c>
      <c r="BN32" s="1517">
        <v>90.117202649999996</v>
      </c>
      <c r="BO32" s="1517">
        <v>108.96970591</v>
      </c>
      <c r="BP32" s="1521" t="s">
        <v>3633</v>
      </c>
      <c r="BQ32" s="1140"/>
      <c r="BR32" s="1139"/>
      <c r="BS32" s="1140"/>
      <c r="BT32" s="1142"/>
    </row>
    <row r="33" spans="1:71" ht="37.5" customHeight="1" thickBot="1">
      <c r="A33" s="1526" t="s">
        <v>2273</v>
      </c>
      <c r="B33" s="1527">
        <v>536.93479419981895</v>
      </c>
      <c r="C33" s="1527">
        <v>49.427515311564598</v>
      </c>
      <c r="D33" s="1527">
        <v>97.904393977764599</v>
      </c>
      <c r="E33" s="1527">
        <v>162.961384238493</v>
      </c>
      <c r="F33" s="1527">
        <v>156.126796525765</v>
      </c>
      <c r="G33" s="1527">
        <v>314.452927936565</v>
      </c>
      <c r="H33" s="1527">
        <v>371.65050877556502</v>
      </c>
      <c r="I33" s="1527">
        <v>428.12367585999999</v>
      </c>
      <c r="J33" s="1527">
        <v>437.65908882172801</v>
      </c>
      <c r="K33" s="1527">
        <v>512.80703140458502</v>
      </c>
      <c r="L33" s="1527">
        <v>477.98903063730899</v>
      </c>
      <c r="M33" s="1527">
        <v>548.11996591730201</v>
      </c>
      <c r="N33" s="1527">
        <v>567.81094631205997</v>
      </c>
      <c r="O33" s="1527">
        <v>25.432370580000001</v>
      </c>
      <c r="P33" s="1527">
        <v>73.055290274000399</v>
      </c>
      <c r="Q33" s="1527">
        <v>148.76863857999999</v>
      </c>
      <c r="R33" s="1527">
        <v>194.66716736000001</v>
      </c>
      <c r="S33" s="1527">
        <v>273.216440374</v>
      </c>
      <c r="T33" s="1527">
        <v>366.31739779700001</v>
      </c>
      <c r="U33" s="1527">
        <v>408.86797611999998</v>
      </c>
      <c r="V33" s="1527">
        <v>455.17699047439999</v>
      </c>
      <c r="W33" s="1527">
        <v>505.62618545999999</v>
      </c>
      <c r="X33" s="1527">
        <v>570.08154353017005</v>
      </c>
      <c r="Y33" s="1528">
        <v>614.11198536999996</v>
      </c>
      <c r="Z33" s="1528">
        <v>608.978871595751</v>
      </c>
      <c r="AA33" s="1527">
        <v>58.612968729999999</v>
      </c>
      <c r="AB33" s="1527">
        <v>107.72827358000001</v>
      </c>
      <c r="AC33" s="1527">
        <v>173.93937143072</v>
      </c>
      <c r="AD33" s="1527">
        <v>248.1164525714</v>
      </c>
      <c r="AE33" s="1527">
        <v>331.53830718</v>
      </c>
      <c r="AF33" s="1527">
        <v>400.831221628322</v>
      </c>
      <c r="AG33" s="1527">
        <v>492.56006546999998</v>
      </c>
      <c r="AH33" s="1527">
        <v>589.40298894</v>
      </c>
      <c r="AI33" s="1527">
        <v>683.187552193697</v>
      </c>
      <c r="AJ33" s="1527">
        <v>769.87477087000002</v>
      </c>
      <c r="AK33" s="1527">
        <v>859.38294377</v>
      </c>
      <c r="AL33" s="1527">
        <v>914.47284613663396</v>
      </c>
      <c r="AM33" s="1527">
        <v>90.265304299999997</v>
      </c>
      <c r="AN33" s="1527">
        <v>155.74542835</v>
      </c>
      <c r="AO33" s="1528">
        <v>267.86354741999997</v>
      </c>
      <c r="AP33" s="1528">
        <v>345.19407318596001</v>
      </c>
      <c r="AQ33" s="1528">
        <v>437.096771527155</v>
      </c>
      <c r="AR33" s="1528">
        <v>563.30889165099995</v>
      </c>
      <c r="AS33" s="1528">
        <v>655.293673440563</v>
      </c>
      <c r="AT33" s="1528">
        <v>724.17339693326198</v>
      </c>
      <c r="AU33" s="1528">
        <v>832.85080232553003</v>
      </c>
      <c r="AV33" s="1528">
        <v>908.20246158017403</v>
      </c>
      <c r="AW33" s="1528">
        <v>997.44289213619595</v>
      </c>
      <c r="AX33" s="1528">
        <v>1076.42033328</v>
      </c>
      <c r="AY33" s="1528">
        <v>99.649301439996194</v>
      </c>
      <c r="AZ33" s="1528">
        <v>209.84369476000001</v>
      </c>
      <c r="BA33" s="1528">
        <v>311.47722876000103</v>
      </c>
      <c r="BB33" s="1528">
        <v>407.51055966921098</v>
      </c>
      <c r="BC33" s="1528">
        <v>519.69180343999994</v>
      </c>
      <c r="BD33" s="1528">
        <v>613.97764729576602</v>
      </c>
      <c r="BE33" s="1528">
        <v>682.75642176999997</v>
      </c>
      <c r="BF33" s="1528">
        <v>772.32814174999999</v>
      </c>
      <c r="BG33" s="1528">
        <v>829.59716184000001</v>
      </c>
      <c r="BH33" s="1528">
        <v>913.67276397000001</v>
      </c>
      <c r="BI33" s="1528">
        <v>966.48475370000006</v>
      </c>
      <c r="BJ33" s="1528">
        <v>1044.3335692600001</v>
      </c>
      <c r="BK33" s="1528">
        <v>70.950042339999996</v>
      </c>
      <c r="BL33" s="1528">
        <v>179.43776450929599</v>
      </c>
      <c r="BM33" s="1528">
        <v>253.33426555</v>
      </c>
      <c r="BN33" s="1528">
        <v>339.77447188000002</v>
      </c>
      <c r="BO33" s="1528">
        <v>430.72599645999998</v>
      </c>
      <c r="BP33" s="1529" t="s">
        <v>3634</v>
      </c>
      <c r="BQ33" s="1140"/>
      <c r="BR33" s="1139"/>
      <c r="BS33" s="1140"/>
    </row>
    <row r="34" spans="1:71" s="1351" customFormat="1" ht="52.9" customHeight="1" thickTop="1">
      <c r="A34" s="1353" t="s">
        <v>3278</v>
      </c>
      <c r="B34" s="1350"/>
      <c r="C34" s="1350"/>
      <c r="D34" s="1350"/>
      <c r="E34" s="1350"/>
      <c r="F34" s="1350"/>
      <c r="G34" s="1350"/>
      <c r="H34" s="1350"/>
      <c r="I34" s="1350"/>
      <c r="J34" s="1350"/>
      <c r="K34" s="1350"/>
      <c r="L34" s="1350"/>
      <c r="M34" s="1350"/>
      <c r="N34" s="1350"/>
      <c r="O34" s="1350"/>
      <c r="P34" s="1350"/>
      <c r="Q34" s="1350"/>
      <c r="R34" s="1350"/>
      <c r="S34" s="1350"/>
      <c r="T34" s="1350"/>
      <c r="U34" s="1350"/>
      <c r="V34" s="1350"/>
      <c r="W34" s="1350"/>
      <c r="X34" s="1350"/>
      <c r="Y34" s="1350"/>
      <c r="Z34" s="1350"/>
      <c r="AA34" s="1350"/>
      <c r="AB34" s="1350"/>
      <c r="AC34" s="1350"/>
      <c r="AD34" s="1350"/>
      <c r="AE34" s="1350"/>
      <c r="AF34" s="1350"/>
      <c r="AG34" s="1350"/>
      <c r="AH34" s="1350"/>
      <c r="AI34" s="1350"/>
      <c r="AJ34" s="1350"/>
      <c r="AK34" s="1350"/>
    </row>
  </sheetData>
  <mergeCells count="3">
    <mergeCell ref="AI5:BP5"/>
    <mergeCell ref="A2:BP2"/>
    <mergeCell ref="A3:BP3"/>
  </mergeCells>
  <pageMargins left="0.5" right="0.5" top="0.5" bottom="0.5" header="0.3" footer="0.3"/>
  <pageSetup paperSize="9" scale="15"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9">
    <tabColor rgb="FF92D050"/>
  </sheetPr>
  <dimension ref="A1:BS21"/>
  <sheetViews>
    <sheetView showGridLines="0" view="pageBreakPreview" zoomScale="70" zoomScaleNormal="90" zoomScaleSheetLayoutView="70" workbookViewId="0">
      <pane xSplit="1" topLeftCell="BD1" activePane="topRight" state="frozen"/>
      <selection activeCell="B39" sqref="B39"/>
      <selection pane="topRight" activeCell="A12" sqref="A12:AC12"/>
    </sheetView>
  </sheetViews>
  <sheetFormatPr defaultColWidth="9.140625" defaultRowHeight="18"/>
  <cols>
    <col min="1" max="1" width="47.7109375" style="1143" customWidth="1"/>
    <col min="2" max="2" width="16.85546875" style="960" customWidth="1"/>
    <col min="3" max="11" width="18.140625" style="960" hidden="1" customWidth="1"/>
    <col min="12" max="13" width="16.85546875" style="960" hidden="1" customWidth="1"/>
    <col min="14" max="14" width="16.85546875" style="960" customWidth="1"/>
    <col min="15" max="25" width="16.85546875" style="960" hidden="1" customWidth="1"/>
    <col min="26" max="26" width="16.85546875" style="960" bestFit="1" customWidth="1"/>
    <col min="27" max="37" width="16.85546875" style="960" hidden="1" customWidth="1"/>
    <col min="38" max="38" width="16.85546875" style="960" bestFit="1" customWidth="1"/>
    <col min="39" max="49" width="16.85546875" style="960" hidden="1" customWidth="1"/>
    <col min="50" max="56" width="16.85546875" style="960" customWidth="1"/>
    <col min="57" max="57" width="16.85546875" style="960" bestFit="1" customWidth="1"/>
    <col min="58" max="66" width="16.85546875" style="960" customWidth="1"/>
    <col min="67" max="67" width="16.85546875" style="960" bestFit="1" customWidth="1"/>
    <col min="68" max="68" width="34.28515625" style="960" customWidth="1"/>
    <col min="69" max="69" width="19.85546875" style="960" customWidth="1"/>
    <col min="70" max="70" width="9.140625" style="1101"/>
    <col min="71" max="16384" width="9.140625" style="960"/>
  </cols>
  <sheetData>
    <row r="1" spans="1:71" ht="6" customHeight="1">
      <c r="M1" s="1144"/>
    </row>
    <row r="2" spans="1:71" s="961" customFormat="1" ht="30.6" customHeight="1">
      <c r="A2" s="2930" t="s">
        <v>2529</v>
      </c>
      <c r="B2" s="2930"/>
      <c r="C2" s="2930"/>
      <c r="D2" s="2930"/>
      <c r="E2" s="2930"/>
      <c r="F2" s="2930"/>
      <c r="G2" s="2930"/>
      <c r="H2" s="2930"/>
      <c r="I2" s="2930"/>
      <c r="J2" s="2930"/>
      <c r="K2" s="2930"/>
      <c r="L2" s="2930"/>
      <c r="M2" s="2930"/>
      <c r="N2" s="2930"/>
      <c r="O2" s="2930"/>
      <c r="P2" s="2930"/>
      <c r="Q2" s="2930"/>
      <c r="R2" s="2930"/>
      <c r="S2" s="2930"/>
      <c r="T2" s="2930"/>
      <c r="U2" s="2930"/>
      <c r="V2" s="2930"/>
      <c r="W2" s="2930"/>
      <c r="X2" s="2930"/>
      <c r="Y2" s="2930"/>
      <c r="Z2" s="2930"/>
      <c r="AA2" s="2930"/>
      <c r="AB2" s="2930"/>
      <c r="AC2" s="2930"/>
      <c r="AD2" s="2930"/>
      <c r="AE2" s="2930"/>
      <c r="AF2" s="2930"/>
      <c r="AG2" s="2930"/>
      <c r="AH2" s="2930"/>
      <c r="AI2" s="2930"/>
      <c r="AJ2" s="2930"/>
      <c r="AK2" s="2930"/>
      <c r="AL2" s="2930"/>
      <c r="AM2" s="2930"/>
      <c r="AN2" s="2930"/>
      <c r="AO2" s="2930"/>
      <c r="AP2" s="2930"/>
      <c r="AQ2" s="2930"/>
      <c r="AR2" s="2930"/>
      <c r="AS2" s="2930"/>
      <c r="AT2" s="2930"/>
      <c r="AU2" s="2930"/>
      <c r="AV2" s="2930"/>
      <c r="AW2" s="2930"/>
      <c r="AX2" s="2930"/>
      <c r="AY2" s="2930"/>
      <c r="AZ2" s="2930"/>
      <c r="BA2" s="2930"/>
      <c r="BB2" s="2930"/>
      <c r="BC2" s="2930"/>
      <c r="BD2" s="2930"/>
      <c r="BE2" s="2930"/>
      <c r="BF2" s="2930"/>
      <c r="BG2" s="2930"/>
      <c r="BH2" s="2930"/>
      <c r="BI2" s="2930"/>
      <c r="BJ2" s="2930"/>
      <c r="BK2" s="2930"/>
      <c r="BL2" s="2930"/>
      <c r="BM2" s="2930"/>
      <c r="BN2" s="2930"/>
      <c r="BO2" s="2930"/>
      <c r="BP2" s="2930"/>
      <c r="BR2" s="1145"/>
    </row>
    <row r="3" spans="1:71" s="961" customFormat="1" ht="44.25" customHeight="1">
      <c r="A3" s="2931" t="s">
        <v>3284</v>
      </c>
      <c r="B3" s="2931"/>
      <c r="C3" s="2931"/>
      <c r="D3" s="2931"/>
      <c r="E3" s="2931"/>
      <c r="F3" s="2931"/>
      <c r="G3" s="2931"/>
      <c r="H3" s="2931"/>
      <c r="I3" s="2931"/>
      <c r="J3" s="2931"/>
      <c r="K3" s="2931"/>
      <c r="L3" s="2931"/>
      <c r="M3" s="2931"/>
      <c r="N3" s="2931"/>
      <c r="O3" s="2931"/>
      <c r="P3" s="2931"/>
      <c r="Q3" s="2931"/>
      <c r="R3" s="2931"/>
      <c r="S3" s="2931"/>
      <c r="T3" s="2931"/>
      <c r="U3" s="2931"/>
      <c r="V3" s="2931"/>
      <c r="W3" s="2931"/>
      <c r="X3" s="2931"/>
      <c r="Y3" s="2931"/>
      <c r="Z3" s="2931"/>
      <c r="AA3" s="2931"/>
      <c r="AB3" s="2931"/>
      <c r="AC3" s="2931"/>
      <c r="AD3" s="2931"/>
      <c r="AE3" s="2931"/>
      <c r="AF3" s="2931"/>
      <c r="AG3" s="2931"/>
      <c r="AH3" s="2931"/>
      <c r="AI3" s="2931"/>
      <c r="AJ3" s="2931"/>
      <c r="AK3" s="2931"/>
      <c r="AL3" s="2931"/>
      <c r="AM3" s="2931"/>
      <c r="AN3" s="2931"/>
      <c r="AO3" s="2931"/>
      <c r="AP3" s="2931"/>
      <c r="AQ3" s="2931"/>
      <c r="AR3" s="2931"/>
      <c r="AS3" s="2931"/>
      <c r="AT3" s="2931"/>
      <c r="AU3" s="2931"/>
      <c r="AV3" s="2931"/>
      <c r="AW3" s="2931"/>
      <c r="AX3" s="2931"/>
      <c r="AY3" s="2931"/>
      <c r="AZ3" s="2931"/>
      <c r="BA3" s="2931"/>
      <c r="BB3" s="2931"/>
      <c r="BC3" s="2931"/>
      <c r="BD3" s="2931"/>
      <c r="BE3" s="2931"/>
      <c r="BF3" s="2931"/>
      <c r="BG3" s="2931"/>
      <c r="BH3" s="2931"/>
      <c r="BI3" s="2931"/>
      <c r="BJ3" s="2931"/>
      <c r="BK3" s="2931"/>
      <c r="BL3" s="2931"/>
      <c r="BM3" s="2931"/>
      <c r="BN3" s="2931"/>
      <c r="BO3" s="2931"/>
      <c r="BP3" s="2931"/>
      <c r="BR3" s="1145"/>
    </row>
    <row r="4" spans="1:71" s="961" customFormat="1" ht="20.25" customHeight="1">
      <c r="A4" s="1146"/>
      <c r="B4" s="1146"/>
      <c r="C4" s="1146"/>
      <c r="D4" s="1146"/>
      <c r="E4" s="1146"/>
      <c r="F4" s="1146"/>
      <c r="G4" s="1146"/>
      <c r="H4" s="1146"/>
      <c r="I4" s="1146"/>
      <c r="J4" s="1146"/>
      <c r="K4" s="1146"/>
      <c r="L4" s="1146"/>
      <c r="M4" s="1146"/>
      <c r="N4" s="1146"/>
      <c r="O4" s="1146"/>
      <c r="P4" s="1146"/>
      <c r="Q4" s="1146"/>
      <c r="R4" s="1146"/>
      <c r="S4" s="1146"/>
      <c r="T4" s="1146"/>
      <c r="U4" s="1146"/>
      <c r="V4" s="1146"/>
      <c r="W4" s="1146"/>
      <c r="X4" s="1146"/>
      <c r="Y4" s="1146"/>
      <c r="Z4" s="1146"/>
      <c r="AA4" s="1146"/>
      <c r="AB4" s="1146"/>
      <c r="AC4" s="1146"/>
      <c r="AD4" s="1146"/>
      <c r="AE4" s="1146"/>
      <c r="AF4" s="1146"/>
      <c r="AG4" s="1146"/>
      <c r="AH4" s="1146"/>
      <c r="AI4" s="1146"/>
      <c r="AJ4" s="1146"/>
      <c r="AK4" s="1146"/>
      <c r="AL4" s="1146"/>
      <c r="AM4" s="1146"/>
      <c r="AN4" s="1173"/>
      <c r="AO4" s="1173"/>
      <c r="AP4" s="1173"/>
      <c r="AQ4" s="1173"/>
      <c r="AR4" s="1173"/>
      <c r="AS4" s="1173"/>
      <c r="AT4" s="1173"/>
      <c r="AU4" s="1173"/>
      <c r="AV4" s="1173"/>
      <c r="AW4" s="1173"/>
      <c r="AX4" s="1173"/>
      <c r="AY4" s="1173"/>
      <c r="AZ4" s="1173"/>
      <c r="BA4" s="1173"/>
      <c r="BB4" s="1173"/>
      <c r="BC4" s="1173"/>
      <c r="BD4" s="1173"/>
      <c r="BE4" s="1173"/>
      <c r="BF4" s="1173"/>
      <c r="BG4" s="1173"/>
      <c r="BH4" s="1173"/>
      <c r="BI4" s="1173"/>
      <c r="BJ4" s="1173"/>
      <c r="BK4" s="1173"/>
      <c r="BL4" s="1173"/>
      <c r="BM4" s="1173"/>
      <c r="BN4" s="1173"/>
      <c r="BO4" s="1173"/>
      <c r="BP4" s="1173"/>
      <c r="BR4" s="1145"/>
    </row>
    <row r="5" spans="1:71" s="961" customFormat="1" ht="20.25" customHeight="1" thickBot="1">
      <c r="A5" s="2932" t="s">
        <v>8</v>
      </c>
      <c r="B5" s="2932"/>
      <c r="C5" s="2932"/>
      <c r="D5" s="2932"/>
      <c r="E5" s="2932"/>
      <c r="F5" s="2932"/>
      <c r="G5" s="2932"/>
      <c r="H5" s="2932"/>
      <c r="I5" s="2932"/>
      <c r="J5" s="2932"/>
      <c r="K5" s="2932"/>
      <c r="L5" s="2932"/>
      <c r="M5" s="2932"/>
      <c r="N5" s="2932"/>
      <c r="O5" s="2932"/>
      <c r="P5" s="2932"/>
      <c r="Q5" s="2932"/>
      <c r="R5" s="2932"/>
      <c r="S5" s="2932"/>
      <c r="T5" s="2932"/>
      <c r="U5" s="2932"/>
      <c r="V5" s="2932"/>
      <c r="W5" s="2932"/>
      <c r="X5" s="2932"/>
      <c r="Y5" s="2932"/>
      <c r="Z5" s="2932"/>
      <c r="AA5" s="2932"/>
      <c r="AB5" s="2932"/>
      <c r="AC5" s="2932"/>
      <c r="AD5" s="2932"/>
      <c r="AE5" s="2932"/>
      <c r="AF5" s="2932"/>
      <c r="AG5" s="2932"/>
      <c r="AH5" s="2932"/>
      <c r="AI5" s="2932"/>
      <c r="AJ5" s="2932"/>
      <c r="AK5" s="2932"/>
      <c r="AL5" s="2932"/>
      <c r="AM5" s="2932"/>
      <c r="AN5" s="2932"/>
      <c r="AO5" s="2932"/>
      <c r="AP5" s="2932"/>
      <c r="AQ5" s="2932"/>
      <c r="AR5" s="2932"/>
      <c r="AS5" s="2932"/>
      <c r="AT5" s="2932"/>
      <c r="AU5" s="2932"/>
      <c r="AV5" s="2932"/>
      <c r="AW5" s="2932"/>
      <c r="AX5" s="2932"/>
      <c r="AY5" s="2932"/>
      <c r="AZ5" s="2932"/>
      <c r="BA5" s="2932"/>
      <c r="BB5" s="2932"/>
      <c r="BC5" s="2932"/>
      <c r="BD5" s="2932"/>
      <c r="BE5" s="2932"/>
      <c r="BF5" s="2932"/>
      <c r="BG5" s="2932"/>
      <c r="BH5" s="2932"/>
      <c r="BI5" s="2932"/>
      <c r="BJ5" s="2932"/>
      <c r="BK5" s="2932"/>
      <c r="BL5" s="2932"/>
      <c r="BM5" s="2932"/>
      <c r="BN5" s="2932"/>
      <c r="BO5" s="2932"/>
      <c r="BP5" s="2932"/>
      <c r="BR5" s="1145"/>
    </row>
    <row r="6" spans="1:71" ht="49.5" customHeight="1" thickBot="1">
      <c r="A6" s="1147" t="s">
        <v>2525</v>
      </c>
      <c r="B6" s="1148">
        <v>43830</v>
      </c>
      <c r="C6" s="1049">
        <v>43861</v>
      </c>
      <c r="D6" s="1049">
        <v>43890</v>
      </c>
      <c r="E6" s="1049">
        <v>43921</v>
      </c>
      <c r="F6" s="1049" t="s">
        <v>2580</v>
      </c>
      <c r="G6" s="1049" t="s">
        <v>2590</v>
      </c>
      <c r="H6" s="1049">
        <v>44012</v>
      </c>
      <c r="I6" s="1049">
        <v>44043</v>
      </c>
      <c r="J6" s="1049">
        <v>44074</v>
      </c>
      <c r="K6" s="1049">
        <v>44104</v>
      </c>
      <c r="L6" s="1049">
        <v>44135</v>
      </c>
      <c r="M6" s="1049">
        <v>44165</v>
      </c>
      <c r="N6" s="1049">
        <v>44196</v>
      </c>
      <c r="O6" s="1049">
        <v>44227</v>
      </c>
      <c r="P6" s="1049">
        <v>44255</v>
      </c>
      <c r="Q6" s="1049">
        <v>44286</v>
      </c>
      <c r="R6" s="1049">
        <v>44316</v>
      </c>
      <c r="S6" s="1049">
        <v>44347</v>
      </c>
      <c r="T6" s="1049">
        <v>44377</v>
      </c>
      <c r="U6" s="1049">
        <v>44408</v>
      </c>
      <c r="V6" s="1049">
        <v>44439</v>
      </c>
      <c r="W6" s="1049">
        <v>44469</v>
      </c>
      <c r="X6" s="1149">
        <v>44500</v>
      </c>
      <c r="Y6" s="1149">
        <v>44530</v>
      </c>
      <c r="Z6" s="1149">
        <v>44561</v>
      </c>
      <c r="AA6" s="1149">
        <v>44592</v>
      </c>
      <c r="AB6" s="1149">
        <v>44620</v>
      </c>
      <c r="AC6" s="1149">
        <v>44651</v>
      </c>
      <c r="AD6" s="1049">
        <v>44681</v>
      </c>
      <c r="AE6" s="1049">
        <v>44712</v>
      </c>
      <c r="AF6" s="1049">
        <v>44742</v>
      </c>
      <c r="AG6" s="1049">
        <v>44773</v>
      </c>
      <c r="AH6" s="1049">
        <v>44804</v>
      </c>
      <c r="AI6" s="1049">
        <v>44834</v>
      </c>
      <c r="AJ6" s="1049">
        <v>44865</v>
      </c>
      <c r="AK6" s="1049">
        <v>44895</v>
      </c>
      <c r="AL6" s="1049">
        <v>44926</v>
      </c>
      <c r="AM6" s="1049">
        <v>44957</v>
      </c>
      <c r="AN6" s="1049">
        <v>44985</v>
      </c>
      <c r="AO6" s="1049">
        <v>45016</v>
      </c>
      <c r="AP6" s="1049">
        <v>45046</v>
      </c>
      <c r="AQ6" s="1049">
        <v>45077</v>
      </c>
      <c r="AR6" s="1049">
        <v>45107</v>
      </c>
      <c r="AS6" s="1049">
        <v>45138</v>
      </c>
      <c r="AT6" s="1049">
        <v>45169</v>
      </c>
      <c r="AU6" s="1049">
        <v>45199</v>
      </c>
      <c r="AV6" s="1049">
        <v>45230</v>
      </c>
      <c r="AW6" s="1049">
        <v>45260</v>
      </c>
      <c r="AX6" s="1049">
        <v>45291</v>
      </c>
      <c r="AY6" s="1049">
        <v>45322</v>
      </c>
      <c r="AZ6" s="1049">
        <v>45351</v>
      </c>
      <c r="BA6" s="1049">
        <v>45382</v>
      </c>
      <c r="BB6" s="1049">
        <v>45412</v>
      </c>
      <c r="BC6" s="1049">
        <v>45443</v>
      </c>
      <c r="BD6" s="1049">
        <v>45473</v>
      </c>
      <c r="BE6" s="1049">
        <v>45504</v>
      </c>
      <c r="BF6" s="1049">
        <v>45535</v>
      </c>
      <c r="BG6" s="1049">
        <v>45565</v>
      </c>
      <c r="BH6" s="1049">
        <v>45596</v>
      </c>
      <c r="BI6" s="1049">
        <v>45626</v>
      </c>
      <c r="BJ6" s="1049">
        <v>45657</v>
      </c>
      <c r="BK6" s="1049">
        <v>45688</v>
      </c>
      <c r="BL6" s="2150">
        <v>45716</v>
      </c>
      <c r="BM6" s="2150">
        <v>45747</v>
      </c>
      <c r="BN6" s="2150">
        <v>45777</v>
      </c>
      <c r="BO6" s="2061">
        <v>45808</v>
      </c>
      <c r="BP6" s="1361" t="s">
        <v>3556</v>
      </c>
    </row>
    <row r="7" spans="1:71" ht="47.25" customHeight="1">
      <c r="A7" s="1150" t="s">
        <v>3269</v>
      </c>
      <c r="B7" s="1151">
        <f>14900935.2388034/1000</f>
        <v>14900.9352388034</v>
      </c>
      <c r="C7" s="1152">
        <f>15116371.44325/1000</f>
        <v>15116.37144325</v>
      </c>
      <c r="D7" s="1152">
        <v>15299</v>
      </c>
      <c r="E7" s="1152">
        <v>15232.732370605599</v>
      </c>
      <c r="F7" s="1152">
        <v>14742.1609655675</v>
      </c>
      <c r="G7" s="1152">
        <v>14361.020016311701</v>
      </c>
      <c r="H7" s="1152">
        <v>14169.7916186724</v>
      </c>
      <c r="I7" s="1152">
        <v>14204.549706681701</v>
      </c>
      <c r="J7" s="1152">
        <v>14304.2281735577</v>
      </c>
      <c r="K7" s="1152">
        <v>14497.027014687999</v>
      </c>
      <c r="L7" s="1152">
        <v>14409.3148820396</v>
      </c>
      <c r="M7" s="1152">
        <v>14304.744592270101</v>
      </c>
      <c r="N7" s="1152">
        <v>14156.9795354296</v>
      </c>
      <c r="O7" s="1152">
        <v>14213.7955625211</v>
      </c>
      <c r="P7" s="1152">
        <v>14246.099123587101</v>
      </c>
      <c r="Q7" s="1152">
        <v>14352.3548978935</v>
      </c>
      <c r="R7" s="1152">
        <v>14611.8145951636</v>
      </c>
      <c r="S7" s="1152">
        <v>14691.399157010501</v>
      </c>
      <c r="T7" s="1152">
        <v>14856.889780031601</v>
      </c>
      <c r="U7" s="1152">
        <v>14966.4982082432</v>
      </c>
      <c r="V7" s="1152">
        <v>15206.8490947091</v>
      </c>
      <c r="W7" s="1152">
        <v>15538.669058032599</v>
      </c>
      <c r="X7" s="1153">
        <v>15997.255905959901</v>
      </c>
      <c r="Y7" s="1153">
        <v>16281.9655474426</v>
      </c>
      <c r="Z7" s="1153">
        <v>16659.1139423282</v>
      </c>
      <c r="AA7" s="1153">
        <v>16781.439074845301</v>
      </c>
      <c r="AB7" s="1153">
        <v>17126.533211405698</v>
      </c>
      <c r="AC7" s="1153">
        <v>17528.185609502601</v>
      </c>
      <c r="AD7" s="1152">
        <v>17840.380523788201</v>
      </c>
      <c r="AE7" s="1152">
        <v>18098.283291124499</v>
      </c>
      <c r="AF7" s="1152">
        <v>18320.0215140129</v>
      </c>
      <c r="AG7" s="1152">
        <v>18487.445165762099</v>
      </c>
      <c r="AH7" s="1152">
        <v>18638.6347982097</v>
      </c>
      <c r="AI7" s="1152">
        <v>19157.176561456799</v>
      </c>
      <c r="AJ7" s="1152">
        <v>19470.7845801437</v>
      </c>
      <c r="AK7" s="1152">
        <v>19674.178382202601</v>
      </c>
      <c r="AL7" s="1152">
        <v>19594.3555676619</v>
      </c>
      <c r="AM7" s="1152">
        <v>19669.591816208002</v>
      </c>
      <c r="AN7" s="1152">
        <v>19757.429416209201</v>
      </c>
      <c r="AO7" s="1152">
        <v>20038.596163516901</v>
      </c>
      <c r="AP7" s="1152">
        <v>20379.627516663699</v>
      </c>
      <c r="AQ7" s="1152">
        <v>20659.269192317901</v>
      </c>
      <c r="AR7" s="1152">
        <v>21296.236125417599</v>
      </c>
      <c r="AS7" s="1152">
        <v>21371.9913058085</v>
      </c>
      <c r="AT7" s="1152">
        <v>21814.187154987401</v>
      </c>
      <c r="AU7" s="1152">
        <v>22281.884370937401</v>
      </c>
      <c r="AV7" s="1152">
        <v>22459.711090514498</v>
      </c>
      <c r="AW7" s="1152">
        <v>22881.231065023101</v>
      </c>
      <c r="AX7" s="1152">
        <v>23182.953697219102</v>
      </c>
      <c r="AY7" s="1152">
        <v>23566.352779695699</v>
      </c>
      <c r="AZ7" s="1152">
        <v>23833.019223279101</v>
      </c>
      <c r="BA7" s="1152">
        <v>24102.613418345802</v>
      </c>
      <c r="BB7" s="1152">
        <v>24644.4506134642</v>
      </c>
      <c r="BC7" s="1152">
        <v>25158.180641573301</v>
      </c>
      <c r="BD7" s="1152">
        <v>25429.517085801599</v>
      </c>
      <c r="BE7" s="1152">
        <v>25694.7094183232</v>
      </c>
      <c r="BF7" s="1152">
        <v>26075.610911605701</v>
      </c>
      <c r="BG7" s="1152">
        <v>26705.971771927601</v>
      </c>
      <c r="BH7" s="1152">
        <v>27080.522900335</v>
      </c>
      <c r="BI7" s="1152">
        <v>27368.147624521502</v>
      </c>
      <c r="BJ7" s="1152">
        <v>27477.675039954898</v>
      </c>
      <c r="BK7" s="1152">
        <v>27514.700383449701</v>
      </c>
      <c r="BL7" s="1153">
        <v>27592.3675533604</v>
      </c>
      <c r="BM7" s="1153">
        <v>27877.1196313092</v>
      </c>
      <c r="BN7" s="1153">
        <v>28096.518235267398</v>
      </c>
      <c r="BO7" s="1152">
        <v>28386.504129201199</v>
      </c>
      <c r="BP7" s="1362" t="s">
        <v>3635</v>
      </c>
      <c r="BQ7" s="1269"/>
    </row>
    <row r="8" spans="1:71" ht="21.75" customHeight="1">
      <c r="A8" s="1154" t="s">
        <v>2752</v>
      </c>
      <c r="B8" s="1155"/>
      <c r="C8" s="1156"/>
      <c r="D8" s="1156"/>
      <c r="E8" s="1156"/>
      <c r="F8" s="1156"/>
      <c r="G8" s="1156"/>
      <c r="H8" s="1156"/>
      <c r="I8" s="1156"/>
      <c r="J8" s="1156"/>
      <c r="K8" s="1156"/>
      <c r="L8" s="1156"/>
      <c r="M8" s="1156"/>
      <c r="N8" s="1156"/>
      <c r="O8" s="1156"/>
      <c r="P8" s="1156"/>
      <c r="Q8" s="1156"/>
      <c r="R8" s="1156"/>
      <c r="S8" s="1156"/>
      <c r="T8" s="1156"/>
      <c r="U8" s="1156"/>
      <c r="V8" s="1156"/>
      <c r="W8" s="1156"/>
      <c r="X8" s="1157"/>
      <c r="Y8" s="1157"/>
      <c r="Z8" s="1157"/>
      <c r="AA8" s="1157"/>
      <c r="AB8" s="1157"/>
      <c r="AC8" s="1157"/>
      <c r="AD8" s="1156"/>
      <c r="AE8" s="1156"/>
      <c r="AF8" s="1156"/>
      <c r="AG8" s="1156"/>
      <c r="AH8" s="1156"/>
      <c r="AI8" s="1156"/>
      <c r="AJ8" s="1156"/>
      <c r="AK8" s="1156"/>
      <c r="AL8" s="1156"/>
      <c r="AM8" s="1156"/>
      <c r="AN8" s="1156"/>
      <c r="AO8" s="1156"/>
      <c r="AP8" s="1156"/>
      <c r="AQ8" s="1156"/>
      <c r="AR8" s="1156"/>
      <c r="AS8" s="1156"/>
      <c r="AT8" s="1156"/>
      <c r="AU8" s="1156"/>
      <c r="AV8" s="1156"/>
      <c r="AW8" s="1156"/>
      <c r="AX8" s="1156"/>
      <c r="AY8" s="1156"/>
      <c r="AZ8" s="1156"/>
      <c r="BA8" s="1156"/>
      <c r="BB8" s="1156"/>
      <c r="BC8" s="1156"/>
      <c r="BD8" s="1156"/>
      <c r="BE8" s="1156"/>
      <c r="BF8" s="1156"/>
      <c r="BG8" s="1156"/>
      <c r="BH8" s="1156"/>
      <c r="BI8" s="1156"/>
      <c r="BJ8" s="1156"/>
      <c r="BK8" s="1156"/>
      <c r="BL8" s="1157"/>
      <c r="BM8" s="1157"/>
      <c r="BN8" s="1157"/>
      <c r="BO8" s="1156"/>
      <c r="BP8" s="1364" t="s">
        <v>3636</v>
      </c>
      <c r="BQ8" s="1269"/>
    </row>
    <row r="9" spans="1:71" ht="42.6" customHeight="1">
      <c r="A9" s="1158" t="s">
        <v>2526</v>
      </c>
      <c r="B9" s="1159">
        <f>9031554.58035958/1000</f>
        <v>9031.5545803595796</v>
      </c>
      <c r="C9" s="1160">
        <f>9204734.07254856/1000</f>
        <v>9204.734072548561</v>
      </c>
      <c r="D9" s="1160">
        <v>9320</v>
      </c>
      <c r="E9" s="1160">
        <v>9365.6810480739696</v>
      </c>
      <c r="F9" s="1160">
        <v>9086.2111487842103</v>
      </c>
      <c r="G9" s="1160">
        <v>8803.5204885051407</v>
      </c>
      <c r="H9" s="1160">
        <v>8623.7086235222305</v>
      </c>
      <c r="I9" s="1160">
        <v>8627.8520207464298</v>
      </c>
      <c r="J9" s="1160">
        <v>8644.8504572669099</v>
      </c>
      <c r="K9" s="1160">
        <v>8741.1131108438294</v>
      </c>
      <c r="L9" s="1160">
        <v>8679.7547216399598</v>
      </c>
      <c r="M9" s="1160">
        <v>8576.4199081765</v>
      </c>
      <c r="N9" s="1160">
        <v>8478.2732420388493</v>
      </c>
      <c r="O9" s="1160">
        <v>8456.6530172459898</v>
      </c>
      <c r="P9" s="1160">
        <v>8530.7241070030104</v>
      </c>
      <c r="Q9" s="1160">
        <v>8565.19977037832</v>
      </c>
      <c r="R9" s="1160">
        <v>8687.9569847346193</v>
      </c>
      <c r="S9" s="1160">
        <v>8681.3914955681503</v>
      </c>
      <c r="T9" s="1160">
        <v>8729.4295989843304</v>
      </c>
      <c r="U9" s="1160">
        <v>8728.4506807199505</v>
      </c>
      <c r="V9" s="1160">
        <v>8810.0314103063192</v>
      </c>
      <c r="W9" s="1160">
        <v>9002.3337944931809</v>
      </c>
      <c r="X9" s="1161">
        <v>9352.3577934536406</v>
      </c>
      <c r="Y9" s="1161">
        <v>9526.2215396708107</v>
      </c>
      <c r="Z9" s="1161">
        <v>9740.0273733666909</v>
      </c>
      <c r="AA9" s="1161">
        <v>9746.5470725668401</v>
      </c>
      <c r="AB9" s="1161">
        <v>9972.8923026190005</v>
      </c>
      <c r="AC9" s="1161">
        <v>10182.345403994599</v>
      </c>
      <c r="AD9" s="1160">
        <v>10328.283719864699</v>
      </c>
      <c r="AE9" s="1160">
        <v>10414.01018178</v>
      </c>
      <c r="AF9" s="1160">
        <v>10481.711144418799</v>
      </c>
      <c r="AG9" s="1160">
        <v>10497.0466317302</v>
      </c>
      <c r="AH9" s="1160">
        <v>10491.951041574381</v>
      </c>
      <c r="AI9" s="1160">
        <v>10780.9439636307</v>
      </c>
      <c r="AJ9" s="1160">
        <v>10912.557114003699</v>
      </c>
      <c r="AK9" s="1160">
        <v>10975.828657382412</v>
      </c>
      <c r="AL9" s="1160">
        <v>10855.0619328595</v>
      </c>
      <c r="AM9" s="1160">
        <v>10845.560779616701</v>
      </c>
      <c r="AN9" s="1160">
        <v>10835.578601880799</v>
      </c>
      <c r="AO9" s="1160">
        <v>10971.3967768488</v>
      </c>
      <c r="AP9" s="1160">
        <v>11107.957597250899</v>
      </c>
      <c r="AQ9" s="1160">
        <v>11170.8055462252</v>
      </c>
      <c r="AR9" s="1160">
        <v>11650.5031040751</v>
      </c>
      <c r="AS9" s="1160">
        <v>11622.688762838899</v>
      </c>
      <c r="AT9" s="1160">
        <v>11821.791771283601</v>
      </c>
      <c r="AU9" s="1160">
        <v>12078.6747372461</v>
      </c>
      <c r="AV9" s="1160">
        <v>12246.3869346131</v>
      </c>
      <c r="AW9" s="1160">
        <v>12421.2469256614</v>
      </c>
      <c r="AX9" s="1160">
        <v>12616.787114836399</v>
      </c>
      <c r="AY9" s="1160">
        <v>12912.916752994601</v>
      </c>
      <c r="AZ9" s="1160">
        <v>13063.7357667661</v>
      </c>
      <c r="BA9" s="1160">
        <v>13201.539828995899</v>
      </c>
      <c r="BB9" s="1160">
        <v>13476.3615803586</v>
      </c>
      <c r="BC9" s="1160">
        <v>13784.729112602799</v>
      </c>
      <c r="BD9" s="1160">
        <v>13874.820979424099</v>
      </c>
      <c r="BE9" s="1160">
        <v>13910.090151055099</v>
      </c>
      <c r="BF9" s="1160">
        <v>13999.8433346194</v>
      </c>
      <c r="BG9" s="1160">
        <v>14407.8515522007</v>
      </c>
      <c r="BH9" s="1160">
        <v>14628.148740021799</v>
      </c>
      <c r="BI9" s="1160">
        <v>14746.682807200599</v>
      </c>
      <c r="BJ9" s="1160">
        <v>14787.1851946734</v>
      </c>
      <c r="BK9" s="1160">
        <v>14709.9177021613</v>
      </c>
      <c r="BL9" s="1161">
        <v>14776.9784619727</v>
      </c>
      <c r="BM9" s="1161">
        <v>14935.0383741286</v>
      </c>
      <c r="BN9" s="1161">
        <v>14952.6763686257</v>
      </c>
      <c r="BO9" s="1160">
        <v>15099.9752762721</v>
      </c>
      <c r="BP9" s="1363" t="s">
        <v>3558</v>
      </c>
      <c r="BQ9" s="1269"/>
      <c r="BS9" s="1101"/>
    </row>
    <row r="10" spans="1:71" ht="42.6" customHeight="1">
      <c r="A10" s="1158" t="s">
        <v>2527</v>
      </c>
      <c r="B10" s="1159">
        <v>4075.2996161158203</v>
      </c>
      <c r="C10" s="1160">
        <v>4117</v>
      </c>
      <c r="D10" s="1160">
        <f>D7-D9-D11</f>
        <v>4140</v>
      </c>
      <c r="E10" s="1160">
        <f>E7-E9-E11</f>
        <v>3997.54851016563</v>
      </c>
      <c r="F10" s="1160">
        <v>3813.58604906131</v>
      </c>
      <c r="G10" s="1160">
        <v>3732.38447763052</v>
      </c>
      <c r="H10" s="1160">
        <v>3684.02008196421</v>
      </c>
      <c r="I10" s="1160">
        <v>3676.3274270513098</v>
      </c>
      <c r="J10" s="1160">
        <v>3736.93684552583</v>
      </c>
      <c r="K10" s="1160">
        <v>3808.5589581781601</v>
      </c>
      <c r="L10" s="1160">
        <v>3746.7136044906001</v>
      </c>
      <c r="M10" s="1160">
        <v>3730.9140567115501</v>
      </c>
      <c r="N10" s="1160">
        <v>3661.2341626307798</v>
      </c>
      <c r="O10" s="1160">
        <v>3702.5870864801</v>
      </c>
      <c r="P10" s="1160">
        <v>3634.0159463651098</v>
      </c>
      <c r="Q10" s="1160">
        <v>3680.4317218861702</v>
      </c>
      <c r="R10" s="1160">
        <v>3777.7684898810098</v>
      </c>
      <c r="S10" s="1160">
        <v>3847.31420429032</v>
      </c>
      <c r="T10" s="1160">
        <v>3939.8826836162102</v>
      </c>
      <c r="U10" s="1160">
        <v>4024.6339624112502</v>
      </c>
      <c r="V10" s="1160">
        <v>4132.9137579377402</v>
      </c>
      <c r="W10" s="1160">
        <v>4238.9990447283999</v>
      </c>
      <c r="X10" s="1161">
        <v>4314.6982107272597</v>
      </c>
      <c r="Y10" s="1161">
        <v>4400.38210608383</v>
      </c>
      <c r="Z10" s="1161">
        <v>4518.4305427454801</v>
      </c>
      <c r="AA10" s="1161">
        <v>4616.9806062794896</v>
      </c>
      <c r="AB10" s="1161">
        <v>4691.8332097017501</v>
      </c>
      <c r="AC10" s="1161">
        <v>4831.3088795529302</v>
      </c>
      <c r="AD10" s="1160">
        <v>4940.5627041954604</v>
      </c>
      <c r="AE10" s="1160">
        <v>5075.3588169995501</v>
      </c>
      <c r="AF10" s="1160">
        <v>5189.8011099740997</v>
      </c>
      <c r="AG10" s="1160">
        <v>5315.0369886608596</v>
      </c>
      <c r="AH10" s="1160">
        <v>5416.56866060632</v>
      </c>
      <c r="AI10" s="1160">
        <v>5601.5897617810597</v>
      </c>
      <c r="AJ10" s="1160">
        <v>5696.7086805500403</v>
      </c>
      <c r="AK10" s="1160">
        <v>5771.671512477189</v>
      </c>
      <c r="AL10" s="1160">
        <v>5754.1449353284897</v>
      </c>
      <c r="AM10" s="1160">
        <v>5811.8651133032299</v>
      </c>
      <c r="AN10" s="1160">
        <v>5863.5669439863896</v>
      </c>
      <c r="AO10" s="1160">
        <v>5942.4446307431099</v>
      </c>
      <c r="AP10" s="1160">
        <v>6072.3402430998103</v>
      </c>
      <c r="AQ10" s="1160">
        <v>6224.5267704956696</v>
      </c>
      <c r="AR10" s="1160">
        <v>6324.7371684745403</v>
      </c>
      <c r="AS10" s="1160">
        <v>6376.0409298506102</v>
      </c>
      <c r="AT10" s="1160">
        <v>6532.51545105487</v>
      </c>
      <c r="AU10" s="1160">
        <v>6680.1144876922299</v>
      </c>
      <c r="AV10" s="1160">
        <v>6751.3345430823701</v>
      </c>
      <c r="AW10" s="1160">
        <v>6869.7115985856499</v>
      </c>
      <c r="AX10" s="1160">
        <v>6937.0024464386797</v>
      </c>
      <c r="AY10" s="1160">
        <v>7007.9614491870998</v>
      </c>
      <c r="AZ10" s="1160">
        <v>7077.30996172904</v>
      </c>
      <c r="BA10" s="1160">
        <v>7141.92909568086</v>
      </c>
      <c r="BB10" s="1160">
        <v>7326.9540633665501</v>
      </c>
      <c r="BC10" s="1160">
        <v>7480.1594621014701</v>
      </c>
      <c r="BD10" s="1160">
        <v>7633.8314563884196</v>
      </c>
      <c r="BE10" s="1160">
        <v>7765.1402645091503</v>
      </c>
      <c r="BF10" s="1160">
        <v>7978.8146839872697</v>
      </c>
      <c r="BG10" s="1160">
        <v>8152.78570888792</v>
      </c>
      <c r="BH10" s="1160">
        <v>8277.7967586541708</v>
      </c>
      <c r="BI10" s="1160">
        <v>8422.88027564191</v>
      </c>
      <c r="BJ10" s="1160">
        <v>8444.9624314924895</v>
      </c>
      <c r="BK10" s="1160">
        <v>8551.6756340093798</v>
      </c>
      <c r="BL10" s="1161">
        <v>8543.9989992216706</v>
      </c>
      <c r="BM10" s="1161">
        <v>8603.6107015626203</v>
      </c>
      <c r="BN10" s="1161">
        <v>8747.6487526637102</v>
      </c>
      <c r="BO10" s="1160">
        <v>8881.9275138840894</v>
      </c>
      <c r="BP10" s="1363" t="s">
        <v>3559</v>
      </c>
      <c r="BQ10" s="1269"/>
    </row>
    <row r="11" spans="1:71" ht="42.6" customHeight="1" thickBot="1">
      <c r="A11" s="1162" t="s">
        <v>2528</v>
      </c>
      <c r="B11" s="1163">
        <v>1794.041042328</v>
      </c>
      <c r="C11" s="1164">
        <v>1794.7</v>
      </c>
      <c r="D11" s="1164">
        <v>1839</v>
      </c>
      <c r="E11" s="1164">
        <v>1869.5028123659999</v>
      </c>
      <c r="F11" s="1164">
        <v>1842.3637677219999</v>
      </c>
      <c r="G11" s="1164">
        <v>1825.1150501760001</v>
      </c>
      <c r="H11" s="1164">
        <v>1862.0629131860001</v>
      </c>
      <c r="I11" s="1164">
        <v>1900.280258884</v>
      </c>
      <c r="J11" s="1164">
        <v>1922.440870765</v>
      </c>
      <c r="K11" s="1164">
        <v>1947.354945666</v>
      </c>
      <c r="L11" s="1164">
        <v>1982.846555909</v>
      </c>
      <c r="M11" s="1164">
        <v>1997.3506273820001</v>
      </c>
      <c r="N11" s="1164">
        <v>2017.47213076</v>
      </c>
      <c r="O11" s="1164">
        <v>2054.4554587950001</v>
      </c>
      <c r="P11" s="1164">
        <v>2081.3590702189999</v>
      </c>
      <c r="Q11" s="1164">
        <v>2106.8234056289998</v>
      </c>
      <c r="R11" s="1164">
        <v>2146.0491205479998</v>
      </c>
      <c r="S11" s="1164">
        <v>2162.6934571520001</v>
      </c>
      <c r="T11" s="1164">
        <v>2187.5774974310002</v>
      </c>
      <c r="U11" s="1164">
        <v>2213.413565112</v>
      </c>
      <c r="V11" s="1164">
        <v>2263.903926465</v>
      </c>
      <c r="W11" s="1164">
        <v>2297.4362188109999</v>
      </c>
      <c r="X11" s="1165">
        <v>2330.2099017790001</v>
      </c>
      <c r="Y11" s="1165">
        <v>2355.3619016880002</v>
      </c>
      <c r="Z11" s="1165">
        <v>2400.6560262160001</v>
      </c>
      <c r="AA11" s="1165">
        <v>2417.911395999</v>
      </c>
      <c r="AB11" s="1165">
        <v>2461.807699085</v>
      </c>
      <c r="AC11" s="1165">
        <v>2514.5513259549998</v>
      </c>
      <c r="AD11" s="1164">
        <v>2571.534099728</v>
      </c>
      <c r="AE11" s="1164">
        <v>2608.9142923449999</v>
      </c>
      <c r="AF11" s="1164">
        <v>2648.5092596200002</v>
      </c>
      <c r="AG11" s="1164">
        <v>2675.3615453709999</v>
      </c>
      <c r="AH11" s="1164">
        <v>2730.0150960289998</v>
      </c>
      <c r="AI11" s="1164">
        <v>2774.6528360450002</v>
      </c>
      <c r="AJ11" s="1164">
        <v>2861.5187855899999</v>
      </c>
      <c r="AK11" s="1164">
        <v>2926.6782123429998</v>
      </c>
      <c r="AL11" s="1164">
        <v>2985.1586994740001</v>
      </c>
      <c r="AM11" s="1164">
        <v>3012.1659232880002</v>
      </c>
      <c r="AN11" s="1164">
        <v>3058.1838703419999</v>
      </c>
      <c r="AO11" s="1164">
        <v>3124.7547559250002</v>
      </c>
      <c r="AP11" s="1164">
        <v>3199.3296763130002</v>
      </c>
      <c r="AQ11" s="1164">
        <v>3263.9568755969999</v>
      </c>
      <c r="AR11" s="1164">
        <v>3320.9958528679999</v>
      </c>
      <c r="AS11" s="1164">
        <v>3373.2616131189998</v>
      </c>
      <c r="AT11" s="1164">
        <v>3459.8799326489998</v>
      </c>
      <c r="AU11" s="1164">
        <v>3523.0951459990001</v>
      </c>
      <c r="AV11" s="1164">
        <v>3461.9896128189998</v>
      </c>
      <c r="AW11" s="1164">
        <v>3590.2625407760002</v>
      </c>
      <c r="AX11" s="1164">
        <v>3629.164135944</v>
      </c>
      <c r="AY11" s="1164">
        <v>3645.474577514</v>
      </c>
      <c r="AZ11" s="1164">
        <v>3691.9734947840002</v>
      </c>
      <c r="BA11" s="1164">
        <v>3759.1544936690002</v>
      </c>
      <c r="BB11" s="1164">
        <v>3841.1349697390001</v>
      </c>
      <c r="BC11" s="1164">
        <v>3893.2920668689999</v>
      </c>
      <c r="BD11" s="1164">
        <v>3920.8446499890001</v>
      </c>
      <c r="BE11" s="1164">
        <v>4019.4790027590002</v>
      </c>
      <c r="BF11" s="1164">
        <v>4096.9528929990001</v>
      </c>
      <c r="BG11" s="1164">
        <v>4145.3345108390004</v>
      </c>
      <c r="BH11" s="1164">
        <v>4174.5774016590003</v>
      </c>
      <c r="BI11" s="1164">
        <v>4198.5845416789998</v>
      </c>
      <c r="BJ11" s="1164">
        <v>4245.5274137890001</v>
      </c>
      <c r="BK11" s="1164">
        <v>4253.1070472789997</v>
      </c>
      <c r="BL11" s="1165">
        <v>4271.3900921659997</v>
      </c>
      <c r="BM11" s="1165">
        <v>4338.4705556179997</v>
      </c>
      <c r="BN11" s="1165">
        <v>4396.1931139779999</v>
      </c>
      <c r="BO11" s="1164">
        <v>4404.6013390449998</v>
      </c>
      <c r="BP11" s="1365" t="s">
        <v>3637</v>
      </c>
      <c r="BQ11" s="1269"/>
    </row>
    <row r="12" spans="1:71" s="1167" customFormat="1" ht="126" customHeight="1">
      <c r="A12" s="2929" t="s">
        <v>3638</v>
      </c>
      <c r="B12" s="2929"/>
      <c r="C12" s="2929"/>
      <c r="D12" s="2929"/>
      <c r="E12" s="2929"/>
      <c r="F12" s="2929"/>
      <c r="G12" s="2929"/>
      <c r="H12" s="2929"/>
      <c r="I12" s="2929"/>
      <c r="J12" s="2929"/>
      <c r="K12" s="2929"/>
      <c r="L12" s="2929"/>
      <c r="M12" s="2929"/>
      <c r="N12" s="2929"/>
      <c r="O12" s="2929"/>
      <c r="P12" s="2929"/>
      <c r="Q12" s="2929"/>
      <c r="R12" s="2929"/>
      <c r="S12" s="2929"/>
      <c r="T12" s="2929"/>
      <c r="U12" s="2929"/>
      <c r="V12" s="2929"/>
      <c r="W12" s="2929"/>
      <c r="X12" s="2929"/>
      <c r="Y12" s="2929"/>
      <c r="Z12" s="2929"/>
      <c r="AA12" s="2929"/>
      <c r="AB12" s="2929"/>
      <c r="AC12" s="2929"/>
      <c r="AD12" s="1166"/>
      <c r="AE12" s="1166"/>
      <c r="AF12" s="1166"/>
      <c r="AG12" s="1166"/>
      <c r="AH12" s="1166"/>
      <c r="AI12" s="1166"/>
      <c r="AJ12" s="1166"/>
      <c r="AK12" s="1166"/>
      <c r="AL12" s="1166"/>
      <c r="AM12" s="1166"/>
      <c r="AN12" s="1166"/>
      <c r="AO12" s="1166"/>
      <c r="AP12" s="1166"/>
      <c r="AQ12" s="1166"/>
      <c r="AR12" s="1166"/>
      <c r="AS12" s="1166"/>
      <c r="AT12" s="1166"/>
      <c r="AU12" s="1166"/>
      <c r="AV12" s="1166"/>
      <c r="AW12" s="1166"/>
      <c r="AX12" s="1166"/>
      <c r="AY12" s="1166"/>
      <c r="AZ12" s="1166"/>
      <c r="BA12" s="1166"/>
      <c r="BB12" s="1166"/>
      <c r="BC12" s="1166"/>
      <c r="BD12" s="1166"/>
      <c r="BE12" s="1166"/>
      <c r="BF12" s="1166"/>
      <c r="BG12" s="1166"/>
      <c r="BH12" s="1166"/>
      <c r="BI12" s="1166"/>
      <c r="BJ12" s="1166"/>
      <c r="BK12" s="1166"/>
      <c r="BL12" s="1166"/>
      <c r="BM12" s="1166"/>
      <c r="BN12" s="1166"/>
      <c r="BO12" s="1166"/>
      <c r="BR12" s="1168"/>
    </row>
    <row r="13" spans="1:71" s="1351" customFormat="1" ht="19.5" customHeight="1">
      <c r="A13" s="1353" t="s">
        <v>3278</v>
      </c>
      <c r="B13" s="1350"/>
      <c r="C13" s="1350"/>
      <c r="D13" s="1350"/>
      <c r="E13" s="1350"/>
      <c r="F13" s="1350"/>
      <c r="G13" s="1350"/>
      <c r="H13" s="1350"/>
      <c r="I13" s="1350"/>
      <c r="J13" s="1350"/>
      <c r="K13" s="1350"/>
      <c r="L13" s="1350"/>
      <c r="M13" s="1350"/>
      <c r="N13" s="1350"/>
      <c r="O13" s="1350"/>
      <c r="P13" s="1350"/>
      <c r="Q13" s="1350"/>
      <c r="R13" s="1350"/>
      <c r="S13" s="1350"/>
      <c r="T13" s="1350"/>
      <c r="U13" s="1350"/>
      <c r="V13" s="1350"/>
      <c r="W13" s="1350"/>
      <c r="X13" s="1350"/>
      <c r="Y13" s="1350"/>
      <c r="Z13" s="1350"/>
      <c r="AA13" s="1350"/>
      <c r="AB13" s="1350"/>
      <c r="AC13" s="1350"/>
      <c r="AD13" s="1350"/>
      <c r="AE13" s="1350"/>
      <c r="AF13" s="1350"/>
      <c r="AG13" s="1350"/>
      <c r="AH13" s="1350"/>
      <c r="AI13" s="1350"/>
      <c r="AJ13" s="1350"/>
      <c r="AK13" s="1350"/>
    </row>
    <row r="14" spans="1:71">
      <c r="AL14" s="1416"/>
    </row>
    <row r="15" spans="1:71">
      <c r="AH15" s="1101"/>
      <c r="AI15" s="1101"/>
      <c r="AJ15" s="1101"/>
      <c r="AK15" s="1101"/>
      <c r="AL15" s="1101"/>
      <c r="AM15" s="1101"/>
      <c r="AN15" s="1101"/>
      <c r="AO15" s="1101"/>
      <c r="AP15" s="1101"/>
      <c r="AQ15" s="1101"/>
      <c r="AR15" s="1101"/>
      <c r="AS15" s="1101"/>
      <c r="AT15" s="1101"/>
      <c r="AU15" s="1101"/>
      <c r="AV15" s="1101"/>
      <c r="AW15" s="1101"/>
      <c r="AX15" s="1101"/>
      <c r="AY15" s="1101"/>
      <c r="AZ15" s="1101"/>
      <c r="BA15" s="1101"/>
      <c r="BB15" s="1101"/>
      <c r="BC15" s="1101"/>
      <c r="BD15" s="1101"/>
      <c r="BE15" s="1101"/>
      <c r="BF15" s="1101"/>
      <c r="BG15" s="1101"/>
      <c r="BH15" s="1101"/>
      <c r="BI15" s="1101"/>
      <c r="BJ15" s="1101"/>
      <c r="BK15" s="1101"/>
      <c r="BL15" s="1101"/>
      <c r="BM15" s="1101"/>
      <c r="BN15" s="1101"/>
      <c r="BO15" s="1101"/>
    </row>
    <row r="16" spans="1:71">
      <c r="N16" s="1101"/>
      <c r="O16" s="1101"/>
      <c r="P16" s="1101"/>
      <c r="Q16" s="1101"/>
      <c r="R16" s="1101"/>
      <c r="S16" s="1101"/>
      <c r="T16" s="1101"/>
      <c r="U16" s="1101"/>
      <c r="V16" s="1101"/>
      <c r="W16" s="1101"/>
      <c r="X16" s="1101"/>
      <c r="Y16" s="1101"/>
      <c r="Z16" s="1101"/>
      <c r="AA16" s="1101"/>
      <c r="AB16" s="1101"/>
      <c r="AC16" s="1101"/>
      <c r="AD16" s="1101"/>
      <c r="AE16" s="1101"/>
      <c r="AF16" s="1101"/>
      <c r="AG16" s="1101"/>
      <c r="AH16" s="1101"/>
      <c r="AI16" s="1101"/>
      <c r="AJ16" s="1101"/>
      <c r="AK16" s="1101"/>
      <c r="AL16" s="1142"/>
      <c r="AM16" s="1142"/>
      <c r="AN16" s="1142"/>
      <c r="AO16" s="1142"/>
      <c r="AP16" s="1142"/>
      <c r="AQ16" s="1142"/>
      <c r="AR16" s="1142"/>
      <c r="AS16" s="1142"/>
      <c r="AT16" s="1142"/>
      <c r="AU16" s="1142"/>
      <c r="AV16" s="1142"/>
      <c r="AW16" s="1142"/>
      <c r="AX16" s="1142"/>
      <c r="AY16" s="1142"/>
      <c r="AZ16" s="1142"/>
      <c r="BA16" s="1142"/>
      <c r="BB16" s="1142"/>
      <c r="BC16" s="1142"/>
      <c r="BD16" s="1142"/>
      <c r="BE16" s="1142"/>
      <c r="BF16" s="1142"/>
      <c r="BG16" s="1142"/>
      <c r="BH16" s="1142"/>
      <c r="BI16" s="1142"/>
      <c r="BJ16" s="1142"/>
      <c r="BK16" s="1142"/>
      <c r="BL16" s="1142"/>
      <c r="BM16" s="1142"/>
      <c r="BN16" s="1142"/>
      <c r="BO16" s="1142"/>
    </row>
    <row r="17" spans="32:32">
      <c r="AF17" s="1101"/>
    </row>
    <row r="18" spans="32:32">
      <c r="AF18" s="1101"/>
    </row>
    <row r="21" spans="32:32">
      <c r="AF21" s="1169"/>
    </row>
  </sheetData>
  <mergeCells count="4">
    <mergeCell ref="A12:AC12"/>
    <mergeCell ref="A2:BP2"/>
    <mergeCell ref="A3:BP3"/>
    <mergeCell ref="A5:BP5"/>
  </mergeCells>
  <pageMargins left="0.5" right="0.5" top="0.5" bottom="0.5" header="0.3" footer="0.3"/>
  <pageSetup paperSize="9" scale="28" orientation="landscape" horizontalDpi="4294967295" verticalDpi="4294967295"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60">
    <tabColor rgb="FF92D050"/>
  </sheetPr>
  <dimension ref="A1:BN18"/>
  <sheetViews>
    <sheetView showGridLines="0" view="pageBreakPreview" zoomScale="70" zoomScaleNormal="90" zoomScaleSheetLayoutView="70" workbookViewId="0">
      <pane xSplit="1" topLeftCell="AD1" activePane="topRight" state="frozen"/>
      <selection activeCell="B39" sqref="B39"/>
      <selection pane="topRight" activeCell="AS17" sqref="AS17"/>
    </sheetView>
  </sheetViews>
  <sheetFormatPr defaultColWidth="9.140625" defaultRowHeight="18"/>
  <cols>
    <col min="1" max="1" width="47.7109375" style="1143" customWidth="1"/>
    <col min="2" max="2" width="16.85546875" style="960" bestFit="1" customWidth="1"/>
    <col min="3" max="13" width="16.85546875" style="960" hidden="1" customWidth="1"/>
    <col min="14" max="14" width="16.85546875" style="960" customWidth="1"/>
    <col min="15" max="25" width="16.85546875" style="960" hidden="1" customWidth="1"/>
    <col min="26" max="32" width="16.85546875" style="960" customWidth="1"/>
    <col min="33" max="33" width="16.85546875" style="960" bestFit="1" customWidth="1"/>
    <col min="34" max="42" width="16.85546875" style="960" customWidth="1"/>
    <col min="43" max="43" width="16.85546875" style="960" bestFit="1" customWidth="1"/>
    <col min="44" max="44" width="40.28515625" style="960" customWidth="1"/>
    <col min="45" max="46" width="19.85546875" style="960" customWidth="1"/>
    <col min="47" max="16384" width="9.140625" style="960"/>
  </cols>
  <sheetData>
    <row r="1" spans="1:66" ht="6" customHeight="1"/>
    <row r="2" spans="1:66" s="961" customFormat="1" ht="30.6" customHeight="1">
      <c r="A2" s="2930" t="s">
        <v>3013</v>
      </c>
      <c r="B2" s="2930"/>
      <c r="C2" s="2930"/>
      <c r="D2" s="2930"/>
      <c r="E2" s="2930"/>
      <c r="F2" s="2930"/>
      <c r="G2" s="2930"/>
      <c r="H2" s="2930"/>
      <c r="I2" s="2930"/>
      <c r="J2" s="2930"/>
      <c r="K2" s="2930"/>
      <c r="L2" s="2930"/>
      <c r="M2" s="2930"/>
      <c r="N2" s="2930"/>
      <c r="O2" s="2930"/>
      <c r="P2" s="2930"/>
      <c r="Q2" s="2930"/>
      <c r="R2" s="2930"/>
      <c r="S2" s="2930"/>
      <c r="T2" s="2930"/>
      <c r="U2" s="2930"/>
      <c r="V2" s="2930"/>
      <c r="W2" s="2930"/>
      <c r="X2" s="2930"/>
      <c r="Y2" s="2930"/>
      <c r="Z2" s="2930"/>
      <c r="AA2" s="2930"/>
      <c r="AB2" s="2930"/>
      <c r="AC2" s="2930"/>
      <c r="AD2" s="2930"/>
      <c r="AE2" s="2930"/>
      <c r="AF2" s="2930"/>
      <c r="AG2" s="2930"/>
      <c r="AH2" s="2930"/>
      <c r="AI2" s="2930"/>
      <c r="AJ2" s="2930"/>
      <c r="AK2" s="2930"/>
      <c r="AL2" s="2930"/>
      <c r="AM2" s="2930"/>
      <c r="AN2" s="2930"/>
      <c r="AO2" s="2930"/>
      <c r="AP2" s="2930"/>
      <c r="AQ2" s="2930"/>
      <c r="AR2" s="2930"/>
    </row>
    <row r="3" spans="1:66" s="961" customFormat="1" ht="38.25" customHeight="1">
      <c r="A3" s="2931" t="s">
        <v>3285</v>
      </c>
      <c r="B3" s="2931"/>
      <c r="C3" s="2931"/>
      <c r="D3" s="2931"/>
      <c r="E3" s="2931"/>
      <c r="F3" s="2931"/>
      <c r="G3" s="2931"/>
      <c r="H3" s="2931"/>
      <c r="I3" s="2931"/>
      <c r="J3" s="2931"/>
      <c r="K3" s="2931"/>
      <c r="L3" s="2931"/>
      <c r="M3" s="2931"/>
      <c r="N3" s="2931"/>
      <c r="O3" s="2931"/>
      <c r="P3" s="2931"/>
      <c r="Q3" s="2931"/>
      <c r="R3" s="2931"/>
      <c r="S3" s="2931"/>
      <c r="T3" s="2931"/>
      <c r="U3" s="2931"/>
      <c r="V3" s="2931"/>
      <c r="W3" s="2931"/>
      <c r="X3" s="2931"/>
      <c r="Y3" s="2931"/>
      <c r="Z3" s="2931"/>
      <c r="AA3" s="2931"/>
      <c r="AB3" s="2931"/>
      <c r="AC3" s="2931"/>
      <c r="AD3" s="2931"/>
      <c r="AE3" s="2931"/>
      <c r="AF3" s="2931"/>
      <c r="AG3" s="2931"/>
      <c r="AH3" s="2931"/>
      <c r="AI3" s="2931"/>
      <c r="AJ3" s="2931"/>
      <c r="AK3" s="2931"/>
      <c r="AL3" s="2931"/>
      <c r="AM3" s="2931"/>
      <c r="AN3" s="2931"/>
      <c r="AO3" s="2931"/>
      <c r="AP3" s="2931"/>
      <c r="AQ3" s="2931"/>
      <c r="AR3" s="2931"/>
    </row>
    <row r="4" spans="1:66" s="961" customFormat="1" ht="16.149999999999999" customHeight="1">
      <c r="A4" s="1146"/>
      <c r="B4" s="1146"/>
      <c r="C4" s="1146"/>
      <c r="D4" s="1146"/>
      <c r="E4" s="1146"/>
      <c r="F4" s="1146"/>
      <c r="G4" s="1146"/>
      <c r="H4" s="1146"/>
      <c r="I4" s="1146"/>
      <c r="J4" s="1146"/>
      <c r="K4" s="1146"/>
      <c r="L4" s="1146"/>
      <c r="M4" s="1146"/>
      <c r="N4" s="1146"/>
      <c r="O4" s="1146"/>
      <c r="P4" s="1146"/>
      <c r="Q4" s="1173"/>
      <c r="R4" s="1173"/>
      <c r="S4" s="1173"/>
      <c r="T4" s="1173"/>
      <c r="U4" s="1173"/>
      <c r="V4" s="1173"/>
      <c r="W4" s="1173"/>
      <c r="X4" s="1173"/>
      <c r="Y4" s="1173"/>
      <c r="Z4" s="1173"/>
      <c r="AA4" s="1173"/>
      <c r="AB4" s="1173"/>
      <c r="AC4" s="1173"/>
      <c r="AD4" s="1173"/>
      <c r="AE4" s="1173"/>
      <c r="AF4" s="1173"/>
      <c r="AG4" s="1173"/>
      <c r="AH4" s="1173"/>
      <c r="AI4" s="1173"/>
      <c r="AJ4" s="1173"/>
      <c r="AK4" s="1173"/>
      <c r="AL4" s="1173"/>
      <c r="AM4" s="1173"/>
      <c r="AN4" s="1173"/>
      <c r="AO4" s="1173"/>
      <c r="AP4" s="1173"/>
      <c r="AQ4" s="1173"/>
      <c r="AR4" s="1173"/>
    </row>
    <row r="5" spans="1:66" s="961" customFormat="1" ht="16.149999999999999" customHeight="1" thickBot="1">
      <c r="A5" s="2932" t="s">
        <v>8</v>
      </c>
      <c r="B5" s="2932"/>
      <c r="C5" s="2932"/>
      <c r="D5" s="2932"/>
      <c r="E5" s="2932"/>
      <c r="F5" s="2932"/>
      <c r="G5" s="2932"/>
      <c r="H5" s="2932"/>
      <c r="I5" s="2932"/>
      <c r="J5" s="2932"/>
      <c r="K5" s="2932"/>
      <c r="L5" s="2932"/>
      <c r="M5" s="2932"/>
      <c r="N5" s="2932"/>
      <c r="O5" s="2932"/>
      <c r="P5" s="2932"/>
      <c r="Q5" s="2932"/>
      <c r="R5" s="2932"/>
      <c r="S5" s="2932"/>
      <c r="T5" s="2932"/>
      <c r="U5" s="2932"/>
      <c r="V5" s="2932"/>
      <c r="W5" s="2932"/>
      <c r="X5" s="2932"/>
      <c r="Y5" s="2932"/>
      <c r="Z5" s="2932"/>
      <c r="AA5" s="2932"/>
      <c r="AB5" s="2932"/>
      <c r="AC5" s="2932"/>
      <c r="AD5" s="2932"/>
      <c r="AE5" s="2932"/>
      <c r="AF5" s="2932"/>
      <c r="AG5" s="2932"/>
      <c r="AH5" s="2932"/>
      <c r="AI5" s="2932"/>
      <c r="AJ5" s="2932"/>
      <c r="AK5" s="2932"/>
      <c r="AL5" s="2932"/>
      <c r="AM5" s="2932"/>
      <c r="AN5" s="2932"/>
      <c r="AO5" s="2932"/>
      <c r="AP5" s="2932"/>
      <c r="AQ5" s="2932"/>
      <c r="AR5" s="2932"/>
    </row>
    <row r="6" spans="1:66" ht="49.5" customHeight="1" thickBot="1">
      <c r="A6" s="1147" t="s">
        <v>2525</v>
      </c>
      <c r="B6" s="1149">
        <v>44561</v>
      </c>
      <c r="C6" s="1149">
        <v>44592</v>
      </c>
      <c r="D6" s="1149">
        <v>44620</v>
      </c>
      <c r="E6" s="1149">
        <v>44651</v>
      </c>
      <c r="F6" s="1049">
        <v>44681</v>
      </c>
      <c r="G6" s="1049">
        <v>44712</v>
      </c>
      <c r="H6" s="1049">
        <v>44742</v>
      </c>
      <c r="I6" s="1049">
        <v>44773</v>
      </c>
      <c r="J6" s="1049">
        <v>44804</v>
      </c>
      <c r="K6" s="1049">
        <v>44834</v>
      </c>
      <c r="L6" s="1049">
        <v>44865</v>
      </c>
      <c r="M6" s="1049">
        <v>44895</v>
      </c>
      <c r="N6" s="1049">
        <v>44926</v>
      </c>
      <c r="O6" s="1049">
        <v>44957</v>
      </c>
      <c r="P6" s="1049">
        <v>44985</v>
      </c>
      <c r="Q6" s="1049">
        <v>45016</v>
      </c>
      <c r="R6" s="1049">
        <v>45046</v>
      </c>
      <c r="S6" s="1049">
        <v>45077</v>
      </c>
      <c r="T6" s="1049">
        <v>45107</v>
      </c>
      <c r="U6" s="1049">
        <v>45138</v>
      </c>
      <c r="V6" s="1049">
        <v>45169</v>
      </c>
      <c r="W6" s="1049">
        <v>45199</v>
      </c>
      <c r="X6" s="1049">
        <v>45230</v>
      </c>
      <c r="Y6" s="1049">
        <v>45260</v>
      </c>
      <c r="Z6" s="1049">
        <v>45291</v>
      </c>
      <c r="AA6" s="1049">
        <v>45322</v>
      </c>
      <c r="AB6" s="1049">
        <v>45351</v>
      </c>
      <c r="AC6" s="1049">
        <v>45382</v>
      </c>
      <c r="AD6" s="1049">
        <v>45412</v>
      </c>
      <c r="AE6" s="1049">
        <v>45443</v>
      </c>
      <c r="AF6" s="1049">
        <v>45473</v>
      </c>
      <c r="AG6" s="1049">
        <v>45504</v>
      </c>
      <c r="AH6" s="1049">
        <v>45535</v>
      </c>
      <c r="AI6" s="1049">
        <v>45565</v>
      </c>
      <c r="AJ6" s="1049">
        <v>45596</v>
      </c>
      <c r="AK6" s="1049">
        <v>45626</v>
      </c>
      <c r="AL6" s="1049">
        <v>45657</v>
      </c>
      <c r="AM6" s="1049">
        <v>45688</v>
      </c>
      <c r="AN6" s="1049">
        <v>45716</v>
      </c>
      <c r="AO6" s="1049">
        <v>45747</v>
      </c>
      <c r="AP6" s="1049">
        <v>45777</v>
      </c>
      <c r="AQ6" s="1049">
        <v>45808</v>
      </c>
      <c r="AR6" s="1361" t="s">
        <v>3556</v>
      </c>
    </row>
    <row r="7" spans="1:66" ht="47.25" customHeight="1">
      <c r="A7" s="1150" t="s">
        <v>3517</v>
      </c>
      <c r="B7" s="1153">
        <v>9740.0273733666909</v>
      </c>
      <c r="C7" s="1153">
        <v>9746.5470725668401</v>
      </c>
      <c r="D7" s="1153">
        <v>9972.8923026190005</v>
      </c>
      <c r="E7" s="1153">
        <v>10182.345403994599</v>
      </c>
      <c r="F7" s="1152">
        <v>10328.283719864699</v>
      </c>
      <c r="G7" s="1152">
        <v>10414.01018178</v>
      </c>
      <c r="H7" s="1152">
        <v>10481.711144418799</v>
      </c>
      <c r="I7" s="1152">
        <v>10497.0466317302</v>
      </c>
      <c r="J7" s="1152">
        <v>10491.951041574381</v>
      </c>
      <c r="K7" s="1152">
        <v>10780.9439636307</v>
      </c>
      <c r="L7" s="1152">
        <v>10912.557114003699</v>
      </c>
      <c r="M7" s="1152">
        <v>10975.828657382412</v>
      </c>
      <c r="N7" s="1152">
        <v>10855.0619328594</v>
      </c>
      <c r="O7" s="1152">
        <v>10845.560779616701</v>
      </c>
      <c r="P7" s="1152">
        <v>10835.578601880799</v>
      </c>
      <c r="Q7" s="1152">
        <v>10971.3967768488</v>
      </c>
      <c r="R7" s="1152">
        <v>11107.957597250899</v>
      </c>
      <c r="S7" s="1152">
        <v>11170.8055462252</v>
      </c>
      <c r="T7" s="1152">
        <v>11650.5031040751</v>
      </c>
      <c r="U7" s="1152">
        <v>11622.688762838899</v>
      </c>
      <c r="V7" s="1152">
        <v>11821.791771283601</v>
      </c>
      <c r="W7" s="1152">
        <v>12078.6747372461</v>
      </c>
      <c r="X7" s="1152">
        <v>12246.3869346131</v>
      </c>
      <c r="Y7" s="1152">
        <v>12421.2469256614</v>
      </c>
      <c r="Z7" s="1152">
        <v>12616.787114836399</v>
      </c>
      <c r="AA7" s="1152">
        <v>12912.916752994601</v>
      </c>
      <c r="AB7" s="1152">
        <v>13063.7357667661</v>
      </c>
      <c r="AC7" s="1152">
        <v>13201.539828995899</v>
      </c>
      <c r="AD7" s="1152">
        <v>13476.3615803586</v>
      </c>
      <c r="AE7" s="1152">
        <v>13784.729112602799</v>
      </c>
      <c r="AF7" s="1152">
        <v>13874.820979424099</v>
      </c>
      <c r="AG7" s="1152">
        <v>13910.090151055099</v>
      </c>
      <c r="AH7" s="1152">
        <v>13999.8433346194</v>
      </c>
      <c r="AI7" s="1152">
        <v>14407.8515522007</v>
      </c>
      <c r="AJ7" s="1152">
        <v>14628.148740021799</v>
      </c>
      <c r="AK7" s="1152">
        <v>14746.682807200599</v>
      </c>
      <c r="AL7" s="1152">
        <v>14787.1851946734</v>
      </c>
      <c r="AM7" s="1152">
        <v>14709.9177021613</v>
      </c>
      <c r="AN7" s="1152">
        <v>14776.9784619727</v>
      </c>
      <c r="AO7" s="1152">
        <v>14935.0383741286</v>
      </c>
      <c r="AP7" s="1152">
        <v>14952.6763686257</v>
      </c>
      <c r="AQ7" s="1152">
        <v>15099.9752762721</v>
      </c>
      <c r="AR7" s="1390" t="s">
        <v>3640</v>
      </c>
      <c r="AS7" s="1101"/>
      <c r="AT7" s="1142"/>
      <c r="AU7" s="1101"/>
    </row>
    <row r="8" spans="1:66" ht="21.75" customHeight="1">
      <c r="A8" s="1154" t="s">
        <v>2752</v>
      </c>
      <c r="B8" s="1157"/>
      <c r="C8" s="1157"/>
      <c r="D8" s="1157"/>
      <c r="E8" s="1157"/>
      <c r="F8" s="1156"/>
      <c r="G8" s="1156"/>
      <c r="H8" s="1156"/>
      <c r="I8" s="1156"/>
      <c r="J8" s="1156"/>
      <c r="K8" s="1156"/>
      <c r="L8" s="1156"/>
      <c r="M8" s="1156"/>
      <c r="N8" s="1156"/>
      <c r="O8" s="1156"/>
      <c r="P8" s="1156"/>
      <c r="Q8" s="1156"/>
      <c r="R8" s="1156"/>
      <c r="S8" s="1156"/>
      <c r="T8" s="1156"/>
      <c r="U8" s="1156"/>
      <c r="V8" s="1156"/>
      <c r="W8" s="1156"/>
      <c r="X8" s="1156"/>
      <c r="Y8" s="1156"/>
      <c r="Z8" s="1156"/>
      <c r="AA8" s="1156"/>
      <c r="AB8" s="1156"/>
      <c r="AC8" s="1156"/>
      <c r="AD8" s="1156"/>
      <c r="AE8" s="1156"/>
      <c r="AF8" s="1156"/>
      <c r="AG8" s="1156"/>
      <c r="AH8" s="1156"/>
      <c r="AI8" s="1156"/>
      <c r="AJ8" s="1156"/>
      <c r="AK8" s="1156"/>
      <c r="AL8" s="1156"/>
      <c r="AM8" s="1156"/>
      <c r="AN8" s="1156"/>
      <c r="AO8" s="1156"/>
      <c r="AP8" s="1156"/>
      <c r="AQ8" s="1156"/>
      <c r="AR8" s="1364" t="s">
        <v>3636</v>
      </c>
      <c r="AS8" s="1142"/>
    </row>
    <row r="9" spans="1:66" ht="42.6" customHeight="1" thickBot="1">
      <c r="A9" s="1162" t="s">
        <v>3014</v>
      </c>
      <c r="B9" s="1165">
        <v>1213.2649790600001</v>
      </c>
      <c r="C9" s="1165">
        <v>1194.03473207</v>
      </c>
      <c r="D9" s="1165">
        <v>1188.0018740199998</v>
      </c>
      <c r="E9" s="1165">
        <v>1178.7540949200002</v>
      </c>
      <c r="F9" s="1164">
        <v>1184.3395353399999</v>
      </c>
      <c r="G9" s="1164">
        <v>1173.7740077000003</v>
      </c>
      <c r="H9" s="1164">
        <v>1163.45413992</v>
      </c>
      <c r="I9" s="1164">
        <v>1146.4336508100002</v>
      </c>
      <c r="J9" s="1164">
        <v>1146.9040619899999</v>
      </c>
      <c r="K9" s="1164">
        <v>1123.9078739899999</v>
      </c>
      <c r="L9" s="1164">
        <v>1120.1178053400001</v>
      </c>
      <c r="M9" s="1164">
        <v>1040.7</v>
      </c>
      <c r="N9" s="1164">
        <v>1052.23807848</v>
      </c>
      <c r="O9" s="1164">
        <v>1018.78292154</v>
      </c>
      <c r="P9" s="1164">
        <v>998.07317490000003</v>
      </c>
      <c r="Q9" s="1164">
        <v>979.68243436</v>
      </c>
      <c r="R9" s="1164">
        <v>973.64653018000001</v>
      </c>
      <c r="S9" s="1164">
        <v>967.17990672999997</v>
      </c>
      <c r="T9" s="1164">
        <v>986.26658959999997</v>
      </c>
      <c r="U9" s="1164">
        <v>976.83708845000001</v>
      </c>
      <c r="V9" s="1164">
        <v>976.85497240999996</v>
      </c>
      <c r="W9" s="1164">
        <v>976.34565740000005</v>
      </c>
      <c r="X9" s="1164">
        <v>936.97798589000001</v>
      </c>
      <c r="Y9" s="1164">
        <v>941.50774933000002</v>
      </c>
      <c r="Z9" s="1164">
        <v>999.53326133999997</v>
      </c>
      <c r="AA9" s="1164">
        <v>986.40265442999998</v>
      </c>
      <c r="AB9" s="1164">
        <v>964.94928216000005</v>
      </c>
      <c r="AC9" s="1164">
        <v>975.6</v>
      </c>
      <c r="AD9" s="1164">
        <v>928.87722858999996</v>
      </c>
      <c r="AE9" s="1164">
        <v>966.56776902000001</v>
      </c>
      <c r="AF9" s="1164">
        <v>956.17556998999999</v>
      </c>
      <c r="AG9" s="1164">
        <v>949.67319463000001</v>
      </c>
      <c r="AH9" s="1164">
        <v>950.41038851999997</v>
      </c>
      <c r="AI9" s="1164">
        <v>953.413803559999</v>
      </c>
      <c r="AJ9" s="1164">
        <v>945.29</v>
      </c>
      <c r="AK9" s="1164">
        <v>959.27666303000001</v>
      </c>
      <c r="AL9" s="1164">
        <v>999.23067635999996</v>
      </c>
      <c r="AM9" s="1164">
        <v>977.15036689999999</v>
      </c>
      <c r="AN9" s="1164">
        <v>977.36</v>
      </c>
      <c r="AO9" s="1164">
        <v>984.01009205999901</v>
      </c>
      <c r="AP9" s="1164">
        <v>984.67059744580001</v>
      </c>
      <c r="AQ9" s="1164">
        <v>986.42928970000003</v>
      </c>
      <c r="AR9" s="1365" t="s">
        <v>3639</v>
      </c>
      <c r="AS9" s="1101"/>
      <c r="AT9" s="1142"/>
      <c r="AU9" s="1101"/>
    </row>
    <row r="10" spans="1:66" s="1351" customFormat="1" ht="30" customHeight="1">
      <c r="A10" s="1353" t="s">
        <v>3278</v>
      </c>
      <c r="B10" s="1350"/>
      <c r="C10" s="1350"/>
      <c r="D10" s="1350"/>
      <c r="E10" s="1350"/>
      <c r="F10" s="1350"/>
      <c r="G10" s="1350"/>
      <c r="H10" s="1350"/>
      <c r="I10" s="1350"/>
      <c r="J10" s="1350"/>
      <c r="K10" s="1350"/>
      <c r="L10" s="1350"/>
      <c r="M10" s="1350"/>
      <c r="N10" s="1350"/>
      <c r="O10" s="1350"/>
      <c r="P10" s="1350"/>
      <c r="Q10" s="1350"/>
      <c r="R10" s="1350"/>
      <c r="S10" s="1350"/>
      <c r="T10" s="1350"/>
      <c r="U10" s="1350"/>
      <c r="V10" s="1350"/>
      <c r="W10" s="1350"/>
      <c r="X10" s="1350"/>
      <c r="Y10" s="1350"/>
      <c r="Z10" s="1350"/>
      <c r="AA10" s="1350"/>
      <c r="AB10" s="1350"/>
      <c r="AC10" s="1350"/>
      <c r="AD10" s="1350"/>
      <c r="AE10" s="1350"/>
      <c r="AF10" s="1350"/>
      <c r="AG10" s="1350"/>
      <c r="AH10" s="1350"/>
      <c r="AI10" s="1350"/>
      <c r="AJ10" s="1350"/>
      <c r="AK10" s="1350"/>
      <c r="AL10" s="1350"/>
      <c r="AM10" s="1350"/>
      <c r="AN10" s="1350"/>
      <c r="AO10" s="1350"/>
      <c r="AP10" s="1350"/>
      <c r="AQ10" s="1350"/>
      <c r="AR10" s="1350"/>
      <c r="AS10" s="1350"/>
      <c r="AT10" s="1350"/>
      <c r="AU10" s="1350"/>
      <c r="AV10" s="1350"/>
      <c r="AW10" s="1350"/>
      <c r="AX10" s="1350"/>
      <c r="AY10" s="1350"/>
      <c r="AZ10" s="1350"/>
      <c r="BA10" s="1350"/>
      <c r="BB10" s="1350"/>
      <c r="BC10" s="1350"/>
      <c r="BD10" s="1350"/>
      <c r="BE10" s="1350"/>
      <c r="BF10" s="1350"/>
      <c r="BG10" s="1350"/>
      <c r="BH10" s="1350"/>
      <c r="BI10" s="1350"/>
      <c r="BJ10" s="1350"/>
      <c r="BK10" s="1350"/>
      <c r="BL10" s="1350"/>
      <c r="BM10" s="1350"/>
      <c r="BN10" s="1350"/>
    </row>
    <row r="12" spans="1:66">
      <c r="B12" s="1170"/>
      <c r="C12" s="1170"/>
      <c r="D12" s="1170"/>
      <c r="E12" s="1170"/>
      <c r="F12" s="1170"/>
      <c r="G12" s="1170"/>
      <c r="H12" s="1170"/>
      <c r="I12" s="1170"/>
      <c r="J12" s="1171"/>
      <c r="K12" s="1171"/>
      <c r="L12" s="1171"/>
      <c r="M12" s="1171"/>
      <c r="N12" s="1171"/>
      <c r="O12" s="1171"/>
      <c r="P12" s="1171"/>
      <c r="Q12" s="1171"/>
      <c r="R12" s="1171"/>
      <c r="S12" s="1171"/>
      <c r="T12" s="1171"/>
      <c r="U12" s="1171"/>
      <c r="V12" s="1171"/>
      <c r="W12" s="1171"/>
      <c r="X12" s="1171"/>
      <c r="Y12" s="1171"/>
      <c r="Z12" s="1171"/>
      <c r="AA12" s="1171"/>
      <c r="AB12" s="1171"/>
      <c r="AC12" s="1171"/>
      <c r="AD12" s="1171"/>
      <c r="AE12" s="1171"/>
      <c r="AF12" s="1171"/>
      <c r="AG12" s="1171"/>
      <c r="AH12" s="1171"/>
      <c r="AI12" s="1171"/>
      <c r="AJ12" s="1171"/>
      <c r="AK12" s="1171"/>
      <c r="AL12" s="1171"/>
      <c r="AM12" s="1171"/>
      <c r="AN12" s="1171"/>
      <c r="AO12" s="1171"/>
      <c r="AP12" s="1171"/>
      <c r="AQ12" s="1171"/>
    </row>
    <row r="13" spans="1:66">
      <c r="H13" s="1101"/>
      <c r="J13" s="1142"/>
      <c r="K13" s="1142"/>
      <c r="L13" s="1142"/>
      <c r="M13" s="1142"/>
      <c r="N13" s="1142"/>
      <c r="O13" s="1142"/>
      <c r="P13" s="1142"/>
      <c r="Q13" s="1142"/>
      <c r="R13" s="1142"/>
      <c r="S13" s="1142"/>
      <c r="T13" s="1142"/>
      <c r="U13" s="1142"/>
      <c r="V13" s="1142"/>
      <c r="W13" s="1142"/>
      <c r="X13" s="1142"/>
      <c r="Y13" s="1142"/>
      <c r="Z13" s="1142"/>
      <c r="AA13" s="1142"/>
      <c r="AB13" s="1142"/>
      <c r="AC13" s="1142"/>
      <c r="AD13" s="1142"/>
      <c r="AE13" s="1142"/>
      <c r="AF13" s="1142"/>
      <c r="AG13" s="1142"/>
      <c r="AH13" s="1142"/>
      <c r="AI13" s="1142"/>
      <c r="AJ13" s="1142"/>
      <c r="AK13" s="1142"/>
      <c r="AL13" s="1142"/>
      <c r="AM13" s="1142"/>
      <c r="AN13" s="1142"/>
      <c r="AO13" s="1142"/>
      <c r="AP13" s="1142"/>
      <c r="AQ13" s="1142"/>
    </row>
    <row r="14" spans="1:66">
      <c r="H14" s="1101"/>
    </row>
    <row r="15" spans="1:66">
      <c r="H15" s="1101"/>
    </row>
    <row r="18" spans="8:8">
      <c r="H18" s="1169"/>
    </row>
  </sheetData>
  <mergeCells count="3">
    <mergeCell ref="A2:AR2"/>
    <mergeCell ref="A3:AR3"/>
    <mergeCell ref="A5:AR5"/>
  </mergeCells>
  <pageMargins left="0.5" right="0.5" top="0.5" bottom="0.5" header="0.3" footer="0.3"/>
  <pageSetup paperSize="9" scale="30" orientation="landscape" horizontalDpi="4294967295" verticalDpi="4294967295"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1">
    <tabColor rgb="FF92D050"/>
  </sheetPr>
  <dimension ref="A1:AU25"/>
  <sheetViews>
    <sheetView showGridLines="0" view="pageBreakPreview" zoomScale="60" zoomScaleNormal="70" workbookViewId="0">
      <pane xSplit="1" topLeftCell="AD1" activePane="topRight" state="frozen"/>
      <selection activeCell="B39" sqref="B39"/>
      <selection pane="topRight" activeCell="A23" sqref="A23"/>
    </sheetView>
  </sheetViews>
  <sheetFormatPr defaultColWidth="9.140625" defaultRowHeight="18"/>
  <cols>
    <col min="1" max="1" width="56.7109375" style="1143" customWidth="1"/>
    <col min="2" max="2" width="16.85546875" style="960" bestFit="1" customWidth="1"/>
    <col min="3" max="13" width="16.85546875" style="960" hidden="1" customWidth="1"/>
    <col min="14" max="14" width="16.85546875" style="960" bestFit="1" customWidth="1"/>
    <col min="15" max="25" width="16.85546875" style="960" hidden="1" customWidth="1"/>
    <col min="26" max="32" width="16.85546875" style="960" customWidth="1"/>
    <col min="33" max="33" width="16.85546875" style="960" bestFit="1" customWidth="1"/>
    <col min="34" max="42" width="16.85546875" style="960" customWidth="1"/>
    <col min="43" max="43" width="16.85546875" style="960" bestFit="1" customWidth="1"/>
    <col min="44" max="44" width="62.42578125" style="1356" customWidth="1"/>
    <col min="45" max="45" width="10.42578125" style="1101" customWidth="1"/>
    <col min="46" max="46" width="12.42578125" style="1356" bestFit="1" customWidth="1"/>
    <col min="47" max="47" width="9.140625" style="1101"/>
    <col min="48" max="16384" width="9.140625" style="960"/>
  </cols>
  <sheetData>
    <row r="1" spans="1:47" ht="8.4499999999999993" customHeight="1"/>
    <row r="2" spans="1:47" s="961" customFormat="1" ht="30.6" customHeight="1">
      <c r="A2" s="2930" t="s">
        <v>3548</v>
      </c>
      <c r="B2" s="2930"/>
      <c r="C2" s="2930"/>
      <c r="D2" s="2930"/>
      <c r="E2" s="2930"/>
      <c r="F2" s="2930"/>
      <c r="G2" s="2930"/>
      <c r="H2" s="2930"/>
      <c r="I2" s="2930"/>
      <c r="J2" s="2930"/>
      <c r="K2" s="2930"/>
      <c r="L2" s="2930"/>
      <c r="M2" s="2930"/>
      <c r="N2" s="2930"/>
      <c r="O2" s="2930"/>
      <c r="P2" s="2930"/>
      <c r="Q2" s="2930"/>
      <c r="R2" s="2930"/>
      <c r="S2" s="2930"/>
      <c r="T2" s="2930"/>
      <c r="U2" s="2930"/>
      <c r="V2" s="2930"/>
      <c r="W2" s="2930"/>
      <c r="X2" s="2930"/>
      <c r="Y2" s="2930"/>
      <c r="Z2" s="2930"/>
      <c r="AA2" s="2930"/>
      <c r="AB2" s="2930"/>
      <c r="AC2" s="2930"/>
      <c r="AD2" s="2930"/>
      <c r="AE2" s="2930"/>
      <c r="AF2" s="2930"/>
      <c r="AG2" s="2930"/>
      <c r="AH2" s="2930"/>
      <c r="AI2" s="2930"/>
      <c r="AJ2" s="2930"/>
      <c r="AK2" s="2930"/>
      <c r="AL2" s="2930"/>
      <c r="AM2" s="2930"/>
      <c r="AN2" s="2930"/>
      <c r="AO2" s="2930"/>
      <c r="AP2" s="2930"/>
      <c r="AQ2" s="2930"/>
      <c r="AR2" s="2930"/>
    </row>
    <row r="3" spans="1:47" s="961" customFormat="1" ht="38.25" customHeight="1">
      <c r="A3" s="2931" t="s">
        <v>3555</v>
      </c>
      <c r="B3" s="2931"/>
      <c r="C3" s="2931"/>
      <c r="D3" s="2931"/>
      <c r="E3" s="2931"/>
      <c r="F3" s="2931"/>
      <c r="G3" s="2931"/>
      <c r="H3" s="2931"/>
      <c r="I3" s="2931"/>
      <c r="J3" s="2931"/>
      <c r="K3" s="2931"/>
      <c r="L3" s="2931"/>
      <c r="M3" s="2931"/>
      <c r="N3" s="2931"/>
      <c r="O3" s="2931"/>
      <c r="P3" s="2931"/>
      <c r="Q3" s="2931"/>
      <c r="R3" s="2931"/>
      <c r="S3" s="2931"/>
      <c r="T3" s="2931"/>
      <c r="U3" s="2931"/>
      <c r="V3" s="2931"/>
      <c r="W3" s="2931"/>
      <c r="X3" s="2931"/>
      <c r="Y3" s="2931"/>
      <c r="Z3" s="2931"/>
      <c r="AA3" s="2931"/>
      <c r="AB3" s="2931"/>
      <c r="AC3" s="2931"/>
      <c r="AD3" s="2931"/>
      <c r="AE3" s="2931"/>
      <c r="AF3" s="2931"/>
      <c r="AG3" s="2931"/>
      <c r="AH3" s="2931"/>
      <c r="AI3" s="2931"/>
      <c r="AJ3" s="2931"/>
      <c r="AK3" s="2931"/>
      <c r="AL3" s="2931"/>
      <c r="AM3" s="2931"/>
      <c r="AN3" s="2931"/>
      <c r="AO3" s="2931"/>
      <c r="AP3" s="2931"/>
      <c r="AQ3" s="2931"/>
      <c r="AR3" s="2931"/>
    </row>
    <row r="4" spans="1:47" s="961" customFormat="1" ht="19.899999999999999" customHeight="1">
      <c r="A4" s="1422"/>
      <c r="B4" s="1422"/>
      <c r="C4" s="1422"/>
      <c r="D4" s="1422"/>
      <c r="E4" s="1422"/>
      <c r="F4" s="1422"/>
      <c r="G4" s="1422"/>
      <c r="H4" s="1422"/>
      <c r="I4" s="1422"/>
      <c r="J4" s="1422"/>
      <c r="K4" s="1422"/>
      <c r="L4" s="2933"/>
      <c r="M4" s="2933"/>
      <c r="N4" s="2933"/>
      <c r="O4" s="2933"/>
      <c r="P4" s="2933"/>
      <c r="Q4" s="2933"/>
      <c r="R4" s="2933"/>
      <c r="S4" s="2933"/>
      <c r="T4" s="2933"/>
      <c r="U4" s="2933"/>
      <c r="V4" s="2933"/>
      <c r="W4" s="2933"/>
      <c r="X4" s="2933"/>
      <c r="Y4" s="2933"/>
      <c r="Z4" s="2933"/>
      <c r="AA4" s="2933"/>
      <c r="AB4" s="2933"/>
      <c r="AC4" s="2933"/>
      <c r="AD4" s="2933"/>
      <c r="AE4" s="2933"/>
      <c r="AF4" s="2933"/>
      <c r="AG4" s="2933"/>
      <c r="AH4" s="2933"/>
      <c r="AI4" s="2933"/>
      <c r="AJ4" s="2933"/>
      <c r="AK4" s="2933"/>
      <c r="AL4" s="2933"/>
      <c r="AM4" s="2933"/>
      <c r="AN4" s="2933"/>
      <c r="AO4" s="2933"/>
      <c r="AP4" s="2933"/>
      <c r="AQ4" s="2933"/>
      <c r="AR4" s="2933"/>
      <c r="AS4" s="1145"/>
      <c r="AT4" s="1357"/>
      <c r="AU4" s="1145"/>
    </row>
    <row r="5" spans="1:47" s="961" customFormat="1" ht="19.899999999999999" customHeight="1" thickBot="1">
      <c r="A5" s="2934" t="s">
        <v>3651</v>
      </c>
      <c r="B5" s="2934"/>
      <c r="C5" s="2934"/>
      <c r="D5" s="2934"/>
      <c r="E5" s="2934"/>
      <c r="F5" s="2934"/>
      <c r="G5" s="2934"/>
      <c r="H5" s="2934"/>
      <c r="I5" s="2934"/>
      <c r="J5" s="2934"/>
      <c r="K5" s="2934"/>
      <c r="L5" s="2934"/>
      <c r="M5" s="2934"/>
      <c r="N5" s="2934"/>
      <c r="O5" s="2934"/>
      <c r="P5" s="2934"/>
      <c r="Q5" s="2934"/>
      <c r="R5" s="2934"/>
      <c r="S5" s="2934"/>
      <c r="T5" s="2934"/>
      <c r="U5" s="2934"/>
      <c r="V5" s="2934"/>
      <c r="W5" s="2934"/>
      <c r="X5" s="2934"/>
      <c r="Y5" s="2934"/>
      <c r="Z5" s="2934"/>
      <c r="AA5" s="2934"/>
      <c r="AB5" s="2934"/>
      <c r="AC5" s="2934"/>
      <c r="AD5" s="2934"/>
      <c r="AE5" s="2934"/>
      <c r="AF5" s="2934"/>
      <c r="AG5" s="2934"/>
      <c r="AH5" s="2934"/>
      <c r="AI5" s="2934"/>
      <c r="AJ5" s="2934"/>
      <c r="AK5" s="2934"/>
      <c r="AL5" s="2934"/>
      <c r="AM5" s="2934"/>
      <c r="AN5" s="2934"/>
      <c r="AO5" s="2934"/>
      <c r="AP5" s="2934"/>
      <c r="AQ5" s="2934"/>
      <c r="AR5" s="2934"/>
      <c r="AS5" s="1145"/>
      <c r="AT5" s="1357"/>
      <c r="AU5" s="1145"/>
    </row>
    <row r="6" spans="1:47" ht="39.75" customHeight="1" thickBot="1">
      <c r="A6" s="1147"/>
      <c r="B6" s="1149">
        <v>44561</v>
      </c>
      <c r="C6" s="1149">
        <v>44592</v>
      </c>
      <c r="D6" s="1149">
        <v>44620</v>
      </c>
      <c r="E6" s="1149">
        <v>44651</v>
      </c>
      <c r="F6" s="1049">
        <v>44681</v>
      </c>
      <c r="G6" s="1049">
        <v>44712</v>
      </c>
      <c r="H6" s="1049">
        <v>44742</v>
      </c>
      <c r="I6" s="1049">
        <v>44773</v>
      </c>
      <c r="J6" s="1049">
        <v>44804</v>
      </c>
      <c r="K6" s="1049">
        <v>44834</v>
      </c>
      <c r="L6" s="1049">
        <v>44865</v>
      </c>
      <c r="M6" s="1049">
        <v>44895</v>
      </c>
      <c r="N6" s="1049">
        <v>44926</v>
      </c>
      <c r="O6" s="1049">
        <v>44957</v>
      </c>
      <c r="P6" s="1049">
        <v>44985</v>
      </c>
      <c r="Q6" s="1049">
        <v>45016</v>
      </c>
      <c r="R6" s="1049">
        <v>45046</v>
      </c>
      <c r="S6" s="1049">
        <v>45077</v>
      </c>
      <c r="T6" s="1049">
        <v>45107</v>
      </c>
      <c r="U6" s="1049">
        <v>45138</v>
      </c>
      <c r="V6" s="1049">
        <v>45169</v>
      </c>
      <c r="W6" s="1049">
        <v>45199</v>
      </c>
      <c r="X6" s="1049">
        <v>45230</v>
      </c>
      <c r="Y6" s="1049">
        <v>45260</v>
      </c>
      <c r="Z6" s="1049">
        <v>45291</v>
      </c>
      <c r="AA6" s="1049">
        <v>45322</v>
      </c>
      <c r="AB6" s="1049">
        <v>45351</v>
      </c>
      <c r="AC6" s="1049">
        <v>45382</v>
      </c>
      <c r="AD6" s="1049">
        <v>45412</v>
      </c>
      <c r="AE6" s="1049">
        <v>45443</v>
      </c>
      <c r="AF6" s="1049">
        <v>45473</v>
      </c>
      <c r="AG6" s="1049">
        <v>45504</v>
      </c>
      <c r="AH6" s="1049">
        <v>45535</v>
      </c>
      <c r="AI6" s="1049">
        <v>45565</v>
      </c>
      <c r="AJ6" s="1049">
        <v>45596</v>
      </c>
      <c r="AK6" s="1049">
        <v>45626</v>
      </c>
      <c r="AL6" s="1049">
        <v>45657</v>
      </c>
      <c r="AM6" s="1049">
        <v>45688</v>
      </c>
      <c r="AN6" s="1049">
        <v>45716</v>
      </c>
      <c r="AO6" s="1049">
        <v>45747</v>
      </c>
      <c r="AP6" s="1049">
        <v>45777</v>
      </c>
      <c r="AQ6" s="1049">
        <v>45808</v>
      </c>
      <c r="AR6" s="1361"/>
      <c r="AT6" s="1101"/>
    </row>
    <row r="7" spans="1:47" ht="32.450000000000003" customHeight="1">
      <c r="A7" s="1150" t="s">
        <v>3549</v>
      </c>
      <c r="B7" s="1405">
        <v>747.96612139727995</v>
      </c>
      <c r="C7" s="1153">
        <v>779.29285103293796</v>
      </c>
      <c r="D7" s="1153">
        <v>776.20331534064997</v>
      </c>
      <c r="E7" s="1153">
        <v>811.55172848992504</v>
      </c>
      <c r="F7" s="1152">
        <v>813.76878466246899</v>
      </c>
      <c r="G7" s="1152">
        <v>847.27041464072897</v>
      </c>
      <c r="H7" s="1152">
        <v>826.04233962329999</v>
      </c>
      <c r="I7" s="1152">
        <v>822.61934763950001</v>
      </c>
      <c r="J7" s="1152">
        <v>778.8957381834</v>
      </c>
      <c r="K7" s="1152">
        <v>785.71793831390005</v>
      </c>
      <c r="L7" s="1152">
        <v>779.49977999309999</v>
      </c>
      <c r="M7" s="1152">
        <v>798.05695644037405</v>
      </c>
      <c r="N7" s="1152">
        <v>735.26483616739995</v>
      </c>
      <c r="O7" s="1152">
        <v>751.44527184477795</v>
      </c>
      <c r="P7" s="1152">
        <v>742.33370600740602</v>
      </c>
      <c r="Q7" s="1152">
        <v>749.51505462765704</v>
      </c>
      <c r="R7" s="1152">
        <v>770.33363209690003</v>
      </c>
      <c r="S7" s="1152">
        <v>710.00904105870006</v>
      </c>
      <c r="T7" s="1152">
        <v>730.40149287207191</v>
      </c>
      <c r="U7" s="1152">
        <v>738.38275498660005</v>
      </c>
      <c r="V7" s="1152">
        <v>777.25982567940298</v>
      </c>
      <c r="W7" s="1152">
        <v>770.15494099260002</v>
      </c>
      <c r="X7" s="1152">
        <v>666.6311036300001</v>
      </c>
      <c r="Y7" s="1152">
        <v>662.68681362250004</v>
      </c>
      <c r="Z7" s="1152">
        <v>614.21490875730001</v>
      </c>
      <c r="AA7" s="1152">
        <v>645.35858085769996</v>
      </c>
      <c r="AB7" s="1152">
        <v>672.80754476545906</v>
      </c>
      <c r="AC7" s="1152">
        <v>660.20954244927998</v>
      </c>
      <c r="AD7" s="1152">
        <v>671.21658381889995</v>
      </c>
      <c r="AE7" s="1152">
        <v>690.30409737310003</v>
      </c>
      <c r="AF7" s="1152">
        <v>672.8145148095</v>
      </c>
      <c r="AG7" s="1152">
        <v>687.70237913719996</v>
      </c>
      <c r="AH7" s="1152">
        <v>706.62908687467996</v>
      </c>
      <c r="AI7" s="1152">
        <v>707.32870994778</v>
      </c>
      <c r="AJ7" s="1152">
        <v>703.256118778928</v>
      </c>
      <c r="AK7" s="1152">
        <v>714.89853491405199</v>
      </c>
      <c r="AL7" s="1152">
        <v>655.092674620092</v>
      </c>
      <c r="AM7" s="1152">
        <v>690.63079405487201</v>
      </c>
      <c r="AN7" s="1152">
        <v>698.55094704806595</v>
      </c>
      <c r="AO7" s="1152">
        <v>709.90896111671395</v>
      </c>
      <c r="AP7" s="1152">
        <v>734.10647075108398</v>
      </c>
      <c r="AQ7" s="1152">
        <v>776.39457462903601</v>
      </c>
      <c r="AR7" s="1362" t="s">
        <v>3557</v>
      </c>
      <c r="AT7" s="1358"/>
    </row>
    <row r="8" spans="1:47" ht="32.450000000000003" customHeight="1">
      <c r="A8" s="1154" t="s">
        <v>2752</v>
      </c>
      <c r="B8" s="1406"/>
      <c r="C8" s="1157"/>
      <c r="D8" s="1157"/>
      <c r="E8" s="1157"/>
      <c r="F8" s="1156"/>
      <c r="G8" s="1156"/>
      <c r="H8" s="1156"/>
      <c r="I8" s="1156"/>
      <c r="J8" s="1156"/>
      <c r="K8" s="1156"/>
      <c r="L8" s="1156"/>
      <c r="M8" s="1156"/>
      <c r="N8" s="1156"/>
      <c r="O8" s="1156"/>
      <c r="P8" s="1156"/>
      <c r="Q8" s="1156"/>
      <c r="R8" s="1156"/>
      <c r="S8" s="1156"/>
      <c r="T8" s="1156"/>
      <c r="U8" s="1156"/>
      <c r="V8" s="1156"/>
      <c r="W8" s="1156"/>
      <c r="X8" s="1156"/>
      <c r="Y8" s="1156"/>
      <c r="Z8" s="1156"/>
      <c r="AA8" s="1156"/>
      <c r="AB8" s="1156"/>
      <c r="AC8" s="1156"/>
      <c r="AD8" s="1156"/>
      <c r="AE8" s="1156"/>
      <c r="AF8" s="1156"/>
      <c r="AG8" s="1156"/>
      <c r="AH8" s="1156"/>
      <c r="AI8" s="1156"/>
      <c r="AJ8" s="1156"/>
      <c r="AK8" s="1156"/>
      <c r="AL8" s="1156"/>
      <c r="AM8" s="1156"/>
      <c r="AN8" s="1156"/>
      <c r="AO8" s="1156"/>
      <c r="AP8" s="1156"/>
      <c r="AQ8" s="1156"/>
      <c r="AR8" s="1364" t="s">
        <v>3652</v>
      </c>
      <c r="AT8" s="1358"/>
    </row>
    <row r="9" spans="1:47" ht="32.450000000000003" customHeight="1">
      <c r="A9" s="1158" t="s">
        <v>3550</v>
      </c>
      <c r="B9" s="1407">
        <v>498.29190249848</v>
      </c>
      <c r="C9" s="1161">
        <v>530.67220717693795</v>
      </c>
      <c r="D9" s="1161">
        <v>532.50298973514998</v>
      </c>
      <c r="E9" s="1161">
        <v>557.28211234132505</v>
      </c>
      <c r="F9" s="1160">
        <v>555.992058712269</v>
      </c>
      <c r="G9" s="1160">
        <v>577.65940722532901</v>
      </c>
      <c r="H9" s="1160">
        <v>551.007209354</v>
      </c>
      <c r="I9" s="1160">
        <v>551.68533845499996</v>
      </c>
      <c r="J9" s="1160">
        <v>519.47482558399997</v>
      </c>
      <c r="K9" s="1160">
        <v>524.98552926800005</v>
      </c>
      <c r="L9" s="1160">
        <v>525.71011963700005</v>
      </c>
      <c r="M9" s="1160">
        <v>536.69645291971597</v>
      </c>
      <c r="N9" s="1160">
        <v>507.32903583900003</v>
      </c>
      <c r="O9" s="1160">
        <v>512.64201199177796</v>
      </c>
      <c r="P9" s="1160">
        <v>499.34126981800603</v>
      </c>
      <c r="Q9" s="1160">
        <v>506.10128448695707</v>
      </c>
      <c r="R9" s="1160">
        <v>522.72524006200001</v>
      </c>
      <c r="S9" s="1160">
        <v>461.714511754</v>
      </c>
      <c r="T9" s="1160">
        <v>475.447409748072</v>
      </c>
      <c r="U9" s="1160">
        <v>480.42049387600002</v>
      </c>
      <c r="V9" s="1160">
        <v>512.98697795870305</v>
      </c>
      <c r="W9" s="1160">
        <v>515.80820426000002</v>
      </c>
      <c r="X9" s="1160">
        <v>426.73220739499999</v>
      </c>
      <c r="Y9" s="1160">
        <v>421.315803415</v>
      </c>
      <c r="Z9" s="1160">
        <v>377.988852033</v>
      </c>
      <c r="AA9" s="1160">
        <v>401.46852347100003</v>
      </c>
      <c r="AB9" s="1160">
        <v>427.48858154200002</v>
      </c>
      <c r="AC9" s="1160">
        <v>417.39822709499998</v>
      </c>
      <c r="AD9" s="1160">
        <v>409.42128040499995</v>
      </c>
      <c r="AE9" s="1160">
        <v>415.81381619000001</v>
      </c>
      <c r="AF9" s="1160">
        <v>406.30505451499999</v>
      </c>
      <c r="AG9" s="1160">
        <v>410.06144528999999</v>
      </c>
      <c r="AH9" s="1160">
        <v>416.86391601399998</v>
      </c>
      <c r="AI9" s="1160">
        <v>427.80675288600003</v>
      </c>
      <c r="AJ9" s="1160">
        <v>412.68589416999998</v>
      </c>
      <c r="AK9" s="1160">
        <v>412.52743362799998</v>
      </c>
      <c r="AL9" s="1160">
        <v>374.789261447</v>
      </c>
      <c r="AM9" s="1160">
        <v>389.43575179200002</v>
      </c>
      <c r="AN9" s="1160">
        <v>382.45398987200002</v>
      </c>
      <c r="AO9" s="1160">
        <v>391.20868507400002</v>
      </c>
      <c r="AP9" s="1160">
        <v>392.95479993599997</v>
      </c>
      <c r="AQ9" s="1160">
        <v>420.75552320000003</v>
      </c>
      <c r="AR9" s="1417" t="s">
        <v>3653</v>
      </c>
      <c r="AT9" s="1358"/>
    </row>
    <row r="10" spans="1:47" ht="32.450000000000003" customHeight="1">
      <c r="A10" s="1158" t="s">
        <v>2527</v>
      </c>
      <c r="B10" s="1407">
        <v>183.42723290079999</v>
      </c>
      <c r="C10" s="1161">
        <v>183.67880127999999</v>
      </c>
      <c r="D10" s="1161">
        <v>182.24322436750001</v>
      </c>
      <c r="E10" s="1161">
        <v>192.14046256660001</v>
      </c>
      <c r="F10" s="1160">
        <v>200.6043716092</v>
      </c>
      <c r="G10" s="1160">
        <v>211.72637038240001</v>
      </c>
      <c r="H10" s="1160">
        <v>221.6629191543</v>
      </c>
      <c r="I10" s="1160">
        <v>218.89212749449999</v>
      </c>
      <c r="J10" s="1160">
        <v>206.80356287239999</v>
      </c>
      <c r="K10" s="1160">
        <v>210.20191709689999</v>
      </c>
      <c r="L10" s="1160">
        <v>206.0706568471</v>
      </c>
      <c r="M10" s="1160">
        <v>215.20629734865801</v>
      </c>
      <c r="N10" s="1160">
        <v>184.92468152039999</v>
      </c>
      <c r="O10" s="1160">
        <v>193.79783089700001</v>
      </c>
      <c r="P10" s="1160">
        <v>200.25648871839999</v>
      </c>
      <c r="Q10" s="1160">
        <v>197.9862618727</v>
      </c>
      <c r="R10" s="1160">
        <v>202.74704447889999</v>
      </c>
      <c r="S10" s="1160">
        <v>207.57209344669999</v>
      </c>
      <c r="T10" s="1160">
        <v>214.674116156</v>
      </c>
      <c r="U10" s="1160">
        <v>216.49010431260001</v>
      </c>
      <c r="V10" s="1160">
        <v>222.0768853017</v>
      </c>
      <c r="W10" s="1160">
        <v>213.8063567236</v>
      </c>
      <c r="X10" s="1160">
        <v>202.249059096</v>
      </c>
      <c r="Y10" s="1160">
        <v>202.82721531449999</v>
      </c>
      <c r="Z10" s="1160">
        <v>196.7861832083</v>
      </c>
      <c r="AA10" s="1160">
        <v>204.7396170227</v>
      </c>
      <c r="AB10" s="1160">
        <v>206.346214329459</v>
      </c>
      <c r="AC10" s="1160">
        <v>203.83212804528</v>
      </c>
      <c r="AD10" s="1160">
        <v>221.82647892490002</v>
      </c>
      <c r="AE10" s="1160">
        <v>233.04548739410001</v>
      </c>
      <c r="AF10" s="1160">
        <v>226.34870245549999</v>
      </c>
      <c r="AG10" s="1160">
        <v>239.45037601819999</v>
      </c>
      <c r="AH10" s="1160">
        <v>253.47508735168</v>
      </c>
      <c r="AI10" s="1160">
        <v>243.67945425278</v>
      </c>
      <c r="AJ10" s="1160">
        <v>256.03753938992799</v>
      </c>
      <c r="AK10" s="1160">
        <v>267.12407841705198</v>
      </c>
      <c r="AL10" s="1160">
        <v>246.30565822409201</v>
      </c>
      <c r="AM10" s="1160">
        <v>267.21371692387203</v>
      </c>
      <c r="AN10" s="1160">
        <v>282.13023863806598</v>
      </c>
      <c r="AO10" s="1160">
        <v>283.57089258471399</v>
      </c>
      <c r="AP10" s="1160">
        <v>306.42444524708401</v>
      </c>
      <c r="AQ10" s="1160">
        <v>319.61923488403602</v>
      </c>
      <c r="AR10" s="1363" t="s">
        <v>3559</v>
      </c>
      <c r="AT10" s="1358"/>
    </row>
    <row r="11" spans="1:47" ht="32.450000000000003" customHeight="1" thickBot="1">
      <c r="A11" s="1162" t="s">
        <v>2528</v>
      </c>
      <c r="B11" s="1408">
        <v>66.246985998</v>
      </c>
      <c r="C11" s="1165">
        <v>64.941842575999999</v>
      </c>
      <c r="D11" s="1165">
        <v>61.457101238</v>
      </c>
      <c r="E11" s="1165">
        <v>62.129153582000001</v>
      </c>
      <c r="F11" s="1164">
        <v>57.172354341000002</v>
      </c>
      <c r="G11" s="1164">
        <v>57.884637032999997</v>
      </c>
      <c r="H11" s="1164">
        <v>53.372211114999999</v>
      </c>
      <c r="I11" s="1164">
        <v>52.041881689999997</v>
      </c>
      <c r="J11" s="1164">
        <v>52.617349726999997</v>
      </c>
      <c r="K11" s="1164">
        <v>50.530491949000002</v>
      </c>
      <c r="L11" s="1164">
        <v>47.719003508999997</v>
      </c>
      <c r="M11" s="1164">
        <v>46.154206172000002</v>
      </c>
      <c r="N11" s="1164">
        <v>43.011118807999999</v>
      </c>
      <c r="O11" s="1164">
        <v>45.005428956000003</v>
      </c>
      <c r="P11" s="1164">
        <v>42.735947471000003</v>
      </c>
      <c r="Q11" s="1164">
        <v>45.427508267999997</v>
      </c>
      <c r="R11" s="1164">
        <v>44.861347555999998</v>
      </c>
      <c r="S11" s="1164">
        <v>40.722435857999997</v>
      </c>
      <c r="T11" s="1164">
        <v>40.279966967999997</v>
      </c>
      <c r="U11" s="1164">
        <v>41.472156798</v>
      </c>
      <c r="V11" s="1164">
        <v>42.195962418999997</v>
      </c>
      <c r="W11" s="1164">
        <v>40.540380009000003</v>
      </c>
      <c r="X11" s="1164">
        <v>37.649837138999999</v>
      </c>
      <c r="Y11" s="1164">
        <v>38.543794892999998</v>
      </c>
      <c r="Z11" s="1164">
        <v>39.439873515999999</v>
      </c>
      <c r="AA11" s="1164">
        <v>39.150440363999998</v>
      </c>
      <c r="AB11" s="1164">
        <v>38.972748893999999</v>
      </c>
      <c r="AC11" s="1164">
        <v>38.979187308999997</v>
      </c>
      <c r="AD11" s="1164">
        <v>39.968824488999999</v>
      </c>
      <c r="AE11" s="1164">
        <v>41.444793789000002</v>
      </c>
      <c r="AF11" s="1164">
        <v>40.160757838999999</v>
      </c>
      <c r="AG11" s="1164">
        <v>38.190557828999999</v>
      </c>
      <c r="AH11" s="1164">
        <v>36.290083508999999</v>
      </c>
      <c r="AI11" s="1164">
        <v>35.842502809000003</v>
      </c>
      <c r="AJ11" s="1164">
        <v>34.532685219000001</v>
      </c>
      <c r="AK11" s="1164">
        <v>35.247022868999998</v>
      </c>
      <c r="AL11" s="1164">
        <v>33.997754948999997</v>
      </c>
      <c r="AM11" s="1164">
        <v>33.981325339000001</v>
      </c>
      <c r="AN11" s="1164">
        <v>33.966718538000002</v>
      </c>
      <c r="AO11" s="1164">
        <v>35.129383458</v>
      </c>
      <c r="AP11" s="1164">
        <v>34.727225568000001</v>
      </c>
      <c r="AQ11" s="1164">
        <v>36.019816544999998</v>
      </c>
      <c r="AR11" s="1365" t="s">
        <v>3560</v>
      </c>
      <c r="AT11" s="1358"/>
    </row>
    <row r="12" spans="1:47" ht="35.450000000000003" customHeight="1">
      <c r="A12" s="1150" t="s">
        <v>3551</v>
      </c>
      <c r="B12" s="1409">
        <v>4.490053832685921E-2</v>
      </c>
      <c r="C12" s="1410">
        <v>4.6440016885431389E-2</v>
      </c>
      <c r="D12" s="1410">
        <v>4.5323808584905846E-2</v>
      </c>
      <c r="E12" s="1410">
        <v>4.63019249920925E-2</v>
      </c>
      <c r="F12" s="1410">
        <v>4.5615783904374436E-2</v>
      </c>
      <c r="G12" s="1410">
        <v>4.6816892969526298E-2</v>
      </c>
      <c r="H12" s="1410">
        <v>4.5091428032512107E-2</v>
      </c>
      <c r="I12" s="1410">
        <v>4.4497895721106726E-2</v>
      </c>
      <c r="J12" s="1410">
        <v>4.1790973969877958E-2</v>
      </c>
      <c r="K12" s="1410">
        <v>4.1015869805330091E-2</v>
      </c>
      <c r="L12" s="1410">
        <v>4.0034328189734771E-2</v>
      </c>
      <c r="M12" s="1410">
        <v>4.0563673914957792E-2</v>
      </c>
      <c r="N12" s="1410">
        <v>3.7524318349150772E-2</v>
      </c>
      <c r="O12" s="1410">
        <v>3.8203399382471026E-2</v>
      </c>
      <c r="P12" s="1410">
        <v>3.7572383044850347E-2</v>
      </c>
      <c r="Q12" s="1410">
        <v>3.7403571014233784E-2</v>
      </c>
      <c r="R12" s="1410">
        <v>3.7799200768857309E-2</v>
      </c>
      <c r="S12" s="1418">
        <v>3.4367577790346833E-2</v>
      </c>
      <c r="T12" s="1418">
        <v>3.4297210482199678E-2</v>
      </c>
      <c r="U12" s="1418">
        <v>3.454908550266543E-2</v>
      </c>
      <c r="V12" s="1418">
        <v>3.5630932299106875E-2</v>
      </c>
      <c r="W12" s="1418">
        <v>3.4564174563131864E-2</v>
      </c>
      <c r="X12" s="1418">
        <v>2.9681448406282149E-2</v>
      </c>
      <c r="Y12" s="1418">
        <v>2.8962026201269472E-2</v>
      </c>
      <c r="Z12" s="1418">
        <v>2.6494247315473774E-2</v>
      </c>
      <c r="AA12" s="1418">
        <v>2.7384745823449103E-2</v>
      </c>
      <c r="AB12" s="1418">
        <v>2.8549498136391162E-2</v>
      </c>
      <c r="AC12" s="1418">
        <v>2.7391616460427433E-2</v>
      </c>
      <c r="AD12" s="1418">
        <v>2.7236013265079191E-2</v>
      </c>
      <c r="AE12" s="1418">
        <v>2.7438553972078124E-2</v>
      </c>
      <c r="AF12" s="1418">
        <v>2.6458013832482943E-2</v>
      </c>
      <c r="AG12" s="1418">
        <v>2.6764357126638345E-2</v>
      </c>
      <c r="AH12" s="1418">
        <v>2.7099234195129607E-2</v>
      </c>
      <c r="AI12" s="1418">
        <v>2.6485788122164483E-2</v>
      </c>
      <c r="AJ12" s="1418">
        <v>2.5969074576851259E-2</v>
      </c>
      <c r="AK12" s="1418">
        <v>2.6398993015943881E-2</v>
      </c>
      <c r="AL12" s="1418">
        <v>2.3840906250893898E-2</v>
      </c>
      <c r="AM12" s="1418">
        <v>2.5100429386114329E-2</v>
      </c>
      <c r="AN12" s="1418">
        <v>2.5316817982260872E-2</v>
      </c>
      <c r="AO12" s="1418">
        <v>2.5465649626132996E-2</v>
      </c>
      <c r="AP12" s="1418">
        <v>2.6128022860484421E-2</v>
      </c>
      <c r="AQ12" s="1418">
        <v>2.7350834435098996E-2</v>
      </c>
      <c r="AR12" s="1362" t="s">
        <v>3561</v>
      </c>
      <c r="AT12" s="1358"/>
    </row>
    <row r="13" spans="1:47" ht="35.450000000000003" customHeight="1">
      <c r="A13" s="1154" t="s">
        <v>2752</v>
      </c>
      <c r="B13" s="1406"/>
      <c r="C13" s="1157"/>
      <c r="D13" s="1157"/>
      <c r="E13" s="1157"/>
      <c r="F13" s="1156"/>
      <c r="G13" s="1156"/>
      <c r="H13" s="1156"/>
      <c r="I13" s="1156"/>
      <c r="J13" s="1156"/>
      <c r="K13" s="1156"/>
      <c r="L13" s="1156"/>
      <c r="M13" s="1156"/>
      <c r="N13" s="1156"/>
      <c r="O13" s="1156"/>
      <c r="P13" s="1156"/>
      <c r="Q13" s="1156"/>
      <c r="R13" s="1156"/>
      <c r="S13" s="1156"/>
      <c r="T13" s="1156"/>
      <c r="U13" s="1156"/>
      <c r="V13" s="1156"/>
      <c r="W13" s="1156"/>
      <c r="X13" s="1156"/>
      <c r="Y13" s="1156"/>
      <c r="Z13" s="1156"/>
      <c r="AA13" s="1156"/>
      <c r="AB13" s="1156"/>
      <c r="AC13" s="1156"/>
      <c r="AD13" s="1156"/>
      <c r="AE13" s="1156"/>
      <c r="AF13" s="1156"/>
      <c r="AG13" s="1156"/>
      <c r="AH13" s="1156"/>
      <c r="AI13" s="1156"/>
      <c r="AJ13" s="1156"/>
      <c r="AK13" s="1156"/>
      <c r="AL13" s="1156"/>
      <c r="AM13" s="1156"/>
      <c r="AN13" s="1156"/>
      <c r="AO13" s="1156"/>
      <c r="AP13" s="1156"/>
      <c r="AQ13" s="1156"/>
      <c r="AR13" s="1364" t="s">
        <v>3652</v>
      </c>
      <c r="AT13" s="1358"/>
    </row>
    <row r="14" spans="1:47" ht="48" customHeight="1">
      <c r="A14" s="1158" t="s">
        <v>3552</v>
      </c>
      <c r="B14" s="1411">
        <v>5.1163443964925753E-2</v>
      </c>
      <c r="C14" s="1412">
        <v>5.4451622869223046E-2</v>
      </c>
      <c r="D14" s="1412">
        <v>5.3399260494625719E-2</v>
      </c>
      <c r="E14" s="1412">
        <v>5.4734447875767783E-2</v>
      </c>
      <c r="F14" s="1412">
        <v>5.3835817370095858E-2</v>
      </c>
      <c r="G14" s="1412">
        <v>5.5473353518712937E-2</v>
      </c>
      <c r="H14" s="1412">
        <v>5.2572107479085688E-2</v>
      </c>
      <c r="I14" s="1412">
        <v>5.2559895479167992E-2</v>
      </c>
      <c r="J14" s="1412">
        <v>4.9515170473005417E-2</v>
      </c>
      <c r="K14" s="1412">
        <v>4.8698973456407182E-2</v>
      </c>
      <c r="L14" s="1412">
        <v>4.8174787462269025E-2</v>
      </c>
      <c r="M14" s="1412">
        <v>4.8898034915908703E-2</v>
      </c>
      <c r="N14" s="1412">
        <v>4.6736632087124037E-2</v>
      </c>
      <c r="O14" s="1412">
        <v>4.7267450933034701E-2</v>
      </c>
      <c r="P14" s="1412">
        <v>4.6083489231607093E-2</v>
      </c>
      <c r="Q14" s="1412">
        <v>4.6129157005323371E-2</v>
      </c>
      <c r="R14" s="1412">
        <v>4.7058627608676587E-2</v>
      </c>
      <c r="S14" s="1413">
        <v>4.1332248587034173E-2</v>
      </c>
      <c r="T14" s="1413">
        <v>4.0809174118993242E-2</v>
      </c>
      <c r="U14" s="1413">
        <v>4.1334712103110204E-2</v>
      </c>
      <c r="V14" s="1413">
        <v>4.3393335619800327E-2</v>
      </c>
      <c r="W14" s="1413">
        <v>4.2704039597112511E-2</v>
      </c>
      <c r="X14" s="1413">
        <v>3.484610159031102E-2</v>
      </c>
      <c r="Y14" s="1413">
        <v>3.3918962076552227E-2</v>
      </c>
      <c r="Z14" s="1413">
        <v>2.9959200277582029E-2</v>
      </c>
      <c r="AA14" s="1413">
        <v>3.1090460130000955E-2</v>
      </c>
      <c r="AB14" s="1413">
        <v>3.310550123719045E-2</v>
      </c>
      <c r="AC14" s="1413">
        <v>3.1617389524381492E-2</v>
      </c>
      <c r="AD14" s="1413">
        <v>3.0380698674760953E-2</v>
      </c>
      <c r="AE14" s="1413">
        <v>3.0164815920092247E-2</v>
      </c>
      <c r="AF14" s="1413">
        <v>2.9283625000822495E-2</v>
      </c>
      <c r="AG14" s="1413">
        <v>2.9479423989131823E-2</v>
      </c>
      <c r="AH14" s="1413">
        <v>2.9776327209545369E-2</v>
      </c>
      <c r="AI14" s="1413">
        <v>2.9692612485353896E-2</v>
      </c>
      <c r="AJ14" s="1413">
        <v>2.8211764967969895E-2</v>
      </c>
      <c r="AK14" s="1413">
        <v>2.8200932391352292E-2</v>
      </c>
      <c r="AL14" s="1413">
        <v>2.5345544572066735E-2</v>
      </c>
      <c r="AM14" s="1413">
        <v>2.6474366456501724E-2</v>
      </c>
      <c r="AN14" s="1413">
        <v>2.5881745098039692E-2</v>
      </c>
      <c r="AO14" s="1413">
        <v>2.619401941086914E-2</v>
      </c>
      <c r="AP14" s="1413">
        <v>2.6279897340687006E-2</v>
      </c>
      <c r="AQ14" s="1413">
        <v>2.7864649809140392E-2</v>
      </c>
      <c r="AR14" s="1363" t="s">
        <v>3648</v>
      </c>
      <c r="AT14" s="1358"/>
    </row>
    <row r="15" spans="1:47" ht="48" customHeight="1">
      <c r="A15" s="1158" t="s">
        <v>3553</v>
      </c>
      <c r="B15" s="1411">
        <v>4.059548067565244E-2</v>
      </c>
      <c r="C15" s="1412">
        <v>3.9783447582528247E-2</v>
      </c>
      <c r="D15" s="1412">
        <v>3.8842771482037602E-2</v>
      </c>
      <c r="E15" s="1412">
        <v>3.9769977941308023E-2</v>
      </c>
      <c r="F15" s="1412">
        <v>4.0603665801285736E-2</v>
      </c>
      <c r="G15" s="1412">
        <v>4.1716648428837898E-2</v>
      </c>
      <c r="H15" s="1412">
        <v>4.2711369298398458E-2</v>
      </c>
      <c r="I15" s="1412">
        <v>4.1183661984252343E-2</v>
      </c>
      <c r="J15" s="1412">
        <v>3.8179214517379184E-2</v>
      </c>
      <c r="K15" s="1412">
        <v>3.7525489871668663E-2</v>
      </c>
      <c r="L15" s="1412">
        <v>3.6173634356742819E-2</v>
      </c>
      <c r="M15" s="1412">
        <v>3.728665030285027E-2</v>
      </c>
      <c r="N15" s="1412">
        <v>3.2137647486949007E-2</v>
      </c>
      <c r="O15" s="1412">
        <v>3.3345204528818312E-2</v>
      </c>
      <c r="P15" s="1412">
        <v>3.4152091282022311E-2</v>
      </c>
      <c r="Q15" s="1412">
        <v>3.3317308645741908E-2</v>
      </c>
      <c r="R15" s="1412">
        <v>3.3388617297801744E-2</v>
      </c>
      <c r="S15" s="1413">
        <v>3.3347449709846884E-2</v>
      </c>
      <c r="T15" s="1413">
        <v>3.3941982162679671E-2</v>
      </c>
      <c r="U15" s="1413">
        <v>3.3953687985135372E-2</v>
      </c>
      <c r="V15" s="1413">
        <v>3.3995615772457001E-2</v>
      </c>
      <c r="W15" s="1413">
        <v>3.2006391075710947E-2</v>
      </c>
      <c r="X15" s="1413">
        <v>2.9956900788338278E-2</v>
      </c>
      <c r="Y15" s="1413">
        <v>2.9524851575466207E-2</v>
      </c>
      <c r="Z15" s="1413">
        <v>2.8367610466870478E-2</v>
      </c>
      <c r="AA15" s="1413">
        <v>2.9215288712304364E-2</v>
      </c>
      <c r="AB15" s="1413">
        <v>2.9444541872215131E-2</v>
      </c>
      <c r="AC15" s="1413">
        <v>2.8540206058409224E-2</v>
      </c>
      <c r="AD15" s="1413">
        <v>3.0275401893672629E-2</v>
      </c>
      <c r="AE15" s="1413">
        <v>3.1155149642843095E-2</v>
      </c>
      <c r="AF15" s="1413">
        <v>2.9650733546924022E-2</v>
      </c>
      <c r="AG15" s="1413">
        <v>3.0836580906672923E-2</v>
      </c>
      <c r="AH15" s="1413">
        <v>3.1768514170454495E-2</v>
      </c>
      <c r="AI15" s="1413">
        <v>2.9889103302093177E-2</v>
      </c>
      <c r="AJ15" s="1413">
        <v>3.093063853280149E-2</v>
      </c>
      <c r="AK15" s="1413">
        <v>3.2269948901292159E-2</v>
      </c>
      <c r="AL15" s="1413">
        <v>2.9165986257746097E-2</v>
      </c>
      <c r="AM15" s="1413">
        <v>3.1246942512784617E-2</v>
      </c>
      <c r="AN15" s="1413">
        <v>3.3020865131628302E-2</v>
      </c>
      <c r="AO15" s="1413">
        <v>3.2959521580074605E-2</v>
      </c>
      <c r="AP15" s="1413">
        <v>3.5029349475626345E-2</v>
      </c>
      <c r="AQ15" s="1413">
        <v>3.5985346016887916E-2</v>
      </c>
      <c r="AR15" s="1363" t="s">
        <v>3649</v>
      </c>
      <c r="AT15" s="1358"/>
    </row>
    <row r="16" spans="1:47" ht="48" customHeight="1" thickBot="1">
      <c r="A16" s="1162" t="s">
        <v>3554</v>
      </c>
      <c r="B16" s="1414">
        <v>2.7595367797202029E-2</v>
      </c>
      <c r="C16" s="1415">
        <v>2.6858652754381929E-2</v>
      </c>
      <c r="D16" s="1415">
        <v>2.4964216847986241E-2</v>
      </c>
      <c r="E16" s="1415">
        <v>2.4708045169572035E-2</v>
      </c>
      <c r="F16" s="1415">
        <v>2.2232780948558028E-2</v>
      </c>
      <c r="G16" s="1415">
        <v>2.2187251303288653E-2</v>
      </c>
      <c r="H16" s="1415">
        <v>2.0151793285652954E-2</v>
      </c>
      <c r="I16" s="1415">
        <v>1.9452279928312718E-2</v>
      </c>
      <c r="J16" s="1415">
        <v>1.9273647901630896E-2</v>
      </c>
      <c r="K16" s="1415">
        <v>1.8211530252674468E-2</v>
      </c>
      <c r="L16" s="1415">
        <v>1.6676110514913533E-2</v>
      </c>
      <c r="M16" s="1415">
        <v>1.5770167686132635E-2</v>
      </c>
      <c r="N16" s="1415">
        <v>1.4408367266789356E-2</v>
      </c>
      <c r="O16" s="1415">
        <v>1.494121841298612E-2</v>
      </c>
      <c r="P16" s="1415">
        <v>1.3974289736287438E-2</v>
      </c>
      <c r="Q16" s="1415">
        <v>1.4537943556006332E-2</v>
      </c>
      <c r="R16" s="1415">
        <v>1.4022108408564981E-2</v>
      </c>
      <c r="S16" s="1419">
        <v>1.2476477765995871E-2</v>
      </c>
      <c r="T16" s="1419">
        <v>1.21288820439852E-2</v>
      </c>
      <c r="U16" s="1419">
        <v>1.2294379017835451E-2</v>
      </c>
      <c r="V16" s="1419">
        <v>1.2195788073689991E-2</v>
      </c>
      <c r="W16" s="1419">
        <v>1.1507035242871499E-2</v>
      </c>
      <c r="X16" s="1419">
        <v>1.0875202224637181E-2</v>
      </c>
      <c r="Y16" s="1419">
        <v>1.0735648007699496E-2</v>
      </c>
      <c r="Z16" s="1419">
        <v>1.086748133692253E-2</v>
      </c>
      <c r="AA16" s="1419">
        <v>1.0739463280168669E-2</v>
      </c>
      <c r="AB16" s="1419">
        <v>1.0690720252005469E-2</v>
      </c>
      <c r="AC16" s="1419">
        <v>1.0369136829743763E-2</v>
      </c>
      <c r="AD16" s="1419">
        <v>1.0405472550139478E-2</v>
      </c>
      <c r="AE16" s="1419">
        <v>1.0645179728920276E-2</v>
      </c>
      <c r="AF16" s="1419">
        <v>1.0242884231363941E-2</v>
      </c>
      <c r="AG16" s="1419">
        <v>9.5013701533919488E-3</v>
      </c>
      <c r="AH16" s="1419">
        <v>8.8578229862036287E-3</v>
      </c>
      <c r="AI16" s="1419">
        <v>8.6464681475719105E-3</v>
      </c>
      <c r="AJ16" s="1419">
        <v>8.2721391643802121E-3</v>
      </c>
      <c r="AK16" s="1419">
        <v>8.4432553232795821E-3</v>
      </c>
      <c r="AL16" s="1419">
        <v>8.0078990512648853E-3</v>
      </c>
      <c r="AM16" s="1419">
        <v>7.9897648851185513E-3</v>
      </c>
      <c r="AN16" s="1419">
        <v>7.952146211205836E-3</v>
      </c>
      <c r="AO16" s="1419">
        <v>8.097181485422331E-3</v>
      </c>
      <c r="AP16" s="1419">
        <v>7.8993858248816197E-3</v>
      </c>
      <c r="AQ16" s="1419">
        <v>8.1777699665345361E-3</v>
      </c>
      <c r="AR16" s="1365" t="s">
        <v>3650</v>
      </c>
      <c r="AT16" s="1358"/>
    </row>
    <row r="17" spans="1:47" s="1167" customFormat="1" ht="45.75" customHeight="1">
      <c r="A17" s="2935" t="s">
        <v>3654</v>
      </c>
      <c r="B17" s="2935"/>
      <c r="C17" s="2935"/>
      <c r="D17" s="2935"/>
      <c r="E17" s="2935"/>
      <c r="F17" s="2935"/>
      <c r="G17" s="2935"/>
      <c r="H17" s="2935"/>
      <c r="I17" s="2935"/>
      <c r="J17" s="2935"/>
      <c r="K17" s="2935"/>
      <c r="L17" s="2935"/>
      <c r="M17" s="2935"/>
      <c r="N17" s="2935"/>
      <c r="O17" s="2935"/>
      <c r="P17" s="2935"/>
      <c r="Q17" s="2935"/>
      <c r="R17" s="2935"/>
      <c r="S17" s="2935"/>
      <c r="T17" s="2935"/>
      <c r="U17" s="2935"/>
      <c r="V17" s="2935"/>
      <c r="W17" s="2935"/>
      <c r="X17" s="2935"/>
      <c r="Y17" s="2935"/>
      <c r="Z17" s="2935"/>
      <c r="AA17" s="2935"/>
      <c r="AB17" s="2935"/>
      <c r="AC17" s="2935"/>
      <c r="AD17" s="2935"/>
      <c r="AE17" s="2935"/>
      <c r="AF17" s="2935"/>
      <c r="AG17" s="2935"/>
      <c r="AH17" s="2935"/>
      <c r="AI17" s="2935"/>
      <c r="AJ17" s="2935"/>
      <c r="AK17" s="2935"/>
      <c r="AL17" s="2935"/>
      <c r="AM17" s="2935"/>
      <c r="AN17" s="2935"/>
      <c r="AO17" s="2935"/>
      <c r="AP17" s="2935"/>
      <c r="AQ17" s="2935"/>
      <c r="AR17" s="2935"/>
      <c r="AS17" s="1168"/>
      <c r="AT17" s="1359"/>
      <c r="AU17" s="1168"/>
    </row>
    <row r="19" spans="1:47" s="1356" customFormat="1">
      <c r="A19" s="1143"/>
      <c r="B19" s="1360"/>
      <c r="C19" s="1360"/>
      <c r="D19" s="1360"/>
      <c r="E19" s="1360"/>
      <c r="F19" s="1360"/>
      <c r="G19" s="1360"/>
      <c r="H19" s="1360"/>
      <c r="I19" s="1360"/>
      <c r="J19" s="1360"/>
      <c r="K19" s="1360"/>
      <c r="L19" s="1360"/>
      <c r="M19" s="1360"/>
      <c r="N19" s="1360"/>
      <c r="O19" s="1360"/>
      <c r="P19" s="1360"/>
      <c r="Q19" s="1360"/>
      <c r="R19" s="1360"/>
      <c r="S19" s="1360"/>
      <c r="T19" s="1360"/>
      <c r="U19" s="1360"/>
      <c r="V19" s="1360"/>
      <c r="W19" s="1360"/>
      <c r="X19" s="1360"/>
      <c r="Y19" s="1360"/>
      <c r="Z19" s="1360"/>
      <c r="AA19" s="1360"/>
      <c r="AB19" s="1360"/>
      <c r="AC19" s="1360"/>
      <c r="AD19" s="1360"/>
      <c r="AE19" s="1360"/>
      <c r="AF19" s="1360"/>
      <c r="AG19" s="1360"/>
      <c r="AH19" s="1360"/>
      <c r="AI19" s="1360"/>
      <c r="AJ19" s="1360"/>
      <c r="AK19" s="1360"/>
      <c r="AL19" s="1360"/>
      <c r="AM19" s="1360"/>
      <c r="AN19" s="1360"/>
      <c r="AO19" s="1360"/>
      <c r="AP19" s="1360"/>
      <c r="AQ19" s="1360"/>
      <c r="AS19" s="1101"/>
      <c r="AU19" s="1101"/>
    </row>
    <row r="20" spans="1:47" s="1356" customFormat="1">
      <c r="A20" s="1143"/>
      <c r="B20" s="1142"/>
      <c r="C20" s="1142"/>
      <c r="D20" s="1142"/>
      <c r="E20" s="1142"/>
      <c r="F20" s="1142"/>
      <c r="G20" s="1142"/>
      <c r="H20" s="1142"/>
      <c r="I20" s="1142"/>
      <c r="J20" s="1142"/>
      <c r="K20" s="1142"/>
      <c r="L20" s="1142"/>
      <c r="M20" s="1142"/>
      <c r="N20" s="1142"/>
      <c r="O20" s="1142"/>
      <c r="P20" s="1142"/>
      <c r="Q20" s="1142"/>
      <c r="R20" s="1142"/>
      <c r="S20" s="1142"/>
      <c r="T20" s="1142"/>
      <c r="U20" s="1142"/>
      <c r="V20" s="1142"/>
      <c r="W20" s="1142"/>
      <c r="X20" s="1142"/>
      <c r="Y20" s="1142"/>
      <c r="Z20" s="1142"/>
      <c r="AA20" s="1142"/>
      <c r="AB20" s="1142"/>
      <c r="AC20" s="1142"/>
      <c r="AD20" s="1142"/>
      <c r="AE20" s="1142"/>
      <c r="AF20" s="1142"/>
      <c r="AG20" s="1142"/>
      <c r="AH20" s="1142"/>
      <c r="AI20" s="1142"/>
      <c r="AJ20" s="1142"/>
      <c r="AK20" s="1142"/>
      <c r="AL20" s="1142"/>
      <c r="AM20" s="1142"/>
      <c r="AN20" s="1142"/>
      <c r="AO20" s="1142"/>
      <c r="AP20" s="1142"/>
      <c r="AQ20" s="1142"/>
      <c r="AS20" s="1101"/>
      <c r="AU20" s="1101"/>
    </row>
    <row r="21" spans="1:47" s="1356" customFormat="1">
      <c r="A21" s="1143"/>
      <c r="B21" s="960"/>
      <c r="C21" s="960"/>
      <c r="D21" s="960"/>
      <c r="E21" s="960"/>
      <c r="F21" s="960"/>
      <c r="G21" s="960"/>
      <c r="H21" s="1101"/>
      <c r="I21" s="960"/>
      <c r="J21" s="960"/>
      <c r="K21" s="960"/>
      <c r="L21" s="960"/>
      <c r="M21" s="960"/>
      <c r="N21" s="960"/>
      <c r="O21" s="960"/>
      <c r="P21" s="960"/>
      <c r="Q21" s="960"/>
      <c r="R21" s="960"/>
      <c r="S21" s="960"/>
      <c r="T21" s="960"/>
      <c r="U21" s="960"/>
      <c r="V21" s="960"/>
      <c r="W21" s="960"/>
      <c r="X21" s="960"/>
      <c r="Y21" s="960"/>
      <c r="Z21" s="960"/>
      <c r="AA21" s="960"/>
      <c r="AB21" s="960"/>
      <c r="AC21" s="960"/>
      <c r="AD21" s="960"/>
      <c r="AE21" s="960"/>
      <c r="AF21" s="960"/>
      <c r="AG21" s="960"/>
      <c r="AH21" s="960"/>
      <c r="AI21" s="960"/>
      <c r="AJ21" s="960"/>
      <c r="AK21" s="960"/>
      <c r="AL21" s="960"/>
      <c r="AM21" s="960"/>
      <c r="AN21" s="960"/>
      <c r="AO21" s="960"/>
      <c r="AP21" s="960"/>
      <c r="AQ21" s="960"/>
      <c r="AS21" s="1101"/>
      <c r="AU21" s="1101"/>
    </row>
    <row r="22" spans="1:47" s="1356" customFormat="1">
      <c r="A22" s="1143"/>
      <c r="B22" s="960"/>
      <c r="C22" s="960"/>
      <c r="D22" s="960"/>
      <c r="E22" s="960"/>
      <c r="F22" s="960"/>
      <c r="G22" s="960"/>
      <c r="H22" s="1101"/>
      <c r="I22" s="960"/>
      <c r="J22" s="960"/>
      <c r="K22" s="960"/>
      <c r="L22" s="960"/>
      <c r="M22" s="960"/>
      <c r="N22" s="960"/>
      <c r="O22" s="960"/>
      <c r="P22" s="960"/>
      <c r="Q22" s="960"/>
      <c r="R22" s="960"/>
      <c r="S22" s="960"/>
      <c r="T22" s="960"/>
      <c r="U22" s="960"/>
      <c r="V22" s="960"/>
      <c r="W22" s="960"/>
      <c r="X22" s="960"/>
      <c r="Y22" s="960"/>
      <c r="Z22" s="960"/>
      <c r="AA22" s="960"/>
      <c r="AB22" s="960"/>
      <c r="AC22" s="960"/>
      <c r="AD22" s="960"/>
      <c r="AE22" s="960"/>
      <c r="AF22" s="960"/>
      <c r="AG22" s="960"/>
      <c r="AH22" s="960"/>
      <c r="AI22" s="960"/>
      <c r="AJ22" s="960"/>
      <c r="AK22" s="960"/>
      <c r="AL22" s="960"/>
      <c r="AM22" s="960"/>
      <c r="AN22" s="960"/>
      <c r="AO22" s="960"/>
      <c r="AP22" s="960"/>
      <c r="AQ22" s="960"/>
      <c r="AS22" s="1101"/>
      <c r="AU22" s="1101"/>
    </row>
    <row r="25" spans="1:47" s="1356" customFormat="1">
      <c r="A25" s="1143"/>
      <c r="B25" s="960"/>
      <c r="C25" s="960"/>
      <c r="D25" s="960"/>
      <c r="E25" s="960"/>
      <c r="F25" s="960"/>
      <c r="G25" s="960"/>
      <c r="H25" s="1169"/>
      <c r="I25" s="960"/>
      <c r="J25" s="960"/>
      <c r="K25" s="960"/>
      <c r="L25" s="960"/>
      <c r="M25" s="960"/>
      <c r="N25" s="960"/>
      <c r="O25" s="960"/>
      <c r="P25" s="960"/>
      <c r="Q25" s="960"/>
      <c r="R25" s="960"/>
      <c r="S25" s="960"/>
      <c r="T25" s="960"/>
      <c r="U25" s="960"/>
      <c r="V25" s="960"/>
      <c r="W25" s="960"/>
      <c r="X25" s="960"/>
      <c r="Y25" s="960"/>
      <c r="Z25" s="960"/>
      <c r="AA25" s="960"/>
      <c r="AB25" s="960"/>
      <c r="AC25" s="960"/>
      <c r="AD25" s="960"/>
      <c r="AE25" s="960"/>
      <c r="AF25" s="960"/>
      <c r="AG25" s="960"/>
      <c r="AH25" s="960"/>
      <c r="AI25" s="960"/>
      <c r="AJ25" s="960"/>
      <c r="AK25" s="960"/>
      <c r="AL25" s="960"/>
      <c r="AM25" s="960"/>
      <c r="AN25" s="960"/>
      <c r="AO25" s="960"/>
      <c r="AP25" s="960"/>
      <c r="AQ25" s="960"/>
      <c r="AS25" s="1101"/>
      <c r="AU25" s="1101"/>
    </row>
  </sheetData>
  <mergeCells count="5">
    <mergeCell ref="A2:AR2"/>
    <mergeCell ref="A3:AR3"/>
    <mergeCell ref="L4:AR4"/>
    <mergeCell ref="A5:AR5"/>
    <mergeCell ref="A17:AR17"/>
  </mergeCells>
  <pageMargins left="0.51181102362204722" right="0.51181102362204722" top="0.35433070866141736" bottom="0.35433070866141736" header="0.31496062992125984" footer="0.31496062992125984"/>
  <pageSetup paperSize="9" scale="28" orientation="landscape"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2">
    <tabColor rgb="FF92D050"/>
  </sheetPr>
  <dimension ref="A1:AB20"/>
  <sheetViews>
    <sheetView showGridLines="0" view="pageBreakPreview" zoomScale="70" zoomScaleNormal="100" zoomScaleSheetLayoutView="70" workbookViewId="0">
      <pane xSplit="1" topLeftCell="B1" activePane="topRight" state="frozen"/>
      <selection activeCell="B39" sqref="B39"/>
      <selection pane="topRight" activeCell="AE21" sqref="AE21"/>
    </sheetView>
  </sheetViews>
  <sheetFormatPr defaultColWidth="9.140625" defaultRowHeight="18"/>
  <cols>
    <col min="1" max="1" width="72.85546875" style="1143" customWidth="1"/>
    <col min="2" max="8" width="24.5703125" style="960" hidden="1" customWidth="1"/>
    <col min="9" max="9" width="24.5703125" style="960" customWidth="1"/>
    <col min="10" max="13" width="24.5703125" style="960" hidden="1" customWidth="1"/>
    <col min="14" max="19" width="28.7109375" style="960" hidden="1" customWidth="1"/>
    <col min="20" max="20" width="24.7109375" style="960" hidden="1" customWidth="1"/>
    <col min="21" max="25" width="20.28515625" style="960" customWidth="1"/>
    <col min="26" max="26" width="24.5703125" style="960" customWidth="1"/>
    <col min="27" max="27" width="43.7109375" style="1356" bestFit="1" customWidth="1"/>
    <col min="28" max="28" width="9.140625" style="1101"/>
    <col min="29" max="16384" width="9.140625" style="960"/>
  </cols>
  <sheetData>
    <row r="1" spans="1:28" ht="7.9" customHeight="1"/>
    <row r="2" spans="1:28" s="961" customFormat="1" ht="31.9" customHeight="1">
      <c r="A2" s="2930" t="s">
        <v>3814</v>
      </c>
      <c r="B2" s="2930"/>
      <c r="C2" s="2930"/>
      <c r="D2" s="2930"/>
      <c r="E2" s="2930"/>
      <c r="F2" s="2930"/>
      <c r="G2" s="2930"/>
      <c r="H2" s="2930"/>
      <c r="I2" s="2930"/>
      <c r="J2" s="2930"/>
      <c r="K2" s="2930"/>
      <c r="L2" s="2930"/>
      <c r="M2" s="2930"/>
      <c r="N2" s="2930"/>
      <c r="O2" s="2930"/>
      <c r="P2" s="2930"/>
      <c r="Q2" s="2930"/>
      <c r="R2" s="2930"/>
      <c r="S2" s="2930"/>
      <c r="T2" s="2930"/>
      <c r="U2" s="2930"/>
      <c r="V2" s="2930"/>
      <c r="W2" s="2930"/>
      <c r="X2" s="2930"/>
      <c r="Y2" s="2930"/>
      <c r="Z2" s="2930"/>
      <c r="AA2" s="2930"/>
      <c r="AB2" s="1145"/>
    </row>
    <row r="3" spans="1:28" s="961" customFormat="1" ht="31.9" customHeight="1">
      <c r="A3" s="2936" t="s">
        <v>3815</v>
      </c>
      <c r="B3" s="2936"/>
      <c r="C3" s="2936"/>
      <c r="D3" s="2936"/>
      <c r="E3" s="2936"/>
      <c r="F3" s="2936"/>
      <c r="G3" s="2936"/>
      <c r="H3" s="2936"/>
      <c r="I3" s="2936"/>
      <c r="J3" s="2936"/>
      <c r="K3" s="2936"/>
      <c r="L3" s="2936"/>
      <c r="M3" s="2936"/>
      <c r="N3" s="2936"/>
      <c r="O3" s="2936"/>
      <c r="P3" s="2936"/>
      <c r="Q3" s="2936"/>
      <c r="R3" s="2936"/>
      <c r="S3" s="2936"/>
      <c r="T3" s="2936"/>
      <c r="U3" s="2936"/>
      <c r="V3" s="2936"/>
      <c r="W3" s="2936"/>
      <c r="X3" s="2936"/>
      <c r="Y3" s="2936"/>
      <c r="Z3" s="2936"/>
      <c r="AA3" s="2936"/>
      <c r="AB3" s="1145"/>
    </row>
    <row r="4" spans="1:28" s="961" customFormat="1" ht="18" customHeight="1">
      <c r="A4" s="1173"/>
      <c r="B4" s="1173"/>
      <c r="C4" s="1173"/>
      <c r="D4" s="1173"/>
      <c r="E4" s="1173"/>
      <c r="F4" s="1173"/>
      <c r="G4" s="1173"/>
      <c r="H4" s="1173"/>
      <c r="I4" s="1173"/>
      <c r="J4" s="1173"/>
      <c r="K4" s="1173"/>
      <c r="L4" s="1173"/>
      <c r="M4" s="1173"/>
      <c r="N4" s="1173"/>
      <c r="O4" s="1173"/>
      <c r="P4" s="1173"/>
      <c r="Q4" s="1173"/>
      <c r="R4" s="1173"/>
      <c r="S4" s="1173"/>
      <c r="T4" s="1173"/>
      <c r="U4" s="1173"/>
      <c r="V4" s="1173"/>
      <c r="W4" s="1173"/>
      <c r="X4" s="1173"/>
      <c r="Y4" s="1173"/>
      <c r="Z4" s="1173"/>
      <c r="AA4" s="1173"/>
      <c r="AB4" s="1145"/>
    </row>
    <row r="5" spans="1:28" s="961" customFormat="1" ht="18" customHeight="1" thickBot="1">
      <c r="A5" s="1435"/>
      <c r="B5" s="1435"/>
      <c r="C5" s="1435"/>
      <c r="D5" s="1435"/>
      <c r="E5" s="1435"/>
      <c r="F5" s="1435"/>
      <c r="G5" s="1435"/>
      <c r="H5" s="1435"/>
      <c r="I5" s="1435"/>
      <c r="J5" s="1435"/>
      <c r="K5" s="1435"/>
      <c r="L5" s="1435"/>
      <c r="M5" s="1435"/>
      <c r="N5" s="1435"/>
      <c r="O5" s="1435"/>
      <c r="P5" s="1435"/>
      <c r="Q5" s="1435"/>
      <c r="R5" s="1435"/>
      <c r="S5" s="1435"/>
      <c r="T5" s="1435"/>
      <c r="U5" s="1435"/>
      <c r="V5" s="1435"/>
      <c r="W5" s="1435"/>
      <c r="X5" s="1435"/>
      <c r="Y5" s="1435"/>
      <c r="Z5" s="1435"/>
      <c r="AA5" s="1436" t="s">
        <v>8</v>
      </c>
      <c r="AB5" s="1145"/>
    </row>
    <row r="6" spans="1:28" ht="39" customHeight="1" thickBot="1">
      <c r="A6" s="1439" t="s">
        <v>3816</v>
      </c>
      <c r="B6" s="1440">
        <v>45077</v>
      </c>
      <c r="C6" s="1452">
        <v>45107</v>
      </c>
      <c r="D6" s="1452">
        <v>45138</v>
      </c>
      <c r="E6" s="1452">
        <v>45169</v>
      </c>
      <c r="F6" s="1452">
        <v>45199</v>
      </c>
      <c r="G6" s="1452">
        <v>45230</v>
      </c>
      <c r="H6" s="1452">
        <v>45260</v>
      </c>
      <c r="I6" s="1452">
        <v>45291</v>
      </c>
      <c r="J6" s="1452">
        <v>45322</v>
      </c>
      <c r="K6" s="1452">
        <v>45351</v>
      </c>
      <c r="L6" s="1452">
        <v>45382</v>
      </c>
      <c r="M6" s="1452">
        <v>45412</v>
      </c>
      <c r="N6" s="1452">
        <v>45443</v>
      </c>
      <c r="O6" s="1452">
        <v>45473</v>
      </c>
      <c r="P6" s="1440">
        <v>45504</v>
      </c>
      <c r="Q6" s="1440">
        <v>45535</v>
      </c>
      <c r="R6" s="1440">
        <v>45565</v>
      </c>
      <c r="S6" s="1440">
        <v>45596</v>
      </c>
      <c r="T6" s="1440">
        <v>45626</v>
      </c>
      <c r="U6" s="1440">
        <v>45657</v>
      </c>
      <c r="V6" s="1440">
        <v>45688</v>
      </c>
      <c r="W6" s="1440">
        <v>45716</v>
      </c>
      <c r="X6" s="1440">
        <v>45747</v>
      </c>
      <c r="Y6" s="1440">
        <v>45777</v>
      </c>
      <c r="Z6" s="1440">
        <v>45808</v>
      </c>
      <c r="AA6" s="1478" t="s">
        <v>3807</v>
      </c>
    </row>
    <row r="7" spans="1:28" ht="29.45" customHeight="1">
      <c r="A7" s="1441" t="s">
        <v>3817</v>
      </c>
      <c r="B7" s="1442">
        <v>11170.8055462252</v>
      </c>
      <c r="C7" s="1453">
        <v>11650.5031040751</v>
      </c>
      <c r="D7" s="1453">
        <v>11622.688762838899</v>
      </c>
      <c r="E7" s="1453">
        <v>11821.791771283601</v>
      </c>
      <c r="F7" s="1453">
        <v>12078.6747372461</v>
      </c>
      <c r="G7" s="1453">
        <v>12246.3869346131</v>
      </c>
      <c r="H7" s="1453">
        <v>12421.2469256614</v>
      </c>
      <c r="I7" s="1453">
        <v>12616.787114836399</v>
      </c>
      <c r="J7" s="1453">
        <v>12912.916752994601</v>
      </c>
      <c r="K7" s="1453">
        <v>13063.7357667661</v>
      </c>
      <c r="L7" s="1453">
        <v>13201.539828995899</v>
      </c>
      <c r="M7" s="1453">
        <v>13476.3615803586</v>
      </c>
      <c r="N7" s="1453">
        <v>13784.729112602799</v>
      </c>
      <c r="O7" s="1453">
        <v>13874.820979424099</v>
      </c>
      <c r="P7" s="1442">
        <v>13910.090151055099</v>
      </c>
      <c r="Q7" s="1442">
        <v>13999.8433346194</v>
      </c>
      <c r="R7" s="1442">
        <v>14407.8515522007</v>
      </c>
      <c r="S7" s="1442">
        <v>14628.148740021799</v>
      </c>
      <c r="T7" s="1442">
        <v>14746.682807200599</v>
      </c>
      <c r="U7" s="1442">
        <v>14787.1851946734</v>
      </c>
      <c r="V7" s="1442">
        <v>14709.9177021613</v>
      </c>
      <c r="W7" s="1442">
        <v>14776.9784619727</v>
      </c>
      <c r="X7" s="1442">
        <v>14935.0383741286</v>
      </c>
      <c r="Y7" s="1442">
        <v>14952.6763686257</v>
      </c>
      <c r="Z7" s="1442">
        <v>15099.9752762721</v>
      </c>
      <c r="AA7" s="1479" t="s">
        <v>3808</v>
      </c>
    </row>
    <row r="8" spans="1:28" ht="29.45" customHeight="1">
      <c r="A8" s="1443" t="s">
        <v>2752</v>
      </c>
      <c r="B8" s="1444"/>
      <c r="C8" s="1454"/>
      <c r="D8" s="1454"/>
      <c r="E8" s="1454"/>
      <c r="F8" s="1454"/>
      <c r="G8" s="1454"/>
      <c r="H8" s="1454"/>
      <c r="I8" s="1454"/>
      <c r="J8" s="1454"/>
      <c r="K8" s="1454"/>
      <c r="L8" s="1454"/>
      <c r="M8" s="1454"/>
      <c r="N8" s="1454"/>
      <c r="O8" s="1454"/>
      <c r="P8" s="1454"/>
      <c r="Q8" s="1454"/>
      <c r="R8" s="1454"/>
      <c r="S8" s="1454"/>
      <c r="T8" s="1454"/>
      <c r="U8" s="1454"/>
      <c r="V8" s="1454"/>
      <c r="W8" s="1454"/>
      <c r="X8" s="1454"/>
      <c r="Y8" s="1454"/>
      <c r="Z8" s="1444"/>
      <c r="AA8" s="1480" t="s">
        <v>3809</v>
      </c>
    </row>
    <row r="9" spans="1:28" ht="29.45" customHeight="1">
      <c r="A9" s="1445" t="s">
        <v>3818</v>
      </c>
      <c r="B9" s="1446">
        <f>B7-B10-B11-B12</f>
        <v>4965.0949600451995</v>
      </c>
      <c r="C9" s="1455">
        <v>5312.9069935136904</v>
      </c>
      <c r="D9" s="1455">
        <v>5307.9970474450001</v>
      </c>
      <c r="E9" s="1455">
        <v>5311.447272933</v>
      </c>
      <c r="F9" s="1455">
        <v>5412.3021281589999</v>
      </c>
      <c r="G9" s="1455">
        <v>5722.2503756276283</v>
      </c>
      <c r="H9" s="1455">
        <v>5890.8538757980004</v>
      </c>
      <c r="I9" s="1455">
        <v>6251.7</v>
      </c>
      <c r="J9" s="1455">
        <v>6849.8189641699992</v>
      </c>
      <c r="K9" s="1455">
        <v>7094.2819282799992</v>
      </c>
      <c r="L9" s="1455">
        <v>7341.5830468450004</v>
      </c>
      <c r="M9" s="1455">
        <v>7673.1864936300008</v>
      </c>
      <c r="N9" s="1455">
        <v>7927.8349143599999</v>
      </c>
      <c r="O9" s="1455">
        <v>7965.0230613639997</v>
      </c>
      <c r="P9" s="1446">
        <v>7886.1</v>
      </c>
      <c r="Q9" s="1446">
        <v>7848.0266938760005</v>
      </c>
      <c r="R9" s="1446">
        <v>8133.8038743399993</v>
      </c>
      <c r="S9" s="1446">
        <v>8236.2999999999993</v>
      </c>
      <c r="T9" s="1446">
        <v>8290.9188842996609</v>
      </c>
      <c r="U9" s="1446">
        <v>8297.3330939610205</v>
      </c>
      <c r="V9" s="1446">
        <v>8255.6808044978807</v>
      </c>
      <c r="W9" s="1446">
        <v>8332.2253395448006</v>
      </c>
      <c r="X9" s="1446">
        <v>8361.1952768294796</v>
      </c>
      <c r="Y9" s="1446">
        <v>8399.1081658020903</v>
      </c>
      <c r="Z9" s="1446">
        <v>8486.5333398165203</v>
      </c>
      <c r="AA9" s="1481" t="s">
        <v>3810</v>
      </c>
    </row>
    <row r="10" spans="1:28" ht="29.45" customHeight="1">
      <c r="A10" s="1445" t="s">
        <v>3819</v>
      </c>
      <c r="B10" s="1446">
        <v>2322.2037080999999</v>
      </c>
      <c r="C10" s="1455">
        <v>2451.6720448400001</v>
      </c>
      <c r="D10" s="1455">
        <v>2444.3434839360002</v>
      </c>
      <c r="E10" s="1455">
        <v>2492.8092125600001</v>
      </c>
      <c r="F10" s="1455">
        <v>2525.8572200849999</v>
      </c>
      <c r="G10" s="1455">
        <v>2313.99519267199</v>
      </c>
      <c r="H10" s="1455">
        <v>2288.7615484600001</v>
      </c>
      <c r="I10" s="1455">
        <v>2149.65</v>
      </c>
      <c r="J10" s="1455">
        <v>1884.59871333</v>
      </c>
      <c r="K10" s="1455">
        <v>1794.60333446</v>
      </c>
      <c r="L10" s="1455">
        <v>1716.8464312896801</v>
      </c>
      <c r="M10" s="1455">
        <v>1608.04953559</v>
      </c>
      <c r="N10" s="1455">
        <v>1676.02115299</v>
      </c>
      <c r="O10" s="1455">
        <v>1717.8607381393799</v>
      </c>
      <c r="P10" s="1446">
        <v>1735.7</v>
      </c>
      <c r="Q10" s="1446">
        <v>1747.37384272139</v>
      </c>
      <c r="R10" s="1446">
        <v>1750.2287423600001</v>
      </c>
      <c r="S10" s="1446">
        <v>1795.1</v>
      </c>
      <c r="T10" s="1446">
        <v>1829.82803018291</v>
      </c>
      <c r="U10" s="1446">
        <v>1834.0254177429101</v>
      </c>
      <c r="V10" s="1446">
        <v>1865.41596229382</v>
      </c>
      <c r="W10" s="1446">
        <v>1947.8586100053201</v>
      </c>
      <c r="X10" s="1446">
        <v>1970.20813049601</v>
      </c>
      <c r="Y10" s="1446">
        <v>1903.9794158640002</v>
      </c>
      <c r="Z10" s="1446">
        <v>1919.215146364</v>
      </c>
      <c r="AA10" s="1481" t="s">
        <v>3811</v>
      </c>
    </row>
    <row r="11" spans="1:28" ht="29.45" customHeight="1">
      <c r="A11" s="1445" t="s">
        <v>3820</v>
      </c>
      <c r="B11" s="1446">
        <v>1774.3409387999998</v>
      </c>
      <c r="C11" s="1455">
        <v>1751.1955735500001</v>
      </c>
      <c r="D11" s="1455">
        <v>1662.782720638</v>
      </c>
      <c r="E11" s="1455">
        <v>1720.9657457600001</v>
      </c>
      <c r="F11" s="1455">
        <v>1727.4274609199999</v>
      </c>
      <c r="G11" s="1455">
        <v>1681.41051199548</v>
      </c>
      <c r="H11" s="1455">
        <v>1618.7460157400001</v>
      </c>
      <c r="I11" s="1455">
        <v>1585.5</v>
      </c>
      <c r="J11" s="1455">
        <v>1546.3247116799998</v>
      </c>
      <c r="K11" s="1455">
        <v>1501.4793211699998</v>
      </c>
      <c r="L11" s="1455">
        <v>1464.1572061158399</v>
      </c>
      <c r="M11" s="1455">
        <v>1433.95396787</v>
      </c>
      <c r="N11" s="1455">
        <v>1449.6977928399999</v>
      </c>
      <c r="O11" s="1455">
        <v>1448.55691510564</v>
      </c>
      <c r="P11" s="1446">
        <v>1515.9</v>
      </c>
      <c r="Q11" s="1446">
        <v>1522.3283732300001</v>
      </c>
      <c r="R11" s="1446">
        <v>1571.90756401</v>
      </c>
      <c r="S11" s="1446">
        <v>1572.6</v>
      </c>
      <c r="T11" s="1446">
        <v>1535.6748802167701</v>
      </c>
      <c r="U11" s="1446">
        <v>1548.56800767147</v>
      </c>
      <c r="V11" s="1446">
        <v>1540.2814087915999</v>
      </c>
      <c r="W11" s="1446">
        <v>1488.91378583288</v>
      </c>
      <c r="X11" s="1446">
        <v>1531.4205376850098</v>
      </c>
      <c r="Y11" s="1446">
        <v>1516.03310230641</v>
      </c>
      <c r="Z11" s="1446">
        <v>1504.6650339011999</v>
      </c>
      <c r="AA11" s="1481" t="s">
        <v>3812</v>
      </c>
    </row>
    <row r="12" spans="1:28" s="1356" customFormat="1" ht="29.45" customHeight="1" thickBot="1">
      <c r="A12" s="1447" t="s">
        <v>3821</v>
      </c>
      <c r="B12" s="1448">
        <v>2109.1659392800002</v>
      </c>
      <c r="C12" s="1456">
        <v>2134.6876764399999</v>
      </c>
      <c r="D12" s="1456">
        <v>2207.5316801900003</v>
      </c>
      <c r="E12" s="1456">
        <v>2296.5369987700001</v>
      </c>
      <c r="F12" s="1456">
        <v>2413.0601917220001</v>
      </c>
      <c r="G12" s="1456">
        <v>2528.7308543179997</v>
      </c>
      <c r="H12" s="1456">
        <v>2622.8723848</v>
      </c>
      <c r="I12" s="1456">
        <v>2629.9</v>
      </c>
      <c r="J12" s="1456">
        <v>2632.1747660300002</v>
      </c>
      <c r="K12" s="1456">
        <v>2673.3150399900001</v>
      </c>
      <c r="L12" s="1456">
        <v>2678.9442094179999</v>
      </c>
      <c r="M12" s="1456">
        <v>2761.1520653100001</v>
      </c>
      <c r="N12" s="1456">
        <v>2731.17617083</v>
      </c>
      <c r="O12" s="1456">
        <v>2743.2816909200001</v>
      </c>
      <c r="P12" s="1448">
        <v>2772.4</v>
      </c>
      <c r="Q12" s="1448">
        <v>2882.1138899299999</v>
      </c>
      <c r="R12" s="1448">
        <v>2951.9114657999999</v>
      </c>
      <c r="S12" s="1448">
        <v>3024.1</v>
      </c>
      <c r="T12" s="1448">
        <v>3090.2659858479997</v>
      </c>
      <c r="U12" s="1448">
        <v>3107.2586752980001</v>
      </c>
      <c r="V12" s="1448">
        <v>3048.5395265779998</v>
      </c>
      <c r="W12" s="1448">
        <v>3007.9789403680002</v>
      </c>
      <c r="X12" s="1448">
        <v>3072.212841388</v>
      </c>
      <c r="Y12" s="1448">
        <v>3133.5553654546702</v>
      </c>
      <c r="Z12" s="1448">
        <v>3189.5616906282798</v>
      </c>
      <c r="AA12" s="1482" t="s">
        <v>3813</v>
      </c>
      <c r="AB12" s="1101"/>
    </row>
    <row r="13" spans="1:28" s="1438" customFormat="1" ht="60.6" customHeight="1">
      <c r="A13" s="2937" t="s">
        <v>3822</v>
      </c>
      <c r="B13" s="2937"/>
      <c r="C13" s="2937"/>
      <c r="D13" s="2937"/>
      <c r="E13" s="2937"/>
      <c r="F13" s="2937"/>
      <c r="G13" s="2937"/>
      <c r="H13" s="2937"/>
      <c r="I13" s="2937"/>
      <c r="J13" s="2937"/>
      <c r="K13" s="2937"/>
      <c r="L13" s="2937"/>
      <c r="M13" s="2937"/>
      <c r="N13" s="2937"/>
      <c r="O13" s="2937"/>
      <c r="P13" s="2937"/>
      <c r="Q13" s="2937"/>
      <c r="R13" s="2937"/>
      <c r="S13" s="2937"/>
      <c r="T13" s="2937"/>
      <c r="U13" s="2937"/>
      <c r="V13" s="2937"/>
      <c r="W13" s="2937"/>
      <c r="X13" s="2937"/>
      <c r="Y13" s="2937"/>
      <c r="Z13" s="2937"/>
      <c r="AA13" s="2937"/>
      <c r="AB13" s="1437"/>
    </row>
    <row r="14" spans="1:28" s="1356" customFormat="1">
      <c r="A14" s="1143"/>
      <c r="B14" s="1142"/>
      <c r="C14" s="1142"/>
      <c r="D14" s="1142"/>
      <c r="E14" s="1142"/>
      <c r="F14" s="1142"/>
      <c r="G14" s="1142"/>
      <c r="H14" s="1142"/>
      <c r="I14" s="1142"/>
      <c r="J14" s="1142"/>
      <c r="K14" s="1142"/>
      <c r="L14" s="1142"/>
      <c r="M14" s="1142"/>
      <c r="N14" s="1142"/>
      <c r="O14" s="1142"/>
      <c r="P14" s="1142"/>
      <c r="Q14" s="1142"/>
      <c r="R14" s="1142"/>
      <c r="S14" s="1142"/>
      <c r="T14" s="1142"/>
      <c r="U14" s="1142"/>
      <c r="V14" s="1142"/>
      <c r="W14" s="1142"/>
      <c r="X14" s="1142"/>
      <c r="Y14" s="1142"/>
      <c r="Z14" s="1142"/>
      <c r="AB14" s="1101"/>
    </row>
    <row r="15" spans="1:28" s="1356" customFormat="1" ht="28.5">
      <c r="A15" s="1143"/>
      <c r="B15" s="960"/>
      <c r="C15" s="960"/>
      <c r="D15" s="960"/>
      <c r="E15" s="1511"/>
      <c r="F15" s="960"/>
      <c r="G15" s="960"/>
      <c r="H15" s="960"/>
      <c r="I15" s="960"/>
      <c r="J15" s="960"/>
      <c r="K15" s="960"/>
      <c r="L15" s="960"/>
      <c r="M15" s="960"/>
      <c r="N15" s="2122"/>
      <c r="O15" s="2122"/>
      <c r="P15" s="2122"/>
      <c r="Q15" s="2122"/>
      <c r="R15" s="2122"/>
      <c r="S15" s="2122"/>
      <c r="T15" s="2122"/>
      <c r="U15" s="2122"/>
      <c r="V15" s="2122"/>
      <c r="W15" s="2122"/>
      <c r="X15" s="2122"/>
      <c r="Y15" s="2122"/>
      <c r="Z15" s="2122"/>
      <c r="AB15" s="1101"/>
    </row>
    <row r="16" spans="1:28" s="1356" customFormat="1">
      <c r="A16" s="1143"/>
      <c r="B16" s="960"/>
      <c r="C16" s="960"/>
      <c r="D16" s="960"/>
      <c r="E16" s="960"/>
      <c r="F16" s="960"/>
      <c r="G16" s="960"/>
      <c r="H16" s="960"/>
      <c r="I16" s="960"/>
      <c r="J16" s="960"/>
      <c r="K16" s="960"/>
      <c r="L16" s="960"/>
      <c r="M16" s="960"/>
      <c r="N16" s="960"/>
      <c r="O16" s="960"/>
      <c r="P16" s="1769"/>
      <c r="Q16" s="1769"/>
      <c r="R16" s="1769"/>
      <c r="S16" s="1769"/>
      <c r="T16" s="1769"/>
      <c r="U16" s="1769"/>
      <c r="V16" s="1769"/>
      <c r="W16" s="1769"/>
      <c r="X16" s="1769"/>
      <c r="Y16" s="1769"/>
      <c r="Z16" s="1769"/>
      <c r="AB16" s="1101"/>
    </row>
    <row r="17" spans="1:28">
      <c r="P17" s="1510"/>
      <c r="Q17" s="1510"/>
      <c r="R17" s="1510"/>
      <c r="S17" s="1510"/>
      <c r="T17" s="1510"/>
      <c r="U17" s="1510"/>
      <c r="V17" s="1510"/>
      <c r="W17" s="1510"/>
      <c r="X17" s="1510"/>
      <c r="Y17" s="1510"/>
      <c r="Z17" s="1510"/>
    </row>
    <row r="18" spans="1:28">
      <c r="Z18" s="1769"/>
    </row>
    <row r="19" spans="1:28" s="1356" customFormat="1">
      <c r="A19" s="1143"/>
      <c r="B19" s="960"/>
      <c r="C19" s="960"/>
      <c r="D19" s="960"/>
      <c r="E19" s="960"/>
      <c r="F19" s="960"/>
      <c r="G19" s="960"/>
      <c r="H19" s="960"/>
      <c r="I19" s="960"/>
      <c r="J19" s="960"/>
      <c r="K19" s="960"/>
      <c r="L19" s="960"/>
      <c r="M19" s="960"/>
      <c r="N19" s="960"/>
      <c r="O19" s="960"/>
      <c r="P19" s="960"/>
      <c r="Q19" s="960"/>
      <c r="R19" s="960"/>
      <c r="S19" s="960"/>
      <c r="T19" s="960"/>
      <c r="U19" s="960"/>
      <c r="V19" s="960"/>
      <c r="W19" s="960"/>
      <c r="X19" s="960"/>
      <c r="Y19" s="960"/>
      <c r="Z19" s="960"/>
      <c r="AB19" s="1101"/>
    </row>
    <row r="20" spans="1:28">
      <c r="Z20" s="2121"/>
    </row>
  </sheetData>
  <mergeCells count="3">
    <mergeCell ref="A2:AA2"/>
    <mergeCell ref="A3:AA3"/>
    <mergeCell ref="A13:AA13"/>
  </mergeCells>
  <pageMargins left="0.51181102362204722" right="0.51181102362204722" top="0.55118110236220474" bottom="0.55118110236220474" header="0.31496062992125984" footer="0.31496062992125984"/>
  <pageSetup paperSize="9" scale="19" orientation="landscape"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98E89-76EC-4035-B69C-A8E2E09BB5E0}">
  <sheetPr codeName="Sheet63">
    <tabColor rgb="FF92D050"/>
  </sheetPr>
  <dimension ref="A1:U17"/>
  <sheetViews>
    <sheetView showGridLines="0" view="pageBreakPreview" zoomScale="66" zoomScaleNormal="100" zoomScaleSheetLayoutView="66" workbookViewId="0">
      <pane xSplit="1" ySplit="5" topLeftCell="G6" activePane="bottomRight" state="frozen"/>
      <selection activeCell="B39" sqref="B39"/>
      <selection pane="topRight" activeCell="B39" sqref="B39"/>
      <selection pane="bottomLeft" activeCell="B39" sqref="B39"/>
      <selection pane="bottomRight" activeCell="L33" sqref="L33"/>
    </sheetView>
  </sheetViews>
  <sheetFormatPr defaultColWidth="9.140625" defaultRowHeight="18"/>
  <cols>
    <col min="1" max="1" width="64.42578125" style="2056" customWidth="1"/>
    <col min="2" max="19" width="20.5703125" style="2057" customWidth="1"/>
    <col min="20" max="20" width="63.42578125" style="1356" bestFit="1" customWidth="1"/>
    <col min="21" max="21" width="12.140625" style="1169" customWidth="1"/>
    <col min="22" max="22" width="12.140625" style="2057" customWidth="1"/>
    <col min="23" max="16384" width="9.140625" style="2057"/>
  </cols>
  <sheetData>
    <row r="1" spans="1:21" ht="12.6" customHeight="1"/>
    <row r="2" spans="1:21" ht="31.9" customHeight="1">
      <c r="A2" s="2930" t="s">
        <v>4184</v>
      </c>
      <c r="B2" s="2930"/>
      <c r="C2" s="2930"/>
      <c r="D2" s="2930"/>
      <c r="E2" s="2930"/>
      <c r="F2" s="2930"/>
      <c r="G2" s="2930"/>
      <c r="H2" s="2930"/>
      <c r="I2" s="2930"/>
      <c r="J2" s="2930"/>
      <c r="K2" s="2930"/>
      <c r="L2" s="2930"/>
      <c r="M2" s="2930"/>
      <c r="N2" s="2930"/>
      <c r="O2" s="2930"/>
      <c r="P2" s="2930"/>
      <c r="Q2" s="2930"/>
      <c r="R2" s="2930"/>
      <c r="S2" s="2930"/>
      <c r="T2" s="2930"/>
    </row>
    <row r="3" spans="1:21" s="2059" customFormat="1" ht="31.9" customHeight="1">
      <c r="A3" s="2936" t="s">
        <v>4195</v>
      </c>
      <c r="B3" s="2936"/>
      <c r="C3" s="2936"/>
      <c r="D3" s="2936"/>
      <c r="E3" s="2936"/>
      <c r="F3" s="2936"/>
      <c r="G3" s="2936"/>
      <c r="H3" s="2936"/>
      <c r="I3" s="2936"/>
      <c r="J3" s="2936"/>
      <c r="K3" s="2936"/>
      <c r="L3" s="2936"/>
      <c r="M3" s="2936"/>
      <c r="N3" s="2936"/>
      <c r="O3" s="2936"/>
      <c r="P3" s="2936"/>
      <c r="Q3" s="2936"/>
      <c r="R3" s="2936"/>
      <c r="S3" s="2936"/>
      <c r="T3" s="2936"/>
      <c r="U3" s="2058"/>
    </row>
    <row r="4" spans="1:21" s="2059" customFormat="1" ht="13.15" customHeight="1">
      <c r="A4" s="1832"/>
      <c r="B4" s="1832"/>
      <c r="C4" s="1832"/>
      <c r="D4" s="1832"/>
      <c r="E4" s="1832"/>
      <c r="F4" s="1832"/>
      <c r="G4" s="1832"/>
      <c r="H4" s="1832"/>
      <c r="I4" s="1832"/>
      <c r="J4" s="1832"/>
      <c r="K4" s="1832"/>
      <c r="L4" s="1832"/>
      <c r="M4" s="1832"/>
      <c r="N4" s="1832"/>
      <c r="O4" s="1832"/>
      <c r="P4" s="1832"/>
      <c r="Q4" s="1832"/>
      <c r="R4" s="1832"/>
      <c r="S4" s="1832"/>
      <c r="T4" s="1832"/>
      <c r="U4" s="2058"/>
    </row>
    <row r="5" spans="1:21" s="2059" customFormat="1" ht="13.15" customHeight="1" thickBot="1">
      <c r="A5" s="2939" t="s">
        <v>8</v>
      </c>
      <c r="B5" s="2939"/>
      <c r="C5" s="2939"/>
      <c r="D5" s="2939"/>
      <c r="E5" s="2939"/>
      <c r="F5" s="2939"/>
      <c r="G5" s="2939"/>
      <c r="H5" s="2939"/>
      <c r="I5" s="2939"/>
      <c r="J5" s="2939"/>
      <c r="K5" s="2939"/>
      <c r="L5" s="2939"/>
      <c r="M5" s="2939"/>
      <c r="N5" s="2939"/>
      <c r="O5" s="2939"/>
      <c r="P5" s="2939"/>
      <c r="Q5" s="2939"/>
      <c r="R5" s="2939"/>
      <c r="S5" s="2939"/>
      <c r="T5" s="2939"/>
      <c r="U5" s="2058"/>
    </row>
    <row r="6" spans="1:21" ht="27.6" customHeight="1" thickBot="1">
      <c r="A6" s="2060" t="s">
        <v>4185</v>
      </c>
      <c r="B6" s="2061">
        <v>45291</v>
      </c>
      <c r="C6" s="2061">
        <v>45322</v>
      </c>
      <c r="D6" s="2061">
        <v>45351</v>
      </c>
      <c r="E6" s="2061">
        <v>45382</v>
      </c>
      <c r="F6" s="2061">
        <v>45412</v>
      </c>
      <c r="G6" s="2061">
        <v>45443</v>
      </c>
      <c r="H6" s="2061">
        <v>45473</v>
      </c>
      <c r="I6" s="2061">
        <v>45504</v>
      </c>
      <c r="J6" s="2061">
        <v>45535</v>
      </c>
      <c r="K6" s="2061">
        <v>45565</v>
      </c>
      <c r="L6" s="2061">
        <v>45596</v>
      </c>
      <c r="M6" s="2061">
        <v>45626</v>
      </c>
      <c r="N6" s="2061">
        <v>45657</v>
      </c>
      <c r="O6" s="2061">
        <v>45688</v>
      </c>
      <c r="P6" s="2061">
        <v>45716</v>
      </c>
      <c r="Q6" s="2061">
        <v>45747</v>
      </c>
      <c r="R6" s="2061">
        <v>45777</v>
      </c>
      <c r="S6" s="2061">
        <v>45808</v>
      </c>
      <c r="T6" s="2060" t="s">
        <v>4196</v>
      </c>
    </row>
    <row r="7" spans="1:21" ht="27.6" customHeight="1">
      <c r="A7" s="2062" t="s">
        <v>3817</v>
      </c>
      <c r="B7" s="1152">
        <f t="shared" ref="B7:L7" si="0">SUM(B8:B14)</f>
        <v>12616.787114836417</v>
      </c>
      <c r="C7" s="1152">
        <f t="shared" si="0"/>
        <v>12912.916752994608</v>
      </c>
      <c r="D7" s="1152">
        <f t="shared" si="0"/>
        <v>13063.73576676606</v>
      </c>
      <c r="E7" s="1152">
        <f t="shared" si="0"/>
        <v>13201.539828995918</v>
      </c>
      <c r="F7" s="1152">
        <f t="shared" si="0"/>
        <v>13476.361580358629</v>
      </c>
      <c r="G7" s="1152">
        <f t="shared" si="0"/>
        <v>13784.729112602781</v>
      </c>
      <c r="H7" s="1152">
        <f t="shared" si="0"/>
        <v>13874.82097942413</v>
      </c>
      <c r="I7" s="1152">
        <f t="shared" si="0"/>
        <v>13910.090151055048</v>
      </c>
      <c r="J7" s="1152">
        <f t="shared" si="0"/>
        <v>13999.843334619391</v>
      </c>
      <c r="K7" s="1152">
        <f t="shared" si="0"/>
        <v>14407.851552202692</v>
      </c>
      <c r="L7" s="1152">
        <f t="shared" si="0"/>
        <v>14628.148740021819</v>
      </c>
      <c r="M7" s="1152">
        <f t="shared" ref="M7" si="1">SUM(M8:M14)</f>
        <v>14746.68280720055</v>
      </c>
      <c r="N7" s="1152">
        <v>14787.185194673299</v>
      </c>
      <c r="O7" s="1153">
        <v>14709.917702161341</v>
      </c>
      <c r="P7" s="1153">
        <v>14776.978461972698</v>
      </c>
      <c r="Q7" s="1153">
        <v>14935.0383741286</v>
      </c>
      <c r="R7" s="1153">
        <v>14952.6763686257</v>
      </c>
      <c r="S7" s="2063">
        <v>15099.9752762721</v>
      </c>
      <c r="T7" s="2062" t="s">
        <v>3808</v>
      </c>
    </row>
    <row r="8" spans="1:21" ht="27.6" customHeight="1">
      <c r="A8" s="2064" t="s">
        <v>4186</v>
      </c>
      <c r="B8" s="1160">
        <v>2343.9396263204703</v>
      </c>
      <c r="C8" s="1160">
        <v>2668.0445139555904</v>
      </c>
      <c r="D8" s="1160">
        <v>2655.3935994425301</v>
      </c>
      <c r="E8" s="1160">
        <v>2659.6927067710399</v>
      </c>
      <c r="F8" s="1160">
        <v>2665.2521323015199</v>
      </c>
      <c r="G8" s="1160">
        <v>2751.27727908938</v>
      </c>
      <c r="H8" s="1160">
        <v>2734.4750720244701</v>
      </c>
      <c r="I8" s="1160">
        <v>2693.4867345638299</v>
      </c>
      <c r="J8" s="1160">
        <v>2683.75389716675</v>
      </c>
      <c r="K8" s="1160">
        <v>2784.9586214623801</v>
      </c>
      <c r="L8" s="1160">
        <v>2793.8964735807299</v>
      </c>
      <c r="M8" s="1160">
        <v>2751.1715195595102</v>
      </c>
      <c r="N8" s="1160">
        <v>2711.3449856847601</v>
      </c>
      <c r="O8" s="1161">
        <v>2690.0605652603799</v>
      </c>
      <c r="P8" s="1161">
        <v>2702.41190742555</v>
      </c>
      <c r="Q8" s="1161">
        <v>2689.2366236611701</v>
      </c>
      <c r="R8" s="1161">
        <v>2658.3316116667102</v>
      </c>
      <c r="S8" s="2065">
        <v>2668.5844528038301</v>
      </c>
      <c r="T8" s="2064" t="s">
        <v>4197</v>
      </c>
    </row>
    <row r="9" spans="1:21" ht="27.6" customHeight="1">
      <c r="A9" s="2064" t="s">
        <v>4187</v>
      </c>
      <c r="B9" s="1160">
        <v>1523.2402742149989</v>
      </c>
      <c r="C9" s="1160">
        <v>1528.889020284998</v>
      </c>
      <c r="D9" s="1160">
        <v>1528.5827762550009</v>
      </c>
      <c r="E9" s="1160">
        <v>1530.5981433599979</v>
      </c>
      <c r="F9" s="1160">
        <v>1526.2070615999999</v>
      </c>
      <c r="G9" s="1160">
        <v>1542.1154640100001</v>
      </c>
      <c r="H9" s="1160">
        <v>1540.7925495649999</v>
      </c>
      <c r="I9" s="1160">
        <v>1551.1756168089998</v>
      </c>
      <c r="J9" s="1160">
        <v>1624.7502619559998</v>
      </c>
      <c r="K9" s="1160">
        <v>1678.9850944570001</v>
      </c>
      <c r="L9" s="1160">
        <v>1717.4207279009997</v>
      </c>
      <c r="M9" s="1160">
        <v>1768.6979920199997</v>
      </c>
      <c r="N9" s="1160">
        <v>1786.3454677749999</v>
      </c>
      <c r="O9" s="1161">
        <v>1776.5241135819999</v>
      </c>
      <c r="P9" s="1161">
        <v>1781.7964923120001</v>
      </c>
      <c r="Q9" s="1161">
        <v>1803.3223594729998</v>
      </c>
      <c r="R9" s="1161">
        <v>1810.1343981909999</v>
      </c>
      <c r="S9" s="2065">
        <v>1805.7300039740001</v>
      </c>
      <c r="T9" s="2064" t="s">
        <v>4198</v>
      </c>
    </row>
    <row r="10" spans="1:21" ht="27.6" customHeight="1">
      <c r="A10" s="2064" t="s">
        <v>4188</v>
      </c>
      <c r="B10" s="1160">
        <v>1312.45923507764</v>
      </c>
      <c r="C10" s="1160">
        <v>1321.893857607</v>
      </c>
      <c r="D10" s="1160">
        <v>1263.940078629</v>
      </c>
      <c r="E10" s="1160">
        <v>1295.6504101400001</v>
      </c>
      <c r="F10" s="1160">
        <v>1335.4328588959997</v>
      </c>
      <c r="G10" s="1160">
        <v>1399.568059894</v>
      </c>
      <c r="H10" s="1160">
        <v>1386.95459934</v>
      </c>
      <c r="I10" s="1160">
        <v>1382.7760750999998</v>
      </c>
      <c r="J10" s="1160">
        <v>1352.102548175</v>
      </c>
      <c r="K10" s="1160">
        <v>1443.5526309459999</v>
      </c>
      <c r="L10" s="1160">
        <v>1476.771702322</v>
      </c>
      <c r="M10" s="1160">
        <v>1479.2877153056602</v>
      </c>
      <c r="N10" s="1160">
        <v>1368.9951407943597</v>
      </c>
      <c r="O10" s="1161">
        <v>1372.06675004826</v>
      </c>
      <c r="P10" s="1161">
        <v>1411.12206874512</v>
      </c>
      <c r="Q10" s="1161">
        <v>1457.3439998024801</v>
      </c>
      <c r="R10" s="1161">
        <v>1469.66034905176</v>
      </c>
      <c r="S10" s="2065">
        <v>1486.32391114302</v>
      </c>
      <c r="T10" s="2064" t="s">
        <v>4199</v>
      </c>
    </row>
    <row r="11" spans="1:21" ht="27.6" customHeight="1">
      <c r="A11" s="2064" t="s">
        <v>4189</v>
      </c>
      <c r="B11" s="1160">
        <v>1280.42097827</v>
      </c>
      <c r="C11" s="1160">
        <v>1243.94055959</v>
      </c>
      <c r="D11" s="1160">
        <v>1267.4227606500001</v>
      </c>
      <c r="E11" s="1160">
        <v>1275.6791270699998</v>
      </c>
      <c r="F11" s="1160">
        <v>1284.17471198</v>
      </c>
      <c r="G11" s="1160">
        <v>1338.4791985099998</v>
      </c>
      <c r="H11" s="1160">
        <v>1364.3361438200002</v>
      </c>
      <c r="I11" s="1160">
        <v>1361.8388569699998</v>
      </c>
      <c r="J11" s="1160">
        <v>1373.8632783329999</v>
      </c>
      <c r="K11" s="1160">
        <v>1370.8260890299998</v>
      </c>
      <c r="L11" s="1160">
        <v>1457.7923109629999</v>
      </c>
      <c r="M11" s="1160">
        <v>1480.9164941429999</v>
      </c>
      <c r="N11" s="1160">
        <v>1461.1214416329999</v>
      </c>
      <c r="O11" s="1161">
        <v>1473.3510600689999</v>
      </c>
      <c r="P11" s="1161">
        <v>1475.9471336690001</v>
      </c>
      <c r="Q11" s="1161">
        <v>1478.1709171799998</v>
      </c>
      <c r="R11" s="1161">
        <v>1475.261612004</v>
      </c>
      <c r="S11" s="2065">
        <v>1495.7527224089999</v>
      </c>
      <c r="T11" s="2064" t="s">
        <v>4200</v>
      </c>
    </row>
    <row r="12" spans="1:21" ht="27.6" customHeight="1">
      <c r="A12" s="2064" t="s">
        <v>4190</v>
      </c>
      <c r="B12" s="1160">
        <v>348.86793111000003</v>
      </c>
      <c r="C12" s="1160">
        <v>340.04047461999994</v>
      </c>
      <c r="D12" s="1160">
        <v>403.10920413000002</v>
      </c>
      <c r="E12" s="1160">
        <v>401.59036877</v>
      </c>
      <c r="F12" s="1160">
        <v>479.71402706000003</v>
      </c>
      <c r="G12" s="1160">
        <v>556.64225926500001</v>
      </c>
      <c r="H12" s="1160">
        <v>564.87891976499998</v>
      </c>
      <c r="I12" s="1160">
        <v>575.13781832500001</v>
      </c>
      <c r="J12" s="1160">
        <v>571.33636271</v>
      </c>
      <c r="K12" s="1160">
        <v>586.06902298</v>
      </c>
      <c r="L12" s="1160">
        <v>572.85428396599991</v>
      </c>
      <c r="M12" s="1160">
        <v>573.94164490599996</v>
      </c>
      <c r="N12" s="1160">
        <v>635.86888147000002</v>
      </c>
      <c r="O12" s="1161">
        <v>623.74203492000004</v>
      </c>
      <c r="P12" s="1161">
        <v>641.13133149999999</v>
      </c>
      <c r="Q12" s="1161">
        <v>656.52671729999997</v>
      </c>
      <c r="R12" s="1161">
        <v>661.15856285999996</v>
      </c>
      <c r="S12" s="2065">
        <v>666.34909446999995</v>
      </c>
      <c r="T12" s="2064" t="s">
        <v>4201</v>
      </c>
    </row>
    <row r="13" spans="1:21" ht="27.6" customHeight="1">
      <c r="A13" s="2064" t="s">
        <v>4191</v>
      </c>
      <c r="B13" s="1160">
        <v>3605.9391308116296</v>
      </c>
      <c r="C13" s="1160">
        <v>3624.4857388367104</v>
      </c>
      <c r="D13" s="1160">
        <v>3696.8110239607695</v>
      </c>
      <c r="E13" s="1160">
        <v>3778.7441615747998</v>
      </c>
      <c r="F13" s="1160">
        <v>3866.8189561121499</v>
      </c>
      <c r="G13" s="1160">
        <v>3958.6552779496401</v>
      </c>
      <c r="H13" s="1160">
        <v>4002.4926566621598</v>
      </c>
      <c r="I13" s="1160">
        <v>4058.3009725215102</v>
      </c>
      <c r="J13" s="1160">
        <v>4037.8102209220201</v>
      </c>
      <c r="K13" s="1160">
        <v>4087.1303141521403</v>
      </c>
      <c r="L13" s="1160">
        <v>4148.7603918413197</v>
      </c>
      <c r="M13" s="1160">
        <v>4168.8310416962304</v>
      </c>
      <c r="N13" s="1160">
        <v>4248.4360773345197</v>
      </c>
      <c r="O13" s="1161">
        <v>4220.3424108270901</v>
      </c>
      <c r="P13" s="1161">
        <v>4172.6811791052396</v>
      </c>
      <c r="Q13" s="1161">
        <v>4222.6235976632706</v>
      </c>
      <c r="R13" s="1161">
        <v>4210.7158071724198</v>
      </c>
      <c r="S13" s="2065">
        <v>4254.5597607455802</v>
      </c>
      <c r="T13" s="2064" t="s">
        <v>4202</v>
      </c>
    </row>
    <row r="14" spans="1:21" ht="27.6" customHeight="1" thickBot="1">
      <c r="A14" s="2066" t="s">
        <v>4192</v>
      </c>
      <c r="B14" s="1164">
        <v>2201.9199390316799</v>
      </c>
      <c r="C14" s="1164">
        <v>2185.6225881003097</v>
      </c>
      <c r="D14" s="1164">
        <v>2248.4763236987601</v>
      </c>
      <c r="E14" s="1164">
        <v>2259.5849113100794</v>
      </c>
      <c r="F14" s="1164">
        <v>2318.7618324089599</v>
      </c>
      <c r="G14" s="1164">
        <v>2237.9915738847603</v>
      </c>
      <c r="H14" s="1164">
        <v>2280.8910382475001</v>
      </c>
      <c r="I14" s="1164">
        <v>2287.3740767657096</v>
      </c>
      <c r="J14" s="1164">
        <v>2356.22676535662</v>
      </c>
      <c r="K14" s="1164">
        <v>2456.3297791751702</v>
      </c>
      <c r="L14" s="1164">
        <v>2460.6528494477698</v>
      </c>
      <c r="M14" s="1164">
        <v>2523.8363995701498</v>
      </c>
      <c r="N14" s="1164">
        <v>2575.0731999816599</v>
      </c>
      <c r="O14" s="1165">
        <v>2553.8307674546099</v>
      </c>
      <c r="P14" s="1165">
        <v>2591.8883492157797</v>
      </c>
      <c r="Q14" s="1165">
        <v>2627.8141590486789</v>
      </c>
      <c r="R14" s="1165">
        <v>2667.4140276797998</v>
      </c>
      <c r="S14" s="2067">
        <v>2722.6753307266699</v>
      </c>
      <c r="T14" s="2066" t="s">
        <v>4203</v>
      </c>
    </row>
    <row r="15" spans="1:21" ht="3.6" customHeight="1"/>
    <row r="16" spans="1:21" ht="19.149999999999999" customHeight="1">
      <c r="A16" s="2938" t="s">
        <v>4324</v>
      </c>
      <c r="B16" s="2938"/>
      <c r="C16" s="2938"/>
      <c r="D16" s="2938"/>
      <c r="E16" s="2938"/>
      <c r="F16" s="2938"/>
      <c r="G16" s="2938"/>
      <c r="H16" s="2938"/>
      <c r="I16" s="2938"/>
      <c r="J16" s="2938"/>
      <c r="K16" s="2938"/>
      <c r="L16" s="2938"/>
      <c r="M16" s="2938"/>
      <c r="N16" s="2938"/>
      <c r="O16" s="2938"/>
      <c r="P16" s="2938"/>
      <c r="Q16" s="2938"/>
      <c r="R16" s="2938"/>
      <c r="S16" s="2938"/>
      <c r="T16" s="2938"/>
    </row>
    <row r="17" spans="1:20" ht="21">
      <c r="A17" s="2938" t="s">
        <v>4205</v>
      </c>
      <c r="B17" s="2938"/>
      <c r="C17" s="2938"/>
      <c r="D17" s="2938"/>
      <c r="E17" s="2938"/>
      <c r="F17" s="2938"/>
      <c r="G17" s="2938"/>
      <c r="H17" s="2938"/>
      <c r="I17" s="2938"/>
      <c r="J17" s="2938"/>
      <c r="K17" s="2938"/>
      <c r="L17" s="2938"/>
      <c r="M17" s="2938"/>
      <c r="N17" s="2938"/>
      <c r="O17" s="2938"/>
      <c r="P17" s="2938"/>
      <c r="Q17" s="2938"/>
      <c r="R17" s="2938"/>
      <c r="S17" s="2938"/>
      <c r="T17" s="2938"/>
    </row>
  </sheetData>
  <mergeCells count="5">
    <mergeCell ref="A17:T17"/>
    <mergeCell ref="A5:T5"/>
    <mergeCell ref="A16:T16"/>
    <mergeCell ref="A2:T2"/>
    <mergeCell ref="A3:T3"/>
  </mergeCells>
  <pageMargins left="0.51181102362204722" right="0.51181102362204722" top="0.59055118110236227" bottom="0.59055118110236227" header="0.31496062992125984" footer="0.31496062992125984"/>
  <pageSetup paperSize="9" scale="27" orientation="landscape"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5D254-90D1-4810-AEBD-19D8AF348BBD}">
  <sheetPr>
    <tabColor rgb="FF92D050"/>
  </sheetPr>
  <dimension ref="A1:L12"/>
  <sheetViews>
    <sheetView showGridLines="0" view="pageBreakPreview" zoomScale="85" zoomScaleNormal="100" zoomScaleSheetLayoutView="85" workbookViewId="0">
      <pane xSplit="1" topLeftCell="B1" activePane="topRight" state="frozen"/>
      <selection pane="topRight" activeCell="K30" sqref="K30"/>
    </sheetView>
  </sheetViews>
  <sheetFormatPr defaultColWidth="9.140625" defaultRowHeight="18"/>
  <cols>
    <col min="1" max="1" width="72" style="2056" customWidth="1"/>
    <col min="2" max="10" width="17.7109375" style="2057" customWidth="1"/>
    <col min="11" max="11" width="59.140625" style="1356" bestFit="1" customWidth="1"/>
    <col min="12" max="12" width="9.140625" style="1101"/>
    <col min="13" max="16384" width="9.140625" style="2057"/>
  </cols>
  <sheetData>
    <row r="1" spans="1:12" ht="4.9000000000000004" customHeight="1"/>
    <row r="2" spans="1:12" s="2059" customFormat="1" ht="26.45" customHeight="1">
      <c r="A2" s="2930" t="s">
        <v>4269</v>
      </c>
      <c r="B2" s="2930"/>
      <c r="C2" s="2930"/>
      <c r="D2" s="2930"/>
      <c r="E2" s="2930"/>
      <c r="F2" s="2930"/>
      <c r="G2" s="2930"/>
      <c r="H2" s="2930"/>
      <c r="I2" s="2930"/>
      <c r="J2" s="2930"/>
      <c r="K2" s="2930"/>
      <c r="L2" s="1145"/>
    </row>
    <row r="3" spans="1:12" s="2059" customFormat="1" ht="28.9" customHeight="1">
      <c r="A3" s="2936" t="s">
        <v>4272</v>
      </c>
      <c r="B3" s="2936"/>
      <c r="C3" s="2936"/>
      <c r="D3" s="2936"/>
      <c r="E3" s="2936"/>
      <c r="F3" s="2936"/>
      <c r="G3" s="2936"/>
      <c r="H3" s="2936"/>
      <c r="I3" s="2936"/>
      <c r="J3" s="2936"/>
      <c r="K3" s="2936"/>
      <c r="L3" s="1145"/>
    </row>
    <row r="4" spans="1:12" s="2059" customFormat="1" ht="12" customHeight="1">
      <c r="A4" s="2176"/>
      <c r="B4" s="2176"/>
      <c r="C4" s="2176"/>
      <c r="D4" s="2176"/>
      <c r="E4" s="2176"/>
      <c r="F4" s="2176"/>
      <c r="G4" s="2176"/>
      <c r="H4" s="2176"/>
      <c r="I4" s="2176"/>
      <c r="J4" s="2176"/>
      <c r="K4" s="2176"/>
      <c r="L4" s="1145"/>
    </row>
    <row r="5" spans="1:12" s="2059" customFormat="1" ht="12" customHeight="1" thickBot="1">
      <c r="A5" s="2940" t="s">
        <v>4273</v>
      </c>
      <c r="B5" s="2940"/>
      <c r="C5" s="2940"/>
      <c r="D5" s="2940"/>
      <c r="E5" s="2940"/>
      <c r="F5" s="2940"/>
      <c r="G5" s="2940"/>
      <c r="H5" s="2940"/>
      <c r="I5" s="2940"/>
      <c r="J5" s="2940"/>
      <c r="K5" s="2940"/>
      <c r="L5" s="1145"/>
    </row>
    <row r="6" spans="1:12" ht="30.6" customHeight="1" thickBot="1">
      <c r="A6" s="2060" t="s">
        <v>4268</v>
      </c>
      <c r="B6" s="2061">
        <v>45291</v>
      </c>
      <c r="C6" s="2061">
        <v>45473</v>
      </c>
      <c r="D6" s="2061">
        <v>45565</v>
      </c>
      <c r="E6" s="2150">
        <v>45657</v>
      </c>
      <c r="F6" s="2150">
        <v>45688</v>
      </c>
      <c r="G6" s="2150">
        <v>45716</v>
      </c>
      <c r="H6" s="2150">
        <v>45747</v>
      </c>
      <c r="I6" s="2150">
        <v>45777</v>
      </c>
      <c r="J6" s="2150">
        <v>45808</v>
      </c>
      <c r="K6" s="2060" t="s">
        <v>3128</v>
      </c>
    </row>
    <row r="7" spans="1:12" ht="48.6" customHeight="1" thickBot="1">
      <c r="A7" s="2177" t="s">
        <v>4274</v>
      </c>
      <c r="B7" s="2178">
        <v>106723</v>
      </c>
      <c r="C7" s="2178">
        <v>130723</v>
      </c>
      <c r="D7" s="2178">
        <v>136578</v>
      </c>
      <c r="E7" s="2179">
        <v>150519</v>
      </c>
      <c r="F7" s="2179">
        <v>154181</v>
      </c>
      <c r="G7" s="2179">
        <v>156196</v>
      </c>
      <c r="H7" s="2179">
        <v>158257</v>
      </c>
      <c r="I7" s="2179">
        <v>161856</v>
      </c>
      <c r="J7" s="2179">
        <v>165061</v>
      </c>
      <c r="K7" s="2177" t="s">
        <v>4275</v>
      </c>
    </row>
    <row r="8" spans="1:12" ht="19.5">
      <c r="A8" s="1353" t="s">
        <v>3278</v>
      </c>
      <c r="K8" s="1358"/>
    </row>
    <row r="9" spans="1:12">
      <c r="K9" s="1358"/>
    </row>
    <row r="10" spans="1:12">
      <c r="B10" s="1171"/>
      <c r="C10" s="1171"/>
      <c r="D10" s="1171"/>
      <c r="E10" s="1171"/>
      <c r="F10" s="2175"/>
      <c r="G10" s="2175"/>
      <c r="H10" s="2175"/>
      <c r="I10" s="2175"/>
      <c r="J10" s="2175"/>
    </row>
    <row r="11" spans="1:12">
      <c r="B11" s="2174"/>
      <c r="C11" s="2174"/>
      <c r="D11" s="2174"/>
      <c r="E11" s="2174"/>
      <c r="F11" s="2174"/>
      <c r="G11" s="2174"/>
      <c r="H11" s="2174"/>
      <c r="I11" s="2174"/>
      <c r="J11" s="2174"/>
    </row>
    <row r="12" spans="1:12">
      <c r="B12" s="1101"/>
      <c r="C12" s="1101"/>
      <c r="D12" s="1101"/>
      <c r="E12" s="1101"/>
      <c r="F12" s="1101"/>
      <c r="G12" s="1101"/>
      <c r="H12" s="1101"/>
      <c r="I12" s="1101"/>
      <c r="J12" s="1101"/>
    </row>
  </sheetData>
  <mergeCells count="3">
    <mergeCell ref="A5:K5"/>
    <mergeCell ref="A2:K2"/>
    <mergeCell ref="A3:K3"/>
  </mergeCells>
  <pageMargins left="0.7" right="0.7" top="0.75" bottom="0.75" header="0.3" footer="0.3"/>
  <pageSetup scale="30"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0A244-0471-4C82-86FA-2F040ABF9332}">
  <sheetPr>
    <tabColor rgb="FF92D050"/>
  </sheetPr>
  <dimension ref="A2:LK147"/>
  <sheetViews>
    <sheetView showGridLines="0" view="pageBreakPreview" zoomScale="55" zoomScaleNormal="60" zoomScaleSheetLayoutView="55" workbookViewId="0">
      <pane xSplit="2" ySplit="10" topLeftCell="HA11" activePane="bottomRight" state="frozen"/>
      <selection pane="topRight" activeCell="C1" sqref="C1"/>
      <selection pane="bottomLeft" activeCell="A11" sqref="A11"/>
      <selection pane="bottomRight" activeCell="HZ48" sqref="HZ48"/>
    </sheetView>
  </sheetViews>
  <sheetFormatPr defaultColWidth="9.140625" defaultRowHeight="15"/>
  <cols>
    <col min="1" max="1" width="7.7109375" style="1846" customWidth="1"/>
    <col min="2" max="2" width="93.140625" style="1846" customWidth="1"/>
    <col min="3" max="3" width="18.42578125" style="396" hidden="1" customWidth="1"/>
    <col min="4" max="4" width="18.42578125" style="1846" hidden="1" customWidth="1"/>
    <col min="5" max="14" width="18.42578125" style="1830" hidden="1" customWidth="1"/>
    <col min="15" max="16" width="18.28515625" style="1830" hidden="1" customWidth="1"/>
    <col min="17" max="30" width="18.42578125" style="1830" hidden="1" customWidth="1"/>
    <col min="31" max="31" width="19.28515625" style="1830" hidden="1" customWidth="1"/>
    <col min="32" max="50" width="18.42578125" style="1830" hidden="1" customWidth="1"/>
    <col min="51" max="68" width="18.42578125" style="395" hidden="1" customWidth="1"/>
    <col min="69" max="70" width="18.5703125" style="395" hidden="1" customWidth="1"/>
    <col min="71" max="74" width="18.42578125" style="395" hidden="1" customWidth="1"/>
    <col min="75" max="76" width="18.7109375" style="1830" hidden="1" customWidth="1"/>
    <col min="77" max="78" width="18.28515625" style="1830" hidden="1" customWidth="1"/>
    <col min="79" max="79" width="18.7109375" style="1830" hidden="1" customWidth="1"/>
    <col min="80" max="80" width="16.7109375" style="1830" hidden="1" customWidth="1"/>
    <col min="81" max="81" width="20.28515625" style="1830" hidden="1" customWidth="1"/>
    <col min="82" max="82" width="16.7109375" style="1830" hidden="1" customWidth="1"/>
    <col min="83" max="84" width="20.42578125" style="1830" hidden="1" customWidth="1"/>
    <col min="85" max="96" width="18.7109375" style="1830" hidden="1" customWidth="1"/>
    <col min="97" max="98" width="18.42578125" style="1830" hidden="1" customWidth="1"/>
    <col min="99" max="102" width="18.85546875" style="1830" hidden="1" customWidth="1"/>
    <col min="103" max="108" width="18.7109375" style="1830" hidden="1" customWidth="1"/>
    <col min="109" max="110" width="18.5703125" style="1830" hidden="1" customWidth="1"/>
    <col min="111" max="114" width="18.42578125" style="1830" hidden="1" customWidth="1"/>
    <col min="115" max="118" width="18.28515625" style="1830" hidden="1" customWidth="1"/>
    <col min="119" max="134" width="18.140625" style="1830" hidden="1" customWidth="1"/>
    <col min="135" max="135" width="26.140625" style="1830" hidden="1" customWidth="1"/>
    <col min="136" max="136" width="0.28515625" style="1830" hidden="1" customWidth="1"/>
    <col min="137" max="140" width="18.140625" style="1830" hidden="1" customWidth="1"/>
    <col min="141" max="142" width="18.85546875" style="1830" hidden="1" customWidth="1"/>
    <col min="143" max="143" width="19" style="1830" hidden="1" customWidth="1"/>
    <col min="144" max="144" width="19.5703125" style="1830" hidden="1" customWidth="1"/>
    <col min="145" max="145" width="19" style="1830" hidden="1" customWidth="1"/>
    <col min="146" max="148" width="19.5703125" style="1830" hidden="1" customWidth="1"/>
    <col min="149" max="149" width="22.140625" style="1830" hidden="1" customWidth="1"/>
    <col min="150" max="150" width="21.7109375" style="1830" hidden="1" customWidth="1"/>
    <col min="151" max="151" width="20.28515625" style="1830" hidden="1" customWidth="1"/>
    <col min="152" max="152" width="19.28515625" style="1830" hidden="1" customWidth="1"/>
    <col min="153" max="153" width="20.42578125" style="1830" hidden="1" customWidth="1"/>
    <col min="154" max="155" width="19.42578125" style="1830" hidden="1" customWidth="1"/>
    <col min="156" max="156" width="21.140625" style="1830" hidden="1" customWidth="1"/>
    <col min="157" max="157" width="18.28515625" style="1830" hidden="1" customWidth="1"/>
    <col min="158" max="158" width="20.140625" style="1830" hidden="1" customWidth="1"/>
    <col min="159" max="160" width="20.42578125" style="1830" hidden="1" customWidth="1"/>
    <col min="161" max="163" width="20.140625" style="1830" hidden="1" customWidth="1"/>
    <col min="164" max="192" width="21.140625" style="1830" hidden="1" customWidth="1"/>
    <col min="193" max="196" width="21.42578125" style="1830" hidden="1" customWidth="1"/>
    <col min="197" max="198" width="21.42578125" style="1830" customWidth="1"/>
    <col min="199" max="202" width="21.42578125" style="1830" hidden="1" customWidth="1"/>
    <col min="203" max="204" width="21.42578125" style="1830" customWidth="1"/>
    <col min="205" max="208" width="21.42578125" style="1830" hidden="1" customWidth="1"/>
    <col min="209" max="210" width="21.42578125" style="1830" customWidth="1"/>
    <col min="211" max="214" width="21.42578125" style="1830" hidden="1" customWidth="1"/>
    <col min="215" max="226" width="21.42578125" style="1830" customWidth="1"/>
    <col min="227" max="227" width="92.5703125" style="1846" customWidth="1"/>
    <col min="228" max="16384" width="9.140625" style="1830"/>
  </cols>
  <sheetData>
    <row r="2" spans="1:323" ht="36" customHeight="1">
      <c r="A2" s="2948" t="s">
        <v>4097</v>
      </c>
      <c r="B2" s="2948"/>
      <c r="C2" s="2948"/>
      <c r="D2" s="2948"/>
      <c r="E2" s="2948"/>
      <c r="F2" s="2948"/>
      <c r="G2" s="2948"/>
      <c r="H2" s="2948"/>
      <c r="I2" s="2948"/>
      <c r="J2" s="2948"/>
      <c r="K2" s="2948"/>
      <c r="L2" s="2948"/>
      <c r="M2" s="2948"/>
      <c r="N2" s="2948"/>
      <c r="O2" s="2948"/>
      <c r="P2" s="2948"/>
      <c r="Q2" s="2948"/>
      <c r="R2" s="2948"/>
      <c r="S2" s="2948"/>
      <c r="T2" s="2948"/>
      <c r="U2" s="2948"/>
      <c r="V2" s="2948"/>
      <c r="W2" s="2948"/>
      <c r="X2" s="2948"/>
      <c r="Y2" s="2948"/>
      <c r="Z2" s="2948"/>
      <c r="AA2" s="2948"/>
      <c r="AB2" s="2948"/>
      <c r="AC2" s="2948"/>
      <c r="AD2" s="2948"/>
      <c r="AE2" s="2948"/>
      <c r="AF2" s="2948"/>
      <c r="AG2" s="2948"/>
      <c r="AH2" s="2948"/>
      <c r="AI2" s="2948"/>
      <c r="AJ2" s="2948"/>
      <c r="AK2" s="2948"/>
      <c r="AL2" s="2948"/>
      <c r="AM2" s="2948"/>
      <c r="AN2" s="2948"/>
      <c r="AO2" s="2948"/>
      <c r="AP2" s="2948"/>
      <c r="AQ2" s="2948"/>
      <c r="AR2" s="2948"/>
      <c r="AS2" s="2948"/>
      <c r="AT2" s="2948"/>
      <c r="AU2" s="2948"/>
      <c r="AV2" s="2948"/>
      <c r="AW2" s="2948"/>
      <c r="AX2" s="2948"/>
      <c r="AY2" s="2948"/>
      <c r="AZ2" s="2948"/>
      <c r="BA2" s="2948"/>
      <c r="BB2" s="2948"/>
      <c r="BC2" s="2948"/>
      <c r="BD2" s="2948"/>
      <c r="BE2" s="2948"/>
      <c r="BF2" s="2948"/>
      <c r="BG2" s="2948"/>
      <c r="BH2" s="2948"/>
      <c r="BI2" s="2948"/>
      <c r="BJ2" s="2948"/>
      <c r="BK2" s="2948"/>
      <c r="BL2" s="2948"/>
      <c r="BM2" s="2948"/>
      <c r="BN2" s="2948"/>
      <c r="BO2" s="2948"/>
      <c r="BP2" s="2948"/>
      <c r="BQ2" s="2948"/>
      <c r="BR2" s="2948"/>
      <c r="BS2" s="2948"/>
      <c r="BT2" s="2948"/>
      <c r="BU2" s="2948"/>
      <c r="BV2" s="2948"/>
      <c r="BW2" s="2948"/>
      <c r="BX2" s="2948"/>
      <c r="BY2" s="2948"/>
      <c r="BZ2" s="2948"/>
      <c r="CA2" s="2948"/>
      <c r="CB2" s="2948"/>
      <c r="CC2" s="2948"/>
      <c r="CD2" s="2948"/>
      <c r="CE2" s="2948"/>
      <c r="CF2" s="2948"/>
      <c r="CG2" s="2948"/>
      <c r="CH2" s="2948"/>
      <c r="CI2" s="2948"/>
      <c r="CJ2" s="2948"/>
      <c r="CK2" s="2948"/>
      <c r="CL2" s="2948"/>
      <c r="CM2" s="2948"/>
      <c r="CN2" s="2948"/>
      <c r="CO2" s="2948"/>
      <c r="CP2" s="2948"/>
      <c r="CQ2" s="2948"/>
      <c r="CR2" s="2948"/>
      <c r="CS2" s="2948"/>
      <c r="CT2" s="2948"/>
      <c r="CU2" s="2948"/>
      <c r="CV2" s="2948"/>
      <c r="CW2" s="2948"/>
      <c r="CX2" s="2948"/>
      <c r="CY2" s="2948"/>
      <c r="CZ2" s="2948"/>
      <c r="DA2" s="2948"/>
      <c r="DB2" s="2948"/>
      <c r="DC2" s="2948"/>
      <c r="DD2" s="2948"/>
      <c r="DE2" s="2948"/>
      <c r="DF2" s="2948"/>
      <c r="DG2" s="2948"/>
      <c r="DH2" s="2948"/>
      <c r="DI2" s="2948"/>
      <c r="DJ2" s="2948"/>
      <c r="DK2" s="2948"/>
      <c r="DL2" s="2948"/>
      <c r="DM2" s="2948"/>
      <c r="DN2" s="2948"/>
      <c r="DO2" s="2948"/>
      <c r="DP2" s="2948"/>
      <c r="DQ2" s="2948"/>
      <c r="DR2" s="2948"/>
      <c r="DS2" s="2948"/>
      <c r="DT2" s="2948"/>
      <c r="DU2" s="2948"/>
      <c r="DV2" s="2948"/>
      <c r="DW2" s="2948"/>
      <c r="DX2" s="2948"/>
      <c r="DY2" s="2948"/>
      <c r="DZ2" s="2948"/>
      <c r="EA2" s="2948"/>
      <c r="EB2" s="2948"/>
      <c r="EC2" s="2948"/>
      <c r="ED2" s="2948"/>
      <c r="EE2" s="2948"/>
      <c r="EF2" s="2948"/>
      <c r="EG2" s="2948"/>
      <c r="EH2" s="2948"/>
      <c r="EI2" s="2948"/>
      <c r="EJ2" s="2948"/>
      <c r="EK2" s="2948"/>
      <c r="EL2" s="2948"/>
      <c r="EM2" s="2948"/>
      <c r="EN2" s="2948"/>
      <c r="EO2" s="2948"/>
      <c r="EP2" s="2948"/>
      <c r="EQ2" s="2948"/>
      <c r="ER2" s="2948"/>
      <c r="ES2" s="2948"/>
      <c r="ET2" s="2948"/>
      <c r="EU2" s="2948"/>
      <c r="EV2" s="2948"/>
      <c r="EW2" s="2948"/>
      <c r="EX2" s="2948"/>
      <c r="EY2" s="2948"/>
      <c r="EZ2" s="2948"/>
      <c r="FA2" s="2948"/>
      <c r="FB2" s="2948"/>
      <c r="FC2" s="2948"/>
      <c r="FD2" s="2948"/>
      <c r="FE2" s="2948"/>
      <c r="FF2" s="2948"/>
      <c r="FG2" s="2948"/>
      <c r="FH2" s="2948"/>
      <c r="FI2" s="2948"/>
      <c r="FJ2" s="2948"/>
      <c r="FK2" s="2948"/>
      <c r="FL2" s="2948"/>
      <c r="FM2" s="2948"/>
      <c r="FN2" s="2948"/>
      <c r="FO2" s="2948"/>
      <c r="FP2" s="2948"/>
      <c r="FQ2" s="2948"/>
      <c r="FR2" s="2948"/>
      <c r="FS2" s="2948"/>
      <c r="FT2" s="2948"/>
      <c r="FU2" s="2948"/>
      <c r="FV2" s="2948"/>
      <c r="FW2" s="2948"/>
      <c r="FX2" s="2948"/>
      <c r="FY2" s="2948"/>
      <c r="FZ2" s="2948"/>
      <c r="GA2" s="2948"/>
      <c r="GB2" s="2948"/>
      <c r="GC2" s="2948"/>
      <c r="GD2" s="2948"/>
      <c r="GE2" s="2948"/>
      <c r="GF2" s="2948"/>
      <c r="GG2" s="2948"/>
      <c r="GH2" s="2948"/>
      <c r="GI2" s="2948"/>
      <c r="GJ2" s="2948"/>
      <c r="GK2" s="2948"/>
      <c r="GL2" s="2948"/>
      <c r="GM2" s="2948"/>
      <c r="GN2" s="2948"/>
      <c r="GO2" s="2948"/>
      <c r="GP2" s="2948"/>
      <c r="GQ2" s="2948"/>
      <c r="GR2" s="2948"/>
      <c r="GS2" s="2948"/>
      <c r="GT2" s="2948"/>
      <c r="GU2" s="2948"/>
      <c r="GV2" s="2948"/>
      <c r="GW2" s="2948"/>
      <c r="GX2" s="2948"/>
      <c r="GY2" s="2948"/>
      <c r="GZ2" s="2948"/>
      <c r="HA2" s="2948"/>
      <c r="HB2" s="2948"/>
      <c r="HC2" s="2948"/>
      <c r="HD2" s="2948"/>
      <c r="HE2" s="2948"/>
      <c r="HF2" s="2948"/>
      <c r="HG2" s="2948"/>
      <c r="HH2" s="2948"/>
      <c r="HI2" s="2948"/>
      <c r="HJ2" s="2948"/>
      <c r="HK2" s="2948"/>
      <c r="HL2" s="2948"/>
      <c r="HM2" s="2948"/>
      <c r="HN2" s="2948"/>
      <c r="HO2" s="2948"/>
      <c r="HP2" s="2948"/>
      <c r="HQ2" s="2948"/>
      <c r="HR2" s="2948"/>
      <c r="HS2" s="2948"/>
      <c r="HT2" s="1829"/>
      <c r="HU2" s="1829"/>
      <c r="HV2" s="1829"/>
      <c r="HW2" s="1829"/>
      <c r="HX2" s="1829"/>
      <c r="HY2" s="1829"/>
      <c r="HZ2" s="1829"/>
      <c r="IA2" s="1829"/>
      <c r="IB2" s="1829"/>
      <c r="IC2" s="1829"/>
      <c r="ID2" s="1829"/>
      <c r="IE2" s="1829"/>
      <c r="IF2" s="1829"/>
      <c r="IG2" s="1829"/>
      <c r="IH2" s="1829"/>
      <c r="II2" s="1829"/>
      <c r="IJ2" s="1829"/>
      <c r="IK2" s="1829"/>
      <c r="IL2" s="1829"/>
      <c r="IM2" s="1829"/>
      <c r="IN2" s="1829"/>
      <c r="IO2" s="1829"/>
      <c r="IP2" s="1829"/>
      <c r="IQ2" s="1829"/>
      <c r="IR2" s="1829"/>
      <c r="IS2" s="1829"/>
      <c r="IT2" s="1829"/>
      <c r="IU2" s="1829"/>
      <c r="IV2" s="1829"/>
      <c r="IW2" s="1829"/>
      <c r="IX2" s="1829"/>
      <c r="IY2" s="1829"/>
      <c r="IZ2" s="1829"/>
      <c r="JA2" s="1829"/>
      <c r="JB2" s="1829"/>
      <c r="JC2" s="1829"/>
      <c r="JD2" s="1829"/>
      <c r="JE2" s="1829"/>
      <c r="JF2" s="1829"/>
      <c r="JG2" s="1829"/>
      <c r="JH2" s="1829"/>
      <c r="JI2" s="1829"/>
      <c r="JJ2" s="1829"/>
      <c r="JK2" s="1829"/>
      <c r="JL2" s="1829"/>
      <c r="JM2" s="1829"/>
      <c r="JN2" s="1829"/>
      <c r="JO2" s="1829"/>
      <c r="JP2" s="1829"/>
      <c r="JQ2" s="1829"/>
      <c r="JR2" s="1829"/>
      <c r="JS2" s="1829"/>
      <c r="JT2" s="1829"/>
      <c r="JU2" s="1829"/>
      <c r="JV2" s="1829"/>
      <c r="JW2" s="1829"/>
      <c r="JX2" s="1829"/>
      <c r="JY2" s="1829"/>
      <c r="JZ2" s="1829"/>
      <c r="KA2" s="1829"/>
      <c r="KB2" s="1829"/>
      <c r="KC2" s="1829"/>
      <c r="KD2" s="1829"/>
      <c r="KE2" s="1829"/>
      <c r="KF2" s="1829"/>
      <c r="KG2" s="1829"/>
      <c r="KH2" s="1829"/>
      <c r="KI2" s="1829"/>
      <c r="KJ2" s="1829"/>
      <c r="KK2" s="1829"/>
      <c r="KL2" s="1829"/>
      <c r="KM2" s="1829"/>
      <c r="KN2" s="1829"/>
      <c r="KO2" s="1829"/>
      <c r="KP2" s="1829"/>
      <c r="KQ2" s="1829"/>
    </row>
    <row r="3" spans="1:323" ht="68.45" customHeight="1">
      <c r="A3" s="2949" t="s">
        <v>4098</v>
      </c>
      <c r="B3" s="2950"/>
      <c r="C3" s="2950"/>
      <c r="D3" s="2950"/>
      <c r="E3" s="2950"/>
      <c r="F3" s="2950"/>
      <c r="G3" s="2950"/>
      <c r="H3" s="2950"/>
      <c r="I3" s="2950"/>
      <c r="J3" s="2950"/>
      <c r="K3" s="2950"/>
      <c r="L3" s="2950"/>
      <c r="M3" s="2950"/>
      <c r="N3" s="2950"/>
      <c r="O3" s="2950"/>
      <c r="P3" s="2950"/>
      <c r="Q3" s="2950"/>
      <c r="R3" s="2950"/>
      <c r="S3" s="2950"/>
      <c r="T3" s="2950"/>
      <c r="U3" s="2950"/>
      <c r="V3" s="2950"/>
      <c r="W3" s="2950"/>
      <c r="X3" s="2950"/>
      <c r="Y3" s="2950"/>
      <c r="Z3" s="2950"/>
      <c r="AA3" s="2950"/>
      <c r="AB3" s="2950"/>
      <c r="AC3" s="2950"/>
      <c r="AD3" s="2950"/>
      <c r="AE3" s="2950"/>
      <c r="AF3" s="2950"/>
      <c r="AG3" s="2950"/>
      <c r="AH3" s="2950"/>
      <c r="AI3" s="2950"/>
      <c r="AJ3" s="2950"/>
      <c r="AK3" s="2950"/>
      <c r="AL3" s="2950"/>
      <c r="AM3" s="2950"/>
      <c r="AN3" s="2950"/>
      <c r="AO3" s="2950"/>
      <c r="AP3" s="2950"/>
      <c r="AQ3" s="2950"/>
      <c r="AR3" s="2950"/>
      <c r="AS3" s="2950"/>
      <c r="AT3" s="2950"/>
      <c r="AU3" s="2950"/>
      <c r="AV3" s="2950"/>
      <c r="AW3" s="2950"/>
      <c r="AX3" s="2950"/>
      <c r="AY3" s="2950"/>
      <c r="AZ3" s="2950"/>
      <c r="BA3" s="2950"/>
      <c r="BB3" s="2950"/>
      <c r="BC3" s="2950"/>
      <c r="BD3" s="2950"/>
      <c r="BE3" s="2950"/>
      <c r="BF3" s="2950"/>
      <c r="BG3" s="2950"/>
      <c r="BH3" s="2950"/>
      <c r="BI3" s="2950"/>
      <c r="BJ3" s="2950"/>
      <c r="BK3" s="2950"/>
      <c r="BL3" s="2950"/>
      <c r="BM3" s="2950"/>
      <c r="BN3" s="2950"/>
      <c r="BO3" s="2950"/>
      <c r="BP3" s="2950"/>
      <c r="BQ3" s="2950"/>
      <c r="BR3" s="2950"/>
      <c r="BS3" s="2950"/>
      <c r="BT3" s="2950"/>
      <c r="BU3" s="2950"/>
      <c r="BV3" s="2950"/>
      <c r="BW3" s="2950"/>
      <c r="BX3" s="2950"/>
      <c r="BY3" s="2950"/>
      <c r="BZ3" s="2950"/>
      <c r="CA3" s="2950"/>
      <c r="CB3" s="2950"/>
      <c r="CC3" s="2950"/>
      <c r="CD3" s="2950"/>
      <c r="CE3" s="2950"/>
      <c r="CF3" s="2950"/>
      <c r="CG3" s="2950"/>
      <c r="CH3" s="2950"/>
      <c r="CI3" s="2950"/>
      <c r="CJ3" s="2950"/>
      <c r="CK3" s="2950"/>
      <c r="CL3" s="2950"/>
      <c r="CM3" s="2950"/>
      <c r="CN3" s="2950"/>
      <c r="CO3" s="2950"/>
      <c r="CP3" s="2950"/>
      <c r="CQ3" s="2950"/>
      <c r="CR3" s="2950"/>
      <c r="CS3" s="2950"/>
      <c r="CT3" s="2950"/>
      <c r="CU3" s="2950"/>
      <c r="CV3" s="2950"/>
      <c r="CW3" s="2950"/>
      <c r="CX3" s="2950"/>
      <c r="CY3" s="2950"/>
      <c r="CZ3" s="2950"/>
      <c r="DA3" s="2950"/>
      <c r="DB3" s="2950"/>
      <c r="DC3" s="2950"/>
      <c r="DD3" s="2950"/>
      <c r="DE3" s="2950"/>
      <c r="DF3" s="2950"/>
      <c r="DG3" s="2950"/>
      <c r="DH3" s="2950"/>
      <c r="DI3" s="2950"/>
      <c r="DJ3" s="2950"/>
      <c r="DK3" s="2950"/>
      <c r="DL3" s="2950"/>
      <c r="DM3" s="2950"/>
      <c r="DN3" s="2950"/>
      <c r="DO3" s="2950"/>
      <c r="DP3" s="2950"/>
      <c r="DQ3" s="2950"/>
      <c r="DR3" s="2950"/>
      <c r="DS3" s="2950"/>
      <c r="DT3" s="2950"/>
      <c r="DU3" s="2950"/>
      <c r="DV3" s="2950"/>
      <c r="DW3" s="2950"/>
      <c r="DX3" s="2950"/>
      <c r="DY3" s="2950"/>
      <c r="DZ3" s="2950"/>
      <c r="EA3" s="2950"/>
      <c r="EB3" s="2950"/>
      <c r="EC3" s="2950"/>
      <c r="ED3" s="2950"/>
      <c r="EE3" s="2950"/>
      <c r="EF3" s="2950"/>
      <c r="EG3" s="2950"/>
      <c r="EH3" s="2950"/>
      <c r="EI3" s="2950"/>
      <c r="EJ3" s="2950"/>
      <c r="EK3" s="2950"/>
      <c r="EL3" s="2950"/>
      <c r="EM3" s="2950"/>
      <c r="EN3" s="2950"/>
      <c r="EO3" s="2950"/>
      <c r="EP3" s="2950"/>
      <c r="EQ3" s="2950"/>
      <c r="ER3" s="2950"/>
      <c r="ES3" s="2950"/>
      <c r="ET3" s="2950"/>
      <c r="EU3" s="2950"/>
      <c r="EV3" s="2950"/>
      <c r="EW3" s="2950"/>
      <c r="EX3" s="2950"/>
      <c r="EY3" s="2950"/>
      <c r="EZ3" s="2950"/>
      <c r="FA3" s="2950"/>
      <c r="FB3" s="2950"/>
      <c r="FC3" s="2950"/>
      <c r="FD3" s="2950"/>
      <c r="FE3" s="2950"/>
      <c r="FF3" s="2950"/>
      <c r="FG3" s="2950"/>
      <c r="FH3" s="2950"/>
      <c r="FI3" s="2950"/>
      <c r="FJ3" s="2950"/>
      <c r="FK3" s="2950"/>
      <c r="FL3" s="2950"/>
      <c r="FM3" s="2950"/>
      <c r="FN3" s="2950"/>
      <c r="FO3" s="2950"/>
      <c r="FP3" s="2950"/>
      <c r="FQ3" s="2950"/>
      <c r="FR3" s="2950"/>
      <c r="FS3" s="2950"/>
      <c r="FT3" s="2950"/>
      <c r="FU3" s="2950"/>
      <c r="FV3" s="2950"/>
      <c r="FW3" s="2950"/>
      <c r="FX3" s="2950"/>
      <c r="FY3" s="2950"/>
      <c r="FZ3" s="2950"/>
      <c r="GA3" s="2950"/>
      <c r="GB3" s="2950"/>
      <c r="GC3" s="2950"/>
      <c r="GD3" s="2950"/>
      <c r="GE3" s="2950"/>
      <c r="GF3" s="2950"/>
      <c r="GG3" s="2950"/>
      <c r="GH3" s="2950"/>
      <c r="GI3" s="2950"/>
      <c r="GJ3" s="2950"/>
      <c r="GK3" s="2950"/>
      <c r="GL3" s="2950"/>
      <c r="GM3" s="2950"/>
      <c r="GN3" s="2950"/>
      <c r="GO3" s="2950"/>
      <c r="GP3" s="2950"/>
      <c r="GQ3" s="2950"/>
      <c r="GR3" s="2950"/>
      <c r="GS3" s="2950"/>
      <c r="GT3" s="2950"/>
      <c r="GU3" s="2950"/>
      <c r="GV3" s="2950"/>
      <c r="GW3" s="2950"/>
      <c r="GX3" s="2950"/>
      <c r="GY3" s="2950"/>
      <c r="GZ3" s="2950"/>
      <c r="HA3" s="2950"/>
      <c r="HB3" s="2950"/>
      <c r="HC3" s="2950"/>
      <c r="HD3" s="2950"/>
      <c r="HE3" s="2950"/>
      <c r="HF3" s="2950"/>
      <c r="HG3" s="2950"/>
      <c r="HH3" s="2950"/>
      <c r="HI3" s="2950"/>
      <c r="HJ3" s="2950"/>
      <c r="HK3" s="2950"/>
      <c r="HL3" s="2950"/>
      <c r="HM3" s="2950"/>
      <c r="HN3" s="2950"/>
      <c r="HO3" s="2950"/>
      <c r="HP3" s="2950"/>
      <c r="HQ3" s="2950"/>
      <c r="HR3" s="2950"/>
      <c r="HS3" s="2950"/>
      <c r="HT3" s="1829"/>
      <c r="HU3" s="1829"/>
      <c r="HV3" s="1829"/>
      <c r="HW3" s="1829"/>
      <c r="HX3" s="1829"/>
      <c r="HY3" s="1829"/>
      <c r="HZ3" s="1829"/>
      <c r="IA3" s="1829"/>
      <c r="IB3" s="1829"/>
      <c r="IC3" s="1829"/>
      <c r="ID3" s="1829"/>
      <c r="IE3" s="1829"/>
      <c r="IF3" s="1829"/>
      <c r="IG3" s="1829"/>
      <c r="IH3" s="1829"/>
      <c r="II3" s="1829"/>
      <c r="IJ3" s="1829"/>
      <c r="IK3" s="1829"/>
      <c r="IL3" s="1829"/>
      <c r="IM3" s="1829"/>
      <c r="IN3" s="1829"/>
      <c r="IO3" s="1829"/>
      <c r="IP3" s="1829"/>
      <c r="IQ3" s="1829"/>
      <c r="IR3" s="1829"/>
      <c r="IS3" s="1829"/>
      <c r="IT3" s="1829"/>
      <c r="IU3" s="1829"/>
      <c r="IV3" s="1829"/>
      <c r="IW3" s="1829"/>
      <c r="IX3" s="1829"/>
      <c r="IY3" s="1829"/>
      <c r="IZ3" s="1829"/>
      <c r="JA3" s="1829"/>
      <c r="JB3" s="1829"/>
      <c r="JC3" s="1829"/>
      <c r="JD3" s="1829"/>
      <c r="JE3" s="1829"/>
      <c r="JF3" s="1829"/>
      <c r="JG3" s="1829"/>
      <c r="JH3" s="1829"/>
      <c r="JI3" s="1829"/>
      <c r="JJ3" s="1829"/>
      <c r="JK3" s="1829"/>
      <c r="JL3" s="1829"/>
      <c r="JM3" s="1829"/>
      <c r="JN3" s="1829"/>
      <c r="JO3" s="1829"/>
      <c r="JP3" s="1829"/>
      <c r="JQ3" s="1829"/>
      <c r="JR3" s="1829"/>
      <c r="JS3" s="1829"/>
      <c r="JT3" s="1829"/>
      <c r="JU3" s="1829"/>
      <c r="JV3" s="1829"/>
      <c r="JW3" s="1829"/>
      <c r="JX3" s="1829"/>
      <c r="JY3" s="1829"/>
      <c r="JZ3" s="1829"/>
      <c r="KA3" s="1829"/>
      <c r="KB3" s="1829"/>
      <c r="KC3" s="1829"/>
      <c r="KD3" s="1829"/>
      <c r="KE3" s="1829"/>
      <c r="KF3" s="1829"/>
      <c r="KG3" s="1829"/>
      <c r="KH3" s="1829"/>
      <c r="KI3" s="1829"/>
      <c r="KJ3" s="1829"/>
      <c r="KK3" s="1829"/>
      <c r="KL3" s="1829"/>
      <c r="KM3" s="1829"/>
      <c r="KN3" s="1829"/>
      <c r="KO3" s="1829"/>
      <c r="KP3" s="1829"/>
      <c r="KQ3" s="1829"/>
    </row>
    <row r="4" spans="1:323" ht="21" customHeight="1">
      <c r="A4" s="1831"/>
      <c r="B4" s="1831"/>
      <c r="C4" s="1831"/>
      <c r="D4" s="1831"/>
      <c r="E4" s="1831"/>
      <c r="F4" s="1831"/>
      <c r="G4" s="1831"/>
      <c r="H4" s="1831"/>
      <c r="I4" s="1831"/>
      <c r="J4" s="1831"/>
      <c r="K4" s="1831"/>
      <c r="L4" s="1831"/>
      <c r="M4" s="1831"/>
      <c r="N4" s="1831"/>
      <c r="O4" s="1831"/>
      <c r="P4" s="1831"/>
      <c r="Q4" s="1831"/>
      <c r="R4" s="1831"/>
      <c r="S4" s="1831"/>
      <c r="T4" s="1831"/>
      <c r="U4" s="1831"/>
      <c r="V4" s="1831"/>
      <c r="W4" s="1831"/>
      <c r="X4" s="1831"/>
      <c r="Y4" s="1831"/>
      <c r="Z4" s="1831"/>
      <c r="AA4" s="1831"/>
      <c r="AB4" s="1831"/>
      <c r="AC4" s="1831"/>
      <c r="AD4" s="1831"/>
      <c r="AE4" s="1831"/>
      <c r="AF4" s="1831"/>
      <c r="AG4" s="1831"/>
      <c r="AH4" s="1831"/>
      <c r="AI4" s="1831"/>
      <c r="AJ4" s="1831"/>
      <c r="AK4" s="1831"/>
      <c r="AL4" s="1831"/>
      <c r="AM4" s="1831"/>
      <c r="AN4" s="1831"/>
      <c r="AO4" s="1831"/>
      <c r="AP4" s="1831"/>
      <c r="AQ4" s="1831"/>
      <c r="AR4" s="1831"/>
      <c r="AS4" s="1831"/>
      <c r="AT4" s="1831"/>
      <c r="AU4" s="1831"/>
      <c r="AV4" s="1831"/>
      <c r="AW4" s="1831"/>
      <c r="AX4" s="1831"/>
      <c r="AY4" s="1831"/>
      <c r="AZ4" s="1831"/>
      <c r="BA4" s="1831"/>
      <c r="BB4" s="1831"/>
      <c r="BC4" s="1831"/>
      <c r="BD4" s="1831"/>
      <c r="BE4" s="1831"/>
      <c r="BF4" s="1831"/>
      <c r="BG4" s="1831"/>
      <c r="BH4" s="1831"/>
      <c r="BI4" s="1831"/>
      <c r="BJ4" s="1831"/>
      <c r="BK4" s="1831"/>
      <c r="BL4" s="1831"/>
      <c r="BM4" s="1831"/>
      <c r="BN4" s="1831"/>
      <c r="BO4" s="1831"/>
      <c r="BP4" s="1831"/>
      <c r="BQ4" s="1831"/>
      <c r="BR4" s="1831"/>
      <c r="BS4" s="1831"/>
      <c r="BT4" s="1831"/>
      <c r="BU4" s="1831"/>
      <c r="BV4" s="1831"/>
      <c r="BW4" s="1831"/>
      <c r="BX4" s="1831"/>
      <c r="BY4" s="1831"/>
      <c r="BZ4" s="1831"/>
      <c r="CA4" s="1831"/>
      <c r="CB4" s="1831"/>
      <c r="CC4" s="1831"/>
      <c r="CD4" s="1831"/>
      <c r="CE4" s="1831"/>
      <c r="CF4" s="1831"/>
      <c r="CG4" s="1831"/>
      <c r="CH4" s="1831"/>
      <c r="CI4" s="1831"/>
      <c r="CJ4" s="1831"/>
      <c r="CK4" s="1831"/>
      <c r="CL4" s="1831"/>
      <c r="CM4" s="1831"/>
      <c r="CN4" s="1831"/>
      <c r="CO4" s="1831"/>
      <c r="CP4" s="1831"/>
      <c r="CQ4" s="1831"/>
      <c r="CR4" s="1831"/>
      <c r="CS4" s="1831"/>
      <c r="CT4" s="1831"/>
      <c r="CU4" s="1831"/>
      <c r="CV4" s="1831"/>
      <c r="CW4" s="1831"/>
      <c r="CX4" s="1831"/>
      <c r="CY4" s="1831"/>
      <c r="CZ4" s="1831"/>
      <c r="DA4" s="1831"/>
      <c r="DB4" s="1831"/>
      <c r="DC4" s="1831"/>
      <c r="DD4" s="1831"/>
      <c r="DE4" s="1831"/>
      <c r="DF4" s="1831"/>
      <c r="DG4" s="1831"/>
      <c r="DH4" s="1831"/>
      <c r="DI4" s="1831"/>
      <c r="DJ4" s="1831"/>
      <c r="DK4" s="1831"/>
      <c r="DL4" s="1831"/>
      <c r="DM4" s="1831"/>
      <c r="DN4" s="1831"/>
      <c r="DO4" s="1831"/>
      <c r="DP4" s="1831"/>
      <c r="DQ4" s="1831"/>
      <c r="DR4" s="1831"/>
      <c r="DS4" s="1831"/>
      <c r="DT4" s="1831"/>
      <c r="DU4" s="1831"/>
      <c r="DV4" s="1831"/>
      <c r="DW4" s="1831"/>
      <c r="DX4" s="1831"/>
      <c r="DY4" s="1831"/>
      <c r="DZ4" s="1831"/>
      <c r="EA4" s="1831"/>
      <c r="EB4" s="1831"/>
      <c r="EC4" s="1831"/>
      <c r="ED4" s="1831"/>
      <c r="EE4" s="1831"/>
      <c r="EF4" s="1831"/>
      <c r="EG4" s="1831"/>
      <c r="EH4" s="1831"/>
      <c r="EI4" s="1831"/>
      <c r="EJ4" s="1831"/>
      <c r="EK4" s="1831"/>
      <c r="EL4" s="1831"/>
      <c r="EM4" s="1831"/>
      <c r="EN4" s="1831"/>
      <c r="EO4" s="1831"/>
      <c r="EP4" s="1831"/>
      <c r="EQ4" s="1831"/>
      <c r="ER4" s="1831"/>
      <c r="ES4" s="1831"/>
      <c r="ET4" s="1831"/>
      <c r="EU4" s="1831"/>
      <c r="EV4" s="1831"/>
      <c r="EW4" s="1831"/>
      <c r="EX4" s="1831"/>
      <c r="EY4" s="1831"/>
      <c r="EZ4" s="1831"/>
      <c r="FA4" s="1831"/>
      <c r="FB4" s="1831"/>
      <c r="FC4" s="1831"/>
      <c r="FD4" s="1831"/>
      <c r="FE4" s="1831"/>
      <c r="FF4" s="1831"/>
      <c r="FG4" s="1831"/>
      <c r="FH4" s="1831"/>
      <c r="FI4" s="1831"/>
      <c r="FJ4" s="1831"/>
      <c r="FK4" s="1831"/>
      <c r="FL4" s="1831"/>
      <c r="FM4" s="1831"/>
      <c r="FN4" s="1831"/>
      <c r="FO4" s="1831"/>
      <c r="FP4" s="1831"/>
      <c r="FQ4" s="1831"/>
      <c r="FR4" s="1831"/>
      <c r="FS4" s="1831"/>
      <c r="FT4" s="1831"/>
      <c r="FU4" s="1831"/>
      <c r="FV4" s="1831"/>
      <c r="FW4" s="1831"/>
      <c r="FX4" s="1831"/>
      <c r="FY4" s="1831"/>
      <c r="FZ4" s="1831"/>
      <c r="GA4" s="1831"/>
      <c r="GB4" s="1831"/>
      <c r="GC4" s="1831"/>
      <c r="GD4" s="1831"/>
      <c r="GE4" s="1831"/>
      <c r="GF4" s="1831"/>
      <c r="GG4" s="1831"/>
      <c r="GH4" s="1831"/>
      <c r="GI4" s="1831"/>
      <c r="GJ4" s="1831"/>
      <c r="GK4" s="1831"/>
      <c r="GL4" s="1831"/>
      <c r="GM4" s="1831"/>
      <c r="GN4" s="1831"/>
      <c r="GO4" s="1831"/>
      <c r="GP4" s="1831"/>
      <c r="GQ4" s="1831"/>
      <c r="GR4" s="1831"/>
      <c r="GS4" s="1831"/>
      <c r="GT4" s="1831"/>
      <c r="GU4" s="1831"/>
      <c r="GV4" s="1831"/>
      <c r="GW4" s="1831"/>
      <c r="GX4" s="1831"/>
      <c r="GY4" s="1831"/>
      <c r="GZ4" s="1831"/>
      <c r="HA4" s="1831"/>
      <c r="HB4" s="1831"/>
      <c r="HC4" s="1831"/>
      <c r="HD4" s="1831"/>
      <c r="HE4" s="1831"/>
      <c r="HF4" s="1831"/>
      <c r="HG4" s="1831"/>
      <c r="HH4" s="1831"/>
      <c r="HI4" s="1831"/>
      <c r="HJ4" s="1831"/>
      <c r="HK4" s="1831"/>
      <c r="HL4" s="1831"/>
      <c r="HM4" s="1831"/>
      <c r="HN4" s="1831"/>
      <c r="HO4" s="1831"/>
      <c r="HP4" s="1831"/>
      <c r="HQ4" s="1831"/>
      <c r="HR4" s="1831"/>
      <c r="HS4" s="1831"/>
      <c r="HT4" s="1829"/>
      <c r="HU4" s="1829"/>
      <c r="HV4" s="1829"/>
      <c r="HW4" s="1829"/>
      <c r="HX4" s="1829"/>
      <c r="HY4" s="1829"/>
      <c r="HZ4" s="1829"/>
      <c r="IA4" s="1829"/>
      <c r="IB4" s="1829"/>
      <c r="IC4" s="1829"/>
      <c r="ID4" s="1829"/>
      <c r="IE4" s="1829"/>
      <c r="IF4" s="1829"/>
      <c r="IG4" s="1829"/>
      <c r="IH4" s="1829"/>
      <c r="II4" s="1829"/>
      <c r="IJ4" s="1829"/>
      <c r="IK4" s="1829"/>
      <c r="IL4" s="1829"/>
      <c r="IM4" s="1829"/>
      <c r="IN4" s="1829"/>
      <c r="IO4" s="1829"/>
      <c r="IP4" s="1829"/>
      <c r="IQ4" s="1829"/>
      <c r="IR4" s="1829"/>
      <c r="IS4" s="1829"/>
      <c r="IT4" s="1829"/>
      <c r="IU4" s="1829"/>
      <c r="IV4" s="1829"/>
      <c r="IW4" s="1829"/>
      <c r="IX4" s="1829"/>
      <c r="IY4" s="1829"/>
      <c r="IZ4" s="1829"/>
      <c r="JA4" s="1829"/>
      <c r="JB4" s="1829"/>
      <c r="JC4" s="1829"/>
      <c r="JD4" s="1829"/>
      <c r="JE4" s="1829"/>
      <c r="JF4" s="1829"/>
      <c r="JG4" s="1829"/>
      <c r="JH4" s="1829"/>
      <c r="JI4" s="1829"/>
      <c r="JJ4" s="1829"/>
      <c r="JK4" s="1829"/>
      <c r="JL4" s="1829"/>
      <c r="JM4" s="1829"/>
      <c r="JN4" s="1829"/>
      <c r="JO4" s="1829"/>
      <c r="JP4" s="1829"/>
      <c r="JQ4" s="1829"/>
      <c r="JR4" s="1829"/>
      <c r="JS4" s="1829"/>
      <c r="JT4" s="1829"/>
      <c r="JU4" s="1829"/>
      <c r="JV4" s="1829"/>
      <c r="JW4" s="1829"/>
      <c r="JX4" s="1829"/>
      <c r="JY4" s="1829"/>
      <c r="JZ4" s="1829"/>
      <c r="KA4" s="1829"/>
      <c r="KB4" s="1829"/>
      <c r="KC4" s="1829"/>
      <c r="KD4" s="1829"/>
      <c r="KE4" s="1829"/>
      <c r="KF4" s="1829"/>
      <c r="KG4" s="1829"/>
      <c r="KH4" s="1829"/>
      <c r="KI4" s="1829"/>
      <c r="KJ4" s="1829"/>
      <c r="KK4" s="1829"/>
      <c r="KL4" s="1829"/>
      <c r="KM4" s="1829"/>
      <c r="KN4" s="1829"/>
      <c r="KO4" s="1829"/>
      <c r="KP4" s="1829"/>
      <c r="KQ4" s="1829"/>
    </row>
    <row r="5" spans="1:323" ht="23.25" customHeight="1">
      <c r="A5" s="1832"/>
      <c r="B5" s="1832"/>
      <c r="C5" s="1832"/>
      <c r="D5" s="1832"/>
      <c r="E5" s="1832"/>
      <c r="F5" s="1832"/>
      <c r="G5" s="1832"/>
      <c r="H5" s="1832"/>
      <c r="I5" s="1832"/>
      <c r="J5" s="1832"/>
      <c r="K5" s="1832"/>
      <c r="L5" s="1832"/>
      <c r="M5" s="1832"/>
      <c r="N5" s="1832"/>
      <c r="O5" s="1832"/>
      <c r="P5" s="1832"/>
      <c r="Q5" s="1832"/>
      <c r="R5" s="1832"/>
      <c r="S5" s="1832"/>
      <c r="T5" s="1832"/>
      <c r="U5" s="1832"/>
      <c r="V5" s="1832"/>
      <c r="W5" s="1832"/>
      <c r="X5" s="1832"/>
      <c r="Y5" s="1832"/>
      <c r="Z5" s="1832"/>
      <c r="AA5" s="1832"/>
      <c r="AB5" s="1832"/>
      <c r="AC5" s="1832"/>
      <c r="AD5" s="1832"/>
      <c r="AE5" s="1832"/>
      <c r="AF5" s="1832"/>
      <c r="AG5" s="1832"/>
      <c r="AH5" s="1832"/>
      <c r="AI5" s="1832"/>
      <c r="AJ5" s="1832"/>
      <c r="AK5" s="1832"/>
      <c r="AL5" s="1832"/>
      <c r="AM5" s="1832"/>
      <c r="AN5" s="1832"/>
      <c r="AO5" s="1832"/>
      <c r="AP5" s="1832"/>
      <c r="AQ5" s="1832"/>
      <c r="AR5" s="1832"/>
      <c r="AS5" s="1832"/>
      <c r="AT5" s="1832"/>
      <c r="AU5" s="1832"/>
      <c r="AV5" s="1832"/>
      <c r="AW5" s="1832"/>
      <c r="AX5" s="1832"/>
      <c r="AY5" s="1832"/>
      <c r="AZ5" s="1832"/>
      <c r="BA5" s="1832"/>
      <c r="BB5" s="1832"/>
      <c r="BC5" s="1832"/>
      <c r="BD5" s="1832"/>
      <c r="BE5" s="1832"/>
      <c r="BF5" s="1832"/>
      <c r="BG5" s="1832"/>
      <c r="BH5" s="1832"/>
      <c r="BI5" s="1832"/>
      <c r="BJ5" s="1832"/>
      <c r="BK5" s="1832"/>
      <c r="BL5" s="1832"/>
      <c r="BM5" s="1832"/>
      <c r="BN5" s="1832"/>
      <c r="BO5" s="1832"/>
      <c r="BP5" s="1832"/>
      <c r="BQ5" s="1832"/>
      <c r="BR5" s="1832"/>
      <c r="BS5" s="1832"/>
      <c r="BT5" s="1832"/>
      <c r="BU5" s="1832"/>
      <c r="BV5" s="1832"/>
      <c r="BW5" s="1832"/>
      <c r="BX5" s="1832"/>
      <c r="BY5" s="1832"/>
      <c r="BZ5" s="1832"/>
      <c r="CA5" s="1832"/>
      <c r="CB5" s="1832"/>
      <c r="CC5" s="1832"/>
      <c r="CD5" s="1832"/>
      <c r="CE5" s="1832"/>
      <c r="CF5" s="1832"/>
      <c r="CG5" s="1832"/>
      <c r="CH5" s="1832"/>
      <c r="CI5" s="1832"/>
      <c r="CJ5" s="1832"/>
      <c r="CK5" s="1832"/>
      <c r="CL5" s="1832"/>
      <c r="CM5" s="1832"/>
      <c r="CN5" s="1832"/>
      <c r="CO5" s="1832"/>
      <c r="CP5" s="1832"/>
      <c r="CQ5" s="1832"/>
      <c r="CR5" s="1832"/>
      <c r="CS5" s="1832"/>
      <c r="CT5" s="1832"/>
      <c r="CU5" s="1832"/>
      <c r="CV5" s="1832"/>
      <c r="CW5" s="1832"/>
      <c r="CX5" s="1832"/>
      <c r="CY5" s="1832"/>
      <c r="CZ5" s="1832"/>
      <c r="DA5" s="1832"/>
      <c r="DB5" s="1832"/>
      <c r="DC5" s="1832"/>
      <c r="DD5" s="1832"/>
      <c r="DE5" s="1832"/>
      <c r="DF5" s="1832"/>
      <c r="DG5" s="1832"/>
      <c r="DH5" s="1832"/>
      <c r="DI5" s="1832"/>
      <c r="DJ5" s="1832"/>
      <c r="DK5" s="1832"/>
      <c r="DL5" s="1832"/>
      <c r="DM5" s="1832"/>
      <c r="DN5" s="1832"/>
      <c r="DO5" s="1832"/>
      <c r="DP5" s="1832"/>
      <c r="DQ5" s="1832"/>
      <c r="DR5" s="1832"/>
      <c r="DS5" s="1832"/>
      <c r="DT5" s="1832"/>
      <c r="DU5" s="1832"/>
      <c r="DV5" s="1832"/>
      <c r="DW5" s="1832"/>
      <c r="DX5" s="1832"/>
      <c r="DY5" s="1832"/>
      <c r="DZ5" s="1832"/>
      <c r="EA5" s="1832"/>
      <c r="EB5" s="1832"/>
      <c r="EC5" s="1832"/>
      <c r="ED5" s="1832"/>
      <c r="EE5" s="1832"/>
      <c r="EF5" s="1832"/>
      <c r="EG5" s="1832"/>
      <c r="EH5" s="1832"/>
      <c r="EI5" s="1832"/>
      <c r="EJ5" s="1832"/>
      <c r="EK5" s="1832"/>
      <c r="EL5" s="1832"/>
      <c r="EM5" s="1832"/>
      <c r="EN5" s="1832"/>
      <c r="EO5" s="1832"/>
      <c r="EP5" s="1832"/>
      <c r="EQ5" s="1832"/>
      <c r="ER5" s="1832"/>
      <c r="ES5" s="1832"/>
      <c r="ET5" s="1832"/>
      <c r="EU5" s="1832"/>
      <c r="EV5" s="1832"/>
      <c r="EW5" s="1832"/>
      <c r="EX5" s="1832"/>
      <c r="EY5" s="1832"/>
      <c r="EZ5" s="1832"/>
      <c r="FA5" s="1832"/>
      <c r="FB5" s="1832"/>
      <c r="FC5" s="1832"/>
      <c r="FD5" s="1832"/>
      <c r="FE5" s="1832"/>
      <c r="FF5" s="1832"/>
      <c r="FG5" s="1832"/>
      <c r="FH5" s="1832"/>
      <c r="FI5" s="1832"/>
      <c r="FJ5" s="1832"/>
      <c r="FK5" s="1832"/>
      <c r="FL5" s="1832"/>
      <c r="FM5" s="1832"/>
      <c r="FN5" s="1832"/>
      <c r="FO5" s="1832"/>
      <c r="FP5" s="1832"/>
      <c r="FQ5" s="1832"/>
      <c r="FR5" s="1832"/>
      <c r="FS5" s="1832"/>
      <c r="FT5" s="1832"/>
      <c r="FU5" s="1832"/>
      <c r="FV5" s="1832"/>
      <c r="FW5" s="1832"/>
      <c r="FX5" s="1832"/>
      <c r="FY5" s="1832"/>
      <c r="FZ5" s="1832"/>
      <c r="GA5" s="1832"/>
      <c r="GB5" s="1832"/>
      <c r="GC5" s="1832"/>
      <c r="GD5" s="1832"/>
      <c r="GE5" s="1832"/>
      <c r="GF5" s="1832"/>
      <c r="GG5" s="1832"/>
      <c r="GH5" s="1832"/>
      <c r="GI5" s="1832"/>
      <c r="GJ5" s="1832"/>
      <c r="GK5" s="1832"/>
      <c r="GL5" s="1832"/>
      <c r="GM5" s="1832"/>
      <c r="GN5" s="1832"/>
      <c r="GO5" s="1832"/>
      <c r="GP5" s="1832"/>
      <c r="GQ5" s="1832"/>
      <c r="GR5" s="1832"/>
      <c r="GS5" s="1832"/>
      <c r="GT5" s="1832"/>
      <c r="GU5" s="1832"/>
      <c r="GV5" s="1832"/>
      <c r="GW5" s="1832"/>
      <c r="GX5" s="1832"/>
      <c r="GY5" s="1832"/>
      <c r="GZ5" s="1832"/>
      <c r="HA5" s="1832"/>
      <c r="HB5" s="1832"/>
      <c r="HC5" s="1832"/>
      <c r="HD5" s="1832"/>
      <c r="HE5" s="1832"/>
      <c r="HF5" s="1832"/>
      <c r="HG5" s="1832"/>
      <c r="HH5" s="1832"/>
      <c r="HI5" s="1832"/>
      <c r="HJ5" s="1832"/>
      <c r="HK5" s="1832"/>
      <c r="HL5" s="1832"/>
      <c r="HM5" s="1832"/>
      <c r="HN5" s="1832"/>
      <c r="HO5" s="1832"/>
      <c r="HP5" s="1832"/>
      <c r="HQ5" s="1832"/>
      <c r="HR5" s="1832"/>
      <c r="HS5" s="1832"/>
      <c r="HT5" s="1829"/>
      <c r="HU5" s="1829"/>
      <c r="HV5" s="1829"/>
      <c r="HW5" s="1829"/>
      <c r="HX5" s="1829"/>
      <c r="HY5" s="1829"/>
      <c r="HZ5" s="1829"/>
      <c r="IA5" s="1829"/>
      <c r="IB5" s="1829"/>
      <c r="IC5" s="1829"/>
      <c r="ID5" s="1829"/>
      <c r="IE5" s="1829"/>
      <c r="IF5" s="1829"/>
      <c r="IG5" s="1829"/>
      <c r="IH5" s="1829"/>
      <c r="II5" s="1829"/>
      <c r="IJ5" s="1829"/>
      <c r="IK5" s="1829"/>
      <c r="IL5" s="1829"/>
      <c r="IM5" s="1829"/>
      <c r="IN5" s="1829"/>
      <c r="IO5" s="1829"/>
      <c r="IP5" s="1829"/>
      <c r="IQ5" s="1829"/>
      <c r="IR5" s="1829"/>
      <c r="IS5" s="1829"/>
      <c r="IT5" s="1829"/>
      <c r="IU5" s="1829"/>
      <c r="IV5" s="1829"/>
      <c r="IW5" s="1829"/>
      <c r="IX5" s="1829"/>
      <c r="IY5" s="1829"/>
      <c r="IZ5" s="1829"/>
      <c r="JA5" s="1829"/>
      <c r="JB5" s="1829"/>
      <c r="JC5" s="1829"/>
      <c r="JD5" s="1829"/>
      <c r="JE5" s="1829"/>
      <c r="JF5" s="1829"/>
      <c r="JG5" s="1829"/>
      <c r="JH5" s="1829"/>
      <c r="JI5" s="1829"/>
      <c r="JJ5" s="1829"/>
      <c r="JK5" s="1829"/>
      <c r="JL5" s="1829"/>
      <c r="JM5" s="1829"/>
      <c r="JN5" s="1829"/>
      <c r="JO5" s="1829"/>
      <c r="JP5" s="1829"/>
      <c r="JQ5" s="1829"/>
      <c r="JR5" s="1829"/>
      <c r="JS5" s="1829"/>
      <c r="JT5" s="1829"/>
      <c r="JU5" s="1829"/>
      <c r="JV5" s="1829"/>
      <c r="JW5" s="1829"/>
      <c r="JX5" s="1829"/>
      <c r="JY5" s="1829"/>
      <c r="JZ5" s="1829"/>
      <c r="KA5" s="1829"/>
      <c r="KB5" s="1829"/>
      <c r="KC5" s="1829"/>
      <c r="KD5" s="1829"/>
      <c r="KE5" s="1829"/>
      <c r="KF5" s="1829"/>
      <c r="KG5" s="1829"/>
      <c r="KH5" s="1829"/>
      <c r="KI5" s="1829"/>
      <c r="KJ5" s="1829"/>
      <c r="KK5" s="1829"/>
      <c r="KL5" s="1829"/>
      <c r="KM5" s="1829"/>
      <c r="KN5" s="1829"/>
      <c r="KO5" s="1829"/>
      <c r="KP5" s="1829"/>
      <c r="KQ5" s="1829"/>
    </row>
    <row r="6" spans="1:323" ht="23.25" customHeight="1">
      <c r="A6" s="1833"/>
      <c r="B6" s="1833"/>
      <c r="C6" s="1833"/>
      <c r="D6" s="1833"/>
      <c r="E6" s="1833"/>
      <c r="F6" s="1833"/>
      <c r="G6" s="1833"/>
      <c r="H6" s="1833"/>
      <c r="I6" s="1833"/>
      <c r="J6" s="1833"/>
      <c r="K6" s="1833"/>
      <c r="L6" s="1833"/>
      <c r="M6" s="1833"/>
      <c r="N6" s="1833"/>
      <c r="O6" s="1833"/>
      <c r="P6" s="1833"/>
      <c r="Q6" s="1833"/>
      <c r="R6" s="1833"/>
      <c r="S6" s="1833"/>
      <c r="T6" s="1833"/>
      <c r="U6" s="1833"/>
      <c r="V6" s="1833"/>
      <c r="W6" s="1833"/>
      <c r="X6" s="1833"/>
      <c r="Y6" s="1833"/>
      <c r="Z6" s="1833"/>
      <c r="AA6" s="1833"/>
      <c r="AB6" s="1833"/>
      <c r="AC6" s="1833"/>
      <c r="AD6" s="1833"/>
      <c r="AE6" s="1833"/>
      <c r="AF6" s="1833"/>
      <c r="AG6" s="1833"/>
      <c r="AH6" s="1833"/>
      <c r="AI6" s="1833"/>
      <c r="AJ6" s="1833"/>
      <c r="AK6" s="1833"/>
      <c r="AL6" s="1833"/>
      <c r="AM6" s="1833"/>
      <c r="AN6" s="1833"/>
      <c r="AO6" s="1833"/>
      <c r="AP6" s="1833"/>
      <c r="AQ6" s="1833"/>
      <c r="AR6" s="1833"/>
      <c r="AS6" s="1833"/>
      <c r="AT6" s="1833"/>
      <c r="AU6" s="1833"/>
      <c r="AV6" s="1833"/>
      <c r="AW6" s="1833"/>
      <c r="AX6" s="1833"/>
      <c r="AY6" s="1833"/>
      <c r="AZ6" s="1833"/>
      <c r="BA6" s="1833"/>
      <c r="BB6" s="1833"/>
      <c r="BC6" s="1833"/>
      <c r="BD6" s="1833"/>
      <c r="BE6" s="1833"/>
      <c r="BF6" s="1833"/>
      <c r="BG6" s="1833"/>
      <c r="BH6" s="1833"/>
      <c r="BI6" s="1833"/>
      <c r="BJ6" s="1833"/>
      <c r="BK6" s="1833"/>
      <c r="BL6" s="1833"/>
      <c r="BM6" s="1833"/>
      <c r="BN6" s="1833"/>
      <c r="BO6" s="1833"/>
      <c r="BP6" s="1833"/>
      <c r="BQ6" s="1833"/>
      <c r="BR6" s="1833"/>
      <c r="BS6" s="1833"/>
      <c r="BT6" s="1833"/>
      <c r="BU6" s="1833"/>
      <c r="BV6" s="1833"/>
      <c r="BW6" s="1833"/>
      <c r="BX6" s="1833"/>
      <c r="BY6" s="1833"/>
      <c r="BZ6" s="1833"/>
      <c r="CA6" s="1833"/>
      <c r="CB6" s="1833"/>
      <c r="CC6" s="1833"/>
      <c r="CD6" s="1833"/>
      <c r="CE6" s="1833"/>
      <c r="CF6" s="1833"/>
      <c r="CG6" s="1833"/>
      <c r="CH6" s="1833"/>
      <c r="CI6" s="1833"/>
      <c r="CJ6" s="1833"/>
      <c r="CK6" s="1833"/>
      <c r="CL6" s="1833"/>
      <c r="CM6" s="1833"/>
      <c r="CN6" s="1833"/>
      <c r="CO6" s="1833"/>
      <c r="CP6" s="1833"/>
      <c r="CQ6" s="1833"/>
      <c r="CR6" s="1833"/>
      <c r="CS6" s="1833"/>
      <c r="CT6" s="1833"/>
      <c r="CU6" s="1833"/>
      <c r="CV6" s="1833"/>
      <c r="CW6" s="1833"/>
      <c r="CX6" s="1833"/>
      <c r="CY6" s="1833"/>
      <c r="CZ6" s="1833"/>
      <c r="DA6" s="1833"/>
      <c r="DB6" s="1833"/>
      <c r="DC6" s="1833"/>
      <c r="DD6" s="1833"/>
      <c r="DE6" s="1833"/>
      <c r="DF6" s="1833"/>
      <c r="DG6" s="1833"/>
      <c r="DH6" s="1833"/>
      <c r="DI6" s="1833"/>
      <c r="DJ6" s="1833"/>
      <c r="DK6" s="1833"/>
      <c r="DL6" s="1833"/>
      <c r="DM6" s="1833"/>
      <c r="DN6" s="1833"/>
      <c r="DO6" s="1833"/>
      <c r="DP6" s="1833"/>
      <c r="DQ6" s="1833"/>
      <c r="DR6" s="1833"/>
      <c r="DS6" s="1833"/>
      <c r="DT6" s="1833"/>
      <c r="DU6" s="1833"/>
      <c r="DV6" s="1833"/>
      <c r="DW6" s="1833"/>
      <c r="DX6" s="1833"/>
      <c r="DY6" s="1833"/>
      <c r="DZ6" s="1833"/>
      <c r="EA6" s="1833"/>
      <c r="EB6" s="1833"/>
      <c r="EC6" s="1833"/>
      <c r="ED6" s="1833"/>
      <c r="EE6" s="1833"/>
      <c r="EF6" s="1833"/>
      <c r="EG6" s="1833"/>
      <c r="EH6" s="1833"/>
      <c r="EI6" s="1833"/>
      <c r="EJ6" s="1833"/>
      <c r="EK6" s="1833"/>
      <c r="EL6" s="1833"/>
      <c r="EM6" s="1833"/>
      <c r="EN6" s="1833"/>
      <c r="EO6" s="1833"/>
      <c r="EP6" s="1833"/>
      <c r="EQ6" s="1833"/>
      <c r="ER6" s="1833"/>
      <c r="ES6" s="1833"/>
      <c r="ET6" s="1833"/>
      <c r="EU6" s="1833"/>
      <c r="EV6" s="1833"/>
      <c r="EW6" s="1833"/>
      <c r="EX6" s="1833"/>
      <c r="EY6" s="1833"/>
      <c r="EZ6" s="1833"/>
      <c r="FA6" s="1833"/>
      <c r="FB6" s="1833"/>
      <c r="FC6" s="1833"/>
      <c r="FD6" s="1833"/>
      <c r="FE6" s="1833"/>
      <c r="FF6" s="1833"/>
      <c r="FG6" s="1833"/>
      <c r="FH6" s="1833"/>
      <c r="FI6" s="1833"/>
      <c r="FJ6" s="1833"/>
      <c r="FK6" s="1833"/>
      <c r="FL6" s="1833"/>
      <c r="FM6" s="1833"/>
      <c r="FN6" s="1833"/>
      <c r="FO6" s="1833"/>
      <c r="FP6" s="1833"/>
      <c r="FQ6" s="1833"/>
      <c r="FR6" s="1833"/>
      <c r="FS6" s="1833"/>
      <c r="FT6" s="1833"/>
      <c r="FU6" s="1833"/>
      <c r="FV6" s="1833"/>
      <c r="FW6" s="1833"/>
      <c r="FX6" s="1833"/>
      <c r="FY6" s="1833"/>
      <c r="FZ6" s="1833"/>
      <c r="GA6" s="1833"/>
      <c r="GB6" s="1833"/>
      <c r="GC6" s="1833"/>
      <c r="GD6" s="1833"/>
      <c r="GE6" s="1833"/>
      <c r="GF6" s="1833"/>
      <c r="GG6" s="1833"/>
      <c r="GH6" s="1833"/>
      <c r="GI6" s="1833"/>
      <c r="GJ6" s="1833"/>
      <c r="GK6" s="1833"/>
      <c r="GL6" s="1833"/>
      <c r="GM6" s="1833"/>
      <c r="GN6" s="1833"/>
      <c r="GO6" s="1833"/>
      <c r="GP6" s="1833"/>
      <c r="GQ6" s="1833"/>
      <c r="GR6" s="1833"/>
      <c r="GS6" s="1833"/>
      <c r="GT6" s="1833"/>
      <c r="GU6" s="1833"/>
      <c r="GV6" s="1833"/>
      <c r="GW6" s="1833"/>
      <c r="GX6" s="1833"/>
      <c r="GY6" s="1833"/>
      <c r="GZ6" s="1833"/>
      <c r="HA6" s="1833"/>
      <c r="HB6" s="1833"/>
      <c r="HC6" s="1833"/>
      <c r="HD6" s="1833"/>
      <c r="HE6" s="1833"/>
      <c r="HF6" s="1833"/>
      <c r="HG6" s="1833"/>
      <c r="HH6" s="1833"/>
      <c r="HI6" s="1833"/>
      <c r="HJ6" s="1833"/>
      <c r="HK6" s="1833"/>
      <c r="HL6" s="1833"/>
      <c r="HM6" s="1833"/>
      <c r="HN6" s="1833"/>
      <c r="HO6" s="1833"/>
      <c r="HP6" s="1833"/>
      <c r="HQ6" s="1833"/>
      <c r="HR6" s="1833"/>
      <c r="HS6" s="1983" t="s">
        <v>3077</v>
      </c>
      <c r="HT6" s="1834"/>
      <c r="HU6" s="1834"/>
      <c r="HV6" s="1834"/>
      <c r="HW6" s="1834"/>
      <c r="HX6" s="1834"/>
      <c r="HY6" s="1834"/>
      <c r="HZ6" s="1834"/>
      <c r="IA6" s="1834"/>
      <c r="IB6" s="1834"/>
      <c r="IC6" s="1834"/>
      <c r="ID6" s="1834"/>
      <c r="IE6" s="1834"/>
      <c r="IF6" s="1834"/>
      <c r="IG6" s="1834"/>
      <c r="IH6" s="1834"/>
      <c r="II6" s="1834"/>
      <c r="IJ6" s="1834"/>
      <c r="IK6" s="1834"/>
      <c r="IL6" s="1834"/>
      <c r="IM6" s="1834"/>
      <c r="IN6" s="1834"/>
      <c r="IO6" s="1834"/>
      <c r="IP6" s="1834"/>
      <c r="IQ6" s="1834"/>
      <c r="IR6" s="1834"/>
      <c r="IS6" s="1834"/>
      <c r="IT6" s="1834"/>
      <c r="IU6" s="1834"/>
      <c r="IV6" s="1834"/>
      <c r="IW6" s="1834"/>
      <c r="IX6" s="1834"/>
      <c r="IY6" s="1834"/>
      <c r="IZ6" s="1834"/>
      <c r="JA6" s="1834"/>
      <c r="JB6" s="1834"/>
      <c r="JC6" s="1834"/>
      <c r="JD6" s="1834"/>
      <c r="JE6" s="1834"/>
      <c r="JF6" s="1834"/>
      <c r="JG6" s="1834"/>
      <c r="JH6" s="1834"/>
      <c r="JI6" s="1834"/>
      <c r="JJ6" s="1834"/>
      <c r="JK6" s="1834"/>
      <c r="JL6" s="1834"/>
      <c r="JM6" s="1834"/>
      <c r="JN6" s="1834"/>
      <c r="JO6" s="1834"/>
      <c r="JP6" s="1834"/>
      <c r="JQ6" s="1834"/>
      <c r="JR6" s="1834"/>
      <c r="JS6" s="1834"/>
      <c r="JT6" s="1834"/>
      <c r="JU6" s="1834"/>
      <c r="JV6" s="1834"/>
      <c r="JW6" s="1834"/>
      <c r="JX6" s="1834"/>
      <c r="JY6" s="1834"/>
      <c r="JZ6" s="1834"/>
      <c r="KA6" s="1834"/>
      <c r="KB6" s="1834"/>
      <c r="KC6" s="1834"/>
      <c r="KD6" s="1834"/>
      <c r="KE6" s="1834"/>
      <c r="KF6" s="1834"/>
      <c r="KG6" s="1834"/>
      <c r="KH6" s="1834"/>
      <c r="KI6" s="1834"/>
      <c r="KJ6" s="1834"/>
      <c r="KK6" s="1834"/>
      <c r="KL6" s="1834"/>
      <c r="KM6" s="1834"/>
      <c r="KN6" s="1834"/>
      <c r="KO6" s="1834"/>
      <c r="KP6" s="1834"/>
      <c r="KQ6" s="1834"/>
      <c r="KR6" s="1834"/>
      <c r="KS6" s="1834"/>
      <c r="KT6" s="1834"/>
      <c r="KU6" s="1834"/>
      <c r="KV6" s="1834"/>
      <c r="KW6" s="1834"/>
      <c r="KX6" s="1834"/>
      <c r="KY6" s="1834"/>
      <c r="KZ6" s="1834"/>
      <c r="LA6" s="1834"/>
      <c r="LB6" s="1834"/>
      <c r="LC6" s="1834"/>
      <c r="LD6" s="1834"/>
      <c r="LE6" s="1834"/>
      <c r="LF6" s="1834"/>
      <c r="LG6" s="1834"/>
      <c r="LH6" s="1834"/>
      <c r="LI6" s="1834"/>
      <c r="LJ6" s="1834"/>
      <c r="LK6" s="1834"/>
    </row>
    <row r="7" spans="1:323" ht="39" customHeight="1">
      <c r="A7" s="2951"/>
      <c r="B7" s="2951"/>
      <c r="C7" s="2952">
        <v>2016</v>
      </c>
      <c r="D7" s="2952"/>
      <c r="E7" s="2952"/>
      <c r="F7" s="2952"/>
      <c r="G7" s="2952"/>
      <c r="H7" s="2952"/>
      <c r="I7" s="2952"/>
      <c r="J7" s="2952"/>
      <c r="K7" s="2952"/>
      <c r="L7" s="2952"/>
      <c r="M7" s="2952"/>
      <c r="N7" s="2952"/>
      <c r="O7" s="2952"/>
      <c r="P7" s="2952"/>
      <c r="Q7" s="2952"/>
      <c r="R7" s="2952"/>
      <c r="S7" s="2952"/>
      <c r="T7" s="2952"/>
      <c r="U7" s="2952"/>
      <c r="V7" s="2952"/>
      <c r="W7" s="2952"/>
      <c r="X7" s="2952"/>
      <c r="Y7" s="2952"/>
      <c r="Z7" s="2952"/>
      <c r="AA7" s="2952">
        <v>2017</v>
      </c>
      <c r="AB7" s="2952"/>
      <c r="AC7" s="2952"/>
      <c r="AD7" s="2952"/>
      <c r="AE7" s="2952"/>
      <c r="AF7" s="2952"/>
      <c r="AG7" s="2952"/>
      <c r="AH7" s="2952"/>
      <c r="AI7" s="2952"/>
      <c r="AJ7" s="2952"/>
      <c r="AK7" s="2952"/>
      <c r="AL7" s="2952"/>
      <c r="AM7" s="2952"/>
      <c r="AN7" s="2952"/>
      <c r="AO7" s="2952"/>
      <c r="AP7" s="2952"/>
      <c r="AQ7" s="2952"/>
      <c r="AR7" s="2952"/>
      <c r="AS7" s="2952"/>
      <c r="AT7" s="2952"/>
      <c r="AU7" s="2952"/>
      <c r="AV7" s="2952"/>
      <c r="AW7" s="2952"/>
      <c r="AX7" s="2952"/>
      <c r="AY7" s="2952">
        <v>2018</v>
      </c>
      <c r="AZ7" s="2952"/>
      <c r="BA7" s="2952"/>
      <c r="BB7" s="2952"/>
      <c r="BC7" s="2952"/>
      <c r="BD7" s="2952"/>
      <c r="BE7" s="2952"/>
      <c r="BF7" s="2952"/>
      <c r="BG7" s="2952"/>
      <c r="BH7" s="2952"/>
      <c r="BI7" s="2952"/>
      <c r="BJ7" s="2952"/>
      <c r="BK7" s="2952"/>
      <c r="BL7" s="2952"/>
      <c r="BM7" s="2952"/>
      <c r="BN7" s="2952"/>
      <c r="BO7" s="2952"/>
      <c r="BP7" s="2952"/>
      <c r="BQ7" s="2952"/>
      <c r="BR7" s="2952"/>
      <c r="BS7" s="2952"/>
      <c r="BT7" s="2952"/>
      <c r="BU7" s="2952"/>
      <c r="BV7" s="2952"/>
      <c r="BW7" s="2952">
        <v>2019</v>
      </c>
      <c r="BX7" s="2952"/>
      <c r="BY7" s="2952"/>
      <c r="BZ7" s="2952"/>
      <c r="CA7" s="2952"/>
      <c r="CB7" s="2952"/>
      <c r="CC7" s="2952"/>
      <c r="CD7" s="2952"/>
      <c r="CE7" s="2952"/>
      <c r="CF7" s="2952"/>
      <c r="CG7" s="2952"/>
      <c r="CH7" s="2952"/>
      <c r="CI7" s="2952"/>
      <c r="CJ7" s="2952"/>
      <c r="CK7" s="2952"/>
      <c r="CL7" s="2952"/>
      <c r="CM7" s="2952"/>
      <c r="CN7" s="2952"/>
      <c r="CO7" s="2952"/>
      <c r="CP7" s="2952"/>
      <c r="CQ7" s="2952"/>
      <c r="CR7" s="2952"/>
      <c r="CS7" s="2952"/>
      <c r="CT7" s="2952"/>
      <c r="CU7" s="2952">
        <v>2020</v>
      </c>
      <c r="CV7" s="2952"/>
      <c r="CW7" s="2952"/>
      <c r="CX7" s="2952"/>
      <c r="CY7" s="2952"/>
      <c r="CZ7" s="2952"/>
      <c r="DA7" s="2952"/>
      <c r="DB7" s="2952"/>
      <c r="DC7" s="2952"/>
      <c r="DD7" s="2952"/>
      <c r="DE7" s="2952"/>
      <c r="DF7" s="2952"/>
      <c r="DG7" s="2952"/>
      <c r="DH7" s="2952"/>
      <c r="DI7" s="2952"/>
      <c r="DJ7" s="2952"/>
      <c r="DK7" s="2952"/>
      <c r="DL7" s="2952"/>
      <c r="DM7" s="2952"/>
      <c r="DN7" s="2952"/>
      <c r="DO7" s="2952"/>
      <c r="DP7" s="2952"/>
      <c r="DQ7" s="2952"/>
      <c r="DR7" s="2952"/>
      <c r="DS7" s="2952">
        <v>2021</v>
      </c>
      <c r="DT7" s="2952"/>
      <c r="DU7" s="2952"/>
      <c r="DV7" s="2952"/>
      <c r="DW7" s="2952"/>
      <c r="DX7" s="2952"/>
      <c r="DY7" s="2952"/>
      <c r="DZ7" s="2952"/>
      <c r="EA7" s="2952"/>
      <c r="EB7" s="2952"/>
      <c r="EC7" s="2952"/>
      <c r="ED7" s="2952"/>
      <c r="EE7" s="2952"/>
      <c r="EF7" s="2952"/>
      <c r="EG7" s="2952"/>
      <c r="EH7" s="2952"/>
      <c r="EI7" s="2952"/>
      <c r="EJ7" s="2952"/>
      <c r="EK7" s="2952"/>
      <c r="EL7" s="2952"/>
      <c r="EM7" s="2952"/>
      <c r="EN7" s="2952"/>
      <c r="EO7" s="2952"/>
      <c r="EP7" s="2952"/>
      <c r="EQ7" s="2953">
        <v>2022</v>
      </c>
      <c r="ER7" s="2954"/>
      <c r="ES7" s="2954"/>
      <c r="ET7" s="2954"/>
      <c r="EU7" s="2954"/>
      <c r="EV7" s="2954"/>
      <c r="EW7" s="2954"/>
      <c r="EX7" s="2954"/>
      <c r="EY7" s="2954"/>
      <c r="EZ7" s="2954"/>
      <c r="FA7" s="2954"/>
      <c r="FB7" s="2954"/>
      <c r="FC7" s="2954"/>
      <c r="FD7" s="2954"/>
      <c r="FE7" s="2954"/>
      <c r="FF7" s="2954"/>
      <c r="FG7" s="2954"/>
      <c r="FH7" s="2954"/>
      <c r="FI7" s="2954"/>
      <c r="FJ7" s="2954"/>
      <c r="FK7" s="2954"/>
      <c r="FL7" s="2955"/>
      <c r="FM7" s="2953">
        <v>2023</v>
      </c>
      <c r="FN7" s="2954"/>
      <c r="FO7" s="2954"/>
      <c r="FP7" s="2954"/>
      <c r="FQ7" s="2954"/>
      <c r="FR7" s="2954"/>
      <c r="FS7" s="2954"/>
      <c r="FT7" s="2954"/>
      <c r="FU7" s="2954"/>
      <c r="FV7" s="2954"/>
      <c r="FW7" s="2954"/>
      <c r="FX7" s="2954"/>
      <c r="FY7" s="2954"/>
      <c r="FZ7" s="2954"/>
      <c r="GA7" s="2954"/>
      <c r="GB7" s="2954"/>
      <c r="GC7" s="2954"/>
      <c r="GD7" s="2954"/>
      <c r="GE7" s="2954"/>
      <c r="GF7" s="2954"/>
      <c r="GG7" s="2954"/>
      <c r="GH7" s="2954"/>
      <c r="GI7" s="2954"/>
      <c r="GJ7" s="2954"/>
      <c r="GK7" s="2953">
        <v>2024</v>
      </c>
      <c r="GL7" s="2954"/>
      <c r="GM7" s="2954"/>
      <c r="GN7" s="2954"/>
      <c r="GO7" s="2954"/>
      <c r="GP7" s="2954"/>
      <c r="GQ7" s="2954"/>
      <c r="GR7" s="2954"/>
      <c r="GS7" s="2954"/>
      <c r="GT7" s="2954"/>
      <c r="GU7" s="2954"/>
      <c r="GV7" s="2954"/>
      <c r="GW7" s="2954"/>
      <c r="GX7" s="2954"/>
      <c r="GY7" s="2954"/>
      <c r="GZ7" s="2954"/>
      <c r="HA7" s="2954"/>
      <c r="HB7" s="2954"/>
      <c r="HC7" s="2954"/>
      <c r="HD7" s="2954"/>
      <c r="HE7" s="2954"/>
      <c r="HF7" s="2954"/>
      <c r="HG7" s="2954"/>
      <c r="HH7" s="2955"/>
      <c r="HI7" s="2953">
        <v>2025</v>
      </c>
      <c r="HJ7" s="2954"/>
      <c r="HK7" s="2954"/>
      <c r="HL7" s="2954"/>
      <c r="HM7" s="2954"/>
      <c r="HN7" s="2954"/>
      <c r="HO7" s="2954"/>
      <c r="HP7" s="2954"/>
      <c r="HQ7" s="2954"/>
      <c r="HR7" s="2955"/>
      <c r="HS7" s="2956" t="s">
        <v>3157</v>
      </c>
    </row>
    <row r="8" spans="1:323" s="1835" customFormat="1" ht="36.75" customHeight="1" thickBot="1">
      <c r="A8" s="2952" t="s">
        <v>2356</v>
      </c>
      <c r="B8" s="2956" t="s">
        <v>2355</v>
      </c>
      <c r="C8" s="2945" t="s">
        <v>2327</v>
      </c>
      <c r="D8" s="2945"/>
      <c r="E8" s="2945" t="s">
        <v>3224</v>
      </c>
      <c r="F8" s="2945"/>
      <c r="G8" s="2945" t="s">
        <v>3225</v>
      </c>
      <c r="H8" s="2945"/>
      <c r="I8" s="2945" t="s">
        <v>3226</v>
      </c>
      <c r="J8" s="2945"/>
      <c r="K8" s="2945" t="s">
        <v>3227</v>
      </c>
      <c r="L8" s="2945"/>
      <c r="M8" s="2945" t="s">
        <v>3228</v>
      </c>
      <c r="N8" s="2945"/>
      <c r="O8" s="2945" t="s">
        <v>3229</v>
      </c>
      <c r="P8" s="2945"/>
      <c r="Q8" s="2945" t="s">
        <v>3230</v>
      </c>
      <c r="R8" s="2945"/>
      <c r="S8" s="2945" t="s">
        <v>3231</v>
      </c>
      <c r="T8" s="2945"/>
      <c r="U8" s="2945" t="s">
        <v>3241</v>
      </c>
      <c r="V8" s="2945"/>
      <c r="W8" s="2945" t="s">
        <v>3242</v>
      </c>
      <c r="X8" s="2945"/>
      <c r="Y8" s="2945" t="s">
        <v>3243</v>
      </c>
      <c r="Z8" s="2945"/>
      <c r="AA8" s="2945" t="s">
        <v>2327</v>
      </c>
      <c r="AB8" s="2945"/>
      <c r="AC8" s="2945" t="s">
        <v>3224</v>
      </c>
      <c r="AD8" s="2945"/>
      <c r="AE8" s="2945" t="s">
        <v>3225</v>
      </c>
      <c r="AF8" s="2945"/>
      <c r="AG8" s="2945" t="s">
        <v>3226</v>
      </c>
      <c r="AH8" s="2945"/>
      <c r="AI8" s="2945" t="s">
        <v>3227</v>
      </c>
      <c r="AJ8" s="2945"/>
      <c r="AK8" s="2945" t="s">
        <v>3228</v>
      </c>
      <c r="AL8" s="2945"/>
      <c r="AM8" s="2945" t="s">
        <v>3229</v>
      </c>
      <c r="AN8" s="2945"/>
      <c r="AO8" s="2945" t="s">
        <v>3230</v>
      </c>
      <c r="AP8" s="2945"/>
      <c r="AQ8" s="2945" t="s">
        <v>3231</v>
      </c>
      <c r="AR8" s="2945"/>
      <c r="AS8" s="2945" t="s">
        <v>3241</v>
      </c>
      <c r="AT8" s="2945"/>
      <c r="AU8" s="2945" t="s">
        <v>3242</v>
      </c>
      <c r="AV8" s="2945"/>
      <c r="AW8" s="2945" t="s">
        <v>3243</v>
      </c>
      <c r="AX8" s="2945"/>
      <c r="AY8" s="2945" t="s">
        <v>2327</v>
      </c>
      <c r="AZ8" s="2945"/>
      <c r="BA8" s="2945" t="s">
        <v>3224</v>
      </c>
      <c r="BB8" s="2945"/>
      <c r="BC8" s="2945" t="s">
        <v>3225</v>
      </c>
      <c r="BD8" s="2945"/>
      <c r="BE8" s="2945" t="s">
        <v>3226</v>
      </c>
      <c r="BF8" s="2945"/>
      <c r="BG8" s="2945" t="s">
        <v>3227</v>
      </c>
      <c r="BH8" s="2945"/>
      <c r="BI8" s="2945" t="s">
        <v>3228</v>
      </c>
      <c r="BJ8" s="2945"/>
      <c r="BK8" s="2945" t="s">
        <v>3229</v>
      </c>
      <c r="BL8" s="2945"/>
      <c r="BM8" s="2945" t="s">
        <v>3230</v>
      </c>
      <c r="BN8" s="2945"/>
      <c r="BO8" s="2945" t="s">
        <v>3231</v>
      </c>
      <c r="BP8" s="2945"/>
      <c r="BQ8" s="2945" t="s">
        <v>3241</v>
      </c>
      <c r="BR8" s="2945"/>
      <c r="BS8" s="2945" t="s">
        <v>3242</v>
      </c>
      <c r="BT8" s="2945"/>
      <c r="BU8" s="2945" t="s">
        <v>3243</v>
      </c>
      <c r="BV8" s="2945"/>
      <c r="BW8" s="2945" t="s">
        <v>2327</v>
      </c>
      <c r="BX8" s="2945"/>
      <c r="BY8" s="2945" t="s">
        <v>3224</v>
      </c>
      <c r="BZ8" s="2945"/>
      <c r="CA8" s="2945" t="s">
        <v>3225</v>
      </c>
      <c r="CB8" s="2945"/>
      <c r="CC8" s="2945" t="s">
        <v>3226</v>
      </c>
      <c r="CD8" s="2945"/>
      <c r="CE8" s="2945" t="s">
        <v>3227</v>
      </c>
      <c r="CF8" s="2945"/>
      <c r="CG8" s="2945" t="s">
        <v>3228</v>
      </c>
      <c r="CH8" s="2945"/>
      <c r="CI8" s="2945" t="s">
        <v>3229</v>
      </c>
      <c r="CJ8" s="2945"/>
      <c r="CK8" s="2945" t="s">
        <v>3230</v>
      </c>
      <c r="CL8" s="2945"/>
      <c r="CM8" s="2945" t="s">
        <v>3231</v>
      </c>
      <c r="CN8" s="2945"/>
      <c r="CO8" s="2945" t="s">
        <v>3241</v>
      </c>
      <c r="CP8" s="2945"/>
      <c r="CQ8" s="2945" t="s">
        <v>3242</v>
      </c>
      <c r="CR8" s="2945"/>
      <c r="CS8" s="2945" t="s">
        <v>3243</v>
      </c>
      <c r="CT8" s="2945"/>
      <c r="CU8" s="2945" t="s">
        <v>2327</v>
      </c>
      <c r="CV8" s="2945"/>
      <c r="CW8" s="2945" t="s">
        <v>3224</v>
      </c>
      <c r="CX8" s="2945"/>
      <c r="CY8" s="2945" t="s">
        <v>3225</v>
      </c>
      <c r="CZ8" s="2945"/>
      <c r="DA8" s="2945" t="s">
        <v>3226</v>
      </c>
      <c r="DB8" s="2945"/>
      <c r="DC8" s="2945" t="s">
        <v>3227</v>
      </c>
      <c r="DD8" s="2945"/>
      <c r="DE8" s="2945" t="s">
        <v>3228</v>
      </c>
      <c r="DF8" s="2945"/>
      <c r="DG8" s="2945" t="s">
        <v>3229</v>
      </c>
      <c r="DH8" s="2945"/>
      <c r="DI8" s="2945" t="s">
        <v>3230</v>
      </c>
      <c r="DJ8" s="2945"/>
      <c r="DK8" s="2945" t="s">
        <v>3231</v>
      </c>
      <c r="DL8" s="2945"/>
      <c r="DM8" s="2945" t="s">
        <v>3241</v>
      </c>
      <c r="DN8" s="2945"/>
      <c r="DO8" s="2945" t="s">
        <v>3242</v>
      </c>
      <c r="DP8" s="2945"/>
      <c r="DQ8" s="2945" t="s">
        <v>3243</v>
      </c>
      <c r="DR8" s="2945"/>
      <c r="DS8" s="2945" t="s">
        <v>2327</v>
      </c>
      <c r="DT8" s="2945"/>
      <c r="DU8" s="2945" t="s">
        <v>3224</v>
      </c>
      <c r="DV8" s="2945"/>
      <c r="DW8" s="2945" t="s">
        <v>3225</v>
      </c>
      <c r="DX8" s="2945"/>
      <c r="DY8" s="2945" t="s">
        <v>3226</v>
      </c>
      <c r="DZ8" s="2945"/>
      <c r="EA8" s="2945" t="s">
        <v>3227</v>
      </c>
      <c r="EB8" s="2945"/>
      <c r="EC8" s="2945" t="s">
        <v>3228</v>
      </c>
      <c r="ED8" s="2945"/>
      <c r="EE8" s="2945" t="s">
        <v>3229</v>
      </c>
      <c r="EF8" s="2945"/>
      <c r="EG8" s="2945" t="s">
        <v>3230</v>
      </c>
      <c r="EH8" s="2945"/>
      <c r="EI8" s="2945" t="s">
        <v>3231</v>
      </c>
      <c r="EJ8" s="2945"/>
      <c r="EK8" s="2945" t="s">
        <v>3241</v>
      </c>
      <c r="EL8" s="2945"/>
      <c r="EM8" s="2945" t="s">
        <v>3242</v>
      </c>
      <c r="EN8" s="2945"/>
      <c r="EO8" s="2945" t="s">
        <v>3243</v>
      </c>
      <c r="EP8" s="2945"/>
      <c r="EQ8" s="2941" t="s">
        <v>2327</v>
      </c>
      <c r="ER8" s="2942"/>
      <c r="ES8" s="2941" t="s">
        <v>3224</v>
      </c>
      <c r="ET8" s="2942"/>
      <c r="EU8" s="2941" t="s">
        <v>3225</v>
      </c>
      <c r="EV8" s="2942"/>
      <c r="EW8" s="2941" t="s">
        <v>3226</v>
      </c>
      <c r="EX8" s="2942"/>
      <c r="EY8" s="2941" t="s">
        <v>3227</v>
      </c>
      <c r="EZ8" s="2942"/>
      <c r="FA8" s="2941" t="s">
        <v>3228</v>
      </c>
      <c r="FB8" s="2942"/>
      <c r="FC8" s="2941" t="s">
        <v>3229</v>
      </c>
      <c r="FD8" s="2942"/>
      <c r="FE8" s="2941" t="s">
        <v>3231</v>
      </c>
      <c r="FF8" s="2942"/>
      <c r="FG8" s="2941" t="s">
        <v>3241</v>
      </c>
      <c r="FH8" s="2942"/>
      <c r="FI8" s="2941" t="s">
        <v>3242</v>
      </c>
      <c r="FJ8" s="2942"/>
      <c r="FK8" s="2941" t="s">
        <v>3243</v>
      </c>
      <c r="FL8" s="2942"/>
      <c r="FM8" s="2941" t="s">
        <v>2327</v>
      </c>
      <c r="FN8" s="2942"/>
      <c r="FO8" s="2941" t="s">
        <v>3224</v>
      </c>
      <c r="FP8" s="2942"/>
      <c r="FQ8" s="2941" t="s">
        <v>3225</v>
      </c>
      <c r="FR8" s="2942"/>
      <c r="FS8" s="2941" t="s">
        <v>3226</v>
      </c>
      <c r="FT8" s="2942"/>
      <c r="FU8" s="2941" t="s">
        <v>3227</v>
      </c>
      <c r="FV8" s="2942"/>
      <c r="FW8" s="2941" t="s">
        <v>3228</v>
      </c>
      <c r="FX8" s="2942"/>
      <c r="FY8" s="2941" t="s">
        <v>3843</v>
      </c>
      <c r="FZ8" s="2942"/>
      <c r="GA8" s="2941" t="s">
        <v>3230</v>
      </c>
      <c r="GB8" s="2942"/>
      <c r="GC8" s="2941" t="s">
        <v>3231</v>
      </c>
      <c r="GD8" s="2942"/>
      <c r="GE8" s="2941" t="s">
        <v>3241</v>
      </c>
      <c r="GF8" s="2942"/>
      <c r="GG8" s="2941" t="s">
        <v>3242</v>
      </c>
      <c r="GH8" s="2942"/>
      <c r="GI8" s="2941" t="s">
        <v>3243</v>
      </c>
      <c r="GJ8" s="2942"/>
      <c r="GK8" s="2941" t="s">
        <v>2327</v>
      </c>
      <c r="GL8" s="2942"/>
      <c r="GM8" s="2941" t="s">
        <v>3224</v>
      </c>
      <c r="GN8" s="2942"/>
      <c r="GO8" s="2941" t="s">
        <v>3225</v>
      </c>
      <c r="GP8" s="2942"/>
      <c r="GQ8" s="2941" t="s">
        <v>3226</v>
      </c>
      <c r="GR8" s="2942"/>
      <c r="GS8" s="2941" t="s">
        <v>3227</v>
      </c>
      <c r="GT8" s="2942"/>
      <c r="GU8" s="2941" t="s">
        <v>3228</v>
      </c>
      <c r="GV8" s="2942"/>
      <c r="GW8" s="2941" t="s">
        <v>3843</v>
      </c>
      <c r="GX8" s="2942"/>
      <c r="GY8" s="2941" t="s">
        <v>3230</v>
      </c>
      <c r="GZ8" s="2942"/>
      <c r="HA8" s="2941" t="s">
        <v>3231</v>
      </c>
      <c r="HB8" s="2942"/>
      <c r="HC8" s="2941" t="s">
        <v>3241</v>
      </c>
      <c r="HD8" s="2942"/>
      <c r="HE8" s="2941" t="s">
        <v>3242</v>
      </c>
      <c r="HF8" s="2942"/>
      <c r="HG8" s="2941" t="s">
        <v>3243</v>
      </c>
      <c r="HH8" s="2942"/>
      <c r="HI8" s="2941" t="s">
        <v>2327</v>
      </c>
      <c r="HJ8" s="2942"/>
      <c r="HK8" s="2941" t="s">
        <v>3224</v>
      </c>
      <c r="HL8" s="2942"/>
      <c r="HM8" s="2941" t="s">
        <v>3225</v>
      </c>
      <c r="HN8" s="2942"/>
      <c r="HO8" s="2941" t="s">
        <v>3226</v>
      </c>
      <c r="HP8" s="2942"/>
      <c r="HQ8" s="2941" t="s">
        <v>3227</v>
      </c>
      <c r="HR8" s="2942"/>
      <c r="HS8" s="2957"/>
    </row>
    <row r="9" spans="1:323" s="1835" customFormat="1" ht="36.75" customHeight="1">
      <c r="A9" s="2952"/>
      <c r="B9" s="2957"/>
      <c r="C9" s="2946" t="s">
        <v>3158</v>
      </c>
      <c r="D9" s="2947"/>
      <c r="E9" s="2946" t="s">
        <v>3232</v>
      </c>
      <c r="F9" s="2947"/>
      <c r="G9" s="2946" t="s">
        <v>3233</v>
      </c>
      <c r="H9" s="2947"/>
      <c r="I9" s="2946" t="s">
        <v>3234</v>
      </c>
      <c r="J9" s="2947"/>
      <c r="K9" s="2946" t="s">
        <v>3235</v>
      </c>
      <c r="L9" s="2947"/>
      <c r="M9" s="2946" t="s">
        <v>3236</v>
      </c>
      <c r="N9" s="2947"/>
      <c r="O9" s="2946" t="s">
        <v>3237</v>
      </c>
      <c r="P9" s="2947"/>
      <c r="Q9" s="2946" t="s">
        <v>3238</v>
      </c>
      <c r="R9" s="2947"/>
      <c r="S9" s="2946" t="s">
        <v>3239</v>
      </c>
      <c r="T9" s="2947"/>
      <c r="U9" s="2946" t="s">
        <v>3246</v>
      </c>
      <c r="V9" s="2947"/>
      <c r="W9" s="2946" t="s">
        <v>3245</v>
      </c>
      <c r="X9" s="2947"/>
      <c r="Y9" s="2946" t="s">
        <v>3244</v>
      </c>
      <c r="Z9" s="2947"/>
      <c r="AA9" s="2946" t="s">
        <v>3158</v>
      </c>
      <c r="AB9" s="2947"/>
      <c r="AC9" s="2946" t="s">
        <v>3232</v>
      </c>
      <c r="AD9" s="2947"/>
      <c r="AE9" s="2946" t="s">
        <v>3233</v>
      </c>
      <c r="AF9" s="2947"/>
      <c r="AG9" s="2946" t="s">
        <v>3234</v>
      </c>
      <c r="AH9" s="2947"/>
      <c r="AI9" s="2946" t="s">
        <v>3235</v>
      </c>
      <c r="AJ9" s="2947"/>
      <c r="AK9" s="2946" t="s">
        <v>3236</v>
      </c>
      <c r="AL9" s="2947"/>
      <c r="AM9" s="2946" t="s">
        <v>3237</v>
      </c>
      <c r="AN9" s="2947"/>
      <c r="AO9" s="2946" t="s">
        <v>3238</v>
      </c>
      <c r="AP9" s="2947"/>
      <c r="AQ9" s="2946" t="s">
        <v>3239</v>
      </c>
      <c r="AR9" s="2947"/>
      <c r="AS9" s="2946" t="s">
        <v>3246</v>
      </c>
      <c r="AT9" s="2947"/>
      <c r="AU9" s="2946" t="s">
        <v>3245</v>
      </c>
      <c r="AV9" s="2947"/>
      <c r="AW9" s="2946" t="s">
        <v>3244</v>
      </c>
      <c r="AX9" s="2947"/>
      <c r="AY9" s="2946" t="s">
        <v>3158</v>
      </c>
      <c r="AZ9" s="2947"/>
      <c r="BA9" s="2946" t="s">
        <v>3232</v>
      </c>
      <c r="BB9" s="2947"/>
      <c r="BC9" s="2946" t="s">
        <v>3233</v>
      </c>
      <c r="BD9" s="2947"/>
      <c r="BE9" s="2946" t="s">
        <v>3234</v>
      </c>
      <c r="BF9" s="2947"/>
      <c r="BG9" s="2946" t="s">
        <v>3235</v>
      </c>
      <c r="BH9" s="2947"/>
      <c r="BI9" s="2946" t="s">
        <v>3236</v>
      </c>
      <c r="BJ9" s="2947"/>
      <c r="BK9" s="2946" t="s">
        <v>3237</v>
      </c>
      <c r="BL9" s="2947"/>
      <c r="BM9" s="2946" t="s">
        <v>3238</v>
      </c>
      <c r="BN9" s="2947"/>
      <c r="BO9" s="2946" t="s">
        <v>3239</v>
      </c>
      <c r="BP9" s="2947"/>
      <c r="BQ9" s="2946" t="s">
        <v>3246</v>
      </c>
      <c r="BR9" s="2947"/>
      <c r="BS9" s="2946" t="s">
        <v>3245</v>
      </c>
      <c r="BT9" s="2947"/>
      <c r="BU9" s="2946" t="s">
        <v>3244</v>
      </c>
      <c r="BV9" s="2947"/>
      <c r="BW9" s="2946" t="s">
        <v>3158</v>
      </c>
      <c r="BX9" s="2947"/>
      <c r="BY9" s="2946" t="s">
        <v>3232</v>
      </c>
      <c r="BZ9" s="2947"/>
      <c r="CA9" s="2946" t="s">
        <v>3233</v>
      </c>
      <c r="CB9" s="2947"/>
      <c r="CC9" s="2946" t="s">
        <v>3234</v>
      </c>
      <c r="CD9" s="2947"/>
      <c r="CE9" s="2946" t="s">
        <v>3235</v>
      </c>
      <c r="CF9" s="2947"/>
      <c r="CG9" s="2946" t="s">
        <v>3236</v>
      </c>
      <c r="CH9" s="2947"/>
      <c r="CI9" s="2946" t="s">
        <v>3237</v>
      </c>
      <c r="CJ9" s="2947"/>
      <c r="CK9" s="2946" t="s">
        <v>3238</v>
      </c>
      <c r="CL9" s="2947"/>
      <c r="CM9" s="2946" t="s">
        <v>3239</v>
      </c>
      <c r="CN9" s="2947"/>
      <c r="CO9" s="2946" t="s">
        <v>3246</v>
      </c>
      <c r="CP9" s="2947"/>
      <c r="CQ9" s="2946" t="s">
        <v>3245</v>
      </c>
      <c r="CR9" s="2947"/>
      <c r="CS9" s="2946" t="s">
        <v>3244</v>
      </c>
      <c r="CT9" s="2947"/>
      <c r="CU9" s="2946" t="s">
        <v>3158</v>
      </c>
      <c r="CV9" s="2947"/>
      <c r="CW9" s="2946" t="s">
        <v>3232</v>
      </c>
      <c r="CX9" s="2947"/>
      <c r="CY9" s="2946" t="s">
        <v>3233</v>
      </c>
      <c r="CZ9" s="2947"/>
      <c r="DA9" s="2946" t="s">
        <v>3234</v>
      </c>
      <c r="DB9" s="2947"/>
      <c r="DC9" s="2946" t="s">
        <v>3235</v>
      </c>
      <c r="DD9" s="2947"/>
      <c r="DE9" s="2946" t="s">
        <v>3236</v>
      </c>
      <c r="DF9" s="2947"/>
      <c r="DG9" s="2946" t="s">
        <v>3237</v>
      </c>
      <c r="DH9" s="2947"/>
      <c r="DI9" s="2946" t="s">
        <v>3238</v>
      </c>
      <c r="DJ9" s="2947"/>
      <c r="DK9" s="2946" t="s">
        <v>3239</v>
      </c>
      <c r="DL9" s="2947"/>
      <c r="DM9" s="2946" t="s">
        <v>3246</v>
      </c>
      <c r="DN9" s="2947"/>
      <c r="DO9" s="2946" t="s">
        <v>3245</v>
      </c>
      <c r="DP9" s="2947"/>
      <c r="DQ9" s="2946" t="s">
        <v>3244</v>
      </c>
      <c r="DR9" s="2947"/>
      <c r="DS9" s="2945" t="s">
        <v>3158</v>
      </c>
      <c r="DT9" s="2945"/>
      <c r="DU9" s="2945" t="s">
        <v>3232</v>
      </c>
      <c r="DV9" s="2945"/>
      <c r="DW9" s="2945" t="s">
        <v>3233</v>
      </c>
      <c r="DX9" s="2945"/>
      <c r="DY9" s="2945" t="s">
        <v>3234</v>
      </c>
      <c r="DZ9" s="2945"/>
      <c r="EA9" s="2945" t="s">
        <v>3235</v>
      </c>
      <c r="EB9" s="2945"/>
      <c r="EC9" s="2945" t="s">
        <v>3236</v>
      </c>
      <c r="ED9" s="2945"/>
      <c r="EE9" s="2945" t="s">
        <v>3237</v>
      </c>
      <c r="EF9" s="2945"/>
      <c r="EG9" s="2945" t="s">
        <v>3238</v>
      </c>
      <c r="EH9" s="2945"/>
      <c r="EI9" s="2945" t="s">
        <v>3239</v>
      </c>
      <c r="EJ9" s="2945"/>
      <c r="EK9" s="2945" t="s">
        <v>3246</v>
      </c>
      <c r="EL9" s="2945"/>
      <c r="EM9" s="2945" t="s">
        <v>3245</v>
      </c>
      <c r="EN9" s="2945"/>
      <c r="EO9" s="2945" t="s">
        <v>3244</v>
      </c>
      <c r="EP9" s="2945"/>
      <c r="EQ9" s="2941" t="s">
        <v>3158</v>
      </c>
      <c r="ER9" s="2942"/>
      <c r="ES9" s="2941" t="s">
        <v>3232</v>
      </c>
      <c r="ET9" s="2942"/>
      <c r="EU9" s="2941" t="s">
        <v>3233</v>
      </c>
      <c r="EV9" s="2942"/>
      <c r="EW9" s="2941" t="s">
        <v>3234</v>
      </c>
      <c r="EX9" s="2942"/>
      <c r="EY9" s="2941" t="s">
        <v>3235</v>
      </c>
      <c r="EZ9" s="2942"/>
      <c r="FA9" s="2941" t="s">
        <v>3236</v>
      </c>
      <c r="FB9" s="2942"/>
      <c r="FC9" s="2941" t="s">
        <v>3237</v>
      </c>
      <c r="FD9" s="2942"/>
      <c r="FE9" s="2941" t="s">
        <v>3239</v>
      </c>
      <c r="FF9" s="2942"/>
      <c r="FG9" s="2941" t="s">
        <v>3399</v>
      </c>
      <c r="FH9" s="2942"/>
      <c r="FI9" s="2941" t="s">
        <v>3427</v>
      </c>
      <c r="FJ9" s="2942"/>
      <c r="FK9" s="2941" t="s">
        <v>3477</v>
      </c>
      <c r="FL9" s="2942"/>
      <c r="FM9" s="2943" t="s">
        <v>3158</v>
      </c>
      <c r="FN9" s="2944"/>
      <c r="FO9" s="2943" t="s">
        <v>3232</v>
      </c>
      <c r="FP9" s="2944"/>
      <c r="FQ9" s="2943" t="s">
        <v>3233</v>
      </c>
      <c r="FR9" s="2944"/>
      <c r="FS9" s="2943" t="s">
        <v>3234</v>
      </c>
      <c r="FT9" s="2944"/>
      <c r="FU9" s="2943" t="s">
        <v>3235</v>
      </c>
      <c r="FV9" s="2944"/>
      <c r="FW9" s="2943" t="s">
        <v>3236</v>
      </c>
      <c r="FX9" s="2944"/>
      <c r="FY9" s="2943" t="s">
        <v>3237</v>
      </c>
      <c r="FZ9" s="2944"/>
      <c r="GA9" s="2943" t="s">
        <v>3238</v>
      </c>
      <c r="GB9" s="2944"/>
      <c r="GC9" s="2943" t="s">
        <v>3239</v>
      </c>
      <c r="GD9" s="2944"/>
      <c r="GE9" s="2943" t="s">
        <v>3399</v>
      </c>
      <c r="GF9" s="2944"/>
      <c r="GG9" s="2943" t="s">
        <v>3427</v>
      </c>
      <c r="GH9" s="2944"/>
      <c r="GI9" s="2943" t="s">
        <v>3477</v>
      </c>
      <c r="GJ9" s="2944"/>
      <c r="GK9" s="2943" t="s">
        <v>3158</v>
      </c>
      <c r="GL9" s="2944"/>
      <c r="GM9" s="2943" t="s">
        <v>3232</v>
      </c>
      <c r="GN9" s="2944"/>
      <c r="GO9" s="2943" t="s">
        <v>3233</v>
      </c>
      <c r="GP9" s="2944"/>
      <c r="GQ9" s="2943" t="s">
        <v>3234</v>
      </c>
      <c r="GR9" s="2944"/>
      <c r="GS9" s="2943" t="s">
        <v>3235</v>
      </c>
      <c r="GT9" s="2944"/>
      <c r="GU9" s="2943" t="s">
        <v>3236</v>
      </c>
      <c r="GV9" s="2944"/>
      <c r="GW9" s="2943" t="s">
        <v>3237</v>
      </c>
      <c r="GX9" s="2944"/>
      <c r="GY9" s="2943" t="s">
        <v>3238</v>
      </c>
      <c r="GZ9" s="2944"/>
      <c r="HA9" s="2941" t="s">
        <v>3239</v>
      </c>
      <c r="HB9" s="2942"/>
      <c r="HC9" s="2941" t="s">
        <v>3399</v>
      </c>
      <c r="HD9" s="2942"/>
      <c r="HE9" s="2941" t="s">
        <v>3427</v>
      </c>
      <c r="HF9" s="2942"/>
      <c r="HG9" s="2941" t="s">
        <v>3477</v>
      </c>
      <c r="HH9" s="2942"/>
      <c r="HI9" s="2941" t="s">
        <v>3158</v>
      </c>
      <c r="HJ9" s="2942"/>
      <c r="HK9" s="2941" t="s">
        <v>3232</v>
      </c>
      <c r="HL9" s="2942"/>
      <c r="HM9" s="2941" t="s">
        <v>3233</v>
      </c>
      <c r="HN9" s="2942"/>
      <c r="HO9" s="2941" t="s">
        <v>3234</v>
      </c>
      <c r="HP9" s="2942"/>
      <c r="HQ9" s="2941" t="s">
        <v>3235</v>
      </c>
      <c r="HR9" s="2942"/>
      <c r="HS9" s="2957"/>
    </row>
    <row r="10" spans="1:323" ht="66.75" customHeight="1">
      <c r="A10" s="2952"/>
      <c r="B10" s="2957"/>
      <c r="C10" s="1224" t="s">
        <v>3078</v>
      </c>
      <c r="D10" s="1224" t="s">
        <v>2354</v>
      </c>
      <c r="E10" s="1224" t="s">
        <v>3078</v>
      </c>
      <c r="F10" s="1224" t="s">
        <v>2354</v>
      </c>
      <c r="G10" s="1224" t="s">
        <v>3078</v>
      </c>
      <c r="H10" s="1224" t="s">
        <v>2354</v>
      </c>
      <c r="I10" s="1224" t="s">
        <v>3078</v>
      </c>
      <c r="J10" s="1224" t="s">
        <v>2354</v>
      </c>
      <c r="K10" s="1224" t="s">
        <v>3078</v>
      </c>
      <c r="L10" s="1224" t="s">
        <v>2354</v>
      </c>
      <c r="M10" s="1224" t="s">
        <v>3078</v>
      </c>
      <c r="N10" s="1224" t="s">
        <v>2354</v>
      </c>
      <c r="O10" s="1224" t="s">
        <v>3078</v>
      </c>
      <c r="P10" s="1224" t="s">
        <v>2354</v>
      </c>
      <c r="Q10" s="1224" t="s">
        <v>3078</v>
      </c>
      <c r="R10" s="1224" t="s">
        <v>2354</v>
      </c>
      <c r="S10" s="1224" t="s">
        <v>3078</v>
      </c>
      <c r="T10" s="1224" t="s">
        <v>2354</v>
      </c>
      <c r="U10" s="1224" t="s">
        <v>3078</v>
      </c>
      <c r="V10" s="1224" t="s">
        <v>2354</v>
      </c>
      <c r="W10" s="1224" t="s">
        <v>3078</v>
      </c>
      <c r="X10" s="1224" t="s">
        <v>2354</v>
      </c>
      <c r="Y10" s="1224" t="s">
        <v>3078</v>
      </c>
      <c r="Z10" s="1224" t="s">
        <v>2354</v>
      </c>
      <c r="AA10" s="1224" t="s">
        <v>3078</v>
      </c>
      <c r="AB10" s="1224" t="s">
        <v>2354</v>
      </c>
      <c r="AC10" s="1224" t="s">
        <v>3078</v>
      </c>
      <c r="AD10" s="1224" t="s">
        <v>2354</v>
      </c>
      <c r="AE10" s="1224" t="s">
        <v>3078</v>
      </c>
      <c r="AF10" s="1224" t="s">
        <v>2354</v>
      </c>
      <c r="AG10" s="1224" t="s">
        <v>3078</v>
      </c>
      <c r="AH10" s="1224" t="s">
        <v>2354</v>
      </c>
      <c r="AI10" s="1224" t="s">
        <v>3078</v>
      </c>
      <c r="AJ10" s="1224" t="s">
        <v>2354</v>
      </c>
      <c r="AK10" s="1224" t="s">
        <v>3078</v>
      </c>
      <c r="AL10" s="1224" t="s">
        <v>2354</v>
      </c>
      <c r="AM10" s="1224" t="s">
        <v>3078</v>
      </c>
      <c r="AN10" s="1224" t="s">
        <v>2354</v>
      </c>
      <c r="AO10" s="1224" t="s">
        <v>3078</v>
      </c>
      <c r="AP10" s="1224" t="s">
        <v>2354</v>
      </c>
      <c r="AQ10" s="1224" t="s">
        <v>3078</v>
      </c>
      <c r="AR10" s="1224" t="s">
        <v>2354</v>
      </c>
      <c r="AS10" s="1224" t="s">
        <v>3078</v>
      </c>
      <c r="AT10" s="1224" t="s">
        <v>2354</v>
      </c>
      <c r="AU10" s="1224" t="s">
        <v>3078</v>
      </c>
      <c r="AV10" s="1224" t="s">
        <v>2354</v>
      </c>
      <c r="AW10" s="1224" t="s">
        <v>3078</v>
      </c>
      <c r="AX10" s="1224" t="s">
        <v>2354</v>
      </c>
      <c r="AY10" s="1224" t="s">
        <v>3078</v>
      </c>
      <c r="AZ10" s="1224" t="s">
        <v>2354</v>
      </c>
      <c r="BA10" s="1224" t="s">
        <v>3078</v>
      </c>
      <c r="BB10" s="1224" t="s">
        <v>2354</v>
      </c>
      <c r="BC10" s="1224" t="s">
        <v>3078</v>
      </c>
      <c r="BD10" s="1224" t="s">
        <v>2354</v>
      </c>
      <c r="BE10" s="1224" t="s">
        <v>3078</v>
      </c>
      <c r="BF10" s="1224" t="s">
        <v>2354</v>
      </c>
      <c r="BG10" s="1224" t="s">
        <v>3078</v>
      </c>
      <c r="BH10" s="1224" t="s">
        <v>2354</v>
      </c>
      <c r="BI10" s="1224" t="s">
        <v>3078</v>
      </c>
      <c r="BJ10" s="1224" t="s">
        <v>2354</v>
      </c>
      <c r="BK10" s="1224" t="s">
        <v>3078</v>
      </c>
      <c r="BL10" s="1224" t="s">
        <v>2354</v>
      </c>
      <c r="BM10" s="1224" t="s">
        <v>3078</v>
      </c>
      <c r="BN10" s="1224" t="s">
        <v>2354</v>
      </c>
      <c r="BO10" s="1224" t="s">
        <v>3078</v>
      </c>
      <c r="BP10" s="1224" t="s">
        <v>2354</v>
      </c>
      <c r="BQ10" s="1224" t="s">
        <v>3078</v>
      </c>
      <c r="BR10" s="1224" t="s">
        <v>2354</v>
      </c>
      <c r="BS10" s="1224" t="s">
        <v>3078</v>
      </c>
      <c r="BT10" s="1224" t="s">
        <v>2354</v>
      </c>
      <c r="BU10" s="1224" t="s">
        <v>3078</v>
      </c>
      <c r="BV10" s="1224" t="s">
        <v>2354</v>
      </c>
      <c r="BW10" s="1224" t="s">
        <v>3078</v>
      </c>
      <c r="BX10" s="1224" t="s">
        <v>2354</v>
      </c>
      <c r="BY10" s="1224" t="s">
        <v>3078</v>
      </c>
      <c r="BZ10" s="1224" t="s">
        <v>2354</v>
      </c>
      <c r="CA10" s="1224" t="s">
        <v>3078</v>
      </c>
      <c r="CB10" s="1224" t="s">
        <v>2354</v>
      </c>
      <c r="CC10" s="1224" t="s">
        <v>3078</v>
      </c>
      <c r="CD10" s="1224" t="s">
        <v>2354</v>
      </c>
      <c r="CE10" s="1224" t="s">
        <v>3078</v>
      </c>
      <c r="CF10" s="1224" t="s">
        <v>2354</v>
      </c>
      <c r="CG10" s="1224" t="s">
        <v>3078</v>
      </c>
      <c r="CH10" s="1224" t="s">
        <v>2354</v>
      </c>
      <c r="CI10" s="1224" t="s">
        <v>3078</v>
      </c>
      <c r="CJ10" s="1224" t="s">
        <v>2354</v>
      </c>
      <c r="CK10" s="1224" t="s">
        <v>3078</v>
      </c>
      <c r="CL10" s="1224" t="s">
        <v>2354</v>
      </c>
      <c r="CM10" s="1224" t="s">
        <v>3078</v>
      </c>
      <c r="CN10" s="1224" t="s">
        <v>2354</v>
      </c>
      <c r="CO10" s="1224" t="s">
        <v>3078</v>
      </c>
      <c r="CP10" s="1224" t="s">
        <v>2354</v>
      </c>
      <c r="CQ10" s="1224" t="s">
        <v>3078</v>
      </c>
      <c r="CR10" s="1224" t="s">
        <v>2354</v>
      </c>
      <c r="CS10" s="1224" t="s">
        <v>3078</v>
      </c>
      <c r="CT10" s="1224" t="s">
        <v>2354</v>
      </c>
      <c r="CU10" s="1224" t="s">
        <v>3078</v>
      </c>
      <c r="CV10" s="1224" t="s">
        <v>2354</v>
      </c>
      <c r="CW10" s="1224" t="s">
        <v>3078</v>
      </c>
      <c r="CX10" s="1224" t="s">
        <v>2354</v>
      </c>
      <c r="CY10" s="1224" t="s">
        <v>3078</v>
      </c>
      <c r="CZ10" s="1224" t="s">
        <v>2354</v>
      </c>
      <c r="DA10" s="1224" t="s">
        <v>3078</v>
      </c>
      <c r="DB10" s="1224" t="s">
        <v>2354</v>
      </c>
      <c r="DC10" s="1224" t="s">
        <v>3078</v>
      </c>
      <c r="DD10" s="1224" t="s">
        <v>2354</v>
      </c>
      <c r="DE10" s="1224" t="s">
        <v>3078</v>
      </c>
      <c r="DF10" s="1224" t="s">
        <v>2354</v>
      </c>
      <c r="DG10" s="1224" t="s">
        <v>3078</v>
      </c>
      <c r="DH10" s="1224" t="s">
        <v>2354</v>
      </c>
      <c r="DI10" s="1224" t="s">
        <v>3078</v>
      </c>
      <c r="DJ10" s="1224" t="s">
        <v>2354</v>
      </c>
      <c r="DK10" s="1224" t="s">
        <v>3078</v>
      </c>
      <c r="DL10" s="1224" t="s">
        <v>2354</v>
      </c>
      <c r="DM10" s="1224" t="s">
        <v>3078</v>
      </c>
      <c r="DN10" s="1224" t="s">
        <v>2354</v>
      </c>
      <c r="DO10" s="1224" t="s">
        <v>3078</v>
      </c>
      <c r="DP10" s="1224" t="s">
        <v>2354</v>
      </c>
      <c r="DQ10" s="1224" t="s">
        <v>3078</v>
      </c>
      <c r="DR10" s="1224" t="s">
        <v>2354</v>
      </c>
      <c r="DS10" s="1224" t="s">
        <v>3078</v>
      </c>
      <c r="DT10" s="1224" t="s">
        <v>2354</v>
      </c>
      <c r="DU10" s="1224" t="s">
        <v>3078</v>
      </c>
      <c r="DV10" s="1224" t="s">
        <v>2354</v>
      </c>
      <c r="DW10" s="1224" t="s">
        <v>3078</v>
      </c>
      <c r="DX10" s="1224" t="s">
        <v>2354</v>
      </c>
      <c r="DY10" s="1224" t="s">
        <v>3078</v>
      </c>
      <c r="DZ10" s="1224" t="s">
        <v>2354</v>
      </c>
      <c r="EA10" s="1224" t="s">
        <v>3078</v>
      </c>
      <c r="EB10" s="1224" t="s">
        <v>2354</v>
      </c>
      <c r="EC10" s="1224" t="s">
        <v>3078</v>
      </c>
      <c r="ED10" s="1224" t="s">
        <v>2354</v>
      </c>
      <c r="EE10" s="1224" t="s">
        <v>3078</v>
      </c>
      <c r="EF10" s="1224" t="s">
        <v>2354</v>
      </c>
      <c r="EG10" s="1224" t="s">
        <v>3078</v>
      </c>
      <c r="EH10" s="1224" t="s">
        <v>2354</v>
      </c>
      <c r="EI10" s="1224" t="s">
        <v>3078</v>
      </c>
      <c r="EJ10" s="1224" t="s">
        <v>2354</v>
      </c>
      <c r="EK10" s="1224" t="s">
        <v>3078</v>
      </c>
      <c r="EL10" s="1224" t="s">
        <v>2354</v>
      </c>
      <c r="EM10" s="1224" t="s">
        <v>3078</v>
      </c>
      <c r="EN10" s="1224" t="s">
        <v>2354</v>
      </c>
      <c r="EO10" s="1224" t="s">
        <v>3078</v>
      </c>
      <c r="EP10" s="1224" t="s">
        <v>2354</v>
      </c>
      <c r="EQ10" s="1224" t="s">
        <v>3078</v>
      </c>
      <c r="ER10" s="1224" t="s">
        <v>2354</v>
      </c>
      <c r="ES10" s="1224" t="s">
        <v>3078</v>
      </c>
      <c r="ET10" s="1224" t="s">
        <v>2354</v>
      </c>
      <c r="EU10" s="1224" t="s">
        <v>3078</v>
      </c>
      <c r="EV10" s="1224" t="s">
        <v>2354</v>
      </c>
      <c r="EW10" s="1224" t="s">
        <v>3078</v>
      </c>
      <c r="EX10" s="1224" t="s">
        <v>2354</v>
      </c>
      <c r="EY10" s="1224" t="s">
        <v>3078</v>
      </c>
      <c r="EZ10" s="1224" t="s">
        <v>2354</v>
      </c>
      <c r="FA10" s="1224" t="s">
        <v>3078</v>
      </c>
      <c r="FB10" s="1224" t="s">
        <v>2354</v>
      </c>
      <c r="FC10" s="1224" t="s">
        <v>3078</v>
      </c>
      <c r="FD10" s="1224" t="s">
        <v>2354</v>
      </c>
      <c r="FE10" s="1224" t="s">
        <v>3078</v>
      </c>
      <c r="FF10" s="1224" t="s">
        <v>2354</v>
      </c>
      <c r="FG10" s="1224" t="s">
        <v>3078</v>
      </c>
      <c r="FH10" s="1224" t="s">
        <v>2354</v>
      </c>
      <c r="FI10" s="1224" t="s">
        <v>3078</v>
      </c>
      <c r="FJ10" s="1224" t="s">
        <v>2354</v>
      </c>
      <c r="FK10" s="1224" t="s">
        <v>3078</v>
      </c>
      <c r="FL10" s="1224" t="s">
        <v>2354</v>
      </c>
      <c r="FM10" s="1224" t="s">
        <v>3078</v>
      </c>
      <c r="FN10" s="1224" t="s">
        <v>2354</v>
      </c>
      <c r="FO10" s="1224" t="s">
        <v>3078</v>
      </c>
      <c r="FP10" s="1224" t="s">
        <v>2354</v>
      </c>
      <c r="FQ10" s="1224" t="s">
        <v>3078</v>
      </c>
      <c r="FR10" s="1224" t="s">
        <v>2354</v>
      </c>
      <c r="FS10" s="1224" t="s">
        <v>3078</v>
      </c>
      <c r="FT10" s="1224" t="s">
        <v>2354</v>
      </c>
      <c r="FU10" s="1224" t="s">
        <v>3078</v>
      </c>
      <c r="FV10" s="1224" t="s">
        <v>2354</v>
      </c>
      <c r="FW10" s="1224" t="s">
        <v>3078</v>
      </c>
      <c r="FX10" s="1224" t="s">
        <v>2354</v>
      </c>
      <c r="FY10" s="1224" t="s">
        <v>3078</v>
      </c>
      <c r="FZ10" s="1224" t="s">
        <v>2354</v>
      </c>
      <c r="GA10" s="1224" t="s">
        <v>3078</v>
      </c>
      <c r="GB10" s="1224" t="s">
        <v>2354</v>
      </c>
      <c r="GC10" s="1224" t="s">
        <v>3078</v>
      </c>
      <c r="GD10" s="1224" t="s">
        <v>2354</v>
      </c>
      <c r="GE10" s="1224" t="s">
        <v>3078</v>
      </c>
      <c r="GF10" s="1224" t="s">
        <v>2354</v>
      </c>
      <c r="GG10" s="1224" t="s">
        <v>3078</v>
      </c>
      <c r="GH10" s="1224" t="s">
        <v>2354</v>
      </c>
      <c r="GI10" s="1224" t="s">
        <v>3078</v>
      </c>
      <c r="GJ10" s="1224" t="s">
        <v>2354</v>
      </c>
      <c r="GK10" s="1224" t="s">
        <v>3078</v>
      </c>
      <c r="GL10" s="1224" t="s">
        <v>2354</v>
      </c>
      <c r="GM10" s="1224" t="s">
        <v>3078</v>
      </c>
      <c r="GN10" s="1224" t="s">
        <v>2354</v>
      </c>
      <c r="GO10" s="1224" t="s">
        <v>3078</v>
      </c>
      <c r="GP10" s="1224" t="s">
        <v>2354</v>
      </c>
      <c r="GQ10" s="1224" t="s">
        <v>3078</v>
      </c>
      <c r="GR10" s="1224" t="s">
        <v>2354</v>
      </c>
      <c r="GS10" s="1224" t="s">
        <v>3078</v>
      </c>
      <c r="GT10" s="1224" t="s">
        <v>2354</v>
      </c>
      <c r="GU10" s="1224" t="s">
        <v>3078</v>
      </c>
      <c r="GV10" s="1224" t="s">
        <v>2354</v>
      </c>
      <c r="GW10" s="1224" t="s">
        <v>3078</v>
      </c>
      <c r="GX10" s="1224" t="s">
        <v>2354</v>
      </c>
      <c r="GY10" s="1224" t="s">
        <v>3078</v>
      </c>
      <c r="GZ10" s="1224" t="s">
        <v>2354</v>
      </c>
      <c r="HA10" s="1224" t="s">
        <v>3078</v>
      </c>
      <c r="HB10" s="1224" t="s">
        <v>2354</v>
      </c>
      <c r="HC10" s="1224" t="s">
        <v>3078</v>
      </c>
      <c r="HD10" s="1224" t="s">
        <v>2354</v>
      </c>
      <c r="HE10" s="1224" t="s">
        <v>3078</v>
      </c>
      <c r="HF10" s="1224" t="s">
        <v>2354</v>
      </c>
      <c r="HG10" s="1224" t="s">
        <v>3078</v>
      </c>
      <c r="HH10" s="1224" t="s">
        <v>2354</v>
      </c>
      <c r="HI10" s="1224" t="s">
        <v>3078</v>
      </c>
      <c r="HJ10" s="1224" t="s">
        <v>2354</v>
      </c>
      <c r="HK10" s="1224" t="s">
        <v>3078</v>
      </c>
      <c r="HL10" s="1224" t="s">
        <v>2354</v>
      </c>
      <c r="HM10" s="1224" t="s">
        <v>3078</v>
      </c>
      <c r="HN10" s="1224" t="s">
        <v>2354</v>
      </c>
      <c r="HO10" s="1224" t="s">
        <v>3078</v>
      </c>
      <c r="HP10" s="1224" t="s">
        <v>2354</v>
      </c>
      <c r="HQ10" s="1224" t="s">
        <v>3078</v>
      </c>
      <c r="HR10" s="1224" t="s">
        <v>2354</v>
      </c>
      <c r="HS10" s="2957"/>
    </row>
    <row r="11" spans="1:323" ht="66.75" customHeight="1">
      <c r="A11" s="2195"/>
      <c r="B11" s="2959"/>
      <c r="C11" s="1224" t="s">
        <v>3159</v>
      </c>
      <c r="D11" s="1224" t="s">
        <v>3160</v>
      </c>
      <c r="E11" s="1224" t="s">
        <v>3159</v>
      </c>
      <c r="F11" s="1224" t="s">
        <v>3160</v>
      </c>
      <c r="G11" s="1224" t="s">
        <v>3159</v>
      </c>
      <c r="H11" s="1224" t="s">
        <v>3160</v>
      </c>
      <c r="I11" s="1224" t="s">
        <v>3159</v>
      </c>
      <c r="J11" s="1224" t="s">
        <v>3160</v>
      </c>
      <c r="K11" s="1224" t="s">
        <v>3159</v>
      </c>
      <c r="L11" s="1224" t="s">
        <v>3160</v>
      </c>
      <c r="M11" s="1224" t="s">
        <v>3159</v>
      </c>
      <c r="N11" s="1224" t="s">
        <v>3160</v>
      </c>
      <c r="O11" s="1224" t="s">
        <v>3159</v>
      </c>
      <c r="P11" s="1224" t="s">
        <v>3160</v>
      </c>
      <c r="Q11" s="1224" t="s">
        <v>3159</v>
      </c>
      <c r="R11" s="1224" t="s">
        <v>3160</v>
      </c>
      <c r="S11" s="1224" t="s">
        <v>3159</v>
      </c>
      <c r="T11" s="1224" t="s">
        <v>3160</v>
      </c>
      <c r="U11" s="1224" t="s">
        <v>3159</v>
      </c>
      <c r="V11" s="1224" t="s">
        <v>3160</v>
      </c>
      <c r="W11" s="1224" t="s">
        <v>3159</v>
      </c>
      <c r="X11" s="1224" t="s">
        <v>3160</v>
      </c>
      <c r="Y11" s="1224" t="s">
        <v>3159</v>
      </c>
      <c r="Z11" s="1224" t="s">
        <v>3160</v>
      </c>
      <c r="AA11" s="1224" t="s">
        <v>3159</v>
      </c>
      <c r="AB11" s="1224" t="s">
        <v>3160</v>
      </c>
      <c r="AC11" s="1224" t="s">
        <v>3159</v>
      </c>
      <c r="AD11" s="1224" t="s">
        <v>3160</v>
      </c>
      <c r="AE11" s="1224" t="s">
        <v>3159</v>
      </c>
      <c r="AF11" s="1224" t="s">
        <v>3160</v>
      </c>
      <c r="AG11" s="1224" t="s">
        <v>3159</v>
      </c>
      <c r="AH11" s="1224" t="s">
        <v>3160</v>
      </c>
      <c r="AI11" s="1224" t="s">
        <v>3159</v>
      </c>
      <c r="AJ11" s="1224" t="s">
        <v>3160</v>
      </c>
      <c r="AK11" s="1224" t="s">
        <v>3159</v>
      </c>
      <c r="AL11" s="1224" t="s">
        <v>3160</v>
      </c>
      <c r="AM11" s="1224" t="s">
        <v>3159</v>
      </c>
      <c r="AN11" s="1224" t="s">
        <v>3160</v>
      </c>
      <c r="AO11" s="1224" t="s">
        <v>3159</v>
      </c>
      <c r="AP11" s="1224" t="s">
        <v>3160</v>
      </c>
      <c r="AQ11" s="1224" t="s">
        <v>3159</v>
      </c>
      <c r="AR11" s="1224" t="s">
        <v>3160</v>
      </c>
      <c r="AS11" s="1224" t="s">
        <v>3159</v>
      </c>
      <c r="AT11" s="1224" t="s">
        <v>3160</v>
      </c>
      <c r="AU11" s="1224" t="s">
        <v>3159</v>
      </c>
      <c r="AV11" s="1224" t="s">
        <v>3160</v>
      </c>
      <c r="AW11" s="1224" t="s">
        <v>3159</v>
      </c>
      <c r="AX11" s="1224" t="s">
        <v>3160</v>
      </c>
      <c r="AY11" s="1224" t="s">
        <v>3159</v>
      </c>
      <c r="AZ11" s="1224" t="s">
        <v>3160</v>
      </c>
      <c r="BA11" s="1224" t="s">
        <v>3159</v>
      </c>
      <c r="BB11" s="1224" t="s">
        <v>3160</v>
      </c>
      <c r="BC11" s="1224" t="s">
        <v>3159</v>
      </c>
      <c r="BD11" s="1224" t="s">
        <v>3160</v>
      </c>
      <c r="BE11" s="1224" t="s">
        <v>3159</v>
      </c>
      <c r="BF11" s="1224" t="s">
        <v>3160</v>
      </c>
      <c r="BG11" s="1224" t="s">
        <v>3159</v>
      </c>
      <c r="BH11" s="1224" t="s">
        <v>3160</v>
      </c>
      <c r="BI11" s="1224" t="s">
        <v>3159</v>
      </c>
      <c r="BJ11" s="1224" t="s">
        <v>3160</v>
      </c>
      <c r="BK11" s="1224" t="s">
        <v>3159</v>
      </c>
      <c r="BL11" s="1224" t="s">
        <v>3160</v>
      </c>
      <c r="BM11" s="1224" t="s">
        <v>3159</v>
      </c>
      <c r="BN11" s="1224" t="s">
        <v>3160</v>
      </c>
      <c r="BO11" s="1224" t="s">
        <v>3159</v>
      </c>
      <c r="BP11" s="1224" t="s">
        <v>3160</v>
      </c>
      <c r="BQ11" s="1224" t="s">
        <v>3159</v>
      </c>
      <c r="BR11" s="1224" t="s">
        <v>3160</v>
      </c>
      <c r="BS11" s="1224" t="s">
        <v>3159</v>
      </c>
      <c r="BT11" s="1224" t="s">
        <v>3160</v>
      </c>
      <c r="BU11" s="1224" t="s">
        <v>3159</v>
      </c>
      <c r="BV11" s="1224" t="s">
        <v>3160</v>
      </c>
      <c r="BW11" s="1224" t="s">
        <v>3159</v>
      </c>
      <c r="BX11" s="1224" t="s">
        <v>3160</v>
      </c>
      <c r="BY11" s="1224" t="s">
        <v>3159</v>
      </c>
      <c r="BZ11" s="1224" t="s">
        <v>3160</v>
      </c>
      <c r="CA11" s="1224" t="s">
        <v>3159</v>
      </c>
      <c r="CB11" s="1224" t="s">
        <v>3160</v>
      </c>
      <c r="CC11" s="1224" t="s">
        <v>3159</v>
      </c>
      <c r="CD11" s="1224" t="s">
        <v>3160</v>
      </c>
      <c r="CE11" s="1224" t="s">
        <v>3159</v>
      </c>
      <c r="CF11" s="1224" t="s">
        <v>3160</v>
      </c>
      <c r="CG11" s="1224" t="s">
        <v>3159</v>
      </c>
      <c r="CH11" s="1224" t="s">
        <v>3160</v>
      </c>
      <c r="CI11" s="1224" t="s">
        <v>3159</v>
      </c>
      <c r="CJ11" s="1224" t="s">
        <v>3160</v>
      </c>
      <c r="CK11" s="1224" t="s">
        <v>3159</v>
      </c>
      <c r="CL11" s="1224" t="s">
        <v>3160</v>
      </c>
      <c r="CM11" s="1224" t="s">
        <v>3159</v>
      </c>
      <c r="CN11" s="1224" t="s">
        <v>3160</v>
      </c>
      <c r="CO11" s="1224" t="s">
        <v>3159</v>
      </c>
      <c r="CP11" s="1224" t="s">
        <v>3160</v>
      </c>
      <c r="CQ11" s="1224" t="s">
        <v>3159</v>
      </c>
      <c r="CR11" s="1224" t="s">
        <v>3160</v>
      </c>
      <c r="CS11" s="1224" t="s">
        <v>3159</v>
      </c>
      <c r="CT11" s="1224" t="s">
        <v>3160</v>
      </c>
      <c r="CU11" s="1224" t="s">
        <v>3159</v>
      </c>
      <c r="CV11" s="1224" t="s">
        <v>3160</v>
      </c>
      <c r="CW11" s="1224" t="s">
        <v>3159</v>
      </c>
      <c r="CX11" s="1224" t="s">
        <v>3160</v>
      </c>
      <c r="CY11" s="1224" t="s">
        <v>3159</v>
      </c>
      <c r="CZ11" s="1224" t="s">
        <v>3160</v>
      </c>
      <c r="DA11" s="1224" t="s">
        <v>3159</v>
      </c>
      <c r="DB11" s="1224" t="s">
        <v>3160</v>
      </c>
      <c r="DC11" s="1224" t="s">
        <v>3159</v>
      </c>
      <c r="DD11" s="1224" t="s">
        <v>3160</v>
      </c>
      <c r="DE11" s="1224" t="s">
        <v>3159</v>
      </c>
      <c r="DF11" s="1224" t="s">
        <v>3160</v>
      </c>
      <c r="DG11" s="1224" t="s">
        <v>3159</v>
      </c>
      <c r="DH11" s="1224" t="s">
        <v>3160</v>
      </c>
      <c r="DI11" s="1224" t="s">
        <v>3159</v>
      </c>
      <c r="DJ11" s="1224" t="s">
        <v>3160</v>
      </c>
      <c r="DK11" s="1224" t="s">
        <v>3159</v>
      </c>
      <c r="DL11" s="1224" t="s">
        <v>3160</v>
      </c>
      <c r="DM11" s="1224" t="s">
        <v>3159</v>
      </c>
      <c r="DN11" s="1224" t="s">
        <v>3160</v>
      </c>
      <c r="DO11" s="1224" t="s">
        <v>3159</v>
      </c>
      <c r="DP11" s="1224" t="s">
        <v>3160</v>
      </c>
      <c r="DQ11" s="1224" t="s">
        <v>3159</v>
      </c>
      <c r="DR11" s="1224" t="s">
        <v>3160</v>
      </c>
      <c r="DS11" s="1224" t="s">
        <v>3159</v>
      </c>
      <c r="DT11" s="1224" t="s">
        <v>3160</v>
      </c>
      <c r="DU11" s="1224" t="s">
        <v>3159</v>
      </c>
      <c r="DV11" s="1224" t="s">
        <v>3160</v>
      </c>
      <c r="DW11" s="1224" t="s">
        <v>3159</v>
      </c>
      <c r="DX11" s="1224" t="s">
        <v>3160</v>
      </c>
      <c r="DY11" s="1224" t="s">
        <v>3159</v>
      </c>
      <c r="DZ11" s="1224" t="s">
        <v>3160</v>
      </c>
      <c r="EA11" s="1224" t="s">
        <v>3159</v>
      </c>
      <c r="EB11" s="1224" t="s">
        <v>3160</v>
      </c>
      <c r="EC11" s="1224" t="s">
        <v>3159</v>
      </c>
      <c r="ED11" s="1224" t="s">
        <v>3160</v>
      </c>
      <c r="EE11" s="1224" t="s">
        <v>3159</v>
      </c>
      <c r="EF11" s="1224" t="s">
        <v>3160</v>
      </c>
      <c r="EG11" s="1224" t="s">
        <v>3159</v>
      </c>
      <c r="EH11" s="1224" t="s">
        <v>3160</v>
      </c>
      <c r="EI11" s="1224" t="s">
        <v>3159</v>
      </c>
      <c r="EJ11" s="1224" t="s">
        <v>3160</v>
      </c>
      <c r="EK11" s="1224" t="s">
        <v>3159</v>
      </c>
      <c r="EL11" s="1224" t="s">
        <v>3160</v>
      </c>
      <c r="EM11" s="1224" t="s">
        <v>3159</v>
      </c>
      <c r="EN11" s="1224" t="s">
        <v>3160</v>
      </c>
      <c r="EO11" s="1224" t="s">
        <v>3159</v>
      </c>
      <c r="EP11" s="1224" t="s">
        <v>3160</v>
      </c>
      <c r="EQ11" s="1224" t="s">
        <v>3159</v>
      </c>
      <c r="ER11" s="1224" t="s">
        <v>3160</v>
      </c>
      <c r="ES11" s="1224" t="s">
        <v>3159</v>
      </c>
      <c r="ET11" s="1224" t="s">
        <v>3160</v>
      </c>
      <c r="EU11" s="1224" t="s">
        <v>3159</v>
      </c>
      <c r="EV11" s="1224" t="s">
        <v>3160</v>
      </c>
      <c r="EW11" s="1224" t="s">
        <v>3159</v>
      </c>
      <c r="EX11" s="1224" t="s">
        <v>3160</v>
      </c>
      <c r="EY11" s="1224" t="s">
        <v>3159</v>
      </c>
      <c r="EZ11" s="1224" t="s">
        <v>3160</v>
      </c>
      <c r="FA11" s="1224" t="s">
        <v>3159</v>
      </c>
      <c r="FB11" s="1224" t="s">
        <v>3160</v>
      </c>
      <c r="FC11" s="1224" t="s">
        <v>3159</v>
      </c>
      <c r="FD11" s="1224" t="s">
        <v>3160</v>
      </c>
      <c r="FE11" s="1224" t="s">
        <v>3159</v>
      </c>
      <c r="FF11" s="1224" t="s">
        <v>3160</v>
      </c>
      <c r="FG11" s="1224" t="s">
        <v>3159</v>
      </c>
      <c r="FH11" s="1224" t="s">
        <v>3160</v>
      </c>
      <c r="FI11" s="1224" t="s">
        <v>3159</v>
      </c>
      <c r="FJ11" s="1224" t="s">
        <v>3160</v>
      </c>
      <c r="FK11" s="1224" t="s">
        <v>3159</v>
      </c>
      <c r="FL11" s="1224" t="s">
        <v>3160</v>
      </c>
      <c r="FM11" s="1224" t="s">
        <v>3159</v>
      </c>
      <c r="FN11" s="1224" t="s">
        <v>3160</v>
      </c>
      <c r="FO11" s="1224" t="s">
        <v>3159</v>
      </c>
      <c r="FP11" s="1224" t="s">
        <v>3160</v>
      </c>
      <c r="FQ11" s="1224" t="s">
        <v>3159</v>
      </c>
      <c r="FR11" s="1224" t="s">
        <v>3160</v>
      </c>
      <c r="FS11" s="1224" t="s">
        <v>3159</v>
      </c>
      <c r="FT11" s="1224" t="s">
        <v>3160</v>
      </c>
      <c r="FU11" s="1224" t="s">
        <v>3159</v>
      </c>
      <c r="FV11" s="1224" t="s">
        <v>3160</v>
      </c>
      <c r="FW11" s="1224" t="s">
        <v>3159</v>
      </c>
      <c r="FX11" s="1224" t="s">
        <v>3160</v>
      </c>
      <c r="FY11" s="1224" t="s">
        <v>3159</v>
      </c>
      <c r="FZ11" s="1224" t="s">
        <v>3160</v>
      </c>
      <c r="GA11" s="1224" t="s">
        <v>3159</v>
      </c>
      <c r="GB11" s="1224" t="s">
        <v>3160</v>
      </c>
      <c r="GC11" s="1224" t="s">
        <v>3159</v>
      </c>
      <c r="GD11" s="1224" t="s">
        <v>3160</v>
      </c>
      <c r="GE11" s="1224" t="s">
        <v>3159</v>
      </c>
      <c r="GF11" s="1224" t="s">
        <v>3160</v>
      </c>
      <c r="GG11" s="1224" t="s">
        <v>3159</v>
      </c>
      <c r="GH11" s="1224" t="s">
        <v>3160</v>
      </c>
      <c r="GI11" s="1224" t="s">
        <v>3159</v>
      </c>
      <c r="GJ11" s="1224" t="s">
        <v>3160</v>
      </c>
      <c r="GK11" s="1224" t="s">
        <v>3159</v>
      </c>
      <c r="GL11" s="1224" t="s">
        <v>3160</v>
      </c>
      <c r="GM11" s="1224" t="s">
        <v>3159</v>
      </c>
      <c r="GN11" s="1224" t="s">
        <v>3160</v>
      </c>
      <c r="GO11" s="1224" t="s">
        <v>3159</v>
      </c>
      <c r="GP11" s="1224" t="s">
        <v>3160</v>
      </c>
      <c r="GQ11" s="1224" t="s">
        <v>3159</v>
      </c>
      <c r="GR11" s="1224" t="s">
        <v>3160</v>
      </c>
      <c r="GS11" s="1224" t="s">
        <v>3159</v>
      </c>
      <c r="GT11" s="1224" t="s">
        <v>3160</v>
      </c>
      <c r="GU11" s="1224" t="s">
        <v>3159</v>
      </c>
      <c r="GV11" s="1224" t="s">
        <v>3160</v>
      </c>
      <c r="GW11" s="1224" t="s">
        <v>3159</v>
      </c>
      <c r="GX11" s="1224" t="s">
        <v>3160</v>
      </c>
      <c r="GY11" s="1224" t="s">
        <v>3159</v>
      </c>
      <c r="GZ11" s="1224" t="s">
        <v>3160</v>
      </c>
      <c r="HA11" s="1224" t="s">
        <v>3159</v>
      </c>
      <c r="HB11" s="1224" t="s">
        <v>3160</v>
      </c>
      <c r="HC11" s="1224" t="s">
        <v>3159</v>
      </c>
      <c r="HD11" s="1224" t="s">
        <v>3160</v>
      </c>
      <c r="HE11" s="1224" t="s">
        <v>3159</v>
      </c>
      <c r="HF11" s="1224" t="s">
        <v>3160</v>
      </c>
      <c r="HG11" s="1224" t="s">
        <v>3159</v>
      </c>
      <c r="HH11" s="1224" t="s">
        <v>3160</v>
      </c>
      <c r="HI11" s="1224" t="s">
        <v>3159</v>
      </c>
      <c r="HJ11" s="1224" t="s">
        <v>3160</v>
      </c>
      <c r="HK11" s="1224" t="s">
        <v>3159</v>
      </c>
      <c r="HL11" s="1224" t="s">
        <v>3160</v>
      </c>
      <c r="HM11" s="1224" t="s">
        <v>3159</v>
      </c>
      <c r="HN11" s="1224" t="s">
        <v>3160</v>
      </c>
      <c r="HO11" s="1224" t="s">
        <v>3159</v>
      </c>
      <c r="HP11" s="1224" t="s">
        <v>3160</v>
      </c>
      <c r="HQ11" s="1224" t="s">
        <v>3159</v>
      </c>
      <c r="HR11" s="1224" t="s">
        <v>3160</v>
      </c>
      <c r="HS11" s="2958"/>
    </row>
    <row r="12" spans="1:323" ht="36" customHeight="1">
      <c r="A12" s="1836">
        <v>1</v>
      </c>
      <c r="B12" s="1837" t="s">
        <v>2352</v>
      </c>
      <c r="C12" s="1221">
        <v>521.56506999999999</v>
      </c>
      <c r="D12" s="1221">
        <v>609.97766999999999</v>
      </c>
      <c r="E12" s="1221">
        <v>712.74069999999995</v>
      </c>
      <c r="F12" s="1221">
        <v>1288.4866299999999</v>
      </c>
      <c r="G12" s="1221">
        <v>1120.88346</v>
      </c>
      <c r="H12" s="1221">
        <v>1995.4707100000001</v>
      </c>
      <c r="I12" s="1221">
        <v>1532.0984099999998</v>
      </c>
      <c r="J12" s="1221">
        <v>2661.0898500000003</v>
      </c>
      <c r="K12" s="1221">
        <v>2214.7929599999998</v>
      </c>
      <c r="L12" s="1221">
        <v>3353.1094199999998</v>
      </c>
      <c r="M12" s="1221">
        <v>2434.9430400000001</v>
      </c>
      <c r="N12" s="1221">
        <v>4142.3781300000001</v>
      </c>
      <c r="O12" s="1221">
        <v>2649.8936800000001</v>
      </c>
      <c r="P12" s="1221">
        <v>4797.5999499999998</v>
      </c>
      <c r="Q12" s="1221">
        <v>2942.5696600000001</v>
      </c>
      <c r="R12" s="1221">
        <v>5396.7623700000004</v>
      </c>
      <c r="S12" s="1221">
        <v>3110.21173</v>
      </c>
      <c r="T12" s="1221">
        <v>6073.54889</v>
      </c>
      <c r="U12" s="1221">
        <v>4536.4784500000005</v>
      </c>
      <c r="V12" s="1221">
        <v>6668.9959000000008</v>
      </c>
      <c r="W12" s="1221">
        <v>4995.2904500000004</v>
      </c>
      <c r="X12" s="1221">
        <v>7333.2927300000001</v>
      </c>
      <c r="Y12" s="1221">
        <v>12784.855230000001</v>
      </c>
      <c r="Z12" s="1221">
        <v>7893.5309500000003</v>
      </c>
      <c r="AA12" s="1221">
        <v>785.25903000000005</v>
      </c>
      <c r="AB12" s="1221">
        <v>503.04583000000002</v>
      </c>
      <c r="AC12" s="1221">
        <v>1077.1193700000001</v>
      </c>
      <c r="AD12" s="1221">
        <v>1075.05618</v>
      </c>
      <c r="AE12" s="1221">
        <v>1621.3313600000001</v>
      </c>
      <c r="AF12" s="1221">
        <v>1736.7731999999999</v>
      </c>
      <c r="AG12" s="1221">
        <v>1786.4240500000001</v>
      </c>
      <c r="AH12" s="1221">
        <v>2533.1580899999999</v>
      </c>
      <c r="AI12" s="1221">
        <v>2278.38715</v>
      </c>
      <c r="AJ12" s="1221">
        <v>3233.13418</v>
      </c>
      <c r="AK12" s="1221">
        <v>2638.49458</v>
      </c>
      <c r="AL12" s="1221">
        <v>3896.5978500000001</v>
      </c>
      <c r="AM12" s="1221">
        <v>2953.71765</v>
      </c>
      <c r="AN12" s="1221">
        <v>4556.7329200000004</v>
      </c>
      <c r="AO12" s="1221">
        <v>3248.3417200000004</v>
      </c>
      <c r="AP12" s="1221">
        <v>5161.5096399999993</v>
      </c>
      <c r="AQ12" s="1221">
        <v>3398.6942899999999</v>
      </c>
      <c r="AR12" s="1221">
        <v>5684.6912699999993</v>
      </c>
      <c r="AS12" s="1221">
        <v>4810.6657999999998</v>
      </c>
      <c r="AT12" s="1221">
        <v>6431.1682899999996</v>
      </c>
      <c r="AU12" s="1221">
        <v>5294.1407900000004</v>
      </c>
      <c r="AV12" s="1221">
        <v>7146.0227300000006</v>
      </c>
      <c r="AW12" s="1221">
        <v>12689.677019999999</v>
      </c>
      <c r="AX12" s="1221">
        <v>8098.8740399999997</v>
      </c>
      <c r="AY12" s="1221">
        <v>1068.4988799999999</v>
      </c>
      <c r="AZ12" s="1221">
        <v>467.61790999999999</v>
      </c>
      <c r="BA12" s="1221">
        <v>1307.0958400000002</v>
      </c>
      <c r="BB12" s="1221">
        <v>1025.02531</v>
      </c>
      <c r="BC12" s="1221">
        <v>1832.92</v>
      </c>
      <c r="BD12" s="1221">
        <v>1693.34</v>
      </c>
      <c r="BE12" s="1221">
        <v>2174.2491</v>
      </c>
      <c r="BF12" s="1221">
        <v>2244.2325499999997</v>
      </c>
      <c r="BG12" s="1221">
        <v>2964.4704400000001</v>
      </c>
      <c r="BH12" s="1221">
        <v>2983.4908</v>
      </c>
      <c r="BI12" s="1221">
        <v>3306.9720000000002</v>
      </c>
      <c r="BJ12" s="1221">
        <v>3614.4890499999997</v>
      </c>
      <c r="BK12" s="1221">
        <v>3616.0998100000002</v>
      </c>
      <c r="BL12" s="1221">
        <v>4506.84058</v>
      </c>
      <c r="BM12" s="1221">
        <v>4420.9230199999993</v>
      </c>
      <c r="BN12" s="1221">
        <v>5028.0975499999995</v>
      </c>
      <c r="BO12" s="1221">
        <v>4697.7082599999994</v>
      </c>
      <c r="BP12" s="1221">
        <v>5694.9589699999997</v>
      </c>
      <c r="BQ12" s="1221">
        <v>5485.2294400000001</v>
      </c>
      <c r="BR12" s="1221">
        <v>6452.2487199999996</v>
      </c>
      <c r="BS12" s="1221">
        <v>5717.1427699999995</v>
      </c>
      <c r="BT12" s="1221">
        <v>7074.2125700000006</v>
      </c>
      <c r="BU12" s="1221">
        <v>13169.698199999999</v>
      </c>
      <c r="BV12" s="1221">
        <v>8064.4357699999991</v>
      </c>
      <c r="BW12" s="1221">
        <v>823.37162000000001</v>
      </c>
      <c r="BX12" s="1221">
        <v>669.0027</v>
      </c>
      <c r="BY12" s="1221">
        <v>1127.2551899999999</v>
      </c>
      <c r="BZ12" s="1221">
        <v>1413.05987</v>
      </c>
      <c r="CA12" s="1221">
        <v>1736.9573400000002</v>
      </c>
      <c r="CB12" s="1221">
        <v>2010.8594399999999</v>
      </c>
      <c r="CC12" s="1221">
        <v>2351.6306199999999</v>
      </c>
      <c r="CD12" s="1221">
        <v>2720.62979</v>
      </c>
      <c r="CE12" s="1221">
        <v>3570.2972999999997</v>
      </c>
      <c r="CF12" s="1221">
        <v>3434.6217200000001</v>
      </c>
      <c r="CG12" s="1221">
        <v>4291.0924999999997</v>
      </c>
      <c r="CH12" s="1221">
        <v>4112.9558200000001</v>
      </c>
      <c r="CI12" s="1221">
        <v>4637.6647599999997</v>
      </c>
      <c r="CJ12" s="1221">
        <v>4769.7659400000002</v>
      </c>
      <c r="CK12" s="1221">
        <v>5612.8711800000001</v>
      </c>
      <c r="CL12" s="1221">
        <v>5598.5563300000003</v>
      </c>
      <c r="CM12" s="1221">
        <v>6079.8845300000003</v>
      </c>
      <c r="CN12" s="1221">
        <v>6053.38339</v>
      </c>
      <c r="CO12" s="1221">
        <v>6791.0630099999998</v>
      </c>
      <c r="CP12" s="1221">
        <v>6662.0045300000002</v>
      </c>
      <c r="CQ12" s="1221">
        <v>7491.0893299999998</v>
      </c>
      <c r="CR12" s="1221">
        <v>7616.0454800000007</v>
      </c>
      <c r="CS12" s="1221">
        <v>15124.506079999999</v>
      </c>
      <c r="CT12" s="1221">
        <v>8537.9422400000003</v>
      </c>
      <c r="CU12" s="1221">
        <v>1777.1427800000001</v>
      </c>
      <c r="CV12" s="1221">
        <v>620.85117000000002</v>
      </c>
      <c r="CW12" s="1221">
        <v>2343.3306699999998</v>
      </c>
      <c r="CX12" s="1221">
        <v>1365.5934600000001</v>
      </c>
      <c r="CY12" s="1221">
        <v>3020.1414900000004</v>
      </c>
      <c r="CZ12" s="1221">
        <v>2222.4867000000004</v>
      </c>
      <c r="DA12" s="1221">
        <v>3848.2547100000002</v>
      </c>
      <c r="DB12" s="1221">
        <v>3043.62887</v>
      </c>
      <c r="DC12" s="1221">
        <v>5274.0020300000006</v>
      </c>
      <c r="DD12" s="1221">
        <v>3516.3293399999998</v>
      </c>
      <c r="DE12" s="1221">
        <v>5642.0198200000004</v>
      </c>
      <c r="DF12" s="1221">
        <v>4310.6280999999999</v>
      </c>
      <c r="DG12" s="1221">
        <v>6620.5211799999997</v>
      </c>
      <c r="DH12" s="1221">
        <v>4883.9661599999999</v>
      </c>
      <c r="DI12" s="1221">
        <v>7135.1144699999995</v>
      </c>
      <c r="DJ12" s="1221">
        <v>5426.2384599999996</v>
      </c>
      <c r="DK12" s="1221">
        <v>7596.7114900000006</v>
      </c>
      <c r="DL12" s="1221">
        <v>6101.5162799999998</v>
      </c>
      <c r="DM12" s="1221">
        <v>8269.2507999999998</v>
      </c>
      <c r="DN12" s="1221">
        <v>6918.7916500000001</v>
      </c>
      <c r="DO12" s="1221">
        <v>9415.0806099999991</v>
      </c>
      <c r="DP12" s="1221">
        <v>7646.49604</v>
      </c>
      <c r="DQ12" s="1221">
        <v>17054.060309999997</v>
      </c>
      <c r="DR12" s="1221">
        <v>8475.4506000000001</v>
      </c>
      <c r="DS12" s="1221">
        <v>1684.1983500000001</v>
      </c>
      <c r="DT12" s="1221">
        <v>698.12962000000005</v>
      </c>
      <c r="DU12" s="1221">
        <v>2149.8699900000001</v>
      </c>
      <c r="DV12" s="1221">
        <v>1594.12887</v>
      </c>
      <c r="DW12" s="1221">
        <v>4110.5806299999995</v>
      </c>
      <c r="DX12" s="1221">
        <v>2597.8390800000002</v>
      </c>
      <c r="DY12" s="1221">
        <v>5018.9550899999995</v>
      </c>
      <c r="DZ12" s="1221">
        <v>3447.64392</v>
      </c>
      <c r="EA12" s="1221">
        <v>7208.61924</v>
      </c>
      <c r="EB12" s="1221">
        <v>4430.3219500000005</v>
      </c>
      <c r="EC12" s="1221">
        <v>7949.4733299999998</v>
      </c>
      <c r="ED12" s="1221">
        <v>5478.3557199999996</v>
      </c>
      <c r="EE12" s="1221">
        <v>8768.2642100000012</v>
      </c>
      <c r="EF12" s="1221">
        <v>6129.4859500000002</v>
      </c>
      <c r="EG12" s="1221">
        <v>9953.5638400000007</v>
      </c>
      <c r="EH12" s="1221">
        <v>6967.2487699999992</v>
      </c>
      <c r="EI12" s="1221">
        <v>10398.665630000001</v>
      </c>
      <c r="EJ12" s="1221">
        <v>8338.1301399999993</v>
      </c>
      <c r="EK12" s="1221">
        <v>11234.925869999999</v>
      </c>
      <c r="EL12" s="1221">
        <v>8789.4311899999993</v>
      </c>
      <c r="EM12" s="1221">
        <v>17148.395680000001</v>
      </c>
      <c r="EN12" s="1221">
        <v>10440.9584</v>
      </c>
      <c r="EO12" s="1221">
        <v>19016.587149999999</v>
      </c>
      <c r="EP12" s="1221">
        <v>11740.65589</v>
      </c>
      <c r="EQ12" s="1221">
        <v>1363.6185499999999</v>
      </c>
      <c r="ER12" s="1221">
        <v>905.02423999999996</v>
      </c>
      <c r="ES12" s="1221">
        <v>2465.1511</v>
      </c>
      <c r="ET12" s="1221">
        <v>1576.85401</v>
      </c>
      <c r="EU12" s="1221">
        <v>4862.8275599999997</v>
      </c>
      <c r="EV12" s="1221">
        <v>2753.26397</v>
      </c>
      <c r="EW12" s="1221">
        <v>6245.8725899999999</v>
      </c>
      <c r="EX12" s="1221">
        <v>4199.7800299999999</v>
      </c>
      <c r="EY12" s="1221">
        <v>8542.33475</v>
      </c>
      <c r="EZ12" s="1221">
        <v>5251.13184</v>
      </c>
      <c r="FA12" s="1221">
        <v>9631.5551500000001</v>
      </c>
      <c r="FB12" s="1221">
        <v>6005.8307599999998</v>
      </c>
      <c r="FC12" s="1221">
        <v>11061.14734</v>
      </c>
      <c r="FD12" s="1221">
        <v>7129.4884700000002</v>
      </c>
      <c r="FE12" s="1221">
        <v>13200.974200000001</v>
      </c>
      <c r="FF12" s="1221">
        <v>9626.9398399999991</v>
      </c>
      <c r="FG12" s="1221">
        <v>14531.173129999999</v>
      </c>
      <c r="FH12" s="1221">
        <v>10560.93577</v>
      </c>
      <c r="FI12" s="1221">
        <v>22105.677090000001</v>
      </c>
      <c r="FJ12" s="1221">
        <v>11711.237550000002</v>
      </c>
      <c r="FK12" s="1221">
        <v>24628.466810000002</v>
      </c>
      <c r="FL12" s="1221">
        <v>12826.866169999999</v>
      </c>
      <c r="FM12" s="1221">
        <v>1399.5344499999999</v>
      </c>
      <c r="FN12" s="1221">
        <v>922.97871999999995</v>
      </c>
      <c r="FO12" s="1221">
        <v>2980.1940099999997</v>
      </c>
      <c r="FP12" s="1221">
        <v>2256.9822999999997</v>
      </c>
      <c r="FQ12" s="1221">
        <v>5639.0028199999997</v>
      </c>
      <c r="FR12" s="1221">
        <v>3517.4559399999998</v>
      </c>
      <c r="FS12" s="1221">
        <v>7026.78388</v>
      </c>
      <c r="FT12" s="1221">
        <v>4539.3871300000001</v>
      </c>
      <c r="FU12" s="1221">
        <v>9218.3906300000017</v>
      </c>
      <c r="FV12" s="1221">
        <v>6051.6369000000004</v>
      </c>
      <c r="FW12" s="1221">
        <v>10015.471670000001</v>
      </c>
      <c r="FX12" s="1221">
        <v>7315.9444699999995</v>
      </c>
      <c r="FY12" s="1221">
        <v>10955.146189999999</v>
      </c>
      <c r="FZ12" s="1221">
        <v>8286.8907600000002</v>
      </c>
      <c r="GA12" s="1221">
        <v>11654.341420000001</v>
      </c>
      <c r="GB12" s="1221">
        <v>9620.1559799999995</v>
      </c>
      <c r="GC12" s="1221">
        <v>12358.03818</v>
      </c>
      <c r="GD12" s="1221">
        <v>10718.8809</v>
      </c>
      <c r="GE12" s="1221">
        <v>13336.67592</v>
      </c>
      <c r="GF12" s="1221">
        <v>12104.039709999999</v>
      </c>
      <c r="GG12" s="1221">
        <v>19221.57604</v>
      </c>
      <c r="GH12" s="1221">
        <v>12932.539210000001</v>
      </c>
      <c r="GI12" s="1221">
        <v>21117.220659999999</v>
      </c>
      <c r="GJ12" s="1221">
        <v>15333.10153</v>
      </c>
      <c r="GK12" s="1221">
        <v>1045.58635</v>
      </c>
      <c r="GL12" s="1221">
        <v>898.74401</v>
      </c>
      <c r="GM12" s="1221">
        <v>3199.7561299999998</v>
      </c>
      <c r="GN12" s="1221">
        <v>2225.6363799999999</v>
      </c>
      <c r="GO12" s="1221">
        <v>4987.5853899999993</v>
      </c>
      <c r="GP12" s="1221">
        <v>3260.5203799999999</v>
      </c>
      <c r="GQ12" s="1221">
        <v>6389.9214400000001</v>
      </c>
      <c r="GR12" s="1221">
        <v>4150.9875499999998</v>
      </c>
      <c r="GS12" s="1221">
        <v>8378.5981300000003</v>
      </c>
      <c r="GT12" s="1221">
        <v>5807.4516700000004</v>
      </c>
      <c r="GU12" s="1221">
        <v>8775.8684900000007</v>
      </c>
      <c r="GV12" s="1221">
        <v>6922.7924300000004</v>
      </c>
      <c r="GW12" s="1221">
        <v>9578.4362500000007</v>
      </c>
      <c r="GX12" s="1221">
        <v>7855.9143700000004</v>
      </c>
      <c r="GY12" s="1221">
        <v>10090.92383</v>
      </c>
      <c r="GZ12" s="1221">
        <v>8862.4266299999999</v>
      </c>
      <c r="HA12" s="1221">
        <v>10635.40906</v>
      </c>
      <c r="HB12" s="1221">
        <v>9756.1225400000003</v>
      </c>
      <c r="HC12" s="1221">
        <v>11951.165800000001</v>
      </c>
      <c r="HD12" s="1221">
        <v>10948.98912</v>
      </c>
      <c r="HE12" s="1221">
        <v>17043.892889999999</v>
      </c>
      <c r="HF12" s="1221">
        <v>11979.78933</v>
      </c>
      <c r="HG12" s="1221">
        <v>18717.233540000001</v>
      </c>
      <c r="HH12" s="1221">
        <v>13875.176359999999</v>
      </c>
      <c r="HI12" s="1221">
        <v>2071.6646300000002</v>
      </c>
      <c r="HJ12" s="1221">
        <v>567.84190000000001</v>
      </c>
      <c r="HK12" s="1221">
        <v>2971.7723299999998</v>
      </c>
      <c r="HL12" s="1221">
        <v>1650.3750399999999</v>
      </c>
      <c r="HM12" s="1221">
        <v>4385.3311299999996</v>
      </c>
      <c r="HN12" s="1221">
        <v>2419.9545899999998</v>
      </c>
      <c r="HO12" s="1221">
        <v>5534.4938599999996</v>
      </c>
      <c r="HP12" s="1221">
        <v>3573.46641</v>
      </c>
      <c r="HQ12" s="1221">
        <v>7909.3287600000003</v>
      </c>
      <c r="HR12" s="1221">
        <v>4553.6958299999997</v>
      </c>
      <c r="HS12" s="1838" t="s">
        <v>3161</v>
      </c>
    </row>
    <row r="13" spans="1:323" ht="36" customHeight="1">
      <c r="A13" s="1836">
        <v>2</v>
      </c>
      <c r="B13" s="1837" t="s">
        <v>2351</v>
      </c>
      <c r="C13" s="1221">
        <v>758.95065</v>
      </c>
      <c r="D13" s="1221">
        <v>237.81532999999999</v>
      </c>
      <c r="E13" s="1221">
        <v>1206.5170900000001</v>
      </c>
      <c r="F13" s="1221">
        <v>585.33663999999999</v>
      </c>
      <c r="G13" s="1221">
        <v>2012.0612100000001</v>
      </c>
      <c r="H13" s="1221">
        <v>849.55264999999997</v>
      </c>
      <c r="I13" s="1221">
        <v>2780.4427999999998</v>
      </c>
      <c r="J13" s="1221">
        <v>1091.3744299999998</v>
      </c>
      <c r="K13" s="1221">
        <v>3287.3404300000002</v>
      </c>
      <c r="L13" s="1221">
        <v>1354.99206</v>
      </c>
      <c r="M13" s="1221">
        <v>4776.1512400000001</v>
      </c>
      <c r="N13" s="1221">
        <v>1594.8853700000002</v>
      </c>
      <c r="O13" s="1221">
        <v>6595.6164800000006</v>
      </c>
      <c r="P13" s="1221">
        <v>1854.14168</v>
      </c>
      <c r="Q13" s="1221">
        <v>7036.5734900000007</v>
      </c>
      <c r="R13" s="1221">
        <v>2145.0987599999999</v>
      </c>
      <c r="S13" s="1221">
        <v>7798.27963</v>
      </c>
      <c r="T13" s="1221">
        <v>2536.4452799999999</v>
      </c>
      <c r="U13" s="1221">
        <v>8419.4225800000004</v>
      </c>
      <c r="V13" s="1221">
        <v>2804.1086099999998</v>
      </c>
      <c r="W13" s="1221">
        <v>8813.8976899999998</v>
      </c>
      <c r="X13" s="1221">
        <v>3194.5628999999999</v>
      </c>
      <c r="Y13" s="1221">
        <v>9288.9753699999983</v>
      </c>
      <c r="Z13" s="1221">
        <v>3542.4287999999997</v>
      </c>
      <c r="AA13" s="1221">
        <v>722.75606999999991</v>
      </c>
      <c r="AB13" s="1221">
        <v>208.47714999999999</v>
      </c>
      <c r="AC13" s="1221">
        <v>1342.6148600000001</v>
      </c>
      <c r="AD13" s="1221">
        <v>529.86847999999998</v>
      </c>
      <c r="AE13" s="1221">
        <v>2295.2592400000003</v>
      </c>
      <c r="AF13" s="1221">
        <v>852.87394999999992</v>
      </c>
      <c r="AG13" s="1221">
        <v>3057.5969</v>
      </c>
      <c r="AH13" s="1221">
        <v>1098.912</v>
      </c>
      <c r="AI13" s="1221">
        <v>3906.7648399999998</v>
      </c>
      <c r="AJ13" s="1221">
        <v>1441.7331999999999</v>
      </c>
      <c r="AK13" s="1221">
        <v>4602.3380900000002</v>
      </c>
      <c r="AL13" s="1221">
        <v>66.158720000000002</v>
      </c>
      <c r="AM13" s="1221">
        <v>6869.5830800000003</v>
      </c>
      <c r="AN13" s="1221">
        <v>2147.0364399999999</v>
      </c>
      <c r="AO13" s="1221">
        <v>8227.6363700000002</v>
      </c>
      <c r="AP13" s="1221">
        <v>2743.1603399999999</v>
      </c>
      <c r="AQ13" s="1221">
        <v>9490.8142799999987</v>
      </c>
      <c r="AR13" s="1221">
        <v>3214.6781800000003</v>
      </c>
      <c r="AS13" s="1221">
        <v>11136.178390000001</v>
      </c>
      <c r="AT13" s="1221">
        <v>3691.9581800000001</v>
      </c>
      <c r="AU13" s="1221">
        <v>12752.971099999999</v>
      </c>
      <c r="AV13" s="1221">
        <v>4251.1757400000006</v>
      </c>
      <c r="AW13" s="1221">
        <v>13715.792880000001</v>
      </c>
      <c r="AX13" s="1221">
        <v>5020.0168600000006</v>
      </c>
      <c r="AY13" s="1221">
        <v>1398.92399</v>
      </c>
      <c r="AZ13" s="1221">
        <v>606.98356999999999</v>
      </c>
      <c r="BA13" s="1221">
        <v>2712.2449700000002</v>
      </c>
      <c r="BB13" s="1221">
        <v>1322.68976</v>
      </c>
      <c r="BC13" s="1221">
        <v>4236.16</v>
      </c>
      <c r="BD13" s="1221">
        <v>1832.19</v>
      </c>
      <c r="BE13" s="1221">
        <v>6141.1052099999997</v>
      </c>
      <c r="BF13" s="1221">
        <v>2519.9277099999999</v>
      </c>
      <c r="BG13" s="1221">
        <v>8080.5050799999999</v>
      </c>
      <c r="BH13" s="1221">
        <v>3263.0724500000001</v>
      </c>
      <c r="BI13" s="1221">
        <v>10355.49401</v>
      </c>
      <c r="BJ13" s="1221">
        <v>3960.5989900000004</v>
      </c>
      <c r="BK13" s="1221">
        <v>12593.303960000001</v>
      </c>
      <c r="BL13" s="1221">
        <v>4973.6734100000003</v>
      </c>
      <c r="BM13" s="1221">
        <v>14721.571029999999</v>
      </c>
      <c r="BN13" s="1221">
        <v>5925.8159400000004</v>
      </c>
      <c r="BO13" s="1221">
        <v>16299.04016</v>
      </c>
      <c r="BP13" s="1221">
        <v>6846.3999199999998</v>
      </c>
      <c r="BQ13" s="1221">
        <v>18150.404030000002</v>
      </c>
      <c r="BR13" s="1221">
        <v>8159.1861100000006</v>
      </c>
      <c r="BS13" s="1221">
        <v>20443.97409</v>
      </c>
      <c r="BT13" s="1221">
        <v>9411.1755900000007</v>
      </c>
      <c r="BU13" s="1221">
        <v>22437.54723</v>
      </c>
      <c r="BV13" s="1221">
        <v>10609.75986</v>
      </c>
      <c r="BW13" s="1221">
        <v>1997.3262</v>
      </c>
      <c r="BX13" s="1221">
        <v>1471.01171</v>
      </c>
      <c r="BY13" s="1221">
        <v>3809.1153899999999</v>
      </c>
      <c r="BZ13" s="1221">
        <v>2508.2357000000002</v>
      </c>
      <c r="CA13" s="1221">
        <v>5374.5387300000002</v>
      </c>
      <c r="CB13" s="1221">
        <v>3477.5982799999997</v>
      </c>
      <c r="CC13" s="1221">
        <v>6423.19686</v>
      </c>
      <c r="CD13" s="1221">
        <v>4934.2401</v>
      </c>
      <c r="CE13" s="1221">
        <v>8006.8544199999997</v>
      </c>
      <c r="CF13" s="1221">
        <v>6073.4053899999999</v>
      </c>
      <c r="CG13" s="1221">
        <v>9382.5616599999994</v>
      </c>
      <c r="CH13" s="1221">
        <v>7153.3515299999999</v>
      </c>
      <c r="CI13" s="1221">
        <v>11019.08547</v>
      </c>
      <c r="CJ13" s="1221">
        <v>8630.6943300000003</v>
      </c>
      <c r="CK13" s="1221">
        <v>12340.53477</v>
      </c>
      <c r="CL13" s="1221">
        <v>9943.4307499999995</v>
      </c>
      <c r="CM13" s="1221">
        <v>13722.92499</v>
      </c>
      <c r="CN13" s="1221">
        <v>11190.93154</v>
      </c>
      <c r="CO13" s="1221">
        <v>15419.79549</v>
      </c>
      <c r="CP13" s="1221">
        <v>12473.17391</v>
      </c>
      <c r="CQ13" s="1221">
        <v>16761.277439999998</v>
      </c>
      <c r="CR13" s="1221">
        <v>13478.99475</v>
      </c>
      <c r="CS13" s="1221">
        <v>18093.562870000002</v>
      </c>
      <c r="CT13" s="1221">
        <v>14628.429029999999</v>
      </c>
      <c r="CU13" s="1221">
        <v>1621.3779299999999</v>
      </c>
      <c r="CV13" s="1221">
        <v>1051.4322099999999</v>
      </c>
      <c r="CW13" s="1221">
        <v>2807.8135000000002</v>
      </c>
      <c r="CX13" s="1221">
        <v>2032.7641699999999</v>
      </c>
      <c r="CY13" s="1221">
        <v>3538.5835200000001</v>
      </c>
      <c r="CZ13" s="1221">
        <v>2761.7750099999998</v>
      </c>
      <c r="DA13" s="1221">
        <v>5373.1786500000007</v>
      </c>
      <c r="DB13" s="1221">
        <v>3421.0196900000001</v>
      </c>
      <c r="DC13" s="1221">
        <v>6245.2153600000001</v>
      </c>
      <c r="DD13" s="1221">
        <v>3996.16887</v>
      </c>
      <c r="DE13" s="1221">
        <v>7319.5199499999999</v>
      </c>
      <c r="DF13" s="1221">
        <v>4784.3614000000007</v>
      </c>
      <c r="DG13" s="1221">
        <v>8397.61715</v>
      </c>
      <c r="DH13" s="1221">
        <v>5415.6854499999999</v>
      </c>
      <c r="DI13" s="1221">
        <v>9426.6470300000001</v>
      </c>
      <c r="DJ13" s="1221">
        <v>5967.4403899999998</v>
      </c>
      <c r="DK13" s="1221">
        <v>10492.541359999999</v>
      </c>
      <c r="DL13" s="1221">
        <v>6624.7102699999996</v>
      </c>
      <c r="DM13" s="1221">
        <v>11769.283730000001</v>
      </c>
      <c r="DN13" s="1221">
        <v>7311.5651399999997</v>
      </c>
      <c r="DO13" s="1221">
        <v>12814.26391</v>
      </c>
      <c r="DP13" s="1221">
        <v>7931.1194100000002</v>
      </c>
      <c r="DQ13" s="1221">
        <v>13889.36831</v>
      </c>
      <c r="DR13" s="1221">
        <v>8710.42634</v>
      </c>
      <c r="DS13" s="1221">
        <v>1465.94976</v>
      </c>
      <c r="DT13" s="1221">
        <v>574.56593999999996</v>
      </c>
      <c r="DU13" s="1221">
        <v>2492.0214799999999</v>
      </c>
      <c r="DV13" s="1221">
        <v>1198.9430400000001</v>
      </c>
      <c r="DW13" s="1221">
        <v>3539.6148599999997</v>
      </c>
      <c r="DX13" s="1221">
        <v>2022.8599099999999</v>
      </c>
      <c r="DY13" s="1221">
        <v>4793.99208</v>
      </c>
      <c r="DZ13" s="1221">
        <v>2729.2289700000001</v>
      </c>
      <c r="EA13" s="1221">
        <v>5838.3829000000005</v>
      </c>
      <c r="EB13" s="1221">
        <v>3214.6624900000002</v>
      </c>
      <c r="EC13" s="1221">
        <v>6767.6383099999994</v>
      </c>
      <c r="ED13" s="1221">
        <v>3970.5482900000002</v>
      </c>
      <c r="EE13" s="1221">
        <v>7611.5923700000003</v>
      </c>
      <c r="EF13" s="1221">
        <v>4828.8632600000001</v>
      </c>
      <c r="EG13" s="1221">
        <v>8596.6686399999999</v>
      </c>
      <c r="EH13" s="1221">
        <v>5697.3587300000008</v>
      </c>
      <c r="EI13" s="1221">
        <v>9402.4430600000014</v>
      </c>
      <c r="EJ13" s="1221">
        <v>6555.6742100000001</v>
      </c>
      <c r="EK13" s="1221">
        <v>10205.603370000001</v>
      </c>
      <c r="EL13" s="1221">
        <v>7388.2716499999997</v>
      </c>
      <c r="EM13" s="1221">
        <v>11401.470160000001</v>
      </c>
      <c r="EN13" s="1221">
        <v>8331.6942899999995</v>
      </c>
      <c r="EO13" s="1221">
        <v>11942.26446</v>
      </c>
      <c r="EP13" s="1221">
        <v>8695.22588</v>
      </c>
      <c r="EQ13" s="1221">
        <v>907.49677999999994</v>
      </c>
      <c r="ER13" s="1221">
        <v>735.82690000000002</v>
      </c>
      <c r="ES13" s="1221">
        <v>1307.26774</v>
      </c>
      <c r="ET13" s="1221">
        <v>1227.2543700000001</v>
      </c>
      <c r="EU13" s="1221">
        <v>1445.2997600000001</v>
      </c>
      <c r="EV13" s="1221">
        <v>1774.52135</v>
      </c>
      <c r="EW13" s="1221">
        <v>1676.15491</v>
      </c>
      <c r="EX13" s="1221">
        <v>2343.9546799999998</v>
      </c>
      <c r="EY13" s="1221">
        <v>1959.93309</v>
      </c>
      <c r="EZ13" s="1221">
        <v>2836.3603199999998</v>
      </c>
      <c r="FA13" s="1221">
        <v>2351.0983900000001</v>
      </c>
      <c r="FB13" s="1221">
        <v>3315.30312</v>
      </c>
      <c r="FC13" s="1221">
        <v>2726.1724800000002</v>
      </c>
      <c r="FD13" s="1221">
        <v>3754.5696800000001</v>
      </c>
      <c r="FE13" s="1221">
        <v>3652.48864</v>
      </c>
      <c r="FF13" s="1221">
        <v>4613.6577399999996</v>
      </c>
      <c r="FG13" s="1221">
        <v>4296.57089</v>
      </c>
      <c r="FH13" s="1221">
        <v>4980.3851999999997</v>
      </c>
      <c r="FI13" s="1221">
        <v>4808.30087</v>
      </c>
      <c r="FJ13" s="1221">
        <v>5195.5890199999994</v>
      </c>
      <c r="FK13" s="1221">
        <v>5311.9363899999998</v>
      </c>
      <c r="FL13" s="1221">
        <v>5394.8896199999999</v>
      </c>
      <c r="FM13" s="1221">
        <v>997.90572999999995</v>
      </c>
      <c r="FN13" s="1221">
        <v>293.39196999999996</v>
      </c>
      <c r="FO13" s="1221">
        <v>2055.15157</v>
      </c>
      <c r="FP13" s="1221">
        <v>543.59587999999997</v>
      </c>
      <c r="FQ13" s="1221">
        <v>2670.1943700000002</v>
      </c>
      <c r="FR13" s="1221">
        <v>724.85017000000005</v>
      </c>
      <c r="FS13" s="1221">
        <v>3491.4041899999997</v>
      </c>
      <c r="FT13" s="1221">
        <v>981.62671</v>
      </c>
      <c r="FU13" s="1221">
        <v>4647.3428099999992</v>
      </c>
      <c r="FV13" s="1221">
        <v>1237.2860800000001</v>
      </c>
      <c r="FW13" s="1221">
        <v>5411.0336100000004</v>
      </c>
      <c r="FX13" s="1221">
        <v>1422.8828500000002</v>
      </c>
      <c r="FY13" s="1221">
        <v>6171.3185000000003</v>
      </c>
      <c r="FZ13" s="1221">
        <v>1806.2121499999998</v>
      </c>
      <c r="GA13" s="1221">
        <v>7003.4649399999998</v>
      </c>
      <c r="GB13" s="1221">
        <v>2105.8989200000001</v>
      </c>
      <c r="GC13" s="1221">
        <v>7554.9007099999999</v>
      </c>
      <c r="GD13" s="1221">
        <v>2358.06781</v>
      </c>
      <c r="GE13" s="1221">
        <v>8252.9687599999997</v>
      </c>
      <c r="GF13" s="1221">
        <v>2690.6121400000002</v>
      </c>
      <c r="GG13" s="1221">
        <v>8944.9280500000004</v>
      </c>
      <c r="GH13" s="1221">
        <v>2896.31592</v>
      </c>
      <c r="GI13" s="1221">
        <v>9637.8774400000002</v>
      </c>
      <c r="GJ13" s="1221">
        <v>3209.5982000000004</v>
      </c>
      <c r="GK13" s="1221">
        <v>1011.80165</v>
      </c>
      <c r="GL13" s="1221">
        <v>277.73237999999998</v>
      </c>
      <c r="GM13" s="1221">
        <v>1856.0651</v>
      </c>
      <c r="GN13" s="1221">
        <v>641.18318999999997</v>
      </c>
      <c r="GO13" s="1221">
        <v>2593.8459400000002</v>
      </c>
      <c r="GP13" s="1221">
        <v>983.06219999999996</v>
      </c>
      <c r="GQ13" s="1221">
        <v>3366.2017300000002</v>
      </c>
      <c r="GR13" s="1221">
        <v>1345.9974500000001</v>
      </c>
      <c r="GS13" s="1221">
        <v>4300.8569600000001</v>
      </c>
      <c r="GT13" s="1221">
        <v>1685.8775700000001</v>
      </c>
      <c r="GU13" s="1221">
        <v>5172.8830200000002</v>
      </c>
      <c r="GV13" s="1221">
        <v>1928.8177599999999</v>
      </c>
      <c r="GW13" s="1221">
        <v>6192.9396500000003</v>
      </c>
      <c r="GX13" s="1221">
        <v>2320.7267700000002</v>
      </c>
      <c r="GY13" s="1221">
        <v>7078.2872799999996</v>
      </c>
      <c r="GZ13" s="1221">
        <v>2583.59672</v>
      </c>
      <c r="HA13" s="1221">
        <v>7903.2811300000003</v>
      </c>
      <c r="HB13" s="1221">
        <v>3098.1850599999998</v>
      </c>
      <c r="HC13" s="1221">
        <v>8767.4685599999993</v>
      </c>
      <c r="HD13" s="1221">
        <v>3531.0652599999999</v>
      </c>
      <c r="HE13" s="1221">
        <v>9514.0305399999997</v>
      </c>
      <c r="HF13" s="1221">
        <v>3966.8760200000002</v>
      </c>
      <c r="HG13" s="1221">
        <v>10393.84237</v>
      </c>
      <c r="HH13" s="1221">
        <v>4296.75468</v>
      </c>
      <c r="HI13" s="1221">
        <v>976.85581999999999</v>
      </c>
      <c r="HJ13" s="1221">
        <v>358.61095999999998</v>
      </c>
      <c r="HK13" s="1221">
        <v>1701.89454</v>
      </c>
      <c r="HL13" s="1221">
        <v>686.56826000000001</v>
      </c>
      <c r="HM13" s="1221">
        <v>2488.2731899999999</v>
      </c>
      <c r="HN13" s="1221">
        <v>1073.6911299999999</v>
      </c>
      <c r="HO13" s="1221">
        <v>3313.0659099999998</v>
      </c>
      <c r="HP13" s="1221">
        <v>1603.81421</v>
      </c>
      <c r="HQ13" s="1221">
        <v>4092.42893</v>
      </c>
      <c r="HR13" s="1221">
        <v>2106.4738200000002</v>
      </c>
      <c r="HS13" s="1838" t="s">
        <v>3162</v>
      </c>
    </row>
    <row r="14" spans="1:323" ht="36" customHeight="1">
      <c r="A14" s="1836">
        <v>3</v>
      </c>
      <c r="B14" s="1837" t="s">
        <v>2350</v>
      </c>
      <c r="C14" s="1221">
        <v>2390.8798999999999</v>
      </c>
      <c r="D14" s="1221">
        <v>2505.3024599999999</v>
      </c>
      <c r="E14" s="1221">
        <v>5850.2064099999998</v>
      </c>
      <c r="F14" s="1221">
        <v>11646.467349999999</v>
      </c>
      <c r="G14" s="1221">
        <v>8496.5671700000003</v>
      </c>
      <c r="H14" s="1221">
        <v>12973.27038</v>
      </c>
      <c r="I14" s="1221">
        <v>12424.70369</v>
      </c>
      <c r="J14" s="1221">
        <v>14209.166300000001</v>
      </c>
      <c r="K14" s="1221">
        <v>20912.710920000001</v>
      </c>
      <c r="L14" s="1221">
        <v>16043.983779999999</v>
      </c>
      <c r="M14" s="1221">
        <v>19956.368710000002</v>
      </c>
      <c r="N14" s="1221">
        <v>16679.921999999999</v>
      </c>
      <c r="O14" s="1221">
        <v>21069.874489999998</v>
      </c>
      <c r="P14" s="1221">
        <v>18680.955750000001</v>
      </c>
      <c r="Q14" s="1221">
        <v>24689.272870000001</v>
      </c>
      <c r="R14" s="1221">
        <v>19900.732760000003</v>
      </c>
      <c r="S14" s="1221">
        <v>27896.805769999999</v>
      </c>
      <c r="T14" s="1221">
        <v>20430.97047</v>
      </c>
      <c r="U14" s="1221">
        <v>30344.682570000001</v>
      </c>
      <c r="V14" s="1221">
        <v>23347.903999999999</v>
      </c>
      <c r="W14" s="1221">
        <v>32194.124030000003</v>
      </c>
      <c r="X14" s="1221">
        <v>25400.923480000001</v>
      </c>
      <c r="Y14" s="1221">
        <v>37435.501389999998</v>
      </c>
      <c r="Z14" s="1221">
        <v>27111.8092</v>
      </c>
      <c r="AA14" s="1221">
        <v>1367.91077</v>
      </c>
      <c r="AB14" s="1221">
        <v>12532.490820000001</v>
      </c>
      <c r="AC14" s="1221">
        <v>4644.7344699999994</v>
      </c>
      <c r="AD14" s="1221">
        <v>17135.831760000001</v>
      </c>
      <c r="AE14" s="1221">
        <v>8205.5029200000008</v>
      </c>
      <c r="AF14" s="1221">
        <v>20574.088100000001</v>
      </c>
      <c r="AG14" s="1221">
        <v>10891.94663</v>
      </c>
      <c r="AH14" s="1221">
        <v>23599.198280000001</v>
      </c>
      <c r="AI14" s="1221">
        <v>13055.021439999999</v>
      </c>
      <c r="AJ14" s="1221">
        <v>24642.244190000001</v>
      </c>
      <c r="AK14" s="1221">
        <v>15893.12384</v>
      </c>
      <c r="AL14" s="1221">
        <v>28672.16907</v>
      </c>
      <c r="AM14" s="1221">
        <v>18259.19843</v>
      </c>
      <c r="AN14" s="1221">
        <v>30517.856680000001</v>
      </c>
      <c r="AO14" s="1221">
        <v>22945.460190000002</v>
      </c>
      <c r="AP14" s="1221">
        <v>32486.458469999998</v>
      </c>
      <c r="AQ14" s="1221">
        <v>25870.45148</v>
      </c>
      <c r="AR14" s="1221">
        <v>38563.497259999996</v>
      </c>
      <c r="AS14" s="1221">
        <v>27881.117409999999</v>
      </c>
      <c r="AT14" s="1221">
        <v>41019.968209999999</v>
      </c>
      <c r="AU14" s="1221">
        <v>31146.226730000002</v>
      </c>
      <c r="AV14" s="1221">
        <v>43444.510049999997</v>
      </c>
      <c r="AW14" s="1221">
        <v>38369.90956</v>
      </c>
      <c r="AX14" s="1221">
        <v>55046.153060000004</v>
      </c>
      <c r="AY14" s="1221">
        <v>3038.9574900000002</v>
      </c>
      <c r="AZ14" s="1221">
        <v>4372.9631100000006</v>
      </c>
      <c r="BA14" s="1221">
        <v>6245.6397999999999</v>
      </c>
      <c r="BB14" s="1221">
        <v>5461.4845999999998</v>
      </c>
      <c r="BC14" s="1221">
        <v>12877.76</v>
      </c>
      <c r="BD14" s="1221">
        <v>6310.89</v>
      </c>
      <c r="BE14" s="1221">
        <v>17396.778559999999</v>
      </c>
      <c r="BF14" s="1221">
        <v>7834.4747500000003</v>
      </c>
      <c r="BG14" s="1221">
        <v>22561.626399999997</v>
      </c>
      <c r="BH14" s="1221">
        <v>8846.0370600000006</v>
      </c>
      <c r="BI14" s="1221">
        <v>28165.661059999999</v>
      </c>
      <c r="BJ14" s="1221">
        <v>9658.2874700000011</v>
      </c>
      <c r="BK14" s="1221">
        <v>32121.042870000001</v>
      </c>
      <c r="BL14" s="1221">
        <v>11244.560939999999</v>
      </c>
      <c r="BM14" s="1221">
        <v>35440.355609999999</v>
      </c>
      <c r="BN14" s="1221">
        <v>11986.39316</v>
      </c>
      <c r="BO14" s="1221">
        <v>41413.962770000006</v>
      </c>
      <c r="BP14" s="1221">
        <v>12557.6353</v>
      </c>
      <c r="BQ14" s="1221">
        <v>46133.215770000003</v>
      </c>
      <c r="BR14" s="1221">
        <v>12937.49583</v>
      </c>
      <c r="BS14" s="1221">
        <v>52892.870909999998</v>
      </c>
      <c r="BT14" s="1221">
        <v>14274.772010000001</v>
      </c>
      <c r="BU14" s="1221">
        <v>60107.412219999998</v>
      </c>
      <c r="BV14" s="1221">
        <v>14720.319960000001</v>
      </c>
      <c r="BW14" s="1221">
        <v>2323.43109</v>
      </c>
      <c r="BX14" s="1221">
        <v>1788.21504</v>
      </c>
      <c r="BY14" s="1221">
        <v>5067.4982399999999</v>
      </c>
      <c r="BZ14" s="1221">
        <v>2485.56781</v>
      </c>
      <c r="CA14" s="1221">
        <v>9285.6196400000008</v>
      </c>
      <c r="CB14" s="1221">
        <v>2705.0421900000001</v>
      </c>
      <c r="CC14" s="1221">
        <v>12370.119259999999</v>
      </c>
      <c r="CD14" s="1221">
        <v>3257.7596600000002</v>
      </c>
      <c r="CE14" s="1221">
        <v>16945.0939</v>
      </c>
      <c r="CF14" s="1221">
        <v>4537.57143</v>
      </c>
      <c r="CG14" s="1221">
        <v>19985.617280000002</v>
      </c>
      <c r="CH14" s="1221">
        <v>6856.8180300000004</v>
      </c>
      <c r="CI14" s="1221">
        <v>22175.636039999998</v>
      </c>
      <c r="CJ14" s="1221">
        <v>7858.2601100000002</v>
      </c>
      <c r="CK14" s="1221">
        <v>25034.061890000001</v>
      </c>
      <c r="CL14" s="1221">
        <v>8358.6703899999993</v>
      </c>
      <c r="CM14" s="1221">
        <v>28628.015190000002</v>
      </c>
      <c r="CN14" s="1221">
        <v>9117.7975700000006</v>
      </c>
      <c r="CO14" s="1221">
        <v>31161.896239999998</v>
      </c>
      <c r="CP14" s="1221">
        <v>10794.176369999999</v>
      </c>
      <c r="CQ14" s="1221">
        <v>35445.099110000003</v>
      </c>
      <c r="CR14" s="1221">
        <v>11422.14661</v>
      </c>
      <c r="CS14" s="1221">
        <v>39086.738389999999</v>
      </c>
      <c r="CT14" s="1221">
        <v>19131.144559999997</v>
      </c>
      <c r="CU14" s="1221">
        <v>2979.27504</v>
      </c>
      <c r="CV14" s="1221">
        <v>1604.7873999999999</v>
      </c>
      <c r="CW14" s="1221">
        <v>6840.7647999999999</v>
      </c>
      <c r="CX14" s="1221">
        <v>3698.7301499999999</v>
      </c>
      <c r="CY14" s="1221">
        <v>11000.527900000001</v>
      </c>
      <c r="CZ14" s="1221">
        <v>4726.4493499999999</v>
      </c>
      <c r="DA14" s="1221">
        <v>15538.515529999999</v>
      </c>
      <c r="DB14" s="1221">
        <v>11042.73741</v>
      </c>
      <c r="DC14" s="1221">
        <v>18050.298329999998</v>
      </c>
      <c r="DD14" s="1221">
        <v>12914.53556</v>
      </c>
      <c r="DE14" s="1221">
        <v>21249.444319999999</v>
      </c>
      <c r="DF14" s="1221">
        <v>16202.00727</v>
      </c>
      <c r="DG14" s="1221">
        <v>24961.94011</v>
      </c>
      <c r="DH14" s="1221">
        <v>19695.211600000002</v>
      </c>
      <c r="DI14" s="1221">
        <v>27461.068340000002</v>
      </c>
      <c r="DJ14" s="1221">
        <v>26126.704710000002</v>
      </c>
      <c r="DK14" s="1221">
        <v>31200.470829999998</v>
      </c>
      <c r="DL14" s="1221">
        <v>30626.640940000001</v>
      </c>
      <c r="DM14" s="1221">
        <v>34268.469669999999</v>
      </c>
      <c r="DN14" s="1221">
        <v>39980.085290000003</v>
      </c>
      <c r="DO14" s="1221">
        <v>38350.810109999999</v>
      </c>
      <c r="DP14" s="1221">
        <v>48737.170989999999</v>
      </c>
      <c r="DQ14" s="1221">
        <v>41498.283590000006</v>
      </c>
      <c r="DR14" s="1221">
        <v>55971.466970000001</v>
      </c>
      <c r="DS14" s="1221">
        <v>3076.01343</v>
      </c>
      <c r="DT14" s="1221">
        <v>3645.1512599999996</v>
      </c>
      <c r="DU14" s="1221">
        <v>7503.2756300000001</v>
      </c>
      <c r="DV14" s="1221">
        <v>7742.6604600000001</v>
      </c>
      <c r="DW14" s="1221">
        <v>10755.582</v>
      </c>
      <c r="DX14" s="1221">
        <v>9739.9566999999988</v>
      </c>
      <c r="DY14" s="1221">
        <v>15485.33705</v>
      </c>
      <c r="DZ14" s="1221">
        <v>13385.390730000001</v>
      </c>
      <c r="EA14" s="1221">
        <v>19644.580539999999</v>
      </c>
      <c r="EB14" s="1221">
        <v>16407.60457</v>
      </c>
      <c r="EC14" s="1221">
        <v>23707.896479999999</v>
      </c>
      <c r="ED14" s="1221">
        <v>19239.317890000002</v>
      </c>
      <c r="EE14" s="1221">
        <v>28303.706420000002</v>
      </c>
      <c r="EF14" s="1221">
        <v>21043.849109999999</v>
      </c>
      <c r="EG14" s="1221">
        <v>31272.29967</v>
      </c>
      <c r="EH14" s="1221">
        <v>21860.566899999998</v>
      </c>
      <c r="EI14" s="1221">
        <v>31824.98832</v>
      </c>
      <c r="EJ14" s="1221">
        <v>24560.621780000001</v>
      </c>
      <c r="EK14" s="1221">
        <v>34193.513299999999</v>
      </c>
      <c r="EL14" s="1221">
        <v>26420.765820000001</v>
      </c>
      <c r="EM14" s="1221">
        <v>39272.155650000001</v>
      </c>
      <c r="EN14" s="1221">
        <v>29666.31277</v>
      </c>
      <c r="EO14" s="1221">
        <v>44060.232259999997</v>
      </c>
      <c r="EP14" s="1221">
        <v>31556.99064</v>
      </c>
      <c r="EQ14" s="1221">
        <v>2699.07735</v>
      </c>
      <c r="ER14" s="1221">
        <v>515.35083999999995</v>
      </c>
      <c r="ES14" s="1221">
        <v>7464.2981799999998</v>
      </c>
      <c r="ET14" s="1221">
        <v>1015.52655</v>
      </c>
      <c r="EU14" s="1221">
        <v>12490.827730000001</v>
      </c>
      <c r="EV14" s="1221">
        <v>2835.3056499999998</v>
      </c>
      <c r="EW14" s="1221">
        <v>17845.246080000001</v>
      </c>
      <c r="EX14" s="1221">
        <v>6923.2946000000002</v>
      </c>
      <c r="EY14" s="1221">
        <v>21965.07201</v>
      </c>
      <c r="EZ14" s="1221">
        <v>9665.8793700000006</v>
      </c>
      <c r="FA14" s="1221">
        <v>25686.582350000001</v>
      </c>
      <c r="FB14" s="1221">
        <v>11681.964900000001</v>
      </c>
      <c r="FC14" s="1221">
        <v>29499.813699999999</v>
      </c>
      <c r="FD14" s="1221">
        <v>13344.093709999999</v>
      </c>
      <c r="FE14" s="1221">
        <v>36557.82619</v>
      </c>
      <c r="FF14" s="1221">
        <v>17114.475549999999</v>
      </c>
      <c r="FG14" s="1221">
        <v>40381.786639999998</v>
      </c>
      <c r="FH14" s="1221">
        <v>18897.70696</v>
      </c>
      <c r="FI14" s="1221">
        <v>45979.875840000001</v>
      </c>
      <c r="FJ14" s="1221">
        <v>27729.3796</v>
      </c>
      <c r="FK14" s="1221">
        <v>53465.867760000001</v>
      </c>
      <c r="FL14" s="1221">
        <v>29992.76757</v>
      </c>
      <c r="FM14" s="1221">
        <v>3416.2914500000002</v>
      </c>
      <c r="FN14" s="1221">
        <v>3036.0753</v>
      </c>
      <c r="FO14" s="1221">
        <v>8222.6132799999996</v>
      </c>
      <c r="FP14" s="1221">
        <v>3754.5316899999998</v>
      </c>
      <c r="FQ14" s="1221">
        <v>15932.76801</v>
      </c>
      <c r="FR14" s="1221">
        <v>5715.3961099999997</v>
      </c>
      <c r="FS14" s="1221">
        <v>22241.849699999999</v>
      </c>
      <c r="FT14" s="1221">
        <v>7651.0874000000003</v>
      </c>
      <c r="FU14" s="1221">
        <v>27497.992129999999</v>
      </c>
      <c r="FV14" s="1221">
        <v>10233.276109999999</v>
      </c>
      <c r="FW14" s="1221">
        <v>32956.883629999997</v>
      </c>
      <c r="FX14" s="1221">
        <v>12809.52944</v>
      </c>
      <c r="FY14" s="1221">
        <v>38365.598490000004</v>
      </c>
      <c r="FZ14" s="1221">
        <v>14152.44173</v>
      </c>
      <c r="GA14" s="1221">
        <v>43594.933109999998</v>
      </c>
      <c r="GB14" s="1221">
        <v>16036.154039999999</v>
      </c>
      <c r="GC14" s="1221">
        <v>48934.154190000001</v>
      </c>
      <c r="GD14" s="1221">
        <v>19086.256969999999</v>
      </c>
      <c r="GE14" s="1221">
        <v>54583.295140000002</v>
      </c>
      <c r="GF14" s="1221">
        <v>21926.064559999999</v>
      </c>
      <c r="GG14" s="1221">
        <v>62409.789669999998</v>
      </c>
      <c r="GH14" s="1221">
        <v>23469.670859999998</v>
      </c>
      <c r="GI14" s="1221">
        <v>71584.057290000012</v>
      </c>
      <c r="GJ14" s="1221">
        <v>25683.30313</v>
      </c>
      <c r="GK14" s="1221">
        <v>5004.0001400000001</v>
      </c>
      <c r="GL14" s="1221">
        <v>3477.3970600000002</v>
      </c>
      <c r="GM14" s="1221">
        <v>12471.00274</v>
      </c>
      <c r="GN14" s="1221">
        <v>6512.9962599999999</v>
      </c>
      <c r="GO14" s="1221">
        <v>22638.090789999998</v>
      </c>
      <c r="GP14" s="1221">
        <v>7247.9737500000001</v>
      </c>
      <c r="GQ14" s="1221">
        <v>33209.505219999999</v>
      </c>
      <c r="GR14" s="1221">
        <v>14019.96681</v>
      </c>
      <c r="GS14" s="1221">
        <v>39479.669710000002</v>
      </c>
      <c r="GT14" s="1221">
        <v>21282.760900000001</v>
      </c>
      <c r="GU14" s="1221">
        <v>44966.837039999999</v>
      </c>
      <c r="GV14" s="1221">
        <v>26550.456770000001</v>
      </c>
      <c r="GW14" s="1221">
        <v>51091.533539999997</v>
      </c>
      <c r="GX14" s="1221">
        <v>31546.706170000001</v>
      </c>
      <c r="GY14" s="1221">
        <v>57532.613140000001</v>
      </c>
      <c r="GZ14" s="1221">
        <v>34448.745730000002</v>
      </c>
      <c r="HA14" s="1221">
        <v>63945.773829999998</v>
      </c>
      <c r="HB14" s="1221">
        <v>36900.724499999997</v>
      </c>
      <c r="HC14" s="1221">
        <v>70814.019419999997</v>
      </c>
      <c r="HD14" s="1221">
        <v>40681.762589999998</v>
      </c>
      <c r="HE14" s="1221">
        <v>80121.508119999999</v>
      </c>
      <c r="HF14" s="1221">
        <v>50229.535680000001</v>
      </c>
      <c r="HG14" s="1221">
        <v>90938.882889999993</v>
      </c>
      <c r="HH14" s="1221">
        <v>53229.62816</v>
      </c>
      <c r="HI14" s="1221">
        <v>7965.3086999999996</v>
      </c>
      <c r="HJ14" s="1221">
        <v>3712.3583899999999</v>
      </c>
      <c r="HK14" s="1221">
        <v>16798.212739999999</v>
      </c>
      <c r="HL14" s="1221">
        <v>6478.5344299999997</v>
      </c>
      <c r="HM14" s="1221">
        <v>27625.359629999999</v>
      </c>
      <c r="HN14" s="1221">
        <v>8200.9651599999997</v>
      </c>
      <c r="HO14" s="1221">
        <v>38287.838790000002</v>
      </c>
      <c r="HP14" s="1221">
        <v>14282.269609999999</v>
      </c>
      <c r="HQ14" s="1221">
        <v>49603.617639999997</v>
      </c>
      <c r="HR14" s="1221">
        <v>22176.283289999999</v>
      </c>
      <c r="HS14" s="1838" t="s">
        <v>3163</v>
      </c>
    </row>
    <row r="15" spans="1:323" ht="36" customHeight="1">
      <c r="A15" s="1836">
        <v>4</v>
      </c>
      <c r="B15" s="1837" t="s">
        <v>2349</v>
      </c>
      <c r="C15" s="1221">
        <v>4916.9664699999994</v>
      </c>
      <c r="D15" s="1221">
        <v>993.58335</v>
      </c>
      <c r="E15" s="1221">
        <v>7412.0005799999999</v>
      </c>
      <c r="F15" s="1221">
        <v>2268.4632299999998</v>
      </c>
      <c r="G15" s="1221">
        <v>10238.31943</v>
      </c>
      <c r="H15" s="1221">
        <v>3239.9785400000001</v>
      </c>
      <c r="I15" s="1221">
        <v>13009.020279999999</v>
      </c>
      <c r="J15" s="1221">
        <v>4687.5756100000008</v>
      </c>
      <c r="K15" s="1221">
        <v>15370.130349999999</v>
      </c>
      <c r="L15" s="1221">
        <v>5926.3923199999999</v>
      </c>
      <c r="M15" s="1221">
        <v>21328.04232</v>
      </c>
      <c r="N15" s="1221">
        <v>7319.6509599999999</v>
      </c>
      <c r="O15" s="1221">
        <v>24233.06781</v>
      </c>
      <c r="P15" s="1221">
        <v>8681.9582100000007</v>
      </c>
      <c r="Q15" s="1221">
        <v>27464.330979999999</v>
      </c>
      <c r="R15" s="1221">
        <v>10083.454460000001</v>
      </c>
      <c r="S15" s="1221">
        <v>30246.36894</v>
      </c>
      <c r="T15" s="1221">
        <v>11420.43346</v>
      </c>
      <c r="U15" s="1221">
        <v>32140.221000000001</v>
      </c>
      <c r="V15" s="1221">
        <v>12951.161340000001</v>
      </c>
      <c r="W15" s="1221">
        <v>37215.464169999999</v>
      </c>
      <c r="X15" s="1221">
        <v>14266.216779999999</v>
      </c>
      <c r="Y15" s="1221">
        <v>39814.927049999998</v>
      </c>
      <c r="Z15" s="1221">
        <v>15733.20147</v>
      </c>
      <c r="AA15" s="1221">
        <v>2596.3109900000004</v>
      </c>
      <c r="AB15" s="1221">
        <v>1056.8932</v>
      </c>
      <c r="AC15" s="1221">
        <v>5083.2083899999998</v>
      </c>
      <c r="AD15" s="1221">
        <v>2319.54412</v>
      </c>
      <c r="AE15" s="1221">
        <v>7370.5330599999998</v>
      </c>
      <c r="AF15" s="1221">
        <v>3666.0715699999996</v>
      </c>
      <c r="AG15" s="1221">
        <v>10853.474249999999</v>
      </c>
      <c r="AH15" s="1221">
        <v>4935.7428899999995</v>
      </c>
      <c r="AI15" s="1221">
        <v>13207.940399999999</v>
      </c>
      <c r="AJ15" s="1221">
        <v>6347.7152900000001</v>
      </c>
      <c r="AK15" s="1221">
        <v>16648.248599999999</v>
      </c>
      <c r="AL15" s="1221">
        <v>7528.1852399999998</v>
      </c>
      <c r="AM15" s="1221">
        <v>22738.63507</v>
      </c>
      <c r="AN15" s="1221">
        <v>8817.9328000000005</v>
      </c>
      <c r="AO15" s="1221">
        <v>25419.705149999998</v>
      </c>
      <c r="AP15" s="1221">
        <v>10287.75491</v>
      </c>
      <c r="AQ15" s="1221">
        <v>27857.207480000001</v>
      </c>
      <c r="AR15" s="1221">
        <v>11662.064710000001</v>
      </c>
      <c r="AS15" s="1221">
        <v>30549.65683</v>
      </c>
      <c r="AT15" s="1221">
        <v>13004.20823</v>
      </c>
      <c r="AU15" s="1221">
        <v>35453.201479999996</v>
      </c>
      <c r="AV15" s="1221">
        <v>14399.500529999999</v>
      </c>
      <c r="AW15" s="1221">
        <v>39125.941469999998</v>
      </c>
      <c r="AX15" s="1221">
        <v>15794.315909999999</v>
      </c>
      <c r="AY15" s="1221">
        <v>2911.9238700000001</v>
      </c>
      <c r="AZ15" s="1221">
        <v>1677.6398100000001</v>
      </c>
      <c r="BA15" s="1221">
        <v>5346.6092600000002</v>
      </c>
      <c r="BB15" s="1221">
        <v>3358.1210099999998</v>
      </c>
      <c r="BC15" s="1221">
        <v>8425.1299999999992</v>
      </c>
      <c r="BD15" s="1221">
        <v>4554.9799999999996</v>
      </c>
      <c r="BE15" s="1221">
        <v>10906.670689999999</v>
      </c>
      <c r="BF15" s="1221">
        <v>6357.1668399999999</v>
      </c>
      <c r="BG15" s="1221">
        <v>13099.84628</v>
      </c>
      <c r="BH15" s="1221">
        <v>7872.0824000000002</v>
      </c>
      <c r="BI15" s="1221">
        <v>19698.589319999999</v>
      </c>
      <c r="BJ15" s="1221">
        <v>9758.7171799999996</v>
      </c>
      <c r="BK15" s="1221">
        <v>23073.08181</v>
      </c>
      <c r="BL15" s="1221">
        <v>11634.994210000001</v>
      </c>
      <c r="BM15" s="1221">
        <v>26477.661749999999</v>
      </c>
      <c r="BN15" s="1221">
        <v>13159.441419999999</v>
      </c>
      <c r="BO15" s="1221">
        <v>28576.956570000002</v>
      </c>
      <c r="BP15" s="1221">
        <v>14723.995419999999</v>
      </c>
      <c r="BQ15" s="1221">
        <v>31198.52895</v>
      </c>
      <c r="BR15" s="1221">
        <v>16837.080440000002</v>
      </c>
      <c r="BS15" s="1221">
        <v>33725.66491</v>
      </c>
      <c r="BT15" s="1221">
        <v>18482.042249999999</v>
      </c>
      <c r="BU15" s="1221">
        <v>36805.802109999997</v>
      </c>
      <c r="BV15" s="1221">
        <v>20021.92727</v>
      </c>
      <c r="BW15" s="1221">
        <v>6031.8518199999999</v>
      </c>
      <c r="BX15" s="1221">
        <v>1801.1281299999998</v>
      </c>
      <c r="BY15" s="1221">
        <v>8328.2159900000006</v>
      </c>
      <c r="BZ15" s="1221">
        <v>3370.9102699999999</v>
      </c>
      <c r="CA15" s="1221">
        <v>10528.69153</v>
      </c>
      <c r="CB15" s="1221">
        <v>4546.0320700000002</v>
      </c>
      <c r="CC15" s="1221">
        <v>11963.663369999998</v>
      </c>
      <c r="CD15" s="1221">
        <v>6426.6786700000002</v>
      </c>
      <c r="CE15" s="1221">
        <v>14272.991779999998</v>
      </c>
      <c r="CF15" s="1221">
        <v>7739.0788400000001</v>
      </c>
      <c r="CG15" s="1221">
        <v>17633.040069999999</v>
      </c>
      <c r="CH15" s="1221">
        <v>10018.446039999999</v>
      </c>
      <c r="CI15" s="1221">
        <v>23029.390170000002</v>
      </c>
      <c r="CJ15" s="1221">
        <v>11904.59964</v>
      </c>
      <c r="CK15" s="1221">
        <v>25681.91203</v>
      </c>
      <c r="CL15" s="1221">
        <v>13276.478859999999</v>
      </c>
      <c r="CM15" s="1221">
        <v>27876.95666</v>
      </c>
      <c r="CN15" s="1221">
        <v>14701.41749</v>
      </c>
      <c r="CO15" s="1221">
        <v>30458.363590000001</v>
      </c>
      <c r="CP15" s="1221">
        <v>16383.259689999999</v>
      </c>
      <c r="CQ15" s="1221">
        <v>32762.648949999999</v>
      </c>
      <c r="CR15" s="1221">
        <v>17601.312329999997</v>
      </c>
      <c r="CS15" s="1221">
        <v>36883.800560000003</v>
      </c>
      <c r="CT15" s="1221">
        <v>18985.948210000002</v>
      </c>
      <c r="CU15" s="1221">
        <v>3638.1120000000001</v>
      </c>
      <c r="CV15" s="1221">
        <v>1488.05197</v>
      </c>
      <c r="CW15" s="1221">
        <v>6427.4528</v>
      </c>
      <c r="CX15" s="1221">
        <v>3021.1530699999998</v>
      </c>
      <c r="CY15" s="1221">
        <v>7803.7245499999999</v>
      </c>
      <c r="CZ15" s="1221">
        <v>4174.4112599999999</v>
      </c>
      <c r="DA15" s="1221">
        <v>9048.4640299999992</v>
      </c>
      <c r="DB15" s="1221">
        <v>5352.6082999999999</v>
      </c>
      <c r="DC15" s="1221">
        <v>10475.44692</v>
      </c>
      <c r="DD15" s="1221">
        <v>6603.6342300000006</v>
      </c>
      <c r="DE15" s="1221">
        <v>12318.559009999999</v>
      </c>
      <c r="DF15" s="1221">
        <v>7952.0704999999998</v>
      </c>
      <c r="DG15" s="1221">
        <v>13820.86515</v>
      </c>
      <c r="DH15" s="1221">
        <v>9129.4289200000003</v>
      </c>
      <c r="DI15" s="1221">
        <v>16877.213670000001</v>
      </c>
      <c r="DJ15" s="1221">
        <v>10294.209269999999</v>
      </c>
      <c r="DK15" s="1221">
        <v>18720.076010000001</v>
      </c>
      <c r="DL15" s="1221">
        <v>11353.811710000002</v>
      </c>
      <c r="DM15" s="1221">
        <v>20878.212879999999</v>
      </c>
      <c r="DN15" s="1221">
        <v>12309.62074</v>
      </c>
      <c r="DO15" s="1221">
        <v>22612.667010000001</v>
      </c>
      <c r="DP15" s="1221">
        <v>13309.097039999999</v>
      </c>
      <c r="DQ15" s="1221">
        <v>25357.862059999999</v>
      </c>
      <c r="DR15" s="1221">
        <v>14305.60672</v>
      </c>
      <c r="DS15" s="1221">
        <v>3235.6236400000003</v>
      </c>
      <c r="DT15" s="1221">
        <v>862.38689999999997</v>
      </c>
      <c r="DU15" s="1221">
        <v>5068.1894199999997</v>
      </c>
      <c r="DV15" s="1221">
        <v>1677.3193899999999</v>
      </c>
      <c r="DW15" s="1221">
        <v>6488.0418899999995</v>
      </c>
      <c r="DX15" s="1221">
        <v>2638.1171199999999</v>
      </c>
      <c r="DY15" s="1221">
        <v>7908.1280099999994</v>
      </c>
      <c r="DZ15" s="1221">
        <v>3573.9974099999999</v>
      </c>
      <c r="EA15" s="1221">
        <v>9707.7479600000006</v>
      </c>
      <c r="EB15" s="1221">
        <v>4343.4766100000006</v>
      </c>
      <c r="EC15" s="1221">
        <v>11355.282529999999</v>
      </c>
      <c r="ED15" s="1221">
        <v>5335.3253500000001</v>
      </c>
      <c r="EE15" s="1221">
        <v>13516.450490000001</v>
      </c>
      <c r="EF15" s="1221">
        <v>6124.3449800000008</v>
      </c>
      <c r="EG15" s="1221">
        <v>15247.229029999999</v>
      </c>
      <c r="EH15" s="1221">
        <v>6933.2663300000004</v>
      </c>
      <c r="EI15" s="1221">
        <v>17236.853870000003</v>
      </c>
      <c r="EJ15" s="1221">
        <v>7792.6211299999995</v>
      </c>
      <c r="EK15" s="1221">
        <v>19396.95666</v>
      </c>
      <c r="EL15" s="1221">
        <v>8837.0401500000007</v>
      </c>
      <c r="EM15" s="1221">
        <v>22212.963759999999</v>
      </c>
      <c r="EN15" s="1221">
        <v>9581.8424599999998</v>
      </c>
      <c r="EO15" s="1221">
        <v>25113.320390000001</v>
      </c>
      <c r="EP15" s="1221">
        <v>10624.75546</v>
      </c>
      <c r="EQ15" s="1221">
        <v>2630.4606699999999</v>
      </c>
      <c r="ER15" s="1221">
        <v>881.78324999999995</v>
      </c>
      <c r="ES15" s="1221">
        <v>4792.1309199999996</v>
      </c>
      <c r="ET15" s="1221">
        <v>1792.0171499999999</v>
      </c>
      <c r="EU15" s="1221">
        <v>6820.5385500000002</v>
      </c>
      <c r="EV15" s="1221">
        <v>2759.8321700000001</v>
      </c>
      <c r="EW15" s="1221">
        <v>9456.35455</v>
      </c>
      <c r="EX15" s="1221">
        <v>3897.1519499999999</v>
      </c>
      <c r="EY15" s="1221">
        <v>11817.41784</v>
      </c>
      <c r="EZ15" s="1221">
        <v>5431.19056</v>
      </c>
      <c r="FA15" s="1221">
        <v>13316.489519999999</v>
      </c>
      <c r="FB15" s="1221">
        <v>6688.1452300000001</v>
      </c>
      <c r="FC15" s="1221">
        <v>16114.342329999999</v>
      </c>
      <c r="FD15" s="1221">
        <v>7543.9842600000002</v>
      </c>
      <c r="FE15" s="1221">
        <v>22185.69138</v>
      </c>
      <c r="FF15" s="1221">
        <v>10530.16639</v>
      </c>
      <c r="FG15" s="1221">
        <v>24497.585179999998</v>
      </c>
      <c r="FH15" s="1221">
        <v>12593.067069999999</v>
      </c>
      <c r="FI15" s="1221">
        <v>26964.33971</v>
      </c>
      <c r="FJ15" s="1221">
        <v>13970.389300000001</v>
      </c>
      <c r="FK15" s="1221">
        <v>29760.949639999999</v>
      </c>
      <c r="FL15" s="1221">
        <v>15808.13495</v>
      </c>
      <c r="FM15" s="1221">
        <v>2929.10257</v>
      </c>
      <c r="FN15" s="1221">
        <v>1175.5429299999998</v>
      </c>
      <c r="FO15" s="1221">
        <v>5153.46587</v>
      </c>
      <c r="FP15" s="1221">
        <v>2845.30465</v>
      </c>
      <c r="FQ15" s="1221">
        <v>7565.3878299999997</v>
      </c>
      <c r="FR15" s="1221">
        <v>4250.2650999999996</v>
      </c>
      <c r="FS15" s="1221">
        <v>9721.5837699999993</v>
      </c>
      <c r="FT15" s="1221">
        <v>5772.9627300000002</v>
      </c>
      <c r="FU15" s="1221">
        <v>13876.952080000001</v>
      </c>
      <c r="FV15" s="1221">
        <v>7292.1524600000002</v>
      </c>
      <c r="FW15" s="1221">
        <v>16956.192340000001</v>
      </c>
      <c r="FX15" s="1221">
        <v>8457.14</v>
      </c>
      <c r="FY15" s="1221">
        <v>21200.433410000001</v>
      </c>
      <c r="FZ15" s="1221">
        <v>9591.6176999999989</v>
      </c>
      <c r="GA15" s="1221">
        <v>26660.719400000002</v>
      </c>
      <c r="GB15" s="1221">
        <v>11311.832850000001</v>
      </c>
      <c r="GC15" s="1221">
        <v>30886.376399999997</v>
      </c>
      <c r="GD15" s="1221">
        <v>12515.499400000001</v>
      </c>
      <c r="GE15" s="1221">
        <v>34051.29984</v>
      </c>
      <c r="GF15" s="1221">
        <v>14017.54711</v>
      </c>
      <c r="GG15" s="1221">
        <v>39116.781179999998</v>
      </c>
      <c r="GH15" s="1221">
        <v>15314.625190000001</v>
      </c>
      <c r="GI15" s="1221">
        <v>44865.766369999998</v>
      </c>
      <c r="GJ15" s="1221">
        <v>16627.208210000001</v>
      </c>
      <c r="GK15" s="1221">
        <v>4186.6699100000005</v>
      </c>
      <c r="GL15" s="1221">
        <v>1343.3404499999999</v>
      </c>
      <c r="GM15" s="1221">
        <v>8186.3302000000003</v>
      </c>
      <c r="GN15" s="1221">
        <v>3007.96684</v>
      </c>
      <c r="GO15" s="1221">
        <v>12253.25829</v>
      </c>
      <c r="GP15" s="1221">
        <v>4524.8935199999996</v>
      </c>
      <c r="GQ15" s="1221">
        <v>16891.229879999999</v>
      </c>
      <c r="GR15" s="1221">
        <v>6498.6934000000001</v>
      </c>
      <c r="GS15" s="1221">
        <v>21872.487850000001</v>
      </c>
      <c r="GT15" s="1221">
        <v>8653.6881699999994</v>
      </c>
      <c r="GU15" s="1221">
        <v>26766.550790000001</v>
      </c>
      <c r="GV15" s="1221">
        <v>10131.081399999999</v>
      </c>
      <c r="GW15" s="1221">
        <v>33210.965120000001</v>
      </c>
      <c r="GX15" s="1221">
        <v>12262.55755</v>
      </c>
      <c r="GY15" s="1221">
        <v>41472.319150000003</v>
      </c>
      <c r="GZ15" s="1221">
        <v>14387.622069999999</v>
      </c>
      <c r="HA15" s="1221">
        <v>46972.04939</v>
      </c>
      <c r="HB15" s="1221">
        <v>17394.201710000001</v>
      </c>
      <c r="HC15" s="1221">
        <v>52894.132599999997</v>
      </c>
      <c r="HD15" s="1221">
        <v>20685.90583</v>
      </c>
      <c r="HE15" s="1221">
        <v>59130.074050000003</v>
      </c>
      <c r="HF15" s="1221">
        <v>24471.77591</v>
      </c>
      <c r="HG15" s="1221">
        <v>76436.237519999995</v>
      </c>
      <c r="HH15" s="1221">
        <v>29018.411090000001</v>
      </c>
      <c r="HI15" s="1221">
        <v>4918.5545700000002</v>
      </c>
      <c r="HJ15" s="1221">
        <v>2767.7108800000001</v>
      </c>
      <c r="HK15" s="1221">
        <v>9637.3786400000008</v>
      </c>
      <c r="HL15" s="1221">
        <v>5997.1756699999996</v>
      </c>
      <c r="HM15" s="1221">
        <v>14849.09115</v>
      </c>
      <c r="HN15" s="1221">
        <v>8398.0467800000006</v>
      </c>
      <c r="HO15" s="1221">
        <v>20261.52003</v>
      </c>
      <c r="HP15" s="1221">
        <v>12747.759330000001</v>
      </c>
      <c r="HQ15" s="1221">
        <v>25763.940200000001</v>
      </c>
      <c r="HR15" s="1221">
        <v>16622.94744</v>
      </c>
      <c r="HS15" s="1838" t="s">
        <v>3164</v>
      </c>
    </row>
    <row r="16" spans="1:323" ht="36" customHeight="1">
      <c r="A16" s="1836">
        <v>5</v>
      </c>
      <c r="B16" s="1837" t="s">
        <v>2347</v>
      </c>
      <c r="C16" s="1221">
        <v>253.33629999999999</v>
      </c>
      <c r="D16" s="1221">
        <v>259.89022</v>
      </c>
      <c r="E16" s="1221">
        <v>547.9239399999999</v>
      </c>
      <c r="F16" s="1221">
        <v>504.71914000000004</v>
      </c>
      <c r="G16" s="1221">
        <v>1369.14492</v>
      </c>
      <c r="H16" s="1221">
        <v>774.48761000000002</v>
      </c>
      <c r="I16" s="1221">
        <v>2034.25821</v>
      </c>
      <c r="J16" s="1221">
        <v>815.42926</v>
      </c>
      <c r="K16" s="1221">
        <v>2292.3925899999999</v>
      </c>
      <c r="L16" s="1221">
        <v>1398.39842</v>
      </c>
      <c r="M16" s="1221">
        <v>2702.3072400000001</v>
      </c>
      <c r="N16" s="1221">
        <v>1587.4230500000001</v>
      </c>
      <c r="O16" s="1221">
        <v>3085.5450799999999</v>
      </c>
      <c r="P16" s="1221">
        <v>1902.0135500000001</v>
      </c>
      <c r="Q16" s="1221">
        <v>3483.50342</v>
      </c>
      <c r="R16" s="1221">
        <v>2221.1866600000003</v>
      </c>
      <c r="S16" s="1221">
        <v>5175.8194400000002</v>
      </c>
      <c r="T16" s="1221">
        <v>2352.4549300000003</v>
      </c>
      <c r="U16" s="1221">
        <v>5443.8615199999995</v>
      </c>
      <c r="V16" s="1221">
        <v>2557.1864399999999</v>
      </c>
      <c r="W16" s="1221">
        <v>5832.1152899999997</v>
      </c>
      <c r="X16" s="1221">
        <v>2891.5966800000001</v>
      </c>
      <c r="Y16" s="1221">
        <v>6414.5510899999999</v>
      </c>
      <c r="Z16" s="1221">
        <v>3254.0662400000001</v>
      </c>
      <c r="AA16" s="1221">
        <v>153.45392000000001</v>
      </c>
      <c r="AB16" s="1221">
        <v>62.651660000000007</v>
      </c>
      <c r="AC16" s="1221">
        <v>379.46803999999997</v>
      </c>
      <c r="AD16" s="1221">
        <v>464.06728999999996</v>
      </c>
      <c r="AE16" s="1221">
        <v>1161.3367800000001</v>
      </c>
      <c r="AF16" s="1221">
        <v>1224.04204</v>
      </c>
      <c r="AG16" s="1221">
        <v>1394.5222699999999</v>
      </c>
      <c r="AH16" s="1221">
        <v>1425.8763000000001</v>
      </c>
      <c r="AI16" s="1221">
        <v>2734.2945800000002</v>
      </c>
      <c r="AJ16" s="1221">
        <v>1620.44094</v>
      </c>
      <c r="AK16" s="1221">
        <v>3236.64633</v>
      </c>
      <c r="AL16" s="1221">
        <v>2214.4834599999999</v>
      </c>
      <c r="AM16" s="1221">
        <v>3791.4593500000001</v>
      </c>
      <c r="AN16" s="1221">
        <v>2466.5057599999996</v>
      </c>
      <c r="AO16" s="1221">
        <v>5635.1958600000007</v>
      </c>
      <c r="AP16" s="1221">
        <v>2645.0745400000001</v>
      </c>
      <c r="AQ16" s="1221">
        <v>6267.2968499999997</v>
      </c>
      <c r="AR16" s="1221">
        <v>2726.3208399999999</v>
      </c>
      <c r="AS16" s="1221">
        <v>6466.0264999999999</v>
      </c>
      <c r="AT16" s="1221">
        <v>2973.5614700000001</v>
      </c>
      <c r="AU16" s="1221">
        <v>6608.7642000000005</v>
      </c>
      <c r="AV16" s="1221">
        <v>3126.9236599999999</v>
      </c>
      <c r="AW16" s="1221">
        <v>7227.6710400000002</v>
      </c>
      <c r="AX16" s="1221">
        <v>3360.6122400000004</v>
      </c>
      <c r="AY16" s="1221">
        <v>181.97653</v>
      </c>
      <c r="AZ16" s="1221">
        <v>237.08617000000001</v>
      </c>
      <c r="BA16" s="1221">
        <v>1484.1703200000002</v>
      </c>
      <c r="BB16" s="1221">
        <v>556.46271999999999</v>
      </c>
      <c r="BC16" s="1221">
        <v>2163.67</v>
      </c>
      <c r="BD16" s="1221">
        <v>410.31</v>
      </c>
      <c r="BE16" s="1221">
        <v>2777.2056000000002</v>
      </c>
      <c r="BF16" s="1221">
        <v>645.03587000000005</v>
      </c>
      <c r="BG16" s="1221">
        <v>3695.1037200000001</v>
      </c>
      <c r="BH16" s="1221">
        <v>864.92100000000005</v>
      </c>
      <c r="BI16" s="1221">
        <v>3998.18136</v>
      </c>
      <c r="BJ16" s="1221">
        <v>992.21291000000008</v>
      </c>
      <c r="BK16" s="1221">
        <v>5007.1372199999996</v>
      </c>
      <c r="BL16" s="1221">
        <v>1281.5297</v>
      </c>
      <c r="BM16" s="1221">
        <v>6762.5851199999997</v>
      </c>
      <c r="BN16" s="1221">
        <v>1465.6601699999999</v>
      </c>
      <c r="BO16" s="1221">
        <v>7219.0470800000003</v>
      </c>
      <c r="BP16" s="1221">
        <v>1785.48622</v>
      </c>
      <c r="BQ16" s="1221">
        <v>7444.5776900000001</v>
      </c>
      <c r="BR16" s="1221">
        <v>1928.7400500000001</v>
      </c>
      <c r="BS16" s="1221">
        <v>7656.2552300000007</v>
      </c>
      <c r="BT16" s="1221">
        <v>2106.69931</v>
      </c>
      <c r="BU16" s="1221">
        <v>8138.6656299999995</v>
      </c>
      <c r="BV16" s="1221">
        <v>2862.5341200000003</v>
      </c>
      <c r="BW16" s="1221">
        <v>419.77965</v>
      </c>
      <c r="BX16" s="1221">
        <v>52.786699999999996</v>
      </c>
      <c r="BY16" s="1221">
        <v>650.03084999999999</v>
      </c>
      <c r="BZ16" s="1221">
        <v>166.90676000000002</v>
      </c>
      <c r="CA16" s="1221">
        <v>1464.4006200000001</v>
      </c>
      <c r="CB16" s="1221">
        <v>306.77424999999999</v>
      </c>
      <c r="CC16" s="1221">
        <v>2245.8063199999997</v>
      </c>
      <c r="CD16" s="1221">
        <v>563.60536999999999</v>
      </c>
      <c r="CE16" s="1221">
        <v>2306.5902599999999</v>
      </c>
      <c r="CF16" s="1221">
        <v>781.66082999999992</v>
      </c>
      <c r="CG16" s="1221">
        <v>2663.3373199999996</v>
      </c>
      <c r="CH16" s="1221">
        <v>1007.67134</v>
      </c>
      <c r="CI16" s="1221">
        <v>3029.3253100000002</v>
      </c>
      <c r="CJ16" s="1221">
        <v>1185.8696299999999</v>
      </c>
      <c r="CK16" s="1221">
        <v>4176.7994200000003</v>
      </c>
      <c r="CL16" s="1221">
        <v>1362.2451899999999</v>
      </c>
      <c r="CM16" s="1221">
        <v>4583.6687999999995</v>
      </c>
      <c r="CN16" s="1221">
        <v>1464.6500900000001</v>
      </c>
      <c r="CO16" s="1221">
        <v>4916.8347100000001</v>
      </c>
      <c r="CP16" s="1221">
        <v>1713.4804199999999</v>
      </c>
      <c r="CQ16" s="1221">
        <v>5111.07251</v>
      </c>
      <c r="CR16" s="1221">
        <v>1859.3883999999998</v>
      </c>
      <c r="CS16" s="1221">
        <v>5631.5512099999996</v>
      </c>
      <c r="CT16" s="1221">
        <v>2019.1693300000002</v>
      </c>
      <c r="CU16" s="1221">
        <v>1697.9931100000001</v>
      </c>
      <c r="CV16" s="1221">
        <v>125.39542</v>
      </c>
      <c r="CW16" s="1221">
        <v>2134.6035699999998</v>
      </c>
      <c r="CX16" s="1221">
        <v>569.44644999999991</v>
      </c>
      <c r="CY16" s="1221">
        <v>3101.1550000000002</v>
      </c>
      <c r="CZ16" s="1221">
        <v>486.36786999999998</v>
      </c>
      <c r="DA16" s="1221">
        <v>3879.1493399999999</v>
      </c>
      <c r="DB16" s="1221">
        <v>549.63684999999998</v>
      </c>
      <c r="DC16" s="1221">
        <v>4400.5550899999998</v>
      </c>
      <c r="DD16" s="1221">
        <v>733.87682999999993</v>
      </c>
      <c r="DE16" s="1221">
        <v>5159.9410199999993</v>
      </c>
      <c r="DF16" s="1221">
        <v>938.79058999999995</v>
      </c>
      <c r="DG16" s="1221">
        <v>5977.5870700000005</v>
      </c>
      <c r="DH16" s="1221">
        <v>1084.6992399999999</v>
      </c>
      <c r="DI16" s="1221">
        <v>6676.5986800000001</v>
      </c>
      <c r="DJ16" s="1221">
        <v>1256.9549</v>
      </c>
      <c r="DK16" s="1221">
        <v>7356.75918</v>
      </c>
      <c r="DL16" s="1221">
        <v>1392.38175</v>
      </c>
      <c r="DM16" s="1221">
        <v>7926.6907000000001</v>
      </c>
      <c r="DN16" s="1221">
        <v>1609.0673999999999</v>
      </c>
      <c r="DO16" s="1221">
        <v>8359.9982600000003</v>
      </c>
      <c r="DP16" s="1221">
        <v>1833.8076599999999</v>
      </c>
      <c r="DQ16" s="1221">
        <v>9042.2850699999999</v>
      </c>
      <c r="DR16" s="1221">
        <v>2136.0991300000001</v>
      </c>
      <c r="DS16" s="1221">
        <v>1969.77567</v>
      </c>
      <c r="DT16" s="1221">
        <v>213.60101999999998</v>
      </c>
      <c r="DU16" s="1221">
        <v>3003.2240999999999</v>
      </c>
      <c r="DV16" s="1221">
        <v>470.56248999999997</v>
      </c>
      <c r="DW16" s="1221">
        <v>4893.2646500000001</v>
      </c>
      <c r="DX16" s="1221">
        <v>711.19280000000003</v>
      </c>
      <c r="DY16" s="1221">
        <v>6001.6634800000002</v>
      </c>
      <c r="DZ16" s="1221">
        <v>1155.7838400000001</v>
      </c>
      <c r="EA16" s="1221">
        <v>6518.2347599999994</v>
      </c>
      <c r="EB16" s="1221">
        <v>1485.7564</v>
      </c>
      <c r="EC16" s="1221">
        <v>7335.1494199999997</v>
      </c>
      <c r="ED16" s="1221">
        <v>1884.00143</v>
      </c>
      <c r="EE16" s="1221">
        <v>8179.8884100000005</v>
      </c>
      <c r="EF16" s="1221">
        <v>2383.6547300000002</v>
      </c>
      <c r="EG16" s="1221">
        <v>9062.2503800000013</v>
      </c>
      <c r="EH16" s="1221">
        <v>2708.3744300000003</v>
      </c>
      <c r="EI16" s="1221">
        <v>9926.031140000001</v>
      </c>
      <c r="EJ16" s="1221">
        <v>3144.26809</v>
      </c>
      <c r="EK16" s="1221">
        <v>10558.029930000001</v>
      </c>
      <c r="EL16" s="1221">
        <v>3590.2330999999999</v>
      </c>
      <c r="EM16" s="1221">
        <v>11147.2127</v>
      </c>
      <c r="EN16" s="1221">
        <v>3875.5511200000001</v>
      </c>
      <c r="EO16" s="1221">
        <v>12023.742109999999</v>
      </c>
      <c r="EP16" s="1221">
        <v>4274.64887</v>
      </c>
      <c r="EQ16" s="1221">
        <v>2570.9342799999999</v>
      </c>
      <c r="ER16" s="1221">
        <v>313.91532999999998</v>
      </c>
      <c r="ES16" s="1221">
        <v>3265.6899899999999</v>
      </c>
      <c r="ET16" s="1221">
        <v>631.32500000000005</v>
      </c>
      <c r="EU16" s="1221">
        <v>4657.3422600000004</v>
      </c>
      <c r="EV16" s="1221">
        <v>970.83370000000002</v>
      </c>
      <c r="EW16" s="1221">
        <v>6163.0390699999998</v>
      </c>
      <c r="EX16" s="1221">
        <v>1434.16021</v>
      </c>
      <c r="EY16" s="1221">
        <v>6976.2106599999997</v>
      </c>
      <c r="EZ16" s="1221">
        <v>1813.53584</v>
      </c>
      <c r="FA16" s="1221">
        <v>8155.9021700000003</v>
      </c>
      <c r="FB16" s="1221">
        <v>2152.9256500000001</v>
      </c>
      <c r="FC16" s="1221">
        <v>9035.3003100000005</v>
      </c>
      <c r="FD16" s="1221">
        <v>2541.3399199999999</v>
      </c>
      <c r="FE16" s="1221">
        <v>11448.320110000001</v>
      </c>
      <c r="FF16" s="1221">
        <v>3536.17263</v>
      </c>
      <c r="FG16" s="1221">
        <v>12325.86839</v>
      </c>
      <c r="FH16" s="1221">
        <v>4113.9287100000001</v>
      </c>
      <c r="FI16" s="1221">
        <v>13415.57316</v>
      </c>
      <c r="FJ16" s="1221">
        <v>4481.8337899999997</v>
      </c>
      <c r="FK16" s="1221">
        <v>14464.40454</v>
      </c>
      <c r="FL16" s="1221">
        <v>4892.7441600000002</v>
      </c>
      <c r="FM16" s="1221">
        <v>2676.5643700000001</v>
      </c>
      <c r="FN16" s="1221">
        <v>455.68511000000001</v>
      </c>
      <c r="FO16" s="1221">
        <v>4147.3698100000001</v>
      </c>
      <c r="FP16" s="1221">
        <v>1054.7651000000001</v>
      </c>
      <c r="FQ16" s="1221">
        <v>5207.6311900000001</v>
      </c>
      <c r="FR16" s="1221">
        <v>1498.5840599999999</v>
      </c>
      <c r="FS16" s="1221">
        <v>5983.1708799999997</v>
      </c>
      <c r="FT16" s="1221">
        <v>2101.8270000000002</v>
      </c>
      <c r="FU16" s="1221">
        <v>7989.55573</v>
      </c>
      <c r="FV16" s="1221">
        <v>2858.4999500000004</v>
      </c>
      <c r="FW16" s="1221">
        <v>9352.8002100000012</v>
      </c>
      <c r="FX16" s="1221">
        <v>3341.3641899999998</v>
      </c>
      <c r="FY16" s="1221">
        <v>10778.639710000001</v>
      </c>
      <c r="FZ16" s="1221">
        <v>5004.2890700000007</v>
      </c>
      <c r="GA16" s="1221">
        <v>12512.90141</v>
      </c>
      <c r="GB16" s="1221">
        <v>21492.01514</v>
      </c>
      <c r="GC16" s="1221">
        <v>14529.038689999999</v>
      </c>
      <c r="GD16" s="1221">
        <v>27458.29711</v>
      </c>
      <c r="GE16" s="1221">
        <v>16197.824119999999</v>
      </c>
      <c r="GF16" s="1221">
        <v>30638.965919999999</v>
      </c>
      <c r="GG16" s="1221">
        <v>18329.547419999999</v>
      </c>
      <c r="GH16" s="1221">
        <v>31514.663430000001</v>
      </c>
      <c r="GI16" s="1221">
        <v>19927.92727</v>
      </c>
      <c r="GJ16" s="1221">
        <v>32275.11795</v>
      </c>
      <c r="GK16" s="1221">
        <v>3481.4876800000002</v>
      </c>
      <c r="GL16" s="1221">
        <v>404.13853</v>
      </c>
      <c r="GM16" s="1221">
        <v>5086.8395</v>
      </c>
      <c r="GN16" s="1221">
        <v>1280.96207</v>
      </c>
      <c r="GO16" s="1221">
        <v>6713.3464000000004</v>
      </c>
      <c r="GP16" s="1221">
        <v>2114.5583700000002</v>
      </c>
      <c r="GQ16" s="1221">
        <v>9059.1534900000006</v>
      </c>
      <c r="GR16" s="1221">
        <v>2884.4622899999999</v>
      </c>
      <c r="GS16" s="1221">
        <v>11161.202960000001</v>
      </c>
      <c r="GT16" s="1221">
        <v>3714.0334899999998</v>
      </c>
      <c r="GU16" s="1221">
        <v>13294.95132</v>
      </c>
      <c r="GV16" s="1221">
        <v>4351.6625100000001</v>
      </c>
      <c r="GW16" s="1221">
        <v>15418.550310000001</v>
      </c>
      <c r="GX16" s="1221">
        <v>5208.3221100000001</v>
      </c>
      <c r="GY16" s="1221">
        <v>17276.499820000001</v>
      </c>
      <c r="GZ16" s="1221">
        <v>6102.8477400000002</v>
      </c>
      <c r="HA16" s="1221">
        <v>19228.207780000001</v>
      </c>
      <c r="HB16" s="1221">
        <v>7199.4272700000001</v>
      </c>
      <c r="HC16" s="1221">
        <v>21345.505420000001</v>
      </c>
      <c r="HD16" s="1221">
        <v>8616.7687499999993</v>
      </c>
      <c r="HE16" s="1221">
        <v>23316.582439999998</v>
      </c>
      <c r="HF16" s="1221">
        <v>10915.86522</v>
      </c>
      <c r="HG16" s="1221">
        <v>24943.185259999998</v>
      </c>
      <c r="HH16" s="1221">
        <v>12098.647650000001</v>
      </c>
      <c r="HI16" s="1221">
        <v>3700.7984799999999</v>
      </c>
      <c r="HJ16" s="1221">
        <v>973.15351999999996</v>
      </c>
      <c r="HK16" s="1221">
        <v>5538.6844199999996</v>
      </c>
      <c r="HL16" s="1221">
        <v>2120.4919199999999</v>
      </c>
      <c r="HM16" s="1221">
        <v>8640.2890200000002</v>
      </c>
      <c r="HN16" s="1221">
        <v>2784.52691</v>
      </c>
      <c r="HO16" s="1221">
        <v>11023.87811</v>
      </c>
      <c r="HP16" s="1221">
        <v>4015.1456400000002</v>
      </c>
      <c r="HQ16" s="1221">
        <v>13815.23086</v>
      </c>
      <c r="HR16" s="1221">
        <v>5093.5936600000005</v>
      </c>
      <c r="HS16" s="1838" t="s">
        <v>3165</v>
      </c>
    </row>
    <row r="17" spans="1:227" ht="36" customHeight="1">
      <c r="A17" s="1836">
        <v>6</v>
      </c>
      <c r="B17" s="1837" t="s">
        <v>3079</v>
      </c>
      <c r="C17" s="1221">
        <v>1159.9825700000001</v>
      </c>
      <c r="D17" s="1221">
        <v>562.65356000000008</v>
      </c>
      <c r="E17" s="1221">
        <v>2792.7365600000003</v>
      </c>
      <c r="F17" s="1221">
        <v>1093.8690800000002</v>
      </c>
      <c r="G17" s="1221">
        <v>5119.5651500000004</v>
      </c>
      <c r="H17" s="1221">
        <v>1730.6905900000002</v>
      </c>
      <c r="I17" s="1221">
        <v>7100.6533899999995</v>
      </c>
      <c r="J17" s="1221">
        <v>2350.5508599999998</v>
      </c>
      <c r="K17" s="1221">
        <v>9110.3430800000006</v>
      </c>
      <c r="L17" s="1221">
        <v>2830.6105699999998</v>
      </c>
      <c r="M17" s="1221">
        <v>10591.063259999999</v>
      </c>
      <c r="N17" s="1221">
        <v>3358.8099099999999</v>
      </c>
      <c r="O17" s="1221">
        <v>12637.541150000001</v>
      </c>
      <c r="P17" s="1221">
        <v>3991.5741000000003</v>
      </c>
      <c r="Q17" s="1221">
        <v>14665.597250000001</v>
      </c>
      <c r="R17" s="1221">
        <v>4939.1215999999995</v>
      </c>
      <c r="S17" s="1221">
        <v>16280.44399</v>
      </c>
      <c r="T17" s="1221">
        <v>5741.7251299999998</v>
      </c>
      <c r="U17" s="1221">
        <v>19277.735850000001</v>
      </c>
      <c r="V17" s="1221">
        <v>6427.7234400000007</v>
      </c>
      <c r="W17" s="1221">
        <v>21080.242120000003</v>
      </c>
      <c r="X17" s="1221">
        <v>7076.5058799999997</v>
      </c>
      <c r="Y17" s="1221">
        <v>22720.978280000003</v>
      </c>
      <c r="Z17" s="1221">
        <v>7753.0190499999999</v>
      </c>
      <c r="AA17" s="1221">
        <v>1402.32033</v>
      </c>
      <c r="AB17" s="1221">
        <v>798.93690000000004</v>
      </c>
      <c r="AC17" s="1221">
        <v>3019.5210699999998</v>
      </c>
      <c r="AD17" s="1221">
        <v>1242.3192300000001</v>
      </c>
      <c r="AE17" s="1221">
        <v>5139.5870000000004</v>
      </c>
      <c r="AF17" s="1221">
        <v>1974.42192</v>
      </c>
      <c r="AG17" s="1221">
        <v>7378.45453</v>
      </c>
      <c r="AH17" s="1221">
        <v>2588.57861</v>
      </c>
      <c r="AI17" s="1221">
        <v>9798.3248499999991</v>
      </c>
      <c r="AJ17" s="1221">
        <v>3388.7885099999999</v>
      </c>
      <c r="AK17" s="1221">
        <v>12380.23906</v>
      </c>
      <c r="AL17" s="1221">
        <v>4182.3076200000005</v>
      </c>
      <c r="AM17" s="1221">
        <v>14662.424140000001</v>
      </c>
      <c r="AN17" s="1221">
        <v>5059.6106600000003</v>
      </c>
      <c r="AO17" s="1221">
        <v>16973.111829999998</v>
      </c>
      <c r="AP17" s="1221">
        <v>5955.6987800000006</v>
      </c>
      <c r="AQ17" s="1221">
        <v>18794.638870000002</v>
      </c>
      <c r="AR17" s="1221">
        <v>6672.5100700000003</v>
      </c>
      <c r="AS17" s="1221">
        <v>20551.099149999998</v>
      </c>
      <c r="AT17" s="1221">
        <v>7435.66374</v>
      </c>
      <c r="AU17" s="1221">
        <v>23658.62905</v>
      </c>
      <c r="AV17" s="1221">
        <v>8387.9882600000001</v>
      </c>
      <c r="AW17" s="1221">
        <v>25317.13581</v>
      </c>
      <c r="AX17" s="1221">
        <v>9112.5963900000006</v>
      </c>
      <c r="AY17" s="1221">
        <v>1244.53676</v>
      </c>
      <c r="AZ17" s="1221">
        <v>688.99033999999995</v>
      </c>
      <c r="BA17" s="1221">
        <v>2457.0877999999998</v>
      </c>
      <c r="BB17" s="1221">
        <v>1696.8248000000001</v>
      </c>
      <c r="BC17" s="1221">
        <v>3813.91</v>
      </c>
      <c r="BD17" s="1221">
        <v>2279.84</v>
      </c>
      <c r="BE17" s="1221">
        <v>5345.6351199999999</v>
      </c>
      <c r="BF17" s="1221">
        <v>3022.8549500000004</v>
      </c>
      <c r="BG17" s="1221">
        <v>7223.2515800000001</v>
      </c>
      <c r="BH17" s="1221">
        <v>3625.3953500000002</v>
      </c>
      <c r="BI17" s="1221">
        <v>8740.747589999999</v>
      </c>
      <c r="BJ17" s="1221">
        <v>4175.51253</v>
      </c>
      <c r="BK17" s="1221">
        <v>10325.976970000002</v>
      </c>
      <c r="BL17" s="1221">
        <v>4767.9145099999996</v>
      </c>
      <c r="BM17" s="1221">
        <v>11929.05075</v>
      </c>
      <c r="BN17" s="1221">
        <v>5209.6777199999997</v>
      </c>
      <c r="BO17" s="1221">
        <v>13806.14323</v>
      </c>
      <c r="BP17" s="1221">
        <v>6714.9444899999999</v>
      </c>
      <c r="BQ17" s="1221">
        <v>15487.83986</v>
      </c>
      <c r="BR17" s="1221">
        <v>7213.5005599999995</v>
      </c>
      <c r="BS17" s="1221">
        <v>16602.210609999998</v>
      </c>
      <c r="BT17" s="1221">
        <v>7664.74892</v>
      </c>
      <c r="BU17" s="1221">
        <v>20029.664719999997</v>
      </c>
      <c r="BV17" s="1221">
        <v>8095.7427200000002</v>
      </c>
      <c r="BW17" s="1221">
        <v>1096.2246699999998</v>
      </c>
      <c r="BX17" s="1221">
        <v>430.91167999999999</v>
      </c>
      <c r="BY17" s="1221">
        <v>2163.6363700000002</v>
      </c>
      <c r="BZ17" s="1221">
        <v>816.56097</v>
      </c>
      <c r="CA17" s="1221">
        <v>3099.9076800000003</v>
      </c>
      <c r="CB17" s="1221">
        <v>1217.1698999999999</v>
      </c>
      <c r="CC17" s="1221">
        <v>4573.68037</v>
      </c>
      <c r="CD17" s="1221">
        <v>1613.7360100000001</v>
      </c>
      <c r="CE17" s="1221">
        <v>6190.81891</v>
      </c>
      <c r="CF17" s="1221">
        <v>2099.0297</v>
      </c>
      <c r="CG17" s="1221">
        <v>7263.5461599999999</v>
      </c>
      <c r="CH17" s="1221">
        <v>2349.6643199999999</v>
      </c>
      <c r="CI17" s="1221">
        <v>8637.424289999999</v>
      </c>
      <c r="CJ17" s="1221">
        <v>2758.2348099999999</v>
      </c>
      <c r="CK17" s="1221">
        <v>9796.7947800000002</v>
      </c>
      <c r="CL17" s="1221">
        <v>3108.8229200000001</v>
      </c>
      <c r="CM17" s="1221">
        <v>11330.47712</v>
      </c>
      <c r="CN17" s="1221">
        <v>3418.4608800000001</v>
      </c>
      <c r="CO17" s="1221">
        <v>12603.78601</v>
      </c>
      <c r="CP17" s="1221">
        <v>3851.4993799999997</v>
      </c>
      <c r="CQ17" s="1221">
        <v>13863.613170000001</v>
      </c>
      <c r="CR17" s="1221">
        <v>4232.4142199999997</v>
      </c>
      <c r="CS17" s="1221">
        <v>15288.88452</v>
      </c>
      <c r="CT17" s="1221">
        <v>4812.1137600000002</v>
      </c>
      <c r="CU17" s="1221">
        <v>1319.52396</v>
      </c>
      <c r="CV17" s="1221">
        <v>732.15846999999997</v>
      </c>
      <c r="CW17" s="1221">
        <v>2390.6340099999998</v>
      </c>
      <c r="CX17" s="1221">
        <v>1145.2667900000001</v>
      </c>
      <c r="CY17" s="1221">
        <v>3311.8492500000002</v>
      </c>
      <c r="CZ17" s="1221">
        <v>1512.06122</v>
      </c>
      <c r="DA17" s="1221">
        <v>4053.7283900000002</v>
      </c>
      <c r="DB17" s="1221">
        <v>1935.5978</v>
      </c>
      <c r="DC17" s="1221">
        <v>5195.5028300000004</v>
      </c>
      <c r="DD17" s="1221">
        <v>2326.48551</v>
      </c>
      <c r="DE17" s="1221">
        <v>6519.1265400000002</v>
      </c>
      <c r="DF17" s="1221">
        <v>2672.7448799999997</v>
      </c>
      <c r="DG17" s="1221">
        <v>7259.9504800000004</v>
      </c>
      <c r="DH17" s="1221">
        <v>2972.5459599999999</v>
      </c>
      <c r="DI17" s="1221">
        <v>11952.683199999999</v>
      </c>
      <c r="DJ17" s="1221">
        <v>3664.9167499999999</v>
      </c>
      <c r="DK17" s="1221">
        <v>12915.91224</v>
      </c>
      <c r="DL17" s="1221">
        <v>4529.5151699999997</v>
      </c>
      <c r="DM17" s="1221">
        <v>13792.237560000001</v>
      </c>
      <c r="DN17" s="1221">
        <v>4974.61888</v>
      </c>
      <c r="DO17" s="1221">
        <v>14431.27197</v>
      </c>
      <c r="DP17" s="1221">
        <v>5441.6627900000003</v>
      </c>
      <c r="DQ17" s="1221">
        <v>15912.586369999999</v>
      </c>
      <c r="DR17" s="1221">
        <v>5951.8272699999998</v>
      </c>
      <c r="DS17" s="1221">
        <v>1632.72234</v>
      </c>
      <c r="DT17" s="1221">
        <v>325.50061999999997</v>
      </c>
      <c r="DU17" s="1221">
        <v>2581.8296</v>
      </c>
      <c r="DV17" s="1221">
        <v>835.49797000000001</v>
      </c>
      <c r="DW17" s="1221">
        <v>3408.76883</v>
      </c>
      <c r="DX17" s="1221">
        <v>1173.0946399999998</v>
      </c>
      <c r="DY17" s="1221">
        <v>4151.8834999999999</v>
      </c>
      <c r="DZ17" s="1221">
        <v>3447.6213199999997</v>
      </c>
      <c r="EA17" s="1221">
        <v>4883.1760400000003</v>
      </c>
      <c r="EB17" s="1221">
        <v>3709.7652599999997</v>
      </c>
      <c r="EC17" s="1221">
        <v>5679.7983600000007</v>
      </c>
      <c r="ED17" s="1221">
        <v>4123.4794599999996</v>
      </c>
      <c r="EE17" s="1221">
        <v>6474.8479900000002</v>
      </c>
      <c r="EF17" s="1221">
        <v>4595.8365599999997</v>
      </c>
      <c r="EG17" s="1221">
        <v>7337.7796100000005</v>
      </c>
      <c r="EH17" s="1221">
        <v>5220.5226399999992</v>
      </c>
      <c r="EI17" s="1221">
        <v>8382.4071399999993</v>
      </c>
      <c r="EJ17" s="1221">
        <v>5750.7945399999999</v>
      </c>
      <c r="EK17" s="1221">
        <v>9399.4557399999994</v>
      </c>
      <c r="EL17" s="1221">
        <v>6311.4180500000002</v>
      </c>
      <c r="EM17" s="1221">
        <v>10340.86527</v>
      </c>
      <c r="EN17" s="1221">
        <v>6764.9355800000003</v>
      </c>
      <c r="EO17" s="1221">
        <v>11326.521849999999</v>
      </c>
      <c r="EP17" s="1221">
        <v>7367.4323800000002</v>
      </c>
      <c r="EQ17" s="1221">
        <v>869.44100000000003</v>
      </c>
      <c r="ER17" s="1221">
        <v>495.71850999999998</v>
      </c>
      <c r="ES17" s="1221">
        <v>1968.5004200000001</v>
      </c>
      <c r="ET17" s="1221">
        <v>1058.0874899999999</v>
      </c>
      <c r="EU17" s="1221">
        <v>2849.4867599999902</v>
      </c>
      <c r="EV17" s="1221">
        <v>1703.7780399999999</v>
      </c>
      <c r="EW17" s="1221">
        <v>3800.63553</v>
      </c>
      <c r="EX17" s="1221">
        <v>2395.0767599999999</v>
      </c>
      <c r="EY17" s="1221">
        <v>4882.75666</v>
      </c>
      <c r="EZ17" s="1221">
        <v>3112.2433799999999</v>
      </c>
      <c r="FA17" s="1221">
        <v>5920.5460000000003</v>
      </c>
      <c r="FB17" s="1221">
        <v>3693.5380599999999</v>
      </c>
      <c r="FC17" s="1221">
        <v>7081.3306400000001</v>
      </c>
      <c r="FD17" s="1221">
        <v>4754.9597400000002</v>
      </c>
      <c r="FE17" s="1221">
        <v>9286.2364600000001</v>
      </c>
      <c r="FF17" s="1221">
        <v>6631.0324700000001</v>
      </c>
      <c r="FG17" s="1221">
        <v>9817.6088299999992</v>
      </c>
      <c r="FH17" s="1221">
        <v>7869.8507099999997</v>
      </c>
      <c r="FI17" s="1221">
        <v>10556.41192</v>
      </c>
      <c r="FJ17" s="1221">
        <v>8676.1574199999995</v>
      </c>
      <c r="FK17" s="1221">
        <v>11080.57165</v>
      </c>
      <c r="FL17" s="1221">
        <v>9438.1015499999994</v>
      </c>
      <c r="FM17" s="1221">
        <v>667.91125999999997</v>
      </c>
      <c r="FN17" s="1221">
        <v>781.97136</v>
      </c>
      <c r="FO17" s="1221">
        <v>1240.36922</v>
      </c>
      <c r="FP17" s="1221">
        <v>1689.7715700000001</v>
      </c>
      <c r="FQ17" s="1221">
        <v>2846.7366099999999</v>
      </c>
      <c r="FR17" s="1221">
        <v>2250.4284400000001</v>
      </c>
      <c r="FS17" s="1221">
        <v>3395.5287200000002</v>
      </c>
      <c r="FT17" s="1221">
        <v>2939.7042999999999</v>
      </c>
      <c r="FU17" s="1221">
        <v>4135.5913700000001</v>
      </c>
      <c r="FV17" s="1221">
        <v>3711.3640499999997</v>
      </c>
      <c r="FW17" s="1221">
        <v>4815.5724800000007</v>
      </c>
      <c r="FX17" s="1221">
        <v>5350.5799800000004</v>
      </c>
      <c r="FY17" s="1221">
        <v>5375.5058200000003</v>
      </c>
      <c r="FZ17" s="1221">
        <v>6054.1445100000001</v>
      </c>
      <c r="GA17" s="1221">
        <v>5826.1921499999999</v>
      </c>
      <c r="GB17" s="1221">
        <v>6368.5338599999995</v>
      </c>
      <c r="GC17" s="1221">
        <v>6565.8858700000001</v>
      </c>
      <c r="GD17" s="1221">
        <v>6574.8634699999993</v>
      </c>
      <c r="GE17" s="1221">
        <v>7187.5022600000002</v>
      </c>
      <c r="GF17" s="1221">
        <v>6740.3225499999999</v>
      </c>
      <c r="GG17" s="1221">
        <v>7798.6669099999999</v>
      </c>
      <c r="GH17" s="1221">
        <v>7123.6358700000001</v>
      </c>
      <c r="GI17" s="1221">
        <v>8473.1461600000002</v>
      </c>
      <c r="GJ17" s="1221">
        <v>7330.0941299999995</v>
      </c>
      <c r="GK17" s="1221">
        <v>681.86718999999994</v>
      </c>
      <c r="GL17" s="1221">
        <v>98.319029999999998</v>
      </c>
      <c r="GM17" s="1221">
        <v>2466.4121399999999</v>
      </c>
      <c r="GN17" s="1221">
        <v>252.53412</v>
      </c>
      <c r="GO17" s="1221">
        <v>3000.2290899999998</v>
      </c>
      <c r="GP17" s="1221">
        <v>312.55998</v>
      </c>
      <c r="GQ17" s="1221">
        <v>3695.7590500000001</v>
      </c>
      <c r="GR17" s="1221">
        <v>397.50805000000003</v>
      </c>
      <c r="GS17" s="1221">
        <v>4418.9830899999997</v>
      </c>
      <c r="GT17" s="1221">
        <v>606.60091999999997</v>
      </c>
      <c r="GU17" s="1221">
        <v>5226.2012000000004</v>
      </c>
      <c r="GV17" s="1221">
        <v>872.46042999999997</v>
      </c>
      <c r="GW17" s="1221">
        <v>5797.4052499999998</v>
      </c>
      <c r="GX17" s="1221">
        <v>1031.4619399999999</v>
      </c>
      <c r="GY17" s="1221">
        <v>6358.4856600000003</v>
      </c>
      <c r="GZ17" s="1221">
        <v>1083.22747</v>
      </c>
      <c r="HA17" s="1221">
        <v>7074.8725199999999</v>
      </c>
      <c r="HB17" s="1221">
        <v>1155.5206700000001</v>
      </c>
      <c r="HC17" s="1221">
        <v>7753.7547599999998</v>
      </c>
      <c r="HD17" s="1221">
        <v>1240.39751</v>
      </c>
      <c r="HE17" s="1221">
        <v>8346.6376799999998</v>
      </c>
      <c r="HF17" s="1221">
        <v>1447.8175000000001</v>
      </c>
      <c r="HG17" s="1221">
        <v>9018.8978299999999</v>
      </c>
      <c r="HH17" s="1221">
        <v>1526.8083899999999</v>
      </c>
      <c r="HI17" s="1221">
        <v>743.37973999999997</v>
      </c>
      <c r="HJ17" s="1221">
        <v>159.25076000000001</v>
      </c>
      <c r="HK17" s="1221">
        <v>1422.4582800000001</v>
      </c>
      <c r="HL17" s="1221">
        <v>313.15415999999999</v>
      </c>
      <c r="HM17" s="1221">
        <v>1910.19965</v>
      </c>
      <c r="HN17" s="1221">
        <v>418.69918999999999</v>
      </c>
      <c r="HO17" s="1221">
        <v>3399.5122500000002</v>
      </c>
      <c r="HP17" s="1221">
        <v>614.77831000000003</v>
      </c>
      <c r="HQ17" s="1221">
        <v>4006.5486500000002</v>
      </c>
      <c r="HR17" s="1221">
        <v>775.51124000000004</v>
      </c>
      <c r="HS17" s="1838" t="s">
        <v>3166</v>
      </c>
    </row>
    <row r="18" spans="1:227" ht="36" customHeight="1">
      <c r="A18" s="1836">
        <v>7</v>
      </c>
      <c r="B18" s="1837" t="s">
        <v>4234</v>
      </c>
      <c r="C18" s="1221">
        <v>8587.5249000000003</v>
      </c>
      <c r="D18" s="1221">
        <v>2.10209</v>
      </c>
      <c r="E18" s="1221">
        <v>8834.6451699999998</v>
      </c>
      <c r="F18" s="1221">
        <v>8.8120899999999995</v>
      </c>
      <c r="G18" s="1221">
        <v>9010.7395500000002</v>
      </c>
      <c r="H18" s="1221">
        <v>11.90034</v>
      </c>
      <c r="I18" s="1221">
        <v>9583.0392200000006</v>
      </c>
      <c r="J18" s="1221">
        <v>16.498930000000001</v>
      </c>
      <c r="K18" s="1221">
        <v>10018.03356</v>
      </c>
      <c r="L18" s="1221">
        <v>39.512370000000004</v>
      </c>
      <c r="M18" s="1221">
        <v>10055.49755</v>
      </c>
      <c r="N18" s="1221">
        <v>39.512370000000004</v>
      </c>
      <c r="O18" s="1221">
        <v>16849.689839999999</v>
      </c>
      <c r="P18" s="1221">
        <v>244.36395999999999</v>
      </c>
      <c r="Q18" s="1221">
        <v>17823.695589999999</v>
      </c>
      <c r="R18" s="1221">
        <v>269.10041999999999</v>
      </c>
      <c r="S18" s="1221">
        <v>18266.21026</v>
      </c>
      <c r="T18" s="1221">
        <v>2219.6949500000001</v>
      </c>
      <c r="U18" s="1221">
        <v>18489.056530000002</v>
      </c>
      <c r="V18" s="1221">
        <v>2622.3478799999998</v>
      </c>
      <c r="W18" s="1221">
        <v>19071.92023</v>
      </c>
      <c r="X18" s="1221">
        <v>2649.7287700000002</v>
      </c>
      <c r="Y18" s="1221">
        <v>19148.016960000001</v>
      </c>
      <c r="Z18" s="1221">
        <v>2653.17677</v>
      </c>
      <c r="AA18" s="1221">
        <v>7161.84656</v>
      </c>
      <c r="AB18" s="1221">
        <v>2.3719999999999999</v>
      </c>
      <c r="AC18" s="1221">
        <v>7287.6731100000006</v>
      </c>
      <c r="AD18" s="1221">
        <v>4.3145500000000006</v>
      </c>
      <c r="AE18" s="1221">
        <v>7335.5731100000003</v>
      </c>
      <c r="AF18" s="1221">
        <v>6.9851800000000006</v>
      </c>
      <c r="AG18" s="1221">
        <v>7969.70046</v>
      </c>
      <c r="AH18" s="1221">
        <v>779.26386000000002</v>
      </c>
      <c r="AI18" s="1221">
        <v>8228.2214600000007</v>
      </c>
      <c r="AJ18" s="1221">
        <v>1568.3018500000001</v>
      </c>
      <c r="AK18" s="1221">
        <v>10309.1849</v>
      </c>
      <c r="AL18" s="1221">
        <v>1238.5169699999999</v>
      </c>
      <c r="AM18" s="1221">
        <v>15474.162420000001</v>
      </c>
      <c r="AN18" s="1221">
        <v>1583.47973</v>
      </c>
      <c r="AO18" s="1221">
        <v>16118.15236</v>
      </c>
      <c r="AP18" s="1221">
        <v>1583.47973</v>
      </c>
      <c r="AQ18" s="1221">
        <v>16705.981949999998</v>
      </c>
      <c r="AR18" s="1221">
        <v>1777.1661799999999</v>
      </c>
      <c r="AS18" s="1221">
        <v>16845.00722</v>
      </c>
      <c r="AT18" s="1221">
        <v>1785.09023</v>
      </c>
      <c r="AU18" s="1221">
        <v>17376.62542</v>
      </c>
      <c r="AV18" s="1221">
        <v>1788.4657999999999</v>
      </c>
      <c r="AW18" s="1221">
        <v>17682.48947</v>
      </c>
      <c r="AX18" s="1221">
        <v>1788.88616</v>
      </c>
      <c r="AY18" s="1221">
        <v>6507.1777499999998</v>
      </c>
      <c r="AZ18" s="1221">
        <v>316.52674000000002</v>
      </c>
      <c r="BA18" s="1221">
        <v>6566.7689199999995</v>
      </c>
      <c r="BB18" s="1221">
        <v>324.44779</v>
      </c>
      <c r="BC18" s="1221">
        <v>6601.39</v>
      </c>
      <c r="BD18" s="1221">
        <v>325.81</v>
      </c>
      <c r="BE18" s="1221">
        <v>7159.0371399999995</v>
      </c>
      <c r="BF18" s="1221">
        <v>394.15474</v>
      </c>
      <c r="BG18" s="1221">
        <v>7542.4961900000008</v>
      </c>
      <c r="BH18" s="1221">
        <v>399.83034000000004</v>
      </c>
      <c r="BI18" s="1221">
        <v>7721.3122000000003</v>
      </c>
      <c r="BJ18" s="1221">
        <v>914.43064000000004</v>
      </c>
      <c r="BK18" s="1221">
        <v>15417.8976</v>
      </c>
      <c r="BL18" s="1221">
        <v>920.15654000000006</v>
      </c>
      <c r="BM18" s="1221">
        <v>15463.26799</v>
      </c>
      <c r="BN18" s="1221">
        <v>927.53654000000006</v>
      </c>
      <c r="BO18" s="1221">
        <v>15686.39191</v>
      </c>
      <c r="BP18" s="1221">
        <v>940.53039000000001</v>
      </c>
      <c r="BQ18" s="1221">
        <v>15950.71342</v>
      </c>
      <c r="BR18" s="1221">
        <v>969.89018999999996</v>
      </c>
      <c r="BS18" s="1221">
        <v>16573.78587</v>
      </c>
      <c r="BT18" s="1221">
        <v>970.83818999999994</v>
      </c>
      <c r="BU18" s="1221">
        <v>17003.25619</v>
      </c>
      <c r="BV18" s="1221">
        <v>1716.9829999999999</v>
      </c>
      <c r="BW18" s="1221">
        <v>6720.6168099999995</v>
      </c>
      <c r="BX18" s="1221">
        <v>30.889880000000002</v>
      </c>
      <c r="BY18" s="1221">
        <v>6802.83097</v>
      </c>
      <c r="BZ18" s="1221">
        <v>40.805070000000001</v>
      </c>
      <c r="CA18" s="1221">
        <v>6836.4721900000004</v>
      </c>
      <c r="CB18" s="1221">
        <v>46.709240000000001</v>
      </c>
      <c r="CC18" s="1221">
        <v>7870.7058799999995</v>
      </c>
      <c r="CD18" s="1221">
        <v>52.68976</v>
      </c>
      <c r="CE18" s="1221">
        <v>8094.4924099999998</v>
      </c>
      <c r="CF18" s="1221">
        <v>4560.0349200000001</v>
      </c>
      <c r="CG18" s="1221">
        <v>8588.2377100000012</v>
      </c>
      <c r="CH18" s="1221">
        <v>5067.1861100000006</v>
      </c>
      <c r="CI18" s="1221">
        <v>16452.144680000001</v>
      </c>
      <c r="CJ18" s="1221">
        <v>5740.3797599999998</v>
      </c>
      <c r="CK18" s="1221">
        <v>17406.550940000001</v>
      </c>
      <c r="CL18" s="1221">
        <v>5749.8136900000009</v>
      </c>
      <c r="CM18" s="1221">
        <v>17479.954519999999</v>
      </c>
      <c r="CN18" s="1221">
        <v>5982.1792400000004</v>
      </c>
      <c r="CO18" s="1221">
        <v>17721.803749999999</v>
      </c>
      <c r="CP18" s="1221">
        <v>5994.5670700000001</v>
      </c>
      <c r="CQ18" s="1221">
        <v>18374.959219999997</v>
      </c>
      <c r="CR18" s="1221">
        <v>6491.3842699999996</v>
      </c>
      <c r="CS18" s="1221">
        <v>18495.234079999998</v>
      </c>
      <c r="CT18" s="1221">
        <v>19930.75806</v>
      </c>
      <c r="CU18" s="1221">
        <v>7881.4256100000002</v>
      </c>
      <c r="CV18" s="1221">
        <v>6.8976899999999999</v>
      </c>
      <c r="CW18" s="1221">
        <v>8024.5651500000004</v>
      </c>
      <c r="CX18" s="1221">
        <v>458.37900999999999</v>
      </c>
      <c r="CY18" s="1221">
        <v>8113.2544200000002</v>
      </c>
      <c r="CZ18" s="1221">
        <v>619.71767</v>
      </c>
      <c r="DA18" s="1221">
        <v>9007.3154300000006</v>
      </c>
      <c r="DB18" s="1221">
        <v>1953.43633</v>
      </c>
      <c r="DC18" s="1221">
        <v>9224.9648900000011</v>
      </c>
      <c r="DD18" s="1221">
        <v>1963.7568000000001</v>
      </c>
      <c r="DE18" s="1221">
        <v>9415.7476800000004</v>
      </c>
      <c r="DF18" s="1221">
        <v>1979.48423</v>
      </c>
      <c r="DG18" s="1221">
        <v>15747.122869999999</v>
      </c>
      <c r="DH18" s="1221">
        <v>2114.8993</v>
      </c>
      <c r="DI18" s="1221">
        <v>16423.605520000001</v>
      </c>
      <c r="DJ18" s="1221">
        <v>2119.8053</v>
      </c>
      <c r="DK18" s="1221">
        <v>16583.832770000001</v>
      </c>
      <c r="DL18" s="1221">
        <v>2123.0852999999997</v>
      </c>
      <c r="DM18" s="1221">
        <v>16561.800009999999</v>
      </c>
      <c r="DN18" s="1221">
        <v>2128.4277400000001</v>
      </c>
      <c r="DO18" s="1221">
        <v>17247.363450000001</v>
      </c>
      <c r="DP18" s="1221">
        <v>2574.8372799999997</v>
      </c>
      <c r="DQ18" s="1221">
        <v>17320.40756</v>
      </c>
      <c r="DR18" s="1221">
        <v>2589.9205499999998</v>
      </c>
      <c r="DS18" s="1221">
        <v>6149.1614600000003</v>
      </c>
      <c r="DT18" s="1221">
        <v>1.4</v>
      </c>
      <c r="DU18" s="1221">
        <v>6175.3119900000002</v>
      </c>
      <c r="DV18" s="1221">
        <v>104.69</v>
      </c>
      <c r="DW18" s="1221">
        <v>6216.1235500000003</v>
      </c>
      <c r="DX18" s="1221">
        <v>127.90486999999999</v>
      </c>
      <c r="DY18" s="1221">
        <v>7033.1428099999994</v>
      </c>
      <c r="DZ18" s="1221">
        <v>136.77486999999999</v>
      </c>
      <c r="EA18" s="1221">
        <v>7216.7802899999997</v>
      </c>
      <c r="EB18" s="1221">
        <v>140.50486999999998</v>
      </c>
      <c r="EC18" s="1221">
        <v>7303.2223600000007</v>
      </c>
      <c r="ED18" s="1221">
        <v>1190.9256499999999</v>
      </c>
      <c r="EE18" s="1221">
        <v>14158.18921</v>
      </c>
      <c r="EF18" s="1221">
        <v>1195.0204699999999</v>
      </c>
      <c r="EG18" s="1221">
        <v>14740.87408</v>
      </c>
      <c r="EH18" s="1221">
        <v>1203.6208700000002</v>
      </c>
      <c r="EI18" s="1221">
        <v>14847.431689999999</v>
      </c>
      <c r="EJ18" s="1221">
        <v>1496.4996299999998</v>
      </c>
      <c r="EK18" s="1221">
        <v>14938.87305</v>
      </c>
      <c r="EL18" s="1221">
        <v>1506.74963</v>
      </c>
      <c r="EM18" s="1221">
        <v>15577.361709999999</v>
      </c>
      <c r="EN18" s="1221">
        <v>1510.56663</v>
      </c>
      <c r="EO18" s="1221">
        <v>15644.016390000001</v>
      </c>
      <c r="EP18" s="1221">
        <v>2712.6354099999999</v>
      </c>
      <c r="EQ18" s="1221">
        <v>5124.9414200000001</v>
      </c>
      <c r="ER18" s="1221">
        <v>0.52</v>
      </c>
      <c r="ES18" s="1221">
        <v>5165.6145999999999</v>
      </c>
      <c r="ET18" s="1221">
        <v>7.6150000000000002</v>
      </c>
      <c r="EU18" s="1221">
        <v>5224.2925800000003</v>
      </c>
      <c r="EV18" s="1221">
        <v>15.92207</v>
      </c>
      <c r="EW18" s="1221">
        <v>6036.40578</v>
      </c>
      <c r="EX18" s="1221">
        <v>34.059049999999999</v>
      </c>
      <c r="EY18" s="1221">
        <v>6264.8075699999999</v>
      </c>
      <c r="EZ18" s="1221">
        <v>47.01905</v>
      </c>
      <c r="FA18" s="1221">
        <v>12909.339239999999</v>
      </c>
      <c r="FB18" s="1221">
        <v>111.85766</v>
      </c>
      <c r="FC18" s="1221">
        <v>18441.77378</v>
      </c>
      <c r="FD18" s="1221">
        <v>103.54783</v>
      </c>
      <c r="FE18" s="1221">
        <v>19355.45033</v>
      </c>
      <c r="FF18" s="1221">
        <v>141.35482999999999</v>
      </c>
      <c r="FG18" s="1221">
        <v>19463.214629999999</v>
      </c>
      <c r="FH18" s="1221">
        <v>149.88482999999999</v>
      </c>
      <c r="FI18" s="1221">
        <v>20094.119710000003</v>
      </c>
      <c r="FJ18" s="1221">
        <v>167.97401000000002</v>
      </c>
      <c r="FK18" s="1221">
        <v>20520.257710000002</v>
      </c>
      <c r="FL18" s="1221">
        <v>184.41526999999999</v>
      </c>
      <c r="FM18" s="1221">
        <v>523.51161999999999</v>
      </c>
      <c r="FN18" s="1221">
        <v>14.941360000000001</v>
      </c>
      <c r="FO18" s="1221">
        <v>565.88117</v>
      </c>
      <c r="FP18" s="1221">
        <v>22.56636</v>
      </c>
      <c r="FQ18" s="1221">
        <v>650.59040000000005</v>
      </c>
      <c r="FR18" s="1221">
        <v>38.875929999999997</v>
      </c>
      <c r="FS18" s="1221">
        <v>1215.17028</v>
      </c>
      <c r="FT18" s="1221">
        <v>70.104609999999994</v>
      </c>
      <c r="FU18" s="1221">
        <v>1407.95793</v>
      </c>
      <c r="FV18" s="1221">
        <v>78.75761</v>
      </c>
      <c r="FW18" s="1221">
        <v>1574.2845400000001</v>
      </c>
      <c r="FX18" s="1221">
        <v>89.715699999999998</v>
      </c>
      <c r="FY18" s="1221">
        <v>14714.878919999999</v>
      </c>
      <c r="FZ18" s="1221">
        <v>110.4473</v>
      </c>
      <c r="GA18" s="1221">
        <v>15155.26921</v>
      </c>
      <c r="GB18" s="1221">
        <v>122.3458</v>
      </c>
      <c r="GC18" s="1221">
        <v>15548.700359999999</v>
      </c>
      <c r="GD18" s="1221">
        <v>166.73732000000001</v>
      </c>
      <c r="GE18" s="1221">
        <v>15548.72668</v>
      </c>
      <c r="GF18" s="1221">
        <v>172.76325</v>
      </c>
      <c r="GG18" s="1221">
        <v>16302.339309999999</v>
      </c>
      <c r="GH18" s="1221">
        <v>615.84204</v>
      </c>
      <c r="GI18" s="1221">
        <v>16513.633119999999</v>
      </c>
      <c r="GJ18" s="1221">
        <v>620.16015000000004</v>
      </c>
      <c r="GK18" s="1221">
        <v>330.15764000000001</v>
      </c>
      <c r="GL18" s="1221">
        <v>66.502549999999999</v>
      </c>
      <c r="GM18" s="1221">
        <v>385.83969999999999</v>
      </c>
      <c r="GN18" s="1221">
        <v>69.154350000000008</v>
      </c>
      <c r="GO18" s="1221">
        <v>528.51324</v>
      </c>
      <c r="GP18" s="1221">
        <v>72.448599999999999</v>
      </c>
      <c r="GQ18" s="1221">
        <v>1192.5651499999999</v>
      </c>
      <c r="GR18" s="1221">
        <v>105.63396</v>
      </c>
      <c r="GS18" s="1221">
        <v>1192.5651499999999</v>
      </c>
      <c r="GT18" s="1221">
        <v>105.63396</v>
      </c>
      <c r="GU18" s="1221">
        <v>1546.41481</v>
      </c>
      <c r="GV18" s="1221">
        <v>235.86610999999999</v>
      </c>
      <c r="GW18" s="1221">
        <v>4874.5017099999995</v>
      </c>
      <c r="GX18" s="1221">
        <v>237.35081</v>
      </c>
      <c r="GY18" s="1221">
        <v>4898.3807800000004</v>
      </c>
      <c r="GZ18" s="1221">
        <v>241.48050000000001</v>
      </c>
      <c r="HA18" s="1221">
        <v>5260.6950500000003</v>
      </c>
      <c r="HB18" s="1221">
        <v>246.71054000000001</v>
      </c>
      <c r="HC18" s="1221">
        <v>5306.0936400000001</v>
      </c>
      <c r="HD18" s="1221">
        <v>247.29485</v>
      </c>
      <c r="HE18" s="1221">
        <v>6089.9344099999998</v>
      </c>
      <c r="HF18" s="1221">
        <v>247.68313000000001</v>
      </c>
      <c r="HG18" s="1221">
        <v>6210.0872499999996</v>
      </c>
      <c r="HH18" s="1221">
        <v>255.89356000000001</v>
      </c>
      <c r="HI18" s="1221">
        <v>424.46039999999999</v>
      </c>
      <c r="HJ18" s="1221">
        <v>2.3083999999999998</v>
      </c>
      <c r="HK18" s="1221">
        <v>454.34911</v>
      </c>
      <c r="HL18" s="1221">
        <v>10.419750000000001</v>
      </c>
      <c r="HM18" s="1221">
        <v>481.69312000000002</v>
      </c>
      <c r="HN18" s="1221">
        <v>11.30775</v>
      </c>
      <c r="HO18" s="1221">
        <v>1065.12094</v>
      </c>
      <c r="HP18" s="1221">
        <v>11.31086</v>
      </c>
      <c r="HQ18" s="1221">
        <v>1213.2049300000001</v>
      </c>
      <c r="HR18" s="1221">
        <v>11.886430000000001</v>
      </c>
      <c r="HS18" s="1838" t="s">
        <v>3169</v>
      </c>
    </row>
    <row r="19" spans="1:227" ht="36" customHeight="1">
      <c r="A19" s="1836">
        <v>8</v>
      </c>
      <c r="B19" s="1837" t="s">
        <v>2344</v>
      </c>
      <c r="C19" s="1221">
        <v>2034.9382499999999</v>
      </c>
      <c r="D19" s="1221">
        <v>108.70399999999999</v>
      </c>
      <c r="E19" s="1221">
        <v>4549.5114400000002</v>
      </c>
      <c r="F19" s="1221">
        <v>318.38202000000001</v>
      </c>
      <c r="G19" s="1221">
        <v>5355.0321199999998</v>
      </c>
      <c r="H19" s="1221">
        <v>501.67986999999999</v>
      </c>
      <c r="I19" s="1221">
        <v>7419.4065000000001</v>
      </c>
      <c r="J19" s="1221">
        <v>702.70462999999995</v>
      </c>
      <c r="K19" s="1221">
        <v>8832.2780399999992</v>
      </c>
      <c r="L19" s="1221">
        <v>939.05246999999997</v>
      </c>
      <c r="M19" s="1221">
        <v>13803.271640000001</v>
      </c>
      <c r="N19" s="1221">
        <v>1333.00596</v>
      </c>
      <c r="O19" s="1221">
        <v>14971.35807</v>
      </c>
      <c r="P19" s="1221">
        <v>1589.8290200000001</v>
      </c>
      <c r="Q19" s="1221">
        <v>16003.849099999999</v>
      </c>
      <c r="R19" s="1221">
        <v>1793.44379</v>
      </c>
      <c r="S19" s="1221">
        <v>18631.454809999999</v>
      </c>
      <c r="T19" s="1221">
        <v>2103.2721900000001</v>
      </c>
      <c r="U19" s="1221">
        <v>19134.041519999999</v>
      </c>
      <c r="V19" s="1221">
        <v>2384.1380399999998</v>
      </c>
      <c r="W19" s="1221">
        <v>20130.978769999998</v>
      </c>
      <c r="X19" s="1221">
        <v>2632.8608799999997</v>
      </c>
      <c r="Y19" s="1221">
        <v>20272.71113</v>
      </c>
      <c r="Z19" s="1221">
        <v>4173.9099200000001</v>
      </c>
      <c r="AA19" s="1221">
        <v>1567.65553</v>
      </c>
      <c r="AB19" s="1221">
        <v>74.222369999999998</v>
      </c>
      <c r="AC19" s="1221">
        <v>4243.4874900000004</v>
      </c>
      <c r="AD19" s="1221">
        <v>362.16492999999997</v>
      </c>
      <c r="AE19" s="1221">
        <v>4852.5891600000004</v>
      </c>
      <c r="AF19" s="1221">
        <v>588.48744999999997</v>
      </c>
      <c r="AG19" s="1221">
        <v>6971.4165800000001</v>
      </c>
      <c r="AH19" s="1221">
        <v>813.35570999999993</v>
      </c>
      <c r="AI19" s="1221">
        <v>8008.6188499999998</v>
      </c>
      <c r="AJ19" s="1221">
        <v>985.04957999999999</v>
      </c>
      <c r="AK19" s="1221">
        <v>8760.2687799999985</v>
      </c>
      <c r="AL19" s="1221">
        <v>11363.505580000001</v>
      </c>
      <c r="AM19" s="1221">
        <v>10713.12356</v>
      </c>
      <c r="AN19" s="1221">
        <v>1553.60006</v>
      </c>
      <c r="AO19" s="1221">
        <v>12175.764710000001</v>
      </c>
      <c r="AP19" s="1221">
        <v>1937.6242299999999</v>
      </c>
      <c r="AQ19" s="1221">
        <v>14394.570460000001</v>
      </c>
      <c r="AR19" s="1221">
        <v>2180.1174000000001</v>
      </c>
      <c r="AS19" s="1221">
        <v>15044.245279999999</v>
      </c>
      <c r="AT19" s="1221">
        <v>2415.0828999999999</v>
      </c>
      <c r="AU19" s="1221">
        <v>16516.097010000001</v>
      </c>
      <c r="AV19" s="1221">
        <v>2741.56151</v>
      </c>
      <c r="AW19" s="1221">
        <v>16854.267589999999</v>
      </c>
      <c r="AX19" s="1221">
        <v>3147.5337200000004</v>
      </c>
      <c r="AY19" s="1221">
        <v>2234.6556499999997</v>
      </c>
      <c r="AZ19" s="1221">
        <v>244.96937</v>
      </c>
      <c r="BA19" s="1221">
        <v>5649.6916200000005</v>
      </c>
      <c r="BB19" s="1221">
        <v>488.74677000000003</v>
      </c>
      <c r="BC19" s="1221">
        <v>10121.16</v>
      </c>
      <c r="BD19" s="1221">
        <v>622.63</v>
      </c>
      <c r="BE19" s="1221">
        <v>12461.31256</v>
      </c>
      <c r="BF19" s="1221">
        <v>885.12126999999998</v>
      </c>
      <c r="BG19" s="1221">
        <v>14038.07769</v>
      </c>
      <c r="BH19" s="1221">
        <v>1241.7217800000001</v>
      </c>
      <c r="BI19" s="1221">
        <v>15023.40508</v>
      </c>
      <c r="BJ19" s="1221">
        <v>1506.7959499999999</v>
      </c>
      <c r="BK19" s="1221">
        <v>16303.51987</v>
      </c>
      <c r="BL19" s="1221">
        <v>1853.33312</v>
      </c>
      <c r="BM19" s="1221">
        <v>20185.569670000001</v>
      </c>
      <c r="BN19" s="1221">
        <v>2211.5339900000004</v>
      </c>
      <c r="BO19" s="1221">
        <v>22139.597899999997</v>
      </c>
      <c r="BP19" s="1221">
        <v>2439.2010099999998</v>
      </c>
      <c r="BQ19" s="1221">
        <v>22970.897000000001</v>
      </c>
      <c r="BR19" s="1221">
        <v>2763.83059</v>
      </c>
      <c r="BS19" s="1221">
        <v>24683.43489</v>
      </c>
      <c r="BT19" s="1221">
        <v>3127.14698</v>
      </c>
      <c r="BU19" s="1221">
        <v>25769.142309999999</v>
      </c>
      <c r="BV19" s="1221">
        <v>3648.01053</v>
      </c>
      <c r="BW19" s="1221">
        <v>2481.0495000000001</v>
      </c>
      <c r="BX19" s="1221">
        <v>213.92898000000002</v>
      </c>
      <c r="BY19" s="1221">
        <v>5549.0999000000002</v>
      </c>
      <c r="BZ19" s="1221">
        <v>392.83689000000004</v>
      </c>
      <c r="CA19" s="1221">
        <v>8624.2535700000008</v>
      </c>
      <c r="CB19" s="1221">
        <v>677.55155000000002</v>
      </c>
      <c r="CC19" s="1221">
        <v>11130.003570000001</v>
      </c>
      <c r="CD19" s="1221">
        <v>951.15003000000002</v>
      </c>
      <c r="CE19" s="1221">
        <v>13445.302800000001</v>
      </c>
      <c r="CF19" s="1221">
        <v>1310.08385</v>
      </c>
      <c r="CG19" s="1221">
        <v>14603.4144</v>
      </c>
      <c r="CH19" s="1221">
        <v>1666.6770200000001</v>
      </c>
      <c r="CI19" s="1221">
        <v>15452.547980000001</v>
      </c>
      <c r="CJ19" s="1221">
        <v>2115.4248700000003</v>
      </c>
      <c r="CK19" s="1221">
        <v>16701.564699999999</v>
      </c>
      <c r="CL19" s="1221">
        <v>2521.6019300000003</v>
      </c>
      <c r="CM19" s="1221">
        <v>18988.238079999999</v>
      </c>
      <c r="CN19" s="1221">
        <v>3038.9032400000001</v>
      </c>
      <c r="CO19" s="1221">
        <v>19778.093940000002</v>
      </c>
      <c r="CP19" s="1221">
        <v>3711.4229500000001</v>
      </c>
      <c r="CQ19" s="1221">
        <v>21017.948850000001</v>
      </c>
      <c r="CR19" s="1221">
        <v>4189.9391999999998</v>
      </c>
      <c r="CS19" s="1221">
        <v>21815.173999999999</v>
      </c>
      <c r="CT19" s="1221">
        <v>5030.2039000000004</v>
      </c>
      <c r="CU19" s="1221">
        <v>2751.5296899999998</v>
      </c>
      <c r="CV19" s="1221">
        <v>320.32468</v>
      </c>
      <c r="CW19" s="1221">
        <v>4021.3005200000002</v>
      </c>
      <c r="CX19" s="1221">
        <v>749.46460000000002</v>
      </c>
      <c r="CY19" s="1221">
        <v>7364.2606599999999</v>
      </c>
      <c r="CZ19" s="1221">
        <v>1114.1268400000001</v>
      </c>
      <c r="DA19" s="1221">
        <v>9501.9770800000006</v>
      </c>
      <c r="DB19" s="1221">
        <v>1382.81846</v>
      </c>
      <c r="DC19" s="1221">
        <v>10478.26059</v>
      </c>
      <c r="DD19" s="1221">
        <v>1855.88148</v>
      </c>
      <c r="DE19" s="1221">
        <v>13101.019550000001</v>
      </c>
      <c r="DF19" s="1221">
        <v>2182.2106699999999</v>
      </c>
      <c r="DG19" s="1221">
        <v>20294.351489999997</v>
      </c>
      <c r="DH19" s="1221">
        <v>2453.26242</v>
      </c>
      <c r="DI19" s="1221">
        <v>22194.402739999998</v>
      </c>
      <c r="DJ19" s="1221">
        <v>2854.4418500000002</v>
      </c>
      <c r="DK19" s="1221">
        <v>25657.887839999999</v>
      </c>
      <c r="DL19" s="1221">
        <v>3350.87554</v>
      </c>
      <c r="DM19" s="1221">
        <v>27503.11044</v>
      </c>
      <c r="DN19" s="1221">
        <v>3762.6462700000002</v>
      </c>
      <c r="DO19" s="1221">
        <v>27893.58596</v>
      </c>
      <c r="DP19" s="1221">
        <v>4282.2189800000006</v>
      </c>
      <c r="DQ19" s="1221">
        <v>28614.54895</v>
      </c>
      <c r="DR19" s="1221">
        <v>4860.7054000000007</v>
      </c>
      <c r="DS19" s="1221">
        <v>3186.9665</v>
      </c>
      <c r="DT19" s="1221">
        <v>270.67649999999998</v>
      </c>
      <c r="DU19" s="1221">
        <v>3851.9827200000004</v>
      </c>
      <c r="DV19" s="1221">
        <v>656.80472999999995</v>
      </c>
      <c r="DW19" s="1221">
        <v>7046.7783600000002</v>
      </c>
      <c r="DX19" s="1221">
        <v>1056.07275</v>
      </c>
      <c r="DY19" s="1221">
        <v>9173.4564399999999</v>
      </c>
      <c r="DZ19" s="1221">
        <v>1414.18292</v>
      </c>
      <c r="EA19" s="1221">
        <v>10453.977869999999</v>
      </c>
      <c r="EB19" s="1221">
        <v>1759.29709</v>
      </c>
      <c r="EC19" s="1221">
        <v>14019.825650000001</v>
      </c>
      <c r="ED19" s="1221">
        <v>2135.3593700000001</v>
      </c>
      <c r="EE19" s="1221">
        <v>14782.41137</v>
      </c>
      <c r="EF19" s="1221">
        <v>2745.2023899999999</v>
      </c>
      <c r="EG19" s="1221">
        <v>16164.55097</v>
      </c>
      <c r="EH19" s="1221">
        <v>3305.2505299999998</v>
      </c>
      <c r="EI19" s="1221">
        <v>18233.249309999999</v>
      </c>
      <c r="EJ19" s="1221">
        <v>3715.0556099999999</v>
      </c>
      <c r="EK19" s="1221">
        <v>22320.767629999998</v>
      </c>
      <c r="EL19" s="1221">
        <v>4179.9508800000003</v>
      </c>
      <c r="EM19" s="1221">
        <v>23722.307110000002</v>
      </c>
      <c r="EN19" s="1221">
        <v>4641.9537799999998</v>
      </c>
      <c r="EO19" s="1221">
        <v>24727.308730000001</v>
      </c>
      <c r="EP19" s="1221">
        <v>5324.4037900000003</v>
      </c>
      <c r="EQ19" s="1221">
        <v>2769.4575100000002</v>
      </c>
      <c r="ER19" s="1221">
        <v>434.94475999999997</v>
      </c>
      <c r="ES19" s="1221">
        <v>3893.5174200000001</v>
      </c>
      <c r="ET19" s="1221">
        <v>778.02341999999999</v>
      </c>
      <c r="EU19" s="1221">
        <v>6392.2154700000001</v>
      </c>
      <c r="EV19" s="1221">
        <v>1207.7311199999999</v>
      </c>
      <c r="EW19" s="1221">
        <v>8502.7692100000004</v>
      </c>
      <c r="EX19" s="1221">
        <v>1955.44192</v>
      </c>
      <c r="EY19" s="1221">
        <v>9462.9444899999999</v>
      </c>
      <c r="EZ19" s="1221">
        <v>2473.2462700000001</v>
      </c>
      <c r="FA19" s="1221">
        <v>10820.31272</v>
      </c>
      <c r="FB19" s="1221">
        <v>3047.6410900000001</v>
      </c>
      <c r="FC19" s="1221">
        <v>13132.812749999999</v>
      </c>
      <c r="FD19" s="1221">
        <v>3468.2575900000002</v>
      </c>
      <c r="FE19" s="1221">
        <v>16757.012269999999</v>
      </c>
      <c r="FF19" s="1221">
        <v>4811.0600100000001</v>
      </c>
      <c r="FG19" s="1221">
        <v>17895.153750000001</v>
      </c>
      <c r="FH19" s="1221">
        <v>5611.1705400000001</v>
      </c>
      <c r="FI19" s="1221">
        <v>19103.979489999998</v>
      </c>
      <c r="FJ19" s="1221">
        <v>6093.6673000000001</v>
      </c>
      <c r="FK19" s="1221">
        <v>21128.799790000001</v>
      </c>
      <c r="FL19" s="1221">
        <v>6748.9545399999997</v>
      </c>
      <c r="FM19" s="1221">
        <v>3151.87383</v>
      </c>
      <c r="FN19" s="1221">
        <v>800.17147999999997</v>
      </c>
      <c r="FO19" s="1221">
        <v>6104.7205700000004</v>
      </c>
      <c r="FP19" s="1221">
        <v>1624.4059399999999</v>
      </c>
      <c r="FQ19" s="1221">
        <v>8106.8852299999999</v>
      </c>
      <c r="FR19" s="1221">
        <v>1969.6034400000001</v>
      </c>
      <c r="FS19" s="1221">
        <v>10421.654839999999</v>
      </c>
      <c r="FT19" s="1221">
        <v>2631.5528999999997</v>
      </c>
      <c r="FU19" s="1221">
        <v>12924.399429999999</v>
      </c>
      <c r="FV19" s="1221">
        <v>3484.2400600000001</v>
      </c>
      <c r="FW19" s="1221">
        <v>15893.295480000001</v>
      </c>
      <c r="FX19" s="1221">
        <v>4155.9766200000004</v>
      </c>
      <c r="FY19" s="1221">
        <v>19011.398120000002</v>
      </c>
      <c r="FZ19" s="1221">
        <v>4779.3784000000005</v>
      </c>
      <c r="GA19" s="1221">
        <v>21956.390899999999</v>
      </c>
      <c r="GB19" s="1221">
        <v>5600.86499</v>
      </c>
      <c r="GC19" s="1221">
        <v>24822.356489999998</v>
      </c>
      <c r="GD19" s="1221">
        <v>6613.5919100000001</v>
      </c>
      <c r="GE19" s="1221">
        <v>26942.66635</v>
      </c>
      <c r="GF19" s="1221">
        <v>7361.5568000000003</v>
      </c>
      <c r="GG19" s="1221">
        <v>31032.585230000001</v>
      </c>
      <c r="GH19" s="1221">
        <v>8146.4604499999996</v>
      </c>
      <c r="GI19" s="1221">
        <v>33855.721649999999</v>
      </c>
      <c r="GJ19" s="1221">
        <v>8969.0511900000001</v>
      </c>
      <c r="GK19" s="1221">
        <v>4071.61168</v>
      </c>
      <c r="GL19" s="1221">
        <v>882.35235999999998</v>
      </c>
      <c r="GM19" s="1221">
        <v>6857.8350799999998</v>
      </c>
      <c r="GN19" s="1221">
        <v>1953.4977200000001</v>
      </c>
      <c r="GO19" s="1221">
        <v>9547.3066099999996</v>
      </c>
      <c r="GP19" s="1221">
        <v>2951.8203599999997</v>
      </c>
      <c r="GQ19" s="1221">
        <v>12268.75902</v>
      </c>
      <c r="GR19" s="1221">
        <v>4182.1030000000001</v>
      </c>
      <c r="GS19" s="1221">
        <v>14888.520699999999</v>
      </c>
      <c r="GT19" s="1221">
        <v>5665.24881</v>
      </c>
      <c r="GU19" s="1221">
        <v>17883.912209999999</v>
      </c>
      <c r="GV19" s="1221">
        <v>6387.5914400000001</v>
      </c>
      <c r="GW19" s="1221">
        <v>21783.739839999998</v>
      </c>
      <c r="GX19" s="1221">
        <v>7461.9008999999996</v>
      </c>
      <c r="GY19" s="1221">
        <v>24489.673999999999</v>
      </c>
      <c r="GZ19" s="1221">
        <v>8690.5138299999999</v>
      </c>
      <c r="HA19" s="1221">
        <v>27353.612440000001</v>
      </c>
      <c r="HB19" s="1221">
        <v>10489.269270000001</v>
      </c>
      <c r="HC19" s="1221">
        <v>29971.50563</v>
      </c>
      <c r="HD19" s="1221">
        <v>12364.256149999999</v>
      </c>
      <c r="HE19" s="1221">
        <v>32397.275949999999</v>
      </c>
      <c r="HF19" s="1221">
        <v>14109.075639999999</v>
      </c>
      <c r="HG19" s="1221">
        <v>36217.459239999996</v>
      </c>
      <c r="HH19" s="1221">
        <v>15699.13992</v>
      </c>
      <c r="HI19" s="1221">
        <v>2912.9209900000001</v>
      </c>
      <c r="HJ19" s="1221">
        <v>1173.8988300000001</v>
      </c>
      <c r="HK19" s="1221">
        <v>5334.6291499999998</v>
      </c>
      <c r="HL19" s="1221">
        <v>2259.55294</v>
      </c>
      <c r="HM19" s="1221">
        <v>7529.3555500000002</v>
      </c>
      <c r="HN19" s="1221">
        <v>3428.3601399999998</v>
      </c>
      <c r="HO19" s="1221">
        <v>10158.17942</v>
      </c>
      <c r="HP19" s="1221">
        <v>5064.0097699999997</v>
      </c>
      <c r="HQ19" s="1221">
        <v>12942.982239999999</v>
      </c>
      <c r="HR19" s="1221">
        <v>6651.4641799999999</v>
      </c>
      <c r="HS19" s="1838" t="s">
        <v>3170</v>
      </c>
    </row>
    <row r="20" spans="1:227" ht="36" customHeight="1">
      <c r="A20" s="1836">
        <v>9</v>
      </c>
      <c r="B20" s="1837" t="s">
        <v>2342</v>
      </c>
      <c r="C20" s="1221">
        <v>7111.36456</v>
      </c>
      <c r="D20" s="1221">
        <v>1750.7861399999999</v>
      </c>
      <c r="E20" s="1221">
        <v>10421.340990000001</v>
      </c>
      <c r="F20" s="1221">
        <v>4956.3202499999998</v>
      </c>
      <c r="G20" s="1221">
        <v>21367.694520000001</v>
      </c>
      <c r="H20" s="1221">
        <v>6092.3665999999994</v>
      </c>
      <c r="I20" s="1221">
        <v>26381.697629999999</v>
      </c>
      <c r="J20" s="1221">
        <v>7331.3699500000002</v>
      </c>
      <c r="K20" s="1221">
        <v>33031.466140000004</v>
      </c>
      <c r="L20" s="1221">
        <v>9984.4656099999993</v>
      </c>
      <c r="M20" s="1221">
        <v>45029.690569999999</v>
      </c>
      <c r="N20" s="1221">
        <v>10661.883210000002</v>
      </c>
      <c r="O20" s="1221">
        <v>49579.820209999998</v>
      </c>
      <c r="P20" s="1221">
        <v>13567.048339999999</v>
      </c>
      <c r="Q20" s="1221">
        <v>55981.736259999998</v>
      </c>
      <c r="R20" s="1221">
        <v>14494.623720000001</v>
      </c>
      <c r="S20" s="1221">
        <v>61803.055780000002</v>
      </c>
      <c r="T20" s="1221">
        <v>25596.74235</v>
      </c>
      <c r="U20" s="1221">
        <v>66981.823520000005</v>
      </c>
      <c r="V20" s="1221">
        <v>32521.267500000002</v>
      </c>
      <c r="W20" s="1221">
        <v>71456.983919999999</v>
      </c>
      <c r="X20" s="1221">
        <v>43726.773209999999</v>
      </c>
      <c r="Y20" s="1221">
        <v>77678.739319999993</v>
      </c>
      <c r="Z20" s="1221">
        <v>45907.276259999999</v>
      </c>
      <c r="AA20" s="1221">
        <v>5628.6600699999999</v>
      </c>
      <c r="AB20" s="1221">
        <v>3559.8864399999998</v>
      </c>
      <c r="AC20" s="1221">
        <v>12549.975570000001</v>
      </c>
      <c r="AD20" s="1221">
        <v>6787.4014699999998</v>
      </c>
      <c r="AE20" s="1221">
        <v>32098.790010000001</v>
      </c>
      <c r="AF20" s="1221">
        <v>7755.2887799999999</v>
      </c>
      <c r="AG20" s="1221">
        <v>52407.826679999998</v>
      </c>
      <c r="AH20" s="1221">
        <v>10109.401970000001</v>
      </c>
      <c r="AI20" s="1221">
        <v>71711.206299999991</v>
      </c>
      <c r="AJ20" s="1221">
        <v>15119.23013</v>
      </c>
      <c r="AK20" s="1221">
        <v>79616.570749999999</v>
      </c>
      <c r="AL20" s="1221">
        <v>22305.654469999998</v>
      </c>
      <c r="AM20" s="1221">
        <v>89261.943700000003</v>
      </c>
      <c r="AN20" s="1221">
        <v>27907.615399999999</v>
      </c>
      <c r="AO20" s="1221">
        <v>101488.01815</v>
      </c>
      <c r="AP20" s="1221">
        <v>33614.4015</v>
      </c>
      <c r="AQ20" s="1221">
        <v>112191.90853</v>
      </c>
      <c r="AR20" s="1221">
        <v>38287.872560000003</v>
      </c>
      <c r="AS20" s="1221">
        <v>123370.84156</v>
      </c>
      <c r="AT20" s="1221">
        <v>39845.771000000001</v>
      </c>
      <c r="AU20" s="1221">
        <v>136797.91284</v>
      </c>
      <c r="AV20" s="1221">
        <v>53901.161220000002</v>
      </c>
      <c r="AW20" s="1221">
        <v>152757.72326</v>
      </c>
      <c r="AX20" s="1221">
        <v>58004.591979999997</v>
      </c>
      <c r="AY20" s="1221">
        <v>14475.66574</v>
      </c>
      <c r="AZ20" s="1221">
        <v>3810.5554300000003</v>
      </c>
      <c r="BA20" s="1221">
        <v>32446.387839999999</v>
      </c>
      <c r="BB20" s="1221">
        <v>7277.8875199999993</v>
      </c>
      <c r="BC20" s="1221">
        <v>55670.28</v>
      </c>
      <c r="BD20" s="1221">
        <v>16122.28</v>
      </c>
      <c r="BE20" s="1221">
        <v>108802.21024</v>
      </c>
      <c r="BF20" s="1221">
        <v>17926.602609999998</v>
      </c>
      <c r="BG20" s="1221">
        <v>128906.96195</v>
      </c>
      <c r="BH20" s="1221">
        <v>21499.141440000003</v>
      </c>
      <c r="BI20" s="1221">
        <v>144613.99130000002</v>
      </c>
      <c r="BJ20" s="1221">
        <v>31646.598670000003</v>
      </c>
      <c r="BK20" s="1221">
        <v>167728.85894999999</v>
      </c>
      <c r="BL20" s="1221">
        <v>42982.870670000004</v>
      </c>
      <c r="BM20" s="1221">
        <v>193453.54598</v>
      </c>
      <c r="BN20" s="1221">
        <v>52883.153590000002</v>
      </c>
      <c r="BO20" s="1221">
        <v>209227.23037</v>
      </c>
      <c r="BP20" s="1221">
        <v>58998.14316</v>
      </c>
      <c r="BQ20" s="1221">
        <v>226793.46322999999</v>
      </c>
      <c r="BR20" s="1221">
        <v>64479.079640000004</v>
      </c>
      <c r="BS20" s="1221">
        <v>244736.54996999999</v>
      </c>
      <c r="BT20" s="1221">
        <v>67300.197150000007</v>
      </c>
      <c r="BU20" s="1221">
        <v>264988.44341000001</v>
      </c>
      <c r="BV20" s="1221">
        <v>71045.488319999989</v>
      </c>
      <c r="BW20" s="1221">
        <v>10875.65128</v>
      </c>
      <c r="BX20" s="1221">
        <v>5786.5189400000008</v>
      </c>
      <c r="BY20" s="1221">
        <v>24222.887839999999</v>
      </c>
      <c r="BZ20" s="1221">
        <v>9350.44974</v>
      </c>
      <c r="CA20" s="1221">
        <v>39673.036820000001</v>
      </c>
      <c r="CB20" s="1221">
        <v>12489.02152</v>
      </c>
      <c r="CC20" s="1221">
        <v>74597.364560000002</v>
      </c>
      <c r="CD20" s="1221">
        <v>17619.540370000002</v>
      </c>
      <c r="CE20" s="1221">
        <v>94118.269799999995</v>
      </c>
      <c r="CF20" s="1221">
        <v>23803.995930000001</v>
      </c>
      <c r="CG20" s="1221">
        <v>109274.99931</v>
      </c>
      <c r="CH20" s="1221">
        <v>30995.156340000001</v>
      </c>
      <c r="CI20" s="1221">
        <v>131978.93851000001</v>
      </c>
      <c r="CJ20" s="1221">
        <v>52729.207190000001</v>
      </c>
      <c r="CK20" s="1221">
        <v>148624.46394999998</v>
      </c>
      <c r="CL20" s="1221">
        <v>56896.903969999999</v>
      </c>
      <c r="CM20" s="1221">
        <v>164442.13846000002</v>
      </c>
      <c r="CN20" s="1221">
        <v>67721.531090000004</v>
      </c>
      <c r="CO20" s="1221">
        <v>180106.52737999998</v>
      </c>
      <c r="CP20" s="1221">
        <v>74393.382259999998</v>
      </c>
      <c r="CQ20" s="1221">
        <v>194819.78725999998</v>
      </c>
      <c r="CR20" s="1221">
        <v>85046.970130000002</v>
      </c>
      <c r="CS20" s="1221">
        <v>212559.13927000001</v>
      </c>
      <c r="CT20" s="1221">
        <v>99505.083610000001</v>
      </c>
      <c r="CU20" s="1221">
        <v>14990.755050000002</v>
      </c>
      <c r="CV20" s="1221">
        <v>10317.388300000001</v>
      </c>
      <c r="CW20" s="1221">
        <v>31803.320789999998</v>
      </c>
      <c r="CX20" s="1221">
        <v>16340.731449999999</v>
      </c>
      <c r="CY20" s="1221">
        <v>53766.30848</v>
      </c>
      <c r="CZ20" s="1221">
        <v>29890.501660000002</v>
      </c>
      <c r="DA20" s="1221">
        <v>95750.372909999991</v>
      </c>
      <c r="DB20" s="1221">
        <v>37517.645640000002</v>
      </c>
      <c r="DC20" s="1221">
        <v>116541.16299</v>
      </c>
      <c r="DD20" s="1221">
        <v>57339.76023</v>
      </c>
      <c r="DE20" s="1221">
        <v>132820.29876999999</v>
      </c>
      <c r="DF20" s="1221">
        <v>91594.828540000002</v>
      </c>
      <c r="DG20" s="1221">
        <v>157504.18812000001</v>
      </c>
      <c r="DH20" s="1221">
        <v>117073.57173000001</v>
      </c>
      <c r="DI20" s="1221">
        <v>175687.96756999998</v>
      </c>
      <c r="DJ20" s="1221">
        <v>135692.19259999998</v>
      </c>
      <c r="DK20" s="1221">
        <v>194018.18998</v>
      </c>
      <c r="DL20" s="1221">
        <v>153373.87114999999</v>
      </c>
      <c r="DM20" s="1221">
        <v>208513.47675</v>
      </c>
      <c r="DN20" s="1221">
        <v>175706.16847999999</v>
      </c>
      <c r="DO20" s="1221">
        <v>224687.27267999999</v>
      </c>
      <c r="DP20" s="1221">
        <v>195758.50913999998</v>
      </c>
      <c r="DQ20" s="1221">
        <v>242631.50380999999</v>
      </c>
      <c r="DR20" s="1221">
        <v>222976.67261000001</v>
      </c>
      <c r="DS20" s="1221">
        <v>16451.372890000002</v>
      </c>
      <c r="DT20" s="1221">
        <v>24799.722460000001</v>
      </c>
      <c r="DU20" s="1221">
        <v>35539.49929</v>
      </c>
      <c r="DV20" s="1221">
        <v>43057.914750000004</v>
      </c>
      <c r="DW20" s="1221">
        <v>53200.697110000001</v>
      </c>
      <c r="DX20" s="1221">
        <v>73603.61626000001</v>
      </c>
      <c r="DY20" s="1221">
        <v>112049.78877</v>
      </c>
      <c r="DZ20" s="1221">
        <v>87592.309129999994</v>
      </c>
      <c r="EA20" s="1221">
        <v>139857.90568</v>
      </c>
      <c r="EB20" s="1221">
        <v>101253.27240999999</v>
      </c>
      <c r="EC20" s="1221">
        <v>159565.20569</v>
      </c>
      <c r="ED20" s="1221">
        <v>120864.04484999999</v>
      </c>
      <c r="EE20" s="1221">
        <v>190209.47081</v>
      </c>
      <c r="EF20" s="1221">
        <v>156590.89887</v>
      </c>
      <c r="EG20" s="1221">
        <v>212689.29696000001</v>
      </c>
      <c r="EH20" s="1221">
        <v>169286.15041</v>
      </c>
      <c r="EI20" s="1221">
        <v>235334.94305</v>
      </c>
      <c r="EJ20" s="1221">
        <v>178248.16876</v>
      </c>
      <c r="EK20" s="1221">
        <v>257859.96617</v>
      </c>
      <c r="EL20" s="1221">
        <v>187553.3083</v>
      </c>
      <c r="EM20" s="1221">
        <v>285244.81215000001</v>
      </c>
      <c r="EN20" s="1221">
        <v>197467.89678000001</v>
      </c>
      <c r="EO20" s="1221">
        <v>313005.82290999999</v>
      </c>
      <c r="EP20" s="1221">
        <v>204973.76217999999</v>
      </c>
      <c r="EQ20" s="1221">
        <v>25320.043399999999</v>
      </c>
      <c r="ER20" s="1221">
        <v>4384.90301</v>
      </c>
      <c r="ES20" s="1221">
        <v>51200.92224</v>
      </c>
      <c r="ET20" s="1221">
        <v>9108.0540099999998</v>
      </c>
      <c r="EU20" s="1221">
        <v>86301.711219999997</v>
      </c>
      <c r="EV20" s="1221">
        <v>14358.62651</v>
      </c>
      <c r="EW20" s="1221">
        <v>149814.75391999999</v>
      </c>
      <c r="EX20" s="1221">
        <v>23898.2124</v>
      </c>
      <c r="EY20" s="1221">
        <v>179671.071</v>
      </c>
      <c r="EZ20" s="1221">
        <v>41505.92325</v>
      </c>
      <c r="FA20" s="1221">
        <v>206649.23219000001</v>
      </c>
      <c r="FB20" s="1221">
        <v>71419.330199999997</v>
      </c>
      <c r="FC20" s="1221">
        <v>247668.15836999999</v>
      </c>
      <c r="FD20" s="1221">
        <v>119324.62454999999</v>
      </c>
      <c r="FE20" s="1221">
        <v>310508.68624000001</v>
      </c>
      <c r="FF20" s="1221">
        <v>159442.33340999999</v>
      </c>
      <c r="FG20" s="1221">
        <v>343083.35593999998</v>
      </c>
      <c r="FH20" s="1221">
        <v>181302.01229000001</v>
      </c>
      <c r="FI20" s="1221">
        <v>376003.00893000001</v>
      </c>
      <c r="FJ20" s="1221">
        <v>200807.16125</v>
      </c>
      <c r="FK20" s="1221">
        <v>413298.10379999998</v>
      </c>
      <c r="FL20" s="1221">
        <v>215366.24960000001</v>
      </c>
      <c r="FM20" s="1221">
        <v>33148.954729999998</v>
      </c>
      <c r="FN20" s="1221">
        <v>16259.291869999999</v>
      </c>
      <c r="FO20" s="1221">
        <v>67580.694329999998</v>
      </c>
      <c r="FP20" s="1221">
        <v>32887.903409999999</v>
      </c>
      <c r="FQ20" s="1221">
        <v>125461.44697999999</v>
      </c>
      <c r="FR20" s="1221">
        <v>48350.414830000002</v>
      </c>
      <c r="FS20" s="1221">
        <v>201305.37008000002</v>
      </c>
      <c r="FT20" s="1221">
        <v>62761.45132</v>
      </c>
      <c r="FU20" s="1221">
        <v>247765.1684</v>
      </c>
      <c r="FV20" s="1221">
        <v>82624.551790000012</v>
      </c>
      <c r="FW20" s="1221">
        <v>281827.76016000001</v>
      </c>
      <c r="FX20" s="1221">
        <v>113380.61442</v>
      </c>
      <c r="FY20" s="1221">
        <v>327010.25675</v>
      </c>
      <c r="FZ20" s="1221">
        <v>150921.31498</v>
      </c>
      <c r="GA20" s="1221">
        <v>362661.03821999999</v>
      </c>
      <c r="GB20" s="1221">
        <v>177122.12220000001</v>
      </c>
      <c r="GC20" s="1221">
        <v>402759.24317999999</v>
      </c>
      <c r="GD20" s="1221">
        <v>200038.39262</v>
      </c>
      <c r="GE20" s="1221">
        <v>437184.17278000002</v>
      </c>
      <c r="GF20" s="1221">
        <v>228204.5385</v>
      </c>
      <c r="GG20" s="1221">
        <v>473789.55265000003</v>
      </c>
      <c r="GH20" s="1221">
        <v>245345.83889000001</v>
      </c>
      <c r="GI20" s="1221">
        <v>517466.65562999999</v>
      </c>
      <c r="GJ20" s="1221">
        <v>266164.22191999998</v>
      </c>
      <c r="GK20" s="1221">
        <v>37810.71284</v>
      </c>
      <c r="GL20" s="1221">
        <v>17791.101429999999</v>
      </c>
      <c r="GM20" s="1221">
        <v>81390.161410000001</v>
      </c>
      <c r="GN20" s="1221">
        <v>51831.354229999997</v>
      </c>
      <c r="GO20" s="1221">
        <v>143590.97815000001</v>
      </c>
      <c r="GP20" s="1221">
        <v>87011.587040000013</v>
      </c>
      <c r="GQ20" s="1221">
        <v>256089.98860000001</v>
      </c>
      <c r="GR20" s="1221">
        <v>111771.18</v>
      </c>
      <c r="GS20" s="1221">
        <v>301866.50423000002</v>
      </c>
      <c r="GT20" s="1221">
        <v>144760.73383000001</v>
      </c>
      <c r="GU20" s="1221">
        <v>339807.2574</v>
      </c>
      <c r="GV20" s="1221">
        <v>201968.74043999999</v>
      </c>
      <c r="GW20" s="1221">
        <v>377769.53490999999</v>
      </c>
      <c r="GX20" s="1221">
        <v>256585.30931000001</v>
      </c>
      <c r="GY20" s="1221">
        <v>414858.72746000002</v>
      </c>
      <c r="GZ20" s="1221">
        <v>290474.53233999998</v>
      </c>
      <c r="HA20" s="1221">
        <v>462236.12790000002</v>
      </c>
      <c r="HB20" s="1221">
        <v>317079.77299000003</v>
      </c>
      <c r="HC20" s="1221">
        <v>500176.70898</v>
      </c>
      <c r="HD20" s="1221">
        <v>356219.50021000003</v>
      </c>
      <c r="HE20" s="1221">
        <v>542309.87774999999</v>
      </c>
      <c r="HF20" s="1221">
        <v>389679.66512000002</v>
      </c>
      <c r="HG20" s="1221">
        <v>594398.55153000006</v>
      </c>
      <c r="HH20" s="1221">
        <v>418779.46486000001</v>
      </c>
      <c r="HI20" s="1221">
        <v>50319.272499999999</v>
      </c>
      <c r="HJ20" s="1221">
        <v>25571.982909999999</v>
      </c>
      <c r="HK20" s="1221">
        <v>100385.33464</v>
      </c>
      <c r="HL20" s="1221">
        <v>60997.941760000002</v>
      </c>
      <c r="HM20" s="1221">
        <v>161831.65254000001</v>
      </c>
      <c r="HN20" s="1221">
        <v>98110.374559999997</v>
      </c>
      <c r="HO20" s="1221">
        <v>281911.42774000001</v>
      </c>
      <c r="HP20" s="1221">
        <v>129594.71896</v>
      </c>
      <c r="HQ20" s="1221">
        <v>345093.74725999997</v>
      </c>
      <c r="HR20" s="1221">
        <v>177453.82638000001</v>
      </c>
      <c r="HS20" s="1838" t="s">
        <v>3172</v>
      </c>
    </row>
    <row r="21" spans="1:227" ht="36" customHeight="1">
      <c r="A21" s="1836">
        <v>10</v>
      </c>
      <c r="B21" s="1837" t="s">
        <v>2341</v>
      </c>
      <c r="C21" s="1221">
        <v>35221.493179999998</v>
      </c>
      <c r="D21" s="1221">
        <v>3287.5865699999999</v>
      </c>
      <c r="E21" s="1221">
        <v>40925.349040000001</v>
      </c>
      <c r="F21" s="1221">
        <v>6770.9138000000003</v>
      </c>
      <c r="G21" s="1221">
        <v>48840.028490000004</v>
      </c>
      <c r="H21" s="1221">
        <v>9873.5625500000006</v>
      </c>
      <c r="I21" s="1221">
        <v>55038.23861</v>
      </c>
      <c r="J21" s="1221">
        <v>14113.91661</v>
      </c>
      <c r="K21" s="1221">
        <v>59578.875850000004</v>
      </c>
      <c r="L21" s="1221">
        <v>17389.655579999999</v>
      </c>
      <c r="M21" s="1221">
        <v>64610.892590000003</v>
      </c>
      <c r="N21" s="1221">
        <v>20849.758249999999</v>
      </c>
      <c r="O21" s="1221">
        <v>70902.332129999995</v>
      </c>
      <c r="P21" s="1221">
        <v>24222.817190000002</v>
      </c>
      <c r="Q21" s="1221">
        <v>74656.310249999995</v>
      </c>
      <c r="R21" s="1221">
        <v>28436.331559999999</v>
      </c>
      <c r="S21" s="1221">
        <v>81220.484879999989</v>
      </c>
      <c r="T21" s="1221">
        <v>33159.900050000004</v>
      </c>
      <c r="U21" s="1221">
        <v>89523.191800000001</v>
      </c>
      <c r="V21" s="1221">
        <v>37687.068950000001</v>
      </c>
      <c r="W21" s="1221">
        <v>94390.744230000011</v>
      </c>
      <c r="X21" s="1221">
        <v>43066.164389999998</v>
      </c>
      <c r="Y21" s="1221">
        <v>100012.14726000001</v>
      </c>
      <c r="Z21" s="1221">
        <v>47438.605450000003</v>
      </c>
      <c r="AA21" s="1221">
        <v>37674.801590000003</v>
      </c>
      <c r="AB21" s="1221">
        <v>3762.3690699999997</v>
      </c>
      <c r="AC21" s="1221">
        <v>44234.193850000003</v>
      </c>
      <c r="AD21" s="1221">
        <v>6119.3040899999996</v>
      </c>
      <c r="AE21" s="1221">
        <v>49697.404259999996</v>
      </c>
      <c r="AF21" s="1221">
        <v>9121.7510000000002</v>
      </c>
      <c r="AG21" s="1221">
        <v>53372.329279999998</v>
      </c>
      <c r="AH21" s="1221">
        <v>10280.55939</v>
      </c>
      <c r="AI21" s="1221">
        <v>60348.762579999995</v>
      </c>
      <c r="AJ21" s="1221">
        <v>13203.19398</v>
      </c>
      <c r="AK21" s="1221">
        <v>66663.840859999997</v>
      </c>
      <c r="AL21" s="1221">
        <v>19997.520329999999</v>
      </c>
      <c r="AM21" s="1221">
        <v>73787.220549999998</v>
      </c>
      <c r="AN21" s="1221">
        <v>24323.390489999998</v>
      </c>
      <c r="AO21" s="1221">
        <v>83143.308019999997</v>
      </c>
      <c r="AP21" s="1221">
        <v>31831.445920000002</v>
      </c>
      <c r="AQ21" s="1221">
        <v>93613.71087000001</v>
      </c>
      <c r="AR21" s="1221">
        <v>35160.967299999997</v>
      </c>
      <c r="AS21" s="1221">
        <v>99611.436239999995</v>
      </c>
      <c r="AT21" s="1221">
        <v>39974.072560000001</v>
      </c>
      <c r="AU21" s="1221">
        <v>103334.57759</v>
      </c>
      <c r="AV21" s="1221">
        <v>41953.754679999998</v>
      </c>
      <c r="AW21" s="1221">
        <v>107569.00523000001</v>
      </c>
      <c r="AX21" s="1221">
        <v>43439.060829999995</v>
      </c>
      <c r="AY21" s="1221">
        <v>41233.749240000005</v>
      </c>
      <c r="AZ21" s="1221">
        <v>4869.3622000000005</v>
      </c>
      <c r="BA21" s="1221">
        <v>49454.416149999997</v>
      </c>
      <c r="BB21" s="1221">
        <v>8749.8077400000002</v>
      </c>
      <c r="BC21" s="1221">
        <v>65545.34</v>
      </c>
      <c r="BD21" s="1221">
        <v>12188.35</v>
      </c>
      <c r="BE21" s="1221">
        <v>70927.784370000008</v>
      </c>
      <c r="BF21" s="1221">
        <v>18343.085520000001</v>
      </c>
      <c r="BG21" s="1221">
        <v>78001.323269999993</v>
      </c>
      <c r="BH21" s="1221">
        <v>22474.52002</v>
      </c>
      <c r="BI21" s="1221">
        <v>83362.840580000004</v>
      </c>
      <c r="BJ21" s="1221">
        <v>25459.676829999997</v>
      </c>
      <c r="BK21" s="1221">
        <v>89478.11954</v>
      </c>
      <c r="BL21" s="1221">
        <v>29759.360619999999</v>
      </c>
      <c r="BM21" s="1221">
        <v>96584.146420000005</v>
      </c>
      <c r="BN21" s="1221">
        <v>34394.089249999997</v>
      </c>
      <c r="BO21" s="1221">
        <v>108243.28770999999</v>
      </c>
      <c r="BP21" s="1221">
        <v>37152.797250000003</v>
      </c>
      <c r="BQ21" s="1221">
        <v>118064.85301000001</v>
      </c>
      <c r="BR21" s="1221">
        <v>41521.60886</v>
      </c>
      <c r="BS21" s="1221">
        <v>122357.80517000001</v>
      </c>
      <c r="BT21" s="1221">
        <v>47319.964799999994</v>
      </c>
      <c r="BU21" s="1221">
        <v>128007.03637</v>
      </c>
      <c r="BV21" s="1221">
        <v>49520.255770000003</v>
      </c>
      <c r="BW21" s="1221">
        <v>46420.087409999993</v>
      </c>
      <c r="BX21" s="1221">
        <v>1392.1319099999998</v>
      </c>
      <c r="BY21" s="1221">
        <v>57970.750329999995</v>
      </c>
      <c r="BZ21" s="1221">
        <v>5757.9493200000006</v>
      </c>
      <c r="CA21" s="1221">
        <v>64468.551700000004</v>
      </c>
      <c r="CB21" s="1221">
        <v>9043.7795900000001</v>
      </c>
      <c r="CC21" s="1221">
        <v>71970.155350000001</v>
      </c>
      <c r="CD21" s="1221">
        <v>14675.89</v>
      </c>
      <c r="CE21" s="1221">
        <v>81416.358999999997</v>
      </c>
      <c r="CF21" s="1221">
        <v>19792.368999999999</v>
      </c>
      <c r="CG21" s="1221">
        <v>89197.641220000005</v>
      </c>
      <c r="CH21" s="1221">
        <v>25579.25404</v>
      </c>
      <c r="CI21" s="1221">
        <v>96468.642819999994</v>
      </c>
      <c r="CJ21" s="1221">
        <v>25861.174039999998</v>
      </c>
      <c r="CK21" s="1221">
        <v>104745.69085</v>
      </c>
      <c r="CL21" s="1221">
        <v>33210.036039999999</v>
      </c>
      <c r="CM21" s="1221">
        <v>118960.93228000001</v>
      </c>
      <c r="CN21" s="1221">
        <v>38300.608289999996</v>
      </c>
      <c r="CO21" s="1221">
        <v>132632.52528</v>
      </c>
      <c r="CP21" s="1221">
        <v>43645.506390000002</v>
      </c>
      <c r="CQ21" s="1221">
        <v>139270.495</v>
      </c>
      <c r="CR21" s="1221">
        <v>49663.697</v>
      </c>
      <c r="CS21" s="1221">
        <v>150176.91396000001</v>
      </c>
      <c r="CT21" s="1221">
        <v>52797.747080000001</v>
      </c>
      <c r="CU21" s="1221">
        <v>56578.216310000003</v>
      </c>
      <c r="CV21" s="1221">
        <v>5414.6367199999995</v>
      </c>
      <c r="CW21" s="1221">
        <v>67269.746419999996</v>
      </c>
      <c r="CX21" s="1221">
        <v>8810.8865999999998</v>
      </c>
      <c r="CY21" s="1221">
        <v>75930.329549999995</v>
      </c>
      <c r="CZ21" s="1221">
        <v>15308.801369999999</v>
      </c>
      <c r="DA21" s="1221">
        <v>83397.370890000006</v>
      </c>
      <c r="DB21" s="1221">
        <v>20954.808010000001</v>
      </c>
      <c r="DC21" s="1221">
        <v>90581.469799999992</v>
      </c>
      <c r="DD21" s="1221">
        <v>27919.489879999997</v>
      </c>
      <c r="DE21" s="1221">
        <v>100211.72125</v>
      </c>
      <c r="DF21" s="1221">
        <v>31642.384489999997</v>
      </c>
      <c r="DG21" s="1221">
        <v>109920.42668</v>
      </c>
      <c r="DH21" s="1221">
        <v>34843.251779999999</v>
      </c>
      <c r="DI21" s="1221">
        <v>122666.97942</v>
      </c>
      <c r="DJ21" s="1221">
        <v>38614.629810000006</v>
      </c>
      <c r="DK21" s="1221">
        <v>134766.32167999999</v>
      </c>
      <c r="DL21" s="1221">
        <v>52894.339439999996</v>
      </c>
      <c r="DM21" s="1221">
        <v>145939.57534000001</v>
      </c>
      <c r="DN21" s="1221">
        <v>55813.869749999998</v>
      </c>
      <c r="DO21" s="1221">
        <v>151556.59073</v>
      </c>
      <c r="DP21" s="1221">
        <v>58908.248540000001</v>
      </c>
      <c r="DQ21" s="1221">
        <v>163453.35830000002</v>
      </c>
      <c r="DR21" s="1221">
        <v>71452.031080000001</v>
      </c>
      <c r="DS21" s="1221">
        <v>51225.643069999998</v>
      </c>
      <c r="DT21" s="1221">
        <v>7481.6456100000005</v>
      </c>
      <c r="DU21" s="1221">
        <v>65813.631250000006</v>
      </c>
      <c r="DV21" s="1221">
        <v>13047.1054</v>
      </c>
      <c r="DW21" s="1221">
        <v>79291.293489999996</v>
      </c>
      <c r="DX21" s="1221">
        <v>15645.088589999999</v>
      </c>
      <c r="DY21" s="1221">
        <v>87218.987590000004</v>
      </c>
      <c r="DZ21" s="1221">
        <v>19677.47611</v>
      </c>
      <c r="EA21" s="1221">
        <v>95592.521049999996</v>
      </c>
      <c r="EB21" s="1221">
        <v>23134.08268</v>
      </c>
      <c r="EC21" s="1221">
        <v>105765.65452</v>
      </c>
      <c r="ED21" s="1221">
        <v>29825.45939</v>
      </c>
      <c r="EE21" s="1221">
        <v>120692.77292</v>
      </c>
      <c r="EF21" s="1221">
        <v>35113.862789999999</v>
      </c>
      <c r="EG21" s="1221">
        <v>127405.53</v>
      </c>
      <c r="EH21" s="1221">
        <v>49492.572030000003</v>
      </c>
      <c r="EI21" s="1221">
        <v>150625.96319000001</v>
      </c>
      <c r="EJ21" s="1221">
        <v>58448.597310000005</v>
      </c>
      <c r="EK21" s="1221">
        <v>157704.51853999999</v>
      </c>
      <c r="EL21" s="1221">
        <v>64625.092620000003</v>
      </c>
      <c r="EM21" s="1221">
        <v>164598.85021999999</v>
      </c>
      <c r="EN21" s="1221">
        <v>68636.230060000002</v>
      </c>
      <c r="EO21" s="1221">
        <v>179229.35571999999</v>
      </c>
      <c r="EP21" s="1221">
        <v>75010.262520000004</v>
      </c>
      <c r="EQ21" s="1221">
        <v>59855.942369999997</v>
      </c>
      <c r="ER21" s="1221">
        <v>3100.9073800000001</v>
      </c>
      <c r="ES21" s="1221">
        <v>72559.160919999995</v>
      </c>
      <c r="ET21" s="1221">
        <v>11599.663839999999</v>
      </c>
      <c r="EU21" s="1221">
        <v>85361.039309999993</v>
      </c>
      <c r="EV21" s="1221">
        <v>17181.026450000001</v>
      </c>
      <c r="EW21" s="1221">
        <v>96041.835569999996</v>
      </c>
      <c r="EX21" s="1221">
        <v>24904.63798</v>
      </c>
      <c r="EY21" s="1221">
        <v>109335.55128</v>
      </c>
      <c r="EZ21" s="1221">
        <v>30183.416450000001</v>
      </c>
      <c r="FA21" s="1221">
        <v>120607.40051000001</v>
      </c>
      <c r="FB21" s="1221">
        <v>36000.943339999903</v>
      </c>
      <c r="FC21" s="1221">
        <v>137463.38609000001</v>
      </c>
      <c r="FD21" s="1221">
        <v>41588.87066</v>
      </c>
      <c r="FE21" s="1221">
        <v>172884.26991</v>
      </c>
      <c r="FF21" s="1221">
        <v>53466.169620000001</v>
      </c>
      <c r="FG21" s="1221">
        <v>182918.19576</v>
      </c>
      <c r="FH21" s="1221">
        <v>58944.947979999997</v>
      </c>
      <c r="FI21" s="1221">
        <v>194543.34026</v>
      </c>
      <c r="FJ21" s="1221">
        <v>63009.873820000001</v>
      </c>
      <c r="FK21" s="1221">
        <v>215131.84138</v>
      </c>
      <c r="FL21" s="1221">
        <v>66907.458549999996</v>
      </c>
      <c r="FM21" s="1221">
        <v>61892.106020000007</v>
      </c>
      <c r="FN21" s="1221">
        <v>6041.3434699999998</v>
      </c>
      <c r="FO21" s="1221">
        <v>81110.348280000006</v>
      </c>
      <c r="FP21" s="1221">
        <v>11669.42215</v>
      </c>
      <c r="FQ21" s="1221">
        <v>105380.55508000001</v>
      </c>
      <c r="FR21" s="1221">
        <v>17753.11836</v>
      </c>
      <c r="FS21" s="1221">
        <v>121562.28306999999</v>
      </c>
      <c r="FT21" s="1221">
        <v>24134.090850000001</v>
      </c>
      <c r="FU21" s="1221">
        <v>140479.43674999999</v>
      </c>
      <c r="FV21" s="1221">
        <v>30939.653839999999</v>
      </c>
      <c r="FW21" s="1221">
        <v>163423.30710000001</v>
      </c>
      <c r="FX21" s="1221">
        <v>37783.731799999994</v>
      </c>
      <c r="FY21" s="1221">
        <v>188862.28013</v>
      </c>
      <c r="FZ21" s="1221">
        <v>45089.197200000002</v>
      </c>
      <c r="GA21" s="1221">
        <v>207880.78190999999</v>
      </c>
      <c r="GB21" s="1221">
        <v>53843.698850000001</v>
      </c>
      <c r="GC21" s="1221">
        <v>226577.47053999998</v>
      </c>
      <c r="GD21" s="1221">
        <v>67619.783739999999</v>
      </c>
      <c r="GE21" s="1221">
        <v>248986.07190000001</v>
      </c>
      <c r="GF21" s="1221">
        <v>77709.491099999999</v>
      </c>
      <c r="GG21" s="1221">
        <v>265495.34577999997</v>
      </c>
      <c r="GH21" s="1221">
        <v>89525.853730000003</v>
      </c>
      <c r="GI21" s="1221">
        <v>293090.57013000001</v>
      </c>
      <c r="GJ21" s="1221">
        <v>144012.17965000001</v>
      </c>
      <c r="GK21" s="1221">
        <v>68700.63751</v>
      </c>
      <c r="GL21" s="1221">
        <v>8481.7184799999995</v>
      </c>
      <c r="GM21" s="1221">
        <v>90703.944989999989</v>
      </c>
      <c r="GN21" s="1221">
        <v>18027.527529999999</v>
      </c>
      <c r="GO21" s="1221">
        <v>115945.8548</v>
      </c>
      <c r="GP21" s="1221">
        <v>28106.21819</v>
      </c>
      <c r="GQ21" s="1221">
        <v>133640.47946</v>
      </c>
      <c r="GR21" s="1221">
        <v>41896.657570000003</v>
      </c>
      <c r="GS21" s="1221">
        <v>154290.61724000002</v>
      </c>
      <c r="GT21" s="1221">
        <v>54578.63265</v>
      </c>
      <c r="GU21" s="1221">
        <v>171121.23814</v>
      </c>
      <c r="GV21" s="1221">
        <v>64329.61045</v>
      </c>
      <c r="GW21" s="1221">
        <v>205213.24280000001</v>
      </c>
      <c r="GX21" s="1221">
        <v>77155.586850000007</v>
      </c>
      <c r="GY21" s="1221">
        <v>229809.12445999999</v>
      </c>
      <c r="GZ21" s="1221">
        <v>89956.795670000007</v>
      </c>
      <c r="HA21" s="1221">
        <v>247230.81286000001</v>
      </c>
      <c r="HB21" s="1221">
        <v>103261.05398</v>
      </c>
      <c r="HC21" s="1221">
        <v>263549.87964</v>
      </c>
      <c r="HD21" s="1221">
        <v>116203.02244</v>
      </c>
      <c r="HE21" s="1221">
        <v>291099.72287</v>
      </c>
      <c r="HF21" s="1221">
        <v>128695.96759</v>
      </c>
      <c r="HG21" s="1221">
        <v>317559.98196</v>
      </c>
      <c r="HH21" s="1221">
        <v>141291.65947000001</v>
      </c>
      <c r="HI21" s="1221">
        <v>69049.574529999998</v>
      </c>
      <c r="HJ21" s="1221">
        <v>8777.0575200000003</v>
      </c>
      <c r="HK21" s="1221">
        <v>95153.139639999994</v>
      </c>
      <c r="HL21" s="1221">
        <v>18971.63</v>
      </c>
      <c r="HM21" s="1221">
        <v>114881.99460999999</v>
      </c>
      <c r="HN21" s="1221">
        <v>27676.435539999999</v>
      </c>
      <c r="HO21" s="1221">
        <v>135457.30457000001</v>
      </c>
      <c r="HP21" s="1221">
        <v>41848.241000000002</v>
      </c>
      <c r="HQ21" s="1221">
        <v>162853.35821999999</v>
      </c>
      <c r="HR21" s="1221">
        <v>55794.134570000002</v>
      </c>
      <c r="HS21" s="1838" t="s">
        <v>3173</v>
      </c>
    </row>
    <row r="22" spans="1:227" ht="36" customHeight="1">
      <c r="A22" s="1836">
        <v>11</v>
      </c>
      <c r="B22" s="1837" t="s">
        <v>2340</v>
      </c>
      <c r="C22" s="1221">
        <v>3013.17</v>
      </c>
      <c r="D22" s="1221">
        <v>2.1949999999999998</v>
      </c>
      <c r="E22" s="1221">
        <v>5713.4689400000007</v>
      </c>
      <c r="F22" s="1221">
        <v>3412.3323399999999</v>
      </c>
      <c r="G22" s="1221">
        <v>8190.3213099999994</v>
      </c>
      <c r="H22" s="1221">
        <v>3802.55656</v>
      </c>
      <c r="I22" s="1221">
        <v>10889.157499999999</v>
      </c>
      <c r="J22" s="1221">
        <v>4332.0009500000006</v>
      </c>
      <c r="K22" s="1221">
        <v>15406.210999999999</v>
      </c>
      <c r="L22" s="1221">
        <v>8799.2549299999991</v>
      </c>
      <c r="M22" s="1221">
        <v>16947.738000000001</v>
      </c>
      <c r="N22" s="1221">
        <v>9423.5326400000013</v>
      </c>
      <c r="O22" s="1221">
        <v>22483.764999999999</v>
      </c>
      <c r="P22" s="1221">
        <v>11026.849</v>
      </c>
      <c r="Q22" s="1221">
        <v>24731.312999999998</v>
      </c>
      <c r="R22" s="1221">
        <v>14061.576999999999</v>
      </c>
      <c r="S22" s="1221">
        <v>26373.764999999999</v>
      </c>
      <c r="T22" s="1221">
        <v>19001.14</v>
      </c>
      <c r="U22" s="1221">
        <v>27887.284</v>
      </c>
      <c r="V22" s="1221">
        <v>20046.441999999999</v>
      </c>
      <c r="W22" s="1221">
        <v>29672.706999999999</v>
      </c>
      <c r="X22" s="1221">
        <v>21004.513999999999</v>
      </c>
      <c r="Y22" s="1221">
        <v>31737.937999999998</v>
      </c>
      <c r="Z22" s="1221">
        <v>21959.718000000001</v>
      </c>
      <c r="AA22" s="1221">
        <v>1204.0567599999999</v>
      </c>
      <c r="AB22" s="1221">
        <v>1454.6282800000001</v>
      </c>
      <c r="AC22" s="1221">
        <v>3126.2185399999998</v>
      </c>
      <c r="AD22" s="1221">
        <v>2320.38148</v>
      </c>
      <c r="AE22" s="1221">
        <v>4260.9535199999991</v>
      </c>
      <c r="AF22" s="1221">
        <v>3458.8797100000002</v>
      </c>
      <c r="AG22" s="1221">
        <v>5785.2639100000006</v>
      </c>
      <c r="AH22" s="1221">
        <v>4935.2298499999997</v>
      </c>
      <c r="AI22" s="1221">
        <v>7372.5469499999999</v>
      </c>
      <c r="AJ22" s="1221">
        <v>9060.7184699999998</v>
      </c>
      <c r="AK22" s="1221">
        <v>8748.3058699999983</v>
      </c>
      <c r="AL22" s="1221">
        <v>1594.4327900000001</v>
      </c>
      <c r="AM22" s="1221">
        <v>10371.667019999999</v>
      </c>
      <c r="AN22" s="1221">
        <v>12322.83814</v>
      </c>
      <c r="AO22" s="1221">
        <v>12882.168240000001</v>
      </c>
      <c r="AP22" s="1221">
        <v>12949.103519999999</v>
      </c>
      <c r="AQ22" s="1221">
        <v>14145.020060000001</v>
      </c>
      <c r="AR22" s="1221">
        <v>14420.57439</v>
      </c>
      <c r="AS22" s="1221">
        <v>15738.71026</v>
      </c>
      <c r="AT22" s="1221">
        <v>15403.710800000001</v>
      </c>
      <c r="AU22" s="1221">
        <v>18606.235350000003</v>
      </c>
      <c r="AV22" s="1221">
        <v>16153.67282</v>
      </c>
      <c r="AW22" s="1221">
        <v>19893.53772</v>
      </c>
      <c r="AX22" s="1221">
        <v>17582.577219999999</v>
      </c>
      <c r="AY22" s="1221">
        <v>954.92994999999996</v>
      </c>
      <c r="AZ22" s="1221">
        <v>3258.6581099999999</v>
      </c>
      <c r="BA22" s="1221">
        <v>2227.8647999999998</v>
      </c>
      <c r="BB22" s="1221">
        <v>4551.1624599999996</v>
      </c>
      <c r="BC22" s="1221">
        <v>3167.53</v>
      </c>
      <c r="BD22" s="1221">
        <v>5524.63</v>
      </c>
      <c r="BE22" s="1221">
        <v>5283.3115299999999</v>
      </c>
      <c r="BF22" s="1221">
        <v>6410.0361700000003</v>
      </c>
      <c r="BG22" s="1221">
        <v>6438.7109400000008</v>
      </c>
      <c r="BH22" s="1221">
        <v>8682.0191400000003</v>
      </c>
      <c r="BI22" s="1221">
        <v>7452.6360500000001</v>
      </c>
      <c r="BJ22" s="1221">
        <v>9439.6182799999988</v>
      </c>
      <c r="BK22" s="1221">
        <v>9096.3939100000007</v>
      </c>
      <c r="BL22" s="1221">
        <v>10460.183999999999</v>
      </c>
      <c r="BM22" s="1221">
        <v>10859.14278</v>
      </c>
      <c r="BN22" s="1221">
        <v>10952.355970000001</v>
      </c>
      <c r="BO22" s="1221">
        <v>12374.93519</v>
      </c>
      <c r="BP22" s="1221">
        <v>11347.45181</v>
      </c>
      <c r="BQ22" s="1221">
        <v>13643.04083</v>
      </c>
      <c r="BR22" s="1221">
        <v>11724.842689999999</v>
      </c>
      <c r="BS22" s="1221">
        <v>14827.289699999999</v>
      </c>
      <c r="BT22" s="1221">
        <v>12094.945669999999</v>
      </c>
      <c r="BU22" s="1221">
        <v>15897.041359999999</v>
      </c>
      <c r="BV22" s="1221">
        <v>12349.16095</v>
      </c>
      <c r="BW22" s="1221">
        <v>583.78400999999997</v>
      </c>
      <c r="BX22" s="1221">
        <v>257.32846999999998</v>
      </c>
      <c r="BY22" s="1221">
        <v>1766.8981299999998</v>
      </c>
      <c r="BZ22" s="1221">
        <v>470.65962999999999</v>
      </c>
      <c r="CA22" s="1221">
        <v>2579.3276000000001</v>
      </c>
      <c r="CB22" s="1221">
        <v>637.83263999999997</v>
      </c>
      <c r="CC22" s="1221">
        <v>3601.6342500000001</v>
      </c>
      <c r="CD22" s="1221">
        <v>806.89287999999999</v>
      </c>
      <c r="CE22" s="1221">
        <v>5011.8204100000003</v>
      </c>
      <c r="CF22" s="1221">
        <v>2756.1575499999999</v>
      </c>
      <c r="CG22" s="1221">
        <v>5932.2200599999996</v>
      </c>
      <c r="CH22" s="1221">
        <v>3614.96765</v>
      </c>
      <c r="CI22" s="1221">
        <v>7222.9045500000002</v>
      </c>
      <c r="CJ22" s="1221">
        <v>4422.2173499999999</v>
      </c>
      <c r="CK22" s="1221">
        <v>9686.3846400000002</v>
      </c>
      <c r="CL22" s="1221">
        <v>4723.5481900000004</v>
      </c>
      <c r="CM22" s="1221">
        <v>10522.01921</v>
      </c>
      <c r="CN22" s="1221">
        <v>5806.7676900000006</v>
      </c>
      <c r="CO22" s="1221">
        <v>11351.963699999998</v>
      </c>
      <c r="CP22" s="1221">
        <v>6045.0555800000002</v>
      </c>
      <c r="CQ22" s="1221">
        <v>13297.12513</v>
      </c>
      <c r="CR22" s="1221">
        <v>6155.3352699999996</v>
      </c>
      <c r="CS22" s="1221">
        <v>14860.88582</v>
      </c>
      <c r="CT22" s="1221">
        <v>6262.2628299999997</v>
      </c>
      <c r="CU22" s="1221">
        <v>669.35284999999999</v>
      </c>
      <c r="CV22" s="1221">
        <v>393.52616999999998</v>
      </c>
      <c r="CW22" s="1221">
        <v>1758.0514599999999</v>
      </c>
      <c r="CX22" s="1221">
        <v>1242.23395</v>
      </c>
      <c r="CY22" s="1221">
        <v>2393.2751600000001</v>
      </c>
      <c r="CZ22" s="1221">
        <v>1450.2645299999999</v>
      </c>
      <c r="DA22" s="1221">
        <v>3731.9303999999997</v>
      </c>
      <c r="DB22" s="1221">
        <v>1465.4981</v>
      </c>
      <c r="DC22" s="1221">
        <v>5173.9902499999998</v>
      </c>
      <c r="DD22" s="1221">
        <v>1482.0027399999999</v>
      </c>
      <c r="DE22" s="1221">
        <v>6210.3274499999998</v>
      </c>
      <c r="DF22" s="1221">
        <v>1602.05736</v>
      </c>
      <c r="DG22" s="1221">
        <v>8022.9309699999994</v>
      </c>
      <c r="DH22" s="1221">
        <v>1624.03899</v>
      </c>
      <c r="DI22" s="1221">
        <v>10648.850630000001</v>
      </c>
      <c r="DJ22" s="1221">
        <v>1819.72801</v>
      </c>
      <c r="DK22" s="1221">
        <v>11903.947880000002</v>
      </c>
      <c r="DL22" s="1221">
        <v>1939.38932</v>
      </c>
      <c r="DM22" s="1221">
        <v>13451.69075</v>
      </c>
      <c r="DN22" s="1221">
        <v>2404.3788799999998</v>
      </c>
      <c r="DO22" s="1221">
        <v>14636.02577</v>
      </c>
      <c r="DP22" s="1221">
        <v>2527.4334700000004</v>
      </c>
      <c r="DQ22" s="1221">
        <v>15942.26714</v>
      </c>
      <c r="DR22" s="1221">
        <v>4051.9436600000004</v>
      </c>
      <c r="DS22" s="1221">
        <v>793.86986999999999</v>
      </c>
      <c r="DT22" s="1221">
        <v>226.05765</v>
      </c>
      <c r="DU22" s="1221">
        <v>2327.0565899999997</v>
      </c>
      <c r="DV22" s="1221">
        <v>717.25036</v>
      </c>
      <c r="DW22" s="1221">
        <v>3537.4965099999999</v>
      </c>
      <c r="DX22" s="1221">
        <v>841.42061999999999</v>
      </c>
      <c r="DY22" s="1221">
        <v>5131.87464</v>
      </c>
      <c r="DZ22" s="1221">
        <v>1000.25686</v>
      </c>
      <c r="EA22" s="1221">
        <v>6438.9407499999998</v>
      </c>
      <c r="EB22" s="1221">
        <v>1154.7743500000001</v>
      </c>
      <c r="EC22" s="1221">
        <v>7709.9269899999999</v>
      </c>
      <c r="ED22" s="1221">
        <v>1331.7523899999999</v>
      </c>
      <c r="EE22" s="1221">
        <v>10839.239119999998</v>
      </c>
      <c r="EF22" s="1221">
        <v>1509.8169399999999</v>
      </c>
      <c r="EG22" s="1221">
        <v>13109.602359999999</v>
      </c>
      <c r="EH22" s="1221">
        <v>1540.0573200000001</v>
      </c>
      <c r="EI22" s="1221">
        <v>14895.35396</v>
      </c>
      <c r="EJ22" s="1221">
        <v>2253.6467000000002</v>
      </c>
      <c r="EK22" s="1221">
        <v>16496.636579999999</v>
      </c>
      <c r="EL22" s="1221">
        <v>2395.7028599999999</v>
      </c>
      <c r="EM22" s="1221">
        <v>17793.394039999999</v>
      </c>
      <c r="EN22" s="1221">
        <v>2648.2793099999999</v>
      </c>
      <c r="EO22" s="1221">
        <v>19232.154910000001</v>
      </c>
      <c r="EP22" s="1221">
        <v>3119.4384300000002</v>
      </c>
      <c r="EQ22" s="1221">
        <v>969.23221999999998</v>
      </c>
      <c r="ER22" s="1221">
        <v>110.25497</v>
      </c>
      <c r="ES22" s="1221">
        <v>2941.9253199999998</v>
      </c>
      <c r="ET22" s="1221">
        <v>319.40539000000001</v>
      </c>
      <c r="EU22" s="1221">
        <v>4201.0207499999997</v>
      </c>
      <c r="EV22" s="1221">
        <v>473.01152999999999</v>
      </c>
      <c r="EW22" s="1221">
        <v>6107.0601900000001</v>
      </c>
      <c r="EX22" s="1221">
        <v>550.35058000000004</v>
      </c>
      <c r="EY22" s="1221">
        <v>7660.6097200000004</v>
      </c>
      <c r="EZ22" s="1221">
        <v>963.73891000000003</v>
      </c>
      <c r="FA22" s="1221">
        <v>8940.5182700000005</v>
      </c>
      <c r="FB22" s="1221">
        <v>1526.07915</v>
      </c>
      <c r="FC22" s="1221">
        <v>11527.433000000001</v>
      </c>
      <c r="FD22" s="1221">
        <v>1565.72849</v>
      </c>
      <c r="FE22" s="1221">
        <v>14727.61577</v>
      </c>
      <c r="FF22" s="1221">
        <v>1702.6388199999999</v>
      </c>
      <c r="FG22" s="1221">
        <v>17017.731469999999</v>
      </c>
      <c r="FH22" s="1221">
        <v>1930.2742499999999</v>
      </c>
      <c r="FI22" s="1221">
        <v>19163.069199999998</v>
      </c>
      <c r="FJ22" s="1221">
        <v>2259.9180799999999</v>
      </c>
      <c r="FK22" s="1221">
        <v>21241.758949999999</v>
      </c>
      <c r="FL22" s="1221">
        <v>2325.69704</v>
      </c>
      <c r="FM22" s="1221">
        <v>1177.4265399999999</v>
      </c>
      <c r="FN22" s="1221">
        <v>29.763339999999999</v>
      </c>
      <c r="FO22" s="1221">
        <v>4204.4232099999999</v>
      </c>
      <c r="FP22" s="1221">
        <v>685.77191000000005</v>
      </c>
      <c r="FQ22" s="1221">
        <v>5781.83241</v>
      </c>
      <c r="FR22" s="1221">
        <v>867.96416999999997</v>
      </c>
      <c r="FS22" s="1221">
        <v>8021.2286799999993</v>
      </c>
      <c r="FT22" s="1221">
        <v>903.55177000000003</v>
      </c>
      <c r="FU22" s="1221">
        <v>10375.729369999999</v>
      </c>
      <c r="FV22" s="1221">
        <v>1038.87086</v>
      </c>
      <c r="FW22" s="1221">
        <v>11861.04189</v>
      </c>
      <c r="FX22" s="1221">
        <v>1444.5841799999998</v>
      </c>
      <c r="FY22" s="1221">
        <v>14974.525949999999</v>
      </c>
      <c r="FZ22" s="1221">
        <v>1648.67749</v>
      </c>
      <c r="GA22" s="1221">
        <v>17874.11609</v>
      </c>
      <c r="GB22" s="1221">
        <v>2163.67002</v>
      </c>
      <c r="GC22" s="1221">
        <v>19223.95693</v>
      </c>
      <c r="GD22" s="1221">
        <v>2543.0409599999998</v>
      </c>
      <c r="GE22" s="1221">
        <v>21449.04811</v>
      </c>
      <c r="GF22" s="1221">
        <v>2790.5878200000002</v>
      </c>
      <c r="GG22" s="1221">
        <v>23211.83581</v>
      </c>
      <c r="GH22" s="1221">
        <v>3143.6208799999999</v>
      </c>
      <c r="GI22" s="1221">
        <v>25357.100539999999</v>
      </c>
      <c r="GJ22" s="1221">
        <v>3387.03341</v>
      </c>
      <c r="GK22" s="1221">
        <v>971.90337</v>
      </c>
      <c r="GL22" s="1221">
        <v>212.35144</v>
      </c>
      <c r="GM22" s="1221">
        <v>3875.50864</v>
      </c>
      <c r="GN22" s="1221">
        <v>872.16201999999998</v>
      </c>
      <c r="GO22" s="1221">
        <v>5190.1605300000001</v>
      </c>
      <c r="GP22" s="1221">
        <v>1010.80926</v>
      </c>
      <c r="GQ22" s="1221">
        <v>7806.59022</v>
      </c>
      <c r="GR22" s="1221">
        <v>1089.62618</v>
      </c>
      <c r="GS22" s="1221">
        <v>9799.2059399999998</v>
      </c>
      <c r="GT22" s="1221">
        <v>1403.03998</v>
      </c>
      <c r="GU22" s="1221">
        <v>10945.218150000001</v>
      </c>
      <c r="GV22" s="1221">
        <v>3192.3269700000001</v>
      </c>
      <c r="GW22" s="1221">
        <v>13962.943230000001</v>
      </c>
      <c r="GX22" s="1221">
        <v>3260.5934099999999</v>
      </c>
      <c r="GY22" s="1221">
        <v>17549.052970000001</v>
      </c>
      <c r="GZ22" s="1221">
        <v>3313.0545000000002</v>
      </c>
      <c r="HA22" s="1221">
        <v>18944.909670000001</v>
      </c>
      <c r="HB22" s="1221">
        <v>3551.8382200000001</v>
      </c>
      <c r="HC22" s="1221">
        <v>20361.256570000001</v>
      </c>
      <c r="HD22" s="1221">
        <v>3797.3623400000001</v>
      </c>
      <c r="HE22" s="1221">
        <v>23426.38652</v>
      </c>
      <c r="HF22" s="1221">
        <v>4263.3498</v>
      </c>
      <c r="HG22" s="1221">
        <v>25676.96776</v>
      </c>
      <c r="HH22" s="1221">
        <v>4278.8660900000004</v>
      </c>
      <c r="HI22" s="1221">
        <v>1395.7127</v>
      </c>
      <c r="HJ22" s="1221">
        <v>115.90953</v>
      </c>
      <c r="HK22" s="1221">
        <v>4915.1590699999997</v>
      </c>
      <c r="HL22" s="1221">
        <v>148.71206000000001</v>
      </c>
      <c r="HM22" s="1221">
        <v>6535.7178800000002</v>
      </c>
      <c r="HN22" s="1221">
        <v>192.42604</v>
      </c>
      <c r="HO22" s="1221">
        <v>9517.2672199999997</v>
      </c>
      <c r="HP22" s="1221">
        <v>443.59575999999998</v>
      </c>
      <c r="HQ22" s="1221">
        <v>12036.420760000001</v>
      </c>
      <c r="HR22" s="1221">
        <v>582.78638999999998</v>
      </c>
      <c r="HS22" s="1838" t="s">
        <v>3174</v>
      </c>
    </row>
    <row r="23" spans="1:227" ht="36" customHeight="1">
      <c r="A23" s="1836">
        <v>12</v>
      </c>
      <c r="B23" s="1837" t="s">
        <v>2339</v>
      </c>
      <c r="C23" s="1221">
        <v>1850.1813500000001</v>
      </c>
      <c r="D23" s="1221">
        <v>0</v>
      </c>
      <c r="E23" s="1221">
        <v>1850.1813500000001</v>
      </c>
      <c r="F23" s="1221">
        <v>0</v>
      </c>
      <c r="G23" s="1221">
        <v>1883.80943</v>
      </c>
      <c r="H23" s="1221">
        <v>0</v>
      </c>
      <c r="I23" s="1221">
        <v>1890.9931100000001</v>
      </c>
      <c r="J23" s="1221">
        <v>0</v>
      </c>
      <c r="K23" s="1221">
        <v>2651.5430000000001</v>
      </c>
      <c r="L23" s="1221">
        <v>0</v>
      </c>
      <c r="M23" s="1221">
        <v>3447.6010000000001</v>
      </c>
      <c r="N23" s="1221">
        <v>0</v>
      </c>
      <c r="O23" s="1221">
        <v>3447.7359100000003</v>
      </c>
      <c r="P23" s="1221">
        <v>0</v>
      </c>
      <c r="Q23" s="1221">
        <v>3730.5279999999998</v>
      </c>
      <c r="R23" s="1221">
        <v>0</v>
      </c>
      <c r="S23" s="1221">
        <v>3730.6849999999999</v>
      </c>
      <c r="T23" s="1221">
        <v>0</v>
      </c>
      <c r="U23" s="1221">
        <v>3867.3620000000001</v>
      </c>
      <c r="V23" s="1221">
        <v>0</v>
      </c>
      <c r="W23" s="1221">
        <v>4065.9720000000002</v>
      </c>
      <c r="X23" s="1221">
        <v>0</v>
      </c>
      <c r="Y23" s="1221">
        <v>4643.5673499999994</v>
      </c>
      <c r="Z23" s="1221">
        <v>0</v>
      </c>
      <c r="AA23" s="1221">
        <v>1968.2588700000001</v>
      </c>
      <c r="AB23" s="1221">
        <v>5.08</v>
      </c>
      <c r="AC23" s="1221">
        <v>2543.9088900000002</v>
      </c>
      <c r="AD23" s="1221">
        <v>7.16</v>
      </c>
      <c r="AE23" s="1221">
        <v>2706.7964999999999</v>
      </c>
      <c r="AF23" s="1221">
        <v>8.57</v>
      </c>
      <c r="AG23" s="1221">
        <v>2931.21045</v>
      </c>
      <c r="AH23" s="1221">
        <v>15.855</v>
      </c>
      <c r="AI23" s="1221">
        <v>4219.3986100000002</v>
      </c>
      <c r="AJ23" s="1221">
        <v>48.990169999999999</v>
      </c>
      <c r="AK23" s="1221">
        <v>4914.9258200000004</v>
      </c>
      <c r="AL23" s="1221">
        <v>289.85687000000001</v>
      </c>
      <c r="AM23" s="1221">
        <v>5225.5850399999999</v>
      </c>
      <c r="AN23" s="1221">
        <v>97.446160000000006</v>
      </c>
      <c r="AO23" s="1221">
        <v>5829.8081099999999</v>
      </c>
      <c r="AP23" s="1221">
        <v>148.45320000000001</v>
      </c>
      <c r="AQ23" s="1221">
        <v>7546.8076900000005</v>
      </c>
      <c r="AR23" s="1221">
        <v>200.41863000000001</v>
      </c>
      <c r="AS23" s="1221">
        <v>7984.8627900000001</v>
      </c>
      <c r="AT23" s="1221">
        <v>267.47841</v>
      </c>
      <c r="AU23" s="1221">
        <v>8400.7966799999995</v>
      </c>
      <c r="AV23" s="1221">
        <v>318.11894999999998</v>
      </c>
      <c r="AW23" s="1221">
        <v>10911.34431</v>
      </c>
      <c r="AX23" s="1221">
        <v>423.72563000000002</v>
      </c>
      <c r="AY23" s="1221">
        <v>2507.3971099999999</v>
      </c>
      <c r="AZ23" s="1221">
        <v>107.57234</v>
      </c>
      <c r="BA23" s="1221">
        <v>3072.0745899999997</v>
      </c>
      <c r="BB23" s="1221">
        <v>178.03762</v>
      </c>
      <c r="BC23" s="1221">
        <v>3698.58</v>
      </c>
      <c r="BD23" s="1221">
        <v>261.63</v>
      </c>
      <c r="BE23" s="1221">
        <v>4766.5471799999996</v>
      </c>
      <c r="BF23" s="1221">
        <v>347.15422999999998</v>
      </c>
      <c r="BG23" s="1221">
        <v>6507.2679400000006</v>
      </c>
      <c r="BH23" s="1221">
        <v>591.82269999999994</v>
      </c>
      <c r="BI23" s="1221">
        <v>7434.9830899999997</v>
      </c>
      <c r="BJ23" s="1221">
        <v>687.47811999999999</v>
      </c>
      <c r="BK23" s="1221">
        <v>8432.6401600000008</v>
      </c>
      <c r="BL23" s="1221">
        <v>804.11146999999994</v>
      </c>
      <c r="BM23" s="1221">
        <v>9433.9568800000015</v>
      </c>
      <c r="BN23" s="1221">
        <v>920.53925000000004</v>
      </c>
      <c r="BO23" s="1221">
        <v>11651.59967</v>
      </c>
      <c r="BP23" s="1221">
        <v>1389.52297</v>
      </c>
      <c r="BQ23" s="1221">
        <v>12673.119279999999</v>
      </c>
      <c r="BR23" s="1221">
        <v>1583.6247900000001</v>
      </c>
      <c r="BS23" s="1221">
        <v>13715.48006</v>
      </c>
      <c r="BT23" s="1221">
        <v>1781.6329699999999</v>
      </c>
      <c r="BU23" s="1221">
        <v>16557.412189999999</v>
      </c>
      <c r="BV23" s="1221">
        <v>1962.88004</v>
      </c>
      <c r="BW23" s="1221">
        <v>2793.3012799999997</v>
      </c>
      <c r="BX23" s="1221">
        <v>222.98920000000001</v>
      </c>
      <c r="BY23" s="1221">
        <v>4706.1009400000003</v>
      </c>
      <c r="BZ23" s="1221">
        <v>367.07521999999994</v>
      </c>
      <c r="CA23" s="1221">
        <v>5626.0140199999996</v>
      </c>
      <c r="CB23" s="1221">
        <v>527.53025000000002</v>
      </c>
      <c r="CC23" s="1221">
        <v>7422.6467999999995</v>
      </c>
      <c r="CD23" s="1221">
        <v>788.99052000000006</v>
      </c>
      <c r="CE23" s="1221">
        <v>11567.77385</v>
      </c>
      <c r="CF23" s="1221">
        <v>1025.71108</v>
      </c>
      <c r="CG23" s="1221">
        <v>12720.053679999999</v>
      </c>
      <c r="CH23" s="1221">
        <v>1452.2373500000001</v>
      </c>
      <c r="CI23" s="1221">
        <v>14424.93469</v>
      </c>
      <c r="CJ23" s="1221">
        <v>1740.90085</v>
      </c>
      <c r="CK23" s="1221">
        <v>15495.832390000001</v>
      </c>
      <c r="CL23" s="1221">
        <v>2091.9379300000001</v>
      </c>
      <c r="CM23" s="1221">
        <v>18205.767449999999</v>
      </c>
      <c r="CN23" s="1221">
        <v>2409.73722</v>
      </c>
      <c r="CO23" s="1221">
        <v>19241.834910000001</v>
      </c>
      <c r="CP23" s="1221">
        <v>2592.7546499999999</v>
      </c>
      <c r="CQ23" s="1221">
        <v>20630.255420000001</v>
      </c>
      <c r="CR23" s="1221">
        <v>2875.1189199999999</v>
      </c>
      <c r="CS23" s="1221">
        <v>26786.91347</v>
      </c>
      <c r="CT23" s="1221">
        <v>3269.85815</v>
      </c>
      <c r="CU23" s="1221">
        <v>6975.8847900000001</v>
      </c>
      <c r="CV23" s="1221">
        <v>354.98912999999999</v>
      </c>
      <c r="CW23" s="1221">
        <v>9049.5924900000009</v>
      </c>
      <c r="CX23" s="1221">
        <v>700.52840000000003</v>
      </c>
      <c r="CY23" s="1221">
        <v>10734.73659</v>
      </c>
      <c r="CZ23" s="1221">
        <v>820.10153000000003</v>
      </c>
      <c r="DA23" s="1221">
        <v>12436.81517</v>
      </c>
      <c r="DB23" s="1221">
        <v>989.68706000000009</v>
      </c>
      <c r="DC23" s="1221">
        <v>17579.985379999998</v>
      </c>
      <c r="DD23" s="1221">
        <v>1243.17046</v>
      </c>
      <c r="DE23" s="1221">
        <v>19081.51671</v>
      </c>
      <c r="DF23" s="1221">
        <v>1517.8456699999999</v>
      </c>
      <c r="DG23" s="1221">
        <v>20480.666260000002</v>
      </c>
      <c r="DH23" s="1221">
        <v>1772.6301599999999</v>
      </c>
      <c r="DI23" s="1221">
        <v>21914.058590000001</v>
      </c>
      <c r="DJ23" s="1221">
        <v>2177.1658399999997</v>
      </c>
      <c r="DK23" s="1221">
        <v>24631.674070000001</v>
      </c>
      <c r="DL23" s="1221">
        <v>2483.3299200000001</v>
      </c>
      <c r="DM23" s="1221">
        <v>25811.507839999998</v>
      </c>
      <c r="DN23" s="1221">
        <v>2707.1017299999999</v>
      </c>
      <c r="DO23" s="1221">
        <v>26999.15669</v>
      </c>
      <c r="DP23" s="1221">
        <v>2900.0771400000003</v>
      </c>
      <c r="DQ23" s="1221">
        <v>32838.18131</v>
      </c>
      <c r="DR23" s="1221">
        <v>3360.76089</v>
      </c>
      <c r="DS23" s="1221">
        <v>5878.8135000000002</v>
      </c>
      <c r="DT23" s="1221">
        <v>297.88390999999996</v>
      </c>
      <c r="DU23" s="1221">
        <v>10409.121859999999</v>
      </c>
      <c r="DV23" s="1221">
        <v>783.46928000000003</v>
      </c>
      <c r="DW23" s="1221">
        <v>16231.498939999999</v>
      </c>
      <c r="DX23" s="1221">
        <v>1094.54853</v>
      </c>
      <c r="DY23" s="1221">
        <v>18368.970420000001</v>
      </c>
      <c r="DZ23" s="1221">
        <v>1571.8056200000001</v>
      </c>
      <c r="EA23" s="1221">
        <v>20916.151959999999</v>
      </c>
      <c r="EB23" s="1221">
        <v>2183.0003500000003</v>
      </c>
      <c r="EC23" s="1221">
        <v>24310.32962</v>
      </c>
      <c r="ED23" s="1221">
        <v>2610.3692299999998</v>
      </c>
      <c r="EE23" s="1221">
        <v>25716.23373</v>
      </c>
      <c r="EF23" s="1221">
        <v>2963.7940099999996</v>
      </c>
      <c r="EG23" s="1221">
        <v>27861.340319999999</v>
      </c>
      <c r="EH23" s="1221">
        <v>3642.1509900000001</v>
      </c>
      <c r="EI23" s="1221">
        <v>36318.47982</v>
      </c>
      <c r="EJ23" s="1221">
        <v>4006.0330899999999</v>
      </c>
      <c r="EK23" s="1221">
        <v>37880.395149999902</v>
      </c>
      <c r="EL23" s="1221">
        <v>4476.8529900000003</v>
      </c>
      <c r="EM23" s="1221">
        <v>39109.788200000003</v>
      </c>
      <c r="EN23" s="1221">
        <v>5114.1514999999999</v>
      </c>
      <c r="EO23" s="1221">
        <v>43848.893250000001</v>
      </c>
      <c r="EP23" s="1221">
        <v>5667.4612500000003</v>
      </c>
      <c r="EQ23" s="1221">
        <v>5106.7759599999999</v>
      </c>
      <c r="ER23" s="1221">
        <v>410.63959</v>
      </c>
      <c r="ES23" s="1221">
        <v>7481.5137599999998</v>
      </c>
      <c r="ET23" s="1221">
        <v>881.55969000000005</v>
      </c>
      <c r="EU23" s="1221">
        <v>17711.533619999998</v>
      </c>
      <c r="EV23" s="1221">
        <v>1307.7283399999999</v>
      </c>
      <c r="EW23" s="1221">
        <v>20618.93331</v>
      </c>
      <c r="EX23" s="1221">
        <v>1815.8973599999999</v>
      </c>
      <c r="EY23" s="1221">
        <v>23510.11406</v>
      </c>
      <c r="EZ23" s="1221">
        <v>2252.9793</v>
      </c>
      <c r="FA23" s="1221">
        <v>24905.744180000002</v>
      </c>
      <c r="FB23" s="1221">
        <v>2779.8847599999999</v>
      </c>
      <c r="FC23" s="1221">
        <v>26601.93951</v>
      </c>
      <c r="FD23" s="1221">
        <v>3212.7702100000001</v>
      </c>
      <c r="FE23" s="1221">
        <v>33422.95319</v>
      </c>
      <c r="FF23" s="1221">
        <v>4330.0300999999999</v>
      </c>
      <c r="FG23" s="1221">
        <v>34706.720170000001</v>
      </c>
      <c r="FH23" s="1221">
        <v>4981.8658400000004</v>
      </c>
      <c r="FI23" s="1221">
        <v>36505.90221</v>
      </c>
      <c r="FJ23" s="1221">
        <v>5397.3031200000005</v>
      </c>
      <c r="FK23" s="1221">
        <v>40355.199780000003</v>
      </c>
      <c r="FL23" s="1221">
        <v>6023.2433700000001</v>
      </c>
      <c r="FM23" s="1221">
        <v>1832.4191699999999</v>
      </c>
      <c r="FN23" s="1221">
        <v>625.91935000000001</v>
      </c>
      <c r="FO23" s="1221">
        <v>13391.47006</v>
      </c>
      <c r="FP23" s="1221">
        <v>1424.28169</v>
      </c>
      <c r="FQ23" s="1221">
        <v>29882.534350000002</v>
      </c>
      <c r="FR23" s="1221">
        <v>2070.2272200000002</v>
      </c>
      <c r="FS23" s="1221">
        <v>33787.758700000006</v>
      </c>
      <c r="FT23" s="1221">
        <v>2936.2200699999999</v>
      </c>
      <c r="FU23" s="1221">
        <v>37324.995640000001</v>
      </c>
      <c r="FV23" s="1221">
        <v>3906.71288</v>
      </c>
      <c r="FW23" s="1221">
        <v>39311.313450000001</v>
      </c>
      <c r="FX23" s="1221">
        <v>4556.4034900000006</v>
      </c>
      <c r="FY23" s="1221">
        <v>41430.775729999994</v>
      </c>
      <c r="FZ23" s="1221">
        <v>5354.24071</v>
      </c>
      <c r="GA23" s="1221">
        <v>44160.611069999999</v>
      </c>
      <c r="GB23" s="1221">
        <v>6127.5564800000002</v>
      </c>
      <c r="GC23" s="1221">
        <v>47968.955399999999</v>
      </c>
      <c r="GD23" s="1221">
        <v>6973.7758400000002</v>
      </c>
      <c r="GE23" s="1221">
        <v>50337.086770000002</v>
      </c>
      <c r="GF23" s="1221">
        <v>7895.5179799999996</v>
      </c>
      <c r="GG23" s="1221">
        <v>53629.767010000003</v>
      </c>
      <c r="GH23" s="1221">
        <v>8698.3166399999991</v>
      </c>
      <c r="GI23" s="1221">
        <v>64355.801299999999</v>
      </c>
      <c r="GJ23" s="1221">
        <v>9619.9516400000011</v>
      </c>
      <c r="GK23" s="1221">
        <v>2283.1155699999999</v>
      </c>
      <c r="GL23" s="1221">
        <v>719.16088999999999</v>
      </c>
      <c r="GM23" s="1221">
        <v>9265.3856500000002</v>
      </c>
      <c r="GN23" s="1221">
        <v>1705.6105600000001</v>
      </c>
      <c r="GO23" s="1221">
        <v>27780.963309999999</v>
      </c>
      <c r="GP23" s="1221">
        <v>3002.9472000000001</v>
      </c>
      <c r="GQ23" s="1221">
        <v>36161.658349999998</v>
      </c>
      <c r="GR23" s="1221">
        <v>4492.7753000000002</v>
      </c>
      <c r="GS23" s="1221">
        <v>43767.078829999999</v>
      </c>
      <c r="GT23" s="1221">
        <v>5667.3705099999997</v>
      </c>
      <c r="GU23" s="1221">
        <v>47009.163269999997</v>
      </c>
      <c r="GV23" s="1221">
        <v>6724.0218400000003</v>
      </c>
      <c r="GW23" s="1221">
        <v>52034.819779999998</v>
      </c>
      <c r="GX23" s="1221">
        <v>8000.0991599999998</v>
      </c>
      <c r="GY23" s="1221">
        <v>56074.178379999998</v>
      </c>
      <c r="GZ23" s="1221">
        <v>9222.4769899999992</v>
      </c>
      <c r="HA23" s="1221">
        <v>61422.795030000001</v>
      </c>
      <c r="HB23" s="1221">
        <v>11369.209940000001</v>
      </c>
      <c r="HC23" s="1221">
        <v>66445.625620000006</v>
      </c>
      <c r="HD23" s="1221">
        <v>13048.83633</v>
      </c>
      <c r="HE23" s="1221">
        <v>72998.245670000004</v>
      </c>
      <c r="HF23" s="1221">
        <v>15310.537109999999</v>
      </c>
      <c r="HG23" s="1221">
        <v>79350.834369999997</v>
      </c>
      <c r="HH23" s="1221">
        <v>17351.25174</v>
      </c>
      <c r="HI23" s="1221">
        <v>5601.6929099999998</v>
      </c>
      <c r="HJ23" s="1221">
        <v>1868.71109</v>
      </c>
      <c r="HK23" s="1221">
        <v>19229.070540000001</v>
      </c>
      <c r="HL23" s="1221">
        <v>3516.93379</v>
      </c>
      <c r="HM23" s="1221">
        <v>25181.005710000099</v>
      </c>
      <c r="HN23" s="1221">
        <v>5169.7585017670181</v>
      </c>
      <c r="HO23" s="1221">
        <v>41070.534749999999</v>
      </c>
      <c r="HP23" s="1221">
        <v>7693.2368299999998</v>
      </c>
      <c r="HQ23" s="1221">
        <v>46664.258269999998</v>
      </c>
      <c r="HR23" s="1221">
        <v>10254.29674</v>
      </c>
      <c r="HS23" s="1838" t="s">
        <v>3175</v>
      </c>
    </row>
    <row r="24" spans="1:227" ht="36" customHeight="1">
      <c r="A24" s="1836">
        <v>13</v>
      </c>
      <c r="B24" s="1837" t="s">
        <v>2336</v>
      </c>
      <c r="C24" s="1221">
        <v>0</v>
      </c>
      <c r="D24" s="1221">
        <v>0</v>
      </c>
      <c r="E24" s="1221">
        <v>0</v>
      </c>
      <c r="F24" s="1221">
        <v>0</v>
      </c>
      <c r="G24" s="1221">
        <v>0</v>
      </c>
      <c r="H24" s="1221">
        <v>0</v>
      </c>
      <c r="I24" s="1221">
        <v>0</v>
      </c>
      <c r="J24" s="1221">
        <v>0</v>
      </c>
      <c r="K24" s="1221">
        <v>0</v>
      </c>
      <c r="L24" s="1221">
        <v>0</v>
      </c>
      <c r="M24" s="1221">
        <v>0</v>
      </c>
      <c r="N24" s="1221">
        <v>0</v>
      </c>
      <c r="O24" s="1221">
        <v>0</v>
      </c>
      <c r="P24" s="1221">
        <v>0</v>
      </c>
      <c r="Q24" s="1221">
        <v>0</v>
      </c>
      <c r="R24" s="1221">
        <v>0</v>
      </c>
      <c r="S24" s="1221">
        <v>0</v>
      </c>
      <c r="T24" s="1221">
        <v>0</v>
      </c>
      <c r="U24" s="1221">
        <v>0</v>
      </c>
      <c r="V24" s="1221">
        <v>0</v>
      </c>
      <c r="W24" s="1221">
        <v>0</v>
      </c>
      <c r="X24" s="1221">
        <v>0</v>
      </c>
      <c r="Y24" s="1221">
        <v>0</v>
      </c>
      <c r="Z24" s="1221">
        <v>0</v>
      </c>
      <c r="AA24" s="1221">
        <v>0</v>
      </c>
      <c r="AB24" s="1221">
        <v>0</v>
      </c>
      <c r="AC24" s="1221">
        <v>0</v>
      </c>
      <c r="AD24" s="1221">
        <v>0</v>
      </c>
      <c r="AE24" s="1221">
        <v>0</v>
      </c>
      <c r="AF24" s="1221">
        <v>0</v>
      </c>
      <c r="AG24" s="1221">
        <v>0</v>
      </c>
      <c r="AH24" s="1221">
        <v>0</v>
      </c>
      <c r="AI24" s="1221">
        <v>0</v>
      </c>
      <c r="AJ24" s="1221">
        <v>0</v>
      </c>
      <c r="AK24" s="1221">
        <v>0</v>
      </c>
      <c r="AL24" s="1221">
        <v>0</v>
      </c>
      <c r="AM24" s="1221">
        <v>0</v>
      </c>
      <c r="AN24" s="1221">
        <v>0</v>
      </c>
      <c r="AO24" s="1221">
        <v>0</v>
      </c>
      <c r="AP24" s="1221">
        <v>0</v>
      </c>
      <c r="AQ24" s="1221">
        <v>0</v>
      </c>
      <c r="AR24" s="1221">
        <v>0</v>
      </c>
      <c r="AS24" s="1221">
        <v>0</v>
      </c>
      <c r="AT24" s="1221">
        <v>0</v>
      </c>
      <c r="AU24" s="1221">
        <v>0</v>
      </c>
      <c r="AV24" s="1221">
        <v>0</v>
      </c>
      <c r="AW24" s="1221">
        <v>0</v>
      </c>
      <c r="AX24" s="1221">
        <v>0</v>
      </c>
      <c r="AY24" s="1221">
        <v>0</v>
      </c>
      <c r="AZ24" s="1221">
        <v>0</v>
      </c>
      <c r="BA24" s="1221">
        <v>0</v>
      </c>
      <c r="BB24" s="1221">
        <v>0</v>
      </c>
      <c r="BC24" s="1221">
        <v>0</v>
      </c>
      <c r="BD24" s="1221">
        <v>0</v>
      </c>
      <c r="BE24" s="1221">
        <v>0</v>
      </c>
      <c r="BF24" s="1221">
        <v>0</v>
      </c>
      <c r="BG24" s="1221">
        <v>0</v>
      </c>
      <c r="BH24" s="1221">
        <v>0</v>
      </c>
      <c r="BI24" s="1221">
        <v>0</v>
      </c>
      <c r="BJ24" s="1221">
        <v>0</v>
      </c>
      <c r="BK24" s="1221">
        <v>0</v>
      </c>
      <c r="BL24" s="1221">
        <v>0</v>
      </c>
      <c r="BM24" s="1221">
        <v>0</v>
      </c>
      <c r="BN24" s="1221">
        <v>0</v>
      </c>
      <c r="BO24" s="1221">
        <v>0</v>
      </c>
      <c r="BP24" s="1221">
        <v>0</v>
      </c>
      <c r="BQ24" s="1221">
        <v>0</v>
      </c>
      <c r="BR24" s="1221">
        <v>0</v>
      </c>
      <c r="BS24" s="1221">
        <v>0</v>
      </c>
      <c r="BT24" s="1221">
        <v>0</v>
      </c>
      <c r="BU24" s="1221">
        <v>0</v>
      </c>
      <c r="BV24" s="1221">
        <v>0</v>
      </c>
      <c r="BW24" s="1221">
        <v>0</v>
      </c>
      <c r="BX24" s="1221">
        <v>0</v>
      </c>
      <c r="BY24" s="1221">
        <v>0</v>
      </c>
      <c r="BZ24" s="1221">
        <v>0</v>
      </c>
      <c r="CA24" s="1221">
        <v>0</v>
      </c>
      <c r="CB24" s="1221">
        <v>0</v>
      </c>
      <c r="CC24" s="1221">
        <v>0</v>
      </c>
      <c r="CD24" s="1221">
        <v>0</v>
      </c>
      <c r="CE24" s="1221">
        <v>176.39022</v>
      </c>
      <c r="CF24" s="1221">
        <v>0</v>
      </c>
      <c r="CG24" s="1221">
        <v>197.20434</v>
      </c>
      <c r="CH24" s="1221">
        <v>0</v>
      </c>
      <c r="CI24" s="1221">
        <v>252.68778</v>
      </c>
      <c r="CJ24" s="1221">
        <v>0</v>
      </c>
      <c r="CK24" s="1221">
        <v>371.32676000000004</v>
      </c>
      <c r="CL24" s="1221">
        <v>0</v>
      </c>
      <c r="CM24" s="1221">
        <v>577.03320999999994</v>
      </c>
      <c r="CN24" s="1221">
        <v>0</v>
      </c>
      <c r="CO24" s="1221">
        <v>870.51594999999998</v>
      </c>
      <c r="CP24" s="1221">
        <v>0</v>
      </c>
      <c r="CQ24" s="1221">
        <v>1297.2740900000001</v>
      </c>
      <c r="CR24" s="1221">
        <v>0</v>
      </c>
      <c r="CS24" s="1221">
        <v>977.30985999999996</v>
      </c>
      <c r="CT24" s="1221">
        <v>0</v>
      </c>
      <c r="CU24" s="1221">
        <v>189.23185999999998</v>
      </c>
      <c r="CV24" s="1221">
        <v>0</v>
      </c>
      <c r="CW24" s="1221">
        <v>312.84636999999998</v>
      </c>
      <c r="CX24" s="1221">
        <v>0</v>
      </c>
      <c r="CY24" s="1221">
        <v>475.33825999999999</v>
      </c>
      <c r="CZ24" s="1221">
        <v>0</v>
      </c>
      <c r="DA24" s="1221">
        <v>671.80943000000002</v>
      </c>
      <c r="DB24" s="1221">
        <v>0</v>
      </c>
      <c r="DC24" s="1221">
        <v>1100.9506999999999</v>
      </c>
      <c r="DD24" s="1221">
        <v>0</v>
      </c>
      <c r="DE24" s="1221">
        <v>1341.2833899999998</v>
      </c>
      <c r="DF24" s="1221">
        <v>0</v>
      </c>
      <c r="DG24" s="1221">
        <v>1689.4921200000001</v>
      </c>
      <c r="DH24" s="1221">
        <v>0</v>
      </c>
      <c r="DI24" s="1221">
        <v>1889.05943</v>
      </c>
      <c r="DJ24" s="1221">
        <v>0</v>
      </c>
      <c r="DK24" s="1221">
        <v>2173.1828300000002</v>
      </c>
      <c r="DL24" s="1221">
        <v>0</v>
      </c>
      <c r="DM24" s="1221">
        <v>3005.6790699999997</v>
      </c>
      <c r="DN24" s="1221">
        <v>0</v>
      </c>
      <c r="DO24" s="1221">
        <v>3245.2032100000001</v>
      </c>
      <c r="DP24" s="1221">
        <v>0</v>
      </c>
      <c r="DQ24" s="1221">
        <v>3671.9475400000001</v>
      </c>
      <c r="DR24" s="1221">
        <v>0</v>
      </c>
      <c r="DS24" s="1221">
        <v>360.00034000000005</v>
      </c>
      <c r="DT24" s="1221">
        <v>72.769779999999997</v>
      </c>
      <c r="DU24" s="1221">
        <v>761.03026</v>
      </c>
      <c r="DV24" s="1221">
        <v>73.222710000000006</v>
      </c>
      <c r="DW24" s="1221">
        <v>1208.81332</v>
      </c>
      <c r="DX24" s="1221">
        <v>73.222710000000006</v>
      </c>
      <c r="DY24" s="1221">
        <v>1491.0692900000001</v>
      </c>
      <c r="DZ24" s="1221">
        <v>73.222710000000006</v>
      </c>
      <c r="EA24" s="1221">
        <v>2121.95921</v>
      </c>
      <c r="EB24" s="1221">
        <v>83.222710000000006</v>
      </c>
      <c r="EC24" s="1221">
        <v>2473.66491</v>
      </c>
      <c r="ED24" s="1221">
        <v>83.499710000000007</v>
      </c>
      <c r="EE24" s="1221">
        <v>3024.6105299999999</v>
      </c>
      <c r="EF24" s="1221">
        <v>83.499710000000007</v>
      </c>
      <c r="EG24" s="1221">
        <v>3554.2550899999997</v>
      </c>
      <c r="EH24" s="1221">
        <v>88.499710000000007</v>
      </c>
      <c r="EI24" s="1221">
        <v>4008.9586099999997</v>
      </c>
      <c r="EJ24" s="1221">
        <v>88.55971000000001</v>
      </c>
      <c r="EK24" s="1221">
        <v>5114.55944</v>
      </c>
      <c r="EL24" s="1221">
        <v>88.559709999999995</v>
      </c>
      <c r="EM24" s="1221">
        <v>5661.9089700000004</v>
      </c>
      <c r="EN24" s="1221">
        <v>121.92345</v>
      </c>
      <c r="EO24" s="1221">
        <v>6294.6871799999999</v>
      </c>
      <c r="EP24" s="1221">
        <v>135.92345</v>
      </c>
      <c r="EQ24" s="1221">
        <v>608.08752000000004</v>
      </c>
      <c r="ER24" s="1221">
        <v>0</v>
      </c>
      <c r="ES24" s="1221">
        <v>1229.0223900000001</v>
      </c>
      <c r="ET24" s="1221">
        <v>3.1242999999999999</v>
      </c>
      <c r="EU24" s="1221">
        <v>1856.9922300000001</v>
      </c>
      <c r="EV24" s="1221">
        <v>4.8166000000000002</v>
      </c>
      <c r="EW24" s="1221">
        <v>2359.0027700000001</v>
      </c>
      <c r="EX24" s="1221">
        <v>131.09447</v>
      </c>
      <c r="EY24" s="1221">
        <v>3075.8826600000002</v>
      </c>
      <c r="EZ24" s="1221">
        <v>136.09447</v>
      </c>
      <c r="FA24" s="1221">
        <v>3739.7153499999999</v>
      </c>
      <c r="FB24" s="1221">
        <v>136.09447</v>
      </c>
      <c r="FC24" s="1221">
        <v>4359.5820100000001</v>
      </c>
      <c r="FD24" s="1221">
        <v>212.69513000000001</v>
      </c>
      <c r="FE24" s="1221">
        <v>5768.5120699999998</v>
      </c>
      <c r="FF24" s="1221">
        <v>334.28498999999999</v>
      </c>
      <c r="FG24" s="1221">
        <v>7062.8437000000004</v>
      </c>
      <c r="FH24" s="1221">
        <v>339.28498999999999</v>
      </c>
      <c r="FI24" s="1221">
        <v>7679.7335000000003</v>
      </c>
      <c r="FJ24" s="1221">
        <v>420.11437999999998</v>
      </c>
      <c r="FK24" s="1221">
        <v>8574.0908600000002</v>
      </c>
      <c r="FL24" s="1221">
        <v>420.11437999999998</v>
      </c>
      <c r="FM24" s="1221">
        <v>700.06043</v>
      </c>
      <c r="FN24" s="1221">
        <v>526.66251</v>
      </c>
      <c r="FO24" s="1221">
        <v>1575.9790600000001</v>
      </c>
      <c r="FP24" s="1221">
        <v>571.77872000000002</v>
      </c>
      <c r="FQ24" s="1221">
        <v>2397.0270999999998</v>
      </c>
      <c r="FR24" s="1221">
        <v>761.39536999999996</v>
      </c>
      <c r="FS24" s="1221">
        <v>3014.12556</v>
      </c>
      <c r="FT24" s="1221">
        <v>870.47050000000002</v>
      </c>
      <c r="FU24" s="1221">
        <v>3885.5582000000004</v>
      </c>
      <c r="FV24" s="1221">
        <v>897.92886999999996</v>
      </c>
      <c r="FW24" s="1221">
        <v>4669.3501299999998</v>
      </c>
      <c r="FX24" s="1221">
        <v>907.35231999999996</v>
      </c>
      <c r="FY24" s="1221">
        <v>5583.1452900000004</v>
      </c>
      <c r="FZ24" s="1221">
        <v>1006.1648100000001</v>
      </c>
      <c r="GA24" s="1221">
        <v>6403.1608900000001</v>
      </c>
      <c r="GB24" s="1221">
        <v>1017.17746</v>
      </c>
      <c r="GC24" s="1221">
        <v>7264.28694</v>
      </c>
      <c r="GD24" s="1221">
        <v>1365.7633600000001</v>
      </c>
      <c r="GE24" s="1221">
        <v>8434.8976299999995</v>
      </c>
      <c r="GF24" s="1221">
        <v>1812.77817</v>
      </c>
      <c r="GG24" s="1221">
        <v>9001.0272100000002</v>
      </c>
      <c r="GH24" s="1221">
        <v>3108.3673699999999</v>
      </c>
      <c r="GI24" s="1221">
        <v>9979.3262799999993</v>
      </c>
      <c r="GJ24" s="1221">
        <v>3486.9117000000001</v>
      </c>
      <c r="GK24" s="1221">
        <v>623.31727000000001</v>
      </c>
      <c r="GL24" s="1221">
        <v>253.83592999999999</v>
      </c>
      <c r="GM24" s="1221">
        <v>1698.0539799999999</v>
      </c>
      <c r="GN24" s="1221">
        <v>1376.3607500000001</v>
      </c>
      <c r="GO24" s="1221">
        <v>2538.35311</v>
      </c>
      <c r="GP24" s="1221">
        <v>1857.0592900000001</v>
      </c>
      <c r="GQ24" s="1221">
        <v>3320.2246700000001</v>
      </c>
      <c r="GR24" s="1221">
        <v>2089.4151499999998</v>
      </c>
      <c r="GS24" s="1221">
        <v>4158.9394199999997</v>
      </c>
      <c r="GT24" s="1221">
        <v>2827.8155200000001</v>
      </c>
      <c r="GU24" s="1221">
        <v>4973.1445599999997</v>
      </c>
      <c r="GV24" s="1221">
        <v>3140.4769299999998</v>
      </c>
      <c r="GW24" s="1221">
        <v>5752.8321699999997</v>
      </c>
      <c r="GX24" s="1221">
        <v>4157.3778000000002</v>
      </c>
      <c r="GY24" s="1221">
        <v>6534.5054700000001</v>
      </c>
      <c r="GZ24" s="1221">
        <v>4295.6682300000002</v>
      </c>
      <c r="HA24" s="1221">
        <v>8071.0487899999998</v>
      </c>
      <c r="HB24" s="1221">
        <v>4847.8527599999998</v>
      </c>
      <c r="HC24" s="1221">
        <v>9323.5113299999994</v>
      </c>
      <c r="HD24" s="1221">
        <v>5205.0987699999996</v>
      </c>
      <c r="HE24" s="1221">
        <v>10231.42706</v>
      </c>
      <c r="HF24" s="1221">
        <v>5557.7624699999997</v>
      </c>
      <c r="HG24" s="1221">
        <v>11366.028550000001</v>
      </c>
      <c r="HH24" s="1221">
        <v>5936.5649199999998</v>
      </c>
      <c r="HI24" s="1221">
        <v>843.83145000000002</v>
      </c>
      <c r="HJ24" s="1221">
        <v>40.452039999999997</v>
      </c>
      <c r="HK24" s="1221">
        <v>1822.1744799999999</v>
      </c>
      <c r="HL24" s="1221">
        <v>2171.1922599999998</v>
      </c>
      <c r="HM24" s="1221">
        <v>2548.7573499999999</v>
      </c>
      <c r="HN24" s="1221">
        <v>2311.1872600000002</v>
      </c>
      <c r="HO24" s="1221">
        <v>3283.05458</v>
      </c>
      <c r="HP24" s="1221">
        <v>2733.0021099999999</v>
      </c>
      <c r="HQ24" s="1221">
        <v>4198.5982899999999</v>
      </c>
      <c r="HR24" s="1221">
        <v>3068.56378</v>
      </c>
      <c r="HS24" s="1838" t="s">
        <v>3176</v>
      </c>
    </row>
    <row r="25" spans="1:227" ht="36" customHeight="1">
      <c r="A25" s="1836">
        <v>14</v>
      </c>
      <c r="B25" s="1837" t="s">
        <v>2335</v>
      </c>
      <c r="C25" s="1221">
        <v>389.30403999999999</v>
      </c>
      <c r="D25" s="1221">
        <v>424.53881000000001</v>
      </c>
      <c r="E25" s="1221">
        <v>1622.59672</v>
      </c>
      <c r="F25" s="1221">
        <v>843.34849999999994</v>
      </c>
      <c r="G25" s="1221">
        <v>2607.93165</v>
      </c>
      <c r="H25" s="1221">
        <v>1294.9766299999999</v>
      </c>
      <c r="I25" s="1221">
        <v>3473.9028199999998</v>
      </c>
      <c r="J25" s="1221">
        <v>1756.951</v>
      </c>
      <c r="K25" s="1221">
        <v>4092.1628300000002</v>
      </c>
      <c r="L25" s="1221">
        <v>2284.3307300000001</v>
      </c>
      <c r="M25" s="1221">
        <v>4745.2158300000001</v>
      </c>
      <c r="N25" s="1221">
        <v>2804.1221099999998</v>
      </c>
      <c r="O25" s="1221">
        <v>5578.87111</v>
      </c>
      <c r="P25" s="1221">
        <v>3388.1340599999999</v>
      </c>
      <c r="Q25" s="1221">
        <v>6594.7854200000002</v>
      </c>
      <c r="R25" s="1221">
        <v>3986.4850099999999</v>
      </c>
      <c r="S25" s="1221">
        <v>8254.9361499999995</v>
      </c>
      <c r="T25" s="1221">
        <v>4478.0717199999999</v>
      </c>
      <c r="U25" s="1221">
        <v>8900.9582100000007</v>
      </c>
      <c r="V25" s="1221">
        <v>5115.0603200000005</v>
      </c>
      <c r="W25" s="1221">
        <v>9410.1768300000003</v>
      </c>
      <c r="X25" s="1221">
        <v>5721.1536399999995</v>
      </c>
      <c r="Y25" s="1221">
        <v>9846.6520999999993</v>
      </c>
      <c r="Z25" s="1221">
        <v>6562.6436399999993</v>
      </c>
      <c r="AA25" s="1221">
        <v>834.77506999999991</v>
      </c>
      <c r="AB25" s="1221">
        <v>471.89979999999997</v>
      </c>
      <c r="AC25" s="1221">
        <v>834.77506999999991</v>
      </c>
      <c r="AD25" s="1221">
        <v>471.89979999999997</v>
      </c>
      <c r="AE25" s="1221">
        <v>1667.3603899999998</v>
      </c>
      <c r="AF25" s="1221">
        <v>1250.7530400000001</v>
      </c>
      <c r="AG25" s="1221">
        <v>2186.0236099999997</v>
      </c>
      <c r="AH25" s="1221">
        <v>1590.0467599999999</v>
      </c>
      <c r="AI25" s="1221">
        <v>2610.1381299999998</v>
      </c>
      <c r="AJ25" s="1221">
        <v>1955.7376200000001</v>
      </c>
      <c r="AK25" s="1221">
        <v>3024.22208</v>
      </c>
      <c r="AL25" s="1221">
        <v>2312.4667300000001</v>
      </c>
      <c r="AM25" s="1221">
        <v>3914.0229300000001</v>
      </c>
      <c r="AN25" s="1221">
        <v>2633.4336600000001</v>
      </c>
      <c r="AO25" s="1221">
        <v>4826.3329100000001</v>
      </c>
      <c r="AP25" s="1221">
        <v>2965.9942099999998</v>
      </c>
      <c r="AQ25" s="1221">
        <v>5269.12925</v>
      </c>
      <c r="AR25" s="1221">
        <v>3198.1817400000004</v>
      </c>
      <c r="AS25" s="1221">
        <v>6217.2186400000001</v>
      </c>
      <c r="AT25" s="1221">
        <v>3462.7761</v>
      </c>
      <c r="AU25" s="1221">
        <v>7176.9684000000007</v>
      </c>
      <c r="AV25" s="1221">
        <v>3705.8708700000002</v>
      </c>
      <c r="AW25" s="1221">
        <v>7788.8091199999999</v>
      </c>
      <c r="AX25" s="1221">
        <v>3965.2088900000003</v>
      </c>
      <c r="AY25" s="1221">
        <v>543.07258999999999</v>
      </c>
      <c r="AZ25" s="1221">
        <v>236.72676000000001</v>
      </c>
      <c r="BA25" s="1221">
        <v>1039.7770500000001</v>
      </c>
      <c r="BB25" s="1221">
        <v>487.41440999999998</v>
      </c>
      <c r="BC25" s="1221">
        <v>1270.9000000000001</v>
      </c>
      <c r="BD25" s="1221">
        <v>600.92999999999995</v>
      </c>
      <c r="BE25" s="1221">
        <v>2674.2459800000001</v>
      </c>
      <c r="BF25" s="1221">
        <v>1003.4304599999999</v>
      </c>
      <c r="BG25" s="1221">
        <v>2948.3097299999999</v>
      </c>
      <c r="BH25" s="1221">
        <v>1231.6058899999998</v>
      </c>
      <c r="BI25" s="1221">
        <v>3282.61166</v>
      </c>
      <c r="BJ25" s="1221">
        <v>1460.18182</v>
      </c>
      <c r="BK25" s="1221">
        <v>4283.4319699999996</v>
      </c>
      <c r="BL25" s="1221">
        <v>1838.4456499999999</v>
      </c>
      <c r="BM25" s="1221">
        <v>4580.4357099999997</v>
      </c>
      <c r="BN25" s="1221">
        <v>2081.9050299999999</v>
      </c>
      <c r="BO25" s="1221">
        <v>5693.4750199999999</v>
      </c>
      <c r="BP25" s="1221">
        <v>2399.8412600000001</v>
      </c>
      <c r="BQ25" s="1221">
        <v>7076.2993200000001</v>
      </c>
      <c r="BR25" s="1221">
        <v>2772.0853500000003</v>
      </c>
      <c r="BS25" s="1221">
        <v>9544.1149700000005</v>
      </c>
      <c r="BT25" s="1221">
        <v>3347.9925600000001</v>
      </c>
      <c r="BU25" s="1221">
        <v>14495.98345</v>
      </c>
      <c r="BV25" s="1221">
        <v>3809.7135099999996</v>
      </c>
      <c r="BW25" s="1221">
        <v>2028.03781</v>
      </c>
      <c r="BX25" s="1221">
        <v>775.57256000000007</v>
      </c>
      <c r="BY25" s="1221">
        <v>3740.72559</v>
      </c>
      <c r="BZ25" s="1221">
        <v>1379.92444</v>
      </c>
      <c r="CA25" s="1221">
        <v>5698.8968399999994</v>
      </c>
      <c r="CB25" s="1221">
        <v>1962.0823799999998</v>
      </c>
      <c r="CC25" s="1221">
        <v>9368.1746700000003</v>
      </c>
      <c r="CD25" s="1221">
        <v>3047.33527</v>
      </c>
      <c r="CE25" s="1221">
        <v>11132.40653</v>
      </c>
      <c r="CF25" s="1221">
        <v>4398.8942400000005</v>
      </c>
      <c r="CG25" s="1221">
        <v>12680.946089999999</v>
      </c>
      <c r="CH25" s="1221">
        <v>5884.8114000000005</v>
      </c>
      <c r="CI25" s="1221">
        <v>14884.422480000001</v>
      </c>
      <c r="CJ25" s="1221">
        <v>8181.0922899999996</v>
      </c>
      <c r="CK25" s="1221">
        <v>17171.980309999999</v>
      </c>
      <c r="CL25" s="1221">
        <v>9485.1552100000008</v>
      </c>
      <c r="CM25" s="1221">
        <v>19436.932129999997</v>
      </c>
      <c r="CN25" s="1221">
        <v>10894.311810000001</v>
      </c>
      <c r="CO25" s="1221">
        <v>22328.780320000002</v>
      </c>
      <c r="CP25" s="1221">
        <v>12616.943300000001</v>
      </c>
      <c r="CQ25" s="1221">
        <v>25583.025530000003</v>
      </c>
      <c r="CR25" s="1221">
        <v>14209.27972</v>
      </c>
      <c r="CS25" s="1221">
        <v>28340.232940000002</v>
      </c>
      <c r="CT25" s="1221">
        <v>16016.440769999999</v>
      </c>
      <c r="CU25" s="1221">
        <v>3522.0844500000003</v>
      </c>
      <c r="CV25" s="1221">
        <v>1721.5744299999999</v>
      </c>
      <c r="CW25" s="1221">
        <v>5568.2475899999999</v>
      </c>
      <c r="CX25" s="1221">
        <v>3479.6113399999999</v>
      </c>
      <c r="CY25" s="1221">
        <v>6946.0226600000005</v>
      </c>
      <c r="CZ25" s="1221">
        <v>4537.0554000000002</v>
      </c>
      <c r="DA25" s="1221">
        <v>8658.1177299999999</v>
      </c>
      <c r="DB25" s="1221">
        <v>6218.7745300000006</v>
      </c>
      <c r="DC25" s="1221">
        <v>10804.544470000001</v>
      </c>
      <c r="DD25" s="1221">
        <v>7190.7436900000002</v>
      </c>
      <c r="DE25" s="1221">
        <v>13293.44059</v>
      </c>
      <c r="DF25" s="1221">
        <v>8194.8776399999988</v>
      </c>
      <c r="DG25" s="1221">
        <v>16473.566589999999</v>
      </c>
      <c r="DH25" s="1221">
        <v>9392.5951700000005</v>
      </c>
      <c r="DI25" s="1221">
        <v>19255.958760000001</v>
      </c>
      <c r="DJ25" s="1221">
        <v>10696.70091</v>
      </c>
      <c r="DK25" s="1221">
        <v>21781.410879999999</v>
      </c>
      <c r="DL25" s="1221">
        <v>12447.98055</v>
      </c>
      <c r="DM25" s="1221">
        <v>25894.866449999998</v>
      </c>
      <c r="DN25" s="1221">
        <v>14129.129010000001</v>
      </c>
      <c r="DO25" s="1221">
        <v>28560.944879999999</v>
      </c>
      <c r="DP25" s="1221">
        <v>15721.474880000002</v>
      </c>
      <c r="DQ25" s="1221">
        <v>31181.956140000002</v>
      </c>
      <c r="DR25" s="1221">
        <v>17608.499010000003</v>
      </c>
      <c r="DS25" s="1221">
        <v>3143.6603399999999</v>
      </c>
      <c r="DT25" s="1221">
        <v>1506.09923</v>
      </c>
      <c r="DU25" s="1221">
        <v>4900.92947</v>
      </c>
      <c r="DV25" s="1221">
        <v>3154.6903199999997</v>
      </c>
      <c r="DW25" s="1221">
        <v>6636.6639100000002</v>
      </c>
      <c r="DX25" s="1221">
        <v>4794.2320300000001</v>
      </c>
      <c r="DY25" s="1221">
        <v>8868.2341300000007</v>
      </c>
      <c r="DZ25" s="1221">
        <v>6940.21828</v>
      </c>
      <c r="EA25" s="1221">
        <v>10992.85785</v>
      </c>
      <c r="EB25" s="1221">
        <v>8522.3190699999996</v>
      </c>
      <c r="EC25" s="1221">
        <v>13039.77687</v>
      </c>
      <c r="ED25" s="1221">
        <v>10317.661679999999</v>
      </c>
      <c r="EE25" s="1221">
        <v>15301.21155</v>
      </c>
      <c r="EF25" s="1221">
        <v>12129.930319999999</v>
      </c>
      <c r="EG25" s="1221">
        <v>17961.967260000001</v>
      </c>
      <c r="EH25" s="1221">
        <v>13985.054689999999</v>
      </c>
      <c r="EI25" s="1221">
        <v>20627.870629999998</v>
      </c>
      <c r="EJ25" s="1221">
        <v>16037.230970000001</v>
      </c>
      <c r="EK25" s="1221">
        <v>25096.015780000002</v>
      </c>
      <c r="EL25" s="1221">
        <v>17985.17612</v>
      </c>
      <c r="EM25" s="1221">
        <v>27382.182779999999</v>
      </c>
      <c r="EN25" s="1221">
        <v>19473.440050000001</v>
      </c>
      <c r="EO25" s="1221">
        <v>35545.787369999998</v>
      </c>
      <c r="EP25" s="1221">
        <v>21783.81914</v>
      </c>
      <c r="EQ25" s="1221">
        <v>3570.4635699999999</v>
      </c>
      <c r="ER25" s="1221">
        <v>1771.07782</v>
      </c>
      <c r="ES25" s="1221">
        <v>5956.3792100000001</v>
      </c>
      <c r="ET25" s="1221">
        <v>3899.6777499999998</v>
      </c>
      <c r="EU25" s="1221">
        <v>8865.1015499999994</v>
      </c>
      <c r="EV25" s="1221">
        <v>5700.8170600000003</v>
      </c>
      <c r="EW25" s="1221">
        <v>12127.59647</v>
      </c>
      <c r="EX25" s="1221">
        <v>7938.2093599999998</v>
      </c>
      <c r="EY25" s="1221">
        <v>15500.137290000001</v>
      </c>
      <c r="EZ25" s="1221">
        <v>9898.7115799999992</v>
      </c>
      <c r="FA25" s="1221">
        <v>19273.16404</v>
      </c>
      <c r="FB25" s="1221">
        <v>12179.474249999999</v>
      </c>
      <c r="FC25" s="1221">
        <v>22673.585729999999</v>
      </c>
      <c r="FD25" s="1221">
        <v>14487.426520000001</v>
      </c>
      <c r="FE25" s="1221">
        <v>30190.113150000001</v>
      </c>
      <c r="FF25" s="1221">
        <v>19659.789250000002</v>
      </c>
      <c r="FG25" s="1221">
        <v>34199.120280000003</v>
      </c>
      <c r="FH25" s="1221">
        <v>21977.675569999999</v>
      </c>
      <c r="FI25" s="1221">
        <v>38106.395340000003</v>
      </c>
      <c r="FJ25" s="1221">
        <v>24283.259579999998</v>
      </c>
      <c r="FK25" s="1221">
        <v>42273.500549999997</v>
      </c>
      <c r="FL25" s="1221">
        <v>27465.865709999998</v>
      </c>
      <c r="FM25" s="1221">
        <v>4594.9915700000001</v>
      </c>
      <c r="FN25" s="1221">
        <v>2506.53631</v>
      </c>
      <c r="FO25" s="1221">
        <v>6116.4019800000005</v>
      </c>
      <c r="FP25" s="1221">
        <v>5442.0001299999994</v>
      </c>
      <c r="FQ25" s="1221">
        <v>7289.3027099999999</v>
      </c>
      <c r="FR25" s="1221">
        <v>6674.3136100000002</v>
      </c>
      <c r="FS25" s="1221">
        <v>8865.0669699999999</v>
      </c>
      <c r="FT25" s="1221">
        <v>8277.8452600000001</v>
      </c>
      <c r="FU25" s="1221">
        <v>10739.2531</v>
      </c>
      <c r="FV25" s="1221">
        <v>9873.8445600000014</v>
      </c>
      <c r="FW25" s="1221">
        <v>12036.534539999999</v>
      </c>
      <c r="FX25" s="1221">
        <v>11918.46377</v>
      </c>
      <c r="FY25" s="1221">
        <v>13447.323269999999</v>
      </c>
      <c r="FZ25" s="1221">
        <v>15138.01686</v>
      </c>
      <c r="GA25" s="1221">
        <v>15066.87263</v>
      </c>
      <c r="GB25" s="1221">
        <v>16662.764449999999</v>
      </c>
      <c r="GC25" s="1221">
        <v>17093.74224</v>
      </c>
      <c r="GD25" s="1221">
        <v>18061.338500000002</v>
      </c>
      <c r="GE25" s="1221">
        <v>18687.586169999999</v>
      </c>
      <c r="GF25" s="1221">
        <v>19882.644390000001</v>
      </c>
      <c r="GG25" s="1221">
        <v>20073.23589</v>
      </c>
      <c r="GH25" s="1221">
        <v>20947.642240000001</v>
      </c>
      <c r="GI25" s="1221">
        <v>24072.93894</v>
      </c>
      <c r="GJ25" s="1221">
        <v>22055.487280000001</v>
      </c>
      <c r="GK25" s="1221">
        <v>1150.3104900000001</v>
      </c>
      <c r="GL25" s="1221">
        <v>909.56967000000009</v>
      </c>
      <c r="GM25" s="1221">
        <v>3334.33275</v>
      </c>
      <c r="GN25" s="1221">
        <v>1938.2769800000001</v>
      </c>
      <c r="GO25" s="1221">
        <v>5719.5718200000001</v>
      </c>
      <c r="GP25" s="1221">
        <v>3017.2525599999999</v>
      </c>
      <c r="GQ25" s="1221">
        <v>7562.6844199999996</v>
      </c>
      <c r="GR25" s="1221">
        <v>3980.1876400000001</v>
      </c>
      <c r="GS25" s="1221">
        <v>9687.3152300000002</v>
      </c>
      <c r="GT25" s="1221">
        <v>4252.6863599999997</v>
      </c>
      <c r="GU25" s="1221">
        <v>10787.45089</v>
      </c>
      <c r="GV25" s="1221">
        <v>5052.3641699999998</v>
      </c>
      <c r="GW25" s="1221">
        <v>12578.977639999999</v>
      </c>
      <c r="GX25" s="1221">
        <v>5695.2665699999998</v>
      </c>
      <c r="GY25" s="1221">
        <v>14637.68619</v>
      </c>
      <c r="GZ25" s="1221">
        <v>6982.50821</v>
      </c>
      <c r="HA25" s="1221">
        <v>16703.934130000001</v>
      </c>
      <c r="HB25" s="1221">
        <v>7763.2942999999996</v>
      </c>
      <c r="HC25" s="1221">
        <v>19786.988099999999</v>
      </c>
      <c r="HD25" s="1221">
        <v>8697.6419600000008</v>
      </c>
      <c r="HE25" s="1221">
        <v>21031.97337</v>
      </c>
      <c r="HF25" s="1221">
        <v>9648.9037700000008</v>
      </c>
      <c r="HG25" s="1221">
        <v>24699.146580000001</v>
      </c>
      <c r="HH25" s="1221">
        <v>9951.3841300000004</v>
      </c>
      <c r="HI25" s="1221">
        <v>3754.9728300000002</v>
      </c>
      <c r="HJ25" s="1221">
        <v>604.78770999999995</v>
      </c>
      <c r="HK25" s="1221">
        <v>5349.7891399999999</v>
      </c>
      <c r="HL25" s="1221">
        <v>1420.6932999999999</v>
      </c>
      <c r="HM25" s="1221">
        <v>7646.6981400000004</v>
      </c>
      <c r="HN25" s="1221">
        <v>1807.65834</v>
      </c>
      <c r="HO25" s="1221">
        <v>9741.7342000000008</v>
      </c>
      <c r="HP25" s="1221">
        <v>2796.8983199999998</v>
      </c>
      <c r="HQ25" s="1221">
        <v>11445.73955</v>
      </c>
      <c r="HR25" s="1221">
        <v>3437.5963700000002</v>
      </c>
      <c r="HS25" s="1838" t="s">
        <v>3177</v>
      </c>
    </row>
    <row r="26" spans="1:227" ht="36" customHeight="1">
      <c r="A26" s="1836">
        <v>15</v>
      </c>
      <c r="B26" s="1837" t="s">
        <v>3080</v>
      </c>
      <c r="C26" s="1221">
        <v>0</v>
      </c>
      <c r="D26" s="1221">
        <v>0</v>
      </c>
      <c r="E26" s="1221">
        <v>0</v>
      </c>
      <c r="F26" s="1221">
        <v>0</v>
      </c>
      <c r="G26" s="1221">
        <v>0</v>
      </c>
      <c r="H26" s="1221">
        <v>0</v>
      </c>
      <c r="I26" s="1221">
        <v>0</v>
      </c>
      <c r="J26" s="1221">
        <v>0</v>
      </c>
      <c r="K26" s="1221">
        <v>0</v>
      </c>
      <c r="L26" s="1221">
        <v>0</v>
      </c>
      <c r="M26" s="1221">
        <v>0</v>
      </c>
      <c r="N26" s="1221">
        <v>0</v>
      </c>
      <c r="O26" s="1221">
        <v>0</v>
      </c>
      <c r="P26" s="1221">
        <v>0</v>
      </c>
      <c r="Q26" s="1221">
        <v>0</v>
      </c>
      <c r="R26" s="1221">
        <v>0</v>
      </c>
      <c r="S26" s="1221">
        <v>0</v>
      </c>
      <c r="T26" s="1221">
        <v>0</v>
      </c>
      <c r="U26" s="1221">
        <v>0</v>
      </c>
      <c r="V26" s="1221">
        <v>0</v>
      </c>
      <c r="W26" s="1221">
        <v>0</v>
      </c>
      <c r="X26" s="1221">
        <v>0</v>
      </c>
      <c r="Y26" s="1221">
        <v>0</v>
      </c>
      <c r="Z26" s="1221">
        <v>0</v>
      </c>
      <c r="AA26" s="1221">
        <v>0</v>
      </c>
      <c r="AB26" s="1221">
        <v>0</v>
      </c>
      <c r="AC26" s="1221">
        <v>0</v>
      </c>
      <c r="AD26" s="1221">
        <v>0</v>
      </c>
      <c r="AE26" s="1221">
        <v>0</v>
      </c>
      <c r="AF26" s="1221">
        <v>0</v>
      </c>
      <c r="AG26" s="1221">
        <v>0</v>
      </c>
      <c r="AH26" s="1221">
        <v>0</v>
      </c>
      <c r="AI26" s="1221">
        <v>0</v>
      </c>
      <c r="AJ26" s="1221">
        <v>0</v>
      </c>
      <c r="AK26" s="1221">
        <v>0</v>
      </c>
      <c r="AL26" s="1221">
        <v>0</v>
      </c>
      <c r="AM26" s="1221">
        <v>0</v>
      </c>
      <c r="AN26" s="1221">
        <v>0</v>
      </c>
      <c r="AO26" s="1221">
        <v>0</v>
      </c>
      <c r="AP26" s="1221">
        <v>0</v>
      </c>
      <c r="AQ26" s="1221">
        <v>0</v>
      </c>
      <c r="AR26" s="1221">
        <v>0</v>
      </c>
      <c r="AS26" s="1221">
        <v>0</v>
      </c>
      <c r="AT26" s="1221">
        <v>0</v>
      </c>
      <c r="AU26" s="1221">
        <v>0</v>
      </c>
      <c r="AV26" s="1221">
        <v>0</v>
      </c>
      <c r="AW26" s="1221">
        <v>0</v>
      </c>
      <c r="AX26" s="1221">
        <v>0</v>
      </c>
      <c r="AY26" s="1221">
        <v>0</v>
      </c>
      <c r="AZ26" s="1221">
        <v>0</v>
      </c>
      <c r="BA26" s="1221">
        <v>0</v>
      </c>
      <c r="BB26" s="1221">
        <v>0</v>
      </c>
      <c r="BC26" s="1221">
        <v>0</v>
      </c>
      <c r="BD26" s="1221">
        <v>0</v>
      </c>
      <c r="BE26" s="1221">
        <v>0</v>
      </c>
      <c r="BF26" s="1221">
        <v>0</v>
      </c>
      <c r="BG26" s="1221">
        <v>0</v>
      </c>
      <c r="BH26" s="1221">
        <v>0</v>
      </c>
      <c r="BI26" s="1221">
        <v>0</v>
      </c>
      <c r="BJ26" s="1221">
        <v>0</v>
      </c>
      <c r="BK26" s="1221">
        <v>0</v>
      </c>
      <c r="BL26" s="1221">
        <v>0</v>
      </c>
      <c r="BM26" s="1221">
        <v>0</v>
      </c>
      <c r="BN26" s="1221">
        <v>0</v>
      </c>
      <c r="BO26" s="1221">
        <v>0</v>
      </c>
      <c r="BP26" s="1221">
        <v>0</v>
      </c>
      <c r="BQ26" s="1221">
        <v>0</v>
      </c>
      <c r="BR26" s="1221">
        <v>0</v>
      </c>
      <c r="BS26" s="1221">
        <v>0</v>
      </c>
      <c r="BT26" s="1221">
        <v>0</v>
      </c>
      <c r="BU26" s="1221">
        <v>0</v>
      </c>
      <c r="BV26" s="1221">
        <v>0</v>
      </c>
      <c r="BW26" s="1221">
        <v>0</v>
      </c>
      <c r="BX26" s="1221">
        <v>0</v>
      </c>
      <c r="BY26" s="1221">
        <v>0</v>
      </c>
      <c r="BZ26" s="1221">
        <v>0</v>
      </c>
      <c r="CA26" s="1221">
        <v>0</v>
      </c>
      <c r="CB26" s="1221">
        <v>0</v>
      </c>
      <c r="CC26" s="1221">
        <v>0</v>
      </c>
      <c r="CD26" s="1221">
        <v>0</v>
      </c>
      <c r="CE26" s="1221">
        <v>0</v>
      </c>
      <c r="CF26" s="1221">
        <v>0</v>
      </c>
      <c r="CG26" s="1221">
        <v>0</v>
      </c>
      <c r="CH26" s="1221">
        <v>0</v>
      </c>
      <c r="CI26" s="1221">
        <v>0</v>
      </c>
      <c r="CJ26" s="1221">
        <v>0</v>
      </c>
      <c r="CK26" s="1221">
        <v>0</v>
      </c>
      <c r="CL26" s="1221">
        <v>0</v>
      </c>
      <c r="CM26" s="1221">
        <v>0</v>
      </c>
      <c r="CN26" s="1221">
        <v>0</v>
      </c>
      <c r="CO26" s="1221">
        <v>0</v>
      </c>
      <c r="CP26" s="1221">
        <v>0</v>
      </c>
      <c r="CQ26" s="1221">
        <v>0</v>
      </c>
      <c r="CR26" s="1221">
        <v>0</v>
      </c>
      <c r="CS26" s="1221">
        <v>0</v>
      </c>
      <c r="CT26" s="1221">
        <v>0</v>
      </c>
      <c r="CU26" s="1221">
        <v>0</v>
      </c>
      <c r="CV26" s="1221">
        <v>0</v>
      </c>
      <c r="CW26" s="1221">
        <v>0</v>
      </c>
      <c r="CX26" s="1221">
        <v>0</v>
      </c>
      <c r="CY26" s="1221">
        <v>0</v>
      </c>
      <c r="CZ26" s="1221">
        <v>0</v>
      </c>
      <c r="DA26" s="1221">
        <v>0</v>
      </c>
      <c r="DB26" s="1221">
        <v>0</v>
      </c>
      <c r="DC26" s="1221">
        <v>0</v>
      </c>
      <c r="DD26" s="1221">
        <v>0</v>
      </c>
      <c r="DE26" s="1221">
        <v>0</v>
      </c>
      <c r="DF26" s="1221">
        <v>0</v>
      </c>
      <c r="DG26" s="1221">
        <v>0</v>
      </c>
      <c r="DH26" s="1221">
        <v>0</v>
      </c>
      <c r="DI26" s="1221">
        <v>0</v>
      </c>
      <c r="DJ26" s="1221">
        <v>0</v>
      </c>
      <c r="DK26" s="1221">
        <v>0</v>
      </c>
      <c r="DL26" s="1221">
        <v>0</v>
      </c>
      <c r="DM26" s="1221">
        <v>0</v>
      </c>
      <c r="DN26" s="1221">
        <v>0</v>
      </c>
      <c r="DO26" s="1221" t="s">
        <v>93</v>
      </c>
      <c r="DP26" s="1221" t="s">
        <v>93</v>
      </c>
      <c r="DQ26" s="1221">
        <v>17.74166</v>
      </c>
      <c r="DR26" s="1221">
        <v>0</v>
      </c>
      <c r="DS26" s="1221">
        <v>14.00234</v>
      </c>
      <c r="DT26" s="1221">
        <v>0</v>
      </c>
      <c r="DU26" s="1221">
        <v>19.379720000000002</v>
      </c>
      <c r="DV26" s="1221">
        <v>0</v>
      </c>
      <c r="DW26" s="1221">
        <v>565.75099999999998</v>
      </c>
      <c r="DX26" s="1221">
        <v>0</v>
      </c>
      <c r="DY26" s="1221">
        <v>1172.7354599999999</v>
      </c>
      <c r="DZ26" s="1221">
        <v>0</v>
      </c>
      <c r="EA26" s="1221">
        <v>1416.1335800000002</v>
      </c>
      <c r="EB26" s="1221">
        <v>0</v>
      </c>
      <c r="EC26" s="1221">
        <v>1874.31908</v>
      </c>
      <c r="ED26" s="1221">
        <v>0</v>
      </c>
      <c r="EE26" s="1221">
        <v>2796.1531</v>
      </c>
      <c r="EF26" s="1221">
        <v>0</v>
      </c>
      <c r="EG26" s="1221">
        <v>3611.8386</v>
      </c>
      <c r="EH26" s="1221">
        <v>29.052619999999997</v>
      </c>
      <c r="EI26" s="1221">
        <v>3983.8288600000001</v>
      </c>
      <c r="EJ26" s="1221">
        <v>42.574400000000004</v>
      </c>
      <c r="EK26" s="1221">
        <v>4661.4078300000001</v>
      </c>
      <c r="EL26" s="1221">
        <v>84.538830000000004</v>
      </c>
      <c r="EM26" s="1221">
        <v>5579.3818000000001</v>
      </c>
      <c r="EN26" s="1221">
        <v>84.538830000000004</v>
      </c>
      <c r="EO26" s="1221">
        <v>11257.000099999999</v>
      </c>
      <c r="EP26" s="1221">
        <v>146.5077</v>
      </c>
      <c r="EQ26" s="1221">
        <v>1516.5707</v>
      </c>
      <c r="ER26" s="1221">
        <v>33.793799999999997</v>
      </c>
      <c r="ES26" s="1221">
        <v>2709.7806999999998</v>
      </c>
      <c r="ET26" s="1221">
        <v>82.248800000000003</v>
      </c>
      <c r="EU26" s="1221">
        <v>3435.13256</v>
      </c>
      <c r="EV26" s="1221">
        <v>119.41831999999999</v>
      </c>
      <c r="EW26" s="1221">
        <v>3710.8131600000002</v>
      </c>
      <c r="EX26" s="1221">
        <v>142.61145999999999</v>
      </c>
      <c r="EY26" s="1221">
        <v>5039.4785000000002</v>
      </c>
      <c r="EZ26" s="1221">
        <v>156.0214</v>
      </c>
      <c r="FA26" s="1221">
        <v>5750.8283000000001</v>
      </c>
      <c r="FB26" s="1221">
        <v>186.34289999999999</v>
      </c>
      <c r="FC26" s="1221">
        <v>6277.4623199999996</v>
      </c>
      <c r="FD26" s="1221">
        <v>192.45815999999999</v>
      </c>
      <c r="FE26" s="1221">
        <v>7740.4384</v>
      </c>
      <c r="FF26" s="1221">
        <v>550.08479999999997</v>
      </c>
      <c r="FG26" s="1221">
        <v>7940.1051799999996</v>
      </c>
      <c r="FH26" s="1221">
        <v>1154.6862900000001</v>
      </c>
      <c r="FI26" s="1221">
        <v>8747.1915600000011</v>
      </c>
      <c r="FJ26" s="1221">
        <v>1393.4622199999999</v>
      </c>
      <c r="FK26" s="1221">
        <v>14135.769840000001</v>
      </c>
      <c r="FL26" s="1221">
        <v>2389.6352700000002</v>
      </c>
      <c r="FM26" s="1221">
        <v>8996.9148999999998</v>
      </c>
      <c r="FN26" s="1221">
        <v>190.803</v>
      </c>
      <c r="FO26" s="1221">
        <v>9039.7718599999989</v>
      </c>
      <c r="FP26" s="1221">
        <v>550.72619999999995</v>
      </c>
      <c r="FQ26" s="1221">
        <v>9566.5236399999994</v>
      </c>
      <c r="FR26" s="1221">
        <v>799.08304999999996</v>
      </c>
      <c r="FS26" s="1221">
        <v>10529.660400000001</v>
      </c>
      <c r="FT26" s="1221">
        <v>1001.6251999999999</v>
      </c>
      <c r="FU26" s="1221">
        <v>12413.093699999999</v>
      </c>
      <c r="FV26" s="1221">
        <v>1102.49668</v>
      </c>
      <c r="FW26" s="1221">
        <v>13154.24856</v>
      </c>
      <c r="FX26" s="1221">
        <v>1174.6430800000001</v>
      </c>
      <c r="FY26" s="1221">
        <v>13612.6134</v>
      </c>
      <c r="FZ26" s="1221">
        <v>1256.058</v>
      </c>
      <c r="GA26" s="1221">
        <v>13713.783240000001</v>
      </c>
      <c r="GB26" s="1221">
        <v>1287.25136</v>
      </c>
      <c r="GC26" s="1221">
        <v>14647.8791</v>
      </c>
      <c r="GD26" s="1221">
        <v>1408.2828300000001</v>
      </c>
      <c r="GE26" s="1221">
        <v>14780.59708</v>
      </c>
      <c r="GF26" s="1221">
        <v>1409.66446</v>
      </c>
      <c r="GG26" s="1221">
        <v>15154.67676</v>
      </c>
      <c r="GH26" s="1221">
        <v>2723.2206999999999</v>
      </c>
      <c r="GI26" s="1221">
        <v>16748.965250000001</v>
      </c>
      <c r="GJ26" s="1221">
        <v>4404.8066399999998</v>
      </c>
      <c r="GK26" s="1221">
        <v>6898.7379500000006</v>
      </c>
      <c r="GL26" s="1221">
        <v>876.57479000000001</v>
      </c>
      <c r="GM26" s="1221">
        <v>7058.0589</v>
      </c>
      <c r="GN26" s="1221">
        <v>1549.08644</v>
      </c>
      <c r="GO26" s="1221">
        <v>7345.9337999999998</v>
      </c>
      <c r="GP26" s="1221">
        <v>1751.7208899999998</v>
      </c>
      <c r="GQ26" s="1221">
        <v>8380.5408599999992</v>
      </c>
      <c r="GR26" s="1221">
        <v>2027.8509300000001</v>
      </c>
      <c r="GS26" s="1221">
        <v>9593.0586000000003</v>
      </c>
      <c r="GT26" s="1221">
        <v>2557.2771499999999</v>
      </c>
      <c r="GU26" s="1221">
        <v>11183.5077</v>
      </c>
      <c r="GV26" s="1221">
        <v>2851.17</v>
      </c>
      <c r="GW26" s="1221">
        <v>11304.506659999999</v>
      </c>
      <c r="GX26" s="1221">
        <v>3238.5999700000002</v>
      </c>
      <c r="GY26" s="1221">
        <v>11916.174800000001</v>
      </c>
      <c r="GZ26" s="1221">
        <v>3459.4774000000002</v>
      </c>
      <c r="HA26" s="1221">
        <v>12268.383</v>
      </c>
      <c r="HB26" s="1221">
        <v>3771.3240000000001</v>
      </c>
      <c r="HC26" s="1221">
        <v>12448.941000000001</v>
      </c>
      <c r="HD26" s="1221">
        <v>4028.5970000000002</v>
      </c>
      <c r="HE26" s="1221">
        <v>12829.227000000001</v>
      </c>
      <c r="HF26" s="1221">
        <v>5612.9059999999999</v>
      </c>
      <c r="HG26" s="1221">
        <v>14080.2472</v>
      </c>
      <c r="HH26" s="1221">
        <v>6407.9220999999998</v>
      </c>
      <c r="HI26" s="1221">
        <v>7612.93336</v>
      </c>
      <c r="HJ26" s="1221">
        <v>907.03800000000001</v>
      </c>
      <c r="HK26" s="1221">
        <v>7908.7730000000001</v>
      </c>
      <c r="HL26" s="1221">
        <v>1170.155</v>
      </c>
      <c r="HM26" s="1221">
        <v>8816.7950000000001</v>
      </c>
      <c r="HN26" s="1221">
        <v>1319.886</v>
      </c>
      <c r="HO26" s="1221">
        <v>9405.2170000000006</v>
      </c>
      <c r="HP26" s="1221">
        <v>3025.7530000000002</v>
      </c>
      <c r="HQ26" s="1221">
        <v>11019.143</v>
      </c>
      <c r="HR26" s="1221">
        <v>4151.3630000000003</v>
      </c>
      <c r="HS26" s="1838" t="s">
        <v>4235</v>
      </c>
    </row>
    <row r="27" spans="1:227" ht="36" customHeight="1">
      <c r="A27" s="1836">
        <v>16</v>
      </c>
      <c r="B27" s="1837" t="s">
        <v>4236</v>
      </c>
      <c r="C27" s="1221"/>
      <c r="D27" s="1221"/>
      <c r="E27" s="1221"/>
      <c r="F27" s="1221"/>
      <c r="G27" s="1221"/>
      <c r="H27" s="1221"/>
      <c r="I27" s="1221"/>
      <c r="J27" s="1221"/>
      <c r="K27" s="1221"/>
      <c r="L27" s="1221"/>
      <c r="M27" s="1221"/>
      <c r="N27" s="1221"/>
      <c r="O27" s="1221"/>
      <c r="P27" s="1221"/>
      <c r="Q27" s="1221"/>
      <c r="R27" s="1221"/>
      <c r="S27" s="1221"/>
      <c r="T27" s="1221"/>
      <c r="U27" s="1221"/>
      <c r="V27" s="1221"/>
      <c r="W27" s="1221"/>
      <c r="X27" s="1221"/>
      <c r="Y27" s="1221"/>
      <c r="Z27" s="1221"/>
      <c r="AA27" s="1221"/>
      <c r="AB27" s="1221"/>
      <c r="AC27" s="1221"/>
      <c r="AD27" s="1221"/>
      <c r="AE27" s="1221"/>
      <c r="AF27" s="1221"/>
      <c r="AG27" s="1221"/>
      <c r="AH27" s="1221"/>
      <c r="AI27" s="1221"/>
      <c r="AJ27" s="1221"/>
      <c r="AK27" s="1221"/>
      <c r="AL27" s="1221"/>
      <c r="AM27" s="1221"/>
      <c r="AN27" s="1221"/>
      <c r="AO27" s="1221"/>
      <c r="AP27" s="1221"/>
      <c r="AQ27" s="1221"/>
      <c r="AR27" s="1221"/>
      <c r="AS27" s="1221"/>
      <c r="AT27" s="1221"/>
      <c r="AU27" s="1221"/>
      <c r="AV27" s="1221"/>
      <c r="AW27" s="1221"/>
      <c r="AX27" s="1221"/>
      <c r="AY27" s="1221">
        <v>0</v>
      </c>
      <c r="AZ27" s="1221">
        <v>0</v>
      </c>
      <c r="BA27" s="1221">
        <v>0</v>
      </c>
      <c r="BB27" s="1221">
        <v>0</v>
      </c>
      <c r="BC27" s="1221">
        <v>0</v>
      </c>
      <c r="BD27" s="1221">
        <v>0</v>
      </c>
      <c r="BE27" s="1221" t="s">
        <v>93</v>
      </c>
      <c r="BF27" s="1221">
        <v>0</v>
      </c>
      <c r="BG27" s="1221" t="s">
        <v>93</v>
      </c>
      <c r="BH27" s="1221">
        <v>0</v>
      </c>
      <c r="BI27" s="1221" t="s">
        <v>93</v>
      </c>
      <c r="BJ27" s="1221">
        <v>0</v>
      </c>
      <c r="BK27" s="1221" t="s">
        <v>93</v>
      </c>
      <c r="BL27" s="1221">
        <v>0</v>
      </c>
      <c r="BM27" s="1221" t="s">
        <v>93</v>
      </c>
      <c r="BN27" s="1221">
        <v>0</v>
      </c>
      <c r="BO27" s="1221" t="s">
        <v>93</v>
      </c>
      <c r="BP27" s="1221">
        <v>0</v>
      </c>
      <c r="BQ27" s="1221" t="s">
        <v>93</v>
      </c>
      <c r="BR27" s="1221">
        <v>0</v>
      </c>
      <c r="BS27" s="1221" t="s">
        <v>93</v>
      </c>
      <c r="BT27" s="1221">
        <v>0</v>
      </c>
      <c r="BU27" s="1221" t="s">
        <v>93</v>
      </c>
      <c r="BV27" s="1221">
        <v>0</v>
      </c>
      <c r="BW27" s="1221">
        <v>0</v>
      </c>
      <c r="BX27" s="1221">
        <v>0</v>
      </c>
      <c r="BY27" s="1221">
        <v>0</v>
      </c>
      <c r="BZ27" s="1221">
        <v>0</v>
      </c>
      <c r="CA27" s="1221">
        <v>0</v>
      </c>
      <c r="CB27" s="1221">
        <v>0</v>
      </c>
      <c r="CC27" s="1221" t="s">
        <v>93</v>
      </c>
      <c r="CD27" s="1221">
        <v>0</v>
      </c>
      <c r="CE27" s="1221" t="s">
        <v>93</v>
      </c>
      <c r="CF27" s="1221">
        <v>0</v>
      </c>
      <c r="CG27" s="1221" t="s">
        <v>93</v>
      </c>
      <c r="CH27" s="1221">
        <v>0</v>
      </c>
      <c r="CI27" s="1221" t="s">
        <v>93</v>
      </c>
      <c r="CJ27" s="1221">
        <v>0</v>
      </c>
      <c r="CK27" s="1221" t="s">
        <v>93</v>
      </c>
      <c r="CL27" s="1221">
        <v>0</v>
      </c>
      <c r="CM27" s="1221" t="s">
        <v>93</v>
      </c>
      <c r="CN27" s="1221">
        <v>0</v>
      </c>
      <c r="CO27" s="1221" t="s">
        <v>93</v>
      </c>
      <c r="CP27" s="1221">
        <v>0</v>
      </c>
      <c r="CQ27" s="1221" t="s">
        <v>93</v>
      </c>
      <c r="CR27" s="1221">
        <v>0</v>
      </c>
      <c r="CS27" s="1221" t="s">
        <v>93</v>
      </c>
      <c r="CT27" s="1221">
        <v>0</v>
      </c>
      <c r="CU27" s="1221">
        <v>0</v>
      </c>
      <c r="CV27" s="1221">
        <v>0</v>
      </c>
      <c r="CW27" s="1221">
        <v>0</v>
      </c>
      <c r="CX27" s="1221">
        <v>0</v>
      </c>
      <c r="CY27" s="1221">
        <v>0</v>
      </c>
      <c r="CZ27" s="1221">
        <v>0</v>
      </c>
      <c r="DA27" s="1221"/>
      <c r="DB27" s="1221"/>
      <c r="DC27" s="1221"/>
      <c r="DD27" s="1221"/>
      <c r="DE27" s="1221"/>
      <c r="DF27" s="1221"/>
      <c r="DG27" s="1221"/>
      <c r="DH27" s="1221"/>
      <c r="DI27" s="1221"/>
      <c r="DJ27" s="1221"/>
      <c r="DK27" s="1221"/>
      <c r="DL27" s="1221"/>
      <c r="DM27" s="1221"/>
      <c r="DN27" s="1221"/>
      <c r="DO27" s="1221"/>
      <c r="DP27" s="1221"/>
      <c r="DQ27" s="1221"/>
      <c r="DR27" s="1221"/>
      <c r="DS27" s="1221">
        <v>0</v>
      </c>
      <c r="DT27" s="1221">
        <v>0</v>
      </c>
      <c r="DU27" s="1221">
        <v>0</v>
      </c>
      <c r="DV27" s="1221">
        <v>0</v>
      </c>
      <c r="DW27" s="1221">
        <v>76.303060000000002</v>
      </c>
      <c r="DX27" s="1221">
        <v>0</v>
      </c>
      <c r="DY27" s="1221">
        <v>146.98676999999998</v>
      </c>
      <c r="DZ27" s="1221">
        <v>0</v>
      </c>
      <c r="EA27" s="1221">
        <v>212.17366000000001</v>
      </c>
      <c r="EB27" s="1221">
        <v>0</v>
      </c>
      <c r="EC27" s="1221">
        <v>235.73551</v>
      </c>
      <c r="ED27" s="1221">
        <v>0</v>
      </c>
      <c r="EE27" s="1221">
        <v>266.06986999999998</v>
      </c>
      <c r="EF27" s="1221">
        <v>0</v>
      </c>
      <c r="EG27" s="1221">
        <v>305.72841</v>
      </c>
      <c r="EH27" s="1221">
        <v>0</v>
      </c>
      <c r="EI27" s="1221">
        <v>338.96469999999999</v>
      </c>
      <c r="EJ27" s="1221">
        <v>0</v>
      </c>
      <c r="EK27" s="1221">
        <v>382.24315999999999</v>
      </c>
      <c r="EL27" s="1221">
        <v>0</v>
      </c>
      <c r="EM27" s="1221">
        <v>434.05214000000001</v>
      </c>
      <c r="EN27" s="1221">
        <v>0</v>
      </c>
      <c r="EO27" s="1221">
        <v>515.33486000000005</v>
      </c>
      <c r="EP27" s="1221">
        <v>0</v>
      </c>
      <c r="EQ27" s="1221">
        <v>101.67821000000001</v>
      </c>
      <c r="ER27" s="1221">
        <v>0</v>
      </c>
      <c r="ES27" s="1221">
        <v>166.44032000000001</v>
      </c>
      <c r="ET27" s="1221">
        <v>0</v>
      </c>
      <c r="EU27" s="1221">
        <v>340.47985999999997</v>
      </c>
      <c r="EV27" s="1221">
        <v>0</v>
      </c>
      <c r="EW27" s="1221">
        <v>460.65055999999998</v>
      </c>
      <c r="EX27" s="1221">
        <v>0</v>
      </c>
      <c r="EY27" s="1221">
        <v>680.67237999999998</v>
      </c>
      <c r="EZ27" s="1221">
        <v>0</v>
      </c>
      <c r="FA27" s="1221">
        <v>880.89229</v>
      </c>
      <c r="FB27" s="1221">
        <v>2.6585000000000001</v>
      </c>
      <c r="FC27" s="1221">
        <v>1101.7360799999999</v>
      </c>
      <c r="FD27" s="1221">
        <v>2.6585000000000001</v>
      </c>
      <c r="FE27" s="1221">
        <v>1645.55377</v>
      </c>
      <c r="FF27" s="1221">
        <v>2.6585000000000001</v>
      </c>
      <c r="FG27" s="1221">
        <v>2021.4645700000001</v>
      </c>
      <c r="FH27" s="1221">
        <v>2.6585000000000001</v>
      </c>
      <c r="FI27" s="1221">
        <v>2201.8031299999998</v>
      </c>
      <c r="FJ27" s="1221">
        <v>6.8273100000000007</v>
      </c>
      <c r="FK27" s="1221">
        <v>2404.4049300000001</v>
      </c>
      <c r="FL27" s="1221">
        <v>9.1699199999999994</v>
      </c>
      <c r="FM27" s="1221">
        <v>249.57214000000002</v>
      </c>
      <c r="FN27" s="1221">
        <v>0</v>
      </c>
      <c r="FO27" s="1221">
        <v>574.56591000000003</v>
      </c>
      <c r="FP27" s="1221">
        <v>0</v>
      </c>
      <c r="FQ27" s="1221">
        <v>903.20011999999997</v>
      </c>
      <c r="FR27" s="1221">
        <v>0.65654000000000001</v>
      </c>
      <c r="FS27" s="1221">
        <v>1224.0430700000002</v>
      </c>
      <c r="FT27" s="1221">
        <v>3.0203899999999999</v>
      </c>
      <c r="FU27" s="1221">
        <v>1623.80441</v>
      </c>
      <c r="FV27" s="1221">
        <v>3.40991</v>
      </c>
      <c r="FW27" s="1221">
        <v>1952.11337</v>
      </c>
      <c r="FX27" s="1221">
        <v>6.7371000000000008</v>
      </c>
      <c r="FY27" s="1221">
        <v>2449.2265400000001</v>
      </c>
      <c r="FZ27" s="1221">
        <v>8.0933600000000006</v>
      </c>
      <c r="GA27" s="1221">
        <v>2783.93541</v>
      </c>
      <c r="GB27" s="1221">
        <v>8.0933600000000006</v>
      </c>
      <c r="GC27" s="1221">
        <v>3315.7186900000002</v>
      </c>
      <c r="GD27" s="1221">
        <v>13.688090000000001</v>
      </c>
      <c r="GE27" s="1221">
        <v>3936.8247700000002</v>
      </c>
      <c r="GF27" s="1221">
        <v>13.688090000000001</v>
      </c>
      <c r="GG27" s="1221">
        <v>4407.2150799999999</v>
      </c>
      <c r="GH27" s="1221">
        <v>15.00943</v>
      </c>
      <c r="GI27" s="1221">
        <v>4857.1711799999994</v>
      </c>
      <c r="GJ27" s="1221">
        <v>15.00943</v>
      </c>
      <c r="GK27" s="1221">
        <v>601.49929000000009</v>
      </c>
      <c r="GL27" s="1221">
        <v>29.770479999999999</v>
      </c>
      <c r="GM27" s="1221">
        <v>1314.5637199999999</v>
      </c>
      <c r="GN27" s="1221">
        <v>33.811800000000005</v>
      </c>
      <c r="GO27" s="1221">
        <v>1961.7708700000001</v>
      </c>
      <c r="GP27" s="1221">
        <v>40.400370000000002</v>
      </c>
      <c r="GQ27" s="1221">
        <v>2716.9852000000001</v>
      </c>
      <c r="GR27" s="1221">
        <v>50.003630000000001</v>
      </c>
      <c r="GS27" s="1221">
        <v>3630.3973799999999</v>
      </c>
      <c r="GT27" s="1221">
        <v>82.863669999999999</v>
      </c>
      <c r="GU27" s="1221">
        <v>4345.5181899999998</v>
      </c>
      <c r="GV27" s="1221">
        <v>117.44023</v>
      </c>
      <c r="GW27" s="1221">
        <v>5199.3748599999999</v>
      </c>
      <c r="GX27" s="1221">
        <v>154.01034999999999</v>
      </c>
      <c r="GY27" s="1221">
        <v>6047.6679100000001</v>
      </c>
      <c r="GZ27" s="1221">
        <v>697.79610000000002</v>
      </c>
      <c r="HA27" s="1221">
        <v>6940.6785399999999</v>
      </c>
      <c r="HB27" s="1221">
        <v>702.55953999999997</v>
      </c>
      <c r="HC27" s="1221">
        <v>9606.2829999999994</v>
      </c>
      <c r="HD27" s="1221">
        <v>703.04552999999999</v>
      </c>
      <c r="HE27" s="1221">
        <v>10740.933220000001</v>
      </c>
      <c r="HF27" s="1221">
        <v>977.20198000000005</v>
      </c>
      <c r="HG27" s="1221">
        <v>11640.01485</v>
      </c>
      <c r="HH27" s="1221">
        <v>1027.6623999999999</v>
      </c>
      <c r="HI27" s="1221">
        <v>1366.26972</v>
      </c>
      <c r="HJ27" s="1221">
        <v>22.203790000000001</v>
      </c>
      <c r="HK27" s="1221">
        <v>2583.3767600000001</v>
      </c>
      <c r="HL27" s="1221">
        <v>681.26733000000002</v>
      </c>
      <c r="HM27" s="1221">
        <v>3731.1293599999999</v>
      </c>
      <c r="HN27" s="1221">
        <v>705.91886</v>
      </c>
      <c r="HO27" s="1221">
        <v>5035.3717900000001</v>
      </c>
      <c r="HP27" s="1221">
        <v>1284.50919</v>
      </c>
      <c r="HQ27" s="1221">
        <v>6694.2623400000002</v>
      </c>
      <c r="HR27" s="1221">
        <v>2053.4633100000001</v>
      </c>
      <c r="HS27" s="1838" t="s">
        <v>3178</v>
      </c>
    </row>
    <row r="28" spans="1:227" s="1841" customFormat="1" ht="55.5" customHeight="1">
      <c r="A28" s="1839"/>
      <c r="B28" s="1840" t="s">
        <v>3081</v>
      </c>
      <c r="C28" s="1222">
        <f>SUM(C29:C41)</f>
        <v>8087.5161999999982</v>
      </c>
      <c r="D28" s="1222">
        <f t="shared" ref="D28:BO28" si="0">SUM(D29:D41)</f>
        <v>2613.1290400000003</v>
      </c>
      <c r="E28" s="1222">
        <f t="shared" si="0"/>
        <v>18022.567799999997</v>
      </c>
      <c r="F28" s="1222">
        <f t="shared" si="0"/>
        <v>6089.8633700000009</v>
      </c>
      <c r="G28" s="1222">
        <f t="shared" si="0"/>
        <v>26782.171439999998</v>
      </c>
      <c r="H28" s="1222">
        <f t="shared" si="0"/>
        <v>9438.047059999999</v>
      </c>
      <c r="I28" s="1222">
        <f t="shared" si="0"/>
        <v>39176.054680000001</v>
      </c>
      <c r="J28" s="1222">
        <f t="shared" si="0"/>
        <v>13522.107899999999</v>
      </c>
      <c r="K28" s="1222">
        <f t="shared" si="0"/>
        <v>55340.117030000009</v>
      </c>
      <c r="L28" s="1222">
        <f t="shared" si="0"/>
        <v>17265.217370000002</v>
      </c>
      <c r="M28" s="1222">
        <f t="shared" si="0"/>
        <v>64919.982929999998</v>
      </c>
      <c r="N28" s="1222">
        <f t="shared" si="0"/>
        <v>21625.596169999997</v>
      </c>
      <c r="O28" s="1222">
        <f t="shared" si="0"/>
        <v>71250.976460000005</v>
      </c>
      <c r="P28" s="1222">
        <f t="shared" si="0"/>
        <v>25084.936009999998</v>
      </c>
      <c r="Q28" s="1222">
        <f t="shared" si="0"/>
        <v>76376.143980000008</v>
      </c>
      <c r="R28" s="1222">
        <f t="shared" si="0"/>
        <v>29043.583579999999</v>
      </c>
      <c r="S28" s="1222">
        <f t="shared" si="0"/>
        <v>81548.489780000004</v>
      </c>
      <c r="T28" s="1222">
        <f t="shared" si="0"/>
        <v>31857.516800000001</v>
      </c>
      <c r="U28" s="1222">
        <f t="shared" si="0"/>
        <v>85418.585309999995</v>
      </c>
      <c r="V28" s="1222">
        <f t="shared" si="0"/>
        <v>35523.594989999998</v>
      </c>
      <c r="W28" s="1222">
        <f t="shared" si="0"/>
        <v>90182.726170000009</v>
      </c>
      <c r="X28" s="1222">
        <f t="shared" si="0"/>
        <v>39031.113919999996</v>
      </c>
      <c r="Y28" s="1222">
        <f t="shared" si="0"/>
        <v>94274.718699999998</v>
      </c>
      <c r="Z28" s="1222">
        <f t="shared" si="0"/>
        <v>43267.230169999995</v>
      </c>
      <c r="AA28" s="1222">
        <f t="shared" si="0"/>
        <v>7652.0331699999997</v>
      </c>
      <c r="AB28" s="1222">
        <f t="shared" si="0"/>
        <v>2282.36958</v>
      </c>
      <c r="AC28" s="1222">
        <f t="shared" si="0"/>
        <v>13430.040130000001</v>
      </c>
      <c r="AD28" s="1222">
        <f t="shared" si="0"/>
        <v>5019.2088899999999</v>
      </c>
      <c r="AE28" s="1222">
        <f t="shared" si="0"/>
        <v>22268.663199999999</v>
      </c>
      <c r="AF28" s="1222">
        <f t="shared" si="0"/>
        <v>8073.4076299999997</v>
      </c>
      <c r="AG28" s="1222">
        <f t="shared" si="0"/>
        <v>27185.898350000003</v>
      </c>
      <c r="AH28" s="1222">
        <f t="shared" si="0"/>
        <v>10614.018690000001</v>
      </c>
      <c r="AI28" s="1222">
        <f t="shared" si="0"/>
        <v>32635.797490000004</v>
      </c>
      <c r="AJ28" s="1222">
        <f t="shared" si="0"/>
        <v>15285.227789999999</v>
      </c>
      <c r="AK28" s="1222">
        <f t="shared" si="0"/>
        <v>38722.034220000001</v>
      </c>
      <c r="AL28" s="1222">
        <f t="shared" si="0"/>
        <v>18748.56466</v>
      </c>
      <c r="AM28" s="1222">
        <f t="shared" si="0"/>
        <v>44807.316350000001</v>
      </c>
      <c r="AN28" s="1222">
        <f t="shared" si="0"/>
        <v>20021.3616</v>
      </c>
      <c r="AO28" s="1222">
        <f t="shared" si="0"/>
        <v>50002.445359999998</v>
      </c>
      <c r="AP28" s="1222">
        <f t="shared" si="0"/>
        <v>22750.758499999996</v>
      </c>
      <c r="AQ28" s="1222">
        <f t="shared" si="0"/>
        <v>58806.492910000001</v>
      </c>
      <c r="AR28" s="1222">
        <f t="shared" si="0"/>
        <v>24830.66966</v>
      </c>
      <c r="AS28" s="1222">
        <f t="shared" si="0"/>
        <v>76446.552479999998</v>
      </c>
      <c r="AT28" s="1222">
        <f t="shared" si="0"/>
        <v>26926.493719999999</v>
      </c>
      <c r="AU28" s="1222">
        <f t="shared" si="0"/>
        <v>81111.651989999998</v>
      </c>
      <c r="AV28" s="1222">
        <f t="shared" si="0"/>
        <v>29561.593429999997</v>
      </c>
      <c r="AW28" s="1222">
        <f t="shared" si="0"/>
        <v>86963.274120000002</v>
      </c>
      <c r="AX28" s="1222">
        <f t="shared" si="0"/>
        <v>32325.444509999998</v>
      </c>
      <c r="AY28" s="1222">
        <f t="shared" si="0"/>
        <v>4458.5800900000004</v>
      </c>
      <c r="AZ28" s="1222">
        <f t="shared" si="0"/>
        <v>2092.4676800000002</v>
      </c>
      <c r="BA28" s="1222">
        <f t="shared" si="0"/>
        <v>10145.917369999999</v>
      </c>
      <c r="BB28" s="1222">
        <f t="shared" si="0"/>
        <v>5009.6243599999998</v>
      </c>
      <c r="BC28" s="1222">
        <f t="shared" si="0"/>
        <v>13691.75</v>
      </c>
      <c r="BD28" s="1222">
        <f t="shared" si="0"/>
        <v>7566.5400000000009</v>
      </c>
      <c r="BE28" s="1222">
        <f t="shared" si="0"/>
        <v>44603.224470000001</v>
      </c>
      <c r="BF28" s="1222">
        <f t="shared" si="0"/>
        <v>10564.80142</v>
      </c>
      <c r="BG28" s="1222">
        <f t="shared" si="0"/>
        <v>48813.296690000003</v>
      </c>
      <c r="BH28" s="1222">
        <f t="shared" si="0"/>
        <v>13874.482960000001</v>
      </c>
      <c r="BI28" s="1222">
        <f t="shared" si="0"/>
        <v>53213.892890000003</v>
      </c>
      <c r="BJ28" s="1222">
        <f t="shared" si="0"/>
        <v>16028.824619999999</v>
      </c>
      <c r="BK28" s="1222">
        <f t="shared" si="0"/>
        <v>62373.982900000003</v>
      </c>
      <c r="BL28" s="1222">
        <f t="shared" si="0"/>
        <v>18876.766749999995</v>
      </c>
      <c r="BM28" s="1222">
        <f t="shared" si="0"/>
        <v>66611.430869999997</v>
      </c>
      <c r="BN28" s="1222">
        <f t="shared" si="0"/>
        <v>21435.253360000002</v>
      </c>
      <c r="BO28" s="1222">
        <f t="shared" si="0"/>
        <v>71509.044190000001</v>
      </c>
      <c r="BP28" s="1222">
        <f t="shared" ref="BP28:EA28" si="1">SUM(BP29:BP41)</f>
        <v>23920.693009999999</v>
      </c>
      <c r="BQ28" s="1222">
        <f t="shared" si="1"/>
        <v>76098.411070000002</v>
      </c>
      <c r="BR28" s="1222">
        <f t="shared" si="1"/>
        <v>26617.136850000003</v>
      </c>
      <c r="BS28" s="1222">
        <f t="shared" si="1"/>
        <v>80414.538949999987</v>
      </c>
      <c r="BT28" s="1222">
        <f t="shared" si="1"/>
        <v>29182.84246</v>
      </c>
      <c r="BU28" s="1222">
        <f t="shared" si="1"/>
        <v>84547.007870000001</v>
      </c>
      <c r="BV28" s="1222">
        <f t="shared" si="1"/>
        <v>31906.25891</v>
      </c>
      <c r="BW28" s="1222">
        <f t="shared" si="1"/>
        <v>3600.0485600000002</v>
      </c>
      <c r="BX28" s="1222">
        <f t="shared" si="1"/>
        <v>2263.4061099999999</v>
      </c>
      <c r="BY28" s="1222">
        <f t="shared" si="1"/>
        <v>6913.7807200000007</v>
      </c>
      <c r="BZ28" s="1222">
        <f t="shared" si="1"/>
        <v>4594.9964300000001</v>
      </c>
      <c r="CA28" s="1222">
        <f t="shared" si="1"/>
        <v>36177.390440000003</v>
      </c>
      <c r="CB28" s="1222">
        <f t="shared" si="1"/>
        <v>6586.3831500000006</v>
      </c>
      <c r="CC28" s="1222">
        <f t="shared" si="1"/>
        <v>39407.702530000002</v>
      </c>
      <c r="CD28" s="1222">
        <f t="shared" si="1"/>
        <v>9192.0504399999991</v>
      </c>
      <c r="CE28" s="1222">
        <f t="shared" si="1"/>
        <v>43016.697240000001</v>
      </c>
      <c r="CF28" s="1222">
        <f t="shared" si="1"/>
        <v>11464.881160000001</v>
      </c>
      <c r="CG28" s="1222">
        <f t="shared" si="1"/>
        <v>46922.886079999997</v>
      </c>
      <c r="CH28" s="1222">
        <f t="shared" si="1"/>
        <v>13343.186030000001</v>
      </c>
      <c r="CI28" s="1222">
        <f t="shared" si="1"/>
        <v>53265.659890000003</v>
      </c>
      <c r="CJ28" s="1222">
        <f t="shared" si="1"/>
        <v>16734.118030000001</v>
      </c>
      <c r="CK28" s="1222">
        <f t="shared" si="1"/>
        <v>56952.529520000004</v>
      </c>
      <c r="CL28" s="1222">
        <f t="shared" si="1"/>
        <v>19146.367079999996</v>
      </c>
      <c r="CM28" s="1222">
        <f t="shared" si="1"/>
        <v>61618.663959999998</v>
      </c>
      <c r="CN28" s="1222">
        <f t="shared" si="1"/>
        <v>21600.035039999999</v>
      </c>
      <c r="CO28" s="1222">
        <f t="shared" si="1"/>
        <v>65136.243549999999</v>
      </c>
      <c r="CP28" s="1222">
        <f t="shared" si="1"/>
        <v>24595.726020000002</v>
      </c>
      <c r="CQ28" s="1222">
        <f t="shared" si="1"/>
        <v>69830.609760000007</v>
      </c>
      <c r="CR28" s="1222">
        <f t="shared" si="1"/>
        <v>27378.969420000001</v>
      </c>
      <c r="CS28" s="1222">
        <f t="shared" si="1"/>
        <v>77055.992180000001</v>
      </c>
      <c r="CT28" s="1222">
        <f t="shared" si="1"/>
        <v>30609.602310000002</v>
      </c>
      <c r="CU28" s="1222">
        <f t="shared" si="1"/>
        <v>5433.6460999999999</v>
      </c>
      <c r="CV28" s="1222">
        <f t="shared" si="1"/>
        <v>2594.8429399999995</v>
      </c>
      <c r="CW28" s="1222">
        <f t="shared" si="1"/>
        <v>39991.96759</v>
      </c>
      <c r="CX28" s="1222">
        <f t="shared" si="1"/>
        <v>5679.0203999999994</v>
      </c>
      <c r="CY28" s="1222">
        <f t="shared" si="1"/>
        <v>43264.787850000001</v>
      </c>
      <c r="CZ28" s="1222">
        <f t="shared" si="1"/>
        <v>7467.14689</v>
      </c>
      <c r="DA28" s="1222">
        <f t="shared" si="1"/>
        <v>46439.968550000005</v>
      </c>
      <c r="DB28" s="1222">
        <f t="shared" si="1"/>
        <v>9736.8302399999993</v>
      </c>
      <c r="DC28" s="1222">
        <f t="shared" si="1"/>
        <v>50221.889219999997</v>
      </c>
      <c r="DD28" s="1222">
        <f t="shared" si="1"/>
        <v>11085.200979999998</v>
      </c>
      <c r="DE28" s="1222">
        <f t="shared" si="1"/>
        <v>52716.295270000002</v>
      </c>
      <c r="DF28" s="1222">
        <f t="shared" si="1"/>
        <v>12776.89683</v>
      </c>
      <c r="DG28" s="1222">
        <f t="shared" si="1"/>
        <v>55553.904739999998</v>
      </c>
      <c r="DH28" s="1222">
        <f t="shared" si="1"/>
        <v>14673.294449999998</v>
      </c>
      <c r="DI28" s="1222">
        <f t="shared" si="1"/>
        <v>58442.354310000002</v>
      </c>
      <c r="DJ28" s="1222">
        <f t="shared" si="1"/>
        <v>16285.03873</v>
      </c>
      <c r="DK28" s="1222">
        <f t="shared" si="1"/>
        <v>61710.162619999996</v>
      </c>
      <c r="DL28" s="1222">
        <f t="shared" si="1"/>
        <v>18520.302080000001</v>
      </c>
      <c r="DM28" s="1222">
        <f t="shared" si="1"/>
        <v>64788.364719999998</v>
      </c>
      <c r="DN28" s="1222">
        <f t="shared" si="1"/>
        <v>20280.00071</v>
      </c>
      <c r="DO28" s="1222">
        <f t="shared" si="1"/>
        <v>67379.198479999992</v>
      </c>
      <c r="DP28" s="1222">
        <f t="shared" si="1"/>
        <v>23881.419739999998</v>
      </c>
      <c r="DQ28" s="1222">
        <f t="shared" si="1"/>
        <v>70207.703099999999</v>
      </c>
      <c r="DR28" s="1222">
        <f t="shared" si="1"/>
        <v>42701.710359999997</v>
      </c>
      <c r="DS28" s="1222">
        <f t="shared" si="1"/>
        <v>3743.0484099999999</v>
      </c>
      <c r="DT28" s="1222">
        <f t="shared" si="1"/>
        <v>15865.10094</v>
      </c>
      <c r="DU28" s="1222">
        <f t="shared" si="1"/>
        <v>7848.7265699999998</v>
      </c>
      <c r="DV28" s="1222">
        <f t="shared" si="1"/>
        <v>25055.890979999996</v>
      </c>
      <c r="DW28" s="1222">
        <f t="shared" si="1"/>
        <v>41781.39673</v>
      </c>
      <c r="DX28" s="1222">
        <f t="shared" si="1"/>
        <v>29225.565910000001</v>
      </c>
      <c r="DY28" s="1222">
        <f t="shared" si="1"/>
        <v>45092.050470000002</v>
      </c>
      <c r="DZ28" s="1222">
        <f t="shared" si="1"/>
        <v>33643.3505</v>
      </c>
      <c r="EA28" s="1222">
        <f t="shared" si="1"/>
        <v>48980.908799999997</v>
      </c>
      <c r="EB28" s="1222">
        <f t="shared" ref="EB28:GM28" si="2">SUM(EB29:EB41)</f>
        <v>36410.902199999997</v>
      </c>
      <c r="EC28" s="1222">
        <f t="shared" si="2"/>
        <v>53273.387239999996</v>
      </c>
      <c r="ED28" s="1222">
        <f t="shared" si="2"/>
        <v>39809.40423</v>
      </c>
      <c r="EE28" s="1222">
        <f t="shared" si="2"/>
        <v>57616.426789999998</v>
      </c>
      <c r="EF28" s="1222">
        <f t="shared" si="2"/>
        <v>43740.644789999998</v>
      </c>
      <c r="EG28" s="1222">
        <f t="shared" si="2"/>
        <v>61722.354359999998</v>
      </c>
      <c r="EH28" s="1222">
        <f t="shared" si="2"/>
        <v>47906.644130000001</v>
      </c>
      <c r="EI28" s="1222">
        <f t="shared" si="2"/>
        <v>65097.460800000001</v>
      </c>
      <c r="EJ28" s="1222">
        <f t="shared" si="2"/>
        <v>53012.764770000002</v>
      </c>
      <c r="EK28" s="1222">
        <f t="shared" si="2"/>
        <v>68256.034110000008</v>
      </c>
      <c r="EL28" s="1222">
        <f t="shared" si="2"/>
        <v>56978.113940000003</v>
      </c>
      <c r="EM28" s="1222">
        <f t="shared" si="2"/>
        <v>71183.004199999996</v>
      </c>
      <c r="EN28" s="1222">
        <f t="shared" si="2"/>
        <v>61488.671969999996</v>
      </c>
      <c r="EO28" s="1222">
        <f t="shared" si="2"/>
        <v>71114.24801000001</v>
      </c>
      <c r="EP28" s="1222">
        <f t="shared" si="2"/>
        <v>65592.360509999999</v>
      </c>
      <c r="EQ28" s="1222">
        <f t="shared" si="2"/>
        <v>1836.2172</v>
      </c>
      <c r="ER28" s="1222">
        <f t="shared" si="2"/>
        <v>2554.63789</v>
      </c>
      <c r="ES28" s="1222">
        <f t="shared" si="2"/>
        <v>3739.6578100000002</v>
      </c>
      <c r="ET28" s="1222">
        <f t="shared" si="2"/>
        <v>4955.8198499999999</v>
      </c>
      <c r="EU28" s="1222">
        <f t="shared" si="2"/>
        <v>5609.1416399999998</v>
      </c>
      <c r="EV28" s="1222">
        <f t="shared" si="2"/>
        <v>8061.0262699999994</v>
      </c>
      <c r="EW28" s="1222">
        <f t="shared" si="2"/>
        <v>7804.0027100000007</v>
      </c>
      <c r="EX28" s="1222">
        <f t="shared" si="2"/>
        <v>10853.60793</v>
      </c>
      <c r="EY28" s="1222">
        <f t="shared" si="2"/>
        <v>10292.840909999999</v>
      </c>
      <c r="EZ28" s="1222">
        <f t="shared" si="2"/>
        <v>13305.193209999999</v>
      </c>
      <c r="FA28" s="1222">
        <f t="shared" si="2"/>
        <v>12065.390340000002</v>
      </c>
      <c r="FB28" s="1222">
        <f t="shared" si="2"/>
        <v>13994.90417</v>
      </c>
      <c r="FC28" s="1222">
        <f t="shared" si="2"/>
        <v>15735.0867</v>
      </c>
      <c r="FD28" s="1222">
        <f t="shared" si="2"/>
        <v>17901.025229999999</v>
      </c>
      <c r="FE28" s="1222">
        <f t="shared" si="2"/>
        <v>21887.690119999999</v>
      </c>
      <c r="FF28" s="1222">
        <f t="shared" si="2"/>
        <v>22121.665710000001</v>
      </c>
      <c r="FG28" s="1222">
        <f t="shared" si="2"/>
        <v>25466.337959999997</v>
      </c>
      <c r="FH28" s="1222">
        <f t="shared" si="2"/>
        <v>23886.448649999998</v>
      </c>
      <c r="FI28" s="1222">
        <f t="shared" si="2"/>
        <v>29153.701219999999</v>
      </c>
      <c r="FJ28" s="1222">
        <f t="shared" si="2"/>
        <v>25349.156309999998</v>
      </c>
      <c r="FK28" s="1222">
        <f t="shared" si="2"/>
        <v>33046.830130000002</v>
      </c>
      <c r="FL28" s="1222">
        <f t="shared" si="2"/>
        <v>27008.177510000001</v>
      </c>
      <c r="FM28" s="1222">
        <f t="shared" si="2"/>
        <v>3458.91777</v>
      </c>
      <c r="FN28" s="1222">
        <f t="shared" si="2"/>
        <v>1507.3473800000002</v>
      </c>
      <c r="FO28" s="1222">
        <f t="shared" si="2"/>
        <v>7004.5247799999997</v>
      </c>
      <c r="FP28" s="1222">
        <f t="shared" si="2"/>
        <v>3490.5833499999999</v>
      </c>
      <c r="FQ28" s="1222">
        <f t="shared" si="2"/>
        <v>11627.912199999999</v>
      </c>
      <c r="FR28" s="1222">
        <f t="shared" si="2"/>
        <v>5047.0546599999998</v>
      </c>
      <c r="FS28" s="1222">
        <f t="shared" si="2"/>
        <v>15723.57474</v>
      </c>
      <c r="FT28" s="1222">
        <f t="shared" si="2"/>
        <v>7025.1564700000008</v>
      </c>
      <c r="FU28" s="1222">
        <f t="shared" si="2"/>
        <v>20128.753239999998</v>
      </c>
      <c r="FV28" s="1222">
        <f t="shared" si="2"/>
        <v>9101.5114300000005</v>
      </c>
      <c r="FW28" s="1222">
        <f t="shared" si="2"/>
        <v>23734.226419999999</v>
      </c>
      <c r="FX28" s="1222">
        <f t="shared" si="2"/>
        <v>10916.399089999999</v>
      </c>
      <c r="FY28" s="1222">
        <f t="shared" si="2"/>
        <v>27857.953309999997</v>
      </c>
      <c r="FZ28" s="1222">
        <f t="shared" si="2"/>
        <v>12769.958140000001</v>
      </c>
      <c r="GA28" s="1222">
        <f t="shared" si="2"/>
        <v>31945.94138</v>
      </c>
      <c r="GB28" s="1222">
        <f t="shared" si="2"/>
        <v>14906.21515</v>
      </c>
      <c r="GC28" s="1222">
        <f t="shared" si="2"/>
        <v>35883.985740000004</v>
      </c>
      <c r="GD28" s="1222">
        <f t="shared" si="2"/>
        <v>16870.700339999999</v>
      </c>
      <c r="GE28" s="1222">
        <f t="shared" si="2"/>
        <v>39847.310530000002</v>
      </c>
      <c r="GF28" s="1222">
        <f t="shared" si="2"/>
        <v>19640.919450000001</v>
      </c>
      <c r="GG28" s="1222">
        <f t="shared" si="2"/>
        <v>40314.80287</v>
      </c>
      <c r="GH28" s="1222">
        <f t="shared" si="2"/>
        <v>21944.692480000002</v>
      </c>
      <c r="GI28" s="1222">
        <f t="shared" si="2"/>
        <v>40633.290219999995</v>
      </c>
      <c r="GJ28" s="1222">
        <f t="shared" si="2"/>
        <v>24131.731610000003</v>
      </c>
      <c r="GK28" s="1222">
        <f t="shared" si="2"/>
        <v>260.13344000000001</v>
      </c>
      <c r="GL28" s="1222">
        <f t="shared" si="2"/>
        <v>2060.52675</v>
      </c>
      <c r="GM28" s="1222">
        <f t="shared" si="2"/>
        <v>568.74527</v>
      </c>
      <c r="GN28" s="1222">
        <f t="shared" ref="GN28:HJ28" si="3">SUM(GN29:GN41)</f>
        <v>4156.2611400000005</v>
      </c>
      <c r="GO28" s="1222">
        <f t="shared" si="3"/>
        <v>804.70215000000007</v>
      </c>
      <c r="GP28" s="1222">
        <f t="shared" si="3"/>
        <v>6060.7680899999996</v>
      </c>
      <c r="GQ28" s="1222">
        <f t="shared" si="3"/>
        <v>1088.5772199999999</v>
      </c>
      <c r="GR28" s="1222">
        <f t="shared" si="3"/>
        <v>8572.0696400000015</v>
      </c>
      <c r="GS28" s="1222">
        <f t="shared" si="3"/>
        <v>1268.04494</v>
      </c>
      <c r="GT28" s="1222">
        <f t="shared" si="3"/>
        <v>10589.20326</v>
      </c>
      <c r="GU28" s="1222">
        <f t="shared" si="3"/>
        <v>1355.53305</v>
      </c>
      <c r="GV28" s="1222">
        <f t="shared" si="3"/>
        <v>11327.10808</v>
      </c>
      <c r="GW28" s="1222">
        <f t="shared" si="3"/>
        <v>1435.0383099999999</v>
      </c>
      <c r="GX28" s="1222">
        <f t="shared" si="3"/>
        <v>12446.096880000001</v>
      </c>
      <c r="GY28" s="1222">
        <f t="shared" si="3"/>
        <v>1485.8704499999999</v>
      </c>
      <c r="GZ28" s="1222">
        <f t="shared" si="3"/>
        <v>13542.340680000001</v>
      </c>
      <c r="HA28" s="1222">
        <f t="shared" si="3"/>
        <v>1514.5818099999999</v>
      </c>
      <c r="HB28" s="1222">
        <f t="shared" si="3"/>
        <v>15159.03544</v>
      </c>
      <c r="HC28" s="1222">
        <f t="shared" si="3"/>
        <v>1523.9342099999999</v>
      </c>
      <c r="HD28" s="1222">
        <f t="shared" si="3"/>
        <v>16081.68687</v>
      </c>
      <c r="HE28" s="1222">
        <f t="shared" si="3"/>
        <v>1537.81357</v>
      </c>
      <c r="HF28" s="1222">
        <f t="shared" si="3"/>
        <v>16938.56612</v>
      </c>
      <c r="HG28" s="1222">
        <f t="shared" si="3"/>
        <v>1537.81357</v>
      </c>
      <c r="HH28" s="1222">
        <f t="shared" si="3"/>
        <v>17686.97766</v>
      </c>
      <c r="HI28" s="1222">
        <f t="shared" si="3"/>
        <v>0</v>
      </c>
      <c r="HJ28" s="1222">
        <f t="shared" si="3"/>
        <v>0</v>
      </c>
      <c r="HK28" s="1222">
        <v>0</v>
      </c>
      <c r="HL28" s="1222">
        <v>0</v>
      </c>
      <c r="HM28" s="1222">
        <v>0</v>
      </c>
      <c r="HN28" s="1222">
        <v>0</v>
      </c>
      <c r="HO28" s="1222">
        <v>0</v>
      </c>
      <c r="HP28" s="1222">
        <v>0</v>
      </c>
      <c r="HQ28" s="1222">
        <v>0</v>
      </c>
      <c r="HR28" s="1222">
        <v>0</v>
      </c>
      <c r="HS28" s="1959" t="s">
        <v>3179</v>
      </c>
    </row>
    <row r="29" spans="1:227" ht="50.25" hidden="1" customHeight="1">
      <c r="A29" s="1836">
        <v>17</v>
      </c>
      <c r="B29" s="1984" t="s">
        <v>2353</v>
      </c>
      <c r="C29" s="1221">
        <v>3.0487100000000003</v>
      </c>
      <c r="D29" s="1221">
        <v>1.0129999999999999</v>
      </c>
      <c r="E29" s="1221">
        <v>6.33134</v>
      </c>
      <c r="F29" s="1221">
        <v>3.5630000000000002</v>
      </c>
      <c r="G29" s="1221">
        <v>9.8387799999999999</v>
      </c>
      <c r="H29" s="1221">
        <v>8.0772200000000005</v>
      </c>
      <c r="I29" s="1221">
        <v>11.19323</v>
      </c>
      <c r="J29" s="1221">
        <v>11.727219999999999</v>
      </c>
      <c r="K29" s="1221">
        <v>21.486969999999999</v>
      </c>
      <c r="L29" s="1221">
        <v>45.876260000000002</v>
      </c>
      <c r="M29" s="1221">
        <v>44.551679999999998</v>
      </c>
      <c r="N29" s="1221">
        <v>63.088279999999997</v>
      </c>
      <c r="O29" s="1221">
        <v>47.006839999999997</v>
      </c>
      <c r="P29" s="1221">
        <v>76.34254</v>
      </c>
      <c r="Q29" s="1221">
        <v>49.27608</v>
      </c>
      <c r="R29" s="1221">
        <v>124.65864000000001</v>
      </c>
      <c r="S29" s="1221">
        <v>49.560989999999997</v>
      </c>
      <c r="T29" s="1221">
        <v>126.74974</v>
      </c>
      <c r="U29" s="1221">
        <v>54.335209999999996</v>
      </c>
      <c r="V29" s="1221">
        <v>165.59767000000002</v>
      </c>
      <c r="W29" s="1221">
        <v>56.269440000000003</v>
      </c>
      <c r="X29" s="1221">
        <v>180.18667000000002</v>
      </c>
      <c r="Y29" s="1221">
        <v>62.553510000000003</v>
      </c>
      <c r="Z29" s="1221">
        <v>191.91323</v>
      </c>
      <c r="AA29" s="1221">
        <v>5.88131</v>
      </c>
      <c r="AB29" s="1221">
        <v>0</v>
      </c>
      <c r="AC29" s="1221">
        <v>7.80931</v>
      </c>
      <c r="AD29" s="1221">
        <v>4.0999999999999996</v>
      </c>
      <c r="AE29" s="1221">
        <v>8.1026100000000003</v>
      </c>
      <c r="AF29" s="1221">
        <v>15.345000000000001</v>
      </c>
      <c r="AG29" s="1221">
        <v>9.2341200000000008</v>
      </c>
      <c r="AH29" s="1221">
        <v>25.94116</v>
      </c>
      <c r="AI29" s="1221">
        <v>9.28965</v>
      </c>
      <c r="AJ29" s="1221">
        <v>35.649160000000002</v>
      </c>
      <c r="AK29" s="1221">
        <v>12.61617</v>
      </c>
      <c r="AL29" s="1221">
        <v>42.10416</v>
      </c>
      <c r="AM29" s="1221">
        <v>13.32268</v>
      </c>
      <c r="AN29" s="1221">
        <v>50.156160000000007</v>
      </c>
      <c r="AO29" s="1221">
        <v>13.350670000000001</v>
      </c>
      <c r="AP29" s="1221">
        <v>55.721160000000005</v>
      </c>
      <c r="AQ29" s="1221">
        <v>15.8011</v>
      </c>
      <c r="AR29" s="1221">
        <v>58.384160000000001</v>
      </c>
      <c r="AS29" s="1221">
        <v>15.982250000000001</v>
      </c>
      <c r="AT29" s="1221">
        <v>58.384160000000001</v>
      </c>
      <c r="AU29" s="1221">
        <v>16.132249999999999</v>
      </c>
      <c r="AV29" s="1221">
        <v>59.884160000000001</v>
      </c>
      <c r="AW29" s="1221">
        <v>21.548449999999999</v>
      </c>
      <c r="AX29" s="1221">
        <v>72.446160000000006</v>
      </c>
      <c r="AY29" s="1221">
        <v>4.7339099999999998</v>
      </c>
      <c r="AZ29" s="1221">
        <v>3.9485300000000003</v>
      </c>
      <c r="BA29" s="1221">
        <v>11.249540000000001</v>
      </c>
      <c r="BB29" s="1221">
        <v>9.3355300000000003</v>
      </c>
      <c r="BC29" s="1221">
        <v>30.93</v>
      </c>
      <c r="BD29" s="1221">
        <v>9.34</v>
      </c>
      <c r="BE29" s="1221">
        <v>77.822649999999996</v>
      </c>
      <c r="BF29" s="1221">
        <v>17.709529999999997</v>
      </c>
      <c r="BG29" s="1221">
        <v>102.83721000000001</v>
      </c>
      <c r="BH29" s="1221">
        <v>22.356529999999999</v>
      </c>
      <c r="BI29" s="1221">
        <v>145.90029000000001</v>
      </c>
      <c r="BJ29" s="1221">
        <v>27.16253</v>
      </c>
      <c r="BK29" s="1221">
        <v>228.43657000000002</v>
      </c>
      <c r="BL29" s="1221">
        <v>28.840529999999998</v>
      </c>
      <c r="BM29" s="1221">
        <v>314.45161999999999</v>
      </c>
      <c r="BN29" s="1221">
        <v>38.44753</v>
      </c>
      <c r="BO29" s="1221">
        <v>395.32537000000002</v>
      </c>
      <c r="BP29" s="1221">
        <v>51.472529999999999</v>
      </c>
      <c r="BQ29" s="1221">
        <v>508.97315999999995</v>
      </c>
      <c r="BR29" s="1221">
        <v>62.187529999999995</v>
      </c>
      <c r="BS29" s="1221">
        <v>585.47080000000005</v>
      </c>
      <c r="BT29" s="1221">
        <v>83.408529999999999</v>
      </c>
      <c r="BU29" s="1221">
        <v>743.65124000000003</v>
      </c>
      <c r="BV29" s="1221">
        <v>103.54217999999999</v>
      </c>
      <c r="BW29" s="1221">
        <v>38.10615</v>
      </c>
      <c r="BX29" s="1221">
        <v>19.638999999999999</v>
      </c>
      <c r="BY29" s="1221">
        <v>60.62435</v>
      </c>
      <c r="BZ29" s="1221">
        <v>38.268830000000001</v>
      </c>
      <c r="CA29" s="1221">
        <v>90.548469999999995</v>
      </c>
      <c r="CB29" s="1221">
        <v>55.04683</v>
      </c>
      <c r="CC29" s="1221">
        <v>137.49347</v>
      </c>
      <c r="CD29" s="1221">
        <v>62.022829999999999</v>
      </c>
      <c r="CE29" s="1221">
        <v>227.21156999999999</v>
      </c>
      <c r="CF29" s="1221">
        <v>80.830830000000006</v>
      </c>
      <c r="CG29" s="1221">
        <v>289.52570000000003</v>
      </c>
      <c r="CH29" s="1221">
        <v>101.51924000000001</v>
      </c>
      <c r="CI29" s="1221">
        <v>336.4982</v>
      </c>
      <c r="CJ29" s="1221">
        <v>123.56796</v>
      </c>
      <c r="CK29" s="1221">
        <v>352.43128000000002</v>
      </c>
      <c r="CL29" s="1221">
        <v>138.86395999999999</v>
      </c>
      <c r="CM29" s="1221">
        <v>373.3954</v>
      </c>
      <c r="CN29" s="1221">
        <v>161.04195999999999</v>
      </c>
      <c r="CO29" s="1221">
        <v>397.85384000000005</v>
      </c>
      <c r="CP29" s="1221">
        <v>173.51976999999999</v>
      </c>
      <c r="CQ29" s="1221">
        <v>474.94839000000002</v>
      </c>
      <c r="CR29" s="1221">
        <v>176.45114999999998</v>
      </c>
      <c r="CS29" s="1221">
        <v>861.18448999999998</v>
      </c>
      <c r="CT29" s="1221">
        <v>201.91332999999997</v>
      </c>
      <c r="CU29" s="1221">
        <v>223.44798</v>
      </c>
      <c r="CV29" s="1221">
        <v>47.495800000000003</v>
      </c>
      <c r="CW29" s="1221">
        <v>529.04084</v>
      </c>
      <c r="CX29" s="1221">
        <v>117.06689999999999</v>
      </c>
      <c r="CY29" s="1221">
        <v>722.01144999999997</v>
      </c>
      <c r="CZ29" s="1221">
        <v>172.77051999999998</v>
      </c>
      <c r="DA29" s="1221">
        <v>760.99437</v>
      </c>
      <c r="DB29" s="1221">
        <v>221.94055</v>
      </c>
      <c r="DC29" s="1221">
        <v>1072.4381699999999</v>
      </c>
      <c r="DD29" s="1221">
        <v>325.04586</v>
      </c>
      <c r="DE29" s="1221">
        <v>1169.57717</v>
      </c>
      <c r="DF29" s="1221">
        <v>400.96957000000003</v>
      </c>
      <c r="DG29" s="1221">
        <v>1384.9488999999999</v>
      </c>
      <c r="DH29" s="1221">
        <v>474.90357</v>
      </c>
      <c r="DI29" s="1221">
        <v>1660.1088999999999</v>
      </c>
      <c r="DJ29" s="1221">
        <v>554.84455000000003</v>
      </c>
      <c r="DK29" s="1221">
        <v>1880.9815000000001</v>
      </c>
      <c r="DL29" s="1221">
        <v>674.2165</v>
      </c>
      <c r="DM29" s="1221">
        <v>1981.6588999999999</v>
      </c>
      <c r="DN29" s="1221">
        <v>749.40264000000002</v>
      </c>
      <c r="DO29" s="1221">
        <v>1981.6588999999999</v>
      </c>
      <c r="DP29" s="1221">
        <v>808.50090999999998</v>
      </c>
      <c r="DQ29" s="1221">
        <v>1981.6588999999999</v>
      </c>
      <c r="DR29" s="1221">
        <v>876.84315000000004</v>
      </c>
      <c r="DS29" s="1221">
        <v>0</v>
      </c>
      <c r="DT29" s="1221">
        <v>0</v>
      </c>
      <c r="DU29" s="1221">
        <v>0</v>
      </c>
      <c r="DV29" s="1221">
        <v>0</v>
      </c>
      <c r="DW29" s="1221">
        <v>0</v>
      </c>
      <c r="DX29" s="1221">
        <v>0</v>
      </c>
      <c r="DY29" s="1221">
        <v>0</v>
      </c>
      <c r="DZ29" s="1221">
        <v>0</v>
      </c>
      <c r="EA29" s="1221">
        <v>0</v>
      </c>
      <c r="EB29" s="1221">
        <v>0</v>
      </c>
      <c r="EC29" s="1221">
        <v>0</v>
      </c>
      <c r="ED29" s="1221">
        <v>0</v>
      </c>
      <c r="EE29" s="1221">
        <v>0</v>
      </c>
      <c r="EF29" s="1221">
        <v>0</v>
      </c>
      <c r="EG29" s="1221">
        <v>0</v>
      </c>
      <c r="EH29" s="1221">
        <v>0</v>
      </c>
      <c r="EI29" s="1221">
        <v>0</v>
      </c>
      <c r="EJ29" s="1221">
        <v>0</v>
      </c>
      <c r="EK29" s="1221"/>
      <c r="EL29" s="1221"/>
      <c r="EM29" s="1221"/>
      <c r="EN29" s="1221"/>
      <c r="EO29" s="1221"/>
      <c r="EP29" s="1221"/>
      <c r="EQ29" s="1221"/>
      <c r="ER29" s="1221"/>
      <c r="ES29" s="1221">
        <v>0</v>
      </c>
      <c r="ET29" s="1221">
        <v>0</v>
      </c>
      <c r="EU29" s="1221">
        <v>0</v>
      </c>
      <c r="EV29" s="1221">
        <v>0</v>
      </c>
      <c r="EW29" s="1221">
        <v>0</v>
      </c>
      <c r="EX29" s="1221">
        <v>0</v>
      </c>
      <c r="EY29" s="1221">
        <v>0</v>
      </c>
      <c r="EZ29" s="1221">
        <v>0</v>
      </c>
      <c r="FA29" s="1221">
        <v>0</v>
      </c>
      <c r="FB29" s="1221">
        <v>0</v>
      </c>
      <c r="FC29" s="1221">
        <v>0</v>
      </c>
      <c r="FD29" s="1221">
        <v>0</v>
      </c>
      <c r="FE29" s="1221">
        <v>0</v>
      </c>
      <c r="FF29" s="1221">
        <v>0</v>
      </c>
      <c r="FG29" s="1221"/>
      <c r="FH29" s="1221"/>
      <c r="FI29" s="1221"/>
      <c r="FJ29" s="1221"/>
      <c r="FK29" s="1221"/>
      <c r="FL29" s="1221"/>
      <c r="FM29" s="1221"/>
      <c r="FN29" s="1221"/>
      <c r="FO29" s="1221"/>
      <c r="FP29" s="1221"/>
      <c r="FQ29" s="1221"/>
      <c r="FR29" s="1221"/>
      <c r="FS29" s="1221"/>
      <c r="FT29" s="1221"/>
      <c r="FU29" s="1221"/>
      <c r="FV29" s="1221"/>
      <c r="FW29" s="1221"/>
      <c r="FX29" s="1221"/>
      <c r="FY29" s="1221"/>
      <c r="FZ29" s="1221"/>
      <c r="GA29" s="1221"/>
      <c r="GB29" s="1221"/>
      <c r="GC29" s="1221"/>
      <c r="GD29" s="1221"/>
      <c r="GE29" s="1221"/>
      <c r="GF29" s="1221"/>
      <c r="GG29" s="1221"/>
      <c r="GH29" s="1221"/>
      <c r="GI29" s="1221"/>
      <c r="GJ29" s="1221"/>
      <c r="GK29" s="1221"/>
      <c r="GL29" s="1221"/>
      <c r="GM29" s="1221"/>
      <c r="GN29" s="1221"/>
      <c r="GO29" s="1221"/>
      <c r="GP29" s="1221"/>
      <c r="GQ29" s="1221"/>
      <c r="GR29" s="1221"/>
      <c r="GS29" s="1221"/>
      <c r="GT29" s="1221"/>
      <c r="GU29" s="1221"/>
      <c r="GV29" s="1221"/>
      <c r="GW29" s="1221"/>
      <c r="GX29" s="1221"/>
      <c r="GY29" s="1221"/>
      <c r="GZ29" s="1221"/>
      <c r="HA29" s="1221"/>
      <c r="HB29" s="1221"/>
      <c r="HC29" s="1221"/>
      <c r="HD29" s="1221"/>
      <c r="HE29" s="1221"/>
      <c r="HF29" s="1221"/>
      <c r="HG29" s="1221"/>
      <c r="HH29" s="1221"/>
      <c r="HI29" s="1221"/>
      <c r="HJ29" s="1221"/>
      <c r="HK29" s="1221"/>
      <c r="HL29" s="1221"/>
      <c r="HM29" s="1221"/>
      <c r="HN29" s="1221"/>
      <c r="HO29" s="1221"/>
      <c r="HP29" s="1221"/>
      <c r="HQ29" s="1221"/>
      <c r="HR29" s="1221"/>
      <c r="HS29" s="1984" t="s">
        <v>3180</v>
      </c>
    </row>
    <row r="30" spans="1:227" ht="50.25" hidden="1" customHeight="1">
      <c r="A30" s="1836">
        <v>18</v>
      </c>
      <c r="B30" s="1984" t="s">
        <v>2348</v>
      </c>
      <c r="C30" s="1221">
        <v>2610.3433999999997</v>
      </c>
      <c r="D30" s="1221">
        <v>663.91193999999996</v>
      </c>
      <c r="E30" s="1221">
        <v>4213.6011799999997</v>
      </c>
      <c r="F30" s="1221">
        <v>1388.3768700000001</v>
      </c>
      <c r="G30" s="1221">
        <v>6289.2639300000001</v>
      </c>
      <c r="H30" s="1221">
        <v>2028.2899299999999</v>
      </c>
      <c r="I30" s="1221">
        <v>8087.8239899999999</v>
      </c>
      <c r="J30" s="1221">
        <v>2827.0288500000001</v>
      </c>
      <c r="K30" s="1221">
        <v>9862.6862799999999</v>
      </c>
      <c r="L30" s="1221">
        <v>3511.5271400000001</v>
      </c>
      <c r="M30" s="1221">
        <v>11390.966109999999</v>
      </c>
      <c r="N30" s="1221">
        <v>4195.5808899999993</v>
      </c>
      <c r="O30" s="1221">
        <v>12902.401609999999</v>
      </c>
      <c r="P30" s="1221">
        <v>5037.5690800000002</v>
      </c>
      <c r="Q30" s="1221">
        <v>14958.147050000001</v>
      </c>
      <c r="R30" s="1221">
        <v>5842.9366600000003</v>
      </c>
      <c r="S30" s="1221">
        <v>17276.469969999998</v>
      </c>
      <c r="T30" s="1221">
        <v>6760.7666600000002</v>
      </c>
      <c r="U30" s="1221">
        <v>18553.586460000002</v>
      </c>
      <c r="V30" s="1221">
        <v>7676.4734200000003</v>
      </c>
      <c r="W30" s="1221">
        <v>20619.976839999999</v>
      </c>
      <c r="X30" s="1221">
        <v>8634.9602500000001</v>
      </c>
      <c r="Y30" s="1221">
        <v>21968.752</v>
      </c>
      <c r="Z30" s="1221">
        <v>9789.5144899999996</v>
      </c>
      <c r="AA30" s="1221">
        <v>2817.3959399999999</v>
      </c>
      <c r="AB30" s="1221">
        <v>800.09026000000006</v>
      </c>
      <c r="AC30" s="1221">
        <v>4548.9488200000005</v>
      </c>
      <c r="AD30" s="1221">
        <v>1688.1514299999999</v>
      </c>
      <c r="AE30" s="1221">
        <v>6374.26703</v>
      </c>
      <c r="AF30" s="1221">
        <v>2627.1579500000003</v>
      </c>
      <c r="AG30" s="1221">
        <v>8020.4772400000002</v>
      </c>
      <c r="AH30" s="1221">
        <v>3273.9152200000003</v>
      </c>
      <c r="AI30" s="1221">
        <v>9645.7889800000012</v>
      </c>
      <c r="AJ30" s="1221">
        <v>5928.3252999999995</v>
      </c>
      <c r="AK30" s="1221">
        <v>11571.416949999999</v>
      </c>
      <c r="AL30" s="1221">
        <v>6782.4306999999999</v>
      </c>
      <c r="AM30" s="1221">
        <v>13770.065060000001</v>
      </c>
      <c r="AN30" s="1221">
        <v>7617.9925400000002</v>
      </c>
      <c r="AO30" s="1221">
        <v>15674.74294</v>
      </c>
      <c r="AP30" s="1221">
        <v>8614.1502400000008</v>
      </c>
      <c r="AQ30" s="1221">
        <v>17139.255499999999</v>
      </c>
      <c r="AR30" s="1221">
        <v>9421.8351999999995</v>
      </c>
      <c r="AS30" s="1221">
        <v>19201.683649999999</v>
      </c>
      <c r="AT30" s="1221">
        <v>10492.17956</v>
      </c>
      <c r="AU30" s="1221">
        <v>20739.753809999998</v>
      </c>
      <c r="AV30" s="1221">
        <v>11437.74395</v>
      </c>
      <c r="AW30" s="1221">
        <v>22285.599839999999</v>
      </c>
      <c r="AX30" s="1221">
        <v>12333.516539999999</v>
      </c>
      <c r="AY30" s="1221">
        <v>2820.3998500000002</v>
      </c>
      <c r="AZ30" s="1221">
        <v>865.51988000000006</v>
      </c>
      <c r="BA30" s="1221">
        <v>4201.0174299999999</v>
      </c>
      <c r="BB30" s="1221">
        <v>1737.35564</v>
      </c>
      <c r="BC30" s="1221">
        <v>5474.67</v>
      </c>
      <c r="BD30" s="1221">
        <v>2447.9</v>
      </c>
      <c r="BE30" s="1221">
        <v>6876.9059699999998</v>
      </c>
      <c r="BF30" s="1221">
        <v>3195.4832799999999</v>
      </c>
      <c r="BG30" s="1221">
        <v>8228.3628499999995</v>
      </c>
      <c r="BH30" s="1221">
        <v>4065.3136300000001</v>
      </c>
      <c r="BI30" s="1221">
        <v>9654.8206399999999</v>
      </c>
      <c r="BJ30" s="1221">
        <v>4689.4247300000006</v>
      </c>
      <c r="BK30" s="1221">
        <v>11412.932929999999</v>
      </c>
      <c r="BL30" s="1221">
        <v>5571.2129999999997</v>
      </c>
      <c r="BM30" s="1221">
        <v>12696.56501</v>
      </c>
      <c r="BN30" s="1221">
        <v>6363.7454800000005</v>
      </c>
      <c r="BO30" s="1221">
        <v>14432.960150000001</v>
      </c>
      <c r="BP30" s="1221">
        <v>7163.6353300000001</v>
      </c>
      <c r="BQ30" s="1221">
        <v>15898.912679999999</v>
      </c>
      <c r="BR30" s="1221">
        <v>8042.0460300000004</v>
      </c>
      <c r="BS30" s="1221">
        <v>17463.78587</v>
      </c>
      <c r="BT30" s="1221">
        <v>8827.494279999999</v>
      </c>
      <c r="BU30" s="1221">
        <v>18600.715</v>
      </c>
      <c r="BV30" s="1221">
        <v>9562.6042899999993</v>
      </c>
      <c r="BW30" s="1221">
        <v>849.71141</v>
      </c>
      <c r="BX30" s="1221">
        <v>914.17501000000004</v>
      </c>
      <c r="BY30" s="1221">
        <v>913.85189000000003</v>
      </c>
      <c r="BZ30" s="1221">
        <v>1570.4678700000002</v>
      </c>
      <c r="CA30" s="1221">
        <v>962.12578000000008</v>
      </c>
      <c r="CB30" s="1221">
        <v>2085.2177200000001</v>
      </c>
      <c r="CC30" s="1221">
        <v>1000.82111</v>
      </c>
      <c r="CD30" s="1221">
        <v>2766.9774700000003</v>
      </c>
      <c r="CE30" s="1221">
        <v>998.95719999999994</v>
      </c>
      <c r="CF30" s="1221">
        <v>3233.4694199999999</v>
      </c>
      <c r="CG30" s="1221">
        <v>999.55259999999998</v>
      </c>
      <c r="CH30" s="1221">
        <v>3691.8606199999999</v>
      </c>
      <c r="CI30" s="1221">
        <v>1001.0609599999999</v>
      </c>
      <c r="CJ30" s="1221">
        <v>4326.5567300000002</v>
      </c>
      <c r="CK30" s="1221">
        <v>1001.4311</v>
      </c>
      <c r="CL30" s="1221">
        <v>4670.70046</v>
      </c>
      <c r="CM30" s="1221">
        <v>977.56701999999996</v>
      </c>
      <c r="CN30" s="1221">
        <v>5057.9037900000003</v>
      </c>
      <c r="CO30" s="1221">
        <v>972.39697000000001</v>
      </c>
      <c r="CP30" s="1221">
        <v>5569.93552</v>
      </c>
      <c r="CQ30" s="1221">
        <v>979.90734999999995</v>
      </c>
      <c r="CR30" s="1221">
        <v>5794.6406500000003</v>
      </c>
      <c r="CS30" s="1221">
        <v>975.38258999999994</v>
      </c>
      <c r="CT30" s="1221">
        <v>6101.1682499999997</v>
      </c>
      <c r="CU30" s="1221">
        <v>1.8049999999999999</v>
      </c>
      <c r="CV30" s="1221">
        <v>117.92796000000001</v>
      </c>
      <c r="CW30" s="1221">
        <v>1.8049999999999999</v>
      </c>
      <c r="CX30" s="1221">
        <v>156.65797000000001</v>
      </c>
      <c r="CY30" s="1221">
        <v>5.3696099999999998</v>
      </c>
      <c r="CZ30" s="1221">
        <v>200.69623000000001</v>
      </c>
      <c r="DA30" s="1221">
        <v>5.3696099999999998</v>
      </c>
      <c r="DB30" s="1221">
        <v>214.79026000000002</v>
      </c>
      <c r="DC30" s="1221">
        <v>5.3696099999999998</v>
      </c>
      <c r="DD30" s="1221">
        <v>274.46709999999996</v>
      </c>
      <c r="DE30" s="1221">
        <v>5.3696099999999998</v>
      </c>
      <c r="DF30" s="1221">
        <v>414.54854999999998</v>
      </c>
      <c r="DG30" s="1221">
        <v>5.3696099999999998</v>
      </c>
      <c r="DH30" s="1221">
        <v>488.26916999999997</v>
      </c>
      <c r="DI30" s="1221">
        <v>5.3696099999999998</v>
      </c>
      <c r="DJ30" s="1221">
        <v>493.56627000000003</v>
      </c>
      <c r="DK30" s="1221">
        <v>5.3696099999999998</v>
      </c>
      <c r="DL30" s="1221">
        <v>612.24358999999993</v>
      </c>
      <c r="DM30" s="1221">
        <v>5.3696099999999998</v>
      </c>
      <c r="DN30" s="1221">
        <v>626.90670999999998</v>
      </c>
      <c r="DO30" s="1221">
        <v>5.3696099999999998</v>
      </c>
      <c r="DP30" s="1221">
        <v>627.21169999999995</v>
      </c>
      <c r="DQ30" s="1221">
        <v>5.3696099999999998</v>
      </c>
      <c r="DR30" s="1221">
        <v>628.30578000000003</v>
      </c>
      <c r="DS30" s="1221">
        <v>0</v>
      </c>
      <c r="DT30" s="1221">
        <v>0</v>
      </c>
      <c r="DU30" s="1221">
        <v>0</v>
      </c>
      <c r="DV30" s="1221">
        <v>0</v>
      </c>
      <c r="DW30" s="1221">
        <v>0</v>
      </c>
      <c r="DX30" s="1221">
        <v>0</v>
      </c>
      <c r="DY30" s="1221">
        <v>0</v>
      </c>
      <c r="DZ30" s="1221">
        <v>0</v>
      </c>
      <c r="EA30" s="1221">
        <v>0</v>
      </c>
      <c r="EB30" s="1221">
        <v>0</v>
      </c>
      <c r="EC30" s="1221">
        <v>0</v>
      </c>
      <c r="ED30" s="1221">
        <v>0</v>
      </c>
      <c r="EE30" s="1221">
        <v>0</v>
      </c>
      <c r="EF30" s="1221">
        <v>0</v>
      </c>
      <c r="EG30" s="1221">
        <v>0</v>
      </c>
      <c r="EH30" s="1221">
        <v>0</v>
      </c>
      <c r="EI30" s="1221">
        <v>0</v>
      </c>
      <c r="EJ30" s="1221">
        <v>0</v>
      </c>
      <c r="EK30" s="1221"/>
      <c r="EL30" s="1221"/>
      <c r="EM30" s="1221"/>
      <c r="EN30" s="1221"/>
      <c r="EO30" s="1221"/>
      <c r="EP30" s="1221"/>
      <c r="EQ30" s="1221"/>
      <c r="ER30" s="1221"/>
      <c r="ES30" s="1221">
        <v>0</v>
      </c>
      <c r="ET30" s="1221">
        <v>0</v>
      </c>
      <c r="EU30" s="1221">
        <v>0</v>
      </c>
      <c r="EV30" s="1221">
        <v>0</v>
      </c>
      <c r="EW30" s="1221">
        <v>0</v>
      </c>
      <c r="EX30" s="1221">
        <v>0</v>
      </c>
      <c r="EY30" s="1221">
        <v>0</v>
      </c>
      <c r="EZ30" s="1221">
        <v>0</v>
      </c>
      <c r="FA30" s="1221">
        <v>0</v>
      </c>
      <c r="FB30" s="1221">
        <v>0</v>
      </c>
      <c r="FC30" s="1221">
        <v>0</v>
      </c>
      <c r="FD30" s="1221">
        <v>0</v>
      </c>
      <c r="FE30" s="1221">
        <v>0</v>
      </c>
      <c r="FF30" s="1221">
        <v>0</v>
      </c>
      <c r="FG30" s="1221"/>
      <c r="FH30" s="1221"/>
      <c r="FI30" s="1221"/>
      <c r="FJ30" s="1221"/>
      <c r="FK30" s="1221"/>
      <c r="FL30" s="1221"/>
      <c r="FM30" s="1221"/>
      <c r="FN30" s="1221"/>
      <c r="FO30" s="1221"/>
      <c r="FP30" s="1221"/>
      <c r="FQ30" s="1221"/>
      <c r="FR30" s="1221"/>
      <c r="FS30" s="1221"/>
      <c r="FT30" s="1221"/>
      <c r="FU30" s="1221"/>
      <c r="FV30" s="1221"/>
      <c r="FW30" s="1221"/>
      <c r="FX30" s="1221"/>
      <c r="FY30" s="1221"/>
      <c r="FZ30" s="1221"/>
      <c r="GA30" s="1221"/>
      <c r="GB30" s="1221"/>
      <c r="GC30" s="1221"/>
      <c r="GD30" s="1221"/>
      <c r="GE30" s="1221"/>
      <c r="GF30" s="1221"/>
      <c r="GG30" s="1221"/>
      <c r="GH30" s="1221"/>
      <c r="GI30" s="1221"/>
      <c r="GJ30" s="1221"/>
      <c r="GK30" s="1221"/>
      <c r="GL30" s="1221"/>
      <c r="GM30" s="1221"/>
      <c r="GN30" s="1221"/>
      <c r="GO30" s="1221"/>
      <c r="GP30" s="1221"/>
      <c r="GQ30" s="1221"/>
      <c r="GR30" s="1221"/>
      <c r="GS30" s="1221"/>
      <c r="GT30" s="1221"/>
      <c r="GU30" s="1221"/>
      <c r="GV30" s="1221"/>
      <c r="GW30" s="1221"/>
      <c r="GX30" s="1221"/>
      <c r="GY30" s="1221"/>
      <c r="GZ30" s="1221"/>
      <c r="HA30" s="1221"/>
      <c r="HB30" s="1221"/>
      <c r="HC30" s="1221"/>
      <c r="HD30" s="1221"/>
      <c r="HE30" s="1221"/>
      <c r="HF30" s="1221"/>
      <c r="HG30" s="1221"/>
      <c r="HH30" s="1221"/>
      <c r="HI30" s="1221"/>
      <c r="HJ30" s="1221"/>
      <c r="HK30" s="1221"/>
      <c r="HL30" s="1221"/>
      <c r="HM30" s="1221"/>
      <c r="HN30" s="1221"/>
      <c r="HO30" s="1221"/>
      <c r="HP30" s="1221"/>
      <c r="HQ30" s="1221"/>
      <c r="HR30" s="1221"/>
      <c r="HS30" s="1984" t="s">
        <v>3181</v>
      </c>
    </row>
    <row r="31" spans="1:227" ht="50.25" hidden="1" customHeight="1">
      <c r="A31" s="1836">
        <v>19</v>
      </c>
      <c r="B31" s="1984" t="s">
        <v>2337</v>
      </c>
      <c r="C31" s="1221">
        <v>2299.7821099999996</v>
      </c>
      <c r="D31" s="1221">
        <v>589.62686999999994</v>
      </c>
      <c r="E31" s="1221">
        <v>4540.8816200000001</v>
      </c>
      <c r="F31" s="1221">
        <v>1344.1006200000002</v>
      </c>
      <c r="G31" s="1221">
        <v>6745.4568600000002</v>
      </c>
      <c r="H31" s="1221">
        <v>1951.55395</v>
      </c>
      <c r="I31" s="1221">
        <v>8917.9993100000011</v>
      </c>
      <c r="J31" s="1221">
        <v>2644.8922699999998</v>
      </c>
      <c r="K31" s="1221">
        <v>10182.214840000001</v>
      </c>
      <c r="L31" s="1221">
        <v>3334.6583300000002</v>
      </c>
      <c r="M31" s="1221">
        <v>12523.23669</v>
      </c>
      <c r="N31" s="1221">
        <v>4200.1022699999994</v>
      </c>
      <c r="O31" s="1221">
        <v>14642.02348</v>
      </c>
      <c r="P31" s="1221">
        <v>4900.5775100000001</v>
      </c>
      <c r="Q31" s="1221">
        <v>16017.98667</v>
      </c>
      <c r="R31" s="1221">
        <v>5841.2929699999995</v>
      </c>
      <c r="S31" s="1221">
        <v>17423.862960000002</v>
      </c>
      <c r="T31" s="1221">
        <v>6330.8400700000002</v>
      </c>
      <c r="U31" s="1221">
        <v>18327.263059999997</v>
      </c>
      <c r="V31" s="1221">
        <v>7175.0387499999997</v>
      </c>
      <c r="W31" s="1221">
        <v>19545.174609999998</v>
      </c>
      <c r="X31" s="1221">
        <v>7850.2967199999994</v>
      </c>
      <c r="Y31" s="1221">
        <v>20326.929760000003</v>
      </c>
      <c r="Z31" s="1221">
        <v>8607.7336799999994</v>
      </c>
      <c r="AA31" s="1221">
        <v>1361.7548300000001</v>
      </c>
      <c r="AB31" s="1221">
        <v>627.04746999999998</v>
      </c>
      <c r="AC31" s="1221">
        <v>3186.6466399999999</v>
      </c>
      <c r="AD31" s="1221">
        <v>1260.2811299999998</v>
      </c>
      <c r="AE31" s="1221">
        <v>4536.5170099999996</v>
      </c>
      <c r="AF31" s="1221">
        <v>1776.29143</v>
      </c>
      <c r="AG31" s="1221">
        <v>5525.1536999999998</v>
      </c>
      <c r="AH31" s="1221">
        <v>2364.4191499999997</v>
      </c>
      <c r="AI31" s="1221">
        <v>6832.6030700000001</v>
      </c>
      <c r="AJ31" s="1221">
        <v>2735.6639100000002</v>
      </c>
      <c r="AK31" s="1221">
        <v>7562.3390300000001</v>
      </c>
      <c r="AL31" s="1221">
        <v>3114.2554500000001</v>
      </c>
      <c r="AM31" s="1221">
        <v>8428.9510500000015</v>
      </c>
      <c r="AN31" s="1221">
        <v>3635.15011</v>
      </c>
      <c r="AO31" s="1221">
        <v>9399.7016999999996</v>
      </c>
      <c r="AP31" s="1221">
        <v>4124.1620599999997</v>
      </c>
      <c r="AQ31" s="1221">
        <v>10114.34527</v>
      </c>
      <c r="AR31" s="1221">
        <v>4467.3102199999994</v>
      </c>
      <c r="AS31" s="1221">
        <v>11125.20234</v>
      </c>
      <c r="AT31" s="1221">
        <v>4865.8235599999998</v>
      </c>
      <c r="AU31" s="1221">
        <v>11957.929599999999</v>
      </c>
      <c r="AV31" s="1221">
        <v>5132.3392100000001</v>
      </c>
      <c r="AW31" s="1221">
        <v>12594.88012</v>
      </c>
      <c r="AX31" s="1221">
        <v>5555.67659</v>
      </c>
      <c r="AY31" s="1221">
        <v>605.20977000000005</v>
      </c>
      <c r="AZ31" s="1221">
        <v>311.06459000000001</v>
      </c>
      <c r="BA31" s="1221">
        <v>1005.13716</v>
      </c>
      <c r="BB31" s="1221">
        <v>568.40983999999992</v>
      </c>
      <c r="BC31" s="1221">
        <v>1637.31</v>
      </c>
      <c r="BD31" s="1221">
        <v>747.32</v>
      </c>
      <c r="BE31" s="1221">
        <v>2392.6191400000002</v>
      </c>
      <c r="BF31" s="1221">
        <v>1087.2304899999999</v>
      </c>
      <c r="BG31" s="1221">
        <v>3002.8092499999998</v>
      </c>
      <c r="BH31" s="1221">
        <v>1315.9678799999999</v>
      </c>
      <c r="BI31" s="1221">
        <v>3868.19578</v>
      </c>
      <c r="BJ31" s="1221">
        <v>1607.0538000000001</v>
      </c>
      <c r="BK31" s="1221">
        <v>8707.4343800000006</v>
      </c>
      <c r="BL31" s="1221">
        <v>1944.6317799999999</v>
      </c>
      <c r="BM31" s="1221">
        <v>9596.2437699999991</v>
      </c>
      <c r="BN31" s="1221">
        <v>2264.5305400000002</v>
      </c>
      <c r="BO31" s="1221">
        <v>10476.084510000001</v>
      </c>
      <c r="BP31" s="1221">
        <v>2556.37608</v>
      </c>
      <c r="BQ31" s="1221">
        <v>11471.408939999999</v>
      </c>
      <c r="BR31" s="1221">
        <v>2964.4494599999998</v>
      </c>
      <c r="BS31" s="1221">
        <v>12261.932859999999</v>
      </c>
      <c r="BT31" s="1221">
        <v>3321.3731200000002</v>
      </c>
      <c r="BU31" s="1221">
        <v>12930.741900000001</v>
      </c>
      <c r="BV31" s="1221">
        <v>3706.5509400000001</v>
      </c>
      <c r="BW31" s="1221">
        <v>590.42018000000007</v>
      </c>
      <c r="BX31" s="1221">
        <v>291.11660999999998</v>
      </c>
      <c r="BY31" s="1221">
        <v>1168.0069799999999</v>
      </c>
      <c r="BZ31" s="1221">
        <v>607.74781999999993</v>
      </c>
      <c r="CA31" s="1221">
        <v>1892.7424699999999</v>
      </c>
      <c r="CB31" s="1221">
        <v>858.91654000000005</v>
      </c>
      <c r="CC31" s="1221">
        <v>2785.9063799999999</v>
      </c>
      <c r="CD31" s="1221">
        <v>1228.5379599999999</v>
      </c>
      <c r="CE31" s="1221">
        <v>3733.9394300000004</v>
      </c>
      <c r="CF31" s="1221">
        <v>1625.8040700000001</v>
      </c>
      <c r="CG31" s="1221">
        <v>4757.5697300000002</v>
      </c>
      <c r="CH31" s="1221">
        <v>1877.4061999999999</v>
      </c>
      <c r="CI31" s="1221">
        <v>7157.8256500000007</v>
      </c>
      <c r="CJ31" s="1221">
        <v>2423.3432400000002</v>
      </c>
      <c r="CK31" s="1221">
        <v>8631.9623100000008</v>
      </c>
      <c r="CL31" s="1221">
        <v>2768.3218700000002</v>
      </c>
      <c r="CM31" s="1221">
        <v>9952.9000099999994</v>
      </c>
      <c r="CN31" s="1221">
        <v>3283.6202699999999</v>
      </c>
      <c r="CO31" s="1221">
        <v>11207.79493</v>
      </c>
      <c r="CP31" s="1221">
        <v>3900.0910899999999</v>
      </c>
      <c r="CQ31" s="1221">
        <v>12237.052250000001</v>
      </c>
      <c r="CR31" s="1221">
        <v>4596.7853499999992</v>
      </c>
      <c r="CS31" s="1221">
        <v>14059.56466</v>
      </c>
      <c r="CT31" s="1221">
        <v>5453.1170499999998</v>
      </c>
      <c r="CU31" s="1221">
        <v>1699.5826999999999</v>
      </c>
      <c r="CV31" s="1221">
        <v>804.47109999999998</v>
      </c>
      <c r="CW31" s="1221">
        <v>2558.69686</v>
      </c>
      <c r="CX31" s="1221">
        <v>1813.8957499999999</v>
      </c>
      <c r="CY31" s="1221">
        <v>3443.2339900000002</v>
      </c>
      <c r="CZ31" s="1221">
        <v>2313.26143</v>
      </c>
      <c r="DA31" s="1221">
        <v>4351.2008299999998</v>
      </c>
      <c r="DB31" s="1221">
        <v>2955.6591800000001</v>
      </c>
      <c r="DC31" s="1221">
        <v>5441.2290300000004</v>
      </c>
      <c r="DD31" s="1221">
        <v>3373.58437</v>
      </c>
      <c r="DE31" s="1221">
        <v>5441.2290300000004</v>
      </c>
      <c r="DF31" s="1221">
        <v>3508.51575</v>
      </c>
      <c r="DG31" s="1221">
        <v>5242.4320299999999</v>
      </c>
      <c r="DH31" s="1221">
        <v>3933.0540799999999</v>
      </c>
      <c r="DI31" s="1221">
        <v>5242.4320299999999</v>
      </c>
      <c r="DJ31" s="1221">
        <v>4279.4215599999998</v>
      </c>
      <c r="DK31" s="1221">
        <v>5241.9535599999999</v>
      </c>
      <c r="DL31" s="1221">
        <v>4650.9649300000001</v>
      </c>
      <c r="DM31" s="1221">
        <v>5241.9535599999999</v>
      </c>
      <c r="DN31" s="1221">
        <v>4650.9649300000001</v>
      </c>
      <c r="DO31" s="1221">
        <v>5241.9535599999999</v>
      </c>
      <c r="DP31" s="1221">
        <v>4650.9649300000001</v>
      </c>
      <c r="DQ31" s="1221">
        <v>5241.9535599999999</v>
      </c>
      <c r="DR31" s="1221">
        <v>4650.9649300000001</v>
      </c>
      <c r="DS31" s="1221">
        <v>0</v>
      </c>
      <c r="DT31" s="1221">
        <v>0</v>
      </c>
      <c r="DU31" s="1221">
        <v>0</v>
      </c>
      <c r="DV31" s="1221">
        <v>0</v>
      </c>
      <c r="DW31" s="1221">
        <v>0</v>
      </c>
      <c r="DX31" s="1221">
        <v>0</v>
      </c>
      <c r="DY31" s="1221">
        <v>0</v>
      </c>
      <c r="DZ31" s="1221">
        <v>0</v>
      </c>
      <c r="EA31" s="1221">
        <v>0</v>
      </c>
      <c r="EB31" s="1221">
        <v>0</v>
      </c>
      <c r="EC31" s="1221">
        <v>0</v>
      </c>
      <c r="ED31" s="1221">
        <v>0</v>
      </c>
      <c r="EE31" s="1221">
        <v>0</v>
      </c>
      <c r="EF31" s="1221">
        <v>0</v>
      </c>
      <c r="EG31" s="1221">
        <v>0</v>
      </c>
      <c r="EH31" s="1221">
        <v>0</v>
      </c>
      <c r="EI31" s="1221">
        <v>0</v>
      </c>
      <c r="EJ31" s="1221">
        <v>0</v>
      </c>
      <c r="EK31" s="1221"/>
      <c r="EL31" s="1221"/>
      <c r="EM31" s="1221"/>
      <c r="EN31" s="1221"/>
      <c r="EO31" s="1221"/>
      <c r="EP31" s="1221"/>
      <c r="EQ31" s="1221"/>
      <c r="ER31" s="1221"/>
      <c r="ES31" s="1221">
        <v>0</v>
      </c>
      <c r="ET31" s="1221">
        <v>0</v>
      </c>
      <c r="EU31" s="1221">
        <v>0</v>
      </c>
      <c r="EV31" s="1221">
        <v>0</v>
      </c>
      <c r="EW31" s="1221">
        <v>0</v>
      </c>
      <c r="EX31" s="1221">
        <v>0</v>
      </c>
      <c r="EY31" s="1221">
        <v>0</v>
      </c>
      <c r="EZ31" s="1221">
        <v>0</v>
      </c>
      <c r="FA31" s="1221">
        <v>0</v>
      </c>
      <c r="FB31" s="1221">
        <v>0</v>
      </c>
      <c r="FC31" s="1221">
        <v>0</v>
      </c>
      <c r="FD31" s="1221">
        <v>0</v>
      </c>
      <c r="FE31" s="1221">
        <v>0</v>
      </c>
      <c r="FF31" s="1221">
        <v>0</v>
      </c>
      <c r="FG31" s="1221"/>
      <c r="FH31" s="1221"/>
      <c r="FI31" s="1221"/>
      <c r="FJ31" s="1221"/>
      <c r="FK31" s="1221"/>
      <c r="FL31" s="1221"/>
      <c r="FM31" s="1221"/>
      <c r="FN31" s="1221"/>
      <c r="FO31" s="1221"/>
      <c r="FP31" s="1221"/>
      <c r="FQ31" s="1221"/>
      <c r="FR31" s="1221"/>
      <c r="FS31" s="1221"/>
      <c r="FT31" s="1221"/>
      <c r="FU31" s="1221"/>
      <c r="FV31" s="1221"/>
      <c r="FW31" s="1221"/>
      <c r="FX31" s="1221"/>
      <c r="FY31" s="1221"/>
      <c r="FZ31" s="1221"/>
      <c r="GA31" s="1221"/>
      <c r="GB31" s="1221"/>
      <c r="GC31" s="1221"/>
      <c r="GD31" s="1221"/>
      <c r="GE31" s="1221"/>
      <c r="GF31" s="1221"/>
      <c r="GG31" s="1221"/>
      <c r="GH31" s="1221"/>
      <c r="GI31" s="1221"/>
      <c r="GJ31" s="1221"/>
      <c r="GK31" s="1221"/>
      <c r="GL31" s="1221"/>
      <c r="GM31" s="1221"/>
      <c r="GN31" s="1221"/>
      <c r="GO31" s="1221"/>
      <c r="GP31" s="1221"/>
      <c r="GQ31" s="1221"/>
      <c r="GR31" s="1221"/>
      <c r="GS31" s="1221"/>
      <c r="GT31" s="1221"/>
      <c r="GU31" s="1221"/>
      <c r="GV31" s="1221"/>
      <c r="GW31" s="1221"/>
      <c r="GX31" s="1221"/>
      <c r="GY31" s="1221"/>
      <c r="GZ31" s="1221"/>
      <c r="HA31" s="1221"/>
      <c r="HB31" s="1221"/>
      <c r="HC31" s="1221"/>
      <c r="HD31" s="1221"/>
      <c r="HE31" s="1221"/>
      <c r="HF31" s="1221"/>
      <c r="HG31" s="1221"/>
      <c r="HH31" s="1221"/>
      <c r="HI31" s="1221"/>
      <c r="HJ31" s="1221"/>
      <c r="HK31" s="1221"/>
      <c r="HL31" s="1221"/>
      <c r="HM31" s="1221"/>
      <c r="HN31" s="1221"/>
      <c r="HO31" s="1221"/>
      <c r="HP31" s="1221"/>
      <c r="HQ31" s="1221"/>
      <c r="HR31" s="1221"/>
      <c r="HS31" s="1984" t="s">
        <v>3182</v>
      </c>
    </row>
    <row r="32" spans="1:227" ht="50.25" hidden="1" customHeight="1">
      <c r="A32" s="1836">
        <v>20</v>
      </c>
      <c r="B32" s="1984" t="s">
        <v>2334</v>
      </c>
      <c r="C32" s="1221">
        <v>72.10296000000001</v>
      </c>
      <c r="D32" s="1221">
        <v>4.1554099999999998</v>
      </c>
      <c r="E32" s="1221">
        <v>123.15794</v>
      </c>
      <c r="F32" s="1221">
        <v>49.358629999999998</v>
      </c>
      <c r="G32" s="1221">
        <v>207.10479000000001</v>
      </c>
      <c r="H32" s="1221">
        <v>53.704000000000001</v>
      </c>
      <c r="I32" s="1221">
        <v>295.63279999999997</v>
      </c>
      <c r="J32" s="1221">
        <v>54.491080000000004</v>
      </c>
      <c r="K32" s="1221">
        <v>330.38940000000002</v>
      </c>
      <c r="L32" s="1221">
        <v>61.89284</v>
      </c>
      <c r="M32" s="1221">
        <v>417.88484000000005</v>
      </c>
      <c r="N32" s="1221">
        <v>82.184850000000012</v>
      </c>
      <c r="O32" s="1221">
        <v>459.79801000000003</v>
      </c>
      <c r="P32" s="1221">
        <v>109.08419000000001</v>
      </c>
      <c r="Q32" s="1221">
        <v>497.12609000000003</v>
      </c>
      <c r="R32" s="1221">
        <v>116.74577000000001</v>
      </c>
      <c r="S32" s="1221">
        <v>500.11863</v>
      </c>
      <c r="T32" s="1221">
        <v>128.79050000000001</v>
      </c>
      <c r="U32" s="1221">
        <v>506.06952000000001</v>
      </c>
      <c r="V32" s="1221">
        <v>137.57742000000002</v>
      </c>
      <c r="W32" s="1221">
        <v>529.29044999999996</v>
      </c>
      <c r="X32" s="1221">
        <v>141.14212000000001</v>
      </c>
      <c r="Y32" s="1221">
        <v>547.76116000000002</v>
      </c>
      <c r="Z32" s="1221">
        <v>142.87711999999999</v>
      </c>
      <c r="AA32" s="1221">
        <v>20.50348</v>
      </c>
      <c r="AB32" s="1221">
        <v>0</v>
      </c>
      <c r="AC32" s="1221">
        <v>20.50348</v>
      </c>
      <c r="AD32" s="1221">
        <v>12.738020000000001</v>
      </c>
      <c r="AE32" s="1221">
        <v>20.50348</v>
      </c>
      <c r="AF32" s="1221">
        <v>23.474930000000001</v>
      </c>
      <c r="AG32" s="1221">
        <v>20.50348</v>
      </c>
      <c r="AH32" s="1221">
        <v>33.523029999999999</v>
      </c>
      <c r="AI32" s="1221">
        <v>20.50348</v>
      </c>
      <c r="AJ32" s="1221">
        <v>35.924779999999998</v>
      </c>
      <c r="AK32" s="1221">
        <v>20.503049999999998</v>
      </c>
      <c r="AL32" s="1221">
        <v>44.485980000000005</v>
      </c>
      <c r="AM32" s="1221">
        <v>20.50348</v>
      </c>
      <c r="AN32" s="1221">
        <v>35.924779999999998</v>
      </c>
      <c r="AO32" s="1221">
        <v>20.50348</v>
      </c>
      <c r="AP32" s="1221">
        <v>35.924779999999998</v>
      </c>
      <c r="AQ32" s="1221">
        <v>20.50348</v>
      </c>
      <c r="AR32" s="1221">
        <v>35.924779999999998</v>
      </c>
      <c r="AS32" s="1221">
        <v>0</v>
      </c>
      <c r="AT32" s="1221">
        <v>0</v>
      </c>
      <c r="AU32" s="1221">
        <v>0</v>
      </c>
      <c r="AV32" s="1221">
        <v>0</v>
      </c>
      <c r="AW32" s="1221">
        <v>0</v>
      </c>
      <c r="AX32" s="1221">
        <v>0</v>
      </c>
      <c r="AY32" s="1221">
        <v>0</v>
      </c>
      <c r="AZ32" s="1221">
        <v>0</v>
      </c>
      <c r="BA32" s="1221">
        <v>0</v>
      </c>
      <c r="BB32" s="1221">
        <v>0</v>
      </c>
      <c r="BC32" s="1221">
        <v>0</v>
      </c>
      <c r="BD32" s="1221">
        <v>0</v>
      </c>
      <c r="BE32" s="1221">
        <v>0</v>
      </c>
      <c r="BF32" s="1221">
        <v>0</v>
      </c>
      <c r="BG32" s="1221">
        <v>0</v>
      </c>
      <c r="BH32" s="1221">
        <v>0</v>
      </c>
      <c r="BI32" s="1221">
        <v>0</v>
      </c>
      <c r="BJ32" s="1221">
        <v>0</v>
      </c>
      <c r="BK32" s="1221">
        <v>0</v>
      </c>
      <c r="BL32" s="1221">
        <v>0</v>
      </c>
      <c r="BM32" s="1221">
        <v>0</v>
      </c>
      <c r="BN32" s="1221">
        <v>0</v>
      </c>
      <c r="BO32" s="1221">
        <v>0</v>
      </c>
      <c r="BP32" s="1221">
        <v>0</v>
      </c>
      <c r="BQ32" s="1221">
        <v>0</v>
      </c>
      <c r="BR32" s="1221">
        <v>0</v>
      </c>
      <c r="BS32" s="1221">
        <v>0</v>
      </c>
      <c r="BT32" s="1221">
        <v>0</v>
      </c>
      <c r="BU32" s="1221">
        <v>0</v>
      </c>
      <c r="BV32" s="1221">
        <v>0</v>
      </c>
      <c r="BW32" s="1221">
        <v>0</v>
      </c>
      <c r="BX32" s="1221">
        <v>0</v>
      </c>
      <c r="BY32" s="1221">
        <v>0</v>
      </c>
      <c r="BZ32" s="1221">
        <v>0</v>
      </c>
      <c r="CA32" s="1221">
        <v>0</v>
      </c>
      <c r="CB32" s="1221">
        <v>0</v>
      </c>
      <c r="CC32" s="1221">
        <v>0</v>
      </c>
      <c r="CD32" s="1221">
        <v>0</v>
      </c>
      <c r="CE32" s="1221">
        <v>0</v>
      </c>
      <c r="CF32" s="1221">
        <v>0</v>
      </c>
      <c r="CG32" s="1221">
        <v>0</v>
      </c>
      <c r="CH32" s="1221">
        <v>0</v>
      </c>
      <c r="CI32" s="1221">
        <v>0</v>
      </c>
      <c r="CJ32" s="1221">
        <v>0</v>
      </c>
      <c r="CK32" s="1221">
        <v>0</v>
      </c>
      <c r="CL32" s="1221">
        <v>0</v>
      </c>
      <c r="CM32" s="1221">
        <v>0</v>
      </c>
      <c r="CN32" s="1221">
        <v>0</v>
      </c>
      <c r="CO32" s="1221">
        <v>0</v>
      </c>
      <c r="CP32" s="1221">
        <v>0</v>
      </c>
      <c r="CQ32" s="1221"/>
      <c r="CR32" s="1221"/>
      <c r="CS32" s="1221"/>
      <c r="CT32" s="1221"/>
      <c r="CU32" s="1221">
        <v>0</v>
      </c>
      <c r="CV32" s="1221">
        <v>0</v>
      </c>
      <c r="CW32" s="1221">
        <v>0</v>
      </c>
      <c r="CX32" s="1221">
        <v>0</v>
      </c>
      <c r="CY32" s="1221">
        <v>0</v>
      </c>
      <c r="CZ32" s="1221">
        <v>0</v>
      </c>
      <c r="DA32" s="1221">
        <v>0</v>
      </c>
      <c r="DB32" s="1221">
        <v>0</v>
      </c>
      <c r="DC32" s="1221">
        <v>0</v>
      </c>
      <c r="DD32" s="1221">
        <v>0</v>
      </c>
      <c r="DE32" s="1221">
        <v>0</v>
      </c>
      <c r="DF32" s="1221">
        <v>0</v>
      </c>
      <c r="DG32" s="1221">
        <v>0</v>
      </c>
      <c r="DH32" s="1221">
        <v>0</v>
      </c>
      <c r="DI32" s="1221">
        <v>0</v>
      </c>
      <c r="DJ32" s="1221">
        <v>0</v>
      </c>
      <c r="DK32" s="1221">
        <v>0</v>
      </c>
      <c r="DL32" s="1221">
        <v>0</v>
      </c>
      <c r="DM32" s="1221">
        <v>0</v>
      </c>
      <c r="DN32" s="1221">
        <v>0</v>
      </c>
      <c r="DO32" s="1221">
        <v>0</v>
      </c>
      <c r="DP32" s="1221">
        <v>0</v>
      </c>
      <c r="DQ32" s="1221">
        <v>0</v>
      </c>
      <c r="DR32" s="1221">
        <v>0</v>
      </c>
      <c r="DS32" s="1221">
        <v>0</v>
      </c>
      <c r="DT32" s="1221">
        <v>0</v>
      </c>
      <c r="DU32" s="1221">
        <v>0</v>
      </c>
      <c r="DV32" s="1221">
        <v>0</v>
      </c>
      <c r="DW32" s="1221">
        <v>0</v>
      </c>
      <c r="DX32" s="1221">
        <v>0</v>
      </c>
      <c r="DY32" s="1221">
        <v>0</v>
      </c>
      <c r="DZ32" s="1221">
        <v>0</v>
      </c>
      <c r="EA32" s="1221">
        <v>0</v>
      </c>
      <c r="EB32" s="1221">
        <v>0</v>
      </c>
      <c r="EC32" s="1221">
        <v>0</v>
      </c>
      <c r="ED32" s="1221">
        <v>0</v>
      </c>
      <c r="EE32" s="1221">
        <v>0</v>
      </c>
      <c r="EF32" s="1221">
        <v>0</v>
      </c>
      <c r="EG32" s="1221">
        <v>0</v>
      </c>
      <c r="EH32" s="1221">
        <v>0</v>
      </c>
      <c r="EI32" s="1221">
        <v>0</v>
      </c>
      <c r="EJ32" s="1221">
        <v>0</v>
      </c>
      <c r="EK32" s="1221"/>
      <c r="EL32" s="1221"/>
      <c r="EM32" s="1221"/>
      <c r="EN32" s="1221"/>
      <c r="EO32" s="1221"/>
      <c r="EP32" s="1221"/>
      <c r="EQ32" s="1221"/>
      <c r="ER32" s="1221"/>
      <c r="ES32" s="1221">
        <v>0</v>
      </c>
      <c r="ET32" s="1221">
        <v>0</v>
      </c>
      <c r="EU32" s="1221">
        <v>0</v>
      </c>
      <c r="EV32" s="1221">
        <v>0</v>
      </c>
      <c r="EW32" s="1221">
        <v>0</v>
      </c>
      <c r="EX32" s="1221">
        <v>0</v>
      </c>
      <c r="EY32" s="1221">
        <v>0</v>
      </c>
      <c r="EZ32" s="1221">
        <v>0</v>
      </c>
      <c r="FA32" s="1221">
        <v>0</v>
      </c>
      <c r="FB32" s="1221">
        <v>0</v>
      </c>
      <c r="FC32" s="1221">
        <v>0</v>
      </c>
      <c r="FD32" s="1221">
        <v>0</v>
      </c>
      <c r="FE32" s="1221">
        <v>0</v>
      </c>
      <c r="FF32" s="1221">
        <v>0</v>
      </c>
      <c r="FG32" s="1221"/>
      <c r="FH32" s="1221"/>
      <c r="FI32" s="1221"/>
      <c r="FJ32" s="1221"/>
      <c r="FK32" s="1221"/>
      <c r="FL32" s="1221"/>
      <c r="FM32" s="1221"/>
      <c r="FN32" s="1221"/>
      <c r="FO32" s="1221"/>
      <c r="FP32" s="1221"/>
      <c r="FQ32" s="1221"/>
      <c r="FR32" s="1221"/>
      <c r="FS32" s="1221"/>
      <c r="FT32" s="1221"/>
      <c r="FU32" s="1221"/>
      <c r="FV32" s="1221"/>
      <c r="FW32" s="1221"/>
      <c r="FX32" s="1221"/>
      <c r="FY32" s="1221"/>
      <c r="FZ32" s="1221"/>
      <c r="GA32" s="1221"/>
      <c r="GB32" s="1221"/>
      <c r="GC32" s="1221"/>
      <c r="GD32" s="1221"/>
      <c r="GE32" s="1221"/>
      <c r="GF32" s="1221"/>
      <c r="GG32" s="1221"/>
      <c r="GH32" s="1221"/>
      <c r="GI32" s="1221"/>
      <c r="GJ32" s="1221"/>
      <c r="GK32" s="1221"/>
      <c r="GL32" s="1221"/>
      <c r="GM32" s="1221"/>
      <c r="GN32" s="1221"/>
      <c r="GO32" s="1221"/>
      <c r="GP32" s="1221"/>
      <c r="GQ32" s="1221"/>
      <c r="GR32" s="1221"/>
      <c r="GS32" s="1221"/>
      <c r="GT32" s="1221"/>
      <c r="GU32" s="1221"/>
      <c r="GV32" s="1221"/>
      <c r="GW32" s="1221"/>
      <c r="GX32" s="1221"/>
      <c r="GY32" s="1221"/>
      <c r="GZ32" s="1221"/>
      <c r="HA32" s="1221"/>
      <c r="HB32" s="1221"/>
      <c r="HC32" s="1221"/>
      <c r="HD32" s="1221"/>
      <c r="HE32" s="1221"/>
      <c r="HF32" s="1221"/>
      <c r="HG32" s="1221"/>
      <c r="HH32" s="1221"/>
      <c r="HI32" s="1221"/>
      <c r="HJ32" s="1221"/>
      <c r="HK32" s="1221"/>
      <c r="HL32" s="1221"/>
      <c r="HM32" s="1221"/>
      <c r="HN32" s="1221"/>
      <c r="HO32" s="1221"/>
      <c r="HP32" s="1221"/>
      <c r="HQ32" s="1221"/>
      <c r="HR32" s="1221"/>
      <c r="HS32" s="1984" t="s">
        <v>3183</v>
      </c>
    </row>
    <row r="33" spans="1:227" ht="50.25" hidden="1" customHeight="1">
      <c r="A33" s="1836">
        <v>21</v>
      </c>
      <c r="B33" s="1984" t="s">
        <v>2333</v>
      </c>
      <c r="C33" s="1221">
        <v>1400.3737800000001</v>
      </c>
      <c r="D33" s="1221">
        <v>160.62951000000001</v>
      </c>
      <c r="E33" s="1221">
        <v>1502.2473600000001</v>
      </c>
      <c r="F33" s="1221">
        <v>443.05604</v>
      </c>
      <c r="G33" s="1221">
        <v>2944.82494</v>
      </c>
      <c r="H33" s="1221">
        <v>636.19317000000001</v>
      </c>
      <c r="I33" s="1221">
        <v>3076.5879300000001</v>
      </c>
      <c r="J33" s="1221">
        <v>1033.2433100000001</v>
      </c>
      <c r="K33" s="1221">
        <v>3414.7269200000001</v>
      </c>
      <c r="L33" s="1221">
        <v>1296.40202</v>
      </c>
      <c r="M33" s="1221">
        <v>3516.6082000000001</v>
      </c>
      <c r="N33" s="1221">
        <v>1728.6112900000001</v>
      </c>
      <c r="O33" s="1221">
        <v>3687.1349399999999</v>
      </c>
      <c r="P33" s="1221">
        <v>1894.3570099999999</v>
      </c>
      <c r="Q33" s="1221">
        <v>3786.52972</v>
      </c>
      <c r="R33" s="1221">
        <v>2290.1062999999999</v>
      </c>
      <c r="S33" s="1221">
        <v>3900.27936</v>
      </c>
      <c r="T33" s="1221">
        <v>2731.2844799999998</v>
      </c>
      <c r="U33" s="1221">
        <v>3918.2216000000003</v>
      </c>
      <c r="V33" s="1221">
        <v>3407.73641</v>
      </c>
      <c r="W33" s="1221">
        <v>3765.54423</v>
      </c>
      <c r="X33" s="1221">
        <v>4125.7172799999998</v>
      </c>
      <c r="Y33" s="1221">
        <v>3674.6807699999999</v>
      </c>
      <c r="Z33" s="1221">
        <v>4077.2489100000003</v>
      </c>
      <c r="AA33" s="1221">
        <v>0</v>
      </c>
      <c r="AB33" s="1221">
        <v>114.5908</v>
      </c>
      <c r="AC33" s="1221">
        <v>0</v>
      </c>
      <c r="AD33" s="1221">
        <v>166.74985000000001</v>
      </c>
      <c r="AE33" s="1221">
        <v>0</v>
      </c>
      <c r="AF33" s="1221">
        <v>201.02078</v>
      </c>
      <c r="AG33" s="1221">
        <v>0</v>
      </c>
      <c r="AH33" s="1221">
        <v>0</v>
      </c>
      <c r="AI33" s="1221">
        <v>0</v>
      </c>
      <c r="AJ33" s="1221">
        <v>398.94371999999998</v>
      </c>
      <c r="AK33" s="1221">
        <v>0</v>
      </c>
      <c r="AL33" s="1221">
        <v>0</v>
      </c>
      <c r="AM33" s="1221">
        <v>0</v>
      </c>
      <c r="AN33" s="1221">
        <v>0</v>
      </c>
      <c r="AO33" s="1221">
        <v>0</v>
      </c>
      <c r="AP33" s="1221">
        <v>0</v>
      </c>
      <c r="AQ33" s="1221">
        <v>0</v>
      </c>
      <c r="AR33" s="1221">
        <v>0</v>
      </c>
      <c r="AS33" s="1221">
        <v>0</v>
      </c>
      <c r="AT33" s="1221">
        <v>0</v>
      </c>
      <c r="AU33" s="1221">
        <v>0</v>
      </c>
      <c r="AV33" s="1221">
        <v>0</v>
      </c>
      <c r="AW33" s="1221">
        <v>0</v>
      </c>
      <c r="AX33" s="1221">
        <v>0</v>
      </c>
      <c r="AY33" s="1221">
        <v>0</v>
      </c>
      <c r="AZ33" s="1221">
        <v>0</v>
      </c>
      <c r="BA33" s="1221">
        <v>0</v>
      </c>
      <c r="BB33" s="1221">
        <v>0</v>
      </c>
      <c r="BC33" s="1221">
        <v>0</v>
      </c>
      <c r="BD33" s="1221">
        <v>0</v>
      </c>
      <c r="BE33" s="1221">
        <v>0</v>
      </c>
      <c r="BF33" s="1221">
        <v>0</v>
      </c>
      <c r="BG33" s="1221">
        <v>0</v>
      </c>
      <c r="BH33" s="1221">
        <v>0</v>
      </c>
      <c r="BI33" s="1221">
        <v>0</v>
      </c>
      <c r="BJ33" s="1221">
        <v>0</v>
      </c>
      <c r="BK33" s="1221">
        <v>0</v>
      </c>
      <c r="BL33" s="1221">
        <v>0</v>
      </c>
      <c r="BM33" s="1221">
        <v>0</v>
      </c>
      <c r="BN33" s="1221">
        <v>0</v>
      </c>
      <c r="BO33" s="1221">
        <v>0</v>
      </c>
      <c r="BP33" s="1221">
        <v>0</v>
      </c>
      <c r="BQ33" s="1221">
        <v>0</v>
      </c>
      <c r="BR33" s="1221">
        <v>0</v>
      </c>
      <c r="BS33" s="1221">
        <v>0</v>
      </c>
      <c r="BT33" s="1221">
        <v>0</v>
      </c>
      <c r="BU33" s="1221">
        <v>0</v>
      </c>
      <c r="BV33" s="1221">
        <v>0</v>
      </c>
      <c r="BW33" s="1221">
        <v>0</v>
      </c>
      <c r="BX33" s="1221">
        <v>0</v>
      </c>
      <c r="BY33" s="1221">
        <v>0</v>
      </c>
      <c r="BZ33" s="1221">
        <v>0</v>
      </c>
      <c r="CA33" s="1221">
        <v>0</v>
      </c>
      <c r="CB33" s="1221">
        <v>0</v>
      </c>
      <c r="CC33" s="1221">
        <v>0</v>
      </c>
      <c r="CD33" s="1221">
        <v>0</v>
      </c>
      <c r="CE33" s="1221">
        <v>0</v>
      </c>
      <c r="CF33" s="1221">
        <v>0</v>
      </c>
      <c r="CG33" s="1221">
        <v>0</v>
      </c>
      <c r="CH33" s="1221">
        <v>0</v>
      </c>
      <c r="CI33" s="1221">
        <v>0</v>
      </c>
      <c r="CJ33" s="1221">
        <v>0</v>
      </c>
      <c r="CK33" s="1221">
        <v>0</v>
      </c>
      <c r="CL33" s="1221">
        <v>0</v>
      </c>
      <c r="CM33" s="1221">
        <v>0</v>
      </c>
      <c r="CN33" s="1221">
        <v>0</v>
      </c>
      <c r="CO33" s="1221">
        <v>0</v>
      </c>
      <c r="CP33" s="1221">
        <v>0</v>
      </c>
      <c r="CQ33" s="1221">
        <v>0</v>
      </c>
      <c r="CR33" s="1221">
        <v>0</v>
      </c>
      <c r="CS33" s="1221"/>
      <c r="CT33" s="1221"/>
      <c r="CU33" s="1221">
        <v>0</v>
      </c>
      <c r="CV33" s="1221">
        <v>0</v>
      </c>
      <c r="CW33" s="1221">
        <v>0</v>
      </c>
      <c r="CX33" s="1221">
        <v>0</v>
      </c>
      <c r="CY33" s="1221">
        <v>0</v>
      </c>
      <c r="CZ33" s="1221">
        <v>0</v>
      </c>
      <c r="DA33" s="1221">
        <v>0</v>
      </c>
      <c r="DB33" s="1221">
        <v>0</v>
      </c>
      <c r="DC33" s="1221">
        <v>0</v>
      </c>
      <c r="DD33" s="1221">
        <v>0</v>
      </c>
      <c r="DE33" s="1221">
        <v>0</v>
      </c>
      <c r="DF33" s="1221">
        <v>0</v>
      </c>
      <c r="DG33" s="1221">
        <v>0</v>
      </c>
      <c r="DH33" s="1221">
        <v>0</v>
      </c>
      <c r="DI33" s="1221">
        <v>0</v>
      </c>
      <c r="DJ33" s="1221">
        <v>0</v>
      </c>
      <c r="DK33" s="1221">
        <v>0</v>
      </c>
      <c r="DL33" s="1221">
        <v>0</v>
      </c>
      <c r="DM33" s="1221">
        <v>0</v>
      </c>
      <c r="DN33" s="1221">
        <v>0</v>
      </c>
      <c r="DO33" s="1221">
        <v>0</v>
      </c>
      <c r="DP33" s="1221">
        <v>0</v>
      </c>
      <c r="DQ33" s="1221">
        <v>0</v>
      </c>
      <c r="DR33" s="1221">
        <v>0</v>
      </c>
      <c r="DS33" s="1221">
        <v>0</v>
      </c>
      <c r="DT33" s="1221">
        <v>0</v>
      </c>
      <c r="DU33" s="1221">
        <v>0</v>
      </c>
      <c r="DV33" s="1221">
        <v>0</v>
      </c>
      <c r="DW33" s="1221">
        <v>0</v>
      </c>
      <c r="DX33" s="1221">
        <v>0</v>
      </c>
      <c r="DY33" s="1221">
        <v>0</v>
      </c>
      <c r="DZ33" s="1221">
        <v>0</v>
      </c>
      <c r="EA33" s="1221">
        <v>0</v>
      </c>
      <c r="EB33" s="1221">
        <v>0</v>
      </c>
      <c r="EC33" s="1221">
        <v>0</v>
      </c>
      <c r="ED33" s="1221">
        <v>0</v>
      </c>
      <c r="EE33" s="1221">
        <v>0</v>
      </c>
      <c r="EF33" s="1221">
        <v>0</v>
      </c>
      <c r="EG33" s="1221">
        <v>0</v>
      </c>
      <c r="EH33" s="1221">
        <v>0</v>
      </c>
      <c r="EI33" s="1221">
        <v>0</v>
      </c>
      <c r="EJ33" s="1221">
        <v>0</v>
      </c>
      <c r="EK33" s="1221"/>
      <c r="EL33" s="1221"/>
      <c r="EM33" s="1221"/>
      <c r="EN33" s="1221"/>
      <c r="EO33" s="1221"/>
      <c r="EP33" s="1221"/>
      <c r="EQ33" s="1221"/>
      <c r="ER33" s="1221"/>
      <c r="ES33" s="1221">
        <v>0</v>
      </c>
      <c r="ET33" s="1221">
        <v>0</v>
      </c>
      <c r="EU33" s="1221">
        <v>0</v>
      </c>
      <c r="EV33" s="1221">
        <v>0</v>
      </c>
      <c r="EW33" s="1221">
        <v>0</v>
      </c>
      <c r="EX33" s="1221">
        <v>0</v>
      </c>
      <c r="EY33" s="1221">
        <v>0</v>
      </c>
      <c r="EZ33" s="1221">
        <v>0</v>
      </c>
      <c r="FA33" s="1221">
        <v>0</v>
      </c>
      <c r="FB33" s="1221">
        <v>0</v>
      </c>
      <c r="FC33" s="1221">
        <v>0</v>
      </c>
      <c r="FD33" s="1221">
        <v>0</v>
      </c>
      <c r="FE33" s="1221">
        <v>0</v>
      </c>
      <c r="FF33" s="1221">
        <v>0</v>
      </c>
      <c r="FG33" s="1221"/>
      <c r="FH33" s="1221"/>
      <c r="FI33" s="1221"/>
      <c r="FJ33" s="1221"/>
      <c r="FK33" s="1221"/>
      <c r="FL33" s="1221"/>
      <c r="FM33" s="1221"/>
      <c r="FN33" s="1221"/>
      <c r="FO33" s="1221"/>
      <c r="FP33" s="1221"/>
      <c r="FQ33" s="1221"/>
      <c r="FR33" s="1221"/>
      <c r="FS33" s="1221"/>
      <c r="FT33" s="1221"/>
      <c r="FU33" s="1221"/>
      <c r="FV33" s="1221"/>
      <c r="FW33" s="1221"/>
      <c r="FX33" s="1221"/>
      <c r="FY33" s="1221"/>
      <c r="FZ33" s="1221"/>
      <c r="GA33" s="1221"/>
      <c r="GB33" s="1221"/>
      <c r="GC33" s="1221"/>
      <c r="GD33" s="1221"/>
      <c r="GE33" s="1221"/>
      <c r="GF33" s="1221"/>
      <c r="GG33" s="1221"/>
      <c r="GH33" s="1221"/>
      <c r="GI33" s="1221"/>
      <c r="GJ33" s="1221"/>
      <c r="GK33" s="1221"/>
      <c r="GL33" s="1221"/>
      <c r="GM33" s="1221"/>
      <c r="GN33" s="1221"/>
      <c r="GO33" s="1221"/>
      <c r="GP33" s="1221"/>
      <c r="GQ33" s="1221"/>
      <c r="GR33" s="1221"/>
      <c r="GS33" s="1221"/>
      <c r="GT33" s="1221"/>
      <c r="GU33" s="1221"/>
      <c r="GV33" s="1221"/>
      <c r="GW33" s="1221"/>
      <c r="GX33" s="1221"/>
      <c r="GY33" s="1221"/>
      <c r="GZ33" s="1221"/>
      <c r="HA33" s="1221"/>
      <c r="HB33" s="1221"/>
      <c r="HC33" s="1221"/>
      <c r="HD33" s="1221"/>
      <c r="HE33" s="1221"/>
      <c r="HF33" s="1221"/>
      <c r="HG33" s="1221"/>
      <c r="HH33" s="1221"/>
      <c r="HI33" s="1221"/>
      <c r="HJ33" s="1221"/>
      <c r="HK33" s="1221"/>
      <c r="HL33" s="1221"/>
      <c r="HM33" s="1221"/>
      <c r="HN33" s="1221"/>
      <c r="HO33" s="1221"/>
      <c r="HP33" s="1221"/>
      <c r="HQ33" s="1221"/>
      <c r="HR33" s="1221"/>
      <c r="HS33" s="1984" t="s">
        <v>3184</v>
      </c>
    </row>
    <row r="34" spans="1:227" ht="50.25" hidden="1" customHeight="1">
      <c r="A34" s="1836">
        <v>22</v>
      </c>
      <c r="B34" s="1984" t="s">
        <v>2332</v>
      </c>
      <c r="C34" s="1221">
        <v>105.95647</v>
      </c>
      <c r="D34" s="1221">
        <v>165.60902999999999</v>
      </c>
      <c r="E34" s="1221">
        <v>150.23093</v>
      </c>
      <c r="F34" s="1221">
        <v>276.62621000000001</v>
      </c>
      <c r="G34" s="1221">
        <v>236.35157000000001</v>
      </c>
      <c r="H34" s="1221">
        <v>698.21414000000004</v>
      </c>
      <c r="I34" s="1221">
        <v>365.09096999999997</v>
      </c>
      <c r="J34" s="1221">
        <v>774.08409999999992</v>
      </c>
      <c r="K34" s="1221">
        <v>487.45963</v>
      </c>
      <c r="L34" s="1221">
        <v>833.65919999999994</v>
      </c>
      <c r="M34" s="1221">
        <v>593.95050000000003</v>
      </c>
      <c r="N34" s="1221">
        <v>913.3329</v>
      </c>
      <c r="O34" s="1221">
        <v>593.95050000000003</v>
      </c>
      <c r="P34" s="1221">
        <v>947.88546999999994</v>
      </c>
      <c r="Q34" s="1221">
        <v>593.95050000000003</v>
      </c>
      <c r="R34" s="1221">
        <v>1197.0730100000001</v>
      </c>
      <c r="S34" s="1221">
        <v>593.95050000000003</v>
      </c>
      <c r="T34" s="1221">
        <v>1198.23479</v>
      </c>
      <c r="U34" s="1221">
        <v>593.95050000000003</v>
      </c>
      <c r="V34" s="1221">
        <v>1198.23479</v>
      </c>
      <c r="W34" s="1221">
        <v>593.95050000000003</v>
      </c>
      <c r="X34" s="1221">
        <v>1198.23479</v>
      </c>
      <c r="Y34" s="1221">
        <v>593.95050000000003</v>
      </c>
      <c r="Z34" s="1221">
        <v>1294.1794199999999</v>
      </c>
      <c r="AA34" s="1221">
        <v>0</v>
      </c>
      <c r="AB34" s="1221">
        <v>0</v>
      </c>
      <c r="AC34" s="1221">
        <v>0</v>
      </c>
      <c r="AD34" s="1221">
        <v>0</v>
      </c>
      <c r="AE34" s="1221">
        <v>0</v>
      </c>
      <c r="AF34" s="1221">
        <v>0</v>
      </c>
      <c r="AG34" s="1221">
        <v>0</v>
      </c>
      <c r="AH34" s="1221">
        <v>0</v>
      </c>
      <c r="AI34" s="1221">
        <v>0</v>
      </c>
      <c r="AJ34" s="1221">
        <v>0</v>
      </c>
      <c r="AK34" s="1221">
        <v>0</v>
      </c>
      <c r="AL34" s="1221">
        <v>0</v>
      </c>
      <c r="AM34" s="1221">
        <v>0</v>
      </c>
      <c r="AN34" s="1221">
        <v>0</v>
      </c>
      <c r="AO34" s="1221">
        <v>0</v>
      </c>
      <c r="AP34" s="1221">
        <v>0</v>
      </c>
      <c r="AQ34" s="1221">
        <v>0</v>
      </c>
      <c r="AR34" s="1221">
        <v>0</v>
      </c>
      <c r="AS34" s="1221">
        <v>0</v>
      </c>
      <c r="AT34" s="1221">
        <v>0</v>
      </c>
      <c r="AU34" s="1221">
        <v>0</v>
      </c>
      <c r="AV34" s="1221">
        <v>0</v>
      </c>
      <c r="AW34" s="1221">
        <v>0</v>
      </c>
      <c r="AX34" s="1221">
        <v>0</v>
      </c>
      <c r="AY34" s="1221">
        <v>0</v>
      </c>
      <c r="AZ34" s="1221">
        <v>0</v>
      </c>
      <c r="BA34" s="1221">
        <v>0</v>
      </c>
      <c r="BB34" s="1221">
        <v>0</v>
      </c>
      <c r="BC34" s="1221">
        <v>0</v>
      </c>
      <c r="BD34" s="1221">
        <v>0</v>
      </c>
      <c r="BE34" s="1221">
        <v>0</v>
      </c>
      <c r="BF34" s="1221">
        <v>0</v>
      </c>
      <c r="BG34" s="1221">
        <v>0</v>
      </c>
      <c r="BH34" s="1221">
        <v>0</v>
      </c>
      <c r="BI34" s="1221">
        <v>0</v>
      </c>
      <c r="BJ34" s="1221">
        <v>0</v>
      </c>
      <c r="BK34" s="1221">
        <v>0</v>
      </c>
      <c r="BL34" s="1221">
        <v>0</v>
      </c>
      <c r="BM34" s="1221">
        <v>0</v>
      </c>
      <c r="BN34" s="1221">
        <v>0</v>
      </c>
      <c r="BO34" s="1221">
        <v>0</v>
      </c>
      <c r="BP34" s="1221">
        <v>0</v>
      </c>
      <c r="BQ34" s="1221">
        <v>0</v>
      </c>
      <c r="BR34" s="1221">
        <v>0</v>
      </c>
      <c r="BS34" s="1221">
        <v>0</v>
      </c>
      <c r="BT34" s="1221">
        <v>0</v>
      </c>
      <c r="BU34" s="1221">
        <v>0</v>
      </c>
      <c r="BV34" s="1221">
        <v>0</v>
      </c>
      <c r="BW34" s="1221">
        <v>0</v>
      </c>
      <c r="BX34" s="1221">
        <v>0</v>
      </c>
      <c r="BY34" s="1221">
        <v>0</v>
      </c>
      <c r="BZ34" s="1221">
        <v>0</v>
      </c>
      <c r="CA34" s="1221">
        <v>0</v>
      </c>
      <c r="CB34" s="1221">
        <v>0</v>
      </c>
      <c r="CC34" s="1221">
        <v>0</v>
      </c>
      <c r="CD34" s="1221">
        <v>0</v>
      </c>
      <c r="CE34" s="1221">
        <v>0</v>
      </c>
      <c r="CF34" s="1221">
        <v>0</v>
      </c>
      <c r="CG34" s="1221">
        <v>0</v>
      </c>
      <c r="CH34" s="1221">
        <v>0</v>
      </c>
      <c r="CI34" s="1221">
        <v>0</v>
      </c>
      <c r="CJ34" s="1221">
        <v>0</v>
      </c>
      <c r="CK34" s="1221">
        <v>0</v>
      </c>
      <c r="CL34" s="1221">
        <v>0</v>
      </c>
      <c r="CM34" s="1221">
        <v>0</v>
      </c>
      <c r="CN34" s="1221">
        <v>0</v>
      </c>
      <c r="CO34" s="1221">
        <v>0</v>
      </c>
      <c r="CP34" s="1221">
        <v>0</v>
      </c>
      <c r="CQ34" s="1221">
        <v>0</v>
      </c>
      <c r="CR34" s="1221">
        <v>0</v>
      </c>
      <c r="CS34" s="1221"/>
      <c r="CT34" s="1221"/>
      <c r="CU34" s="1221">
        <v>0</v>
      </c>
      <c r="CV34" s="1221">
        <v>0</v>
      </c>
      <c r="CW34" s="1221">
        <v>0</v>
      </c>
      <c r="CX34" s="1221">
        <v>0</v>
      </c>
      <c r="CY34" s="1221">
        <v>0</v>
      </c>
      <c r="CZ34" s="1221">
        <v>0</v>
      </c>
      <c r="DA34" s="1221">
        <v>0</v>
      </c>
      <c r="DB34" s="1221">
        <v>0</v>
      </c>
      <c r="DC34" s="1221">
        <v>0</v>
      </c>
      <c r="DD34" s="1221">
        <v>0</v>
      </c>
      <c r="DE34" s="1221">
        <v>0</v>
      </c>
      <c r="DF34" s="1221">
        <v>0</v>
      </c>
      <c r="DG34" s="1221">
        <v>0</v>
      </c>
      <c r="DH34" s="1221">
        <v>0</v>
      </c>
      <c r="DI34" s="1221">
        <v>0</v>
      </c>
      <c r="DJ34" s="1221">
        <v>0</v>
      </c>
      <c r="DK34" s="1221">
        <v>0</v>
      </c>
      <c r="DL34" s="1221">
        <v>0</v>
      </c>
      <c r="DM34" s="1221">
        <v>0</v>
      </c>
      <c r="DN34" s="1221">
        <v>0</v>
      </c>
      <c r="DO34" s="1221">
        <v>0</v>
      </c>
      <c r="DP34" s="1221">
        <v>0</v>
      </c>
      <c r="DQ34" s="1221">
        <v>0</v>
      </c>
      <c r="DR34" s="1221">
        <v>0</v>
      </c>
      <c r="DS34" s="1221">
        <v>0</v>
      </c>
      <c r="DT34" s="1221">
        <v>0</v>
      </c>
      <c r="DU34" s="1221">
        <v>0</v>
      </c>
      <c r="DV34" s="1221">
        <v>0</v>
      </c>
      <c r="DW34" s="1221">
        <v>0</v>
      </c>
      <c r="DX34" s="1221">
        <v>0</v>
      </c>
      <c r="DY34" s="1221">
        <v>0</v>
      </c>
      <c r="DZ34" s="1221">
        <v>0</v>
      </c>
      <c r="EA34" s="1221">
        <v>0</v>
      </c>
      <c r="EB34" s="1221">
        <v>0</v>
      </c>
      <c r="EC34" s="1221">
        <v>0</v>
      </c>
      <c r="ED34" s="1221">
        <v>0</v>
      </c>
      <c r="EE34" s="1221">
        <v>0</v>
      </c>
      <c r="EF34" s="1221">
        <v>0</v>
      </c>
      <c r="EG34" s="1221">
        <v>0</v>
      </c>
      <c r="EH34" s="1221">
        <v>0</v>
      </c>
      <c r="EI34" s="1221">
        <v>0</v>
      </c>
      <c r="EJ34" s="1221">
        <v>0</v>
      </c>
      <c r="EK34" s="1221"/>
      <c r="EL34" s="1221"/>
      <c r="EM34" s="1221"/>
      <c r="EN34" s="1221"/>
      <c r="EO34" s="1221"/>
      <c r="EP34" s="1221"/>
      <c r="EQ34" s="1221"/>
      <c r="ER34" s="1221"/>
      <c r="ES34" s="1221">
        <v>0</v>
      </c>
      <c r="ET34" s="1221">
        <v>0</v>
      </c>
      <c r="EU34" s="1221">
        <v>0</v>
      </c>
      <c r="EV34" s="1221">
        <v>0</v>
      </c>
      <c r="EW34" s="1221">
        <v>0</v>
      </c>
      <c r="EX34" s="1221">
        <v>0</v>
      </c>
      <c r="EY34" s="1221">
        <v>0</v>
      </c>
      <c r="EZ34" s="1221">
        <v>0</v>
      </c>
      <c r="FA34" s="1221">
        <v>0</v>
      </c>
      <c r="FB34" s="1221">
        <v>0</v>
      </c>
      <c r="FC34" s="1221">
        <v>0</v>
      </c>
      <c r="FD34" s="1221">
        <v>0</v>
      </c>
      <c r="FE34" s="1221">
        <v>0</v>
      </c>
      <c r="FF34" s="1221">
        <v>0</v>
      </c>
      <c r="FG34" s="1221"/>
      <c r="FH34" s="1221"/>
      <c r="FI34" s="1221"/>
      <c r="FJ34" s="1221"/>
      <c r="FK34" s="1221"/>
      <c r="FL34" s="1221"/>
      <c r="FM34" s="1221"/>
      <c r="FN34" s="1221"/>
      <c r="FO34" s="1221"/>
      <c r="FP34" s="1221"/>
      <c r="FQ34" s="1221"/>
      <c r="FR34" s="1221"/>
      <c r="FS34" s="1221"/>
      <c r="FT34" s="1221"/>
      <c r="FU34" s="1221"/>
      <c r="FV34" s="1221"/>
      <c r="FW34" s="1221"/>
      <c r="FX34" s="1221"/>
      <c r="FY34" s="1221"/>
      <c r="FZ34" s="1221"/>
      <c r="GA34" s="1221"/>
      <c r="GB34" s="1221"/>
      <c r="GC34" s="1221"/>
      <c r="GD34" s="1221"/>
      <c r="GE34" s="1221"/>
      <c r="GF34" s="1221"/>
      <c r="GG34" s="1221"/>
      <c r="GH34" s="1221"/>
      <c r="GI34" s="1221"/>
      <c r="GJ34" s="1221"/>
      <c r="GK34" s="1221"/>
      <c r="GL34" s="1221"/>
      <c r="GM34" s="1221"/>
      <c r="GN34" s="1221"/>
      <c r="GO34" s="1221"/>
      <c r="GP34" s="1221"/>
      <c r="GQ34" s="1221"/>
      <c r="GR34" s="1221"/>
      <c r="GS34" s="1221"/>
      <c r="GT34" s="1221"/>
      <c r="GU34" s="1221"/>
      <c r="GV34" s="1221"/>
      <c r="GW34" s="1221"/>
      <c r="GX34" s="1221"/>
      <c r="GY34" s="1221"/>
      <c r="GZ34" s="1221"/>
      <c r="HA34" s="1221"/>
      <c r="HB34" s="1221"/>
      <c r="HC34" s="1221"/>
      <c r="HD34" s="1221"/>
      <c r="HE34" s="1221"/>
      <c r="HF34" s="1221"/>
      <c r="HG34" s="1221"/>
      <c r="HH34" s="1221"/>
      <c r="HI34" s="1221"/>
      <c r="HJ34" s="1221"/>
      <c r="HK34" s="1221"/>
      <c r="HL34" s="1221"/>
      <c r="HM34" s="1221"/>
      <c r="HN34" s="1221"/>
      <c r="HO34" s="1221"/>
      <c r="HP34" s="1221"/>
      <c r="HQ34" s="1221"/>
      <c r="HR34" s="1221"/>
      <c r="HS34" s="1984" t="s">
        <v>3185</v>
      </c>
    </row>
    <row r="35" spans="1:227" ht="50.25" hidden="1" customHeight="1">
      <c r="A35" s="1836">
        <v>23</v>
      </c>
      <c r="B35" s="1984" t="s">
        <v>2331</v>
      </c>
      <c r="C35" s="1221">
        <v>2.0586599999999997</v>
      </c>
      <c r="D35" s="1221">
        <v>0.06</v>
      </c>
      <c r="E35" s="1221">
        <v>79.759230000000002</v>
      </c>
      <c r="F35" s="1221">
        <v>0.26</v>
      </c>
      <c r="G35" s="1221">
        <v>131.02712</v>
      </c>
      <c r="H35" s="1221">
        <v>0.36</v>
      </c>
      <c r="I35" s="1221">
        <v>133.76894000000001</v>
      </c>
      <c r="J35" s="1221">
        <v>0.36</v>
      </c>
      <c r="K35" s="1221">
        <v>178.65335999999999</v>
      </c>
      <c r="L35" s="1221">
        <v>0.65582000000000007</v>
      </c>
      <c r="M35" s="1221">
        <v>195.44431</v>
      </c>
      <c r="N35" s="1221">
        <v>0.65582000000000007</v>
      </c>
      <c r="O35" s="1221">
        <v>201.06</v>
      </c>
      <c r="P35" s="1221">
        <v>0.65582000000000007</v>
      </c>
      <c r="Q35" s="1221">
        <v>219.08505</v>
      </c>
      <c r="R35" s="1221">
        <v>0.75278</v>
      </c>
      <c r="S35" s="1221">
        <v>238.04031000000001</v>
      </c>
      <c r="T35" s="1221">
        <v>0.98778999999999995</v>
      </c>
      <c r="U35" s="1221">
        <v>323.17876000000001</v>
      </c>
      <c r="V35" s="1221">
        <v>0.98778999999999995</v>
      </c>
      <c r="W35" s="1221">
        <v>259.17876000000001</v>
      </c>
      <c r="X35" s="1221">
        <v>0.98778999999999995</v>
      </c>
      <c r="Y35" s="1221">
        <v>259.17876000000001</v>
      </c>
      <c r="Z35" s="1221">
        <v>0.98778999999999995</v>
      </c>
      <c r="AA35" s="1221">
        <v>0</v>
      </c>
      <c r="AB35" s="1221">
        <v>0.18759999999999999</v>
      </c>
      <c r="AC35" s="1221">
        <v>0</v>
      </c>
      <c r="AD35" s="1221">
        <v>1.3350499999999998</v>
      </c>
      <c r="AE35" s="1221">
        <v>0</v>
      </c>
      <c r="AF35" s="1221">
        <v>1.3350499999999998</v>
      </c>
      <c r="AG35" s="1221">
        <v>0</v>
      </c>
      <c r="AH35" s="1221">
        <v>1.3350499999999998</v>
      </c>
      <c r="AI35" s="1221">
        <v>0</v>
      </c>
      <c r="AJ35" s="1221">
        <v>1.3350499999999998</v>
      </c>
      <c r="AK35" s="1221">
        <v>0</v>
      </c>
      <c r="AL35" s="1221">
        <v>0</v>
      </c>
      <c r="AM35" s="1221">
        <v>0</v>
      </c>
      <c r="AN35" s="1221">
        <v>0</v>
      </c>
      <c r="AO35" s="1221">
        <v>0</v>
      </c>
      <c r="AP35" s="1221">
        <v>0</v>
      </c>
      <c r="AQ35" s="1221">
        <v>0</v>
      </c>
      <c r="AR35" s="1221">
        <v>0</v>
      </c>
      <c r="AS35" s="1221">
        <v>0</v>
      </c>
      <c r="AT35" s="1221">
        <v>0</v>
      </c>
      <c r="AU35" s="1221">
        <v>0</v>
      </c>
      <c r="AV35" s="1221">
        <v>0</v>
      </c>
      <c r="AW35" s="1221">
        <v>0</v>
      </c>
      <c r="AX35" s="1221">
        <v>0</v>
      </c>
      <c r="AY35" s="1221">
        <v>0</v>
      </c>
      <c r="AZ35" s="1221">
        <v>0</v>
      </c>
      <c r="BA35" s="1221">
        <v>0</v>
      </c>
      <c r="BB35" s="1221">
        <v>0</v>
      </c>
      <c r="BC35" s="1221">
        <v>0</v>
      </c>
      <c r="BD35" s="1221">
        <v>0</v>
      </c>
      <c r="BE35" s="1221">
        <v>0</v>
      </c>
      <c r="BF35" s="1221">
        <v>0</v>
      </c>
      <c r="BG35" s="1221">
        <v>0</v>
      </c>
      <c r="BH35" s="1221">
        <v>0</v>
      </c>
      <c r="BI35" s="1221">
        <v>0</v>
      </c>
      <c r="BJ35" s="1221">
        <v>0</v>
      </c>
      <c r="BK35" s="1221">
        <v>0</v>
      </c>
      <c r="BL35" s="1221">
        <v>0</v>
      </c>
      <c r="BM35" s="1221">
        <v>0</v>
      </c>
      <c r="BN35" s="1221">
        <v>0</v>
      </c>
      <c r="BO35" s="1221">
        <v>0</v>
      </c>
      <c r="BP35" s="1221">
        <v>0</v>
      </c>
      <c r="BQ35" s="1221">
        <v>0</v>
      </c>
      <c r="BR35" s="1221">
        <v>0</v>
      </c>
      <c r="BS35" s="1221">
        <v>0</v>
      </c>
      <c r="BT35" s="1221">
        <v>0</v>
      </c>
      <c r="BU35" s="1221">
        <v>0</v>
      </c>
      <c r="BV35" s="1221">
        <v>0</v>
      </c>
      <c r="BW35" s="1221">
        <v>0</v>
      </c>
      <c r="BX35" s="1221">
        <v>0</v>
      </c>
      <c r="BY35" s="1221">
        <v>0</v>
      </c>
      <c r="BZ35" s="1221">
        <v>0</v>
      </c>
      <c r="CA35" s="1221">
        <v>0</v>
      </c>
      <c r="CB35" s="1221">
        <v>0</v>
      </c>
      <c r="CC35" s="1221">
        <v>0</v>
      </c>
      <c r="CD35" s="1221">
        <v>0</v>
      </c>
      <c r="CE35" s="1221">
        <v>0</v>
      </c>
      <c r="CF35" s="1221">
        <v>0</v>
      </c>
      <c r="CG35" s="1221">
        <v>0</v>
      </c>
      <c r="CH35" s="1221">
        <v>0</v>
      </c>
      <c r="CI35" s="1221">
        <v>0</v>
      </c>
      <c r="CJ35" s="1221">
        <v>0</v>
      </c>
      <c r="CK35" s="1221">
        <v>0</v>
      </c>
      <c r="CL35" s="1221">
        <v>0</v>
      </c>
      <c r="CM35" s="1221">
        <v>0</v>
      </c>
      <c r="CN35" s="1221">
        <v>0</v>
      </c>
      <c r="CO35" s="1221">
        <v>0</v>
      </c>
      <c r="CP35" s="1221">
        <v>0</v>
      </c>
      <c r="CQ35" s="1221">
        <v>0</v>
      </c>
      <c r="CR35" s="1221">
        <v>0</v>
      </c>
      <c r="CS35" s="1221"/>
      <c r="CT35" s="1221"/>
      <c r="CU35" s="1221">
        <v>0</v>
      </c>
      <c r="CV35" s="1221">
        <v>0</v>
      </c>
      <c r="CW35" s="1221">
        <v>0</v>
      </c>
      <c r="CX35" s="1221">
        <v>0</v>
      </c>
      <c r="CY35" s="1221">
        <v>0</v>
      </c>
      <c r="CZ35" s="1221">
        <v>0</v>
      </c>
      <c r="DA35" s="1221">
        <v>0</v>
      </c>
      <c r="DB35" s="1221">
        <v>0</v>
      </c>
      <c r="DC35" s="1221">
        <v>0</v>
      </c>
      <c r="DD35" s="1221">
        <v>0</v>
      </c>
      <c r="DE35" s="1221">
        <v>0</v>
      </c>
      <c r="DF35" s="1221">
        <v>0</v>
      </c>
      <c r="DG35" s="1221">
        <v>0</v>
      </c>
      <c r="DH35" s="1221">
        <v>0</v>
      </c>
      <c r="DI35" s="1221">
        <v>0</v>
      </c>
      <c r="DJ35" s="1221">
        <v>0</v>
      </c>
      <c r="DK35" s="1221">
        <v>0</v>
      </c>
      <c r="DL35" s="1221">
        <v>0</v>
      </c>
      <c r="DM35" s="1221">
        <v>0</v>
      </c>
      <c r="DN35" s="1221">
        <v>0</v>
      </c>
      <c r="DO35" s="1221">
        <v>0</v>
      </c>
      <c r="DP35" s="1221">
        <v>0</v>
      </c>
      <c r="DQ35" s="1221">
        <v>0</v>
      </c>
      <c r="DR35" s="1221">
        <v>0</v>
      </c>
      <c r="DS35" s="1221">
        <v>0</v>
      </c>
      <c r="DT35" s="1221">
        <v>0</v>
      </c>
      <c r="DU35" s="1221">
        <v>0</v>
      </c>
      <c r="DV35" s="1221">
        <v>0</v>
      </c>
      <c r="DW35" s="1221">
        <v>0</v>
      </c>
      <c r="DX35" s="1221">
        <v>0</v>
      </c>
      <c r="DY35" s="1221">
        <v>0</v>
      </c>
      <c r="DZ35" s="1221">
        <v>0</v>
      </c>
      <c r="EA35" s="1221">
        <v>0</v>
      </c>
      <c r="EB35" s="1221">
        <v>0</v>
      </c>
      <c r="EC35" s="1221">
        <v>0</v>
      </c>
      <c r="ED35" s="1221">
        <v>0</v>
      </c>
      <c r="EE35" s="1221">
        <v>0</v>
      </c>
      <c r="EF35" s="1221">
        <v>0</v>
      </c>
      <c r="EG35" s="1221">
        <v>0</v>
      </c>
      <c r="EH35" s="1221">
        <v>0</v>
      </c>
      <c r="EI35" s="1221">
        <v>0</v>
      </c>
      <c r="EJ35" s="1221">
        <v>0</v>
      </c>
      <c r="EK35" s="1221"/>
      <c r="EL35" s="1221"/>
      <c r="EM35" s="1221"/>
      <c r="EN35" s="1221"/>
      <c r="EO35" s="1221"/>
      <c r="EP35" s="1221"/>
      <c r="EQ35" s="1221"/>
      <c r="ER35" s="1221"/>
      <c r="ES35" s="1221">
        <v>0</v>
      </c>
      <c r="ET35" s="1221">
        <v>0</v>
      </c>
      <c r="EU35" s="1221">
        <v>0</v>
      </c>
      <c r="EV35" s="1221">
        <v>0</v>
      </c>
      <c r="EW35" s="1221">
        <v>0</v>
      </c>
      <c r="EX35" s="1221">
        <v>0</v>
      </c>
      <c r="EY35" s="1221">
        <v>0</v>
      </c>
      <c r="EZ35" s="1221">
        <v>0</v>
      </c>
      <c r="FA35" s="1221">
        <v>0</v>
      </c>
      <c r="FB35" s="1221">
        <v>0</v>
      </c>
      <c r="FC35" s="1221">
        <v>0</v>
      </c>
      <c r="FD35" s="1221">
        <v>0</v>
      </c>
      <c r="FE35" s="1221">
        <v>0</v>
      </c>
      <c r="FF35" s="1221">
        <v>0</v>
      </c>
      <c r="FG35" s="1221"/>
      <c r="FH35" s="1221"/>
      <c r="FI35" s="1221"/>
      <c r="FJ35" s="1221"/>
      <c r="FK35" s="1221"/>
      <c r="FL35" s="1221"/>
      <c r="FM35" s="1221"/>
      <c r="FN35" s="1221"/>
      <c r="FO35" s="1221"/>
      <c r="FP35" s="1221"/>
      <c r="FQ35" s="1221"/>
      <c r="FR35" s="1221"/>
      <c r="FS35" s="1221"/>
      <c r="FT35" s="1221"/>
      <c r="FU35" s="1221"/>
      <c r="FV35" s="1221"/>
      <c r="FW35" s="1221"/>
      <c r="FX35" s="1221"/>
      <c r="FY35" s="1221"/>
      <c r="FZ35" s="1221"/>
      <c r="GA35" s="1221"/>
      <c r="GB35" s="1221"/>
      <c r="GC35" s="1221"/>
      <c r="GD35" s="1221"/>
      <c r="GE35" s="1221"/>
      <c r="GF35" s="1221"/>
      <c r="GG35" s="1221"/>
      <c r="GH35" s="1221"/>
      <c r="GI35" s="1221"/>
      <c r="GJ35" s="1221"/>
      <c r="GK35" s="1221"/>
      <c r="GL35" s="1221"/>
      <c r="GM35" s="1221"/>
      <c r="GN35" s="1221"/>
      <c r="GO35" s="1221"/>
      <c r="GP35" s="1221"/>
      <c r="GQ35" s="1221"/>
      <c r="GR35" s="1221"/>
      <c r="GS35" s="1221"/>
      <c r="GT35" s="1221"/>
      <c r="GU35" s="1221"/>
      <c r="GV35" s="1221"/>
      <c r="GW35" s="1221"/>
      <c r="GX35" s="1221"/>
      <c r="GY35" s="1221"/>
      <c r="GZ35" s="1221"/>
      <c r="HA35" s="1221"/>
      <c r="HB35" s="1221"/>
      <c r="HC35" s="1221"/>
      <c r="HD35" s="1221"/>
      <c r="HE35" s="1221"/>
      <c r="HF35" s="1221"/>
      <c r="HG35" s="1221"/>
      <c r="HH35" s="1221"/>
      <c r="HI35" s="1221"/>
      <c r="HJ35" s="1221"/>
      <c r="HK35" s="1221"/>
      <c r="HL35" s="1221"/>
      <c r="HM35" s="1221"/>
      <c r="HN35" s="1221"/>
      <c r="HO35" s="1221"/>
      <c r="HP35" s="1221"/>
      <c r="HQ35" s="1221"/>
      <c r="HR35" s="1221"/>
      <c r="HS35" s="1984" t="s">
        <v>3186</v>
      </c>
    </row>
    <row r="36" spans="1:227" ht="50.25" hidden="1" customHeight="1">
      <c r="A36" s="1836">
        <v>24</v>
      </c>
      <c r="B36" s="1984" t="s">
        <v>2330</v>
      </c>
      <c r="C36" s="1221">
        <v>312.48942</v>
      </c>
      <c r="D36" s="1221">
        <v>159.70602</v>
      </c>
      <c r="E36" s="1221">
        <v>410.63842999999997</v>
      </c>
      <c r="F36" s="1221">
        <v>294.76346000000001</v>
      </c>
      <c r="G36" s="1221">
        <v>633.87076000000002</v>
      </c>
      <c r="H36" s="1221">
        <v>327.40323000000001</v>
      </c>
      <c r="I36" s="1221">
        <v>847.56209000000001</v>
      </c>
      <c r="J36" s="1221">
        <v>503.86387000000002</v>
      </c>
      <c r="K36" s="1221">
        <v>1023.6065</v>
      </c>
      <c r="L36" s="1221">
        <v>594.37277000000006</v>
      </c>
      <c r="M36" s="1221">
        <v>1019.8405</v>
      </c>
      <c r="N36" s="1221">
        <v>654.51645999999994</v>
      </c>
      <c r="O36" s="1221">
        <v>1019.05426</v>
      </c>
      <c r="P36" s="1221">
        <v>735.78006999999991</v>
      </c>
      <c r="Q36" s="1221">
        <v>1021.13783</v>
      </c>
      <c r="R36" s="1221">
        <v>811.62444999999991</v>
      </c>
      <c r="S36" s="1221">
        <v>1021.13783</v>
      </c>
      <c r="T36" s="1221">
        <v>811.62444999999991</v>
      </c>
      <c r="U36" s="1221">
        <v>1021.13783</v>
      </c>
      <c r="V36" s="1221">
        <v>811.62444999999991</v>
      </c>
      <c r="W36" s="1221">
        <v>1021.13783</v>
      </c>
      <c r="X36" s="1221">
        <v>811.62444999999991</v>
      </c>
      <c r="Y36" s="1221">
        <v>1018.45994</v>
      </c>
      <c r="Z36" s="1221">
        <v>1207.7731999999999</v>
      </c>
      <c r="AA36" s="1221">
        <v>0</v>
      </c>
      <c r="AB36" s="1221">
        <v>0</v>
      </c>
      <c r="AC36" s="1221">
        <v>0</v>
      </c>
      <c r="AD36" s="1221">
        <v>0</v>
      </c>
      <c r="AE36" s="1221">
        <v>0</v>
      </c>
      <c r="AF36" s="1221">
        <v>0</v>
      </c>
      <c r="AG36" s="1221">
        <v>0</v>
      </c>
      <c r="AH36" s="1221">
        <v>0</v>
      </c>
      <c r="AI36" s="1221">
        <v>0</v>
      </c>
      <c r="AJ36" s="1221">
        <v>0</v>
      </c>
      <c r="AK36" s="1221">
        <v>0</v>
      </c>
      <c r="AL36" s="1221">
        <v>0</v>
      </c>
      <c r="AM36" s="1221">
        <v>0</v>
      </c>
      <c r="AN36" s="1221">
        <v>0</v>
      </c>
      <c r="AO36" s="1221">
        <v>0</v>
      </c>
      <c r="AP36" s="1221">
        <v>0</v>
      </c>
      <c r="AQ36" s="1221">
        <v>0</v>
      </c>
      <c r="AR36" s="1221">
        <v>0</v>
      </c>
      <c r="AS36" s="1221">
        <v>0</v>
      </c>
      <c r="AT36" s="1221">
        <v>0</v>
      </c>
      <c r="AU36" s="1221">
        <v>0</v>
      </c>
      <c r="AV36" s="1221">
        <v>0</v>
      </c>
      <c r="AW36" s="1221">
        <v>0</v>
      </c>
      <c r="AX36" s="1221">
        <v>0</v>
      </c>
      <c r="AY36" s="1221">
        <v>0</v>
      </c>
      <c r="AZ36" s="1221">
        <v>0</v>
      </c>
      <c r="BA36" s="1221">
        <v>0</v>
      </c>
      <c r="BB36" s="1221">
        <v>0</v>
      </c>
      <c r="BC36" s="1221">
        <v>0</v>
      </c>
      <c r="BD36" s="1221">
        <v>0</v>
      </c>
      <c r="BE36" s="1221">
        <v>0</v>
      </c>
      <c r="BF36" s="1221">
        <v>0</v>
      </c>
      <c r="BG36" s="1221">
        <v>0</v>
      </c>
      <c r="BH36" s="1221">
        <v>0</v>
      </c>
      <c r="BI36" s="1221">
        <v>0</v>
      </c>
      <c r="BJ36" s="1221">
        <v>0</v>
      </c>
      <c r="BK36" s="1221">
        <v>0</v>
      </c>
      <c r="BL36" s="1221">
        <v>0</v>
      </c>
      <c r="BM36" s="1221">
        <v>0</v>
      </c>
      <c r="BN36" s="1221">
        <v>0</v>
      </c>
      <c r="BO36" s="1221">
        <v>0</v>
      </c>
      <c r="BP36" s="1221">
        <v>0</v>
      </c>
      <c r="BQ36" s="1221">
        <v>0</v>
      </c>
      <c r="BR36" s="1221">
        <v>0</v>
      </c>
      <c r="BS36" s="1221">
        <v>0</v>
      </c>
      <c r="BT36" s="1221">
        <v>0</v>
      </c>
      <c r="BU36" s="1221">
        <v>0</v>
      </c>
      <c r="BV36" s="1221">
        <v>0</v>
      </c>
      <c r="BW36" s="1221">
        <v>0</v>
      </c>
      <c r="BX36" s="1221">
        <v>0</v>
      </c>
      <c r="BY36" s="1221">
        <v>0</v>
      </c>
      <c r="BZ36" s="1221">
        <v>0</v>
      </c>
      <c r="CA36" s="1221">
        <v>0</v>
      </c>
      <c r="CB36" s="1221">
        <v>0</v>
      </c>
      <c r="CC36" s="1221">
        <v>0</v>
      </c>
      <c r="CD36" s="1221">
        <v>0</v>
      </c>
      <c r="CE36" s="1221">
        <v>0</v>
      </c>
      <c r="CF36" s="1221">
        <v>0</v>
      </c>
      <c r="CG36" s="1221">
        <v>0</v>
      </c>
      <c r="CH36" s="1221">
        <v>0</v>
      </c>
      <c r="CI36" s="1221">
        <v>0</v>
      </c>
      <c r="CJ36" s="1221">
        <v>0</v>
      </c>
      <c r="CK36" s="1221">
        <v>0</v>
      </c>
      <c r="CL36" s="1221">
        <v>0</v>
      </c>
      <c r="CM36" s="1221">
        <v>0</v>
      </c>
      <c r="CN36" s="1221">
        <v>0</v>
      </c>
      <c r="CO36" s="1221">
        <v>0</v>
      </c>
      <c r="CP36" s="1221">
        <v>0</v>
      </c>
      <c r="CQ36" s="1221">
        <v>0</v>
      </c>
      <c r="CR36" s="1221">
        <v>0</v>
      </c>
      <c r="CS36" s="1221"/>
      <c r="CT36" s="1221"/>
      <c r="CU36" s="1221">
        <v>0</v>
      </c>
      <c r="CV36" s="1221">
        <v>0</v>
      </c>
      <c r="CW36" s="1221">
        <v>0</v>
      </c>
      <c r="CX36" s="1221">
        <v>0</v>
      </c>
      <c r="CY36" s="1221">
        <v>0</v>
      </c>
      <c r="CZ36" s="1221">
        <v>0</v>
      </c>
      <c r="DA36" s="1221">
        <v>0</v>
      </c>
      <c r="DB36" s="1221">
        <v>0</v>
      </c>
      <c r="DC36" s="1221">
        <v>0</v>
      </c>
      <c r="DD36" s="1221">
        <v>0</v>
      </c>
      <c r="DE36" s="1221">
        <v>0</v>
      </c>
      <c r="DF36" s="1221">
        <v>0</v>
      </c>
      <c r="DG36" s="1221">
        <v>0</v>
      </c>
      <c r="DH36" s="1221">
        <v>0</v>
      </c>
      <c r="DI36" s="1221">
        <v>0</v>
      </c>
      <c r="DJ36" s="1221">
        <v>0</v>
      </c>
      <c r="DK36" s="1221">
        <v>0</v>
      </c>
      <c r="DL36" s="1221">
        <v>0</v>
      </c>
      <c r="DM36" s="1221">
        <v>0</v>
      </c>
      <c r="DN36" s="1221">
        <v>0</v>
      </c>
      <c r="DO36" s="1221">
        <v>0</v>
      </c>
      <c r="DP36" s="1221">
        <v>0</v>
      </c>
      <c r="DQ36" s="1221">
        <v>0</v>
      </c>
      <c r="DR36" s="1221">
        <v>0</v>
      </c>
      <c r="DS36" s="1221">
        <v>0</v>
      </c>
      <c r="DT36" s="1221">
        <v>0</v>
      </c>
      <c r="DU36" s="1221">
        <v>0</v>
      </c>
      <c r="DV36" s="1221">
        <v>0</v>
      </c>
      <c r="DW36" s="1221">
        <v>0</v>
      </c>
      <c r="DX36" s="1221">
        <v>0</v>
      </c>
      <c r="DY36" s="1221">
        <v>0</v>
      </c>
      <c r="DZ36" s="1221">
        <v>0</v>
      </c>
      <c r="EA36" s="1221">
        <v>0</v>
      </c>
      <c r="EB36" s="1221">
        <v>0</v>
      </c>
      <c r="EC36" s="1221">
        <v>0</v>
      </c>
      <c r="ED36" s="1221">
        <v>0</v>
      </c>
      <c r="EE36" s="1221">
        <v>0</v>
      </c>
      <c r="EF36" s="1221">
        <v>0</v>
      </c>
      <c r="EG36" s="1221">
        <v>0</v>
      </c>
      <c r="EH36" s="1221">
        <v>0</v>
      </c>
      <c r="EI36" s="1221">
        <v>0</v>
      </c>
      <c r="EJ36" s="1221">
        <v>0</v>
      </c>
      <c r="EK36" s="1221"/>
      <c r="EL36" s="1221"/>
      <c r="EM36" s="1221"/>
      <c r="EN36" s="1221"/>
      <c r="EO36" s="1221"/>
      <c r="EP36" s="1221"/>
      <c r="EQ36" s="1221"/>
      <c r="ER36" s="1221"/>
      <c r="ES36" s="1221">
        <v>0</v>
      </c>
      <c r="ET36" s="1221">
        <v>0</v>
      </c>
      <c r="EU36" s="1221">
        <v>0</v>
      </c>
      <c r="EV36" s="1221">
        <v>0</v>
      </c>
      <c r="EW36" s="1221">
        <v>0</v>
      </c>
      <c r="EX36" s="1221">
        <v>0</v>
      </c>
      <c r="EY36" s="1221">
        <v>0</v>
      </c>
      <c r="EZ36" s="1221">
        <v>0</v>
      </c>
      <c r="FA36" s="1221">
        <v>0</v>
      </c>
      <c r="FB36" s="1221">
        <v>0</v>
      </c>
      <c r="FC36" s="1221">
        <v>0</v>
      </c>
      <c r="FD36" s="1221">
        <v>0</v>
      </c>
      <c r="FE36" s="1221">
        <v>0</v>
      </c>
      <c r="FF36" s="1221">
        <v>0</v>
      </c>
      <c r="FG36" s="1221"/>
      <c r="FH36" s="1221"/>
      <c r="FI36" s="1221"/>
      <c r="FJ36" s="1221"/>
      <c r="FK36" s="1221"/>
      <c r="FL36" s="1221"/>
      <c r="FM36" s="1221"/>
      <c r="FN36" s="1221"/>
      <c r="FO36" s="1221"/>
      <c r="FP36" s="1221"/>
      <c r="FQ36" s="1221"/>
      <c r="FR36" s="1221"/>
      <c r="FS36" s="1221"/>
      <c r="FT36" s="1221"/>
      <c r="FU36" s="1221"/>
      <c r="FV36" s="1221"/>
      <c r="FW36" s="1221"/>
      <c r="FX36" s="1221"/>
      <c r="FY36" s="1221"/>
      <c r="FZ36" s="1221"/>
      <c r="GA36" s="1221"/>
      <c r="GB36" s="1221"/>
      <c r="GC36" s="1221"/>
      <c r="GD36" s="1221"/>
      <c r="GE36" s="1221"/>
      <c r="GF36" s="1221"/>
      <c r="GG36" s="1221"/>
      <c r="GH36" s="1221"/>
      <c r="GI36" s="1221"/>
      <c r="GJ36" s="1221"/>
      <c r="GK36" s="1221"/>
      <c r="GL36" s="1221"/>
      <c r="GM36" s="1221"/>
      <c r="GN36" s="1221"/>
      <c r="GO36" s="1221"/>
      <c r="GP36" s="1221"/>
      <c r="GQ36" s="1221"/>
      <c r="GR36" s="1221"/>
      <c r="GS36" s="1221"/>
      <c r="GT36" s="1221"/>
      <c r="GU36" s="1221"/>
      <c r="GV36" s="1221"/>
      <c r="GW36" s="1221"/>
      <c r="GX36" s="1221"/>
      <c r="GY36" s="1221"/>
      <c r="GZ36" s="1221"/>
      <c r="HA36" s="1221"/>
      <c r="HB36" s="1221"/>
      <c r="HC36" s="1221"/>
      <c r="HD36" s="1221"/>
      <c r="HE36" s="1221"/>
      <c r="HF36" s="1221"/>
      <c r="HG36" s="1221"/>
      <c r="HH36" s="1221"/>
      <c r="HI36" s="1221"/>
      <c r="HJ36" s="1221"/>
      <c r="HK36" s="1221"/>
      <c r="HL36" s="1221"/>
      <c r="HM36" s="1221"/>
      <c r="HN36" s="1221"/>
      <c r="HO36" s="1221"/>
      <c r="HP36" s="1221"/>
      <c r="HQ36" s="1221"/>
      <c r="HR36" s="1221"/>
      <c r="HS36" s="1984" t="s">
        <v>3187</v>
      </c>
    </row>
    <row r="37" spans="1:227" ht="50.25" hidden="1" customHeight="1">
      <c r="A37" s="1836">
        <v>25</v>
      </c>
      <c r="B37" s="1984" t="s">
        <v>2338</v>
      </c>
      <c r="C37" s="1221">
        <v>49</v>
      </c>
      <c r="D37" s="1221">
        <v>30.452860000000001</v>
      </c>
      <c r="E37" s="1221">
        <v>100.98016</v>
      </c>
      <c r="F37" s="1221">
        <v>94.942740000000001</v>
      </c>
      <c r="G37" s="1221">
        <v>160.97749999999999</v>
      </c>
      <c r="H37" s="1221">
        <v>203.74451999999999</v>
      </c>
      <c r="I37" s="1221">
        <v>391.05821999999995</v>
      </c>
      <c r="J37" s="1221">
        <v>268.93696999999997</v>
      </c>
      <c r="K37" s="1221">
        <v>456.98453000000001</v>
      </c>
      <c r="L37" s="1221">
        <v>352.84728999999999</v>
      </c>
      <c r="M37" s="1221">
        <v>546.21884</v>
      </c>
      <c r="N37" s="1221">
        <v>432.32092999999998</v>
      </c>
      <c r="O37" s="1221">
        <v>701.36056999999994</v>
      </c>
      <c r="P37" s="1221">
        <v>497.43801000000002</v>
      </c>
      <c r="Q37" s="1221">
        <v>764.75831999999991</v>
      </c>
      <c r="R37" s="1221">
        <v>549.37239999999997</v>
      </c>
      <c r="S37" s="1221">
        <v>828.14882999999998</v>
      </c>
      <c r="T37" s="1221">
        <v>603.06878000000006</v>
      </c>
      <c r="U37" s="1221">
        <v>910.31011000000001</v>
      </c>
      <c r="V37" s="1221">
        <v>642.26311999999996</v>
      </c>
      <c r="W37" s="1221">
        <v>956.85563999999999</v>
      </c>
      <c r="X37" s="1221">
        <v>755.95866000000001</v>
      </c>
      <c r="Y37" s="1221">
        <v>1018.51888</v>
      </c>
      <c r="Z37" s="1221">
        <v>855.03906999999992</v>
      </c>
      <c r="AA37" s="1221">
        <v>25.325080000000003</v>
      </c>
      <c r="AB37" s="1221">
        <v>16.174949999999999</v>
      </c>
      <c r="AC37" s="1221">
        <v>55.191429999999997</v>
      </c>
      <c r="AD37" s="1221">
        <v>58.941669999999995</v>
      </c>
      <c r="AE37" s="1221">
        <v>109.27676</v>
      </c>
      <c r="AF37" s="1221">
        <v>113.30364</v>
      </c>
      <c r="AG37" s="1221">
        <v>141.73417999999998</v>
      </c>
      <c r="AH37" s="1221">
        <v>189.49664000000001</v>
      </c>
      <c r="AI37" s="1221">
        <v>209.53251</v>
      </c>
      <c r="AJ37" s="1221">
        <v>269.99648999999999</v>
      </c>
      <c r="AK37" s="1221">
        <v>246.89261999999999</v>
      </c>
      <c r="AL37" s="1221">
        <v>360.47798999999998</v>
      </c>
      <c r="AM37" s="1221">
        <v>281.512</v>
      </c>
      <c r="AN37" s="1221">
        <v>397.24761000000001</v>
      </c>
      <c r="AO37" s="1221">
        <v>372.79732999999999</v>
      </c>
      <c r="AP37" s="1221">
        <v>416.35616999999996</v>
      </c>
      <c r="AQ37" s="1221">
        <v>447.62493000000001</v>
      </c>
      <c r="AR37" s="1221">
        <v>452.73182000000003</v>
      </c>
      <c r="AS37" s="1221">
        <v>517.28206</v>
      </c>
      <c r="AT37" s="1221">
        <v>470.90302000000003</v>
      </c>
      <c r="AU37" s="1221">
        <v>590.88477</v>
      </c>
      <c r="AV37" s="1221">
        <v>506.04583000000002</v>
      </c>
      <c r="AW37" s="1221">
        <v>690.34251000000006</v>
      </c>
      <c r="AX37" s="1221">
        <v>546.89134000000001</v>
      </c>
      <c r="AY37" s="1221">
        <v>77.025279999999995</v>
      </c>
      <c r="AZ37" s="1221">
        <v>10.40527</v>
      </c>
      <c r="BA37" s="1221">
        <v>201.23860000000002</v>
      </c>
      <c r="BB37" s="1221">
        <v>52.144190000000002</v>
      </c>
      <c r="BC37" s="1221">
        <v>265.25</v>
      </c>
      <c r="BD37" s="1221">
        <v>75.28</v>
      </c>
      <c r="BE37" s="1221">
        <v>388.25064000000003</v>
      </c>
      <c r="BF37" s="1221">
        <v>109.75761</v>
      </c>
      <c r="BG37" s="1221">
        <v>536.37089000000003</v>
      </c>
      <c r="BH37" s="1221">
        <v>138.66015999999999</v>
      </c>
      <c r="BI37" s="1221">
        <v>686.50115000000005</v>
      </c>
      <c r="BJ37" s="1221">
        <v>150.72548999999998</v>
      </c>
      <c r="BK37" s="1221">
        <v>870.3043100000001</v>
      </c>
      <c r="BL37" s="1221">
        <v>175.82373999999999</v>
      </c>
      <c r="BM37" s="1221">
        <v>1079.0352800000001</v>
      </c>
      <c r="BN37" s="1221">
        <v>234.08370000000002</v>
      </c>
      <c r="BO37" s="1221">
        <v>1239.58366</v>
      </c>
      <c r="BP37" s="1221">
        <v>251.78676000000002</v>
      </c>
      <c r="BQ37" s="1221">
        <v>1391.9308000000001</v>
      </c>
      <c r="BR37" s="1221">
        <v>274.50909000000001</v>
      </c>
      <c r="BS37" s="1221">
        <v>1531.0980199999999</v>
      </c>
      <c r="BT37" s="1221">
        <v>291.59737999999999</v>
      </c>
      <c r="BU37" s="1221">
        <v>1758.9494399999999</v>
      </c>
      <c r="BV37" s="1221">
        <v>315.95328000000001</v>
      </c>
      <c r="BW37" s="1221">
        <v>180.65432999999999</v>
      </c>
      <c r="BX37" s="1221">
        <v>31.650069999999999</v>
      </c>
      <c r="BY37" s="1221">
        <v>424.64274</v>
      </c>
      <c r="BZ37" s="1221">
        <v>43.448070000000001</v>
      </c>
      <c r="CA37" s="1221">
        <v>557.41575</v>
      </c>
      <c r="CB37" s="1221">
        <v>83.088220000000007</v>
      </c>
      <c r="CC37" s="1221">
        <v>818.14227000000005</v>
      </c>
      <c r="CD37" s="1221">
        <v>115.06631</v>
      </c>
      <c r="CE37" s="1221">
        <v>1059.2552599999999</v>
      </c>
      <c r="CF37" s="1221">
        <v>143.29271</v>
      </c>
      <c r="CG37" s="1221">
        <v>1291.3281899999999</v>
      </c>
      <c r="CH37" s="1221">
        <v>172.01814000000002</v>
      </c>
      <c r="CI37" s="1221">
        <v>1550.0361599999999</v>
      </c>
      <c r="CJ37" s="1221">
        <v>183.87198000000001</v>
      </c>
      <c r="CK37" s="1221">
        <v>1823.6825200000001</v>
      </c>
      <c r="CL37" s="1221">
        <v>254.20414000000002</v>
      </c>
      <c r="CM37" s="1221">
        <v>2064.7484800000002</v>
      </c>
      <c r="CN37" s="1221">
        <v>310.09629999999999</v>
      </c>
      <c r="CO37" s="1221">
        <v>2436.6077</v>
      </c>
      <c r="CP37" s="1221">
        <v>394.90395000000001</v>
      </c>
      <c r="CQ37" s="1221">
        <v>2753.2390299999997</v>
      </c>
      <c r="CR37" s="1221">
        <v>410.82256000000001</v>
      </c>
      <c r="CS37" s="1221">
        <v>3185.0547700000002</v>
      </c>
      <c r="CT37" s="1221">
        <v>477.44553000000002</v>
      </c>
      <c r="CU37" s="1221">
        <v>331.32506999999998</v>
      </c>
      <c r="CV37" s="1221">
        <v>67.692449999999994</v>
      </c>
      <c r="CW37" s="1221">
        <v>705.46328000000005</v>
      </c>
      <c r="CX37" s="1221">
        <v>99.739190000000008</v>
      </c>
      <c r="CY37" s="1221">
        <v>905.53506999999991</v>
      </c>
      <c r="CZ37" s="1221">
        <v>134.31042000000002</v>
      </c>
      <c r="DA37" s="1221">
        <v>990.57875000000001</v>
      </c>
      <c r="DB37" s="1221">
        <v>161.09273999999999</v>
      </c>
      <c r="DC37" s="1221">
        <v>1058.45832</v>
      </c>
      <c r="DD37" s="1221">
        <v>175.82531</v>
      </c>
      <c r="DE37" s="1221">
        <v>1077.9885800000002</v>
      </c>
      <c r="DF37" s="1221">
        <v>234.73455999999999</v>
      </c>
      <c r="DG37" s="1221">
        <v>1077.9183799999998</v>
      </c>
      <c r="DH37" s="1221">
        <v>255.90749</v>
      </c>
      <c r="DI37" s="1221">
        <v>1077.9183799999998</v>
      </c>
      <c r="DJ37" s="1221">
        <v>267.90854999999999</v>
      </c>
      <c r="DK37" s="1221">
        <v>1077.9183799999998</v>
      </c>
      <c r="DL37" s="1221">
        <v>283.30074000000002</v>
      </c>
      <c r="DM37" s="1221">
        <v>1077.9183799999998</v>
      </c>
      <c r="DN37" s="1221">
        <v>308.43376000000001</v>
      </c>
      <c r="DO37" s="1221">
        <v>1077.9183799999998</v>
      </c>
      <c r="DP37" s="1221">
        <v>319.09476000000001</v>
      </c>
      <c r="DQ37" s="1221">
        <v>1077.9183799999998</v>
      </c>
      <c r="DR37" s="1221">
        <v>332.10136999999997</v>
      </c>
      <c r="DS37" s="1221">
        <v>0</v>
      </c>
      <c r="DT37" s="1221">
        <v>8.8947700000000012</v>
      </c>
      <c r="DU37" s="1221">
        <v>0</v>
      </c>
      <c r="DV37" s="1221">
        <v>22.69426</v>
      </c>
      <c r="DW37" s="1221">
        <v>0</v>
      </c>
      <c r="DX37" s="1221">
        <v>37.149480000000004</v>
      </c>
      <c r="DY37" s="1221">
        <v>0</v>
      </c>
      <c r="DZ37" s="1221">
        <v>47.027550000000005</v>
      </c>
      <c r="EA37" s="1221">
        <v>0</v>
      </c>
      <c r="EB37" s="1221">
        <v>97.614369999999994</v>
      </c>
      <c r="EC37" s="1221">
        <v>0</v>
      </c>
      <c r="ED37" s="1221">
        <v>0</v>
      </c>
      <c r="EE37" s="1221">
        <v>0</v>
      </c>
      <c r="EF37" s="1221">
        <v>0</v>
      </c>
      <c r="EG37" s="1221">
        <v>0</v>
      </c>
      <c r="EH37" s="1221">
        <v>0</v>
      </c>
      <c r="EI37" s="1221">
        <v>0</v>
      </c>
      <c r="EJ37" s="1221">
        <v>0</v>
      </c>
      <c r="EK37" s="1221"/>
      <c r="EL37" s="1221"/>
      <c r="EM37" s="1221"/>
      <c r="EN37" s="1221"/>
      <c r="EO37" s="1221"/>
      <c r="EP37" s="1221"/>
      <c r="EQ37" s="1221"/>
      <c r="ER37" s="1221"/>
      <c r="ES37" s="1221">
        <v>0</v>
      </c>
      <c r="ET37" s="1221">
        <v>0</v>
      </c>
      <c r="EU37" s="1221">
        <v>0</v>
      </c>
      <c r="EV37" s="1221">
        <v>0</v>
      </c>
      <c r="EW37" s="1221">
        <v>0</v>
      </c>
      <c r="EX37" s="1221">
        <v>0</v>
      </c>
      <c r="EY37" s="1221">
        <v>0</v>
      </c>
      <c r="EZ37" s="1221">
        <v>0</v>
      </c>
      <c r="FA37" s="1221">
        <v>0</v>
      </c>
      <c r="FB37" s="1221">
        <v>0</v>
      </c>
      <c r="FC37" s="1221">
        <v>0</v>
      </c>
      <c r="FD37" s="1221">
        <v>0</v>
      </c>
      <c r="FE37" s="1221">
        <v>0</v>
      </c>
      <c r="FF37" s="1221">
        <v>0</v>
      </c>
      <c r="FG37" s="1221"/>
      <c r="FH37" s="1221"/>
      <c r="FI37" s="1221"/>
      <c r="FJ37" s="1221"/>
      <c r="FK37" s="1221"/>
      <c r="FL37" s="1221"/>
      <c r="FM37" s="1221"/>
      <c r="FN37" s="1221"/>
      <c r="FO37" s="1221"/>
      <c r="FP37" s="1221"/>
      <c r="FQ37" s="1221"/>
      <c r="FR37" s="1221"/>
      <c r="FS37" s="1221"/>
      <c r="FT37" s="1221"/>
      <c r="FU37" s="1221"/>
      <c r="FV37" s="1221"/>
      <c r="FW37" s="1221"/>
      <c r="FX37" s="1221"/>
      <c r="FY37" s="1221"/>
      <c r="FZ37" s="1221"/>
      <c r="GA37" s="1221"/>
      <c r="GB37" s="1221"/>
      <c r="GC37" s="1221"/>
      <c r="GD37" s="1221"/>
      <c r="GE37" s="1221"/>
      <c r="GF37" s="1221"/>
      <c r="GG37" s="1221"/>
      <c r="GH37" s="1221"/>
      <c r="GI37" s="1221"/>
      <c r="GJ37" s="1221"/>
      <c r="GK37" s="1221"/>
      <c r="GL37" s="1221"/>
      <c r="GM37" s="1221"/>
      <c r="GN37" s="1221"/>
      <c r="GO37" s="1221"/>
      <c r="GP37" s="1221"/>
      <c r="GQ37" s="1221"/>
      <c r="GR37" s="1221"/>
      <c r="GS37" s="1221"/>
      <c r="GT37" s="1221"/>
      <c r="GU37" s="1221"/>
      <c r="GV37" s="1221"/>
      <c r="GW37" s="1221"/>
      <c r="GX37" s="1221"/>
      <c r="GY37" s="1221"/>
      <c r="GZ37" s="1221"/>
      <c r="HA37" s="1221"/>
      <c r="HB37" s="1221"/>
      <c r="HC37" s="1221"/>
      <c r="HD37" s="1221"/>
      <c r="HE37" s="1221"/>
      <c r="HF37" s="1221"/>
      <c r="HG37" s="1221"/>
      <c r="HH37" s="1221"/>
      <c r="HI37" s="1221"/>
      <c r="HJ37" s="1221"/>
      <c r="HK37" s="1221"/>
      <c r="HL37" s="1221"/>
      <c r="HM37" s="1221"/>
      <c r="HN37" s="1221"/>
      <c r="HO37" s="1221"/>
      <c r="HP37" s="1221"/>
      <c r="HQ37" s="1221"/>
      <c r="HR37" s="1221"/>
      <c r="HS37" s="1984" t="s">
        <v>3188</v>
      </c>
    </row>
    <row r="38" spans="1:227" ht="50.25" hidden="1" customHeight="1">
      <c r="A38" s="1836">
        <v>26</v>
      </c>
      <c r="B38" s="1984" t="s">
        <v>2343</v>
      </c>
      <c r="C38" s="1221">
        <v>0</v>
      </c>
      <c r="D38" s="1221">
        <v>0</v>
      </c>
      <c r="E38" s="1221">
        <v>0</v>
      </c>
      <c r="F38" s="1221">
        <v>0</v>
      </c>
      <c r="G38" s="1221">
        <v>0</v>
      </c>
      <c r="H38" s="1221">
        <v>0</v>
      </c>
      <c r="I38" s="1221">
        <v>0</v>
      </c>
      <c r="J38" s="1221">
        <v>0</v>
      </c>
      <c r="K38" s="1221">
        <v>0</v>
      </c>
      <c r="L38" s="1221">
        <v>0</v>
      </c>
      <c r="M38" s="1221">
        <v>0</v>
      </c>
      <c r="N38" s="1221">
        <v>0</v>
      </c>
      <c r="O38" s="1221">
        <v>0</v>
      </c>
      <c r="P38" s="1221">
        <v>0</v>
      </c>
      <c r="Q38" s="1221">
        <v>0</v>
      </c>
      <c r="R38" s="1221">
        <v>0</v>
      </c>
      <c r="S38" s="1221">
        <v>0</v>
      </c>
      <c r="T38" s="1221">
        <v>0</v>
      </c>
      <c r="U38" s="1221">
        <v>0</v>
      </c>
      <c r="V38" s="1221">
        <v>0</v>
      </c>
      <c r="W38" s="1221">
        <v>0</v>
      </c>
      <c r="X38" s="1221">
        <v>0</v>
      </c>
      <c r="Y38" s="1221">
        <v>0</v>
      </c>
      <c r="Z38" s="1221">
        <v>0</v>
      </c>
      <c r="AA38" s="1221">
        <v>0</v>
      </c>
      <c r="AB38" s="1221">
        <v>0</v>
      </c>
      <c r="AC38" s="1221">
        <v>0</v>
      </c>
      <c r="AD38" s="1221">
        <v>0</v>
      </c>
      <c r="AE38" s="1221">
        <v>0</v>
      </c>
      <c r="AF38" s="1221">
        <v>0</v>
      </c>
      <c r="AG38" s="1221">
        <v>0</v>
      </c>
      <c r="AH38" s="1221">
        <v>0</v>
      </c>
      <c r="AI38" s="1221">
        <v>0</v>
      </c>
      <c r="AJ38" s="1221">
        <v>0</v>
      </c>
      <c r="AK38" s="1221">
        <v>0</v>
      </c>
      <c r="AL38" s="1221">
        <v>0</v>
      </c>
      <c r="AM38" s="1221">
        <v>32.401769999999999</v>
      </c>
      <c r="AN38" s="1221">
        <v>6.91</v>
      </c>
      <c r="AO38" s="1221">
        <v>52.894690000000004</v>
      </c>
      <c r="AP38" s="1221">
        <v>6.91</v>
      </c>
      <c r="AQ38" s="1221">
        <v>68.015190000000004</v>
      </c>
      <c r="AR38" s="1221">
        <v>8.0150000000000006</v>
      </c>
      <c r="AS38" s="1221">
        <v>79.663710000000009</v>
      </c>
      <c r="AT38" s="1221">
        <v>8.0150000000000006</v>
      </c>
      <c r="AU38" s="1221">
        <v>92.115490000000008</v>
      </c>
      <c r="AV38" s="1221">
        <v>8.2317499999999999</v>
      </c>
      <c r="AW38" s="1221">
        <v>121.60100999999999</v>
      </c>
      <c r="AX38" s="1221">
        <v>8.2317499999999999</v>
      </c>
      <c r="AY38" s="1221">
        <v>9.14377</v>
      </c>
      <c r="AZ38" s="1221">
        <v>0</v>
      </c>
      <c r="BA38" s="1221">
        <v>45.142980000000001</v>
      </c>
      <c r="BB38" s="1221">
        <v>0</v>
      </c>
      <c r="BC38" s="1221">
        <v>62.87</v>
      </c>
      <c r="BD38" s="1221">
        <v>0</v>
      </c>
      <c r="BE38" s="1221">
        <v>85.248289999999997</v>
      </c>
      <c r="BF38" s="1221">
        <v>2.94902</v>
      </c>
      <c r="BG38" s="1221">
        <v>110.44972</v>
      </c>
      <c r="BH38" s="1221">
        <v>2.94902</v>
      </c>
      <c r="BI38" s="1221">
        <v>127.46372</v>
      </c>
      <c r="BJ38" s="1221">
        <v>3.2599499999999999</v>
      </c>
      <c r="BK38" s="1221">
        <v>150.02312000000001</v>
      </c>
      <c r="BL38" s="1221">
        <v>3.2599499999999999</v>
      </c>
      <c r="BM38" s="1221">
        <v>174.60026000000002</v>
      </c>
      <c r="BN38" s="1221">
        <v>3.2599499999999999</v>
      </c>
      <c r="BO38" s="1221">
        <v>196.57993999999999</v>
      </c>
      <c r="BP38" s="1221">
        <v>3.2599499999999999</v>
      </c>
      <c r="BQ38" s="1221">
        <v>220.99415999999999</v>
      </c>
      <c r="BR38" s="1221">
        <v>3.2599499999999999</v>
      </c>
      <c r="BS38" s="1221">
        <v>238.54531</v>
      </c>
      <c r="BT38" s="1221">
        <v>3.2599499999999999</v>
      </c>
      <c r="BU38" s="1221">
        <v>262.74412999999998</v>
      </c>
      <c r="BV38" s="1221">
        <v>3.2599499999999999</v>
      </c>
      <c r="BW38" s="1221">
        <v>9.7639399999999998</v>
      </c>
      <c r="BX38" s="1221">
        <v>0</v>
      </c>
      <c r="BY38" s="1221">
        <v>35.57132</v>
      </c>
      <c r="BZ38" s="1221">
        <v>0.90024999999999999</v>
      </c>
      <c r="CA38" s="1221">
        <v>79.446070000000006</v>
      </c>
      <c r="CB38" s="1221">
        <v>0.90024999999999999</v>
      </c>
      <c r="CC38" s="1221">
        <v>127.79435000000001</v>
      </c>
      <c r="CD38" s="1221">
        <v>0.90024999999999999</v>
      </c>
      <c r="CE38" s="1221">
        <v>181.43955</v>
      </c>
      <c r="CF38" s="1221">
        <v>0.90024999999999999</v>
      </c>
      <c r="CG38" s="1221">
        <v>229.22848999999999</v>
      </c>
      <c r="CH38" s="1221">
        <v>1.20465</v>
      </c>
      <c r="CI38" s="1221">
        <v>300.18251000000004</v>
      </c>
      <c r="CJ38" s="1221">
        <v>1.20465</v>
      </c>
      <c r="CK38" s="1221">
        <v>352.25569999999999</v>
      </c>
      <c r="CL38" s="1221">
        <v>1.20465</v>
      </c>
      <c r="CM38" s="1221">
        <v>403.58033</v>
      </c>
      <c r="CN38" s="1221">
        <v>1.20465</v>
      </c>
      <c r="CO38" s="1221">
        <v>466.22674000000001</v>
      </c>
      <c r="CP38" s="1221">
        <v>1.5496500000000002</v>
      </c>
      <c r="CQ38" s="1221">
        <v>510.16871000000003</v>
      </c>
      <c r="CR38" s="1221">
        <v>1.5496500000000002</v>
      </c>
      <c r="CS38" s="1221">
        <v>546.17240000000004</v>
      </c>
      <c r="CT38" s="1221">
        <v>1.5496500000000002</v>
      </c>
      <c r="CU38" s="1221">
        <v>121.44628999999999</v>
      </c>
      <c r="CV38" s="1221">
        <v>0</v>
      </c>
      <c r="CW38" s="1221">
        <v>184.60417999999999</v>
      </c>
      <c r="CX38" s="1221">
        <v>0</v>
      </c>
      <c r="CY38" s="1221">
        <v>246.87079</v>
      </c>
      <c r="CZ38" s="1221">
        <v>0</v>
      </c>
      <c r="DA38" s="1221">
        <v>335.83102000000002</v>
      </c>
      <c r="DB38" s="1221">
        <v>0</v>
      </c>
      <c r="DC38" s="1221">
        <v>440.12276000000003</v>
      </c>
      <c r="DD38" s="1221">
        <v>0</v>
      </c>
      <c r="DE38" s="1221">
        <v>624.34874000000002</v>
      </c>
      <c r="DF38" s="1221">
        <v>4.1843000000000004</v>
      </c>
      <c r="DG38" s="1221">
        <v>821.69794999999999</v>
      </c>
      <c r="DH38" s="1221">
        <v>7.5232999999999999</v>
      </c>
      <c r="DI38" s="1221">
        <v>1030.36655</v>
      </c>
      <c r="DJ38" s="1221">
        <v>10.1183</v>
      </c>
      <c r="DK38" s="1221">
        <v>1252.6461000000002</v>
      </c>
      <c r="DL38" s="1221">
        <v>12.343299999999999</v>
      </c>
      <c r="DM38" s="1221">
        <v>1385.5873999999999</v>
      </c>
      <c r="DN38" s="1221">
        <v>22.258299999999998</v>
      </c>
      <c r="DO38" s="1221">
        <v>1518.60032</v>
      </c>
      <c r="DP38" s="1221">
        <v>33.224299999999999</v>
      </c>
      <c r="DQ38" s="1221">
        <v>1671.1081200000001</v>
      </c>
      <c r="DR38" s="1221">
        <v>49.093300000000006</v>
      </c>
      <c r="DS38" s="1221">
        <v>122.84003</v>
      </c>
      <c r="DT38" s="1221">
        <v>23.925000000000001</v>
      </c>
      <c r="DU38" s="1221">
        <v>294.49672999999996</v>
      </c>
      <c r="DV38" s="1221">
        <v>31.356000000000002</v>
      </c>
      <c r="DW38" s="1221">
        <v>438.50209000000001</v>
      </c>
      <c r="DX38" s="1221">
        <v>60.749970000000005</v>
      </c>
      <c r="DY38" s="1221">
        <v>654.29741999999999</v>
      </c>
      <c r="DZ38" s="1221">
        <v>89.837670000000003</v>
      </c>
      <c r="EA38" s="1221">
        <v>817.27958999999998</v>
      </c>
      <c r="EB38" s="1221">
        <v>105.82577000000001</v>
      </c>
      <c r="EC38" s="1221">
        <v>1025.6433999999999</v>
      </c>
      <c r="ED38" s="1221">
        <v>138.10202999999998</v>
      </c>
      <c r="EE38" s="1221">
        <v>1228.9081799999999</v>
      </c>
      <c r="EF38" s="1221">
        <v>177.80635999999998</v>
      </c>
      <c r="EG38" s="1221">
        <v>1563.22966</v>
      </c>
      <c r="EH38" s="1221">
        <v>232.69685999999999</v>
      </c>
      <c r="EI38" s="1221">
        <v>1756.46552</v>
      </c>
      <c r="EJ38" s="1221">
        <v>284.51201000000003</v>
      </c>
      <c r="EK38" s="1221">
        <v>1967.47316</v>
      </c>
      <c r="EL38" s="1221">
        <v>322.07501000000002</v>
      </c>
      <c r="EM38" s="1221">
        <v>2213.2882</v>
      </c>
      <c r="EN38" s="1221">
        <v>357.52100999999999</v>
      </c>
      <c r="EO38" s="1221">
        <v>2509.3546799999999</v>
      </c>
      <c r="EP38" s="1221">
        <v>422.37101000000001</v>
      </c>
      <c r="EQ38" s="1221">
        <v>147.51150999999999</v>
      </c>
      <c r="ER38" s="1221">
        <v>35.400889999999997</v>
      </c>
      <c r="ES38" s="1221">
        <v>336.59217000000001</v>
      </c>
      <c r="ET38" s="1221">
        <v>66.222890000000007</v>
      </c>
      <c r="EU38" s="1221">
        <v>549.94161999999994</v>
      </c>
      <c r="EV38" s="1221">
        <v>87.335890000000006</v>
      </c>
      <c r="EW38" s="1221">
        <v>785.76823000000002</v>
      </c>
      <c r="EX38" s="1221">
        <v>134.73188999999999</v>
      </c>
      <c r="EY38" s="1221">
        <v>993.11243999999999</v>
      </c>
      <c r="EZ38" s="1221">
        <v>170.90615</v>
      </c>
      <c r="FA38" s="1221">
        <v>1228.0506700000001</v>
      </c>
      <c r="FB38" s="1221">
        <v>222.36314999999999</v>
      </c>
      <c r="FC38" s="1221">
        <v>1407.8040100000001</v>
      </c>
      <c r="FD38" s="1221">
        <v>280.38215000000002</v>
      </c>
      <c r="FE38" s="1221">
        <v>1752.9448299999999</v>
      </c>
      <c r="FF38" s="1221">
        <v>401.16908999999998</v>
      </c>
      <c r="FG38" s="1221">
        <v>1951.96306</v>
      </c>
      <c r="FH38" s="1221">
        <v>465.64609000000002</v>
      </c>
      <c r="FI38" s="1221">
        <v>2179.9828900000002</v>
      </c>
      <c r="FJ38" s="1221">
        <v>533.39188999999999</v>
      </c>
      <c r="FK38" s="1221">
        <v>2332.5853200000001</v>
      </c>
      <c r="FL38" s="1221">
        <v>606.98726999999997</v>
      </c>
      <c r="FM38" s="1221">
        <v>143.46218999999999</v>
      </c>
      <c r="FN38" s="1221">
        <v>59.233969999999999</v>
      </c>
      <c r="FO38" s="1221">
        <v>400.93437</v>
      </c>
      <c r="FP38" s="1221">
        <v>129.05611999999999</v>
      </c>
      <c r="FQ38" s="1221">
        <v>659.65823999999998</v>
      </c>
      <c r="FR38" s="1221">
        <v>191.36025000000001</v>
      </c>
      <c r="FS38" s="1221">
        <v>967.99330000000009</v>
      </c>
      <c r="FT38" s="1221">
        <v>257.20332999999999</v>
      </c>
      <c r="FU38" s="1221">
        <v>1281.2086999999999</v>
      </c>
      <c r="FV38" s="1221">
        <v>345.07211999999998</v>
      </c>
      <c r="FW38" s="1221">
        <v>1497.7705900000001</v>
      </c>
      <c r="FX38" s="1221">
        <v>410.15348</v>
      </c>
      <c r="FY38" s="1221">
        <v>1725.2094</v>
      </c>
      <c r="FZ38" s="1221">
        <v>513.45176000000004</v>
      </c>
      <c r="GA38" s="1221">
        <v>1938.2452000000001</v>
      </c>
      <c r="GB38" s="1221">
        <v>624.40961000000004</v>
      </c>
      <c r="GC38" s="1221">
        <v>2126.0997000000002</v>
      </c>
      <c r="GD38" s="1221">
        <v>689.96649000000002</v>
      </c>
      <c r="GE38" s="1221">
        <v>2316.26296</v>
      </c>
      <c r="GF38" s="1221">
        <v>837.22312999999997</v>
      </c>
      <c r="GG38" s="1221">
        <v>2507.52135</v>
      </c>
      <c r="GH38" s="1221">
        <v>1002.53518</v>
      </c>
      <c r="GI38" s="1221">
        <v>2536.4969500000002</v>
      </c>
      <c r="GJ38" s="1221">
        <v>1117.5007000000001</v>
      </c>
      <c r="GK38" s="1221">
        <v>0</v>
      </c>
      <c r="GL38" s="1221">
        <v>2.7492100000000002</v>
      </c>
      <c r="GM38" s="1221">
        <v>0</v>
      </c>
      <c r="GN38" s="1221">
        <v>17.723700000000001</v>
      </c>
      <c r="GO38" s="1221">
        <v>0</v>
      </c>
      <c r="GP38" s="1221">
        <v>17.723700000000001</v>
      </c>
      <c r="GQ38" s="1221">
        <v>0</v>
      </c>
      <c r="GR38" s="1221">
        <v>17.723700000000001</v>
      </c>
      <c r="GS38" s="1221">
        <v>0</v>
      </c>
      <c r="GT38" s="1221">
        <v>17.723700000000001</v>
      </c>
      <c r="GU38" s="1221">
        <v>0</v>
      </c>
      <c r="GV38" s="1221">
        <v>17.723700000000001</v>
      </c>
      <c r="GW38" s="1221">
        <v>0</v>
      </c>
      <c r="GX38" s="1221">
        <v>17.723700000000001</v>
      </c>
      <c r="GY38" s="1221">
        <v>0</v>
      </c>
      <c r="GZ38" s="1221">
        <v>17.723700000000001</v>
      </c>
      <c r="HA38" s="1221">
        <v>0</v>
      </c>
      <c r="HB38" s="1221">
        <v>17.723700000000001</v>
      </c>
      <c r="HC38" s="1221">
        <v>0</v>
      </c>
      <c r="HD38" s="1221">
        <v>17.723700000000001</v>
      </c>
      <c r="HE38" s="1221">
        <v>0</v>
      </c>
      <c r="HF38" s="1221">
        <v>17.723700000000001</v>
      </c>
      <c r="HG38" s="1221">
        <v>0</v>
      </c>
      <c r="HH38" s="1221">
        <v>17.723700000000001</v>
      </c>
      <c r="HI38" s="1221">
        <v>0</v>
      </c>
      <c r="HJ38" s="1221">
        <v>0</v>
      </c>
      <c r="HK38" s="1221">
        <v>0</v>
      </c>
      <c r="HL38" s="1221">
        <v>0</v>
      </c>
      <c r="HM38" s="1221">
        <v>0</v>
      </c>
      <c r="HN38" s="1221">
        <v>0</v>
      </c>
      <c r="HO38" s="1221">
        <v>0</v>
      </c>
      <c r="HP38" s="1221">
        <v>0</v>
      </c>
      <c r="HQ38" s="1221">
        <v>0</v>
      </c>
      <c r="HR38" s="1221">
        <v>0</v>
      </c>
      <c r="HS38" s="1984" t="s">
        <v>3171</v>
      </c>
    </row>
    <row r="39" spans="1:227" ht="63.75" hidden="1" customHeight="1">
      <c r="A39" s="1836">
        <v>27</v>
      </c>
      <c r="B39" s="1984" t="s">
        <v>2345</v>
      </c>
      <c r="C39" s="1221">
        <v>141.34788</v>
      </c>
      <c r="D39" s="1221">
        <v>0.68555999999999995</v>
      </c>
      <c r="E39" s="1221">
        <v>149.15188000000001</v>
      </c>
      <c r="F39" s="1221">
        <v>2.5487600000000001</v>
      </c>
      <c r="G39" s="1221">
        <v>145.54888</v>
      </c>
      <c r="H39" s="1221">
        <v>2.7187600000000001</v>
      </c>
      <c r="I39" s="1221">
        <v>146.85488000000001</v>
      </c>
      <c r="J39" s="1221">
        <v>2.7187600000000001</v>
      </c>
      <c r="K39" s="1221">
        <v>153.86385999999999</v>
      </c>
      <c r="L39" s="1221">
        <v>3.90876</v>
      </c>
      <c r="M39" s="1221">
        <v>1347.4095</v>
      </c>
      <c r="N39" s="1221">
        <v>14.032860000000001</v>
      </c>
      <c r="O39" s="1221">
        <v>2109.39777</v>
      </c>
      <c r="P39" s="1221">
        <v>31.063279999999999</v>
      </c>
      <c r="Q39" s="1221">
        <v>2248.4566099999997</v>
      </c>
      <c r="R39" s="1221">
        <v>54.252189999999999</v>
      </c>
      <c r="S39" s="1221">
        <v>2307.7589500000004</v>
      </c>
      <c r="T39" s="1221">
        <v>72.411720000000003</v>
      </c>
      <c r="U39" s="1221">
        <v>2354.8725899999999</v>
      </c>
      <c r="V39" s="1221">
        <v>126.51475000000001</v>
      </c>
      <c r="W39" s="1221">
        <v>2453.6478700000002</v>
      </c>
      <c r="X39" s="1221">
        <v>165.30703</v>
      </c>
      <c r="Y39" s="1221">
        <v>2637.6515199999999</v>
      </c>
      <c r="Z39" s="1221">
        <v>264.01426000000004</v>
      </c>
      <c r="AA39" s="1221">
        <v>157.3501</v>
      </c>
      <c r="AB39" s="1221">
        <v>16.348969999999998</v>
      </c>
      <c r="AC39" s="1221">
        <v>362.96959999999996</v>
      </c>
      <c r="AD39" s="1221">
        <v>56.608150000000002</v>
      </c>
      <c r="AE39" s="1221">
        <v>3246.0413799999997</v>
      </c>
      <c r="AF39" s="1221">
        <v>71.026429999999991</v>
      </c>
      <c r="AG39" s="1221">
        <v>3566.7099500000004</v>
      </c>
      <c r="AH39" s="1221">
        <v>148.50881000000001</v>
      </c>
      <c r="AI39" s="1221">
        <v>4272.4927400000006</v>
      </c>
      <c r="AJ39" s="1221">
        <v>202.73830999999998</v>
      </c>
      <c r="AK39" s="1221">
        <v>5256.2772599999998</v>
      </c>
      <c r="AL39" s="1221">
        <v>1726.52124</v>
      </c>
      <c r="AM39" s="1221">
        <v>5580.1125899999997</v>
      </c>
      <c r="AN39" s="1221">
        <v>396.22853999999995</v>
      </c>
      <c r="AO39" s="1221">
        <v>6231.5394299999998</v>
      </c>
      <c r="AP39" s="1221">
        <v>539.33483000000001</v>
      </c>
      <c r="AQ39" s="1221">
        <v>6649.6426200000005</v>
      </c>
      <c r="AR39" s="1221">
        <v>702.16804999999999</v>
      </c>
      <c r="AS39" s="1221">
        <v>8150.27664</v>
      </c>
      <c r="AT39" s="1221">
        <v>832.00281000000007</v>
      </c>
      <c r="AU39" s="1221">
        <v>8775.7259600000016</v>
      </c>
      <c r="AV39" s="1221">
        <v>1001.85778</v>
      </c>
      <c r="AW39" s="1221">
        <v>9505.1758599999994</v>
      </c>
      <c r="AX39" s="1221">
        <v>1154.5460399999999</v>
      </c>
      <c r="AY39" s="1221">
        <v>427.98732000000001</v>
      </c>
      <c r="AZ39" s="1221">
        <v>289.54066</v>
      </c>
      <c r="BA39" s="1221">
        <v>914.17912000000001</v>
      </c>
      <c r="BB39" s="1221">
        <v>468.99796000000003</v>
      </c>
      <c r="BC39" s="1221">
        <v>1422.53</v>
      </c>
      <c r="BD39" s="1221">
        <v>706.75</v>
      </c>
      <c r="BE39" s="1221">
        <v>2589.9583199999997</v>
      </c>
      <c r="BF39" s="1221">
        <v>999.34384999999997</v>
      </c>
      <c r="BG39" s="1221">
        <v>2936.9149400000001</v>
      </c>
      <c r="BH39" s="1221">
        <v>1345.59283</v>
      </c>
      <c r="BI39" s="1221">
        <v>3332.1902799999998</v>
      </c>
      <c r="BJ39" s="1221">
        <v>1563.0168600000002</v>
      </c>
      <c r="BK39" s="1221">
        <v>3859.5555099999997</v>
      </c>
      <c r="BL39" s="1221">
        <v>1892.3062399999999</v>
      </c>
      <c r="BM39" s="1221">
        <v>4434.09782</v>
      </c>
      <c r="BN39" s="1221">
        <v>2114.3202200000001</v>
      </c>
      <c r="BO39" s="1221">
        <v>4902.0729800000008</v>
      </c>
      <c r="BP39" s="1221">
        <v>2434.3648199999998</v>
      </c>
      <c r="BQ39" s="1221">
        <v>5243.4988800000001</v>
      </c>
      <c r="BR39" s="1221">
        <v>2725.9726900000001</v>
      </c>
      <c r="BS39" s="1221">
        <v>5661.4722400000001</v>
      </c>
      <c r="BT39" s="1221">
        <v>3048.9768300000001</v>
      </c>
      <c r="BU39" s="1221">
        <v>5836.8337699999993</v>
      </c>
      <c r="BV39" s="1221">
        <v>3327.6202000000003</v>
      </c>
      <c r="BW39" s="1221">
        <v>203.63526000000002</v>
      </c>
      <c r="BX39" s="1221">
        <v>188.68552</v>
      </c>
      <c r="BY39" s="1221">
        <v>384.88141999999999</v>
      </c>
      <c r="BZ39" s="1221">
        <v>374.46375999999998</v>
      </c>
      <c r="CA39" s="1221">
        <v>730.19981000000007</v>
      </c>
      <c r="CB39" s="1221">
        <v>528.17376000000002</v>
      </c>
      <c r="CC39" s="1221">
        <v>1229.29748</v>
      </c>
      <c r="CD39" s="1221">
        <v>699.07746999999995</v>
      </c>
      <c r="CE39" s="1221">
        <v>1866.6668999999999</v>
      </c>
      <c r="CF39" s="1221">
        <v>845.84266000000002</v>
      </c>
      <c r="CG39" s="1221">
        <v>2675.4525099999996</v>
      </c>
      <c r="CH39" s="1221">
        <v>941.71983999999998</v>
      </c>
      <c r="CI39" s="1221">
        <v>3526.5419400000001</v>
      </c>
      <c r="CJ39" s="1221">
        <v>1037.5145</v>
      </c>
      <c r="CK39" s="1221">
        <v>4321.2436500000003</v>
      </c>
      <c r="CL39" s="1221">
        <v>1209.9638600000001</v>
      </c>
      <c r="CM39" s="1221">
        <v>5063.2159499999998</v>
      </c>
      <c r="CN39" s="1221">
        <v>1336.79124</v>
      </c>
      <c r="CO39" s="1221">
        <v>5063.2159499999998</v>
      </c>
      <c r="CP39" s="1221">
        <v>1336.79124</v>
      </c>
      <c r="CQ39" s="1221">
        <v>6558.20003</v>
      </c>
      <c r="CR39" s="1221">
        <v>1681.8945900000001</v>
      </c>
      <c r="CS39" s="1221">
        <v>7222.0112800000006</v>
      </c>
      <c r="CT39" s="1221">
        <v>1894.4679699999999</v>
      </c>
      <c r="CU39" s="1221">
        <v>807.22966000000008</v>
      </c>
      <c r="CV39" s="1221">
        <v>173.71929999999998</v>
      </c>
      <c r="CW39" s="1221">
        <v>1298.6393799999998</v>
      </c>
      <c r="CX39" s="1221">
        <v>417.20657</v>
      </c>
      <c r="CY39" s="1221">
        <v>1844.9422099999999</v>
      </c>
      <c r="CZ39" s="1221">
        <v>581.04704000000004</v>
      </c>
      <c r="DA39" s="1221">
        <v>2367.7634600000001</v>
      </c>
      <c r="DB39" s="1221">
        <v>775.37386000000004</v>
      </c>
      <c r="DC39" s="1221">
        <v>3315.4880400000002</v>
      </c>
      <c r="DD39" s="1221">
        <v>924.15413999999998</v>
      </c>
      <c r="DE39" s="1221">
        <v>4206.6638899999998</v>
      </c>
      <c r="DF39" s="1221">
        <v>1137.77739</v>
      </c>
      <c r="DG39" s="1221">
        <v>5042.8367199999993</v>
      </c>
      <c r="DH39" s="1221">
        <v>1370.64399</v>
      </c>
      <c r="DI39" s="1221">
        <v>5790.0736100000004</v>
      </c>
      <c r="DJ39" s="1221">
        <v>1556.5294799999999</v>
      </c>
      <c r="DK39" s="1221">
        <v>6627.4094400000004</v>
      </c>
      <c r="DL39" s="1221">
        <v>1749.4156200000002</v>
      </c>
      <c r="DM39" s="1221">
        <v>7481.1053099999999</v>
      </c>
      <c r="DN39" s="1221">
        <v>2050.3250900000003</v>
      </c>
      <c r="DO39" s="1221">
        <v>8181.4772999999996</v>
      </c>
      <c r="DP39" s="1221">
        <v>2234.2731400000002</v>
      </c>
      <c r="DQ39" s="1221">
        <v>9044.9548699999996</v>
      </c>
      <c r="DR39" s="1221">
        <v>2442.9103100000002</v>
      </c>
      <c r="DS39" s="1221">
        <v>870.98305000000005</v>
      </c>
      <c r="DT39" s="1221">
        <v>288.53987999999998</v>
      </c>
      <c r="DU39" s="1221">
        <v>1803.9242899999999</v>
      </c>
      <c r="DV39" s="1221">
        <v>600.59746999999993</v>
      </c>
      <c r="DW39" s="1221">
        <v>2681.2152299999998</v>
      </c>
      <c r="DX39" s="1221">
        <v>850.06702000000007</v>
      </c>
      <c r="DY39" s="1221">
        <v>3497.39381</v>
      </c>
      <c r="DZ39" s="1221">
        <v>1239.37663</v>
      </c>
      <c r="EA39" s="1221">
        <v>4428.0069599999997</v>
      </c>
      <c r="EB39" s="1221">
        <v>1464.6732</v>
      </c>
      <c r="EC39" s="1221">
        <v>5304.8152800000007</v>
      </c>
      <c r="ED39" s="1221">
        <v>1789.80061</v>
      </c>
      <c r="EE39" s="1221">
        <v>6264.4035899999999</v>
      </c>
      <c r="EF39" s="1221">
        <v>2108.9316600000002</v>
      </c>
      <c r="EG39" s="1221">
        <v>7262.7110999999995</v>
      </c>
      <c r="EH39" s="1221">
        <v>2507.0811400000002</v>
      </c>
      <c r="EI39" s="1221">
        <v>7989.4599400000006</v>
      </c>
      <c r="EJ39" s="1221">
        <v>3003.4801299999999</v>
      </c>
      <c r="EK39" s="1221">
        <v>8652.0715600000003</v>
      </c>
      <c r="EL39" s="1221">
        <v>3400.6242200000002</v>
      </c>
      <c r="EM39" s="1221">
        <v>9242.5809000000008</v>
      </c>
      <c r="EN39" s="1221">
        <v>3685.4029399999999</v>
      </c>
      <c r="EO39" s="1221">
        <v>9776.4138500000008</v>
      </c>
      <c r="EP39" s="1221">
        <v>4089.2361299999998</v>
      </c>
      <c r="EQ39" s="1221">
        <v>486.43419999999998</v>
      </c>
      <c r="ER39" s="1221">
        <v>367.19961999999998</v>
      </c>
      <c r="ES39" s="1221">
        <v>977.86620000000005</v>
      </c>
      <c r="ET39" s="1221">
        <v>790.55633</v>
      </c>
      <c r="EU39" s="1221">
        <v>1448.0483999999999</v>
      </c>
      <c r="EV39" s="1221">
        <v>1035.528</v>
      </c>
      <c r="EW39" s="1221">
        <v>2034.70949</v>
      </c>
      <c r="EX39" s="1221">
        <v>1454.1623</v>
      </c>
      <c r="EY39" s="1221">
        <v>2753.45199</v>
      </c>
      <c r="EZ39" s="1221">
        <v>1757.33304</v>
      </c>
      <c r="FA39" s="1221">
        <v>3410.5712600000002</v>
      </c>
      <c r="FB39" s="1221">
        <v>2188.0657200000001</v>
      </c>
      <c r="FC39" s="1221">
        <v>4081.3647799999999</v>
      </c>
      <c r="FD39" s="1221">
        <v>2486.8434900000002</v>
      </c>
      <c r="FE39" s="1221">
        <v>5668.7191000000003</v>
      </c>
      <c r="FF39" s="1221">
        <v>3104.1727299999998</v>
      </c>
      <c r="FG39" s="1221">
        <v>6402.1424999999999</v>
      </c>
      <c r="FH39" s="1221">
        <v>3413.6489099999999</v>
      </c>
      <c r="FI39" s="1221">
        <v>7127.8143700000001</v>
      </c>
      <c r="FJ39" s="1221">
        <v>3648.4460600000002</v>
      </c>
      <c r="FK39" s="1221">
        <v>7936.4983700000003</v>
      </c>
      <c r="FL39" s="1221">
        <v>3822.7055700000001</v>
      </c>
      <c r="FM39" s="1221">
        <v>774.51893999999993</v>
      </c>
      <c r="FN39" s="1221">
        <v>294.83843000000002</v>
      </c>
      <c r="FO39" s="1221">
        <v>1678.24728</v>
      </c>
      <c r="FP39" s="1221">
        <v>608.16408000000001</v>
      </c>
      <c r="FQ39" s="1221">
        <v>2542.97451</v>
      </c>
      <c r="FR39" s="1221">
        <v>872.60215000000005</v>
      </c>
      <c r="FS39" s="1221">
        <v>3560.1837700000001</v>
      </c>
      <c r="FT39" s="1221">
        <v>1223.8385800000001</v>
      </c>
      <c r="FU39" s="1221">
        <v>4298.1357699999999</v>
      </c>
      <c r="FV39" s="1221">
        <v>1498.72506</v>
      </c>
      <c r="FW39" s="1221">
        <v>4301.1119000000008</v>
      </c>
      <c r="FX39" s="1221">
        <v>1785.4818400000001</v>
      </c>
      <c r="FY39" s="1221">
        <v>4301.1119000000008</v>
      </c>
      <c r="FZ39" s="1221">
        <v>2041.45445</v>
      </c>
      <c r="GA39" s="1221">
        <v>4301.9365699999998</v>
      </c>
      <c r="GB39" s="1221">
        <v>2319.96074</v>
      </c>
      <c r="GC39" s="1221">
        <v>4302.23657</v>
      </c>
      <c r="GD39" s="1221">
        <v>2599.40814</v>
      </c>
      <c r="GE39" s="1221">
        <v>4302.23657</v>
      </c>
      <c r="GF39" s="1221">
        <v>2879.8480399999999</v>
      </c>
      <c r="GG39" s="1221">
        <v>4302.23657</v>
      </c>
      <c r="GH39" s="1221">
        <v>3143.5763299999999</v>
      </c>
      <c r="GI39" s="1221">
        <v>4302.23657</v>
      </c>
      <c r="GJ39" s="1221">
        <v>3374.3397999999997</v>
      </c>
      <c r="GK39" s="1221">
        <v>0</v>
      </c>
      <c r="GL39" s="1221">
        <v>197.62242999999998</v>
      </c>
      <c r="GM39" s="1221">
        <v>0</v>
      </c>
      <c r="GN39" s="1221">
        <v>397.16848999999996</v>
      </c>
      <c r="GO39" s="1221">
        <v>0</v>
      </c>
      <c r="GP39" s="1221">
        <v>600.54575</v>
      </c>
      <c r="GQ39" s="1221">
        <v>0</v>
      </c>
      <c r="GR39" s="1221">
        <v>800.77844999999991</v>
      </c>
      <c r="GS39" s="1221">
        <v>0</v>
      </c>
      <c r="GT39" s="1221">
        <v>909.45299</v>
      </c>
      <c r="GU39" s="1221">
        <v>0</v>
      </c>
      <c r="GV39" s="1221">
        <v>932.90418999999997</v>
      </c>
      <c r="GW39" s="1221">
        <v>0</v>
      </c>
      <c r="GX39" s="1221">
        <v>1031.54466</v>
      </c>
      <c r="GY39" s="1221">
        <v>0</v>
      </c>
      <c r="GZ39" s="1221">
        <v>1077.17751</v>
      </c>
      <c r="HA39" s="1221">
        <v>0</v>
      </c>
      <c r="HB39" s="1221">
        <v>1089.95334</v>
      </c>
      <c r="HC39" s="1221">
        <v>0</v>
      </c>
      <c r="HD39" s="1221">
        <v>1122.5634</v>
      </c>
      <c r="HE39" s="1221">
        <v>0</v>
      </c>
      <c r="HF39" s="1221">
        <v>1125.9884</v>
      </c>
      <c r="HG39" s="1221">
        <v>0</v>
      </c>
      <c r="HH39" s="1221">
        <v>1132.1523999999999</v>
      </c>
      <c r="HI39" s="1221">
        <v>0</v>
      </c>
      <c r="HJ39" s="1221">
        <v>0</v>
      </c>
      <c r="HK39" s="1221">
        <v>0</v>
      </c>
      <c r="HL39" s="1221">
        <v>0</v>
      </c>
      <c r="HM39" s="1221">
        <v>0</v>
      </c>
      <c r="HN39" s="1221">
        <v>0</v>
      </c>
      <c r="HO39" s="1221">
        <v>0</v>
      </c>
      <c r="HP39" s="1221">
        <v>0</v>
      </c>
      <c r="HQ39" s="1221">
        <v>0</v>
      </c>
      <c r="HR39" s="1221">
        <v>0</v>
      </c>
      <c r="HS39" s="1984" t="s">
        <v>3168</v>
      </c>
    </row>
    <row r="40" spans="1:227" ht="54" hidden="1" customHeight="1">
      <c r="A40" s="1836">
        <v>28</v>
      </c>
      <c r="B40" s="1984" t="s">
        <v>2346</v>
      </c>
      <c r="C40" s="1221">
        <v>53.407809999999998</v>
      </c>
      <c r="D40" s="1221">
        <v>74.833839999999995</v>
      </c>
      <c r="E40" s="1221">
        <v>113.96973</v>
      </c>
      <c r="F40" s="1221">
        <v>132.60004000000001</v>
      </c>
      <c r="G40" s="1221">
        <v>161.48830999999998</v>
      </c>
      <c r="H40" s="1221">
        <v>190.92714000000001</v>
      </c>
      <c r="I40" s="1221">
        <v>223.03832</v>
      </c>
      <c r="J40" s="1221">
        <v>303.09446999999994</v>
      </c>
      <c r="K40" s="1221">
        <v>431.65974</v>
      </c>
      <c r="L40" s="1221">
        <v>367.39694000000003</v>
      </c>
      <c r="M40" s="1221">
        <v>627.33076000000005</v>
      </c>
      <c r="N40" s="1221">
        <v>400.92761999999999</v>
      </c>
      <c r="O40" s="1221">
        <v>676.33947999999998</v>
      </c>
      <c r="P40" s="1221">
        <v>460.71503000000001</v>
      </c>
      <c r="Q40" s="1221">
        <v>745.51906000000008</v>
      </c>
      <c r="R40" s="1221">
        <v>500.91740999999996</v>
      </c>
      <c r="S40" s="1221">
        <v>794.61545000000001</v>
      </c>
      <c r="T40" s="1221">
        <v>560.30781999999999</v>
      </c>
      <c r="U40" s="1221">
        <v>856.60367000000008</v>
      </c>
      <c r="V40" s="1221">
        <v>590.20742000000007</v>
      </c>
      <c r="W40" s="1221">
        <v>903.56899999999996</v>
      </c>
      <c r="X40" s="1221">
        <v>613.53316000000007</v>
      </c>
      <c r="Y40" s="1221">
        <v>941.36590000000001</v>
      </c>
      <c r="Z40" s="1221">
        <v>669.78</v>
      </c>
      <c r="AA40" s="1221">
        <v>62.590429999999998</v>
      </c>
      <c r="AB40" s="1221">
        <v>27.28153</v>
      </c>
      <c r="AC40" s="1221">
        <v>173.77785</v>
      </c>
      <c r="AD40" s="1221">
        <v>60.946589999999993</v>
      </c>
      <c r="AE40" s="1221">
        <v>222.28092999999998</v>
      </c>
      <c r="AF40" s="1221">
        <v>91.172420000000002</v>
      </c>
      <c r="AG40" s="1221">
        <v>374.35967999999997</v>
      </c>
      <c r="AH40" s="1221">
        <v>139.20762999999999</v>
      </c>
      <c r="AI40" s="1221">
        <v>579.75906000000009</v>
      </c>
      <c r="AJ40" s="1221">
        <v>148.61407</v>
      </c>
      <c r="AK40" s="1221">
        <v>824.91714000000002</v>
      </c>
      <c r="AL40" s="1221">
        <v>165.44614000000001</v>
      </c>
      <c r="AM40" s="1221">
        <v>929.77671999999995</v>
      </c>
      <c r="AN40" s="1221">
        <v>176.91185999999999</v>
      </c>
      <c r="AO40" s="1221">
        <v>1025.3651199999999</v>
      </c>
      <c r="AP40" s="1221">
        <v>188.63726</v>
      </c>
      <c r="AQ40" s="1221">
        <v>1075.77082</v>
      </c>
      <c r="AR40" s="1221">
        <v>212.91642999999999</v>
      </c>
      <c r="AS40" s="1221">
        <v>1163.0318300000001</v>
      </c>
      <c r="AT40" s="1221">
        <v>231.56260999999998</v>
      </c>
      <c r="AU40" s="1221">
        <v>1361.3481100000001</v>
      </c>
      <c r="AV40" s="1221">
        <v>263.73975000000002</v>
      </c>
      <c r="AW40" s="1221">
        <v>1299.2503300000001</v>
      </c>
      <c r="AX40" s="1221">
        <v>283.22109</v>
      </c>
      <c r="AY40" s="1221">
        <v>52.072189999999999</v>
      </c>
      <c r="AZ40" s="1221">
        <v>27.822749999999999</v>
      </c>
      <c r="BA40" s="1221">
        <v>119.53653999999999</v>
      </c>
      <c r="BB40" s="1221">
        <v>63.6952</v>
      </c>
      <c r="BC40" s="1221">
        <v>189.27</v>
      </c>
      <c r="BD40" s="1221">
        <v>77.84</v>
      </c>
      <c r="BE40" s="1221">
        <v>267.09146000000004</v>
      </c>
      <c r="BF40" s="1221">
        <v>106.98764</v>
      </c>
      <c r="BG40" s="1221">
        <v>421.19783000000001</v>
      </c>
      <c r="BH40" s="1221">
        <v>124.65091000000001</v>
      </c>
      <c r="BI40" s="1221">
        <v>486.43603000000002</v>
      </c>
      <c r="BJ40" s="1221">
        <v>135.03326000000001</v>
      </c>
      <c r="BK40" s="1221">
        <v>655.02707999999996</v>
      </c>
      <c r="BL40" s="1221">
        <v>145.12451000000001</v>
      </c>
      <c r="BM40" s="1221">
        <v>682.34311000000002</v>
      </c>
      <c r="BN40" s="1221">
        <v>147.30894000000001</v>
      </c>
      <c r="BO40" s="1221">
        <v>708.99957999999992</v>
      </c>
      <c r="BP40" s="1221">
        <v>156.00354000000002</v>
      </c>
      <c r="BQ40" s="1221">
        <v>782.70044999999993</v>
      </c>
      <c r="BR40" s="1221">
        <v>174.14010000000002</v>
      </c>
      <c r="BS40" s="1221">
        <v>865.23185000000001</v>
      </c>
      <c r="BT40" s="1221">
        <v>191.05937</v>
      </c>
      <c r="BU40" s="1221">
        <v>1024.4533900000001</v>
      </c>
      <c r="BV40" s="1221">
        <v>197.47606999999999</v>
      </c>
      <c r="BW40" s="1221">
        <v>60.369289999999999</v>
      </c>
      <c r="BX40" s="1221">
        <v>15.479899999999999</v>
      </c>
      <c r="BY40" s="1221">
        <v>120.54502000000001</v>
      </c>
      <c r="BZ40" s="1221">
        <v>21.193830000000002</v>
      </c>
      <c r="CA40" s="1221">
        <v>175.33708999999999</v>
      </c>
      <c r="CB40" s="1221">
        <v>22.043830000000003</v>
      </c>
      <c r="CC40" s="1221">
        <v>298.42946999999998</v>
      </c>
      <c r="CD40" s="1221">
        <v>40.264150000000001</v>
      </c>
      <c r="CE40" s="1221">
        <v>448.17232999999999</v>
      </c>
      <c r="CF40" s="1221">
        <v>57.804220000000001</v>
      </c>
      <c r="CG40" s="1221">
        <v>522.50585999999998</v>
      </c>
      <c r="CH40" s="1221">
        <v>135.28234</v>
      </c>
      <c r="CI40" s="1221">
        <v>615.69246999999996</v>
      </c>
      <c r="CJ40" s="1221">
        <v>157.47696999999999</v>
      </c>
      <c r="CK40" s="1221">
        <v>814.99595999999997</v>
      </c>
      <c r="CL40" s="1221">
        <v>162.79114000000001</v>
      </c>
      <c r="CM40" s="1221">
        <v>862.33477000000005</v>
      </c>
      <c r="CN40" s="1221">
        <v>187.70683</v>
      </c>
      <c r="CO40" s="1221">
        <v>918.70742000000007</v>
      </c>
      <c r="CP40" s="1221">
        <v>205.2338</v>
      </c>
      <c r="CQ40" s="1221">
        <v>1051.8969999999999</v>
      </c>
      <c r="CR40" s="1221">
        <v>220.25047000000001</v>
      </c>
      <c r="CS40" s="1221">
        <v>1140.1139900000001</v>
      </c>
      <c r="CT40" s="1221">
        <v>239.44653</v>
      </c>
      <c r="CU40" s="1221">
        <v>106.1194</v>
      </c>
      <c r="CV40" s="1221">
        <v>18.994330000000001</v>
      </c>
      <c r="CW40" s="1221">
        <v>258.69204999999999</v>
      </c>
      <c r="CX40" s="1221">
        <v>49.965019999999996</v>
      </c>
      <c r="CY40" s="1221">
        <v>348.56172999999995</v>
      </c>
      <c r="CZ40" s="1221">
        <v>62.073250000000002</v>
      </c>
      <c r="DA40" s="1221">
        <v>448.30051000000003</v>
      </c>
      <c r="DB40" s="1221">
        <v>68.144649999999999</v>
      </c>
      <c r="DC40" s="1221">
        <v>575.02429000000006</v>
      </c>
      <c r="DD40" s="1221">
        <v>78.429199999999994</v>
      </c>
      <c r="DE40" s="1221">
        <v>728.74424999999997</v>
      </c>
      <c r="DF40" s="1221">
        <v>119.52871</v>
      </c>
      <c r="DG40" s="1221">
        <v>920.42714999999998</v>
      </c>
      <c r="DH40" s="1221">
        <v>157.10485</v>
      </c>
      <c r="DI40" s="1221">
        <v>1072.1462300000001</v>
      </c>
      <c r="DJ40" s="1221">
        <v>185.24601999999999</v>
      </c>
      <c r="DK40" s="1221">
        <v>1261.39203</v>
      </c>
      <c r="DL40" s="1221">
        <v>210.80539999999999</v>
      </c>
      <c r="DM40" s="1221">
        <v>1531.6975600000001</v>
      </c>
      <c r="DN40" s="1221">
        <v>312.95728000000003</v>
      </c>
      <c r="DO40" s="1221">
        <v>1802.1344099999999</v>
      </c>
      <c r="DP40" s="1221">
        <v>347.27</v>
      </c>
      <c r="DQ40" s="1221">
        <v>2062.44866</v>
      </c>
      <c r="DR40" s="1221">
        <v>370.71352000000002</v>
      </c>
      <c r="DS40" s="1221">
        <v>163.91732999999999</v>
      </c>
      <c r="DT40" s="1221">
        <v>26.68929</v>
      </c>
      <c r="DU40" s="1221">
        <v>363.30154999999996</v>
      </c>
      <c r="DV40" s="1221">
        <v>77.341250000000002</v>
      </c>
      <c r="DW40" s="1221">
        <v>573.71141</v>
      </c>
      <c r="DX40" s="1221">
        <v>112.88344000000001</v>
      </c>
      <c r="DY40" s="1221">
        <v>979.32823999999994</v>
      </c>
      <c r="DZ40" s="1221">
        <v>174.15664999999998</v>
      </c>
      <c r="EA40" s="1221">
        <v>1538.4012499999999</v>
      </c>
      <c r="EB40" s="1221">
        <v>222.37685999999999</v>
      </c>
      <c r="EC40" s="1221">
        <v>2233.45156</v>
      </c>
      <c r="ED40" s="1221">
        <v>343.26959000000005</v>
      </c>
      <c r="EE40" s="1221">
        <v>2973.3560200000002</v>
      </c>
      <c r="EF40" s="1221">
        <v>461.88677000000001</v>
      </c>
      <c r="EG40" s="1221">
        <v>3454.8265999999999</v>
      </c>
      <c r="EH40" s="1221">
        <v>578.99212999999997</v>
      </c>
      <c r="EI40" s="1221">
        <v>3807.6443399999998</v>
      </c>
      <c r="EJ40" s="1221">
        <v>687.88963000000001</v>
      </c>
      <c r="EK40" s="1221">
        <v>4184.55339</v>
      </c>
      <c r="EL40" s="1221">
        <v>844.93670999999995</v>
      </c>
      <c r="EM40" s="1221">
        <v>4495.8401000000003</v>
      </c>
      <c r="EN40" s="1221">
        <v>1066.7260200000001</v>
      </c>
      <c r="EO40" s="1221">
        <v>4788.6794799999998</v>
      </c>
      <c r="EP40" s="1221">
        <v>1295.9923699999999</v>
      </c>
      <c r="EQ40" s="1221">
        <v>375.29849000000002</v>
      </c>
      <c r="ER40" s="1221">
        <v>156.29938000000001</v>
      </c>
      <c r="ES40" s="1221">
        <v>779.55244000000005</v>
      </c>
      <c r="ET40" s="1221">
        <v>379.41163</v>
      </c>
      <c r="EU40" s="1221">
        <v>1156.0366200000001</v>
      </c>
      <c r="EV40" s="1221">
        <v>585.94137999999998</v>
      </c>
      <c r="EW40" s="1221">
        <v>1661.18299</v>
      </c>
      <c r="EX40" s="1221">
        <v>795.06074000000001</v>
      </c>
      <c r="EY40" s="1221">
        <v>2238.19148</v>
      </c>
      <c r="EZ40" s="1221">
        <v>966.61501999999996</v>
      </c>
      <c r="FA40" s="1221">
        <v>3118.6834100000001</v>
      </c>
      <c r="FB40" s="1221">
        <v>1174.1362999999999</v>
      </c>
      <c r="FC40" s="1221">
        <v>3688.0549099999998</v>
      </c>
      <c r="FD40" s="1221">
        <v>1458.1055899999999</v>
      </c>
      <c r="FE40" s="1221">
        <v>4926.7831900000001</v>
      </c>
      <c r="FF40" s="1221">
        <v>1947.4408900000001</v>
      </c>
      <c r="FG40" s="1221">
        <v>5399.6343999999999</v>
      </c>
      <c r="FH40" s="1221">
        <v>2119.25065</v>
      </c>
      <c r="FI40" s="1221">
        <v>5854.0459600000004</v>
      </c>
      <c r="FJ40" s="1221">
        <v>2286.1803599999998</v>
      </c>
      <c r="FK40" s="1221">
        <v>6344.43444</v>
      </c>
      <c r="FL40" s="1221">
        <v>2490.85167</v>
      </c>
      <c r="FM40" s="1221">
        <v>501.06064000000003</v>
      </c>
      <c r="FN40" s="1221">
        <v>146.99698000000001</v>
      </c>
      <c r="FO40" s="1221">
        <v>1032.44813</v>
      </c>
      <c r="FP40" s="1221">
        <v>453.63815</v>
      </c>
      <c r="FQ40" s="1221">
        <v>1486.1124500000001</v>
      </c>
      <c r="FR40" s="1221">
        <v>602.84425999999996</v>
      </c>
      <c r="FS40" s="1221">
        <v>1902.2606699999999</v>
      </c>
      <c r="FT40" s="1221">
        <v>865.09456</v>
      </c>
      <c r="FU40" s="1221">
        <v>2460.8387699999998</v>
      </c>
      <c r="FV40" s="1221">
        <v>1085.52125</v>
      </c>
      <c r="FW40" s="1221">
        <v>2881.7629300000003</v>
      </c>
      <c r="FX40" s="1221">
        <v>1268.8007700000001</v>
      </c>
      <c r="FY40" s="1221">
        <v>3213.2810099999997</v>
      </c>
      <c r="FZ40" s="1221">
        <v>1534.99793</v>
      </c>
      <c r="GA40" s="1221">
        <v>3714.7586099999999</v>
      </c>
      <c r="GB40" s="1221">
        <v>1819.9918</v>
      </c>
      <c r="GC40" s="1221">
        <v>4080.4864700000003</v>
      </c>
      <c r="GD40" s="1221">
        <v>2014.2647099999999</v>
      </c>
      <c r="GE40" s="1221">
        <v>4368.1329999999998</v>
      </c>
      <c r="GF40" s="1221">
        <v>2579.0212799999999</v>
      </c>
      <c r="GG40" s="1221">
        <v>4644.3669499999996</v>
      </c>
      <c r="GH40" s="1221">
        <v>2817.0949700000001</v>
      </c>
      <c r="GI40" s="1221">
        <v>4933.8787000000002</v>
      </c>
      <c r="GJ40" s="1221">
        <v>2986.2261100000001</v>
      </c>
      <c r="GK40" s="1221">
        <v>260.13344000000001</v>
      </c>
      <c r="GL40" s="1221">
        <v>142.78411</v>
      </c>
      <c r="GM40" s="1221">
        <v>568.74527</v>
      </c>
      <c r="GN40" s="1221">
        <v>281.49095</v>
      </c>
      <c r="GO40" s="1221">
        <v>804.70215000000007</v>
      </c>
      <c r="GP40" s="1221">
        <v>465.53298999999998</v>
      </c>
      <c r="GQ40" s="1221">
        <v>1088.5772199999999</v>
      </c>
      <c r="GR40" s="1221">
        <v>725.58583999999996</v>
      </c>
      <c r="GS40" s="1221">
        <v>1268.04494</v>
      </c>
      <c r="GT40" s="1221">
        <v>820.35350000000005</v>
      </c>
      <c r="GU40" s="1221">
        <v>1355.53305</v>
      </c>
      <c r="GV40" s="1221">
        <v>974.12131999999997</v>
      </c>
      <c r="GW40" s="1221">
        <v>1435.0383099999999</v>
      </c>
      <c r="GX40" s="1221">
        <v>1112.4415799999999</v>
      </c>
      <c r="GY40" s="1221">
        <v>1485.8704499999999</v>
      </c>
      <c r="GZ40" s="1221">
        <v>1220.21253</v>
      </c>
      <c r="HA40" s="1221">
        <v>1514.5818099999999</v>
      </c>
      <c r="HB40" s="1221">
        <v>1349.30765</v>
      </c>
      <c r="HC40" s="1221">
        <v>1523.9342099999999</v>
      </c>
      <c r="HD40" s="1221">
        <v>1465.5161900000001</v>
      </c>
      <c r="HE40" s="1221">
        <v>1537.81357</v>
      </c>
      <c r="HF40" s="1221">
        <v>1617.6999900000001</v>
      </c>
      <c r="HG40" s="1221">
        <v>1537.81357</v>
      </c>
      <c r="HH40" s="1221">
        <v>1730.1401000000001</v>
      </c>
      <c r="HI40" s="1221">
        <v>0</v>
      </c>
      <c r="HJ40" s="1221">
        <v>0</v>
      </c>
      <c r="HK40" s="1221">
        <v>0</v>
      </c>
      <c r="HL40" s="1221">
        <v>0</v>
      </c>
      <c r="HM40" s="1221">
        <v>0</v>
      </c>
      <c r="HN40" s="1221">
        <v>0</v>
      </c>
      <c r="HO40" s="1221">
        <v>0</v>
      </c>
      <c r="HP40" s="1221">
        <v>0</v>
      </c>
      <c r="HQ40" s="1221">
        <v>0</v>
      </c>
      <c r="HR40" s="1221">
        <v>0</v>
      </c>
      <c r="HS40" s="1984" t="s">
        <v>3167</v>
      </c>
    </row>
    <row r="41" spans="1:227" ht="55.5" hidden="1" customHeight="1">
      <c r="A41" s="1836">
        <v>29</v>
      </c>
      <c r="B41" s="1984" t="s">
        <v>4099</v>
      </c>
      <c r="C41" s="1221">
        <v>1037.605</v>
      </c>
      <c r="D41" s="1221">
        <v>762.44500000000005</v>
      </c>
      <c r="E41" s="1221">
        <v>6631.6180000000004</v>
      </c>
      <c r="F41" s="1221">
        <v>2059.6669999999999</v>
      </c>
      <c r="G41" s="1221">
        <v>9116.4179999999997</v>
      </c>
      <c r="H41" s="1221">
        <v>3336.8609999999999</v>
      </c>
      <c r="I41" s="1221">
        <v>16679.444</v>
      </c>
      <c r="J41" s="1221">
        <v>5097.6670000000004</v>
      </c>
      <c r="K41" s="1221">
        <v>28796.384999999998</v>
      </c>
      <c r="L41" s="1221">
        <v>6862.02</v>
      </c>
      <c r="M41" s="1221">
        <v>32696.541000000001</v>
      </c>
      <c r="N41" s="1221">
        <v>8940.2420000000002</v>
      </c>
      <c r="O41" s="1221">
        <v>34211.449000000001</v>
      </c>
      <c r="P41" s="1221">
        <v>10393.468000000001</v>
      </c>
      <c r="Q41" s="1221">
        <v>35474.171000000002</v>
      </c>
      <c r="R41" s="1221">
        <v>11713.851000000001</v>
      </c>
      <c r="S41" s="1221">
        <v>36614.546000000002</v>
      </c>
      <c r="T41" s="1221">
        <v>12532.45</v>
      </c>
      <c r="U41" s="1221">
        <v>37999.055999999997</v>
      </c>
      <c r="V41" s="1221">
        <v>13591.339</v>
      </c>
      <c r="W41" s="1221">
        <v>39478.131000000001</v>
      </c>
      <c r="X41" s="1221">
        <v>14553.165000000001</v>
      </c>
      <c r="Y41" s="1221">
        <v>41224.915999999997</v>
      </c>
      <c r="Z41" s="1221">
        <v>16166.169</v>
      </c>
      <c r="AA41" s="1221">
        <v>3201.232</v>
      </c>
      <c r="AB41" s="1221">
        <v>680.64800000000002</v>
      </c>
      <c r="AC41" s="1221">
        <v>5074.1930000000002</v>
      </c>
      <c r="AD41" s="1221">
        <v>1709.357</v>
      </c>
      <c r="AE41" s="1221">
        <v>7751.674</v>
      </c>
      <c r="AF41" s="1221">
        <v>3153.28</v>
      </c>
      <c r="AG41" s="1221">
        <v>9527.7260000000006</v>
      </c>
      <c r="AH41" s="1221">
        <v>4437.6719999999996</v>
      </c>
      <c r="AI41" s="1221">
        <v>11065.828</v>
      </c>
      <c r="AJ41" s="1221">
        <v>5528.0370000000003</v>
      </c>
      <c r="AK41" s="1221">
        <v>13227.072</v>
      </c>
      <c r="AL41" s="1221">
        <v>6512.8429999999998</v>
      </c>
      <c r="AM41" s="1221">
        <v>15750.671</v>
      </c>
      <c r="AN41" s="1221">
        <v>7704.84</v>
      </c>
      <c r="AO41" s="1221">
        <v>17211.55</v>
      </c>
      <c r="AP41" s="1221">
        <v>8769.5619999999999</v>
      </c>
      <c r="AQ41" s="1221">
        <v>23275.534</v>
      </c>
      <c r="AR41" s="1221">
        <v>9471.384</v>
      </c>
      <c r="AS41" s="1221">
        <v>36193.43</v>
      </c>
      <c r="AT41" s="1221">
        <v>9967.6229999999996</v>
      </c>
      <c r="AU41" s="1221">
        <v>37577.762000000002</v>
      </c>
      <c r="AV41" s="1221">
        <v>11151.751</v>
      </c>
      <c r="AW41" s="1221">
        <v>40444.875999999997</v>
      </c>
      <c r="AX41" s="1221">
        <v>12370.915000000001</v>
      </c>
      <c r="AY41" s="1221">
        <v>462.00799999999998</v>
      </c>
      <c r="AZ41" s="1221">
        <v>584.16600000000005</v>
      </c>
      <c r="BA41" s="1221">
        <v>3648.4160000000002</v>
      </c>
      <c r="BB41" s="1221">
        <v>2109.6860000000001</v>
      </c>
      <c r="BC41" s="1221">
        <v>4608.92</v>
      </c>
      <c r="BD41" s="1221">
        <v>3502.11</v>
      </c>
      <c r="BE41" s="1221">
        <v>31925.328000000001</v>
      </c>
      <c r="BF41" s="1221">
        <v>5045.34</v>
      </c>
      <c r="BG41" s="1221">
        <v>33474.353999999999</v>
      </c>
      <c r="BH41" s="1221">
        <v>6858.9920000000002</v>
      </c>
      <c r="BI41" s="1221">
        <v>34912.385000000002</v>
      </c>
      <c r="BJ41" s="1221">
        <v>7853.1480000000001</v>
      </c>
      <c r="BK41" s="1221">
        <v>36490.269</v>
      </c>
      <c r="BL41" s="1221">
        <v>9115.5669999999991</v>
      </c>
      <c r="BM41" s="1221">
        <v>37634.093999999997</v>
      </c>
      <c r="BN41" s="1221">
        <v>10269.557000000001</v>
      </c>
      <c r="BO41" s="1221">
        <v>39157.438000000002</v>
      </c>
      <c r="BP41" s="1221">
        <v>11303.794</v>
      </c>
      <c r="BQ41" s="1221">
        <v>40579.991999999998</v>
      </c>
      <c r="BR41" s="1221">
        <v>12370.572</v>
      </c>
      <c r="BS41" s="1221">
        <v>41807.002</v>
      </c>
      <c r="BT41" s="1221">
        <v>13415.673000000001</v>
      </c>
      <c r="BU41" s="1221">
        <v>43388.919000000002</v>
      </c>
      <c r="BV41" s="1221">
        <v>14689.252</v>
      </c>
      <c r="BW41" s="1221">
        <v>1667.3879999999999</v>
      </c>
      <c r="BX41" s="1221">
        <v>802.66</v>
      </c>
      <c r="BY41" s="1221">
        <v>3805.6570000000002</v>
      </c>
      <c r="BZ41" s="1221">
        <v>1938.5060000000001</v>
      </c>
      <c r="CA41" s="1221">
        <v>31689.575000000001</v>
      </c>
      <c r="CB41" s="1221">
        <v>2952.9960000000001</v>
      </c>
      <c r="CC41" s="1221">
        <v>33009.817999999999</v>
      </c>
      <c r="CD41" s="1221">
        <v>4279.2039999999997</v>
      </c>
      <c r="CE41" s="1221">
        <v>34501.055</v>
      </c>
      <c r="CF41" s="1221">
        <v>5476.9369999999999</v>
      </c>
      <c r="CG41" s="1221">
        <v>36157.722999999998</v>
      </c>
      <c r="CH41" s="1221">
        <v>6422.1750000000002</v>
      </c>
      <c r="CI41" s="1221">
        <v>38777.822</v>
      </c>
      <c r="CJ41" s="1221">
        <v>8480.5820000000003</v>
      </c>
      <c r="CK41" s="1221">
        <v>39654.527000000002</v>
      </c>
      <c r="CL41" s="1221">
        <v>9940.3169999999991</v>
      </c>
      <c r="CM41" s="1221">
        <v>41920.921999999999</v>
      </c>
      <c r="CN41" s="1221">
        <v>11261.67</v>
      </c>
      <c r="CO41" s="1221">
        <v>43673.440000000002</v>
      </c>
      <c r="CP41" s="1221">
        <v>13013.700999999999</v>
      </c>
      <c r="CQ41" s="1221">
        <v>45265.197</v>
      </c>
      <c r="CR41" s="1221">
        <v>14496.575000000001</v>
      </c>
      <c r="CS41" s="1221">
        <v>49066.508000000002</v>
      </c>
      <c r="CT41" s="1221">
        <v>16240.494000000001</v>
      </c>
      <c r="CU41" s="1221">
        <v>2142.69</v>
      </c>
      <c r="CV41" s="1221">
        <v>1364.5419999999999</v>
      </c>
      <c r="CW41" s="1221">
        <v>34455.025999999998</v>
      </c>
      <c r="CX41" s="1221">
        <v>3024.489</v>
      </c>
      <c r="CY41" s="1221">
        <v>35748.262999999999</v>
      </c>
      <c r="CZ41" s="1221">
        <v>4002.9879999999998</v>
      </c>
      <c r="DA41" s="1221">
        <v>37179.93</v>
      </c>
      <c r="DB41" s="1221">
        <v>5339.8289999999997</v>
      </c>
      <c r="DC41" s="1221">
        <v>38313.758999999998</v>
      </c>
      <c r="DD41" s="1221">
        <v>5933.6949999999997</v>
      </c>
      <c r="DE41" s="1221">
        <v>39462.374000000003</v>
      </c>
      <c r="DF41" s="1221">
        <v>6956.6379999999999</v>
      </c>
      <c r="DG41" s="1221">
        <v>41058.273999999998</v>
      </c>
      <c r="DH41" s="1221">
        <v>7985.8879999999999</v>
      </c>
      <c r="DI41" s="1221">
        <v>42563.938999999998</v>
      </c>
      <c r="DJ41" s="1221">
        <v>8937.4040000000005</v>
      </c>
      <c r="DK41" s="1221">
        <v>44362.491999999998</v>
      </c>
      <c r="DL41" s="1221">
        <v>10327.012000000001</v>
      </c>
      <c r="DM41" s="1221">
        <v>46083.074000000001</v>
      </c>
      <c r="DN41" s="1221">
        <v>11558.752</v>
      </c>
      <c r="DO41" s="1221">
        <v>47570.086000000003</v>
      </c>
      <c r="DP41" s="1221">
        <v>14860.88</v>
      </c>
      <c r="DQ41" s="1221">
        <v>49122.290999999997</v>
      </c>
      <c r="DR41" s="1221">
        <v>33350.777999999998</v>
      </c>
      <c r="DS41" s="1221">
        <v>2585.308</v>
      </c>
      <c r="DT41" s="1221">
        <v>15517.052</v>
      </c>
      <c r="DU41" s="1221">
        <v>5387.0039999999999</v>
      </c>
      <c r="DV41" s="1221">
        <v>24323.901999999998</v>
      </c>
      <c r="DW41" s="1221">
        <v>38087.968000000001</v>
      </c>
      <c r="DX41" s="1221">
        <v>28164.716</v>
      </c>
      <c r="DY41" s="1221">
        <v>39961.031000000003</v>
      </c>
      <c r="DZ41" s="1221">
        <v>32092.952000000001</v>
      </c>
      <c r="EA41" s="1221">
        <v>42197.220999999998</v>
      </c>
      <c r="EB41" s="1221">
        <v>34520.411999999997</v>
      </c>
      <c r="EC41" s="1221">
        <v>44709.476999999999</v>
      </c>
      <c r="ED41" s="1221">
        <v>37538.232000000004</v>
      </c>
      <c r="EE41" s="1221">
        <v>47149.758999999998</v>
      </c>
      <c r="EF41" s="1221">
        <v>40992.019999999997</v>
      </c>
      <c r="EG41" s="1221">
        <v>49441.587</v>
      </c>
      <c r="EH41" s="1221">
        <v>44587.874000000003</v>
      </c>
      <c r="EI41" s="1221">
        <v>51543.891000000003</v>
      </c>
      <c r="EJ41" s="1221">
        <v>49036.883000000002</v>
      </c>
      <c r="EK41" s="1221">
        <v>53451.936000000002</v>
      </c>
      <c r="EL41" s="1221">
        <v>52410.478000000003</v>
      </c>
      <c r="EM41" s="1221">
        <v>55231.294999999998</v>
      </c>
      <c r="EN41" s="1221">
        <v>56379.021999999997</v>
      </c>
      <c r="EO41" s="1221">
        <v>54039.8</v>
      </c>
      <c r="EP41" s="1221">
        <v>59784.760999999999</v>
      </c>
      <c r="EQ41" s="1221">
        <v>826.97299999999996</v>
      </c>
      <c r="ER41" s="1221">
        <v>1995.7380000000001</v>
      </c>
      <c r="ES41" s="1221">
        <v>1645.6469999999999</v>
      </c>
      <c r="ET41" s="1221">
        <v>3719.6289999999999</v>
      </c>
      <c r="EU41" s="1221">
        <v>2455.1149999999998</v>
      </c>
      <c r="EV41" s="1221">
        <v>6352.2209999999995</v>
      </c>
      <c r="EW41" s="1221">
        <v>3322.3420000000001</v>
      </c>
      <c r="EX41" s="1221">
        <v>8469.6530000000002</v>
      </c>
      <c r="EY41" s="1221">
        <v>4308.085</v>
      </c>
      <c r="EZ41" s="1221">
        <v>10410.339</v>
      </c>
      <c r="FA41" s="1221">
        <v>4308.085</v>
      </c>
      <c r="FB41" s="1221">
        <v>10410.339</v>
      </c>
      <c r="FC41" s="1221">
        <v>6557.8630000000003</v>
      </c>
      <c r="FD41" s="1221">
        <v>13675.694</v>
      </c>
      <c r="FE41" s="1221">
        <v>9539.2430000000004</v>
      </c>
      <c r="FF41" s="1221">
        <v>16668.883000000002</v>
      </c>
      <c r="FG41" s="1221">
        <v>11712.598</v>
      </c>
      <c r="FH41" s="1221">
        <v>17887.902999999998</v>
      </c>
      <c r="FI41" s="1221">
        <v>13991.858</v>
      </c>
      <c r="FJ41" s="1221">
        <v>18881.137999999999</v>
      </c>
      <c r="FK41" s="1221">
        <v>16433.312000000002</v>
      </c>
      <c r="FL41" s="1221">
        <v>20087.633000000002</v>
      </c>
      <c r="FM41" s="1221">
        <v>2039.876</v>
      </c>
      <c r="FN41" s="1221">
        <v>1006.278</v>
      </c>
      <c r="FO41" s="1221">
        <v>3892.895</v>
      </c>
      <c r="FP41" s="1221">
        <v>2299.7249999999999</v>
      </c>
      <c r="FQ41" s="1221">
        <v>6939.1670000000004</v>
      </c>
      <c r="FR41" s="1221">
        <v>3380.248</v>
      </c>
      <c r="FS41" s="1221">
        <v>9293.1370000000006</v>
      </c>
      <c r="FT41" s="1221">
        <v>4679.0200000000004</v>
      </c>
      <c r="FU41" s="1221">
        <v>12088.57</v>
      </c>
      <c r="FV41" s="1221">
        <v>6172.1930000000002</v>
      </c>
      <c r="FW41" s="1221">
        <v>15053.581</v>
      </c>
      <c r="FX41" s="1221">
        <v>7451.9629999999997</v>
      </c>
      <c r="FY41" s="1221">
        <v>18618.350999999999</v>
      </c>
      <c r="FZ41" s="1221">
        <v>8680.0540000000001</v>
      </c>
      <c r="GA41" s="1221">
        <v>21991.001</v>
      </c>
      <c r="GB41" s="1221">
        <v>10141.852999999999</v>
      </c>
      <c r="GC41" s="1221">
        <v>25375.163</v>
      </c>
      <c r="GD41" s="1221">
        <v>11567.061</v>
      </c>
      <c r="GE41" s="1221">
        <v>28860.678</v>
      </c>
      <c r="GF41" s="1221">
        <v>13344.826999999999</v>
      </c>
      <c r="GG41" s="1221">
        <v>28860.678</v>
      </c>
      <c r="GH41" s="1221">
        <v>14981.486000000001</v>
      </c>
      <c r="GI41" s="1221">
        <v>28860.678</v>
      </c>
      <c r="GJ41" s="1221">
        <v>16653.665000000001</v>
      </c>
      <c r="GK41" s="1221">
        <v>0</v>
      </c>
      <c r="GL41" s="1221">
        <v>1717.3710000000001</v>
      </c>
      <c r="GM41" s="1221">
        <v>0</v>
      </c>
      <c r="GN41" s="1221">
        <v>3459.8780000000002</v>
      </c>
      <c r="GO41" s="1221">
        <v>0</v>
      </c>
      <c r="GP41" s="1221">
        <v>4976.9656500000001</v>
      </c>
      <c r="GQ41" s="1221">
        <v>0</v>
      </c>
      <c r="GR41" s="1221">
        <v>7027.9816500000006</v>
      </c>
      <c r="GS41" s="1221">
        <v>0</v>
      </c>
      <c r="GT41" s="1221">
        <v>8841.6730700000007</v>
      </c>
      <c r="GU41" s="1221">
        <v>0</v>
      </c>
      <c r="GV41" s="1221">
        <v>9402.35887</v>
      </c>
      <c r="GW41" s="1221">
        <v>0</v>
      </c>
      <c r="GX41" s="1221">
        <v>10284.38694</v>
      </c>
      <c r="GY41" s="1221">
        <v>0</v>
      </c>
      <c r="GZ41" s="1221">
        <v>11227.22694</v>
      </c>
      <c r="HA41" s="1221">
        <v>0</v>
      </c>
      <c r="HB41" s="1221">
        <v>12702.05075</v>
      </c>
      <c r="HC41" s="1221">
        <v>0</v>
      </c>
      <c r="HD41" s="1221">
        <v>13475.88358</v>
      </c>
      <c r="HE41" s="1221">
        <v>0</v>
      </c>
      <c r="HF41" s="1221">
        <v>14177.15403</v>
      </c>
      <c r="HG41" s="1221">
        <v>0</v>
      </c>
      <c r="HH41" s="1221">
        <v>14806.96146</v>
      </c>
      <c r="HI41" s="1221">
        <v>0</v>
      </c>
      <c r="HJ41" s="1221">
        <v>0</v>
      </c>
      <c r="HK41" s="1221">
        <v>0</v>
      </c>
      <c r="HL41" s="1221">
        <v>0</v>
      </c>
      <c r="HM41" s="1221">
        <v>0</v>
      </c>
      <c r="HN41" s="1221">
        <v>0</v>
      </c>
      <c r="HO41" s="1221">
        <v>0</v>
      </c>
      <c r="HP41" s="1221">
        <v>0</v>
      </c>
      <c r="HQ41" s="1221">
        <v>0</v>
      </c>
      <c r="HR41" s="1221">
        <v>0</v>
      </c>
      <c r="HS41" s="1984" t="s">
        <v>4100</v>
      </c>
    </row>
    <row r="42" spans="1:227" ht="66" customHeight="1">
      <c r="A42" s="1842"/>
      <c r="B42" s="1843" t="s">
        <v>2284</v>
      </c>
      <c r="C42" s="1223">
        <f t="shared" ref="C42:BN42" si="4">SUM((C12:C28))</f>
        <v>76297.173439999999</v>
      </c>
      <c r="D42" s="1223">
        <f t="shared" si="4"/>
        <v>13358.26424</v>
      </c>
      <c r="E42" s="1223">
        <f t="shared" si="4"/>
        <v>110461.78672999999</v>
      </c>
      <c r="F42" s="1223">
        <f t="shared" si="4"/>
        <v>39787.314440000002</v>
      </c>
      <c r="G42" s="1223">
        <f t="shared" si="4"/>
        <v>152394.26984999998</v>
      </c>
      <c r="H42" s="1223">
        <f t="shared" si="4"/>
        <v>52578.540089999995</v>
      </c>
      <c r="I42" s="1223">
        <f t="shared" si="4"/>
        <v>192733.66685000001</v>
      </c>
      <c r="J42" s="1223">
        <f t="shared" si="4"/>
        <v>67590.736280000012</v>
      </c>
      <c r="K42" s="1223">
        <f t="shared" si="4"/>
        <v>242138.39778</v>
      </c>
      <c r="L42" s="1223">
        <f t="shared" si="4"/>
        <v>87608.975630000001</v>
      </c>
      <c r="M42" s="1223">
        <f t="shared" si="4"/>
        <v>285348.76592000003</v>
      </c>
      <c r="N42" s="1223">
        <f t="shared" si="4"/>
        <v>101420.48012999998</v>
      </c>
      <c r="O42" s="1223">
        <f t="shared" si="4"/>
        <v>325336.08742</v>
      </c>
      <c r="P42" s="1223">
        <f t="shared" si="4"/>
        <v>119032.22082000002</v>
      </c>
      <c r="Q42" s="1223">
        <f t="shared" si="4"/>
        <v>356180.20927000005</v>
      </c>
      <c r="R42" s="1223">
        <f t="shared" si="4"/>
        <v>136771.50169</v>
      </c>
      <c r="S42" s="1223">
        <f t="shared" si="4"/>
        <v>390337.01116000005</v>
      </c>
      <c r="T42" s="1223">
        <f t="shared" si="4"/>
        <v>166971.91622000001</v>
      </c>
      <c r="U42" s="1223">
        <f t="shared" si="4"/>
        <v>420364.70486000006</v>
      </c>
      <c r="V42" s="1223">
        <f t="shared" si="4"/>
        <v>190656.99940999999</v>
      </c>
      <c r="W42" s="1223">
        <f t="shared" si="4"/>
        <v>448513.34290000005</v>
      </c>
      <c r="X42" s="1223">
        <f t="shared" si="4"/>
        <v>217995.40726000001</v>
      </c>
      <c r="Y42" s="1223">
        <f t="shared" si="4"/>
        <v>486074.2792300001</v>
      </c>
      <c r="Z42" s="1223">
        <f t="shared" si="4"/>
        <v>237250.61591999998</v>
      </c>
      <c r="AA42" s="1223">
        <f t="shared" si="4"/>
        <v>70720.098729999998</v>
      </c>
      <c r="AB42" s="1223">
        <f t="shared" si="4"/>
        <v>26775.323100000001</v>
      </c>
      <c r="AC42" s="1223">
        <f t="shared" si="4"/>
        <v>103796.93885000001</v>
      </c>
      <c r="AD42" s="1223">
        <f t="shared" si="4"/>
        <v>43858.522270000009</v>
      </c>
      <c r="AE42" s="1223">
        <f t="shared" si="4"/>
        <v>150681.68051000001</v>
      </c>
      <c r="AF42" s="1223">
        <f t="shared" si="4"/>
        <v>60292.393570000007</v>
      </c>
      <c r="AG42" s="1223">
        <f t="shared" si="4"/>
        <v>194172.08795000002</v>
      </c>
      <c r="AH42" s="1223">
        <f t="shared" si="4"/>
        <v>75319.197400000005</v>
      </c>
      <c r="AI42" s="1223">
        <f t="shared" si="4"/>
        <v>240115.42362999995</v>
      </c>
      <c r="AJ42" s="1223">
        <f t="shared" si="4"/>
        <v>97900.505900000018</v>
      </c>
      <c r="AK42" s="1223">
        <f t="shared" si="4"/>
        <v>276158.44377999997</v>
      </c>
      <c r="AL42" s="1223">
        <f t="shared" si="4"/>
        <v>124410.42036</v>
      </c>
      <c r="AM42" s="1223">
        <f t="shared" si="4"/>
        <v>322830.05928999995</v>
      </c>
      <c r="AN42" s="1223">
        <f t="shared" si="4"/>
        <v>144008.84050000002</v>
      </c>
      <c r="AO42" s="1223">
        <f t="shared" si="4"/>
        <v>368915.44897999999</v>
      </c>
      <c r="AP42" s="1223">
        <f t="shared" si="4"/>
        <v>167060.91748999999</v>
      </c>
      <c r="AQ42" s="1223">
        <f t="shared" si="4"/>
        <v>414352.72496999998</v>
      </c>
      <c r="AR42" s="1223">
        <f t="shared" si="4"/>
        <v>188579.73018999997</v>
      </c>
      <c r="AS42" s="1223">
        <f t="shared" si="4"/>
        <v>462653.61855000001</v>
      </c>
      <c r="AT42" s="1223">
        <f t="shared" si="4"/>
        <v>204637.00383999999</v>
      </c>
      <c r="AU42" s="1223">
        <f t="shared" si="4"/>
        <v>504234.79863000003</v>
      </c>
      <c r="AV42" s="1223">
        <f t="shared" si="4"/>
        <v>230880.32025000002</v>
      </c>
      <c r="AW42" s="1223">
        <f t="shared" si="4"/>
        <v>556866.57860000001</v>
      </c>
      <c r="AX42" s="1223">
        <f t="shared" si="4"/>
        <v>257109.59744000004</v>
      </c>
      <c r="AY42" s="1223">
        <f t="shared" si="4"/>
        <v>82760.045640000011</v>
      </c>
      <c r="AZ42" s="1223">
        <f t="shared" si="4"/>
        <v>22988.119540000003</v>
      </c>
      <c r="BA42" s="1223">
        <f t="shared" si="4"/>
        <v>130155.74632999999</v>
      </c>
      <c r="BB42" s="1223">
        <f t="shared" si="4"/>
        <v>40487.736870000001</v>
      </c>
      <c r="BC42" s="1223">
        <f t="shared" si="4"/>
        <v>193116.47999999998</v>
      </c>
      <c r="BD42" s="1223">
        <f t="shared" si="4"/>
        <v>60294.35</v>
      </c>
      <c r="BE42" s="1223">
        <f t="shared" si="4"/>
        <v>301419.31775000005</v>
      </c>
      <c r="BF42" s="1223">
        <f t="shared" si="4"/>
        <v>78498.079090000014</v>
      </c>
      <c r="BG42" s="1223">
        <f t="shared" si="4"/>
        <v>350821.24789999996</v>
      </c>
      <c r="BH42" s="1223">
        <f t="shared" si="4"/>
        <v>97450.143330000021</v>
      </c>
      <c r="BI42" s="1223">
        <f t="shared" si="4"/>
        <v>396371.31819000002</v>
      </c>
      <c r="BJ42" s="1223">
        <f t="shared" si="4"/>
        <v>119303.42305999999</v>
      </c>
      <c r="BK42" s="1223">
        <f t="shared" si="4"/>
        <v>459851.48753999994</v>
      </c>
      <c r="BL42" s="1223">
        <f t="shared" si="4"/>
        <v>145904.74216999998</v>
      </c>
      <c r="BM42" s="1223">
        <f t="shared" si="4"/>
        <v>516923.64357999997</v>
      </c>
      <c r="BN42" s="1223">
        <f t="shared" si="4"/>
        <v>168581.45294000002</v>
      </c>
      <c r="BO42" s="1223">
        <f t="shared" ref="BO42:DZ42" si="5">SUM((BO12:BO28))</f>
        <v>568538.42003000004</v>
      </c>
      <c r="BP42" s="1223">
        <f t="shared" si="5"/>
        <v>186911.60117999997</v>
      </c>
      <c r="BQ42" s="1223">
        <f t="shared" si="5"/>
        <v>617170.59290000005</v>
      </c>
      <c r="BR42" s="1223">
        <f t="shared" si="5"/>
        <v>205960.35067000001</v>
      </c>
      <c r="BS42" s="1223">
        <f t="shared" si="5"/>
        <v>663891.11809999996</v>
      </c>
      <c r="BT42" s="1223">
        <f t="shared" si="5"/>
        <v>224139.21143000002</v>
      </c>
      <c r="BU42" s="1223">
        <f t="shared" si="5"/>
        <v>727954.1132599999</v>
      </c>
      <c r="BV42" s="1223">
        <f t="shared" si="5"/>
        <v>240333.47072999997</v>
      </c>
      <c r="BW42" s="1223">
        <f t="shared" si="5"/>
        <v>88194.56170999998</v>
      </c>
      <c r="BX42" s="1223">
        <f t="shared" si="5"/>
        <v>17155.82201</v>
      </c>
      <c r="BY42" s="1223">
        <f t="shared" si="5"/>
        <v>132818.82644999999</v>
      </c>
      <c r="BZ42" s="1223">
        <f t="shared" si="5"/>
        <v>33115.938119999999</v>
      </c>
      <c r="CA42" s="1223">
        <f t="shared" si="5"/>
        <v>201174.05872000003</v>
      </c>
      <c r="CB42" s="1223">
        <f t="shared" si="5"/>
        <v>46234.366450000001</v>
      </c>
      <c r="CC42" s="1223">
        <f t="shared" si="5"/>
        <v>265296.48440999998</v>
      </c>
      <c r="CD42" s="1223">
        <f t="shared" si="5"/>
        <v>66651.188870000013</v>
      </c>
      <c r="CE42" s="1223">
        <f t="shared" si="5"/>
        <v>319272.15882999997</v>
      </c>
      <c r="CF42" s="1223">
        <f t="shared" si="5"/>
        <v>93777.495639999994</v>
      </c>
      <c r="CG42" s="1223">
        <f t="shared" si="5"/>
        <v>361336.79787999997</v>
      </c>
      <c r="CH42" s="1223">
        <f t="shared" si="5"/>
        <v>119102.38302000001</v>
      </c>
      <c r="CI42" s="1223">
        <f t="shared" si="5"/>
        <v>422931.40941999998</v>
      </c>
      <c r="CJ42" s="1223">
        <f t="shared" si="5"/>
        <v>154631.93884000002</v>
      </c>
      <c r="CK42" s="1223">
        <f t="shared" si="5"/>
        <v>469799.29813000001</v>
      </c>
      <c r="CL42" s="1223">
        <f t="shared" si="5"/>
        <v>175473.56848000002</v>
      </c>
      <c r="CM42" s="1223">
        <f t="shared" si="5"/>
        <v>522453.60658999998</v>
      </c>
      <c r="CN42" s="1223">
        <f t="shared" si="5"/>
        <v>201700.71458000003</v>
      </c>
      <c r="CO42" s="1223">
        <f t="shared" si="5"/>
        <v>570520.02782999992</v>
      </c>
      <c r="CP42" s="1223">
        <f t="shared" si="5"/>
        <v>225472.95251999999</v>
      </c>
      <c r="CQ42" s="1223">
        <f t="shared" si="5"/>
        <v>615556.28077000007</v>
      </c>
      <c r="CR42" s="1223">
        <f t="shared" si="5"/>
        <v>252220.99571999998</v>
      </c>
      <c r="CS42" s="1223">
        <f t="shared" si="5"/>
        <v>681176.83921000012</v>
      </c>
      <c r="CT42" s="1223">
        <f t="shared" si="5"/>
        <v>301536.70383999997</v>
      </c>
      <c r="CU42" s="1223">
        <f t="shared" si="5"/>
        <v>112025.55153</v>
      </c>
      <c r="CV42" s="1223">
        <f t="shared" si="5"/>
        <v>26746.8567</v>
      </c>
      <c r="CW42" s="1223">
        <f t="shared" si="5"/>
        <v>190744.23773000005</v>
      </c>
      <c r="CX42" s="1223">
        <f t="shared" si="5"/>
        <v>49293.809840000009</v>
      </c>
      <c r="CY42" s="1223">
        <f t="shared" si="5"/>
        <v>240764.29533999995</v>
      </c>
      <c r="CZ42" s="1223">
        <f t="shared" si="5"/>
        <v>77091.267300000007</v>
      </c>
      <c r="DA42" s="1223">
        <f t="shared" si="5"/>
        <v>311336.96824000002</v>
      </c>
      <c r="DB42" s="1223">
        <f t="shared" si="5"/>
        <v>105564.72729</v>
      </c>
      <c r="DC42" s="1223">
        <f t="shared" si="5"/>
        <v>361348.23884999997</v>
      </c>
      <c r="DD42" s="1223">
        <f t="shared" si="5"/>
        <v>140171.03659999999</v>
      </c>
      <c r="DE42" s="1223">
        <f t="shared" si="5"/>
        <v>406400.26131999999</v>
      </c>
      <c r="DF42" s="1223">
        <f t="shared" si="5"/>
        <v>188351.18817000001</v>
      </c>
      <c r="DG42" s="1223">
        <f t="shared" si="5"/>
        <v>472725.13098000002</v>
      </c>
      <c r="DH42" s="1223">
        <f t="shared" si="5"/>
        <v>227129.08133000002</v>
      </c>
      <c r="DI42" s="1223">
        <f t="shared" si="5"/>
        <v>528652.56235999998</v>
      </c>
      <c r="DJ42" s="1223">
        <f t="shared" si="5"/>
        <v>262996.16752999998</v>
      </c>
      <c r="DK42" s="1223">
        <f t="shared" si="5"/>
        <v>581509.08165999991</v>
      </c>
      <c r="DL42" s="1223">
        <f t="shared" si="5"/>
        <v>307761.74941999995</v>
      </c>
      <c r="DM42" s="1223">
        <f t="shared" si="5"/>
        <v>628374.21670999995</v>
      </c>
      <c r="DN42" s="1223">
        <f t="shared" si="5"/>
        <v>350035.47166999994</v>
      </c>
      <c r="DO42" s="1223">
        <f t="shared" si="5"/>
        <v>668189.43371999986</v>
      </c>
      <c r="DP42" s="1223">
        <f t="shared" si="5"/>
        <v>391453.57309999992</v>
      </c>
      <c r="DQ42" s="1223">
        <f t="shared" si="5"/>
        <v>728634.06122000003</v>
      </c>
      <c r="DR42" s="1223">
        <f t="shared" si="5"/>
        <v>465153.12058999995</v>
      </c>
      <c r="DS42" s="1223">
        <f t="shared" si="5"/>
        <v>104010.82191</v>
      </c>
      <c r="DT42" s="1223">
        <f t="shared" si="5"/>
        <v>56840.69144000001</v>
      </c>
      <c r="DU42" s="1223">
        <f t="shared" si="5"/>
        <v>160445.07994</v>
      </c>
      <c r="DV42" s="1223">
        <f t="shared" si="5"/>
        <v>100170.15075000002</v>
      </c>
      <c r="DW42" s="1223">
        <f t="shared" si="5"/>
        <v>248988.66884</v>
      </c>
      <c r="DX42" s="1223">
        <f t="shared" si="5"/>
        <v>145344.73252000002</v>
      </c>
      <c r="DY42" s="1223">
        <f t="shared" si="5"/>
        <v>339107.25600000011</v>
      </c>
      <c r="DZ42" s="1223">
        <f t="shared" si="5"/>
        <v>179789.26319</v>
      </c>
      <c r="EA42" s="1223">
        <f t="shared" ref="EA42:GL42" si="6">SUM((EA12:EA28))</f>
        <v>398001.05213999993</v>
      </c>
      <c r="EB42" s="1223">
        <f t="shared" si="6"/>
        <v>208232.96300999995</v>
      </c>
      <c r="EC42" s="1223">
        <f t="shared" si="6"/>
        <v>452366.28687000001</v>
      </c>
      <c r="ED42" s="1223">
        <f t="shared" si="6"/>
        <v>248199.50464</v>
      </c>
      <c r="EE42" s="1223">
        <f t="shared" si="6"/>
        <v>528257.53888999997</v>
      </c>
      <c r="EF42" s="1223">
        <f t="shared" si="6"/>
        <v>301178.70487999998</v>
      </c>
      <c r="EG42" s="1223">
        <f t="shared" si="6"/>
        <v>580597.12958000007</v>
      </c>
      <c r="EH42" s="1223">
        <f t="shared" si="6"/>
        <v>339866.39110000001</v>
      </c>
      <c r="EI42" s="1223">
        <f t="shared" si="6"/>
        <v>651483.89378000004</v>
      </c>
      <c r="EJ42" s="1223">
        <f t="shared" si="6"/>
        <v>373491.24083999993</v>
      </c>
      <c r="EK42" s="1223">
        <f t="shared" si="6"/>
        <v>705699.90230999992</v>
      </c>
      <c r="EL42" s="1223">
        <f t="shared" si="6"/>
        <v>401211.20584000001</v>
      </c>
      <c r="EM42" s="1223">
        <f t="shared" si="6"/>
        <v>767810.10654000007</v>
      </c>
      <c r="EN42" s="1223">
        <f t="shared" si="6"/>
        <v>429848.94697999989</v>
      </c>
      <c r="EO42" s="1223">
        <f t="shared" si="6"/>
        <v>843897.27764999995</v>
      </c>
      <c r="EP42" s="1223">
        <f t="shared" si="6"/>
        <v>458726.2834999999</v>
      </c>
      <c r="EQ42" s="1223">
        <f t="shared" si="6"/>
        <v>117820.43871</v>
      </c>
      <c r="ER42" s="1223">
        <f t="shared" si="6"/>
        <v>16649.298289999999</v>
      </c>
      <c r="ES42" s="1223">
        <f t="shared" si="6"/>
        <v>178306.97304000001</v>
      </c>
      <c r="ET42" s="1223">
        <f t="shared" si="6"/>
        <v>38936.25662</v>
      </c>
      <c r="EU42" s="1223">
        <f t="shared" si="6"/>
        <v>258424.98340999996</v>
      </c>
      <c r="EV42" s="1223">
        <f t="shared" si="6"/>
        <v>61227.659149999999</v>
      </c>
      <c r="EW42" s="1223">
        <f t="shared" si="6"/>
        <v>358771.12638000003</v>
      </c>
      <c r="EX42" s="1223">
        <f t="shared" si="6"/>
        <v>93417.540739999982</v>
      </c>
      <c r="EY42" s="1223">
        <f t="shared" si="6"/>
        <v>426637.83487000002</v>
      </c>
      <c r="EZ42" s="1223">
        <f t="shared" si="6"/>
        <v>129032.68520000001</v>
      </c>
      <c r="FA42" s="1223">
        <f t="shared" si="6"/>
        <v>491604.71100999997</v>
      </c>
      <c r="FB42" s="1223">
        <f t="shared" si="6"/>
        <v>174922.91820999989</v>
      </c>
      <c r="FC42" s="1223">
        <f t="shared" si="6"/>
        <v>580501.0631400001</v>
      </c>
      <c r="FD42" s="1223">
        <f t="shared" si="6"/>
        <v>241128.49865000002</v>
      </c>
      <c r="FE42" s="1223">
        <f t="shared" si="6"/>
        <v>731219.83220000018</v>
      </c>
      <c r="FF42" s="1223">
        <f t="shared" si="6"/>
        <v>318614.51465999999</v>
      </c>
      <c r="FG42" s="1223">
        <f t="shared" si="6"/>
        <v>797624.83646999998</v>
      </c>
      <c r="FH42" s="1223">
        <f t="shared" si="6"/>
        <v>359296.78415000002</v>
      </c>
      <c r="FI42" s="1223">
        <f t="shared" si="6"/>
        <v>875132.42313999997</v>
      </c>
      <c r="FJ42" s="1223">
        <f t="shared" si="6"/>
        <v>400953.30405999999</v>
      </c>
      <c r="FK42" s="1223">
        <f t="shared" si="6"/>
        <v>970822.75451</v>
      </c>
      <c r="FL42" s="1223">
        <f t="shared" si="6"/>
        <v>433202.48518000002</v>
      </c>
      <c r="FM42" s="1223">
        <f t="shared" si="6"/>
        <v>131814.05855000002</v>
      </c>
      <c r="FN42" s="1223">
        <f t="shared" si="6"/>
        <v>35168.425459999999</v>
      </c>
      <c r="FO42" s="1223">
        <f t="shared" si="6"/>
        <v>221067.94497000004</v>
      </c>
      <c r="FP42" s="1223">
        <f t="shared" si="6"/>
        <v>70514.391050000006</v>
      </c>
      <c r="FQ42" s="1223">
        <f t="shared" si="6"/>
        <v>346909.53105000005</v>
      </c>
      <c r="FR42" s="1223">
        <f t="shared" si="6"/>
        <v>102289.68700000001</v>
      </c>
      <c r="FS42" s="1223">
        <f t="shared" si="6"/>
        <v>467530.25753000006</v>
      </c>
      <c r="FT42" s="1223">
        <f t="shared" si="6"/>
        <v>134601.68461</v>
      </c>
      <c r="FU42" s="1223">
        <f t="shared" si="6"/>
        <v>566433.97491999995</v>
      </c>
      <c r="FV42" s="1223">
        <f t="shared" si="6"/>
        <v>174436.19404000003</v>
      </c>
      <c r="FW42" s="1223">
        <f t="shared" si="6"/>
        <v>648945.42958</v>
      </c>
      <c r="FX42" s="1223">
        <f t="shared" si="6"/>
        <v>225032.06250000003</v>
      </c>
      <c r="FY42" s="1223">
        <f t="shared" si="6"/>
        <v>761801.01953000005</v>
      </c>
      <c r="FZ42" s="1223">
        <f t="shared" si="6"/>
        <v>282977.14317</v>
      </c>
      <c r="GA42" s="1223">
        <f t="shared" si="6"/>
        <v>846854.45338000008</v>
      </c>
      <c r="GB42" s="1223">
        <f t="shared" si="6"/>
        <v>345796.35091000004</v>
      </c>
      <c r="GC42" s="1223">
        <f t="shared" si="6"/>
        <v>935934.68965000007</v>
      </c>
      <c r="GD42" s="1223">
        <f t="shared" si="6"/>
        <v>400386.96116999997</v>
      </c>
      <c r="GE42" s="1223">
        <f t="shared" si="6"/>
        <v>1019744.55481</v>
      </c>
      <c r="GF42" s="1223">
        <f t="shared" si="6"/>
        <v>455011.70200000005</v>
      </c>
      <c r="GG42" s="1223">
        <f t="shared" si="6"/>
        <v>1108233.6728699999</v>
      </c>
      <c r="GH42" s="1223">
        <f t="shared" si="6"/>
        <v>497466.31533000001</v>
      </c>
      <c r="GI42" s="1223">
        <f t="shared" si="6"/>
        <v>1222537.1694299998</v>
      </c>
      <c r="GJ42" s="1223">
        <f t="shared" si="6"/>
        <v>587324.96776999999</v>
      </c>
      <c r="GK42" s="1223">
        <f t="shared" si="6"/>
        <v>139113.54997000002</v>
      </c>
      <c r="GL42" s="1223">
        <f t="shared" si="6"/>
        <v>38783.136229999989</v>
      </c>
      <c r="GM42" s="1223">
        <f t="shared" ref="GM42:HR42" si="7">SUM((GM12:GM28))</f>
        <v>239718.83590000001</v>
      </c>
      <c r="GN42" s="1223">
        <f t="shared" si="7"/>
        <v>97434.382379999995</v>
      </c>
      <c r="GO42" s="1223">
        <f t="shared" si="7"/>
        <v>373140.46429000009</v>
      </c>
      <c r="GP42" s="1223">
        <f t="shared" si="7"/>
        <v>153326.60004999998</v>
      </c>
      <c r="GQ42" s="1223">
        <f t="shared" si="7"/>
        <v>542840.82397999987</v>
      </c>
      <c r="GR42" s="1223">
        <f t="shared" si="7"/>
        <v>209555.11854999996</v>
      </c>
      <c r="GS42" s="1223">
        <f t="shared" si="7"/>
        <v>643754.04636000004</v>
      </c>
      <c r="GT42" s="1223">
        <f t="shared" si="7"/>
        <v>274240.91842</v>
      </c>
      <c r="GU42" s="1223">
        <f t="shared" si="7"/>
        <v>725161.65022999991</v>
      </c>
      <c r="GV42" s="1223">
        <f t="shared" si="7"/>
        <v>356083.98795999994</v>
      </c>
      <c r="GW42" s="1223">
        <f t="shared" si="7"/>
        <v>833199.34202999994</v>
      </c>
      <c r="GX42" s="1223">
        <f t="shared" si="7"/>
        <v>438617.88091999997</v>
      </c>
      <c r="GY42" s="1223">
        <f t="shared" si="7"/>
        <v>928110.17174999998</v>
      </c>
      <c r="GZ42" s="1223">
        <f t="shared" si="7"/>
        <v>498345.11080999998</v>
      </c>
      <c r="HA42" s="1223">
        <f t="shared" si="7"/>
        <v>1023707.1729300001</v>
      </c>
      <c r="HB42" s="1223">
        <f t="shared" si="7"/>
        <v>553746.10273000004</v>
      </c>
      <c r="HC42" s="1223">
        <f t="shared" si="7"/>
        <v>1112026.7742800002</v>
      </c>
      <c r="HD42" s="1223">
        <f t="shared" si="7"/>
        <v>622301.23150999995</v>
      </c>
      <c r="HE42" s="1223">
        <f t="shared" si="7"/>
        <v>1222165.54311</v>
      </c>
      <c r="HF42" s="1223">
        <f t="shared" si="7"/>
        <v>694053.27838999988</v>
      </c>
      <c r="HG42" s="1223">
        <f t="shared" si="7"/>
        <v>1353185.41227</v>
      </c>
      <c r="HH42" s="1223">
        <f t="shared" si="7"/>
        <v>752712.21317999996</v>
      </c>
      <c r="HI42" s="1223">
        <f t="shared" si="7"/>
        <v>163658.20333000002</v>
      </c>
      <c r="HJ42" s="1223">
        <f t="shared" si="7"/>
        <v>47623.276229999989</v>
      </c>
      <c r="HK42" s="1223">
        <f t="shared" si="7"/>
        <v>281206.19647999998</v>
      </c>
      <c r="HL42" s="1223">
        <f t="shared" si="7"/>
        <v>108594.79767</v>
      </c>
      <c r="HM42" s="1223">
        <f t="shared" si="7"/>
        <v>399083.34303000016</v>
      </c>
      <c r="HN42" s="1223">
        <f t="shared" si="7"/>
        <v>164029.19675176701</v>
      </c>
      <c r="HO42" s="1223">
        <f t="shared" si="7"/>
        <v>588465.52116</v>
      </c>
      <c r="HP42" s="1223">
        <f t="shared" si="7"/>
        <v>231332.50931000002</v>
      </c>
      <c r="HQ42" s="1223">
        <f t="shared" si="7"/>
        <v>719352.80990000011</v>
      </c>
      <c r="HR42" s="1223">
        <f t="shared" si="7"/>
        <v>314787.88643000013</v>
      </c>
      <c r="HS42" s="1843" t="s">
        <v>3143</v>
      </c>
    </row>
    <row r="43" spans="1:227" s="1845" customFormat="1" ht="24" customHeight="1">
      <c r="A43" s="1960" t="s">
        <v>3278</v>
      </c>
      <c r="B43" s="1844"/>
      <c r="C43" s="1844"/>
      <c r="D43" s="1844"/>
      <c r="E43" s="1844"/>
      <c r="F43" s="1844"/>
      <c r="G43" s="1844"/>
      <c r="H43" s="1844"/>
      <c r="I43" s="1844"/>
      <c r="J43" s="1844"/>
      <c r="K43" s="1844"/>
      <c r="L43" s="1844"/>
      <c r="M43" s="1844"/>
      <c r="N43" s="1844"/>
      <c r="O43" s="1844"/>
      <c r="P43" s="1844"/>
      <c r="Q43" s="1844"/>
      <c r="R43" s="1844"/>
      <c r="S43" s="1844"/>
      <c r="T43" s="1844"/>
      <c r="U43" s="1844"/>
      <c r="V43" s="1844"/>
      <c r="W43" s="1844"/>
      <c r="X43" s="1844"/>
      <c r="Y43" s="1844"/>
      <c r="Z43" s="1844"/>
      <c r="AA43" s="1844"/>
      <c r="AB43" s="1844"/>
      <c r="AC43" s="1844"/>
      <c r="AD43" s="1844"/>
      <c r="AE43" s="1844"/>
      <c r="AF43" s="1844"/>
      <c r="AG43" s="1844"/>
      <c r="AH43" s="1844"/>
    </row>
    <row r="44" spans="1:227" ht="27.6" customHeight="1">
      <c r="A44" s="1844" t="s">
        <v>4101</v>
      </c>
      <c r="B44" s="1844"/>
    </row>
    <row r="147" spans="117:118" ht="22.5">
      <c r="DM147" s="1202"/>
      <c r="DN147" s="1202"/>
    </row>
  </sheetData>
  <mergeCells count="240">
    <mergeCell ref="A2:HS2"/>
    <mergeCell ref="A3:HS3"/>
    <mergeCell ref="A7:B7"/>
    <mergeCell ref="C7:Z7"/>
    <mergeCell ref="AA7:AX7"/>
    <mergeCell ref="AY7:BV7"/>
    <mergeCell ref="BW7:CT7"/>
    <mergeCell ref="CU7:DR7"/>
    <mergeCell ref="DS7:EP7"/>
    <mergeCell ref="EQ7:FL7"/>
    <mergeCell ref="FM7:GJ7"/>
    <mergeCell ref="GK7:HH7"/>
    <mergeCell ref="HI7:HR7"/>
    <mergeCell ref="HS7:HS11"/>
    <mergeCell ref="A8:A10"/>
    <mergeCell ref="B8:B11"/>
    <mergeCell ref="C8:D8"/>
    <mergeCell ref="E8:F8"/>
    <mergeCell ref="G8:H8"/>
    <mergeCell ref="I8:J8"/>
    <mergeCell ref="W8:X8"/>
    <mergeCell ref="Y8:Z8"/>
    <mergeCell ref="AA8:AB8"/>
    <mergeCell ref="AC8:AD8"/>
    <mergeCell ref="AE8:AF8"/>
    <mergeCell ref="AG8:AH8"/>
    <mergeCell ref="K8:L8"/>
    <mergeCell ref="M8:N8"/>
    <mergeCell ref="O8:P8"/>
    <mergeCell ref="Q8:R8"/>
    <mergeCell ref="S8:T8"/>
    <mergeCell ref="U8:V8"/>
    <mergeCell ref="AU8:AV8"/>
    <mergeCell ref="AW8:AX8"/>
    <mergeCell ref="AY8:AZ8"/>
    <mergeCell ref="BA8:BB8"/>
    <mergeCell ref="BC8:BD8"/>
    <mergeCell ref="BE8:BF8"/>
    <mergeCell ref="AI8:AJ8"/>
    <mergeCell ref="AK8:AL8"/>
    <mergeCell ref="AM8:AN8"/>
    <mergeCell ref="AO8:AP8"/>
    <mergeCell ref="AQ8:AR8"/>
    <mergeCell ref="AS8:AT8"/>
    <mergeCell ref="BS8:BT8"/>
    <mergeCell ref="BU8:BV8"/>
    <mergeCell ref="BW8:BX8"/>
    <mergeCell ref="BY8:BZ8"/>
    <mergeCell ref="CA8:CB8"/>
    <mergeCell ref="CC8:CD8"/>
    <mergeCell ref="BG8:BH8"/>
    <mergeCell ref="BI8:BJ8"/>
    <mergeCell ref="BK8:BL8"/>
    <mergeCell ref="BM8:BN8"/>
    <mergeCell ref="BO8:BP8"/>
    <mergeCell ref="BQ8:BR8"/>
    <mergeCell ref="CQ8:CR8"/>
    <mergeCell ref="CS8:CT8"/>
    <mergeCell ref="CU8:CV8"/>
    <mergeCell ref="CW8:CX8"/>
    <mergeCell ref="CY8:CZ8"/>
    <mergeCell ref="DA8:DB8"/>
    <mergeCell ref="CE8:CF8"/>
    <mergeCell ref="CG8:CH8"/>
    <mergeCell ref="CI8:CJ8"/>
    <mergeCell ref="CK8:CL8"/>
    <mergeCell ref="CM8:CN8"/>
    <mergeCell ref="CO8:CP8"/>
    <mergeCell ref="DO8:DP8"/>
    <mergeCell ref="DQ8:DR8"/>
    <mergeCell ref="DS8:DT8"/>
    <mergeCell ref="DU8:DV8"/>
    <mergeCell ref="DW8:DX8"/>
    <mergeCell ref="DY8:DZ8"/>
    <mergeCell ref="DC8:DD8"/>
    <mergeCell ref="DE8:DF8"/>
    <mergeCell ref="DG8:DH8"/>
    <mergeCell ref="DI8:DJ8"/>
    <mergeCell ref="DK8:DL8"/>
    <mergeCell ref="DM8:DN8"/>
    <mergeCell ref="EM8:EN8"/>
    <mergeCell ref="EO8:EP8"/>
    <mergeCell ref="EQ8:ER8"/>
    <mergeCell ref="ES8:ET8"/>
    <mergeCell ref="EU8:EV8"/>
    <mergeCell ref="EW8:EX8"/>
    <mergeCell ref="EA8:EB8"/>
    <mergeCell ref="EC8:ED8"/>
    <mergeCell ref="EE8:EF8"/>
    <mergeCell ref="EG8:EH8"/>
    <mergeCell ref="EI8:EJ8"/>
    <mergeCell ref="EK8:EL8"/>
    <mergeCell ref="FQ8:FR8"/>
    <mergeCell ref="FS8:FT8"/>
    <mergeCell ref="FU8:FV8"/>
    <mergeCell ref="EY8:EZ8"/>
    <mergeCell ref="FA8:FB8"/>
    <mergeCell ref="FC8:FD8"/>
    <mergeCell ref="FE8:FF8"/>
    <mergeCell ref="FG8:FH8"/>
    <mergeCell ref="FI8:FJ8"/>
    <mergeCell ref="HM8:HN8"/>
    <mergeCell ref="HO8:HP8"/>
    <mergeCell ref="HQ8:HR8"/>
    <mergeCell ref="GU8:GV8"/>
    <mergeCell ref="GW8:GX8"/>
    <mergeCell ref="GY8:GZ8"/>
    <mergeCell ref="HA8:HB8"/>
    <mergeCell ref="HC8:HD8"/>
    <mergeCell ref="HE8:HF8"/>
    <mergeCell ref="C9:D9"/>
    <mergeCell ref="E9:F9"/>
    <mergeCell ref="G9:H9"/>
    <mergeCell ref="I9:J9"/>
    <mergeCell ref="K9:L9"/>
    <mergeCell ref="M9:N9"/>
    <mergeCell ref="HG8:HH8"/>
    <mergeCell ref="HI8:HJ8"/>
    <mergeCell ref="HK8:HL8"/>
    <mergeCell ref="GI8:GJ8"/>
    <mergeCell ref="GK8:GL8"/>
    <mergeCell ref="GM8:GN8"/>
    <mergeCell ref="GO8:GP8"/>
    <mergeCell ref="GQ8:GR8"/>
    <mergeCell ref="GS8:GT8"/>
    <mergeCell ref="FW8:FX8"/>
    <mergeCell ref="FY8:FZ8"/>
    <mergeCell ref="GA8:GB8"/>
    <mergeCell ref="GC8:GD8"/>
    <mergeCell ref="GE8:GF8"/>
    <mergeCell ref="GG8:GH8"/>
    <mergeCell ref="FK8:FL8"/>
    <mergeCell ref="FM8:FN8"/>
    <mergeCell ref="FO8:FP8"/>
    <mergeCell ref="AA9:AB9"/>
    <mergeCell ref="AC9:AD9"/>
    <mergeCell ref="AE9:AF9"/>
    <mergeCell ref="AG9:AH9"/>
    <mergeCell ref="AI9:AJ9"/>
    <mergeCell ref="AK9:AL9"/>
    <mergeCell ref="O9:P9"/>
    <mergeCell ref="Q9:R9"/>
    <mergeCell ref="S9:T9"/>
    <mergeCell ref="U9:V9"/>
    <mergeCell ref="W9:X9"/>
    <mergeCell ref="Y9:Z9"/>
    <mergeCell ref="AY9:AZ9"/>
    <mergeCell ref="BA9:BB9"/>
    <mergeCell ref="BC9:BD9"/>
    <mergeCell ref="BE9:BF9"/>
    <mergeCell ref="BG9:BH9"/>
    <mergeCell ref="BI9:BJ9"/>
    <mergeCell ref="AM9:AN9"/>
    <mergeCell ref="AO9:AP9"/>
    <mergeCell ref="AQ9:AR9"/>
    <mergeCell ref="AS9:AT9"/>
    <mergeCell ref="AU9:AV9"/>
    <mergeCell ref="AW9:AX9"/>
    <mergeCell ref="BW9:BX9"/>
    <mergeCell ref="BY9:BZ9"/>
    <mergeCell ref="CA9:CB9"/>
    <mergeCell ref="CC9:CD9"/>
    <mergeCell ref="CE9:CF9"/>
    <mergeCell ref="CG9:CH9"/>
    <mergeCell ref="BK9:BL9"/>
    <mergeCell ref="BM9:BN9"/>
    <mergeCell ref="BO9:BP9"/>
    <mergeCell ref="BQ9:BR9"/>
    <mergeCell ref="BS9:BT9"/>
    <mergeCell ref="BU9:BV9"/>
    <mergeCell ref="CU9:CV9"/>
    <mergeCell ref="CW9:CX9"/>
    <mergeCell ref="CY9:CZ9"/>
    <mergeCell ref="DA9:DB9"/>
    <mergeCell ref="DC9:DD9"/>
    <mergeCell ref="DE9:DF9"/>
    <mergeCell ref="CI9:CJ9"/>
    <mergeCell ref="CK9:CL9"/>
    <mergeCell ref="CM9:CN9"/>
    <mergeCell ref="CO9:CP9"/>
    <mergeCell ref="CQ9:CR9"/>
    <mergeCell ref="CS9:CT9"/>
    <mergeCell ref="DS9:DT9"/>
    <mergeCell ref="DU9:DV9"/>
    <mergeCell ref="DW9:DX9"/>
    <mergeCell ref="DY9:DZ9"/>
    <mergeCell ref="EA9:EB9"/>
    <mergeCell ref="EC9:ED9"/>
    <mergeCell ref="DG9:DH9"/>
    <mergeCell ref="DI9:DJ9"/>
    <mergeCell ref="DK9:DL9"/>
    <mergeCell ref="DM9:DN9"/>
    <mergeCell ref="DO9:DP9"/>
    <mergeCell ref="DQ9:DR9"/>
    <mergeCell ref="EQ9:ER9"/>
    <mergeCell ref="ES9:ET9"/>
    <mergeCell ref="EU9:EV9"/>
    <mergeCell ref="EW9:EX9"/>
    <mergeCell ref="EY9:EZ9"/>
    <mergeCell ref="FA9:FB9"/>
    <mergeCell ref="EE9:EF9"/>
    <mergeCell ref="EG9:EH9"/>
    <mergeCell ref="EI9:EJ9"/>
    <mergeCell ref="EK9:EL9"/>
    <mergeCell ref="EM9:EN9"/>
    <mergeCell ref="EO9:EP9"/>
    <mergeCell ref="FO9:FP9"/>
    <mergeCell ref="FQ9:FR9"/>
    <mergeCell ref="FS9:FT9"/>
    <mergeCell ref="FU9:FV9"/>
    <mergeCell ref="FW9:FX9"/>
    <mergeCell ref="FY9:FZ9"/>
    <mergeCell ref="FC9:FD9"/>
    <mergeCell ref="FE9:FF9"/>
    <mergeCell ref="FG9:FH9"/>
    <mergeCell ref="FI9:FJ9"/>
    <mergeCell ref="FK9:FL9"/>
    <mergeCell ref="FM9:FN9"/>
    <mergeCell ref="GM9:GN9"/>
    <mergeCell ref="GO9:GP9"/>
    <mergeCell ref="GQ9:GR9"/>
    <mergeCell ref="GS9:GT9"/>
    <mergeCell ref="GU9:GV9"/>
    <mergeCell ref="GW9:GX9"/>
    <mergeCell ref="GA9:GB9"/>
    <mergeCell ref="GC9:GD9"/>
    <mergeCell ref="GE9:GF9"/>
    <mergeCell ref="GG9:GH9"/>
    <mergeCell ref="GI9:GJ9"/>
    <mergeCell ref="GK9:GL9"/>
    <mergeCell ref="HK9:HL9"/>
    <mergeCell ref="HM9:HN9"/>
    <mergeCell ref="HO9:HP9"/>
    <mergeCell ref="HQ9:HR9"/>
    <mergeCell ref="GY9:GZ9"/>
    <mergeCell ref="HA9:HB9"/>
    <mergeCell ref="HC9:HD9"/>
    <mergeCell ref="HE9:HF9"/>
    <mergeCell ref="HG9:HH9"/>
    <mergeCell ref="HI9:HJ9"/>
  </mergeCells>
  <pageMargins left="0.32" right="0.24" top="0.75" bottom="0.75" header="0.3" footer="0.3"/>
  <pageSetup scale="13" orientation="landscape" horizontalDpi="4294967295" verticalDpi="4294967295"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6EF14-DD98-442E-B74A-E5690EBFC942}">
  <sheetPr>
    <tabColor rgb="FF92D050"/>
  </sheetPr>
  <dimension ref="A2:JN133"/>
  <sheetViews>
    <sheetView showGridLines="0" view="pageBreakPreview" zoomScale="55" zoomScaleNormal="55" zoomScaleSheetLayoutView="55" workbookViewId="0">
      <pane xSplit="1" ySplit="10" topLeftCell="FY11" activePane="bottomRight" state="frozen"/>
      <selection pane="topRight" activeCell="B1" sqref="B1"/>
      <selection pane="bottomLeft" activeCell="A11" sqref="A11"/>
      <selection pane="bottomRight" activeCell="GZ32" sqref="GZ32"/>
    </sheetView>
  </sheetViews>
  <sheetFormatPr defaultColWidth="9.140625" defaultRowHeight="15.75"/>
  <cols>
    <col min="1" max="1" width="90.140625" style="2051" customWidth="1"/>
    <col min="2" max="2" width="19.7109375" style="2053" hidden="1" customWidth="1"/>
    <col min="3" max="3" width="19.7109375" style="2055" hidden="1" customWidth="1"/>
    <col min="4" max="4" width="19.7109375" style="2053" hidden="1" customWidth="1"/>
    <col min="5" max="5" width="19.7109375" style="2055" hidden="1" customWidth="1"/>
    <col min="6" max="6" width="19.7109375" style="2053" hidden="1" customWidth="1"/>
    <col min="7" max="7" width="19.7109375" style="2055" hidden="1" customWidth="1"/>
    <col min="8" max="8" width="19.7109375" style="2053" hidden="1" customWidth="1"/>
    <col min="9" max="9" width="19.7109375" style="2055" hidden="1" customWidth="1"/>
    <col min="10" max="10" width="19.7109375" style="2053" hidden="1" customWidth="1"/>
    <col min="11" max="11" width="19.7109375" style="2055" hidden="1" customWidth="1"/>
    <col min="12" max="12" width="19.7109375" style="2053" hidden="1" customWidth="1"/>
    <col min="13" max="13" width="19.7109375" style="2055" hidden="1" customWidth="1"/>
    <col min="14" max="14" width="19.7109375" style="2053" hidden="1" customWidth="1"/>
    <col min="15" max="15" width="19.7109375" style="2055" hidden="1" customWidth="1"/>
    <col min="16" max="16" width="19.7109375" style="2053" hidden="1" customWidth="1"/>
    <col min="17" max="17" width="19.7109375" style="2055" hidden="1" customWidth="1"/>
    <col min="18" max="18" width="20.7109375" style="2053" hidden="1" customWidth="1"/>
    <col min="19" max="19" width="19.7109375" style="2055" hidden="1" customWidth="1"/>
    <col min="20" max="20" width="19.7109375" style="2053" hidden="1" customWidth="1"/>
    <col min="21" max="21" width="19.7109375" style="2055" hidden="1" customWidth="1"/>
    <col min="22" max="22" width="19.7109375" style="2053" hidden="1" customWidth="1"/>
    <col min="23" max="23" width="19.7109375" style="2055" hidden="1" customWidth="1"/>
    <col min="24" max="24" width="19.7109375" style="2053" hidden="1" customWidth="1"/>
    <col min="25" max="25" width="19.7109375" style="2055" hidden="1" customWidth="1"/>
    <col min="26" max="26" width="19.7109375" style="2053" hidden="1" customWidth="1"/>
    <col min="27" max="27" width="19.7109375" style="2055" hidden="1" customWidth="1"/>
    <col min="28" max="28" width="18.140625" style="393" hidden="1" customWidth="1"/>
    <col min="29" max="29" width="19.28515625" style="1986" hidden="1" customWidth="1"/>
    <col min="30" max="30" width="19.140625" style="1986" hidden="1" customWidth="1"/>
    <col min="31" max="31" width="23.42578125" style="1986" hidden="1" customWidth="1"/>
    <col min="32" max="41" width="20.28515625" style="1986" hidden="1" customWidth="1"/>
    <col min="42" max="42" width="17.42578125" style="1986" hidden="1" customWidth="1"/>
    <col min="43" max="48" width="20.28515625" style="1986" hidden="1" customWidth="1"/>
    <col min="49" max="49" width="23.85546875" style="1986" hidden="1" customWidth="1"/>
    <col min="50" max="55" width="20.140625" style="1986" hidden="1" customWidth="1"/>
    <col min="56" max="56" width="20" style="1986" hidden="1" customWidth="1"/>
    <col min="57" max="57" width="20.140625" style="1986" hidden="1" customWidth="1"/>
    <col min="58" max="68" width="20" style="1986" hidden="1" customWidth="1"/>
    <col min="69" max="69" width="23.85546875" style="1986" hidden="1" customWidth="1"/>
    <col min="70" max="75" width="20.140625" style="1986" hidden="1" customWidth="1"/>
    <col min="76" max="85" width="20.28515625" style="1986" hidden="1" customWidth="1"/>
    <col min="86" max="87" width="20.28515625" style="1203" hidden="1" customWidth="1"/>
    <col min="88" max="108" width="20.42578125" style="1986" hidden="1" customWidth="1"/>
    <col min="109" max="115" width="21.140625" style="1986" hidden="1" customWidth="1"/>
    <col min="116" max="116" width="17.7109375" style="1986" hidden="1" customWidth="1"/>
    <col min="117" max="117" width="23.85546875" style="1986" hidden="1" customWidth="1"/>
    <col min="118" max="118" width="17.7109375" style="1986" hidden="1" customWidth="1"/>
    <col min="119" max="119" width="24" style="1986" hidden="1" customWidth="1"/>
    <col min="120" max="120" width="17.7109375" style="1986" hidden="1" customWidth="1"/>
    <col min="121" max="121" width="24" style="1986" hidden="1" customWidth="1"/>
    <col min="122" max="149" width="18.7109375" style="1986" hidden="1" customWidth="1"/>
    <col min="150" max="173" width="21.42578125" style="1986" hidden="1" customWidth="1"/>
    <col min="174" max="175" width="21.42578125" style="1986" customWidth="1"/>
    <col min="176" max="179" width="21.42578125" style="1986" hidden="1" customWidth="1"/>
    <col min="180" max="181" width="21.42578125" style="1986" customWidth="1"/>
    <col min="182" max="185" width="21.42578125" style="1986" hidden="1" customWidth="1"/>
    <col min="186" max="187" width="21.42578125" style="1986" customWidth="1"/>
    <col min="188" max="191" width="21.42578125" style="1986" hidden="1" customWidth="1"/>
    <col min="192" max="203" width="21.42578125" style="1986" customWidth="1"/>
    <col min="204" max="204" width="65.5703125" style="1986" customWidth="1"/>
    <col min="205" max="205" width="9.140625" style="1986"/>
    <col min="206" max="206" width="16" style="1986" bestFit="1" customWidth="1"/>
    <col min="207" max="207" width="9.42578125" style="1986" bestFit="1" customWidth="1"/>
    <col min="208" max="208" width="9.7109375" style="1986" bestFit="1" customWidth="1"/>
    <col min="209" max="16384" width="9.140625" style="1986"/>
  </cols>
  <sheetData>
    <row r="2" spans="1:274" ht="41.25" customHeight="1">
      <c r="A2" s="2948" t="s">
        <v>4039</v>
      </c>
      <c r="B2" s="2948"/>
      <c r="C2" s="2948"/>
      <c r="D2" s="2948"/>
      <c r="E2" s="2948"/>
      <c r="F2" s="2948"/>
      <c r="G2" s="2948"/>
      <c r="H2" s="2948"/>
      <c r="I2" s="2948"/>
      <c r="J2" s="2948"/>
      <c r="K2" s="2948"/>
      <c r="L2" s="2948"/>
      <c r="M2" s="2948"/>
      <c r="N2" s="2948"/>
      <c r="O2" s="2948"/>
      <c r="P2" s="2948"/>
      <c r="Q2" s="2948"/>
      <c r="R2" s="2948"/>
      <c r="S2" s="2948"/>
      <c r="T2" s="2948"/>
      <c r="U2" s="2948"/>
      <c r="V2" s="2948"/>
      <c r="W2" s="2948"/>
      <c r="X2" s="2948"/>
      <c r="Y2" s="2948"/>
      <c r="Z2" s="2948"/>
      <c r="AA2" s="2948"/>
      <c r="AB2" s="2948"/>
      <c r="AC2" s="2948"/>
      <c r="AD2" s="2948"/>
      <c r="AE2" s="2948"/>
      <c r="AF2" s="2948"/>
      <c r="AG2" s="2948"/>
      <c r="AH2" s="2948"/>
      <c r="AI2" s="2948"/>
      <c r="AJ2" s="2948"/>
      <c r="AK2" s="2948"/>
      <c r="AL2" s="2948"/>
      <c r="AM2" s="2948"/>
      <c r="AN2" s="2948"/>
      <c r="AO2" s="2948"/>
      <c r="AP2" s="2948"/>
      <c r="AQ2" s="2948"/>
      <c r="AR2" s="2948"/>
      <c r="AS2" s="2948"/>
      <c r="AT2" s="2948"/>
      <c r="AU2" s="2948"/>
      <c r="AV2" s="2948"/>
      <c r="AW2" s="2948"/>
      <c r="AX2" s="2948"/>
      <c r="AY2" s="2948"/>
      <c r="AZ2" s="2948"/>
      <c r="BA2" s="2948"/>
      <c r="BB2" s="2948"/>
      <c r="BC2" s="2948"/>
      <c r="BD2" s="2948"/>
      <c r="BE2" s="2948"/>
      <c r="BF2" s="2948"/>
      <c r="BG2" s="2948"/>
      <c r="BH2" s="2948"/>
      <c r="BI2" s="2948"/>
      <c r="BJ2" s="2948"/>
      <c r="BK2" s="2948"/>
      <c r="BL2" s="2948"/>
      <c r="BM2" s="2948"/>
      <c r="BN2" s="2948"/>
      <c r="BO2" s="2948"/>
      <c r="BP2" s="2948"/>
      <c r="BQ2" s="2948"/>
      <c r="BR2" s="2948"/>
      <c r="BS2" s="2948"/>
      <c r="BT2" s="2948"/>
      <c r="BU2" s="2948"/>
      <c r="BV2" s="2948"/>
      <c r="BW2" s="2948"/>
      <c r="BX2" s="2948"/>
      <c r="BY2" s="2948"/>
      <c r="BZ2" s="2948"/>
      <c r="CA2" s="2948"/>
      <c r="CB2" s="2948"/>
      <c r="CC2" s="2948"/>
      <c r="CD2" s="2948"/>
      <c r="CE2" s="2948"/>
      <c r="CF2" s="2948"/>
      <c r="CG2" s="2948"/>
      <c r="CH2" s="2948"/>
      <c r="CI2" s="2948"/>
      <c r="CJ2" s="2948"/>
      <c r="CK2" s="2948"/>
      <c r="CL2" s="2948"/>
      <c r="CM2" s="2948"/>
      <c r="CN2" s="2948"/>
      <c r="CO2" s="2948"/>
      <c r="CP2" s="2948"/>
      <c r="CQ2" s="2948"/>
      <c r="CR2" s="2948"/>
      <c r="CS2" s="2948"/>
      <c r="CT2" s="2948"/>
      <c r="CU2" s="2948"/>
      <c r="CV2" s="2948"/>
      <c r="CW2" s="2948"/>
      <c r="CX2" s="2948"/>
      <c r="CY2" s="2948"/>
      <c r="CZ2" s="2948"/>
      <c r="DA2" s="2948"/>
      <c r="DB2" s="2948"/>
      <c r="DC2" s="2948"/>
      <c r="DD2" s="2948"/>
      <c r="DE2" s="2948"/>
      <c r="DF2" s="2948"/>
      <c r="DG2" s="2948"/>
      <c r="DH2" s="2948"/>
      <c r="DI2" s="2948"/>
      <c r="DJ2" s="2948"/>
      <c r="DK2" s="2948"/>
      <c r="DL2" s="2948"/>
      <c r="DM2" s="2948"/>
      <c r="DN2" s="2948"/>
      <c r="DO2" s="2948"/>
      <c r="DP2" s="2948"/>
      <c r="DQ2" s="2948"/>
      <c r="DR2" s="2948"/>
      <c r="DS2" s="2948"/>
      <c r="DT2" s="2948"/>
      <c r="DU2" s="2948"/>
      <c r="DV2" s="2948"/>
      <c r="DW2" s="2948"/>
      <c r="DX2" s="2948"/>
      <c r="DY2" s="2948"/>
      <c r="DZ2" s="2948"/>
      <c r="EA2" s="2948"/>
      <c r="EB2" s="2948"/>
      <c r="EC2" s="2948"/>
      <c r="ED2" s="2948"/>
      <c r="EE2" s="2948"/>
      <c r="EF2" s="2948"/>
      <c r="EG2" s="2948"/>
      <c r="EH2" s="2948"/>
      <c r="EI2" s="2948"/>
      <c r="EJ2" s="2948"/>
      <c r="EK2" s="2948"/>
      <c r="EL2" s="2948"/>
      <c r="EM2" s="2948"/>
      <c r="EN2" s="2948"/>
      <c r="EO2" s="2948"/>
      <c r="EP2" s="2948"/>
      <c r="EQ2" s="2948"/>
      <c r="ER2" s="2948"/>
      <c r="ES2" s="2948"/>
      <c r="ET2" s="2948"/>
      <c r="EU2" s="2948"/>
      <c r="EV2" s="2948"/>
      <c r="EW2" s="2948"/>
      <c r="EX2" s="2948"/>
      <c r="EY2" s="2948"/>
      <c r="EZ2" s="2948"/>
      <c r="FA2" s="2948"/>
      <c r="FB2" s="2948"/>
      <c r="FC2" s="2948"/>
      <c r="FD2" s="2948"/>
      <c r="FE2" s="2948"/>
      <c r="FF2" s="2948"/>
      <c r="FG2" s="2948"/>
      <c r="FH2" s="2948"/>
      <c r="FI2" s="2948"/>
      <c r="FJ2" s="2948"/>
      <c r="FK2" s="2948"/>
      <c r="FL2" s="2948"/>
      <c r="FM2" s="2948"/>
      <c r="FN2" s="2948"/>
      <c r="FO2" s="2948"/>
      <c r="FP2" s="2948"/>
      <c r="FQ2" s="2948"/>
      <c r="FR2" s="2948"/>
      <c r="FS2" s="2948"/>
      <c r="FT2" s="2948"/>
      <c r="FU2" s="2948"/>
      <c r="FV2" s="2948"/>
      <c r="FW2" s="2948"/>
      <c r="FX2" s="2948"/>
      <c r="FY2" s="2948"/>
      <c r="FZ2" s="2948"/>
      <c r="GA2" s="2948"/>
      <c r="GB2" s="2948"/>
      <c r="GC2" s="2948"/>
      <c r="GD2" s="2948"/>
      <c r="GE2" s="2948"/>
      <c r="GF2" s="2948"/>
      <c r="GG2" s="2948"/>
      <c r="GH2" s="2948"/>
      <c r="GI2" s="2948"/>
      <c r="GJ2" s="2948"/>
      <c r="GK2" s="2948"/>
      <c r="GL2" s="2948"/>
      <c r="GM2" s="2948"/>
      <c r="GN2" s="2948"/>
      <c r="GO2" s="2948"/>
      <c r="GP2" s="2948"/>
      <c r="GQ2" s="2948"/>
      <c r="GR2" s="2948"/>
      <c r="GS2" s="2948"/>
      <c r="GT2" s="2948"/>
      <c r="GU2" s="2948"/>
      <c r="GV2" s="2948"/>
      <c r="GW2" s="1985"/>
      <c r="GX2" s="1985"/>
      <c r="GY2" s="1985"/>
      <c r="GZ2" s="1985"/>
      <c r="HA2" s="1985"/>
      <c r="HB2" s="1985"/>
      <c r="HC2" s="1985"/>
      <c r="HD2" s="1985"/>
      <c r="HE2" s="1985"/>
      <c r="HF2" s="1985"/>
      <c r="HG2" s="1985"/>
      <c r="HH2" s="1985"/>
      <c r="HI2" s="1985"/>
      <c r="HJ2" s="1985"/>
      <c r="HK2" s="1985"/>
      <c r="HL2" s="1985"/>
      <c r="HM2" s="1985"/>
      <c r="HN2" s="1985"/>
      <c r="HO2" s="1985"/>
      <c r="HP2" s="1985"/>
      <c r="HQ2" s="1985"/>
      <c r="HR2" s="1985"/>
      <c r="HS2" s="1985"/>
      <c r="HT2" s="1985"/>
      <c r="HU2" s="1985"/>
      <c r="HV2" s="1985"/>
      <c r="HW2" s="1985"/>
      <c r="HX2" s="1985"/>
      <c r="HY2" s="1985"/>
      <c r="HZ2" s="1985"/>
      <c r="IA2" s="1985"/>
      <c r="IB2" s="1985"/>
      <c r="IC2" s="1985"/>
      <c r="ID2" s="1985"/>
      <c r="IE2" s="1985"/>
      <c r="IF2" s="1985"/>
      <c r="IG2" s="1985"/>
      <c r="IH2" s="1985"/>
      <c r="II2" s="1985"/>
      <c r="IJ2" s="1985"/>
      <c r="IK2" s="1985"/>
      <c r="IL2" s="1985"/>
      <c r="IM2" s="1985"/>
      <c r="IN2" s="1985"/>
      <c r="IO2" s="1985"/>
      <c r="IP2" s="1985"/>
      <c r="IQ2" s="1985"/>
      <c r="IR2" s="1985"/>
      <c r="IS2" s="1985"/>
      <c r="IT2" s="1985"/>
      <c r="IU2" s="1985"/>
      <c r="IV2" s="1985"/>
      <c r="IW2" s="1985"/>
      <c r="IX2" s="1985"/>
      <c r="IY2" s="1985"/>
      <c r="IZ2" s="1985"/>
      <c r="JA2" s="1985"/>
      <c r="JB2" s="1985"/>
      <c r="JC2" s="1985"/>
      <c r="JD2" s="1985"/>
      <c r="JE2" s="1985"/>
      <c r="JF2" s="1985"/>
      <c r="JG2" s="1985"/>
      <c r="JH2" s="1985"/>
      <c r="JI2" s="1985"/>
      <c r="JJ2" s="1985"/>
    </row>
    <row r="3" spans="1:274" ht="47.25" customHeight="1">
      <c r="A3" s="2972" t="s">
        <v>4040</v>
      </c>
      <c r="B3" s="2972"/>
      <c r="C3" s="2972"/>
      <c r="D3" s="2972"/>
      <c r="E3" s="2972"/>
      <c r="F3" s="2972"/>
      <c r="G3" s="2972"/>
      <c r="H3" s="2972"/>
      <c r="I3" s="2972"/>
      <c r="J3" s="2972"/>
      <c r="K3" s="2972"/>
      <c r="L3" s="2972"/>
      <c r="M3" s="2972"/>
      <c r="N3" s="2972"/>
      <c r="O3" s="2972"/>
      <c r="P3" s="2972"/>
      <c r="Q3" s="2972"/>
      <c r="R3" s="2972"/>
      <c r="S3" s="2972"/>
      <c r="T3" s="2972"/>
      <c r="U3" s="2972"/>
      <c r="V3" s="2972"/>
      <c r="W3" s="2972"/>
      <c r="X3" s="2972"/>
      <c r="Y3" s="2972"/>
      <c r="Z3" s="2972"/>
      <c r="AA3" s="2972"/>
      <c r="AB3" s="2972"/>
      <c r="AC3" s="2972"/>
      <c r="AD3" s="2972"/>
      <c r="AE3" s="2972"/>
      <c r="AF3" s="2972"/>
      <c r="AG3" s="2972"/>
      <c r="AH3" s="2972"/>
      <c r="AI3" s="2972"/>
      <c r="AJ3" s="2972"/>
      <c r="AK3" s="2972"/>
      <c r="AL3" s="2972"/>
      <c r="AM3" s="2972"/>
      <c r="AN3" s="2972"/>
      <c r="AO3" s="2972"/>
      <c r="AP3" s="2972"/>
      <c r="AQ3" s="2972"/>
      <c r="AR3" s="2972"/>
      <c r="AS3" s="2972"/>
      <c r="AT3" s="2972"/>
      <c r="AU3" s="2972"/>
      <c r="AV3" s="2972"/>
      <c r="AW3" s="2972"/>
      <c r="AX3" s="2972"/>
      <c r="AY3" s="2972"/>
      <c r="AZ3" s="2972"/>
      <c r="BA3" s="2972"/>
      <c r="BB3" s="2972"/>
      <c r="BC3" s="2972"/>
      <c r="BD3" s="2972"/>
      <c r="BE3" s="2972"/>
      <c r="BF3" s="2972"/>
      <c r="BG3" s="2972"/>
      <c r="BH3" s="2972"/>
      <c r="BI3" s="2972"/>
      <c r="BJ3" s="2972"/>
      <c r="BK3" s="2972"/>
      <c r="BL3" s="2972"/>
      <c r="BM3" s="2972"/>
      <c r="BN3" s="2972"/>
      <c r="BO3" s="2972"/>
      <c r="BP3" s="2972"/>
      <c r="BQ3" s="2972"/>
      <c r="BR3" s="2972"/>
      <c r="BS3" s="2972"/>
      <c r="BT3" s="2972"/>
      <c r="BU3" s="2972"/>
      <c r="BV3" s="2972"/>
      <c r="BW3" s="2972"/>
      <c r="BX3" s="2972"/>
      <c r="BY3" s="2972"/>
      <c r="BZ3" s="2972"/>
      <c r="CA3" s="2972"/>
      <c r="CB3" s="2972"/>
      <c r="CC3" s="2972"/>
      <c r="CD3" s="2972"/>
      <c r="CE3" s="2972"/>
      <c r="CF3" s="2972"/>
      <c r="CG3" s="2972"/>
      <c r="CH3" s="2972"/>
      <c r="CI3" s="2972"/>
      <c r="CJ3" s="2972"/>
      <c r="CK3" s="2972"/>
      <c r="CL3" s="2972"/>
      <c r="CM3" s="2972"/>
      <c r="CN3" s="2972"/>
      <c r="CO3" s="2972"/>
      <c r="CP3" s="2972"/>
      <c r="CQ3" s="2972"/>
      <c r="CR3" s="2972"/>
      <c r="CS3" s="2972"/>
      <c r="CT3" s="2972"/>
      <c r="CU3" s="2972"/>
      <c r="CV3" s="2972"/>
      <c r="CW3" s="2972"/>
      <c r="CX3" s="2972"/>
      <c r="CY3" s="2972"/>
      <c r="CZ3" s="2972"/>
      <c r="DA3" s="2972"/>
      <c r="DB3" s="2972"/>
      <c r="DC3" s="2972"/>
      <c r="DD3" s="2972"/>
      <c r="DE3" s="2972"/>
      <c r="DF3" s="2972"/>
      <c r="DG3" s="2972"/>
      <c r="DH3" s="2972"/>
      <c r="DI3" s="2972"/>
      <c r="DJ3" s="2972"/>
      <c r="DK3" s="2972"/>
      <c r="DL3" s="2972"/>
      <c r="DM3" s="2972"/>
      <c r="DN3" s="2972"/>
      <c r="DO3" s="2972"/>
      <c r="DP3" s="2972"/>
      <c r="DQ3" s="2972"/>
      <c r="DR3" s="2972"/>
      <c r="DS3" s="2972"/>
      <c r="DT3" s="2972"/>
      <c r="DU3" s="2972"/>
      <c r="DV3" s="2972"/>
      <c r="DW3" s="2972"/>
      <c r="DX3" s="2972"/>
      <c r="DY3" s="2972"/>
      <c r="DZ3" s="2972"/>
      <c r="EA3" s="2972"/>
      <c r="EB3" s="2972"/>
      <c r="EC3" s="2972"/>
      <c r="ED3" s="2972"/>
      <c r="EE3" s="2972"/>
      <c r="EF3" s="2972"/>
      <c r="EG3" s="2972"/>
      <c r="EH3" s="2972"/>
      <c r="EI3" s="2972"/>
      <c r="EJ3" s="2972"/>
      <c r="EK3" s="2972"/>
      <c r="EL3" s="2972"/>
      <c r="EM3" s="2972"/>
      <c r="EN3" s="2972"/>
      <c r="EO3" s="2972"/>
      <c r="EP3" s="2972"/>
      <c r="EQ3" s="2972"/>
      <c r="ER3" s="2972"/>
      <c r="ES3" s="2972"/>
      <c r="ET3" s="2972"/>
      <c r="EU3" s="2972"/>
      <c r="EV3" s="2972"/>
      <c r="EW3" s="2972"/>
      <c r="EX3" s="2972"/>
      <c r="EY3" s="2972"/>
      <c r="EZ3" s="2972"/>
      <c r="FA3" s="2972"/>
      <c r="FB3" s="2972"/>
      <c r="FC3" s="2972"/>
      <c r="FD3" s="2972"/>
      <c r="FE3" s="2972"/>
      <c r="FF3" s="2972"/>
      <c r="FG3" s="2972"/>
      <c r="FH3" s="2972"/>
      <c r="FI3" s="2972"/>
      <c r="FJ3" s="2972"/>
      <c r="FK3" s="2972"/>
      <c r="FL3" s="2972"/>
      <c r="FM3" s="2972"/>
      <c r="FN3" s="2972"/>
      <c r="FO3" s="2972"/>
      <c r="FP3" s="2972"/>
      <c r="FQ3" s="2972"/>
      <c r="FR3" s="2972"/>
      <c r="FS3" s="2972"/>
      <c r="FT3" s="2972"/>
      <c r="FU3" s="2972"/>
      <c r="FV3" s="2972"/>
      <c r="FW3" s="2972"/>
      <c r="FX3" s="2972"/>
      <c r="FY3" s="2972"/>
      <c r="FZ3" s="2972"/>
      <c r="GA3" s="2972"/>
      <c r="GB3" s="2972"/>
      <c r="GC3" s="2972"/>
      <c r="GD3" s="2972"/>
      <c r="GE3" s="2972"/>
      <c r="GF3" s="2972"/>
      <c r="GG3" s="2972"/>
      <c r="GH3" s="2972"/>
      <c r="GI3" s="2972"/>
      <c r="GJ3" s="2972"/>
      <c r="GK3" s="2972"/>
      <c r="GL3" s="2972"/>
      <c r="GM3" s="2972"/>
      <c r="GN3" s="2972"/>
      <c r="GO3" s="2972"/>
      <c r="GP3" s="2972"/>
      <c r="GQ3" s="2972"/>
      <c r="GR3" s="2972"/>
      <c r="GS3" s="2972"/>
      <c r="GT3" s="2972"/>
      <c r="GU3" s="2972"/>
      <c r="GV3" s="2972"/>
      <c r="GW3" s="1985"/>
      <c r="GX3" s="1985"/>
      <c r="GY3" s="1985"/>
      <c r="GZ3" s="1985"/>
      <c r="HA3" s="1985"/>
      <c r="HB3" s="1985"/>
      <c r="HC3" s="1985"/>
      <c r="HD3" s="1985"/>
      <c r="HE3" s="1985"/>
      <c r="HF3" s="1985"/>
      <c r="HG3" s="1985"/>
      <c r="HH3" s="1985"/>
      <c r="HI3" s="1985"/>
      <c r="HJ3" s="1985"/>
      <c r="HK3" s="1985"/>
      <c r="HL3" s="1985"/>
      <c r="HM3" s="1985"/>
      <c r="HN3" s="1985"/>
      <c r="HO3" s="1985"/>
      <c r="HP3" s="1985"/>
      <c r="HQ3" s="1985"/>
      <c r="HR3" s="1985"/>
      <c r="HS3" s="1985"/>
      <c r="HT3" s="1985"/>
      <c r="HU3" s="1985"/>
      <c r="HV3" s="1985"/>
      <c r="HW3" s="1985"/>
      <c r="HX3" s="1985"/>
      <c r="HY3" s="1985"/>
      <c r="HZ3" s="1985"/>
      <c r="IA3" s="1985"/>
      <c r="IB3" s="1985"/>
      <c r="IC3" s="1985"/>
      <c r="ID3" s="1985"/>
      <c r="IE3" s="1985"/>
      <c r="IF3" s="1985"/>
      <c r="IG3" s="1985"/>
      <c r="IH3" s="1985"/>
      <c r="II3" s="1985"/>
      <c r="IJ3" s="1985"/>
      <c r="IK3" s="1985"/>
      <c r="IL3" s="1985"/>
      <c r="IM3" s="1985"/>
      <c r="IN3" s="1985"/>
      <c r="IO3" s="1985"/>
      <c r="IP3" s="1985"/>
      <c r="IQ3" s="1985"/>
      <c r="IR3" s="1985"/>
      <c r="IS3" s="1985"/>
      <c r="IT3" s="1985"/>
      <c r="IU3" s="1985"/>
      <c r="IV3" s="1985"/>
      <c r="IW3" s="1985"/>
      <c r="IX3" s="1985"/>
      <c r="IY3" s="1985"/>
      <c r="IZ3" s="1985"/>
      <c r="JA3" s="1985"/>
      <c r="JB3" s="1985"/>
      <c r="JC3" s="1985"/>
      <c r="JD3" s="1985"/>
      <c r="JE3" s="1985"/>
      <c r="JF3" s="1985"/>
      <c r="JG3" s="1985"/>
      <c r="JH3" s="1985"/>
      <c r="JI3" s="1985"/>
      <c r="JJ3" s="1985"/>
    </row>
    <row r="4" spans="1:274" ht="22.5" customHeight="1">
      <c r="A4" s="1832"/>
      <c r="B4" s="1832"/>
      <c r="C4" s="1832"/>
      <c r="D4" s="1832"/>
      <c r="E4" s="1832"/>
      <c r="F4" s="1832"/>
      <c r="G4" s="1832"/>
      <c r="H4" s="1832"/>
      <c r="I4" s="1832"/>
      <c r="J4" s="1832"/>
      <c r="K4" s="1832"/>
      <c r="L4" s="1832"/>
      <c r="M4" s="1832"/>
      <c r="N4" s="1832"/>
      <c r="O4" s="1832"/>
      <c r="P4" s="1832"/>
      <c r="Q4" s="1832"/>
      <c r="R4" s="1832"/>
      <c r="S4" s="1832"/>
      <c r="T4" s="1832"/>
      <c r="U4" s="1832"/>
      <c r="V4" s="1832"/>
      <c r="W4" s="1832"/>
      <c r="X4" s="1832"/>
      <c r="Y4" s="1832"/>
      <c r="Z4" s="1832"/>
      <c r="AA4" s="1832"/>
      <c r="AB4" s="1832"/>
      <c r="AC4" s="1832"/>
      <c r="AD4" s="1832"/>
      <c r="AE4" s="1832"/>
      <c r="AF4" s="1832"/>
      <c r="AG4" s="1832"/>
      <c r="AH4" s="1832"/>
      <c r="AI4" s="1832"/>
      <c r="AJ4" s="1832"/>
      <c r="AK4" s="1832"/>
      <c r="AL4" s="1832"/>
      <c r="AM4" s="1832"/>
      <c r="AN4" s="1832"/>
      <c r="AO4" s="1832"/>
      <c r="AP4" s="1832"/>
      <c r="AQ4" s="1832"/>
      <c r="AR4" s="1832"/>
      <c r="AS4" s="1832"/>
      <c r="AT4" s="1832"/>
      <c r="AU4" s="1832"/>
      <c r="AV4" s="1832"/>
      <c r="AW4" s="1832"/>
      <c r="AX4" s="1832"/>
      <c r="AY4" s="1832"/>
      <c r="AZ4" s="1832"/>
      <c r="BA4" s="1832"/>
      <c r="BB4" s="1832"/>
      <c r="BC4" s="1832"/>
      <c r="BD4" s="1832"/>
      <c r="BE4" s="1832"/>
      <c r="BF4" s="1832"/>
      <c r="BG4" s="1832"/>
      <c r="BH4" s="1832"/>
      <c r="BI4" s="1832"/>
      <c r="BJ4" s="1832"/>
      <c r="BK4" s="1832"/>
      <c r="BL4" s="1832"/>
      <c r="BM4" s="1832"/>
      <c r="BN4" s="1832"/>
      <c r="BO4" s="1832"/>
      <c r="BP4" s="1832"/>
      <c r="BQ4" s="1832"/>
      <c r="BR4" s="1832"/>
      <c r="BS4" s="1832"/>
      <c r="BT4" s="1832"/>
      <c r="BU4" s="1832"/>
      <c r="BV4" s="1832"/>
      <c r="BW4" s="1832"/>
      <c r="BX4" s="1832"/>
      <c r="BY4" s="1832"/>
      <c r="BZ4" s="1832"/>
      <c r="CA4" s="1832"/>
      <c r="CB4" s="1832"/>
      <c r="CC4" s="1832"/>
      <c r="CD4" s="1832"/>
      <c r="CE4" s="1832"/>
      <c r="CF4" s="1832"/>
      <c r="CG4" s="1832"/>
      <c r="CH4" s="1832"/>
      <c r="CI4" s="1832"/>
      <c r="CJ4" s="1832"/>
      <c r="CK4" s="1832"/>
      <c r="CL4" s="1832"/>
      <c r="CM4" s="1832"/>
      <c r="CN4" s="1832"/>
      <c r="CO4" s="1832"/>
      <c r="CP4" s="1832"/>
      <c r="CQ4" s="1832"/>
      <c r="CR4" s="1832"/>
      <c r="CS4" s="1832"/>
      <c r="CT4" s="1832"/>
      <c r="CU4" s="1832"/>
      <c r="CV4" s="1832"/>
      <c r="CW4" s="1832"/>
      <c r="CX4" s="1832"/>
      <c r="CY4" s="1832"/>
      <c r="CZ4" s="1832"/>
      <c r="DA4" s="1832"/>
      <c r="DB4" s="1832"/>
      <c r="DC4" s="1832"/>
      <c r="DD4" s="1832"/>
      <c r="DE4" s="1832"/>
      <c r="DF4" s="1832"/>
      <c r="DG4" s="1832"/>
      <c r="DH4" s="1832"/>
      <c r="DI4" s="1832"/>
      <c r="DJ4" s="1832"/>
      <c r="DK4" s="1832"/>
      <c r="DL4" s="1832"/>
      <c r="DM4" s="1832"/>
      <c r="DN4" s="1832"/>
      <c r="DO4" s="1832"/>
      <c r="DP4" s="1832"/>
      <c r="DQ4" s="1832"/>
      <c r="DR4" s="1832"/>
      <c r="DS4" s="1832"/>
      <c r="DT4" s="1832"/>
      <c r="DU4" s="1832"/>
      <c r="DV4" s="1832"/>
      <c r="DW4" s="1832"/>
      <c r="DX4" s="1832"/>
      <c r="DY4" s="1832"/>
      <c r="DZ4" s="1832"/>
      <c r="EA4" s="1832"/>
      <c r="EB4" s="1832"/>
      <c r="EC4" s="1832"/>
      <c r="ED4" s="1832"/>
      <c r="EE4" s="1832"/>
      <c r="EF4" s="1832"/>
      <c r="EG4" s="1832"/>
      <c r="EH4" s="1832"/>
      <c r="EI4" s="1832"/>
      <c r="EJ4" s="1832"/>
      <c r="EK4" s="1832"/>
      <c r="EL4" s="1832"/>
      <c r="EM4" s="1832"/>
      <c r="EN4" s="1832"/>
      <c r="EO4" s="1832"/>
      <c r="EP4" s="1832"/>
      <c r="EQ4" s="1832"/>
      <c r="ER4" s="1832"/>
      <c r="ES4" s="1832"/>
      <c r="ET4" s="1832"/>
      <c r="EU4" s="1832"/>
      <c r="EV4" s="1832"/>
      <c r="EW4" s="1832"/>
      <c r="EX4" s="1832"/>
      <c r="EY4" s="1832"/>
      <c r="EZ4" s="1832"/>
      <c r="FA4" s="1832"/>
      <c r="FB4" s="1832"/>
      <c r="FC4" s="1832"/>
      <c r="FD4" s="1832"/>
      <c r="FE4" s="1832"/>
      <c r="FF4" s="1832"/>
      <c r="FG4" s="1832"/>
      <c r="FH4" s="1832"/>
      <c r="FI4" s="1832"/>
      <c r="FJ4" s="1832"/>
      <c r="FK4" s="1832"/>
      <c r="FL4" s="1832"/>
      <c r="FM4" s="1832"/>
      <c r="FN4" s="1832"/>
      <c r="FO4" s="1832"/>
      <c r="FP4" s="1832"/>
      <c r="FQ4" s="1832"/>
      <c r="FR4" s="1832"/>
      <c r="FS4" s="1832"/>
      <c r="FT4" s="1832"/>
      <c r="FU4" s="1832"/>
      <c r="FV4" s="1832"/>
      <c r="FW4" s="1832"/>
      <c r="FX4" s="1832"/>
      <c r="FY4" s="1832"/>
      <c r="FZ4" s="1832"/>
      <c r="GA4" s="1832"/>
      <c r="GB4" s="1832"/>
      <c r="GC4" s="1832"/>
      <c r="GD4" s="1832"/>
      <c r="GE4" s="1832"/>
      <c r="GF4" s="1832"/>
      <c r="GG4" s="1832"/>
      <c r="GH4" s="1832"/>
      <c r="GI4" s="1832"/>
      <c r="GJ4" s="1832"/>
      <c r="GK4" s="1832"/>
      <c r="GL4" s="1832"/>
      <c r="GM4" s="1832"/>
      <c r="GN4" s="1832"/>
      <c r="GO4" s="1832"/>
      <c r="GP4" s="1832"/>
      <c r="GQ4" s="1832"/>
      <c r="GR4" s="1832"/>
      <c r="GS4" s="1832"/>
      <c r="GT4" s="1832"/>
      <c r="GU4" s="1832"/>
      <c r="GV4" s="1832"/>
      <c r="GW4" s="1985"/>
      <c r="GX4" s="1985"/>
      <c r="GY4" s="1985"/>
      <c r="GZ4" s="1985"/>
      <c r="HA4" s="1985"/>
      <c r="HB4" s="1985"/>
      <c r="HC4" s="1985"/>
      <c r="HD4" s="1985"/>
      <c r="HE4" s="1985"/>
      <c r="HF4" s="1985"/>
      <c r="HG4" s="1985"/>
      <c r="HH4" s="1985"/>
      <c r="HI4" s="1985"/>
      <c r="HJ4" s="1985"/>
      <c r="HK4" s="1985"/>
      <c r="HL4" s="1985"/>
      <c r="HM4" s="1985"/>
      <c r="HN4" s="1985"/>
      <c r="HO4" s="1985"/>
      <c r="HP4" s="1985"/>
      <c r="HQ4" s="1985"/>
      <c r="HR4" s="1985"/>
      <c r="HS4" s="1985"/>
      <c r="HT4" s="1985"/>
      <c r="HU4" s="1985"/>
      <c r="HV4" s="1985"/>
      <c r="HW4" s="1985"/>
      <c r="HX4" s="1985"/>
      <c r="HY4" s="1985"/>
      <c r="HZ4" s="1985"/>
      <c r="IA4" s="1985"/>
      <c r="IB4" s="1985"/>
      <c r="IC4" s="1985"/>
      <c r="ID4" s="1985"/>
      <c r="IE4" s="1985"/>
      <c r="IF4" s="1985"/>
      <c r="IG4" s="1985"/>
      <c r="IH4" s="1985"/>
      <c r="II4" s="1985"/>
      <c r="IJ4" s="1985"/>
      <c r="IK4" s="1985"/>
      <c r="IL4" s="1985"/>
      <c r="IM4" s="1985"/>
      <c r="IN4" s="1985"/>
      <c r="IO4" s="1985"/>
      <c r="IP4" s="1985"/>
      <c r="IQ4" s="1985"/>
      <c r="IR4" s="1985"/>
      <c r="IS4" s="1985"/>
      <c r="IT4" s="1985"/>
      <c r="IU4" s="1985"/>
      <c r="IV4" s="1985"/>
      <c r="IW4" s="1985"/>
      <c r="IX4" s="1985"/>
      <c r="IY4" s="1985"/>
      <c r="IZ4" s="1985"/>
      <c r="JA4" s="1985"/>
      <c r="JB4" s="1985"/>
      <c r="JC4" s="1985"/>
      <c r="JD4" s="1985"/>
      <c r="JE4" s="1985"/>
      <c r="JF4" s="1985"/>
      <c r="JG4" s="1985"/>
      <c r="JH4" s="1985"/>
      <c r="JI4" s="1985"/>
      <c r="JJ4" s="1985"/>
    </row>
    <row r="5" spans="1:274" s="1988" customFormat="1" ht="22.5" customHeight="1">
      <c r="A5" s="1833"/>
      <c r="B5" s="1833"/>
      <c r="C5" s="1833"/>
      <c r="D5" s="1833"/>
      <c r="E5" s="1833"/>
      <c r="F5" s="1833"/>
      <c r="G5" s="1833"/>
      <c r="H5" s="1833"/>
      <c r="I5" s="1833"/>
      <c r="J5" s="1833"/>
      <c r="K5" s="1833"/>
      <c r="L5" s="1833"/>
      <c r="M5" s="1833"/>
      <c r="N5" s="1833"/>
      <c r="O5" s="1833"/>
      <c r="P5" s="1833"/>
      <c r="Q5" s="1833"/>
      <c r="R5" s="1833"/>
      <c r="S5" s="1833"/>
      <c r="T5" s="1833"/>
      <c r="U5" s="1833"/>
      <c r="V5" s="1833"/>
      <c r="W5" s="1833"/>
      <c r="X5" s="1833"/>
      <c r="Y5" s="1833"/>
      <c r="Z5" s="1833"/>
      <c r="AA5" s="1833"/>
      <c r="AB5" s="1833"/>
      <c r="AC5" s="1833"/>
      <c r="AD5" s="1833"/>
      <c r="AE5" s="1833"/>
      <c r="AF5" s="1833"/>
      <c r="AG5" s="1833"/>
      <c r="AH5" s="1833"/>
      <c r="AI5" s="1833"/>
      <c r="AJ5" s="1833"/>
      <c r="AK5" s="1833"/>
      <c r="AL5" s="1833"/>
      <c r="AM5" s="1833"/>
      <c r="AN5" s="1833"/>
      <c r="AO5" s="1833"/>
      <c r="AP5" s="1833"/>
      <c r="AQ5" s="1833"/>
      <c r="AR5" s="1833"/>
      <c r="AS5" s="1833"/>
      <c r="AT5" s="1833"/>
      <c r="AU5" s="1833"/>
      <c r="AV5" s="1833"/>
      <c r="AW5" s="1833"/>
      <c r="AX5" s="1833"/>
      <c r="AY5" s="1833"/>
      <c r="AZ5" s="1833"/>
      <c r="BA5" s="1833"/>
      <c r="BB5" s="1833"/>
      <c r="BC5" s="1833"/>
      <c r="BD5" s="1833"/>
      <c r="BE5" s="1833"/>
      <c r="BF5" s="1833"/>
      <c r="BG5" s="1833"/>
      <c r="BH5" s="1833"/>
      <c r="BI5" s="1833"/>
      <c r="BJ5" s="1833"/>
      <c r="BK5" s="1833"/>
      <c r="BL5" s="1833"/>
      <c r="BM5" s="1833"/>
      <c r="BN5" s="1833"/>
      <c r="BO5" s="1833"/>
      <c r="BP5" s="1833"/>
      <c r="BQ5" s="1833"/>
      <c r="BR5" s="1833"/>
      <c r="BS5" s="1833"/>
      <c r="BT5" s="1833"/>
      <c r="BU5" s="1833"/>
      <c r="BV5" s="1833"/>
      <c r="BW5" s="1833"/>
      <c r="BX5" s="1833"/>
      <c r="BY5" s="1833"/>
      <c r="BZ5" s="1833"/>
      <c r="CA5" s="1833"/>
      <c r="CB5" s="1833"/>
      <c r="CC5" s="1833"/>
      <c r="CD5" s="1833"/>
      <c r="CE5" s="1833"/>
      <c r="CF5" s="1833"/>
      <c r="CG5" s="1833"/>
      <c r="CH5" s="1833"/>
      <c r="CI5" s="1833"/>
      <c r="CJ5" s="1833"/>
      <c r="CK5" s="1833"/>
      <c r="CL5" s="1833"/>
      <c r="CM5" s="1833"/>
      <c r="CN5" s="1833"/>
      <c r="CO5" s="1833"/>
      <c r="CP5" s="1833"/>
      <c r="CQ5" s="1833"/>
      <c r="CR5" s="1833"/>
      <c r="CS5" s="1833"/>
      <c r="CT5" s="1833"/>
      <c r="CU5" s="1833"/>
      <c r="CV5" s="1833"/>
      <c r="CW5" s="1833"/>
      <c r="CX5" s="1833"/>
      <c r="CY5" s="1833"/>
      <c r="CZ5" s="1833"/>
      <c r="DA5" s="1833"/>
      <c r="DB5" s="1833"/>
      <c r="DC5" s="1833"/>
      <c r="DD5" s="1833"/>
      <c r="DE5" s="1833"/>
      <c r="DF5" s="1833"/>
      <c r="DG5" s="1833"/>
      <c r="DH5" s="1833"/>
      <c r="DI5" s="1833"/>
      <c r="DJ5" s="1833"/>
      <c r="DK5" s="1833"/>
      <c r="DL5" s="1833"/>
      <c r="DM5" s="1833"/>
      <c r="DN5" s="1833"/>
      <c r="DO5" s="1833"/>
      <c r="DP5" s="1833"/>
      <c r="DQ5" s="1833"/>
      <c r="DR5" s="1833"/>
      <c r="DS5" s="1833"/>
      <c r="DT5" s="1833"/>
      <c r="DU5" s="1833"/>
      <c r="DV5" s="1833"/>
      <c r="DW5" s="1833"/>
      <c r="DX5" s="1833"/>
      <c r="DY5" s="1833"/>
      <c r="DZ5" s="1833"/>
      <c r="EA5" s="1833"/>
      <c r="EB5" s="1833"/>
      <c r="EC5" s="1833"/>
      <c r="ED5" s="1833"/>
      <c r="EE5" s="1833"/>
      <c r="EF5" s="1833"/>
      <c r="EG5" s="1833"/>
      <c r="EH5" s="1833"/>
      <c r="EI5" s="1833"/>
      <c r="EJ5" s="2973" t="s">
        <v>3113</v>
      </c>
      <c r="EK5" s="2973"/>
      <c r="EL5" s="2973"/>
      <c r="EM5" s="2973"/>
      <c r="EN5" s="2973"/>
      <c r="EO5" s="2973"/>
      <c r="EP5" s="2973"/>
      <c r="EQ5" s="2973"/>
      <c r="ER5" s="2973"/>
      <c r="ES5" s="2973"/>
      <c r="ET5" s="2973"/>
      <c r="EU5" s="2973"/>
      <c r="EV5" s="2973"/>
      <c r="EW5" s="2973"/>
      <c r="EX5" s="2973"/>
      <c r="EY5" s="2973"/>
      <c r="EZ5" s="2973"/>
      <c r="FA5" s="2973"/>
      <c r="FB5" s="2973"/>
      <c r="FC5" s="2973"/>
      <c r="FD5" s="2973"/>
      <c r="FE5" s="2973"/>
      <c r="FF5" s="2973"/>
      <c r="FG5" s="2973"/>
      <c r="FH5" s="2973"/>
      <c r="FI5" s="2973"/>
      <c r="FJ5" s="2973"/>
      <c r="FK5" s="2973"/>
      <c r="FL5" s="2973"/>
      <c r="FM5" s="2973"/>
      <c r="FN5" s="2973"/>
      <c r="FO5" s="2973"/>
      <c r="FP5" s="2973"/>
      <c r="FQ5" s="2973"/>
      <c r="FR5" s="2973"/>
      <c r="FS5" s="2973"/>
      <c r="FT5" s="2973"/>
      <c r="FU5" s="2973"/>
      <c r="FV5" s="2973"/>
      <c r="FW5" s="2973"/>
      <c r="FX5" s="2973"/>
      <c r="FY5" s="2973"/>
      <c r="FZ5" s="2973"/>
      <c r="GA5" s="2973"/>
      <c r="GB5" s="2973"/>
      <c r="GC5" s="2973"/>
      <c r="GD5" s="2973"/>
      <c r="GE5" s="2973"/>
      <c r="GF5" s="2973"/>
      <c r="GG5" s="2973"/>
      <c r="GH5" s="2973"/>
      <c r="GI5" s="2973"/>
      <c r="GJ5" s="2973"/>
      <c r="GK5" s="2973"/>
      <c r="GL5" s="2973"/>
      <c r="GM5" s="2973"/>
      <c r="GN5" s="2973"/>
      <c r="GO5" s="2973"/>
      <c r="GP5" s="2973"/>
      <c r="GQ5" s="2973"/>
      <c r="GR5" s="2973"/>
      <c r="GS5" s="2973"/>
      <c r="GT5" s="2973"/>
      <c r="GU5" s="2973"/>
      <c r="GV5" s="2973"/>
      <c r="GW5" s="1987"/>
      <c r="GX5" s="1987"/>
      <c r="GY5" s="1987"/>
      <c r="GZ5" s="1987"/>
      <c r="HA5" s="1987"/>
      <c r="HB5" s="1987"/>
      <c r="HC5" s="1987"/>
      <c r="HD5" s="1987"/>
      <c r="HE5" s="1987"/>
      <c r="HF5" s="1987"/>
      <c r="HG5" s="1987"/>
      <c r="HH5" s="1987"/>
      <c r="HI5" s="1987"/>
      <c r="HJ5" s="1987"/>
      <c r="HK5" s="1987"/>
      <c r="HL5" s="1987"/>
      <c r="HM5" s="1987"/>
      <c r="HN5" s="1987"/>
      <c r="HO5" s="1987"/>
      <c r="HP5" s="1987"/>
      <c r="HQ5" s="1987"/>
      <c r="HR5" s="1987"/>
      <c r="HS5" s="1987"/>
      <c r="HT5" s="1987"/>
      <c r="HU5" s="1987"/>
      <c r="HV5" s="1987"/>
      <c r="HW5" s="1987"/>
      <c r="HX5" s="1987"/>
      <c r="HY5" s="1987"/>
      <c r="HZ5" s="1987"/>
      <c r="IA5" s="1987"/>
      <c r="IB5" s="1987"/>
      <c r="IC5" s="1987"/>
      <c r="ID5" s="1987"/>
      <c r="IE5" s="1987"/>
      <c r="IF5" s="1987"/>
      <c r="IG5" s="1987"/>
      <c r="IH5" s="1987"/>
      <c r="II5" s="1987"/>
      <c r="IJ5" s="1987"/>
      <c r="IK5" s="1987"/>
      <c r="IL5" s="1987"/>
      <c r="IM5" s="1987"/>
      <c r="IN5" s="1987"/>
      <c r="IO5" s="1987"/>
      <c r="IP5" s="1987"/>
      <c r="IQ5" s="1987"/>
      <c r="IR5" s="1987"/>
      <c r="IS5" s="1987"/>
      <c r="IT5" s="1987"/>
      <c r="IU5" s="1987"/>
      <c r="IV5" s="1987"/>
      <c r="IW5" s="1987"/>
      <c r="IX5" s="1987"/>
      <c r="IY5" s="1987"/>
      <c r="IZ5" s="1987"/>
      <c r="JA5" s="1987"/>
      <c r="JB5" s="1987"/>
      <c r="JC5" s="1987"/>
      <c r="JD5" s="1987"/>
      <c r="JE5" s="1987"/>
      <c r="JF5" s="1987"/>
      <c r="JG5" s="1987"/>
      <c r="JH5" s="1987"/>
      <c r="JI5" s="1987"/>
      <c r="JJ5" s="1987"/>
      <c r="JK5" s="1987"/>
      <c r="JL5" s="1987"/>
      <c r="JM5" s="1987"/>
      <c r="JN5" s="1987"/>
    </row>
    <row r="6" spans="1:274" s="1990" customFormat="1" ht="27" customHeight="1">
      <c r="A6" s="1989"/>
      <c r="B6" s="2974">
        <v>2017</v>
      </c>
      <c r="C6" s="2974"/>
      <c r="D6" s="2974"/>
      <c r="E6" s="2974"/>
      <c r="F6" s="2974"/>
      <c r="G6" s="2974"/>
      <c r="H6" s="2974"/>
      <c r="I6" s="2974"/>
      <c r="J6" s="2974"/>
      <c r="K6" s="2974"/>
      <c r="L6" s="2974"/>
      <c r="M6" s="2974"/>
      <c r="N6" s="2974"/>
      <c r="O6" s="2974"/>
      <c r="P6" s="2974"/>
      <c r="Q6" s="2974"/>
      <c r="R6" s="2974"/>
      <c r="S6" s="2974"/>
      <c r="T6" s="2974"/>
      <c r="U6" s="2974"/>
      <c r="V6" s="2974"/>
      <c r="W6" s="2974"/>
      <c r="X6" s="2974"/>
      <c r="Y6" s="2974"/>
      <c r="Z6" s="2975">
        <v>2018</v>
      </c>
      <c r="AA6" s="2975"/>
      <c r="AB6" s="2975"/>
      <c r="AC6" s="2975"/>
      <c r="AD6" s="2975"/>
      <c r="AE6" s="2975"/>
      <c r="AF6" s="2975"/>
      <c r="AG6" s="2975"/>
      <c r="AH6" s="2975"/>
      <c r="AI6" s="2975"/>
      <c r="AJ6" s="2975"/>
      <c r="AK6" s="2975"/>
      <c r="AL6" s="2975"/>
      <c r="AM6" s="2975"/>
      <c r="AN6" s="2975"/>
      <c r="AO6" s="2975"/>
      <c r="AP6" s="2975"/>
      <c r="AQ6" s="2975"/>
      <c r="AR6" s="2975"/>
      <c r="AS6" s="2975"/>
      <c r="AT6" s="2975"/>
      <c r="AU6" s="2975"/>
      <c r="AV6" s="2975"/>
      <c r="AW6" s="2975"/>
      <c r="AX6" s="2976">
        <v>2019</v>
      </c>
      <c r="AY6" s="2976"/>
      <c r="AZ6" s="2976"/>
      <c r="BA6" s="2976"/>
      <c r="BB6" s="2976"/>
      <c r="BC6" s="2976"/>
      <c r="BD6" s="2976"/>
      <c r="BE6" s="2976"/>
      <c r="BF6" s="2976"/>
      <c r="BG6" s="2976"/>
      <c r="BH6" s="2976"/>
      <c r="BI6" s="2976"/>
      <c r="BJ6" s="2976"/>
      <c r="BK6" s="2976"/>
      <c r="BL6" s="2976"/>
      <c r="BM6" s="2976"/>
      <c r="BN6" s="2976"/>
      <c r="BO6" s="2976"/>
      <c r="BP6" s="2976"/>
      <c r="BQ6" s="2976"/>
      <c r="BR6" s="2976"/>
      <c r="BS6" s="2976"/>
      <c r="BT6" s="2976"/>
      <c r="BU6" s="2976"/>
      <c r="BV6" s="2975">
        <v>2020</v>
      </c>
      <c r="BW6" s="2975"/>
      <c r="BX6" s="2975"/>
      <c r="BY6" s="2975"/>
      <c r="BZ6" s="2975"/>
      <c r="CA6" s="2975"/>
      <c r="CB6" s="2975"/>
      <c r="CC6" s="2975"/>
      <c r="CD6" s="2975"/>
      <c r="CE6" s="2975"/>
      <c r="CF6" s="2975"/>
      <c r="CG6" s="2975"/>
      <c r="CH6" s="2975"/>
      <c r="CI6" s="2975"/>
      <c r="CJ6" s="2975"/>
      <c r="CK6" s="2975"/>
      <c r="CL6" s="2975"/>
      <c r="CM6" s="2975"/>
      <c r="CN6" s="2975"/>
      <c r="CO6" s="2975"/>
      <c r="CP6" s="2975"/>
      <c r="CQ6" s="2975"/>
      <c r="CR6" s="2975"/>
      <c r="CS6" s="2975"/>
      <c r="CT6" s="2976">
        <v>2021</v>
      </c>
      <c r="CU6" s="2976"/>
      <c r="CV6" s="2976"/>
      <c r="CW6" s="2976"/>
      <c r="CX6" s="2976"/>
      <c r="CY6" s="2976"/>
      <c r="CZ6" s="2976"/>
      <c r="DA6" s="2976"/>
      <c r="DB6" s="2976"/>
      <c r="DC6" s="2976"/>
      <c r="DD6" s="2976"/>
      <c r="DE6" s="2976"/>
      <c r="DF6" s="2976"/>
      <c r="DG6" s="2976"/>
      <c r="DH6" s="2976"/>
      <c r="DI6" s="2976"/>
      <c r="DJ6" s="2976"/>
      <c r="DK6" s="2976"/>
      <c r="DL6" s="2976"/>
      <c r="DM6" s="2976"/>
      <c r="DN6" s="2976"/>
      <c r="DO6" s="2976"/>
      <c r="DP6" s="2976"/>
      <c r="DQ6" s="2976"/>
      <c r="DR6" s="2964">
        <v>2022</v>
      </c>
      <c r="DS6" s="2965"/>
      <c r="DT6" s="2965"/>
      <c r="DU6" s="2965"/>
      <c r="DV6" s="2965"/>
      <c r="DW6" s="2965"/>
      <c r="DX6" s="2965"/>
      <c r="DY6" s="2965"/>
      <c r="DZ6" s="2965"/>
      <c r="EA6" s="2965"/>
      <c r="EB6" s="2965"/>
      <c r="EC6" s="2965"/>
      <c r="ED6" s="2965"/>
      <c r="EE6" s="2965"/>
      <c r="EF6" s="2965"/>
      <c r="EG6" s="2965"/>
      <c r="EH6" s="2965"/>
      <c r="EI6" s="2965"/>
      <c r="EJ6" s="2965"/>
      <c r="EK6" s="2965"/>
      <c r="EL6" s="2965"/>
      <c r="EM6" s="2965"/>
      <c r="EN6" s="2965"/>
      <c r="EO6" s="2966"/>
      <c r="EP6" s="2964">
        <v>2023</v>
      </c>
      <c r="EQ6" s="2965"/>
      <c r="ER6" s="2965"/>
      <c r="ES6" s="2965"/>
      <c r="ET6" s="2965"/>
      <c r="EU6" s="2965"/>
      <c r="EV6" s="2965"/>
      <c r="EW6" s="2965"/>
      <c r="EX6" s="2965"/>
      <c r="EY6" s="2965"/>
      <c r="EZ6" s="2965"/>
      <c r="FA6" s="2965"/>
      <c r="FB6" s="2965"/>
      <c r="FC6" s="2965"/>
      <c r="FD6" s="2965"/>
      <c r="FE6" s="2965"/>
      <c r="FF6" s="2965"/>
      <c r="FG6" s="2965"/>
      <c r="FH6" s="2965"/>
      <c r="FI6" s="2965"/>
      <c r="FJ6" s="2965"/>
      <c r="FK6" s="2965"/>
      <c r="FL6" s="2965"/>
      <c r="FM6" s="2966"/>
      <c r="FN6" s="2964">
        <v>2024</v>
      </c>
      <c r="FO6" s="2965"/>
      <c r="FP6" s="2965"/>
      <c r="FQ6" s="2965"/>
      <c r="FR6" s="2965"/>
      <c r="FS6" s="2965"/>
      <c r="FT6" s="2965"/>
      <c r="FU6" s="2965"/>
      <c r="FV6" s="2965"/>
      <c r="FW6" s="2965"/>
      <c r="FX6" s="2965"/>
      <c r="FY6" s="2965"/>
      <c r="FZ6" s="2965"/>
      <c r="GA6" s="2965"/>
      <c r="GB6" s="2965"/>
      <c r="GC6" s="2965"/>
      <c r="GD6" s="2965"/>
      <c r="GE6" s="2965"/>
      <c r="GF6" s="2965"/>
      <c r="GG6" s="2965"/>
      <c r="GH6" s="2965"/>
      <c r="GI6" s="2965"/>
      <c r="GJ6" s="2965"/>
      <c r="GK6" s="2966"/>
      <c r="GL6" s="2964">
        <v>2025</v>
      </c>
      <c r="GM6" s="2965"/>
      <c r="GN6" s="2965"/>
      <c r="GO6" s="2965"/>
      <c r="GP6" s="2965"/>
      <c r="GQ6" s="2965"/>
      <c r="GR6" s="2965"/>
      <c r="GS6" s="2965"/>
      <c r="GT6" s="2965"/>
      <c r="GU6" s="2966"/>
      <c r="GV6" s="2967" t="s">
        <v>3189</v>
      </c>
    </row>
    <row r="7" spans="1:274" s="1991" customFormat="1" ht="21" customHeight="1">
      <c r="A7" s="2969" t="s">
        <v>2328</v>
      </c>
      <c r="B7" s="2961" t="s">
        <v>2327</v>
      </c>
      <c r="C7" s="2961"/>
      <c r="D7" s="2961" t="s">
        <v>3224</v>
      </c>
      <c r="E7" s="2961"/>
      <c r="F7" s="2961" t="s">
        <v>3225</v>
      </c>
      <c r="G7" s="2961"/>
      <c r="H7" s="2961" t="s">
        <v>3226</v>
      </c>
      <c r="I7" s="2961"/>
      <c r="J7" s="2961" t="s">
        <v>3227</v>
      </c>
      <c r="K7" s="2961"/>
      <c r="L7" s="2961" t="s">
        <v>3228</v>
      </c>
      <c r="M7" s="2961"/>
      <c r="N7" s="2961" t="s">
        <v>3229</v>
      </c>
      <c r="O7" s="2961"/>
      <c r="P7" s="2961" t="s">
        <v>3230</v>
      </c>
      <c r="Q7" s="2961"/>
      <c r="R7" s="2961" t="s">
        <v>3231</v>
      </c>
      <c r="S7" s="2961"/>
      <c r="T7" s="2961" t="s">
        <v>3241</v>
      </c>
      <c r="U7" s="2961"/>
      <c r="V7" s="2961" t="s">
        <v>3242</v>
      </c>
      <c r="W7" s="2961"/>
      <c r="X7" s="2961" t="s">
        <v>3243</v>
      </c>
      <c r="Y7" s="2961"/>
      <c r="Z7" s="2961" t="s">
        <v>2327</v>
      </c>
      <c r="AA7" s="2961"/>
      <c r="AB7" s="2961" t="s">
        <v>3224</v>
      </c>
      <c r="AC7" s="2961"/>
      <c r="AD7" s="2961" t="s">
        <v>3225</v>
      </c>
      <c r="AE7" s="2961"/>
      <c r="AF7" s="2961" t="s">
        <v>3226</v>
      </c>
      <c r="AG7" s="2961"/>
      <c r="AH7" s="2961" t="s">
        <v>3227</v>
      </c>
      <c r="AI7" s="2961"/>
      <c r="AJ7" s="2961" t="s">
        <v>3228</v>
      </c>
      <c r="AK7" s="2961"/>
      <c r="AL7" s="2961" t="s">
        <v>3229</v>
      </c>
      <c r="AM7" s="2961"/>
      <c r="AN7" s="2961" t="s">
        <v>3230</v>
      </c>
      <c r="AO7" s="2961"/>
      <c r="AP7" s="2961" t="s">
        <v>3231</v>
      </c>
      <c r="AQ7" s="2961"/>
      <c r="AR7" s="2961" t="s">
        <v>3241</v>
      </c>
      <c r="AS7" s="2961"/>
      <c r="AT7" s="2961" t="s">
        <v>3242</v>
      </c>
      <c r="AU7" s="2961"/>
      <c r="AV7" s="2961" t="s">
        <v>3243</v>
      </c>
      <c r="AW7" s="2961"/>
      <c r="AX7" s="2961" t="s">
        <v>2327</v>
      </c>
      <c r="AY7" s="2961"/>
      <c r="AZ7" s="2961" t="s">
        <v>3224</v>
      </c>
      <c r="BA7" s="2961"/>
      <c r="BB7" s="2961" t="s">
        <v>3225</v>
      </c>
      <c r="BC7" s="2961"/>
      <c r="BD7" s="2961" t="s">
        <v>3226</v>
      </c>
      <c r="BE7" s="2961"/>
      <c r="BF7" s="2961" t="s">
        <v>3227</v>
      </c>
      <c r="BG7" s="2961"/>
      <c r="BH7" s="2961" t="s">
        <v>3228</v>
      </c>
      <c r="BI7" s="2961"/>
      <c r="BJ7" s="2961" t="s">
        <v>3229</v>
      </c>
      <c r="BK7" s="2961"/>
      <c r="BL7" s="2961" t="s">
        <v>3230</v>
      </c>
      <c r="BM7" s="2961"/>
      <c r="BN7" s="2961" t="s">
        <v>3231</v>
      </c>
      <c r="BO7" s="2961"/>
      <c r="BP7" s="2961" t="s">
        <v>3241</v>
      </c>
      <c r="BQ7" s="2961"/>
      <c r="BR7" s="2961" t="s">
        <v>3242</v>
      </c>
      <c r="BS7" s="2961"/>
      <c r="BT7" s="2961" t="s">
        <v>3243</v>
      </c>
      <c r="BU7" s="2961"/>
      <c r="BV7" s="2961" t="s">
        <v>2327</v>
      </c>
      <c r="BW7" s="2961"/>
      <c r="BX7" s="2961" t="s">
        <v>3224</v>
      </c>
      <c r="BY7" s="2961"/>
      <c r="BZ7" s="2961" t="s">
        <v>3225</v>
      </c>
      <c r="CA7" s="2961"/>
      <c r="CB7" s="2961" t="s">
        <v>3226</v>
      </c>
      <c r="CC7" s="2961"/>
      <c r="CD7" s="2961" t="s">
        <v>3227</v>
      </c>
      <c r="CE7" s="2961"/>
      <c r="CF7" s="2961" t="s">
        <v>3228</v>
      </c>
      <c r="CG7" s="2961"/>
      <c r="CH7" s="2961" t="s">
        <v>3229</v>
      </c>
      <c r="CI7" s="2961"/>
      <c r="CJ7" s="2961" t="s">
        <v>3230</v>
      </c>
      <c r="CK7" s="2961"/>
      <c r="CL7" s="2961" t="s">
        <v>3231</v>
      </c>
      <c r="CM7" s="2961"/>
      <c r="CN7" s="2961" t="s">
        <v>3241</v>
      </c>
      <c r="CO7" s="2961"/>
      <c r="CP7" s="2961" t="s">
        <v>3242</v>
      </c>
      <c r="CQ7" s="2961"/>
      <c r="CR7" s="2961" t="s">
        <v>3243</v>
      </c>
      <c r="CS7" s="2961"/>
      <c r="CT7" s="2961" t="s">
        <v>2327</v>
      </c>
      <c r="CU7" s="2961"/>
      <c r="CV7" s="2961" t="s">
        <v>3224</v>
      </c>
      <c r="CW7" s="2961"/>
      <c r="CX7" s="2961" t="s">
        <v>3225</v>
      </c>
      <c r="CY7" s="2961"/>
      <c r="CZ7" s="2961" t="s">
        <v>3226</v>
      </c>
      <c r="DA7" s="2961"/>
      <c r="DB7" s="2961" t="s">
        <v>3227</v>
      </c>
      <c r="DC7" s="2961"/>
      <c r="DD7" s="2961" t="s">
        <v>3228</v>
      </c>
      <c r="DE7" s="2961"/>
      <c r="DF7" s="2961" t="s">
        <v>3229</v>
      </c>
      <c r="DG7" s="2961"/>
      <c r="DH7" s="2961" t="s">
        <v>3230</v>
      </c>
      <c r="DI7" s="2961"/>
      <c r="DJ7" s="2961" t="s">
        <v>3231</v>
      </c>
      <c r="DK7" s="2961"/>
      <c r="DL7" s="2961" t="s">
        <v>3241</v>
      </c>
      <c r="DM7" s="2961"/>
      <c r="DN7" s="2961" t="s">
        <v>3242</v>
      </c>
      <c r="DO7" s="2961"/>
      <c r="DP7" s="2961" t="s">
        <v>3243</v>
      </c>
      <c r="DQ7" s="2961"/>
      <c r="DR7" s="2960" t="s">
        <v>2327</v>
      </c>
      <c r="DS7" s="2960"/>
      <c r="DT7" s="2960" t="s">
        <v>3224</v>
      </c>
      <c r="DU7" s="2960"/>
      <c r="DV7" s="2960" t="s">
        <v>3225</v>
      </c>
      <c r="DW7" s="2960"/>
      <c r="DX7" s="2960" t="s">
        <v>3226</v>
      </c>
      <c r="DY7" s="2960"/>
      <c r="DZ7" s="2960" t="s">
        <v>3227</v>
      </c>
      <c r="EA7" s="2960"/>
      <c r="EB7" s="2960" t="s">
        <v>3228</v>
      </c>
      <c r="EC7" s="2960"/>
      <c r="ED7" s="2960" t="s">
        <v>3229</v>
      </c>
      <c r="EE7" s="2960"/>
      <c r="EF7" s="2960" t="s">
        <v>3230</v>
      </c>
      <c r="EG7" s="2960"/>
      <c r="EH7" s="2960" t="s">
        <v>3231</v>
      </c>
      <c r="EI7" s="2960"/>
      <c r="EJ7" s="2960" t="s">
        <v>3241</v>
      </c>
      <c r="EK7" s="2960"/>
      <c r="EL7" s="2960" t="s">
        <v>3242</v>
      </c>
      <c r="EM7" s="2960"/>
      <c r="EN7" s="2960" t="s">
        <v>3243</v>
      </c>
      <c r="EO7" s="2960"/>
      <c r="EP7" s="2960" t="s">
        <v>2327</v>
      </c>
      <c r="EQ7" s="2960"/>
      <c r="ER7" s="2960" t="s">
        <v>3224</v>
      </c>
      <c r="ES7" s="2960"/>
      <c r="ET7" s="2960" t="s">
        <v>3225</v>
      </c>
      <c r="EU7" s="2960"/>
      <c r="EV7" s="2960" t="s">
        <v>3226</v>
      </c>
      <c r="EW7" s="2960"/>
      <c r="EX7" s="2960" t="s">
        <v>3227</v>
      </c>
      <c r="EY7" s="2960"/>
      <c r="EZ7" s="2960" t="s">
        <v>3228</v>
      </c>
      <c r="FA7" s="2960"/>
      <c r="FB7" s="2960" t="s">
        <v>3843</v>
      </c>
      <c r="FC7" s="2960"/>
      <c r="FD7" s="2960" t="s">
        <v>3230</v>
      </c>
      <c r="FE7" s="2960"/>
      <c r="FF7" s="2960" t="s">
        <v>3231</v>
      </c>
      <c r="FG7" s="2960"/>
      <c r="FH7" s="2960" t="s">
        <v>3241</v>
      </c>
      <c r="FI7" s="2960"/>
      <c r="FJ7" s="2960" t="s">
        <v>3242</v>
      </c>
      <c r="FK7" s="2960"/>
      <c r="FL7" s="2960" t="s">
        <v>3243</v>
      </c>
      <c r="FM7" s="2960"/>
      <c r="FN7" s="2960" t="s">
        <v>2327</v>
      </c>
      <c r="FO7" s="2960"/>
      <c r="FP7" s="2960" t="s">
        <v>3224</v>
      </c>
      <c r="FQ7" s="2960"/>
      <c r="FR7" s="2960" t="s">
        <v>3225</v>
      </c>
      <c r="FS7" s="2960"/>
      <c r="FT7" s="2960" t="s">
        <v>3226</v>
      </c>
      <c r="FU7" s="2960"/>
      <c r="FV7" s="2960" t="s">
        <v>3227</v>
      </c>
      <c r="FW7" s="2960"/>
      <c r="FX7" s="2960" t="s">
        <v>3228</v>
      </c>
      <c r="FY7" s="2960"/>
      <c r="FZ7" s="2960" t="s">
        <v>3843</v>
      </c>
      <c r="GA7" s="2960"/>
      <c r="GB7" s="2960" t="s">
        <v>3230</v>
      </c>
      <c r="GC7" s="2960"/>
      <c r="GD7" s="2960" t="s">
        <v>3231</v>
      </c>
      <c r="GE7" s="2960"/>
      <c r="GF7" s="2960" t="s">
        <v>3241</v>
      </c>
      <c r="GG7" s="2960"/>
      <c r="GH7" s="2960" t="s">
        <v>3242</v>
      </c>
      <c r="GI7" s="2960"/>
      <c r="GJ7" s="2960" t="s">
        <v>3243</v>
      </c>
      <c r="GK7" s="2960"/>
      <c r="GL7" s="2960" t="s">
        <v>2327</v>
      </c>
      <c r="GM7" s="2960"/>
      <c r="GN7" s="2960" t="s">
        <v>3224</v>
      </c>
      <c r="GO7" s="2960"/>
      <c r="GP7" s="2960" t="s">
        <v>3225</v>
      </c>
      <c r="GQ7" s="2960"/>
      <c r="GR7" s="2960" t="s">
        <v>3226</v>
      </c>
      <c r="GS7" s="2960"/>
      <c r="GT7" s="2960" t="s">
        <v>3227</v>
      </c>
      <c r="GU7" s="2960"/>
      <c r="GV7" s="2967"/>
    </row>
    <row r="8" spans="1:274" s="1991" customFormat="1" ht="21" customHeight="1">
      <c r="A8" s="2970"/>
      <c r="B8" s="2962" t="s">
        <v>3158</v>
      </c>
      <c r="C8" s="2963"/>
      <c r="D8" s="2962" t="s">
        <v>3232</v>
      </c>
      <c r="E8" s="2963"/>
      <c r="F8" s="2962" t="s">
        <v>3233</v>
      </c>
      <c r="G8" s="2963"/>
      <c r="H8" s="2962" t="s">
        <v>3234</v>
      </c>
      <c r="I8" s="2963"/>
      <c r="J8" s="2962" t="s">
        <v>3235</v>
      </c>
      <c r="K8" s="2963"/>
      <c r="L8" s="2962" t="s">
        <v>3236</v>
      </c>
      <c r="M8" s="2963"/>
      <c r="N8" s="2962" t="s">
        <v>3237</v>
      </c>
      <c r="O8" s="2963"/>
      <c r="P8" s="2962" t="s">
        <v>3238</v>
      </c>
      <c r="Q8" s="2963"/>
      <c r="R8" s="2962" t="s">
        <v>3239</v>
      </c>
      <c r="S8" s="2963"/>
      <c r="T8" s="2962" t="s">
        <v>3246</v>
      </c>
      <c r="U8" s="2963"/>
      <c r="V8" s="2962" t="s">
        <v>3245</v>
      </c>
      <c r="W8" s="2963"/>
      <c r="X8" s="2962" t="s">
        <v>3244</v>
      </c>
      <c r="Y8" s="2963"/>
      <c r="Z8" s="2961" t="s">
        <v>3158</v>
      </c>
      <c r="AA8" s="2961"/>
      <c r="AB8" s="2961" t="s">
        <v>3232</v>
      </c>
      <c r="AC8" s="2961"/>
      <c r="AD8" s="2961" t="s">
        <v>3233</v>
      </c>
      <c r="AE8" s="2961"/>
      <c r="AF8" s="2961" t="s">
        <v>3234</v>
      </c>
      <c r="AG8" s="2961"/>
      <c r="AH8" s="2961" t="s">
        <v>3235</v>
      </c>
      <c r="AI8" s="2961"/>
      <c r="AJ8" s="2961" t="s">
        <v>3236</v>
      </c>
      <c r="AK8" s="2961"/>
      <c r="AL8" s="2961" t="s">
        <v>3237</v>
      </c>
      <c r="AM8" s="2961"/>
      <c r="AN8" s="2961" t="s">
        <v>3238</v>
      </c>
      <c r="AO8" s="2961"/>
      <c r="AP8" s="2961" t="s">
        <v>3239</v>
      </c>
      <c r="AQ8" s="2961"/>
      <c r="AR8" s="2961" t="s">
        <v>3246</v>
      </c>
      <c r="AS8" s="2961"/>
      <c r="AT8" s="2961" t="s">
        <v>3245</v>
      </c>
      <c r="AU8" s="2961"/>
      <c r="AV8" s="2961" t="s">
        <v>3244</v>
      </c>
      <c r="AW8" s="2961"/>
      <c r="AX8" s="2961" t="s">
        <v>3158</v>
      </c>
      <c r="AY8" s="2961"/>
      <c r="AZ8" s="2961" t="s">
        <v>3232</v>
      </c>
      <c r="BA8" s="2961"/>
      <c r="BB8" s="2961" t="s">
        <v>3233</v>
      </c>
      <c r="BC8" s="2961"/>
      <c r="BD8" s="2961" t="s">
        <v>3234</v>
      </c>
      <c r="BE8" s="2961"/>
      <c r="BF8" s="2961" t="s">
        <v>3235</v>
      </c>
      <c r="BG8" s="2961"/>
      <c r="BH8" s="2961" t="s">
        <v>3236</v>
      </c>
      <c r="BI8" s="2961"/>
      <c r="BJ8" s="2961" t="s">
        <v>3237</v>
      </c>
      <c r="BK8" s="2961"/>
      <c r="BL8" s="2961" t="s">
        <v>3238</v>
      </c>
      <c r="BM8" s="2961"/>
      <c r="BN8" s="2961" t="s">
        <v>3239</v>
      </c>
      <c r="BO8" s="2961"/>
      <c r="BP8" s="2961" t="s">
        <v>3246</v>
      </c>
      <c r="BQ8" s="2961"/>
      <c r="BR8" s="2961" t="s">
        <v>3245</v>
      </c>
      <c r="BS8" s="2961"/>
      <c r="BT8" s="2961" t="s">
        <v>3244</v>
      </c>
      <c r="BU8" s="2961"/>
      <c r="BV8" s="2961" t="s">
        <v>3158</v>
      </c>
      <c r="BW8" s="2961"/>
      <c r="BX8" s="2961" t="s">
        <v>3232</v>
      </c>
      <c r="BY8" s="2961"/>
      <c r="BZ8" s="2961" t="s">
        <v>3233</v>
      </c>
      <c r="CA8" s="2961"/>
      <c r="CB8" s="2961" t="s">
        <v>3234</v>
      </c>
      <c r="CC8" s="2961"/>
      <c r="CD8" s="2961" t="s">
        <v>3235</v>
      </c>
      <c r="CE8" s="2961"/>
      <c r="CF8" s="2961" t="s">
        <v>3236</v>
      </c>
      <c r="CG8" s="2961"/>
      <c r="CH8" s="2961" t="s">
        <v>3237</v>
      </c>
      <c r="CI8" s="2961"/>
      <c r="CJ8" s="2961" t="s">
        <v>3238</v>
      </c>
      <c r="CK8" s="2961"/>
      <c r="CL8" s="2961" t="s">
        <v>3239</v>
      </c>
      <c r="CM8" s="2961"/>
      <c r="CN8" s="2961" t="s">
        <v>3246</v>
      </c>
      <c r="CO8" s="2961"/>
      <c r="CP8" s="2961" t="s">
        <v>3245</v>
      </c>
      <c r="CQ8" s="2961"/>
      <c r="CR8" s="2961" t="s">
        <v>3244</v>
      </c>
      <c r="CS8" s="2961"/>
      <c r="CT8" s="2961" t="s">
        <v>3158</v>
      </c>
      <c r="CU8" s="2961"/>
      <c r="CV8" s="2961" t="s">
        <v>3232</v>
      </c>
      <c r="CW8" s="2961"/>
      <c r="CX8" s="2961" t="s">
        <v>3233</v>
      </c>
      <c r="CY8" s="2961"/>
      <c r="CZ8" s="2961" t="s">
        <v>3234</v>
      </c>
      <c r="DA8" s="2961"/>
      <c r="DB8" s="2961" t="s">
        <v>3235</v>
      </c>
      <c r="DC8" s="2961"/>
      <c r="DD8" s="2961" t="s">
        <v>3236</v>
      </c>
      <c r="DE8" s="2961"/>
      <c r="DF8" s="2961" t="s">
        <v>3237</v>
      </c>
      <c r="DG8" s="2961"/>
      <c r="DH8" s="2961" t="s">
        <v>3238</v>
      </c>
      <c r="DI8" s="2961"/>
      <c r="DJ8" s="2961" t="s">
        <v>3239</v>
      </c>
      <c r="DK8" s="2961"/>
      <c r="DL8" s="2961" t="s">
        <v>3246</v>
      </c>
      <c r="DM8" s="2961"/>
      <c r="DN8" s="2961" t="s">
        <v>3245</v>
      </c>
      <c r="DO8" s="2961"/>
      <c r="DP8" s="2961" t="s">
        <v>3244</v>
      </c>
      <c r="DQ8" s="2961"/>
      <c r="DR8" s="2960" t="s">
        <v>3158</v>
      </c>
      <c r="DS8" s="2960"/>
      <c r="DT8" s="2960" t="s">
        <v>3232</v>
      </c>
      <c r="DU8" s="2960"/>
      <c r="DV8" s="2960" t="s">
        <v>3233</v>
      </c>
      <c r="DW8" s="2960"/>
      <c r="DX8" s="2960" t="s">
        <v>3234</v>
      </c>
      <c r="DY8" s="2960"/>
      <c r="DZ8" s="2960" t="s">
        <v>3235</v>
      </c>
      <c r="EA8" s="2960"/>
      <c r="EB8" s="2960" t="s">
        <v>3236</v>
      </c>
      <c r="EC8" s="2960"/>
      <c r="ED8" s="2960" t="s">
        <v>3237</v>
      </c>
      <c r="EE8" s="2960"/>
      <c r="EF8" s="2960" t="s">
        <v>3238</v>
      </c>
      <c r="EG8" s="2960"/>
      <c r="EH8" s="2960" t="s">
        <v>3239</v>
      </c>
      <c r="EI8" s="2960"/>
      <c r="EJ8" s="2960" t="s">
        <v>3399</v>
      </c>
      <c r="EK8" s="2960"/>
      <c r="EL8" s="2960" t="s">
        <v>3427</v>
      </c>
      <c r="EM8" s="2960"/>
      <c r="EN8" s="2960" t="s">
        <v>3477</v>
      </c>
      <c r="EO8" s="2960"/>
      <c r="EP8" s="2960" t="s">
        <v>3158</v>
      </c>
      <c r="EQ8" s="2960"/>
      <c r="ER8" s="2960" t="s">
        <v>3232</v>
      </c>
      <c r="ES8" s="2960"/>
      <c r="ET8" s="2960" t="s">
        <v>3233</v>
      </c>
      <c r="EU8" s="2960"/>
      <c r="EV8" s="2960" t="s">
        <v>3234</v>
      </c>
      <c r="EW8" s="2960"/>
      <c r="EX8" s="2960" t="s">
        <v>3235</v>
      </c>
      <c r="EY8" s="2960"/>
      <c r="EZ8" s="2960" t="s">
        <v>3236</v>
      </c>
      <c r="FA8" s="2960"/>
      <c r="FB8" s="2960" t="s">
        <v>3237</v>
      </c>
      <c r="FC8" s="2960"/>
      <c r="FD8" s="2960" t="s">
        <v>3238</v>
      </c>
      <c r="FE8" s="2960"/>
      <c r="FF8" s="2960" t="s">
        <v>3239</v>
      </c>
      <c r="FG8" s="2960"/>
      <c r="FH8" s="2960" t="s">
        <v>3399</v>
      </c>
      <c r="FI8" s="2960"/>
      <c r="FJ8" s="2960" t="s">
        <v>3427</v>
      </c>
      <c r="FK8" s="2960"/>
      <c r="FL8" s="2960" t="s">
        <v>3477</v>
      </c>
      <c r="FM8" s="2960"/>
      <c r="FN8" s="2960" t="s">
        <v>3158</v>
      </c>
      <c r="FO8" s="2960"/>
      <c r="FP8" s="2960" t="s">
        <v>3232</v>
      </c>
      <c r="FQ8" s="2960"/>
      <c r="FR8" s="2960" t="s">
        <v>3233</v>
      </c>
      <c r="FS8" s="2960"/>
      <c r="FT8" s="2960" t="s">
        <v>3234</v>
      </c>
      <c r="FU8" s="2960"/>
      <c r="FV8" s="2960" t="s">
        <v>3235</v>
      </c>
      <c r="FW8" s="2960"/>
      <c r="FX8" s="2960" t="s">
        <v>3236</v>
      </c>
      <c r="FY8" s="2960"/>
      <c r="FZ8" s="2960" t="s">
        <v>3237</v>
      </c>
      <c r="GA8" s="2960"/>
      <c r="GB8" s="2960" t="s">
        <v>3238</v>
      </c>
      <c r="GC8" s="2960"/>
      <c r="GD8" s="2960" t="s">
        <v>3239</v>
      </c>
      <c r="GE8" s="2960"/>
      <c r="GF8" s="2960" t="s">
        <v>3399</v>
      </c>
      <c r="GG8" s="2960"/>
      <c r="GH8" s="2960" t="s">
        <v>3427</v>
      </c>
      <c r="GI8" s="2960"/>
      <c r="GJ8" s="2960" t="s">
        <v>3477</v>
      </c>
      <c r="GK8" s="2960"/>
      <c r="GL8" s="2960" t="s">
        <v>3158</v>
      </c>
      <c r="GM8" s="2960"/>
      <c r="GN8" s="2960" t="s">
        <v>3232</v>
      </c>
      <c r="GO8" s="2960"/>
      <c r="GP8" s="2960" t="s">
        <v>3233</v>
      </c>
      <c r="GQ8" s="2960"/>
      <c r="GR8" s="2960" t="s">
        <v>3234</v>
      </c>
      <c r="GS8" s="2960"/>
      <c r="GT8" s="2960" t="s">
        <v>3235</v>
      </c>
      <c r="GU8" s="2960"/>
      <c r="GV8" s="2967"/>
    </row>
    <row r="9" spans="1:274" s="1991" customFormat="1" ht="42">
      <c r="A9" s="2970"/>
      <c r="B9" s="1992" t="s">
        <v>3082</v>
      </c>
      <c r="C9" s="1993" t="s">
        <v>2326</v>
      </c>
      <c r="D9" s="1992" t="s">
        <v>3082</v>
      </c>
      <c r="E9" s="1993" t="s">
        <v>2326</v>
      </c>
      <c r="F9" s="1992" t="s">
        <v>3082</v>
      </c>
      <c r="G9" s="1993" t="s">
        <v>2326</v>
      </c>
      <c r="H9" s="1992" t="s">
        <v>3082</v>
      </c>
      <c r="I9" s="1993" t="s">
        <v>2326</v>
      </c>
      <c r="J9" s="1992" t="s">
        <v>3082</v>
      </c>
      <c r="K9" s="1993" t="s">
        <v>2326</v>
      </c>
      <c r="L9" s="1992" t="s">
        <v>3082</v>
      </c>
      <c r="M9" s="1993" t="s">
        <v>2326</v>
      </c>
      <c r="N9" s="1992" t="s">
        <v>3082</v>
      </c>
      <c r="O9" s="1993" t="s">
        <v>2326</v>
      </c>
      <c r="P9" s="1992" t="s">
        <v>3082</v>
      </c>
      <c r="Q9" s="1993" t="s">
        <v>2326</v>
      </c>
      <c r="R9" s="1992" t="s">
        <v>3082</v>
      </c>
      <c r="S9" s="1993" t="s">
        <v>2326</v>
      </c>
      <c r="T9" s="1992" t="s">
        <v>3082</v>
      </c>
      <c r="U9" s="1993" t="s">
        <v>2326</v>
      </c>
      <c r="V9" s="1992" t="s">
        <v>3082</v>
      </c>
      <c r="W9" s="1993" t="s">
        <v>2326</v>
      </c>
      <c r="X9" s="1992" t="s">
        <v>3082</v>
      </c>
      <c r="Y9" s="1993" t="s">
        <v>2326</v>
      </c>
      <c r="Z9" s="1992" t="s">
        <v>3082</v>
      </c>
      <c r="AA9" s="1993" t="s">
        <v>2326</v>
      </c>
      <c r="AB9" s="1992" t="s">
        <v>3082</v>
      </c>
      <c r="AC9" s="1993" t="s">
        <v>2326</v>
      </c>
      <c r="AD9" s="1992" t="s">
        <v>3082</v>
      </c>
      <c r="AE9" s="1993" t="s">
        <v>2326</v>
      </c>
      <c r="AF9" s="1992" t="s">
        <v>3082</v>
      </c>
      <c r="AG9" s="1993" t="s">
        <v>2326</v>
      </c>
      <c r="AH9" s="1992" t="s">
        <v>3082</v>
      </c>
      <c r="AI9" s="1993" t="s">
        <v>2326</v>
      </c>
      <c r="AJ9" s="1992" t="s">
        <v>3082</v>
      </c>
      <c r="AK9" s="1993" t="s">
        <v>2326</v>
      </c>
      <c r="AL9" s="1992" t="s">
        <v>3082</v>
      </c>
      <c r="AM9" s="1993" t="s">
        <v>2326</v>
      </c>
      <c r="AN9" s="1992" t="s">
        <v>3082</v>
      </c>
      <c r="AO9" s="1993" t="s">
        <v>2326</v>
      </c>
      <c r="AP9" s="1992" t="s">
        <v>3082</v>
      </c>
      <c r="AQ9" s="1993" t="s">
        <v>2326</v>
      </c>
      <c r="AR9" s="1992" t="s">
        <v>3082</v>
      </c>
      <c r="AS9" s="1993" t="s">
        <v>2326</v>
      </c>
      <c r="AT9" s="1992" t="s">
        <v>3082</v>
      </c>
      <c r="AU9" s="1993" t="s">
        <v>2326</v>
      </c>
      <c r="AV9" s="1992" t="s">
        <v>3082</v>
      </c>
      <c r="AW9" s="1993" t="s">
        <v>2326</v>
      </c>
      <c r="AX9" s="1992" t="s">
        <v>3082</v>
      </c>
      <c r="AY9" s="1993" t="s">
        <v>2326</v>
      </c>
      <c r="AZ9" s="1992" t="s">
        <v>3082</v>
      </c>
      <c r="BA9" s="1993" t="s">
        <v>2326</v>
      </c>
      <c r="BB9" s="1992" t="s">
        <v>3082</v>
      </c>
      <c r="BC9" s="1993" t="s">
        <v>2326</v>
      </c>
      <c r="BD9" s="1992" t="s">
        <v>3082</v>
      </c>
      <c r="BE9" s="1993" t="s">
        <v>2326</v>
      </c>
      <c r="BF9" s="1992" t="s">
        <v>3082</v>
      </c>
      <c r="BG9" s="1993" t="s">
        <v>2326</v>
      </c>
      <c r="BH9" s="1992" t="s">
        <v>3082</v>
      </c>
      <c r="BI9" s="1993" t="s">
        <v>2326</v>
      </c>
      <c r="BJ9" s="1992" t="s">
        <v>3082</v>
      </c>
      <c r="BK9" s="1993" t="s">
        <v>2326</v>
      </c>
      <c r="BL9" s="1992" t="s">
        <v>3082</v>
      </c>
      <c r="BM9" s="1993" t="s">
        <v>2326</v>
      </c>
      <c r="BN9" s="1992" t="s">
        <v>3082</v>
      </c>
      <c r="BO9" s="1993" t="s">
        <v>2326</v>
      </c>
      <c r="BP9" s="1992" t="s">
        <v>3082</v>
      </c>
      <c r="BQ9" s="1993" t="s">
        <v>2326</v>
      </c>
      <c r="BR9" s="1992" t="s">
        <v>3082</v>
      </c>
      <c r="BS9" s="1993" t="s">
        <v>2326</v>
      </c>
      <c r="BT9" s="1992" t="s">
        <v>3082</v>
      </c>
      <c r="BU9" s="1993" t="s">
        <v>2326</v>
      </c>
      <c r="BV9" s="1992" t="s">
        <v>3082</v>
      </c>
      <c r="BW9" s="1993" t="s">
        <v>2326</v>
      </c>
      <c r="BX9" s="1992" t="s">
        <v>3082</v>
      </c>
      <c r="BY9" s="1993" t="s">
        <v>2326</v>
      </c>
      <c r="BZ9" s="1992" t="s">
        <v>3082</v>
      </c>
      <c r="CA9" s="1993" t="s">
        <v>2326</v>
      </c>
      <c r="CB9" s="1992" t="s">
        <v>3082</v>
      </c>
      <c r="CC9" s="1993" t="s">
        <v>2326</v>
      </c>
      <c r="CD9" s="1992" t="s">
        <v>3082</v>
      </c>
      <c r="CE9" s="1993" t="s">
        <v>2326</v>
      </c>
      <c r="CF9" s="1992" t="s">
        <v>3082</v>
      </c>
      <c r="CG9" s="1993" t="s">
        <v>2326</v>
      </c>
      <c r="CH9" s="1992" t="s">
        <v>3082</v>
      </c>
      <c r="CI9" s="1993" t="s">
        <v>2326</v>
      </c>
      <c r="CJ9" s="1992" t="s">
        <v>3082</v>
      </c>
      <c r="CK9" s="1993" t="s">
        <v>2326</v>
      </c>
      <c r="CL9" s="1992" t="s">
        <v>3082</v>
      </c>
      <c r="CM9" s="1993" t="s">
        <v>2326</v>
      </c>
      <c r="CN9" s="1992" t="s">
        <v>3082</v>
      </c>
      <c r="CO9" s="1993" t="s">
        <v>2326</v>
      </c>
      <c r="CP9" s="1992" t="s">
        <v>3082</v>
      </c>
      <c r="CQ9" s="1993" t="s">
        <v>2326</v>
      </c>
      <c r="CR9" s="1992" t="s">
        <v>3082</v>
      </c>
      <c r="CS9" s="1993" t="s">
        <v>2326</v>
      </c>
      <c r="CT9" s="1992" t="s">
        <v>3082</v>
      </c>
      <c r="CU9" s="1993" t="s">
        <v>2326</v>
      </c>
      <c r="CV9" s="1992" t="s">
        <v>3082</v>
      </c>
      <c r="CW9" s="1993" t="s">
        <v>2326</v>
      </c>
      <c r="CX9" s="1992" t="s">
        <v>3082</v>
      </c>
      <c r="CY9" s="1993" t="s">
        <v>2326</v>
      </c>
      <c r="CZ9" s="1992" t="s">
        <v>3082</v>
      </c>
      <c r="DA9" s="1993" t="s">
        <v>2326</v>
      </c>
      <c r="DB9" s="1992" t="s">
        <v>3082</v>
      </c>
      <c r="DC9" s="1993" t="s">
        <v>2326</v>
      </c>
      <c r="DD9" s="1992" t="s">
        <v>3082</v>
      </c>
      <c r="DE9" s="1993" t="s">
        <v>2326</v>
      </c>
      <c r="DF9" s="1992" t="s">
        <v>3082</v>
      </c>
      <c r="DG9" s="1993" t="s">
        <v>2326</v>
      </c>
      <c r="DH9" s="1992" t="s">
        <v>3082</v>
      </c>
      <c r="DI9" s="1993" t="s">
        <v>2326</v>
      </c>
      <c r="DJ9" s="1992" t="s">
        <v>3082</v>
      </c>
      <c r="DK9" s="1993" t="s">
        <v>2326</v>
      </c>
      <c r="DL9" s="1992" t="s">
        <v>3082</v>
      </c>
      <c r="DM9" s="1993" t="s">
        <v>2326</v>
      </c>
      <c r="DN9" s="1992" t="s">
        <v>3082</v>
      </c>
      <c r="DO9" s="1993" t="s">
        <v>2326</v>
      </c>
      <c r="DP9" s="1992" t="s">
        <v>3082</v>
      </c>
      <c r="DQ9" s="1993" t="s">
        <v>2326</v>
      </c>
      <c r="DR9" s="1992" t="s">
        <v>3082</v>
      </c>
      <c r="DS9" s="1993" t="s">
        <v>2326</v>
      </c>
      <c r="DT9" s="1992" t="s">
        <v>3082</v>
      </c>
      <c r="DU9" s="1993" t="s">
        <v>2326</v>
      </c>
      <c r="DV9" s="1992" t="s">
        <v>3082</v>
      </c>
      <c r="DW9" s="1993" t="s">
        <v>2326</v>
      </c>
      <c r="DX9" s="1992" t="s">
        <v>3082</v>
      </c>
      <c r="DY9" s="1993" t="s">
        <v>2326</v>
      </c>
      <c r="DZ9" s="1992" t="s">
        <v>3082</v>
      </c>
      <c r="EA9" s="1993" t="s">
        <v>2326</v>
      </c>
      <c r="EB9" s="1992" t="s">
        <v>3082</v>
      </c>
      <c r="EC9" s="1993" t="s">
        <v>2326</v>
      </c>
      <c r="ED9" s="1992" t="s">
        <v>3082</v>
      </c>
      <c r="EE9" s="1993" t="s">
        <v>2326</v>
      </c>
      <c r="EF9" s="1993" t="s">
        <v>3082</v>
      </c>
      <c r="EG9" s="1993" t="s">
        <v>2326</v>
      </c>
      <c r="EH9" s="1992" t="s">
        <v>3082</v>
      </c>
      <c r="EI9" s="1993" t="s">
        <v>2326</v>
      </c>
      <c r="EJ9" s="1992" t="s">
        <v>3082</v>
      </c>
      <c r="EK9" s="1993" t="s">
        <v>2326</v>
      </c>
      <c r="EL9" s="1992" t="s">
        <v>3082</v>
      </c>
      <c r="EM9" s="1993" t="s">
        <v>2326</v>
      </c>
      <c r="EN9" s="1992" t="s">
        <v>3082</v>
      </c>
      <c r="EO9" s="1993" t="s">
        <v>2326</v>
      </c>
      <c r="EP9" s="1992" t="s">
        <v>3082</v>
      </c>
      <c r="EQ9" s="1993" t="s">
        <v>2326</v>
      </c>
      <c r="ER9" s="1992" t="s">
        <v>3082</v>
      </c>
      <c r="ES9" s="1993" t="s">
        <v>2326</v>
      </c>
      <c r="ET9" s="1992" t="s">
        <v>3082</v>
      </c>
      <c r="EU9" s="1993" t="s">
        <v>2326</v>
      </c>
      <c r="EV9" s="1992" t="s">
        <v>3082</v>
      </c>
      <c r="EW9" s="1993" t="s">
        <v>2326</v>
      </c>
      <c r="EX9" s="1992" t="s">
        <v>3082</v>
      </c>
      <c r="EY9" s="1993" t="s">
        <v>2326</v>
      </c>
      <c r="EZ9" s="1992" t="s">
        <v>3082</v>
      </c>
      <c r="FA9" s="1993" t="s">
        <v>2326</v>
      </c>
      <c r="FB9" s="1992" t="s">
        <v>3082</v>
      </c>
      <c r="FC9" s="1993" t="s">
        <v>2326</v>
      </c>
      <c r="FD9" s="1992" t="s">
        <v>3082</v>
      </c>
      <c r="FE9" s="1993" t="s">
        <v>2326</v>
      </c>
      <c r="FF9" s="1992" t="s">
        <v>3082</v>
      </c>
      <c r="FG9" s="1993" t="s">
        <v>2326</v>
      </c>
      <c r="FH9" s="1992" t="s">
        <v>3082</v>
      </c>
      <c r="FI9" s="1993" t="s">
        <v>2326</v>
      </c>
      <c r="FJ9" s="1992" t="s">
        <v>3082</v>
      </c>
      <c r="FK9" s="1993" t="s">
        <v>2326</v>
      </c>
      <c r="FL9" s="1992" t="s">
        <v>3082</v>
      </c>
      <c r="FM9" s="1993" t="s">
        <v>2326</v>
      </c>
      <c r="FN9" s="1992" t="s">
        <v>3082</v>
      </c>
      <c r="FO9" s="1993" t="s">
        <v>2326</v>
      </c>
      <c r="FP9" s="1992" t="s">
        <v>3082</v>
      </c>
      <c r="FQ9" s="1993" t="s">
        <v>2326</v>
      </c>
      <c r="FR9" s="1992" t="s">
        <v>3082</v>
      </c>
      <c r="FS9" s="1993" t="s">
        <v>2326</v>
      </c>
      <c r="FT9" s="1992" t="s">
        <v>3082</v>
      </c>
      <c r="FU9" s="1993" t="s">
        <v>2326</v>
      </c>
      <c r="FV9" s="1992" t="s">
        <v>3082</v>
      </c>
      <c r="FW9" s="1993" t="s">
        <v>2326</v>
      </c>
      <c r="FX9" s="1992" t="s">
        <v>3082</v>
      </c>
      <c r="FY9" s="1993" t="s">
        <v>2326</v>
      </c>
      <c r="FZ9" s="1992" t="s">
        <v>3082</v>
      </c>
      <c r="GA9" s="1993" t="s">
        <v>2326</v>
      </c>
      <c r="GB9" s="1992" t="s">
        <v>3082</v>
      </c>
      <c r="GC9" s="1993" t="s">
        <v>2326</v>
      </c>
      <c r="GD9" s="1992" t="s">
        <v>3082</v>
      </c>
      <c r="GE9" s="1993" t="s">
        <v>2326</v>
      </c>
      <c r="GF9" s="1992" t="s">
        <v>3082</v>
      </c>
      <c r="GG9" s="1993" t="s">
        <v>2326</v>
      </c>
      <c r="GH9" s="1992" t="s">
        <v>3082</v>
      </c>
      <c r="GI9" s="1993" t="s">
        <v>2326</v>
      </c>
      <c r="GJ9" s="1992" t="s">
        <v>3082</v>
      </c>
      <c r="GK9" s="1993" t="s">
        <v>2326</v>
      </c>
      <c r="GL9" s="1992" t="s">
        <v>3082</v>
      </c>
      <c r="GM9" s="1993" t="s">
        <v>2326</v>
      </c>
      <c r="GN9" s="1992" t="s">
        <v>3082</v>
      </c>
      <c r="GO9" s="1993" t="s">
        <v>2326</v>
      </c>
      <c r="GP9" s="1992" t="s">
        <v>3082</v>
      </c>
      <c r="GQ9" s="1993" t="s">
        <v>2326</v>
      </c>
      <c r="GR9" s="1992" t="s">
        <v>3082</v>
      </c>
      <c r="GS9" s="1993" t="s">
        <v>2326</v>
      </c>
      <c r="GT9" s="1992" t="s">
        <v>3082</v>
      </c>
      <c r="GU9" s="1993" t="s">
        <v>2326</v>
      </c>
      <c r="GV9" s="2967"/>
    </row>
    <row r="10" spans="1:274" s="1991" customFormat="1" ht="25.5" customHeight="1">
      <c r="A10" s="2971"/>
      <c r="B10" s="1992" t="s">
        <v>3159</v>
      </c>
      <c r="C10" s="1993" t="s">
        <v>3160</v>
      </c>
      <c r="D10" s="1992" t="s">
        <v>3159</v>
      </c>
      <c r="E10" s="1993" t="s">
        <v>3160</v>
      </c>
      <c r="F10" s="1992" t="s">
        <v>3159</v>
      </c>
      <c r="G10" s="1993" t="s">
        <v>3160</v>
      </c>
      <c r="H10" s="1992" t="s">
        <v>3159</v>
      </c>
      <c r="I10" s="1993" t="s">
        <v>3160</v>
      </c>
      <c r="J10" s="1992" t="s">
        <v>3159</v>
      </c>
      <c r="K10" s="1993" t="s">
        <v>3160</v>
      </c>
      <c r="L10" s="1992" t="s">
        <v>3159</v>
      </c>
      <c r="M10" s="1993" t="s">
        <v>3160</v>
      </c>
      <c r="N10" s="1992" t="s">
        <v>3159</v>
      </c>
      <c r="O10" s="1993" t="s">
        <v>3160</v>
      </c>
      <c r="P10" s="1992" t="s">
        <v>3159</v>
      </c>
      <c r="Q10" s="1993" t="s">
        <v>3160</v>
      </c>
      <c r="R10" s="1992" t="s">
        <v>3159</v>
      </c>
      <c r="S10" s="1993" t="s">
        <v>3160</v>
      </c>
      <c r="T10" s="1992" t="s">
        <v>3159</v>
      </c>
      <c r="U10" s="1993" t="s">
        <v>3160</v>
      </c>
      <c r="V10" s="1992" t="s">
        <v>3159</v>
      </c>
      <c r="W10" s="1993" t="s">
        <v>3160</v>
      </c>
      <c r="X10" s="1992" t="s">
        <v>3159</v>
      </c>
      <c r="Y10" s="1993" t="s">
        <v>3160</v>
      </c>
      <c r="Z10" s="1992" t="s">
        <v>3159</v>
      </c>
      <c r="AA10" s="1993" t="s">
        <v>3160</v>
      </c>
      <c r="AB10" s="1992" t="s">
        <v>3159</v>
      </c>
      <c r="AC10" s="1993" t="s">
        <v>3160</v>
      </c>
      <c r="AD10" s="1992" t="s">
        <v>3159</v>
      </c>
      <c r="AE10" s="1993" t="s">
        <v>3160</v>
      </c>
      <c r="AF10" s="1992" t="s">
        <v>3159</v>
      </c>
      <c r="AG10" s="1993" t="s">
        <v>3160</v>
      </c>
      <c r="AH10" s="1992" t="s">
        <v>3159</v>
      </c>
      <c r="AI10" s="1993" t="s">
        <v>3160</v>
      </c>
      <c r="AJ10" s="1992" t="s">
        <v>3159</v>
      </c>
      <c r="AK10" s="1993" t="s">
        <v>3160</v>
      </c>
      <c r="AL10" s="1992" t="s">
        <v>3159</v>
      </c>
      <c r="AM10" s="1993" t="s">
        <v>3160</v>
      </c>
      <c r="AN10" s="1992" t="s">
        <v>3159</v>
      </c>
      <c r="AO10" s="1993" t="s">
        <v>3160</v>
      </c>
      <c r="AP10" s="1992" t="s">
        <v>3159</v>
      </c>
      <c r="AQ10" s="1993" t="s">
        <v>3160</v>
      </c>
      <c r="AR10" s="1992" t="s">
        <v>3159</v>
      </c>
      <c r="AS10" s="1993" t="s">
        <v>3160</v>
      </c>
      <c r="AT10" s="1992" t="s">
        <v>3159</v>
      </c>
      <c r="AU10" s="1993" t="s">
        <v>3160</v>
      </c>
      <c r="AV10" s="1992" t="s">
        <v>3159</v>
      </c>
      <c r="AW10" s="1993" t="s">
        <v>3160</v>
      </c>
      <c r="AX10" s="1992" t="s">
        <v>3159</v>
      </c>
      <c r="AY10" s="1993" t="s">
        <v>3160</v>
      </c>
      <c r="AZ10" s="1992" t="s">
        <v>3159</v>
      </c>
      <c r="BA10" s="1993" t="s">
        <v>3160</v>
      </c>
      <c r="BB10" s="1992" t="s">
        <v>3159</v>
      </c>
      <c r="BC10" s="1993" t="s">
        <v>3160</v>
      </c>
      <c r="BD10" s="1992" t="s">
        <v>3159</v>
      </c>
      <c r="BE10" s="1993" t="s">
        <v>3160</v>
      </c>
      <c r="BF10" s="1992" t="s">
        <v>3159</v>
      </c>
      <c r="BG10" s="1993" t="s">
        <v>3160</v>
      </c>
      <c r="BH10" s="1992" t="s">
        <v>3159</v>
      </c>
      <c r="BI10" s="1993" t="s">
        <v>3160</v>
      </c>
      <c r="BJ10" s="1992" t="s">
        <v>3159</v>
      </c>
      <c r="BK10" s="1993" t="s">
        <v>3160</v>
      </c>
      <c r="BL10" s="1992" t="s">
        <v>3159</v>
      </c>
      <c r="BM10" s="1993" t="s">
        <v>3160</v>
      </c>
      <c r="BN10" s="1992" t="s">
        <v>3159</v>
      </c>
      <c r="BO10" s="1993" t="s">
        <v>3160</v>
      </c>
      <c r="BP10" s="1992" t="s">
        <v>3159</v>
      </c>
      <c r="BQ10" s="1993" t="s">
        <v>3160</v>
      </c>
      <c r="BR10" s="1992" t="s">
        <v>3159</v>
      </c>
      <c r="BS10" s="1993" t="s">
        <v>3160</v>
      </c>
      <c r="BT10" s="1992" t="s">
        <v>3159</v>
      </c>
      <c r="BU10" s="1993" t="s">
        <v>3160</v>
      </c>
      <c r="BV10" s="1992" t="s">
        <v>3159</v>
      </c>
      <c r="BW10" s="1993" t="s">
        <v>3160</v>
      </c>
      <c r="BX10" s="1992" t="s">
        <v>3159</v>
      </c>
      <c r="BY10" s="1993" t="s">
        <v>3160</v>
      </c>
      <c r="BZ10" s="1992" t="s">
        <v>3159</v>
      </c>
      <c r="CA10" s="1993" t="s">
        <v>3160</v>
      </c>
      <c r="CB10" s="1992" t="s">
        <v>3159</v>
      </c>
      <c r="CC10" s="1993" t="s">
        <v>3160</v>
      </c>
      <c r="CD10" s="1992" t="s">
        <v>3159</v>
      </c>
      <c r="CE10" s="1993" t="s">
        <v>3160</v>
      </c>
      <c r="CF10" s="1992" t="s">
        <v>3159</v>
      </c>
      <c r="CG10" s="1993" t="s">
        <v>3160</v>
      </c>
      <c r="CH10" s="1992" t="s">
        <v>3159</v>
      </c>
      <c r="CI10" s="1993" t="s">
        <v>3160</v>
      </c>
      <c r="CJ10" s="1992" t="s">
        <v>3159</v>
      </c>
      <c r="CK10" s="1993" t="s">
        <v>3160</v>
      </c>
      <c r="CL10" s="1992" t="s">
        <v>3159</v>
      </c>
      <c r="CM10" s="1993" t="s">
        <v>3160</v>
      </c>
      <c r="CN10" s="1992" t="s">
        <v>3159</v>
      </c>
      <c r="CO10" s="1993" t="s">
        <v>3160</v>
      </c>
      <c r="CP10" s="1992" t="s">
        <v>3159</v>
      </c>
      <c r="CQ10" s="1993" t="s">
        <v>3160</v>
      </c>
      <c r="CR10" s="1992" t="s">
        <v>3159</v>
      </c>
      <c r="CS10" s="1993" t="s">
        <v>3160</v>
      </c>
      <c r="CT10" s="1992" t="s">
        <v>3159</v>
      </c>
      <c r="CU10" s="1993" t="s">
        <v>3160</v>
      </c>
      <c r="CV10" s="1992" t="s">
        <v>3159</v>
      </c>
      <c r="CW10" s="1993" t="s">
        <v>3160</v>
      </c>
      <c r="CX10" s="1992" t="s">
        <v>3159</v>
      </c>
      <c r="CY10" s="1993" t="s">
        <v>3160</v>
      </c>
      <c r="CZ10" s="1992" t="s">
        <v>3159</v>
      </c>
      <c r="DA10" s="1993" t="s">
        <v>3160</v>
      </c>
      <c r="DB10" s="1992" t="s">
        <v>3159</v>
      </c>
      <c r="DC10" s="1993" t="s">
        <v>3160</v>
      </c>
      <c r="DD10" s="1992" t="s">
        <v>3159</v>
      </c>
      <c r="DE10" s="1993" t="s">
        <v>3160</v>
      </c>
      <c r="DF10" s="1992" t="s">
        <v>3159</v>
      </c>
      <c r="DG10" s="1993" t="s">
        <v>3160</v>
      </c>
      <c r="DH10" s="1992" t="s">
        <v>3159</v>
      </c>
      <c r="DI10" s="1993" t="s">
        <v>3160</v>
      </c>
      <c r="DJ10" s="1992" t="s">
        <v>3159</v>
      </c>
      <c r="DK10" s="1993" t="s">
        <v>3160</v>
      </c>
      <c r="DL10" s="1992" t="s">
        <v>3159</v>
      </c>
      <c r="DM10" s="1993" t="s">
        <v>3160</v>
      </c>
      <c r="DN10" s="1992" t="s">
        <v>3159</v>
      </c>
      <c r="DO10" s="1993" t="s">
        <v>3160</v>
      </c>
      <c r="DP10" s="1992" t="s">
        <v>3159</v>
      </c>
      <c r="DQ10" s="1993" t="s">
        <v>3160</v>
      </c>
      <c r="DR10" s="1992" t="s">
        <v>3159</v>
      </c>
      <c r="DS10" s="1993" t="s">
        <v>3160</v>
      </c>
      <c r="DT10" s="1992" t="s">
        <v>3159</v>
      </c>
      <c r="DU10" s="1993" t="s">
        <v>3160</v>
      </c>
      <c r="DV10" s="1992" t="s">
        <v>3159</v>
      </c>
      <c r="DW10" s="1993" t="s">
        <v>3160</v>
      </c>
      <c r="DX10" s="1992" t="s">
        <v>3159</v>
      </c>
      <c r="DY10" s="1993" t="s">
        <v>3160</v>
      </c>
      <c r="DZ10" s="1992" t="s">
        <v>3159</v>
      </c>
      <c r="EA10" s="1993" t="s">
        <v>3160</v>
      </c>
      <c r="EB10" s="1992" t="s">
        <v>3159</v>
      </c>
      <c r="EC10" s="1993" t="s">
        <v>3160</v>
      </c>
      <c r="ED10" s="1992" t="s">
        <v>3159</v>
      </c>
      <c r="EE10" s="1993" t="s">
        <v>3160</v>
      </c>
      <c r="EF10" s="1993" t="s">
        <v>3159</v>
      </c>
      <c r="EG10" s="1993" t="s">
        <v>3160</v>
      </c>
      <c r="EH10" s="1992" t="s">
        <v>3159</v>
      </c>
      <c r="EI10" s="1993" t="s">
        <v>3160</v>
      </c>
      <c r="EJ10" s="1992" t="s">
        <v>3159</v>
      </c>
      <c r="EK10" s="1993" t="s">
        <v>3160</v>
      </c>
      <c r="EL10" s="1992" t="s">
        <v>3159</v>
      </c>
      <c r="EM10" s="1993" t="s">
        <v>3160</v>
      </c>
      <c r="EN10" s="1992" t="s">
        <v>3159</v>
      </c>
      <c r="EO10" s="1993" t="s">
        <v>3160</v>
      </c>
      <c r="EP10" s="1992" t="s">
        <v>3159</v>
      </c>
      <c r="EQ10" s="1993" t="s">
        <v>3160</v>
      </c>
      <c r="ER10" s="1992" t="s">
        <v>3159</v>
      </c>
      <c r="ES10" s="1993" t="s">
        <v>3160</v>
      </c>
      <c r="ET10" s="1992" t="s">
        <v>3159</v>
      </c>
      <c r="EU10" s="1993" t="s">
        <v>3160</v>
      </c>
      <c r="EV10" s="1992" t="s">
        <v>3159</v>
      </c>
      <c r="EW10" s="1993" t="s">
        <v>3160</v>
      </c>
      <c r="EX10" s="1992" t="s">
        <v>3159</v>
      </c>
      <c r="EY10" s="1993" t="s">
        <v>3160</v>
      </c>
      <c r="EZ10" s="1992" t="s">
        <v>3159</v>
      </c>
      <c r="FA10" s="1993" t="s">
        <v>3160</v>
      </c>
      <c r="FB10" s="1992" t="s">
        <v>3159</v>
      </c>
      <c r="FC10" s="1993" t="s">
        <v>3160</v>
      </c>
      <c r="FD10" s="1992" t="s">
        <v>3159</v>
      </c>
      <c r="FE10" s="1993" t="s">
        <v>3160</v>
      </c>
      <c r="FF10" s="1992" t="s">
        <v>3159</v>
      </c>
      <c r="FG10" s="1993" t="s">
        <v>3160</v>
      </c>
      <c r="FH10" s="1992" t="s">
        <v>3159</v>
      </c>
      <c r="FI10" s="1993" t="s">
        <v>3160</v>
      </c>
      <c r="FJ10" s="1992" t="s">
        <v>3159</v>
      </c>
      <c r="FK10" s="1993" t="s">
        <v>3160</v>
      </c>
      <c r="FL10" s="1992" t="s">
        <v>3159</v>
      </c>
      <c r="FM10" s="1993" t="s">
        <v>3160</v>
      </c>
      <c r="FN10" s="1992" t="s">
        <v>3159</v>
      </c>
      <c r="FO10" s="1993" t="s">
        <v>3160</v>
      </c>
      <c r="FP10" s="1992" t="s">
        <v>3159</v>
      </c>
      <c r="FQ10" s="1993" t="s">
        <v>3160</v>
      </c>
      <c r="FR10" s="1992" t="s">
        <v>3159</v>
      </c>
      <c r="FS10" s="1993" t="s">
        <v>3160</v>
      </c>
      <c r="FT10" s="1992" t="s">
        <v>3159</v>
      </c>
      <c r="FU10" s="1993" t="s">
        <v>3160</v>
      </c>
      <c r="FV10" s="1992" t="s">
        <v>3159</v>
      </c>
      <c r="FW10" s="1993" t="s">
        <v>3160</v>
      </c>
      <c r="FX10" s="1992" t="s">
        <v>3159</v>
      </c>
      <c r="FY10" s="1993" t="s">
        <v>3160</v>
      </c>
      <c r="FZ10" s="1992" t="s">
        <v>3159</v>
      </c>
      <c r="GA10" s="1993" t="s">
        <v>3160</v>
      </c>
      <c r="GB10" s="1992" t="s">
        <v>3159</v>
      </c>
      <c r="GC10" s="1993" t="s">
        <v>3160</v>
      </c>
      <c r="GD10" s="1992" t="s">
        <v>3159</v>
      </c>
      <c r="GE10" s="1993" t="s">
        <v>3160</v>
      </c>
      <c r="GF10" s="1992" t="s">
        <v>3159</v>
      </c>
      <c r="GG10" s="1993" t="s">
        <v>3160</v>
      </c>
      <c r="GH10" s="1992" t="s">
        <v>3159</v>
      </c>
      <c r="GI10" s="1993" t="s">
        <v>3160</v>
      </c>
      <c r="GJ10" s="1992" t="s">
        <v>3159</v>
      </c>
      <c r="GK10" s="1993" t="s">
        <v>3160</v>
      </c>
      <c r="GL10" s="1992" t="s">
        <v>3159</v>
      </c>
      <c r="GM10" s="1993" t="s">
        <v>3160</v>
      </c>
      <c r="GN10" s="1992" t="s">
        <v>3159</v>
      </c>
      <c r="GO10" s="1993" t="s">
        <v>3160</v>
      </c>
      <c r="GP10" s="1992" t="s">
        <v>3159</v>
      </c>
      <c r="GQ10" s="1993" t="s">
        <v>3160</v>
      </c>
      <c r="GR10" s="1992" t="s">
        <v>3159</v>
      </c>
      <c r="GS10" s="1993" t="s">
        <v>3160</v>
      </c>
      <c r="GT10" s="1992" t="s">
        <v>3159</v>
      </c>
      <c r="GU10" s="1993" t="s">
        <v>3160</v>
      </c>
      <c r="GV10" s="2968"/>
    </row>
    <row r="11" spans="1:274" s="1991" customFormat="1" ht="22.5" customHeight="1">
      <c r="A11" s="1994" t="s">
        <v>2325</v>
      </c>
      <c r="B11" s="1995">
        <f t="shared" ref="B11:BM11" si="0">B13+B18</f>
        <v>59108.279780000012</v>
      </c>
      <c r="C11" s="1995">
        <f t="shared" si="0"/>
        <v>22825.83741</v>
      </c>
      <c r="D11" s="1995">
        <f t="shared" si="0"/>
        <v>81436.483720438002</v>
      </c>
      <c r="E11" s="1995">
        <f t="shared" si="0"/>
        <v>35909.666469999996</v>
      </c>
      <c r="F11" s="1995">
        <f t="shared" si="0"/>
        <v>111913.34434000001</v>
      </c>
      <c r="G11" s="1995">
        <f t="shared" si="0"/>
        <v>47343.730989999996</v>
      </c>
      <c r="H11" s="1995">
        <f t="shared" si="0"/>
        <v>140766.13191</v>
      </c>
      <c r="I11" s="1995">
        <f t="shared" si="0"/>
        <v>57751.798999999999</v>
      </c>
      <c r="J11" s="1995">
        <f t="shared" si="0"/>
        <v>172647.03302999999</v>
      </c>
      <c r="K11" s="1995">
        <f t="shared" si="0"/>
        <v>75934.496589999995</v>
      </c>
      <c r="L11" s="1995">
        <f t="shared" si="0"/>
        <v>193802.48547999898</v>
      </c>
      <c r="M11" s="1995">
        <f t="shared" si="0"/>
        <v>98573.162280000004</v>
      </c>
      <c r="N11" s="1995">
        <f t="shared" si="0"/>
        <v>223457.58611999999</v>
      </c>
      <c r="O11" s="1995">
        <f t="shared" si="0"/>
        <v>113319.80238000001</v>
      </c>
      <c r="P11" s="1995">
        <f t="shared" si="0"/>
        <v>252978.3707</v>
      </c>
      <c r="Q11" s="1995">
        <f t="shared" si="0"/>
        <v>130746.44103</v>
      </c>
      <c r="R11" s="1995">
        <f t="shared" si="0"/>
        <v>281647.78428000002</v>
      </c>
      <c r="S11" s="1995">
        <f t="shared" si="0"/>
        <v>147725.55063000001</v>
      </c>
      <c r="T11" s="1995">
        <f t="shared" si="0"/>
        <v>307301.93542999995</v>
      </c>
      <c r="U11" s="1995">
        <f t="shared" si="0"/>
        <v>158899.80316000001</v>
      </c>
      <c r="V11" s="1995">
        <f t="shared" si="0"/>
        <v>335764.63698000001</v>
      </c>
      <c r="W11" s="1995">
        <f t="shared" si="0"/>
        <v>179718.84656000001</v>
      </c>
      <c r="X11" s="1995">
        <f t="shared" si="0"/>
        <v>375231.47305000003</v>
      </c>
      <c r="Y11" s="1995">
        <f t="shared" si="0"/>
        <v>199424.8922</v>
      </c>
      <c r="Z11" s="1995">
        <f t="shared" si="0"/>
        <v>71858.84438000001</v>
      </c>
      <c r="AA11" s="1995">
        <f t="shared" si="0"/>
        <v>17992.852439000002</v>
      </c>
      <c r="AB11" s="1995">
        <f t="shared" si="0"/>
        <v>106779.38829</v>
      </c>
      <c r="AC11" s="1995">
        <f t="shared" si="0"/>
        <v>29637.924689999996</v>
      </c>
      <c r="AD11" s="1995">
        <f t="shared" si="0"/>
        <v>157059.21796000001</v>
      </c>
      <c r="AE11" s="1995">
        <f t="shared" si="0"/>
        <v>44436.488689999998</v>
      </c>
      <c r="AF11" s="1995">
        <f t="shared" si="0"/>
        <v>220860.59321999998</v>
      </c>
      <c r="AG11" s="1995">
        <f t="shared" si="0"/>
        <v>56936.578020000001</v>
      </c>
      <c r="AH11" s="1995">
        <f t="shared" si="0"/>
        <v>255408.53672999999</v>
      </c>
      <c r="AI11" s="1995">
        <f t="shared" si="0"/>
        <v>69784.150410000002</v>
      </c>
      <c r="AJ11" s="1995">
        <f t="shared" si="0"/>
        <v>286838.38493000006</v>
      </c>
      <c r="AK11" s="1995">
        <f t="shared" si="0"/>
        <v>87105.885379999992</v>
      </c>
      <c r="AL11" s="1995">
        <f t="shared" si="0"/>
        <v>334477.69801000005</v>
      </c>
      <c r="AM11" s="1995">
        <f t="shared" si="0"/>
        <v>107509.6238</v>
      </c>
      <c r="AN11" s="1995">
        <f t="shared" si="0"/>
        <v>374662.73365000007</v>
      </c>
      <c r="AO11" s="1995">
        <f t="shared" si="0"/>
        <v>124639.48737000002</v>
      </c>
      <c r="AP11" s="1995">
        <f t="shared" si="0"/>
        <v>414944.60618999996</v>
      </c>
      <c r="AQ11" s="1995">
        <f t="shared" si="0"/>
        <v>137320.01965999999</v>
      </c>
      <c r="AR11" s="1995">
        <f t="shared" si="0"/>
        <v>450761.31994000002</v>
      </c>
      <c r="AS11" s="1995">
        <f t="shared" si="0"/>
        <v>149741.78434000001</v>
      </c>
      <c r="AT11" s="1995">
        <f t="shared" si="0"/>
        <v>485320.29032000003</v>
      </c>
      <c r="AU11" s="1995">
        <f t="shared" si="0"/>
        <v>162417.86358999999</v>
      </c>
      <c r="AV11" s="1995">
        <f t="shared" si="0"/>
        <v>536146.87455000007</v>
      </c>
      <c r="AW11" s="1995">
        <f t="shared" si="0"/>
        <v>172564.83457000001</v>
      </c>
      <c r="AX11" s="1995">
        <f t="shared" si="0"/>
        <v>72588.431540000005</v>
      </c>
      <c r="AY11" s="1995">
        <f t="shared" si="0"/>
        <v>10793.73616</v>
      </c>
      <c r="AZ11" s="1995">
        <f t="shared" si="0"/>
        <v>103950.46861000001</v>
      </c>
      <c r="BA11" s="1995">
        <f t="shared" si="0"/>
        <v>21337.961309999999</v>
      </c>
      <c r="BB11" s="1995">
        <f t="shared" si="0"/>
        <v>129931.37953999999</v>
      </c>
      <c r="BC11" s="1995">
        <f t="shared" si="0"/>
        <v>29912.106050000002</v>
      </c>
      <c r="BD11" s="1995">
        <f t="shared" si="0"/>
        <v>176202.44117000001</v>
      </c>
      <c r="BE11" s="1995">
        <f t="shared" si="0"/>
        <v>43346.339839999993</v>
      </c>
      <c r="BF11" s="1995">
        <f t="shared" si="0"/>
        <v>212707.16513000001</v>
      </c>
      <c r="BG11" s="1995">
        <f t="shared" si="0"/>
        <v>64023.06897</v>
      </c>
      <c r="BH11" s="1995">
        <f t="shared" si="0"/>
        <v>241792.75234999997</v>
      </c>
      <c r="BI11" s="1995">
        <f t="shared" si="0"/>
        <v>83268.621169999999</v>
      </c>
      <c r="BJ11" s="1995">
        <f t="shared" si="0"/>
        <v>285603.54849000007</v>
      </c>
      <c r="BK11" s="1995">
        <f t="shared" si="0"/>
        <v>109987.84782</v>
      </c>
      <c r="BL11" s="1995">
        <f t="shared" si="0"/>
        <v>315589.47619000002</v>
      </c>
      <c r="BM11" s="1995">
        <f t="shared" si="0"/>
        <v>124122.9552</v>
      </c>
      <c r="BN11" s="1995">
        <f t="shared" ref="BN11:DY11" si="1">BN13+BN18</f>
        <v>351722.18362999998</v>
      </c>
      <c r="BO11" s="1995">
        <f t="shared" si="1"/>
        <v>143441.67624</v>
      </c>
      <c r="BP11" s="1995">
        <f t="shared" si="1"/>
        <v>387027.81017000001</v>
      </c>
      <c r="BQ11" s="1995">
        <f t="shared" si="1"/>
        <v>159657.07675000001</v>
      </c>
      <c r="BR11" s="1995">
        <f t="shared" si="1"/>
        <v>417814.97445999994</v>
      </c>
      <c r="BS11" s="1995">
        <f t="shared" si="1"/>
        <v>179540.27496000001</v>
      </c>
      <c r="BT11" s="1995">
        <f t="shared" si="1"/>
        <v>456604.20232000004</v>
      </c>
      <c r="BU11" s="1995">
        <f t="shared" si="1"/>
        <v>220910.05273999998</v>
      </c>
      <c r="BV11" s="1995">
        <f t="shared" si="1"/>
        <v>91230.754159999997</v>
      </c>
      <c r="BW11" s="1995">
        <f t="shared" si="1"/>
        <v>19242.320180000002</v>
      </c>
      <c r="BX11" s="1995">
        <f t="shared" si="1"/>
        <v>123466.37974</v>
      </c>
      <c r="BY11" s="1995">
        <f t="shared" si="1"/>
        <v>34198.379480000003</v>
      </c>
      <c r="BZ11" s="1995">
        <f t="shared" si="1"/>
        <v>160517.82574999999</v>
      </c>
      <c r="CA11" s="1995">
        <f t="shared" si="1"/>
        <v>57484.857620000002</v>
      </c>
      <c r="CB11" s="1995">
        <f t="shared" si="1"/>
        <v>209807.27048000001</v>
      </c>
      <c r="CC11" s="1995">
        <f t="shared" si="1"/>
        <v>80282.155119999996</v>
      </c>
      <c r="CD11" s="1995">
        <f t="shared" si="1"/>
        <v>242993.74248999998</v>
      </c>
      <c r="CE11" s="1995">
        <f t="shared" si="1"/>
        <v>110923.35782</v>
      </c>
      <c r="CF11" s="1995">
        <f t="shared" si="1"/>
        <v>274154.15925999999</v>
      </c>
      <c r="CG11" s="1995">
        <f t="shared" si="1"/>
        <v>154018.59525000001</v>
      </c>
      <c r="CH11" s="1995">
        <f t="shared" si="1"/>
        <v>325474.40952999995</v>
      </c>
      <c r="CI11" s="1995">
        <f t="shared" si="1"/>
        <v>188000.64062999998</v>
      </c>
      <c r="CJ11" s="1995">
        <f t="shared" si="1"/>
        <v>365855.32296000002</v>
      </c>
      <c r="CK11" s="1995">
        <f t="shared" si="1"/>
        <v>219085.65304999999</v>
      </c>
      <c r="CL11" s="1995">
        <f t="shared" si="1"/>
        <v>401679.25686999998</v>
      </c>
      <c r="CM11" s="1995">
        <f t="shared" si="1"/>
        <v>257299.08840000001</v>
      </c>
      <c r="CN11" s="1995">
        <f t="shared" si="1"/>
        <v>435222.30601000006</v>
      </c>
      <c r="CO11" s="1995">
        <f t="shared" si="1"/>
        <v>293939.20003000001</v>
      </c>
      <c r="CP11" s="1995">
        <f t="shared" si="1"/>
        <v>461646.02765</v>
      </c>
      <c r="CQ11" s="1995">
        <f t="shared" si="1"/>
        <v>328069.42420999997</v>
      </c>
      <c r="CR11" s="1995">
        <f t="shared" si="1"/>
        <v>502768.70271000004</v>
      </c>
      <c r="CS11" s="1995">
        <f t="shared" si="1"/>
        <v>378741.23450000002</v>
      </c>
      <c r="CT11" s="1995">
        <f t="shared" si="1"/>
        <v>84178.325880000004</v>
      </c>
      <c r="CU11" s="1995">
        <f t="shared" si="1"/>
        <v>37187.69829</v>
      </c>
      <c r="CV11" s="1995">
        <f t="shared" si="1"/>
        <v>117747.58765</v>
      </c>
      <c r="CW11" s="1995">
        <f t="shared" si="1"/>
        <v>67109.673500000004</v>
      </c>
      <c r="CX11" s="1995">
        <f t="shared" si="1"/>
        <v>155647.98918</v>
      </c>
      <c r="CY11" s="1995">
        <f t="shared" si="1"/>
        <v>104330.01140000002</v>
      </c>
      <c r="CZ11" s="1995">
        <f t="shared" si="1"/>
        <v>222416.18964000003</v>
      </c>
      <c r="DA11" s="1995">
        <f t="shared" si="1"/>
        <v>129372.58914</v>
      </c>
      <c r="DB11" s="1995">
        <f t="shared" si="1"/>
        <v>264787.44631000003</v>
      </c>
      <c r="DC11" s="1995">
        <f t="shared" si="1"/>
        <v>151540.48887999999</v>
      </c>
      <c r="DD11" s="1995">
        <f t="shared" si="1"/>
        <v>304513.32678999996</v>
      </c>
      <c r="DE11" s="1995">
        <f t="shared" si="1"/>
        <v>183663.41975</v>
      </c>
      <c r="DF11" s="1995">
        <f t="shared" si="1"/>
        <v>364792.14871999994</v>
      </c>
      <c r="DG11" s="1995">
        <f t="shared" si="1"/>
        <v>228183.79194000002</v>
      </c>
      <c r="DH11" s="1995">
        <f t="shared" si="1"/>
        <v>398829.93345999997</v>
      </c>
      <c r="DI11" s="1995">
        <f t="shared" si="1"/>
        <v>257744.44704</v>
      </c>
      <c r="DJ11" s="1995">
        <f t="shared" si="1"/>
        <v>443835.39465000003</v>
      </c>
      <c r="DK11" s="1995">
        <f t="shared" si="1"/>
        <v>280839.54478300002</v>
      </c>
      <c r="DL11" s="1995">
        <f t="shared" si="1"/>
        <v>482652.29535999999</v>
      </c>
      <c r="DM11" s="1995">
        <f t="shared" si="1"/>
        <v>299848.42320000002</v>
      </c>
      <c r="DN11" s="1995">
        <f t="shared" si="1"/>
        <v>528794.12450999999</v>
      </c>
      <c r="DO11" s="1995">
        <f t="shared" si="1"/>
        <v>319738.47968300001</v>
      </c>
      <c r="DP11" s="1995">
        <f t="shared" si="1"/>
        <v>586594.62865999993</v>
      </c>
      <c r="DQ11" s="1996">
        <f t="shared" si="1"/>
        <v>339265.52567999996</v>
      </c>
      <c r="DR11" s="1997">
        <f t="shared" si="1"/>
        <v>99281.556080000009</v>
      </c>
      <c r="DS11" s="1998">
        <f t="shared" si="1"/>
        <v>9444.8248000000003</v>
      </c>
      <c r="DT11" s="1999">
        <f t="shared" si="1"/>
        <v>143136.26617099997</v>
      </c>
      <c r="DU11" s="1996">
        <f t="shared" si="1"/>
        <v>24463.269250000001</v>
      </c>
      <c r="DV11" s="2000">
        <f t="shared" si="1"/>
        <v>193989.10613999999</v>
      </c>
      <c r="DW11" s="2001">
        <f t="shared" si="1"/>
        <v>38898.655809999997</v>
      </c>
      <c r="DX11" s="1999">
        <f t="shared" si="1"/>
        <v>267745.00729999994</v>
      </c>
      <c r="DY11" s="1996">
        <f t="shared" si="1"/>
        <v>62350.635609999998</v>
      </c>
      <c r="DZ11" s="2000">
        <f t="shared" ref="DZ11:GK11" si="2">DZ13+DZ18</f>
        <v>318065.35183000006</v>
      </c>
      <c r="EA11" s="2001">
        <f t="shared" si="2"/>
        <v>90598.459000000003</v>
      </c>
      <c r="EB11" s="1999">
        <f t="shared" si="2"/>
        <v>366698.12631000008</v>
      </c>
      <c r="EC11" s="1996">
        <f t="shared" si="2"/>
        <v>130249.03214</v>
      </c>
      <c r="ED11" s="2000">
        <f t="shared" si="2"/>
        <v>438710.31428000005</v>
      </c>
      <c r="EE11" s="2001">
        <f t="shared" si="2"/>
        <v>186782.81148000003</v>
      </c>
      <c r="EF11" s="2002">
        <f t="shared" si="2"/>
        <v>493685.8701</v>
      </c>
      <c r="EG11" s="2001">
        <f t="shared" si="2"/>
        <v>220316.80287000001</v>
      </c>
      <c r="EH11" s="2000">
        <f t="shared" si="2"/>
        <v>553565.34953000001</v>
      </c>
      <c r="EI11" s="2003">
        <f t="shared" si="2"/>
        <v>246766.73180000001</v>
      </c>
      <c r="EJ11" s="2002">
        <f t="shared" si="2"/>
        <v>601852.72037</v>
      </c>
      <c r="EK11" s="2001">
        <f t="shared" si="2"/>
        <v>279218.96015000006</v>
      </c>
      <c r="EL11" s="2000">
        <f t="shared" si="2"/>
        <v>657638.55290999997</v>
      </c>
      <c r="EM11" s="2003">
        <f t="shared" si="2"/>
        <v>313746.87060999998</v>
      </c>
      <c r="EN11" s="2000">
        <f t="shared" si="2"/>
        <v>728071.01115999999</v>
      </c>
      <c r="EO11" s="2003">
        <f t="shared" si="2"/>
        <v>337633.16804000002</v>
      </c>
      <c r="EP11" s="2000">
        <f t="shared" si="2"/>
        <v>113490.66243000001</v>
      </c>
      <c r="EQ11" s="2003">
        <f t="shared" si="2"/>
        <v>26870.20695</v>
      </c>
      <c r="ER11" s="2000">
        <f t="shared" si="2"/>
        <v>171427.38548</v>
      </c>
      <c r="ES11" s="2003">
        <f t="shared" si="2"/>
        <v>52591.037230000002</v>
      </c>
      <c r="ET11" s="2000">
        <f t="shared" si="2"/>
        <v>255355.92375000002</v>
      </c>
      <c r="EU11" s="2003">
        <f t="shared" si="2"/>
        <v>78217.819310000006</v>
      </c>
      <c r="EV11" s="2000">
        <f t="shared" si="2"/>
        <v>341853.86812</v>
      </c>
      <c r="EW11" s="2003">
        <f t="shared" si="2"/>
        <v>102501.93807999999</v>
      </c>
      <c r="EX11" s="2000">
        <f t="shared" si="2"/>
        <v>410666.32101000001</v>
      </c>
      <c r="EY11" s="2003">
        <f t="shared" si="2"/>
        <v>133340.32786999998</v>
      </c>
      <c r="EZ11" s="2000">
        <f t="shared" si="2"/>
        <v>470656.02851999999</v>
      </c>
      <c r="FA11" s="2003">
        <f t="shared" si="2"/>
        <v>174824.24132999999</v>
      </c>
      <c r="FB11" s="2000">
        <f t="shared" si="2"/>
        <v>559287.32224999997</v>
      </c>
      <c r="FC11" s="2003">
        <f t="shared" si="2"/>
        <v>221326.00675000003</v>
      </c>
      <c r="FD11" s="2000">
        <f t="shared" si="2"/>
        <v>618920.68718999997</v>
      </c>
      <c r="FE11" s="2003">
        <f t="shared" si="2"/>
        <v>274138.60837999999</v>
      </c>
      <c r="FF11" s="2000">
        <f t="shared" si="2"/>
        <v>686071.20922000008</v>
      </c>
      <c r="FG11" s="2003">
        <f t="shared" si="2"/>
        <v>320151.46427999996</v>
      </c>
      <c r="FH11" s="2000">
        <f t="shared" si="2"/>
        <v>748890.64110000001</v>
      </c>
      <c r="FI11" s="2003">
        <f t="shared" si="2"/>
        <v>364539.6716</v>
      </c>
      <c r="FJ11" s="2000">
        <f t="shared" si="2"/>
        <v>812598.88630999997</v>
      </c>
      <c r="FK11" s="2003">
        <f t="shared" si="2"/>
        <v>398352.01985999994</v>
      </c>
      <c r="FL11" s="2000">
        <f t="shared" si="2"/>
        <v>888104.33716999996</v>
      </c>
      <c r="FM11" s="2003">
        <f t="shared" si="2"/>
        <v>479252.54622000002</v>
      </c>
      <c r="FN11" s="2000">
        <f t="shared" si="2"/>
        <v>118306.60537</v>
      </c>
      <c r="FO11" s="2003">
        <f t="shared" si="2"/>
        <v>30547.419670000003</v>
      </c>
      <c r="FP11" s="2000">
        <f t="shared" si="2"/>
        <v>191047.25730999996</v>
      </c>
      <c r="FQ11" s="2003">
        <f t="shared" si="2"/>
        <v>79822.840609999999</v>
      </c>
      <c r="FR11" s="2000">
        <f t="shared" si="2"/>
        <v>278311.7501</v>
      </c>
      <c r="FS11" s="2003">
        <f t="shared" si="2"/>
        <v>124135.70495999999</v>
      </c>
      <c r="FT11" s="2000">
        <f t="shared" si="2"/>
        <v>410401.06472999998</v>
      </c>
      <c r="FU11" s="2003">
        <f t="shared" si="2"/>
        <v>167184.33017999999</v>
      </c>
      <c r="FV11" s="2000">
        <f t="shared" si="2"/>
        <v>481888.14881000004</v>
      </c>
      <c r="FW11" s="2003">
        <f t="shared" si="2"/>
        <v>220264.61818999998</v>
      </c>
      <c r="FX11" s="2000">
        <f t="shared" si="2"/>
        <v>541063.86011999997</v>
      </c>
      <c r="FY11" s="2003">
        <f t="shared" si="2"/>
        <v>294750.76533000002</v>
      </c>
      <c r="FZ11" s="2000">
        <f t="shared" si="2"/>
        <v>623724.83027999999</v>
      </c>
      <c r="GA11" s="2003">
        <f t="shared" si="2"/>
        <v>366807.18531000003</v>
      </c>
      <c r="GB11" s="2000">
        <f t="shared" si="2"/>
        <v>692837.42812000006</v>
      </c>
      <c r="GC11" s="2003">
        <f t="shared" si="2"/>
        <v>414388.49855000002</v>
      </c>
      <c r="GD11" s="2000">
        <f t="shared" si="2"/>
        <v>765428.60534000001</v>
      </c>
      <c r="GE11" s="2003">
        <f t="shared" si="2"/>
        <v>454801.31605000002</v>
      </c>
      <c r="GF11" s="2000">
        <f t="shared" si="2"/>
        <v>829101.73564999993</v>
      </c>
      <c r="GG11" s="2003">
        <f t="shared" si="2"/>
        <v>510255.71868999995</v>
      </c>
      <c r="GH11" s="2000">
        <f t="shared" si="2"/>
        <v>912557.65986999986</v>
      </c>
      <c r="GI11" s="2003">
        <f t="shared" si="2"/>
        <v>568092.46887999994</v>
      </c>
      <c r="GJ11" s="2000">
        <f t="shared" si="2"/>
        <v>1011329.7610800001</v>
      </c>
      <c r="GK11" s="2003">
        <f t="shared" si="2"/>
        <v>613016.36939999997</v>
      </c>
      <c r="GL11" s="2000">
        <f t="shared" ref="GL11:GU11" si="3">GL13+GL18</f>
        <v>140601.05796000001</v>
      </c>
      <c r="GM11" s="2003">
        <f t="shared" si="3"/>
        <v>37519.304199999999</v>
      </c>
      <c r="GN11" s="2000">
        <f t="shared" si="3"/>
        <v>220090.17443000001</v>
      </c>
      <c r="GO11" s="2003">
        <f t="shared" si="3"/>
        <v>87366.37698999999</v>
      </c>
      <c r="GP11" s="2000">
        <f t="shared" si="3"/>
        <v>307945.36141000001</v>
      </c>
      <c r="GQ11" s="2003">
        <f t="shared" si="3"/>
        <v>134101.757231767</v>
      </c>
      <c r="GR11" s="2000">
        <f t="shared" si="3"/>
        <v>451855.58370999998</v>
      </c>
      <c r="GS11" s="2003">
        <f t="shared" si="3"/>
        <v>187055.75312000001</v>
      </c>
      <c r="GT11" s="2000">
        <f t="shared" si="3"/>
        <v>548124.53364000004</v>
      </c>
      <c r="GU11" s="2003">
        <f t="shared" si="3"/>
        <v>257364.54573000001</v>
      </c>
      <c r="GV11" s="1994" t="s">
        <v>3192</v>
      </c>
    </row>
    <row r="12" spans="1:274" s="1991" customFormat="1" ht="22.5" customHeight="1">
      <c r="A12" s="2004" t="s">
        <v>2287</v>
      </c>
      <c r="B12" s="2005"/>
      <c r="C12" s="2005"/>
      <c r="D12" s="2005"/>
      <c r="E12" s="2005"/>
      <c r="F12" s="2005"/>
      <c r="G12" s="2005"/>
      <c r="H12" s="2005"/>
      <c r="I12" s="2005"/>
      <c r="J12" s="2005"/>
      <c r="K12" s="2005"/>
      <c r="L12" s="2005"/>
      <c r="M12" s="2005"/>
      <c r="N12" s="2005"/>
      <c r="O12" s="2005"/>
      <c r="P12" s="2005"/>
      <c r="Q12" s="2005"/>
      <c r="R12" s="2005"/>
      <c r="S12" s="2005"/>
      <c r="T12" s="2005"/>
      <c r="U12" s="2005"/>
      <c r="V12" s="2005"/>
      <c r="W12" s="2005"/>
      <c r="X12" s="2005"/>
      <c r="Y12" s="2005"/>
      <c r="Z12" s="2005"/>
      <c r="AA12" s="2005"/>
      <c r="AB12" s="2005"/>
      <c r="AC12" s="2005"/>
      <c r="AD12" s="2005"/>
      <c r="AE12" s="2005"/>
      <c r="AF12" s="2005"/>
      <c r="AG12" s="2005"/>
      <c r="AH12" s="2005"/>
      <c r="AI12" s="2005"/>
      <c r="AJ12" s="2005"/>
      <c r="AK12" s="2005"/>
      <c r="AL12" s="2005"/>
      <c r="AM12" s="2005"/>
      <c r="AN12" s="2005"/>
      <c r="AO12" s="2005"/>
      <c r="AP12" s="2005"/>
      <c r="AQ12" s="2005"/>
      <c r="AR12" s="2005"/>
      <c r="AS12" s="2005"/>
      <c r="AT12" s="2005"/>
      <c r="AU12" s="2005"/>
      <c r="AV12" s="2005"/>
      <c r="AW12" s="2005"/>
      <c r="AX12" s="2005"/>
      <c r="AY12" s="2005"/>
      <c r="AZ12" s="2005"/>
      <c r="BA12" s="2005"/>
      <c r="BB12" s="2005"/>
      <c r="BC12" s="2005"/>
      <c r="BD12" s="2005"/>
      <c r="BE12" s="2005"/>
      <c r="BF12" s="2005"/>
      <c r="BG12" s="2005"/>
      <c r="BH12" s="2005"/>
      <c r="BI12" s="2005"/>
      <c r="BJ12" s="2005"/>
      <c r="BK12" s="2005"/>
      <c r="BL12" s="2005"/>
      <c r="BM12" s="2005"/>
      <c r="BN12" s="2005"/>
      <c r="BO12" s="2005"/>
      <c r="BP12" s="2005"/>
      <c r="BQ12" s="2005"/>
      <c r="BR12" s="2005"/>
      <c r="BS12" s="2005"/>
      <c r="BT12" s="2005"/>
      <c r="BU12" s="2005"/>
      <c r="BV12" s="2005"/>
      <c r="BW12" s="2005"/>
      <c r="BX12" s="2005"/>
      <c r="BY12" s="2005"/>
      <c r="BZ12" s="2005"/>
      <c r="CA12" s="2005"/>
      <c r="CB12" s="2005"/>
      <c r="CC12" s="2005"/>
      <c r="CD12" s="2005"/>
      <c r="CE12" s="2005"/>
      <c r="CF12" s="2005"/>
      <c r="CG12" s="2005"/>
      <c r="CH12" s="2005"/>
      <c r="CI12" s="2005"/>
      <c r="CJ12" s="2005"/>
      <c r="CK12" s="2005"/>
      <c r="CL12" s="2005"/>
      <c r="CM12" s="2005"/>
      <c r="CN12" s="2005"/>
      <c r="CO12" s="2005"/>
      <c r="CP12" s="2005"/>
      <c r="CQ12" s="2005"/>
      <c r="CR12" s="2005"/>
      <c r="CS12" s="2005"/>
      <c r="CT12" s="2005"/>
      <c r="CU12" s="2005"/>
      <c r="CV12" s="2005"/>
      <c r="CW12" s="2005"/>
      <c r="CX12" s="2005"/>
      <c r="CY12" s="2005"/>
      <c r="CZ12" s="2005"/>
      <c r="DA12" s="2005"/>
      <c r="DB12" s="2005"/>
      <c r="DC12" s="2005"/>
      <c r="DD12" s="2005"/>
      <c r="DE12" s="2005"/>
      <c r="DF12" s="2005"/>
      <c r="DG12" s="2005"/>
      <c r="DH12" s="2005"/>
      <c r="DI12" s="2005"/>
      <c r="DJ12" s="2005"/>
      <c r="DK12" s="2005"/>
      <c r="DL12" s="2005"/>
      <c r="DM12" s="2005"/>
      <c r="DN12" s="2005"/>
      <c r="DO12" s="2005"/>
      <c r="DP12" s="2005"/>
      <c r="DQ12" s="2006"/>
      <c r="DR12" s="2007"/>
      <c r="DS12" s="2008"/>
      <c r="DT12" s="2009"/>
      <c r="DU12" s="2006"/>
      <c r="DV12" s="2007"/>
      <c r="DW12" s="2008"/>
      <c r="DX12" s="2009"/>
      <c r="DY12" s="2006"/>
      <c r="DZ12" s="2007"/>
      <c r="EA12" s="2008"/>
      <c r="EB12" s="2009"/>
      <c r="EC12" s="2006"/>
      <c r="ED12" s="2007"/>
      <c r="EE12" s="2008"/>
      <c r="EF12" s="2007"/>
      <c r="EG12" s="2008"/>
      <c r="EH12" s="2009"/>
      <c r="EI12" s="2008"/>
      <c r="EJ12" s="2009"/>
      <c r="EK12" s="2008"/>
      <c r="EL12" s="2007"/>
      <c r="EM12" s="2010"/>
      <c r="EN12" s="2007"/>
      <c r="EO12" s="2010"/>
      <c r="EP12" s="2007"/>
      <c r="EQ12" s="2010"/>
      <c r="ER12" s="2007"/>
      <c r="ES12" s="2010"/>
      <c r="ET12" s="2007"/>
      <c r="EU12" s="2010"/>
      <c r="EV12" s="2007"/>
      <c r="EW12" s="2010"/>
      <c r="EX12" s="2007"/>
      <c r="EY12" s="2010"/>
      <c r="EZ12" s="2007"/>
      <c r="FA12" s="2010"/>
      <c r="FB12" s="2007"/>
      <c r="FC12" s="2010"/>
      <c r="FD12" s="2007"/>
      <c r="FE12" s="2010"/>
      <c r="FF12" s="2007"/>
      <c r="FG12" s="2010"/>
      <c r="FH12" s="2007"/>
      <c r="FI12" s="2010"/>
      <c r="FJ12" s="2007"/>
      <c r="FK12" s="2010"/>
      <c r="FL12" s="2007"/>
      <c r="FM12" s="2010"/>
      <c r="FN12" s="2007"/>
      <c r="FO12" s="2010"/>
      <c r="FP12" s="2007"/>
      <c r="FQ12" s="2010"/>
      <c r="FR12" s="2007"/>
      <c r="FS12" s="2010"/>
      <c r="FT12" s="2007"/>
      <c r="FU12" s="2010"/>
      <c r="FV12" s="2007"/>
      <c r="FW12" s="2010"/>
      <c r="FX12" s="2007"/>
      <c r="FY12" s="2010"/>
      <c r="FZ12" s="2007"/>
      <c r="GA12" s="2010"/>
      <c r="GB12" s="2007"/>
      <c r="GC12" s="2010"/>
      <c r="GD12" s="2007"/>
      <c r="GE12" s="2010"/>
      <c r="GF12" s="2007"/>
      <c r="GG12" s="2010"/>
      <c r="GH12" s="2007"/>
      <c r="GI12" s="2010"/>
      <c r="GJ12" s="2007"/>
      <c r="GK12" s="2010"/>
      <c r="GL12" s="2007"/>
      <c r="GM12" s="2010"/>
      <c r="GN12" s="2007"/>
      <c r="GO12" s="2010"/>
      <c r="GP12" s="2007"/>
      <c r="GQ12" s="2010"/>
      <c r="GR12" s="2007"/>
      <c r="GS12" s="2010"/>
      <c r="GT12" s="2007"/>
      <c r="GU12" s="2010"/>
      <c r="GV12" s="2004" t="s">
        <v>3428</v>
      </c>
    </row>
    <row r="13" spans="1:274" s="1991" customFormat="1" ht="22.5" customHeight="1">
      <c r="A13" s="2011" t="s">
        <v>2324</v>
      </c>
      <c r="B13" s="2005">
        <f t="shared" ref="B13:BM13" si="4">SUM(B14:B17)</f>
        <v>6342.8492200000001</v>
      </c>
      <c r="C13" s="2005">
        <f t="shared" si="4"/>
        <v>17166.309270000002</v>
      </c>
      <c r="D13" s="2005">
        <f t="shared" si="4"/>
        <v>15136.20363</v>
      </c>
      <c r="E13" s="2005">
        <f t="shared" si="4"/>
        <v>25599.854559999996</v>
      </c>
      <c r="F13" s="2005">
        <f t="shared" si="4"/>
        <v>34166.324560000001</v>
      </c>
      <c r="G13" s="2005">
        <f t="shared" si="4"/>
        <v>31003.583899999998</v>
      </c>
      <c r="H13" s="2005">
        <f t="shared" si="4"/>
        <v>54343.006259999995</v>
      </c>
      <c r="I13" s="2005">
        <f t="shared" si="4"/>
        <v>37626.183779999999</v>
      </c>
      <c r="J13" s="2005">
        <f t="shared" si="4"/>
        <v>74275.737050000011</v>
      </c>
      <c r="K13" s="2005">
        <f t="shared" si="4"/>
        <v>47643.747820000004</v>
      </c>
      <c r="L13" s="2005">
        <f t="shared" si="4"/>
        <v>84646.730819998993</v>
      </c>
      <c r="M13" s="2005">
        <f t="shared" si="4"/>
        <v>61012.837459999995</v>
      </c>
      <c r="N13" s="2005">
        <f t="shared" si="4"/>
        <v>96297.332630000004</v>
      </c>
      <c r="O13" s="2005">
        <f t="shared" si="4"/>
        <v>69338.036550000004</v>
      </c>
      <c r="P13" s="2005">
        <f t="shared" si="4"/>
        <v>110871.53505999999</v>
      </c>
      <c r="Q13" s="2005">
        <f t="shared" si="4"/>
        <v>77260.153109999999</v>
      </c>
      <c r="R13" s="2005">
        <f t="shared" si="4"/>
        <v>123875.35850000002</v>
      </c>
      <c r="S13" s="2005">
        <f t="shared" si="4"/>
        <v>89051.943490000005</v>
      </c>
      <c r="T13" s="2005">
        <f t="shared" si="4"/>
        <v>138181.25177999996</v>
      </c>
      <c r="U13" s="2005">
        <f t="shared" si="4"/>
        <v>93637.328750000001</v>
      </c>
      <c r="V13" s="2005">
        <f t="shared" si="4"/>
        <v>155559.02755</v>
      </c>
      <c r="W13" s="2005">
        <f t="shared" si="4"/>
        <v>110562.99611000001</v>
      </c>
      <c r="X13" s="2005">
        <f t="shared" si="4"/>
        <v>177855.77153000003</v>
      </c>
      <c r="Y13" s="2005">
        <f t="shared" si="4"/>
        <v>126406.9201</v>
      </c>
      <c r="Z13" s="2005">
        <f t="shared" si="4"/>
        <v>16702.570650000001</v>
      </c>
      <c r="AA13" s="2005">
        <f t="shared" si="4"/>
        <v>10995.473970000001</v>
      </c>
      <c r="AB13" s="2005">
        <f t="shared" si="4"/>
        <v>36224.588850000007</v>
      </c>
      <c r="AC13" s="2005">
        <f t="shared" si="4"/>
        <v>16610.190009999998</v>
      </c>
      <c r="AD13" s="2005">
        <f t="shared" si="4"/>
        <v>63307.579740000008</v>
      </c>
      <c r="AE13" s="2005">
        <f t="shared" si="4"/>
        <v>26711.776180000001</v>
      </c>
      <c r="AF13" s="2005">
        <f t="shared" si="4"/>
        <v>115597.70895999999</v>
      </c>
      <c r="AG13" s="2005">
        <f t="shared" si="4"/>
        <v>30813.443630000002</v>
      </c>
      <c r="AH13" s="2005">
        <f t="shared" si="4"/>
        <v>138086.18336</v>
      </c>
      <c r="AI13" s="2005">
        <f t="shared" si="4"/>
        <v>37356.379289999997</v>
      </c>
      <c r="AJ13" s="2005">
        <f t="shared" si="4"/>
        <v>158932.39964000002</v>
      </c>
      <c r="AK13" s="2005">
        <f t="shared" si="4"/>
        <v>48915.751250000001</v>
      </c>
      <c r="AL13" s="2005">
        <f t="shared" si="4"/>
        <v>185169.27197000003</v>
      </c>
      <c r="AM13" s="2005">
        <f t="shared" si="4"/>
        <v>62643.390529999997</v>
      </c>
      <c r="AN13" s="2005">
        <f t="shared" si="4"/>
        <v>211796.39895000003</v>
      </c>
      <c r="AO13" s="2005">
        <f t="shared" si="4"/>
        <v>73581.876470000017</v>
      </c>
      <c r="AP13" s="2005">
        <f t="shared" si="4"/>
        <v>235020.05383999998</v>
      </c>
      <c r="AQ13" s="2005">
        <f t="shared" si="4"/>
        <v>80542.979149999999</v>
      </c>
      <c r="AR13" s="2005">
        <f t="shared" si="4"/>
        <v>256326.01818000001</v>
      </c>
      <c r="AS13" s="2005">
        <f t="shared" si="4"/>
        <v>86544.231280000007</v>
      </c>
      <c r="AT13" s="2005">
        <f t="shared" si="4"/>
        <v>279417.69367000001</v>
      </c>
      <c r="AU13" s="2005">
        <f t="shared" si="4"/>
        <v>90857.292849999998</v>
      </c>
      <c r="AV13" s="2005">
        <f t="shared" si="4"/>
        <v>305700.39014000003</v>
      </c>
      <c r="AW13" s="2005">
        <f t="shared" si="4"/>
        <v>94978.919219999996</v>
      </c>
      <c r="AX13" s="2005">
        <f t="shared" si="4"/>
        <v>11540.625180000001</v>
      </c>
      <c r="AY13" s="2005">
        <f t="shared" si="4"/>
        <v>7442.02729</v>
      </c>
      <c r="AZ13" s="2005">
        <f t="shared" si="4"/>
        <v>24798.76902</v>
      </c>
      <c r="BA13" s="2005">
        <f t="shared" si="4"/>
        <v>11750.73553</v>
      </c>
      <c r="BB13" s="2005">
        <f t="shared" si="4"/>
        <v>38516.693149999999</v>
      </c>
      <c r="BC13" s="2005">
        <f t="shared" si="4"/>
        <v>15170.13175</v>
      </c>
      <c r="BD13" s="2005">
        <f t="shared" si="4"/>
        <v>72480.792360000007</v>
      </c>
      <c r="BE13" s="2005">
        <f t="shared" si="4"/>
        <v>20970.496669999997</v>
      </c>
      <c r="BF13" s="2005">
        <f t="shared" si="4"/>
        <v>92940.531329999998</v>
      </c>
      <c r="BG13" s="2005">
        <f t="shared" si="4"/>
        <v>30136.017809999998</v>
      </c>
      <c r="BH13" s="2005">
        <f t="shared" si="4"/>
        <v>109976.18386</v>
      </c>
      <c r="BI13" s="2005">
        <f t="shared" si="4"/>
        <v>40147.740559999998</v>
      </c>
      <c r="BJ13" s="2005">
        <f t="shared" si="4"/>
        <v>133858.35436000003</v>
      </c>
      <c r="BK13" s="2005">
        <f t="shared" si="4"/>
        <v>63496.498419999996</v>
      </c>
      <c r="BL13" s="2005">
        <f t="shared" si="4"/>
        <v>151891.33817999999</v>
      </c>
      <c r="BM13" s="2005">
        <f t="shared" si="4"/>
        <v>68201.237639999992</v>
      </c>
      <c r="BN13" s="2005">
        <f t="shared" ref="BN13:DY13" si="5">SUM(BN14:BN17)</f>
        <v>168111.66623</v>
      </c>
      <c r="BO13" s="2005">
        <f t="shared" si="5"/>
        <v>80614.438640000008</v>
      </c>
      <c r="BP13" s="2005">
        <f t="shared" si="5"/>
        <v>185222.50315</v>
      </c>
      <c r="BQ13" s="2005">
        <f t="shared" si="5"/>
        <v>88798.136419999995</v>
      </c>
      <c r="BR13" s="2005">
        <f t="shared" si="5"/>
        <v>202431.24639999997</v>
      </c>
      <c r="BS13" s="2005">
        <f t="shared" si="5"/>
        <v>99869.264420000007</v>
      </c>
      <c r="BT13" s="2005">
        <f t="shared" si="5"/>
        <v>219371.2035</v>
      </c>
      <c r="BU13" s="2005">
        <f t="shared" si="5"/>
        <v>121797.81581</v>
      </c>
      <c r="BV13" s="2005">
        <f t="shared" si="5"/>
        <v>16244.12082</v>
      </c>
      <c r="BW13" s="2005">
        <f t="shared" si="5"/>
        <v>12094.194430000001</v>
      </c>
      <c r="BX13" s="2005">
        <f t="shared" si="5"/>
        <v>33038.876960000001</v>
      </c>
      <c r="BY13" s="2005">
        <f t="shared" si="5"/>
        <v>20865.698179999999</v>
      </c>
      <c r="BZ13" s="2005">
        <f t="shared" si="5"/>
        <v>56441.563319999994</v>
      </c>
      <c r="CA13" s="2005">
        <f t="shared" si="5"/>
        <v>35463.562290000002</v>
      </c>
      <c r="CB13" s="2005">
        <f t="shared" si="5"/>
        <v>93920.360640000014</v>
      </c>
      <c r="CC13" s="2005">
        <f t="shared" si="5"/>
        <v>49322.839679999997</v>
      </c>
      <c r="CD13" s="2005">
        <f t="shared" si="5"/>
        <v>113873.90745</v>
      </c>
      <c r="CE13" s="2005">
        <f t="shared" si="5"/>
        <v>70924.464850000004</v>
      </c>
      <c r="CF13" s="2005">
        <f t="shared" si="5"/>
        <v>131499.29803999999</v>
      </c>
      <c r="CG13" s="2005">
        <f t="shared" si="5"/>
        <v>108316.44255000001</v>
      </c>
      <c r="CH13" s="2005">
        <f t="shared" si="5"/>
        <v>158901.03532</v>
      </c>
      <c r="CI13" s="2005">
        <f t="shared" si="5"/>
        <v>137148.46724</v>
      </c>
      <c r="CJ13" s="2005">
        <f t="shared" si="5"/>
        <v>177747.69000999999</v>
      </c>
      <c r="CK13" s="2005">
        <f t="shared" si="5"/>
        <v>162261.78574999998</v>
      </c>
      <c r="CL13" s="2005">
        <f t="shared" si="5"/>
        <v>197358.11611</v>
      </c>
      <c r="CM13" s="2005">
        <f t="shared" si="5"/>
        <v>184138.75705000001</v>
      </c>
      <c r="CN13" s="2005">
        <f t="shared" si="5"/>
        <v>213943.26452000003</v>
      </c>
      <c r="CO13" s="2005">
        <f t="shared" si="5"/>
        <v>216007.0295</v>
      </c>
      <c r="CP13" s="2005">
        <f t="shared" si="5"/>
        <v>231251.05240999997</v>
      </c>
      <c r="CQ13" s="2005">
        <f t="shared" si="5"/>
        <v>244759.55254999999</v>
      </c>
      <c r="CR13" s="2005">
        <f t="shared" si="5"/>
        <v>249794.27066000001</v>
      </c>
      <c r="CS13" s="2005">
        <f t="shared" si="5"/>
        <v>280441.32857999997</v>
      </c>
      <c r="CT13" s="2005">
        <f t="shared" si="5"/>
        <v>17043.927009999999</v>
      </c>
      <c r="CU13" s="2005">
        <f t="shared" si="5"/>
        <v>28353.520919999999</v>
      </c>
      <c r="CV13" s="2005">
        <f t="shared" si="5"/>
        <v>36191.401409999999</v>
      </c>
      <c r="CW13" s="2005">
        <f t="shared" si="5"/>
        <v>50726.74063</v>
      </c>
      <c r="CX13" s="2005">
        <f t="shared" si="5"/>
        <v>53901.793840000006</v>
      </c>
      <c r="CY13" s="2005">
        <f t="shared" si="5"/>
        <v>83126.091150000007</v>
      </c>
      <c r="CZ13" s="2005">
        <f t="shared" si="5"/>
        <v>108230.18195</v>
      </c>
      <c r="DA13" s="2005">
        <f t="shared" si="5"/>
        <v>100574.87543</v>
      </c>
      <c r="DB13" s="2005">
        <f t="shared" si="5"/>
        <v>136525.88909000001</v>
      </c>
      <c r="DC13" s="2005">
        <f t="shared" si="5"/>
        <v>117202.55712999999</v>
      </c>
      <c r="DD13" s="2005">
        <f t="shared" si="5"/>
        <v>158679.63913</v>
      </c>
      <c r="DE13" s="2005">
        <f t="shared" si="5"/>
        <v>139513.84530000002</v>
      </c>
      <c r="DF13" s="2005">
        <f t="shared" si="5"/>
        <v>193743.15644999998</v>
      </c>
      <c r="DG13" s="2005">
        <f t="shared" si="5"/>
        <v>176909.45979000002</v>
      </c>
      <c r="DH13" s="2005">
        <f t="shared" si="5"/>
        <v>217530.74867</v>
      </c>
      <c r="DI13" s="2005">
        <f t="shared" si="5"/>
        <v>190363.80711999998</v>
      </c>
      <c r="DJ13" s="2005">
        <f t="shared" si="5"/>
        <v>237851.25545</v>
      </c>
      <c r="DK13" s="2005">
        <f t="shared" si="5"/>
        <v>201996.67898300002</v>
      </c>
      <c r="DL13" s="2005">
        <f t="shared" si="5"/>
        <v>262011.25289</v>
      </c>
      <c r="DM13" s="2005">
        <f t="shared" si="5"/>
        <v>213069.69831000001</v>
      </c>
      <c r="DN13" s="2005">
        <f t="shared" si="5"/>
        <v>290897.15429999999</v>
      </c>
      <c r="DO13" s="2005">
        <f t="shared" si="5"/>
        <v>226256.60757299999</v>
      </c>
      <c r="DP13" s="2005">
        <f t="shared" si="5"/>
        <v>319601.90811999998</v>
      </c>
      <c r="DQ13" s="2006">
        <f t="shared" si="5"/>
        <v>235714.46747</v>
      </c>
      <c r="DR13" s="2007">
        <f t="shared" si="5"/>
        <v>25163.185120000002</v>
      </c>
      <c r="DS13" s="2008">
        <f t="shared" si="5"/>
        <v>4849.56664</v>
      </c>
      <c r="DT13" s="2009">
        <f t="shared" si="5"/>
        <v>51359.557260999994</v>
      </c>
      <c r="DU13" s="2006">
        <f t="shared" si="5"/>
        <v>9997.4326899999996</v>
      </c>
      <c r="DV13" s="2007">
        <f t="shared" si="5"/>
        <v>88124.612729999993</v>
      </c>
      <c r="DW13" s="2008">
        <f t="shared" si="5"/>
        <v>16876.57602</v>
      </c>
      <c r="DX13" s="2009">
        <f t="shared" si="5"/>
        <v>146376.30148999998</v>
      </c>
      <c r="DY13" s="2006">
        <f t="shared" si="5"/>
        <v>30276.19988</v>
      </c>
      <c r="DZ13" s="2007">
        <f t="shared" ref="DZ13:FI13" si="6">SUM(DZ14:DZ17)</f>
        <v>176667.53622000004</v>
      </c>
      <c r="EA13" s="2008">
        <f t="shared" si="6"/>
        <v>50798.177510000001</v>
      </c>
      <c r="EB13" s="2009">
        <f t="shared" si="6"/>
        <v>205551.48507000002</v>
      </c>
      <c r="EC13" s="2006">
        <f t="shared" si="6"/>
        <v>83000.493180000005</v>
      </c>
      <c r="ED13" s="2007">
        <f t="shared" si="6"/>
        <v>249015.09822000004</v>
      </c>
      <c r="EE13" s="2008">
        <f t="shared" si="6"/>
        <v>132212.36051000003</v>
      </c>
      <c r="EF13" s="2007">
        <f t="shared" si="6"/>
        <v>282787.05064999999</v>
      </c>
      <c r="EG13" s="2010">
        <f t="shared" si="6"/>
        <v>157361.56406</v>
      </c>
      <c r="EH13" s="2006">
        <f t="shared" si="6"/>
        <v>316057.44425</v>
      </c>
      <c r="EI13" s="2008">
        <f t="shared" si="6"/>
        <v>175935.46615000002</v>
      </c>
      <c r="EJ13" s="2006">
        <f t="shared" si="6"/>
        <v>351438.26105000003</v>
      </c>
      <c r="EK13" s="2008">
        <f t="shared" si="6"/>
        <v>199607.13692000005</v>
      </c>
      <c r="EL13" s="2007">
        <f t="shared" si="6"/>
        <v>385845.50131999998</v>
      </c>
      <c r="EM13" s="2010">
        <f t="shared" si="6"/>
        <v>228054.88599000001</v>
      </c>
      <c r="EN13" s="2007">
        <f t="shared" si="6"/>
        <v>425088.99625999999</v>
      </c>
      <c r="EO13" s="2010">
        <f t="shared" si="6"/>
        <v>244706.29159000001</v>
      </c>
      <c r="EP13" s="2007">
        <f t="shared" si="6"/>
        <v>34315.280610000002</v>
      </c>
      <c r="EQ13" s="2010">
        <f t="shared" si="6"/>
        <v>19673.205310000001</v>
      </c>
      <c r="ER13" s="2007">
        <f t="shared" si="6"/>
        <v>69634.47920999999</v>
      </c>
      <c r="ES13" s="2010">
        <f t="shared" si="6"/>
        <v>37517.202740000001</v>
      </c>
      <c r="ET13" s="2007">
        <f t="shared" si="6"/>
        <v>131378.01579999999</v>
      </c>
      <c r="EU13" s="2010">
        <f t="shared" si="6"/>
        <v>55164.641260000004</v>
      </c>
      <c r="EV13" s="2007">
        <f t="shared" si="6"/>
        <v>205490.01342</v>
      </c>
      <c r="EW13" s="2010">
        <f t="shared" si="6"/>
        <v>71538.630379999988</v>
      </c>
      <c r="EX13" s="2007">
        <f t="shared" si="6"/>
        <v>251889.83469000002</v>
      </c>
      <c r="EY13" s="2010">
        <f t="shared" si="6"/>
        <v>93926.485539999994</v>
      </c>
      <c r="EZ13" s="2007">
        <f t="shared" si="6"/>
        <v>288782.57694</v>
      </c>
      <c r="FA13" s="2010">
        <f t="shared" si="6"/>
        <v>127278.47427000001</v>
      </c>
      <c r="FB13" s="2007">
        <f t="shared" si="6"/>
        <v>338307.00809000002</v>
      </c>
      <c r="FC13" s="2010">
        <f t="shared" si="6"/>
        <v>166259.42191000003</v>
      </c>
      <c r="FD13" s="2007">
        <f t="shared" si="6"/>
        <v>377360.95846000005</v>
      </c>
      <c r="FE13" s="2010">
        <f t="shared" si="6"/>
        <v>194491.45972999997</v>
      </c>
      <c r="FF13" s="2007">
        <f t="shared" si="6"/>
        <v>420845.34465000004</v>
      </c>
      <c r="FG13" s="2010">
        <f t="shared" si="6"/>
        <v>220636.73561999999</v>
      </c>
      <c r="FH13" s="2007">
        <f t="shared" si="6"/>
        <v>459506.82767000003</v>
      </c>
      <c r="FI13" s="2010">
        <f t="shared" si="6"/>
        <v>251730.98883999998</v>
      </c>
      <c r="FJ13" s="2007">
        <f>SUM(FJ14:FJ17)</f>
        <v>498718.58751999994</v>
      </c>
      <c r="FK13" s="2010">
        <f t="shared" ref="FK13:FM13" si="7">SUM(FK14:FK17)</f>
        <v>271629.81005999993</v>
      </c>
      <c r="FL13" s="2007">
        <f>SUM(FL14:FL17)</f>
        <v>545203.24265999999</v>
      </c>
      <c r="FM13" s="2010">
        <f t="shared" si="7"/>
        <v>294793.39156999998</v>
      </c>
      <c r="FN13" s="2007">
        <f>SUM(FN14:FN17)</f>
        <v>40171.874629999998</v>
      </c>
      <c r="FO13" s="2010">
        <f t="shared" ref="FO13:FQ13" si="8">SUM(FO14:FO17)</f>
        <v>21558.633820000003</v>
      </c>
      <c r="FP13" s="2007">
        <f>SUM(FP14:FP17)</f>
        <v>87075.295689999984</v>
      </c>
      <c r="FQ13" s="2010">
        <f t="shared" si="8"/>
        <v>60046.170680000003</v>
      </c>
      <c r="FR13" s="2007">
        <f>SUM(FR14:FR17)</f>
        <v>155320.39272</v>
      </c>
      <c r="FS13" s="2010">
        <f t="shared" ref="FS13:FU13" si="9">SUM(FS14:FS17)</f>
        <v>96417.088799999983</v>
      </c>
      <c r="FT13" s="2007">
        <f>SUM(FT14:FT17)</f>
        <v>269821.14561999997</v>
      </c>
      <c r="FU13" s="2010">
        <f t="shared" si="9"/>
        <v>127993.32618999999</v>
      </c>
      <c r="FV13" s="2007">
        <f>SUM(FV14:FV17)</f>
        <v>316920.49345000001</v>
      </c>
      <c r="FW13" s="2010">
        <f t="shared" ref="FW13:FY13" si="10">SUM(FW14:FW17)</f>
        <v>168883.52479999998</v>
      </c>
      <c r="FX13" s="2007">
        <f>SUM(FX14:FX17)</f>
        <v>357728.20947999996</v>
      </c>
      <c r="FY13" s="2010">
        <f t="shared" si="10"/>
        <v>233093.48538</v>
      </c>
      <c r="FZ13" s="2007">
        <f>SUM(FZ14:FZ17)</f>
        <v>400448.31352999998</v>
      </c>
      <c r="GA13" s="2010">
        <f>SUM(GA14:GA17)</f>
        <v>293517.30962000001</v>
      </c>
      <c r="GB13" s="2007">
        <f>SUM(GB14:GB17)</f>
        <v>442430.10093000002</v>
      </c>
      <c r="GC13" s="2010">
        <f t="shared" ref="GC13:GG13" si="11">SUM(GC14:GC17)</f>
        <v>330806.51192999998</v>
      </c>
      <c r="GD13" s="2007">
        <f>SUM(GD14:GD17)</f>
        <v>495225.93165999994</v>
      </c>
      <c r="GE13" s="2010">
        <f t="shared" ref="GE13" si="12">SUM(GE14:GE17)</f>
        <v>359912.9804</v>
      </c>
      <c r="GF13" s="2007">
        <f>SUM(GF14:GF17)</f>
        <v>540142.82301999989</v>
      </c>
      <c r="GG13" s="2010">
        <f t="shared" si="11"/>
        <v>402902.99412999995</v>
      </c>
      <c r="GH13" s="2007">
        <f>SUM(GH14:GH17)</f>
        <v>587536.52667999989</v>
      </c>
      <c r="GI13" s="2010">
        <f t="shared" ref="GI13:GK13" si="13">SUM(GI14:GI17)</f>
        <v>446502.91918999999</v>
      </c>
      <c r="GJ13" s="2007">
        <f>SUM(GJ14:GJ17)</f>
        <v>643840.87369000004</v>
      </c>
      <c r="GK13" s="2010">
        <f t="shared" si="13"/>
        <v>477471.35200999997</v>
      </c>
      <c r="GL13" s="2007">
        <f>SUM(GL14:GL17)</f>
        <v>55615.270349999999</v>
      </c>
      <c r="GM13" s="2010">
        <f t="shared" ref="GM13" si="14">SUM(GM14:GM17)</f>
        <v>29087.635650000004</v>
      </c>
      <c r="GN13" s="2007">
        <f>SUM(GN14:GN17)</f>
        <v>110089.5189</v>
      </c>
      <c r="GO13" s="2010">
        <f t="shared" ref="GO13:GQ13" si="15">SUM(GO14:GO17)</f>
        <v>69793.818839999993</v>
      </c>
      <c r="GP13" s="2007">
        <f>SUM(GP14:GP17)</f>
        <v>178119.65279000002</v>
      </c>
      <c r="GQ13" s="2010">
        <f t="shared" si="15"/>
        <v>108495.23371999999</v>
      </c>
      <c r="GR13" s="2007">
        <f>SUM(GR14:GR17)</f>
        <v>300476.78065999999</v>
      </c>
      <c r="GS13" s="2010">
        <f t="shared" ref="GS13:GU13" si="16">SUM(GS14:GS17)</f>
        <v>146718.97122000001</v>
      </c>
      <c r="GT13" s="2007">
        <f>SUM(GT14:GT17)</f>
        <v>370546.09347000002</v>
      </c>
      <c r="GU13" s="2010">
        <f t="shared" si="16"/>
        <v>203082.18197999999</v>
      </c>
      <c r="GV13" s="2011" t="s">
        <v>3193</v>
      </c>
    </row>
    <row r="14" spans="1:274" s="1991" customFormat="1" ht="22.5" customHeight="1">
      <c r="A14" s="2012" t="s">
        <v>2323</v>
      </c>
      <c r="B14" s="2013">
        <v>4736.3493099999996</v>
      </c>
      <c r="C14" s="2013">
        <v>16928.319920000002</v>
      </c>
      <c r="D14" s="2013">
        <v>11958.133539999999</v>
      </c>
      <c r="E14" s="2013">
        <v>25125.388199999998</v>
      </c>
      <c r="F14" s="2013">
        <v>28950.939150000002</v>
      </c>
      <c r="G14" s="2013">
        <v>30321.270219999999</v>
      </c>
      <c r="H14" s="2013">
        <v>46938.428009999996</v>
      </c>
      <c r="I14" s="2013">
        <v>36680.167540000002</v>
      </c>
      <c r="J14" s="2013">
        <v>64205.200360000003</v>
      </c>
      <c r="K14" s="2013">
        <v>46504.131130000002</v>
      </c>
      <c r="L14" s="2013">
        <v>71822.30915999999</v>
      </c>
      <c r="M14" s="2013">
        <v>59720.06366</v>
      </c>
      <c r="N14" s="2013">
        <v>79771.370800000004</v>
      </c>
      <c r="O14" s="2013">
        <v>67865.264840000003</v>
      </c>
      <c r="P14" s="2013">
        <v>89397.963390000004</v>
      </c>
      <c r="Q14" s="2013">
        <v>75518.201029999997</v>
      </c>
      <c r="R14" s="2013">
        <v>98672.867670000007</v>
      </c>
      <c r="S14" s="2013">
        <v>87197.060689999998</v>
      </c>
      <c r="T14" s="2013">
        <v>108588.61331999999</v>
      </c>
      <c r="U14" s="2013">
        <v>91552.766940000001</v>
      </c>
      <c r="V14" s="2013">
        <v>121145.33721</v>
      </c>
      <c r="W14" s="2013">
        <v>108337.81808</v>
      </c>
      <c r="X14" s="2013">
        <v>137927.65808000002</v>
      </c>
      <c r="Y14" s="2013">
        <v>124045.57663</v>
      </c>
      <c r="Z14" s="2013">
        <v>12622.55184</v>
      </c>
      <c r="AA14" s="2013">
        <v>10944.42827</v>
      </c>
      <c r="AB14" s="2013">
        <v>27785.358130000001</v>
      </c>
      <c r="AC14" s="2013">
        <v>16461.902109999999</v>
      </c>
      <c r="AD14" s="2013">
        <v>50012.285530000001</v>
      </c>
      <c r="AE14" s="2013">
        <v>26430.17283</v>
      </c>
      <c r="AF14" s="2013">
        <v>96707.759330000001</v>
      </c>
      <c r="AG14" s="2013">
        <v>30290.540780000003</v>
      </c>
      <c r="AH14" s="2013">
        <v>113315.13400000001</v>
      </c>
      <c r="AI14" s="2013">
        <v>36744.186679999999</v>
      </c>
      <c r="AJ14" s="2013">
        <v>130959.08487000001</v>
      </c>
      <c r="AK14" s="2013">
        <v>48186.267220000002</v>
      </c>
      <c r="AL14" s="2013">
        <v>152882.45362000001</v>
      </c>
      <c r="AM14" s="2013">
        <v>61798.108999999997</v>
      </c>
      <c r="AN14" s="2013">
        <v>174619.54207</v>
      </c>
      <c r="AO14" s="2013">
        <v>72477.688180000012</v>
      </c>
      <c r="AP14" s="2013">
        <v>194168.79657000001</v>
      </c>
      <c r="AQ14" s="2013">
        <v>79325.821450000003</v>
      </c>
      <c r="AR14" s="2013">
        <v>211779.19243</v>
      </c>
      <c r="AS14" s="2013">
        <v>85153.934880000001</v>
      </c>
      <c r="AT14" s="2013">
        <v>231565.42068000001</v>
      </c>
      <c r="AU14" s="2013">
        <v>89294.794769999993</v>
      </c>
      <c r="AV14" s="2013">
        <v>253943.49268</v>
      </c>
      <c r="AW14" s="2013">
        <v>93366.017919999998</v>
      </c>
      <c r="AX14" s="2013">
        <v>8363.5464100000008</v>
      </c>
      <c r="AY14" s="2013">
        <v>7339.1547</v>
      </c>
      <c r="AZ14" s="2013">
        <v>18201.75981</v>
      </c>
      <c r="BA14" s="2013">
        <v>11203.240019999999</v>
      </c>
      <c r="BB14" s="2013">
        <v>29055.112639999999</v>
      </c>
      <c r="BC14" s="2013">
        <v>14544.900750000001</v>
      </c>
      <c r="BD14" s="2013">
        <v>59050.441460000002</v>
      </c>
      <c r="BE14" s="2013">
        <v>20536.727159999999</v>
      </c>
      <c r="BF14" s="2013">
        <v>73035.545939999996</v>
      </c>
      <c r="BG14" s="2013">
        <v>29619.191489999997</v>
      </c>
      <c r="BH14" s="2013">
        <v>85055.739629999996</v>
      </c>
      <c r="BI14" s="2013">
        <v>39598.587229999997</v>
      </c>
      <c r="BJ14" s="2013">
        <v>102436.68676000001</v>
      </c>
      <c r="BK14" s="2013">
        <v>62834.111109999998</v>
      </c>
      <c r="BL14" s="2013">
        <v>115247.49</v>
      </c>
      <c r="BM14" s="2013">
        <v>67438.886729999998</v>
      </c>
      <c r="BN14" s="2013">
        <v>126807.99256</v>
      </c>
      <c r="BO14" s="2013">
        <v>79726.48414</v>
      </c>
      <c r="BP14" s="2013">
        <v>138629.07303</v>
      </c>
      <c r="BQ14" s="2013">
        <v>87792.779459999991</v>
      </c>
      <c r="BR14" s="2013">
        <v>151805.63657</v>
      </c>
      <c r="BS14" s="2013">
        <v>98706.257530000003</v>
      </c>
      <c r="BT14" s="2013">
        <v>166110.06164</v>
      </c>
      <c r="BU14" s="2013">
        <v>120547.88182</v>
      </c>
      <c r="BV14" s="2013">
        <v>13288.3712</v>
      </c>
      <c r="BW14" s="2013">
        <v>11928.218510000001</v>
      </c>
      <c r="BX14" s="2013">
        <v>26261.35888</v>
      </c>
      <c r="BY14" s="2013">
        <v>20638.588739999999</v>
      </c>
      <c r="BZ14" s="2013">
        <v>45688.413209999999</v>
      </c>
      <c r="CA14" s="2013">
        <v>35155.503060000003</v>
      </c>
      <c r="CB14" s="2013">
        <v>81418.233560000008</v>
      </c>
      <c r="CC14" s="2013">
        <v>48884.602559999999</v>
      </c>
      <c r="CD14" s="2013">
        <v>98446.82104000001</v>
      </c>
      <c r="CE14" s="2013">
        <v>70402.350330000001</v>
      </c>
      <c r="CF14" s="2013">
        <v>112074.77670999999</v>
      </c>
      <c r="CG14" s="2013">
        <v>107766.48793</v>
      </c>
      <c r="CH14" s="2013">
        <v>135363.68865999999</v>
      </c>
      <c r="CI14" s="2013">
        <v>136519.50167</v>
      </c>
      <c r="CJ14" s="2013">
        <v>148732.27309999999</v>
      </c>
      <c r="CK14" s="2013">
        <v>161425.45971999998</v>
      </c>
      <c r="CL14" s="2013">
        <v>163038.73256999999</v>
      </c>
      <c r="CM14" s="2013">
        <v>183224.44578000001</v>
      </c>
      <c r="CN14" s="2013">
        <v>176260.32143000001</v>
      </c>
      <c r="CO14" s="2013">
        <v>214765.58489</v>
      </c>
      <c r="CP14" s="2013">
        <v>190514.75003</v>
      </c>
      <c r="CQ14" s="2013">
        <v>243321.67403999998</v>
      </c>
      <c r="CR14" s="2013">
        <v>205341.73295999999</v>
      </c>
      <c r="CS14" s="2013">
        <v>275661.67956999998</v>
      </c>
      <c r="CT14" s="2013">
        <v>14084.066490000001</v>
      </c>
      <c r="CU14" s="2013">
        <v>27952.651180000001</v>
      </c>
      <c r="CV14" s="2013">
        <v>29279.31652</v>
      </c>
      <c r="CW14" s="2013">
        <v>50057.222549999999</v>
      </c>
      <c r="CX14" s="2013">
        <v>45488.415789999999</v>
      </c>
      <c r="CY14" s="2013">
        <v>82117.512300000002</v>
      </c>
      <c r="CZ14" s="2013">
        <v>98463.482459999999</v>
      </c>
      <c r="DA14" s="2013">
        <v>99153.496849999996</v>
      </c>
      <c r="DB14" s="2013">
        <v>122966.94887000001</v>
      </c>
      <c r="DC14" s="2013">
        <v>115586.59659999999</v>
      </c>
      <c r="DD14" s="2013">
        <v>140623.30124999999</v>
      </c>
      <c r="DE14" s="2013">
        <v>137731.69127000001</v>
      </c>
      <c r="DF14" s="2013">
        <v>170081.05780000001</v>
      </c>
      <c r="DG14" s="2013">
        <v>174848.79852000001</v>
      </c>
      <c r="DH14" s="2013">
        <v>188301.04778999998</v>
      </c>
      <c r="DI14" s="2013">
        <v>188154.20841999998</v>
      </c>
      <c r="DJ14" s="2013">
        <v>203224.95926999999</v>
      </c>
      <c r="DK14" s="2013">
        <v>199365.95803000001</v>
      </c>
      <c r="DL14" s="2013">
        <v>223122.86571000001</v>
      </c>
      <c r="DM14" s="2013">
        <v>210024.69683</v>
      </c>
      <c r="DN14" s="2013">
        <v>247914.69662999999</v>
      </c>
      <c r="DO14" s="2013">
        <v>222901.69448999999</v>
      </c>
      <c r="DP14" s="2013">
        <v>272925.43375999999</v>
      </c>
      <c r="DQ14" s="2014">
        <v>231719.42752</v>
      </c>
      <c r="DR14" s="2015">
        <v>22694.463250000001</v>
      </c>
      <c r="DS14" s="2016">
        <v>4581.2482</v>
      </c>
      <c r="DT14" s="2017">
        <v>46183.665850999998</v>
      </c>
      <c r="DU14" s="2014">
        <v>9354.3396499999999</v>
      </c>
      <c r="DV14" s="2015">
        <v>80697.018909999999</v>
      </c>
      <c r="DW14" s="2016">
        <v>15984.46787</v>
      </c>
      <c r="DX14" s="2017">
        <v>136694.31099999999</v>
      </c>
      <c r="DY14" s="2014">
        <v>29132.5942</v>
      </c>
      <c r="DZ14" s="2015">
        <v>164810.07902</v>
      </c>
      <c r="EA14" s="2016">
        <v>49286.59779</v>
      </c>
      <c r="EB14" s="2017">
        <v>191585.12546000001</v>
      </c>
      <c r="EC14" s="2014">
        <v>81272.692620000002</v>
      </c>
      <c r="ED14" s="2015">
        <v>232489.70808000001</v>
      </c>
      <c r="EE14" s="2016">
        <v>130339.94904000001</v>
      </c>
      <c r="EF14" s="2015">
        <v>263969.87141000002</v>
      </c>
      <c r="EG14" s="2018">
        <v>155445.63659000001</v>
      </c>
      <c r="EH14" s="2017">
        <v>294363.24794999999</v>
      </c>
      <c r="EI14" s="2016">
        <v>173867.73756000001</v>
      </c>
      <c r="EJ14" s="2017">
        <v>327112.10810000001</v>
      </c>
      <c r="EK14" s="2016">
        <v>197402.21475000001</v>
      </c>
      <c r="EL14" s="2015">
        <v>359275.30101</v>
      </c>
      <c r="EM14" s="2018">
        <v>225664.29461000001</v>
      </c>
      <c r="EN14" s="2015">
        <v>396687.22957999998</v>
      </c>
      <c r="EO14" s="2018">
        <v>242078.27742999999</v>
      </c>
      <c r="EP14" s="2015">
        <v>32304.249769999999</v>
      </c>
      <c r="EQ14" s="2018">
        <v>19572.746070000001</v>
      </c>
      <c r="ER14" s="2015">
        <v>64933.868179999998</v>
      </c>
      <c r="ES14" s="2018">
        <v>37348.930329999996</v>
      </c>
      <c r="ET14" s="2015">
        <v>123830.84278000001</v>
      </c>
      <c r="EU14" s="2018">
        <v>54775.079149999998</v>
      </c>
      <c r="EV14" s="2015">
        <v>195412.91213000001</v>
      </c>
      <c r="EW14" s="2018">
        <v>71061.596839999998</v>
      </c>
      <c r="EX14" s="2015">
        <v>239257.12502000001</v>
      </c>
      <c r="EY14" s="2018">
        <v>93329.346150000012</v>
      </c>
      <c r="EZ14" s="2015">
        <v>273665.49536</v>
      </c>
      <c r="FA14" s="2018">
        <v>126512.71794</v>
      </c>
      <c r="FB14" s="2015">
        <v>319563.03944000002</v>
      </c>
      <c r="FC14" s="2018">
        <v>165433.55033000003</v>
      </c>
      <c r="FD14" s="2015">
        <v>355739.04421000002</v>
      </c>
      <c r="FE14" s="2018">
        <v>193407.91370999999</v>
      </c>
      <c r="FF14" s="2015">
        <v>389781.2182</v>
      </c>
      <c r="FG14" s="2018">
        <v>219342.72477999999</v>
      </c>
      <c r="FH14" s="2015">
        <v>425081.49995000003</v>
      </c>
      <c r="FI14" s="2018">
        <v>249929.91248999999</v>
      </c>
      <c r="FJ14" s="2015">
        <v>461383.13682999997</v>
      </c>
      <c r="FK14" s="2018">
        <v>269542.59318999999</v>
      </c>
      <c r="FL14" s="2015">
        <v>504992.69643000001</v>
      </c>
      <c r="FM14" s="2018">
        <v>292552.02318000002</v>
      </c>
      <c r="FN14" s="2015">
        <v>37870.656510000001</v>
      </c>
      <c r="FO14" s="2018">
        <v>21317.333920000001</v>
      </c>
      <c r="FP14" s="2015">
        <v>80429.659349999987</v>
      </c>
      <c r="FQ14" s="2018">
        <v>59617.741200000004</v>
      </c>
      <c r="FR14" s="2015">
        <v>145030.82115</v>
      </c>
      <c r="FS14" s="2018">
        <v>95666.290259999994</v>
      </c>
      <c r="FT14" s="2015">
        <v>255140.5269</v>
      </c>
      <c r="FU14" s="2018">
        <v>127066.13561</v>
      </c>
      <c r="FV14" s="2015">
        <v>299128.04965</v>
      </c>
      <c r="FW14" s="2018">
        <v>167864.66412</v>
      </c>
      <c r="FX14" s="2015">
        <v>337898.54634</v>
      </c>
      <c r="FY14" s="2018">
        <v>231754.58392999999</v>
      </c>
      <c r="FZ14" s="2015">
        <v>378119.16833000001</v>
      </c>
      <c r="GA14" s="2018">
        <v>291983.88309000002</v>
      </c>
      <c r="GB14" s="2015">
        <v>417506.15091000003</v>
      </c>
      <c r="GC14" s="2018">
        <v>329005.93047000002</v>
      </c>
      <c r="GD14" s="2015">
        <v>460998.62855999998</v>
      </c>
      <c r="GE14" s="2018">
        <v>357663.78909999999</v>
      </c>
      <c r="GF14" s="2015">
        <v>501232.33928999997</v>
      </c>
      <c r="GG14" s="2018">
        <v>400077.18715999997</v>
      </c>
      <c r="GH14" s="2015">
        <v>545606.50850999996</v>
      </c>
      <c r="GI14" s="2018">
        <v>443469.54765000002</v>
      </c>
      <c r="GJ14" s="2015">
        <v>599197.31625999999</v>
      </c>
      <c r="GK14" s="2018">
        <v>474154.56787000003</v>
      </c>
      <c r="GL14" s="2015">
        <v>52700.822240000001</v>
      </c>
      <c r="GM14" s="2018">
        <v>28935.658640000001</v>
      </c>
      <c r="GN14" s="2015">
        <v>103640.1571</v>
      </c>
      <c r="GO14" s="2018">
        <v>68921.743950000004</v>
      </c>
      <c r="GP14" s="2015">
        <v>168454.65808000002</v>
      </c>
      <c r="GQ14" s="2018">
        <v>107372.06598999999</v>
      </c>
      <c r="GR14" s="2015">
        <v>287042.83237999998</v>
      </c>
      <c r="GS14" s="2018">
        <v>145127.16456</v>
      </c>
      <c r="GT14" s="2015">
        <v>353384.83325999998</v>
      </c>
      <c r="GU14" s="2018">
        <v>201005.09518999999</v>
      </c>
      <c r="GV14" s="2019" t="s">
        <v>3194</v>
      </c>
      <c r="GX14" s="2020"/>
      <c r="GY14" s="2020"/>
    </row>
    <row r="15" spans="1:274" s="1991" customFormat="1" ht="22.5" customHeight="1">
      <c r="A15" s="2012" t="s">
        <v>2322</v>
      </c>
      <c r="B15" s="2013">
        <v>1544.3743300000001</v>
      </c>
      <c r="C15" s="2013">
        <v>237.98935</v>
      </c>
      <c r="D15" s="2013">
        <v>3039.3586600000003</v>
      </c>
      <c r="E15" s="2013">
        <v>474.46636000000001</v>
      </c>
      <c r="F15" s="2013">
        <v>4981.7330200000006</v>
      </c>
      <c r="G15" s="2013">
        <v>677.31368000000009</v>
      </c>
      <c r="H15" s="2013">
        <v>7075.6160799999998</v>
      </c>
      <c r="I15" s="2013">
        <v>941.01624000000004</v>
      </c>
      <c r="J15" s="2013">
        <v>9636.446539999999</v>
      </c>
      <c r="K15" s="2013">
        <v>1132.1916899999999</v>
      </c>
      <c r="L15" s="2013">
        <v>12275.39293</v>
      </c>
      <c r="M15" s="2013">
        <v>1282.9238</v>
      </c>
      <c r="N15" s="2013">
        <v>15830.84562</v>
      </c>
      <c r="O15" s="2013">
        <v>1462.9217100000001</v>
      </c>
      <c r="P15" s="2013">
        <v>20513.949059999999</v>
      </c>
      <c r="Q15" s="2013">
        <v>1732.1020800000001</v>
      </c>
      <c r="R15" s="2013">
        <v>24095.737430000001</v>
      </c>
      <c r="S15" s="2013">
        <v>1845.0328</v>
      </c>
      <c r="T15" s="2013">
        <v>27849.590489999999</v>
      </c>
      <c r="U15" s="2013">
        <v>2074.7118100000002</v>
      </c>
      <c r="V15" s="2013">
        <v>32490.409469999999</v>
      </c>
      <c r="W15" s="2013">
        <v>2215.3280299999997</v>
      </c>
      <c r="X15" s="2013">
        <v>37942.389490000001</v>
      </c>
      <c r="Y15" s="2013">
        <v>2351.4934700000003</v>
      </c>
      <c r="Z15" s="2013">
        <v>3921.31585</v>
      </c>
      <c r="AA15" s="2013">
        <v>51.045699999999997</v>
      </c>
      <c r="AB15" s="2013">
        <v>8083.0420700000004</v>
      </c>
      <c r="AC15" s="2013">
        <v>148.28790000000001</v>
      </c>
      <c r="AD15" s="2013">
        <v>12746.14205</v>
      </c>
      <c r="AE15" s="2013">
        <v>281.60334999999998</v>
      </c>
      <c r="AF15" s="2013">
        <v>17982.851340000001</v>
      </c>
      <c r="AG15" s="2013">
        <v>522.90284999999994</v>
      </c>
      <c r="AH15" s="2013">
        <v>23382.388300000002</v>
      </c>
      <c r="AI15" s="2013">
        <v>612.19260999999995</v>
      </c>
      <c r="AJ15" s="2013">
        <v>26295.865180000001</v>
      </c>
      <c r="AK15" s="2013">
        <v>729.48403000000008</v>
      </c>
      <c r="AL15" s="2013">
        <v>30306.174640000001</v>
      </c>
      <c r="AM15" s="2013">
        <v>845.28152999999998</v>
      </c>
      <c r="AN15" s="2013">
        <v>34740.928700000004</v>
      </c>
      <c r="AO15" s="2013">
        <v>1104.1882900000001</v>
      </c>
      <c r="AP15" s="2013">
        <v>37960.107880000003</v>
      </c>
      <c r="AQ15" s="2013">
        <v>1217.1577</v>
      </c>
      <c r="AR15" s="2013">
        <v>41424.811900000001</v>
      </c>
      <c r="AS15" s="2013">
        <v>1390.2963999999999</v>
      </c>
      <c r="AT15" s="2013">
        <v>44494.338409999997</v>
      </c>
      <c r="AU15" s="2013">
        <v>1562.4980800000001</v>
      </c>
      <c r="AV15" s="2013">
        <v>48090.492530000003</v>
      </c>
      <c r="AW15" s="2013">
        <v>1612.9013</v>
      </c>
      <c r="AX15" s="2013">
        <v>2925.8253999999997</v>
      </c>
      <c r="AY15" s="2013">
        <v>102.87259</v>
      </c>
      <c r="AZ15" s="2013">
        <v>6048.7129100000002</v>
      </c>
      <c r="BA15" s="2013">
        <v>547.49550999999997</v>
      </c>
      <c r="BB15" s="2013">
        <v>8696.14948</v>
      </c>
      <c r="BC15" s="2013">
        <v>625.23099999999999</v>
      </c>
      <c r="BD15" s="2013">
        <v>12244.29904</v>
      </c>
      <c r="BE15" s="2013">
        <v>433.76951000000003</v>
      </c>
      <c r="BF15" s="2013">
        <v>18187.543850000002</v>
      </c>
      <c r="BG15" s="2013">
        <v>516.82632000000001</v>
      </c>
      <c r="BH15" s="2013">
        <v>22777.426050000002</v>
      </c>
      <c r="BI15" s="2013">
        <v>549.15332999999998</v>
      </c>
      <c r="BJ15" s="2013">
        <v>28633.478320000002</v>
      </c>
      <c r="BK15" s="2013">
        <v>662.38731000000007</v>
      </c>
      <c r="BL15" s="2013">
        <v>33391.308109999998</v>
      </c>
      <c r="BM15" s="2013">
        <v>762.35091</v>
      </c>
      <c r="BN15" s="2013">
        <v>37440.577859999998</v>
      </c>
      <c r="BO15" s="2013">
        <v>887.95450000000005</v>
      </c>
      <c r="BP15" s="2013">
        <v>42296.085209999997</v>
      </c>
      <c r="BQ15" s="2013">
        <v>1005.35696</v>
      </c>
      <c r="BR15" s="2013">
        <v>46150.78645</v>
      </c>
      <c r="BS15" s="2013">
        <v>1163.0068899999999</v>
      </c>
      <c r="BT15" s="2013">
        <v>48537.026100000003</v>
      </c>
      <c r="BU15" s="2013">
        <v>1249.93399</v>
      </c>
      <c r="BV15" s="2013">
        <v>2896.8254900000002</v>
      </c>
      <c r="BW15" s="2013">
        <v>165.97592</v>
      </c>
      <c r="BX15" s="2013">
        <v>6608.1522300000006</v>
      </c>
      <c r="BY15" s="2013">
        <v>227.10944000000001</v>
      </c>
      <c r="BZ15" s="2013">
        <v>10473.311659999999</v>
      </c>
      <c r="CA15" s="2013">
        <v>308.05922999999996</v>
      </c>
      <c r="CB15" s="2013">
        <v>12159.93744</v>
      </c>
      <c r="CC15" s="2013">
        <v>438.23712</v>
      </c>
      <c r="CD15" s="2013">
        <v>15030.577310000001</v>
      </c>
      <c r="CE15" s="2013">
        <v>522.11451999999997</v>
      </c>
      <c r="CF15" s="2013">
        <v>18949.247179999998</v>
      </c>
      <c r="CG15" s="2013">
        <v>549.95461999999998</v>
      </c>
      <c r="CH15" s="2013">
        <v>22993.192050000001</v>
      </c>
      <c r="CI15" s="2013">
        <v>628.96556999999996</v>
      </c>
      <c r="CJ15" s="2013">
        <v>28269.046920000001</v>
      </c>
      <c r="CK15" s="2013">
        <v>836.32603000000006</v>
      </c>
      <c r="CL15" s="2013">
        <v>33252.629959999998</v>
      </c>
      <c r="CM15" s="2013">
        <v>914.31127000000004</v>
      </c>
      <c r="CN15" s="2013">
        <v>36526.570020000006</v>
      </c>
      <c r="CO15" s="2013">
        <v>1241.44461</v>
      </c>
      <c r="CP15" s="2013">
        <v>39506.082049999997</v>
      </c>
      <c r="CQ15" s="2013">
        <v>1437.87851</v>
      </c>
      <c r="CR15" s="2013">
        <v>43130.15885</v>
      </c>
      <c r="CS15" s="2013">
        <v>4779.6490100000001</v>
      </c>
      <c r="CT15" s="2013">
        <v>2870.9665099999997</v>
      </c>
      <c r="CU15" s="2013">
        <v>395.86973999999998</v>
      </c>
      <c r="CV15" s="2013">
        <v>6293.3376600000001</v>
      </c>
      <c r="CW15" s="2013">
        <v>664.51807999999994</v>
      </c>
      <c r="CX15" s="2013">
        <v>7630.7462699999996</v>
      </c>
      <c r="CY15" s="2013">
        <v>1003.57885</v>
      </c>
      <c r="CZ15" s="2013">
        <v>8789.3066500000004</v>
      </c>
      <c r="DA15" s="2013">
        <v>1416.3785800000001</v>
      </c>
      <c r="DB15" s="2013">
        <v>12227.4139</v>
      </c>
      <c r="DC15" s="2013">
        <v>1600.9605300000001</v>
      </c>
      <c r="DD15" s="2013">
        <v>16307.184810000001</v>
      </c>
      <c r="DE15" s="2013">
        <v>1767.1540299999999</v>
      </c>
      <c r="DF15" s="2013">
        <v>21405.42484</v>
      </c>
      <c r="DG15" s="2013">
        <v>2045.6612700000001</v>
      </c>
      <c r="DH15" s="2013">
        <v>26420.384739999998</v>
      </c>
      <c r="DI15" s="2013">
        <v>2189.5987</v>
      </c>
      <c r="DJ15" s="2013">
        <v>31171.489519999999</v>
      </c>
      <c r="DK15" s="2013">
        <v>2610.720953</v>
      </c>
      <c r="DL15" s="2013">
        <v>34879.338909999999</v>
      </c>
      <c r="DM15" s="2013">
        <v>3025.0014799999999</v>
      </c>
      <c r="DN15" s="2013">
        <v>38609.938900000001</v>
      </c>
      <c r="DO15" s="2013">
        <v>3329.9130829999999</v>
      </c>
      <c r="DP15" s="2013">
        <v>41953.43838</v>
      </c>
      <c r="DQ15" s="2014">
        <v>3968.0399499999999</v>
      </c>
      <c r="DR15" s="2015">
        <v>2295.3569299999999</v>
      </c>
      <c r="DS15" s="2016">
        <v>268.31844000000001</v>
      </c>
      <c r="DT15" s="2017">
        <v>4805.47523</v>
      </c>
      <c r="DU15" s="2014">
        <v>643.09303999999997</v>
      </c>
      <c r="DV15" s="2015">
        <v>6887.0745699999998</v>
      </c>
      <c r="DW15" s="2016">
        <v>892.10815000000002</v>
      </c>
      <c r="DX15" s="2017">
        <v>8917.0786700000008</v>
      </c>
      <c r="DY15" s="2014">
        <v>1143.6056799999999</v>
      </c>
      <c r="DZ15" s="2015">
        <v>10901.78752</v>
      </c>
      <c r="EA15" s="2016">
        <v>1506.57972</v>
      </c>
      <c r="EB15" s="2017">
        <v>12816.8568</v>
      </c>
      <c r="EC15" s="2014">
        <v>1677.61608</v>
      </c>
      <c r="ED15" s="2015">
        <v>15204.094520000001</v>
      </c>
      <c r="EE15" s="2016">
        <v>1816.79062</v>
      </c>
      <c r="EF15" s="2015">
        <v>17308.821540000001</v>
      </c>
      <c r="EG15" s="2018">
        <v>1858.4790700000001</v>
      </c>
      <c r="EH15" s="2017">
        <v>19690.365440000001</v>
      </c>
      <c r="EI15" s="2016">
        <v>1982.85616</v>
      </c>
      <c r="EJ15" s="2017">
        <v>21963.018479999999</v>
      </c>
      <c r="EK15" s="2016">
        <v>2112.4565699999998</v>
      </c>
      <c r="EL15" s="2015">
        <v>23977.634109999999</v>
      </c>
      <c r="EM15" s="2018">
        <v>2286.4353700000001</v>
      </c>
      <c r="EN15" s="2015">
        <v>25852.231960000001</v>
      </c>
      <c r="EO15" s="2018">
        <v>2519.5404199999998</v>
      </c>
      <c r="EP15" s="2015">
        <v>1821.70471</v>
      </c>
      <c r="EQ15" s="2018">
        <v>100.45924000000001</v>
      </c>
      <c r="ER15" s="2015">
        <v>4153.6512899999998</v>
      </c>
      <c r="ES15" s="2018">
        <v>164.27304000000001</v>
      </c>
      <c r="ET15" s="2015">
        <v>6562.5130399999998</v>
      </c>
      <c r="EU15" s="2018">
        <v>384.51778000000002</v>
      </c>
      <c r="EV15" s="2015">
        <v>8725.5713099999994</v>
      </c>
      <c r="EW15" s="2018">
        <v>470.56409000000002</v>
      </c>
      <c r="EX15" s="2015">
        <v>11022.1625</v>
      </c>
      <c r="EY15" s="2018">
        <v>588.97349999999994</v>
      </c>
      <c r="EZ15" s="2015">
        <v>13231.0615</v>
      </c>
      <c r="FA15" s="2018">
        <v>744.68898999999999</v>
      </c>
      <c r="FB15" s="2015">
        <v>16356.150730000001</v>
      </c>
      <c r="FC15" s="2018">
        <v>790.15614000000005</v>
      </c>
      <c r="FD15" s="2015">
        <v>18808.553950000001</v>
      </c>
      <c r="FE15" s="2018">
        <v>1018.68429</v>
      </c>
      <c r="FF15" s="2015">
        <v>25362.719350000003</v>
      </c>
      <c r="FG15" s="2018">
        <v>1199.4527399999999</v>
      </c>
      <c r="FH15" s="2015">
        <v>28109.388859999999</v>
      </c>
      <c r="FI15" s="2018">
        <v>1697.9730999999999</v>
      </c>
      <c r="FJ15" s="2015">
        <v>30460.62702</v>
      </c>
      <c r="FK15" s="2018">
        <v>1976.2621899999999</v>
      </c>
      <c r="FL15" s="2015">
        <v>32931.702519999999</v>
      </c>
      <c r="FM15" s="2018">
        <v>2030.2056599999999</v>
      </c>
      <c r="FN15" s="2015">
        <v>1999.3978</v>
      </c>
      <c r="FO15" s="2018">
        <v>233.08044000000001</v>
      </c>
      <c r="FP15" s="2015">
        <v>5282.1114000000007</v>
      </c>
      <c r="FQ15" s="2018">
        <v>378.00101000000001</v>
      </c>
      <c r="FR15" s="2015">
        <v>8131.7620900000002</v>
      </c>
      <c r="FS15" s="2018">
        <v>667.59451000000001</v>
      </c>
      <c r="FT15" s="2015">
        <v>11685.174059999999</v>
      </c>
      <c r="FU15" s="2018">
        <v>817.82500000000005</v>
      </c>
      <c r="FV15" s="2015">
        <v>14148.661029999999</v>
      </c>
      <c r="FW15" s="2018">
        <v>882.32384000000002</v>
      </c>
      <c r="FX15" s="2015">
        <v>15623.715169999999</v>
      </c>
      <c r="FY15" s="2018">
        <v>1084.3796600000001</v>
      </c>
      <c r="FZ15" s="2015">
        <v>17456.023430000001</v>
      </c>
      <c r="GA15" s="2018">
        <v>1260.4317000000001</v>
      </c>
      <c r="GB15" s="2015">
        <v>19416.148450000001</v>
      </c>
      <c r="GC15" s="2018">
        <v>1487.79393</v>
      </c>
      <c r="GD15" s="2015">
        <v>25580.437379999999</v>
      </c>
      <c r="GE15" s="2018">
        <v>1845.3198500000001</v>
      </c>
      <c r="GF15" s="2015">
        <v>29525.93533</v>
      </c>
      <c r="GG15" s="2018">
        <v>2288.2536700000001</v>
      </c>
      <c r="GH15" s="2015">
        <v>32000.92051</v>
      </c>
      <c r="GI15" s="2018">
        <v>2410.6186899999998</v>
      </c>
      <c r="GJ15" s="2015">
        <v>34182.187539999999</v>
      </c>
      <c r="GK15" s="2018">
        <v>2645.85367</v>
      </c>
      <c r="GL15" s="2015">
        <v>2283.3493699999999</v>
      </c>
      <c r="GM15" s="2018">
        <v>71.685010000000005</v>
      </c>
      <c r="GN15" s="2015">
        <v>5287.8683300000002</v>
      </c>
      <c r="GO15" s="2018">
        <v>501.74860999999999</v>
      </c>
      <c r="GP15" s="2015">
        <v>7977.7989800000005</v>
      </c>
      <c r="GQ15" s="2018">
        <v>626.65526999999997</v>
      </c>
      <c r="GR15" s="2015">
        <v>10895.094300000001</v>
      </c>
      <c r="GS15" s="2018">
        <v>897.37332000000004</v>
      </c>
      <c r="GT15" s="2015">
        <v>13661.26928</v>
      </c>
      <c r="GU15" s="2018">
        <v>1151.3654100000001</v>
      </c>
      <c r="GV15" s="2019" t="s">
        <v>3195</v>
      </c>
    </row>
    <row r="16" spans="1:274" s="1991" customFormat="1" ht="22.5" customHeight="1">
      <c r="A16" s="2019" t="s">
        <v>2321</v>
      </c>
      <c r="B16" s="2013">
        <v>54.472580000000001</v>
      </c>
      <c r="C16" s="2013">
        <v>0</v>
      </c>
      <c r="D16" s="2013">
        <v>122.98082000000001</v>
      </c>
      <c r="E16" s="2013">
        <v>0</v>
      </c>
      <c r="F16" s="2013">
        <v>204.8665</v>
      </c>
      <c r="G16" s="2013">
        <v>0</v>
      </c>
      <c r="H16" s="2013">
        <v>292.69079999999997</v>
      </c>
      <c r="I16" s="2013">
        <v>0</v>
      </c>
      <c r="J16" s="2013">
        <v>388.50900000000001</v>
      </c>
      <c r="K16" s="2013">
        <v>0</v>
      </c>
      <c r="L16" s="2013">
        <v>495.66929118000002</v>
      </c>
      <c r="M16" s="2013">
        <v>0</v>
      </c>
      <c r="N16" s="2013">
        <v>633.37519999999995</v>
      </c>
      <c r="O16" s="2013">
        <v>0</v>
      </c>
      <c r="P16" s="2013">
        <v>855.68485999999996</v>
      </c>
      <c r="Q16" s="2013">
        <v>0</v>
      </c>
      <c r="R16" s="2013">
        <v>1006.3415</v>
      </c>
      <c r="S16" s="2013">
        <v>0</v>
      </c>
      <c r="T16" s="2013">
        <v>1637.2521399999998</v>
      </c>
      <c r="U16" s="2013">
        <v>0</v>
      </c>
      <c r="V16" s="2013">
        <v>1810.2138200000002</v>
      </c>
      <c r="W16" s="2013">
        <v>0</v>
      </c>
      <c r="X16" s="2013">
        <v>1868.2073300000002</v>
      </c>
      <c r="Y16" s="2013">
        <v>0</v>
      </c>
      <c r="Z16" s="2013">
        <v>151.51146</v>
      </c>
      <c r="AA16" s="2013">
        <v>0</v>
      </c>
      <c r="AB16" s="2013">
        <v>341.08987000000002</v>
      </c>
      <c r="AC16" s="2013">
        <v>0</v>
      </c>
      <c r="AD16" s="2013">
        <v>532.88656999999989</v>
      </c>
      <c r="AE16" s="2013">
        <v>0</v>
      </c>
      <c r="AF16" s="2013">
        <v>881.28120999999999</v>
      </c>
      <c r="AG16" s="2013">
        <v>0</v>
      </c>
      <c r="AH16" s="2013">
        <v>1356.4846499999999</v>
      </c>
      <c r="AI16" s="2013">
        <v>0</v>
      </c>
      <c r="AJ16" s="2013">
        <v>1630.7734399999999</v>
      </c>
      <c r="AK16" s="2013">
        <v>0</v>
      </c>
      <c r="AL16" s="2013">
        <v>1923.3008400000001</v>
      </c>
      <c r="AM16" s="2013">
        <v>0</v>
      </c>
      <c r="AN16" s="2013">
        <v>2334.75461</v>
      </c>
      <c r="AO16" s="2013">
        <v>0</v>
      </c>
      <c r="AP16" s="2013">
        <v>2644.56853</v>
      </c>
      <c r="AQ16" s="2013">
        <v>0</v>
      </c>
      <c r="AR16" s="2013">
        <v>2869.9008199999998</v>
      </c>
      <c r="AS16" s="2013">
        <v>0</v>
      </c>
      <c r="AT16" s="2013">
        <v>3100.4574499999999</v>
      </c>
      <c r="AU16" s="2013">
        <v>0</v>
      </c>
      <c r="AV16" s="2013">
        <v>3388.4390600000002</v>
      </c>
      <c r="AW16" s="2013">
        <v>0</v>
      </c>
      <c r="AX16" s="2013">
        <v>244.53064999999998</v>
      </c>
      <c r="AY16" s="2013">
        <v>0</v>
      </c>
      <c r="AZ16" s="2013">
        <v>531.85152000000005</v>
      </c>
      <c r="BA16" s="2013">
        <v>0</v>
      </c>
      <c r="BB16" s="2013">
        <v>742.35668999999996</v>
      </c>
      <c r="BC16" s="2013">
        <v>0</v>
      </c>
      <c r="BD16" s="2013">
        <v>1144.56024</v>
      </c>
      <c r="BE16" s="2013">
        <v>0</v>
      </c>
      <c r="BF16" s="2013">
        <v>1651.3817099999999</v>
      </c>
      <c r="BG16" s="2013">
        <v>0</v>
      </c>
      <c r="BH16" s="2013">
        <v>2048.26413</v>
      </c>
      <c r="BI16" s="2013">
        <v>0</v>
      </c>
      <c r="BJ16" s="2013">
        <v>2645.4960799999999</v>
      </c>
      <c r="BK16" s="2013">
        <v>0</v>
      </c>
      <c r="BL16" s="2013">
        <v>3034.0666699999997</v>
      </c>
      <c r="BM16" s="2013">
        <v>0</v>
      </c>
      <c r="BN16" s="2013">
        <v>3469.9316400000002</v>
      </c>
      <c r="BO16" s="2013">
        <v>0</v>
      </c>
      <c r="BP16" s="2013">
        <v>3862.8373900000001</v>
      </c>
      <c r="BQ16" s="2013">
        <v>0</v>
      </c>
      <c r="BR16" s="2013">
        <v>4150.2928000000002</v>
      </c>
      <c r="BS16" s="2013">
        <v>0</v>
      </c>
      <c r="BT16" s="2013">
        <v>4373.5182599999998</v>
      </c>
      <c r="BU16" s="2013">
        <v>0</v>
      </c>
      <c r="BV16" s="2013">
        <v>38.748220000000003</v>
      </c>
      <c r="BW16" s="2013">
        <v>0</v>
      </c>
      <c r="BX16" s="2013">
        <v>119.57725000000001</v>
      </c>
      <c r="BY16" s="2013">
        <v>0</v>
      </c>
      <c r="BZ16" s="2013">
        <v>156.77452</v>
      </c>
      <c r="CA16" s="2013">
        <v>0</v>
      </c>
      <c r="CB16" s="2013">
        <v>202.77495000000002</v>
      </c>
      <c r="CC16" s="2013">
        <v>0</v>
      </c>
      <c r="CD16" s="2013">
        <v>237.73770999999999</v>
      </c>
      <c r="CE16" s="2013">
        <v>0</v>
      </c>
      <c r="CF16" s="2013">
        <v>287.51284000000004</v>
      </c>
      <c r="CG16" s="2013">
        <v>0</v>
      </c>
      <c r="CH16" s="2013">
        <v>327.95744999999999</v>
      </c>
      <c r="CI16" s="2013">
        <v>0</v>
      </c>
      <c r="CJ16" s="2013">
        <v>427.07625000000002</v>
      </c>
      <c r="CK16" s="2013">
        <v>0</v>
      </c>
      <c r="CL16" s="2013">
        <v>696.96780000000001</v>
      </c>
      <c r="CM16" s="2013">
        <v>0</v>
      </c>
      <c r="CN16" s="2013">
        <v>746.59579000000008</v>
      </c>
      <c r="CO16" s="2013">
        <v>0</v>
      </c>
      <c r="CP16" s="2013">
        <v>792.51585</v>
      </c>
      <c r="CQ16" s="2013">
        <v>0</v>
      </c>
      <c r="CR16" s="2013">
        <v>843.48764000000006</v>
      </c>
      <c r="CS16" s="2013">
        <v>0</v>
      </c>
      <c r="CT16" s="2013">
        <v>41.055620000000005</v>
      </c>
      <c r="CU16" s="2013">
        <v>0</v>
      </c>
      <c r="CV16" s="2013">
        <v>517.84114999999997</v>
      </c>
      <c r="CW16" s="2013">
        <v>0</v>
      </c>
      <c r="CX16" s="2013">
        <v>622.24502000000007</v>
      </c>
      <c r="CY16" s="2013">
        <v>0</v>
      </c>
      <c r="CZ16" s="2013">
        <v>727.50630000000001</v>
      </c>
      <c r="DA16" s="2013">
        <v>0</v>
      </c>
      <c r="DB16" s="2013">
        <v>1031.2154599999999</v>
      </c>
      <c r="DC16" s="2013">
        <v>0</v>
      </c>
      <c r="DD16" s="2013">
        <v>1394.3331000000001</v>
      </c>
      <c r="DE16" s="2013">
        <v>0</v>
      </c>
      <c r="DF16" s="2013">
        <v>1821.38786</v>
      </c>
      <c r="DG16" s="2013">
        <v>0</v>
      </c>
      <c r="DH16" s="2013">
        <v>2265.75956</v>
      </c>
      <c r="DI16" s="2013">
        <v>0</v>
      </c>
      <c r="DJ16" s="2013">
        <v>2674.84852</v>
      </c>
      <c r="DK16" s="2013">
        <v>0</v>
      </c>
      <c r="DL16" s="2013">
        <v>3177.2068199999999</v>
      </c>
      <c r="DM16" s="2013">
        <v>0</v>
      </c>
      <c r="DN16" s="2013">
        <v>3487.6472699999999</v>
      </c>
      <c r="DO16" s="2013">
        <v>0</v>
      </c>
      <c r="DP16" s="2013">
        <v>3783.7116000000001</v>
      </c>
      <c r="DQ16" s="2014">
        <v>0</v>
      </c>
      <c r="DR16" s="2015">
        <v>83.925880000000006</v>
      </c>
      <c r="DS16" s="2016">
        <v>0</v>
      </c>
      <c r="DT16" s="2017">
        <v>199.50855000000001</v>
      </c>
      <c r="DU16" s="2014">
        <v>0</v>
      </c>
      <c r="DV16" s="2015">
        <v>291.90368000000001</v>
      </c>
      <c r="DW16" s="2016">
        <v>0</v>
      </c>
      <c r="DX16" s="2017">
        <v>412.8603</v>
      </c>
      <c r="DY16" s="2014">
        <v>0</v>
      </c>
      <c r="DZ16" s="2015">
        <v>516.12222999999994</v>
      </c>
      <c r="EA16" s="2016">
        <v>0</v>
      </c>
      <c r="EB16" s="2017">
        <v>616.71684000000005</v>
      </c>
      <c r="EC16" s="2014">
        <v>20.184480000000001</v>
      </c>
      <c r="ED16" s="2015">
        <v>709.55384000000004</v>
      </c>
      <c r="EE16" s="2016">
        <v>25.620850000000001</v>
      </c>
      <c r="EF16" s="2015">
        <v>807.56763000000001</v>
      </c>
      <c r="EG16" s="2018">
        <v>27.348400000000002</v>
      </c>
      <c r="EH16" s="2017">
        <v>930.08151999999995</v>
      </c>
      <c r="EI16" s="2016">
        <v>29.672429999999999</v>
      </c>
      <c r="EJ16" s="2017">
        <v>1204.67311</v>
      </c>
      <c r="EK16" s="2016">
        <v>32.265599999999999</v>
      </c>
      <c r="EL16" s="2015">
        <v>1327.15059</v>
      </c>
      <c r="EM16" s="2018">
        <v>43.956009999999999</v>
      </c>
      <c r="EN16" s="2015">
        <v>1208.24533</v>
      </c>
      <c r="EO16" s="2018">
        <v>48.273739999999997</v>
      </c>
      <c r="EP16" s="2015">
        <v>84.52188000000001</v>
      </c>
      <c r="EQ16" s="2018">
        <v>0</v>
      </c>
      <c r="ER16" s="2015">
        <v>265.84258</v>
      </c>
      <c r="ES16" s="2018">
        <v>3.84937</v>
      </c>
      <c r="ET16" s="2015">
        <v>454.24297999999999</v>
      </c>
      <c r="EU16" s="2018">
        <v>4.8943300000000001</v>
      </c>
      <c r="EV16" s="2015">
        <v>571.08981000000006</v>
      </c>
      <c r="EW16" s="2018">
        <v>6.3194499999999998</v>
      </c>
      <c r="EX16" s="2015">
        <v>696.96834000000001</v>
      </c>
      <c r="EY16" s="2018">
        <v>8.0158900000000006</v>
      </c>
      <c r="EZ16" s="2015">
        <v>797.51156000000003</v>
      </c>
      <c r="FA16" s="2018">
        <v>9.5173400000000008</v>
      </c>
      <c r="FB16" s="2015">
        <v>996.32281999999998</v>
      </c>
      <c r="FC16" s="2018">
        <v>20.16544</v>
      </c>
      <c r="FD16" s="2015">
        <v>1170.6956399999999</v>
      </c>
      <c r="FE16" s="2018">
        <v>44.311729999999997</v>
      </c>
      <c r="FF16" s="2015">
        <v>1359.09032</v>
      </c>
      <c r="FG16" s="2018">
        <v>68.008099999999999</v>
      </c>
      <c r="FH16" s="2015">
        <v>1552.7937999999999</v>
      </c>
      <c r="FI16" s="2018">
        <v>69.553250000000006</v>
      </c>
      <c r="FJ16" s="2015">
        <v>1764.0330899999999</v>
      </c>
      <c r="FK16" s="2018">
        <v>77.404679999999999</v>
      </c>
      <c r="FL16" s="2015">
        <v>1928.5048700000002</v>
      </c>
      <c r="FM16" s="2018">
        <v>146.61273</v>
      </c>
      <c r="FN16" s="2015">
        <v>109.31189000000001</v>
      </c>
      <c r="FO16" s="2018">
        <v>8.2194599999999998</v>
      </c>
      <c r="FP16" s="2015">
        <v>670.68444</v>
      </c>
      <c r="FQ16" s="2018">
        <v>36.678470000000004</v>
      </c>
      <c r="FR16" s="2015">
        <v>999.26978999999994</v>
      </c>
      <c r="FS16" s="2018">
        <v>38.954030000000003</v>
      </c>
      <c r="FT16" s="2015">
        <v>1364.86636</v>
      </c>
      <c r="FU16" s="2018">
        <v>40.365580000000001</v>
      </c>
      <c r="FV16" s="2015">
        <v>1705.1242400000001</v>
      </c>
      <c r="FW16" s="2018">
        <v>44.536839999999998</v>
      </c>
      <c r="FX16" s="2015">
        <v>1935.4684600000001</v>
      </c>
      <c r="FY16" s="2018">
        <v>85.771789999999996</v>
      </c>
      <c r="FZ16" s="2015">
        <v>2219.1927500000002</v>
      </c>
      <c r="GA16" s="2018">
        <v>87.744829999999993</v>
      </c>
      <c r="GB16" s="2015">
        <v>2503.3528799999999</v>
      </c>
      <c r="GC16" s="2018">
        <v>89.487530000000007</v>
      </c>
      <c r="GD16" s="2015">
        <v>2810.5189999999998</v>
      </c>
      <c r="GE16" s="2018">
        <v>145.65145000000001</v>
      </c>
      <c r="GF16" s="2015">
        <v>3075.45433</v>
      </c>
      <c r="GG16" s="2018">
        <v>165.08330000000001</v>
      </c>
      <c r="GH16" s="2015">
        <v>3343.91921</v>
      </c>
      <c r="GI16" s="2018">
        <v>193.03285</v>
      </c>
      <c r="GJ16" s="2015">
        <v>3608.4243099999999</v>
      </c>
      <c r="GK16" s="2018">
        <v>198.96046999999999</v>
      </c>
      <c r="GL16" s="2015">
        <v>312.71771000000001</v>
      </c>
      <c r="GM16" s="2018">
        <v>2.2919999999999998</v>
      </c>
      <c r="GN16" s="2015">
        <v>573.10779000000002</v>
      </c>
      <c r="GO16" s="2018">
        <v>80.326279999999997</v>
      </c>
      <c r="GP16" s="2015">
        <v>817.91057999999998</v>
      </c>
      <c r="GQ16" s="2018">
        <v>151.26246</v>
      </c>
      <c r="GR16" s="2015">
        <v>1193.56575</v>
      </c>
      <c r="GS16" s="2018">
        <v>183.68333999999999</v>
      </c>
      <c r="GT16" s="2015">
        <v>1657.8393100000001</v>
      </c>
      <c r="GU16" s="2018">
        <v>205.97138000000001</v>
      </c>
      <c r="GV16" s="2021" t="s">
        <v>3429</v>
      </c>
      <c r="GZ16" s="2022"/>
    </row>
    <row r="17" spans="1:206" s="1991" customFormat="1" ht="22.5" customHeight="1">
      <c r="A17" s="2012" t="s">
        <v>2320</v>
      </c>
      <c r="B17" s="2013">
        <v>7.6529999999999996</v>
      </c>
      <c r="C17" s="2013">
        <v>0</v>
      </c>
      <c r="D17" s="2013">
        <v>15.73061</v>
      </c>
      <c r="E17" s="2013">
        <v>0</v>
      </c>
      <c r="F17" s="2013">
        <v>28.785889999999998</v>
      </c>
      <c r="G17" s="2013">
        <v>5</v>
      </c>
      <c r="H17" s="2013">
        <v>36.271370000000005</v>
      </c>
      <c r="I17" s="2013">
        <v>5</v>
      </c>
      <c r="J17" s="2013">
        <v>45.581150000000001</v>
      </c>
      <c r="K17" s="2013">
        <v>7.4249999999999998</v>
      </c>
      <c r="L17" s="2013">
        <v>53.359438819000005</v>
      </c>
      <c r="M17" s="2013">
        <v>9.85</v>
      </c>
      <c r="N17" s="2013">
        <v>61.741010000000003</v>
      </c>
      <c r="O17" s="2013">
        <v>9.85</v>
      </c>
      <c r="P17" s="2013">
        <v>103.93774999999999</v>
      </c>
      <c r="Q17" s="2013">
        <v>9.85</v>
      </c>
      <c r="R17" s="2013">
        <v>100.41189999999999</v>
      </c>
      <c r="S17" s="2013">
        <v>9.85</v>
      </c>
      <c r="T17" s="2013">
        <v>105.79583</v>
      </c>
      <c r="U17" s="2013">
        <v>9.85</v>
      </c>
      <c r="V17" s="2013">
        <v>113.06705000000001</v>
      </c>
      <c r="W17" s="2013">
        <v>9.85</v>
      </c>
      <c r="X17" s="2013">
        <v>117.51663000000001</v>
      </c>
      <c r="Y17" s="2013">
        <v>9.85</v>
      </c>
      <c r="Z17" s="2013">
        <v>7.1914999999999996</v>
      </c>
      <c r="AA17" s="2013">
        <v>0</v>
      </c>
      <c r="AB17" s="2013">
        <v>15.098780000000001</v>
      </c>
      <c r="AC17" s="2013">
        <v>0</v>
      </c>
      <c r="AD17" s="2013">
        <v>16.26559</v>
      </c>
      <c r="AE17" s="2013">
        <v>0</v>
      </c>
      <c r="AF17" s="2013">
        <v>25.817080000000001</v>
      </c>
      <c r="AG17" s="2013">
        <v>0</v>
      </c>
      <c r="AH17" s="2013">
        <v>32.176409999999997</v>
      </c>
      <c r="AI17" s="2013">
        <v>0</v>
      </c>
      <c r="AJ17" s="2013">
        <v>46.67615</v>
      </c>
      <c r="AK17" s="2013">
        <v>0</v>
      </c>
      <c r="AL17" s="2013">
        <v>57.342869999999998</v>
      </c>
      <c r="AM17" s="2013">
        <v>0</v>
      </c>
      <c r="AN17" s="2013">
        <v>101.17357000000001</v>
      </c>
      <c r="AO17" s="2013">
        <v>0</v>
      </c>
      <c r="AP17" s="2013">
        <v>246.58085999999997</v>
      </c>
      <c r="AQ17" s="2013">
        <v>0</v>
      </c>
      <c r="AR17" s="2013">
        <v>252.11303000000001</v>
      </c>
      <c r="AS17" s="2013">
        <v>0</v>
      </c>
      <c r="AT17" s="2013">
        <v>257.47712999999999</v>
      </c>
      <c r="AU17" s="2013">
        <v>0</v>
      </c>
      <c r="AV17" s="2013">
        <v>277.96587</v>
      </c>
      <c r="AW17" s="2013">
        <v>0</v>
      </c>
      <c r="AX17" s="2013">
        <v>6.7227200000000007</v>
      </c>
      <c r="AY17" s="2013">
        <v>0</v>
      </c>
      <c r="AZ17" s="2013">
        <v>16.444780000000002</v>
      </c>
      <c r="BA17" s="2013">
        <v>0</v>
      </c>
      <c r="BB17" s="2013">
        <v>23.074339999999999</v>
      </c>
      <c r="BC17" s="2013">
        <v>0</v>
      </c>
      <c r="BD17" s="2013">
        <v>41.491620000000005</v>
      </c>
      <c r="BE17" s="2013">
        <v>0</v>
      </c>
      <c r="BF17" s="2013">
        <v>66.059830000000005</v>
      </c>
      <c r="BG17" s="2013">
        <v>0</v>
      </c>
      <c r="BH17" s="2013">
        <v>94.754050000000007</v>
      </c>
      <c r="BI17" s="2013">
        <v>0</v>
      </c>
      <c r="BJ17" s="2013">
        <v>142.69320000000002</v>
      </c>
      <c r="BK17" s="2013">
        <v>0</v>
      </c>
      <c r="BL17" s="2013">
        <v>218.4734</v>
      </c>
      <c r="BM17" s="2013">
        <v>0</v>
      </c>
      <c r="BN17" s="2013">
        <v>393.16416999999996</v>
      </c>
      <c r="BO17" s="2013">
        <v>0</v>
      </c>
      <c r="BP17" s="2013">
        <v>434.50752</v>
      </c>
      <c r="BQ17" s="2013">
        <v>0</v>
      </c>
      <c r="BR17" s="2013">
        <v>324.53058000000004</v>
      </c>
      <c r="BS17" s="2013">
        <v>0</v>
      </c>
      <c r="BT17" s="2013">
        <v>350.59750000000003</v>
      </c>
      <c r="BU17" s="2013">
        <v>0</v>
      </c>
      <c r="BV17" s="2013">
        <v>20.175909999999998</v>
      </c>
      <c r="BW17" s="2013">
        <v>0</v>
      </c>
      <c r="BX17" s="2013">
        <v>49.788599999999995</v>
      </c>
      <c r="BY17" s="2013">
        <v>0</v>
      </c>
      <c r="BZ17" s="2013">
        <v>123.06393</v>
      </c>
      <c r="CA17" s="2013">
        <v>0</v>
      </c>
      <c r="CB17" s="2013">
        <v>139.41469000000001</v>
      </c>
      <c r="CC17" s="2013">
        <v>0</v>
      </c>
      <c r="CD17" s="2013">
        <v>158.77139000000003</v>
      </c>
      <c r="CE17" s="2013">
        <v>0</v>
      </c>
      <c r="CF17" s="2013">
        <v>187.76131000000001</v>
      </c>
      <c r="CG17" s="2013">
        <v>0</v>
      </c>
      <c r="CH17" s="2013">
        <v>216.19716</v>
      </c>
      <c r="CI17" s="2013">
        <v>0</v>
      </c>
      <c r="CJ17" s="2013">
        <v>319.29374000000001</v>
      </c>
      <c r="CK17" s="2013">
        <v>0</v>
      </c>
      <c r="CL17" s="2013">
        <v>369.78578000000005</v>
      </c>
      <c r="CM17" s="2013">
        <v>0</v>
      </c>
      <c r="CN17" s="2013">
        <v>409.77728000000002</v>
      </c>
      <c r="CO17" s="2013">
        <v>0</v>
      </c>
      <c r="CP17" s="2013">
        <v>437.70447999999999</v>
      </c>
      <c r="CQ17" s="2013">
        <v>0</v>
      </c>
      <c r="CR17" s="2013">
        <v>478.89121</v>
      </c>
      <c r="CS17" s="2013">
        <v>0</v>
      </c>
      <c r="CT17" s="2013">
        <v>47.838389999999997</v>
      </c>
      <c r="CU17" s="2013">
        <v>5</v>
      </c>
      <c r="CV17" s="2013">
        <v>100.90608</v>
      </c>
      <c r="CW17" s="2013">
        <v>5</v>
      </c>
      <c r="CX17" s="2013">
        <v>160.38676000000001</v>
      </c>
      <c r="CY17" s="2013">
        <v>5</v>
      </c>
      <c r="CZ17" s="2013">
        <v>249.88654</v>
      </c>
      <c r="DA17" s="2013">
        <v>5</v>
      </c>
      <c r="DB17" s="2013">
        <v>300.31085999999999</v>
      </c>
      <c r="DC17" s="2013">
        <v>15</v>
      </c>
      <c r="DD17" s="2013">
        <v>354.81996999999996</v>
      </c>
      <c r="DE17" s="2013">
        <v>15</v>
      </c>
      <c r="DF17" s="2013">
        <v>435.28595000000001</v>
      </c>
      <c r="DG17" s="2013">
        <v>15</v>
      </c>
      <c r="DH17" s="2013">
        <v>543.55657999999994</v>
      </c>
      <c r="DI17" s="2013">
        <v>20</v>
      </c>
      <c r="DJ17" s="2013">
        <v>779.95813999999996</v>
      </c>
      <c r="DK17" s="2013">
        <v>20</v>
      </c>
      <c r="DL17" s="2013">
        <v>831.84145000000001</v>
      </c>
      <c r="DM17" s="2013">
        <v>20</v>
      </c>
      <c r="DN17" s="2013">
        <v>884.87149999999997</v>
      </c>
      <c r="DO17" s="2013">
        <v>25</v>
      </c>
      <c r="DP17" s="2013">
        <v>939.32438000000002</v>
      </c>
      <c r="DQ17" s="2014">
        <v>27</v>
      </c>
      <c r="DR17" s="2015">
        <v>89.439059999999998</v>
      </c>
      <c r="DS17" s="2016">
        <v>0</v>
      </c>
      <c r="DT17" s="2017">
        <v>170.90763000000001</v>
      </c>
      <c r="DU17" s="2014">
        <v>0</v>
      </c>
      <c r="DV17" s="2015">
        <v>248.61556999999999</v>
      </c>
      <c r="DW17" s="2016">
        <v>0</v>
      </c>
      <c r="DX17" s="2017">
        <v>352.05151999999998</v>
      </c>
      <c r="DY17" s="2014">
        <v>0</v>
      </c>
      <c r="DZ17" s="2015">
        <v>439.54745000000003</v>
      </c>
      <c r="EA17" s="2016">
        <v>5</v>
      </c>
      <c r="EB17" s="2017">
        <v>532.78597000000002</v>
      </c>
      <c r="EC17" s="2014">
        <v>30</v>
      </c>
      <c r="ED17" s="2015">
        <v>611.74177999999995</v>
      </c>
      <c r="EE17" s="2016">
        <v>30</v>
      </c>
      <c r="EF17" s="2015">
        <v>700.79007000000001</v>
      </c>
      <c r="EG17" s="2018">
        <v>30.1</v>
      </c>
      <c r="EH17" s="2017">
        <v>1073.7493400000001</v>
      </c>
      <c r="EI17" s="2016">
        <v>55.2</v>
      </c>
      <c r="EJ17" s="2017">
        <v>1158.46136</v>
      </c>
      <c r="EK17" s="2016">
        <v>60.2</v>
      </c>
      <c r="EL17" s="2015">
        <v>1265.41561</v>
      </c>
      <c r="EM17" s="2018">
        <v>60.2</v>
      </c>
      <c r="EN17" s="2015">
        <v>1341.2893899999999</v>
      </c>
      <c r="EO17" s="2018">
        <v>60.2</v>
      </c>
      <c r="EP17" s="2015">
        <v>104.80425</v>
      </c>
      <c r="EQ17" s="2018">
        <v>0</v>
      </c>
      <c r="ER17" s="2015">
        <v>281.11715999999996</v>
      </c>
      <c r="ES17" s="2018">
        <v>0.15</v>
      </c>
      <c r="ET17" s="2015">
        <v>530.41700000000003</v>
      </c>
      <c r="EU17" s="2018">
        <v>0.15</v>
      </c>
      <c r="EV17" s="2015">
        <v>780.44016999999997</v>
      </c>
      <c r="EW17" s="2018">
        <v>0.15</v>
      </c>
      <c r="EX17" s="2015">
        <v>913.57882999999993</v>
      </c>
      <c r="EY17" s="2018">
        <v>0.15</v>
      </c>
      <c r="EZ17" s="2015">
        <v>1088.5085200000001</v>
      </c>
      <c r="FA17" s="2018">
        <v>11.55</v>
      </c>
      <c r="FB17" s="2015">
        <v>1391.4951000000001</v>
      </c>
      <c r="FC17" s="2018">
        <v>15.55</v>
      </c>
      <c r="FD17" s="2015">
        <v>1642.6646599999999</v>
      </c>
      <c r="FE17" s="2018">
        <v>20.55</v>
      </c>
      <c r="FF17" s="2015">
        <v>4342.3167800000001</v>
      </c>
      <c r="FG17" s="2018">
        <v>26.55</v>
      </c>
      <c r="FH17" s="2015">
        <v>4763.1450599999998</v>
      </c>
      <c r="FI17" s="2018">
        <v>33.549999999999997</v>
      </c>
      <c r="FJ17" s="2015">
        <v>5110.7905799999999</v>
      </c>
      <c r="FK17" s="2018">
        <v>33.549999999999997</v>
      </c>
      <c r="FL17" s="2015">
        <v>5350.3388399999994</v>
      </c>
      <c r="FM17" s="2018">
        <v>64.55</v>
      </c>
      <c r="FN17" s="2015">
        <v>192.50843</v>
      </c>
      <c r="FO17" s="2018">
        <v>0</v>
      </c>
      <c r="FP17" s="2015">
        <v>692.84050000000002</v>
      </c>
      <c r="FQ17" s="2018">
        <v>13.75</v>
      </c>
      <c r="FR17" s="2015">
        <v>1158.5396900000001</v>
      </c>
      <c r="FS17" s="2018">
        <v>44.25</v>
      </c>
      <c r="FT17" s="2015">
        <v>1630.5782999999999</v>
      </c>
      <c r="FU17" s="2018">
        <v>69</v>
      </c>
      <c r="FV17" s="2015">
        <v>1938.6585299999999</v>
      </c>
      <c r="FW17" s="2018">
        <v>92</v>
      </c>
      <c r="FX17" s="2015">
        <v>2270.4795100000001</v>
      </c>
      <c r="FY17" s="2018">
        <v>168.75</v>
      </c>
      <c r="FZ17" s="2015">
        <v>2653.92902</v>
      </c>
      <c r="GA17" s="2018">
        <v>185.25</v>
      </c>
      <c r="GB17" s="2015">
        <v>3004.4486900000002</v>
      </c>
      <c r="GC17" s="2018">
        <v>223.3</v>
      </c>
      <c r="GD17" s="2015">
        <v>5836.3467199999996</v>
      </c>
      <c r="GE17" s="2018">
        <v>258.22000000000003</v>
      </c>
      <c r="GF17" s="2015">
        <v>6309.0940700000001</v>
      </c>
      <c r="GG17" s="2018">
        <v>372.47</v>
      </c>
      <c r="GH17" s="2015">
        <v>6585.1784500000003</v>
      </c>
      <c r="GI17" s="2018">
        <v>429.72</v>
      </c>
      <c r="GJ17" s="2015">
        <v>6852.9455799999996</v>
      </c>
      <c r="GK17" s="2018">
        <v>471.97</v>
      </c>
      <c r="GL17" s="2015">
        <v>318.38103000000001</v>
      </c>
      <c r="GM17" s="2018">
        <v>78</v>
      </c>
      <c r="GN17" s="2015">
        <v>588.38567999999998</v>
      </c>
      <c r="GO17" s="2018">
        <v>290</v>
      </c>
      <c r="GP17" s="2015">
        <v>869.28515000000004</v>
      </c>
      <c r="GQ17" s="2018">
        <v>345.25</v>
      </c>
      <c r="GR17" s="2015">
        <v>1345.2882300000001</v>
      </c>
      <c r="GS17" s="2018">
        <v>510.75</v>
      </c>
      <c r="GT17" s="2015">
        <v>1842.1516200000001</v>
      </c>
      <c r="GU17" s="2018">
        <v>719.75</v>
      </c>
      <c r="GV17" s="2019" t="s">
        <v>3430</v>
      </c>
    </row>
    <row r="18" spans="1:206" s="1991" customFormat="1" ht="22.5" customHeight="1">
      <c r="A18" s="2011" t="s">
        <v>2319</v>
      </c>
      <c r="B18" s="2005">
        <f t="shared" ref="B18:BM18" si="17">B19+B23</f>
        <v>52765.430560000008</v>
      </c>
      <c r="C18" s="2005">
        <f t="shared" si="17"/>
        <v>5659.5281400000003</v>
      </c>
      <c r="D18" s="2005">
        <f t="shared" si="17"/>
        <v>66300.280090437998</v>
      </c>
      <c r="E18" s="2005">
        <f t="shared" si="17"/>
        <v>10309.81191</v>
      </c>
      <c r="F18" s="2005">
        <f t="shared" si="17"/>
        <v>77747.019780000002</v>
      </c>
      <c r="G18" s="2005">
        <f t="shared" si="17"/>
        <v>16340.14709</v>
      </c>
      <c r="H18" s="2005">
        <f t="shared" si="17"/>
        <v>86423.125650000002</v>
      </c>
      <c r="I18" s="2005">
        <f t="shared" si="17"/>
        <v>20125.61522</v>
      </c>
      <c r="J18" s="2005">
        <f t="shared" si="17"/>
        <v>98371.295979999995</v>
      </c>
      <c r="K18" s="2005">
        <f t="shared" si="17"/>
        <v>28290.748769999998</v>
      </c>
      <c r="L18" s="2005">
        <f t="shared" si="17"/>
        <v>109155.75466000001</v>
      </c>
      <c r="M18" s="2005">
        <f t="shared" si="17"/>
        <v>37560.324820000009</v>
      </c>
      <c r="N18" s="2005">
        <f t="shared" si="17"/>
        <v>127160.25349</v>
      </c>
      <c r="O18" s="2005">
        <f t="shared" si="17"/>
        <v>43981.765830000004</v>
      </c>
      <c r="P18" s="2005">
        <f t="shared" si="17"/>
        <v>142106.83564</v>
      </c>
      <c r="Q18" s="2005">
        <f t="shared" si="17"/>
        <v>53486.287920000002</v>
      </c>
      <c r="R18" s="2005">
        <f t="shared" si="17"/>
        <v>157772.42577999999</v>
      </c>
      <c r="S18" s="2005">
        <f t="shared" si="17"/>
        <v>58673.60714</v>
      </c>
      <c r="T18" s="2005">
        <f t="shared" si="17"/>
        <v>169120.68365000002</v>
      </c>
      <c r="U18" s="2005">
        <f t="shared" si="17"/>
        <v>65262.474409999995</v>
      </c>
      <c r="V18" s="2005">
        <f t="shared" si="17"/>
        <v>180205.60943000001</v>
      </c>
      <c r="W18" s="2005">
        <f t="shared" si="17"/>
        <v>69155.850449999998</v>
      </c>
      <c r="X18" s="2005">
        <f t="shared" si="17"/>
        <v>197375.70152</v>
      </c>
      <c r="Y18" s="2005">
        <f t="shared" si="17"/>
        <v>73017.972099999999</v>
      </c>
      <c r="Z18" s="2005">
        <f t="shared" si="17"/>
        <v>55156.273730000008</v>
      </c>
      <c r="AA18" s="2005">
        <f t="shared" si="17"/>
        <v>6997.3784690000002</v>
      </c>
      <c r="AB18" s="2005">
        <f t="shared" si="17"/>
        <v>70554.799440000003</v>
      </c>
      <c r="AC18" s="2005">
        <f t="shared" si="17"/>
        <v>13027.734679999998</v>
      </c>
      <c r="AD18" s="2005">
        <f t="shared" si="17"/>
        <v>93751.638219999993</v>
      </c>
      <c r="AE18" s="2005">
        <f t="shared" si="17"/>
        <v>17724.712509999998</v>
      </c>
      <c r="AF18" s="2005">
        <f t="shared" si="17"/>
        <v>105262.88425999999</v>
      </c>
      <c r="AG18" s="2005">
        <f t="shared" si="17"/>
        <v>26123.134389999996</v>
      </c>
      <c r="AH18" s="2005">
        <f t="shared" si="17"/>
        <v>117322.35337</v>
      </c>
      <c r="AI18" s="2005">
        <f t="shared" si="17"/>
        <v>32427.771120000001</v>
      </c>
      <c r="AJ18" s="2005">
        <f t="shared" si="17"/>
        <v>127905.98529000001</v>
      </c>
      <c r="AK18" s="2005">
        <f t="shared" si="17"/>
        <v>38190.134129999999</v>
      </c>
      <c r="AL18" s="2005">
        <f t="shared" si="17"/>
        <v>149308.42604000002</v>
      </c>
      <c r="AM18" s="2005">
        <f t="shared" si="17"/>
        <v>44866.233269999997</v>
      </c>
      <c r="AN18" s="2005">
        <f t="shared" si="17"/>
        <v>162866.33470000001</v>
      </c>
      <c r="AO18" s="2005">
        <f t="shared" si="17"/>
        <v>51057.6109</v>
      </c>
      <c r="AP18" s="2005">
        <f t="shared" si="17"/>
        <v>179924.55235000001</v>
      </c>
      <c r="AQ18" s="2005">
        <f t="shared" si="17"/>
        <v>56777.040509999999</v>
      </c>
      <c r="AR18" s="2005">
        <f t="shared" si="17"/>
        <v>194435.30176</v>
      </c>
      <c r="AS18" s="2005">
        <f t="shared" si="17"/>
        <v>63197.553059999998</v>
      </c>
      <c r="AT18" s="2005">
        <f t="shared" si="17"/>
        <v>205902.59664999999</v>
      </c>
      <c r="AU18" s="2005">
        <f t="shared" si="17"/>
        <v>71560.570739999996</v>
      </c>
      <c r="AV18" s="2005">
        <f t="shared" si="17"/>
        <v>230446.48440999998</v>
      </c>
      <c r="AW18" s="2005">
        <f t="shared" si="17"/>
        <v>77585.915349999996</v>
      </c>
      <c r="AX18" s="2005">
        <f t="shared" si="17"/>
        <v>61047.806360000002</v>
      </c>
      <c r="AY18" s="2005">
        <f t="shared" si="17"/>
        <v>3351.7088699999999</v>
      </c>
      <c r="AZ18" s="2005">
        <f t="shared" si="17"/>
        <v>79151.699590000004</v>
      </c>
      <c r="BA18" s="2005">
        <f t="shared" si="17"/>
        <v>9587.2257800000007</v>
      </c>
      <c r="BB18" s="2005">
        <f t="shared" si="17"/>
        <v>91414.686389999988</v>
      </c>
      <c r="BC18" s="2005">
        <f t="shared" si="17"/>
        <v>14741.974300000002</v>
      </c>
      <c r="BD18" s="2005">
        <f t="shared" si="17"/>
        <v>103721.64881000001</v>
      </c>
      <c r="BE18" s="2005">
        <f t="shared" si="17"/>
        <v>22375.843169999996</v>
      </c>
      <c r="BF18" s="2005">
        <f t="shared" si="17"/>
        <v>119766.63380000001</v>
      </c>
      <c r="BG18" s="2005">
        <f t="shared" si="17"/>
        <v>33887.051160000003</v>
      </c>
      <c r="BH18" s="2005">
        <f t="shared" si="17"/>
        <v>131816.56848999998</v>
      </c>
      <c r="BI18" s="2005">
        <f t="shared" si="17"/>
        <v>43120.88061</v>
      </c>
      <c r="BJ18" s="2005">
        <f t="shared" si="17"/>
        <v>151745.19413000002</v>
      </c>
      <c r="BK18" s="2005">
        <f t="shared" si="17"/>
        <v>46491.349399999999</v>
      </c>
      <c r="BL18" s="2005">
        <f t="shared" si="17"/>
        <v>163698.13801000002</v>
      </c>
      <c r="BM18" s="2005">
        <f t="shared" si="17"/>
        <v>55921.717560000005</v>
      </c>
      <c r="BN18" s="2005">
        <f t="shared" ref="BN18:DY18" si="18">BN19+BN23</f>
        <v>183610.51740000001</v>
      </c>
      <c r="BO18" s="2005">
        <f t="shared" si="18"/>
        <v>62827.237600000008</v>
      </c>
      <c r="BP18" s="2005">
        <f t="shared" si="18"/>
        <v>201805.30702000001</v>
      </c>
      <c r="BQ18" s="2005">
        <f t="shared" si="18"/>
        <v>70858.940329999998</v>
      </c>
      <c r="BR18" s="2005">
        <f t="shared" si="18"/>
        <v>215383.72805999999</v>
      </c>
      <c r="BS18" s="2005">
        <f t="shared" si="18"/>
        <v>79671.010539999988</v>
      </c>
      <c r="BT18" s="2005">
        <f t="shared" si="18"/>
        <v>237232.99882000001</v>
      </c>
      <c r="BU18" s="2005">
        <f t="shared" si="18"/>
        <v>99112.236929999985</v>
      </c>
      <c r="BV18" s="2005">
        <f t="shared" si="18"/>
        <v>74986.63334</v>
      </c>
      <c r="BW18" s="2005">
        <f t="shared" si="18"/>
        <v>7148.1257499999992</v>
      </c>
      <c r="BX18" s="2005">
        <f t="shared" si="18"/>
        <v>90427.502779999995</v>
      </c>
      <c r="BY18" s="2005">
        <f t="shared" si="18"/>
        <v>13332.681300000002</v>
      </c>
      <c r="BZ18" s="2005">
        <f t="shared" si="18"/>
        <v>104076.26242999999</v>
      </c>
      <c r="CA18" s="2005">
        <f t="shared" si="18"/>
        <v>22021.295330000001</v>
      </c>
      <c r="CB18" s="2005">
        <f t="shared" si="18"/>
        <v>115886.90983999998</v>
      </c>
      <c r="CC18" s="2005">
        <f t="shared" si="18"/>
        <v>30959.315440000002</v>
      </c>
      <c r="CD18" s="2005">
        <f t="shared" si="18"/>
        <v>129119.83503999999</v>
      </c>
      <c r="CE18" s="2005">
        <f t="shared" si="18"/>
        <v>39998.892970000001</v>
      </c>
      <c r="CF18" s="2005">
        <f t="shared" si="18"/>
        <v>142654.86121999999</v>
      </c>
      <c r="CG18" s="2005">
        <f t="shared" si="18"/>
        <v>45702.152699999999</v>
      </c>
      <c r="CH18" s="2005">
        <f t="shared" si="18"/>
        <v>166573.37420999998</v>
      </c>
      <c r="CI18" s="2005">
        <f t="shared" si="18"/>
        <v>50852.173389999996</v>
      </c>
      <c r="CJ18" s="2005">
        <f t="shared" si="18"/>
        <v>188107.63295</v>
      </c>
      <c r="CK18" s="2005">
        <f t="shared" si="18"/>
        <v>56823.867300000005</v>
      </c>
      <c r="CL18" s="2005">
        <f t="shared" si="18"/>
        <v>204321.14075999998</v>
      </c>
      <c r="CM18" s="2005">
        <f t="shared" si="18"/>
        <v>73160.331350000008</v>
      </c>
      <c r="CN18" s="2005">
        <f t="shared" si="18"/>
        <v>221279.04149000003</v>
      </c>
      <c r="CO18" s="2005">
        <f t="shared" si="18"/>
        <v>77932.170530000003</v>
      </c>
      <c r="CP18" s="2005">
        <f t="shared" si="18"/>
        <v>230394.97524000003</v>
      </c>
      <c r="CQ18" s="2005">
        <f t="shared" si="18"/>
        <v>83309.871660000004</v>
      </c>
      <c r="CR18" s="2005">
        <f t="shared" si="18"/>
        <v>252974.43205000003</v>
      </c>
      <c r="CS18" s="2005">
        <f t="shared" si="18"/>
        <v>98299.905920000019</v>
      </c>
      <c r="CT18" s="2005">
        <f t="shared" si="18"/>
        <v>67134.398870000005</v>
      </c>
      <c r="CU18" s="2005">
        <f t="shared" si="18"/>
        <v>8834.1773699999994</v>
      </c>
      <c r="CV18" s="2005">
        <f t="shared" si="18"/>
        <v>81556.18624000001</v>
      </c>
      <c r="CW18" s="2005">
        <f t="shared" si="18"/>
        <v>16382.932869999999</v>
      </c>
      <c r="CX18" s="2005">
        <f t="shared" si="18"/>
        <v>101746.19534000001</v>
      </c>
      <c r="CY18" s="2005">
        <f t="shared" si="18"/>
        <v>21203.920250000003</v>
      </c>
      <c r="CZ18" s="2005">
        <f t="shared" si="18"/>
        <v>114186.00769000003</v>
      </c>
      <c r="DA18" s="2005">
        <f t="shared" si="18"/>
        <v>28797.71371</v>
      </c>
      <c r="DB18" s="2005">
        <f t="shared" si="18"/>
        <v>128261.55721999999</v>
      </c>
      <c r="DC18" s="2005">
        <f t="shared" si="18"/>
        <v>34337.931749999996</v>
      </c>
      <c r="DD18" s="2005">
        <f t="shared" si="18"/>
        <v>145833.68766</v>
      </c>
      <c r="DE18" s="2005">
        <f t="shared" si="18"/>
        <v>44149.57445</v>
      </c>
      <c r="DF18" s="2005">
        <f t="shared" si="18"/>
        <v>171048.99226999999</v>
      </c>
      <c r="DG18" s="2005">
        <f t="shared" si="18"/>
        <v>51274.332150000002</v>
      </c>
      <c r="DH18" s="2005">
        <f t="shared" si="18"/>
        <v>181299.18479</v>
      </c>
      <c r="DI18" s="2005">
        <f t="shared" si="18"/>
        <v>67380.639920000001</v>
      </c>
      <c r="DJ18" s="2005">
        <f t="shared" si="18"/>
        <v>205984.13920000001</v>
      </c>
      <c r="DK18" s="2005">
        <f t="shared" si="18"/>
        <v>78842.8658</v>
      </c>
      <c r="DL18" s="2005">
        <f t="shared" si="18"/>
        <v>220641.04246999999</v>
      </c>
      <c r="DM18" s="2005">
        <f t="shared" si="18"/>
        <v>86778.724890000012</v>
      </c>
      <c r="DN18" s="2005">
        <f t="shared" si="18"/>
        <v>237896.97021</v>
      </c>
      <c r="DO18" s="2005">
        <f t="shared" si="18"/>
        <v>93481.872109999997</v>
      </c>
      <c r="DP18" s="2005">
        <f t="shared" si="18"/>
        <v>266992.72054000001</v>
      </c>
      <c r="DQ18" s="2006">
        <f t="shared" si="18"/>
        <v>103551.05820999999</v>
      </c>
      <c r="DR18" s="2023">
        <f t="shared" si="18"/>
        <v>74118.37096</v>
      </c>
      <c r="DS18" s="2024">
        <f t="shared" si="18"/>
        <v>4595.2581600000003</v>
      </c>
      <c r="DT18" s="2009">
        <f t="shared" si="18"/>
        <v>91776.708909999987</v>
      </c>
      <c r="DU18" s="2006">
        <f t="shared" si="18"/>
        <v>14465.836560000002</v>
      </c>
      <c r="DV18" s="2007">
        <f t="shared" si="18"/>
        <v>105864.49341000001</v>
      </c>
      <c r="DW18" s="2008">
        <f t="shared" si="18"/>
        <v>22022.07979</v>
      </c>
      <c r="DX18" s="2009">
        <f t="shared" si="18"/>
        <v>121368.70580999998</v>
      </c>
      <c r="DY18" s="2006">
        <f t="shared" si="18"/>
        <v>32074.435729999997</v>
      </c>
      <c r="DZ18" s="2007">
        <f t="shared" ref="DZ18:GK18" si="19">DZ19+DZ23</f>
        <v>141397.81560999999</v>
      </c>
      <c r="EA18" s="2008">
        <f t="shared" si="19"/>
        <v>39800.281489999994</v>
      </c>
      <c r="EB18" s="2009">
        <f t="shared" si="19"/>
        <v>161146.64124000003</v>
      </c>
      <c r="EC18" s="2006">
        <f t="shared" si="19"/>
        <v>47248.538959999998</v>
      </c>
      <c r="ED18" s="2007">
        <f t="shared" si="19"/>
        <v>189695.21606000001</v>
      </c>
      <c r="EE18" s="2008">
        <f t="shared" si="19"/>
        <v>54570.450969999998</v>
      </c>
      <c r="EF18" s="2007">
        <f t="shared" si="19"/>
        <v>210898.81945000001</v>
      </c>
      <c r="EG18" s="2010">
        <f t="shared" si="19"/>
        <v>62955.238810000003</v>
      </c>
      <c r="EH18" s="2007">
        <f t="shared" si="19"/>
        <v>237507.90527999998</v>
      </c>
      <c r="EI18" s="2010">
        <f t="shared" si="19"/>
        <v>70831.265650000001</v>
      </c>
      <c r="EJ18" s="2007">
        <f t="shared" si="19"/>
        <v>250414.45931999997</v>
      </c>
      <c r="EK18" s="2010">
        <f t="shared" si="19"/>
        <v>79611.823229999995</v>
      </c>
      <c r="EL18" s="2007">
        <f t="shared" si="19"/>
        <v>271793.05158999999</v>
      </c>
      <c r="EM18" s="2010">
        <f t="shared" si="19"/>
        <v>85691.984620000003</v>
      </c>
      <c r="EN18" s="2007">
        <f t="shared" si="19"/>
        <v>302982.01489999995</v>
      </c>
      <c r="EO18" s="2010">
        <f t="shared" si="19"/>
        <v>92926.876449999996</v>
      </c>
      <c r="EP18" s="2007">
        <f t="shared" si="19"/>
        <v>79175.38182000001</v>
      </c>
      <c r="EQ18" s="2010">
        <f t="shared" si="19"/>
        <v>7197.0016399999995</v>
      </c>
      <c r="ER18" s="2007">
        <f t="shared" si="19"/>
        <v>101792.90627000001</v>
      </c>
      <c r="ES18" s="2010">
        <f t="shared" si="19"/>
        <v>15073.834490000001</v>
      </c>
      <c r="ET18" s="2007">
        <f t="shared" si="19"/>
        <v>123977.90795000002</v>
      </c>
      <c r="EU18" s="2010">
        <f t="shared" si="19"/>
        <v>23053.178050000002</v>
      </c>
      <c r="EV18" s="2007">
        <f t="shared" si="19"/>
        <v>136363.8547</v>
      </c>
      <c r="EW18" s="2010">
        <f t="shared" si="19"/>
        <v>30963.307700000001</v>
      </c>
      <c r="EX18" s="2007">
        <f t="shared" si="19"/>
        <v>158776.48632</v>
      </c>
      <c r="EY18" s="2010">
        <f t="shared" si="19"/>
        <v>39413.842329999999</v>
      </c>
      <c r="EZ18" s="2007">
        <f t="shared" si="19"/>
        <v>181873.45157999999</v>
      </c>
      <c r="FA18" s="2010">
        <f t="shared" si="19"/>
        <v>47545.767059999998</v>
      </c>
      <c r="FB18" s="2007">
        <f t="shared" si="19"/>
        <v>220980.31416000001</v>
      </c>
      <c r="FC18" s="2010">
        <f t="shared" si="19"/>
        <v>55066.584840000003</v>
      </c>
      <c r="FD18" s="2007">
        <f t="shared" si="19"/>
        <v>241559.72872999997</v>
      </c>
      <c r="FE18" s="2010">
        <f t="shared" si="19"/>
        <v>79647.148650000003</v>
      </c>
      <c r="FF18" s="2007">
        <f t="shared" si="19"/>
        <v>265225.86456999998</v>
      </c>
      <c r="FG18" s="2010">
        <f t="shared" si="19"/>
        <v>99514.728659999993</v>
      </c>
      <c r="FH18" s="2007">
        <f t="shared" si="19"/>
        <v>289383.81342999998</v>
      </c>
      <c r="FI18" s="2010">
        <f t="shared" si="19"/>
        <v>112808.68276</v>
      </c>
      <c r="FJ18" s="2007">
        <f t="shared" si="19"/>
        <v>313880.29879000003</v>
      </c>
      <c r="FK18" s="2010">
        <f t="shared" si="19"/>
        <v>126722.2098</v>
      </c>
      <c r="FL18" s="2007">
        <f t="shared" si="19"/>
        <v>342901.09450999997</v>
      </c>
      <c r="FM18" s="2010">
        <f t="shared" si="19"/>
        <v>184459.15465000001</v>
      </c>
      <c r="FN18" s="2007">
        <f t="shared" si="19"/>
        <v>78134.730740000014</v>
      </c>
      <c r="FO18" s="2010">
        <f t="shared" si="19"/>
        <v>8988.7858500000002</v>
      </c>
      <c r="FP18" s="2007">
        <f t="shared" si="19"/>
        <v>103971.96161999999</v>
      </c>
      <c r="FQ18" s="2010">
        <f t="shared" si="19"/>
        <v>19776.66993</v>
      </c>
      <c r="FR18" s="2007">
        <f t="shared" si="19"/>
        <v>122991.35738</v>
      </c>
      <c r="FS18" s="2010">
        <f t="shared" si="19"/>
        <v>27718.616160000001</v>
      </c>
      <c r="FT18" s="2007">
        <f t="shared" si="19"/>
        <v>140579.91911000002</v>
      </c>
      <c r="FU18" s="2010">
        <f t="shared" si="19"/>
        <v>39191.003989999997</v>
      </c>
      <c r="FV18" s="2007">
        <f t="shared" si="19"/>
        <v>164967.65536000003</v>
      </c>
      <c r="FW18" s="2010">
        <f t="shared" si="19"/>
        <v>51381.093390000002</v>
      </c>
      <c r="FX18" s="2007">
        <f t="shared" si="19"/>
        <v>183335.65064000001</v>
      </c>
      <c r="FY18" s="2010">
        <f t="shared" si="19"/>
        <v>61657.279950000004</v>
      </c>
      <c r="FZ18" s="2007">
        <f t="shared" si="19"/>
        <v>223276.51675000001</v>
      </c>
      <c r="GA18" s="2010">
        <f t="shared" si="19"/>
        <v>73289.875690000001</v>
      </c>
      <c r="GB18" s="2007">
        <f t="shared" si="19"/>
        <v>250407.32719000001</v>
      </c>
      <c r="GC18" s="2010">
        <f t="shared" si="19"/>
        <v>83581.986620000011</v>
      </c>
      <c r="GD18" s="2007">
        <f t="shared" si="19"/>
        <v>270202.67368000001</v>
      </c>
      <c r="GE18" s="2010">
        <f t="shared" si="19"/>
        <v>94888.335649999994</v>
      </c>
      <c r="GF18" s="2007">
        <f t="shared" si="19"/>
        <v>288958.91263000004</v>
      </c>
      <c r="GG18" s="2010">
        <f t="shared" si="19"/>
        <v>107352.72456</v>
      </c>
      <c r="GH18" s="2007">
        <f t="shared" si="19"/>
        <v>325021.13318999996</v>
      </c>
      <c r="GI18" s="2010">
        <f t="shared" si="19"/>
        <v>121589.54968999999</v>
      </c>
      <c r="GJ18" s="2007">
        <f t="shared" si="19"/>
        <v>367488.88739000005</v>
      </c>
      <c r="GK18" s="2010">
        <f t="shared" si="19"/>
        <v>135545.01738999999</v>
      </c>
      <c r="GL18" s="2007">
        <f t="shared" ref="GL18:GU18" si="20">GL19+GL23</f>
        <v>84985.787609999999</v>
      </c>
      <c r="GM18" s="2010">
        <f t="shared" si="20"/>
        <v>8431.6685499999985</v>
      </c>
      <c r="GN18" s="2007">
        <f t="shared" si="20"/>
        <v>110000.65553</v>
      </c>
      <c r="GO18" s="2010">
        <f t="shared" si="20"/>
        <v>17572.558149999997</v>
      </c>
      <c r="GP18" s="2007">
        <f t="shared" si="20"/>
        <v>129825.70861999999</v>
      </c>
      <c r="GQ18" s="2010">
        <f t="shared" si="20"/>
        <v>25606.523511767009</v>
      </c>
      <c r="GR18" s="2007">
        <f t="shared" si="20"/>
        <v>151378.80304999999</v>
      </c>
      <c r="GS18" s="2010">
        <f t="shared" si="20"/>
        <v>40336.781899999994</v>
      </c>
      <c r="GT18" s="2007">
        <f t="shared" si="20"/>
        <v>177578.44017000002</v>
      </c>
      <c r="GU18" s="2010">
        <f t="shared" si="20"/>
        <v>54282.363750000004</v>
      </c>
      <c r="GV18" s="2011" t="s">
        <v>3196</v>
      </c>
    </row>
    <row r="19" spans="1:206" s="1991" customFormat="1" ht="22.5" customHeight="1">
      <c r="A19" s="2011" t="s">
        <v>2318</v>
      </c>
      <c r="B19" s="2005">
        <f t="shared" ref="B19:BM19" si="21">SUM(B20:B22)</f>
        <v>37372.112400000005</v>
      </c>
      <c r="C19" s="2005">
        <f t="shared" si="21"/>
        <v>4248.7987599999997</v>
      </c>
      <c r="D19" s="2005">
        <f t="shared" si="21"/>
        <v>42583.509589999994</v>
      </c>
      <c r="E19" s="2005">
        <f t="shared" si="21"/>
        <v>7537.5465299999996</v>
      </c>
      <c r="F19" s="2005">
        <f t="shared" si="21"/>
        <v>45971.448519999998</v>
      </c>
      <c r="G19" s="2005">
        <f t="shared" si="21"/>
        <v>11674.278690000001</v>
      </c>
      <c r="H19" s="2005">
        <f t="shared" si="21"/>
        <v>49195.233030000003</v>
      </c>
      <c r="I19" s="2005">
        <f t="shared" si="21"/>
        <v>13652.010689999999</v>
      </c>
      <c r="J19" s="2005">
        <f t="shared" si="21"/>
        <v>52182.888779999994</v>
      </c>
      <c r="K19" s="2005">
        <f t="shared" si="21"/>
        <v>17601.215499999998</v>
      </c>
      <c r="L19" s="2005">
        <f t="shared" si="21"/>
        <v>55005.230880000003</v>
      </c>
      <c r="M19" s="2005">
        <f t="shared" si="21"/>
        <v>25035.989460000004</v>
      </c>
      <c r="N19" s="2005">
        <f t="shared" si="21"/>
        <v>59148.509539999999</v>
      </c>
      <c r="O19" s="2005">
        <f t="shared" si="21"/>
        <v>30513.503420000001</v>
      </c>
      <c r="P19" s="2005">
        <f t="shared" si="21"/>
        <v>67618.840830000001</v>
      </c>
      <c r="Q19" s="2005">
        <f t="shared" si="21"/>
        <v>38842.810840000006</v>
      </c>
      <c r="R19" s="2005">
        <f t="shared" si="21"/>
        <v>70587.364690000002</v>
      </c>
      <c r="S19" s="2005">
        <f t="shared" si="21"/>
        <v>42771.857560000004</v>
      </c>
      <c r="T19" s="2005">
        <f t="shared" si="21"/>
        <v>75220.040059999999</v>
      </c>
      <c r="U19" s="2005">
        <f t="shared" si="21"/>
        <v>48387.544749999994</v>
      </c>
      <c r="V19" s="2005">
        <f t="shared" si="21"/>
        <v>78813.529679999992</v>
      </c>
      <c r="W19" s="2005">
        <f t="shared" si="21"/>
        <v>51324.791400000002</v>
      </c>
      <c r="X19" s="2005">
        <f t="shared" si="21"/>
        <v>90538.533469999995</v>
      </c>
      <c r="Y19" s="2005">
        <f t="shared" si="21"/>
        <v>53830.176339999998</v>
      </c>
      <c r="Z19" s="2005">
        <f t="shared" si="21"/>
        <v>40209.123770000006</v>
      </c>
      <c r="AA19" s="2005">
        <f t="shared" si="21"/>
        <v>5522.9358490000004</v>
      </c>
      <c r="AB19" s="2005">
        <f t="shared" si="21"/>
        <v>44504.262790000001</v>
      </c>
      <c r="AC19" s="2005">
        <f t="shared" si="21"/>
        <v>10600.519449999998</v>
      </c>
      <c r="AD19" s="2005">
        <f t="shared" si="21"/>
        <v>48885.591220000002</v>
      </c>
      <c r="AE19" s="2005">
        <f t="shared" si="21"/>
        <v>14770.360949999998</v>
      </c>
      <c r="AF19" s="2005">
        <f t="shared" si="21"/>
        <v>51715.974569999998</v>
      </c>
      <c r="AG19" s="2005">
        <f t="shared" si="21"/>
        <v>22121.669239999996</v>
      </c>
      <c r="AH19" s="2005">
        <f t="shared" si="21"/>
        <v>55675.539490000003</v>
      </c>
      <c r="AI19" s="2005">
        <f t="shared" si="21"/>
        <v>26849.59446</v>
      </c>
      <c r="AJ19" s="2005">
        <f t="shared" si="21"/>
        <v>58432.950960000002</v>
      </c>
      <c r="AK19" s="2005">
        <f t="shared" si="21"/>
        <v>30879.030510000001</v>
      </c>
      <c r="AL19" s="2005">
        <f t="shared" si="21"/>
        <v>62246.382319999997</v>
      </c>
      <c r="AM19" s="2005">
        <f t="shared" si="21"/>
        <v>35972.304459999999</v>
      </c>
      <c r="AN19" s="2005">
        <f t="shared" si="21"/>
        <v>67331.330900000015</v>
      </c>
      <c r="AO19" s="2005">
        <f t="shared" si="21"/>
        <v>41272.039729999997</v>
      </c>
      <c r="AP19" s="2005">
        <f t="shared" si="21"/>
        <v>69798.794620000001</v>
      </c>
      <c r="AQ19" s="2005">
        <f t="shared" si="21"/>
        <v>45171.77968</v>
      </c>
      <c r="AR19" s="2005">
        <f t="shared" si="21"/>
        <v>77190.992299999998</v>
      </c>
      <c r="AS19" s="2005">
        <f t="shared" si="21"/>
        <v>50009.036780000002</v>
      </c>
      <c r="AT19" s="2005">
        <f t="shared" si="21"/>
        <v>81744.13625000001</v>
      </c>
      <c r="AU19" s="2005">
        <f t="shared" si="21"/>
        <v>56650.44264999999</v>
      </c>
      <c r="AV19" s="2005">
        <f t="shared" si="21"/>
        <v>94115.308440000008</v>
      </c>
      <c r="AW19" s="2005">
        <f t="shared" si="21"/>
        <v>60556.948710000004</v>
      </c>
      <c r="AX19" s="2005">
        <f t="shared" si="21"/>
        <v>46005.852270000003</v>
      </c>
      <c r="AY19" s="2005">
        <f t="shared" si="21"/>
        <v>2061.9471199999998</v>
      </c>
      <c r="AZ19" s="2005">
        <f t="shared" si="21"/>
        <v>53141.8511</v>
      </c>
      <c r="BA19" s="2005">
        <f t="shared" si="21"/>
        <v>6869.1354499999998</v>
      </c>
      <c r="BB19" s="2005">
        <f t="shared" si="21"/>
        <v>58355.291659999995</v>
      </c>
      <c r="BC19" s="2005">
        <f t="shared" si="21"/>
        <v>11013.159240000001</v>
      </c>
      <c r="BD19" s="2005">
        <f t="shared" si="21"/>
        <v>61993.944970000004</v>
      </c>
      <c r="BE19" s="2005">
        <f t="shared" si="21"/>
        <v>17298.807819999998</v>
      </c>
      <c r="BF19" s="2005">
        <f t="shared" si="21"/>
        <v>66209.337079999998</v>
      </c>
      <c r="BG19" s="2005">
        <f t="shared" si="21"/>
        <v>22851.866050000004</v>
      </c>
      <c r="BH19" s="2005">
        <f t="shared" si="21"/>
        <v>68738.498389999993</v>
      </c>
      <c r="BI19" s="2005">
        <f t="shared" si="21"/>
        <v>29349.534360000001</v>
      </c>
      <c r="BJ19" s="2005">
        <f t="shared" si="21"/>
        <v>72094.123869999996</v>
      </c>
      <c r="BK19" s="2005">
        <f t="shared" si="21"/>
        <v>30645.434860000001</v>
      </c>
      <c r="BL19" s="2005">
        <f t="shared" si="21"/>
        <v>76503.503180000014</v>
      </c>
      <c r="BM19" s="2005">
        <f t="shared" si="21"/>
        <v>38872.347400000006</v>
      </c>
      <c r="BN19" s="2005">
        <f t="shared" ref="BN19:DY19" si="22">SUM(BN20:BN22)</f>
        <v>79464.257310000001</v>
      </c>
      <c r="BO19" s="2005">
        <f t="shared" si="22"/>
        <v>43947.861150000004</v>
      </c>
      <c r="BP19" s="2005">
        <f t="shared" si="22"/>
        <v>87895.090349999999</v>
      </c>
      <c r="BQ19" s="2005">
        <f t="shared" si="22"/>
        <v>50351.538529999998</v>
      </c>
      <c r="BR19" s="2005">
        <f t="shared" si="22"/>
        <v>92484.691080000004</v>
      </c>
      <c r="BS19" s="2005">
        <f t="shared" si="22"/>
        <v>57665.661219999995</v>
      </c>
      <c r="BT19" s="2005">
        <f t="shared" si="22"/>
        <v>104119.88130000001</v>
      </c>
      <c r="BU19" s="2005">
        <f t="shared" si="22"/>
        <v>61418.520329999999</v>
      </c>
      <c r="BV19" s="2005">
        <f t="shared" si="22"/>
        <v>52312.700140000008</v>
      </c>
      <c r="BW19" s="2005">
        <f t="shared" si="22"/>
        <v>5770.2693399999998</v>
      </c>
      <c r="BX19" s="2005">
        <f t="shared" si="22"/>
        <v>58536.787439999993</v>
      </c>
      <c r="BY19" s="2005">
        <f t="shared" si="22"/>
        <v>10128.889360000001</v>
      </c>
      <c r="BZ19" s="2005">
        <f t="shared" si="22"/>
        <v>64100.895129999997</v>
      </c>
      <c r="CA19" s="2005">
        <f t="shared" si="22"/>
        <v>17082.475310000002</v>
      </c>
      <c r="CB19" s="2005">
        <f t="shared" si="22"/>
        <v>68548.851809999993</v>
      </c>
      <c r="CC19" s="2005">
        <f t="shared" si="22"/>
        <v>23565.561130000002</v>
      </c>
      <c r="CD19" s="2005">
        <f t="shared" si="22"/>
        <v>71941.476269999999</v>
      </c>
      <c r="CE19" s="2005">
        <f t="shared" si="22"/>
        <v>31207.557690000001</v>
      </c>
      <c r="CF19" s="2005">
        <f t="shared" si="22"/>
        <v>73891.928550000011</v>
      </c>
      <c r="CG19" s="2005">
        <f t="shared" si="22"/>
        <v>35839.785349999998</v>
      </c>
      <c r="CH19" s="2005">
        <f t="shared" si="22"/>
        <v>76568.637229999993</v>
      </c>
      <c r="CI19" s="2005">
        <f t="shared" si="22"/>
        <v>39621.402730000002</v>
      </c>
      <c r="CJ19" s="2005">
        <f t="shared" si="22"/>
        <v>79404.565139999992</v>
      </c>
      <c r="CK19" s="2005">
        <f t="shared" si="22"/>
        <v>43912.920020000005</v>
      </c>
      <c r="CL19" s="2005">
        <f t="shared" si="22"/>
        <v>82045.395629999985</v>
      </c>
      <c r="CM19" s="2005">
        <f t="shared" si="22"/>
        <v>47658.800580000003</v>
      </c>
      <c r="CN19" s="2005">
        <f t="shared" si="22"/>
        <v>91184.410970000012</v>
      </c>
      <c r="CO19" s="2005">
        <f t="shared" si="22"/>
        <v>51265.796969999996</v>
      </c>
      <c r="CP19" s="2005">
        <f t="shared" si="22"/>
        <v>94158.971699999995</v>
      </c>
      <c r="CQ19" s="2005">
        <f t="shared" si="22"/>
        <v>54691.918300000005</v>
      </c>
      <c r="CR19" s="2005">
        <f t="shared" si="22"/>
        <v>105894.23261000001</v>
      </c>
      <c r="CS19" s="2005">
        <f t="shared" si="22"/>
        <v>68336.312490000011</v>
      </c>
      <c r="CT19" s="2005">
        <f t="shared" si="22"/>
        <v>51300.774949999999</v>
      </c>
      <c r="CU19" s="2005">
        <f t="shared" si="22"/>
        <v>7758.96155</v>
      </c>
      <c r="CV19" s="2005">
        <f t="shared" si="22"/>
        <v>56114.901080000003</v>
      </c>
      <c r="CW19" s="2005">
        <f t="shared" si="22"/>
        <v>14000.513139999999</v>
      </c>
      <c r="CX19" s="2005">
        <f t="shared" si="22"/>
        <v>62812.205650000004</v>
      </c>
      <c r="CY19" s="2005">
        <f t="shared" si="22"/>
        <v>17094.457780000001</v>
      </c>
      <c r="CZ19" s="2005">
        <f t="shared" si="22"/>
        <v>67497.887520000004</v>
      </c>
      <c r="DA19" s="2005">
        <f t="shared" si="22"/>
        <v>20896.524519999999</v>
      </c>
      <c r="DB19" s="2005">
        <f t="shared" si="22"/>
        <v>71385.375579999993</v>
      </c>
      <c r="DC19" s="2005">
        <f t="shared" si="22"/>
        <v>24848.92885</v>
      </c>
      <c r="DD19" s="2005">
        <f t="shared" si="22"/>
        <v>72750.005999999994</v>
      </c>
      <c r="DE19" s="2005">
        <f t="shared" si="22"/>
        <v>32379.564149999998</v>
      </c>
      <c r="DF19" s="2005">
        <f t="shared" si="22"/>
        <v>75753.515640000012</v>
      </c>
      <c r="DG19" s="2005">
        <f t="shared" si="22"/>
        <v>38000.779880000002</v>
      </c>
      <c r="DH19" s="2005">
        <f t="shared" si="22"/>
        <v>78883.770880000011</v>
      </c>
      <c r="DI19" s="2005">
        <f t="shared" si="22"/>
        <v>52597.885399999999</v>
      </c>
      <c r="DJ19" s="2005">
        <f t="shared" si="22"/>
        <v>88283.580530000007</v>
      </c>
      <c r="DK19" s="2005">
        <f t="shared" si="22"/>
        <v>61957.334000000003</v>
      </c>
      <c r="DL19" s="2005">
        <f t="shared" si="22"/>
        <v>92436.9755</v>
      </c>
      <c r="DM19" s="2005">
        <f t="shared" si="22"/>
        <v>68061.364280000009</v>
      </c>
      <c r="DN19" s="2005">
        <f t="shared" si="22"/>
        <v>100737.11676</v>
      </c>
      <c r="DO19" s="2005">
        <f t="shared" si="22"/>
        <v>72678.363270000002</v>
      </c>
      <c r="DP19" s="2005">
        <f t="shared" si="22"/>
        <v>108360.94007</v>
      </c>
      <c r="DQ19" s="2006">
        <f t="shared" si="22"/>
        <v>79370.927169999995</v>
      </c>
      <c r="DR19" s="2007">
        <f t="shared" si="22"/>
        <v>57474.470570000005</v>
      </c>
      <c r="DS19" s="2024">
        <f t="shared" si="22"/>
        <v>3315.0377400000002</v>
      </c>
      <c r="DT19" s="2009">
        <f t="shared" si="22"/>
        <v>63031.962629999995</v>
      </c>
      <c r="DU19" s="2006">
        <f t="shared" si="22"/>
        <v>11316.880000000001</v>
      </c>
      <c r="DV19" s="2007">
        <f t="shared" si="22"/>
        <v>69010.02234000001</v>
      </c>
      <c r="DW19" s="2008">
        <f t="shared" si="22"/>
        <v>17566.1417</v>
      </c>
      <c r="DX19" s="2009">
        <f t="shared" si="22"/>
        <v>74554.244309999995</v>
      </c>
      <c r="DY19" s="2006">
        <f t="shared" si="22"/>
        <v>25646.957709999999</v>
      </c>
      <c r="DZ19" s="2007">
        <f t="shared" ref="DZ19:GK19" si="23">SUM(DZ20:DZ22)</f>
        <v>78283.455489999993</v>
      </c>
      <c r="EA19" s="2008">
        <f t="shared" si="23"/>
        <v>31667.424629999998</v>
      </c>
      <c r="EB19" s="2009">
        <f t="shared" si="23"/>
        <v>81188.42859000001</v>
      </c>
      <c r="EC19" s="2006">
        <f t="shared" si="23"/>
        <v>37711.865109999999</v>
      </c>
      <c r="ED19" s="2007">
        <f t="shared" si="23"/>
        <v>85507.407389999993</v>
      </c>
      <c r="EE19" s="2008">
        <f t="shared" si="23"/>
        <v>43743.779349999997</v>
      </c>
      <c r="EF19" s="2007">
        <f t="shared" si="23"/>
        <v>90024.429459999985</v>
      </c>
      <c r="EG19" s="2010">
        <f t="shared" si="23"/>
        <v>50469.114970000002</v>
      </c>
      <c r="EH19" s="2007">
        <f t="shared" si="23"/>
        <v>99362.015879999992</v>
      </c>
      <c r="EI19" s="2010">
        <f t="shared" si="23"/>
        <v>56341.236720000001</v>
      </c>
      <c r="EJ19" s="2007">
        <f t="shared" si="23"/>
        <v>102896.23169999999</v>
      </c>
      <c r="EK19" s="2010">
        <f t="shared" si="23"/>
        <v>62218.579299999998</v>
      </c>
      <c r="EL19" s="2007">
        <f t="shared" si="23"/>
        <v>113899.70667</v>
      </c>
      <c r="EM19" s="2010">
        <f t="shared" si="23"/>
        <v>66718.112229999999</v>
      </c>
      <c r="EN19" s="2007">
        <f t="shared" si="23"/>
        <v>121325.39498</v>
      </c>
      <c r="EO19" s="2010">
        <f t="shared" si="23"/>
        <v>70951.105909999998</v>
      </c>
      <c r="EP19" s="2007">
        <f t="shared" si="23"/>
        <v>58264.887490000001</v>
      </c>
      <c r="EQ19" s="2010">
        <f t="shared" si="23"/>
        <v>5676.5604899999998</v>
      </c>
      <c r="ER19" s="2007">
        <f t="shared" si="23"/>
        <v>66073.408439999999</v>
      </c>
      <c r="ES19" s="2010">
        <f t="shared" si="23"/>
        <v>11391.756340000002</v>
      </c>
      <c r="ET19" s="2007">
        <f t="shared" si="23"/>
        <v>72347.584730000017</v>
      </c>
      <c r="EU19" s="2010">
        <f t="shared" si="23"/>
        <v>17141.65797</v>
      </c>
      <c r="EV19" s="2007">
        <f t="shared" si="23"/>
        <v>75095.224599999987</v>
      </c>
      <c r="EW19" s="2010">
        <f t="shared" si="23"/>
        <v>22873.089630000002</v>
      </c>
      <c r="EX19" s="2007">
        <f t="shared" si="23"/>
        <v>82006.900949999996</v>
      </c>
      <c r="EY19" s="2010">
        <f t="shared" si="23"/>
        <v>29097.235810000002</v>
      </c>
      <c r="EZ19" s="2007">
        <f t="shared" si="23"/>
        <v>86230.268629999991</v>
      </c>
      <c r="FA19" s="2010">
        <f t="shared" si="23"/>
        <v>35345.65178</v>
      </c>
      <c r="FB19" s="2007">
        <f t="shared" si="23"/>
        <v>91642.57415</v>
      </c>
      <c r="FC19" s="2010">
        <f t="shared" si="23"/>
        <v>41272.525150000001</v>
      </c>
      <c r="FD19" s="2007">
        <f t="shared" si="23"/>
        <v>98299.336039999995</v>
      </c>
      <c r="FE19" s="2010">
        <f t="shared" si="23"/>
        <v>48945.834940000001</v>
      </c>
      <c r="FF19" s="2007">
        <f t="shared" si="23"/>
        <v>107851.44128</v>
      </c>
      <c r="FG19" s="2010">
        <f t="shared" si="23"/>
        <v>55969.834749999995</v>
      </c>
      <c r="FH19" s="2007">
        <f t="shared" si="23"/>
        <v>112818.34257000001</v>
      </c>
      <c r="FI19" s="2010">
        <f t="shared" si="23"/>
        <v>64126.038759999996</v>
      </c>
      <c r="FJ19" s="2007">
        <f t="shared" si="23"/>
        <v>122722.77893</v>
      </c>
      <c r="FK19" s="2010">
        <f t="shared" si="23"/>
        <v>74151.326990000001</v>
      </c>
      <c r="FL19" s="2007">
        <f t="shared" si="23"/>
        <v>132021.74262</v>
      </c>
      <c r="FM19" s="2010">
        <f t="shared" si="23"/>
        <v>83086.649990000005</v>
      </c>
      <c r="FN19" s="2007">
        <f t="shared" si="23"/>
        <v>52738.81990000001</v>
      </c>
      <c r="FO19" s="2010">
        <f t="shared" si="23"/>
        <v>6269.7092500000008</v>
      </c>
      <c r="FP19" s="2007">
        <f t="shared" si="23"/>
        <v>64245.839520000001</v>
      </c>
      <c r="FQ19" s="2010">
        <f t="shared" si="23"/>
        <v>14353.061879999999</v>
      </c>
      <c r="FR19" s="2007">
        <f t="shared" si="23"/>
        <v>70543.719660000002</v>
      </c>
      <c r="FS19" s="2010">
        <f t="shared" si="23"/>
        <v>20423.46471</v>
      </c>
      <c r="FT19" s="2007">
        <f t="shared" si="23"/>
        <v>74147.255000000005</v>
      </c>
      <c r="FU19" s="2010">
        <f t="shared" si="23"/>
        <v>29143.358389999998</v>
      </c>
      <c r="FV19" s="2007">
        <f t="shared" si="23"/>
        <v>80815.908060000002</v>
      </c>
      <c r="FW19" s="2010">
        <f t="shared" si="23"/>
        <v>38087.87485</v>
      </c>
      <c r="FX19" s="2007">
        <f t="shared" si="23"/>
        <v>85525.614350000003</v>
      </c>
      <c r="FY19" s="2010">
        <f t="shared" si="23"/>
        <v>45427.816180000002</v>
      </c>
      <c r="FZ19" s="2007">
        <f t="shared" si="23"/>
        <v>93151.414140000008</v>
      </c>
      <c r="GA19" s="2010">
        <f t="shared" si="23"/>
        <v>54521.129830000005</v>
      </c>
      <c r="GB19" s="2007">
        <f t="shared" si="23"/>
        <v>100696.22474999999</v>
      </c>
      <c r="GC19" s="2010">
        <f t="shared" si="23"/>
        <v>62498.382510000003</v>
      </c>
      <c r="GD19" s="2007">
        <f t="shared" si="23"/>
        <v>103916.33487999999</v>
      </c>
      <c r="GE19" s="2010">
        <f t="shared" si="23"/>
        <v>71255.674549999996</v>
      </c>
      <c r="GF19" s="2007">
        <f t="shared" si="23"/>
        <v>110124.04721</v>
      </c>
      <c r="GG19" s="2010">
        <f t="shared" si="23"/>
        <v>80406.76771</v>
      </c>
      <c r="GH19" s="2007">
        <f t="shared" si="23"/>
        <v>123384.81478999999</v>
      </c>
      <c r="GI19" s="2010">
        <f t="shared" si="23"/>
        <v>88818.401179999986</v>
      </c>
      <c r="GJ19" s="2007">
        <f t="shared" si="23"/>
        <v>133982.21635</v>
      </c>
      <c r="GK19" s="2010">
        <f t="shared" si="23"/>
        <v>97620.669129999995</v>
      </c>
      <c r="GL19" s="2007">
        <f t="shared" ref="GL19:GU19" si="24">SUM(GL20:GL22)</f>
        <v>59483.902260000003</v>
      </c>
      <c r="GM19" s="2010">
        <f t="shared" si="24"/>
        <v>5020.9840799999993</v>
      </c>
      <c r="GN19" s="2007">
        <f t="shared" si="24"/>
        <v>69692.056360000002</v>
      </c>
      <c r="GO19" s="2010">
        <f t="shared" si="24"/>
        <v>11546.043289999998</v>
      </c>
      <c r="GP19" s="2007">
        <f t="shared" si="24"/>
        <v>77070.740279999998</v>
      </c>
      <c r="GQ19" s="2010">
        <f t="shared" si="24"/>
        <v>17097.041751767007</v>
      </c>
      <c r="GR19" s="2007">
        <f t="shared" si="24"/>
        <v>80560.87</v>
      </c>
      <c r="GS19" s="2010">
        <f t="shared" si="24"/>
        <v>26955.953769999996</v>
      </c>
      <c r="GT19" s="2007">
        <f t="shared" si="24"/>
        <v>88225.541669999991</v>
      </c>
      <c r="GU19" s="2010">
        <f t="shared" si="24"/>
        <v>36735.547149999999</v>
      </c>
      <c r="GV19" s="2011" t="s">
        <v>3197</v>
      </c>
    </row>
    <row r="20" spans="1:206" s="1991" customFormat="1" ht="22.5" customHeight="1">
      <c r="A20" s="2012" t="s">
        <v>2317</v>
      </c>
      <c r="B20" s="2013">
        <v>36855.467840000005</v>
      </c>
      <c r="C20" s="2013">
        <v>4223.4009699999997</v>
      </c>
      <c r="D20" s="2013">
        <v>41592.193479999994</v>
      </c>
      <c r="E20" s="2013">
        <v>7453.8695399999997</v>
      </c>
      <c r="F20" s="2013">
        <v>44552.182160000004</v>
      </c>
      <c r="G20" s="2013">
        <v>11513.764770000002</v>
      </c>
      <c r="H20" s="2013">
        <v>47368.419240000003</v>
      </c>
      <c r="I20" s="2013">
        <v>13374.605599999999</v>
      </c>
      <c r="J20" s="2013">
        <v>49480.949919999999</v>
      </c>
      <c r="K20" s="2013">
        <v>17279.188249999999</v>
      </c>
      <c r="L20" s="2013">
        <v>51652.408880000003</v>
      </c>
      <c r="M20" s="2013">
        <v>24676.620870000002</v>
      </c>
      <c r="N20" s="2013">
        <v>54965.031229999993</v>
      </c>
      <c r="O20" s="2013">
        <v>30063.065139999999</v>
      </c>
      <c r="P20" s="2013">
        <v>62634.10916</v>
      </c>
      <c r="Q20" s="2013">
        <v>38342.955590000005</v>
      </c>
      <c r="R20" s="2013">
        <v>64981.929259999997</v>
      </c>
      <c r="S20" s="2013">
        <v>42117.39183</v>
      </c>
      <c r="T20" s="2013">
        <v>68920.698109999998</v>
      </c>
      <c r="U20" s="2013">
        <v>47669.271719999997</v>
      </c>
      <c r="V20" s="2013">
        <v>72091.449909999996</v>
      </c>
      <c r="W20" s="2013">
        <v>50555.007369999999</v>
      </c>
      <c r="X20" s="2013">
        <v>83165.692020000002</v>
      </c>
      <c r="Y20" s="2013">
        <v>53002.789250000002</v>
      </c>
      <c r="Z20" s="2013">
        <v>39815.647560000005</v>
      </c>
      <c r="AA20" s="2013">
        <v>5501.3439989999997</v>
      </c>
      <c r="AB20" s="2013">
        <v>43646.11735</v>
      </c>
      <c r="AC20" s="2013">
        <v>10549.742969999999</v>
      </c>
      <c r="AD20" s="2013">
        <v>47638.961340000002</v>
      </c>
      <c r="AE20" s="2013">
        <v>14682.801039999998</v>
      </c>
      <c r="AF20" s="2013">
        <v>50025.840640000002</v>
      </c>
      <c r="AG20" s="2013">
        <v>21743.686329999997</v>
      </c>
      <c r="AH20" s="2013">
        <v>53221.124510000001</v>
      </c>
      <c r="AI20" s="2013">
        <v>26380.90913</v>
      </c>
      <c r="AJ20" s="2013">
        <v>55231.308799999999</v>
      </c>
      <c r="AK20" s="2013">
        <v>30274.633429999998</v>
      </c>
      <c r="AL20" s="2013">
        <v>58286.213939999994</v>
      </c>
      <c r="AM20" s="2013">
        <v>35357.156360000001</v>
      </c>
      <c r="AN20" s="2013">
        <v>62535.477770000005</v>
      </c>
      <c r="AO20" s="2013">
        <v>40551.54664</v>
      </c>
      <c r="AP20" s="2013">
        <v>64201.595569999998</v>
      </c>
      <c r="AQ20" s="2013">
        <v>44349.687729999998</v>
      </c>
      <c r="AR20" s="2013">
        <v>71106.855249999993</v>
      </c>
      <c r="AS20" s="2013">
        <v>49084.84635</v>
      </c>
      <c r="AT20" s="2013">
        <v>75050.078959999999</v>
      </c>
      <c r="AU20" s="2013">
        <v>55681.897979999994</v>
      </c>
      <c r="AV20" s="2013">
        <v>87057.252340000006</v>
      </c>
      <c r="AW20" s="2013">
        <v>59484.608919999999</v>
      </c>
      <c r="AX20" s="2013">
        <v>45603.760670000003</v>
      </c>
      <c r="AY20" s="2013">
        <v>2042.38777</v>
      </c>
      <c r="AZ20" s="2013">
        <v>52214.416060000003</v>
      </c>
      <c r="BA20" s="2013">
        <v>6823.1878899999992</v>
      </c>
      <c r="BB20" s="2013">
        <v>56920.007789999996</v>
      </c>
      <c r="BC20" s="2013">
        <v>10916.495570000001</v>
      </c>
      <c r="BD20" s="2013">
        <v>60202.252340000006</v>
      </c>
      <c r="BE20" s="2013">
        <v>17102.411329999999</v>
      </c>
      <c r="BF20" s="2013">
        <v>63773.26483</v>
      </c>
      <c r="BG20" s="2013">
        <v>22575.893190000003</v>
      </c>
      <c r="BH20" s="2013">
        <v>65582.287729999996</v>
      </c>
      <c r="BI20" s="2013">
        <v>29014.568859999999</v>
      </c>
      <c r="BJ20" s="2013">
        <v>67850.978480000005</v>
      </c>
      <c r="BK20" s="2013">
        <v>30198.81954</v>
      </c>
      <c r="BL20" s="2013">
        <v>71341.365900000004</v>
      </c>
      <c r="BM20" s="2013">
        <v>38368.316210000005</v>
      </c>
      <c r="BN20" s="2013">
        <v>73200.919330000004</v>
      </c>
      <c r="BO20" s="2013">
        <v>43322.595600000001</v>
      </c>
      <c r="BP20" s="2013">
        <v>80998.588329999999</v>
      </c>
      <c r="BQ20" s="2013">
        <v>49598.184939999999</v>
      </c>
      <c r="BR20" s="2013">
        <v>84867.158660000001</v>
      </c>
      <c r="BS20" s="2013">
        <v>56829.965979999994</v>
      </c>
      <c r="BT20" s="2013">
        <v>95825.485060000006</v>
      </c>
      <c r="BU20" s="2013">
        <v>60492.939599999998</v>
      </c>
      <c r="BV20" s="2013">
        <v>51808.393630000006</v>
      </c>
      <c r="BW20" s="2013">
        <v>5712.2097000000003</v>
      </c>
      <c r="BX20" s="2013">
        <v>57258.143509999994</v>
      </c>
      <c r="BY20" s="2013">
        <v>10033.067570000001</v>
      </c>
      <c r="BZ20" s="2013">
        <v>62525.213899999995</v>
      </c>
      <c r="CA20" s="2013">
        <v>16917.075230000002</v>
      </c>
      <c r="CB20" s="2013">
        <v>66858.9951</v>
      </c>
      <c r="CC20" s="2013">
        <v>23316.247940000001</v>
      </c>
      <c r="CD20" s="2013">
        <v>69997.879620000007</v>
      </c>
      <c r="CE20" s="2013">
        <v>30914.457420000002</v>
      </c>
      <c r="CF20" s="2013">
        <v>71799.90615000001</v>
      </c>
      <c r="CG20" s="2013">
        <v>35523.535389999997</v>
      </c>
      <c r="CH20" s="2013">
        <v>74212.756599999993</v>
      </c>
      <c r="CI20" s="2013">
        <v>39280.847289999998</v>
      </c>
      <c r="CJ20" s="2013">
        <v>76767.961779999998</v>
      </c>
      <c r="CK20" s="2013">
        <v>43519.488990000005</v>
      </c>
      <c r="CL20" s="2013">
        <v>78638.838569999993</v>
      </c>
      <c r="CM20" s="2013">
        <v>47250.66893</v>
      </c>
      <c r="CN20" s="2013">
        <v>87387.166540000006</v>
      </c>
      <c r="CO20" s="2013">
        <v>50832.521729999993</v>
      </c>
      <c r="CP20" s="2013">
        <v>90236.1875</v>
      </c>
      <c r="CQ20" s="2013">
        <v>54254.09259</v>
      </c>
      <c r="CR20" s="2013">
        <v>101564.62347000001</v>
      </c>
      <c r="CS20" s="2013">
        <v>67869.50877</v>
      </c>
      <c r="CT20" s="2013">
        <v>51090.430200000003</v>
      </c>
      <c r="CU20" s="2013">
        <v>7752.3820999999998</v>
      </c>
      <c r="CV20" s="2013">
        <v>55666.613340000004</v>
      </c>
      <c r="CW20" s="2013">
        <v>13945.85468</v>
      </c>
      <c r="CX20" s="2013">
        <v>62045.569390000004</v>
      </c>
      <c r="CY20" s="2013">
        <v>17033.912319999999</v>
      </c>
      <c r="CZ20" s="2013">
        <v>66485.35252</v>
      </c>
      <c r="DA20" s="2013">
        <v>20774.32978</v>
      </c>
      <c r="DB20" s="2013">
        <v>70035.058709999998</v>
      </c>
      <c r="DC20" s="2013">
        <v>24687.799429999999</v>
      </c>
      <c r="DD20" s="2013">
        <v>70768.554439999993</v>
      </c>
      <c r="DE20" s="2013">
        <v>32196.335789999997</v>
      </c>
      <c r="DF20" s="2013">
        <v>72907.537680000009</v>
      </c>
      <c r="DG20" s="2013">
        <v>37807.230450000003</v>
      </c>
      <c r="DH20" s="2013">
        <v>75354.636760000009</v>
      </c>
      <c r="DI20" s="2013">
        <v>52394.136930000001</v>
      </c>
      <c r="DJ20" s="2013">
        <v>83739.761719999995</v>
      </c>
      <c r="DK20" s="2013">
        <v>61670.384310000001</v>
      </c>
      <c r="DL20" s="2013">
        <v>87470.02347</v>
      </c>
      <c r="DM20" s="2013">
        <v>67722.849260000003</v>
      </c>
      <c r="DN20" s="2013">
        <v>95394.634080000003</v>
      </c>
      <c r="DO20" s="2013">
        <v>72325.116320000001</v>
      </c>
      <c r="DP20" s="2013">
        <v>102649.39958</v>
      </c>
      <c r="DQ20" s="2014">
        <v>78944.396659999999</v>
      </c>
      <c r="DR20" s="2015">
        <v>57123.202160000001</v>
      </c>
      <c r="DS20" s="2025">
        <v>3242.2952100000002</v>
      </c>
      <c r="DT20" s="2017">
        <v>62343.875829999997</v>
      </c>
      <c r="DU20" s="2014">
        <v>11208.108260000001</v>
      </c>
      <c r="DV20" s="2015">
        <v>67850.442890000006</v>
      </c>
      <c r="DW20" s="2016">
        <v>17432.849689999999</v>
      </c>
      <c r="DX20" s="2017">
        <v>72792.863089999999</v>
      </c>
      <c r="DY20" s="2014">
        <v>25484.07243</v>
      </c>
      <c r="DZ20" s="2015">
        <v>75804.024479999993</v>
      </c>
      <c r="EA20" s="2016">
        <v>31436.631300000001</v>
      </c>
      <c r="EB20" s="2017">
        <v>78107.65453</v>
      </c>
      <c r="EC20" s="2014">
        <v>37391.459439999999</v>
      </c>
      <c r="ED20" s="2015">
        <v>81341.680429999993</v>
      </c>
      <c r="EE20" s="2016">
        <v>43342.975619999997</v>
      </c>
      <c r="EF20" s="2015">
        <v>84785.351039999994</v>
      </c>
      <c r="EG20" s="2016">
        <v>50038.000110000001</v>
      </c>
      <c r="EH20" s="2017">
        <v>93074.326220000003</v>
      </c>
      <c r="EI20" s="2016">
        <v>55867.988169999997</v>
      </c>
      <c r="EJ20" s="2017">
        <v>95764.073699999994</v>
      </c>
      <c r="EK20" s="2016">
        <v>61716.063529999999</v>
      </c>
      <c r="EL20" s="2015">
        <v>105546.56829</v>
      </c>
      <c r="EM20" s="2018">
        <v>66127.603069999997</v>
      </c>
      <c r="EN20" s="2015">
        <v>112260.04118</v>
      </c>
      <c r="EO20" s="2018">
        <v>70222.080130000002</v>
      </c>
      <c r="EP20" s="2015">
        <v>57682.179179999999</v>
      </c>
      <c r="EQ20" s="2018">
        <v>5664.7486699999999</v>
      </c>
      <c r="ER20" s="2015">
        <v>64871.050380000001</v>
      </c>
      <c r="ES20" s="2018">
        <v>11308.24567</v>
      </c>
      <c r="ET20" s="2015">
        <v>70543.691990000007</v>
      </c>
      <c r="EU20" s="2018">
        <v>17040.8344</v>
      </c>
      <c r="EV20" s="2015">
        <v>72618.536999999997</v>
      </c>
      <c r="EW20" s="2018">
        <v>22747.871869999999</v>
      </c>
      <c r="EX20" s="2015">
        <v>78222.003649999999</v>
      </c>
      <c r="EY20" s="2018">
        <v>28923.035820000001</v>
      </c>
      <c r="EZ20" s="2015">
        <v>81608.043849999987</v>
      </c>
      <c r="FA20" s="2018">
        <v>35145.801380000004</v>
      </c>
      <c r="FB20" s="2015">
        <v>85651.199040000007</v>
      </c>
      <c r="FC20" s="2018">
        <v>41029.689469999998</v>
      </c>
      <c r="FD20" s="2015">
        <v>91226.537259999997</v>
      </c>
      <c r="FE20" s="2018">
        <v>48633.073960000002</v>
      </c>
      <c r="FF20" s="2015">
        <v>99800.09564</v>
      </c>
      <c r="FG20" s="2018">
        <v>55541.673259999996</v>
      </c>
      <c r="FH20" s="2015">
        <v>103275.73618000001</v>
      </c>
      <c r="FI20" s="2018">
        <v>63662.357889999999</v>
      </c>
      <c r="FJ20" s="2015">
        <v>112547.82079</v>
      </c>
      <c r="FK20" s="2018">
        <v>73497.845560000002</v>
      </c>
      <c r="FL20" s="2015">
        <v>121010.91701</v>
      </c>
      <c r="FM20" s="2018">
        <v>82367.729120000004</v>
      </c>
      <c r="FN20" s="2015">
        <v>52108.096210000003</v>
      </c>
      <c r="FO20" s="2018">
        <v>6233.3559800000003</v>
      </c>
      <c r="FP20" s="2015">
        <v>62933.47337</v>
      </c>
      <c r="FQ20" s="2018">
        <v>14256.17376</v>
      </c>
      <c r="FR20" s="2015">
        <v>68634.600179999994</v>
      </c>
      <c r="FS20" s="2018">
        <v>20262.479729999999</v>
      </c>
      <c r="FT20" s="2015">
        <v>71512.772570000001</v>
      </c>
      <c r="FU20" s="2018">
        <v>28935.530579999999</v>
      </c>
      <c r="FV20" s="2015">
        <v>77129.043019999997</v>
      </c>
      <c r="FW20" s="2018">
        <v>37748.643810000001</v>
      </c>
      <c r="FX20" s="2015">
        <v>81045.480660000001</v>
      </c>
      <c r="FY20" s="2018">
        <v>45059.750970000001</v>
      </c>
      <c r="FZ20" s="2015">
        <v>87146.068920000005</v>
      </c>
      <c r="GA20" s="2018">
        <f>54110.48847+24.24328</f>
        <v>54134.731749999999</v>
      </c>
      <c r="GB20" s="2015">
        <v>93624.766789999994</v>
      </c>
      <c r="GC20" s="2018">
        <v>62082.367409999999</v>
      </c>
      <c r="GD20" s="2015">
        <v>96098.261799999993</v>
      </c>
      <c r="GE20" s="2018">
        <v>70760.612800000003</v>
      </c>
      <c r="GF20" s="2015">
        <v>100958.09883</v>
      </c>
      <c r="GG20" s="2018">
        <v>79860.565019999995</v>
      </c>
      <c r="GH20" s="2015">
        <v>113664.63903999999</v>
      </c>
      <c r="GI20" s="2018">
        <v>88094.620989999996</v>
      </c>
      <c r="GJ20" s="2015">
        <v>123087.07283999999</v>
      </c>
      <c r="GK20" s="2018">
        <v>96642.019209999999</v>
      </c>
      <c r="GL20" s="2015">
        <v>58313.244319999998</v>
      </c>
      <c r="GM20" s="2018">
        <v>4971.3518299999996</v>
      </c>
      <c r="GN20" s="2015">
        <v>67947.686289999998</v>
      </c>
      <c r="GO20" s="2018">
        <v>11486.213019999999</v>
      </c>
      <c r="GP20" s="2015">
        <v>74487.827619999996</v>
      </c>
      <c r="GQ20" s="2018">
        <v>16949.377210000006</v>
      </c>
      <c r="GR20" s="2015">
        <v>77003.543099999995</v>
      </c>
      <c r="GS20" s="2018">
        <v>26787.1361</v>
      </c>
      <c r="GT20" s="2015">
        <v>83729.521089999995</v>
      </c>
      <c r="GU20" s="2018">
        <v>36427.605360000001</v>
      </c>
      <c r="GV20" s="2019" t="s">
        <v>3431</v>
      </c>
    </row>
    <row r="21" spans="1:206" s="1991" customFormat="1" ht="22.5" customHeight="1">
      <c r="A21" s="2026" t="s">
        <v>2316</v>
      </c>
      <c r="B21" s="2013">
        <v>148.82676000000001</v>
      </c>
      <c r="C21" s="2013">
        <v>4.7051800000000004</v>
      </c>
      <c r="D21" s="2013">
        <v>325.29307</v>
      </c>
      <c r="E21" s="2013">
        <v>27.50065</v>
      </c>
      <c r="F21" s="2013">
        <v>509.81162999999992</v>
      </c>
      <c r="G21" s="2013">
        <v>53.135580000000004</v>
      </c>
      <c r="H21" s="2013">
        <v>705.80830000000003</v>
      </c>
      <c r="I21" s="2013">
        <v>71.145589999999999</v>
      </c>
      <c r="J21" s="2013">
        <v>991.27355</v>
      </c>
      <c r="K21" s="2013">
        <v>117.59075</v>
      </c>
      <c r="L21" s="2013">
        <v>1323.8947599999999</v>
      </c>
      <c r="M21" s="2013">
        <v>129.08305000000001</v>
      </c>
      <c r="N21" s="2013">
        <v>1840.7411299999999</v>
      </c>
      <c r="O21" s="2013">
        <v>146.25514000000001</v>
      </c>
      <c r="P21" s="2013">
        <v>2307.6070299999997</v>
      </c>
      <c r="Q21" s="2013">
        <v>182.02610999999999</v>
      </c>
      <c r="R21" s="2013">
        <v>2507.6607799999997</v>
      </c>
      <c r="S21" s="2013">
        <v>289.49996000000004</v>
      </c>
      <c r="T21" s="2013">
        <v>2750.8502400000002</v>
      </c>
      <c r="U21" s="2013">
        <v>329.20625999999999</v>
      </c>
      <c r="V21" s="2013">
        <v>2943.3612000000003</v>
      </c>
      <c r="W21" s="2013">
        <v>361.02526</v>
      </c>
      <c r="X21" s="2013">
        <v>3100.1843200000003</v>
      </c>
      <c r="Y21" s="2013">
        <v>375.59332000000001</v>
      </c>
      <c r="Z21" s="2013">
        <v>215.6061</v>
      </c>
      <c r="AA21" s="2013">
        <v>11.681940000000001</v>
      </c>
      <c r="AB21" s="2013">
        <v>429.28646000000003</v>
      </c>
      <c r="AC21" s="2013">
        <v>15.478569999999999</v>
      </c>
      <c r="AD21" s="2013">
        <v>636.04300000000001</v>
      </c>
      <c r="AE21" s="2013">
        <v>37.005000000000003</v>
      </c>
      <c r="AF21" s="2013">
        <v>887.69011999999998</v>
      </c>
      <c r="AG21" s="2013">
        <v>292.81799999999998</v>
      </c>
      <c r="AH21" s="2013">
        <v>1211.1149800000001</v>
      </c>
      <c r="AI21" s="2013">
        <v>361.61041999999998</v>
      </c>
      <c r="AJ21" s="2013">
        <v>1643.68319</v>
      </c>
      <c r="AK21" s="2013">
        <v>456.09717000000001</v>
      </c>
      <c r="AL21" s="2013">
        <v>2223.5200199999999</v>
      </c>
      <c r="AM21" s="2013">
        <v>462.34318999999999</v>
      </c>
      <c r="AN21" s="2013">
        <v>2730.8883999999998</v>
      </c>
      <c r="AO21" s="2013">
        <v>533.15953000000002</v>
      </c>
      <c r="AP21" s="2013">
        <v>3061.1123499999999</v>
      </c>
      <c r="AQ21" s="2013">
        <v>603.25081999999998</v>
      </c>
      <c r="AR21" s="2013">
        <v>3350.7155899999998</v>
      </c>
      <c r="AS21" s="2013">
        <v>676.67769999999996</v>
      </c>
      <c r="AT21" s="2013">
        <v>3604.8102799999997</v>
      </c>
      <c r="AU21" s="2013">
        <v>687.94005000000004</v>
      </c>
      <c r="AV21" s="2013">
        <v>3758.14939</v>
      </c>
      <c r="AW21" s="2013">
        <v>749.50563999999997</v>
      </c>
      <c r="AX21" s="2013">
        <v>251.19410999999999</v>
      </c>
      <c r="AY21" s="2013">
        <v>11.15311</v>
      </c>
      <c r="AZ21" s="2013">
        <v>502.67162999999999</v>
      </c>
      <c r="BA21" s="2013">
        <v>24.241319999999998</v>
      </c>
      <c r="BB21" s="2013">
        <v>738.19452999999999</v>
      </c>
      <c r="BC21" s="2013">
        <v>41.537430000000001</v>
      </c>
      <c r="BD21" s="2013">
        <v>1029.89688</v>
      </c>
      <c r="BE21" s="2013">
        <v>110.10025</v>
      </c>
      <c r="BF21" s="2013">
        <v>1427.39068</v>
      </c>
      <c r="BG21" s="2013">
        <v>153.19175000000001</v>
      </c>
      <c r="BH21" s="2013">
        <v>1934.1501499999999</v>
      </c>
      <c r="BI21" s="2013">
        <v>196.28095000000002</v>
      </c>
      <c r="BJ21" s="2013">
        <v>2645.6152700000002</v>
      </c>
      <c r="BK21" s="2013">
        <v>257.39503000000002</v>
      </c>
      <c r="BL21" s="2013">
        <v>3305.7902100000001</v>
      </c>
      <c r="BM21" s="2013">
        <v>285.30090000000001</v>
      </c>
      <c r="BN21" s="2013">
        <v>3796.9089900000004</v>
      </c>
      <c r="BO21" s="2013">
        <v>359.09926000000002</v>
      </c>
      <c r="BP21" s="2013">
        <v>4166.2618700000003</v>
      </c>
      <c r="BQ21" s="2013">
        <v>436.55930000000001</v>
      </c>
      <c r="BR21" s="2013">
        <v>4523.7093399999994</v>
      </c>
      <c r="BS21" s="2013">
        <v>472.68445000000003</v>
      </c>
      <c r="BT21" s="2013">
        <v>4878.0391</v>
      </c>
      <c r="BU21" s="2013">
        <v>481.90397999999999</v>
      </c>
      <c r="BV21" s="2013">
        <v>309.43208000000004</v>
      </c>
      <c r="BW21" s="2013">
        <v>43.024639999999998</v>
      </c>
      <c r="BX21" s="2013">
        <v>655.46632</v>
      </c>
      <c r="BY21" s="2013">
        <v>72.358789999999999</v>
      </c>
      <c r="BZ21" s="2013">
        <v>769.93795999999998</v>
      </c>
      <c r="CA21" s="2013">
        <v>98.505870000000002</v>
      </c>
      <c r="CB21" s="2013">
        <v>782.82281</v>
      </c>
      <c r="CC21" s="2013">
        <v>188.25433999999998</v>
      </c>
      <c r="CD21" s="2013">
        <v>794.46735999999999</v>
      </c>
      <c r="CE21" s="2013">
        <v>219.53742000000003</v>
      </c>
      <c r="CF21" s="2013">
        <v>793.49123999999995</v>
      </c>
      <c r="CG21" s="2013">
        <v>228.99280999999999</v>
      </c>
      <c r="CH21" s="2013">
        <v>852.97125000000005</v>
      </c>
      <c r="CI21" s="2013">
        <v>235.43929</v>
      </c>
      <c r="CJ21" s="2013">
        <v>991.46607999999992</v>
      </c>
      <c r="CK21" s="2013">
        <v>266.00887999999998</v>
      </c>
      <c r="CL21" s="2013">
        <v>1161.7506000000001</v>
      </c>
      <c r="CM21" s="2013">
        <v>275.48809999999997</v>
      </c>
      <c r="CN21" s="2013">
        <v>1276.6858400000001</v>
      </c>
      <c r="CO21" s="2013">
        <v>280.76053000000002</v>
      </c>
      <c r="CP21" s="2013">
        <v>1333.1001799999999</v>
      </c>
      <c r="CQ21" s="2013">
        <v>281.36799999999999</v>
      </c>
      <c r="CR21" s="2013">
        <v>1416.05008</v>
      </c>
      <c r="CS21" s="2013">
        <v>307.68601000000001</v>
      </c>
      <c r="CT21" s="2013">
        <v>103.94686</v>
      </c>
      <c r="CU21" s="2013">
        <v>2.4013200000000001</v>
      </c>
      <c r="CV21" s="2013">
        <v>214.99106</v>
      </c>
      <c r="CW21" s="2013">
        <v>13.411530000000001</v>
      </c>
      <c r="CX21" s="2013">
        <v>330.22353999999996</v>
      </c>
      <c r="CY21" s="2013">
        <v>13.411530000000001</v>
      </c>
      <c r="CZ21" s="2013">
        <v>467.06016999999997</v>
      </c>
      <c r="DA21" s="2013">
        <v>38.060809999999996</v>
      </c>
      <c r="DB21" s="2013">
        <v>602.57673</v>
      </c>
      <c r="DC21" s="2013">
        <v>73.315490000000011</v>
      </c>
      <c r="DD21" s="2013">
        <v>829.31002000000001</v>
      </c>
      <c r="DE21" s="2013">
        <v>88.934429999999992</v>
      </c>
      <c r="DF21" s="2013">
        <v>1308.9730099999999</v>
      </c>
      <c r="DG21" s="2013">
        <v>95.155500000000004</v>
      </c>
      <c r="DH21" s="2013">
        <v>1868.0806699999998</v>
      </c>
      <c r="DI21" s="2013">
        <v>101.99454</v>
      </c>
      <c r="DJ21" s="2013">
        <v>2295.0023799999999</v>
      </c>
      <c r="DK21" s="2013">
        <v>133.02167</v>
      </c>
      <c r="DL21" s="2013">
        <v>2557.0192099999999</v>
      </c>
      <c r="DM21" s="2013">
        <v>155.84827999999999</v>
      </c>
      <c r="DN21" s="2013">
        <v>2773.8145100000002</v>
      </c>
      <c r="DO21" s="2013">
        <v>162.13843</v>
      </c>
      <c r="DP21" s="2013">
        <v>2963.7100399999999</v>
      </c>
      <c r="DQ21" s="2014">
        <v>229.45199</v>
      </c>
      <c r="DR21" s="2015">
        <v>201.46573000000001</v>
      </c>
      <c r="DS21" s="2016">
        <v>0.55259999999999998</v>
      </c>
      <c r="DT21" s="2017">
        <v>385.02166</v>
      </c>
      <c r="DU21" s="2014">
        <v>9.3350299999999997</v>
      </c>
      <c r="DV21" s="2015">
        <v>627.14044000000001</v>
      </c>
      <c r="DW21" s="2016">
        <v>25.57244</v>
      </c>
      <c r="DX21" s="2017">
        <v>949.45851000000005</v>
      </c>
      <c r="DY21" s="2014">
        <v>37.633980000000001</v>
      </c>
      <c r="DZ21" s="2015">
        <v>1484.5909799999999</v>
      </c>
      <c r="EA21" s="2016">
        <v>100.33129</v>
      </c>
      <c r="EB21" s="2017">
        <v>1857.03629</v>
      </c>
      <c r="EC21" s="2014">
        <v>181.19983999999999</v>
      </c>
      <c r="ED21" s="2015">
        <v>2610.2428300000001</v>
      </c>
      <c r="EE21" s="2016">
        <v>226.04856000000001</v>
      </c>
      <c r="EF21" s="2015">
        <v>3407.8195000000001</v>
      </c>
      <c r="EG21" s="2016">
        <v>251.36682999999999</v>
      </c>
      <c r="EH21" s="2017">
        <v>3944.4822800000002</v>
      </c>
      <c r="EI21" s="2016">
        <v>284.74671999999998</v>
      </c>
      <c r="EJ21" s="2017">
        <v>4374.2649600000004</v>
      </c>
      <c r="EK21" s="2016">
        <v>306.55871999999999</v>
      </c>
      <c r="EL21" s="2015">
        <v>4768.5699100000002</v>
      </c>
      <c r="EM21" s="2018">
        <v>380.61676</v>
      </c>
      <c r="EN21" s="2015">
        <v>5173.85419</v>
      </c>
      <c r="EO21" s="2018">
        <v>509.69922000000003</v>
      </c>
      <c r="EP21" s="2015">
        <v>371.1748</v>
      </c>
      <c r="EQ21" s="2018">
        <v>8.0367899999999999</v>
      </c>
      <c r="ER21" s="2015">
        <v>762.78761999999995</v>
      </c>
      <c r="ES21" s="2018">
        <v>61.974910000000001</v>
      </c>
      <c r="ET21" s="2015">
        <v>1148.1283699999999</v>
      </c>
      <c r="EU21" s="2018">
        <v>67.895169999999993</v>
      </c>
      <c r="EV21" s="2015">
        <v>1559.3200999999999</v>
      </c>
      <c r="EW21" s="2018">
        <v>84.431960000000004</v>
      </c>
      <c r="EX21" s="2015">
        <v>2171.50695</v>
      </c>
      <c r="EY21" s="2018">
        <v>103.24786</v>
      </c>
      <c r="EZ21" s="2015">
        <v>2736.22354</v>
      </c>
      <c r="FA21" s="2018">
        <v>116.17917999999999</v>
      </c>
      <c r="FB21" s="2015">
        <v>3721.63033</v>
      </c>
      <c r="FC21" s="2018">
        <v>151.78257000000002</v>
      </c>
      <c r="FD21" s="2015">
        <v>4503.56466</v>
      </c>
      <c r="FE21" s="2018">
        <v>190.90546000000001</v>
      </c>
      <c r="FF21" s="2015">
        <v>4917.5642099999995</v>
      </c>
      <c r="FG21" s="2018">
        <v>292.42399999999998</v>
      </c>
      <c r="FH21" s="2015">
        <v>5290.7333399999998</v>
      </c>
      <c r="FI21" s="2018">
        <v>314.45042999999998</v>
      </c>
      <c r="FJ21" s="2015">
        <v>5641.62</v>
      </c>
      <c r="FK21" s="2018">
        <v>488.50664</v>
      </c>
      <c r="FL21" s="2015">
        <v>6022.2288899999994</v>
      </c>
      <c r="FM21" s="2018">
        <v>543.24384999999995</v>
      </c>
      <c r="FN21" s="2015">
        <v>326.07906000000003</v>
      </c>
      <c r="FO21" s="2018">
        <v>28.421209999999999</v>
      </c>
      <c r="FP21" s="2015">
        <v>692.57231000000002</v>
      </c>
      <c r="FQ21" s="2018">
        <v>77.215729999999994</v>
      </c>
      <c r="FR21" s="2015">
        <v>983.29737999999998</v>
      </c>
      <c r="FS21" s="2018">
        <v>79.991370000000003</v>
      </c>
      <c r="FT21" s="2015">
        <v>1382.51513</v>
      </c>
      <c r="FU21" s="2018">
        <v>84.328249999999997</v>
      </c>
      <c r="FV21" s="2015">
        <v>1956.8891799999999</v>
      </c>
      <c r="FW21" s="2018">
        <v>111.31321</v>
      </c>
      <c r="FX21" s="2015">
        <v>2437.5541800000001</v>
      </c>
      <c r="FY21" s="2018">
        <v>136.83546999999999</v>
      </c>
      <c r="FZ21" s="2015">
        <v>3314.1248500000002</v>
      </c>
      <c r="GA21" s="2018">
        <f>150.79711+0.16073</f>
        <v>150.95784</v>
      </c>
      <c r="GB21" s="2015">
        <v>4098.0801899999997</v>
      </c>
      <c r="GC21" s="2018">
        <v>180.57486</v>
      </c>
      <c r="GD21" s="2015">
        <v>4544.9960000000001</v>
      </c>
      <c r="GE21" s="2018">
        <v>249.52479</v>
      </c>
      <c r="GF21" s="2015">
        <v>4962.6562800000002</v>
      </c>
      <c r="GG21" s="2018">
        <v>299.47618999999997</v>
      </c>
      <c r="GH21" s="2015">
        <v>5280.9005200000001</v>
      </c>
      <c r="GI21" s="2018">
        <v>400.38229999999999</v>
      </c>
      <c r="GJ21" s="2015">
        <v>5579.4660899999999</v>
      </c>
      <c r="GK21" s="2018">
        <v>650.03945999999996</v>
      </c>
      <c r="GL21" s="2015">
        <v>346.86031000000003</v>
      </c>
      <c r="GM21" s="2018">
        <v>49.632249999999999</v>
      </c>
      <c r="GN21" s="2015">
        <v>671.37834999999995</v>
      </c>
      <c r="GO21" s="2018">
        <v>53.365090000000002</v>
      </c>
      <c r="GP21" s="2015">
        <v>975.13514000000123</v>
      </c>
      <c r="GQ21" s="2018">
        <v>70.285121766999978</v>
      </c>
      <c r="GR21" s="2015">
        <v>1394.0656300000001</v>
      </c>
      <c r="GS21" s="2018">
        <v>84.721980000000002</v>
      </c>
      <c r="GT21" s="2015">
        <v>1825.1739500000001</v>
      </c>
      <c r="GU21" s="2018">
        <v>176.61087000000001</v>
      </c>
      <c r="GV21" s="2027" t="s">
        <v>3198</v>
      </c>
    </row>
    <row r="22" spans="1:206" s="1991" customFormat="1" ht="22.5" customHeight="1">
      <c r="A22" s="2012" t="s">
        <v>2315</v>
      </c>
      <c r="B22" s="2013">
        <v>367.81779999999998</v>
      </c>
      <c r="C22" s="2013">
        <v>20.692610000000002</v>
      </c>
      <c r="D22" s="2013">
        <v>666.02304000000004</v>
      </c>
      <c r="E22" s="2013">
        <v>56.176339999999996</v>
      </c>
      <c r="F22" s="2013">
        <v>909.45472999999993</v>
      </c>
      <c r="G22" s="2013">
        <v>107.37833999999999</v>
      </c>
      <c r="H22" s="2013">
        <v>1121.00549</v>
      </c>
      <c r="I22" s="2013">
        <v>206.2595</v>
      </c>
      <c r="J22" s="2013">
        <v>1710.6653100000001</v>
      </c>
      <c r="K22" s="2013">
        <v>204.4365</v>
      </c>
      <c r="L22" s="2013">
        <v>2028.92724</v>
      </c>
      <c r="M22" s="2013">
        <v>230.28554</v>
      </c>
      <c r="N22" s="2013">
        <v>2342.7371800000001</v>
      </c>
      <c r="O22" s="2013">
        <v>304.18314000000004</v>
      </c>
      <c r="P22" s="2013">
        <v>2677.12464</v>
      </c>
      <c r="Q22" s="2013">
        <v>317.82914</v>
      </c>
      <c r="R22" s="2013">
        <v>3097.7746499999998</v>
      </c>
      <c r="S22" s="2013">
        <v>364.96577000000002</v>
      </c>
      <c r="T22" s="2013">
        <v>3548.4917099999998</v>
      </c>
      <c r="U22" s="2013">
        <v>389.06677000000002</v>
      </c>
      <c r="V22" s="2013">
        <v>3778.71857</v>
      </c>
      <c r="W22" s="2013">
        <v>408.75877000000003</v>
      </c>
      <c r="X22" s="2013">
        <v>4272.6571299999996</v>
      </c>
      <c r="Y22" s="2013">
        <v>451.79376999999999</v>
      </c>
      <c r="Z22" s="2013">
        <v>177.87010999999998</v>
      </c>
      <c r="AA22" s="2013">
        <v>9.90991</v>
      </c>
      <c r="AB22" s="2013">
        <v>428.85897999999997</v>
      </c>
      <c r="AC22" s="2013">
        <v>35.297910000000002</v>
      </c>
      <c r="AD22" s="2013">
        <v>610.58687999999995</v>
      </c>
      <c r="AE22" s="2013">
        <v>50.554910000000007</v>
      </c>
      <c r="AF22" s="2013">
        <v>802.4438100000001</v>
      </c>
      <c r="AG22" s="2013">
        <v>85.164910000000006</v>
      </c>
      <c r="AH22" s="2013">
        <v>1243.3</v>
      </c>
      <c r="AI22" s="2013">
        <v>107.07491</v>
      </c>
      <c r="AJ22" s="2013">
        <v>1557.9589699999999</v>
      </c>
      <c r="AK22" s="2013">
        <v>148.29991000000001</v>
      </c>
      <c r="AL22" s="2013">
        <v>1736.6483599999999</v>
      </c>
      <c r="AM22" s="2013">
        <v>152.80491000000001</v>
      </c>
      <c r="AN22" s="2013">
        <v>2064.9647300000001</v>
      </c>
      <c r="AO22" s="2013">
        <v>187.33356000000001</v>
      </c>
      <c r="AP22" s="2013">
        <v>2536.0867000000003</v>
      </c>
      <c r="AQ22" s="2013">
        <v>218.84112999999999</v>
      </c>
      <c r="AR22" s="2013">
        <v>2733.42146</v>
      </c>
      <c r="AS22" s="2013">
        <v>247.51273</v>
      </c>
      <c r="AT22" s="2013">
        <v>3089.24701</v>
      </c>
      <c r="AU22" s="2013">
        <v>280.60462000000001</v>
      </c>
      <c r="AV22" s="2013">
        <v>3299.9067099999997</v>
      </c>
      <c r="AW22" s="2013">
        <v>322.83415000000002</v>
      </c>
      <c r="AX22" s="2013">
        <v>150.89749</v>
      </c>
      <c r="AY22" s="2013">
        <v>8.4062400000000004</v>
      </c>
      <c r="AZ22" s="2013">
        <v>424.76340999999996</v>
      </c>
      <c r="BA22" s="2013">
        <v>21.706240000000001</v>
      </c>
      <c r="BB22" s="2013">
        <v>697.08933999999999</v>
      </c>
      <c r="BC22" s="2013">
        <v>55.126239999999996</v>
      </c>
      <c r="BD22" s="2013">
        <v>761.79575</v>
      </c>
      <c r="BE22" s="2013">
        <v>86.296240000000012</v>
      </c>
      <c r="BF22" s="2013">
        <v>1008.68157</v>
      </c>
      <c r="BG22" s="2013">
        <v>122.78111</v>
      </c>
      <c r="BH22" s="2013">
        <v>1222.06051</v>
      </c>
      <c r="BI22" s="2013">
        <v>138.68455</v>
      </c>
      <c r="BJ22" s="2013">
        <v>1597.5301200000001</v>
      </c>
      <c r="BK22" s="2013">
        <v>189.22029000000001</v>
      </c>
      <c r="BL22" s="2013">
        <v>1856.34707</v>
      </c>
      <c r="BM22" s="2013">
        <v>218.73029</v>
      </c>
      <c r="BN22" s="2013">
        <v>2466.4289900000003</v>
      </c>
      <c r="BO22" s="2013">
        <v>266.16629</v>
      </c>
      <c r="BP22" s="2013">
        <v>2730.2401500000001</v>
      </c>
      <c r="BQ22" s="2013">
        <v>316.79428999999999</v>
      </c>
      <c r="BR22" s="2013">
        <v>3093.8230800000001</v>
      </c>
      <c r="BS22" s="2013">
        <v>363.01078999999999</v>
      </c>
      <c r="BT22" s="2013">
        <v>3416.3571400000001</v>
      </c>
      <c r="BU22" s="2013">
        <v>443.67675000000003</v>
      </c>
      <c r="BV22" s="2013">
        <v>194.87442999999999</v>
      </c>
      <c r="BW22" s="2013">
        <v>15.035</v>
      </c>
      <c r="BX22" s="2013">
        <v>623.17760999999996</v>
      </c>
      <c r="BY22" s="2013">
        <v>23.463000000000001</v>
      </c>
      <c r="BZ22" s="2013">
        <v>805.74327000000005</v>
      </c>
      <c r="CA22" s="2013">
        <v>66.894210000000001</v>
      </c>
      <c r="CB22" s="2013">
        <v>907.03390000000002</v>
      </c>
      <c r="CC22" s="2013">
        <v>61.05885</v>
      </c>
      <c r="CD22" s="2013">
        <v>1149.1292900000001</v>
      </c>
      <c r="CE22" s="2013">
        <v>73.562850000000012</v>
      </c>
      <c r="CF22" s="2013">
        <v>1298.53116</v>
      </c>
      <c r="CG22" s="2013">
        <v>87.257149999999996</v>
      </c>
      <c r="CH22" s="2013">
        <v>1502.9093799999998</v>
      </c>
      <c r="CI22" s="2013">
        <v>105.11614999999999</v>
      </c>
      <c r="CJ22" s="2013">
        <v>1645.1372799999999</v>
      </c>
      <c r="CK22" s="2013">
        <v>127.42214999999999</v>
      </c>
      <c r="CL22" s="2013">
        <v>2244.8064599999998</v>
      </c>
      <c r="CM22" s="2013">
        <v>132.64354999999998</v>
      </c>
      <c r="CN22" s="2013">
        <v>2520.5585899999996</v>
      </c>
      <c r="CO22" s="2013">
        <v>152.51470999999998</v>
      </c>
      <c r="CP22" s="2013">
        <v>2589.6840200000001</v>
      </c>
      <c r="CQ22" s="2013">
        <v>156.45770999999999</v>
      </c>
      <c r="CR22" s="2013">
        <v>2913.55906</v>
      </c>
      <c r="CS22" s="2013">
        <v>159.11770999999999</v>
      </c>
      <c r="CT22" s="2013">
        <v>106.39789</v>
      </c>
      <c r="CU22" s="2013">
        <v>4.1781300000000003</v>
      </c>
      <c r="CV22" s="2013">
        <v>233.29667999999998</v>
      </c>
      <c r="CW22" s="2013">
        <v>41.246929999999999</v>
      </c>
      <c r="CX22" s="2013">
        <v>436.41271999999998</v>
      </c>
      <c r="CY22" s="2013">
        <v>47.133929999999999</v>
      </c>
      <c r="CZ22" s="2013">
        <v>545.47483</v>
      </c>
      <c r="DA22" s="2013">
        <v>84.133929999999992</v>
      </c>
      <c r="DB22" s="2013">
        <v>747.74014</v>
      </c>
      <c r="DC22" s="2013">
        <v>87.813929999999999</v>
      </c>
      <c r="DD22" s="2013">
        <v>1152.1415400000001</v>
      </c>
      <c r="DE22" s="2013">
        <v>94.293929999999989</v>
      </c>
      <c r="DF22" s="2013">
        <v>1537.00495</v>
      </c>
      <c r="DG22" s="2013">
        <v>98.393929999999997</v>
      </c>
      <c r="DH22" s="2013">
        <v>1661.0534499999999</v>
      </c>
      <c r="DI22" s="2013">
        <v>101.75393</v>
      </c>
      <c r="DJ22" s="2013">
        <v>2248.8164299999999</v>
      </c>
      <c r="DK22" s="2013">
        <v>153.92802</v>
      </c>
      <c r="DL22" s="2013">
        <v>2409.93282</v>
      </c>
      <c r="DM22" s="2013">
        <v>182.66674</v>
      </c>
      <c r="DN22" s="2013">
        <v>2568.6681699999999</v>
      </c>
      <c r="DO22" s="2013">
        <v>191.10852</v>
      </c>
      <c r="DP22" s="2013">
        <v>2747.8304499999999</v>
      </c>
      <c r="DQ22" s="2014">
        <v>197.07852</v>
      </c>
      <c r="DR22" s="2028">
        <v>149.80268000000001</v>
      </c>
      <c r="DS22" s="2016">
        <v>72.189930000000004</v>
      </c>
      <c r="DT22" s="2017">
        <v>303.06513999999999</v>
      </c>
      <c r="DU22" s="2014">
        <v>99.436710000000005</v>
      </c>
      <c r="DV22" s="2015">
        <v>532.43901000000005</v>
      </c>
      <c r="DW22" s="2016">
        <v>107.71957</v>
      </c>
      <c r="DX22" s="2017">
        <v>811.92271000000005</v>
      </c>
      <c r="DY22" s="2014">
        <v>125.2513</v>
      </c>
      <c r="DZ22" s="2015">
        <v>994.84002999999996</v>
      </c>
      <c r="EA22" s="2016">
        <v>130.46204</v>
      </c>
      <c r="EB22" s="2017">
        <v>1223.73777</v>
      </c>
      <c r="EC22" s="2014">
        <v>139.20582999999999</v>
      </c>
      <c r="ED22" s="2015">
        <v>1555.4841300000001</v>
      </c>
      <c r="EE22" s="2016">
        <v>174.75516999999999</v>
      </c>
      <c r="EF22" s="2015">
        <v>1831.25892</v>
      </c>
      <c r="EG22" s="2016">
        <v>179.74803</v>
      </c>
      <c r="EH22" s="2017">
        <v>2343.2073799999998</v>
      </c>
      <c r="EI22" s="2016">
        <v>188.50183000000001</v>
      </c>
      <c r="EJ22" s="2017">
        <v>2757.8930399999999</v>
      </c>
      <c r="EK22" s="2016">
        <v>195.95705000000001</v>
      </c>
      <c r="EL22" s="2015">
        <v>3584.5684700000002</v>
      </c>
      <c r="EM22" s="2018">
        <v>209.89240000000001</v>
      </c>
      <c r="EN22" s="2015">
        <v>3891.4996099999998</v>
      </c>
      <c r="EO22" s="2018">
        <v>219.32656</v>
      </c>
      <c r="EP22" s="2015">
        <v>211.53351000000001</v>
      </c>
      <c r="EQ22" s="2018">
        <v>3.7750300000000001</v>
      </c>
      <c r="ER22" s="2015">
        <v>439.57044000000002</v>
      </c>
      <c r="ES22" s="2018">
        <v>21.53576</v>
      </c>
      <c r="ET22" s="2015">
        <v>655.76436999999999</v>
      </c>
      <c r="EU22" s="2018">
        <v>32.928400000000003</v>
      </c>
      <c r="EV22" s="2015">
        <v>917.36749999999995</v>
      </c>
      <c r="EW22" s="2018">
        <v>40.785800000000002</v>
      </c>
      <c r="EX22" s="2015">
        <v>1613.3903500000001</v>
      </c>
      <c r="EY22" s="2018">
        <v>70.952130000000011</v>
      </c>
      <c r="EZ22" s="2015">
        <v>1886.0012400000001</v>
      </c>
      <c r="FA22" s="2018">
        <v>83.671220000000005</v>
      </c>
      <c r="FB22" s="2015">
        <v>2269.74478</v>
      </c>
      <c r="FC22" s="2018">
        <v>91.053110000000004</v>
      </c>
      <c r="FD22" s="2015">
        <v>2569.2341200000001</v>
      </c>
      <c r="FE22" s="2018">
        <v>121.85552</v>
      </c>
      <c r="FF22" s="2015">
        <v>3133.78143</v>
      </c>
      <c r="FG22" s="2018">
        <v>135.73748999999998</v>
      </c>
      <c r="FH22" s="2015">
        <v>4251.8730500000001</v>
      </c>
      <c r="FI22" s="2018">
        <v>149.23043999999999</v>
      </c>
      <c r="FJ22" s="2015">
        <v>4533.3381399999998</v>
      </c>
      <c r="FK22" s="2018">
        <v>164.97479000000001</v>
      </c>
      <c r="FL22" s="2015">
        <v>4988.5967199999996</v>
      </c>
      <c r="FM22" s="2018">
        <v>175.67702</v>
      </c>
      <c r="FN22" s="2015">
        <v>304.64463000000001</v>
      </c>
      <c r="FO22" s="2018">
        <v>7.9320599999999999</v>
      </c>
      <c r="FP22" s="2015">
        <v>619.79383999999993</v>
      </c>
      <c r="FQ22" s="2018">
        <v>19.67239</v>
      </c>
      <c r="FR22" s="2015">
        <v>925.82209999999998</v>
      </c>
      <c r="FS22" s="2018">
        <v>80.993610000000004</v>
      </c>
      <c r="FT22" s="2015">
        <v>1251.9673</v>
      </c>
      <c r="FU22" s="2018">
        <v>123.49956</v>
      </c>
      <c r="FV22" s="2015">
        <v>1729.97586</v>
      </c>
      <c r="FW22" s="2018">
        <v>227.91783000000001</v>
      </c>
      <c r="FX22" s="2015">
        <v>2042.57951</v>
      </c>
      <c r="FY22" s="2018">
        <v>231.22973999999999</v>
      </c>
      <c r="FZ22" s="2015">
        <v>2691.22037</v>
      </c>
      <c r="GA22" s="2018">
        <v>235.44023999999999</v>
      </c>
      <c r="GB22" s="2015">
        <v>2973.3777700000001</v>
      </c>
      <c r="GC22" s="2018">
        <v>235.44023999999999</v>
      </c>
      <c r="GD22" s="2015">
        <v>3273.07708</v>
      </c>
      <c r="GE22" s="2018">
        <v>245.53695999999999</v>
      </c>
      <c r="GF22" s="2015">
        <v>4203.2920999999997</v>
      </c>
      <c r="GG22" s="2018">
        <v>246.72649999999999</v>
      </c>
      <c r="GH22" s="2015">
        <v>4439.2752300000002</v>
      </c>
      <c r="GI22" s="2018">
        <v>323.39789000000002</v>
      </c>
      <c r="GJ22" s="2015">
        <v>5315.67742</v>
      </c>
      <c r="GK22" s="2018">
        <v>328.61045999999999</v>
      </c>
      <c r="GL22" s="2015">
        <v>823.79763000000003</v>
      </c>
      <c r="GM22" s="2018">
        <v>0</v>
      </c>
      <c r="GN22" s="2015">
        <v>1072.99172</v>
      </c>
      <c r="GO22" s="2018">
        <v>6.4651800000000001</v>
      </c>
      <c r="GP22" s="2015">
        <v>1607.7775200000003</v>
      </c>
      <c r="GQ22" s="2018">
        <v>77.379419999999996</v>
      </c>
      <c r="GR22" s="2015">
        <v>2163.26127</v>
      </c>
      <c r="GS22" s="2018">
        <v>84.095690000000005</v>
      </c>
      <c r="GT22" s="2015">
        <v>2670.84663</v>
      </c>
      <c r="GU22" s="2018">
        <v>131.33091999999999</v>
      </c>
      <c r="GV22" s="2019" t="s">
        <v>3432</v>
      </c>
    </row>
    <row r="23" spans="1:206" s="1991" customFormat="1" ht="22.5" customHeight="1">
      <c r="A23" s="2011" t="s">
        <v>2314</v>
      </c>
      <c r="B23" s="2005">
        <f t="shared" ref="B23:BM23" si="25">B24+B36+B46+B48</f>
        <v>15393.318160000001</v>
      </c>
      <c r="C23" s="2005">
        <f t="shared" si="25"/>
        <v>1410.7293800000002</v>
      </c>
      <c r="D23" s="2005">
        <f t="shared" si="25"/>
        <v>23716.770500437997</v>
      </c>
      <c r="E23" s="2005">
        <f t="shared" si="25"/>
        <v>2772.2653799999998</v>
      </c>
      <c r="F23" s="2005">
        <f t="shared" si="25"/>
        <v>31775.571260000001</v>
      </c>
      <c r="G23" s="2005">
        <f t="shared" si="25"/>
        <v>4665.8683999999994</v>
      </c>
      <c r="H23" s="2005">
        <f t="shared" si="25"/>
        <v>37227.892619999999</v>
      </c>
      <c r="I23" s="2005">
        <f t="shared" si="25"/>
        <v>6473.6045300000005</v>
      </c>
      <c r="J23" s="2005">
        <f t="shared" si="25"/>
        <v>46188.407200000001</v>
      </c>
      <c r="K23" s="2005">
        <f t="shared" si="25"/>
        <v>10689.53327</v>
      </c>
      <c r="L23" s="2005">
        <f t="shared" si="25"/>
        <v>54150.523780000003</v>
      </c>
      <c r="M23" s="2005">
        <f t="shared" si="25"/>
        <v>12524.335360000001</v>
      </c>
      <c r="N23" s="2005">
        <f t="shared" si="25"/>
        <v>68011.743950000004</v>
      </c>
      <c r="O23" s="2005">
        <f t="shared" si="25"/>
        <v>13468.262409999999</v>
      </c>
      <c r="P23" s="2005">
        <f t="shared" si="25"/>
        <v>74487.994810000004</v>
      </c>
      <c r="Q23" s="2005">
        <f t="shared" si="25"/>
        <v>14643.477079999997</v>
      </c>
      <c r="R23" s="2005">
        <f t="shared" si="25"/>
        <v>87185.061090000003</v>
      </c>
      <c r="S23" s="2005">
        <f t="shared" si="25"/>
        <v>15901.749579999996</v>
      </c>
      <c r="T23" s="2005">
        <f t="shared" si="25"/>
        <v>93900.643590000022</v>
      </c>
      <c r="U23" s="2005">
        <f t="shared" si="25"/>
        <v>16874.929659999998</v>
      </c>
      <c r="V23" s="2005">
        <f t="shared" si="25"/>
        <v>101392.07975</v>
      </c>
      <c r="W23" s="2005">
        <f t="shared" si="25"/>
        <v>17831.059049999996</v>
      </c>
      <c r="X23" s="2005">
        <f t="shared" si="25"/>
        <v>106837.16805000001</v>
      </c>
      <c r="Y23" s="2005">
        <f t="shared" si="25"/>
        <v>19187.795759999997</v>
      </c>
      <c r="Z23" s="2005">
        <f t="shared" si="25"/>
        <v>14947.149960000001</v>
      </c>
      <c r="AA23" s="2005">
        <f t="shared" si="25"/>
        <v>1474.4426199999998</v>
      </c>
      <c r="AB23" s="2005">
        <f t="shared" si="25"/>
        <v>26050.536649999998</v>
      </c>
      <c r="AC23" s="2005">
        <f t="shared" si="25"/>
        <v>2427.2152299999998</v>
      </c>
      <c r="AD23" s="2005">
        <f t="shared" si="25"/>
        <v>44866.046999999999</v>
      </c>
      <c r="AE23" s="2005">
        <f t="shared" si="25"/>
        <v>2954.3515600000001</v>
      </c>
      <c r="AF23" s="2005">
        <f t="shared" si="25"/>
        <v>53546.90969</v>
      </c>
      <c r="AG23" s="2005">
        <f t="shared" si="25"/>
        <v>4001.4651499999995</v>
      </c>
      <c r="AH23" s="2005">
        <f t="shared" si="25"/>
        <v>61646.813880000002</v>
      </c>
      <c r="AI23" s="2005">
        <f t="shared" si="25"/>
        <v>5578.1766600000001</v>
      </c>
      <c r="AJ23" s="2005">
        <f t="shared" si="25"/>
        <v>69473.03433000001</v>
      </c>
      <c r="AK23" s="2005">
        <f t="shared" si="25"/>
        <v>7311.1036200000008</v>
      </c>
      <c r="AL23" s="2005">
        <f t="shared" si="25"/>
        <v>87062.043720000016</v>
      </c>
      <c r="AM23" s="2005">
        <f t="shared" si="25"/>
        <v>8893.9288100000012</v>
      </c>
      <c r="AN23" s="2005">
        <f t="shared" si="25"/>
        <v>95535.003800000006</v>
      </c>
      <c r="AO23" s="2005">
        <f t="shared" si="25"/>
        <v>9785.5711700000011</v>
      </c>
      <c r="AP23" s="2005">
        <f t="shared" si="25"/>
        <v>110125.75773000003</v>
      </c>
      <c r="AQ23" s="2005">
        <f t="shared" si="25"/>
        <v>11605.260829999999</v>
      </c>
      <c r="AR23" s="2005">
        <f t="shared" si="25"/>
        <v>117244.30946</v>
      </c>
      <c r="AS23" s="2005">
        <f t="shared" si="25"/>
        <v>13188.516279999998</v>
      </c>
      <c r="AT23" s="2005">
        <f t="shared" si="25"/>
        <v>124158.46039999998</v>
      </c>
      <c r="AU23" s="2005">
        <f t="shared" si="25"/>
        <v>14910.128089999998</v>
      </c>
      <c r="AV23" s="2005">
        <f t="shared" si="25"/>
        <v>136331.17596999998</v>
      </c>
      <c r="AW23" s="2005">
        <f t="shared" si="25"/>
        <v>17028.966639999999</v>
      </c>
      <c r="AX23" s="2005">
        <f t="shared" si="25"/>
        <v>15041.954090000003</v>
      </c>
      <c r="AY23" s="2005">
        <f t="shared" si="25"/>
        <v>1289.7617500000001</v>
      </c>
      <c r="AZ23" s="2005">
        <f t="shared" si="25"/>
        <v>26009.84849</v>
      </c>
      <c r="BA23" s="2005">
        <f t="shared" si="25"/>
        <v>2718.09033</v>
      </c>
      <c r="BB23" s="2005">
        <f t="shared" si="25"/>
        <v>33059.39473</v>
      </c>
      <c r="BC23" s="2005">
        <f t="shared" si="25"/>
        <v>3728.8150599999999</v>
      </c>
      <c r="BD23" s="2005">
        <f t="shared" si="25"/>
        <v>41727.703840000002</v>
      </c>
      <c r="BE23" s="2005">
        <f t="shared" si="25"/>
        <v>5077.0353499999992</v>
      </c>
      <c r="BF23" s="2005">
        <f t="shared" si="25"/>
        <v>53557.296720000013</v>
      </c>
      <c r="BG23" s="2005">
        <f t="shared" si="25"/>
        <v>11035.18511</v>
      </c>
      <c r="BH23" s="2005">
        <f t="shared" si="25"/>
        <v>63078.070099999997</v>
      </c>
      <c r="BI23" s="2005">
        <f t="shared" si="25"/>
        <v>13771.346249999999</v>
      </c>
      <c r="BJ23" s="2005">
        <f t="shared" si="25"/>
        <v>79651.070260000008</v>
      </c>
      <c r="BK23" s="2005">
        <f t="shared" si="25"/>
        <v>15845.91454</v>
      </c>
      <c r="BL23" s="2005">
        <f t="shared" si="25"/>
        <v>87194.63483000001</v>
      </c>
      <c r="BM23" s="2005">
        <f t="shared" si="25"/>
        <v>17049.370160000002</v>
      </c>
      <c r="BN23" s="2005">
        <f t="shared" ref="BN23:DY23" si="26">BN24+BN36+BN46+BN48</f>
        <v>104146.26009</v>
      </c>
      <c r="BO23" s="2005">
        <f t="shared" si="26"/>
        <v>18879.37645</v>
      </c>
      <c r="BP23" s="2005">
        <f t="shared" si="26"/>
        <v>113910.21667000001</v>
      </c>
      <c r="BQ23" s="2005">
        <f t="shared" si="26"/>
        <v>20507.4018</v>
      </c>
      <c r="BR23" s="2005">
        <f t="shared" si="26"/>
        <v>122899.03698</v>
      </c>
      <c r="BS23" s="2005">
        <f t="shared" si="26"/>
        <v>22005.349319999998</v>
      </c>
      <c r="BT23" s="2005">
        <f t="shared" si="26"/>
        <v>133113.11752</v>
      </c>
      <c r="BU23" s="2005">
        <f t="shared" si="26"/>
        <v>37693.716599999992</v>
      </c>
      <c r="BV23" s="2005">
        <f t="shared" si="26"/>
        <v>22673.933199999999</v>
      </c>
      <c r="BW23" s="2005">
        <f t="shared" si="26"/>
        <v>1377.8564099999999</v>
      </c>
      <c r="BX23" s="2005">
        <f t="shared" si="26"/>
        <v>31890.715340000002</v>
      </c>
      <c r="BY23" s="2005">
        <f t="shared" si="26"/>
        <v>3203.7919400000005</v>
      </c>
      <c r="BZ23" s="2005">
        <f t="shared" si="26"/>
        <v>39975.367299999991</v>
      </c>
      <c r="CA23" s="2005">
        <f t="shared" si="26"/>
        <v>4938.8200200000001</v>
      </c>
      <c r="CB23" s="2005">
        <f t="shared" si="26"/>
        <v>47338.058029999986</v>
      </c>
      <c r="CC23" s="2005">
        <f t="shared" si="26"/>
        <v>7393.7543099999994</v>
      </c>
      <c r="CD23" s="2005">
        <f t="shared" si="26"/>
        <v>57178.358769999992</v>
      </c>
      <c r="CE23" s="2005">
        <f t="shared" si="26"/>
        <v>8791.3352800000011</v>
      </c>
      <c r="CF23" s="2005">
        <f t="shared" si="26"/>
        <v>68762.93266999998</v>
      </c>
      <c r="CG23" s="2005">
        <f t="shared" si="26"/>
        <v>9862.3673499999986</v>
      </c>
      <c r="CH23" s="2005">
        <f t="shared" si="26"/>
        <v>90004.736980000001</v>
      </c>
      <c r="CI23" s="2005">
        <f t="shared" si="26"/>
        <v>11230.770659999998</v>
      </c>
      <c r="CJ23" s="2005">
        <f t="shared" si="26"/>
        <v>108703.06781000002</v>
      </c>
      <c r="CK23" s="2005">
        <f t="shared" si="26"/>
        <v>12910.94728</v>
      </c>
      <c r="CL23" s="2005">
        <f t="shared" si="26"/>
        <v>122275.74513000001</v>
      </c>
      <c r="CM23" s="2005">
        <f t="shared" si="26"/>
        <v>25501.530770000001</v>
      </c>
      <c r="CN23" s="2005">
        <f t="shared" si="26"/>
        <v>130094.63052000004</v>
      </c>
      <c r="CO23" s="2005">
        <f t="shared" si="26"/>
        <v>26666.373560000004</v>
      </c>
      <c r="CP23" s="2005">
        <f t="shared" si="26"/>
        <v>136236.00354000003</v>
      </c>
      <c r="CQ23" s="2005">
        <f t="shared" si="26"/>
        <v>28617.953359999996</v>
      </c>
      <c r="CR23" s="2005">
        <f t="shared" si="26"/>
        <v>147080.19944000003</v>
      </c>
      <c r="CS23" s="2005">
        <f t="shared" si="26"/>
        <v>29963.593430000001</v>
      </c>
      <c r="CT23" s="2005">
        <f t="shared" si="26"/>
        <v>15833.62392</v>
      </c>
      <c r="CU23" s="2005">
        <f t="shared" si="26"/>
        <v>1075.2158200000001</v>
      </c>
      <c r="CV23" s="2005">
        <f t="shared" si="26"/>
        <v>25441.285159999999</v>
      </c>
      <c r="CW23" s="2005">
        <f t="shared" si="26"/>
        <v>2382.4197300000001</v>
      </c>
      <c r="CX23" s="2005">
        <f t="shared" si="26"/>
        <v>38933.989690000002</v>
      </c>
      <c r="CY23" s="2005">
        <f t="shared" si="26"/>
        <v>4109.4624700000004</v>
      </c>
      <c r="CZ23" s="2005">
        <f t="shared" si="26"/>
        <v>46688.120170000017</v>
      </c>
      <c r="DA23" s="2005">
        <f t="shared" si="26"/>
        <v>7901.1891900000001</v>
      </c>
      <c r="DB23" s="2005">
        <f t="shared" si="26"/>
        <v>56876.181639999988</v>
      </c>
      <c r="DC23" s="2005">
        <f t="shared" si="26"/>
        <v>9489.0028999999977</v>
      </c>
      <c r="DD23" s="2005">
        <f t="shared" si="26"/>
        <v>73083.681660000002</v>
      </c>
      <c r="DE23" s="2005">
        <f t="shared" si="26"/>
        <v>11770.010299999998</v>
      </c>
      <c r="DF23" s="2005">
        <f t="shared" si="26"/>
        <v>95295.47662999999</v>
      </c>
      <c r="DG23" s="2005">
        <f t="shared" si="26"/>
        <v>13273.55227</v>
      </c>
      <c r="DH23" s="2005">
        <f t="shared" si="26"/>
        <v>102415.41390999999</v>
      </c>
      <c r="DI23" s="2005">
        <f t="shared" si="26"/>
        <v>14782.754519999999</v>
      </c>
      <c r="DJ23" s="2005">
        <f t="shared" si="26"/>
        <v>117700.55867</v>
      </c>
      <c r="DK23" s="2005">
        <f t="shared" si="26"/>
        <v>16885.531800000001</v>
      </c>
      <c r="DL23" s="2005">
        <f t="shared" si="26"/>
        <v>128204.06697</v>
      </c>
      <c r="DM23" s="2005">
        <f t="shared" si="26"/>
        <v>18717.36061</v>
      </c>
      <c r="DN23" s="2005">
        <f t="shared" si="26"/>
        <v>137159.85345</v>
      </c>
      <c r="DO23" s="2005">
        <f t="shared" si="26"/>
        <v>20803.508839999995</v>
      </c>
      <c r="DP23" s="2005">
        <f t="shared" si="26"/>
        <v>158631.78047</v>
      </c>
      <c r="DQ23" s="2006">
        <f t="shared" si="26"/>
        <v>24180.131039999997</v>
      </c>
      <c r="DR23" s="2007">
        <f t="shared" si="26"/>
        <v>16643.900389999999</v>
      </c>
      <c r="DS23" s="2008">
        <f t="shared" si="26"/>
        <v>1280.2204199999999</v>
      </c>
      <c r="DT23" s="2009">
        <f t="shared" si="26"/>
        <v>28744.746279999999</v>
      </c>
      <c r="DU23" s="2006">
        <f t="shared" si="26"/>
        <v>3148.9565600000001</v>
      </c>
      <c r="DV23" s="2007">
        <f t="shared" si="26"/>
        <v>36854.47107</v>
      </c>
      <c r="DW23" s="2008">
        <f t="shared" si="26"/>
        <v>4455.9380899999996</v>
      </c>
      <c r="DX23" s="2009">
        <f t="shared" si="26"/>
        <v>46814.461499999998</v>
      </c>
      <c r="DY23" s="2006">
        <f t="shared" si="26"/>
        <v>6427.4780200000005</v>
      </c>
      <c r="DZ23" s="2007">
        <f t="shared" ref="DZ23:GK23" si="27">DZ24+DZ36+DZ46+DZ48</f>
        <v>63114.360120000005</v>
      </c>
      <c r="EA23" s="2008">
        <f t="shared" si="27"/>
        <v>8132.8568599999999</v>
      </c>
      <c r="EB23" s="2009">
        <f t="shared" si="27"/>
        <v>79958.212650000001</v>
      </c>
      <c r="EC23" s="2006">
        <f t="shared" si="27"/>
        <v>9536.6738499999992</v>
      </c>
      <c r="ED23" s="2007">
        <f t="shared" si="27"/>
        <v>104187.80867000001</v>
      </c>
      <c r="EE23" s="2008">
        <f t="shared" si="27"/>
        <v>10826.671619999999</v>
      </c>
      <c r="EF23" s="2007">
        <f t="shared" si="27"/>
        <v>120874.38999000001</v>
      </c>
      <c r="EG23" s="2010">
        <f t="shared" si="27"/>
        <v>12486.12384</v>
      </c>
      <c r="EH23" s="2007">
        <f t="shared" si="27"/>
        <v>138145.88939999999</v>
      </c>
      <c r="EI23" s="2010">
        <f t="shared" si="27"/>
        <v>14490.028930000002</v>
      </c>
      <c r="EJ23" s="2007">
        <f t="shared" si="27"/>
        <v>147518.22761999999</v>
      </c>
      <c r="EK23" s="2010">
        <f t="shared" si="27"/>
        <v>17393.243930000001</v>
      </c>
      <c r="EL23" s="2007">
        <f t="shared" si="27"/>
        <v>157893.34492</v>
      </c>
      <c r="EM23" s="2010">
        <f t="shared" si="27"/>
        <v>18973.87239</v>
      </c>
      <c r="EN23" s="2007">
        <f t="shared" si="27"/>
        <v>181656.61991999997</v>
      </c>
      <c r="EO23" s="2010">
        <f t="shared" si="27"/>
        <v>21975.770540000001</v>
      </c>
      <c r="EP23" s="2007">
        <f t="shared" si="27"/>
        <v>20910.494330000001</v>
      </c>
      <c r="EQ23" s="2010">
        <f t="shared" si="27"/>
        <v>1520.4411499999999</v>
      </c>
      <c r="ER23" s="2007">
        <f t="shared" si="27"/>
        <v>35719.49783</v>
      </c>
      <c r="ES23" s="2010">
        <f t="shared" si="27"/>
        <v>3682.0781500000003</v>
      </c>
      <c r="ET23" s="2007">
        <f t="shared" si="27"/>
        <v>51630.323220000006</v>
      </c>
      <c r="EU23" s="2010">
        <f t="shared" si="27"/>
        <v>5911.5200800000002</v>
      </c>
      <c r="EV23" s="2007">
        <f t="shared" si="27"/>
        <v>61268.630100000009</v>
      </c>
      <c r="EW23" s="2010">
        <f t="shared" si="27"/>
        <v>8090.2180699999999</v>
      </c>
      <c r="EX23" s="2007">
        <f t="shared" si="27"/>
        <v>76769.585370000001</v>
      </c>
      <c r="EY23" s="2010">
        <f t="shared" si="27"/>
        <v>10316.606519999999</v>
      </c>
      <c r="EZ23" s="2007">
        <f t="shared" si="27"/>
        <v>95643.182950000017</v>
      </c>
      <c r="FA23" s="2010">
        <f t="shared" si="27"/>
        <v>12200.11528</v>
      </c>
      <c r="FB23" s="2007">
        <f t="shared" si="27"/>
        <v>129337.74001000001</v>
      </c>
      <c r="FC23" s="2010">
        <f t="shared" si="27"/>
        <v>13794.059690000002</v>
      </c>
      <c r="FD23" s="2007">
        <f t="shared" si="27"/>
        <v>143260.39268999998</v>
      </c>
      <c r="FE23" s="2010">
        <f t="shared" si="27"/>
        <v>30701.313709999999</v>
      </c>
      <c r="FF23" s="2007">
        <f t="shared" si="27"/>
        <v>157374.42329000001</v>
      </c>
      <c r="FG23" s="2010">
        <f t="shared" si="27"/>
        <v>43544.893910000006</v>
      </c>
      <c r="FH23" s="2007">
        <f t="shared" si="27"/>
        <v>176565.47085999997</v>
      </c>
      <c r="FI23" s="2010">
        <f t="shared" si="27"/>
        <v>48682.644000000008</v>
      </c>
      <c r="FJ23" s="2007">
        <f t="shared" si="27"/>
        <v>191157.51986</v>
      </c>
      <c r="FK23" s="2010">
        <f t="shared" si="27"/>
        <v>52570.882809999996</v>
      </c>
      <c r="FL23" s="2007">
        <f t="shared" si="27"/>
        <v>210879.35188999999</v>
      </c>
      <c r="FM23" s="2010">
        <f t="shared" si="27"/>
        <v>101372.50466000001</v>
      </c>
      <c r="FN23" s="2007">
        <f t="shared" si="27"/>
        <v>25395.91084</v>
      </c>
      <c r="FO23" s="2010">
        <f t="shared" si="27"/>
        <v>2719.0765999999999</v>
      </c>
      <c r="FP23" s="2007">
        <f t="shared" si="27"/>
        <v>39726.122099999993</v>
      </c>
      <c r="FQ23" s="2010">
        <f t="shared" si="27"/>
        <v>5423.6080499999998</v>
      </c>
      <c r="FR23" s="2007">
        <f t="shared" si="27"/>
        <v>52447.637719999999</v>
      </c>
      <c r="FS23" s="2010">
        <f t="shared" si="27"/>
        <v>7295.1514500000003</v>
      </c>
      <c r="FT23" s="2007">
        <f t="shared" si="27"/>
        <v>66432.664109999998</v>
      </c>
      <c r="FU23" s="2010">
        <f t="shared" si="27"/>
        <v>10047.645600000002</v>
      </c>
      <c r="FV23" s="2007">
        <f t="shared" si="27"/>
        <v>84151.747300000017</v>
      </c>
      <c r="FW23" s="2010">
        <f t="shared" si="27"/>
        <v>13293.21854</v>
      </c>
      <c r="FX23" s="2007">
        <f t="shared" si="27"/>
        <v>97810.036289999989</v>
      </c>
      <c r="FY23" s="2010">
        <f t="shared" si="27"/>
        <v>16229.463770000004</v>
      </c>
      <c r="FZ23" s="2007">
        <f t="shared" si="27"/>
        <v>130125.10261</v>
      </c>
      <c r="GA23" s="2010">
        <f t="shared" si="27"/>
        <v>18768.745859999999</v>
      </c>
      <c r="GB23" s="2007">
        <f t="shared" si="27"/>
        <v>149711.10244000002</v>
      </c>
      <c r="GC23" s="2010">
        <f t="shared" si="27"/>
        <v>21083.604110000004</v>
      </c>
      <c r="GD23" s="2007">
        <f t="shared" si="27"/>
        <v>166286.3388</v>
      </c>
      <c r="GE23" s="2010">
        <f t="shared" si="27"/>
        <v>23632.661100000001</v>
      </c>
      <c r="GF23" s="2007">
        <f t="shared" si="27"/>
        <v>178834.86542000002</v>
      </c>
      <c r="GG23" s="2010">
        <f t="shared" si="27"/>
        <v>26945.956850000002</v>
      </c>
      <c r="GH23" s="2007">
        <f t="shared" si="27"/>
        <v>201636.31839999999</v>
      </c>
      <c r="GI23" s="2010">
        <f t="shared" si="27"/>
        <v>32771.148509999992</v>
      </c>
      <c r="GJ23" s="2007">
        <f t="shared" si="27"/>
        <v>233506.67104000002</v>
      </c>
      <c r="GK23" s="2010">
        <f t="shared" si="27"/>
        <v>37924.348259999992</v>
      </c>
      <c r="GL23" s="2007">
        <f t="shared" ref="GL23:GU23" si="28">GL24+GL36+GL46+GL48</f>
        <v>25501.88535</v>
      </c>
      <c r="GM23" s="2010">
        <f t="shared" si="28"/>
        <v>3410.6844699999997</v>
      </c>
      <c r="GN23" s="2007">
        <f t="shared" si="28"/>
        <v>40308.599170000001</v>
      </c>
      <c r="GO23" s="2010">
        <f t="shared" si="28"/>
        <v>6026.5148599999993</v>
      </c>
      <c r="GP23" s="2007">
        <f t="shared" si="28"/>
        <v>52754.968339999985</v>
      </c>
      <c r="GQ23" s="2010">
        <f t="shared" si="28"/>
        <v>8509.4817600000006</v>
      </c>
      <c r="GR23" s="2007">
        <f t="shared" si="28"/>
        <v>70817.933049999992</v>
      </c>
      <c r="GS23" s="2010">
        <f t="shared" si="28"/>
        <v>13380.82813</v>
      </c>
      <c r="GT23" s="2007">
        <f t="shared" si="28"/>
        <v>89352.89850000001</v>
      </c>
      <c r="GU23" s="2010">
        <f t="shared" si="28"/>
        <v>17546.816600000002</v>
      </c>
      <c r="GV23" s="2011" t="s">
        <v>3199</v>
      </c>
    </row>
    <row r="24" spans="1:206" s="1991" customFormat="1" ht="22.5" customHeight="1">
      <c r="A24" s="2011" t="s">
        <v>2313</v>
      </c>
      <c r="B24" s="2005">
        <f t="shared" ref="B24:AP24" si="29">SUM(B25:B33)</f>
        <v>11386.108340000001</v>
      </c>
      <c r="C24" s="2005">
        <f t="shared" si="29"/>
        <v>1100.4920300000001</v>
      </c>
      <c r="D24" s="2005">
        <f t="shared" si="29"/>
        <v>17993.895695437997</v>
      </c>
      <c r="E24" s="2005">
        <f t="shared" si="29"/>
        <v>2430.1043799999998</v>
      </c>
      <c r="F24" s="2005">
        <f t="shared" si="29"/>
        <v>24251.5249</v>
      </c>
      <c r="G24" s="2005">
        <f t="shared" si="29"/>
        <v>4285.6860899999992</v>
      </c>
      <c r="H24" s="2005">
        <f t="shared" si="29"/>
        <v>28653.276650000003</v>
      </c>
      <c r="I24" s="2005">
        <f t="shared" si="29"/>
        <v>5304.4887900000003</v>
      </c>
      <c r="J24" s="2005">
        <f t="shared" si="29"/>
        <v>35857.903559999999</v>
      </c>
      <c r="K24" s="2005">
        <f t="shared" si="29"/>
        <v>8713.5318900000002</v>
      </c>
      <c r="L24" s="2005">
        <f t="shared" si="29"/>
        <v>42184.332980000007</v>
      </c>
      <c r="M24" s="2005">
        <f t="shared" si="29"/>
        <v>10325.25878</v>
      </c>
      <c r="N24" s="2005">
        <f t="shared" si="29"/>
        <v>53039.93406</v>
      </c>
      <c r="O24" s="2005">
        <f t="shared" si="29"/>
        <v>11300.875789999998</v>
      </c>
      <c r="P24" s="2005">
        <f t="shared" si="29"/>
        <v>58664.854329999995</v>
      </c>
      <c r="Q24" s="2005">
        <f t="shared" si="29"/>
        <v>12467.794279999998</v>
      </c>
      <c r="R24" s="2005">
        <f t="shared" si="29"/>
        <v>70354.558520000006</v>
      </c>
      <c r="S24" s="2005">
        <f t="shared" si="29"/>
        <v>13562.437559999997</v>
      </c>
      <c r="T24" s="2005">
        <f t="shared" si="29"/>
        <v>76070.552490000016</v>
      </c>
      <c r="U24" s="2005">
        <f t="shared" si="29"/>
        <v>14531.876119999997</v>
      </c>
      <c r="V24" s="2005">
        <f t="shared" si="29"/>
        <v>82695.202520000006</v>
      </c>
      <c r="W24" s="2005">
        <f t="shared" si="29"/>
        <v>15455.208359999997</v>
      </c>
      <c r="X24" s="2005">
        <f t="shared" si="29"/>
        <v>87517.481110000008</v>
      </c>
      <c r="Y24" s="2005">
        <f t="shared" si="29"/>
        <v>16397.809709999998</v>
      </c>
      <c r="Z24" s="2005">
        <f t="shared" si="29"/>
        <v>10844.12882</v>
      </c>
      <c r="AA24" s="2005">
        <f t="shared" si="29"/>
        <v>950.20162999999991</v>
      </c>
      <c r="AB24" s="2005">
        <f t="shared" si="29"/>
        <v>20717.01743</v>
      </c>
      <c r="AC24" s="2005">
        <f t="shared" si="29"/>
        <v>1899.5230499999998</v>
      </c>
      <c r="AD24" s="2005">
        <f t="shared" si="29"/>
        <v>36717.747259999996</v>
      </c>
      <c r="AE24" s="2005">
        <f t="shared" si="29"/>
        <v>2416.6979900000001</v>
      </c>
      <c r="AF24" s="2005">
        <f t="shared" si="29"/>
        <v>44395.069949999997</v>
      </c>
      <c r="AG24" s="2005">
        <f t="shared" si="29"/>
        <v>3462.7523199999996</v>
      </c>
      <c r="AH24" s="2005">
        <f t="shared" si="29"/>
        <v>50848.762589999998</v>
      </c>
      <c r="AI24" s="2005">
        <f t="shared" si="29"/>
        <v>4421.5420999999997</v>
      </c>
      <c r="AJ24" s="2005">
        <f t="shared" si="29"/>
        <v>58010.875969999994</v>
      </c>
      <c r="AK24" s="2005">
        <f t="shared" si="29"/>
        <v>5879.1870200000003</v>
      </c>
      <c r="AL24" s="2005">
        <f t="shared" si="29"/>
        <v>69120.539740000022</v>
      </c>
      <c r="AM24" s="2005">
        <f t="shared" si="29"/>
        <v>7069.0427700000009</v>
      </c>
      <c r="AN24" s="2005">
        <f t="shared" si="29"/>
        <v>77160.063850000006</v>
      </c>
      <c r="AO24" s="2005">
        <f t="shared" si="29"/>
        <v>7955.4674000000005</v>
      </c>
      <c r="AP24" s="2005">
        <f t="shared" si="29"/>
        <v>90776.989770000015</v>
      </c>
      <c r="AQ24" s="2005">
        <f t="shared" ref="AQ24:DB24" si="30">SUM(AQ25:AQ33)</f>
        <v>9772.1059299999997</v>
      </c>
      <c r="AR24" s="2005">
        <f t="shared" si="30"/>
        <v>96982.48431</v>
      </c>
      <c r="AS24" s="2005">
        <f t="shared" si="30"/>
        <v>11343.784249999999</v>
      </c>
      <c r="AT24" s="2005">
        <f t="shared" si="30"/>
        <v>103161.36994999998</v>
      </c>
      <c r="AU24" s="2005">
        <f t="shared" si="30"/>
        <v>13062.018929999998</v>
      </c>
      <c r="AV24" s="2005">
        <f t="shared" si="30"/>
        <v>112095.50434</v>
      </c>
      <c r="AW24" s="2005">
        <f t="shared" si="30"/>
        <v>15074.405989999997</v>
      </c>
      <c r="AX24" s="2005">
        <f t="shared" si="30"/>
        <v>10897.221530000003</v>
      </c>
      <c r="AY24" s="2005">
        <f t="shared" si="30"/>
        <v>1281.77251</v>
      </c>
      <c r="AZ24" s="2005">
        <f t="shared" si="30"/>
        <v>19191.785909999999</v>
      </c>
      <c r="BA24" s="2005">
        <f t="shared" si="30"/>
        <v>2513.0135700000001</v>
      </c>
      <c r="BB24" s="2005">
        <f t="shared" si="30"/>
        <v>24782.860700000005</v>
      </c>
      <c r="BC24" s="2005">
        <f t="shared" si="30"/>
        <v>3506.8697999999999</v>
      </c>
      <c r="BD24" s="2005">
        <f t="shared" si="30"/>
        <v>31642.022989999998</v>
      </c>
      <c r="BE24" s="2005">
        <f t="shared" si="30"/>
        <v>4845.968429999999</v>
      </c>
      <c r="BF24" s="2005">
        <f t="shared" si="30"/>
        <v>41290.006760000011</v>
      </c>
      <c r="BG24" s="2005">
        <f t="shared" si="30"/>
        <v>10788.065340000001</v>
      </c>
      <c r="BH24" s="2005">
        <f t="shared" si="30"/>
        <v>50205.568959999997</v>
      </c>
      <c r="BI24" s="2005">
        <f t="shared" si="30"/>
        <v>13484.462309999999</v>
      </c>
      <c r="BJ24" s="2005">
        <f t="shared" si="30"/>
        <v>63536.662080000009</v>
      </c>
      <c r="BK24" s="2005">
        <f t="shared" si="30"/>
        <v>15537.42059</v>
      </c>
      <c r="BL24" s="2005">
        <f t="shared" si="30"/>
        <v>70053.403359999997</v>
      </c>
      <c r="BM24" s="2005">
        <f t="shared" si="30"/>
        <v>16721.815380000004</v>
      </c>
      <c r="BN24" s="2005">
        <f t="shared" si="30"/>
        <v>86051.554629999984</v>
      </c>
      <c r="BO24" s="2005">
        <f t="shared" si="30"/>
        <v>18324.641919999998</v>
      </c>
      <c r="BP24" s="2005">
        <f t="shared" si="30"/>
        <v>94061.578740000012</v>
      </c>
      <c r="BQ24" s="2005">
        <f t="shared" si="30"/>
        <v>19934.997199999998</v>
      </c>
      <c r="BR24" s="2005">
        <f t="shared" si="30"/>
        <v>102254.18617</v>
      </c>
      <c r="BS24" s="2005">
        <f t="shared" si="30"/>
        <v>20933.100609999998</v>
      </c>
      <c r="BT24" s="2005">
        <f t="shared" si="30"/>
        <v>111710.56036</v>
      </c>
      <c r="BU24" s="2005">
        <f t="shared" si="30"/>
        <v>36610.015319999991</v>
      </c>
      <c r="BV24" s="2005">
        <f t="shared" si="30"/>
        <v>17850.02115</v>
      </c>
      <c r="BW24" s="2005">
        <f t="shared" si="30"/>
        <v>1350.8927199999998</v>
      </c>
      <c r="BX24" s="2005">
        <f t="shared" si="30"/>
        <v>24864.223700000002</v>
      </c>
      <c r="BY24" s="2005">
        <f t="shared" si="30"/>
        <v>3138.3972300000005</v>
      </c>
      <c r="BZ24" s="2005">
        <f t="shared" si="30"/>
        <v>31277.029389999996</v>
      </c>
      <c r="CA24" s="2005">
        <f t="shared" si="30"/>
        <v>4612.9468999999999</v>
      </c>
      <c r="CB24" s="2005">
        <f t="shared" si="30"/>
        <v>36962.526249999988</v>
      </c>
      <c r="CC24" s="2005">
        <f t="shared" si="30"/>
        <v>7067.8811899999992</v>
      </c>
      <c r="CD24" s="2005">
        <f t="shared" si="30"/>
        <v>44725.016569999992</v>
      </c>
      <c r="CE24" s="2005">
        <f t="shared" si="30"/>
        <v>8465.4621600000009</v>
      </c>
      <c r="CF24" s="2005">
        <f t="shared" si="30"/>
        <v>55258.609069999984</v>
      </c>
      <c r="CG24" s="2005">
        <f t="shared" si="30"/>
        <v>9530.4143699999986</v>
      </c>
      <c r="CH24" s="2005">
        <f t="shared" si="30"/>
        <v>73096.64966000001</v>
      </c>
      <c r="CI24" s="2005">
        <f t="shared" si="30"/>
        <v>10876.114679999999</v>
      </c>
      <c r="CJ24" s="2005">
        <f t="shared" si="30"/>
        <v>91330.637470000016</v>
      </c>
      <c r="CK24" s="2005">
        <f t="shared" si="30"/>
        <v>12426.4053</v>
      </c>
      <c r="CL24" s="2005">
        <f t="shared" si="30"/>
        <v>103753.46979</v>
      </c>
      <c r="CM24" s="2005">
        <f t="shared" si="30"/>
        <v>24962.893789999998</v>
      </c>
      <c r="CN24" s="2005">
        <f t="shared" si="30"/>
        <v>110735.48052000003</v>
      </c>
      <c r="CO24" s="2005">
        <f t="shared" si="30"/>
        <v>26107.542580000001</v>
      </c>
      <c r="CP24" s="2005">
        <f t="shared" si="30"/>
        <v>116417.77357000002</v>
      </c>
      <c r="CQ24" s="2005">
        <f t="shared" si="30"/>
        <v>28047.481379999994</v>
      </c>
      <c r="CR24" s="2005">
        <f t="shared" si="30"/>
        <v>125751.61469</v>
      </c>
      <c r="CS24" s="2005">
        <f t="shared" si="30"/>
        <v>29373.650450000001</v>
      </c>
      <c r="CT24" s="2005">
        <f t="shared" si="30"/>
        <v>11415.11507</v>
      </c>
      <c r="CU24" s="2005">
        <f t="shared" si="30"/>
        <v>1050.5648200000001</v>
      </c>
      <c r="CV24" s="2005">
        <f t="shared" si="30"/>
        <v>18897.326859999997</v>
      </c>
      <c r="CW24" s="2005">
        <f t="shared" si="30"/>
        <v>2346.1130900000003</v>
      </c>
      <c r="CX24" s="2005">
        <f t="shared" si="30"/>
        <v>29159.631959999999</v>
      </c>
      <c r="CY24" s="2005">
        <f t="shared" si="30"/>
        <v>4037.7578600000002</v>
      </c>
      <c r="CZ24" s="2005">
        <f t="shared" si="30"/>
        <v>36135.02436000001</v>
      </c>
      <c r="DA24" s="2005">
        <f t="shared" si="30"/>
        <v>7796.67688</v>
      </c>
      <c r="DB24" s="2005">
        <f t="shared" si="30"/>
        <v>44636.674429999992</v>
      </c>
      <c r="DC24" s="2005">
        <f t="shared" ref="DC24:FN24" si="31">SUM(DC25:DC33)</f>
        <v>9365.8924899999984</v>
      </c>
      <c r="DD24" s="2005">
        <f t="shared" si="31"/>
        <v>59927.899400000002</v>
      </c>
      <c r="DE24" s="2005">
        <f t="shared" si="31"/>
        <v>11607.268429999998</v>
      </c>
      <c r="DF24" s="2005">
        <f t="shared" si="31"/>
        <v>78823.469389999998</v>
      </c>
      <c r="DG24" s="2005">
        <f t="shared" si="31"/>
        <v>12973.517449999999</v>
      </c>
      <c r="DH24" s="2005">
        <f t="shared" si="31"/>
        <v>85432.300029999999</v>
      </c>
      <c r="DI24" s="2005">
        <f t="shared" si="31"/>
        <v>14448.619699999999</v>
      </c>
      <c r="DJ24" s="2005">
        <f t="shared" si="31"/>
        <v>99889.907500000001</v>
      </c>
      <c r="DK24" s="2005">
        <f t="shared" si="31"/>
        <v>16219.782860000001</v>
      </c>
      <c r="DL24" s="2005">
        <f t="shared" si="31"/>
        <v>109689.57196</v>
      </c>
      <c r="DM24" s="2005">
        <f t="shared" si="31"/>
        <v>18030.966329999999</v>
      </c>
      <c r="DN24" s="2005">
        <f t="shared" si="31"/>
        <v>118143.98946</v>
      </c>
      <c r="DO24" s="2005">
        <f t="shared" si="31"/>
        <v>20095.192279999996</v>
      </c>
      <c r="DP24" s="2005">
        <f t="shared" si="31"/>
        <v>134415.61442999999</v>
      </c>
      <c r="DQ24" s="2006">
        <f t="shared" si="31"/>
        <v>23449.047479999997</v>
      </c>
      <c r="DR24" s="2007">
        <f t="shared" si="31"/>
        <v>12720.157140000001</v>
      </c>
      <c r="DS24" s="2008">
        <f t="shared" si="31"/>
        <v>1267.0559099999998</v>
      </c>
      <c r="DT24" s="2009">
        <f t="shared" si="31"/>
        <v>21420.099409999999</v>
      </c>
      <c r="DU24" s="2006">
        <f t="shared" si="31"/>
        <v>3121.6688600000002</v>
      </c>
      <c r="DV24" s="2007">
        <f t="shared" si="31"/>
        <v>28226.57303</v>
      </c>
      <c r="DW24" s="2008">
        <f t="shared" si="31"/>
        <v>4414.2171899999994</v>
      </c>
      <c r="DX24" s="2009">
        <f t="shared" si="31"/>
        <v>36745.611059999996</v>
      </c>
      <c r="DY24" s="2006">
        <f t="shared" si="31"/>
        <v>6379.8083300000008</v>
      </c>
      <c r="DZ24" s="2007">
        <f t="shared" si="31"/>
        <v>51843.011780000001</v>
      </c>
      <c r="EA24" s="2008">
        <f t="shared" si="31"/>
        <v>8082.1886100000002</v>
      </c>
      <c r="EB24" s="2009">
        <f t="shared" si="31"/>
        <v>65356.346109999999</v>
      </c>
      <c r="EC24" s="2006">
        <f t="shared" si="31"/>
        <v>9479.4524299999994</v>
      </c>
      <c r="ED24" s="2007">
        <f t="shared" si="31"/>
        <v>86598.438910000012</v>
      </c>
      <c r="EE24" s="2008">
        <f t="shared" si="31"/>
        <v>10765.306769999999</v>
      </c>
      <c r="EF24" s="2007">
        <f t="shared" si="31"/>
        <v>101281.32435000001</v>
      </c>
      <c r="EG24" s="2010">
        <f t="shared" si="31"/>
        <v>12406.24303</v>
      </c>
      <c r="EH24" s="2007">
        <f t="shared" si="31"/>
        <v>117250.06581</v>
      </c>
      <c r="EI24" s="2010">
        <f t="shared" si="31"/>
        <v>14373.112340000001</v>
      </c>
      <c r="EJ24" s="2007">
        <f t="shared" si="31"/>
        <v>125638.48787000001</v>
      </c>
      <c r="EK24" s="2010">
        <f t="shared" si="31"/>
        <v>17304.667570000001</v>
      </c>
      <c r="EL24" s="2007">
        <f t="shared" si="31"/>
        <v>134712.01310000001</v>
      </c>
      <c r="EM24" s="2010">
        <f t="shared" si="31"/>
        <v>18885.24309</v>
      </c>
      <c r="EN24" s="2007">
        <f t="shared" si="31"/>
        <v>156997.57859999998</v>
      </c>
      <c r="EO24" s="2010">
        <f t="shared" si="31"/>
        <v>21886.56323</v>
      </c>
      <c r="EP24" s="2007">
        <f t="shared" si="31"/>
        <v>18011.76801</v>
      </c>
      <c r="EQ24" s="2010">
        <f t="shared" si="31"/>
        <v>1477.7156599999998</v>
      </c>
      <c r="ER24" s="2007">
        <f t="shared" si="31"/>
        <v>31125.657670000001</v>
      </c>
      <c r="ES24" s="2010">
        <f t="shared" si="31"/>
        <v>3608.8092900000001</v>
      </c>
      <c r="ET24" s="2007">
        <f t="shared" si="31"/>
        <v>44645.430600000007</v>
      </c>
      <c r="EU24" s="2010">
        <f t="shared" si="31"/>
        <v>5837.3170600000003</v>
      </c>
      <c r="EV24" s="2007">
        <f t="shared" si="31"/>
        <v>51959.116740000005</v>
      </c>
      <c r="EW24" s="2010">
        <f t="shared" si="31"/>
        <v>8009.2009600000001</v>
      </c>
      <c r="EX24" s="2007">
        <f t="shared" si="31"/>
        <v>66183.095190000007</v>
      </c>
      <c r="EY24" s="2010">
        <f t="shared" si="31"/>
        <v>10231.39141</v>
      </c>
      <c r="EZ24" s="2007">
        <f t="shared" si="31"/>
        <v>82929.056130000012</v>
      </c>
      <c r="FA24" s="2010">
        <f t="shared" si="31"/>
        <v>12112.881170000001</v>
      </c>
      <c r="FB24" s="2007">
        <f t="shared" si="31"/>
        <v>110867.38786</v>
      </c>
      <c r="FC24" s="2010">
        <f t="shared" si="31"/>
        <v>13694.619940000002</v>
      </c>
      <c r="FD24" s="2007">
        <f t="shared" si="31"/>
        <v>122774.51852999999</v>
      </c>
      <c r="FE24" s="2010">
        <f t="shared" si="31"/>
        <v>30571.804559999997</v>
      </c>
      <c r="FF24" s="2007">
        <f t="shared" si="31"/>
        <v>135496.80436000001</v>
      </c>
      <c r="FG24" s="2010">
        <f t="shared" si="31"/>
        <v>43407.239430000009</v>
      </c>
      <c r="FH24" s="2007">
        <f t="shared" si="31"/>
        <v>151816.37080999996</v>
      </c>
      <c r="FI24" s="2010">
        <f t="shared" si="31"/>
        <v>48543.21390000001</v>
      </c>
      <c r="FJ24" s="2007">
        <f t="shared" si="31"/>
        <v>164551.27359999999</v>
      </c>
      <c r="FK24" s="2010">
        <f t="shared" si="31"/>
        <v>52427.584109999996</v>
      </c>
      <c r="FL24" s="2007">
        <f t="shared" si="31"/>
        <v>182726.86567999999</v>
      </c>
      <c r="FM24" s="2010">
        <f t="shared" si="31"/>
        <v>101191.1551</v>
      </c>
      <c r="FN24" s="2007">
        <f t="shared" si="31"/>
        <v>21142.006679999999</v>
      </c>
      <c r="FO24" s="2010">
        <f t="shared" ref="FO24:GU24" si="32">SUM(FO25:FO33)</f>
        <v>2715.5302200000001</v>
      </c>
      <c r="FP24" s="2007">
        <f t="shared" si="32"/>
        <v>33650.428969999994</v>
      </c>
      <c r="FQ24" s="2010">
        <f t="shared" si="32"/>
        <v>5394.9490399999995</v>
      </c>
      <c r="FR24" s="2007">
        <f t="shared" si="32"/>
        <v>43527.020799999998</v>
      </c>
      <c r="FS24" s="2010">
        <f t="shared" si="32"/>
        <v>7245.9091500000004</v>
      </c>
      <c r="FT24" s="2007">
        <f t="shared" si="32"/>
        <v>55158.521609999996</v>
      </c>
      <c r="FU24" s="2010">
        <f t="shared" si="32"/>
        <v>9975.694950000001</v>
      </c>
      <c r="FV24" s="2007">
        <f t="shared" si="32"/>
        <v>70645.487830000013</v>
      </c>
      <c r="FW24" s="2010">
        <f t="shared" si="32"/>
        <v>13214.705759999999</v>
      </c>
      <c r="FX24" s="2007">
        <f t="shared" si="32"/>
        <v>83116.112949999995</v>
      </c>
      <c r="FY24" s="2010">
        <f t="shared" si="32"/>
        <v>16109.857970000003</v>
      </c>
      <c r="FZ24" s="2007">
        <f t="shared" si="32"/>
        <v>112164.20629</v>
      </c>
      <c r="GA24" s="2010">
        <f t="shared" si="32"/>
        <v>18642.375059999998</v>
      </c>
      <c r="GB24" s="2007">
        <f t="shared" si="32"/>
        <v>130055.19643</v>
      </c>
      <c r="GC24" s="2010">
        <f t="shared" si="32"/>
        <v>20932.258530000003</v>
      </c>
      <c r="GD24" s="2007">
        <f t="shared" si="32"/>
        <v>144870.92900999999</v>
      </c>
      <c r="GE24" s="2010">
        <f t="shared" si="32"/>
        <v>23455.94642</v>
      </c>
      <c r="GF24" s="2007">
        <f t="shared" si="32"/>
        <v>155955.11298000001</v>
      </c>
      <c r="GG24" s="2010">
        <f t="shared" si="32"/>
        <v>26758.782350000001</v>
      </c>
      <c r="GH24" s="2007">
        <f t="shared" si="32"/>
        <v>177043.84543999998</v>
      </c>
      <c r="GI24" s="2010">
        <f t="shared" si="32"/>
        <v>32574.149099999995</v>
      </c>
      <c r="GJ24" s="2007">
        <f t="shared" si="32"/>
        <v>204698.39569</v>
      </c>
      <c r="GK24" s="2010">
        <f t="shared" si="32"/>
        <v>37542.687669999992</v>
      </c>
      <c r="GL24" s="2007">
        <f t="shared" si="32"/>
        <v>22457.63263</v>
      </c>
      <c r="GM24" s="2010">
        <f t="shared" si="32"/>
        <v>3403.9076</v>
      </c>
      <c r="GN24" s="2007">
        <f t="shared" si="32"/>
        <v>33068.5671</v>
      </c>
      <c r="GO24" s="2010">
        <f t="shared" si="32"/>
        <v>5993.6199399999996</v>
      </c>
      <c r="GP24" s="2007">
        <f t="shared" si="32"/>
        <v>42885.394209999991</v>
      </c>
      <c r="GQ24" s="2010">
        <f t="shared" si="32"/>
        <v>8461.8258000000005</v>
      </c>
      <c r="GR24" s="2007">
        <f t="shared" si="32"/>
        <v>58824.494919999997</v>
      </c>
      <c r="GS24" s="2010">
        <f t="shared" si="32"/>
        <v>13321.47579</v>
      </c>
      <c r="GT24" s="2007">
        <f t="shared" si="32"/>
        <v>75997.466390000001</v>
      </c>
      <c r="GU24" s="2010">
        <f t="shared" si="32"/>
        <v>17477.724620000001</v>
      </c>
      <c r="GV24" s="2011" t="s">
        <v>3200</v>
      </c>
      <c r="GX24" s="2029"/>
    </row>
    <row r="25" spans="1:206" s="1991" customFormat="1" ht="22.5" customHeight="1">
      <c r="A25" s="2012" t="s">
        <v>2312</v>
      </c>
      <c r="B25" s="2013">
        <v>4720.3086299999995</v>
      </c>
      <c r="C25" s="2013">
        <v>0</v>
      </c>
      <c r="D25" s="2013">
        <v>4860.3086299999995</v>
      </c>
      <c r="E25" s="2013">
        <v>0</v>
      </c>
      <c r="F25" s="2013">
        <v>4720.3086299999995</v>
      </c>
      <c r="G25" s="2013">
        <v>0</v>
      </c>
      <c r="H25" s="2013">
        <v>5379.7733499999995</v>
      </c>
      <c r="I25" s="2013">
        <v>0</v>
      </c>
      <c r="J25" s="2013">
        <v>5380.7863600000001</v>
      </c>
      <c r="K25" s="2013">
        <v>15.593999999999999</v>
      </c>
      <c r="L25" s="2013">
        <v>5056.3874999999998</v>
      </c>
      <c r="M25" s="2013">
        <v>0</v>
      </c>
      <c r="N25" s="2013">
        <v>10089.64767</v>
      </c>
      <c r="O25" s="2013">
        <v>15.593999999999999</v>
      </c>
      <c r="P25" s="2013">
        <v>10069.44291</v>
      </c>
      <c r="Q25" s="2013">
        <v>15.593999999999999</v>
      </c>
      <c r="R25" s="2013">
        <v>10369.00153</v>
      </c>
      <c r="S25" s="2013">
        <v>15.593999999999999</v>
      </c>
      <c r="T25" s="2013">
        <v>10487.315130000001</v>
      </c>
      <c r="U25" s="2013">
        <v>0</v>
      </c>
      <c r="V25" s="2013">
        <v>10535.724779999999</v>
      </c>
      <c r="W25" s="2013">
        <v>0</v>
      </c>
      <c r="X25" s="2013">
        <v>10561.901199999998</v>
      </c>
      <c r="Y25" s="2013">
        <v>0</v>
      </c>
      <c r="Z25" s="2013">
        <v>4253.1487800000004</v>
      </c>
      <c r="AA25" s="2013">
        <v>0</v>
      </c>
      <c r="AB25" s="2013">
        <v>4331.05746</v>
      </c>
      <c r="AC25" s="2013">
        <v>0</v>
      </c>
      <c r="AD25" s="2013">
        <v>4400.4952999999996</v>
      </c>
      <c r="AE25" s="2013">
        <v>0</v>
      </c>
      <c r="AF25" s="2013">
        <v>5115.2739299999994</v>
      </c>
      <c r="AG25" s="2013">
        <v>0</v>
      </c>
      <c r="AH25" s="2013">
        <v>5280.1044900000006</v>
      </c>
      <c r="AI25" s="2013">
        <v>0</v>
      </c>
      <c r="AJ25" s="2013">
        <v>5288.8562599999996</v>
      </c>
      <c r="AK25" s="2013">
        <v>246.5</v>
      </c>
      <c r="AL25" s="2013">
        <v>9841.4102400000011</v>
      </c>
      <c r="AM25" s="2013">
        <v>246.5</v>
      </c>
      <c r="AN25" s="2013">
        <v>9880.8426400000008</v>
      </c>
      <c r="AO25" s="2013">
        <v>246.5</v>
      </c>
      <c r="AP25" s="2013">
        <v>10029.762560000001</v>
      </c>
      <c r="AQ25" s="2013">
        <v>246.5</v>
      </c>
      <c r="AR25" s="2013">
        <v>10083.377409999999</v>
      </c>
      <c r="AS25" s="2013">
        <v>246.5</v>
      </c>
      <c r="AT25" s="2013">
        <v>10185.74418</v>
      </c>
      <c r="AU25" s="2013">
        <v>246.5</v>
      </c>
      <c r="AV25" s="2013">
        <v>10334.85556</v>
      </c>
      <c r="AW25" s="2013">
        <v>873.20961999999997</v>
      </c>
      <c r="AX25" s="2013">
        <v>4369.7519400000001</v>
      </c>
      <c r="AY25" s="2013">
        <v>20.105779999999999</v>
      </c>
      <c r="AZ25" s="2013">
        <v>4972.1195299999999</v>
      </c>
      <c r="BA25" s="2013">
        <v>20.105779999999999</v>
      </c>
      <c r="BB25" s="2013">
        <v>5173.7987000000003</v>
      </c>
      <c r="BC25" s="2013">
        <v>21.184740000000001</v>
      </c>
      <c r="BD25" s="2013">
        <v>5184.6213399999997</v>
      </c>
      <c r="BE25" s="2013">
        <v>21.184740000000001</v>
      </c>
      <c r="BF25" s="2013">
        <v>5184.6213399999997</v>
      </c>
      <c r="BG25" s="2013">
        <v>4521.1847400000006</v>
      </c>
      <c r="BH25" s="2013">
        <v>5439.8606500000005</v>
      </c>
      <c r="BI25" s="2013">
        <v>5026.6389300000001</v>
      </c>
      <c r="BJ25" s="2013">
        <v>10546.62148</v>
      </c>
      <c r="BK25" s="2013">
        <v>5695.2975800000004</v>
      </c>
      <c r="BL25" s="2013">
        <v>10571.84424</v>
      </c>
      <c r="BM25" s="2013">
        <v>5695.2975800000004</v>
      </c>
      <c r="BN25" s="2013">
        <v>10603.503650000001</v>
      </c>
      <c r="BO25" s="2013">
        <v>5695.2975900000001</v>
      </c>
      <c r="BP25" s="2013">
        <v>10616.96508</v>
      </c>
      <c r="BQ25" s="2013">
        <v>5695.2975800000004</v>
      </c>
      <c r="BR25" s="2013">
        <v>10616.96508</v>
      </c>
      <c r="BS25" s="2013">
        <v>5695.2975900000001</v>
      </c>
      <c r="BT25" s="2013">
        <v>10637.270759999999</v>
      </c>
      <c r="BU25" s="2013">
        <v>19227.297579999999</v>
      </c>
      <c r="BV25" s="2013">
        <v>4883.7342500000004</v>
      </c>
      <c r="BW25" s="2013">
        <v>0</v>
      </c>
      <c r="BX25" s="2013">
        <v>5475.1074400000007</v>
      </c>
      <c r="BY25" s="2013">
        <v>412.54192</v>
      </c>
      <c r="BZ25" s="2013">
        <v>5637.3720599999997</v>
      </c>
      <c r="CA25" s="2013">
        <v>330.16346000000004</v>
      </c>
      <c r="CB25" s="2013">
        <v>5637.3720599999997</v>
      </c>
      <c r="CC25" s="2013">
        <v>1647.15346</v>
      </c>
      <c r="CD25" s="2013">
        <v>5637.3720599999997</v>
      </c>
      <c r="CE25" s="2013">
        <v>1647.15346</v>
      </c>
      <c r="CF25" s="2013">
        <v>5644.7466399999994</v>
      </c>
      <c r="CG25" s="2013">
        <v>1647.15346</v>
      </c>
      <c r="CH25" s="2013">
        <v>9347.7946300000003</v>
      </c>
      <c r="CI25" s="2013">
        <v>1647.15346</v>
      </c>
      <c r="CJ25" s="2013">
        <v>15788.293900000001</v>
      </c>
      <c r="CK25" s="2013">
        <v>1647.15346</v>
      </c>
      <c r="CL25" s="2013">
        <v>15788.29191</v>
      </c>
      <c r="CM25" s="2013">
        <v>1647.15346</v>
      </c>
      <c r="CN25" s="2013">
        <v>15703.334720000001</v>
      </c>
      <c r="CO25" s="2013">
        <v>1647.15346</v>
      </c>
      <c r="CP25" s="2013">
        <v>15753.563890000001</v>
      </c>
      <c r="CQ25" s="2013">
        <v>2061.1034599999998</v>
      </c>
      <c r="CR25" s="2013">
        <v>15753.563890000001</v>
      </c>
      <c r="CS25" s="2013">
        <v>2061.1034599999998</v>
      </c>
      <c r="CT25" s="2013">
        <v>3456.9119799999999</v>
      </c>
      <c r="CU25" s="2013">
        <v>0</v>
      </c>
      <c r="CV25" s="2013">
        <v>3456.9119799999999</v>
      </c>
      <c r="CW25" s="2013">
        <v>98.6</v>
      </c>
      <c r="CX25" s="2013">
        <v>4140.8688099999999</v>
      </c>
      <c r="CY25" s="2013">
        <v>98.6</v>
      </c>
      <c r="CZ25" s="2013">
        <v>4140.8688099999999</v>
      </c>
      <c r="DA25" s="2013">
        <v>98.6</v>
      </c>
      <c r="DB25" s="2013">
        <v>4140.8688099999999</v>
      </c>
      <c r="DC25" s="2013">
        <v>98.6</v>
      </c>
      <c r="DD25" s="2013">
        <v>4140.8688099999999</v>
      </c>
      <c r="DE25" s="2013">
        <v>1126.5242700000001</v>
      </c>
      <c r="DF25" s="2013">
        <v>14348.888070000001</v>
      </c>
      <c r="DG25" s="2013">
        <v>1143.5242700000001</v>
      </c>
      <c r="DH25" s="2013">
        <v>14348.888630000001</v>
      </c>
      <c r="DI25" s="2013">
        <v>1143.5242700000001</v>
      </c>
      <c r="DJ25" s="2013">
        <v>15916.83669</v>
      </c>
      <c r="DK25" s="2013">
        <v>1143.5242700000001</v>
      </c>
      <c r="DL25" s="2013">
        <v>15916.83669</v>
      </c>
      <c r="DM25" s="2013">
        <v>1143.5242699999999</v>
      </c>
      <c r="DN25" s="2013">
        <v>15916.83669</v>
      </c>
      <c r="DO25" s="2013">
        <v>1143.5242699999999</v>
      </c>
      <c r="DP25" s="2013">
        <v>15916.83669</v>
      </c>
      <c r="DQ25" s="2014">
        <v>2329.8809200000001</v>
      </c>
      <c r="DR25" s="2015">
        <v>2710.6490800000001</v>
      </c>
      <c r="DS25" s="2016">
        <v>0</v>
      </c>
      <c r="DT25" s="2017">
        <v>2710.6494899999998</v>
      </c>
      <c r="DU25" s="2014">
        <v>0</v>
      </c>
      <c r="DV25" s="2015">
        <v>2710.6494899999998</v>
      </c>
      <c r="DW25" s="2016">
        <v>0</v>
      </c>
      <c r="DX25" s="2017">
        <v>2710.6494899999998</v>
      </c>
      <c r="DY25" s="2014">
        <v>0</v>
      </c>
      <c r="DZ25" s="2015">
        <v>2710.6494899999998</v>
      </c>
      <c r="EA25" s="2016">
        <v>0</v>
      </c>
      <c r="EB25" s="2017">
        <v>7109.8117499999998</v>
      </c>
      <c r="EC25" s="2014">
        <v>0</v>
      </c>
      <c r="ED25" s="2015">
        <v>18878.266490000002</v>
      </c>
      <c r="EE25" s="2016">
        <v>40.799999999999997</v>
      </c>
      <c r="EF25" s="2015">
        <v>21263.646909999999</v>
      </c>
      <c r="EG25" s="2016">
        <v>40.799999999999997</v>
      </c>
      <c r="EH25" s="2017">
        <v>21263.646909999999</v>
      </c>
      <c r="EI25" s="2016">
        <v>40.799999999999997</v>
      </c>
      <c r="EJ25" s="2017">
        <v>21275.907800000001</v>
      </c>
      <c r="EK25" s="2016">
        <v>57.8</v>
      </c>
      <c r="EL25" s="2015">
        <v>21305.202550000002</v>
      </c>
      <c r="EM25" s="2018">
        <v>57.8</v>
      </c>
      <c r="EN25" s="2015">
        <v>21527.34779</v>
      </c>
      <c r="EO25" s="2018">
        <v>74.8</v>
      </c>
      <c r="EP25" s="2015">
        <v>96.162490000000005</v>
      </c>
      <c r="EQ25" s="2018">
        <v>0</v>
      </c>
      <c r="ER25" s="2015">
        <v>96.162490000000005</v>
      </c>
      <c r="ES25" s="2018">
        <v>0</v>
      </c>
      <c r="ET25" s="2015">
        <v>96.162490000000005</v>
      </c>
      <c r="EU25" s="2018">
        <v>0</v>
      </c>
      <c r="EV25" s="2015">
        <v>100.77070999999999</v>
      </c>
      <c r="EW25" s="2018">
        <v>0</v>
      </c>
      <c r="EX25" s="2015">
        <v>1970.77071</v>
      </c>
      <c r="EY25" s="2018">
        <v>0</v>
      </c>
      <c r="EZ25" s="2015">
        <v>1970.77071</v>
      </c>
      <c r="FA25" s="2018">
        <v>0</v>
      </c>
      <c r="FB25" s="2015">
        <v>19866.0465</v>
      </c>
      <c r="FC25" s="2018">
        <v>0</v>
      </c>
      <c r="FD25" s="2015">
        <v>19256.739300000001</v>
      </c>
      <c r="FE25" s="2018">
        <v>0</v>
      </c>
      <c r="FF25" s="2015">
        <v>19267.353300000002</v>
      </c>
      <c r="FG25" s="2018">
        <v>17</v>
      </c>
      <c r="FH25" s="2015">
        <v>19267.353299999999</v>
      </c>
      <c r="FI25" s="2018">
        <v>17</v>
      </c>
      <c r="FJ25" s="2015">
        <v>20020.886890000002</v>
      </c>
      <c r="FK25" s="2018">
        <v>448.32751999999999</v>
      </c>
      <c r="FL25" s="2015">
        <v>22169.913929999999</v>
      </c>
      <c r="FM25" s="2018">
        <v>448.32751999999999</v>
      </c>
      <c r="FN25" s="2015">
        <v>1413.22488</v>
      </c>
      <c r="FO25" s="2018">
        <v>28.27027</v>
      </c>
      <c r="FP25" s="2015">
        <v>2416.3747000000003</v>
      </c>
      <c r="FQ25" s="2018">
        <v>28.27027</v>
      </c>
      <c r="FR25" s="2015">
        <v>2432.4846600000001</v>
      </c>
      <c r="FS25" s="2018">
        <v>28.27027</v>
      </c>
      <c r="FT25" s="2015">
        <v>3622.0216999999998</v>
      </c>
      <c r="FU25" s="2018">
        <v>49.71302</v>
      </c>
      <c r="FV25" s="2015">
        <v>5612.9353000000001</v>
      </c>
      <c r="FW25" s="2018">
        <v>49.734250000000003</v>
      </c>
      <c r="FX25" s="2015">
        <v>5692.1147499999997</v>
      </c>
      <c r="FY25" s="2018">
        <v>793.07318999999995</v>
      </c>
      <c r="FZ25" s="2015">
        <v>21754.686689999999</v>
      </c>
      <c r="GA25" s="2018">
        <v>793.07318999999995</v>
      </c>
      <c r="GB25" s="2015">
        <v>21754.686689999999</v>
      </c>
      <c r="GC25" s="2018">
        <v>793.07318999999995</v>
      </c>
      <c r="GD25" s="2015">
        <v>21763.511210000001</v>
      </c>
      <c r="GE25" s="2018">
        <v>793.07318999999995</v>
      </c>
      <c r="GF25" s="2015">
        <v>21763.511210000001</v>
      </c>
      <c r="GG25" s="2018">
        <v>793.07318999999995</v>
      </c>
      <c r="GH25" s="2015">
        <v>21763.511210000001</v>
      </c>
      <c r="GI25" s="2018">
        <v>793.07318999999995</v>
      </c>
      <c r="GJ25" s="2015">
        <v>21823.20246</v>
      </c>
      <c r="GK25" s="2018">
        <v>793.07320000000004</v>
      </c>
      <c r="GL25" s="2015">
        <v>0</v>
      </c>
      <c r="GM25" s="2018">
        <v>0</v>
      </c>
      <c r="GN25" s="2015">
        <v>0</v>
      </c>
      <c r="GO25" s="2018">
        <v>0</v>
      </c>
      <c r="GP25" s="2015">
        <v>0</v>
      </c>
      <c r="GQ25" s="2018">
        <v>0</v>
      </c>
      <c r="GR25" s="2015">
        <v>0</v>
      </c>
      <c r="GS25" s="2018">
        <v>0</v>
      </c>
      <c r="GT25" s="2015">
        <v>1651.7336</v>
      </c>
      <c r="GU25" s="2018">
        <v>0</v>
      </c>
      <c r="GV25" s="2019" t="s">
        <v>3201</v>
      </c>
    </row>
    <row r="26" spans="1:206" s="1991" customFormat="1" ht="22.5" customHeight="1">
      <c r="A26" s="2012" t="s">
        <v>2311</v>
      </c>
      <c r="B26" s="2013">
        <v>2854.4523199999999</v>
      </c>
      <c r="C26" s="2013">
        <v>368.20645999999999</v>
      </c>
      <c r="D26" s="2013">
        <v>5070.6043399999999</v>
      </c>
      <c r="E26" s="2013">
        <v>546.20497</v>
      </c>
      <c r="F26" s="2013">
        <v>7169.9546300000002</v>
      </c>
      <c r="G26" s="2013">
        <v>644.6536000000001</v>
      </c>
      <c r="H26" s="2013">
        <v>8748.302740000001</v>
      </c>
      <c r="I26" s="2013">
        <v>737.04581999999994</v>
      </c>
      <c r="J26" s="2013">
        <v>12527.536189999999</v>
      </c>
      <c r="K26" s="2013">
        <v>1078.29718</v>
      </c>
      <c r="L26" s="2013">
        <v>15965.44533</v>
      </c>
      <c r="M26" s="2013">
        <v>1457.55834</v>
      </c>
      <c r="N26" s="2013">
        <v>19018.723959999999</v>
      </c>
      <c r="O26" s="2013">
        <v>1520.4034299999998</v>
      </c>
      <c r="P26" s="2013">
        <v>21824.591680000001</v>
      </c>
      <c r="Q26" s="2013">
        <v>1864.7352700000001</v>
      </c>
      <c r="R26" s="2013">
        <v>29426.052070000002</v>
      </c>
      <c r="S26" s="2013">
        <v>1956.1366399999999</v>
      </c>
      <c r="T26" s="2013">
        <v>31710.83769</v>
      </c>
      <c r="U26" s="2013">
        <v>2049.9261299999998</v>
      </c>
      <c r="V26" s="2013">
        <v>35218.879350000003</v>
      </c>
      <c r="W26" s="2013">
        <v>2151.4666899999997</v>
      </c>
      <c r="X26" s="2013">
        <v>37813.447919999999</v>
      </c>
      <c r="Y26" s="2013">
        <v>2214.3898499999996</v>
      </c>
      <c r="Z26" s="2013">
        <v>3465.7083899999998</v>
      </c>
      <c r="AA26" s="2013">
        <v>36.875449999999994</v>
      </c>
      <c r="AB26" s="2013">
        <v>8720.9691000000003</v>
      </c>
      <c r="AC26" s="2013">
        <v>111.62860999999999</v>
      </c>
      <c r="AD26" s="2013">
        <v>22863.153870000002</v>
      </c>
      <c r="AE26" s="2013">
        <v>135.18967000000001</v>
      </c>
      <c r="AF26" s="2013">
        <v>25506.073329999999</v>
      </c>
      <c r="AG26" s="2013">
        <v>410.17484000000002</v>
      </c>
      <c r="AH26" s="2013">
        <v>27793.636690000003</v>
      </c>
      <c r="AI26" s="2013">
        <v>443.16640000000001</v>
      </c>
      <c r="AJ26" s="2013">
        <v>31887.73703</v>
      </c>
      <c r="AK26" s="2013">
        <v>476.76499000000001</v>
      </c>
      <c r="AL26" s="2013">
        <v>34456.407490000005</v>
      </c>
      <c r="AM26" s="2013">
        <v>771.71976000000006</v>
      </c>
      <c r="AN26" s="2013">
        <v>39447.605439999999</v>
      </c>
      <c r="AO26" s="2013">
        <v>816.18037000000004</v>
      </c>
      <c r="AP26" s="2013">
        <v>48293.257230000003</v>
      </c>
      <c r="AQ26" s="2013">
        <v>1775.713</v>
      </c>
      <c r="AR26" s="2013">
        <v>50823.553659999998</v>
      </c>
      <c r="AS26" s="2013">
        <v>2043.6151</v>
      </c>
      <c r="AT26" s="2013">
        <v>53670.77289</v>
      </c>
      <c r="AU26" s="2013">
        <v>2673.9180000000001</v>
      </c>
      <c r="AV26" s="2013">
        <v>59373.386460000002</v>
      </c>
      <c r="AW26" s="2013">
        <v>3074.25711</v>
      </c>
      <c r="AX26" s="2013">
        <v>3170.0090699999996</v>
      </c>
      <c r="AY26" s="2013">
        <v>326.49990000000003</v>
      </c>
      <c r="AZ26" s="2013">
        <v>7042.4854699999996</v>
      </c>
      <c r="BA26" s="2013">
        <v>622.07792000000006</v>
      </c>
      <c r="BB26" s="2013">
        <v>10250.33474</v>
      </c>
      <c r="BC26" s="2013">
        <v>734.2319399999999</v>
      </c>
      <c r="BD26" s="2013">
        <v>12967.758159999999</v>
      </c>
      <c r="BE26" s="2013">
        <v>848.68651999999997</v>
      </c>
      <c r="BF26" s="2013">
        <v>18086.584019999998</v>
      </c>
      <c r="BG26" s="2013">
        <v>1096.6253300000001</v>
      </c>
      <c r="BH26" s="2013">
        <v>21054.802769999998</v>
      </c>
      <c r="BI26" s="2013">
        <v>1238.90327</v>
      </c>
      <c r="BJ26" s="2013">
        <v>25559.760920000001</v>
      </c>
      <c r="BK26" s="2013">
        <v>1362.91516</v>
      </c>
      <c r="BL26" s="2013">
        <v>27634.398670000002</v>
      </c>
      <c r="BM26" s="2013">
        <v>1455.13958</v>
      </c>
      <c r="BN26" s="2013">
        <v>37872.909849999996</v>
      </c>
      <c r="BO26" s="2013">
        <v>1686.85653</v>
      </c>
      <c r="BP26" s="2013">
        <v>42035.654270000006</v>
      </c>
      <c r="BQ26" s="2013">
        <v>1832.1260400000001</v>
      </c>
      <c r="BR26" s="2013">
        <v>45924.370759999998</v>
      </c>
      <c r="BS26" s="2013">
        <v>1863.97219</v>
      </c>
      <c r="BT26" s="2013">
        <v>51069.017890000003</v>
      </c>
      <c r="BU26" s="2013">
        <v>2171.6981600000004</v>
      </c>
      <c r="BV26" s="2013">
        <v>3915.71272</v>
      </c>
      <c r="BW26" s="2013">
        <v>330.82452000000001</v>
      </c>
      <c r="BX26" s="2013">
        <v>6338.5014199999996</v>
      </c>
      <c r="BY26" s="2013">
        <v>384.6223</v>
      </c>
      <c r="BZ26" s="2013">
        <v>9556.6000999999997</v>
      </c>
      <c r="CA26" s="2013">
        <v>869.27751999999998</v>
      </c>
      <c r="CB26" s="2013">
        <v>12184.052119999998</v>
      </c>
      <c r="CC26" s="2013">
        <v>948.43584999999996</v>
      </c>
      <c r="CD26" s="2013">
        <v>15540.400750000001</v>
      </c>
      <c r="CE26" s="2013">
        <v>1081.1816799999999</v>
      </c>
      <c r="CF26" s="2013">
        <v>19703.52463</v>
      </c>
      <c r="CG26" s="2013">
        <v>1150.19129</v>
      </c>
      <c r="CH26" s="2013">
        <v>30328.256069999999</v>
      </c>
      <c r="CI26" s="2013">
        <v>1326.66623</v>
      </c>
      <c r="CJ26" s="2013">
        <v>36870.333740000002</v>
      </c>
      <c r="CK26" s="2013">
        <v>1806.5528200000001</v>
      </c>
      <c r="CL26" s="2013">
        <v>43799.565539999996</v>
      </c>
      <c r="CM26" s="2013">
        <v>12965.52025</v>
      </c>
      <c r="CN26" s="2013">
        <v>47443.285899999995</v>
      </c>
      <c r="CO26" s="2013">
        <v>13101.2215</v>
      </c>
      <c r="CP26" s="2013">
        <v>49939.987529999999</v>
      </c>
      <c r="CQ26" s="2013">
        <v>13357.93687</v>
      </c>
      <c r="CR26" s="2013">
        <v>56281.659610000002</v>
      </c>
      <c r="CS26" s="2013">
        <v>13383.299130000001</v>
      </c>
      <c r="CT26" s="2013">
        <v>4313.9287599999998</v>
      </c>
      <c r="CU26" s="2013">
        <v>268.01778000000002</v>
      </c>
      <c r="CV26" s="2013">
        <v>6796.5787499999997</v>
      </c>
      <c r="CW26" s="2013">
        <v>448.69675999999998</v>
      </c>
      <c r="CX26" s="2013">
        <v>12773.14553</v>
      </c>
      <c r="CY26" s="2013">
        <v>423.46731</v>
      </c>
      <c r="CZ26" s="2013">
        <v>15854.969800000001</v>
      </c>
      <c r="DA26" s="2013">
        <v>2677.4093900000003</v>
      </c>
      <c r="DB26" s="2013">
        <v>20403.13336</v>
      </c>
      <c r="DC26" s="2013">
        <v>2789.1127999999999</v>
      </c>
      <c r="DD26" s="2013">
        <v>29387.88121</v>
      </c>
      <c r="DE26" s="2013">
        <v>2890.7373399999997</v>
      </c>
      <c r="DF26" s="2013">
        <v>31488.856609999999</v>
      </c>
      <c r="DG26" s="2013">
        <v>2989.29061</v>
      </c>
      <c r="DH26" s="2013">
        <v>33557.40582</v>
      </c>
      <c r="DI26" s="2013">
        <v>3108.7934799999998</v>
      </c>
      <c r="DJ26" s="2013">
        <v>41879.864560000002</v>
      </c>
      <c r="DK26" s="2013">
        <v>3410.7299600000001</v>
      </c>
      <c r="DL26" s="2013">
        <v>47068.617160000002</v>
      </c>
      <c r="DM26" s="2013">
        <v>3705.9066800000001</v>
      </c>
      <c r="DN26" s="2013">
        <v>48953.995029999998</v>
      </c>
      <c r="DO26" s="2013">
        <v>4060.8981699999999</v>
      </c>
      <c r="DP26" s="2013">
        <v>55792.715989999997</v>
      </c>
      <c r="DQ26" s="2014">
        <v>4412.99611</v>
      </c>
      <c r="DR26" s="2015">
        <v>3406.4238</v>
      </c>
      <c r="DS26" s="2016">
        <v>92.871780000000001</v>
      </c>
      <c r="DT26" s="2017">
        <v>6587.6168100000004</v>
      </c>
      <c r="DU26" s="2014">
        <v>410.13549</v>
      </c>
      <c r="DV26" s="2015">
        <v>9824.0387499999997</v>
      </c>
      <c r="DW26" s="2016">
        <v>508.38362000000001</v>
      </c>
      <c r="DX26" s="2017">
        <v>13294.510389999999</v>
      </c>
      <c r="DY26" s="2014">
        <v>541.73753999999997</v>
      </c>
      <c r="DZ26" s="2015">
        <v>23607.472730000001</v>
      </c>
      <c r="EA26" s="2016">
        <v>768.20460000000003</v>
      </c>
      <c r="EB26" s="2017">
        <v>27913.508460000001</v>
      </c>
      <c r="EC26" s="2014">
        <v>808.20567000000005</v>
      </c>
      <c r="ED26" s="2015">
        <v>32289.330969999999</v>
      </c>
      <c r="EE26" s="2016">
        <v>889.45938999999998</v>
      </c>
      <c r="EF26" s="2015">
        <v>37947.428160000003</v>
      </c>
      <c r="EG26" s="2016">
        <v>1112.4813200000001</v>
      </c>
      <c r="EH26" s="2017">
        <v>47295.331639999997</v>
      </c>
      <c r="EI26" s="2016">
        <v>1182.9741799999999</v>
      </c>
      <c r="EJ26" s="2017">
        <v>51131.116479999997</v>
      </c>
      <c r="EK26" s="2016">
        <v>1263.63519</v>
      </c>
      <c r="EL26" s="2015">
        <v>54748.369449999998</v>
      </c>
      <c r="EM26" s="2018">
        <v>1352.45856</v>
      </c>
      <c r="EN26" s="2015">
        <v>66350.701499999996</v>
      </c>
      <c r="EO26" s="2018">
        <v>1428.4406899999999</v>
      </c>
      <c r="EP26" s="2015">
        <v>4733.7252400000007</v>
      </c>
      <c r="EQ26" s="2018">
        <v>69.275240000000011</v>
      </c>
      <c r="ER26" s="2015">
        <v>12134.438390000001</v>
      </c>
      <c r="ES26" s="2018">
        <v>170.65404999999998</v>
      </c>
      <c r="ET26" s="2015">
        <v>21327.604520000001</v>
      </c>
      <c r="EU26" s="2018">
        <v>274.67198000000002</v>
      </c>
      <c r="EV26" s="2015">
        <v>23341.019199999999</v>
      </c>
      <c r="EW26" s="2018">
        <v>696.25460999999996</v>
      </c>
      <c r="EX26" s="2015">
        <v>28761.570350000002</v>
      </c>
      <c r="EY26" s="2018">
        <v>1296.80592</v>
      </c>
      <c r="EZ26" s="2015">
        <v>38604.993240000003</v>
      </c>
      <c r="FA26" s="2018">
        <v>1708.2707800000001</v>
      </c>
      <c r="FB26" s="2015">
        <v>42914.383459999997</v>
      </c>
      <c r="FC26" s="2018">
        <v>1933.5884900000001</v>
      </c>
      <c r="FD26" s="2015">
        <v>46963.570979999997</v>
      </c>
      <c r="FE26" s="2018">
        <v>16804.472819999999</v>
      </c>
      <c r="FF26" s="2028">
        <v>52603.501980000001</v>
      </c>
      <c r="FG26" s="2018">
        <v>27597.216920000003</v>
      </c>
      <c r="FH26" s="2015">
        <v>63637.409070000002</v>
      </c>
      <c r="FI26" s="2018">
        <v>30246.029190000001</v>
      </c>
      <c r="FJ26" s="2015">
        <v>68051.437409999999</v>
      </c>
      <c r="FK26" s="2018">
        <v>30572.857169999999</v>
      </c>
      <c r="FL26" s="2015">
        <v>74928.075200000007</v>
      </c>
      <c r="FM26" s="2018">
        <v>75415.164400000009</v>
      </c>
      <c r="FN26" s="2015">
        <v>7540.70172</v>
      </c>
      <c r="FO26" s="2018">
        <v>164.46472</v>
      </c>
      <c r="FP26" s="2015">
        <v>11681.038460000002</v>
      </c>
      <c r="FQ26" s="2018">
        <v>391.75274000000002</v>
      </c>
      <c r="FR26" s="2015">
        <v>16621.853950000001</v>
      </c>
      <c r="FS26" s="2018">
        <v>748.67147</v>
      </c>
      <c r="FT26" s="2015">
        <v>20606.616180000001</v>
      </c>
      <c r="FU26" s="2018">
        <v>1114.24981</v>
      </c>
      <c r="FV26" s="2015">
        <v>26221.615420000002</v>
      </c>
      <c r="FW26" s="2018">
        <v>1931.2549799999999</v>
      </c>
      <c r="FX26" s="2015">
        <v>31760.231889999999</v>
      </c>
      <c r="FY26" s="2018">
        <v>2218.4111400000002</v>
      </c>
      <c r="FZ26" s="2015">
        <v>37719.235090000002</v>
      </c>
      <c r="GA26" s="2018">
        <f>2474.41238+5.21068</f>
        <v>2479.6230600000004</v>
      </c>
      <c r="GB26" s="2015">
        <v>47383.263420000003</v>
      </c>
      <c r="GC26" s="2018">
        <v>2559.6572700000002</v>
      </c>
      <c r="GD26" s="2015">
        <v>56152.197560000001</v>
      </c>
      <c r="GE26" s="2018">
        <v>2705.2427499999999</v>
      </c>
      <c r="GF26" s="2015">
        <v>60360.269180000003</v>
      </c>
      <c r="GG26" s="2018">
        <v>2972.0859099999998</v>
      </c>
      <c r="GH26" s="2015">
        <v>72159.191009999995</v>
      </c>
      <c r="GI26" s="2018">
        <v>3500.8559</v>
      </c>
      <c r="GJ26" s="2015">
        <v>88952.945600000006</v>
      </c>
      <c r="GK26" s="2018">
        <v>3768.99521</v>
      </c>
      <c r="GL26" s="2015">
        <v>8560.0033399999993</v>
      </c>
      <c r="GM26" s="2018">
        <v>105.76609000000001</v>
      </c>
      <c r="GN26" s="2015">
        <v>12398.404500000001</v>
      </c>
      <c r="GO26" s="2018">
        <v>162.66596000000001</v>
      </c>
      <c r="GP26" s="2015">
        <v>16646.87712999999</v>
      </c>
      <c r="GQ26" s="2018">
        <v>514.86009000000001</v>
      </c>
      <c r="GR26" s="2015">
        <v>24341.844150000001</v>
      </c>
      <c r="GS26" s="2018">
        <v>913.20768999999996</v>
      </c>
      <c r="GT26" s="2015">
        <v>31740.061969999999</v>
      </c>
      <c r="GU26" s="2018">
        <v>1173.4559200000001</v>
      </c>
      <c r="GV26" s="2019" t="s">
        <v>3433</v>
      </c>
      <c r="GX26" s="2022"/>
    </row>
    <row r="27" spans="1:206" s="1991" customFormat="1" ht="22.5" customHeight="1">
      <c r="A27" s="1225" t="s">
        <v>2310</v>
      </c>
      <c r="B27" s="2013">
        <v>1712.2983899999999</v>
      </c>
      <c r="C27" s="2013">
        <v>731.08556999999996</v>
      </c>
      <c r="D27" s="2013">
        <v>4480.9744299999993</v>
      </c>
      <c r="E27" s="2013">
        <v>1636.44559</v>
      </c>
      <c r="F27" s="2013">
        <v>6089.8972100000001</v>
      </c>
      <c r="G27" s="2013">
        <v>2772.3521399999995</v>
      </c>
      <c r="H27" s="2013">
        <v>7687.5887699999994</v>
      </c>
      <c r="I27" s="2013">
        <v>3713.4522299999999</v>
      </c>
      <c r="J27" s="2013">
        <v>9374.6315799999993</v>
      </c>
      <c r="K27" s="2013">
        <v>4884.9043300000003</v>
      </c>
      <c r="L27" s="2013">
        <v>10560.077810000001</v>
      </c>
      <c r="M27" s="2013">
        <v>5711.9737500000001</v>
      </c>
      <c r="N27" s="2013">
        <v>12230.46135</v>
      </c>
      <c r="O27" s="2013">
        <v>6576.6550199999992</v>
      </c>
      <c r="P27" s="2013">
        <v>14244.819220000001</v>
      </c>
      <c r="Q27" s="2013">
        <v>7392.6246900000006</v>
      </c>
      <c r="R27" s="2013">
        <v>16894.26756</v>
      </c>
      <c r="S27" s="2013">
        <v>8370.9069299999992</v>
      </c>
      <c r="T27" s="2013">
        <v>18496.267319999999</v>
      </c>
      <c r="U27" s="2013">
        <v>9261.3770199999999</v>
      </c>
      <c r="V27" s="2013">
        <v>20531.36837</v>
      </c>
      <c r="W27" s="2013">
        <v>10059.78752</v>
      </c>
      <c r="X27" s="2013">
        <v>22546.881100000002</v>
      </c>
      <c r="Y27" s="2013">
        <v>10873.82043</v>
      </c>
      <c r="Z27" s="2013">
        <v>2075.6687200000001</v>
      </c>
      <c r="AA27" s="2013">
        <v>830.83537999999999</v>
      </c>
      <c r="AB27" s="2013">
        <v>3776.4115499999998</v>
      </c>
      <c r="AC27" s="2013">
        <v>1633.85194</v>
      </c>
      <c r="AD27" s="2013">
        <v>5098.3764900000006</v>
      </c>
      <c r="AE27" s="2013">
        <v>2092.32339</v>
      </c>
      <c r="AF27" s="2013">
        <v>8752.2875899999999</v>
      </c>
      <c r="AG27" s="2013">
        <v>2830.5947099999998</v>
      </c>
      <c r="AH27" s="2013">
        <v>10825.75582</v>
      </c>
      <c r="AI27" s="2013">
        <v>3673.31504</v>
      </c>
      <c r="AJ27" s="2013">
        <v>12553.074570000001</v>
      </c>
      <c r="AK27" s="2013">
        <v>4227.8707599999998</v>
      </c>
      <c r="AL27" s="2013">
        <v>14963.782789999999</v>
      </c>
      <c r="AM27" s="2013">
        <v>5078.5562800000007</v>
      </c>
      <c r="AN27" s="2013">
        <v>17286.21313</v>
      </c>
      <c r="AO27" s="2013">
        <v>5870.1425300000001</v>
      </c>
      <c r="AP27" s="2013">
        <v>20560.59101</v>
      </c>
      <c r="AQ27" s="2013">
        <v>6553.3480099999997</v>
      </c>
      <c r="AR27" s="2013">
        <v>23233.328899999997</v>
      </c>
      <c r="AS27" s="2013">
        <v>7667.09908</v>
      </c>
      <c r="AT27" s="2013">
        <v>25817.671859999999</v>
      </c>
      <c r="AU27" s="2013">
        <v>8738.2193599999991</v>
      </c>
      <c r="AV27" s="2013">
        <v>28449.747950000001</v>
      </c>
      <c r="AW27" s="2013">
        <v>9574.6235399999987</v>
      </c>
      <c r="AX27" s="2013">
        <v>2414.2360699999999</v>
      </c>
      <c r="AY27" s="2013">
        <v>872.02897999999993</v>
      </c>
      <c r="AZ27" s="2013">
        <v>4091.8614400000001</v>
      </c>
      <c r="BA27" s="2013">
        <v>1705.18379</v>
      </c>
      <c r="BB27" s="2013">
        <v>5849.7533099999991</v>
      </c>
      <c r="BC27" s="2013">
        <v>2564.08304</v>
      </c>
      <c r="BD27" s="2013">
        <v>8999.8632699999998</v>
      </c>
      <c r="BE27" s="2013">
        <v>3489.8512099999998</v>
      </c>
      <c r="BF27" s="2013">
        <v>12357.311800000001</v>
      </c>
      <c r="BG27" s="2013">
        <v>4548.4163399999998</v>
      </c>
      <c r="BH27" s="2013">
        <v>16411.53357</v>
      </c>
      <c r="BI27" s="2013">
        <v>5613.6062699999993</v>
      </c>
      <c r="BJ27" s="2013">
        <v>19332.522559999998</v>
      </c>
      <c r="BK27" s="2013">
        <v>6782.3033599999999</v>
      </c>
      <c r="BL27" s="2013">
        <v>22071.511109999999</v>
      </c>
      <c r="BM27" s="2013">
        <v>7844.6509100000003</v>
      </c>
      <c r="BN27" s="2013">
        <v>25852.507369999999</v>
      </c>
      <c r="BO27" s="2013">
        <v>9147.9244199999994</v>
      </c>
      <c r="BP27" s="2013">
        <v>28966.579109999999</v>
      </c>
      <c r="BQ27" s="2013">
        <v>10516.861859999999</v>
      </c>
      <c r="BR27" s="2013">
        <v>32761.302800000001</v>
      </c>
      <c r="BS27" s="2013">
        <v>11426.892539999999</v>
      </c>
      <c r="BT27" s="2013">
        <v>36280.606289999996</v>
      </c>
      <c r="BU27" s="2013">
        <v>13072.253429999999</v>
      </c>
      <c r="BV27" s="2013">
        <v>7040.9058199999999</v>
      </c>
      <c r="BW27" s="2013">
        <v>995.61069999999995</v>
      </c>
      <c r="BX27" s="2013">
        <v>10170.661769999999</v>
      </c>
      <c r="BY27" s="2013">
        <v>2179.2914100000003</v>
      </c>
      <c r="BZ27" s="2013">
        <v>12254.437039999999</v>
      </c>
      <c r="CA27" s="2013">
        <v>3232.73452</v>
      </c>
      <c r="CB27" s="2013">
        <v>14008.78883</v>
      </c>
      <c r="CC27" s="2013">
        <v>4276.9317499999997</v>
      </c>
      <c r="CD27" s="2013">
        <v>17612.56698</v>
      </c>
      <c r="CE27" s="2013">
        <v>5305.1061900000004</v>
      </c>
      <c r="CF27" s="2013">
        <v>21355.07144</v>
      </c>
      <c r="CG27" s="2013">
        <v>6222.6787999999997</v>
      </c>
      <c r="CH27" s="2013">
        <v>23189.66129</v>
      </c>
      <c r="CI27" s="2013">
        <v>7330.0901299999996</v>
      </c>
      <c r="CJ27" s="2013">
        <v>25629.693780000001</v>
      </c>
      <c r="CK27" s="2013">
        <v>8327.8468200000007</v>
      </c>
      <c r="CL27" s="2013">
        <v>29264.769929999999</v>
      </c>
      <c r="CM27" s="2013">
        <v>9636.7668200000007</v>
      </c>
      <c r="CN27" s="2013">
        <v>31954.031149999999</v>
      </c>
      <c r="CO27" s="2013">
        <v>10552.34403</v>
      </c>
      <c r="CP27" s="2013">
        <v>34447.662270000001</v>
      </c>
      <c r="CQ27" s="2013">
        <v>11785.552679999999</v>
      </c>
      <c r="CR27" s="2013">
        <v>36875.872100000001</v>
      </c>
      <c r="CS27" s="2013">
        <v>13039.36536</v>
      </c>
      <c r="CT27" s="2013">
        <v>2705.07744</v>
      </c>
      <c r="CU27" s="2013">
        <v>726.95299999999997</v>
      </c>
      <c r="CV27" s="2013">
        <v>5584.7871500000001</v>
      </c>
      <c r="CW27" s="2013">
        <v>1680.02854</v>
      </c>
      <c r="CX27" s="2013">
        <v>7493.4080000000004</v>
      </c>
      <c r="CY27" s="2013">
        <v>3281.2665400000001</v>
      </c>
      <c r="CZ27" s="2013">
        <v>10269.217470000001</v>
      </c>
      <c r="DA27" s="2013">
        <v>4768.54036</v>
      </c>
      <c r="DB27" s="2013">
        <v>13120.627869999998</v>
      </c>
      <c r="DC27" s="2013">
        <v>6220.8655999999992</v>
      </c>
      <c r="DD27" s="2013">
        <v>18114.261760000001</v>
      </c>
      <c r="DE27" s="2013">
        <v>7266.7930199999992</v>
      </c>
      <c r="DF27" s="2013">
        <v>22388.686280000002</v>
      </c>
      <c r="DG27" s="2013">
        <v>8511.2512699999988</v>
      </c>
      <c r="DH27" s="2013">
        <v>25571.95434</v>
      </c>
      <c r="DI27" s="2013">
        <v>9817.2290199999989</v>
      </c>
      <c r="DJ27" s="2013">
        <v>29092.94498</v>
      </c>
      <c r="DK27" s="2013">
        <v>11160.71881</v>
      </c>
      <c r="DL27" s="2013">
        <v>32435.72883</v>
      </c>
      <c r="DM27" s="2013">
        <v>12508.110839999999</v>
      </c>
      <c r="DN27" s="2013">
        <v>36202.812319999997</v>
      </c>
      <c r="DO27" s="2013">
        <v>14126.59737</v>
      </c>
      <c r="DP27" s="2013">
        <v>39671.959589999999</v>
      </c>
      <c r="DQ27" s="2014">
        <v>15849.2338</v>
      </c>
      <c r="DR27" s="2028">
        <v>2938.7702100000001</v>
      </c>
      <c r="DS27" s="2016">
        <v>1133.72642</v>
      </c>
      <c r="DT27" s="2017">
        <v>6194.2943299999997</v>
      </c>
      <c r="DU27" s="2014">
        <v>2617.1095</v>
      </c>
      <c r="DV27" s="2015">
        <v>8441.0348900000008</v>
      </c>
      <c r="DW27" s="2016">
        <v>3755.2616800000001</v>
      </c>
      <c r="DX27" s="2017">
        <v>12440.50382</v>
      </c>
      <c r="DY27" s="2014">
        <v>5642.9458400000003</v>
      </c>
      <c r="DZ27" s="2015">
        <v>15450.58527</v>
      </c>
      <c r="EA27" s="2016">
        <v>7057.1116700000002</v>
      </c>
      <c r="EB27" s="2017">
        <v>18857.232629999999</v>
      </c>
      <c r="EC27" s="2014">
        <v>8374.8241699999999</v>
      </c>
      <c r="ED27" s="2015">
        <v>22349.864529999999</v>
      </c>
      <c r="EE27" s="2016">
        <v>9520.7954900000004</v>
      </c>
      <c r="EF27" s="2015">
        <v>26527.45953</v>
      </c>
      <c r="EG27" s="2016">
        <v>10824.02684</v>
      </c>
      <c r="EH27" s="2017">
        <v>31186.241480000001</v>
      </c>
      <c r="EI27" s="2016">
        <v>12278.710220000001</v>
      </c>
      <c r="EJ27" s="2017">
        <v>34670.708610000001</v>
      </c>
      <c r="EK27" s="2016">
        <v>13970.1212</v>
      </c>
      <c r="EL27" s="2015">
        <v>38669.148269999998</v>
      </c>
      <c r="EM27" s="2018">
        <v>15214.736559999999</v>
      </c>
      <c r="EN27" s="2015">
        <v>42097.627460000003</v>
      </c>
      <c r="EO27" s="2018">
        <v>16754.824410000001</v>
      </c>
      <c r="EP27" s="2015">
        <v>3509.17416</v>
      </c>
      <c r="EQ27" s="2018">
        <v>1205.6407099999999</v>
      </c>
      <c r="ER27" s="2015">
        <v>6669.0451299999995</v>
      </c>
      <c r="ES27" s="2018">
        <v>2732.2744199999997</v>
      </c>
      <c r="ET27" s="2015">
        <v>9715.4286400000001</v>
      </c>
      <c r="EU27" s="2018">
        <v>4569.5746900000004</v>
      </c>
      <c r="EV27" s="2015">
        <v>13497.400460000001</v>
      </c>
      <c r="EW27" s="2018">
        <v>6089.0961600000001</v>
      </c>
      <c r="EX27" s="2015">
        <v>17994.112659999999</v>
      </c>
      <c r="EY27" s="2018">
        <v>7573.0096399999993</v>
      </c>
      <c r="EZ27" s="2015">
        <v>22380.642110000001</v>
      </c>
      <c r="FA27" s="2018">
        <v>8926.9223999999995</v>
      </c>
      <c r="FB27" s="2015">
        <v>27178.277600000001</v>
      </c>
      <c r="FC27" s="2018">
        <v>10167.586150000001</v>
      </c>
      <c r="FD27" s="2015">
        <v>32547.965520000002</v>
      </c>
      <c r="FE27" s="2018">
        <v>12133.559370000001</v>
      </c>
      <c r="FF27" s="2015">
        <v>37818.500260000001</v>
      </c>
      <c r="FG27" s="2018">
        <v>14006.883980000001</v>
      </c>
      <c r="FH27" s="2015">
        <v>42464.214749999999</v>
      </c>
      <c r="FI27" s="2018">
        <v>16466.117149999998</v>
      </c>
      <c r="FJ27" s="2015">
        <v>47641.989930000003</v>
      </c>
      <c r="FK27" s="2018">
        <v>18271.004959999998</v>
      </c>
      <c r="FL27" s="2015">
        <v>54871.412659999995</v>
      </c>
      <c r="FM27" s="2018">
        <v>20432.70477</v>
      </c>
      <c r="FN27" s="2015">
        <v>4574.1160300000001</v>
      </c>
      <c r="FO27" s="2018">
        <v>1526.4356700000001</v>
      </c>
      <c r="FP27" s="2015">
        <v>9180.9326500000006</v>
      </c>
      <c r="FQ27" s="2018">
        <v>3306.0548199999998</v>
      </c>
      <c r="FR27" s="2015">
        <v>13304.01613</v>
      </c>
      <c r="FS27" s="2018">
        <v>4578.8158599999997</v>
      </c>
      <c r="FT27" s="2015">
        <v>18062.296350000001</v>
      </c>
      <c r="FU27" s="2018">
        <v>6572.6817499999997</v>
      </c>
      <c r="FV27" s="2015">
        <v>23471.534760000002</v>
      </c>
      <c r="FW27" s="2018">
        <v>8425.5092499999992</v>
      </c>
      <c r="FX27" s="2015">
        <v>27390.046910000001</v>
      </c>
      <c r="FY27" s="2018">
        <v>9840.0213600000006</v>
      </c>
      <c r="FZ27" s="2015">
        <v>33809.683389999998</v>
      </c>
      <c r="GA27" s="2018">
        <f>11630.17449+20.01</f>
        <v>11650.18449</v>
      </c>
      <c r="GB27" s="2015">
        <v>39494.639479999998</v>
      </c>
      <c r="GC27" s="2018">
        <v>13601.10806</v>
      </c>
      <c r="GD27" s="2015">
        <v>44636.016430000003</v>
      </c>
      <c r="GE27" s="2018">
        <v>15615.45278</v>
      </c>
      <c r="GF27" s="2015">
        <v>50698.263559999999</v>
      </c>
      <c r="GG27" s="2018">
        <v>18379.078079999999</v>
      </c>
      <c r="GH27" s="2015">
        <v>58516.171990000003</v>
      </c>
      <c r="GI27" s="2018">
        <v>20811.3819</v>
      </c>
      <c r="GJ27" s="2015">
        <v>66031.578410000002</v>
      </c>
      <c r="GK27" s="2018">
        <v>23295.760999999999</v>
      </c>
      <c r="GL27" s="2015">
        <v>5615.5430100000003</v>
      </c>
      <c r="GM27" s="2018">
        <v>2391.1035099999999</v>
      </c>
      <c r="GN27" s="2015">
        <v>11603.08568</v>
      </c>
      <c r="GO27" s="2018">
        <v>4660.5639799999999</v>
      </c>
      <c r="GP27" s="2015">
        <v>15747.591730000006</v>
      </c>
      <c r="GQ27" s="2018">
        <v>6614.6959100000004</v>
      </c>
      <c r="GR27" s="2015">
        <v>22775.098000000002</v>
      </c>
      <c r="GS27" s="2018">
        <v>9255.8859900000007</v>
      </c>
      <c r="GT27" s="2015">
        <v>28520.428830000001</v>
      </c>
      <c r="GU27" s="2018">
        <v>12022.89025</v>
      </c>
      <c r="GV27" s="1240" t="s">
        <v>3434</v>
      </c>
      <c r="GX27" s="2030"/>
    </row>
    <row r="28" spans="1:206" s="1991" customFormat="1" ht="22.5" customHeight="1">
      <c r="A28" s="2012" t="s">
        <v>2309</v>
      </c>
      <c r="B28" s="2013">
        <v>27.70309</v>
      </c>
      <c r="C28" s="2013">
        <v>0</v>
      </c>
      <c r="D28" s="2013">
        <v>212.72824543800002</v>
      </c>
      <c r="E28" s="2013">
        <v>3.7921999999999998</v>
      </c>
      <c r="F28" s="2013">
        <v>544.63065000000006</v>
      </c>
      <c r="G28" s="2013">
        <v>5.8219200000000004</v>
      </c>
      <c r="H28" s="2013">
        <v>942.77906000000007</v>
      </c>
      <c r="I28" s="2013">
        <v>5.8219200000000004</v>
      </c>
      <c r="J28" s="2013">
        <v>1219.7019299999999</v>
      </c>
      <c r="K28" s="2013">
        <v>16.143059999999998</v>
      </c>
      <c r="L28" s="2013">
        <v>1479.33718</v>
      </c>
      <c r="M28" s="2013">
        <v>23.340730000000001</v>
      </c>
      <c r="N28" s="2013">
        <v>1693.6954099999998</v>
      </c>
      <c r="O28" s="2013">
        <v>31.88401</v>
      </c>
      <c r="P28" s="2013">
        <v>1975.2191699999998</v>
      </c>
      <c r="Q28" s="2013">
        <v>36.550989999999999</v>
      </c>
      <c r="R28" s="2013">
        <v>2300.6860699999997</v>
      </c>
      <c r="S28" s="2013">
        <v>36.976019999999998</v>
      </c>
      <c r="T28" s="2013">
        <v>2661.1942999999997</v>
      </c>
      <c r="U28" s="2013">
        <v>37.749000000000002</v>
      </c>
      <c r="V28" s="2013">
        <v>3010.8397500000001</v>
      </c>
      <c r="W28" s="2013">
        <v>37.749000000000002</v>
      </c>
      <c r="X28" s="2013">
        <v>3257.5207400000004</v>
      </c>
      <c r="Y28" s="2013">
        <v>76.021070000000009</v>
      </c>
      <c r="Z28" s="2013">
        <v>490.39840999999996</v>
      </c>
      <c r="AA28" s="2013">
        <v>2.6299299999999999</v>
      </c>
      <c r="AB28" s="2013">
        <v>1603.92354</v>
      </c>
      <c r="AC28" s="2013">
        <v>3.0243500000000001</v>
      </c>
      <c r="AD28" s="2013">
        <v>1805.70705</v>
      </c>
      <c r="AE28" s="2013">
        <v>19.794630000000002</v>
      </c>
      <c r="AF28" s="2013">
        <v>2121.6337899999999</v>
      </c>
      <c r="AG28" s="2013">
        <v>19.936049999999998</v>
      </c>
      <c r="AH28" s="2013">
        <v>2378.9641499999998</v>
      </c>
      <c r="AI28" s="2013">
        <v>22.127130000000001</v>
      </c>
      <c r="AJ28" s="2013">
        <v>2610.0838799999997</v>
      </c>
      <c r="AK28" s="2013">
        <v>24.535710000000002</v>
      </c>
      <c r="AL28" s="2013">
        <v>2921.6536099999998</v>
      </c>
      <c r="AM28" s="2013">
        <v>39.332989999999995</v>
      </c>
      <c r="AN28" s="2013">
        <v>3105.6515299999996</v>
      </c>
      <c r="AO28" s="2013">
        <v>39.58511</v>
      </c>
      <c r="AP28" s="2013">
        <v>3334.7594399999998</v>
      </c>
      <c r="AQ28" s="2013">
        <v>153.47552999999999</v>
      </c>
      <c r="AR28" s="2013">
        <v>3634.2260000000001</v>
      </c>
      <c r="AS28" s="2013">
        <v>175.45423000000002</v>
      </c>
      <c r="AT28" s="2013">
        <v>3950.88139</v>
      </c>
      <c r="AU28" s="2013">
        <v>175.71092999999999</v>
      </c>
      <c r="AV28" s="2013">
        <v>4199.5760799999998</v>
      </c>
      <c r="AW28" s="2013">
        <v>185.17075</v>
      </c>
      <c r="AX28" s="2013">
        <v>458.62979999999999</v>
      </c>
      <c r="AY28" s="2013">
        <v>1.0679000000000001</v>
      </c>
      <c r="AZ28" s="2013">
        <v>750.35173999999995</v>
      </c>
      <c r="BA28" s="2013">
        <v>13.8222</v>
      </c>
      <c r="BB28" s="2013">
        <v>984.55610000000001</v>
      </c>
      <c r="BC28" s="2013">
        <v>13.8222</v>
      </c>
      <c r="BD28" s="2013">
        <v>1242.2679699999999</v>
      </c>
      <c r="BE28" s="2013">
        <v>184.56765999999999</v>
      </c>
      <c r="BF28" s="2013">
        <v>1522.86295</v>
      </c>
      <c r="BG28" s="2013">
        <v>211.35560000000001</v>
      </c>
      <c r="BH28" s="2013">
        <v>1741.74947</v>
      </c>
      <c r="BI28" s="2013">
        <v>235.98913000000002</v>
      </c>
      <c r="BJ28" s="2013">
        <v>2019.5016900000001</v>
      </c>
      <c r="BK28" s="2013">
        <v>237.77427</v>
      </c>
      <c r="BL28" s="2013">
        <v>2343.9087200000004</v>
      </c>
      <c r="BM28" s="2013">
        <v>254.14526999999998</v>
      </c>
      <c r="BN28" s="2013">
        <v>2726.0600299999996</v>
      </c>
      <c r="BO28" s="2013">
        <v>256.44182999999998</v>
      </c>
      <c r="BP28" s="2013">
        <v>3093.91507</v>
      </c>
      <c r="BQ28" s="2013">
        <v>257.93403000000001</v>
      </c>
      <c r="BR28" s="2013">
        <v>3405.2932500000002</v>
      </c>
      <c r="BS28" s="2013">
        <v>288.94628</v>
      </c>
      <c r="BT28" s="2013">
        <v>3851.9622899999999</v>
      </c>
      <c r="BU28" s="2013">
        <v>289.88764000000003</v>
      </c>
      <c r="BV28" s="2013">
        <v>332.81819999999999</v>
      </c>
      <c r="BW28" s="2013">
        <v>3.1568299999999998</v>
      </c>
      <c r="BX28" s="2013">
        <v>655.20318999999995</v>
      </c>
      <c r="BY28" s="2013">
        <v>25.10717</v>
      </c>
      <c r="BZ28" s="2013">
        <v>982.49026000000003</v>
      </c>
      <c r="CA28" s="2013">
        <v>27.656549999999999</v>
      </c>
      <c r="CB28" s="2013">
        <v>1306.40915</v>
      </c>
      <c r="CC28" s="2013">
        <v>7.05328</v>
      </c>
      <c r="CD28" s="2013">
        <v>1597.4234899999999</v>
      </c>
      <c r="CE28" s="2013">
        <v>18.784119999999998</v>
      </c>
      <c r="CF28" s="2013">
        <v>3519.4227700000001</v>
      </c>
      <c r="CG28" s="2013">
        <v>41.208839999999995</v>
      </c>
      <c r="CH28" s="2013">
        <v>3876.3632400000001</v>
      </c>
      <c r="CI28" s="2013">
        <v>47.200629999999997</v>
      </c>
      <c r="CJ28" s="2013">
        <v>4335.36618</v>
      </c>
      <c r="CK28" s="2013">
        <v>49.13608</v>
      </c>
      <c r="CL28" s="2013">
        <v>4673.6455999999998</v>
      </c>
      <c r="CM28" s="2013">
        <v>49.423989999999996</v>
      </c>
      <c r="CN28" s="2013">
        <v>5042.1835599999995</v>
      </c>
      <c r="CO28" s="2013">
        <v>50.247230000000002</v>
      </c>
      <c r="CP28" s="2013">
        <v>5367.5645999999997</v>
      </c>
      <c r="CQ28" s="2013">
        <v>50.457419999999999</v>
      </c>
      <c r="CR28" s="2013">
        <v>5731.2465000000002</v>
      </c>
      <c r="CS28" s="2013">
        <v>67.490160000000003</v>
      </c>
      <c r="CT28" s="2013">
        <v>567.87279000000001</v>
      </c>
      <c r="CU28" s="2013">
        <v>18.452110000000001</v>
      </c>
      <c r="CV28" s="2013">
        <v>781.73919999999998</v>
      </c>
      <c r="CW28" s="2013">
        <v>51.031349999999996</v>
      </c>
      <c r="CX28" s="2013">
        <v>1324.2650900000001</v>
      </c>
      <c r="CY28" s="2013">
        <v>51.506349999999998</v>
      </c>
      <c r="CZ28" s="2013">
        <v>1742.4875400000001</v>
      </c>
      <c r="DA28" s="2013">
        <v>51.772349999999996</v>
      </c>
      <c r="DB28" s="2013">
        <v>2319.2835499999997</v>
      </c>
      <c r="DC28" s="2013">
        <v>52.052349999999997</v>
      </c>
      <c r="DD28" s="2013">
        <v>2656.5850800000003</v>
      </c>
      <c r="DE28" s="2013">
        <v>74.010289999999998</v>
      </c>
      <c r="DF28" s="2013">
        <v>2923.54792</v>
      </c>
      <c r="DG28" s="2013">
        <v>74.152789999999996</v>
      </c>
      <c r="DH28" s="2013">
        <v>3221.90688</v>
      </c>
      <c r="DI28" s="2013">
        <v>76.861550000000008</v>
      </c>
      <c r="DJ28" s="2013">
        <v>3584.64642</v>
      </c>
      <c r="DK28" s="2013">
        <v>131.42287999999999</v>
      </c>
      <c r="DL28" s="2013">
        <v>3966.1490800000001</v>
      </c>
      <c r="DM28" s="2013">
        <v>248.06058999999999</v>
      </c>
      <c r="DN28" s="2013">
        <v>4459.3626299999996</v>
      </c>
      <c r="DO28" s="2013">
        <v>253.14430999999999</v>
      </c>
      <c r="DP28" s="2013">
        <v>4894.8787400000001</v>
      </c>
      <c r="DQ28" s="2014">
        <v>253.5693</v>
      </c>
      <c r="DR28" s="2015">
        <v>428.34165999999999</v>
      </c>
      <c r="DS28" s="2016">
        <v>0.63061</v>
      </c>
      <c r="DT28" s="2017">
        <v>869.73706000000004</v>
      </c>
      <c r="DU28" s="2014">
        <v>1.2597700000000001</v>
      </c>
      <c r="DV28" s="2015">
        <v>1204.7166</v>
      </c>
      <c r="DW28" s="2016">
        <v>1.94482</v>
      </c>
      <c r="DX28" s="2017">
        <v>1679.2376400000001</v>
      </c>
      <c r="DY28" s="2014">
        <v>3.3911600000000002</v>
      </c>
      <c r="DZ28" s="2015">
        <v>2131.2961300000002</v>
      </c>
      <c r="EA28" s="2016">
        <v>3.8438599999999998</v>
      </c>
      <c r="EB28" s="2017">
        <v>2562.3302399999998</v>
      </c>
      <c r="EC28" s="2014">
        <v>4.9700300000000004</v>
      </c>
      <c r="ED28" s="2015">
        <v>3044.9224199999999</v>
      </c>
      <c r="EE28" s="2016">
        <v>4.9700300000000004</v>
      </c>
      <c r="EF28" s="2015">
        <v>3469.8933900000002</v>
      </c>
      <c r="EG28" s="2016">
        <v>14.777060000000001</v>
      </c>
      <c r="EH28" s="2017">
        <v>3871.7921500000002</v>
      </c>
      <c r="EI28" s="2016">
        <v>33.653509999999997</v>
      </c>
      <c r="EJ28" s="2017">
        <v>4566.02574</v>
      </c>
      <c r="EK28" s="2016">
        <v>33.653509999999997</v>
      </c>
      <c r="EL28" s="2015">
        <v>5077.8429500000002</v>
      </c>
      <c r="EM28" s="2018">
        <v>42.01437</v>
      </c>
      <c r="EN28" s="2015">
        <v>5428.3847599999999</v>
      </c>
      <c r="EO28" s="2018">
        <v>42.01437</v>
      </c>
      <c r="EP28" s="2015">
        <v>620.53247999999996</v>
      </c>
      <c r="EQ28" s="2018">
        <v>0</v>
      </c>
      <c r="ER28" s="2015">
        <v>1162.72434</v>
      </c>
      <c r="ES28" s="2018">
        <v>2.39202</v>
      </c>
      <c r="ET28" s="2015">
        <v>1635.46219</v>
      </c>
      <c r="EU28" s="2018">
        <v>2.39202</v>
      </c>
      <c r="EV28" s="2015">
        <v>2149.13247</v>
      </c>
      <c r="EW28" s="2018">
        <v>27.782</v>
      </c>
      <c r="EX28" s="2015">
        <v>2632.2388500000002</v>
      </c>
      <c r="EY28" s="2018">
        <v>46.783900000000003</v>
      </c>
      <c r="EZ28" s="2015">
        <v>3150.9633699999999</v>
      </c>
      <c r="FA28" s="2018">
        <v>66.987719999999996</v>
      </c>
      <c r="FB28" s="2015">
        <v>3617.6998399999998</v>
      </c>
      <c r="FC28" s="2018">
        <v>67.288520000000005</v>
      </c>
      <c r="FD28" s="2015">
        <v>4011.0313900000001</v>
      </c>
      <c r="FE28" s="2018">
        <v>71.946259999999995</v>
      </c>
      <c r="FF28" s="2015">
        <v>4548.6686900000004</v>
      </c>
      <c r="FG28" s="2018">
        <v>99.761259999999993</v>
      </c>
      <c r="FH28" s="2015">
        <v>5017.8007900000002</v>
      </c>
      <c r="FI28" s="2018">
        <v>126.30866</v>
      </c>
      <c r="FJ28" s="2015">
        <v>5491.8635899999999</v>
      </c>
      <c r="FK28" s="2018">
        <v>134.07932</v>
      </c>
      <c r="FL28" s="2015">
        <v>5987.7356399999999</v>
      </c>
      <c r="FM28" s="2018">
        <v>210.79160999999999</v>
      </c>
      <c r="FN28" s="2015">
        <v>636.68690000000004</v>
      </c>
      <c r="FO28" s="2018">
        <v>74.936000000000007</v>
      </c>
      <c r="FP28" s="2015">
        <v>1034.3004699999999</v>
      </c>
      <c r="FQ28" s="2018">
        <v>74.936000000000007</v>
      </c>
      <c r="FR28" s="2015">
        <v>1484.43408</v>
      </c>
      <c r="FS28" s="2018">
        <v>93.581890000000001</v>
      </c>
      <c r="FT28" s="2015">
        <v>2051.15461</v>
      </c>
      <c r="FU28" s="2018">
        <v>119.19449</v>
      </c>
      <c r="FV28" s="2015">
        <v>2937.0487000000003</v>
      </c>
      <c r="FW28" s="2018">
        <v>158.92518000000001</v>
      </c>
      <c r="FX28" s="2015">
        <v>3693.0243599999999</v>
      </c>
      <c r="FY28" s="2018">
        <v>306.67732999999998</v>
      </c>
      <c r="FZ28" s="2015">
        <v>4178.9071199999998</v>
      </c>
      <c r="GA28" s="2018">
        <v>380.38940000000002</v>
      </c>
      <c r="GB28" s="2015">
        <v>4661.4913399999996</v>
      </c>
      <c r="GC28" s="2018">
        <v>392.3442</v>
      </c>
      <c r="GD28" s="2015">
        <v>5193.9886100000003</v>
      </c>
      <c r="GE28" s="2018">
        <v>404.64425999999997</v>
      </c>
      <c r="GF28" s="2015">
        <v>5799.2668299999996</v>
      </c>
      <c r="GG28" s="2018">
        <v>404.64425999999997</v>
      </c>
      <c r="GH28" s="2015">
        <v>6429.4897700000001</v>
      </c>
      <c r="GI28" s="2018">
        <v>1674.3581999999999</v>
      </c>
      <c r="GJ28" s="2015">
        <v>7010.5948500000004</v>
      </c>
      <c r="GK28" s="2018">
        <v>1762.20814</v>
      </c>
      <c r="GL28" s="2015">
        <v>500.16854000000001</v>
      </c>
      <c r="GM28" s="2018">
        <v>0</v>
      </c>
      <c r="GN28" s="2015">
        <v>809.16524000000004</v>
      </c>
      <c r="GO28" s="2018">
        <v>0.23499999999999999</v>
      </c>
      <c r="GP28" s="2015">
        <v>1280.1260899999997</v>
      </c>
      <c r="GQ28" s="2018">
        <v>12.383799999999999</v>
      </c>
      <c r="GR28" s="2015">
        <v>1904.53883</v>
      </c>
      <c r="GS28" s="2018">
        <v>29.38475</v>
      </c>
      <c r="GT28" s="2015">
        <v>2442.43264</v>
      </c>
      <c r="GU28" s="2018">
        <v>29.38475</v>
      </c>
      <c r="GV28" s="2019" t="s">
        <v>3435</v>
      </c>
    </row>
    <row r="29" spans="1:206" s="1991" customFormat="1" ht="22.5" customHeight="1">
      <c r="A29" s="2012" t="s">
        <v>2308</v>
      </c>
      <c r="B29" s="2013">
        <v>0.36</v>
      </c>
      <c r="C29" s="2013">
        <v>1.2</v>
      </c>
      <c r="D29" s="2013">
        <v>0.6</v>
      </c>
      <c r="E29" s="2013">
        <v>7.46</v>
      </c>
      <c r="F29" s="2013">
        <v>2030.0162399999999</v>
      </c>
      <c r="G29" s="2013">
        <v>22.389610000000001</v>
      </c>
      <c r="H29" s="2013">
        <v>1140.3071299999999</v>
      </c>
      <c r="I29" s="2013">
        <v>7.7</v>
      </c>
      <c r="J29" s="2013">
        <v>1142.2051299999998</v>
      </c>
      <c r="K29" s="2013">
        <v>153.2525</v>
      </c>
      <c r="L29" s="2013">
        <v>1145.3861299999999</v>
      </c>
      <c r="M29" s="2013">
        <v>7.8</v>
      </c>
      <c r="N29" s="2013">
        <v>1960.7953200000002</v>
      </c>
      <c r="O29" s="2013">
        <v>31.75337</v>
      </c>
      <c r="P29" s="2013">
        <v>1961.5453200000002</v>
      </c>
      <c r="Q29" s="2013">
        <v>33.70337</v>
      </c>
      <c r="R29" s="2013">
        <v>1962.01532</v>
      </c>
      <c r="S29" s="2013">
        <v>44.238010000000003</v>
      </c>
      <c r="T29" s="2013">
        <v>2802.5363199999997</v>
      </c>
      <c r="U29" s="2013">
        <v>44.238010000000003</v>
      </c>
      <c r="V29" s="2013">
        <v>3008.4646600000001</v>
      </c>
      <c r="W29" s="2013">
        <v>67.619190000000003</v>
      </c>
      <c r="X29" s="2013">
        <v>3009.10266</v>
      </c>
      <c r="Y29" s="2013">
        <v>94.992399999999989</v>
      </c>
      <c r="Z29" s="2013">
        <v>285.27382</v>
      </c>
      <c r="AA29" s="2013">
        <v>79.860869999999991</v>
      </c>
      <c r="AB29" s="2013">
        <v>540.30667000000005</v>
      </c>
      <c r="AC29" s="2013">
        <v>86.647089999999992</v>
      </c>
      <c r="AD29" s="2013">
        <v>540.47867000000008</v>
      </c>
      <c r="AE29" s="2013">
        <v>105.01924000000001</v>
      </c>
      <c r="AF29" s="2013">
        <v>884.57386999999994</v>
      </c>
      <c r="AG29" s="2013">
        <v>137.67565999999999</v>
      </c>
      <c r="AH29" s="2013">
        <v>947.39986999999996</v>
      </c>
      <c r="AI29" s="2013">
        <v>218.56246999999999</v>
      </c>
      <c r="AJ29" s="2013">
        <v>1072.7980700000001</v>
      </c>
      <c r="AK29" s="2013">
        <v>227</v>
      </c>
      <c r="AL29" s="2013">
        <v>1155.1073799999999</v>
      </c>
      <c r="AM29" s="2013">
        <v>256.41818000000001</v>
      </c>
      <c r="AN29" s="2013">
        <v>1358.12193</v>
      </c>
      <c r="AO29" s="2013">
        <v>306.54383000000001</v>
      </c>
      <c r="AP29" s="2013">
        <v>1358.82393</v>
      </c>
      <c r="AQ29" s="2013">
        <v>366.55383</v>
      </c>
      <c r="AR29" s="2013">
        <v>1770.5154299999999</v>
      </c>
      <c r="AS29" s="2013">
        <v>534.60028</v>
      </c>
      <c r="AT29" s="2013">
        <v>1922.51593</v>
      </c>
      <c r="AU29" s="2013">
        <v>551.15508</v>
      </c>
      <c r="AV29" s="2013">
        <v>2040.30018</v>
      </c>
      <c r="AW29" s="2013">
        <v>574.74381999999991</v>
      </c>
      <c r="AX29" s="2013">
        <v>116.78792</v>
      </c>
      <c r="AY29" s="2013">
        <v>62.069949999999999</v>
      </c>
      <c r="AZ29" s="2013">
        <v>116.80110999999999</v>
      </c>
      <c r="BA29" s="2013">
        <v>151.82388</v>
      </c>
      <c r="BB29" s="2013">
        <v>205.79955999999999</v>
      </c>
      <c r="BC29" s="2013">
        <v>173.54787999999999</v>
      </c>
      <c r="BD29" s="2013">
        <v>429.93503999999996</v>
      </c>
      <c r="BE29" s="2013">
        <v>301.67829999999998</v>
      </c>
      <c r="BF29" s="2013">
        <v>481.44457</v>
      </c>
      <c r="BG29" s="2013">
        <v>410.48333000000002</v>
      </c>
      <c r="BH29" s="2013">
        <v>509.43734999999998</v>
      </c>
      <c r="BI29" s="2013">
        <v>504.54572999999999</v>
      </c>
      <c r="BJ29" s="2013">
        <v>736.6327</v>
      </c>
      <c r="BK29" s="2013">
        <v>594.35123999999996</v>
      </c>
      <c r="BL29" s="2013">
        <v>890.08599000000004</v>
      </c>
      <c r="BM29" s="2013">
        <v>607.80306000000007</v>
      </c>
      <c r="BN29" s="2013">
        <v>939.80906000000004</v>
      </c>
      <c r="BO29" s="2013">
        <v>673.34256999999991</v>
      </c>
      <c r="BP29" s="2013">
        <v>1131.7423999999999</v>
      </c>
      <c r="BQ29" s="2013">
        <v>767.99870999999996</v>
      </c>
      <c r="BR29" s="2013">
        <v>1272.76929</v>
      </c>
      <c r="BS29" s="2013">
        <v>793.21303</v>
      </c>
      <c r="BT29" s="2013">
        <v>1438.7856499999998</v>
      </c>
      <c r="BU29" s="2013">
        <v>936.72053000000005</v>
      </c>
      <c r="BV29" s="2013">
        <v>118.85308999999999</v>
      </c>
      <c r="BW29" s="2013">
        <v>21.300669999999997</v>
      </c>
      <c r="BX29" s="2013">
        <v>367.26231999999999</v>
      </c>
      <c r="BY29" s="2013">
        <v>136.83443</v>
      </c>
      <c r="BZ29" s="2013">
        <v>673.45706999999993</v>
      </c>
      <c r="CA29" s="2013">
        <v>153.11485000000002</v>
      </c>
      <c r="CB29" s="2013">
        <v>1119.2323700000002</v>
      </c>
      <c r="CC29" s="2013">
        <v>188.30685</v>
      </c>
      <c r="CD29" s="2013">
        <v>1289.7655199999999</v>
      </c>
      <c r="CE29" s="2013">
        <v>203.8048</v>
      </c>
      <c r="CF29" s="2013">
        <v>1619.1973600000001</v>
      </c>
      <c r="CG29" s="2013">
        <v>259.75006999999999</v>
      </c>
      <c r="CH29" s="2013">
        <v>1680.2640100000001</v>
      </c>
      <c r="CI29" s="2013">
        <v>315.57231999999999</v>
      </c>
      <c r="CJ29" s="2013">
        <v>1913.79468</v>
      </c>
      <c r="CK29" s="2013">
        <v>386.28421000000003</v>
      </c>
      <c r="CL29" s="2013">
        <v>2037.2805900000001</v>
      </c>
      <c r="CM29" s="2013">
        <v>454.59735999999998</v>
      </c>
      <c r="CN29" s="2013">
        <v>2259.7385800000002</v>
      </c>
      <c r="CO29" s="2013">
        <v>547.14445000000001</v>
      </c>
      <c r="CP29" s="2013">
        <v>2674.1125000000002</v>
      </c>
      <c r="CQ29" s="2013">
        <v>582.99904000000004</v>
      </c>
      <c r="CR29" s="2013">
        <v>2841.9871600000001</v>
      </c>
      <c r="CS29" s="2013">
        <v>612.96043000000009</v>
      </c>
      <c r="CT29" s="2013">
        <v>208.86651999999998</v>
      </c>
      <c r="CU29" s="2013">
        <v>37.141930000000002</v>
      </c>
      <c r="CV29" s="2013">
        <v>316.50261</v>
      </c>
      <c r="CW29" s="2013">
        <v>67.756439999999998</v>
      </c>
      <c r="CX29" s="2013">
        <v>743.58100000000002</v>
      </c>
      <c r="CY29" s="2013">
        <v>182.91766000000001</v>
      </c>
      <c r="CZ29" s="2013">
        <v>1083.8000400000001</v>
      </c>
      <c r="DA29" s="2013">
        <v>200.35478000000001</v>
      </c>
      <c r="DB29" s="2013">
        <v>1359.7980299999999</v>
      </c>
      <c r="DC29" s="2013">
        <v>205.26174</v>
      </c>
      <c r="DD29" s="2013">
        <v>1726.14013</v>
      </c>
      <c r="DE29" s="2013">
        <v>249.20351000000002</v>
      </c>
      <c r="DF29" s="2013">
        <v>2720.07159</v>
      </c>
      <c r="DG29" s="2013">
        <v>255.29851000000002</v>
      </c>
      <c r="DH29" s="2013">
        <v>3686.4171200000001</v>
      </c>
      <c r="DI29" s="2013">
        <v>302.21138000000002</v>
      </c>
      <c r="DJ29" s="2013">
        <v>4193.7051200000005</v>
      </c>
      <c r="DK29" s="2013">
        <v>369.60694000000001</v>
      </c>
      <c r="DL29" s="2013">
        <v>4923.2388000000001</v>
      </c>
      <c r="DM29" s="2013">
        <v>421.58395000000002</v>
      </c>
      <c r="DN29" s="2013">
        <v>5687.3663699999997</v>
      </c>
      <c r="DO29" s="2013">
        <v>507.24815999999998</v>
      </c>
      <c r="DP29" s="2013">
        <v>6408.00504</v>
      </c>
      <c r="DQ29" s="2014">
        <v>574.63634999999999</v>
      </c>
      <c r="DR29" s="2015">
        <v>283.71485000000001</v>
      </c>
      <c r="DS29" s="2016">
        <v>39.827100000000002</v>
      </c>
      <c r="DT29" s="2017">
        <v>683.70943</v>
      </c>
      <c r="DU29" s="2014">
        <v>93.164100000000005</v>
      </c>
      <c r="DV29" s="2015">
        <v>1232.94982</v>
      </c>
      <c r="DW29" s="2016">
        <v>148.62707</v>
      </c>
      <c r="DX29" s="2017">
        <v>1388.6489999999999</v>
      </c>
      <c r="DY29" s="2014">
        <v>191.73379</v>
      </c>
      <c r="DZ29" s="2015">
        <v>1579.09349</v>
      </c>
      <c r="EA29" s="2016">
        <v>253.02848</v>
      </c>
      <c r="EB29" s="2017">
        <v>1716.3902499999999</v>
      </c>
      <c r="EC29" s="2014">
        <v>291.45256000000001</v>
      </c>
      <c r="ED29" s="2015">
        <v>2122.9057400000002</v>
      </c>
      <c r="EE29" s="2016">
        <v>309.28185999999999</v>
      </c>
      <c r="EF29" s="2015">
        <v>2410.8784599999999</v>
      </c>
      <c r="EG29" s="2016">
        <v>360.55617999999998</v>
      </c>
      <c r="EH29" s="2017">
        <v>2569.4391700000001</v>
      </c>
      <c r="EI29" s="2016">
        <v>616.85563000000002</v>
      </c>
      <c r="EJ29" s="2017">
        <v>2732.8743300000001</v>
      </c>
      <c r="EK29" s="2016">
        <v>775.71614</v>
      </c>
      <c r="EL29" s="2015">
        <v>3123.8772100000001</v>
      </c>
      <c r="EM29" s="2018">
        <v>913.83430999999996</v>
      </c>
      <c r="EN29" s="2015">
        <v>5598.0770700000003</v>
      </c>
      <c r="EO29" s="2018">
        <v>1085.3997899999999</v>
      </c>
      <c r="EP29" s="2015">
        <v>112.21594</v>
      </c>
      <c r="EQ29" s="2018">
        <v>71.50421</v>
      </c>
      <c r="ER29" s="2015">
        <v>205.07485999999997</v>
      </c>
      <c r="ES29" s="2018">
        <v>245.45148</v>
      </c>
      <c r="ET29" s="2015">
        <v>397.09570000000002</v>
      </c>
      <c r="EU29" s="2018">
        <v>305.62943999999999</v>
      </c>
      <c r="EV29" s="2015">
        <v>1307.1010799999999</v>
      </c>
      <c r="EW29" s="2018">
        <v>402.44662</v>
      </c>
      <c r="EX29" s="2015">
        <v>2001.52802</v>
      </c>
      <c r="EY29" s="2018">
        <v>463.89544000000001</v>
      </c>
      <c r="EZ29" s="2015">
        <v>2235.5152000000003</v>
      </c>
      <c r="FA29" s="2018">
        <v>558.78181999999993</v>
      </c>
      <c r="FB29" s="2015">
        <v>2609.5114800000001</v>
      </c>
      <c r="FC29" s="2018">
        <v>650.78770999999995</v>
      </c>
      <c r="FD29" s="2015">
        <v>2671.0022600000002</v>
      </c>
      <c r="FE29" s="2018">
        <v>668.40700000000004</v>
      </c>
      <c r="FF29" s="2015">
        <v>2954.0456200000003</v>
      </c>
      <c r="FG29" s="2018">
        <v>792.95816000000002</v>
      </c>
      <c r="FH29" s="2015">
        <v>3085.4333000000001</v>
      </c>
      <c r="FI29" s="2018">
        <v>792.95816000000002</v>
      </c>
      <c r="FJ29" s="2015">
        <v>3408.7374399999999</v>
      </c>
      <c r="FK29" s="2018">
        <v>866.6934</v>
      </c>
      <c r="FL29" s="2015">
        <v>3951.1748700000003</v>
      </c>
      <c r="FM29" s="2018">
        <v>1079.7946399999998</v>
      </c>
      <c r="FN29" s="2015">
        <v>302.47415999999998</v>
      </c>
      <c r="FO29" s="2018">
        <v>104.01584</v>
      </c>
      <c r="FP29" s="2015">
        <v>410.75997999999998</v>
      </c>
      <c r="FQ29" s="2018">
        <v>358.85166999999996</v>
      </c>
      <c r="FR29" s="2015">
        <v>625.23392000000001</v>
      </c>
      <c r="FS29" s="2018">
        <v>358.85167000000001</v>
      </c>
      <c r="FT29" s="2015">
        <v>684.90827999999999</v>
      </c>
      <c r="FU29" s="2018">
        <v>532.64362000000006</v>
      </c>
      <c r="FV29" s="2015">
        <v>765.56452000000002</v>
      </c>
      <c r="FW29" s="2018">
        <v>623.91483000000005</v>
      </c>
      <c r="FX29" s="2015">
        <v>1108.6178500000001</v>
      </c>
      <c r="FY29" s="2018">
        <v>693.58804999999995</v>
      </c>
      <c r="FZ29" s="2015">
        <v>1212.99659</v>
      </c>
      <c r="GA29" s="2018">
        <v>752.16007999999999</v>
      </c>
      <c r="GB29" s="2015">
        <v>1391.2744700000001</v>
      </c>
      <c r="GC29" s="2018">
        <v>872.35941000000003</v>
      </c>
      <c r="GD29" s="2015">
        <v>1569.00927</v>
      </c>
      <c r="GE29" s="2018">
        <v>1016.39044</v>
      </c>
      <c r="GF29" s="2015">
        <v>1737.1192699999999</v>
      </c>
      <c r="GG29" s="2018">
        <v>1055.02991</v>
      </c>
      <c r="GH29" s="2015">
        <v>2051.4572699999999</v>
      </c>
      <c r="GI29" s="2018">
        <v>1131.6109100000001</v>
      </c>
      <c r="GJ29" s="2015">
        <v>2103.8168700000001</v>
      </c>
      <c r="GK29" s="2018">
        <v>1330.6795099999999</v>
      </c>
      <c r="GL29" s="2015">
        <v>102.38933</v>
      </c>
      <c r="GM29" s="2018">
        <v>34.511589999999998</v>
      </c>
      <c r="GN29" s="2015">
        <v>202.38927000000001</v>
      </c>
      <c r="GO29" s="2018">
        <v>69.48</v>
      </c>
      <c r="GP29" s="2015">
        <v>251.78013000000001</v>
      </c>
      <c r="GQ29" s="2018">
        <v>95.784000000000006</v>
      </c>
      <c r="GR29" s="2015">
        <v>593.94781</v>
      </c>
      <c r="GS29" s="2018">
        <v>201.50335999999999</v>
      </c>
      <c r="GT29" s="2015">
        <v>1224.28631</v>
      </c>
      <c r="GU29" s="2018">
        <v>270.27569999999997</v>
      </c>
      <c r="GV29" s="2019" t="s">
        <v>3202</v>
      </c>
      <c r="GX29" s="2022"/>
    </row>
    <row r="30" spans="1:206" s="1991" customFormat="1" ht="22.5" customHeight="1">
      <c r="A30" s="2012" t="s">
        <v>2307</v>
      </c>
      <c r="B30" s="2013">
        <v>1716.6447599999999</v>
      </c>
      <c r="C30" s="2013">
        <v>0</v>
      </c>
      <c r="D30" s="2013">
        <v>2933.1362300000001</v>
      </c>
      <c r="E30" s="2013">
        <v>0</v>
      </c>
      <c r="F30" s="2013">
        <v>2997.12509</v>
      </c>
      <c r="G30" s="2013">
        <v>0</v>
      </c>
      <c r="H30" s="2013">
        <v>4041.0931499999997</v>
      </c>
      <c r="I30" s="2013">
        <v>0</v>
      </c>
      <c r="J30" s="2013">
        <v>4368.2246799999994</v>
      </c>
      <c r="K30" s="2013">
        <v>0</v>
      </c>
      <c r="L30" s="2013">
        <v>5722.9997599999997</v>
      </c>
      <c r="M30" s="2013">
        <v>0</v>
      </c>
      <c r="N30" s="2013">
        <v>5776.0270799999998</v>
      </c>
      <c r="O30" s="2013">
        <v>0</v>
      </c>
      <c r="P30" s="2013">
        <v>6286.9747600000001</v>
      </c>
      <c r="Q30" s="2013">
        <v>0</v>
      </c>
      <c r="R30" s="2013">
        <v>7087.3877000000002</v>
      </c>
      <c r="S30" s="2013">
        <v>0</v>
      </c>
      <c r="T30" s="2013">
        <v>7228.0081900000005</v>
      </c>
      <c r="U30" s="2013">
        <v>0</v>
      </c>
      <c r="V30" s="2013">
        <v>7497.7897400000002</v>
      </c>
      <c r="W30" s="2013">
        <v>0</v>
      </c>
      <c r="X30" s="2013">
        <v>7595.5167599999995</v>
      </c>
      <c r="Y30" s="2013">
        <v>0</v>
      </c>
      <c r="Z30" s="2013">
        <v>226.05382</v>
      </c>
      <c r="AA30" s="2013">
        <v>0</v>
      </c>
      <c r="AB30" s="2013">
        <v>1562.18019</v>
      </c>
      <c r="AC30" s="2013">
        <v>0</v>
      </c>
      <c r="AD30" s="2013">
        <v>1823.90156</v>
      </c>
      <c r="AE30" s="2013">
        <v>0</v>
      </c>
      <c r="AF30" s="2013">
        <v>1828.6601599999999</v>
      </c>
      <c r="AG30" s="2013">
        <v>0</v>
      </c>
      <c r="AH30" s="2013">
        <v>2849.9023099999999</v>
      </c>
      <c r="AI30" s="2013">
        <v>0</v>
      </c>
      <c r="AJ30" s="2013">
        <v>3814.9195099999997</v>
      </c>
      <c r="AK30" s="2013">
        <v>612.14449999999999</v>
      </c>
      <c r="AL30" s="2013">
        <v>4813.3088699999998</v>
      </c>
      <c r="AM30" s="2013">
        <v>612.14449999999999</v>
      </c>
      <c r="AN30" s="2013">
        <v>5109.3768</v>
      </c>
      <c r="AO30" s="2013">
        <v>612.14449999999999</v>
      </c>
      <c r="AP30" s="2013">
        <v>5831.6918599999999</v>
      </c>
      <c r="AQ30" s="2013">
        <v>612.14449999999999</v>
      </c>
      <c r="AR30" s="2013">
        <v>6054.0389400000004</v>
      </c>
      <c r="AS30" s="2013">
        <v>612.14449999999999</v>
      </c>
      <c r="AT30" s="2013">
        <v>6216.6289800000004</v>
      </c>
      <c r="AU30" s="2013">
        <v>612.14449999999999</v>
      </c>
      <c r="AV30" s="2013">
        <v>6278.0457200000001</v>
      </c>
      <c r="AW30" s="2013">
        <v>612.14449999999999</v>
      </c>
      <c r="AX30" s="2013">
        <v>318.68525</v>
      </c>
      <c r="AY30" s="2013">
        <v>0</v>
      </c>
      <c r="AZ30" s="2013">
        <v>2159.8143599999999</v>
      </c>
      <c r="BA30" s="2013">
        <v>0</v>
      </c>
      <c r="BB30" s="2013">
        <v>2230.49161</v>
      </c>
      <c r="BC30" s="2013">
        <v>0</v>
      </c>
      <c r="BD30" s="2013">
        <v>2672.75828</v>
      </c>
      <c r="BE30" s="2013">
        <v>0</v>
      </c>
      <c r="BF30" s="2013">
        <v>3445.03089</v>
      </c>
      <c r="BG30" s="2013">
        <v>0</v>
      </c>
      <c r="BH30" s="2013">
        <v>4656.5165199999992</v>
      </c>
      <c r="BI30" s="2013">
        <v>864.77897999999993</v>
      </c>
      <c r="BJ30" s="2013">
        <v>4950.7496900000006</v>
      </c>
      <c r="BK30" s="2013">
        <v>864.77897999999993</v>
      </c>
      <c r="BL30" s="2013">
        <v>6037.4538700000003</v>
      </c>
      <c r="BM30" s="2013">
        <v>864.77897999999993</v>
      </c>
      <c r="BN30" s="2013">
        <v>7546.3197699999992</v>
      </c>
      <c r="BO30" s="2013">
        <v>864.77897999999993</v>
      </c>
      <c r="BP30" s="2013">
        <v>7721.55717</v>
      </c>
      <c r="BQ30" s="2013">
        <v>864.77897999999993</v>
      </c>
      <c r="BR30" s="2013">
        <v>7771.2013699999998</v>
      </c>
      <c r="BS30" s="2013">
        <v>864.77897999999993</v>
      </c>
      <c r="BT30" s="2013">
        <v>7916.2648899999995</v>
      </c>
      <c r="BU30" s="2013">
        <v>912.15797999999995</v>
      </c>
      <c r="BV30" s="2013">
        <v>1554.3306</v>
      </c>
      <c r="BW30" s="2013">
        <v>0</v>
      </c>
      <c r="BX30" s="2013">
        <v>1809.8106</v>
      </c>
      <c r="BY30" s="2013">
        <v>0</v>
      </c>
      <c r="BZ30" s="2013">
        <v>2034.6556</v>
      </c>
      <c r="CA30" s="2013">
        <v>0</v>
      </c>
      <c r="CB30" s="2013">
        <v>2521.8819399999998</v>
      </c>
      <c r="CC30" s="2013">
        <v>0</v>
      </c>
      <c r="CD30" s="2013">
        <v>2847.86922</v>
      </c>
      <c r="CE30" s="2013">
        <v>209.43191000000002</v>
      </c>
      <c r="CF30" s="2013">
        <v>3201.3701800000003</v>
      </c>
      <c r="CG30" s="2013">
        <v>209.43191000000002</v>
      </c>
      <c r="CH30" s="2013">
        <v>4480.95568</v>
      </c>
      <c r="CI30" s="2013">
        <v>209.43191000000002</v>
      </c>
      <c r="CJ30" s="2013">
        <v>6536.7949200000003</v>
      </c>
      <c r="CK30" s="2013">
        <v>209.43191000000002</v>
      </c>
      <c r="CL30" s="2013">
        <v>7923.6218600000002</v>
      </c>
      <c r="CM30" s="2013">
        <v>209.43191000000002</v>
      </c>
      <c r="CN30" s="2013">
        <v>7946.3168599999999</v>
      </c>
      <c r="CO30" s="2013">
        <v>209.43191000000002</v>
      </c>
      <c r="CP30" s="2013">
        <v>7759.0219800000004</v>
      </c>
      <c r="CQ30" s="2013">
        <v>209.43191000000002</v>
      </c>
      <c r="CR30" s="2013">
        <v>7784.4913799999995</v>
      </c>
      <c r="CS30" s="2013">
        <v>209.43191000000002</v>
      </c>
      <c r="CT30" s="2013">
        <v>140.49020000000002</v>
      </c>
      <c r="CU30" s="2013">
        <v>0</v>
      </c>
      <c r="CV30" s="2013">
        <v>1890.10663</v>
      </c>
      <c r="CW30" s="2013">
        <v>0</v>
      </c>
      <c r="CX30" s="2013">
        <v>2551.9983900000002</v>
      </c>
      <c r="CY30" s="2013">
        <v>0</v>
      </c>
      <c r="CZ30" s="2013">
        <v>2551.9983900000002</v>
      </c>
      <c r="DA30" s="2013">
        <v>0</v>
      </c>
      <c r="DB30" s="2013">
        <v>2784.1668</v>
      </c>
      <c r="DC30" s="2013">
        <v>0</v>
      </c>
      <c r="DD30" s="2013">
        <v>3249.3090000000002</v>
      </c>
      <c r="DE30" s="2013">
        <v>0</v>
      </c>
      <c r="DF30" s="2013">
        <v>4266.8199599999998</v>
      </c>
      <c r="DG30" s="2013">
        <v>0</v>
      </c>
      <c r="DH30" s="2013">
        <v>4308.5929400000005</v>
      </c>
      <c r="DI30" s="2013">
        <v>0</v>
      </c>
      <c r="DJ30" s="2013">
        <v>4352.3471200000004</v>
      </c>
      <c r="DK30" s="2013">
        <v>0</v>
      </c>
      <c r="DL30" s="2013">
        <v>4422.2294199999997</v>
      </c>
      <c r="DM30" s="2013">
        <v>0</v>
      </c>
      <c r="DN30" s="2013">
        <v>5835.9769399999996</v>
      </c>
      <c r="DO30" s="2013">
        <v>0</v>
      </c>
      <c r="DP30" s="2013">
        <v>5298.7008999999998</v>
      </c>
      <c r="DQ30" s="2014">
        <v>0</v>
      </c>
      <c r="DR30" s="2015">
        <v>1687.96613</v>
      </c>
      <c r="DS30" s="2016">
        <v>0</v>
      </c>
      <c r="DT30" s="2017">
        <v>2112.5030000000002</v>
      </c>
      <c r="DU30" s="2014">
        <v>0</v>
      </c>
      <c r="DV30" s="2015">
        <v>2322.17553</v>
      </c>
      <c r="DW30" s="2016">
        <v>0</v>
      </c>
      <c r="DX30" s="2017">
        <v>2601.6181900000001</v>
      </c>
      <c r="DY30" s="2014">
        <v>0</v>
      </c>
      <c r="DZ30" s="2015">
        <v>2594.30224</v>
      </c>
      <c r="EA30" s="2016">
        <v>0</v>
      </c>
      <c r="EB30" s="2017">
        <v>2843.12608</v>
      </c>
      <c r="EC30" s="2014">
        <v>0</v>
      </c>
      <c r="ED30" s="2015">
        <v>3373.75992</v>
      </c>
      <c r="EE30" s="2016">
        <v>0</v>
      </c>
      <c r="EF30" s="2015">
        <v>4202.3198000000002</v>
      </c>
      <c r="EG30" s="2016">
        <v>0</v>
      </c>
      <c r="EH30" s="2017">
        <v>5271.9582399999999</v>
      </c>
      <c r="EI30" s="2016">
        <v>0</v>
      </c>
      <c r="EJ30" s="2017">
        <v>5388.7128499999999</v>
      </c>
      <c r="EK30" s="2016">
        <v>485.33152000000001</v>
      </c>
      <c r="EL30" s="2015">
        <v>5472.2004500000003</v>
      </c>
      <c r="EM30" s="2018">
        <v>485.33152000000001</v>
      </c>
      <c r="EN30" s="2015">
        <v>6452.4794199999997</v>
      </c>
      <c r="EO30" s="2018">
        <v>821.44885999999997</v>
      </c>
      <c r="EP30" s="2028">
        <v>4.08</v>
      </c>
      <c r="EQ30" s="2018">
        <v>0</v>
      </c>
      <c r="ER30" s="2015">
        <v>1874.1916899999999</v>
      </c>
      <c r="ES30" s="2018">
        <v>109.63167</v>
      </c>
      <c r="ET30" s="2015">
        <v>2143.5436300000001</v>
      </c>
      <c r="EU30" s="2018">
        <v>109.63167</v>
      </c>
      <c r="EV30" s="2015">
        <v>2155.51503</v>
      </c>
      <c r="EW30" s="2018">
        <v>109.63167</v>
      </c>
      <c r="EX30" s="2015">
        <v>2225.6904500000001</v>
      </c>
      <c r="EY30" s="2018">
        <v>109.63167</v>
      </c>
      <c r="EZ30" s="2015">
        <v>3465.20084</v>
      </c>
      <c r="FA30" s="2018">
        <v>109.63167</v>
      </c>
      <c r="FB30" s="2015">
        <v>3476.1297599999998</v>
      </c>
      <c r="FC30" s="2018">
        <v>109.63167</v>
      </c>
      <c r="FD30" s="2015">
        <v>5911.4043799999999</v>
      </c>
      <c r="FE30" s="2018">
        <v>109.63167</v>
      </c>
      <c r="FF30" s="2015">
        <v>6240.8773099999999</v>
      </c>
      <c r="FG30" s="2018">
        <v>109.63167</v>
      </c>
      <c r="FH30" s="2015">
        <v>6246.8273099999997</v>
      </c>
      <c r="FI30" s="2018">
        <v>109.63167</v>
      </c>
      <c r="FJ30" s="2015">
        <v>7748.5812699999997</v>
      </c>
      <c r="FK30" s="2018">
        <v>109.63167</v>
      </c>
      <c r="FL30" s="2015">
        <v>7555.3485899999996</v>
      </c>
      <c r="FM30" s="2018">
        <v>109.63167</v>
      </c>
      <c r="FN30" s="2015">
        <v>18.790099999999999</v>
      </c>
      <c r="FO30" s="2018">
        <v>0</v>
      </c>
      <c r="FP30" s="2015">
        <v>2113.24919</v>
      </c>
      <c r="FQ30" s="2018">
        <v>0</v>
      </c>
      <c r="FR30" s="2015">
        <v>2149.20487</v>
      </c>
      <c r="FS30" s="2018">
        <v>0</v>
      </c>
      <c r="FT30" s="2015">
        <v>2212.7287700000002</v>
      </c>
      <c r="FU30" s="2018">
        <v>0</v>
      </c>
      <c r="FV30" s="2015">
        <v>2582.2803699999999</v>
      </c>
      <c r="FW30" s="2018">
        <v>0</v>
      </c>
      <c r="FX30" s="2015">
        <v>3147.7554300000002</v>
      </c>
      <c r="FY30" s="2018">
        <v>8.5</v>
      </c>
      <c r="FZ30" s="2015">
        <v>3147.7554300000002</v>
      </c>
      <c r="GA30" s="2018">
        <v>8.5</v>
      </c>
      <c r="GB30" s="2015">
        <v>4553.2021100000002</v>
      </c>
      <c r="GC30" s="2018">
        <v>8.5</v>
      </c>
      <c r="GD30" s="2015">
        <v>4565.0936099999999</v>
      </c>
      <c r="GE30" s="2018">
        <v>8.5</v>
      </c>
      <c r="GF30" s="2015">
        <v>4565.0936099999999</v>
      </c>
      <c r="GG30" s="2018">
        <v>8.5</v>
      </c>
      <c r="GH30" s="2015">
        <v>5026.4868699999997</v>
      </c>
      <c r="GI30" s="2018">
        <v>8.5</v>
      </c>
      <c r="GJ30" s="2015">
        <v>6480.0595800000001</v>
      </c>
      <c r="GK30" s="2018">
        <v>1341.6541099999999</v>
      </c>
      <c r="GL30" s="2015">
        <v>0</v>
      </c>
      <c r="GM30" s="2018">
        <v>0</v>
      </c>
      <c r="GN30" s="2015">
        <v>177.65</v>
      </c>
      <c r="GO30" s="2018">
        <v>0</v>
      </c>
      <c r="GP30" s="2015">
        <v>199.75</v>
      </c>
      <c r="GQ30" s="2018">
        <v>0</v>
      </c>
      <c r="GR30" s="2015">
        <v>199.75</v>
      </c>
      <c r="GS30" s="2018">
        <v>0</v>
      </c>
      <c r="GT30" s="2015">
        <v>347.44391000000002</v>
      </c>
      <c r="GU30" s="2018">
        <v>0</v>
      </c>
      <c r="GV30" s="2019" t="s">
        <v>3436</v>
      </c>
      <c r="GX30" s="2022"/>
    </row>
    <row r="31" spans="1:206" s="1991" customFormat="1" ht="22.5" customHeight="1">
      <c r="A31" s="2012" t="s">
        <v>2306</v>
      </c>
      <c r="B31" s="2013">
        <v>0</v>
      </c>
      <c r="C31" s="2013">
        <v>0</v>
      </c>
      <c r="D31" s="2013">
        <v>5.8</v>
      </c>
      <c r="E31" s="2013">
        <v>0</v>
      </c>
      <c r="F31" s="2013">
        <v>273.38163000000003</v>
      </c>
      <c r="G31" s="2013">
        <v>0</v>
      </c>
      <c r="H31" s="2013">
        <v>273.38163000000003</v>
      </c>
      <c r="I31" s="2013">
        <v>0</v>
      </c>
      <c r="J31" s="2013">
        <v>273.38163000000003</v>
      </c>
      <c r="K31" s="2013">
        <v>0</v>
      </c>
      <c r="L31" s="2013">
        <v>273.38163000000003</v>
      </c>
      <c r="M31" s="2013">
        <v>0</v>
      </c>
      <c r="N31" s="2013">
        <v>273.38163000000003</v>
      </c>
      <c r="O31" s="2013">
        <v>0</v>
      </c>
      <c r="P31" s="2013">
        <v>273.38163000000003</v>
      </c>
      <c r="Q31" s="2013">
        <v>0</v>
      </c>
      <c r="R31" s="2013">
        <v>273.38163000000003</v>
      </c>
      <c r="S31" s="2013">
        <v>0</v>
      </c>
      <c r="T31" s="2013">
        <v>273.38163000000003</v>
      </c>
      <c r="U31" s="2013">
        <v>0</v>
      </c>
      <c r="V31" s="2013">
        <v>273.38163000000003</v>
      </c>
      <c r="W31" s="2013">
        <v>0</v>
      </c>
      <c r="X31" s="2013">
        <v>310.5428</v>
      </c>
      <c r="Y31" s="2013">
        <v>0</v>
      </c>
      <c r="Z31" s="2013">
        <v>0.87551000000000001</v>
      </c>
      <c r="AA31" s="2013">
        <v>0</v>
      </c>
      <c r="AB31" s="2013">
        <v>121.72931</v>
      </c>
      <c r="AC31" s="2013">
        <v>0</v>
      </c>
      <c r="AD31" s="2013">
        <v>121.72931</v>
      </c>
      <c r="AE31" s="2013">
        <v>0</v>
      </c>
      <c r="AF31" s="2013">
        <v>92.109110000000001</v>
      </c>
      <c r="AG31" s="2013">
        <v>0</v>
      </c>
      <c r="AH31" s="2013">
        <v>92.109110000000001</v>
      </c>
      <c r="AI31" s="2013">
        <v>0</v>
      </c>
      <c r="AJ31" s="2013">
        <v>92.109110000000001</v>
      </c>
      <c r="AK31" s="2013">
        <v>0</v>
      </c>
      <c r="AL31" s="2013">
        <v>92.109110000000001</v>
      </c>
      <c r="AM31" s="2013">
        <v>0</v>
      </c>
      <c r="AN31" s="2013">
        <v>92.109110000000001</v>
      </c>
      <c r="AO31" s="2013">
        <v>0</v>
      </c>
      <c r="AP31" s="2013">
        <v>92.109110000000001</v>
      </c>
      <c r="AQ31" s="2013">
        <v>0</v>
      </c>
      <c r="AR31" s="2013">
        <v>92.109110000000001</v>
      </c>
      <c r="AS31" s="2013">
        <v>0</v>
      </c>
      <c r="AT31" s="2013">
        <v>92.108910000000009</v>
      </c>
      <c r="AU31" s="2013">
        <v>0</v>
      </c>
      <c r="AV31" s="2013">
        <v>106.55367</v>
      </c>
      <c r="AW31" s="2013">
        <v>0</v>
      </c>
      <c r="AX31" s="2013">
        <v>0</v>
      </c>
      <c r="AY31" s="2013">
        <v>0</v>
      </c>
      <c r="AZ31" s="2013">
        <v>0</v>
      </c>
      <c r="BA31" s="2013">
        <v>0</v>
      </c>
      <c r="BB31" s="2013">
        <v>25.406500000000001</v>
      </c>
      <c r="BC31" s="2013">
        <v>0</v>
      </c>
      <c r="BD31" s="2013">
        <v>52.7425</v>
      </c>
      <c r="BE31" s="2013">
        <v>0</v>
      </c>
      <c r="BF31" s="2013">
        <v>52.7425</v>
      </c>
      <c r="BG31" s="2013">
        <v>0</v>
      </c>
      <c r="BH31" s="2013">
        <v>75.000500000000002</v>
      </c>
      <c r="BI31" s="2013">
        <v>0</v>
      </c>
      <c r="BJ31" s="2013">
        <v>75.000500000000002</v>
      </c>
      <c r="BK31" s="2013">
        <v>0</v>
      </c>
      <c r="BL31" s="2013">
        <v>74.830500000000001</v>
      </c>
      <c r="BM31" s="2013">
        <v>0</v>
      </c>
      <c r="BN31" s="2013">
        <v>74.830500000000001</v>
      </c>
      <c r="BO31" s="2013">
        <v>0</v>
      </c>
      <c r="BP31" s="2013">
        <v>47.494500000000002</v>
      </c>
      <c r="BQ31" s="2013">
        <v>0</v>
      </c>
      <c r="BR31" s="2013">
        <v>47.494500000000002</v>
      </c>
      <c r="BS31" s="2013">
        <v>0</v>
      </c>
      <c r="BT31" s="2013">
        <v>47.494500000000002</v>
      </c>
      <c r="BU31" s="2013">
        <v>0</v>
      </c>
      <c r="BV31" s="2013">
        <v>0</v>
      </c>
      <c r="BW31" s="2013">
        <v>0</v>
      </c>
      <c r="BX31" s="2013">
        <v>0</v>
      </c>
      <c r="BY31" s="2013">
        <v>0</v>
      </c>
      <c r="BZ31" s="2013">
        <v>0</v>
      </c>
      <c r="CA31" s="2013">
        <v>0</v>
      </c>
      <c r="CB31" s="2013">
        <v>36.119300000000003</v>
      </c>
      <c r="CC31" s="2013">
        <v>0</v>
      </c>
      <c r="CD31" s="2013">
        <v>36.119300000000003</v>
      </c>
      <c r="CE31" s="2013">
        <v>0</v>
      </c>
      <c r="CF31" s="2013">
        <v>36.119300000000003</v>
      </c>
      <c r="CG31" s="2013">
        <v>0</v>
      </c>
      <c r="CH31" s="2013">
        <v>36.119300000000003</v>
      </c>
      <c r="CI31" s="2013">
        <v>0</v>
      </c>
      <c r="CJ31" s="2013">
        <v>36.119300000000003</v>
      </c>
      <c r="CK31" s="2013">
        <v>0</v>
      </c>
      <c r="CL31" s="2013">
        <v>36.119300000000003</v>
      </c>
      <c r="CM31" s="2013">
        <v>0</v>
      </c>
      <c r="CN31" s="2013">
        <v>36.119300000000003</v>
      </c>
      <c r="CO31" s="2013">
        <v>0</v>
      </c>
      <c r="CP31" s="2013">
        <v>36.119300000000003</v>
      </c>
      <c r="CQ31" s="2013">
        <v>0</v>
      </c>
      <c r="CR31" s="2013">
        <v>36.119300000000003</v>
      </c>
      <c r="CS31" s="2013">
        <v>0</v>
      </c>
      <c r="CT31" s="2013">
        <v>15.888999999999999</v>
      </c>
      <c r="CU31" s="2013">
        <v>0</v>
      </c>
      <c r="CV31" s="2013">
        <v>15.888999999999999</v>
      </c>
      <c r="CW31" s="2013">
        <v>0</v>
      </c>
      <c r="CX31" s="2013">
        <v>15.888999999999999</v>
      </c>
      <c r="CY31" s="2013">
        <v>0</v>
      </c>
      <c r="CZ31" s="2013">
        <v>43.309199999999997</v>
      </c>
      <c r="DA31" s="2013">
        <v>0</v>
      </c>
      <c r="DB31" s="2013">
        <v>43.309199999999997</v>
      </c>
      <c r="DC31" s="2013">
        <v>0</v>
      </c>
      <c r="DD31" s="2013">
        <v>43.309199999999997</v>
      </c>
      <c r="DE31" s="2013">
        <v>0</v>
      </c>
      <c r="DF31" s="2013">
        <v>43.309199999999997</v>
      </c>
      <c r="DG31" s="2013">
        <v>0</v>
      </c>
      <c r="DH31" s="2013">
        <v>43.309199999999997</v>
      </c>
      <c r="DI31" s="2013">
        <v>0</v>
      </c>
      <c r="DJ31" s="2013">
        <v>43.309199999999997</v>
      </c>
      <c r="DK31" s="2013">
        <v>0</v>
      </c>
      <c r="DL31" s="2013">
        <v>72.8142</v>
      </c>
      <c r="DM31" s="2013">
        <v>0</v>
      </c>
      <c r="DN31" s="2013">
        <v>72.8142</v>
      </c>
      <c r="DO31" s="2013">
        <v>0</v>
      </c>
      <c r="DP31" s="2013">
        <v>72.8142</v>
      </c>
      <c r="DQ31" s="2014">
        <v>0</v>
      </c>
      <c r="DR31" s="2015">
        <v>15.888999999999999</v>
      </c>
      <c r="DS31" s="2016">
        <v>0</v>
      </c>
      <c r="DT31" s="2017">
        <v>15.888999999999999</v>
      </c>
      <c r="DU31" s="2014">
        <v>0</v>
      </c>
      <c r="DV31" s="2015">
        <v>15.888999999999999</v>
      </c>
      <c r="DW31" s="2016">
        <v>0</v>
      </c>
      <c r="DX31" s="2017">
        <v>34.496000000000002</v>
      </c>
      <c r="DY31" s="2014">
        <v>0</v>
      </c>
      <c r="DZ31" s="2015">
        <v>34.496000000000002</v>
      </c>
      <c r="EA31" s="2016">
        <v>0</v>
      </c>
      <c r="EB31" s="2017">
        <v>44.492190000000001</v>
      </c>
      <c r="EC31" s="2014">
        <v>0</v>
      </c>
      <c r="ED31" s="2015">
        <v>44.492190000000001</v>
      </c>
      <c r="EE31" s="2016">
        <v>0</v>
      </c>
      <c r="EF31" s="2015">
        <v>44.492190000000001</v>
      </c>
      <c r="EG31" s="2016">
        <v>0</v>
      </c>
      <c r="EH31" s="2017">
        <v>44.492190000000001</v>
      </c>
      <c r="EI31" s="2016">
        <v>0</v>
      </c>
      <c r="EJ31" s="2017">
        <v>72.521190000000004</v>
      </c>
      <c r="EK31" s="2016">
        <v>0</v>
      </c>
      <c r="EL31" s="2015">
        <v>72.521190000000004</v>
      </c>
      <c r="EM31" s="2018">
        <v>0</v>
      </c>
      <c r="EN31" s="2015">
        <v>72.521190000000004</v>
      </c>
      <c r="EO31" s="2018">
        <v>0</v>
      </c>
      <c r="EP31" s="2015">
        <v>15.888999999999999</v>
      </c>
      <c r="EQ31" s="2018">
        <v>0</v>
      </c>
      <c r="ER31" s="2015">
        <v>15.888999999999999</v>
      </c>
      <c r="ES31" s="2018">
        <v>0</v>
      </c>
      <c r="ET31" s="2015">
        <v>15.888999999999999</v>
      </c>
      <c r="EU31" s="2018">
        <v>0</v>
      </c>
      <c r="EV31" s="2015">
        <v>15.888999999999999</v>
      </c>
      <c r="EW31" s="2018">
        <v>0</v>
      </c>
      <c r="EX31" s="2015">
        <v>15.888999999999999</v>
      </c>
      <c r="EY31" s="2018">
        <v>0</v>
      </c>
      <c r="EZ31" s="2015">
        <v>32.507829999999998</v>
      </c>
      <c r="FA31" s="2018">
        <v>0</v>
      </c>
      <c r="FB31" s="2015">
        <v>32.507829999999998</v>
      </c>
      <c r="FC31" s="2018">
        <v>0</v>
      </c>
      <c r="FD31" s="2015">
        <v>32.507829999999998</v>
      </c>
      <c r="FE31" s="2018">
        <v>0</v>
      </c>
      <c r="FF31" s="2015">
        <v>32.507829999999998</v>
      </c>
      <c r="FG31" s="2018">
        <v>0</v>
      </c>
      <c r="FH31" s="2015">
        <v>60.536830000000002</v>
      </c>
      <c r="FI31" s="2018">
        <v>0</v>
      </c>
      <c r="FJ31" s="2015">
        <v>60.536830000000002</v>
      </c>
      <c r="FK31" s="2018">
        <v>0</v>
      </c>
      <c r="FL31" s="2015">
        <v>60.536830000000002</v>
      </c>
      <c r="FM31" s="2018">
        <v>0</v>
      </c>
      <c r="FN31" s="2015">
        <v>9.4</v>
      </c>
      <c r="FO31" s="2018">
        <v>0</v>
      </c>
      <c r="FP31" s="2015">
        <v>9.4</v>
      </c>
      <c r="FQ31" s="2018">
        <v>0</v>
      </c>
      <c r="FR31" s="2015">
        <v>23.750070000000001</v>
      </c>
      <c r="FS31" s="2018">
        <v>0</v>
      </c>
      <c r="FT31" s="2015">
        <v>37.911320000000003</v>
      </c>
      <c r="FU31" s="2018">
        <v>0</v>
      </c>
      <c r="FV31" s="2015">
        <v>37.911319999999996</v>
      </c>
      <c r="FW31" s="2018">
        <v>0</v>
      </c>
      <c r="FX31" s="2015">
        <v>49.781910000000003</v>
      </c>
      <c r="FY31" s="2018">
        <v>0</v>
      </c>
      <c r="FZ31" s="2015">
        <v>49.781910000000003</v>
      </c>
      <c r="GA31" s="2018">
        <v>0</v>
      </c>
      <c r="GB31" s="2015">
        <v>49.781910000000003</v>
      </c>
      <c r="GC31" s="2018">
        <v>0</v>
      </c>
      <c r="GD31" s="2015">
        <v>49.781910000000003</v>
      </c>
      <c r="GE31" s="2018">
        <v>0</v>
      </c>
      <c r="GF31" s="2015">
        <v>77.810910000000007</v>
      </c>
      <c r="GG31" s="2018">
        <v>0</v>
      </c>
      <c r="GH31" s="2015">
        <v>77.810910000000007</v>
      </c>
      <c r="GI31" s="2018">
        <v>0</v>
      </c>
      <c r="GJ31" s="2015">
        <v>77.810910000000007</v>
      </c>
      <c r="GK31" s="2018">
        <v>0</v>
      </c>
      <c r="GL31" s="2015">
        <v>7.7889999999999997</v>
      </c>
      <c r="GM31" s="2018">
        <v>0</v>
      </c>
      <c r="GN31" s="2015">
        <v>7.7889999999999997</v>
      </c>
      <c r="GO31" s="2018">
        <v>0</v>
      </c>
      <c r="GP31" s="2015">
        <v>21.550720000000002</v>
      </c>
      <c r="GQ31" s="2018">
        <v>0</v>
      </c>
      <c r="GR31" s="2015">
        <v>21.550719999999998</v>
      </c>
      <c r="GS31" s="2018">
        <v>0</v>
      </c>
      <c r="GT31" s="2015">
        <v>21.550719999999998</v>
      </c>
      <c r="GU31" s="2018">
        <v>0</v>
      </c>
      <c r="GV31" s="2019" t="s">
        <v>3203</v>
      </c>
    </row>
    <row r="32" spans="1:206" s="1991" customFormat="1" ht="22.5" customHeight="1">
      <c r="A32" s="2012" t="s">
        <v>2305</v>
      </c>
      <c r="B32" s="2013">
        <v>4.5549999999999997</v>
      </c>
      <c r="C32" s="2013">
        <v>0</v>
      </c>
      <c r="D32" s="2013">
        <v>8.4459999999999997</v>
      </c>
      <c r="E32" s="2013">
        <v>236.20161999999999</v>
      </c>
      <c r="F32" s="2013">
        <v>6.9480000000000004</v>
      </c>
      <c r="G32" s="2013">
        <v>840.46882000000005</v>
      </c>
      <c r="H32" s="2013">
        <v>7.5709999999999997</v>
      </c>
      <c r="I32" s="2013">
        <v>840.46881999999994</v>
      </c>
      <c r="J32" s="2013">
        <v>1057.29891</v>
      </c>
      <c r="K32" s="2013">
        <v>846.12081999999998</v>
      </c>
      <c r="L32" s="2013">
        <v>1324.1360099999999</v>
      </c>
      <c r="M32" s="2013">
        <v>1405.3659599999999</v>
      </c>
      <c r="N32" s="2013">
        <v>1341.3500100000001</v>
      </c>
      <c r="O32" s="2013">
        <v>1405.3659599999999</v>
      </c>
      <c r="P32" s="2013">
        <v>1324.1360099999999</v>
      </c>
      <c r="Q32" s="2013">
        <v>1405.3659599999999</v>
      </c>
      <c r="R32" s="2013">
        <v>1324.1360099999999</v>
      </c>
      <c r="S32" s="2013">
        <v>1419.3659599999999</v>
      </c>
      <c r="T32" s="2013">
        <v>1324.1360099999999</v>
      </c>
      <c r="U32" s="2013">
        <v>1419.3659599999999</v>
      </c>
      <c r="V32" s="2013">
        <v>1324.9440099999999</v>
      </c>
      <c r="W32" s="2013">
        <v>1419.3659599999999</v>
      </c>
      <c r="X32" s="2013">
        <v>1325.6790100000001</v>
      </c>
      <c r="Y32" s="2013">
        <v>1419.3659599999999</v>
      </c>
      <c r="Z32" s="2013">
        <v>0</v>
      </c>
      <c r="AA32" s="2013">
        <v>0</v>
      </c>
      <c r="AB32" s="2013">
        <v>6.444</v>
      </c>
      <c r="AC32" s="2013">
        <v>64.37106</v>
      </c>
      <c r="AD32" s="2013">
        <v>6.444</v>
      </c>
      <c r="AE32" s="2013">
        <v>64.37106</v>
      </c>
      <c r="AF32" s="2013">
        <v>31.853999999999999</v>
      </c>
      <c r="AG32" s="2013">
        <v>64.37106</v>
      </c>
      <c r="AH32" s="2013">
        <v>617.31925000000001</v>
      </c>
      <c r="AI32" s="2013">
        <v>64.37106</v>
      </c>
      <c r="AJ32" s="2013">
        <v>617.31925000000001</v>
      </c>
      <c r="AK32" s="2013">
        <v>64.37106</v>
      </c>
      <c r="AL32" s="2013">
        <v>617.31925000000001</v>
      </c>
      <c r="AM32" s="2013">
        <v>64.37106</v>
      </c>
      <c r="AN32" s="2013">
        <v>617.31925000000001</v>
      </c>
      <c r="AO32" s="2013">
        <v>64.37106</v>
      </c>
      <c r="AP32" s="2013">
        <v>630.64824999999996</v>
      </c>
      <c r="AQ32" s="2013">
        <v>64.37106</v>
      </c>
      <c r="AR32" s="2013">
        <v>633.78025000000002</v>
      </c>
      <c r="AS32" s="2013">
        <v>64.37106</v>
      </c>
      <c r="AT32" s="2013">
        <v>639.78724999999997</v>
      </c>
      <c r="AU32" s="2013">
        <v>64.37106</v>
      </c>
      <c r="AV32" s="2013">
        <v>639.78724999999997</v>
      </c>
      <c r="AW32" s="2013">
        <v>180.25665000000001</v>
      </c>
      <c r="AX32" s="2013">
        <v>0</v>
      </c>
      <c r="AY32" s="2013">
        <v>0</v>
      </c>
      <c r="AZ32" s="2013">
        <v>4.1059999999999999</v>
      </c>
      <c r="BA32" s="2013">
        <v>0</v>
      </c>
      <c r="BB32" s="2013">
        <v>4.1059999999999999</v>
      </c>
      <c r="BC32" s="2013">
        <v>0</v>
      </c>
      <c r="BD32" s="2013">
        <v>27.58</v>
      </c>
      <c r="BE32" s="2013">
        <v>0</v>
      </c>
      <c r="BF32" s="2013">
        <v>27.58</v>
      </c>
      <c r="BG32" s="2013">
        <v>0</v>
      </c>
      <c r="BH32" s="2013">
        <v>163.79485</v>
      </c>
      <c r="BI32" s="2013">
        <v>0</v>
      </c>
      <c r="BJ32" s="2013">
        <v>157.68185</v>
      </c>
      <c r="BK32" s="2013">
        <v>0</v>
      </c>
      <c r="BL32" s="2013">
        <v>157.68185</v>
      </c>
      <c r="BM32" s="2013">
        <v>0</v>
      </c>
      <c r="BN32" s="2013">
        <v>157.68185</v>
      </c>
      <c r="BO32" s="2013">
        <v>0</v>
      </c>
      <c r="BP32" s="2013">
        <v>167.68185</v>
      </c>
      <c r="BQ32" s="2013">
        <v>0</v>
      </c>
      <c r="BR32" s="2013">
        <v>168.78185000000002</v>
      </c>
      <c r="BS32" s="2013">
        <v>0</v>
      </c>
      <c r="BT32" s="2013">
        <v>183.78185000000002</v>
      </c>
      <c r="BU32" s="2013">
        <v>0</v>
      </c>
      <c r="BV32" s="2013">
        <v>0</v>
      </c>
      <c r="BW32" s="2013">
        <v>0</v>
      </c>
      <c r="BX32" s="2013">
        <v>0</v>
      </c>
      <c r="BY32" s="2013">
        <v>0</v>
      </c>
      <c r="BZ32" s="2013">
        <v>0</v>
      </c>
      <c r="CA32" s="2013">
        <v>0</v>
      </c>
      <c r="CB32" s="2013">
        <v>6.8419999999999996</v>
      </c>
      <c r="CC32" s="2013">
        <v>0</v>
      </c>
      <c r="CD32" s="2013">
        <v>6.8419999999999996</v>
      </c>
      <c r="CE32" s="2013">
        <v>0</v>
      </c>
      <c r="CF32" s="2013">
        <v>6.8419999999999996</v>
      </c>
      <c r="CG32" s="2013">
        <v>0</v>
      </c>
      <c r="CH32" s="2013">
        <v>6.8419999999999996</v>
      </c>
      <c r="CI32" s="2013">
        <v>0</v>
      </c>
      <c r="CJ32" s="2013">
        <v>6.8419999999999996</v>
      </c>
      <c r="CK32" s="2013">
        <v>0</v>
      </c>
      <c r="CL32" s="2013">
        <v>6.8419999999999996</v>
      </c>
      <c r="CM32" s="2013">
        <v>0</v>
      </c>
      <c r="CN32" s="2013">
        <v>6.8419999999999996</v>
      </c>
      <c r="CO32" s="2013">
        <v>0</v>
      </c>
      <c r="CP32" s="2013">
        <v>6.8419999999999996</v>
      </c>
      <c r="CQ32" s="2013">
        <v>0</v>
      </c>
      <c r="CR32" s="2013">
        <v>9.1567399999999992</v>
      </c>
      <c r="CS32" s="2013">
        <v>0</v>
      </c>
      <c r="CT32" s="2013">
        <v>0</v>
      </c>
      <c r="CU32" s="2013">
        <v>0</v>
      </c>
      <c r="CV32" s="2013">
        <v>0.69335999999999998</v>
      </c>
      <c r="CW32" s="2013">
        <v>0</v>
      </c>
      <c r="CX32" s="2013">
        <v>61.281120000000001</v>
      </c>
      <c r="CY32" s="2013">
        <v>0</v>
      </c>
      <c r="CZ32" s="2013">
        <v>392.01365999999996</v>
      </c>
      <c r="DA32" s="2013">
        <v>0</v>
      </c>
      <c r="DB32" s="2013">
        <v>408.28724</v>
      </c>
      <c r="DC32" s="2013">
        <v>0</v>
      </c>
      <c r="DD32" s="2013">
        <v>550.97993999999994</v>
      </c>
      <c r="DE32" s="2013">
        <v>0</v>
      </c>
      <c r="DF32" s="2013">
        <v>583.79175999999995</v>
      </c>
      <c r="DG32" s="2013">
        <v>0</v>
      </c>
      <c r="DH32" s="2013">
        <v>633.60518000000002</v>
      </c>
      <c r="DI32" s="2013">
        <v>0</v>
      </c>
      <c r="DJ32" s="2013">
        <v>638.08204000000001</v>
      </c>
      <c r="DK32" s="2013">
        <v>3.78</v>
      </c>
      <c r="DL32" s="2013">
        <v>695.11854000000005</v>
      </c>
      <c r="DM32" s="2013">
        <v>3.78</v>
      </c>
      <c r="DN32" s="2013">
        <v>825.25639999999999</v>
      </c>
      <c r="DO32" s="2013">
        <v>3.78</v>
      </c>
      <c r="DP32" s="2013">
        <v>6171.0005000000001</v>
      </c>
      <c r="DQ32" s="2014">
        <v>28.731000000000002</v>
      </c>
      <c r="DR32" s="2015">
        <v>1247.6387999999999</v>
      </c>
      <c r="DS32" s="2016">
        <v>0</v>
      </c>
      <c r="DT32" s="2017">
        <v>2146.4238</v>
      </c>
      <c r="DU32" s="2014">
        <v>0</v>
      </c>
      <c r="DV32" s="2015">
        <v>2374.9177399999999</v>
      </c>
      <c r="DW32" s="2016">
        <v>0</v>
      </c>
      <c r="DX32" s="2017">
        <v>2494.8991599999999</v>
      </c>
      <c r="DY32" s="2014">
        <v>0</v>
      </c>
      <c r="DZ32" s="2015">
        <v>3633.32</v>
      </c>
      <c r="EA32" s="2016">
        <v>0</v>
      </c>
      <c r="EB32" s="2017">
        <v>4207.0142999999998</v>
      </c>
      <c r="EC32" s="2014">
        <v>0</v>
      </c>
      <c r="ED32" s="2015">
        <v>4392.4564399999999</v>
      </c>
      <c r="EE32" s="2016">
        <v>0</v>
      </c>
      <c r="EF32" s="2015">
        <v>5312.7656999999999</v>
      </c>
      <c r="EG32" s="2016">
        <v>53.60163</v>
      </c>
      <c r="EH32" s="2017">
        <v>5485.7416000000003</v>
      </c>
      <c r="EI32" s="2016">
        <v>220.11879999999999</v>
      </c>
      <c r="EJ32" s="2017">
        <v>5539.1984400000001</v>
      </c>
      <c r="EK32" s="2016">
        <v>718.41001000000006</v>
      </c>
      <c r="EL32" s="2015">
        <v>5981.4286000000002</v>
      </c>
      <c r="EM32" s="2018">
        <v>819.06777</v>
      </c>
      <c r="EN32" s="2015">
        <v>9209.0169800000003</v>
      </c>
      <c r="EO32" s="2018">
        <v>1679.6351099999999</v>
      </c>
      <c r="EP32" s="2015">
        <v>8919.9886999999999</v>
      </c>
      <c r="EQ32" s="2018">
        <v>131.2955</v>
      </c>
      <c r="ER32" s="2015">
        <v>8880.7057800000002</v>
      </c>
      <c r="ES32" s="2018">
        <v>348.40565000000004</v>
      </c>
      <c r="ET32" s="2015">
        <v>9226.8184399999991</v>
      </c>
      <c r="EU32" s="2018">
        <v>575.41726000000006</v>
      </c>
      <c r="EV32" s="2015">
        <v>9304.8628000000008</v>
      </c>
      <c r="EW32" s="2018">
        <v>683.98990000000003</v>
      </c>
      <c r="EX32" s="2015">
        <v>10493.86916</v>
      </c>
      <c r="EY32" s="2018">
        <v>741.26483999999994</v>
      </c>
      <c r="EZ32" s="2015">
        <v>11001.036840000001</v>
      </c>
      <c r="FA32" s="2018">
        <v>742.28678000000002</v>
      </c>
      <c r="FB32" s="2015">
        <v>11085.4054</v>
      </c>
      <c r="FC32" s="2018">
        <v>765.73739999999998</v>
      </c>
      <c r="FD32" s="2015">
        <v>11125.08446</v>
      </c>
      <c r="FE32" s="2018">
        <v>783.78743999999995</v>
      </c>
      <c r="FF32" s="2015">
        <v>11776.136960000002</v>
      </c>
      <c r="FG32" s="2018">
        <v>783.78743999999995</v>
      </c>
      <c r="FH32" s="2015">
        <v>11777.467259999999</v>
      </c>
      <c r="FI32" s="2018">
        <v>785.16907000000003</v>
      </c>
      <c r="FJ32" s="2015">
        <v>11867.912039999999</v>
      </c>
      <c r="FK32" s="2018">
        <v>2024.9900700000001</v>
      </c>
      <c r="FL32" s="2015">
        <v>12943.339759999999</v>
      </c>
      <c r="FM32" s="2018">
        <v>3494.7404900000001</v>
      </c>
      <c r="FN32" s="2015">
        <v>6646.6128900000003</v>
      </c>
      <c r="FO32" s="2018">
        <v>817.40772000000004</v>
      </c>
      <c r="FP32" s="2015">
        <v>6721.9436599999999</v>
      </c>
      <c r="FQ32" s="2018">
        <v>1235.0835400000001</v>
      </c>
      <c r="FR32" s="2015">
        <v>6803.6132600000001</v>
      </c>
      <c r="FS32" s="2018">
        <v>1437.7179900000001</v>
      </c>
      <c r="FT32" s="2015">
        <v>7798.4545399999997</v>
      </c>
      <c r="FU32" s="2018">
        <v>1587.21226</v>
      </c>
      <c r="FV32" s="2015">
        <v>8934.1675799999994</v>
      </c>
      <c r="FW32" s="2018">
        <v>2025.36727</v>
      </c>
      <c r="FX32" s="2015">
        <v>10188.978440000001</v>
      </c>
      <c r="FY32" s="2018">
        <v>2249.5868999999998</v>
      </c>
      <c r="FZ32" s="2015">
        <v>10205.59866</v>
      </c>
      <c r="GA32" s="2018">
        <v>2578.4448400000001</v>
      </c>
      <c r="GB32" s="2015">
        <v>10681.295599999999</v>
      </c>
      <c r="GC32" s="2018">
        <v>2705.2163999999998</v>
      </c>
      <c r="GD32" s="2015">
        <v>10855.769</v>
      </c>
      <c r="GE32" s="2018">
        <v>2912.643</v>
      </c>
      <c r="GF32" s="2015">
        <v>10868.217000000001</v>
      </c>
      <c r="GG32" s="2018">
        <v>3146.3710000000001</v>
      </c>
      <c r="GH32" s="2015">
        <v>10934.165000000001</v>
      </c>
      <c r="GI32" s="2018">
        <v>4654.3689999999997</v>
      </c>
      <c r="GJ32" s="2015">
        <v>12132.8256</v>
      </c>
      <c r="GK32" s="2018">
        <v>5250.3164999999999</v>
      </c>
      <c r="GL32" s="2015">
        <v>7586.1779999999999</v>
      </c>
      <c r="GM32" s="2018">
        <v>872.52641000000006</v>
      </c>
      <c r="GN32" s="2015">
        <v>7784.5219999999999</v>
      </c>
      <c r="GO32" s="2018">
        <v>1100.675</v>
      </c>
      <c r="GP32" s="2015">
        <v>8652.1569999999992</v>
      </c>
      <c r="GQ32" s="2018">
        <v>1224.1020000000001</v>
      </c>
      <c r="GR32" s="2015">
        <v>8902.2039999999997</v>
      </c>
      <c r="GS32" s="2018">
        <v>2921.4940000000001</v>
      </c>
      <c r="GT32" s="2015">
        <v>9921.4670000000006</v>
      </c>
      <c r="GU32" s="2018">
        <v>3981.7179999999998</v>
      </c>
      <c r="GV32" s="2019" t="s">
        <v>3204</v>
      </c>
    </row>
    <row r="33" spans="1:207" s="1991" customFormat="1" ht="22.5" customHeight="1">
      <c r="A33" s="2026" t="s">
        <v>2304</v>
      </c>
      <c r="B33" s="2013">
        <v>349.78615000000002</v>
      </c>
      <c r="C33" s="2013">
        <v>0</v>
      </c>
      <c r="D33" s="2013">
        <v>421.29782</v>
      </c>
      <c r="E33" s="2013">
        <v>0</v>
      </c>
      <c r="F33" s="2013">
        <v>419.26282000000003</v>
      </c>
      <c r="G33" s="2013">
        <v>0</v>
      </c>
      <c r="H33" s="2013">
        <v>432.47982000000002</v>
      </c>
      <c r="I33" s="2013">
        <v>0</v>
      </c>
      <c r="J33" s="2013">
        <v>514.13715000000002</v>
      </c>
      <c r="K33" s="2013">
        <v>1719.22</v>
      </c>
      <c r="L33" s="2013">
        <v>657.18163000000004</v>
      </c>
      <c r="M33" s="2013">
        <v>1719.22</v>
      </c>
      <c r="N33" s="2013">
        <v>655.85163</v>
      </c>
      <c r="O33" s="2013">
        <v>1719.22</v>
      </c>
      <c r="P33" s="2013">
        <v>704.74363000000005</v>
      </c>
      <c r="Q33" s="2013">
        <v>1719.22</v>
      </c>
      <c r="R33" s="2013">
        <v>717.63063</v>
      </c>
      <c r="S33" s="2013">
        <v>1719.22</v>
      </c>
      <c r="T33" s="2013">
        <v>1086.8759</v>
      </c>
      <c r="U33" s="2013">
        <v>1719.22</v>
      </c>
      <c r="V33" s="2013">
        <v>1293.81023</v>
      </c>
      <c r="W33" s="2013">
        <v>1719.22</v>
      </c>
      <c r="X33" s="2013">
        <v>1096.8889199999999</v>
      </c>
      <c r="Y33" s="2013">
        <v>1719.22</v>
      </c>
      <c r="Z33" s="2013">
        <v>47.001370000000001</v>
      </c>
      <c r="AA33" s="2013">
        <v>0</v>
      </c>
      <c r="AB33" s="2013">
        <v>53.995609999999999</v>
      </c>
      <c r="AC33" s="2013">
        <v>0</v>
      </c>
      <c r="AD33" s="2013">
        <v>57.461010000000002</v>
      </c>
      <c r="AE33" s="2013">
        <v>0</v>
      </c>
      <c r="AF33" s="2013">
        <v>62.604169999999996</v>
      </c>
      <c r="AG33" s="2013">
        <v>0</v>
      </c>
      <c r="AH33" s="2013">
        <v>63.570900000000002</v>
      </c>
      <c r="AI33" s="2013">
        <v>0</v>
      </c>
      <c r="AJ33" s="2013">
        <v>73.978289999999987</v>
      </c>
      <c r="AK33" s="2013">
        <v>0</v>
      </c>
      <c r="AL33" s="2013">
        <v>259.44099999999997</v>
      </c>
      <c r="AM33" s="2013">
        <v>0</v>
      </c>
      <c r="AN33" s="2013">
        <v>262.82402000000002</v>
      </c>
      <c r="AO33" s="2013">
        <v>0</v>
      </c>
      <c r="AP33" s="2013">
        <v>645.34637999999995</v>
      </c>
      <c r="AQ33" s="2013">
        <v>0</v>
      </c>
      <c r="AR33" s="2013">
        <v>657.55461000000003</v>
      </c>
      <c r="AS33" s="2013">
        <v>0</v>
      </c>
      <c r="AT33" s="2013">
        <v>665.2585600000001</v>
      </c>
      <c r="AU33" s="2013">
        <v>0</v>
      </c>
      <c r="AV33" s="2013">
        <v>673.25146999999993</v>
      </c>
      <c r="AW33" s="2013">
        <v>0</v>
      </c>
      <c r="AX33" s="2013">
        <v>49.121480000000005</v>
      </c>
      <c r="AY33" s="2013">
        <v>0</v>
      </c>
      <c r="AZ33" s="2013">
        <v>54.246259999999999</v>
      </c>
      <c r="BA33" s="2013">
        <v>0</v>
      </c>
      <c r="BB33" s="2013">
        <v>58.614179999999998</v>
      </c>
      <c r="BC33" s="2013">
        <v>0</v>
      </c>
      <c r="BD33" s="2013">
        <v>64.496430000000004</v>
      </c>
      <c r="BE33" s="2013">
        <v>0</v>
      </c>
      <c r="BF33" s="2013">
        <v>131.82868999999999</v>
      </c>
      <c r="BG33" s="2013">
        <v>0</v>
      </c>
      <c r="BH33" s="2013">
        <v>152.87327999999999</v>
      </c>
      <c r="BI33" s="2013">
        <v>0</v>
      </c>
      <c r="BJ33" s="2013">
        <v>158.19068999999999</v>
      </c>
      <c r="BK33" s="2013">
        <v>0</v>
      </c>
      <c r="BL33" s="2013">
        <v>271.68840999999998</v>
      </c>
      <c r="BM33" s="2013">
        <v>0</v>
      </c>
      <c r="BN33" s="2013">
        <v>277.93254999999999</v>
      </c>
      <c r="BO33" s="2013">
        <v>0</v>
      </c>
      <c r="BP33" s="2013">
        <v>279.98928999999998</v>
      </c>
      <c r="BQ33" s="2013">
        <v>0</v>
      </c>
      <c r="BR33" s="2013">
        <v>286.00727000000001</v>
      </c>
      <c r="BS33" s="2013">
        <v>0</v>
      </c>
      <c r="BT33" s="2013">
        <v>285.37624</v>
      </c>
      <c r="BU33" s="2013">
        <v>0</v>
      </c>
      <c r="BV33" s="2013">
        <v>3.6664699999999999</v>
      </c>
      <c r="BW33" s="2013">
        <v>0</v>
      </c>
      <c r="BX33" s="2013">
        <v>47.676960000000001</v>
      </c>
      <c r="BY33" s="2013">
        <v>0</v>
      </c>
      <c r="BZ33" s="2013">
        <v>138.01726000000002</v>
      </c>
      <c r="CA33" s="2013">
        <v>0</v>
      </c>
      <c r="CB33" s="2013">
        <v>141.82848000000001</v>
      </c>
      <c r="CC33" s="2013">
        <v>0</v>
      </c>
      <c r="CD33" s="2013">
        <v>156.65725</v>
      </c>
      <c r="CE33" s="2013">
        <v>0</v>
      </c>
      <c r="CF33" s="2013">
        <v>172.31475</v>
      </c>
      <c r="CG33" s="2013">
        <v>0</v>
      </c>
      <c r="CH33" s="2013">
        <v>150.39344</v>
      </c>
      <c r="CI33" s="2013">
        <v>0</v>
      </c>
      <c r="CJ33" s="2013">
        <v>213.39896999999999</v>
      </c>
      <c r="CK33" s="2013">
        <v>0</v>
      </c>
      <c r="CL33" s="2013">
        <v>223.33305999999999</v>
      </c>
      <c r="CM33" s="2013">
        <v>0</v>
      </c>
      <c r="CN33" s="2013">
        <v>343.62844999999999</v>
      </c>
      <c r="CO33" s="2013">
        <v>0</v>
      </c>
      <c r="CP33" s="2013">
        <v>432.89949999999999</v>
      </c>
      <c r="CQ33" s="2013">
        <v>0</v>
      </c>
      <c r="CR33" s="2013">
        <v>437.51801</v>
      </c>
      <c r="CS33" s="2013">
        <v>0</v>
      </c>
      <c r="CT33" s="2013">
        <v>6.0783800000000001</v>
      </c>
      <c r="CU33" s="2013">
        <v>0</v>
      </c>
      <c r="CV33" s="2013">
        <v>54.118180000000002</v>
      </c>
      <c r="CW33" s="2013">
        <v>0</v>
      </c>
      <c r="CX33" s="2013">
        <v>55.19502</v>
      </c>
      <c r="CY33" s="2013">
        <v>0</v>
      </c>
      <c r="CZ33" s="2013">
        <v>56.359449999999995</v>
      </c>
      <c r="DA33" s="2013">
        <v>0</v>
      </c>
      <c r="DB33" s="2013">
        <v>57.199570000000001</v>
      </c>
      <c r="DC33" s="2013">
        <v>0</v>
      </c>
      <c r="DD33" s="2013">
        <v>58.564269999999993</v>
      </c>
      <c r="DE33" s="2013">
        <v>0</v>
      </c>
      <c r="DF33" s="2013">
        <v>59.497999999999998</v>
      </c>
      <c r="DG33" s="2013">
        <v>0</v>
      </c>
      <c r="DH33" s="2013">
        <v>60.219919999999995</v>
      </c>
      <c r="DI33" s="2013">
        <v>0</v>
      </c>
      <c r="DJ33" s="2013">
        <v>188.17137</v>
      </c>
      <c r="DK33" s="2013">
        <v>0</v>
      </c>
      <c r="DL33" s="2013">
        <v>188.83923999999999</v>
      </c>
      <c r="DM33" s="2013">
        <v>0</v>
      </c>
      <c r="DN33" s="2013">
        <v>189.56888000000001</v>
      </c>
      <c r="DO33" s="2013">
        <v>0</v>
      </c>
      <c r="DP33" s="2013">
        <v>188.70277999999999</v>
      </c>
      <c r="DQ33" s="2014">
        <v>0</v>
      </c>
      <c r="DR33" s="2015">
        <v>0.76361000000000001</v>
      </c>
      <c r="DS33" s="2016">
        <v>0</v>
      </c>
      <c r="DT33" s="2017">
        <v>99.276489999999995</v>
      </c>
      <c r="DU33" s="2014">
        <v>0</v>
      </c>
      <c r="DV33" s="2015">
        <v>100.20121</v>
      </c>
      <c r="DW33" s="2016">
        <v>0</v>
      </c>
      <c r="DX33" s="2017">
        <v>101.04737</v>
      </c>
      <c r="DY33" s="2014">
        <v>0</v>
      </c>
      <c r="DZ33" s="2015">
        <v>101.79643</v>
      </c>
      <c r="EA33" s="2016">
        <v>0</v>
      </c>
      <c r="EB33" s="2017">
        <v>102.44020999999999</v>
      </c>
      <c r="EC33" s="2014">
        <v>0</v>
      </c>
      <c r="ED33" s="2015">
        <v>102.44020999999999</v>
      </c>
      <c r="EE33" s="2016">
        <v>0</v>
      </c>
      <c r="EF33" s="2015">
        <v>102.44020999999999</v>
      </c>
      <c r="EG33" s="2016">
        <v>0</v>
      </c>
      <c r="EH33" s="2017">
        <v>261.42243000000002</v>
      </c>
      <c r="EI33" s="2016">
        <v>0</v>
      </c>
      <c r="EJ33" s="2017">
        <v>261.42243000000002</v>
      </c>
      <c r="EK33" s="2016">
        <v>0</v>
      </c>
      <c r="EL33" s="2015">
        <v>261.42243000000002</v>
      </c>
      <c r="EM33" s="2018">
        <v>0</v>
      </c>
      <c r="EN33" s="2015">
        <v>261.42243000000002</v>
      </c>
      <c r="EO33" s="2018">
        <v>0</v>
      </c>
      <c r="EP33" s="2015">
        <v>0</v>
      </c>
      <c r="EQ33" s="2018">
        <v>0</v>
      </c>
      <c r="ER33" s="2015">
        <v>87.425989999999999</v>
      </c>
      <c r="ES33" s="2018">
        <v>0</v>
      </c>
      <c r="ET33" s="2015">
        <v>87.425989999999999</v>
      </c>
      <c r="EU33" s="2018">
        <v>0</v>
      </c>
      <c r="EV33" s="2015">
        <v>87.425989999999999</v>
      </c>
      <c r="EW33" s="2018">
        <v>0</v>
      </c>
      <c r="EX33" s="2015">
        <v>87.425989999999999</v>
      </c>
      <c r="EY33" s="2018">
        <v>0</v>
      </c>
      <c r="EZ33" s="2015">
        <v>87.425989999999999</v>
      </c>
      <c r="FA33" s="2018">
        <v>0</v>
      </c>
      <c r="FB33" s="2015">
        <v>87.425989999999999</v>
      </c>
      <c r="FC33" s="2018">
        <v>0</v>
      </c>
      <c r="FD33" s="2015">
        <v>255.21241000000001</v>
      </c>
      <c r="FE33" s="2018">
        <v>0</v>
      </c>
      <c r="FF33" s="2015">
        <v>255.21241000000001</v>
      </c>
      <c r="FG33" s="2018">
        <v>0</v>
      </c>
      <c r="FH33" s="2015">
        <v>259.32819999999998</v>
      </c>
      <c r="FI33" s="2018">
        <v>0</v>
      </c>
      <c r="FJ33" s="2015">
        <v>259.32819999999998</v>
      </c>
      <c r="FK33" s="2018">
        <v>0</v>
      </c>
      <c r="FL33" s="2015">
        <v>259.32820000000004</v>
      </c>
      <c r="FM33" s="2018">
        <v>0</v>
      </c>
      <c r="FN33" s="2015">
        <v>0</v>
      </c>
      <c r="FO33" s="2018">
        <v>0</v>
      </c>
      <c r="FP33" s="2015">
        <v>82.429860000000005</v>
      </c>
      <c r="FQ33" s="2018">
        <v>0</v>
      </c>
      <c r="FR33" s="2015">
        <v>82.429860000000005</v>
      </c>
      <c r="FS33" s="2018">
        <v>0</v>
      </c>
      <c r="FT33" s="2015">
        <v>82.429860000000005</v>
      </c>
      <c r="FU33" s="2018">
        <v>0</v>
      </c>
      <c r="FV33" s="2015">
        <v>82.429860000000005</v>
      </c>
      <c r="FW33" s="2018">
        <v>0</v>
      </c>
      <c r="FX33" s="2015">
        <v>85.561409999999995</v>
      </c>
      <c r="FY33" s="2018">
        <v>0</v>
      </c>
      <c r="FZ33" s="2015">
        <v>85.561409999999995</v>
      </c>
      <c r="GA33" s="2018">
        <v>0</v>
      </c>
      <c r="GB33" s="2015">
        <v>85.561409999999995</v>
      </c>
      <c r="GC33" s="2018">
        <v>0</v>
      </c>
      <c r="GD33" s="2015">
        <v>85.561409999999995</v>
      </c>
      <c r="GE33" s="2018">
        <v>0</v>
      </c>
      <c r="GF33" s="2015">
        <v>85.561409999999995</v>
      </c>
      <c r="GG33" s="2018">
        <v>0</v>
      </c>
      <c r="GH33" s="2015">
        <v>85.561409999999995</v>
      </c>
      <c r="GI33" s="2018">
        <v>0</v>
      </c>
      <c r="GJ33" s="2015">
        <v>85.561409999999995</v>
      </c>
      <c r="GK33" s="2018">
        <v>0</v>
      </c>
      <c r="GL33" s="2015">
        <v>85.561409999999995</v>
      </c>
      <c r="GM33" s="2018">
        <v>0</v>
      </c>
      <c r="GN33" s="2015">
        <v>85.561409999999995</v>
      </c>
      <c r="GO33" s="2018">
        <v>0</v>
      </c>
      <c r="GP33" s="2015">
        <v>85.561409999999995</v>
      </c>
      <c r="GQ33" s="2018">
        <v>0</v>
      </c>
      <c r="GR33" s="2015">
        <v>85.561409999999995</v>
      </c>
      <c r="GS33" s="2018">
        <v>0</v>
      </c>
      <c r="GT33" s="2015">
        <v>128.06141</v>
      </c>
      <c r="GU33" s="2018">
        <v>0</v>
      </c>
      <c r="GV33" s="2027" t="s">
        <v>3205</v>
      </c>
    </row>
    <row r="34" spans="1:207" s="1991" customFormat="1" ht="22.5" customHeight="1">
      <c r="A34" s="2012" t="s">
        <v>2303</v>
      </c>
      <c r="B34" s="2013">
        <v>349.78615000000002</v>
      </c>
      <c r="C34" s="2013">
        <v>0</v>
      </c>
      <c r="D34" s="2013">
        <v>421.29782</v>
      </c>
      <c r="E34" s="2013">
        <v>0</v>
      </c>
      <c r="F34" s="2013">
        <v>419.26282000000003</v>
      </c>
      <c r="G34" s="2013">
        <v>0</v>
      </c>
      <c r="H34" s="2013">
        <v>432.47982000000002</v>
      </c>
      <c r="I34" s="2013">
        <v>0</v>
      </c>
      <c r="J34" s="2013">
        <v>514.13715000000002</v>
      </c>
      <c r="K34" s="2013">
        <v>1719.22</v>
      </c>
      <c r="L34" s="2013">
        <v>655.64662999999996</v>
      </c>
      <c r="M34" s="2013">
        <v>1719.22</v>
      </c>
      <c r="N34" s="2013">
        <v>655.85163</v>
      </c>
      <c r="O34" s="2013">
        <v>1719.22</v>
      </c>
      <c r="P34" s="2013">
        <v>655.85163</v>
      </c>
      <c r="Q34" s="2013">
        <v>1719.22</v>
      </c>
      <c r="R34" s="2013">
        <v>668.73863000000006</v>
      </c>
      <c r="S34" s="2013">
        <v>1719.22</v>
      </c>
      <c r="T34" s="2013">
        <v>1037.9838999999999</v>
      </c>
      <c r="U34" s="2013">
        <v>1719.22</v>
      </c>
      <c r="V34" s="2013">
        <v>1244.91823</v>
      </c>
      <c r="W34" s="2013">
        <v>1719.22</v>
      </c>
      <c r="X34" s="2013">
        <v>1047.99692</v>
      </c>
      <c r="Y34" s="2013">
        <v>1719.22</v>
      </c>
      <c r="Z34" s="2013">
        <v>47.001370000000001</v>
      </c>
      <c r="AA34" s="2013">
        <v>0</v>
      </c>
      <c r="AB34" s="2013">
        <v>53.995609999999999</v>
      </c>
      <c r="AC34" s="2013">
        <v>0</v>
      </c>
      <c r="AD34" s="2013">
        <v>57.461010000000002</v>
      </c>
      <c r="AE34" s="2013">
        <v>0</v>
      </c>
      <c r="AF34" s="2013">
        <v>62.604169999999996</v>
      </c>
      <c r="AG34" s="2013">
        <v>0</v>
      </c>
      <c r="AH34" s="2013">
        <v>63.570900000000002</v>
      </c>
      <c r="AI34" s="2013">
        <v>0</v>
      </c>
      <c r="AJ34" s="2013">
        <v>73.978289999999987</v>
      </c>
      <c r="AK34" s="2013">
        <v>0</v>
      </c>
      <c r="AL34" s="2013">
        <v>213.11799999999999</v>
      </c>
      <c r="AM34" s="2013">
        <v>0</v>
      </c>
      <c r="AN34" s="2013">
        <v>216.50101999999998</v>
      </c>
      <c r="AO34" s="2013">
        <v>0</v>
      </c>
      <c r="AP34" s="2013">
        <v>599.03337999999997</v>
      </c>
      <c r="AQ34" s="2013">
        <v>0</v>
      </c>
      <c r="AR34" s="2013">
        <v>611.25161000000003</v>
      </c>
      <c r="AS34" s="2013">
        <v>0</v>
      </c>
      <c r="AT34" s="2013">
        <v>618.93556000000001</v>
      </c>
      <c r="AU34" s="2013">
        <v>0</v>
      </c>
      <c r="AV34" s="2013">
        <v>626.92846999999995</v>
      </c>
      <c r="AW34" s="2013">
        <v>0</v>
      </c>
      <c r="AX34" s="2013">
        <v>49.121480000000005</v>
      </c>
      <c r="AY34" s="2013">
        <v>0</v>
      </c>
      <c r="AZ34" s="2013">
        <v>54.246259999999999</v>
      </c>
      <c r="BA34" s="2013">
        <v>0</v>
      </c>
      <c r="BB34" s="2013">
        <v>58.614179999999998</v>
      </c>
      <c r="BC34" s="2013">
        <v>0</v>
      </c>
      <c r="BD34" s="2013">
        <v>64.496430000000004</v>
      </c>
      <c r="BE34" s="2013">
        <v>0</v>
      </c>
      <c r="BF34" s="2013">
        <v>131.82868999999999</v>
      </c>
      <c r="BG34" s="2013">
        <v>0</v>
      </c>
      <c r="BH34" s="2013">
        <v>152.87327999999999</v>
      </c>
      <c r="BI34" s="2013">
        <v>0</v>
      </c>
      <c r="BJ34" s="2013">
        <v>158.19068999999999</v>
      </c>
      <c r="BK34" s="2013">
        <v>0</v>
      </c>
      <c r="BL34" s="2013">
        <v>271.68840999999998</v>
      </c>
      <c r="BM34" s="2013">
        <v>0</v>
      </c>
      <c r="BN34" s="2013">
        <v>277.93254999999999</v>
      </c>
      <c r="BO34" s="2013">
        <v>0</v>
      </c>
      <c r="BP34" s="2013">
        <v>279.98928999999998</v>
      </c>
      <c r="BQ34" s="2013">
        <v>0</v>
      </c>
      <c r="BR34" s="2013">
        <v>286.00727000000001</v>
      </c>
      <c r="BS34" s="2013">
        <v>0</v>
      </c>
      <c r="BT34" s="2013">
        <v>285.37624</v>
      </c>
      <c r="BU34" s="2013">
        <v>0</v>
      </c>
      <c r="BV34" s="2013">
        <v>3.6664699999999999</v>
      </c>
      <c r="BW34" s="2013">
        <v>0</v>
      </c>
      <c r="BX34" s="2013">
        <v>47.676960000000001</v>
      </c>
      <c r="BY34" s="2013">
        <v>0</v>
      </c>
      <c r="BZ34" s="2013">
        <v>138.01726000000002</v>
      </c>
      <c r="CA34" s="2013">
        <v>0</v>
      </c>
      <c r="CB34" s="2013">
        <v>141.82848000000001</v>
      </c>
      <c r="CC34" s="2013">
        <v>0</v>
      </c>
      <c r="CD34" s="2013">
        <v>156.65725</v>
      </c>
      <c r="CE34" s="2013">
        <v>0</v>
      </c>
      <c r="CF34" s="2013">
        <v>172.31475</v>
      </c>
      <c r="CG34" s="2013">
        <v>0</v>
      </c>
      <c r="CH34" s="2013">
        <v>150.39344</v>
      </c>
      <c r="CI34" s="2013">
        <v>0</v>
      </c>
      <c r="CJ34" s="2013">
        <v>213.39896999999999</v>
      </c>
      <c r="CK34" s="2013">
        <v>0</v>
      </c>
      <c r="CL34" s="2013">
        <v>223.33305999999999</v>
      </c>
      <c r="CM34" s="2013">
        <v>0</v>
      </c>
      <c r="CN34" s="2013">
        <v>343.62844999999999</v>
      </c>
      <c r="CO34" s="2013">
        <v>0</v>
      </c>
      <c r="CP34" s="2013">
        <v>432.89949999999999</v>
      </c>
      <c r="CQ34" s="2013">
        <v>0</v>
      </c>
      <c r="CR34" s="2013">
        <v>437.51801</v>
      </c>
      <c r="CS34" s="2013">
        <v>0</v>
      </c>
      <c r="CT34" s="2013">
        <v>6.0783800000000001</v>
      </c>
      <c r="CU34" s="2013">
        <v>0</v>
      </c>
      <c r="CV34" s="2013">
        <v>54.118180000000002</v>
      </c>
      <c r="CW34" s="2013">
        <v>0</v>
      </c>
      <c r="CX34" s="2013">
        <v>55.19502</v>
      </c>
      <c r="CY34" s="2013">
        <v>0</v>
      </c>
      <c r="CZ34" s="2013">
        <v>56.359449999999995</v>
      </c>
      <c r="DA34" s="2013">
        <v>0</v>
      </c>
      <c r="DB34" s="2013">
        <v>57.199570000000001</v>
      </c>
      <c r="DC34" s="2013">
        <v>0</v>
      </c>
      <c r="DD34" s="2013">
        <v>58.564269999999993</v>
      </c>
      <c r="DE34" s="2013">
        <v>0</v>
      </c>
      <c r="DF34" s="2013">
        <v>59.497999999999998</v>
      </c>
      <c r="DG34" s="2013">
        <v>0</v>
      </c>
      <c r="DH34" s="2013">
        <v>60.219919999999995</v>
      </c>
      <c r="DI34" s="2013">
        <v>0</v>
      </c>
      <c r="DJ34" s="2013">
        <v>188.17137</v>
      </c>
      <c r="DK34" s="2013">
        <v>0</v>
      </c>
      <c r="DL34" s="2013">
        <v>188.83923999999999</v>
      </c>
      <c r="DM34" s="2013">
        <v>0</v>
      </c>
      <c r="DN34" s="2013">
        <v>189.56888000000001</v>
      </c>
      <c r="DO34" s="2013">
        <v>0</v>
      </c>
      <c r="DP34" s="2013">
        <v>188.70277999999999</v>
      </c>
      <c r="DQ34" s="2014">
        <v>0</v>
      </c>
      <c r="DR34" s="2015">
        <v>0.76361000000000001</v>
      </c>
      <c r="DS34" s="2016">
        <v>0</v>
      </c>
      <c r="DT34" s="2017">
        <v>99.276489999999995</v>
      </c>
      <c r="DU34" s="2014">
        <v>0</v>
      </c>
      <c r="DV34" s="2015">
        <v>100.20121</v>
      </c>
      <c r="DW34" s="2016">
        <v>0</v>
      </c>
      <c r="DX34" s="2017">
        <v>101.04737</v>
      </c>
      <c r="DY34" s="2014">
        <v>0</v>
      </c>
      <c r="DZ34" s="2015">
        <v>101.79643</v>
      </c>
      <c r="EA34" s="2016">
        <v>0</v>
      </c>
      <c r="EB34" s="2017">
        <v>102.44020999999999</v>
      </c>
      <c r="EC34" s="2014">
        <v>0</v>
      </c>
      <c r="ED34" s="2015">
        <v>102.44020999999999</v>
      </c>
      <c r="EE34" s="2016">
        <v>0</v>
      </c>
      <c r="EF34" s="2015">
        <v>102.44020999999999</v>
      </c>
      <c r="EG34" s="2016">
        <v>0</v>
      </c>
      <c r="EH34" s="2017">
        <v>261.42243000000002</v>
      </c>
      <c r="EI34" s="2016">
        <v>0</v>
      </c>
      <c r="EJ34" s="2017">
        <v>261.42243000000002</v>
      </c>
      <c r="EK34" s="2016">
        <v>0</v>
      </c>
      <c r="EL34" s="2015">
        <v>261.42243000000002</v>
      </c>
      <c r="EM34" s="2018">
        <v>0</v>
      </c>
      <c r="EN34" s="2015">
        <v>261.42243000000002</v>
      </c>
      <c r="EO34" s="2018">
        <v>0</v>
      </c>
      <c r="EP34" s="2015">
        <v>0</v>
      </c>
      <c r="EQ34" s="2018">
        <v>0</v>
      </c>
      <c r="ER34" s="2015">
        <v>87.425989999999999</v>
      </c>
      <c r="ES34" s="2018">
        <v>0</v>
      </c>
      <c r="ET34" s="2015">
        <v>87.425989999999999</v>
      </c>
      <c r="EU34" s="2018">
        <v>0</v>
      </c>
      <c r="EV34" s="2015">
        <v>87.425989999999999</v>
      </c>
      <c r="EW34" s="2018">
        <v>0</v>
      </c>
      <c r="EX34" s="2015">
        <v>87.425989999999999</v>
      </c>
      <c r="EY34" s="2018">
        <v>0</v>
      </c>
      <c r="EZ34" s="2015">
        <v>87.425989999999999</v>
      </c>
      <c r="FA34" s="2018">
        <v>0</v>
      </c>
      <c r="FB34" s="2015">
        <v>87.425989999999999</v>
      </c>
      <c r="FC34" s="2018">
        <v>0</v>
      </c>
      <c r="FD34" s="2015">
        <v>255.21241000000001</v>
      </c>
      <c r="FE34" s="2018">
        <v>0</v>
      </c>
      <c r="FF34" s="2015">
        <v>255.21241000000001</v>
      </c>
      <c r="FG34" s="2018">
        <v>0</v>
      </c>
      <c r="FH34" s="2015">
        <v>259.32819999999998</v>
      </c>
      <c r="FI34" s="2018">
        <v>0</v>
      </c>
      <c r="FJ34" s="2015">
        <v>259.32819999999998</v>
      </c>
      <c r="FK34" s="2018">
        <v>0</v>
      </c>
      <c r="FL34" s="2015">
        <v>259.32820000000004</v>
      </c>
      <c r="FM34" s="2018">
        <v>0</v>
      </c>
      <c r="FN34" s="2015">
        <v>0</v>
      </c>
      <c r="FO34" s="2018">
        <v>0</v>
      </c>
      <c r="FP34" s="2015">
        <v>82.429860000000005</v>
      </c>
      <c r="FQ34" s="2018">
        <v>0</v>
      </c>
      <c r="FR34" s="2015">
        <v>82.429860000000005</v>
      </c>
      <c r="FS34" s="2018">
        <v>0</v>
      </c>
      <c r="FT34" s="2015">
        <v>82.429860000000005</v>
      </c>
      <c r="FU34" s="2018">
        <v>0</v>
      </c>
      <c r="FV34" s="2015">
        <v>82.429860000000005</v>
      </c>
      <c r="FW34" s="2018">
        <v>0</v>
      </c>
      <c r="FX34" s="2015">
        <v>85.561409999999995</v>
      </c>
      <c r="FY34" s="2018">
        <v>0</v>
      </c>
      <c r="FZ34" s="2015">
        <v>85.561409999999995</v>
      </c>
      <c r="GA34" s="2018">
        <v>0</v>
      </c>
      <c r="GB34" s="2015">
        <v>85.561409999999995</v>
      </c>
      <c r="GC34" s="2018">
        <v>0</v>
      </c>
      <c r="GD34" s="2015">
        <v>85.561409999999995</v>
      </c>
      <c r="GE34" s="2018">
        <v>0</v>
      </c>
      <c r="GF34" s="2015">
        <v>85.561409999999995</v>
      </c>
      <c r="GG34" s="2018">
        <v>0</v>
      </c>
      <c r="GH34" s="2015">
        <v>85.561409999999995</v>
      </c>
      <c r="GI34" s="2018">
        <v>0</v>
      </c>
      <c r="GJ34" s="2015">
        <v>85.561409999999995</v>
      </c>
      <c r="GK34" s="2018" t="s">
        <v>115</v>
      </c>
      <c r="GL34" s="2015">
        <v>85.561409999999995</v>
      </c>
      <c r="GM34" s="2018">
        <v>0</v>
      </c>
      <c r="GN34" s="2015">
        <v>85.561409999999995</v>
      </c>
      <c r="GO34" s="2018">
        <v>0</v>
      </c>
      <c r="GP34" s="2015">
        <v>85.561410000000009</v>
      </c>
      <c r="GQ34" s="2018">
        <v>0</v>
      </c>
      <c r="GR34" s="2015">
        <v>85.561409999999995</v>
      </c>
      <c r="GS34" s="2018">
        <v>0</v>
      </c>
      <c r="GT34" s="2015">
        <v>85.561409999999995</v>
      </c>
      <c r="GU34" s="2018">
        <v>0</v>
      </c>
      <c r="GV34" s="2021" t="s">
        <v>3437</v>
      </c>
    </row>
    <row r="35" spans="1:207" s="1991" customFormat="1" ht="22.5" customHeight="1">
      <c r="A35" s="2012" t="s">
        <v>2302</v>
      </c>
      <c r="B35" s="2013">
        <v>0</v>
      </c>
      <c r="C35" s="2013">
        <v>0</v>
      </c>
      <c r="D35" s="2013">
        <v>0</v>
      </c>
      <c r="E35" s="2013">
        <v>0</v>
      </c>
      <c r="F35" s="2013">
        <v>0</v>
      </c>
      <c r="G35" s="2013">
        <v>0</v>
      </c>
      <c r="H35" s="2013">
        <v>0</v>
      </c>
      <c r="I35" s="2013">
        <v>0</v>
      </c>
      <c r="J35" s="2013">
        <v>0</v>
      </c>
      <c r="K35" s="2013">
        <v>0</v>
      </c>
      <c r="L35" s="2013">
        <v>1.5349999999999999</v>
      </c>
      <c r="M35" s="2013">
        <v>0</v>
      </c>
      <c r="N35" s="2013">
        <v>0</v>
      </c>
      <c r="O35" s="2013">
        <v>0</v>
      </c>
      <c r="P35" s="2013">
        <v>48.892000000000003</v>
      </c>
      <c r="Q35" s="2013">
        <v>0</v>
      </c>
      <c r="R35" s="2013">
        <v>48.892000000000003</v>
      </c>
      <c r="S35" s="2013">
        <v>0</v>
      </c>
      <c r="T35" s="2013">
        <v>48.892000000000003</v>
      </c>
      <c r="U35" s="2013">
        <v>0</v>
      </c>
      <c r="V35" s="2013">
        <v>48.892000000000003</v>
      </c>
      <c r="W35" s="2013">
        <v>0</v>
      </c>
      <c r="X35" s="2013">
        <v>48.892000000000003</v>
      </c>
      <c r="Y35" s="2013">
        <v>0</v>
      </c>
      <c r="Z35" s="2013"/>
      <c r="AA35" s="2013"/>
      <c r="AB35" s="2013">
        <v>0</v>
      </c>
      <c r="AC35" s="2013">
        <v>0</v>
      </c>
      <c r="AD35" s="2013">
        <v>0</v>
      </c>
      <c r="AE35" s="2013">
        <v>0</v>
      </c>
      <c r="AF35" s="2013">
        <v>0</v>
      </c>
      <c r="AG35" s="2013">
        <v>0</v>
      </c>
      <c r="AH35" s="2013">
        <v>0</v>
      </c>
      <c r="AI35" s="2013">
        <v>0</v>
      </c>
      <c r="AJ35" s="2013">
        <v>0</v>
      </c>
      <c r="AK35" s="2013">
        <v>0</v>
      </c>
      <c r="AL35" s="2013">
        <v>46.323</v>
      </c>
      <c r="AM35" s="2013">
        <v>0</v>
      </c>
      <c r="AN35" s="2013">
        <v>46.323</v>
      </c>
      <c r="AO35" s="2013">
        <v>0</v>
      </c>
      <c r="AP35" s="2013">
        <v>46.323</v>
      </c>
      <c r="AQ35" s="2013">
        <v>0</v>
      </c>
      <c r="AR35" s="2013">
        <v>46.323</v>
      </c>
      <c r="AS35" s="2013">
        <v>0</v>
      </c>
      <c r="AT35" s="2013">
        <v>46.323</v>
      </c>
      <c r="AU35" s="2013">
        <v>0</v>
      </c>
      <c r="AV35" s="2013">
        <v>46.323</v>
      </c>
      <c r="AW35" s="2013">
        <v>0</v>
      </c>
      <c r="AX35" s="2013">
        <v>0</v>
      </c>
      <c r="AY35" s="2013">
        <v>0</v>
      </c>
      <c r="AZ35" s="2013">
        <v>0</v>
      </c>
      <c r="BA35" s="2013">
        <v>0</v>
      </c>
      <c r="BB35" s="2013">
        <v>0</v>
      </c>
      <c r="BC35" s="2013">
        <v>0</v>
      </c>
      <c r="BD35" s="2013">
        <v>0</v>
      </c>
      <c r="BE35" s="2013">
        <v>0</v>
      </c>
      <c r="BF35" s="2013">
        <v>0</v>
      </c>
      <c r="BG35" s="2013">
        <v>0</v>
      </c>
      <c r="BH35" s="2013">
        <v>0</v>
      </c>
      <c r="BI35" s="2013">
        <v>0</v>
      </c>
      <c r="BJ35" s="2013">
        <v>0</v>
      </c>
      <c r="BK35" s="2013">
        <v>0</v>
      </c>
      <c r="BL35" s="2013">
        <v>0</v>
      </c>
      <c r="BM35" s="2013">
        <v>0</v>
      </c>
      <c r="BN35" s="2013">
        <v>0</v>
      </c>
      <c r="BO35" s="2013">
        <v>0</v>
      </c>
      <c r="BP35" s="2013">
        <v>0</v>
      </c>
      <c r="BQ35" s="2013">
        <v>0</v>
      </c>
      <c r="BR35" s="2013">
        <v>0</v>
      </c>
      <c r="BS35" s="2013">
        <v>0</v>
      </c>
      <c r="BT35" s="2013">
        <v>0</v>
      </c>
      <c r="BU35" s="2013">
        <v>0</v>
      </c>
      <c r="BV35" s="2013">
        <v>0</v>
      </c>
      <c r="BW35" s="2013">
        <v>0</v>
      </c>
      <c r="BX35" s="2013">
        <v>0</v>
      </c>
      <c r="BY35" s="2013">
        <v>0</v>
      </c>
      <c r="BZ35" s="2013">
        <v>0</v>
      </c>
      <c r="CA35" s="2013">
        <v>0</v>
      </c>
      <c r="CB35" s="2013">
        <v>0</v>
      </c>
      <c r="CC35" s="2013">
        <v>0</v>
      </c>
      <c r="CD35" s="2013">
        <v>0</v>
      </c>
      <c r="CE35" s="2013">
        <v>0</v>
      </c>
      <c r="CF35" s="2013">
        <v>0</v>
      </c>
      <c r="CG35" s="2013">
        <v>0</v>
      </c>
      <c r="CH35" s="2013">
        <v>0</v>
      </c>
      <c r="CI35" s="2013">
        <v>0</v>
      </c>
      <c r="CJ35" s="2013">
        <v>0</v>
      </c>
      <c r="CK35" s="2013">
        <v>0</v>
      </c>
      <c r="CL35" s="2013">
        <v>0</v>
      </c>
      <c r="CM35" s="2013">
        <v>0</v>
      </c>
      <c r="CN35" s="2013">
        <v>0</v>
      </c>
      <c r="CO35" s="2013">
        <v>0</v>
      </c>
      <c r="CP35" s="2013">
        <v>0</v>
      </c>
      <c r="CQ35" s="2013">
        <v>0</v>
      </c>
      <c r="CR35" s="2013">
        <v>0</v>
      </c>
      <c r="CS35" s="2013">
        <v>0</v>
      </c>
      <c r="CT35" s="2013">
        <v>0</v>
      </c>
      <c r="CU35" s="2013">
        <v>0</v>
      </c>
      <c r="CV35" s="2013">
        <v>0</v>
      </c>
      <c r="CW35" s="2013">
        <v>0</v>
      </c>
      <c r="CX35" s="2013">
        <v>0</v>
      </c>
      <c r="CY35" s="2013">
        <v>0</v>
      </c>
      <c r="CZ35" s="2013">
        <v>0</v>
      </c>
      <c r="DA35" s="2013">
        <v>0</v>
      </c>
      <c r="DB35" s="2013">
        <v>0</v>
      </c>
      <c r="DC35" s="2013">
        <v>0</v>
      </c>
      <c r="DD35" s="2013">
        <v>0</v>
      </c>
      <c r="DE35" s="2013">
        <v>0</v>
      </c>
      <c r="DF35" s="2013">
        <v>0</v>
      </c>
      <c r="DG35" s="2013">
        <v>0</v>
      </c>
      <c r="DH35" s="2013">
        <v>0</v>
      </c>
      <c r="DI35" s="2013">
        <v>0</v>
      </c>
      <c r="DJ35" s="2013">
        <v>0</v>
      </c>
      <c r="DK35" s="2013">
        <v>0</v>
      </c>
      <c r="DL35" s="2013">
        <v>0</v>
      </c>
      <c r="DM35" s="2013">
        <v>0</v>
      </c>
      <c r="DN35" s="2013">
        <v>0</v>
      </c>
      <c r="DO35" s="2013">
        <v>0</v>
      </c>
      <c r="DP35" s="2013">
        <v>0</v>
      </c>
      <c r="DQ35" s="2014">
        <v>0</v>
      </c>
      <c r="DR35" s="2015">
        <v>0</v>
      </c>
      <c r="DS35" s="2016">
        <v>0</v>
      </c>
      <c r="DT35" s="2017">
        <v>0</v>
      </c>
      <c r="DU35" s="2014">
        <v>0</v>
      </c>
      <c r="DV35" s="2015">
        <v>0</v>
      </c>
      <c r="DW35" s="2016">
        <v>0</v>
      </c>
      <c r="DX35" s="2017">
        <v>0</v>
      </c>
      <c r="DY35" s="2014">
        <v>0</v>
      </c>
      <c r="DZ35" s="2015">
        <v>0</v>
      </c>
      <c r="EA35" s="2016">
        <v>0</v>
      </c>
      <c r="EB35" s="2017">
        <v>0</v>
      </c>
      <c r="EC35" s="2014">
        <v>0</v>
      </c>
      <c r="ED35" s="2015">
        <v>0</v>
      </c>
      <c r="EE35" s="2016">
        <v>0</v>
      </c>
      <c r="EF35" s="2015">
        <v>0</v>
      </c>
      <c r="EG35" s="2016">
        <v>0</v>
      </c>
      <c r="EH35" s="2017">
        <v>0</v>
      </c>
      <c r="EI35" s="2016">
        <v>0</v>
      </c>
      <c r="EJ35" s="2017">
        <v>0</v>
      </c>
      <c r="EK35" s="2016">
        <v>0</v>
      </c>
      <c r="EL35" s="2015">
        <v>0</v>
      </c>
      <c r="EM35" s="2018">
        <v>0</v>
      </c>
      <c r="EN35" s="2015">
        <v>0</v>
      </c>
      <c r="EO35" s="2018">
        <v>0</v>
      </c>
      <c r="EP35" s="2015">
        <v>0</v>
      </c>
      <c r="EQ35" s="2018">
        <v>0</v>
      </c>
      <c r="ER35" s="2015">
        <v>0</v>
      </c>
      <c r="ES35" s="2018">
        <v>0</v>
      </c>
      <c r="ET35" s="2015">
        <v>0</v>
      </c>
      <c r="EU35" s="2018">
        <v>0</v>
      </c>
      <c r="EV35" s="2015">
        <v>0</v>
      </c>
      <c r="EW35" s="2018">
        <v>0</v>
      </c>
      <c r="EX35" s="2015">
        <v>0</v>
      </c>
      <c r="EY35" s="2018">
        <v>0</v>
      </c>
      <c r="EZ35" s="2015">
        <v>0</v>
      </c>
      <c r="FA35" s="2018">
        <v>0</v>
      </c>
      <c r="FB35" s="2015">
        <v>0</v>
      </c>
      <c r="FC35" s="2018">
        <v>0</v>
      </c>
      <c r="FD35" s="2015">
        <v>0</v>
      </c>
      <c r="FE35" s="2018">
        <v>0</v>
      </c>
      <c r="FF35" s="2015">
        <v>0</v>
      </c>
      <c r="FG35" s="2018">
        <v>0</v>
      </c>
      <c r="FH35" s="2015">
        <v>0</v>
      </c>
      <c r="FI35" s="2018">
        <v>0</v>
      </c>
      <c r="FJ35" s="2015">
        <v>0</v>
      </c>
      <c r="FK35" s="2018">
        <v>0</v>
      </c>
      <c r="FL35" s="2015">
        <v>0</v>
      </c>
      <c r="FM35" s="2018">
        <v>0</v>
      </c>
      <c r="FN35" s="2015">
        <v>0</v>
      </c>
      <c r="FO35" s="2018">
        <v>0</v>
      </c>
      <c r="FP35" s="2015">
        <v>0</v>
      </c>
      <c r="FQ35" s="2018">
        <v>0</v>
      </c>
      <c r="FR35" s="2015">
        <v>0</v>
      </c>
      <c r="FS35" s="2018">
        <v>0</v>
      </c>
      <c r="FT35" s="2015">
        <v>0</v>
      </c>
      <c r="FU35" s="2018">
        <v>0</v>
      </c>
      <c r="FV35" s="2015">
        <v>0</v>
      </c>
      <c r="FW35" s="2018">
        <v>0</v>
      </c>
      <c r="FX35" s="2015">
        <v>0</v>
      </c>
      <c r="FY35" s="2018">
        <v>0</v>
      </c>
      <c r="FZ35" s="2015">
        <v>0</v>
      </c>
      <c r="GA35" s="2018">
        <v>0</v>
      </c>
      <c r="GB35" s="2015">
        <v>0</v>
      </c>
      <c r="GC35" s="2018">
        <v>0</v>
      </c>
      <c r="GD35" s="2015">
        <v>0</v>
      </c>
      <c r="GE35" s="2018">
        <v>0</v>
      </c>
      <c r="GF35" s="2015">
        <v>0</v>
      </c>
      <c r="GG35" s="2018">
        <v>0</v>
      </c>
      <c r="GH35" s="2015">
        <v>0</v>
      </c>
      <c r="GI35" s="2018">
        <v>0</v>
      </c>
      <c r="GJ35" s="2015">
        <v>0</v>
      </c>
      <c r="GK35" s="2018">
        <v>0</v>
      </c>
      <c r="GL35" s="2015">
        <v>0</v>
      </c>
      <c r="GM35" s="2018">
        <v>0</v>
      </c>
      <c r="GN35" s="2015">
        <v>0</v>
      </c>
      <c r="GO35" s="2018">
        <v>0</v>
      </c>
      <c r="GP35" s="2015">
        <v>0</v>
      </c>
      <c r="GQ35" s="2018">
        <v>0</v>
      </c>
      <c r="GR35" s="2015">
        <v>0</v>
      </c>
      <c r="GS35" s="2018">
        <v>0</v>
      </c>
      <c r="GT35" s="2015">
        <v>42.5</v>
      </c>
      <c r="GU35" s="2018">
        <v>0</v>
      </c>
      <c r="GV35" s="2021" t="s">
        <v>3206</v>
      </c>
    </row>
    <row r="36" spans="1:207" s="1991" customFormat="1" ht="22.5" customHeight="1">
      <c r="A36" s="2011" t="s">
        <v>2301</v>
      </c>
      <c r="B36" s="2005">
        <f t="shared" ref="B36:BM36" si="33">SUM(B37:B45)</f>
        <v>4007.2098199999996</v>
      </c>
      <c r="C36" s="2005">
        <f t="shared" si="33"/>
        <v>310.23735000000005</v>
      </c>
      <c r="D36" s="2005">
        <f t="shared" si="33"/>
        <v>5722.8748050000004</v>
      </c>
      <c r="E36" s="2005">
        <f t="shared" si="33"/>
        <v>339.58450000000005</v>
      </c>
      <c r="F36" s="2005">
        <f t="shared" si="33"/>
        <v>7524.0463599999994</v>
      </c>
      <c r="G36" s="2005">
        <f t="shared" si="33"/>
        <v>376.04867000000002</v>
      </c>
      <c r="H36" s="2005">
        <f t="shared" si="33"/>
        <v>8574.6159699999989</v>
      </c>
      <c r="I36" s="2005">
        <f t="shared" si="33"/>
        <v>1164.9820999999997</v>
      </c>
      <c r="J36" s="2005">
        <f t="shared" si="33"/>
        <v>10330.503639999999</v>
      </c>
      <c r="K36" s="2005">
        <f t="shared" si="33"/>
        <v>1971.8677399999997</v>
      </c>
      <c r="L36" s="2005">
        <f t="shared" si="33"/>
        <v>11956.921200000001</v>
      </c>
      <c r="M36" s="2005">
        <f t="shared" si="33"/>
        <v>2194.9429400000004</v>
      </c>
      <c r="N36" s="2005">
        <f t="shared" si="33"/>
        <v>14962.540290000001</v>
      </c>
      <c r="O36" s="2005">
        <f t="shared" si="33"/>
        <v>2163.2529800000002</v>
      </c>
      <c r="P36" s="2005">
        <f t="shared" si="33"/>
        <v>15813.870880000002</v>
      </c>
      <c r="Q36" s="2005">
        <f t="shared" si="33"/>
        <v>2171.5491599999996</v>
      </c>
      <c r="R36" s="2005">
        <f t="shared" si="33"/>
        <v>16821.232970000001</v>
      </c>
      <c r="S36" s="2005">
        <f t="shared" si="33"/>
        <v>2335.1783799999998</v>
      </c>
      <c r="T36" s="2005">
        <f t="shared" si="33"/>
        <v>17820.821499999998</v>
      </c>
      <c r="U36" s="2005">
        <f t="shared" si="33"/>
        <v>2343.0535399999999</v>
      </c>
      <c r="V36" s="2005">
        <f t="shared" si="33"/>
        <v>18687.587629999995</v>
      </c>
      <c r="W36" s="2005">
        <f t="shared" si="33"/>
        <v>2375.8506899999998</v>
      </c>
      <c r="X36" s="2005">
        <f t="shared" si="33"/>
        <v>19310.327339999996</v>
      </c>
      <c r="Y36" s="2005">
        <f t="shared" si="33"/>
        <v>2789.98605</v>
      </c>
      <c r="Z36" s="2005">
        <f t="shared" si="33"/>
        <v>4102.4111400000002</v>
      </c>
      <c r="AA36" s="2005">
        <f t="shared" si="33"/>
        <v>524.24099000000001</v>
      </c>
      <c r="AB36" s="2005">
        <f t="shared" si="33"/>
        <v>5332.1992199999995</v>
      </c>
      <c r="AC36" s="2005">
        <f t="shared" si="33"/>
        <v>527.69218000000001</v>
      </c>
      <c r="AD36" s="2005">
        <f t="shared" si="33"/>
        <v>8146.5397399999993</v>
      </c>
      <c r="AE36" s="2005">
        <f t="shared" si="33"/>
        <v>537.65356999999995</v>
      </c>
      <c r="AF36" s="2005">
        <f t="shared" si="33"/>
        <v>9141.70478</v>
      </c>
      <c r="AG36" s="2005">
        <f t="shared" si="33"/>
        <v>538.71283000000005</v>
      </c>
      <c r="AH36" s="2005">
        <f t="shared" si="33"/>
        <v>10777.546330000001</v>
      </c>
      <c r="AI36" s="2005">
        <f t="shared" si="33"/>
        <v>1156.6345600000002</v>
      </c>
      <c r="AJ36" s="2005">
        <f t="shared" si="33"/>
        <v>11435.633400000001</v>
      </c>
      <c r="AK36" s="2005">
        <f t="shared" si="33"/>
        <v>1431.9166000000002</v>
      </c>
      <c r="AL36" s="2005">
        <f t="shared" si="33"/>
        <v>17910.739019999997</v>
      </c>
      <c r="AM36" s="2005">
        <f t="shared" si="33"/>
        <v>1824.8860400000001</v>
      </c>
      <c r="AN36" s="2005">
        <f t="shared" si="33"/>
        <v>18336.714989999997</v>
      </c>
      <c r="AO36" s="2005">
        <f t="shared" si="33"/>
        <v>1830.1037700000002</v>
      </c>
      <c r="AP36" s="2005">
        <f t="shared" si="33"/>
        <v>19306.012999999999</v>
      </c>
      <c r="AQ36" s="2005">
        <f t="shared" si="33"/>
        <v>1833.1549000000002</v>
      </c>
      <c r="AR36" s="2005">
        <f t="shared" si="33"/>
        <v>20213.81019</v>
      </c>
      <c r="AS36" s="2005">
        <f t="shared" si="33"/>
        <v>1844.7320299999999</v>
      </c>
      <c r="AT36" s="2005">
        <f t="shared" si="33"/>
        <v>20907.097440000001</v>
      </c>
      <c r="AU36" s="2005">
        <f t="shared" si="33"/>
        <v>1848.1091600000002</v>
      </c>
      <c r="AV36" s="2005">
        <f t="shared" si="33"/>
        <v>22375.039199999996</v>
      </c>
      <c r="AW36" s="2005">
        <f t="shared" si="33"/>
        <v>1954.5606500000001</v>
      </c>
      <c r="AX36" s="2005">
        <f t="shared" si="33"/>
        <v>4134.1797099999994</v>
      </c>
      <c r="AY36" s="2005">
        <f t="shared" si="33"/>
        <v>7.9892400000000006</v>
      </c>
      <c r="AZ36" s="2005">
        <f t="shared" si="33"/>
        <v>6801.5297300000002</v>
      </c>
      <c r="BA36" s="2005">
        <f t="shared" si="33"/>
        <v>205.07676000000001</v>
      </c>
      <c r="BB36" s="2005">
        <f t="shared" si="33"/>
        <v>8257.4111799999991</v>
      </c>
      <c r="BC36" s="2005">
        <f t="shared" si="33"/>
        <v>221.94525999999996</v>
      </c>
      <c r="BD36" s="2005">
        <f t="shared" si="33"/>
        <v>10056.4434</v>
      </c>
      <c r="BE36" s="2005">
        <f t="shared" si="33"/>
        <v>231.06691999999998</v>
      </c>
      <c r="BF36" s="2005">
        <f t="shared" si="33"/>
        <v>11915.016800000001</v>
      </c>
      <c r="BG36" s="2005">
        <f t="shared" si="33"/>
        <v>247.11976999999999</v>
      </c>
      <c r="BH36" s="2005">
        <f t="shared" si="33"/>
        <v>12507.75598</v>
      </c>
      <c r="BI36" s="2005">
        <f t="shared" si="33"/>
        <v>286.88394</v>
      </c>
      <c r="BJ36" s="2005">
        <f t="shared" si="33"/>
        <v>15719.140810000001</v>
      </c>
      <c r="BK36" s="2005">
        <f t="shared" si="33"/>
        <v>308.49394999999998</v>
      </c>
      <c r="BL36" s="2005">
        <f t="shared" si="33"/>
        <v>16727.421100000003</v>
      </c>
      <c r="BM36" s="2005">
        <f t="shared" si="33"/>
        <v>327.55477999999999</v>
      </c>
      <c r="BN36" s="2005">
        <f t="shared" ref="BN36:DY36" si="34">SUM(BN37:BN45)</f>
        <v>17666.483090000002</v>
      </c>
      <c r="BO36" s="2005">
        <f t="shared" si="34"/>
        <v>554.73452999999995</v>
      </c>
      <c r="BP36" s="2005">
        <f t="shared" si="34"/>
        <v>19417.218559999998</v>
      </c>
      <c r="BQ36" s="2005">
        <f t="shared" si="34"/>
        <v>572.40459999999996</v>
      </c>
      <c r="BR36" s="2005">
        <f t="shared" si="34"/>
        <v>20212.483439999996</v>
      </c>
      <c r="BS36" s="2005">
        <f t="shared" si="34"/>
        <v>1072.2487100000001</v>
      </c>
      <c r="BT36" s="2005">
        <f t="shared" si="34"/>
        <v>20923.379279999997</v>
      </c>
      <c r="BU36" s="2005">
        <f t="shared" si="34"/>
        <v>1083.70128</v>
      </c>
      <c r="BV36" s="2005">
        <f t="shared" si="34"/>
        <v>4818.7464000000009</v>
      </c>
      <c r="BW36" s="2005">
        <f t="shared" si="34"/>
        <v>13.72569</v>
      </c>
      <c r="BX36" s="2005">
        <f t="shared" si="34"/>
        <v>7016.99298</v>
      </c>
      <c r="BY36" s="2005">
        <f t="shared" si="34"/>
        <v>52.156710000000004</v>
      </c>
      <c r="BZ36" s="2005">
        <f t="shared" si="34"/>
        <v>8685.7400999999991</v>
      </c>
      <c r="CA36" s="2005">
        <f t="shared" si="34"/>
        <v>312.63512000000003</v>
      </c>
      <c r="CB36" s="2005">
        <f t="shared" si="34"/>
        <v>10361.838969999999</v>
      </c>
      <c r="CC36" s="2005">
        <f t="shared" si="34"/>
        <v>312.63512000000003</v>
      </c>
      <c r="CD36" s="2005">
        <f t="shared" si="34"/>
        <v>12033.07172</v>
      </c>
      <c r="CE36" s="2005">
        <f t="shared" si="34"/>
        <v>312.63512000000003</v>
      </c>
      <c r="CF36" s="2005">
        <f t="shared" si="34"/>
        <v>13083.327120000002</v>
      </c>
      <c r="CG36" s="2005">
        <f t="shared" si="34"/>
        <v>318.71498000000003</v>
      </c>
      <c r="CH36" s="2005">
        <f t="shared" si="34"/>
        <v>16485.719839999998</v>
      </c>
      <c r="CI36" s="2005">
        <f t="shared" si="34"/>
        <v>341.41798</v>
      </c>
      <c r="CJ36" s="2005">
        <f t="shared" si="34"/>
        <v>16944.158890000002</v>
      </c>
      <c r="CK36" s="2005">
        <f t="shared" si="34"/>
        <v>471.30398000000002</v>
      </c>
      <c r="CL36" s="2005">
        <f t="shared" si="34"/>
        <v>18079.777820000003</v>
      </c>
      <c r="CM36" s="2005">
        <f t="shared" si="34"/>
        <v>525.39897999999994</v>
      </c>
      <c r="CN36" s="2005">
        <f t="shared" si="34"/>
        <v>18901.597170000001</v>
      </c>
      <c r="CO36" s="2005">
        <f t="shared" si="34"/>
        <v>545.59298000000001</v>
      </c>
      <c r="CP36" s="2005">
        <f t="shared" si="34"/>
        <v>19342.859660000006</v>
      </c>
      <c r="CQ36" s="2005">
        <f t="shared" si="34"/>
        <v>557.23398000000009</v>
      </c>
      <c r="CR36" s="2005">
        <f t="shared" si="34"/>
        <v>20829.01758</v>
      </c>
      <c r="CS36" s="2005">
        <f t="shared" si="34"/>
        <v>576.70497999999998</v>
      </c>
      <c r="CT36" s="2005">
        <f t="shared" si="34"/>
        <v>4408.2868500000004</v>
      </c>
      <c r="CU36" s="2005">
        <f t="shared" si="34"/>
        <v>24.651</v>
      </c>
      <c r="CV36" s="2005">
        <f t="shared" si="34"/>
        <v>6515.4442000000008</v>
      </c>
      <c r="CW36" s="2005">
        <f t="shared" si="34"/>
        <v>36.306640000000002</v>
      </c>
      <c r="CX36" s="2005">
        <f t="shared" si="34"/>
        <v>9728.7990900000004</v>
      </c>
      <c r="CY36" s="2005">
        <f t="shared" si="34"/>
        <v>71.704610000000002</v>
      </c>
      <c r="CZ36" s="2005">
        <f t="shared" si="34"/>
        <v>10499.32429</v>
      </c>
      <c r="DA36" s="2005">
        <f t="shared" si="34"/>
        <v>104.51231</v>
      </c>
      <c r="DB36" s="2005">
        <f t="shared" si="34"/>
        <v>11747.806239999998</v>
      </c>
      <c r="DC36" s="2005">
        <f t="shared" si="34"/>
        <v>123.11041</v>
      </c>
      <c r="DD36" s="2005">
        <f t="shared" si="34"/>
        <v>12638.165299999997</v>
      </c>
      <c r="DE36" s="2005">
        <f t="shared" si="34"/>
        <v>162.74187000000001</v>
      </c>
      <c r="DF36" s="2005">
        <f t="shared" si="34"/>
        <v>15937.69247</v>
      </c>
      <c r="DG36" s="2005">
        <f t="shared" si="34"/>
        <v>300.03481999999997</v>
      </c>
      <c r="DH36" s="2005">
        <f t="shared" si="34"/>
        <v>16446.534109999997</v>
      </c>
      <c r="DI36" s="2005">
        <f t="shared" si="34"/>
        <v>334.13481999999999</v>
      </c>
      <c r="DJ36" s="2005">
        <f t="shared" si="34"/>
        <v>17209.030089999997</v>
      </c>
      <c r="DK36" s="2005">
        <f t="shared" si="34"/>
        <v>665.74893999999995</v>
      </c>
      <c r="DL36" s="2005">
        <f t="shared" si="34"/>
        <v>17871.609400000001</v>
      </c>
      <c r="DM36" s="2005">
        <f t="shared" si="34"/>
        <v>686.39427999999998</v>
      </c>
      <c r="DN36" s="2005">
        <f t="shared" si="34"/>
        <v>18307.071289999996</v>
      </c>
      <c r="DO36" s="2005">
        <f t="shared" si="34"/>
        <v>708.31655999999998</v>
      </c>
      <c r="DP36" s="2005">
        <f t="shared" si="34"/>
        <v>20385.361029999996</v>
      </c>
      <c r="DQ36" s="2006">
        <f t="shared" si="34"/>
        <v>731.08356000000003</v>
      </c>
      <c r="DR36" s="2007">
        <f t="shared" si="34"/>
        <v>3842.0506399999999</v>
      </c>
      <c r="DS36" s="2008">
        <f t="shared" si="34"/>
        <v>13.16451</v>
      </c>
      <c r="DT36" s="2009">
        <f t="shared" si="34"/>
        <v>7170.1548499999999</v>
      </c>
      <c r="DU36" s="2006">
        <f t="shared" si="34"/>
        <v>27.287700000000001</v>
      </c>
      <c r="DV36" s="2007">
        <f t="shared" si="34"/>
        <v>8430.1750200000006</v>
      </c>
      <c r="DW36" s="2008">
        <f t="shared" si="34"/>
        <v>41.7209</v>
      </c>
      <c r="DX36" s="2009">
        <f t="shared" si="34"/>
        <v>9868.5779500000008</v>
      </c>
      <c r="DY36" s="2006">
        <f t="shared" si="34"/>
        <v>47.669689999999996</v>
      </c>
      <c r="DZ36" s="2007">
        <f t="shared" ref="DZ36:GK36" si="35">SUM(DZ37:DZ45)</f>
        <v>10651.777679999999</v>
      </c>
      <c r="EA36" s="2008">
        <f t="shared" si="35"/>
        <v>50.66825</v>
      </c>
      <c r="EB36" s="2009">
        <f t="shared" si="35"/>
        <v>13718.313410000001</v>
      </c>
      <c r="EC36" s="2006">
        <f t="shared" si="35"/>
        <v>57.221420000000002</v>
      </c>
      <c r="ED36" s="2007">
        <f t="shared" si="35"/>
        <v>16704.114960000003</v>
      </c>
      <c r="EE36" s="2008">
        <f t="shared" si="35"/>
        <v>61.364850000000004</v>
      </c>
      <c r="EF36" s="2006">
        <f t="shared" si="35"/>
        <v>18379.94184</v>
      </c>
      <c r="EG36" s="2016">
        <f t="shared" si="35"/>
        <v>79.880809999999997</v>
      </c>
      <c r="EH36" s="2007">
        <f t="shared" si="35"/>
        <v>19328.157629999998</v>
      </c>
      <c r="EI36" s="2010">
        <f t="shared" si="35"/>
        <v>116.91659000000001</v>
      </c>
      <c r="EJ36" s="2006">
        <f t="shared" si="35"/>
        <v>20309.592790000002</v>
      </c>
      <c r="EK36" s="2008">
        <f t="shared" si="35"/>
        <v>88.452089999999998</v>
      </c>
      <c r="EL36" s="2007">
        <f t="shared" si="35"/>
        <v>21232.065859999999</v>
      </c>
      <c r="EM36" s="2010">
        <f t="shared" si="35"/>
        <v>88.452089999999998</v>
      </c>
      <c r="EN36" s="2007">
        <f t="shared" si="35"/>
        <v>22317.036780000002</v>
      </c>
      <c r="EO36" s="2010">
        <f t="shared" si="35"/>
        <v>89.030100000000004</v>
      </c>
      <c r="EP36" s="2007">
        <f t="shared" si="35"/>
        <v>2788.4713199999997</v>
      </c>
      <c r="EQ36" s="2010">
        <f t="shared" si="35"/>
        <v>42.725490000000001</v>
      </c>
      <c r="ER36" s="2007">
        <f t="shared" si="35"/>
        <v>4140.1430399999999</v>
      </c>
      <c r="ES36" s="2010">
        <f t="shared" si="35"/>
        <v>73.242260000000002</v>
      </c>
      <c r="ET36" s="2007">
        <f t="shared" si="35"/>
        <v>6319.5883800000001</v>
      </c>
      <c r="EU36" s="2010">
        <f t="shared" si="35"/>
        <v>74.176419999999993</v>
      </c>
      <c r="EV36" s="2007">
        <f t="shared" si="35"/>
        <v>8419.0248499999998</v>
      </c>
      <c r="EW36" s="2010">
        <f t="shared" si="35"/>
        <v>80.540509999999998</v>
      </c>
      <c r="EX36" s="2007">
        <f t="shared" si="35"/>
        <v>9248.7975800000022</v>
      </c>
      <c r="EY36" s="2010">
        <f t="shared" si="35"/>
        <v>84.738510000000019</v>
      </c>
      <c r="EZ36" s="2007">
        <f t="shared" si="35"/>
        <v>11020.122750000002</v>
      </c>
      <c r="FA36" s="2010">
        <f t="shared" si="35"/>
        <v>86.757510000000011</v>
      </c>
      <c r="FB36" s="2007">
        <f t="shared" si="35"/>
        <v>16775.136080000004</v>
      </c>
      <c r="FC36" s="2010">
        <f t="shared" si="35"/>
        <v>98.963149999999999</v>
      </c>
      <c r="FD36" s="2007">
        <f t="shared" si="35"/>
        <v>17894.36608</v>
      </c>
      <c r="FE36" s="2010">
        <f t="shared" si="35"/>
        <v>128.61255</v>
      </c>
      <c r="FF36" s="2007">
        <f t="shared" si="35"/>
        <v>19026.592530000002</v>
      </c>
      <c r="FG36" s="2010">
        <f t="shared" si="35"/>
        <v>136.75788</v>
      </c>
      <c r="FH36" s="2007">
        <f t="shared" si="35"/>
        <v>21637.827909999996</v>
      </c>
      <c r="FI36" s="2010">
        <f t="shared" si="35"/>
        <v>136.75788</v>
      </c>
      <c r="FJ36" s="2007">
        <f t="shared" si="35"/>
        <v>22759.239289999998</v>
      </c>
      <c r="FK36" s="2010">
        <f t="shared" si="35"/>
        <v>140.23246</v>
      </c>
      <c r="FL36" s="2007">
        <f t="shared" si="35"/>
        <v>23846.994500000001</v>
      </c>
      <c r="FM36" s="2010">
        <f t="shared" si="35"/>
        <v>176.48219</v>
      </c>
      <c r="FN36" s="2007">
        <f t="shared" si="35"/>
        <v>3801.1730899999998</v>
      </c>
      <c r="FO36" s="2010">
        <f t="shared" si="35"/>
        <v>0.75992000000000004</v>
      </c>
      <c r="FP36" s="2007">
        <f t="shared" si="35"/>
        <v>5254.5899199999994</v>
      </c>
      <c r="FQ36" s="2010">
        <f t="shared" si="35"/>
        <v>14.169419999999999</v>
      </c>
      <c r="FR36" s="2007">
        <f t="shared" si="35"/>
        <v>7756.4135500000011</v>
      </c>
      <c r="FS36" s="2010">
        <f t="shared" si="35"/>
        <v>28.93618</v>
      </c>
      <c r="FT36" s="2007">
        <f t="shared" si="35"/>
        <v>9784.3209300000017</v>
      </c>
      <c r="FU36" s="2010">
        <f t="shared" si="35"/>
        <v>43.821179999999998</v>
      </c>
      <c r="FV36" s="2007">
        <f t="shared" si="35"/>
        <v>11144.537660000002</v>
      </c>
      <c r="FW36" s="2010">
        <f t="shared" si="35"/>
        <v>43.821179999999998</v>
      </c>
      <c r="FX36" s="2007">
        <f t="shared" si="35"/>
        <v>11937.88457</v>
      </c>
      <c r="FY36" s="2010">
        <f t="shared" si="35"/>
        <v>82.07119999999999</v>
      </c>
      <c r="FZ36" s="2007">
        <f t="shared" si="35"/>
        <v>14822.272509999999</v>
      </c>
      <c r="GA36" s="2010">
        <f t="shared" si="35"/>
        <v>83.846199999999996</v>
      </c>
      <c r="GB36" s="2007">
        <f t="shared" si="35"/>
        <v>16059.167380000001</v>
      </c>
      <c r="GC36" s="2010">
        <f t="shared" si="35"/>
        <v>96.289979999999986</v>
      </c>
      <c r="GD36" s="2007">
        <f t="shared" si="35"/>
        <v>17155.237219999999</v>
      </c>
      <c r="GE36" s="2010">
        <f t="shared" si="35"/>
        <v>119.20908</v>
      </c>
      <c r="GF36" s="2007">
        <f t="shared" si="35"/>
        <v>18084.565180000001</v>
      </c>
      <c r="GG36" s="2010">
        <f t="shared" si="35"/>
        <v>123.381</v>
      </c>
      <c r="GH36" s="2007">
        <f t="shared" si="35"/>
        <v>19312.651449999998</v>
      </c>
      <c r="GI36" s="2010">
        <f t="shared" si="35"/>
        <v>127.60590999999999</v>
      </c>
      <c r="GJ36" s="2007">
        <f t="shared" si="35"/>
        <v>23038.737729999997</v>
      </c>
      <c r="GK36" s="2010">
        <f t="shared" si="35"/>
        <v>306.06341000000003</v>
      </c>
      <c r="GL36" s="2007">
        <f t="shared" ref="GL36:GU36" si="36">SUM(GL37:GL45)</f>
        <v>2549.1629400000006</v>
      </c>
      <c r="GM36" s="2010">
        <f t="shared" si="36"/>
        <v>1.669</v>
      </c>
      <c r="GN36" s="2007">
        <f t="shared" si="36"/>
        <v>6141.3917399999991</v>
      </c>
      <c r="GO36" s="2010">
        <f t="shared" si="36"/>
        <v>18.433399999999999</v>
      </c>
      <c r="GP36" s="2007">
        <f t="shared" si="36"/>
        <v>8496.3503599999985</v>
      </c>
      <c r="GQ36" s="2010">
        <f t="shared" si="36"/>
        <v>25.608509999999999</v>
      </c>
      <c r="GR36" s="2007">
        <f t="shared" si="36"/>
        <v>10620.214199999999</v>
      </c>
      <c r="GS36" s="2010">
        <f t="shared" si="36"/>
        <v>30.015509999999999</v>
      </c>
      <c r="GT36" s="2007">
        <f t="shared" si="36"/>
        <v>11499.742880000002</v>
      </c>
      <c r="GU36" s="2010">
        <f t="shared" si="36"/>
        <v>35.12341</v>
      </c>
      <c r="GV36" s="2011" t="s">
        <v>3207</v>
      </c>
    </row>
    <row r="37" spans="1:207" s="1991" customFormat="1" ht="22.5" customHeight="1">
      <c r="A37" s="2012" t="s">
        <v>2300</v>
      </c>
      <c r="B37" s="2013">
        <v>2192.1478999999999</v>
      </c>
      <c r="C37" s="2013">
        <v>0</v>
      </c>
      <c r="D37" s="2013">
        <v>2192.1478999999999</v>
      </c>
      <c r="E37" s="2013">
        <v>0</v>
      </c>
      <c r="F37" s="2013">
        <v>2192.1478999999999</v>
      </c>
      <c r="G37" s="2013">
        <v>0</v>
      </c>
      <c r="H37" s="2013">
        <v>2222.96875</v>
      </c>
      <c r="I37" s="2013">
        <v>766.39499999999998</v>
      </c>
      <c r="J37" s="2013">
        <v>2222.96875</v>
      </c>
      <c r="K37" s="2013">
        <v>1532.61</v>
      </c>
      <c r="L37" s="2013">
        <v>2270.3440799999998</v>
      </c>
      <c r="M37" s="2013">
        <v>1532.79</v>
      </c>
      <c r="N37" s="2013">
        <v>4452.0092000000004</v>
      </c>
      <c r="O37" s="2013">
        <v>1532.61</v>
      </c>
      <c r="P37" s="2013">
        <v>4383.5619500000003</v>
      </c>
      <c r="Q37" s="2013">
        <v>1532.61</v>
      </c>
      <c r="R37" s="2013">
        <v>4448.4119800000008</v>
      </c>
      <c r="S37" s="2013">
        <v>1532.61</v>
      </c>
      <c r="T37" s="2013">
        <v>4456.5962300000001</v>
      </c>
      <c r="U37" s="2013">
        <v>1532.61</v>
      </c>
      <c r="V37" s="2013">
        <v>4456.5962300000001</v>
      </c>
      <c r="W37" s="2013">
        <v>1532.61</v>
      </c>
      <c r="X37" s="2013">
        <v>4458.96461</v>
      </c>
      <c r="Y37" s="2013">
        <v>1532.61</v>
      </c>
      <c r="Z37" s="2013">
        <v>2013.4698999999998</v>
      </c>
      <c r="AA37" s="2013">
        <v>315.17473999999999</v>
      </c>
      <c r="AB37" s="2013">
        <v>2014.3199299999999</v>
      </c>
      <c r="AC37" s="2013">
        <v>315.17473999999999</v>
      </c>
      <c r="AD37" s="2013">
        <v>2014.3200200000001</v>
      </c>
      <c r="AE37" s="2013">
        <v>315.17473999999999</v>
      </c>
      <c r="AF37" s="2013">
        <v>2060.32006</v>
      </c>
      <c r="AG37" s="2013">
        <v>299.87384000000003</v>
      </c>
      <c r="AH37" s="2013">
        <v>2075.7885500000002</v>
      </c>
      <c r="AI37" s="2013">
        <v>299.87384000000003</v>
      </c>
      <c r="AJ37" s="2013">
        <v>2075.7885500000002</v>
      </c>
      <c r="AK37" s="2013">
        <v>566.87414000000001</v>
      </c>
      <c r="AL37" s="2013">
        <v>4305.2699199999997</v>
      </c>
      <c r="AM37" s="2013">
        <v>566.87414000000001</v>
      </c>
      <c r="AN37" s="2013">
        <v>4305.94992</v>
      </c>
      <c r="AO37" s="2013">
        <v>566.87414000000001</v>
      </c>
      <c r="AP37" s="2013">
        <v>4343.2579599999999</v>
      </c>
      <c r="AQ37" s="2013">
        <v>566.84414000000004</v>
      </c>
      <c r="AR37" s="2013">
        <v>4355.4599600000001</v>
      </c>
      <c r="AS37" s="2013">
        <v>566.87414000000001</v>
      </c>
      <c r="AT37" s="2013">
        <v>4371.0442199999998</v>
      </c>
      <c r="AU37" s="2013">
        <v>566.87414000000001</v>
      </c>
      <c r="AV37" s="2013">
        <v>4382.3787599999996</v>
      </c>
      <c r="AW37" s="2013">
        <v>566.87414000000001</v>
      </c>
      <c r="AX37" s="2013">
        <v>2098.7244999999998</v>
      </c>
      <c r="AY37" s="2013">
        <v>0</v>
      </c>
      <c r="AZ37" s="2013">
        <v>2114.2600000000002</v>
      </c>
      <c r="BA37" s="2013">
        <v>0</v>
      </c>
      <c r="BB37" s="2013">
        <v>2129.2600400000001</v>
      </c>
      <c r="BC37" s="2013">
        <v>0</v>
      </c>
      <c r="BD37" s="2013">
        <v>2129.2600400000001</v>
      </c>
      <c r="BE37" s="2013">
        <v>0</v>
      </c>
      <c r="BF37" s="2013">
        <v>2129.2600400000001</v>
      </c>
      <c r="BG37" s="2013">
        <v>0</v>
      </c>
      <c r="BH37" s="2013">
        <v>2180.11724</v>
      </c>
      <c r="BI37" s="2013">
        <v>0</v>
      </c>
      <c r="BJ37" s="2013">
        <v>4794.1538099999998</v>
      </c>
      <c r="BK37" s="2013">
        <v>0</v>
      </c>
      <c r="BL37" s="2013">
        <v>4794.1545400000005</v>
      </c>
      <c r="BM37" s="2013">
        <v>6.3639299999999999</v>
      </c>
      <c r="BN37" s="2013">
        <v>4806.9232099999999</v>
      </c>
      <c r="BO37" s="2013">
        <v>45.654319999999998</v>
      </c>
      <c r="BP37" s="2013">
        <v>4806.9232099999999</v>
      </c>
      <c r="BQ37" s="2013">
        <v>45.654309999999995</v>
      </c>
      <c r="BR37" s="2013">
        <v>4806.9232099999999</v>
      </c>
      <c r="BS37" s="2013">
        <v>538.65431000000001</v>
      </c>
      <c r="BT37" s="2013">
        <v>4807.7681399999992</v>
      </c>
      <c r="BU37" s="2013">
        <v>538.65431000000001</v>
      </c>
      <c r="BV37" s="2013">
        <v>2426.9254300000002</v>
      </c>
      <c r="BW37" s="2013">
        <v>0</v>
      </c>
      <c r="BX37" s="2013">
        <v>2453.3059700000003</v>
      </c>
      <c r="BY37" s="2013">
        <v>0</v>
      </c>
      <c r="BZ37" s="2013">
        <v>2468.3057999999996</v>
      </c>
      <c r="CA37" s="2013">
        <v>242.54192</v>
      </c>
      <c r="CB37" s="2013">
        <v>2468.3057899999999</v>
      </c>
      <c r="CC37" s="2013">
        <v>242.54192</v>
      </c>
      <c r="CD37" s="2013">
        <v>2468.3057899999999</v>
      </c>
      <c r="CE37" s="2013">
        <v>242.54192</v>
      </c>
      <c r="CF37" s="2013">
        <v>2468.3057899999999</v>
      </c>
      <c r="CG37" s="2013">
        <v>242.54192</v>
      </c>
      <c r="CH37" s="2013">
        <v>4854.9434600000004</v>
      </c>
      <c r="CI37" s="2013">
        <v>242.54192</v>
      </c>
      <c r="CJ37" s="2013">
        <v>4854.9411799999998</v>
      </c>
      <c r="CK37" s="2013">
        <v>242.54192</v>
      </c>
      <c r="CL37" s="2013">
        <v>4854.9430199999997</v>
      </c>
      <c r="CM37" s="2013">
        <v>242.54192</v>
      </c>
      <c r="CN37" s="2013">
        <v>4849.4731900000006</v>
      </c>
      <c r="CO37" s="2013">
        <v>242.54192</v>
      </c>
      <c r="CP37" s="2013">
        <v>4853.3659200000002</v>
      </c>
      <c r="CQ37" s="2013">
        <v>242.54192</v>
      </c>
      <c r="CR37" s="2013">
        <v>4853.3659200000002</v>
      </c>
      <c r="CS37" s="2013">
        <v>242.54192</v>
      </c>
      <c r="CT37" s="2013">
        <v>2181.96387</v>
      </c>
      <c r="CU37" s="2013">
        <v>0</v>
      </c>
      <c r="CV37" s="2013">
        <v>2181.96387</v>
      </c>
      <c r="CW37" s="2013">
        <v>0</v>
      </c>
      <c r="CX37" s="2013">
        <v>2214.8210299999996</v>
      </c>
      <c r="CY37" s="2013">
        <v>0</v>
      </c>
      <c r="CZ37" s="2013">
        <v>2214.8210299999996</v>
      </c>
      <c r="DA37" s="2013">
        <v>0</v>
      </c>
      <c r="DB37" s="2013">
        <v>2214.8210299999996</v>
      </c>
      <c r="DC37" s="2013">
        <v>0</v>
      </c>
      <c r="DD37" s="2013">
        <v>2214.8210299999996</v>
      </c>
      <c r="DE37" s="2013">
        <v>0</v>
      </c>
      <c r="DF37" s="2013">
        <v>4837.8907099999997</v>
      </c>
      <c r="DG37" s="2013">
        <v>0</v>
      </c>
      <c r="DH37" s="2013">
        <v>4837.8898099999997</v>
      </c>
      <c r="DI37" s="2013">
        <v>0</v>
      </c>
      <c r="DJ37" s="2013">
        <v>4866.89077</v>
      </c>
      <c r="DK37" s="2013">
        <v>0</v>
      </c>
      <c r="DL37" s="2013">
        <v>4866.89077</v>
      </c>
      <c r="DM37" s="2013">
        <v>0</v>
      </c>
      <c r="DN37" s="2013">
        <v>4866.89077</v>
      </c>
      <c r="DO37" s="2013">
        <v>0</v>
      </c>
      <c r="DP37" s="2013">
        <v>4866.89077</v>
      </c>
      <c r="DQ37" s="2014">
        <v>0</v>
      </c>
      <c r="DR37" s="2015">
        <v>1899.47696</v>
      </c>
      <c r="DS37" s="2016">
        <v>0</v>
      </c>
      <c r="DT37" s="2017">
        <v>1899.47686</v>
      </c>
      <c r="DU37" s="2014">
        <v>0</v>
      </c>
      <c r="DV37" s="2015">
        <v>1909.3431700000001</v>
      </c>
      <c r="DW37" s="2016">
        <v>0</v>
      </c>
      <c r="DX37" s="2017">
        <v>1909.3432</v>
      </c>
      <c r="DY37" s="2014">
        <v>0</v>
      </c>
      <c r="DZ37" s="2015">
        <v>1918.33134</v>
      </c>
      <c r="EA37" s="2016">
        <v>0</v>
      </c>
      <c r="EB37" s="2017">
        <v>3878.15434</v>
      </c>
      <c r="EC37" s="2014">
        <v>0</v>
      </c>
      <c r="ED37" s="2015">
        <v>6569.7774099999997</v>
      </c>
      <c r="EE37" s="2016">
        <v>0</v>
      </c>
      <c r="EF37" s="2015">
        <v>6627.17785</v>
      </c>
      <c r="EG37" s="2016">
        <v>0</v>
      </c>
      <c r="EH37" s="2017">
        <v>6627.1778599999998</v>
      </c>
      <c r="EI37" s="2016">
        <v>0</v>
      </c>
      <c r="EJ37" s="2017">
        <v>6627.1778599999998</v>
      </c>
      <c r="EK37" s="2016">
        <v>0</v>
      </c>
      <c r="EL37" s="2015">
        <v>6627.1778599999998</v>
      </c>
      <c r="EM37" s="2018">
        <v>0</v>
      </c>
      <c r="EN37" s="2015">
        <v>6776.8366400000004</v>
      </c>
      <c r="EO37" s="2018">
        <v>0</v>
      </c>
      <c r="EP37" s="2015">
        <v>68.729160000000007</v>
      </c>
      <c r="EQ37" s="2018">
        <v>0</v>
      </c>
      <c r="ER37" s="2015">
        <v>68.729160000000007</v>
      </c>
      <c r="ES37" s="2018">
        <v>0</v>
      </c>
      <c r="ET37" s="2015">
        <v>68.729159999999993</v>
      </c>
      <c r="EU37" s="2018">
        <v>0</v>
      </c>
      <c r="EV37" s="2015">
        <v>69.231899999999996</v>
      </c>
      <c r="EW37" s="2018">
        <v>2.04</v>
      </c>
      <c r="EX37" s="2015">
        <v>69.231899999999996</v>
      </c>
      <c r="EY37" s="2018">
        <v>2.04</v>
      </c>
      <c r="EZ37" s="2015">
        <v>69.231899999999996</v>
      </c>
      <c r="FA37" s="2018">
        <v>2.04</v>
      </c>
      <c r="FB37" s="2015">
        <v>4895.3865400000004</v>
      </c>
      <c r="FC37" s="2018">
        <v>7.3416000000000006</v>
      </c>
      <c r="FD37" s="2015">
        <v>4895.3865400000004</v>
      </c>
      <c r="FE37" s="2018">
        <v>14.6601</v>
      </c>
      <c r="FF37" s="2015">
        <v>4895.3865400000004</v>
      </c>
      <c r="FG37" s="2018">
        <v>14.6601</v>
      </c>
      <c r="FH37" s="2015">
        <v>4895.3865400000004</v>
      </c>
      <c r="FI37" s="2018">
        <v>14.6601</v>
      </c>
      <c r="FJ37" s="2015">
        <v>4980.6789399999998</v>
      </c>
      <c r="FK37" s="2018">
        <v>14.6601</v>
      </c>
      <c r="FL37" s="2015">
        <v>5028.1942300000001</v>
      </c>
      <c r="FM37" s="2018">
        <v>14.6601</v>
      </c>
      <c r="FN37" s="2015">
        <v>0</v>
      </c>
      <c r="FO37" s="2018">
        <v>0</v>
      </c>
      <c r="FP37" s="2015">
        <v>0</v>
      </c>
      <c r="FQ37" s="2018">
        <v>0</v>
      </c>
      <c r="FR37" s="2015">
        <v>49.3459</v>
      </c>
      <c r="FS37" s="2018">
        <v>0</v>
      </c>
      <c r="FT37" s="2015">
        <v>49.3459</v>
      </c>
      <c r="FU37" s="2018">
        <v>0</v>
      </c>
      <c r="FV37" s="2015">
        <v>49.3459</v>
      </c>
      <c r="FW37" s="2018">
        <v>0</v>
      </c>
      <c r="FX37" s="2015">
        <v>49.3459</v>
      </c>
      <c r="FY37" s="2018">
        <v>4.8408199999999999</v>
      </c>
      <c r="FZ37" s="2015">
        <v>795.36590000000001</v>
      </c>
      <c r="GA37" s="2018">
        <v>4.8408199999999999</v>
      </c>
      <c r="GB37" s="2015">
        <v>795.36590000000001</v>
      </c>
      <c r="GC37" s="2018">
        <v>6.5757199999999996</v>
      </c>
      <c r="GD37" s="2015">
        <v>795.36595</v>
      </c>
      <c r="GE37" s="2018">
        <v>6.5757199999999996</v>
      </c>
      <c r="GF37" s="2015">
        <v>795.36595</v>
      </c>
      <c r="GG37" s="2018">
        <v>6.5757199999999996</v>
      </c>
      <c r="GH37" s="2015">
        <v>795.36595</v>
      </c>
      <c r="GI37" s="2018">
        <v>6.5757199999999996</v>
      </c>
      <c r="GJ37" s="2015">
        <v>795.36595</v>
      </c>
      <c r="GK37" s="2018">
        <v>6.5757199999999996</v>
      </c>
      <c r="GL37" s="2015">
        <v>0</v>
      </c>
      <c r="GM37" s="2018">
        <v>0</v>
      </c>
      <c r="GN37" s="2015">
        <v>0</v>
      </c>
      <c r="GO37" s="2018">
        <v>0</v>
      </c>
      <c r="GP37" s="2015">
        <v>0</v>
      </c>
      <c r="GQ37" s="2018">
        <v>0</v>
      </c>
      <c r="GR37" s="2015">
        <v>0</v>
      </c>
      <c r="GS37" s="2018">
        <v>0</v>
      </c>
      <c r="GT37" s="2015">
        <v>0</v>
      </c>
      <c r="GU37" s="2018">
        <v>0</v>
      </c>
      <c r="GV37" s="2019" t="s">
        <v>3208</v>
      </c>
    </row>
    <row r="38" spans="1:207" s="1991" customFormat="1" ht="22.5" customHeight="1">
      <c r="A38" s="2012" t="s">
        <v>2299</v>
      </c>
      <c r="B38" s="2013">
        <v>1493.39013</v>
      </c>
      <c r="C38" s="2013">
        <v>300.6952</v>
      </c>
      <c r="D38" s="2013">
        <v>2814.5426849999999</v>
      </c>
      <c r="E38" s="2013">
        <v>301.36020000000002</v>
      </c>
      <c r="F38" s="2013">
        <v>4168.5382900000004</v>
      </c>
      <c r="G38" s="2013">
        <v>309.68020000000001</v>
      </c>
      <c r="H38" s="2013">
        <v>4641.1950199999992</v>
      </c>
      <c r="I38" s="2013">
        <v>312.18059999999997</v>
      </c>
      <c r="J38" s="2013">
        <v>5417.8179700000001</v>
      </c>
      <c r="K38" s="2013">
        <v>314.3236</v>
      </c>
      <c r="L38" s="2013">
        <v>6641.5813200000002</v>
      </c>
      <c r="M38" s="2013">
        <v>541.18502999999998</v>
      </c>
      <c r="N38" s="2013">
        <v>7160.3629000000001</v>
      </c>
      <c r="O38" s="2013">
        <v>506.29290000000003</v>
      </c>
      <c r="P38" s="2013">
        <v>7750.3819800000001</v>
      </c>
      <c r="Q38" s="2013">
        <v>508.34590999999995</v>
      </c>
      <c r="R38" s="2013">
        <v>8280.0283500000005</v>
      </c>
      <c r="S38" s="2013">
        <v>658.73298</v>
      </c>
      <c r="T38" s="2013">
        <v>8940.0268599999999</v>
      </c>
      <c r="U38" s="2013">
        <v>661.85298</v>
      </c>
      <c r="V38" s="2013">
        <v>9635.3408500000005</v>
      </c>
      <c r="W38" s="2013">
        <v>662.51797999999997</v>
      </c>
      <c r="X38" s="2013">
        <v>10229.187039999999</v>
      </c>
      <c r="Y38" s="2013">
        <v>1070.4411699999998</v>
      </c>
      <c r="Z38" s="2013">
        <v>1624.5981200000001</v>
      </c>
      <c r="AA38" s="2013">
        <v>185.51142000000002</v>
      </c>
      <c r="AB38" s="2013">
        <v>2012.8513799999998</v>
      </c>
      <c r="AC38" s="2013">
        <v>187.11519000000001</v>
      </c>
      <c r="AD38" s="2013">
        <v>4495.72379</v>
      </c>
      <c r="AE38" s="2013">
        <v>188.43742</v>
      </c>
      <c r="AF38" s="2013">
        <v>5010.5318899999993</v>
      </c>
      <c r="AG38" s="2013">
        <v>198.18542000000002</v>
      </c>
      <c r="AH38" s="2013">
        <v>5564.3333000000002</v>
      </c>
      <c r="AI38" s="2013">
        <v>809.84180000000003</v>
      </c>
      <c r="AJ38" s="2013">
        <v>6132.6157899999998</v>
      </c>
      <c r="AK38" s="2013">
        <v>810.67193999999995</v>
      </c>
      <c r="AL38" s="2013">
        <v>10114.01785</v>
      </c>
      <c r="AM38" s="2013">
        <v>1194.66524</v>
      </c>
      <c r="AN38" s="2013">
        <v>10366.57121</v>
      </c>
      <c r="AO38" s="2013">
        <v>1195.33024</v>
      </c>
      <c r="AP38" s="2013">
        <v>10843.89457</v>
      </c>
      <c r="AQ38" s="2013">
        <v>1194.79024</v>
      </c>
      <c r="AR38" s="2013">
        <v>11554.94845</v>
      </c>
      <c r="AS38" s="2013">
        <v>1201.4402399999999</v>
      </c>
      <c r="AT38" s="2013">
        <v>12013.211160000001</v>
      </c>
      <c r="AU38" s="2013">
        <v>1202.1052400000001</v>
      </c>
      <c r="AV38" s="2013">
        <v>13335.44283</v>
      </c>
      <c r="AW38" s="2013">
        <v>1302.0046</v>
      </c>
      <c r="AX38" s="2013">
        <v>1249.9401799999998</v>
      </c>
      <c r="AY38" s="2013">
        <v>2.3740000000000001</v>
      </c>
      <c r="AZ38" s="2013">
        <v>3517.7184900000002</v>
      </c>
      <c r="BA38" s="2013">
        <v>189.76179999999999</v>
      </c>
      <c r="BB38" s="2013">
        <v>4728.0005899999996</v>
      </c>
      <c r="BC38" s="2013">
        <v>190.42679999999999</v>
      </c>
      <c r="BD38" s="2013">
        <v>5934.7460499999997</v>
      </c>
      <c r="BE38" s="2013">
        <v>191.09179999999998</v>
      </c>
      <c r="BF38" s="2013">
        <v>6711.7563300000002</v>
      </c>
      <c r="BG38" s="2013">
        <v>192.30679999999998</v>
      </c>
      <c r="BH38" s="2013">
        <v>7097.4725699999999</v>
      </c>
      <c r="BI38" s="2013">
        <v>207.30679999999998</v>
      </c>
      <c r="BJ38" s="2013">
        <v>7592.9434299999994</v>
      </c>
      <c r="BK38" s="2013">
        <v>207.67929999999998</v>
      </c>
      <c r="BL38" s="2013">
        <v>8426.4071800000002</v>
      </c>
      <c r="BM38" s="2013">
        <v>216.09648999999999</v>
      </c>
      <c r="BN38" s="2013">
        <v>8914.6013400000011</v>
      </c>
      <c r="BO38" s="2013">
        <v>402.65474</v>
      </c>
      <c r="BP38" s="2013">
        <v>10414.993339999999</v>
      </c>
      <c r="BQ38" s="2013">
        <v>417.91371000000004</v>
      </c>
      <c r="BR38" s="2013">
        <v>10996.500779999998</v>
      </c>
      <c r="BS38" s="2013">
        <v>441.96931999999998</v>
      </c>
      <c r="BT38" s="2013">
        <v>11519.418029999999</v>
      </c>
      <c r="BU38" s="2013">
        <v>425.41516999999999</v>
      </c>
      <c r="BV38" s="2013">
        <v>1738.2919999999999</v>
      </c>
      <c r="BW38" s="2013">
        <v>8.3759999999999994</v>
      </c>
      <c r="BX38" s="2013">
        <v>3764.7366699999998</v>
      </c>
      <c r="BY38" s="2013">
        <v>46.385910000000003</v>
      </c>
      <c r="BZ38" s="2013">
        <v>4973.7375099999999</v>
      </c>
      <c r="CA38" s="2013">
        <v>46.892449999999997</v>
      </c>
      <c r="CB38" s="2013">
        <v>6471.33464</v>
      </c>
      <c r="CC38" s="2013">
        <v>46.892449999999997</v>
      </c>
      <c r="CD38" s="2013">
        <v>6806.2162900000003</v>
      </c>
      <c r="CE38" s="2013">
        <v>46.892449999999997</v>
      </c>
      <c r="CF38" s="2013">
        <v>7591.9668700000002</v>
      </c>
      <c r="CG38" s="2013">
        <v>46.892449999999997</v>
      </c>
      <c r="CH38" s="2013">
        <v>8110.5928400000003</v>
      </c>
      <c r="CI38" s="2013">
        <v>64.892449999999997</v>
      </c>
      <c r="CJ38" s="2013">
        <v>8314.7539900000011</v>
      </c>
      <c r="CK38" s="2013">
        <v>197.08345</v>
      </c>
      <c r="CL38" s="2013">
        <v>8946.7499200000002</v>
      </c>
      <c r="CM38" s="2013">
        <v>248.95345</v>
      </c>
      <c r="CN38" s="2013">
        <v>9588.2463800000005</v>
      </c>
      <c r="CO38" s="2013">
        <v>253.06845000000001</v>
      </c>
      <c r="CP38" s="2013">
        <v>9818.2550700000011</v>
      </c>
      <c r="CQ38" s="2013">
        <v>253.74345000000002</v>
      </c>
      <c r="CR38" s="2013">
        <v>11067.65732</v>
      </c>
      <c r="CS38" s="2013">
        <v>257.34545000000003</v>
      </c>
      <c r="CT38" s="2013">
        <v>1405.80971</v>
      </c>
      <c r="CU38" s="2013">
        <v>0.72599999999999998</v>
      </c>
      <c r="CV38" s="2013">
        <v>3328.7742200000002</v>
      </c>
      <c r="CW38" s="2013">
        <v>4.9506399999999999</v>
      </c>
      <c r="CX38" s="2013">
        <v>5766.2493199999999</v>
      </c>
      <c r="CY38" s="2013">
        <v>11.041639999999999</v>
      </c>
      <c r="CZ38" s="2013">
        <v>6362.69236</v>
      </c>
      <c r="DA38" s="2013">
        <v>11.041639999999999</v>
      </c>
      <c r="DB38" s="2013">
        <v>7283.4710500000001</v>
      </c>
      <c r="DC38" s="2013">
        <v>15.641639999999999</v>
      </c>
      <c r="DD38" s="2013">
        <v>7987.5979800000005</v>
      </c>
      <c r="DE38" s="2013">
        <v>27.391839999999998</v>
      </c>
      <c r="DF38" s="2013">
        <v>8462.3940399999992</v>
      </c>
      <c r="DG38" s="2013">
        <v>134.26545999999999</v>
      </c>
      <c r="DH38" s="2013">
        <v>8786.9756600000001</v>
      </c>
      <c r="DI38" s="2013">
        <v>134.26545999999999</v>
      </c>
      <c r="DJ38" s="2013">
        <v>9164.090189999999</v>
      </c>
      <c r="DK38" s="2013">
        <v>428.68216999999999</v>
      </c>
      <c r="DL38" s="2013">
        <v>9687.8159799999994</v>
      </c>
      <c r="DM38" s="2013">
        <v>434.53451000000001</v>
      </c>
      <c r="DN38" s="2013">
        <v>10022.09621</v>
      </c>
      <c r="DO38" s="2013">
        <v>440.22179</v>
      </c>
      <c r="DP38" s="2013">
        <v>11804.623299999999</v>
      </c>
      <c r="DQ38" s="2014">
        <v>440.22179</v>
      </c>
      <c r="DR38" s="2015">
        <v>1360.7004999999999</v>
      </c>
      <c r="DS38" s="2016">
        <v>0</v>
      </c>
      <c r="DT38" s="2017">
        <v>4558.86067</v>
      </c>
      <c r="DU38" s="2014">
        <v>8.0991900000000001</v>
      </c>
      <c r="DV38" s="2015">
        <v>5566.7606599999999</v>
      </c>
      <c r="DW38" s="2016">
        <v>8.5911899999999992</v>
      </c>
      <c r="DX38" s="2017">
        <v>6559.6406500000003</v>
      </c>
      <c r="DY38" s="2014">
        <v>11.216189999999999</v>
      </c>
      <c r="DZ38" s="2015">
        <v>7117.7697799999996</v>
      </c>
      <c r="EA38" s="2016">
        <v>13.566190000000001</v>
      </c>
      <c r="EB38" s="2017">
        <v>7991.5718999999999</v>
      </c>
      <c r="EC38" s="2014">
        <v>13.566190000000001</v>
      </c>
      <c r="ED38" s="2015">
        <v>8036.9143700000004</v>
      </c>
      <c r="EE38" s="2016">
        <v>15.88123</v>
      </c>
      <c r="EF38" s="2015">
        <v>9393.0528599999998</v>
      </c>
      <c r="EG38" s="2016">
        <v>34.397190000000002</v>
      </c>
      <c r="EH38" s="2017">
        <v>9852.7412700000004</v>
      </c>
      <c r="EI38" s="2016">
        <v>34.397190000000002</v>
      </c>
      <c r="EJ38" s="2017">
        <v>10621.05521</v>
      </c>
      <c r="EK38" s="2016">
        <v>34.397190000000002</v>
      </c>
      <c r="EL38" s="2015">
        <v>11256.05797</v>
      </c>
      <c r="EM38" s="2018">
        <v>34.397190000000002</v>
      </c>
      <c r="EN38" s="2015">
        <v>11768.643459999999</v>
      </c>
      <c r="EO38" s="2018">
        <v>34.397190000000002</v>
      </c>
      <c r="EP38" s="2015">
        <v>1840.6695300000001</v>
      </c>
      <c r="EQ38" s="2018">
        <v>42.5</v>
      </c>
      <c r="ER38" s="2015">
        <v>2931.6235099999999</v>
      </c>
      <c r="ES38" s="2018">
        <v>73.016770000000008</v>
      </c>
      <c r="ET38" s="2015">
        <v>4688.3805700000003</v>
      </c>
      <c r="EU38" s="2018">
        <v>73.016769999999994</v>
      </c>
      <c r="EV38" s="2015">
        <v>6201.04349</v>
      </c>
      <c r="EW38" s="2018">
        <v>73.016769999999994</v>
      </c>
      <c r="EX38" s="2015">
        <v>6668.6640900000002</v>
      </c>
      <c r="EY38" s="2018">
        <v>73.016770000000008</v>
      </c>
      <c r="EZ38" s="2015">
        <v>7968.2149200000003</v>
      </c>
      <c r="FA38" s="2018">
        <v>73.016770000000008</v>
      </c>
      <c r="FB38" s="2015">
        <v>8652.043380000001</v>
      </c>
      <c r="FC38" s="2018">
        <v>73.866770000000002</v>
      </c>
      <c r="FD38" s="2015">
        <v>9400.2445200000002</v>
      </c>
      <c r="FE38" s="2018">
        <v>91.391970000000001</v>
      </c>
      <c r="FF38" s="2015">
        <v>10054.294519999999</v>
      </c>
      <c r="FG38" s="2018">
        <v>92.171970000000002</v>
      </c>
      <c r="FH38" s="2015">
        <v>12349.71463</v>
      </c>
      <c r="FI38" s="2018">
        <v>92.171970000000002</v>
      </c>
      <c r="FJ38" s="2015">
        <v>13061.415059999999</v>
      </c>
      <c r="FK38" s="2018">
        <v>95.646550000000005</v>
      </c>
      <c r="FL38" s="2015">
        <v>13459.612359999999</v>
      </c>
      <c r="FM38" s="2018">
        <v>124.61628</v>
      </c>
      <c r="FN38" s="2015">
        <v>2358.0638100000001</v>
      </c>
      <c r="FO38" s="2018">
        <v>0.75992000000000004</v>
      </c>
      <c r="FP38" s="2015">
        <v>3480.5483599999998</v>
      </c>
      <c r="FQ38" s="2018">
        <v>9.6589200000000002</v>
      </c>
      <c r="FR38" s="2015">
        <v>5497.5686800000003</v>
      </c>
      <c r="FS38" s="2018">
        <v>21.658919999999998</v>
      </c>
      <c r="FT38" s="2015">
        <v>7170.1328700000004</v>
      </c>
      <c r="FU38" s="2018">
        <v>21.658919999999998</v>
      </c>
      <c r="FV38" s="2015">
        <v>7729.9684600000001</v>
      </c>
      <c r="FW38" s="2018">
        <v>21.658919999999998</v>
      </c>
      <c r="FX38" s="2015">
        <v>8099.1781700000001</v>
      </c>
      <c r="FY38" s="2018">
        <v>50.513120000000001</v>
      </c>
      <c r="FZ38" s="2015">
        <v>9752.9219799999992</v>
      </c>
      <c r="GA38" s="2018">
        <v>52.288119999999999</v>
      </c>
      <c r="GB38" s="2015">
        <v>10448.317580000001</v>
      </c>
      <c r="GC38" s="2018">
        <v>56.247</v>
      </c>
      <c r="GD38" s="2015">
        <v>11101.915360000001</v>
      </c>
      <c r="GE38" s="2018">
        <v>59.247</v>
      </c>
      <c r="GF38" s="2015">
        <v>11478.08114</v>
      </c>
      <c r="GG38" s="2018">
        <v>63.41892</v>
      </c>
      <c r="GH38" s="2015">
        <v>12067.800139999999</v>
      </c>
      <c r="GI38" s="2018">
        <v>63.41892</v>
      </c>
      <c r="GJ38" s="2015">
        <v>15065.375599999999</v>
      </c>
      <c r="GK38" s="2018">
        <v>241.21642</v>
      </c>
      <c r="GL38" s="2015">
        <v>894.97454000000005</v>
      </c>
      <c r="GM38" s="2018">
        <v>1.669</v>
      </c>
      <c r="GN38" s="2015">
        <v>1973.4400599999999</v>
      </c>
      <c r="GO38" s="2018">
        <v>9.5879999999999992</v>
      </c>
      <c r="GP38" s="2015">
        <v>3890.7216199999998</v>
      </c>
      <c r="GQ38" s="2018">
        <v>15.118510000000001</v>
      </c>
      <c r="GR38" s="2015">
        <v>5560.2063699999999</v>
      </c>
      <c r="GS38" s="2018">
        <v>16.520510000000002</v>
      </c>
      <c r="GT38" s="2015">
        <v>5952.4206999999997</v>
      </c>
      <c r="GU38" s="2018">
        <v>20.67841</v>
      </c>
      <c r="GV38" s="2019" t="s">
        <v>3438</v>
      </c>
    </row>
    <row r="39" spans="1:207" s="1991" customFormat="1" ht="22.5" customHeight="1">
      <c r="A39" s="1225" t="s">
        <v>2298</v>
      </c>
      <c r="B39" s="2013">
        <v>244.48473000000001</v>
      </c>
      <c r="C39" s="2013">
        <v>8.91</v>
      </c>
      <c r="D39" s="2013">
        <v>306.42328000000003</v>
      </c>
      <c r="E39" s="2013">
        <v>8.9600000000000009</v>
      </c>
      <c r="F39" s="2013">
        <v>350.89841999999999</v>
      </c>
      <c r="G39" s="2013">
        <v>18.536000000000001</v>
      </c>
      <c r="H39" s="2013">
        <v>390.64825999999999</v>
      </c>
      <c r="I39" s="2013">
        <v>37.941859999999998</v>
      </c>
      <c r="J39" s="2013">
        <v>460.02415999999999</v>
      </c>
      <c r="K39" s="2013">
        <v>63.552599999999998</v>
      </c>
      <c r="L39" s="2013">
        <v>655.45848000000001</v>
      </c>
      <c r="M39" s="2013">
        <v>69.401600000000002</v>
      </c>
      <c r="N39" s="2013">
        <v>719.53102999999999</v>
      </c>
      <c r="O39" s="2013">
        <v>72.151600000000002</v>
      </c>
      <c r="P39" s="2013">
        <v>746.58540000000005</v>
      </c>
      <c r="Q39" s="2013">
        <v>77.262600000000006</v>
      </c>
      <c r="R39" s="2013">
        <v>1070.68542</v>
      </c>
      <c r="S39" s="2013">
        <v>89.872600000000006</v>
      </c>
      <c r="T39" s="2013">
        <v>1132.2978700000001</v>
      </c>
      <c r="U39" s="2013">
        <v>93.99560000000001</v>
      </c>
      <c r="V39" s="2013">
        <v>1172.8676799999998</v>
      </c>
      <c r="W39" s="2013">
        <v>95.49560000000001</v>
      </c>
      <c r="X39" s="2013">
        <v>1211.1010399999998</v>
      </c>
      <c r="Y39" s="2013">
        <v>101.07560000000001</v>
      </c>
      <c r="Z39" s="2013">
        <v>240.50714000000002</v>
      </c>
      <c r="AA39" s="2013">
        <v>7.9893999999999998</v>
      </c>
      <c r="AB39" s="2013">
        <v>281.52797999999996</v>
      </c>
      <c r="AC39" s="2013">
        <v>9.2046499999999991</v>
      </c>
      <c r="AD39" s="2013">
        <v>314.39107000000001</v>
      </c>
      <c r="AE39" s="2013">
        <v>17.211650000000002</v>
      </c>
      <c r="AF39" s="2013">
        <v>398.26535999999999</v>
      </c>
      <c r="AG39" s="2013">
        <v>23.191650000000003</v>
      </c>
      <c r="AH39" s="2013">
        <v>430.06155000000001</v>
      </c>
      <c r="AI39" s="2013">
        <v>27.126650000000001</v>
      </c>
      <c r="AJ39" s="2013">
        <v>459.36839000000003</v>
      </c>
      <c r="AK39" s="2013">
        <v>33.946109999999997</v>
      </c>
      <c r="AL39" s="2013">
        <v>546.41543999999999</v>
      </c>
      <c r="AM39" s="2013">
        <v>42.300110000000004</v>
      </c>
      <c r="AN39" s="2013">
        <v>628.29406999999992</v>
      </c>
      <c r="AO39" s="2013">
        <v>46.210709999999999</v>
      </c>
      <c r="AP39" s="2013">
        <v>945.7629300000001</v>
      </c>
      <c r="AQ39" s="2013">
        <v>49.199709999999996</v>
      </c>
      <c r="AR39" s="2013">
        <v>1004.9374499999999</v>
      </c>
      <c r="AS39" s="2013">
        <v>53.464709999999997</v>
      </c>
      <c r="AT39" s="2013">
        <v>1122.8776799999998</v>
      </c>
      <c r="AU39" s="2013">
        <v>55.544710000000002</v>
      </c>
      <c r="AV39" s="2013">
        <v>1174.48047</v>
      </c>
      <c r="AW39" s="2013">
        <v>61.464709999999997</v>
      </c>
      <c r="AX39" s="2013">
        <v>63.682370000000006</v>
      </c>
      <c r="AY39" s="2013">
        <v>4.9831099999999999</v>
      </c>
      <c r="AZ39" s="2013">
        <v>95.247799999999998</v>
      </c>
      <c r="BA39" s="2013">
        <v>12.506110000000001</v>
      </c>
      <c r="BB39" s="2013">
        <v>111.72563000000001</v>
      </c>
      <c r="BC39" s="2013">
        <v>15.54411</v>
      </c>
      <c r="BD39" s="2013">
        <v>146.62634</v>
      </c>
      <c r="BE39" s="2013">
        <v>21.82405</v>
      </c>
      <c r="BF39" s="2013">
        <v>200.40845000000002</v>
      </c>
      <c r="BG39" s="2013">
        <v>36.240790000000004</v>
      </c>
      <c r="BH39" s="2013">
        <v>240.45873999999998</v>
      </c>
      <c r="BI39" s="2013">
        <v>38.783850000000001</v>
      </c>
      <c r="BJ39" s="2013">
        <v>260.86637000000002</v>
      </c>
      <c r="BK39" s="2013">
        <v>49.600250000000003</v>
      </c>
      <c r="BL39" s="2013">
        <v>323.32587999999998</v>
      </c>
      <c r="BM39" s="2013">
        <v>53.458849999999998</v>
      </c>
      <c r="BN39" s="2013">
        <v>630.91552000000001</v>
      </c>
      <c r="BO39" s="2013">
        <v>54.368850000000002</v>
      </c>
      <c r="BP39" s="2013">
        <v>692.75798999999995</v>
      </c>
      <c r="BQ39" s="2013">
        <v>56.358849999999997</v>
      </c>
      <c r="BR39" s="2013">
        <v>779.68892000000005</v>
      </c>
      <c r="BS39" s="2013">
        <v>62.281849999999999</v>
      </c>
      <c r="BT39" s="2013">
        <v>883.70371</v>
      </c>
      <c r="BU39" s="2013">
        <v>66.311850000000007</v>
      </c>
      <c r="BV39" s="2013">
        <v>144.20405</v>
      </c>
      <c r="BW39" s="2013">
        <v>4.9285800000000002</v>
      </c>
      <c r="BX39" s="2013">
        <v>183.69489999999999</v>
      </c>
      <c r="BY39" s="2013">
        <v>4.9285800000000002</v>
      </c>
      <c r="BZ39" s="2013">
        <v>203.12467999999998</v>
      </c>
      <c r="CA39" s="2013">
        <v>4.9285800000000002</v>
      </c>
      <c r="CB39" s="2013">
        <v>267.98591999999996</v>
      </c>
      <c r="CC39" s="2013">
        <v>4.9285800000000002</v>
      </c>
      <c r="CD39" s="2013">
        <v>353.37509999999997</v>
      </c>
      <c r="CE39" s="2013">
        <v>4.9285800000000002</v>
      </c>
      <c r="CF39" s="2013">
        <v>501.97515000000004</v>
      </c>
      <c r="CG39" s="2013">
        <v>8.3545800000000003</v>
      </c>
      <c r="CH39" s="2013">
        <v>670.17585999999994</v>
      </c>
      <c r="CI39" s="2013">
        <v>13.05758</v>
      </c>
      <c r="CJ39" s="2013">
        <v>851.13204000000007</v>
      </c>
      <c r="CK39" s="2013">
        <v>10.75258</v>
      </c>
      <c r="CL39" s="2013">
        <v>1283.7636599999998</v>
      </c>
      <c r="CM39" s="2013">
        <v>12.97758</v>
      </c>
      <c r="CN39" s="2013">
        <v>1411.3874799999999</v>
      </c>
      <c r="CO39" s="2013">
        <v>29.05658</v>
      </c>
      <c r="CP39" s="2013">
        <v>1547.7460000000001</v>
      </c>
      <c r="CQ39" s="2013">
        <v>40.022580000000005</v>
      </c>
      <c r="CR39" s="2013">
        <v>1726.9485400000001</v>
      </c>
      <c r="CS39" s="2013">
        <v>55.891580000000005</v>
      </c>
      <c r="CT39" s="2013">
        <v>176.73203000000001</v>
      </c>
      <c r="CU39" s="2013">
        <v>23.925000000000001</v>
      </c>
      <c r="CV39" s="2013">
        <v>326.45787000000001</v>
      </c>
      <c r="CW39" s="2013">
        <v>31.356000000000002</v>
      </c>
      <c r="CX39" s="2013">
        <v>441.76840999999996</v>
      </c>
      <c r="CY39" s="2013">
        <v>60.662970000000001</v>
      </c>
      <c r="CZ39" s="2013">
        <v>529.75155000000007</v>
      </c>
      <c r="DA39" s="2013">
        <v>93.470669999999998</v>
      </c>
      <c r="DB39" s="2013">
        <v>574.75949000000003</v>
      </c>
      <c r="DC39" s="2013">
        <v>107.46877000000001</v>
      </c>
      <c r="DD39" s="2013">
        <v>683.71992</v>
      </c>
      <c r="DE39" s="2013">
        <v>135.35003</v>
      </c>
      <c r="DF39" s="2013">
        <v>832.83666000000005</v>
      </c>
      <c r="DG39" s="2013">
        <v>165.76935999999998</v>
      </c>
      <c r="DH39" s="2013">
        <v>905.33917000000008</v>
      </c>
      <c r="DI39" s="2013">
        <v>199.86935999999997</v>
      </c>
      <c r="DJ39" s="2013">
        <v>1152.1185</v>
      </c>
      <c r="DK39" s="2013">
        <v>237.06676999999999</v>
      </c>
      <c r="DL39" s="2013">
        <v>1234.22775</v>
      </c>
      <c r="DM39" s="2013">
        <v>251.85977</v>
      </c>
      <c r="DN39" s="2013">
        <v>1304.5846799999999</v>
      </c>
      <c r="DO39" s="2013">
        <v>268.09476999999998</v>
      </c>
      <c r="DP39" s="2013">
        <v>1420.3167900000001</v>
      </c>
      <c r="DQ39" s="2014">
        <v>290.86176999999998</v>
      </c>
      <c r="DR39" s="2028">
        <v>96.23057</v>
      </c>
      <c r="DS39" s="2016">
        <v>13.16451</v>
      </c>
      <c r="DT39" s="2017">
        <v>197.90772000000001</v>
      </c>
      <c r="DU39" s="2014">
        <v>19.188510000000001</v>
      </c>
      <c r="DV39" s="2015">
        <v>274.85660999999999</v>
      </c>
      <c r="DW39" s="2016">
        <v>33.129710000000003</v>
      </c>
      <c r="DX39" s="2017">
        <v>361.92437999999999</v>
      </c>
      <c r="DY39" s="2014">
        <v>36.453499999999998</v>
      </c>
      <c r="DZ39" s="2015">
        <v>464.16658000000001</v>
      </c>
      <c r="EA39" s="2016">
        <v>37.102060000000002</v>
      </c>
      <c r="EB39" s="2017">
        <v>603.12102000000004</v>
      </c>
      <c r="EC39" s="2014">
        <v>43.655230000000003</v>
      </c>
      <c r="ED39" s="2015">
        <v>746.88792999999998</v>
      </c>
      <c r="EE39" s="2016">
        <v>45.483620000000002</v>
      </c>
      <c r="EF39" s="2015">
        <v>912.33592999999996</v>
      </c>
      <c r="EG39" s="2016">
        <v>45.483620000000002</v>
      </c>
      <c r="EH39" s="2017">
        <v>1223.9725100000001</v>
      </c>
      <c r="EI39" s="2016">
        <v>82.519400000000005</v>
      </c>
      <c r="EJ39" s="2017">
        <v>1410.9414899999999</v>
      </c>
      <c r="EK39" s="2016">
        <v>54.054900000000004</v>
      </c>
      <c r="EL39" s="2015">
        <v>1588.3773000000001</v>
      </c>
      <c r="EM39" s="2018">
        <v>54.054900000000004</v>
      </c>
      <c r="EN39" s="2015">
        <v>1817.2421899999999</v>
      </c>
      <c r="EO39" s="2018">
        <v>54.632910000000003</v>
      </c>
      <c r="EP39" s="2015">
        <v>212.15271999999999</v>
      </c>
      <c r="EQ39" s="2018">
        <v>0.22549</v>
      </c>
      <c r="ER39" s="2015">
        <v>418.72879</v>
      </c>
      <c r="ES39" s="2018">
        <v>0.22549</v>
      </c>
      <c r="ET39" s="2015">
        <v>652.82392000000004</v>
      </c>
      <c r="EU39" s="2018">
        <v>1.1596500000000001</v>
      </c>
      <c r="EV39" s="2015">
        <v>848.06191999999999</v>
      </c>
      <c r="EW39" s="2018">
        <v>5.4837400000000001</v>
      </c>
      <c r="EX39" s="2015">
        <v>1079.28549</v>
      </c>
      <c r="EY39" s="2018">
        <v>9.6817399999999996</v>
      </c>
      <c r="EZ39" s="2015">
        <v>1285.0984599999999</v>
      </c>
      <c r="FA39" s="2018">
        <v>11.70074</v>
      </c>
      <c r="FB39" s="2015">
        <v>1470.1536899999999</v>
      </c>
      <c r="FC39" s="2018">
        <v>17.75478</v>
      </c>
      <c r="FD39" s="2015">
        <v>1673.56882</v>
      </c>
      <c r="FE39" s="2018">
        <v>22.560479999999998</v>
      </c>
      <c r="FF39" s="2015">
        <v>2008.91327</v>
      </c>
      <c r="FG39" s="2018">
        <v>29.925810000000002</v>
      </c>
      <c r="FH39" s="2015">
        <v>2285.1315399999999</v>
      </c>
      <c r="FI39" s="2018">
        <v>29.925809999999998</v>
      </c>
      <c r="FJ39" s="2015">
        <v>2548.7869500000002</v>
      </c>
      <c r="FK39" s="2018">
        <v>29.925809999999998</v>
      </c>
      <c r="FL39" s="2015">
        <v>2930.0962200000004</v>
      </c>
      <c r="FM39" s="2018">
        <v>37.20581</v>
      </c>
      <c r="FN39" s="2015">
        <v>297.99891000000002</v>
      </c>
      <c r="FO39" s="2018">
        <v>0</v>
      </c>
      <c r="FP39" s="2015">
        <v>595.89308999999992</v>
      </c>
      <c r="FQ39" s="2018">
        <v>1.357</v>
      </c>
      <c r="FR39" s="2015">
        <v>882.81853000000001</v>
      </c>
      <c r="FS39" s="2018">
        <v>4.1237599999999999</v>
      </c>
      <c r="FT39" s="2015">
        <v>1158.4840200000001</v>
      </c>
      <c r="FU39" s="2018">
        <v>19.008759999999999</v>
      </c>
      <c r="FV39" s="2015">
        <v>1472.8976</v>
      </c>
      <c r="FW39" s="2018">
        <v>19.008759999999999</v>
      </c>
      <c r="FX39" s="2015">
        <v>1714.44461</v>
      </c>
      <c r="FY39" s="2018">
        <v>23.563759999999998</v>
      </c>
      <c r="FZ39" s="2015">
        <v>1990.6690000000001</v>
      </c>
      <c r="GA39" s="2018">
        <v>23.563759999999998</v>
      </c>
      <c r="GB39" s="2015">
        <v>2267.1797999999999</v>
      </c>
      <c r="GC39" s="2018">
        <v>28.563759999999998</v>
      </c>
      <c r="GD39" s="2015">
        <v>2550.9033599999998</v>
      </c>
      <c r="GE39" s="2018">
        <v>48.482860000000002</v>
      </c>
      <c r="GF39" s="2015">
        <v>2897.4834500000002</v>
      </c>
      <c r="GG39" s="2018">
        <v>48.482860000000002</v>
      </c>
      <c r="GH39" s="2015">
        <v>3214.6489700000002</v>
      </c>
      <c r="GI39" s="2018">
        <v>52.707769999999996</v>
      </c>
      <c r="GJ39" s="2015">
        <v>3633.0917199999999</v>
      </c>
      <c r="GK39" s="2018">
        <v>52.707769999999996</v>
      </c>
      <c r="GL39" s="2015">
        <v>302.95425999999998</v>
      </c>
      <c r="GM39" s="2018">
        <v>0</v>
      </c>
      <c r="GN39" s="2015">
        <v>636.47560999999996</v>
      </c>
      <c r="GO39" s="2018">
        <v>6.3754</v>
      </c>
      <c r="GP39" s="2015">
        <v>956.55633999999998</v>
      </c>
      <c r="GQ39" s="2018">
        <v>8.02</v>
      </c>
      <c r="GR39" s="2015">
        <v>1316.4946399999999</v>
      </c>
      <c r="GS39" s="2018">
        <v>11.025</v>
      </c>
      <c r="GT39" s="2015">
        <v>1659.25046</v>
      </c>
      <c r="GU39" s="2018">
        <v>11.025</v>
      </c>
      <c r="GV39" s="1240" t="s">
        <v>3439</v>
      </c>
    </row>
    <row r="40" spans="1:207" s="1991" customFormat="1" ht="22.5" customHeight="1">
      <c r="A40" s="2012" t="s">
        <v>2297</v>
      </c>
      <c r="B40" s="2013">
        <v>51.055680000000002</v>
      </c>
      <c r="C40" s="2013">
        <v>0</v>
      </c>
      <c r="D40" s="2013">
        <v>91.013509999999997</v>
      </c>
      <c r="E40" s="2013">
        <v>0</v>
      </c>
      <c r="F40" s="2013">
        <v>100.65797000000001</v>
      </c>
      <c r="G40" s="2013">
        <v>0</v>
      </c>
      <c r="H40" s="2013">
        <v>604.91018999999994</v>
      </c>
      <c r="I40" s="2013">
        <v>0</v>
      </c>
      <c r="J40" s="2013">
        <v>1475.1877899999999</v>
      </c>
      <c r="K40" s="2013">
        <v>0.5</v>
      </c>
      <c r="L40" s="2013">
        <v>1608.9224199999999</v>
      </c>
      <c r="M40" s="2013">
        <v>0</v>
      </c>
      <c r="N40" s="2013">
        <v>1699.7741000000001</v>
      </c>
      <c r="O40" s="2013">
        <v>0</v>
      </c>
      <c r="P40" s="2013">
        <v>1745.1833000000001</v>
      </c>
      <c r="Q40" s="2013">
        <v>0.5</v>
      </c>
      <c r="R40" s="2013">
        <v>1749.3558</v>
      </c>
      <c r="S40" s="2013">
        <v>0.5</v>
      </c>
      <c r="T40" s="2013">
        <v>1975.53412</v>
      </c>
      <c r="U40" s="2013">
        <v>0.5</v>
      </c>
      <c r="V40" s="2013">
        <v>2010.81655</v>
      </c>
      <c r="W40" s="2013">
        <v>0.5</v>
      </c>
      <c r="X40" s="2013">
        <v>1949.42254</v>
      </c>
      <c r="Y40" s="2013">
        <v>0.5</v>
      </c>
      <c r="Z40" s="2013">
        <v>121.72788</v>
      </c>
      <c r="AA40" s="2013">
        <v>0</v>
      </c>
      <c r="AB40" s="2013">
        <v>722.29317000000003</v>
      </c>
      <c r="AC40" s="2013">
        <v>0</v>
      </c>
      <c r="AD40" s="2013">
        <v>847.6023100000001</v>
      </c>
      <c r="AE40" s="2013">
        <v>0</v>
      </c>
      <c r="AF40" s="2013">
        <v>907.3378100000001</v>
      </c>
      <c r="AG40" s="2013">
        <v>0</v>
      </c>
      <c r="AH40" s="2013">
        <v>1875.52457</v>
      </c>
      <c r="AI40" s="2013">
        <v>1.6981900000000001</v>
      </c>
      <c r="AJ40" s="2013">
        <v>1861.7083500000001</v>
      </c>
      <c r="AK40" s="2013">
        <v>1.6981900000000001</v>
      </c>
      <c r="AL40" s="2013">
        <v>1937.88321</v>
      </c>
      <c r="AM40" s="2013">
        <v>1.6981900000000001</v>
      </c>
      <c r="AN40" s="2013">
        <v>1947.7882099999999</v>
      </c>
      <c r="AO40" s="2013">
        <v>1.6981900000000001</v>
      </c>
      <c r="AP40" s="2013">
        <v>1951.86986</v>
      </c>
      <c r="AQ40" s="2013">
        <v>1.6981900000000001</v>
      </c>
      <c r="AR40" s="2013">
        <v>1982.5398600000001</v>
      </c>
      <c r="AS40" s="2013">
        <v>1.6981900000000001</v>
      </c>
      <c r="AT40" s="2013">
        <v>2031.4952499999999</v>
      </c>
      <c r="AU40" s="2013">
        <v>1.6981900000000001</v>
      </c>
      <c r="AV40" s="2013">
        <v>2036.5952500000001</v>
      </c>
      <c r="AW40" s="2013">
        <v>1.6981900000000001</v>
      </c>
      <c r="AX40" s="2013">
        <v>659.83371</v>
      </c>
      <c r="AY40" s="2013">
        <v>0</v>
      </c>
      <c r="AZ40" s="2013">
        <v>659.43995999999993</v>
      </c>
      <c r="BA40" s="2013">
        <v>0</v>
      </c>
      <c r="BB40" s="2013">
        <v>662.43995999999993</v>
      </c>
      <c r="BC40" s="2013">
        <v>14.5</v>
      </c>
      <c r="BD40" s="2013">
        <v>787.25101000000006</v>
      </c>
      <c r="BE40" s="2013">
        <v>14.5</v>
      </c>
      <c r="BF40" s="2013">
        <v>1767.8441399999999</v>
      </c>
      <c r="BG40" s="2013">
        <v>14.5</v>
      </c>
      <c r="BH40" s="2013">
        <v>1860.6275900000001</v>
      </c>
      <c r="BI40" s="2013">
        <v>14.5</v>
      </c>
      <c r="BJ40" s="2013">
        <v>1880.2025900000001</v>
      </c>
      <c r="BK40" s="2013">
        <v>14.5</v>
      </c>
      <c r="BL40" s="2013">
        <v>1908.1925900000001</v>
      </c>
      <c r="BM40" s="2013">
        <v>14.5</v>
      </c>
      <c r="BN40" s="2013">
        <v>1945.2010400000001</v>
      </c>
      <c r="BO40" s="2013">
        <v>14.5</v>
      </c>
      <c r="BP40" s="2013">
        <v>2065.5482099999999</v>
      </c>
      <c r="BQ40" s="2013">
        <v>14.5</v>
      </c>
      <c r="BR40" s="2013">
        <v>2080.6442099999999</v>
      </c>
      <c r="BS40" s="2013">
        <v>14.5</v>
      </c>
      <c r="BT40" s="2013">
        <v>2095.5637700000002</v>
      </c>
      <c r="BU40" s="2013">
        <v>14.5</v>
      </c>
      <c r="BV40" s="2013">
        <v>456.15090000000004</v>
      </c>
      <c r="BW40" s="2013">
        <v>0</v>
      </c>
      <c r="BX40" s="2013">
        <v>474.15010999999998</v>
      </c>
      <c r="BY40" s="2013">
        <v>0</v>
      </c>
      <c r="BZ40" s="2013">
        <v>488.95011</v>
      </c>
      <c r="CA40" s="2013">
        <v>0</v>
      </c>
      <c r="CB40" s="2013">
        <v>551.42405000000008</v>
      </c>
      <c r="CC40" s="2013">
        <v>0</v>
      </c>
      <c r="CD40" s="2013">
        <v>1738.12599</v>
      </c>
      <c r="CE40" s="2013">
        <v>0</v>
      </c>
      <c r="CF40" s="2013">
        <v>1806.7803100000001</v>
      </c>
      <c r="CG40" s="2013">
        <v>0</v>
      </c>
      <c r="CH40" s="2013">
        <v>2092.9262899999999</v>
      </c>
      <c r="CI40" s="2013">
        <v>0</v>
      </c>
      <c r="CJ40" s="2013">
        <v>2106.2642900000001</v>
      </c>
      <c r="CK40" s="2013">
        <v>0</v>
      </c>
      <c r="CL40" s="2013">
        <v>2125.7024200000001</v>
      </c>
      <c r="CM40" s="2013">
        <v>0</v>
      </c>
      <c r="CN40" s="2013">
        <v>2154.66516</v>
      </c>
      <c r="CO40" s="2013">
        <v>0</v>
      </c>
      <c r="CP40" s="2013">
        <v>2178.76116</v>
      </c>
      <c r="CQ40" s="2013">
        <v>0</v>
      </c>
      <c r="CR40" s="2013">
        <v>2196.5888100000002</v>
      </c>
      <c r="CS40" s="2013">
        <v>0</v>
      </c>
      <c r="CT40" s="2013">
        <v>477.16990000000004</v>
      </c>
      <c r="CU40" s="2013">
        <v>0</v>
      </c>
      <c r="CV40" s="2013">
        <v>501.52190000000002</v>
      </c>
      <c r="CW40" s="2013">
        <v>0</v>
      </c>
      <c r="CX40" s="2013">
        <v>516.32349999999997</v>
      </c>
      <c r="CY40" s="2013">
        <v>0</v>
      </c>
      <c r="CZ40" s="2013">
        <v>590.63751999999999</v>
      </c>
      <c r="DA40" s="2013">
        <v>0</v>
      </c>
      <c r="DB40" s="2013">
        <v>790.86817000000008</v>
      </c>
      <c r="DC40" s="2013">
        <v>0</v>
      </c>
      <c r="DD40" s="2013">
        <v>848.33146999999997</v>
      </c>
      <c r="DE40" s="2013">
        <v>0</v>
      </c>
      <c r="DF40" s="2013">
        <v>848.05002999999999</v>
      </c>
      <c r="DG40" s="2013">
        <v>0</v>
      </c>
      <c r="DH40" s="2013">
        <v>875.92003</v>
      </c>
      <c r="DI40" s="2013">
        <v>0</v>
      </c>
      <c r="DJ40" s="2013">
        <v>895.72003000000007</v>
      </c>
      <c r="DK40" s="2013">
        <v>0</v>
      </c>
      <c r="DL40" s="2013">
        <v>949.3143</v>
      </c>
      <c r="DM40" s="2013">
        <v>0</v>
      </c>
      <c r="DN40" s="2013">
        <v>963.35743000000002</v>
      </c>
      <c r="DO40" s="2013">
        <v>0</v>
      </c>
      <c r="DP40" s="2013">
        <v>968.94142999999997</v>
      </c>
      <c r="DQ40" s="2014">
        <v>0</v>
      </c>
      <c r="DR40" s="2015">
        <v>431.1268</v>
      </c>
      <c r="DS40" s="2016">
        <v>0</v>
      </c>
      <c r="DT40" s="2017">
        <v>431.1268</v>
      </c>
      <c r="DU40" s="2014">
        <v>0</v>
      </c>
      <c r="DV40" s="2015">
        <v>442.01679999999999</v>
      </c>
      <c r="DW40" s="2016">
        <v>0</v>
      </c>
      <c r="DX40" s="2017">
        <v>497.82985000000002</v>
      </c>
      <c r="DY40" s="2014">
        <v>0</v>
      </c>
      <c r="DZ40" s="2015">
        <v>561.50392999999997</v>
      </c>
      <c r="EA40" s="2016">
        <v>0</v>
      </c>
      <c r="EB40" s="2017">
        <v>603.90137000000004</v>
      </c>
      <c r="EC40" s="2014">
        <v>0</v>
      </c>
      <c r="ED40" s="2015">
        <v>658.12136999999996</v>
      </c>
      <c r="EE40" s="2016">
        <v>0</v>
      </c>
      <c r="EF40" s="2015">
        <v>678.12136999999996</v>
      </c>
      <c r="EG40" s="2016">
        <v>0</v>
      </c>
      <c r="EH40" s="2017">
        <v>800.11095999999998</v>
      </c>
      <c r="EI40" s="2016">
        <v>0</v>
      </c>
      <c r="EJ40" s="2017">
        <v>822.93856000000005</v>
      </c>
      <c r="EK40" s="2016">
        <v>0</v>
      </c>
      <c r="EL40" s="2015">
        <v>832.58856000000003</v>
      </c>
      <c r="EM40" s="2018">
        <v>0</v>
      </c>
      <c r="EN40" s="2015">
        <v>922.37945999999999</v>
      </c>
      <c r="EO40" s="2018">
        <v>0</v>
      </c>
      <c r="EP40" s="2015">
        <v>603.07500000000005</v>
      </c>
      <c r="EQ40" s="2018">
        <v>0</v>
      </c>
      <c r="ER40" s="2015">
        <v>648.94133999999997</v>
      </c>
      <c r="ES40" s="2018">
        <v>0</v>
      </c>
      <c r="ET40" s="2015">
        <v>671.89203999999995</v>
      </c>
      <c r="EU40" s="2018">
        <v>0</v>
      </c>
      <c r="EV40" s="2015">
        <v>732.51094999999998</v>
      </c>
      <c r="EW40" s="2018">
        <v>0</v>
      </c>
      <c r="EX40" s="2015">
        <v>817.03789000000006</v>
      </c>
      <c r="EY40" s="2018">
        <v>0</v>
      </c>
      <c r="EZ40" s="2015">
        <v>995.87396000000001</v>
      </c>
      <c r="FA40" s="2018">
        <v>0</v>
      </c>
      <c r="FB40" s="2015">
        <v>1040.8739599999999</v>
      </c>
      <c r="FC40" s="2018">
        <v>0</v>
      </c>
      <c r="FD40" s="2015">
        <v>1113.9294400000001</v>
      </c>
      <c r="FE40" s="2018">
        <v>0</v>
      </c>
      <c r="FF40" s="2015">
        <v>1164.25224</v>
      </c>
      <c r="FG40" s="2018">
        <v>0</v>
      </c>
      <c r="FH40" s="2015">
        <v>1167.9682399999999</v>
      </c>
      <c r="FI40" s="2018">
        <v>0</v>
      </c>
      <c r="FJ40" s="2015">
        <v>1196.6032399999999</v>
      </c>
      <c r="FK40" s="2018">
        <v>0</v>
      </c>
      <c r="FL40" s="2015">
        <v>1300.59329</v>
      </c>
      <c r="FM40" s="2018">
        <v>0</v>
      </c>
      <c r="FN40" s="2015">
        <v>1044.1762000000001</v>
      </c>
      <c r="FO40" s="2018">
        <v>0</v>
      </c>
      <c r="FP40" s="2015">
        <v>1060.3113000000001</v>
      </c>
      <c r="FQ40" s="2018">
        <v>0</v>
      </c>
      <c r="FR40" s="2015">
        <v>1149.2592999999999</v>
      </c>
      <c r="FS40" s="2018">
        <v>0</v>
      </c>
      <c r="FT40" s="2015">
        <v>1181.8378</v>
      </c>
      <c r="FU40" s="2018">
        <v>0</v>
      </c>
      <c r="FV40" s="2015">
        <v>1323.12375</v>
      </c>
      <c r="FW40" s="2018">
        <v>0</v>
      </c>
      <c r="FX40" s="2015">
        <v>1476.4908</v>
      </c>
      <c r="FY40" s="2018">
        <v>0</v>
      </c>
      <c r="FZ40" s="2015">
        <v>1552.1313</v>
      </c>
      <c r="GA40" s="2018">
        <v>0</v>
      </c>
      <c r="GB40" s="2015">
        <v>1621.3470500000001</v>
      </c>
      <c r="GC40" s="2018">
        <v>1.75</v>
      </c>
      <c r="GD40" s="2015">
        <v>1707.1968999999999</v>
      </c>
      <c r="GE40" s="2018">
        <v>1.75</v>
      </c>
      <c r="GF40" s="2015">
        <v>1826.5563999999999</v>
      </c>
      <c r="GG40" s="2018">
        <v>1.75</v>
      </c>
      <c r="GH40" s="2015">
        <v>1967.6164799999999</v>
      </c>
      <c r="GI40" s="2018">
        <v>1.75</v>
      </c>
      <c r="GJ40" s="2015">
        <v>2041.11338</v>
      </c>
      <c r="GK40" s="2018">
        <v>2.41</v>
      </c>
      <c r="GL40" s="2015">
        <v>1117.7719</v>
      </c>
      <c r="GM40" s="2018">
        <v>0</v>
      </c>
      <c r="GN40" s="2015">
        <v>1167.3020100000001</v>
      </c>
      <c r="GO40" s="2018">
        <v>2.4700000000000002</v>
      </c>
      <c r="GP40" s="2015">
        <v>1254.6091999999999</v>
      </c>
      <c r="GQ40" s="2018">
        <v>2.4700000000000002</v>
      </c>
      <c r="GR40" s="2015">
        <v>1296.9286999999999</v>
      </c>
      <c r="GS40" s="2018">
        <v>2.4700000000000002</v>
      </c>
      <c r="GT40" s="2015">
        <v>1367.1361300000001</v>
      </c>
      <c r="GU40" s="2018">
        <v>3.42</v>
      </c>
      <c r="GV40" s="2019" t="s">
        <v>3440</v>
      </c>
    </row>
    <row r="41" spans="1:207" s="1991" customFormat="1" ht="22.5" customHeight="1">
      <c r="A41" s="2012" t="s">
        <v>2296</v>
      </c>
      <c r="B41" s="2013">
        <v>26.13138</v>
      </c>
      <c r="C41" s="2013">
        <v>0.63214999999999999</v>
      </c>
      <c r="D41" s="2013">
        <v>128.84253000000001</v>
      </c>
      <c r="E41" s="2013">
        <v>1.26431</v>
      </c>
      <c r="F41" s="2013">
        <v>521.34888000000001</v>
      </c>
      <c r="G41" s="2013">
        <v>1.8964799999999999</v>
      </c>
      <c r="H41" s="2013">
        <v>524.43885</v>
      </c>
      <c r="I41" s="2013">
        <v>2.5286500000000003</v>
      </c>
      <c r="J41" s="2013">
        <v>564.05007000000001</v>
      </c>
      <c r="K41" s="2013">
        <v>14.945549999999999</v>
      </c>
      <c r="L41" s="2013">
        <v>590.16</v>
      </c>
      <c r="M41" s="2013">
        <v>5.6303199999999993</v>
      </c>
      <c r="N41" s="2013">
        <v>740.40816000000007</v>
      </c>
      <c r="O41" s="2013">
        <v>6.2624899999999997</v>
      </c>
      <c r="P41" s="2013">
        <v>928.63535000000002</v>
      </c>
      <c r="Q41" s="2013">
        <v>6.89466</v>
      </c>
      <c r="R41" s="2013">
        <v>1012.83852</v>
      </c>
      <c r="S41" s="2013">
        <v>7.5268100000000002</v>
      </c>
      <c r="T41" s="2013">
        <v>1038.2603100000001</v>
      </c>
      <c r="U41" s="2013">
        <v>8.1589700000000001</v>
      </c>
      <c r="V41" s="2013">
        <v>1133.8602100000001</v>
      </c>
      <c r="W41" s="2013">
        <v>8.7911200000000012</v>
      </c>
      <c r="X41" s="2013">
        <v>1183.546</v>
      </c>
      <c r="Y41" s="2013">
        <v>9.4232900000000015</v>
      </c>
      <c r="Z41" s="2013">
        <v>67.608100000000007</v>
      </c>
      <c r="AA41" s="2013">
        <v>15.565430000000001</v>
      </c>
      <c r="AB41" s="2013">
        <v>89.040009999999995</v>
      </c>
      <c r="AC41" s="2013">
        <v>16.197600000000001</v>
      </c>
      <c r="AD41" s="2013">
        <v>242.09776000000002</v>
      </c>
      <c r="AE41" s="2013">
        <v>16.829759999999997</v>
      </c>
      <c r="AF41" s="2013">
        <v>532.84492</v>
      </c>
      <c r="AG41" s="2013">
        <v>17.461919999999999</v>
      </c>
      <c r="AH41" s="2013">
        <v>599.43362000000002</v>
      </c>
      <c r="AI41" s="2013">
        <v>18.094080000000002</v>
      </c>
      <c r="AJ41" s="2013">
        <v>673.74757999999997</v>
      </c>
      <c r="AK41" s="2013">
        <v>18.726220000000001</v>
      </c>
      <c r="AL41" s="2013">
        <v>774.74785999999995</v>
      </c>
      <c r="AM41" s="2013">
        <v>19.34836</v>
      </c>
      <c r="AN41" s="2013">
        <v>828.51605000000006</v>
      </c>
      <c r="AO41" s="2013">
        <v>19.990490000000001</v>
      </c>
      <c r="AP41" s="2013">
        <v>943.28592000000003</v>
      </c>
      <c r="AQ41" s="2013">
        <v>20.622619999999998</v>
      </c>
      <c r="AR41" s="2013">
        <v>1037.94271</v>
      </c>
      <c r="AS41" s="2013">
        <v>21.254750000000001</v>
      </c>
      <c r="AT41" s="2013">
        <v>1090.4873700000001</v>
      </c>
      <c r="AU41" s="2013">
        <v>21.886880000000001</v>
      </c>
      <c r="AV41" s="2013">
        <v>1125.8515199999999</v>
      </c>
      <c r="AW41" s="2013">
        <v>22.519009999999998</v>
      </c>
      <c r="AX41" s="2013">
        <v>61.998949999999994</v>
      </c>
      <c r="AY41" s="2013">
        <v>0.63212999999999997</v>
      </c>
      <c r="AZ41" s="2013">
        <v>188.77538000000001</v>
      </c>
      <c r="BA41" s="2013">
        <v>2.8088500000000001</v>
      </c>
      <c r="BB41" s="2013">
        <v>324.43331999999998</v>
      </c>
      <c r="BC41" s="2013">
        <v>1.4743499999999998</v>
      </c>
      <c r="BD41" s="2013">
        <v>752.43362000000002</v>
      </c>
      <c r="BE41" s="2013">
        <v>3.6510700000000003</v>
      </c>
      <c r="BF41" s="2013">
        <v>799.62149999999997</v>
      </c>
      <c r="BG41" s="2013">
        <v>4.0721799999999995</v>
      </c>
      <c r="BH41" s="2013">
        <v>822.95349999999996</v>
      </c>
      <c r="BI41" s="2013">
        <v>26.293290000000002</v>
      </c>
      <c r="BJ41" s="2013">
        <v>874.20627000000002</v>
      </c>
      <c r="BK41" s="2013">
        <v>36.714400000000005</v>
      </c>
      <c r="BL41" s="2013">
        <v>931.79926999999998</v>
      </c>
      <c r="BM41" s="2013">
        <v>37.135510000000004</v>
      </c>
      <c r="BN41" s="2013">
        <v>1025.30034</v>
      </c>
      <c r="BO41" s="2013">
        <v>37.556620000000002</v>
      </c>
      <c r="BP41" s="2013">
        <v>1093.45417</v>
      </c>
      <c r="BQ41" s="2013">
        <v>37.977730000000001</v>
      </c>
      <c r="BR41" s="2013">
        <v>1167.7885200000001</v>
      </c>
      <c r="BS41" s="2013">
        <v>14.84323</v>
      </c>
      <c r="BT41" s="2013">
        <v>1212.5661299999999</v>
      </c>
      <c r="BU41" s="2013">
        <v>38.819949999999999</v>
      </c>
      <c r="BV41" s="2013">
        <v>53.174019999999999</v>
      </c>
      <c r="BW41" s="2013">
        <v>0.42111000000000004</v>
      </c>
      <c r="BX41" s="2013">
        <v>66.11045</v>
      </c>
      <c r="BY41" s="2013">
        <v>0.84222000000000008</v>
      </c>
      <c r="BZ41" s="2013">
        <v>476.62711999999999</v>
      </c>
      <c r="CA41" s="2013">
        <v>18.272169999999999</v>
      </c>
      <c r="CB41" s="2013">
        <v>527.79368999999997</v>
      </c>
      <c r="CC41" s="2013">
        <v>18.272169999999999</v>
      </c>
      <c r="CD41" s="2013">
        <v>592.05367000000001</v>
      </c>
      <c r="CE41" s="2013">
        <v>18.272169999999999</v>
      </c>
      <c r="CF41" s="2013">
        <v>628.06817000000001</v>
      </c>
      <c r="CG41" s="2013">
        <v>18.272169999999999</v>
      </c>
      <c r="CH41" s="2013">
        <v>670.85056000000009</v>
      </c>
      <c r="CI41" s="2013">
        <v>18.272169999999999</v>
      </c>
      <c r="CJ41" s="2013">
        <v>730.83656000000008</v>
      </c>
      <c r="CK41" s="2013">
        <v>18.272169999999999</v>
      </c>
      <c r="CL41" s="2013">
        <v>782.38797</v>
      </c>
      <c r="CM41" s="2013">
        <v>18.272169999999999</v>
      </c>
      <c r="CN41" s="2013">
        <v>811.59412999999995</v>
      </c>
      <c r="CO41" s="2013">
        <v>18.272169999999999</v>
      </c>
      <c r="CP41" s="2013">
        <v>858.5006800000001</v>
      </c>
      <c r="CQ41" s="2013">
        <v>18.272169999999999</v>
      </c>
      <c r="CR41" s="2013">
        <v>898.22616000000005</v>
      </c>
      <c r="CS41" s="2013">
        <v>18.272169999999999</v>
      </c>
      <c r="CT41" s="2013">
        <v>166.61133999999998</v>
      </c>
      <c r="CU41" s="2013">
        <v>0</v>
      </c>
      <c r="CV41" s="2013">
        <v>176.72633999999999</v>
      </c>
      <c r="CW41" s="2013">
        <v>0</v>
      </c>
      <c r="CX41" s="2013">
        <v>573.88420999999994</v>
      </c>
      <c r="CY41" s="2013">
        <v>0</v>
      </c>
      <c r="CZ41" s="2013">
        <v>585.66920999999991</v>
      </c>
      <c r="DA41" s="2013">
        <v>0</v>
      </c>
      <c r="DB41" s="2013">
        <v>668.13387999999998</v>
      </c>
      <c r="DC41" s="2013">
        <v>0</v>
      </c>
      <c r="DD41" s="2013">
        <v>687.94227999999998</v>
      </c>
      <c r="DE41" s="2013">
        <v>0</v>
      </c>
      <c r="DF41" s="2013">
        <v>760.94778000000008</v>
      </c>
      <c r="DG41" s="2013">
        <v>0</v>
      </c>
      <c r="DH41" s="2013">
        <v>813.9826700000001</v>
      </c>
      <c r="DI41" s="2013">
        <v>0</v>
      </c>
      <c r="DJ41" s="2013">
        <v>879.42207999999994</v>
      </c>
      <c r="DK41" s="2013">
        <v>0</v>
      </c>
      <c r="DL41" s="2013">
        <v>882.57208000000003</v>
      </c>
      <c r="DM41" s="2013">
        <v>0</v>
      </c>
      <c r="DN41" s="2013">
        <v>899.35368000000005</v>
      </c>
      <c r="DO41" s="2013">
        <v>0</v>
      </c>
      <c r="DP41" s="2013">
        <v>1041.5200400000001</v>
      </c>
      <c r="DQ41" s="2014">
        <v>0</v>
      </c>
      <c r="DR41" s="2015">
        <v>54.515810000000002</v>
      </c>
      <c r="DS41" s="2016">
        <v>0</v>
      </c>
      <c r="DT41" s="2017">
        <v>82.782799999999995</v>
      </c>
      <c r="DU41" s="2014">
        <v>0</v>
      </c>
      <c r="DV41" s="2015">
        <v>148.32335</v>
      </c>
      <c r="DW41" s="2016">
        <v>0</v>
      </c>
      <c r="DX41" s="2017">
        <v>450.96544</v>
      </c>
      <c r="DY41" s="2014">
        <v>0</v>
      </c>
      <c r="DZ41" s="2015">
        <v>501.13162</v>
      </c>
      <c r="EA41" s="2016">
        <v>0</v>
      </c>
      <c r="EB41" s="2017">
        <v>552.69034999999997</v>
      </c>
      <c r="EC41" s="2014">
        <v>0</v>
      </c>
      <c r="ED41" s="2015">
        <v>603.53944999999999</v>
      </c>
      <c r="EE41" s="2016">
        <v>0</v>
      </c>
      <c r="EF41" s="2015">
        <v>648.68970000000002</v>
      </c>
      <c r="EG41" s="2016">
        <v>0</v>
      </c>
      <c r="EH41" s="2017">
        <v>703.59090000000003</v>
      </c>
      <c r="EI41" s="2016">
        <v>0</v>
      </c>
      <c r="EJ41" s="2017">
        <v>705.98054000000002</v>
      </c>
      <c r="EK41" s="2016">
        <v>0</v>
      </c>
      <c r="EL41" s="2015">
        <v>748.14004</v>
      </c>
      <c r="EM41" s="2018">
        <v>0</v>
      </c>
      <c r="EN41" s="2015">
        <v>851.70090000000005</v>
      </c>
      <c r="EO41" s="2018">
        <v>0</v>
      </c>
      <c r="EP41" s="2015">
        <v>63.844910000000006</v>
      </c>
      <c r="EQ41" s="2018">
        <v>0</v>
      </c>
      <c r="ER41" s="2015">
        <v>70.420240000000007</v>
      </c>
      <c r="ES41" s="2018">
        <v>0</v>
      </c>
      <c r="ET41" s="2015">
        <v>147.96654000000001</v>
      </c>
      <c r="EU41" s="2018">
        <v>0</v>
      </c>
      <c r="EV41" s="2015">
        <v>477.53044</v>
      </c>
      <c r="EW41" s="2018">
        <v>0</v>
      </c>
      <c r="EX41" s="2015">
        <v>523.08205999999996</v>
      </c>
      <c r="EY41" s="2018">
        <v>0</v>
      </c>
      <c r="EZ41" s="2015">
        <v>568.98235999999997</v>
      </c>
      <c r="FA41" s="2018">
        <v>0</v>
      </c>
      <c r="FB41" s="2015">
        <v>581.40736000000004</v>
      </c>
      <c r="FC41" s="2018">
        <v>0</v>
      </c>
      <c r="FD41" s="2015">
        <v>675.54061000000002</v>
      </c>
      <c r="FE41" s="2018">
        <v>0</v>
      </c>
      <c r="FF41" s="2015">
        <v>756.97481000000005</v>
      </c>
      <c r="FG41" s="2018">
        <v>0</v>
      </c>
      <c r="FH41" s="2015">
        <v>775.00581</v>
      </c>
      <c r="FI41" s="2018">
        <v>0</v>
      </c>
      <c r="FJ41" s="2015">
        <v>805.77395000000001</v>
      </c>
      <c r="FK41" s="2018">
        <v>0</v>
      </c>
      <c r="FL41" s="2015">
        <v>894.43224999999995</v>
      </c>
      <c r="FM41" s="2018">
        <v>0</v>
      </c>
      <c r="FN41" s="2015">
        <v>83.509169999999997</v>
      </c>
      <c r="FO41" s="2018">
        <v>0</v>
      </c>
      <c r="FP41" s="2015">
        <v>99.137169999999998</v>
      </c>
      <c r="FQ41" s="2018">
        <v>0</v>
      </c>
      <c r="FR41" s="2015">
        <v>145.57039</v>
      </c>
      <c r="FS41" s="2018">
        <v>0</v>
      </c>
      <c r="FT41" s="2015">
        <v>178.71959000000001</v>
      </c>
      <c r="FU41" s="2018">
        <v>0</v>
      </c>
      <c r="FV41" s="2015">
        <v>512.04578000000004</v>
      </c>
      <c r="FW41" s="2018">
        <v>0</v>
      </c>
      <c r="FX41" s="2015">
        <v>537.54589999999996</v>
      </c>
      <c r="FY41" s="2018">
        <v>0</v>
      </c>
      <c r="FZ41" s="2015">
        <v>584.66152</v>
      </c>
      <c r="GA41" s="2018">
        <v>0</v>
      </c>
      <c r="GB41" s="2015">
        <v>650.42096000000004</v>
      </c>
      <c r="GC41" s="2018">
        <v>0</v>
      </c>
      <c r="GD41" s="2015">
        <v>718.53456000000006</v>
      </c>
      <c r="GE41" s="2018">
        <v>0</v>
      </c>
      <c r="GF41" s="2015">
        <v>740.31705999999997</v>
      </c>
      <c r="GG41" s="2018">
        <v>0</v>
      </c>
      <c r="GH41" s="2015">
        <v>749.61605999999995</v>
      </c>
      <c r="GI41" s="2018">
        <v>0</v>
      </c>
      <c r="GJ41" s="2015">
        <v>804.13508999999999</v>
      </c>
      <c r="GK41" s="2018">
        <v>0</v>
      </c>
      <c r="GL41" s="2015">
        <v>96.453909999999993</v>
      </c>
      <c r="GM41" s="2018">
        <v>0</v>
      </c>
      <c r="GN41" s="2015">
        <v>98.695909999999998</v>
      </c>
      <c r="GO41" s="2018">
        <v>0</v>
      </c>
      <c r="GP41" s="2015">
        <v>124.54200999999999</v>
      </c>
      <c r="GQ41" s="2018">
        <v>0</v>
      </c>
      <c r="GR41" s="2015">
        <v>161.23505</v>
      </c>
      <c r="GS41" s="2018">
        <v>0</v>
      </c>
      <c r="GT41" s="2015">
        <v>194.62790000000001</v>
      </c>
      <c r="GU41" s="2018">
        <v>0</v>
      </c>
      <c r="GV41" s="2019" t="s">
        <v>3209</v>
      </c>
    </row>
    <row r="42" spans="1:207" s="1991" customFormat="1" ht="22.5" customHeight="1">
      <c r="A42" s="2012" t="s">
        <v>2295</v>
      </c>
      <c r="B42" s="2013">
        <v>0</v>
      </c>
      <c r="C42" s="2013">
        <v>0</v>
      </c>
      <c r="D42" s="2013">
        <v>26.929490000000001</v>
      </c>
      <c r="E42" s="2013">
        <v>27.99999</v>
      </c>
      <c r="F42" s="2013">
        <v>27.479490000000002</v>
      </c>
      <c r="G42" s="2013">
        <v>45.935989999999997</v>
      </c>
      <c r="H42" s="2013">
        <v>27.479490000000002</v>
      </c>
      <c r="I42" s="2013">
        <v>45.935989999999997</v>
      </c>
      <c r="J42" s="2013">
        <v>27.479490000000002</v>
      </c>
      <c r="K42" s="2013">
        <v>45.935989999999997</v>
      </c>
      <c r="L42" s="2013">
        <v>27.479490000000002</v>
      </c>
      <c r="M42" s="2013">
        <v>45.935989999999997</v>
      </c>
      <c r="N42" s="2013">
        <v>27.479490000000002</v>
      </c>
      <c r="O42" s="2013">
        <v>45.935989999999997</v>
      </c>
      <c r="P42" s="2013">
        <v>28.519490000000001</v>
      </c>
      <c r="Q42" s="2013">
        <v>45.935989999999997</v>
      </c>
      <c r="R42" s="2013">
        <v>28.909490000000002</v>
      </c>
      <c r="S42" s="2013">
        <v>45.935989999999997</v>
      </c>
      <c r="T42" s="2013">
        <v>28.909490000000002</v>
      </c>
      <c r="U42" s="2013">
        <v>45.935989999999997</v>
      </c>
      <c r="V42" s="2013">
        <v>28.909490000000002</v>
      </c>
      <c r="W42" s="2013">
        <v>75.935990000000004</v>
      </c>
      <c r="X42" s="2013">
        <v>28.909490000000002</v>
      </c>
      <c r="Y42" s="2013">
        <v>75.935990000000004</v>
      </c>
      <c r="Z42" s="2013">
        <v>34.5</v>
      </c>
      <c r="AA42" s="2013">
        <v>0</v>
      </c>
      <c r="AB42" s="2013">
        <v>50.199949999999994</v>
      </c>
      <c r="AC42" s="2013">
        <v>0</v>
      </c>
      <c r="AD42" s="2013">
        <v>50.2</v>
      </c>
      <c r="AE42" s="2013">
        <v>0</v>
      </c>
      <c r="AF42" s="2013">
        <v>50.199949999999994</v>
      </c>
      <c r="AG42" s="2013">
        <v>0</v>
      </c>
      <c r="AH42" s="2013">
        <v>50.199949999999994</v>
      </c>
      <c r="AI42" s="2013">
        <v>0</v>
      </c>
      <c r="AJ42" s="2013">
        <v>50.199949999999994</v>
      </c>
      <c r="AK42" s="2013">
        <v>0</v>
      </c>
      <c r="AL42" s="2013">
        <v>50.199949999999994</v>
      </c>
      <c r="AM42" s="2013">
        <v>0</v>
      </c>
      <c r="AN42" s="2013">
        <v>50.199949999999994</v>
      </c>
      <c r="AO42" s="2013">
        <v>0</v>
      </c>
      <c r="AP42" s="2013">
        <v>50.396180000000001</v>
      </c>
      <c r="AQ42" s="2013">
        <v>0</v>
      </c>
      <c r="AR42" s="2013">
        <v>50.396180000000001</v>
      </c>
      <c r="AS42" s="2013">
        <v>0</v>
      </c>
      <c r="AT42" s="2013">
        <v>50.396180000000001</v>
      </c>
      <c r="AU42" s="2013">
        <v>0</v>
      </c>
      <c r="AV42" s="2013">
        <v>50.396180000000001</v>
      </c>
      <c r="AW42" s="2013">
        <v>0</v>
      </c>
      <c r="AX42" s="2013">
        <v>0</v>
      </c>
      <c r="AY42" s="2013">
        <v>0</v>
      </c>
      <c r="AZ42" s="2013">
        <v>0</v>
      </c>
      <c r="BA42" s="2013">
        <v>0</v>
      </c>
      <c r="BB42" s="2013">
        <v>0</v>
      </c>
      <c r="BC42" s="2013">
        <v>0</v>
      </c>
      <c r="BD42" s="2013">
        <v>0</v>
      </c>
      <c r="BE42" s="2013">
        <v>0</v>
      </c>
      <c r="BF42" s="2013">
        <v>0</v>
      </c>
      <c r="BG42" s="2013">
        <v>0</v>
      </c>
      <c r="BH42" s="2013">
        <v>0</v>
      </c>
      <c r="BI42" s="2013">
        <v>0</v>
      </c>
      <c r="BJ42" s="2013">
        <v>0</v>
      </c>
      <c r="BK42" s="2013">
        <v>0</v>
      </c>
      <c r="BL42" s="2013">
        <v>0</v>
      </c>
      <c r="BM42" s="2013">
        <v>0</v>
      </c>
      <c r="BN42" s="2013">
        <v>0</v>
      </c>
      <c r="BO42" s="2013">
        <v>0</v>
      </c>
      <c r="BP42" s="2013">
        <v>0</v>
      </c>
      <c r="BQ42" s="2013">
        <v>0</v>
      </c>
      <c r="BR42" s="2013">
        <v>0</v>
      </c>
      <c r="BS42" s="2013">
        <v>0</v>
      </c>
      <c r="BT42" s="2013">
        <v>0</v>
      </c>
      <c r="BU42" s="2013">
        <v>0</v>
      </c>
      <c r="BV42" s="2013">
        <v>0</v>
      </c>
      <c r="BW42" s="2013">
        <v>0</v>
      </c>
      <c r="BX42" s="2013">
        <v>0</v>
      </c>
      <c r="BY42" s="2013">
        <v>0</v>
      </c>
      <c r="BZ42" s="2013">
        <v>0</v>
      </c>
      <c r="CA42" s="2013">
        <v>0</v>
      </c>
      <c r="CB42" s="2013">
        <v>0</v>
      </c>
      <c r="CC42" s="2013">
        <v>0</v>
      </c>
      <c r="CD42" s="2013">
        <v>0</v>
      </c>
      <c r="CE42" s="2013">
        <v>0</v>
      </c>
      <c r="CF42" s="2013">
        <v>0</v>
      </c>
      <c r="CG42" s="2013">
        <v>2.6538600000000003</v>
      </c>
      <c r="CH42" s="2013">
        <v>0</v>
      </c>
      <c r="CI42" s="2013">
        <v>2.6538600000000003</v>
      </c>
      <c r="CJ42" s="2013">
        <v>0</v>
      </c>
      <c r="CK42" s="2013">
        <v>2.6538600000000003</v>
      </c>
      <c r="CL42" s="2013">
        <v>0</v>
      </c>
      <c r="CM42" s="2013">
        <v>2.6538600000000003</v>
      </c>
      <c r="CN42" s="2013">
        <v>0</v>
      </c>
      <c r="CO42" s="2013">
        <v>2.6538600000000003</v>
      </c>
      <c r="CP42" s="2013">
        <v>0</v>
      </c>
      <c r="CQ42" s="2013">
        <v>2.6538600000000003</v>
      </c>
      <c r="CR42" s="2013">
        <v>0</v>
      </c>
      <c r="CS42" s="2013">
        <v>2.6538600000000003</v>
      </c>
      <c r="CT42" s="2013">
        <v>0</v>
      </c>
      <c r="CU42" s="2013">
        <v>0</v>
      </c>
      <c r="CV42" s="2013">
        <v>0</v>
      </c>
      <c r="CW42" s="2013">
        <v>0</v>
      </c>
      <c r="CX42" s="2013">
        <v>0</v>
      </c>
      <c r="CY42" s="2013">
        <v>0</v>
      </c>
      <c r="CZ42" s="2013">
        <v>0</v>
      </c>
      <c r="DA42" s="2013">
        <v>0</v>
      </c>
      <c r="DB42" s="2013">
        <v>0</v>
      </c>
      <c r="DC42" s="2013">
        <v>0</v>
      </c>
      <c r="DD42" s="2013">
        <v>0</v>
      </c>
      <c r="DE42" s="2013">
        <v>0</v>
      </c>
      <c r="DF42" s="2013">
        <v>0</v>
      </c>
      <c r="DG42" s="2013">
        <v>0</v>
      </c>
      <c r="DH42" s="2013">
        <v>0</v>
      </c>
      <c r="DI42" s="2013">
        <v>0</v>
      </c>
      <c r="DJ42" s="2013">
        <v>0</v>
      </c>
      <c r="DK42" s="2013">
        <v>0</v>
      </c>
      <c r="DL42" s="2013">
        <v>0</v>
      </c>
      <c r="DM42" s="2013">
        <v>0</v>
      </c>
      <c r="DN42" s="2013">
        <v>0</v>
      </c>
      <c r="DO42" s="2013">
        <v>0</v>
      </c>
      <c r="DP42" s="2013">
        <v>0</v>
      </c>
      <c r="DQ42" s="2014">
        <v>0</v>
      </c>
      <c r="DR42" s="2015">
        <v>0</v>
      </c>
      <c r="DS42" s="2016">
        <v>0</v>
      </c>
      <c r="DT42" s="2017">
        <v>0</v>
      </c>
      <c r="DU42" s="2014">
        <v>0</v>
      </c>
      <c r="DV42" s="2015">
        <v>0</v>
      </c>
      <c r="DW42" s="2016">
        <v>0</v>
      </c>
      <c r="DX42" s="2017">
        <v>0</v>
      </c>
      <c r="DY42" s="2014">
        <v>0</v>
      </c>
      <c r="DZ42" s="2015">
        <v>0</v>
      </c>
      <c r="EA42" s="2016">
        <v>0</v>
      </c>
      <c r="EB42" s="2017">
        <v>0</v>
      </c>
      <c r="EC42" s="2014">
        <v>0</v>
      </c>
      <c r="ED42" s="2015">
        <v>0</v>
      </c>
      <c r="EE42" s="2016">
        <v>0</v>
      </c>
      <c r="EF42" s="2015">
        <v>0</v>
      </c>
      <c r="EG42" s="2016">
        <v>0</v>
      </c>
      <c r="EH42" s="2017">
        <v>0</v>
      </c>
      <c r="EI42" s="2016">
        <v>0</v>
      </c>
      <c r="EJ42" s="2017">
        <v>0.93500000000000005</v>
      </c>
      <c r="EK42" s="2016">
        <v>0</v>
      </c>
      <c r="EL42" s="2015">
        <v>43.86</v>
      </c>
      <c r="EM42" s="2018">
        <v>0</v>
      </c>
      <c r="EN42" s="2015">
        <v>44.37</v>
      </c>
      <c r="EO42" s="2018">
        <v>0</v>
      </c>
      <c r="EP42" s="2015">
        <v>0</v>
      </c>
      <c r="EQ42" s="2018">
        <v>0</v>
      </c>
      <c r="ER42" s="2015">
        <v>1.7</v>
      </c>
      <c r="ES42" s="2018">
        <v>0</v>
      </c>
      <c r="ET42" s="2015">
        <v>2.5499999999999998</v>
      </c>
      <c r="EU42" s="2018">
        <v>0</v>
      </c>
      <c r="EV42" s="2015">
        <v>3.4</v>
      </c>
      <c r="EW42" s="2018">
        <v>0</v>
      </c>
      <c r="EX42" s="2015">
        <v>4.25</v>
      </c>
      <c r="EY42" s="2018">
        <v>0</v>
      </c>
      <c r="EZ42" s="2015">
        <v>45.475000000000001</v>
      </c>
      <c r="FA42" s="2018">
        <v>0</v>
      </c>
      <c r="FB42" s="2015">
        <v>48.024999999999999</v>
      </c>
      <c r="FC42" s="2018">
        <v>0</v>
      </c>
      <c r="FD42" s="2015">
        <v>48.45</v>
      </c>
      <c r="FE42" s="2018">
        <v>0</v>
      </c>
      <c r="FF42" s="2015">
        <v>59.524999999999999</v>
      </c>
      <c r="FG42" s="2018">
        <v>0</v>
      </c>
      <c r="FH42" s="2015">
        <v>62.075000000000003</v>
      </c>
      <c r="FI42" s="2018">
        <v>0</v>
      </c>
      <c r="FJ42" s="2015">
        <v>63.435000000000002</v>
      </c>
      <c r="FK42" s="2018">
        <v>0</v>
      </c>
      <c r="FL42" s="2015">
        <v>131.52000000000001</v>
      </c>
      <c r="FM42" s="2018">
        <v>0</v>
      </c>
      <c r="FN42" s="2015">
        <v>17.425000000000001</v>
      </c>
      <c r="FO42" s="2018">
        <v>0</v>
      </c>
      <c r="FP42" s="2015">
        <v>18.7</v>
      </c>
      <c r="FQ42" s="2018">
        <v>3.1535000000000002</v>
      </c>
      <c r="FR42" s="2015">
        <v>19.975000000000001</v>
      </c>
      <c r="FS42" s="2018">
        <v>3.1535000000000002</v>
      </c>
      <c r="FT42" s="2015">
        <v>22.524999999999999</v>
      </c>
      <c r="FU42" s="2018">
        <v>3.1535000000000002</v>
      </c>
      <c r="FV42" s="2015">
        <v>22.524999999999999</v>
      </c>
      <c r="FW42" s="2018">
        <v>3.1535000000000002</v>
      </c>
      <c r="FX42" s="2015">
        <v>25.074999999999999</v>
      </c>
      <c r="FY42" s="2018">
        <v>3.1535000000000002</v>
      </c>
      <c r="FZ42" s="2015">
        <v>26.35</v>
      </c>
      <c r="GA42" s="2018">
        <v>3.1535000000000002</v>
      </c>
      <c r="GB42" s="2015">
        <v>53.89</v>
      </c>
      <c r="GC42" s="2018">
        <v>3.1535000000000002</v>
      </c>
      <c r="GD42" s="2015">
        <v>58.674999999999997</v>
      </c>
      <c r="GE42" s="2018">
        <v>3.1535000000000002</v>
      </c>
      <c r="GF42" s="2015">
        <v>60.375</v>
      </c>
      <c r="GG42" s="2018">
        <v>3.1535000000000002</v>
      </c>
      <c r="GH42" s="2015">
        <v>61.225000000000001</v>
      </c>
      <c r="GI42" s="2018">
        <v>3.1535000000000002</v>
      </c>
      <c r="GJ42" s="2015">
        <v>62.924999999999997</v>
      </c>
      <c r="GK42" s="2018">
        <v>3.1535000000000002</v>
      </c>
      <c r="GL42" s="2015">
        <v>0.42499999999999999</v>
      </c>
      <c r="GM42" s="2018">
        <v>0</v>
      </c>
      <c r="GN42" s="2015">
        <v>0.85</v>
      </c>
      <c r="GO42" s="2018">
        <v>0</v>
      </c>
      <c r="GP42" s="2015">
        <v>2.6723400000000002</v>
      </c>
      <c r="GQ42" s="2018">
        <v>0</v>
      </c>
      <c r="GR42" s="2015">
        <v>6.4973400000000003</v>
      </c>
      <c r="GS42" s="2018">
        <v>0</v>
      </c>
      <c r="GT42" s="2015">
        <v>7.5194400000000003</v>
      </c>
      <c r="GU42" s="2018">
        <v>0</v>
      </c>
      <c r="GV42" s="2019" t="s">
        <v>3441</v>
      </c>
    </row>
    <row r="43" spans="1:207" s="1991" customFormat="1" ht="22.5" customHeight="1">
      <c r="A43" s="2012" t="s">
        <v>2294</v>
      </c>
      <c r="B43" s="2013">
        <v>0</v>
      </c>
      <c r="C43" s="2013">
        <v>0</v>
      </c>
      <c r="D43" s="2013">
        <v>162.97541000000001</v>
      </c>
      <c r="E43" s="2013">
        <v>0</v>
      </c>
      <c r="F43" s="2013">
        <v>162.97541000000001</v>
      </c>
      <c r="G43" s="2013">
        <v>0</v>
      </c>
      <c r="H43" s="2013">
        <v>162.97541000000001</v>
      </c>
      <c r="I43" s="2013">
        <v>0</v>
      </c>
      <c r="J43" s="2013">
        <v>162.97541000000001</v>
      </c>
      <c r="K43" s="2013">
        <v>0</v>
      </c>
      <c r="L43" s="2013">
        <v>162.97541000000001</v>
      </c>
      <c r="M43" s="2013">
        <v>0</v>
      </c>
      <c r="N43" s="2013">
        <v>162.97541000000001</v>
      </c>
      <c r="O43" s="2013">
        <v>0</v>
      </c>
      <c r="P43" s="2013">
        <v>231.00341</v>
      </c>
      <c r="Q43" s="2013">
        <v>0</v>
      </c>
      <c r="R43" s="2013">
        <v>231.00341</v>
      </c>
      <c r="S43" s="2013">
        <v>0</v>
      </c>
      <c r="T43" s="2013">
        <v>249.19662</v>
      </c>
      <c r="U43" s="2013">
        <v>0</v>
      </c>
      <c r="V43" s="2013">
        <v>249.19662</v>
      </c>
      <c r="W43" s="2013">
        <v>0</v>
      </c>
      <c r="X43" s="2013">
        <v>249.19662</v>
      </c>
      <c r="Y43" s="2013">
        <v>0</v>
      </c>
      <c r="Z43" s="2013">
        <v>0</v>
      </c>
      <c r="AA43" s="2013">
        <v>0</v>
      </c>
      <c r="AB43" s="2013">
        <v>161.96679999999998</v>
      </c>
      <c r="AC43" s="2013">
        <v>0</v>
      </c>
      <c r="AD43" s="2013">
        <v>182.20479</v>
      </c>
      <c r="AE43" s="2013">
        <v>0</v>
      </c>
      <c r="AF43" s="2013">
        <v>182.20479</v>
      </c>
      <c r="AG43" s="2013">
        <v>0</v>
      </c>
      <c r="AH43" s="2013">
        <v>182.20479</v>
      </c>
      <c r="AI43" s="2013">
        <v>0</v>
      </c>
      <c r="AJ43" s="2013">
        <v>182.20479</v>
      </c>
      <c r="AK43" s="2013">
        <v>0</v>
      </c>
      <c r="AL43" s="2013">
        <v>182.20479</v>
      </c>
      <c r="AM43" s="2013">
        <v>0</v>
      </c>
      <c r="AN43" s="2013">
        <v>209.39558</v>
      </c>
      <c r="AO43" s="2013">
        <v>0</v>
      </c>
      <c r="AP43" s="2013">
        <v>227.54558</v>
      </c>
      <c r="AQ43" s="2013">
        <v>0</v>
      </c>
      <c r="AR43" s="2013">
        <v>227.58557999999999</v>
      </c>
      <c r="AS43" s="2013">
        <v>0</v>
      </c>
      <c r="AT43" s="2013">
        <v>227.58557999999999</v>
      </c>
      <c r="AU43" s="2013">
        <v>0</v>
      </c>
      <c r="AV43" s="2013">
        <v>269.89418999999998</v>
      </c>
      <c r="AW43" s="2013">
        <v>0</v>
      </c>
      <c r="AX43" s="2013">
        <v>0</v>
      </c>
      <c r="AY43" s="2013">
        <v>0</v>
      </c>
      <c r="AZ43" s="2013">
        <v>226.0881</v>
      </c>
      <c r="BA43" s="2013">
        <v>0</v>
      </c>
      <c r="BB43" s="2013">
        <v>301.55164000000002</v>
      </c>
      <c r="BC43" s="2013">
        <v>0</v>
      </c>
      <c r="BD43" s="2013">
        <v>306.12634000000003</v>
      </c>
      <c r="BE43" s="2013">
        <v>0</v>
      </c>
      <c r="BF43" s="2013">
        <v>306.12634000000003</v>
      </c>
      <c r="BG43" s="2013">
        <v>0</v>
      </c>
      <c r="BH43" s="2013">
        <v>306.12634000000003</v>
      </c>
      <c r="BI43" s="2013">
        <v>0</v>
      </c>
      <c r="BJ43" s="2013">
        <v>316.76834000000002</v>
      </c>
      <c r="BK43" s="2013">
        <v>0</v>
      </c>
      <c r="BL43" s="2013">
        <v>343.54164000000003</v>
      </c>
      <c r="BM43" s="2013">
        <v>0</v>
      </c>
      <c r="BN43" s="2013">
        <v>343.54164000000003</v>
      </c>
      <c r="BO43" s="2013">
        <v>0</v>
      </c>
      <c r="BP43" s="2013">
        <v>343.54164000000003</v>
      </c>
      <c r="BQ43" s="2013">
        <v>0</v>
      </c>
      <c r="BR43" s="2013">
        <v>353.60179999999997</v>
      </c>
      <c r="BS43" s="2013">
        <v>0</v>
      </c>
      <c r="BT43" s="2013">
        <v>361.1345</v>
      </c>
      <c r="BU43" s="2013">
        <v>0</v>
      </c>
      <c r="BV43" s="2013">
        <v>0</v>
      </c>
      <c r="BW43" s="2013">
        <v>0</v>
      </c>
      <c r="BX43" s="2013">
        <v>74.994880000000009</v>
      </c>
      <c r="BY43" s="2013">
        <v>0</v>
      </c>
      <c r="BZ43" s="2013">
        <v>74.994880000000009</v>
      </c>
      <c r="CA43" s="2013">
        <v>0</v>
      </c>
      <c r="CB43" s="2013">
        <v>74.994880000000009</v>
      </c>
      <c r="CC43" s="2013">
        <v>0</v>
      </c>
      <c r="CD43" s="2013">
        <v>74.994880000000009</v>
      </c>
      <c r="CE43" s="2013">
        <v>0</v>
      </c>
      <c r="CF43" s="2013">
        <v>86.230829999999997</v>
      </c>
      <c r="CG43" s="2013">
        <v>0</v>
      </c>
      <c r="CH43" s="2013">
        <v>86.230829999999997</v>
      </c>
      <c r="CI43" s="2013">
        <v>0</v>
      </c>
      <c r="CJ43" s="2013">
        <v>86.230829999999997</v>
      </c>
      <c r="CK43" s="2013">
        <v>0</v>
      </c>
      <c r="CL43" s="2013">
        <v>86.230829999999997</v>
      </c>
      <c r="CM43" s="2013">
        <v>0</v>
      </c>
      <c r="CN43" s="2013">
        <v>86.230829999999997</v>
      </c>
      <c r="CO43" s="2013">
        <v>0</v>
      </c>
      <c r="CP43" s="2013">
        <v>86.230829999999997</v>
      </c>
      <c r="CQ43" s="2013">
        <v>0</v>
      </c>
      <c r="CR43" s="2013">
        <v>86.230829999999997</v>
      </c>
      <c r="CS43" s="2013">
        <v>0</v>
      </c>
      <c r="CT43" s="2013">
        <v>0</v>
      </c>
      <c r="CU43" s="2013">
        <v>0</v>
      </c>
      <c r="CV43" s="2013">
        <v>0</v>
      </c>
      <c r="CW43" s="2013">
        <v>0</v>
      </c>
      <c r="CX43" s="2013">
        <v>215.75262000000001</v>
      </c>
      <c r="CY43" s="2013">
        <v>0</v>
      </c>
      <c r="CZ43" s="2013">
        <v>215.75262000000001</v>
      </c>
      <c r="DA43" s="2013">
        <v>0</v>
      </c>
      <c r="DB43" s="2013">
        <v>215.75262000000001</v>
      </c>
      <c r="DC43" s="2013">
        <v>0</v>
      </c>
      <c r="DD43" s="2013">
        <v>215.75262000000001</v>
      </c>
      <c r="DE43" s="2013">
        <v>0</v>
      </c>
      <c r="DF43" s="2013">
        <v>195.57325</v>
      </c>
      <c r="DG43" s="2013">
        <v>0</v>
      </c>
      <c r="DH43" s="2013">
        <v>226.42676999999998</v>
      </c>
      <c r="DI43" s="2013">
        <v>0</v>
      </c>
      <c r="DJ43" s="2013">
        <v>250.78851999999998</v>
      </c>
      <c r="DK43" s="2013">
        <v>0</v>
      </c>
      <c r="DL43" s="2013">
        <v>250.78852000000001</v>
      </c>
      <c r="DM43" s="2013">
        <v>0</v>
      </c>
      <c r="DN43" s="2013">
        <v>250.78852000000001</v>
      </c>
      <c r="DO43" s="2013">
        <v>0</v>
      </c>
      <c r="DP43" s="2013">
        <v>283.06869999999998</v>
      </c>
      <c r="DQ43" s="2014">
        <v>0</v>
      </c>
      <c r="DR43" s="2015">
        <v>0</v>
      </c>
      <c r="DS43" s="2016">
        <v>0</v>
      </c>
      <c r="DT43" s="2017">
        <v>0</v>
      </c>
      <c r="DU43" s="2014">
        <v>0</v>
      </c>
      <c r="DV43" s="2015">
        <v>88.874430000000004</v>
      </c>
      <c r="DW43" s="2016">
        <v>0</v>
      </c>
      <c r="DX43" s="2017">
        <v>88.874430000000004</v>
      </c>
      <c r="DY43" s="2014">
        <v>0</v>
      </c>
      <c r="DZ43" s="2015">
        <v>88.874430000000004</v>
      </c>
      <c r="EA43" s="2016">
        <v>0</v>
      </c>
      <c r="EB43" s="2017">
        <v>88.874430000000004</v>
      </c>
      <c r="EC43" s="2014">
        <v>0</v>
      </c>
      <c r="ED43" s="2015">
        <v>88.874430000000004</v>
      </c>
      <c r="EE43" s="2016">
        <v>0</v>
      </c>
      <c r="EF43" s="2015">
        <v>120.56413000000001</v>
      </c>
      <c r="EG43" s="2016">
        <v>0</v>
      </c>
      <c r="EH43" s="2017">
        <v>120.56413000000001</v>
      </c>
      <c r="EI43" s="2016">
        <v>0</v>
      </c>
      <c r="EJ43" s="2017">
        <v>120.56413000000001</v>
      </c>
      <c r="EK43" s="2016">
        <v>0</v>
      </c>
      <c r="EL43" s="2015">
        <v>135.86412999999999</v>
      </c>
      <c r="EM43" s="2018">
        <v>0</v>
      </c>
      <c r="EN43" s="2015">
        <v>135.86412999999999</v>
      </c>
      <c r="EO43" s="2018">
        <v>0</v>
      </c>
      <c r="EP43" s="2015">
        <v>0</v>
      </c>
      <c r="EQ43" s="2018">
        <v>0</v>
      </c>
      <c r="ER43" s="2015">
        <v>0</v>
      </c>
      <c r="ES43" s="2018">
        <v>0</v>
      </c>
      <c r="ET43" s="2015">
        <v>87.24615</v>
      </c>
      <c r="EU43" s="2018">
        <v>0</v>
      </c>
      <c r="EV43" s="2015">
        <v>87.24615</v>
      </c>
      <c r="EW43" s="2018">
        <v>0</v>
      </c>
      <c r="EX43" s="2015">
        <v>87.24615</v>
      </c>
      <c r="EY43" s="2018">
        <v>0</v>
      </c>
      <c r="EZ43" s="2015">
        <v>87.24615</v>
      </c>
      <c r="FA43" s="2018">
        <v>0</v>
      </c>
      <c r="FB43" s="2015">
        <v>87.24615</v>
      </c>
      <c r="FC43" s="2018">
        <v>0</v>
      </c>
      <c r="FD43" s="2015">
        <v>87.24615</v>
      </c>
      <c r="FE43" s="2018">
        <v>0</v>
      </c>
      <c r="FF43" s="2015">
        <v>87.24615</v>
      </c>
      <c r="FG43" s="2018">
        <v>0</v>
      </c>
      <c r="FH43" s="2015">
        <v>102.54615</v>
      </c>
      <c r="FI43" s="2018">
        <v>0</v>
      </c>
      <c r="FJ43" s="2015">
        <v>102.54615</v>
      </c>
      <c r="FK43" s="2018">
        <v>0</v>
      </c>
      <c r="FL43" s="2015">
        <v>102.54615</v>
      </c>
      <c r="FM43" s="2018">
        <v>0</v>
      </c>
      <c r="FN43" s="2015">
        <v>0</v>
      </c>
      <c r="FO43" s="2018">
        <v>0</v>
      </c>
      <c r="FP43" s="2015">
        <v>0</v>
      </c>
      <c r="FQ43" s="2018">
        <v>0</v>
      </c>
      <c r="FR43" s="2015">
        <v>0</v>
      </c>
      <c r="FS43" s="2018">
        <v>0</v>
      </c>
      <c r="FT43" s="2015">
        <v>0</v>
      </c>
      <c r="FU43" s="2018">
        <v>0</v>
      </c>
      <c r="FV43" s="2015">
        <v>0</v>
      </c>
      <c r="FW43" s="2018">
        <v>0</v>
      </c>
      <c r="FX43" s="2015">
        <v>0</v>
      </c>
      <c r="FY43" s="2018">
        <v>0</v>
      </c>
      <c r="FZ43" s="2015">
        <v>0</v>
      </c>
      <c r="GA43" s="2018">
        <v>0</v>
      </c>
      <c r="GB43" s="2015">
        <v>0</v>
      </c>
      <c r="GC43" s="2018">
        <v>0</v>
      </c>
      <c r="GD43" s="2015">
        <v>0</v>
      </c>
      <c r="GE43" s="2018">
        <v>0</v>
      </c>
      <c r="GF43" s="2015">
        <v>0</v>
      </c>
      <c r="GG43" s="2018">
        <v>0</v>
      </c>
      <c r="GH43" s="2015">
        <v>15.3</v>
      </c>
      <c r="GI43" s="2018">
        <v>0</v>
      </c>
      <c r="GJ43" s="2015">
        <v>15.3</v>
      </c>
      <c r="GK43" s="2018">
        <v>0</v>
      </c>
      <c r="GL43" s="2015">
        <v>0</v>
      </c>
      <c r="GM43" s="2018">
        <v>0</v>
      </c>
      <c r="GN43" s="2015">
        <v>2117.0323699999999</v>
      </c>
      <c r="GO43" s="2018">
        <v>0</v>
      </c>
      <c r="GP43" s="2015">
        <v>2117.0323699999999</v>
      </c>
      <c r="GQ43" s="2018">
        <v>0</v>
      </c>
      <c r="GR43" s="2015">
        <v>2128.63562</v>
      </c>
      <c r="GS43" s="2018">
        <v>0</v>
      </c>
      <c r="GT43" s="2015">
        <v>2128.63562</v>
      </c>
      <c r="GU43" s="2018">
        <v>0</v>
      </c>
      <c r="GV43" s="2019" t="s">
        <v>3442</v>
      </c>
    </row>
    <row r="44" spans="1:207" s="1991" customFormat="1" ht="42">
      <c r="A44" s="2012" t="s">
        <v>3083</v>
      </c>
      <c r="B44" s="2013">
        <v>0</v>
      </c>
      <c r="C44" s="2013">
        <v>0</v>
      </c>
      <c r="D44" s="2013">
        <v>0</v>
      </c>
      <c r="E44" s="2013">
        <v>0</v>
      </c>
      <c r="F44" s="2013">
        <v>0</v>
      </c>
      <c r="G44" s="2013">
        <v>0</v>
      </c>
      <c r="H44" s="2013">
        <v>0</v>
      </c>
      <c r="I44" s="2013">
        <v>0</v>
      </c>
      <c r="J44" s="2013">
        <v>0</v>
      </c>
      <c r="K44" s="2013">
        <v>0</v>
      </c>
      <c r="L44" s="2013">
        <v>0</v>
      </c>
      <c r="M44" s="2013">
        <v>0</v>
      </c>
      <c r="N44" s="2013">
        <v>0</v>
      </c>
      <c r="O44" s="2013">
        <v>0</v>
      </c>
      <c r="P44" s="2013">
        <v>0</v>
      </c>
      <c r="Q44" s="2013">
        <v>0</v>
      </c>
      <c r="R44" s="2013">
        <v>0</v>
      </c>
      <c r="S44" s="2013">
        <v>0</v>
      </c>
      <c r="T44" s="2013">
        <v>0</v>
      </c>
      <c r="U44" s="2013">
        <v>0</v>
      </c>
      <c r="V44" s="2013">
        <v>0</v>
      </c>
      <c r="W44" s="2013">
        <v>0</v>
      </c>
      <c r="X44" s="2013">
        <v>0</v>
      </c>
      <c r="Y44" s="2013">
        <v>0</v>
      </c>
      <c r="Z44" s="2013">
        <v>0</v>
      </c>
      <c r="AA44" s="2013">
        <v>0</v>
      </c>
      <c r="AB44" s="2013">
        <v>0</v>
      </c>
      <c r="AC44" s="2013">
        <v>0</v>
      </c>
      <c r="AD44" s="2013">
        <v>0</v>
      </c>
      <c r="AE44" s="2013">
        <v>0</v>
      </c>
      <c r="AF44" s="2013">
        <v>0</v>
      </c>
      <c r="AG44" s="2013">
        <v>0</v>
      </c>
      <c r="AH44" s="2013">
        <v>0</v>
      </c>
      <c r="AI44" s="2013">
        <v>0</v>
      </c>
      <c r="AJ44" s="2013">
        <v>0</v>
      </c>
      <c r="AK44" s="2013">
        <v>0</v>
      </c>
      <c r="AL44" s="2013">
        <v>0</v>
      </c>
      <c r="AM44" s="2013">
        <v>0</v>
      </c>
      <c r="AN44" s="2013">
        <v>0</v>
      </c>
      <c r="AO44" s="2013">
        <v>0</v>
      </c>
      <c r="AP44" s="2013">
        <v>0</v>
      </c>
      <c r="AQ44" s="2013">
        <v>0</v>
      </c>
      <c r="AR44" s="2013">
        <v>0</v>
      </c>
      <c r="AS44" s="2013">
        <v>0</v>
      </c>
      <c r="AT44" s="2013">
        <v>0</v>
      </c>
      <c r="AU44" s="2013">
        <v>0</v>
      </c>
      <c r="AV44" s="2013">
        <v>0</v>
      </c>
      <c r="AW44" s="2013">
        <v>0</v>
      </c>
      <c r="AX44" s="2013"/>
      <c r="AY44" s="2013"/>
      <c r="AZ44" s="2013"/>
      <c r="BA44" s="2013"/>
      <c r="BB44" s="2013"/>
      <c r="BC44" s="2013"/>
      <c r="BD44" s="2013"/>
      <c r="BE44" s="2013"/>
      <c r="BF44" s="2013"/>
      <c r="BG44" s="2013"/>
      <c r="BH44" s="2013"/>
      <c r="BI44" s="2013"/>
      <c r="BJ44" s="2013"/>
      <c r="BK44" s="2013"/>
      <c r="BL44" s="2013"/>
      <c r="BM44" s="2013"/>
      <c r="BN44" s="2013"/>
      <c r="BO44" s="2013"/>
      <c r="BP44" s="2013">
        <v>0</v>
      </c>
      <c r="BQ44" s="2013">
        <v>0</v>
      </c>
      <c r="BR44" s="2013">
        <v>27.335999999999999</v>
      </c>
      <c r="BS44" s="2013">
        <v>0</v>
      </c>
      <c r="BT44" s="2013">
        <v>43.225000000000001</v>
      </c>
      <c r="BU44" s="2013">
        <v>0</v>
      </c>
      <c r="BV44" s="2013">
        <v>0</v>
      </c>
      <c r="BW44" s="2013">
        <v>0</v>
      </c>
      <c r="BX44" s="2013">
        <v>0</v>
      </c>
      <c r="BY44" s="2013">
        <v>0</v>
      </c>
      <c r="BZ44" s="2013">
        <v>0</v>
      </c>
      <c r="CA44" s="2013">
        <v>0</v>
      </c>
      <c r="CB44" s="2013">
        <v>0</v>
      </c>
      <c r="CC44" s="2013">
        <v>0</v>
      </c>
      <c r="CD44" s="2013">
        <v>0</v>
      </c>
      <c r="CE44" s="2013">
        <v>0</v>
      </c>
      <c r="CF44" s="2013">
        <v>0</v>
      </c>
      <c r="CG44" s="2013">
        <v>0</v>
      </c>
      <c r="CH44" s="2013">
        <v>0</v>
      </c>
      <c r="CI44" s="2013">
        <v>0</v>
      </c>
      <c r="CJ44" s="2013">
        <v>0</v>
      </c>
      <c r="CK44" s="2013">
        <v>0</v>
      </c>
      <c r="CL44" s="2013">
        <v>0</v>
      </c>
      <c r="CM44" s="2013">
        <v>0</v>
      </c>
      <c r="CN44" s="2013">
        <v>0</v>
      </c>
      <c r="CO44" s="2013">
        <v>0</v>
      </c>
      <c r="CP44" s="2013">
        <v>0</v>
      </c>
      <c r="CQ44" s="2013">
        <v>0</v>
      </c>
      <c r="CR44" s="2013">
        <v>0</v>
      </c>
      <c r="CS44" s="2013">
        <v>0</v>
      </c>
      <c r="CT44" s="2013">
        <v>0</v>
      </c>
      <c r="CU44" s="2013">
        <v>0</v>
      </c>
      <c r="CV44" s="2013">
        <v>0</v>
      </c>
      <c r="CW44" s="2013">
        <v>0</v>
      </c>
      <c r="CX44" s="2013">
        <v>0</v>
      </c>
      <c r="CY44" s="2013">
        <v>0</v>
      </c>
      <c r="CZ44" s="2013">
        <v>0</v>
      </c>
      <c r="DA44" s="2013">
        <v>0</v>
      </c>
      <c r="DB44" s="2013">
        <v>0</v>
      </c>
      <c r="DC44" s="2013">
        <v>0</v>
      </c>
      <c r="DD44" s="2013">
        <v>0</v>
      </c>
      <c r="DE44" s="2013">
        <v>0</v>
      </c>
      <c r="DF44" s="2013">
        <v>0</v>
      </c>
      <c r="DG44" s="2013">
        <v>0</v>
      </c>
      <c r="DH44" s="2013">
        <v>0</v>
      </c>
      <c r="DI44" s="2013">
        <v>0</v>
      </c>
      <c r="DJ44" s="2013">
        <v>0</v>
      </c>
      <c r="DK44" s="2013">
        <v>0</v>
      </c>
      <c r="DL44" s="2013">
        <v>0</v>
      </c>
      <c r="DM44" s="2013">
        <v>0</v>
      </c>
      <c r="DN44" s="2013">
        <v>0</v>
      </c>
      <c r="DO44" s="2013">
        <v>0</v>
      </c>
      <c r="DP44" s="2013">
        <v>0</v>
      </c>
      <c r="DQ44" s="2014">
        <v>0</v>
      </c>
      <c r="DR44" s="2015">
        <v>0</v>
      </c>
      <c r="DS44" s="2016">
        <v>0</v>
      </c>
      <c r="DT44" s="2017">
        <v>0</v>
      </c>
      <c r="DU44" s="2014">
        <v>0</v>
      </c>
      <c r="DV44" s="2015">
        <v>0</v>
      </c>
      <c r="DW44" s="2016">
        <v>0</v>
      </c>
      <c r="DX44" s="2017">
        <v>0</v>
      </c>
      <c r="DY44" s="2014">
        <v>0</v>
      </c>
      <c r="DZ44" s="2015">
        <v>0</v>
      </c>
      <c r="EA44" s="2016">
        <v>0</v>
      </c>
      <c r="EB44" s="2017">
        <v>0</v>
      </c>
      <c r="EC44" s="2014">
        <v>0</v>
      </c>
      <c r="ED44" s="2015">
        <v>0</v>
      </c>
      <c r="EE44" s="2016">
        <v>0</v>
      </c>
      <c r="EF44" s="2015">
        <v>0</v>
      </c>
      <c r="EG44" s="2016">
        <v>0</v>
      </c>
      <c r="EH44" s="2017">
        <v>0</v>
      </c>
      <c r="EI44" s="2016">
        <v>0</v>
      </c>
      <c r="EJ44" s="2017">
        <v>0</v>
      </c>
      <c r="EK44" s="2016">
        <v>0</v>
      </c>
      <c r="EL44" s="2015">
        <v>0</v>
      </c>
      <c r="EM44" s="2018">
        <v>0</v>
      </c>
      <c r="EN44" s="2015">
        <v>0</v>
      </c>
      <c r="EO44" s="2018">
        <v>0</v>
      </c>
      <c r="EP44" s="2015">
        <v>0</v>
      </c>
      <c r="EQ44" s="2018">
        <v>0</v>
      </c>
      <c r="ER44" s="2015">
        <v>0</v>
      </c>
      <c r="ES44" s="2018">
        <v>0</v>
      </c>
      <c r="ET44" s="2015">
        <v>0</v>
      </c>
      <c r="EU44" s="2018">
        <v>0</v>
      </c>
      <c r="EV44" s="2015">
        <v>0</v>
      </c>
      <c r="EW44" s="2018">
        <v>0</v>
      </c>
      <c r="EX44" s="2015">
        <v>0</v>
      </c>
      <c r="EY44" s="2018">
        <v>0</v>
      </c>
      <c r="EZ44" s="2015">
        <v>0</v>
      </c>
      <c r="FA44" s="2018">
        <v>0</v>
      </c>
      <c r="FB44" s="2015">
        <v>0</v>
      </c>
      <c r="FC44" s="2018">
        <v>0</v>
      </c>
      <c r="FD44" s="2015">
        <v>0</v>
      </c>
      <c r="FE44" s="2018">
        <v>0</v>
      </c>
      <c r="FF44" s="2015">
        <v>0</v>
      </c>
      <c r="FG44" s="2018">
        <v>0</v>
      </c>
      <c r="FH44" s="2015">
        <v>0</v>
      </c>
      <c r="FI44" s="2018">
        <v>0</v>
      </c>
      <c r="FJ44" s="2015">
        <v>0</v>
      </c>
      <c r="FK44" s="2018">
        <v>0</v>
      </c>
      <c r="FL44" s="2015">
        <v>0</v>
      </c>
      <c r="FM44" s="2018">
        <v>0</v>
      </c>
      <c r="FN44" s="2015">
        <v>0</v>
      </c>
      <c r="FO44" s="2018">
        <v>0</v>
      </c>
      <c r="FP44" s="2015">
        <v>0</v>
      </c>
      <c r="FQ44" s="2018">
        <v>0</v>
      </c>
      <c r="FR44" s="2015">
        <v>0</v>
      </c>
      <c r="FS44" s="2018">
        <v>0</v>
      </c>
      <c r="FT44" s="2015">
        <v>0</v>
      </c>
      <c r="FU44" s="2018">
        <v>0</v>
      </c>
      <c r="FV44" s="2015">
        <v>0</v>
      </c>
      <c r="FW44" s="2018">
        <v>0</v>
      </c>
      <c r="FX44" s="2015">
        <v>0</v>
      </c>
      <c r="FY44" s="2018">
        <v>0</v>
      </c>
      <c r="FZ44" s="2015">
        <v>0</v>
      </c>
      <c r="GA44" s="2018">
        <v>0</v>
      </c>
      <c r="GB44" s="2015">
        <v>0</v>
      </c>
      <c r="GC44" s="2018">
        <v>0</v>
      </c>
      <c r="GD44" s="2015">
        <v>0</v>
      </c>
      <c r="GE44" s="2018">
        <v>0</v>
      </c>
      <c r="GF44" s="2015">
        <v>0</v>
      </c>
      <c r="GG44" s="2018">
        <v>0</v>
      </c>
      <c r="GH44" s="2015">
        <v>0</v>
      </c>
      <c r="GI44" s="2018">
        <v>0</v>
      </c>
      <c r="GJ44" s="2015">
        <v>0</v>
      </c>
      <c r="GK44" s="2018">
        <v>0</v>
      </c>
      <c r="GL44" s="2015">
        <v>0</v>
      </c>
      <c r="GM44" s="2018">
        <v>0</v>
      </c>
      <c r="GN44" s="2015">
        <v>0</v>
      </c>
      <c r="GO44" s="2018">
        <v>0</v>
      </c>
      <c r="GP44" s="2015">
        <v>0</v>
      </c>
      <c r="GQ44" s="2018">
        <v>0</v>
      </c>
      <c r="GR44" s="2015">
        <v>0</v>
      </c>
      <c r="GS44" s="2018">
        <v>0</v>
      </c>
      <c r="GT44" s="2015">
        <v>0</v>
      </c>
      <c r="GU44" s="2018">
        <v>0</v>
      </c>
      <c r="GV44" s="2019" t="s">
        <v>3443</v>
      </c>
      <c r="GX44" s="2022"/>
      <c r="GY44" s="2020"/>
    </row>
    <row r="45" spans="1:207" s="1991" customFormat="1" ht="22.5" customHeight="1">
      <c r="A45" s="2012" t="s">
        <v>2293</v>
      </c>
      <c r="B45" s="2013"/>
      <c r="C45" s="2013"/>
      <c r="D45" s="2013"/>
      <c r="E45" s="2013"/>
      <c r="F45" s="2013"/>
      <c r="G45" s="2013"/>
      <c r="H45" s="2013"/>
      <c r="I45" s="2013"/>
      <c r="J45" s="2013"/>
      <c r="K45" s="2013"/>
      <c r="L45" s="2013"/>
      <c r="M45" s="2013"/>
      <c r="N45" s="2013"/>
      <c r="O45" s="2013"/>
      <c r="P45" s="2013"/>
      <c r="Q45" s="2013"/>
      <c r="R45" s="2013">
        <v>0</v>
      </c>
      <c r="S45" s="2013">
        <v>0</v>
      </c>
      <c r="T45" s="2013">
        <v>0</v>
      </c>
      <c r="U45" s="2013">
        <v>0</v>
      </c>
      <c r="V45" s="2013">
        <v>0</v>
      </c>
      <c r="W45" s="2013">
        <v>0</v>
      </c>
      <c r="X45" s="2013">
        <v>0</v>
      </c>
      <c r="Y45" s="2013">
        <v>0</v>
      </c>
      <c r="Z45" s="2013">
        <v>0</v>
      </c>
      <c r="AA45" s="2013">
        <v>0</v>
      </c>
      <c r="AB45" s="2013">
        <v>0</v>
      </c>
      <c r="AC45" s="2013">
        <v>0</v>
      </c>
      <c r="AD45" s="2013">
        <v>0</v>
      </c>
      <c r="AE45" s="2013">
        <v>0</v>
      </c>
      <c r="AF45" s="2013">
        <v>0</v>
      </c>
      <c r="AG45" s="2013">
        <v>0</v>
      </c>
      <c r="AH45" s="2013">
        <v>0</v>
      </c>
      <c r="AI45" s="2013">
        <v>0</v>
      </c>
      <c r="AJ45" s="2013">
        <v>0</v>
      </c>
      <c r="AK45" s="2013">
        <v>0</v>
      </c>
      <c r="AL45" s="2013">
        <v>0</v>
      </c>
      <c r="AM45" s="2013">
        <v>0</v>
      </c>
      <c r="AN45" s="2013">
        <v>0</v>
      </c>
      <c r="AO45" s="2013">
        <v>0</v>
      </c>
      <c r="AP45" s="2013">
        <v>0</v>
      </c>
      <c r="AQ45" s="2013">
        <v>0</v>
      </c>
      <c r="AR45" s="2013">
        <v>0</v>
      </c>
      <c r="AS45" s="2013">
        <v>0</v>
      </c>
      <c r="AT45" s="2013">
        <v>0</v>
      </c>
      <c r="AU45" s="2013">
        <v>0</v>
      </c>
      <c r="AV45" s="2013">
        <v>0</v>
      </c>
      <c r="AW45" s="2013">
        <v>0</v>
      </c>
      <c r="AX45" s="2013">
        <v>0</v>
      </c>
      <c r="AY45" s="2013">
        <v>0</v>
      </c>
      <c r="AZ45" s="2013">
        <v>0</v>
      </c>
      <c r="BA45" s="2013">
        <v>0</v>
      </c>
      <c r="BB45" s="2013">
        <v>0</v>
      </c>
      <c r="BC45" s="2013">
        <v>0</v>
      </c>
      <c r="BD45" s="2013">
        <v>0</v>
      </c>
      <c r="BE45" s="2013">
        <v>0</v>
      </c>
      <c r="BF45" s="2013">
        <v>0</v>
      </c>
      <c r="BG45" s="2013">
        <v>0</v>
      </c>
      <c r="BH45" s="2013">
        <v>0</v>
      </c>
      <c r="BI45" s="2013">
        <v>0</v>
      </c>
      <c r="BJ45" s="2013">
        <v>0</v>
      </c>
      <c r="BK45" s="2013">
        <v>0</v>
      </c>
      <c r="BL45" s="2013">
        <v>0</v>
      </c>
      <c r="BM45" s="2013">
        <v>0</v>
      </c>
      <c r="BN45" s="2013">
        <v>0</v>
      </c>
      <c r="BO45" s="2013">
        <v>0</v>
      </c>
      <c r="BP45" s="2013">
        <v>0</v>
      </c>
      <c r="BQ45" s="2013">
        <v>0</v>
      </c>
      <c r="BR45" s="2013">
        <v>0</v>
      </c>
      <c r="BS45" s="2013">
        <v>0</v>
      </c>
      <c r="BT45" s="2013">
        <v>0</v>
      </c>
      <c r="BU45" s="2013">
        <v>0</v>
      </c>
      <c r="BV45" s="2013">
        <v>0</v>
      </c>
      <c r="BW45" s="2013">
        <v>0</v>
      </c>
      <c r="BX45" s="2013">
        <v>0</v>
      </c>
      <c r="BY45" s="2013">
        <v>0</v>
      </c>
      <c r="BZ45" s="2013">
        <v>0</v>
      </c>
      <c r="CA45" s="2013">
        <v>0</v>
      </c>
      <c r="CB45" s="2013">
        <v>0</v>
      </c>
      <c r="CC45" s="2013">
        <v>0</v>
      </c>
      <c r="CD45" s="2013">
        <v>0</v>
      </c>
      <c r="CE45" s="2013">
        <v>0</v>
      </c>
      <c r="CF45" s="2013">
        <v>0</v>
      </c>
      <c r="CG45" s="2013">
        <v>0</v>
      </c>
      <c r="CH45" s="2013">
        <v>0</v>
      </c>
      <c r="CI45" s="2013">
        <v>0</v>
      </c>
      <c r="CJ45" s="2013">
        <v>0</v>
      </c>
      <c r="CK45" s="2013">
        <v>0</v>
      </c>
      <c r="CL45" s="2013">
        <v>0</v>
      </c>
      <c r="CM45" s="2013">
        <v>0</v>
      </c>
      <c r="CN45" s="2013">
        <v>0</v>
      </c>
      <c r="CO45" s="2013">
        <v>0</v>
      </c>
      <c r="CP45" s="2013">
        <v>0</v>
      </c>
      <c r="CQ45" s="2013">
        <v>0</v>
      </c>
      <c r="CR45" s="2013">
        <v>0</v>
      </c>
      <c r="CS45" s="2013">
        <v>0</v>
      </c>
      <c r="CT45" s="2013">
        <v>0</v>
      </c>
      <c r="CU45" s="2013">
        <v>0</v>
      </c>
      <c r="CV45" s="2013">
        <v>0</v>
      </c>
      <c r="CW45" s="2013">
        <v>0</v>
      </c>
      <c r="CX45" s="2013">
        <v>0</v>
      </c>
      <c r="CY45" s="2013">
        <v>0</v>
      </c>
      <c r="CZ45" s="2013">
        <v>0</v>
      </c>
      <c r="DA45" s="2013">
        <v>0</v>
      </c>
      <c r="DB45" s="2013">
        <v>0</v>
      </c>
      <c r="DC45" s="2013">
        <v>0</v>
      </c>
      <c r="DD45" s="2013">
        <v>0</v>
      </c>
      <c r="DE45" s="2013">
        <v>0</v>
      </c>
      <c r="DF45" s="2013">
        <v>0</v>
      </c>
      <c r="DG45" s="2013">
        <v>0</v>
      </c>
      <c r="DH45" s="2013">
        <v>0</v>
      </c>
      <c r="DI45" s="2013">
        <v>0</v>
      </c>
      <c r="DJ45" s="2013">
        <v>0</v>
      </c>
      <c r="DK45" s="2013">
        <v>0</v>
      </c>
      <c r="DL45" s="2013">
        <v>0</v>
      </c>
      <c r="DM45" s="2013">
        <v>0</v>
      </c>
      <c r="DN45" s="2013">
        <v>0</v>
      </c>
      <c r="DO45" s="2013">
        <v>0</v>
      </c>
      <c r="DP45" s="2013">
        <v>0</v>
      </c>
      <c r="DQ45" s="2014">
        <v>0</v>
      </c>
      <c r="DR45" s="2015">
        <v>0</v>
      </c>
      <c r="DS45" s="2016">
        <v>0</v>
      </c>
      <c r="DT45" s="2017">
        <v>0</v>
      </c>
      <c r="DU45" s="2014">
        <v>0</v>
      </c>
      <c r="DV45" s="2015">
        <v>0</v>
      </c>
      <c r="DW45" s="2016">
        <v>0</v>
      </c>
      <c r="DX45" s="2017">
        <v>0</v>
      </c>
      <c r="DY45" s="2014">
        <v>0</v>
      </c>
      <c r="DZ45" s="2015">
        <v>0</v>
      </c>
      <c r="EA45" s="2016">
        <v>0</v>
      </c>
      <c r="EB45" s="2017">
        <v>0</v>
      </c>
      <c r="EC45" s="2014">
        <v>0</v>
      </c>
      <c r="ED45" s="2015">
        <v>0</v>
      </c>
      <c r="EE45" s="2016">
        <v>0</v>
      </c>
      <c r="EF45" s="2015">
        <v>0</v>
      </c>
      <c r="EG45" s="2016">
        <v>0</v>
      </c>
      <c r="EH45" s="2017">
        <v>0</v>
      </c>
      <c r="EI45" s="2016">
        <v>0</v>
      </c>
      <c r="EJ45" s="2017">
        <v>0</v>
      </c>
      <c r="EK45" s="2016">
        <v>0</v>
      </c>
      <c r="EL45" s="2015">
        <v>0</v>
      </c>
      <c r="EM45" s="2018">
        <v>0</v>
      </c>
      <c r="EN45" s="2015">
        <v>0</v>
      </c>
      <c r="EO45" s="2018">
        <v>0</v>
      </c>
      <c r="EP45" s="2015">
        <v>0</v>
      </c>
      <c r="EQ45" s="2018">
        <v>0</v>
      </c>
      <c r="ER45" s="2015">
        <v>0</v>
      </c>
      <c r="ES45" s="2018">
        <v>0</v>
      </c>
      <c r="ET45" s="2015">
        <v>0</v>
      </c>
      <c r="EU45" s="2018">
        <v>0</v>
      </c>
      <c r="EV45" s="2015">
        <v>0</v>
      </c>
      <c r="EW45" s="2018">
        <v>0</v>
      </c>
      <c r="EX45" s="2015">
        <v>0</v>
      </c>
      <c r="EY45" s="2018">
        <v>0</v>
      </c>
      <c r="EZ45" s="2015">
        <v>0</v>
      </c>
      <c r="FA45" s="2018">
        <v>0</v>
      </c>
      <c r="FB45" s="2015">
        <v>0</v>
      </c>
      <c r="FC45" s="2018">
        <v>0</v>
      </c>
      <c r="FD45" s="2015">
        <v>0</v>
      </c>
      <c r="FE45" s="2018">
        <v>0</v>
      </c>
      <c r="FF45" s="2015">
        <v>0</v>
      </c>
      <c r="FG45" s="2018">
        <v>0</v>
      </c>
      <c r="FH45" s="2015">
        <v>0</v>
      </c>
      <c r="FI45" s="2018">
        <v>0</v>
      </c>
      <c r="FJ45" s="2015">
        <v>0</v>
      </c>
      <c r="FK45" s="2018">
        <v>0</v>
      </c>
      <c r="FL45" s="2015">
        <v>0</v>
      </c>
      <c r="FM45" s="2018">
        <v>0</v>
      </c>
      <c r="FN45" s="2015">
        <v>0</v>
      </c>
      <c r="FO45" s="2018">
        <v>0</v>
      </c>
      <c r="FP45" s="2015">
        <v>0</v>
      </c>
      <c r="FQ45" s="2018">
        <v>0</v>
      </c>
      <c r="FR45" s="2015">
        <v>11.87575</v>
      </c>
      <c r="FS45" s="2018">
        <v>0</v>
      </c>
      <c r="FT45" s="2015">
        <v>23.275749999999999</v>
      </c>
      <c r="FU45" s="2018">
        <v>0</v>
      </c>
      <c r="FV45" s="2015">
        <v>34.631169999999997</v>
      </c>
      <c r="FW45" s="2018">
        <v>0</v>
      </c>
      <c r="FX45" s="2015">
        <v>35.804189999999998</v>
      </c>
      <c r="FY45" s="2018">
        <v>0</v>
      </c>
      <c r="FZ45" s="2015">
        <v>120.17281</v>
      </c>
      <c r="GA45" s="2018">
        <v>0</v>
      </c>
      <c r="GB45" s="2015">
        <v>222.64608999999999</v>
      </c>
      <c r="GC45" s="2018">
        <v>0</v>
      </c>
      <c r="GD45" s="2015">
        <v>222.64608999999999</v>
      </c>
      <c r="GE45" s="2018">
        <v>0</v>
      </c>
      <c r="GF45" s="2015">
        <v>286.38618000000002</v>
      </c>
      <c r="GG45" s="2018">
        <v>0</v>
      </c>
      <c r="GH45" s="2015">
        <v>441.07884999999999</v>
      </c>
      <c r="GI45" s="2018">
        <v>0</v>
      </c>
      <c r="GJ45" s="2015">
        <v>621.43098999999995</v>
      </c>
      <c r="GK45" s="2018">
        <v>0</v>
      </c>
      <c r="GL45" s="2015">
        <v>136.58332999999999</v>
      </c>
      <c r="GM45" s="2018">
        <v>0</v>
      </c>
      <c r="GN45" s="2015">
        <v>147.59577999999999</v>
      </c>
      <c r="GO45" s="2018">
        <v>0</v>
      </c>
      <c r="GP45" s="2015">
        <v>150.21648000000002</v>
      </c>
      <c r="GQ45" s="2018">
        <v>0</v>
      </c>
      <c r="GR45" s="2015">
        <v>150.21647999999999</v>
      </c>
      <c r="GS45" s="2018">
        <v>0</v>
      </c>
      <c r="GT45" s="2015">
        <v>190.15262999999999</v>
      </c>
      <c r="GU45" s="2018">
        <v>0</v>
      </c>
      <c r="GV45" s="2019" t="s">
        <v>3444</v>
      </c>
      <c r="GX45" s="2022"/>
    </row>
    <row r="46" spans="1:207" s="1991" customFormat="1" ht="22.5" customHeight="1">
      <c r="A46" s="2011" t="s">
        <v>2292</v>
      </c>
      <c r="B46" s="2005">
        <v>0</v>
      </c>
      <c r="C46" s="2005">
        <v>0</v>
      </c>
      <c r="D46" s="2005">
        <v>0</v>
      </c>
      <c r="E46" s="2005">
        <v>2.5764999999999998</v>
      </c>
      <c r="F46" s="2005">
        <v>0</v>
      </c>
      <c r="G46" s="2005">
        <v>4.1336400000000006</v>
      </c>
      <c r="H46" s="2005">
        <v>0</v>
      </c>
      <c r="I46" s="2005">
        <v>4.1336400000000006</v>
      </c>
      <c r="J46" s="2005">
        <v>0</v>
      </c>
      <c r="K46" s="2005">
        <v>4.1336400000000006</v>
      </c>
      <c r="L46" s="2005">
        <v>0</v>
      </c>
      <c r="M46" s="2005">
        <v>4.1336400000000006</v>
      </c>
      <c r="N46" s="2005">
        <v>0</v>
      </c>
      <c r="O46" s="2005">
        <v>4.1336400000000006</v>
      </c>
      <c r="P46" s="2005">
        <v>0</v>
      </c>
      <c r="Q46" s="2005">
        <v>4.1336400000000006</v>
      </c>
      <c r="R46" s="2005">
        <v>0</v>
      </c>
      <c r="S46" s="2005">
        <v>4.1336400000000006</v>
      </c>
      <c r="T46" s="2005">
        <v>0</v>
      </c>
      <c r="U46" s="2005">
        <v>0</v>
      </c>
      <c r="V46" s="2005">
        <v>0.02</v>
      </c>
      <c r="W46" s="2005">
        <v>0</v>
      </c>
      <c r="X46" s="2005">
        <v>0.09</v>
      </c>
      <c r="Y46" s="2005">
        <v>0</v>
      </c>
      <c r="Z46" s="2005">
        <v>0.61</v>
      </c>
      <c r="AA46" s="2005">
        <v>0</v>
      </c>
      <c r="AB46" s="2005">
        <v>1.32</v>
      </c>
      <c r="AC46" s="2005">
        <v>0</v>
      </c>
      <c r="AD46" s="2005">
        <v>1.76</v>
      </c>
      <c r="AE46" s="2005">
        <v>0</v>
      </c>
      <c r="AF46" s="2005">
        <v>9.57</v>
      </c>
      <c r="AG46" s="2005">
        <v>0</v>
      </c>
      <c r="AH46" s="2005">
        <v>19.940000000000001</v>
      </c>
      <c r="AI46" s="2005">
        <v>0</v>
      </c>
      <c r="AJ46" s="2005">
        <v>25.96</v>
      </c>
      <c r="AK46" s="2005">
        <v>0</v>
      </c>
      <c r="AL46" s="2005">
        <v>30.2</v>
      </c>
      <c r="AM46" s="2005">
        <v>0</v>
      </c>
      <c r="AN46" s="2005">
        <v>37.659999999999997</v>
      </c>
      <c r="AO46" s="2005">
        <v>0</v>
      </c>
      <c r="AP46" s="2005">
        <v>42.19</v>
      </c>
      <c r="AQ46" s="2005">
        <v>0</v>
      </c>
      <c r="AR46" s="2005">
        <v>47.45</v>
      </c>
      <c r="AS46" s="2005">
        <v>0</v>
      </c>
      <c r="AT46" s="2005">
        <v>89.428049999999999</v>
      </c>
      <c r="AU46" s="2005">
        <v>0</v>
      </c>
      <c r="AV46" s="2005">
        <v>1860.06747</v>
      </c>
      <c r="AW46" s="2005">
        <v>0</v>
      </c>
      <c r="AX46" s="2005">
        <v>8.36</v>
      </c>
      <c r="AY46" s="2005">
        <v>0</v>
      </c>
      <c r="AZ46" s="2005">
        <v>14.34</v>
      </c>
      <c r="BA46" s="2005">
        <v>0</v>
      </c>
      <c r="BB46" s="2005">
        <v>16.93</v>
      </c>
      <c r="BC46" s="2005">
        <v>0</v>
      </c>
      <c r="BD46" s="2005">
        <v>26.358000000000001</v>
      </c>
      <c r="BE46" s="2005">
        <v>0</v>
      </c>
      <c r="BF46" s="2005">
        <v>44.607999999999997</v>
      </c>
      <c r="BG46" s="2005">
        <v>0</v>
      </c>
      <c r="BH46" s="2005">
        <v>57.08</v>
      </c>
      <c r="BI46" s="2005">
        <v>0</v>
      </c>
      <c r="BJ46" s="2005">
        <v>78.224999999999994</v>
      </c>
      <c r="BK46" s="2005">
        <v>0</v>
      </c>
      <c r="BL46" s="2005">
        <v>96.447999999999993</v>
      </c>
      <c r="BM46" s="2005">
        <v>0</v>
      </c>
      <c r="BN46" s="2005">
        <v>109.42</v>
      </c>
      <c r="BO46" s="2005">
        <v>0</v>
      </c>
      <c r="BP46" s="2005">
        <v>112.617</v>
      </c>
      <c r="BQ46" s="2005">
        <v>0</v>
      </c>
      <c r="BR46" s="2005">
        <v>113.565</v>
      </c>
      <c r="BS46" s="2005">
        <v>0</v>
      </c>
      <c r="BT46" s="2005">
        <v>157.70371</v>
      </c>
      <c r="BU46" s="2005">
        <v>0</v>
      </c>
      <c r="BV46" s="2005">
        <v>3.91</v>
      </c>
      <c r="BW46" s="2005">
        <v>0</v>
      </c>
      <c r="BX46" s="2005">
        <v>6.6829999999999998</v>
      </c>
      <c r="BY46" s="2005">
        <v>0</v>
      </c>
      <c r="BZ46" s="2005">
        <v>11.037799999999999</v>
      </c>
      <c r="CA46" s="2005">
        <v>0</v>
      </c>
      <c r="CB46" s="2005">
        <v>11.652799999999999</v>
      </c>
      <c r="CC46" s="2005">
        <v>0</v>
      </c>
      <c r="CD46" s="2005">
        <v>13.83991</v>
      </c>
      <c r="CE46" s="2005">
        <v>0</v>
      </c>
      <c r="CF46" s="2005">
        <v>14.565910000000001</v>
      </c>
      <c r="CG46" s="2005">
        <v>0</v>
      </c>
      <c r="CH46" s="2005">
        <v>15.936909999999999</v>
      </c>
      <c r="CI46" s="2005">
        <v>0</v>
      </c>
      <c r="CJ46" s="2005">
        <v>21.520880000000002</v>
      </c>
      <c r="CK46" s="2005">
        <v>0</v>
      </c>
      <c r="CL46" s="2005">
        <v>35.746949999999998</v>
      </c>
      <c r="CM46" s="2005">
        <v>0</v>
      </c>
      <c r="CN46" s="2005">
        <v>50.802260000000004</v>
      </c>
      <c r="CO46" s="2005">
        <v>0</v>
      </c>
      <c r="CP46" s="2005">
        <v>67.38794</v>
      </c>
      <c r="CQ46" s="2005">
        <v>0</v>
      </c>
      <c r="CR46" s="2005">
        <v>91.584800000000001</v>
      </c>
      <c r="CS46" s="2005">
        <v>0</v>
      </c>
      <c r="CT46" s="2005">
        <v>10.222</v>
      </c>
      <c r="CU46" s="2005">
        <v>0</v>
      </c>
      <c r="CV46" s="2005">
        <v>28.514099999999999</v>
      </c>
      <c r="CW46" s="2005">
        <v>0</v>
      </c>
      <c r="CX46" s="2005">
        <v>45.558639999999997</v>
      </c>
      <c r="CY46" s="2005">
        <v>0</v>
      </c>
      <c r="CZ46" s="2005">
        <v>53.771519999999995</v>
      </c>
      <c r="DA46" s="2005">
        <v>0</v>
      </c>
      <c r="DB46" s="2005">
        <v>78.640339999999995</v>
      </c>
      <c r="DC46" s="2005">
        <v>0</v>
      </c>
      <c r="DD46" s="2005">
        <v>103.90758</v>
      </c>
      <c r="DE46" s="2005">
        <v>0</v>
      </c>
      <c r="DF46" s="2005">
        <v>120.60539</v>
      </c>
      <c r="DG46" s="2005">
        <v>0</v>
      </c>
      <c r="DH46" s="2005">
        <v>122.87039</v>
      </c>
      <c r="DI46" s="2005">
        <v>0</v>
      </c>
      <c r="DJ46" s="2005">
        <v>164.73917</v>
      </c>
      <c r="DK46" s="2005">
        <v>0</v>
      </c>
      <c r="DL46" s="2005">
        <v>206.00370000000001</v>
      </c>
      <c r="DM46" s="2005">
        <v>0</v>
      </c>
      <c r="DN46" s="2005">
        <v>271.91079000000002</v>
      </c>
      <c r="DO46" s="2005">
        <v>0</v>
      </c>
      <c r="DP46" s="2005">
        <v>3378.1590099999999</v>
      </c>
      <c r="DQ46" s="2006">
        <v>0</v>
      </c>
      <c r="DR46" s="2007">
        <v>81.692610000000002</v>
      </c>
      <c r="DS46" s="2008">
        <v>0</v>
      </c>
      <c r="DT46" s="2009">
        <v>154.49202</v>
      </c>
      <c r="DU46" s="2006">
        <v>0</v>
      </c>
      <c r="DV46" s="2007">
        <v>197.72301999999999</v>
      </c>
      <c r="DW46" s="2008">
        <v>0</v>
      </c>
      <c r="DX46" s="2009">
        <v>200.27249</v>
      </c>
      <c r="DY46" s="2006">
        <v>0</v>
      </c>
      <c r="DZ46" s="2007">
        <v>202.19614999999999</v>
      </c>
      <c r="EA46" s="2008">
        <v>0</v>
      </c>
      <c r="EB46" s="2009">
        <v>466.82736999999997</v>
      </c>
      <c r="EC46" s="2006">
        <v>0</v>
      </c>
      <c r="ED46" s="2007">
        <v>467.88029</v>
      </c>
      <c r="EE46" s="2008">
        <v>0</v>
      </c>
      <c r="EF46" s="2007">
        <v>795.74928999999997</v>
      </c>
      <c r="EG46" s="2008">
        <v>0</v>
      </c>
      <c r="EH46" s="2009">
        <v>1150.2914499999999</v>
      </c>
      <c r="EI46" s="2008">
        <v>0</v>
      </c>
      <c r="EJ46" s="2009">
        <v>1152.7724499999999</v>
      </c>
      <c r="EK46" s="2008">
        <v>0.12427000000000001</v>
      </c>
      <c r="EL46" s="2007">
        <v>1531.8914500000001</v>
      </c>
      <c r="EM46" s="2010">
        <v>0.17721000000000001</v>
      </c>
      <c r="EN46" s="2007">
        <v>1899.9356299999999</v>
      </c>
      <c r="EO46" s="2010">
        <v>0.17721000000000001</v>
      </c>
      <c r="EP46" s="2007">
        <v>110.255</v>
      </c>
      <c r="EQ46" s="2010">
        <v>0</v>
      </c>
      <c r="ER46" s="2007">
        <v>453.69711999999998</v>
      </c>
      <c r="ES46" s="2010">
        <v>2.6600000000000002E-2</v>
      </c>
      <c r="ET46" s="2007">
        <v>665.30424000000005</v>
      </c>
      <c r="EU46" s="2010">
        <v>2.6599999999999999E-2</v>
      </c>
      <c r="EV46" s="2007">
        <v>890.48851000000002</v>
      </c>
      <c r="EW46" s="2010">
        <v>0.47660000000000002</v>
      </c>
      <c r="EX46" s="2007">
        <v>892.14639999999997</v>
      </c>
      <c r="EY46" s="2010">
        <v>0.47660000000000002</v>
      </c>
      <c r="EZ46" s="2007">
        <v>1248.4578700000002</v>
      </c>
      <c r="FA46" s="2010">
        <v>0.47660000000000002</v>
      </c>
      <c r="FB46" s="2007">
        <v>1249.6698700000002</v>
      </c>
      <c r="FC46" s="2010">
        <v>0.47660000000000002</v>
      </c>
      <c r="FD46" s="2007">
        <v>2145.9618799999998</v>
      </c>
      <c r="FE46" s="2010">
        <v>0.89659999999999995</v>
      </c>
      <c r="FF46" s="2007">
        <v>2405.4802</v>
      </c>
      <c r="FG46" s="2010">
        <v>0.89660000000000006</v>
      </c>
      <c r="FH46" s="2007">
        <v>2665.7259399999998</v>
      </c>
      <c r="FI46" s="2010">
        <v>2.6722199999999998</v>
      </c>
      <c r="FJ46" s="2007">
        <v>3401.4607700000001</v>
      </c>
      <c r="FK46" s="2010">
        <v>3.0662400000000001</v>
      </c>
      <c r="FL46" s="2007">
        <v>3829.94994</v>
      </c>
      <c r="FM46" s="2010">
        <v>4.8673700000000002</v>
      </c>
      <c r="FN46" s="2007">
        <v>452.73106999999999</v>
      </c>
      <c r="FO46" s="2010">
        <v>2.7864599999999999</v>
      </c>
      <c r="FP46" s="2007">
        <v>821.10320999999999</v>
      </c>
      <c r="FQ46" s="2010">
        <v>14.48959</v>
      </c>
      <c r="FR46" s="2007">
        <v>1164.2033699999999</v>
      </c>
      <c r="FS46" s="2010">
        <v>20.30612</v>
      </c>
      <c r="FT46" s="2007">
        <v>1489.8215700000001</v>
      </c>
      <c r="FU46" s="2010">
        <v>28.129470000000001</v>
      </c>
      <c r="FV46" s="2007">
        <v>1880.8351599999999</v>
      </c>
      <c r="FW46" s="2010">
        <v>34.691600000000001</v>
      </c>
      <c r="FX46" s="2007">
        <v>2275.1521200000002</v>
      </c>
      <c r="FY46" s="2010">
        <v>37.534599999999998</v>
      </c>
      <c r="FZ46" s="2007">
        <v>2657.7371600000001</v>
      </c>
      <c r="GA46" s="2010">
        <v>42.5246</v>
      </c>
      <c r="GB46" s="2007">
        <v>3115.8519799999999</v>
      </c>
      <c r="GC46" s="2010">
        <v>55.055599999999998</v>
      </c>
      <c r="GD46" s="2007">
        <v>3779.2859199999998</v>
      </c>
      <c r="GE46" s="2010">
        <v>57.505600000000001</v>
      </c>
      <c r="GF46" s="2007">
        <v>4314.3006100000002</v>
      </c>
      <c r="GG46" s="2010">
        <v>63.793500000000002</v>
      </c>
      <c r="GH46" s="2007">
        <v>4798.9348600000003</v>
      </c>
      <c r="GI46" s="2010">
        <v>69.393500000000003</v>
      </c>
      <c r="GJ46" s="2007">
        <v>5259.0473199999997</v>
      </c>
      <c r="GK46" s="2010">
        <v>75.597179999999994</v>
      </c>
      <c r="GL46" s="2007">
        <v>495.08978000000002</v>
      </c>
      <c r="GM46" s="2010">
        <v>5.1078700000000001</v>
      </c>
      <c r="GN46" s="2007">
        <v>1097.6403299999999</v>
      </c>
      <c r="GO46" s="2010">
        <v>14.46152</v>
      </c>
      <c r="GP46" s="2007">
        <v>1372.2237700000001</v>
      </c>
      <c r="GQ46" s="2010">
        <v>22.047450000000001</v>
      </c>
      <c r="GR46" s="2007">
        <v>1372.2239300000001</v>
      </c>
      <c r="GS46" s="2010">
        <v>29.336829999999999</v>
      </c>
      <c r="GT46" s="2007">
        <v>1381.1827699999999</v>
      </c>
      <c r="GU46" s="2010">
        <v>33.96857</v>
      </c>
      <c r="GV46" s="2011" t="s">
        <v>3210</v>
      </c>
    </row>
    <row r="47" spans="1:207" s="1991" customFormat="1" ht="22.5" customHeight="1">
      <c r="A47" s="2012" t="s">
        <v>2291</v>
      </c>
      <c r="B47" s="2013">
        <v>0</v>
      </c>
      <c r="C47" s="2013">
        <v>0</v>
      </c>
      <c r="D47" s="2013">
        <v>0</v>
      </c>
      <c r="E47" s="2013">
        <v>2.5764999999999998</v>
      </c>
      <c r="F47" s="2013">
        <v>0</v>
      </c>
      <c r="G47" s="2013">
        <v>4.1336400000000006</v>
      </c>
      <c r="H47" s="2013">
        <v>0</v>
      </c>
      <c r="I47" s="2013">
        <v>4.1336400000000006</v>
      </c>
      <c r="J47" s="2013">
        <v>0</v>
      </c>
      <c r="K47" s="2013">
        <v>4.1336400000000006</v>
      </c>
      <c r="L47" s="2013">
        <v>0</v>
      </c>
      <c r="M47" s="2013">
        <v>4.1336400000000006</v>
      </c>
      <c r="N47" s="2013">
        <v>0</v>
      </c>
      <c r="O47" s="2013">
        <v>4.1336400000000006</v>
      </c>
      <c r="P47" s="2013">
        <v>0</v>
      </c>
      <c r="Q47" s="2013">
        <v>4.1336400000000006</v>
      </c>
      <c r="R47" s="2013">
        <v>0</v>
      </c>
      <c r="S47" s="2013">
        <v>4.1336400000000006</v>
      </c>
      <c r="T47" s="2013">
        <v>0</v>
      </c>
      <c r="U47" s="2013">
        <v>0</v>
      </c>
      <c r="V47" s="2013">
        <v>0.02</v>
      </c>
      <c r="W47" s="2013">
        <v>0</v>
      </c>
      <c r="X47" s="2013">
        <v>0.09</v>
      </c>
      <c r="Y47" s="2013">
        <v>0</v>
      </c>
      <c r="Z47" s="2013">
        <v>0.61</v>
      </c>
      <c r="AA47" s="2013">
        <v>0</v>
      </c>
      <c r="AB47" s="2013">
        <v>1.32</v>
      </c>
      <c r="AC47" s="2013">
        <v>0</v>
      </c>
      <c r="AD47" s="2013">
        <v>1.76</v>
      </c>
      <c r="AE47" s="2013">
        <v>0</v>
      </c>
      <c r="AF47" s="2013">
        <v>9.57</v>
      </c>
      <c r="AG47" s="2013">
        <v>0</v>
      </c>
      <c r="AH47" s="2013">
        <v>19.940000000000001</v>
      </c>
      <c r="AI47" s="2013">
        <v>0</v>
      </c>
      <c r="AJ47" s="2013">
        <v>25.96</v>
      </c>
      <c r="AK47" s="2013">
        <v>0</v>
      </c>
      <c r="AL47" s="2013">
        <v>30.2</v>
      </c>
      <c r="AM47" s="2013">
        <v>0</v>
      </c>
      <c r="AN47" s="2013">
        <v>37.659999999999997</v>
      </c>
      <c r="AO47" s="2013">
        <v>0</v>
      </c>
      <c r="AP47" s="2013">
        <v>42.19</v>
      </c>
      <c r="AQ47" s="2013">
        <v>0</v>
      </c>
      <c r="AR47" s="2013">
        <v>47.45</v>
      </c>
      <c r="AS47" s="2013">
        <v>0</v>
      </c>
      <c r="AT47" s="2013">
        <v>89.428049999999999</v>
      </c>
      <c r="AU47" s="2013">
        <v>0</v>
      </c>
      <c r="AV47" s="2013">
        <v>1860.06747</v>
      </c>
      <c r="AW47" s="2013">
        <v>0</v>
      </c>
      <c r="AX47" s="2013">
        <v>8.36</v>
      </c>
      <c r="AY47" s="2013">
        <v>0</v>
      </c>
      <c r="AZ47" s="2013">
        <v>14.34</v>
      </c>
      <c r="BA47" s="2013">
        <v>0</v>
      </c>
      <c r="BB47" s="2013">
        <v>16.93</v>
      </c>
      <c r="BC47" s="2013">
        <v>0</v>
      </c>
      <c r="BD47" s="2013">
        <v>26.358000000000001</v>
      </c>
      <c r="BE47" s="2013">
        <v>0</v>
      </c>
      <c r="BF47" s="2013">
        <v>44.607999999999997</v>
      </c>
      <c r="BG47" s="2013">
        <v>0</v>
      </c>
      <c r="BH47" s="2013">
        <v>57.08</v>
      </c>
      <c r="BI47" s="2013">
        <v>0</v>
      </c>
      <c r="BJ47" s="2013">
        <v>78.224999999999994</v>
      </c>
      <c r="BK47" s="2013">
        <v>0</v>
      </c>
      <c r="BL47" s="2013">
        <v>96.447999999999993</v>
      </c>
      <c r="BM47" s="2013">
        <v>0</v>
      </c>
      <c r="BN47" s="2013">
        <v>109.42</v>
      </c>
      <c r="BO47" s="2013">
        <v>0</v>
      </c>
      <c r="BP47" s="2013">
        <v>112.617</v>
      </c>
      <c r="BQ47" s="2013">
        <v>0</v>
      </c>
      <c r="BR47" s="2013">
        <v>113.565</v>
      </c>
      <c r="BS47" s="2013">
        <v>0</v>
      </c>
      <c r="BT47" s="2013">
        <v>157.70371</v>
      </c>
      <c r="BU47" s="2013">
        <v>0</v>
      </c>
      <c r="BV47" s="2013">
        <v>3.91</v>
      </c>
      <c r="BW47" s="2013">
        <v>0</v>
      </c>
      <c r="BX47" s="2013">
        <v>6.6829999999999998</v>
      </c>
      <c r="BY47" s="2013">
        <v>0</v>
      </c>
      <c r="BZ47" s="2013">
        <v>11.037799999999999</v>
      </c>
      <c r="CA47" s="2013">
        <v>0</v>
      </c>
      <c r="CB47" s="2013">
        <v>11.652799999999999</v>
      </c>
      <c r="CC47" s="2013">
        <v>0</v>
      </c>
      <c r="CD47" s="2013">
        <v>13.83991</v>
      </c>
      <c r="CE47" s="2013">
        <v>0</v>
      </c>
      <c r="CF47" s="2013">
        <v>14.565910000000001</v>
      </c>
      <c r="CG47" s="2013">
        <v>0</v>
      </c>
      <c r="CH47" s="2013">
        <v>15.936909999999999</v>
      </c>
      <c r="CI47" s="2013">
        <v>0</v>
      </c>
      <c r="CJ47" s="2013">
        <v>21.520880000000002</v>
      </c>
      <c r="CK47" s="2013">
        <v>0</v>
      </c>
      <c r="CL47" s="2013">
        <v>35.746949999999998</v>
      </c>
      <c r="CM47" s="2013">
        <v>0</v>
      </c>
      <c r="CN47" s="2013">
        <v>50.802260000000004</v>
      </c>
      <c r="CO47" s="2013">
        <v>0</v>
      </c>
      <c r="CP47" s="2013">
        <v>67.38794</v>
      </c>
      <c r="CQ47" s="2013">
        <v>0</v>
      </c>
      <c r="CR47" s="2013">
        <v>91.584800000000001</v>
      </c>
      <c r="CS47" s="2013">
        <v>0</v>
      </c>
      <c r="CT47" s="2013">
        <v>10.222</v>
      </c>
      <c r="CU47" s="2013">
        <v>0</v>
      </c>
      <c r="CV47" s="2013">
        <v>28.514099999999999</v>
      </c>
      <c r="CW47" s="2013">
        <v>0</v>
      </c>
      <c r="CX47" s="2013">
        <v>45.558639999999997</v>
      </c>
      <c r="CY47" s="2013">
        <v>0</v>
      </c>
      <c r="CZ47" s="2013">
        <v>53.771519999999995</v>
      </c>
      <c r="DA47" s="2013">
        <v>0</v>
      </c>
      <c r="DB47" s="2013">
        <v>78.640339999999995</v>
      </c>
      <c r="DC47" s="2013">
        <v>0</v>
      </c>
      <c r="DD47" s="2013">
        <v>103.90758</v>
      </c>
      <c r="DE47" s="2013">
        <v>0</v>
      </c>
      <c r="DF47" s="2013">
        <v>120.60539</v>
      </c>
      <c r="DG47" s="2013">
        <v>0</v>
      </c>
      <c r="DH47" s="2013">
        <v>122.87039</v>
      </c>
      <c r="DI47" s="2013">
        <v>0</v>
      </c>
      <c r="DJ47" s="2013">
        <v>164.73917</v>
      </c>
      <c r="DK47" s="2013">
        <v>0</v>
      </c>
      <c r="DL47" s="2013">
        <v>206.00370000000001</v>
      </c>
      <c r="DM47" s="2013">
        <v>0</v>
      </c>
      <c r="DN47" s="2013">
        <v>271.91079000000002</v>
      </c>
      <c r="DO47" s="2013">
        <v>0</v>
      </c>
      <c r="DP47" s="2013">
        <v>3378.1590099999999</v>
      </c>
      <c r="DQ47" s="2014">
        <v>0</v>
      </c>
      <c r="DR47" s="2015">
        <v>81.692610000000002</v>
      </c>
      <c r="DS47" s="2016">
        <v>0</v>
      </c>
      <c r="DT47" s="2017">
        <v>154.49202</v>
      </c>
      <c r="DU47" s="2014">
        <v>0</v>
      </c>
      <c r="DV47" s="2015">
        <v>197.72301999999999</v>
      </c>
      <c r="DW47" s="2016">
        <v>0</v>
      </c>
      <c r="DX47" s="2017">
        <v>200.27249</v>
      </c>
      <c r="DY47" s="2014">
        <v>0</v>
      </c>
      <c r="DZ47" s="2015">
        <v>202.19614999999999</v>
      </c>
      <c r="EA47" s="2016">
        <v>0</v>
      </c>
      <c r="EB47" s="2017">
        <v>466.82736999999997</v>
      </c>
      <c r="EC47" s="2014">
        <v>0</v>
      </c>
      <c r="ED47" s="2015">
        <v>467.88029</v>
      </c>
      <c r="EE47" s="2016">
        <v>0</v>
      </c>
      <c r="EF47" s="2015">
        <v>795.74928999999997</v>
      </c>
      <c r="EG47" s="2016">
        <v>0</v>
      </c>
      <c r="EH47" s="2017">
        <v>1150.2914499999999</v>
      </c>
      <c r="EI47" s="2016">
        <v>0</v>
      </c>
      <c r="EJ47" s="2017">
        <v>1152.7724499999999</v>
      </c>
      <c r="EK47" s="2016">
        <v>0.12427000000000001</v>
      </c>
      <c r="EL47" s="2015">
        <v>1531.8914500000001</v>
      </c>
      <c r="EM47" s="2018">
        <v>0.17721000000000001</v>
      </c>
      <c r="EN47" s="2015">
        <v>1899.9356299999999</v>
      </c>
      <c r="EO47" s="2018">
        <v>0.17721000000000001</v>
      </c>
      <c r="EP47" s="2015">
        <v>110.255</v>
      </c>
      <c r="EQ47" s="2018">
        <v>0</v>
      </c>
      <c r="ER47" s="2015">
        <v>453.69711999999998</v>
      </c>
      <c r="ES47" s="2018">
        <v>2.6600000000000002E-2</v>
      </c>
      <c r="ET47" s="2015">
        <v>665.30424000000005</v>
      </c>
      <c r="EU47" s="2018">
        <v>2.6599999999999999E-2</v>
      </c>
      <c r="EV47" s="2015">
        <v>890.48851000000002</v>
      </c>
      <c r="EW47" s="2018">
        <v>0.47660000000000002</v>
      </c>
      <c r="EX47" s="2015">
        <v>892.14639999999997</v>
      </c>
      <c r="EY47" s="2018">
        <v>0.47660000000000002</v>
      </c>
      <c r="EZ47" s="2015">
        <v>1248.4578700000002</v>
      </c>
      <c r="FA47" s="2018">
        <v>0.47660000000000002</v>
      </c>
      <c r="FB47" s="2015">
        <v>1249.6698700000002</v>
      </c>
      <c r="FC47" s="2018">
        <v>0.47660000000000002</v>
      </c>
      <c r="FD47" s="2015">
        <v>2145.9618799999998</v>
      </c>
      <c r="FE47" s="2018">
        <v>0.89659999999999995</v>
      </c>
      <c r="FF47" s="2015">
        <v>2405.4802</v>
      </c>
      <c r="FG47" s="2018">
        <v>0.89660000000000006</v>
      </c>
      <c r="FH47" s="2015">
        <v>2665.7259399999998</v>
      </c>
      <c r="FI47" s="2018">
        <v>2.6722199999999998</v>
      </c>
      <c r="FJ47" s="2015">
        <v>3401.4607700000001</v>
      </c>
      <c r="FK47" s="2018">
        <v>3.0662400000000001</v>
      </c>
      <c r="FL47" s="2015">
        <v>3829.94994</v>
      </c>
      <c r="FM47" s="2018">
        <v>4.8673700000000002</v>
      </c>
      <c r="FN47" s="2015">
        <v>452.73106999999999</v>
      </c>
      <c r="FO47" s="2018">
        <v>2.7864599999999999</v>
      </c>
      <c r="FP47" s="2015">
        <v>821.10320999999999</v>
      </c>
      <c r="FQ47" s="2018">
        <v>14.48959</v>
      </c>
      <c r="FR47" s="2015">
        <v>1164.2033699999999</v>
      </c>
      <c r="FS47" s="2018">
        <v>20.30612</v>
      </c>
      <c r="FT47" s="2015">
        <v>1489.8215700000001</v>
      </c>
      <c r="FU47" s="2018">
        <v>28.129470000000001</v>
      </c>
      <c r="FV47" s="2015">
        <v>1880.8351599999999</v>
      </c>
      <c r="FW47" s="2018">
        <v>34.691600000000001</v>
      </c>
      <c r="FX47" s="2015">
        <v>2275.1521200000002</v>
      </c>
      <c r="FY47" s="2018">
        <v>37.534599999999998</v>
      </c>
      <c r="FZ47" s="2015">
        <v>2657.7371600000001</v>
      </c>
      <c r="GA47" s="2018">
        <v>42.5246</v>
      </c>
      <c r="GB47" s="2015">
        <v>3115.8519799999999</v>
      </c>
      <c r="GC47" s="2018">
        <v>55.055599999999998</v>
      </c>
      <c r="GD47" s="2015">
        <v>3779.2859199999998</v>
      </c>
      <c r="GE47" s="2018">
        <v>57.505600000000001</v>
      </c>
      <c r="GF47" s="2015">
        <v>4314.3006100000002</v>
      </c>
      <c r="GG47" s="2018">
        <v>63.793500000000002</v>
      </c>
      <c r="GH47" s="2015">
        <v>4798.9348600000003</v>
      </c>
      <c r="GI47" s="2018">
        <v>69.393500000000003</v>
      </c>
      <c r="GJ47" s="2015">
        <v>5259.0473199999997</v>
      </c>
      <c r="GK47" s="2018">
        <v>75.597179999999994</v>
      </c>
      <c r="GL47" s="2015">
        <v>495.08978000000002</v>
      </c>
      <c r="GM47" s="2018">
        <v>5.1078700000000001</v>
      </c>
      <c r="GN47" s="2015">
        <v>1097.6403299999999</v>
      </c>
      <c r="GO47" s="2018">
        <v>14.46152</v>
      </c>
      <c r="GP47" s="2015">
        <v>1372.2237700000001</v>
      </c>
      <c r="GQ47" s="2018">
        <v>22.047450000000001</v>
      </c>
      <c r="GR47" s="2015">
        <v>1372.2239300000001</v>
      </c>
      <c r="GS47" s="2018">
        <v>29.336829999999999</v>
      </c>
      <c r="GT47" s="2015">
        <v>1381.1827699999999</v>
      </c>
      <c r="GU47" s="2018">
        <v>33.96857</v>
      </c>
      <c r="GV47" s="2019" t="s">
        <v>3211</v>
      </c>
    </row>
    <row r="48" spans="1:207" s="1991" customFormat="1" ht="22.5" customHeight="1">
      <c r="A48" s="2011" t="s">
        <v>2290</v>
      </c>
      <c r="B48" s="2005">
        <v>0</v>
      </c>
      <c r="C48" s="2005">
        <v>0</v>
      </c>
      <c r="D48" s="2005">
        <v>0</v>
      </c>
      <c r="E48" s="2005">
        <v>0</v>
      </c>
      <c r="F48" s="2005">
        <v>0</v>
      </c>
      <c r="G48" s="2005">
        <v>0</v>
      </c>
      <c r="H48" s="2005">
        <v>0</v>
      </c>
      <c r="I48" s="2005">
        <v>0</v>
      </c>
      <c r="J48" s="2005">
        <v>0</v>
      </c>
      <c r="K48" s="2005">
        <v>0</v>
      </c>
      <c r="L48" s="2005">
        <v>9.2696000000000005</v>
      </c>
      <c r="M48" s="2005">
        <v>0</v>
      </c>
      <c r="N48" s="2005">
        <v>9.2696000000000005</v>
      </c>
      <c r="O48" s="2005">
        <v>0</v>
      </c>
      <c r="P48" s="2005">
        <v>9.2696000000000005</v>
      </c>
      <c r="Q48" s="2005">
        <v>0</v>
      </c>
      <c r="R48" s="2005">
        <v>9.2696000000000005</v>
      </c>
      <c r="S48" s="2005">
        <v>0</v>
      </c>
      <c r="T48" s="2005">
        <v>9.2696000000000005</v>
      </c>
      <c r="U48" s="2005">
        <v>0</v>
      </c>
      <c r="V48" s="2005">
        <v>9.2696000000000005</v>
      </c>
      <c r="W48" s="2005">
        <v>0</v>
      </c>
      <c r="X48" s="2005">
        <v>9.2696000000000005</v>
      </c>
      <c r="Y48" s="2005">
        <v>0</v>
      </c>
      <c r="Z48" s="2005">
        <v>0</v>
      </c>
      <c r="AA48" s="2005">
        <v>0</v>
      </c>
      <c r="AB48" s="2005">
        <v>0</v>
      </c>
      <c r="AC48" s="2005">
        <v>0</v>
      </c>
      <c r="AD48" s="2005">
        <v>0</v>
      </c>
      <c r="AE48" s="2005">
        <v>0</v>
      </c>
      <c r="AF48" s="2005">
        <v>0.56496000000000002</v>
      </c>
      <c r="AG48" s="2005">
        <v>0</v>
      </c>
      <c r="AH48" s="2005">
        <v>0.56496000000000002</v>
      </c>
      <c r="AI48" s="2005">
        <v>0</v>
      </c>
      <c r="AJ48" s="2005">
        <v>0.56496000000000002</v>
      </c>
      <c r="AK48" s="2005">
        <v>0</v>
      </c>
      <c r="AL48" s="2005">
        <v>0.56496000000000002</v>
      </c>
      <c r="AM48" s="2005">
        <v>0</v>
      </c>
      <c r="AN48" s="2005">
        <v>0.56496000000000002</v>
      </c>
      <c r="AO48" s="2005">
        <v>0</v>
      </c>
      <c r="AP48" s="2005">
        <v>0.56496000000000002</v>
      </c>
      <c r="AQ48" s="2005">
        <v>0</v>
      </c>
      <c r="AR48" s="2005">
        <v>0.56496000000000002</v>
      </c>
      <c r="AS48" s="2005">
        <v>0</v>
      </c>
      <c r="AT48" s="2005">
        <v>0.56496000000000002</v>
      </c>
      <c r="AU48" s="2005">
        <v>0</v>
      </c>
      <c r="AV48" s="2005">
        <v>0.56496000000000002</v>
      </c>
      <c r="AW48" s="2005">
        <v>0</v>
      </c>
      <c r="AX48" s="2005">
        <v>2.19285</v>
      </c>
      <c r="AY48" s="2005">
        <v>0</v>
      </c>
      <c r="AZ48" s="2005">
        <v>2.19285</v>
      </c>
      <c r="BA48" s="2005">
        <v>0</v>
      </c>
      <c r="BB48" s="2005">
        <v>2.19285</v>
      </c>
      <c r="BC48" s="2005">
        <v>0</v>
      </c>
      <c r="BD48" s="2005">
        <v>2.8794499999999998</v>
      </c>
      <c r="BE48" s="2005">
        <v>0</v>
      </c>
      <c r="BF48" s="2005">
        <v>307.66515999999996</v>
      </c>
      <c r="BG48" s="2005">
        <v>0</v>
      </c>
      <c r="BH48" s="2005">
        <v>307.66515999999996</v>
      </c>
      <c r="BI48" s="2005">
        <v>0</v>
      </c>
      <c r="BJ48" s="2005">
        <v>317.04237000000001</v>
      </c>
      <c r="BK48" s="2005">
        <v>0</v>
      </c>
      <c r="BL48" s="2005">
        <v>317.36237</v>
      </c>
      <c r="BM48" s="2005">
        <v>0</v>
      </c>
      <c r="BN48" s="2005">
        <v>318.80237</v>
      </c>
      <c r="BO48" s="2005">
        <v>0</v>
      </c>
      <c r="BP48" s="2005">
        <v>318.80237</v>
      </c>
      <c r="BQ48" s="2005">
        <v>0</v>
      </c>
      <c r="BR48" s="2005">
        <v>318.80237</v>
      </c>
      <c r="BS48" s="2005">
        <v>0</v>
      </c>
      <c r="BT48" s="2005">
        <v>321.47416999999996</v>
      </c>
      <c r="BU48" s="2005">
        <v>0</v>
      </c>
      <c r="BV48" s="2005">
        <v>1.2556500000000002</v>
      </c>
      <c r="BW48" s="2005">
        <v>13.238</v>
      </c>
      <c r="BX48" s="2005">
        <v>2.8156599999999998</v>
      </c>
      <c r="BY48" s="2005">
        <v>13.238</v>
      </c>
      <c r="BZ48" s="2005">
        <v>1.5600099999999999</v>
      </c>
      <c r="CA48" s="2005">
        <v>13.238</v>
      </c>
      <c r="CB48" s="2005">
        <v>2.0400100000000001</v>
      </c>
      <c r="CC48" s="2005">
        <v>13.238</v>
      </c>
      <c r="CD48" s="2005">
        <v>406.43056999999999</v>
      </c>
      <c r="CE48" s="2005">
        <v>13.238</v>
      </c>
      <c r="CF48" s="2005">
        <v>406.43056999999999</v>
      </c>
      <c r="CG48" s="2005">
        <v>13.238</v>
      </c>
      <c r="CH48" s="2005">
        <v>406.43056999999999</v>
      </c>
      <c r="CI48" s="2005">
        <v>13.238</v>
      </c>
      <c r="CJ48" s="2005">
        <v>406.75056999999998</v>
      </c>
      <c r="CK48" s="2005">
        <v>13.238</v>
      </c>
      <c r="CL48" s="2005">
        <v>406.75056999999998</v>
      </c>
      <c r="CM48" s="2005">
        <v>13.238</v>
      </c>
      <c r="CN48" s="2005">
        <v>406.75056999999998</v>
      </c>
      <c r="CO48" s="2005">
        <v>13.238</v>
      </c>
      <c r="CP48" s="2005">
        <v>407.98237</v>
      </c>
      <c r="CQ48" s="2005">
        <v>13.238</v>
      </c>
      <c r="CR48" s="2005">
        <v>407.98237</v>
      </c>
      <c r="CS48" s="2005">
        <v>13.238</v>
      </c>
      <c r="CT48" s="2005">
        <v>0</v>
      </c>
      <c r="CU48" s="2005">
        <v>0</v>
      </c>
      <c r="CV48" s="2005">
        <v>0</v>
      </c>
      <c r="CW48" s="2005">
        <v>0</v>
      </c>
      <c r="CX48" s="2005">
        <v>0</v>
      </c>
      <c r="CY48" s="2005">
        <v>0</v>
      </c>
      <c r="CZ48" s="2005">
        <v>0</v>
      </c>
      <c r="DA48" s="2005">
        <v>0</v>
      </c>
      <c r="DB48" s="2005">
        <v>413.06063</v>
      </c>
      <c r="DC48" s="2005">
        <v>0</v>
      </c>
      <c r="DD48" s="2005">
        <v>413.70938000000001</v>
      </c>
      <c r="DE48" s="2005">
        <v>0</v>
      </c>
      <c r="DF48" s="2005">
        <v>413.70938000000001</v>
      </c>
      <c r="DG48" s="2005">
        <v>0</v>
      </c>
      <c r="DH48" s="2005">
        <v>413.70938000000001</v>
      </c>
      <c r="DI48" s="2005">
        <v>0</v>
      </c>
      <c r="DJ48" s="2005">
        <v>436.88190999999995</v>
      </c>
      <c r="DK48" s="2005">
        <v>0</v>
      </c>
      <c r="DL48" s="2005">
        <v>436.88191</v>
      </c>
      <c r="DM48" s="2005">
        <v>0</v>
      </c>
      <c r="DN48" s="2005">
        <v>436.88191</v>
      </c>
      <c r="DO48" s="2005">
        <v>0</v>
      </c>
      <c r="DP48" s="2005">
        <v>452.64600000000002</v>
      </c>
      <c r="DQ48" s="2006">
        <v>0</v>
      </c>
      <c r="DR48" s="2007">
        <v>0</v>
      </c>
      <c r="DS48" s="2008">
        <v>0</v>
      </c>
      <c r="DT48" s="2009">
        <v>0</v>
      </c>
      <c r="DU48" s="2006">
        <v>0</v>
      </c>
      <c r="DV48" s="2007">
        <v>0</v>
      </c>
      <c r="DW48" s="2008">
        <v>0</v>
      </c>
      <c r="DX48" s="2009">
        <v>0</v>
      </c>
      <c r="DY48" s="2006">
        <v>0</v>
      </c>
      <c r="DZ48" s="2007">
        <v>417.37450999999999</v>
      </c>
      <c r="EA48" s="2008">
        <v>0</v>
      </c>
      <c r="EB48" s="2009">
        <v>416.72575999999998</v>
      </c>
      <c r="EC48" s="2006">
        <v>0</v>
      </c>
      <c r="ED48" s="2007">
        <v>417.37450999999999</v>
      </c>
      <c r="EE48" s="2008">
        <v>0</v>
      </c>
      <c r="EF48" s="2007">
        <v>417.37450999999999</v>
      </c>
      <c r="EG48" s="2008">
        <v>0</v>
      </c>
      <c r="EH48" s="2009">
        <v>417.37450999999999</v>
      </c>
      <c r="EI48" s="2008">
        <v>0</v>
      </c>
      <c r="EJ48" s="2009">
        <v>417.37450999999999</v>
      </c>
      <c r="EK48" s="2008">
        <v>0</v>
      </c>
      <c r="EL48" s="2007">
        <v>417.37450999999999</v>
      </c>
      <c r="EM48" s="2010">
        <v>0</v>
      </c>
      <c r="EN48" s="2007">
        <v>442.06891000000002</v>
      </c>
      <c r="EO48" s="2010">
        <v>0</v>
      </c>
      <c r="EP48" s="2007">
        <v>0</v>
      </c>
      <c r="EQ48" s="2010">
        <v>0</v>
      </c>
      <c r="ER48" s="2007">
        <v>0</v>
      </c>
      <c r="ES48" s="2010">
        <v>0</v>
      </c>
      <c r="ET48" s="2007">
        <v>0</v>
      </c>
      <c r="EU48" s="2010">
        <v>0</v>
      </c>
      <c r="EV48" s="2007">
        <v>0</v>
      </c>
      <c r="EW48" s="2010">
        <v>0</v>
      </c>
      <c r="EX48" s="2007">
        <v>445.5462</v>
      </c>
      <c r="EY48" s="2010">
        <v>0</v>
      </c>
      <c r="EZ48" s="2007">
        <v>445.5462</v>
      </c>
      <c r="FA48" s="2010">
        <v>0</v>
      </c>
      <c r="FB48" s="2007">
        <v>445.5462</v>
      </c>
      <c r="FC48" s="2010">
        <v>0</v>
      </c>
      <c r="FD48" s="2007">
        <v>445.5462</v>
      </c>
      <c r="FE48" s="2010">
        <v>0</v>
      </c>
      <c r="FF48" s="2007">
        <v>445.5462</v>
      </c>
      <c r="FG48" s="2010">
        <v>0</v>
      </c>
      <c r="FH48" s="2007">
        <v>445.5462</v>
      </c>
      <c r="FI48" s="2010">
        <v>0</v>
      </c>
      <c r="FJ48" s="2007">
        <v>445.5462</v>
      </c>
      <c r="FK48" s="2010">
        <v>0</v>
      </c>
      <c r="FL48" s="2007">
        <v>475.54177000000004</v>
      </c>
      <c r="FM48" s="2010">
        <v>0</v>
      </c>
      <c r="FN48" s="2007">
        <v>0</v>
      </c>
      <c r="FO48" s="2010">
        <v>0</v>
      </c>
      <c r="FP48" s="2007">
        <v>0</v>
      </c>
      <c r="FQ48" s="2010">
        <v>0</v>
      </c>
      <c r="FR48" s="2007">
        <v>0</v>
      </c>
      <c r="FS48" s="2010">
        <v>0</v>
      </c>
      <c r="FT48" s="2007">
        <v>0</v>
      </c>
      <c r="FU48" s="2010">
        <v>0</v>
      </c>
      <c r="FV48" s="2007">
        <v>480.88665000000003</v>
      </c>
      <c r="FW48" s="2010">
        <v>0</v>
      </c>
      <c r="FX48" s="2007">
        <v>480.88664999999997</v>
      </c>
      <c r="FY48" s="2010">
        <v>0</v>
      </c>
      <c r="FZ48" s="2007">
        <v>480.88664999999997</v>
      </c>
      <c r="GA48" s="2010">
        <v>0</v>
      </c>
      <c r="GB48" s="2007">
        <v>480.88664999999997</v>
      </c>
      <c r="GC48" s="2010">
        <v>0</v>
      </c>
      <c r="GD48" s="2007">
        <v>480.88664999999997</v>
      </c>
      <c r="GE48" s="2010">
        <v>0</v>
      </c>
      <c r="GF48" s="2007">
        <v>480.88664999999997</v>
      </c>
      <c r="GG48" s="2010">
        <v>0</v>
      </c>
      <c r="GH48" s="2007">
        <v>480.88664999999997</v>
      </c>
      <c r="GI48" s="2010">
        <v>0</v>
      </c>
      <c r="GJ48" s="2007">
        <v>510.49029999999999</v>
      </c>
      <c r="GK48" s="2010">
        <v>0</v>
      </c>
      <c r="GL48" s="2007">
        <v>0</v>
      </c>
      <c r="GM48" s="2010">
        <v>0</v>
      </c>
      <c r="GN48" s="2007">
        <v>1</v>
      </c>
      <c r="GO48" s="2010">
        <v>0</v>
      </c>
      <c r="GP48" s="2007">
        <v>1</v>
      </c>
      <c r="GQ48" s="2010">
        <v>0</v>
      </c>
      <c r="GR48" s="2007">
        <v>1</v>
      </c>
      <c r="GS48" s="2010">
        <v>0</v>
      </c>
      <c r="GT48" s="2007">
        <v>474.50646</v>
      </c>
      <c r="GU48" s="2010">
        <v>0</v>
      </c>
      <c r="GV48" s="2011" t="s">
        <v>3212</v>
      </c>
      <c r="GX48" s="2022"/>
    </row>
    <row r="49" spans="1:208" s="1991" customFormat="1" ht="22.5" customHeight="1">
      <c r="A49" s="2012" t="s">
        <v>2289</v>
      </c>
      <c r="B49" s="2013">
        <v>0</v>
      </c>
      <c r="C49" s="2013">
        <v>0</v>
      </c>
      <c r="D49" s="2013">
        <v>0</v>
      </c>
      <c r="E49" s="2013">
        <v>0</v>
      </c>
      <c r="F49" s="2013">
        <v>0</v>
      </c>
      <c r="G49" s="2013">
        <v>0</v>
      </c>
      <c r="H49" s="2013">
        <v>0</v>
      </c>
      <c r="I49" s="2013">
        <v>0</v>
      </c>
      <c r="J49" s="2013">
        <v>0</v>
      </c>
      <c r="K49" s="2013">
        <v>0</v>
      </c>
      <c r="L49" s="2013">
        <v>9.2696000000000005</v>
      </c>
      <c r="M49" s="2013">
        <v>0</v>
      </c>
      <c r="N49" s="2013">
        <v>9.2696000000000005</v>
      </c>
      <c r="O49" s="2013">
        <v>0</v>
      </c>
      <c r="P49" s="2013">
        <v>9.2696000000000005</v>
      </c>
      <c r="Q49" s="2013">
        <v>0</v>
      </c>
      <c r="R49" s="2013">
        <v>9.2696000000000005</v>
      </c>
      <c r="S49" s="2013">
        <v>0</v>
      </c>
      <c r="T49" s="2013">
        <v>9.2696000000000005</v>
      </c>
      <c r="U49" s="2013">
        <v>0</v>
      </c>
      <c r="V49" s="2013">
        <v>9.2696000000000005</v>
      </c>
      <c r="W49" s="2013">
        <v>0</v>
      </c>
      <c r="X49" s="2013">
        <v>9.2696000000000005</v>
      </c>
      <c r="Y49" s="2013">
        <v>0</v>
      </c>
      <c r="Z49" s="2013">
        <v>0</v>
      </c>
      <c r="AA49" s="2013">
        <v>0</v>
      </c>
      <c r="AB49" s="2013">
        <v>0</v>
      </c>
      <c r="AC49" s="2013">
        <v>0</v>
      </c>
      <c r="AD49" s="2013">
        <v>0</v>
      </c>
      <c r="AE49" s="2013">
        <v>0</v>
      </c>
      <c r="AF49" s="2013">
        <v>0.56496000000000002</v>
      </c>
      <c r="AG49" s="2013">
        <v>0</v>
      </c>
      <c r="AH49" s="2013">
        <v>0.56496000000000002</v>
      </c>
      <c r="AI49" s="2013">
        <v>0</v>
      </c>
      <c r="AJ49" s="2013">
        <v>0.56496000000000002</v>
      </c>
      <c r="AK49" s="2013">
        <v>0</v>
      </c>
      <c r="AL49" s="2013">
        <v>0.56496000000000002</v>
      </c>
      <c r="AM49" s="2013">
        <v>0</v>
      </c>
      <c r="AN49" s="2013">
        <v>0.56496000000000002</v>
      </c>
      <c r="AO49" s="2013">
        <v>0</v>
      </c>
      <c r="AP49" s="2013">
        <v>0.56496000000000002</v>
      </c>
      <c r="AQ49" s="2013">
        <v>0</v>
      </c>
      <c r="AR49" s="2013">
        <v>0.56496000000000002</v>
      </c>
      <c r="AS49" s="2013">
        <v>0</v>
      </c>
      <c r="AT49" s="2013">
        <v>0.56496000000000002</v>
      </c>
      <c r="AU49" s="2013">
        <v>0</v>
      </c>
      <c r="AV49" s="2013">
        <v>0.56496000000000002</v>
      </c>
      <c r="AW49" s="2013">
        <v>0</v>
      </c>
      <c r="AX49" s="2013">
        <v>2.19285</v>
      </c>
      <c r="AY49" s="2013">
        <v>0</v>
      </c>
      <c r="AZ49" s="2013">
        <v>2.19285</v>
      </c>
      <c r="BA49" s="2013">
        <v>0</v>
      </c>
      <c r="BB49" s="2013">
        <v>2.19285</v>
      </c>
      <c r="BC49" s="2013">
        <v>0</v>
      </c>
      <c r="BD49" s="2013">
        <v>2.8794499999999998</v>
      </c>
      <c r="BE49" s="2013">
        <v>0</v>
      </c>
      <c r="BF49" s="2013">
        <v>307.66515999999996</v>
      </c>
      <c r="BG49" s="2013">
        <v>0</v>
      </c>
      <c r="BH49" s="2013">
        <v>307.66515999999996</v>
      </c>
      <c r="BI49" s="2013">
        <v>0</v>
      </c>
      <c r="BJ49" s="2013">
        <v>317.04237000000001</v>
      </c>
      <c r="BK49" s="2013">
        <v>0</v>
      </c>
      <c r="BL49" s="2013">
        <v>317.36237</v>
      </c>
      <c r="BM49" s="2013">
        <v>0</v>
      </c>
      <c r="BN49" s="2013">
        <v>318.80237</v>
      </c>
      <c r="BO49" s="2013">
        <v>0</v>
      </c>
      <c r="BP49" s="2013">
        <v>318.80237</v>
      </c>
      <c r="BQ49" s="2013">
        <v>0</v>
      </c>
      <c r="BR49" s="2013">
        <v>318.80237</v>
      </c>
      <c r="BS49" s="2013">
        <v>0</v>
      </c>
      <c r="BT49" s="2013">
        <v>321.47416999999996</v>
      </c>
      <c r="BU49" s="2013">
        <v>0</v>
      </c>
      <c r="BV49" s="2013">
        <v>1.2556500000000002</v>
      </c>
      <c r="BW49" s="2013">
        <v>13.238</v>
      </c>
      <c r="BX49" s="2013">
        <v>2.8156599999999998</v>
      </c>
      <c r="BY49" s="2013">
        <v>13.238</v>
      </c>
      <c r="BZ49" s="2013">
        <v>1.5600099999999999</v>
      </c>
      <c r="CA49" s="2013">
        <v>13.238</v>
      </c>
      <c r="CB49" s="2013">
        <v>2.0400100000000001</v>
      </c>
      <c r="CC49" s="2013">
        <v>13.238</v>
      </c>
      <c r="CD49" s="2013">
        <v>406.43056999999999</v>
      </c>
      <c r="CE49" s="2013">
        <v>13.238</v>
      </c>
      <c r="CF49" s="2013">
        <v>406.43056999999999</v>
      </c>
      <c r="CG49" s="2013">
        <v>13.238</v>
      </c>
      <c r="CH49" s="2013">
        <v>406.43056999999999</v>
      </c>
      <c r="CI49" s="2013">
        <v>13.238</v>
      </c>
      <c r="CJ49" s="2013">
        <v>406.75056999999998</v>
      </c>
      <c r="CK49" s="2013">
        <v>13.238</v>
      </c>
      <c r="CL49" s="2013">
        <v>406.75056999999998</v>
      </c>
      <c r="CM49" s="2013">
        <v>13.238</v>
      </c>
      <c r="CN49" s="2013">
        <v>406.75056999999998</v>
      </c>
      <c r="CO49" s="2013">
        <v>13.238</v>
      </c>
      <c r="CP49" s="2013">
        <v>407.98237</v>
      </c>
      <c r="CQ49" s="2013">
        <v>13.238</v>
      </c>
      <c r="CR49" s="2013">
        <v>407.98237</v>
      </c>
      <c r="CS49" s="2013">
        <v>13.238</v>
      </c>
      <c r="CT49" s="2013">
        <v>0</v>
      </c>
      <c r="CU49" s="2013">
        <v>0</v>
      </c>
      <c r="CV49" s="2013">
        <v>0</v>
      </c>
      <c r="CW49" s="2013">
        <v>0</v>
      </c>
      <c r="CX49" s="2013">
        <v>0</v>
      </c>
      <c r="CY49" s="2013">
        <v>0</v>
      </c>
      <c r="CZ49" s="2013">
        <v>0</v>
      </c>
      <c r="DA49" s="2013">
        <v>0</v>
      </c>
      <c r="DB49" s="2013">
        <v>413.06063</v>
      </c>
      <c r="DC49" s="2013">
        <v>0</v>
      </c>
      <c r="DD49" s="2013">
        <v>413.70938000000001</v>
      </c>
      <c r="DE49" s="2013">
        <v>0</v>
      </c>
      <c r="DF49" s="2013">
        <v>413.70938000000001</v>
      </c>
      <c r="DG49" s="2013">
        <v>0</v>
      </c>
      <c r="DH49" s="2013">
        <v>413.70938000000001</v>
      </c>
      <c r="DI49" s="2013">
        <v>0</v>
      </c>
      <c r="DJ49" s="2013">
        <v>436.88190999999995</v>
      </c>
      <c r="DK49" s="2013">
        <v>0</v>
      </c>
      <c r="DL49" s="2013">
        <v>436.88191</v>
      </c>
      <c r="DM49" s="2013">
        <v>0</v>
      </c>
      <c r="DN49" s="2013">
        <v>436.88191</v>
      </c>
      <c r="DO49" s="2013">
        <v>0</v>
      </c>
      <c r="DP49" s="2013">
        <v>452.64600000000002</v>
      </c>
      <c r="DQ49" s="2014">
        <v>0</v>
      </c>
      <c r="DR49" s="2015">
        <v>0</v>
      </c>
      <c r="DS49" s="2016">
        <v>0</v>
      </c>
      <c r="DT49" s="2017">
        <v>0</v>
      </c>
      <c r="DU49" s="2014">
        <v>0</v>
      </c>
      <c r="DV49" s="2015">
        <v>0</v>
      </c>
      <c r="DW49" s="2016">
        <v>0</v>
      </c>
      <c r="DX49" s="2017">
        <v>0</v>
      </c>
      <c r="DY49" s="2014">
        <v>0</v>
      </c>
      <c r="DZ49" s="2015">
        <v>417.37450999999999</v>
      </c>
      <c r="EA49" s="2016">
        <v>0</v>
      </c>
      <c r="EB49" s="2017">
        <v>416.72575999999998</v>
      </c>
      <c r="EC49" s="2014">
        <v>0</v>
      </c>
      <c r="ED49" s="2015">
        <v>417.37450999999999</v>
      </c>
      <c r="EE49" s="2016">
        <v>0</v>
      </c>
      <c r="EF49" s="2015">
        <v>417.37450999999999</v>
      </c>
      <c r="EG49" s="2016">
        <v>0</v>
      </c>
      <c r="EH49" s="2017">
        <v>417.37450999999999</v>
      </c>
      <c r="EI49" s="2016">
        <v>0</v>
      </c>
      <c r="EJ49" s="2017">
        <v>417.37450999999999</v>
      </c>
      <c r="EK49" s="2016">
        <v>0</v>
      </c>
      <c r="EL49" s="2015">
        <v>417.37450999999999</v>
      </c>
      <c r="EM49" s="2018">
        <v>0</v>
      </c>
      <c r="EN49" s="2015">
        <v>442.06891000000002</v>
      </c>
      <c r="EO49" s="2018">
        <v>0</v>
      </c>
      <c r="EP49" s="2015">
        <v>0</v>
      </c>
      <c r="EQ49" s="2018">
        <v>0</v>
      </c>
      <c r="ER49" s="2015">
        <v>0</v>
      </c>
      <c r="ES49" s="2018">
        <v>0</v>
      </c>
      <c r="ET49" s="2015">
        <v>0</v>
      </c>
      <c r="EU49" s="2018">
        <v>0</v>
      </c>
      <c r="EV49" s="2015">
        <v>0</v>
      </c>
      <c r="EW49" s="2018">
        <v>0</v>
      </c>
      <c r="EX49" s="2015">
        <v>445.5462</v>
      </c>
      <c r="EY49" s="2018">
        <v>0</v>
      </c>
      <c r="EZ49" s="2015">
        <v>445.5462</v>
      </c>
      <c r="FA49" s="2018">
        <v>0</v>
      </c>
      <c r="FB49" s="2015">
        <v>445.5462</v>
      </c>
      <c r="FC49" s="2018">
        <v>0</v>
      </c>
      <c r="FD49" s="2015">
        <v>445.5462</v>
      </c>
      <c r="FE49" s="2018">
        <v>0</v>
      </c>
      <c r="FF49" s="2015">
        <v>445.5462</v>
      </c>
      <c r="FG49" s="2018">
        <v>0</v>
      </c>
      <c r="FH49" s="2015">
        <v>445.5462</v>
      </c>
      <c r="FI49" s="2018">
        <v>0</v>
      </c>
      <c r="FJ49" s="2015">
        <v>445.5462</v>
      </c>
      <c r="FK49" s="2018">
        <v>0</v>
      </c>
      <c r="FL49" s="2015">
        <v>475.54177000000004</v>
      </c>
      <c r="FM49" s="2018">
        <v>0</v>
      </c>
      <c r="FN49" s="2015">
        <v>0</v>
      </c>
      <c r="FO49" s="2018">
        <v>0</v>
      </c>
      <c r="FP49" s="2015">
        <v>0</v>
      </c>
      <c r="FQ49" s="2018">
        <v>0</v>
      </c>
      <c r="FR49" s="2015">
        <v>0</v>
      </c>
      <c r="FS49" s="2018">
        <v>0</v>
      </c>
      <c r="FT49" s="2015">
        <v>0</v>
      </c>
      <c r="FU49" s="2018">
        <v>0</v>
      </c>
      <c r="FV49" s="2015">
        <v>480.88665000000003</v>
      </c>
      <c r="FW49" s="2018">
        <v>0</v>
      </c>
      <c r="FX49" s="2015">
        <v>480.88664999999997</v>
      </c>
      <c r="FY49" s="2018">
        <v>0</v>
      </c>
      <c r="FZ49" s="2015">
        <v>480.88664999999997</v>
      </c>
      <c r="GA49" s="2018">
        <v>0</v>
      </c>
      <c r="GB49" s="2015">
        <v>480.88664999999997</v>
      </c>
      <c r="GC49" s="2018">
        <v>0</v>
      </c>
      <c r="GD49" s="2015">
        <v>480.88664999999997</v>
      </c>
      <c r="GE49" s="2018">
        <v>0</v>
      </c>
      <c r="GF49" s="2015">
        <v>480.88664999999997</v>
      </c>
      <c r="GG49" s="2018">
        <v>0</v>
      </c>
      <c r="GH49" s="2015">
        <v>480.88664999999997</v>
      </c>
      <c r="GI49" s="2018">
        <v>0</v>
      </c>
      <c r="GJ49" s="2015">
        <v>510.49029999999999</v>
      </c>
      <c r="GK49" s="2018">
        <v>0</v>
      </c>
      <c r="GL49" s="2015">
        <v>0</v>
      </c>
      <c r="GM49" s="2018">
        <v>0</v>
      </c>
      <c r="GN49" s="2015">
        <v>1</v>
      </c>
      <c r="GO49" s="2018">
        <v>0</v>
      </c>
      <c r="GP49" s="2015">
        <v>1</v>
      </c>
      <c r="GQ49" s="2018">
        <v>0</v>
      </c>
      <c r="GR49" s="2015">
        <v>1</v>
      </c>
      <c r="GS49" s="2018">
        <v>0</v>
      </c>
      <c r="GT49" s="2015">
        <v>474.50646</v>
      </c>
      <c r="GU49" s="2018">
        <v>0</v>
      </c>
      <c r="GV49" s="2019" t="s">
        <v>3445</v>
      </c>
      <c r="GX49" s="2022"/>
    </row>
    <row r="50" spans="1:208" s="1991" customFormat="1" ht="22.5" customHeight="1">
      <c r="A50" s="2011" t="s">
        <v>2288</v>
      </c>
      <c r="B50" s="2005">
        <f t="shared" ref="B50:BM50" si="37">B52+B54</f>
        <v>11611.818950000001</v>
      </c>
      <c r="C50" s="2005">
        <f t="shared" si="37"/>
        <v>3949.48569</v>
      </c>
      <c r="D50" s="2005">
        <f t="shared" si="37"/>
        <v>22360.455129999998</v>
      </c>
      <c r="E50" s="2005">
        <f t="shared" si="37"/>
        <v>7948.8558000000003</v>
      </c>
      <c r="F50" s="2005">
        <f t="shared" si="37"/>
        <v>38768.336169999995</v>
      </c>
      <c r="G50" s="2005">
        <f t="shared" si="37"/>
        <v>12948.66258</v>
      </c>
      <c r="H50" s="2005">
        <f t="shared" si="37"/>
        <v>53405.956040000005</v>
      </c>
      <c r="I50" s="2005">
        <f t="shared" si="37"/>
        <v>17567.398399999998</v>
      </c>
      <c r="J50" s="2005">
        <f t="shared" si="37"/>
        <v>67468.390600000013</v>
      </c>
      <c r="K50" s="2005">
        <f t="shared" si="37"/>
        <v>21966.009310000005</v>
      </c>
      <c r="L50" s="2005">
        <f t="shared" si="37"/>
        <v>82355.958299999998</v>
      </c>
      <c r="M50" s="2005">
        <f t="shared" si="37"/>
        <v>25837.258080000007</v>
      </c>
      <c r="N50" s="2005">
        <f t="shared" si="37"/>
        <v>99372.473169999997</v>
      </c>
      <c r="O50" s="2005">
        <f t="shared" si="37"/>
        <v>30689.038120000001</v>
      </c>
      <c r="P50" s="2005">
        <f t="shared" si="37"/>
        <v>115937.07827999999</v>
      </c>
      <c r="Q50" s="2005">
        <f t="shared" si="37"/>
        <v>36314.476459999998</v>
      </c>
      <c r="R50" s="2005">
        <f t="shared" si="37"/>
        <v>132704.94069000002</v>
      </c>
      <c r="S50" s="2005">
        <f t="shared" si="37"/>
        <v>40854.17955999999</v>
      </c>
      <c r="T50" s="2005">
        <f t="shared" si="37"/>
        <v>155351.68312000003</v>
      </c>
      <c r="U50" s="2005">
        <f t="shared" si="37"/>
        <v>45737.200679999994</v>
      </c>
      <c r="V50" s="2005">
        <f t="shared" si="37"/>
        <v>168470.16164999999</v>
      </c>
      <c r="W50" s="2005">
        <f t="shared" si="37"/>
        <v>51161.473689999992</v>
      </c>
      <c r="X50" s="2005">
        <f t="shared" si="37"/>
        <v>181635.10555000001</v>
      </c>
      <c r="Y50" s="2005">
        <f t="shared" si="37"/>
        <v>57684.705239999996</v>
      </c>
      <c r="Z50" s="2005">
        <f t="shared" si="37"/>
        <v>10901.20126</v>
      </c>
      <c r="AA50" s="2005">
        <f t="shared" si="37"/>
        <v>4995.2671</v>
      </c>
      <c r="AB50" s="2005">
        <f t="shared" si="37"/>
        <v>23376.358039999999</v>
      </c>
      <c r="AC50" s="2005">
        <f t="shared" si="37"/>
        <v>10849.802179999999</v>
      </c>
      <c r="AD50" s="2005">
        <f t="shared" si="37"/>
        <v>36057.226300000002</v>
      </c>
      <c r="AE50" s="2005">
        <f t="shared" si="37"/>
        <v>15857.8236</v>
      </c>
      <c r="AF50" s="2005">
        <f t="shared" si="37"/>
        <v>80558.724530000007</v>
      </c>
      <c r="AG50" s="2005">
        <f t="shared" si="37"/>
        <v>21561.501070000002</v>
      </c>
      <c r="AH50" s="2005">
        <f t="shared" si="37"/>
        <v>95412.671089999989</v>
      </c>
      <c r="AI50" s="2005">
        <f t="shared" si="37"/>
        <v>27665.992920000004</v>
      </c>
      <c r="AJ50" s="2005">
        <f t="shared" si="37"/>
        <v>109532.84325999999</v>
      </c>
      <c r="AK50" s="2005">
        <f t="shared" si="37"/>
        <v>32197.48069</v>
      </c>
      <c r="AL50" s="2005">
        <f t="shared" si="37"/>
        <v>125373.81953000001</v>
      </c>
      <c r="AM50" s="2005">
        <f t="shared" si="37"/>
        <v>38395.118369999997</v>
      </c>
      <c r="AN50" s="2005">
        <f t="shared" si="37"/>
        <v>142260.94193</v>
      </c>
      <c r="AO50" s="2005">
        <f t="shared" si="37"/>
        <v>43941.965569999993</v>
      </c>
      <c r="AP50" s="2005">
        <f t="shared" si="37"/>
        <v>153593.75383999996</v>
      </c>
      <c r="AQ50" s="2005">
        <f t="shared" si="37"/>
        <v>49591.581520000014</v>
      </c>
      <c r="AR50" s="2005">
        <f t="shared" si="37"/>
        <v>166409.30296</v>
      </c>
      <c r="AS50" s="2005">
        <f t="shared" si="37"/>
        <v>56218.566330000001</v>
      </c>
      <c r="AT50" s="2005">
        <f t="shared" si="37"/>
        <v>178570.83778</v>
      </c>
      <c r="AU50" s="2005">
        <f t="shared" si="37"/>
        <v>61721.357839999997</v>
      </c>
      <c r="AV50" s="2005">
        <f t="shared" si="37"/>
        <v>191807.12871000002</v>
      </c>
      <c r="AW50" s="2005">
        <f t="shared" si="37"/>
        <v>67768.636160000009</v>
      </c>
      <c r="AX50" s="2005">
        <f t="shared" si="37"/>
        <v>15606.13017</v>
      </c>
      <c r="AY50" s="2005">
        <f t="shared" si="37"/>
        <v>6362.0858500000004</v>
      </c>
      <c r="AZ50" s="2005">
        <f t="shared" si="37"/>
        <v>28868.257840000002</v>
      </c>
      <c r="BA50" s="2005">
        <f t="shared" si="37"/>
        <v>11778.036810000001</v>
      </c>
      <c r="BB50" s="2005">
        <f t="shared" si="37"/>
        <v>71226.599180000005</v>
      </c>
      <c r="BC50" s="2005">
        <f t="shared" si="37"/>
        <v>16322.260400000001</v>
      </c>
      <c r="BD50" s="2005">
        <f t="shared" si="37"/>
        <v>89094.043239999999</v>
      </c>
      <c r="BE50" s="2005">
        <f t="shared" si="37"/>
        <v>23304.849030000001</v>
      </c>
      <c r="BF50" s="2005">
        <f t="shared" si="37"/>
        <v>106564.99370000001</v>
      </c>
      <c r="BG50" s="2005">
        <f t="shared" si="37"/>
        <v>29754.426670000001</v>
      </c>
      <c r="BH50" s="2005">
        <f t="shared" si="37"/>
        <v>119544.04553</v>
      </c>
      <c r="BI50" s="2005">
        <f t="shared" si="37"/>
        <v>35833.761849999995</v>
      </c>
      <c r="BJ50" s="2005">
        <f t="shared" si="37"/>
        <v>137327.86093</v>
      </c>
      <c r="BK50" s="2005">
        <f t="shared" si="37"/>
        <v>44644.09102</v>
      </c>
      <c r="BL50" s="2005">
        <f t="shared" si="37"/>
        <v>154159.21894000002</v>
      </c>
      <c r="BM50" s="2005">
        <f t="shared" si="37"/>
        <v>51350.613280000005</v>
      </c>
      <c r="BN50" s="2005">
        <f t="shared" ref="BN50:DY50" si="38">BN52+BN54</f>
        <v>170731.42296000003</v>
      </c>
      <c r="BO50" s="2005">
        <f t="shared" si="38"/>
        <v>58259.038339999999</v>
      </c>
      <c r="BP50" s="2005">
        <f t="shared" si="38"/>
        <v>183464.88166000001</v>
      </c>
      <c r="BQ50" s="2005">
        <f t="shared" si="38"/>
        <v>65815.875769999999</v>
      </c>
      <c r="BR50" s="2005">
        <f t="shared" si="38"/>
        <v>197741.30631000001</v>
      </c>
      <c r="BS50" s="2005">
        <f t="shared" si="38"/>
        <v>72680.720759999997</v>
      </c>
      <c r="BT50" s="2005">
        <f t="shared" si="38"/>
        <v>224572.63689000008</v>
      </c>
      <c r="BU50" s="2005">
        <f t="shared" si="38"/>
        <v>80626.652059999964</v>
      </c>
      <c r="BV50" s="2005">
        <f t="shared" si="38"/>
        <v>20794.79737</v>
      </c>
      <c r="BW50" s="2005">
        <f t="shared" si="38"/>
        <v>7504.5365200000006</v>
      </c>
      <c r="BX50" s="2005">
        <f t="shared" si="38"/>
        <v>67277.857990000004</v>
      </c>
      <c r="BY50" s="2005">
        <f t="shared" si="38"/>
        <v>15095.430359999998</v>
      </c>
      <c r="BZ50" s="2005">
        <f t="shared" si="38"/>
        <v>80246.469590000008</v>
      </c>
      <c r="CA50" s="2005">
        <f t="shared" si="38"/>
        <v>19606.409680000001</v>
      </c>
      <c r="CB50" s="2005">
        <f t="shared" si="38"/>
        <v>101529.69776000001</v>
      </c>
      <c r="CC50" s="2005">
        <f t="shared" si="38"/>
        <v>25282.572169999996</v>
      </c>
      <c r="CD50" s="2005">
        <f t="shared" si="38"/>
        <v>118354.49636000002</v>
      </c>
      <c r="CE50" s="2005">
        <f t="shared" si="38"/>
        <v>29247.678780000002</v>
      </c>
      <c r="CF50" s="2005">
        <f t="shared" si="38"/>
        <v>132246.10206</v>
      </c>
      <c r="CG50" s="2005">
        <f t="shared" si="38"/>
        <v>34332.592920000003</v>
      </c>
      <c r="CH50" s="2005">
        <f t="shared" si="38"/>
        <v>147250.72145000001</v>
      </c>
      <c r="CI50" s="2005">
        <f t="shared" si="38"/>
        <v>39128.440699999999</v>
      </c>
      <c r="CJ50" s="2005">
        <f t="shared" si="38"/>
        <v>162797.23939999999</v>
      </c>
      <c r="CK50" s="2005">
        <f t="shared" si="38"/>
        <v>43910.514479999998</v>
      </c>
      <c r="CL50" s="2005">
        <f t="shared" si="38"/>
        <v>179829.82478999998</v>
      </c>
      <c r="CM50" s="2005">
        <f t="shared" si="38"/>
        <v>50462.66102</v>
      </c>
      <c r="CN50" s="2005">
        <f t="shared" si="38"/>
        <v>193151.91069999998</v>
      </c>
      <c r="CO50" s="2005">
        <f t="shared" si="38"/>
        <v>56096.271639999999</v>
      </c>
      <c r="CP50" s="2005">
        <f t="shared" si="38"/>
        <v>206543.40607</v>
      </c>
      <c r="CQ50" s="2005">
        <f t="shared" si="38"/>
        <v>63384.148890000004</v>
      </c>
      <c r="CR50" s="2005">
        <f t="shared" si="38"/>
        <v>225865.35851000002</v>
      </c>
      <c r="CS50" s="2005">
        <f t="shared" si="38"/>
        <v>86411.88609</v>
      </c>
      <c r="CT50" s="2005">
        <f t="shared" si="38"/>
        <v>19832.496029999998</v>
      </c>
      <c r="CU50" s="2005">
        <f t="shared" si="38"/>
        <v>19652.993150000002</v>
      </c>
      <c r="CV50" s="2005">
        <f t="shared" si="38"/>
        <v>42697.492289999995</v>
      </c>
      <c r="CW50" s="2005">
        <f t="shared" si="38"/>
        <v>33060.477250000004</v>
      </c>
      <c r="CX50" s="2005">
        <f t="shared" si="38"/>
        <v>93340.679659999994</v>
      </c>
      <c r="CY50" s="2005">
        <f t="shared" si="38"/>
        <v>41014.721119999995</v>
      </c>
      <c r="CZ50" s="2005">
        <f t="shared" si="38"/>
        <v>116691.06636000001</v>
      </c>
      <c r="DA50" s="2005">
        <f t="shared" si="38"/>
        <v>50416.674050000001</v>
      </c>
      <c r="DB50" s="2005">
        <f t="shared" si="38"/>
        <v>133213.60582999999</v>
      </c>
      <c r="DC50" s="2005">
        <f t="shared" si="38"/>
        <v>56692.474130000002</v>
      </c>
      <c r="DD50" s="2005">
        <f t="shared" si="38"/>
        <v>147852.96007999999</v>
      </c>
      <c r="DE50" s="2005">
        <f t="shared" si="38"/>
        <v>64536.084889999998</v>
      </c>
      <c r="DF50" s="2005">
        <f t="shared" si="38"/>
        <v>163465.39016999997</v>
      </c>
      <c r="DG50" s="2005">
        <f t="shared" si="38"/>
        <v>72994.912939999995</v>
      </c>
      <c r="DH50" s="2005">
        <f t="shared" si="38"/>
        <v>181767.19612000001</v>
      </c>
      <c r="DI50" s="2005">
        <f t="shared" si="38"/>
        <v>82121.944059999994</v>
      </c>
      <c r="DJ50" s="2005">
        <f t="shared" si="38"/>
        <v>207648.49912999998</v>
      </c>
      <c r="DK50" s="2005">
        <f t="shared" si="38"/>
        <v>92651.696059999987</v>
      </c>
      <c r="DL50" s="2005">
        <f t="shared" si="38"/>
        <v>223047.62884999998</v>
      </c>
      <c r="DM50" s="2005">
        <f t="shared" si="38"/>
        <v>101362.81264</v>
      </c>
      <c r="DN50" s="2005">
        <f t="shared" si="38"/>
        <v>239015.98203000004</v>
      </c>
      <c r="DO50" s="2005">
        <f t="shared" si="38"/>
        <v>110110.4673</v>
      </c>
      <c r="DP50" s="2005">
        <f t="shared" si="38"/>
        <v>257302.64898999999</v>
      </c>
      <c r="DQ50" s="2006">
        <f t="shared" si="38"/>
        <v>119460.75782</v>
      </c>
      <c r="DR50" s="2023">
        <f t="shared" si="38"/>
        <v>18538.88263</v>
      </c>
      <c r="DS50" s="2024">
        <f t="shared" si="38"/>
        <v>7204.4734900000003</v>
      </c>
      <c r="DT50" s="2009">
        <f t="shared" si="38"/>
        <v>35170.706870000002</v>
      </c>
      <c r="DU50" s="2006">
        <f t="shared" si="38"/>
        <v>14472.987370000001</v>
      </c>
      <c r="DV50" s="2007">
        <f t="shared" si="38"/>
        <v>64435.877269999997</v>
      </c>
      <c r="DW50" s="2008">
        <f t="shared" si="38"/>
        <v>22329.003340000003</v>
      </c>
      <c r="DX50" s="2009">
        <f t="shared" si="38"/>
        <v>91026.119080000004</v>
      </c>
      <c r="DY50" s="2006">
        <f t="shared" si="38"/>
        <v>31066.905129999999</v>
      </c>
      <c r="DZ50" s="2007">
        <f t="shared" ref="DZ50:GK50" si="39">DZ52+DZ54</f>
        <v>108572.48303999999</v>
      </c>
      <c r="EA50" s="2008">
        <f t="shared" si="39"/>
        <v>38434.226199999997</v>
      </c>
      <c r="EB50" s="2009">
        <f t="shared" si="39"/>
        <v>124906.58470000001</v>
      </c>
      <c r="EC50" s="2006">
        <f t="shared" si="39"/>
        <v>44673.88607</v>
      </c>
      <c r="ED50" s="2007">
        <f t="shared" si="39"/>
        <v>141790.74886000002</v>
      </c>
      <c r="EE50" s="2008">
        <f t="shared" si="39"/>
        <v>54345.687170000005</v>
      </c>
      <c r="EF50" s="2007">
        <f t="shared" si="39"/>
        <v>161232.07725</v>
      </c>
      <c r="EG50" s="2010">
        <f t="shared" si="39"/>
        <v>63354.652249999992</v>
      </c>
      <c r="EH50" s="2006">
        <f t="shared" si="39"/>
        <v>177654.48267</v>
      </c>
      <c r="EI50" s="2008">
        <f t="shared" si="39"/>
        <v>71847.782859999992</v>
      </c>
      <c r="EJ50" s="2006">
        <f t="shared" si="39"/>
        <v>195772.11609999998</v>
      </c>
      <c r="EK50" s="2008">
        <f t="shared" si="39"/>
        <v>80077.823999999993</v>
      </c>
      <c r="EL50" s="2007">
        <f t="shared" si="39"/>
        <v>217493.87023</v>
      </c>
      <c r="EM50" s="2010">
        <f t="shared" si="39"/>
        <v>87206.433450000011</v>
      </c>
      <c r="EN50" s="2007">
        <f t="shared" si="39"/>
        <v>242751.74097999997</v>
      </c>
      <c r="EO50" s="2010">
        <f t="shared" si="39"/>
        <v>95569.317139999999</v>
      </c>
      <c r="EP50" s="2007">
        <f t="shared" si="39"/>
        <v>18323.396119999998</v>
      </c>
      <c r="EQ50" s="2010">
        <f t="shared" si="39"/>
        <v>8298.2185100000006</v>
      </c>
      <c r="ER50" s="2007">
        <f t="shared" si="39"/>
        <v>49640.55949</v>
      </c>
      <c r="ES50" s="2010">
        <f t="shared" si="39"/>
        <v>17923.35382</v>
      </c>
      <c r="ET50" s="2007">
        <f t="shared" si="39"/>
        <v>91553.607300000003</v>
      </c>
      <c r="EU50" s="2010">
        <f t="shared" si="39"/>
        <v>24071.867689999999</v>
      </c>
      <c r="EV50" s="2007">
        <f t="shared" si="39"/>
        <v>125676.38940999999</v>
      </c>
      <c r="EW50" s="2010">
        <f t="shared" si="39"/>
        <v>32099.746530000004</v>
      </c>
      <c r="EX50" s="2007">
        <f t="shared" si="39"/>
        <v>155767.65390999999</v>
      </c>
      <c r="EY50" s="2010">
        <f t="shared" si="39"/>
        <v>41095.866170000008</v>
      </c>
      <c r="EZ50" s="2007">
        <f t="shared" si="39"/>
        <v>178289.40106</v>
      </c>
      <c r="FA50" s="2010">
        <f t="shared" si="39"/>
        <v>50207.821170000003</v>
      </c>
      <c r="FB50" s="2007">
        <f t="shared" si="39"/>
        <v>202513.69727999996</v>
      </c>
      <c r="FC50" s="2010">
        <f t="shared" si="39"/>
        <v>61651.136419999995</v>
      </c>
      <c r="FD50" s="2007">
        <f t="shared" si="39"/>
        <v>227933.76619000002</v>
      </c>
      <c r="FE50" s="2010">
        <f t="shared" si="39"/>
        <v>71657.742529999989</v>
      </c>
      <c r="FF50" s="2007">
        <f t="shared" si="39"/>
        <v>249863.48042999997</v>
      </c>
      <c r="FG50" s="2010">
        <f t="shared" si="39"/>
        <v>80235.49688999998</v>
      </c>
      <c r="FH50" s="2007">
        <f t="shared" si="39"/>
        <v>270853.91370999999</v>
      </c>
      <c r="FI50" s="2010">
        <f t="shared" si="39"/>
        <v>90472.030400000003</v>
      </c>
      <c r="FJ50" s="2007">
        <f t="shared" si="39"/>
        <v>295634.78655999998</v>
      </c>
      <c r="FK50" s="2010">
        <f t="shared" si="39"/>
        <v>99114.295469999997</v>
      </c>
      <c r="FL50" s="2007">
        <f t="shared" si="39"/>
        <v>334432.83226</v>
      </c>
      <c r="FM50" s="2010">
        <f t="shared" si="39"/>
        <v>108072.42154999998</v>
      </c>
      <c r="FN50" s="2007">
        <f t="shared" si="39"/>
        <v>20806.944599999999</v>
      </c>
      <c r="FO50" s="2010">
        <f t="shared" si="39"/>
        <v>8235.7165599999989</v>
      </c>
      <c r="FP50" s="2007">
        <f t="shared" si="39"/>
        <v>48671.578589999997</v>
      </c>
      <c r="FQ50" s="2010">
        <f t="shared" si="39"/>
        <v>17611.541770000003</v>
      </c>
      <c r="FR50" s="2007">
        <f t="shared" si="39"/>
        <v>94828.714189999999</v>
      </c>
      <c r="FS50" s="2010">
        <f t="shared" si="39"/>
        <v>29190.895090000002</v>
      </c>
      <c r="FT50" s="2007">
        <f t="shared" si="39"/>
        <v>132439.75925</v>
      </c>
      <c r="FU50" s="2010">
        <f t="shared" si="39"/>
        <v>42370.788370000002</v>
      </c>
      <c r="FV50" s="2007">
        <f t="shared" si="39"/>
        <v>161865.89754999999</v>
      </c>
      <c r="FW50" s="2010">
        <f t="shared" si="39"/>
        <v>53976.300230000008</v>
      </c>
      <c r="FX50" s="2007">
        <f t="shared" si="39"/>
        <v>184097.79011</v>
      </c>
      <c r="FY50" s="2010">
        <f t="shared" si="39"/>
        <v>61333.222630000004</v>
      </c>
      <c r="FZ50" s="2007">
        <f t="shared" si="39"/>
        <v>209474.51175000001</v>
      </c>
      <c r="GA50" s="2010">
        <f t="shared" si="39"/>
        <v>71810.69561000001</v>
      </c>
      <c r="GB50" s="2007">
        <f t="shared" si="39"/>
        <v>235272.74362999998</v>
      </c>
      <c r="GC50" s="2010">
        <f t="shared" si="39"/>
        <v>83956.612259999994</v>
      </c>
      <c r="GD50" s="2007">
        <f t="shared" si="39"/>
        <v>258278.56758999999</v>
      </c>
      <c r="GE50" s="2010">
        <f t="shared" si="39"/>
        <v>98944.786680000005</v>
      </c>
      <c r="GF50" s="2007">
        <f t="shared" si="39"/>
        <v>282925.03862999997</v>
      </c>
      <c r="GG50" s="2010">
        <f t="shared" si="39"/>
        <v>112045.51282</v>
      </c>
      <c r="GH50" s="2007">
        <f t="shared" si="39"/>
        <v>309607.88324</v>
      </c>
      <c r="GI50" s="2010">
        <f t="shared" si="39"/>
        <v>125960.80951000001</v>
      </c>
      <c r="GJ50" s="2007">
        <f t="shared" si="39"/>
        <v>341855.65119000006</v>
      </c>
      <c r="GK50" s="2010">
        <f t="shared" si="39"/>
        <v>139695.84378</v>
      </c>
      <c r="GL50" s="2007">
        <f t="shared" ref="GL50:GU50" si="40">GL52+GL54</f>
        <v>23057.145369999998</v>
      </c>
      <c r="GM50" s="2010">
        <f t="shared" si="40"/>
        <v>10103.972030000001</v>
      </c>
      <c r="GN50" s="2007">
        <f t="shared" si="40"/>
        <v>61116.02205</v>
      </c>
      <c r="GO50" s="2010">
        <f t="shared" si="40"/>
        <v>21228.420679999999</v>
      </c>
      <c r="GP50" s="2007">
        <f t="shared" si="40"/>
        <v>91137.981620000064</v>
      </c>
      <c r="GQ50" s="2010">
        <f t="shared" si="40"/>
        <v>29927.439519999996</v>
      </c>
      <c r="GR50" s="2007">
        <f t="shared" si="40"/>
        <v>136609.93744999997</v>
      </c>
      <c r="GS50" s="2010">
        <f t="shared" si="40"/>
        <v>44276.75619</v>
      </c>
      <c r="GT50" s="2007">
        <f t="shared" si="40"/>
        <v>171228.27626000001</v>
      </c>
      <c r="GU50" s="2010">
        <f t="shared" si="40"/>
        <v>57423.340700000008</v>
      </c>
      <c r="GV50" s="2011" t="s">
        <v>3213</v>
      </c>
    </row>
    <row r="51" spans="1:208" s="1991" customFormat="1" ht="22.5" customHeight="1">
      <c r="A51" s="2004" t="s">
        <v>2287</v>
      </c>
      <c r="B51" s="2005"/>
      <c r="C51" s="2005"/>
      <c r="D51" s="2005"/>
      <c r="E51" s="2005"/>
      <c r="F51" s="2005"/>
      <c r="G51" s="2005"/>
      <c r="H51" s="2005"/>
      <c r="I51" s="2005"/>
      <c r="J51" s="2005"/>
      <c r="K51" s="2005"/>
      <c r="L51" s="2005"/>
      <c r="M51" s="2005"/>
      <c r="N51" s="2005"/>
      <c r="O51" s="2005"/>
      <c r="P51" s="2005"/>
      <c r="Q51" s="2005"/>
      <c r="R51" s="2005"/>
      <c r="S51" s="2005"/>
      <c r="T51" s="2005"/>
      <c r="U51" s="2005"/>
      <c r="V51" s="2005"/>
      <c r="W51" s="2005"/>
      <c r="X51" s="2005"/>
      <c r="Y51" s="2005"/>
      <c r="Z51" s="2005"/>
      <c r="AA51" s="2005"/>
      <c r="AB51" s="2005"/>
      <c r="AC51" s="2005"/>
      <c r="AD51" s="2005"/>
      <c r="AE51" s="2005"/>
      <c r="AF51" s="2005"/>
      <c r="AG51" s="2005"/>
      <c r="AH51" s="2005"/>
      <c r="AI51" s="2005"/>
      <c r="AJ51" s="2005"/>
      <c r="AK51" s="2005"/>
      <c r="AL51" s="2005"/>
      <c r="AM51" s="2005"/>
      <c r="AN51" s="2005"/>
      <c r="AO51" s="2005"/>
      <c r="AP51" s="2005"/>
      <c r="AQ51" s="2005"/>
      <c r="AR51" s="2005"/>
      <c r="AS51" s="2005"/>
      <c r="AT51" s="2005"/>
      <c r="AU51" s="2005"/>
      <c r="AV51" s="2005"/>
      <c r="AW51" s="2005"/>
      <c r="AX51" s="2005"/>
      <c r="AY51" s="2005"/>
      <c r="AZ51" s="2005"/>
      <c r="BA51" s="2005"/>
      <c r="BB51" s="2005"/>
      <c r="BC51" s="2005"/>
      <c r="BD51" s="2005"/>
      <c r="BE51" s="2005"/>
      <c r="BF51" s="2005"/>
      <c r="BG51" s="2005"/>
      <c r="BH51" s="2005"/>
      <c r="BI51" s="2005"/>
      <c r="BJ51" s="2005"/>
      <c r="BK51" s="2005"/>
      <c r="BL51" s="2005"/>
      <c r="BM51" s="2005"/>
      <c r="BN51" s="2005"/>
      <c r="BO51" s="2005"/>
      <c r="BP51" s="2005"/>
      <c r="BQ51" s="2005"/>
      <c r="BR51" s="2005"/>
      <c r="BS51" s="2005"/>
      <c r="BT51" s="2005"/>
      <c r="BU51" s="2005"/>
      <c r="BV51" s="2005"/>
      <c r="BW51" s="2005"/>
      <c r="BX51" s="2005"/>
      <c r="BY51" s="2005"/>
      <c r="BZ51" s="2005"/>
      <c r="CA51" s="2005"/>
      <c r="CB51" s="2005"/>
      <c r="CC51" s="2005"/>
      <c r="CD51" s="2005"/>
      <c r="CE51" s="2005"/>
      <c r="CF51" s="2005"/>
      <c r="CG51" s="2005"/>
      <c r="CH51" s="2005"/>
      <c r="CI51" s="2005"/>
      <c r="CJ51" s="2005"/>
      <c r="CK51" s="2005"/>
      <c r="CL51" s="2005"/>
      <c r="CM51" s="2005"/>
      <c r="CN51" s="2005"/>
      <c r="CO51" s="2005"/>
      <c r="CP51" s="2005"/>
      <c r="CQ51" s="2005"/>
      <c r="CR51" s="2005"/>
      <c r="CS51" s="2005"/>
      <c r="CT51" s="2005"/>
      <c r="CU51" s="2005"/>
      <c r="CV51" s="2005"/>
      <c r="CW51" s="2005"/>
      <c r="CX51" s="2005"/>
      <c r="CY51" s="2005"/>
      <c r="CZ51" s="2005"/>
      <c r="DA51" s="2005"/>
      <c r="DB51" s="2005"/>
      <c r="DC51" s="2005"/>
      <c r="DD51" s="2005"/>
      <c r="DE51" s="2005"/>
      <c r="DF51" s="2005"/>
      <c r="DG51" s="2005"/>
      <c r="DH51" s="2005"/>
      <c r="DI51" s="2005"/>
      <c r="DJ51" s="2005"/>
      <c r="DK51" s="2005"/>
      <c r="DL51" s="2005"/>
      <c r="DM51" s="2005"/>
      <c r="DN51" s="2005"/>
      <c r="DO51" s="2005"/>
      <c r="DP51" s="2005"/>
      <c r="DQ51" s="2006"/>
      <c r="DR51" s="2007"/>
      <c r="DS51" s="2008"/>
      <c r="DT51" s="2009"/>
      <c r="DU51" s="2006"/>
      <c r="DV51" s="2007"/>
      <c r="DW51" s="2008"/>
      <c r="DX51" s="2009"/>
      <c r="DY51" s="2006"/>
      <c r="DZ51" s="2007"/>
      <c r="EA51" s="2008"/>
      <c r="EB51" s="2009"/>
      <c r="EC51" s="2006"/>
      <c r="ED51" s="2007"/>
      <c r="EE51" s="2008"/>
      <c r="EF51" s="2007"/>
      <c r="EG51" s="2008"/>
      <c r="EH51" s="2009"/>
      <c r="EI51" s="2008"/>
      <c r="EJ51" s="2009"/>
      <c r="EK51" s="2008"/>
      <c r="EL51" s="2007"/>
      <c r="EM51" s="2010"/>
      <c r="EN51" s="2007"/>
      <c r="EO51" s="2010"/>
      <c r="EP51" s="2007"/>
      <c r="EQ51" s="2010"/>
      <c r="ER51" s="2007"/>
      <c r="ES51" s="2010"/>
      <c r="ET51" s="2007"/>
      <c r="EU51" s="2010"/>
      <c r="EV51" s="2007"/>
      <c r="EW51" s="2010"/>
      <c r="EX51" s="2007"/>
      <c r="EY51" s="2010"/>
      <c r="EZ51" s="2007"/>
      <c r="FA51" s="2010"/>
      <c r="FB51" s="2007"/>
      <c r="FC51" s="2010"/>
      <c r="FD51" s="2007"/>
      <c r="FE51" s="2010"/>
      <c r="FF51" s="2007"/>
      <c r="FG51" s="2010"/>
      <c r="FH51" s="2007"/>
      <c r="FI51" s="2010"/>
      <c r="FJ51" s="2007"/>
      <c r="FK51" s="2010"/>
      <c r="FL51" s="2007"/>
      <c r="FM51" s="2010"/>
      <c r="FN51" s="2007"/>
      <c r="FO51" s="2010"/>
      <c r="FP51" s="2007"/>
      <c r="FQ51" s="2010"/>
      <c r="FR51" s="2007"/>
      <c r="FS51" s="2010"/>
      <c r="FT51" s="2007"/>
      <c r="FU51" s="2010"/>
      <c r="FV51" s="2007"/>
      <c r="FW51" s="2010"/>
      <c r="FX51" s="2007"/>
      <c r="FY51" s="2010"/>
      <c r="FZ51" s="2007"/>
      <c r="GA51" s="2010"/>
      <c r="GB51" s="2007"/>
      <c r="GC51" s="2010"/>
      <c r="GD51" s="2007"/>
      <c r="GE51" s="2010"/>
      <c r="GF51" s="2007"/>
      <c r="GG51" s="2010"/>
      <c r="GH51" s="2007"/>
      <c r="GI51" s="2010"/>
      <c r="GJ51" s="2007"/>
      <c r="GK51" s="2010"/>
      <c r="GL51" s="2007"/>
      <c r="GM51" s="2010"/>
      <c r="GN51" s="2007"/>
      <c r="GO51" s="2010"/>
      <c r="GP51" s="2007"/>
      <c r="GQ51" s="2010"/>
      <c r="GR51" s="2007"/>
      <c r="GS51" s="2010"/>
      <c r="GT51" s="2007"/>
      <c r="GU51" s="2010"/>
      <c r="GV51" s="2004" t="s">
        <v>3428</v>
      </c>
    </row>
    <row r="52" spans="1:208" s="1991" customFormat="1" ht="22.5" customHeight="1">
      <c r="A52" s="2011" t="s">
        <v>2286</v>
      </c>
      <c r="B52" s="2005">
        <v>1857.77838</v>
      </c>
      <c r="C52" s="2005">
        <v>380.69627000000003</v>
      </c>
      <c r="D52" s="2005">
        <v>5184.7249499999998</v>
      </c>
      <c r="E52" s="2005">
        <v>643.76015000000007</v>
      </c>
      <c r="F52" s="2005">
        <v>10398.921890000001</v>
      </c>
      <c r="G52" s="2005">
        <v>784.67268999999999</v>
      </c>
      <c r="H52" s="2005">
        <v>14742.03096</v>
      </c>
      <c r="I52" s="2005">
        <v>1017.6463199999999</v>
      </c>
      <c r="J52" s="2005">
        <v>17863.037640000002</v>
      </c>
      <c r="K52" s="2005">
        <v>1178.44497</v>
      </c>
      <c r="L52" s="2005">
        <v>19623.232550000001</v>
      </c>
      <c r="M52" s="2005">
        <v>1328.4916599999999</v>
      </c>
      <c r="N52" s="2005">
        <v>21595.47652</v>
      </c>
      <c r="O52" s="2005">
        <v>1410.27367</v>
      </c>
      <c r="P52" s="2005">
        <v>26444.111519999999</v>
      </c>
      <c r="Q52" s="2005">
        <v>1789.8103799999999</v>
      </c>
      <c r="R52" s="2005">
        <v>28332.021570000001</v>
      </c>
      <c r="S52" s="2005">
        <v>2220.00072</v>
      </c>
      <c r="T52" s="2005">
        <v>28809.417450000001</v>
      </c>
      <c r="U52" s="2005">
        <v>2632.1212599999999</v>
      </c>
      <c r="V52" s="2005">
        <v>30991.34737</v>
      </c>
      <c r="W52" s="2005">
        <v>2936.34798</v>
      </c>
      <c r="X52" s="2005">
        <v>33165.399010000001</v>
      </c>
      <c r="Y52" s="2005">
        <v>4226.4021600000005</v>
      </c>
      <c r="Z52" s="2005">
        <v>1766.98253</v>
      </c>
      <c r="AA52" s="2005">
        <v>446.70267999999999</v>
      </c>
      <c r="AB52" s="2005">
        <v>4695.32359</v>
      </c>
      <c r="AC52" s="2005">
        <v>680.34456999999998</v>
      </c>
      <c r="AD52" s="2005">
        <v>8407.9825000000001</v>
      </c>
      <c r="AE52" s="2005">
        <v>1246.0236</v>
      </c>
      <c r="AF52" s="2005">
        <v>15884.591369999998</v>
      </c>
      <c r="AG52" s="2005">
        <v>1357.6698999999999</v>
      </c>
      <c r="AH52" s="2005">
        <v>19821</v>
      </c>
      <c r="AI52" s="2005">
        <v>1670.81835</v>
      </c>
      <c r="AJ52" s="2005">
        <v>21299.788769999999</v>
      </c>
      <c r="AK52" s="2005">
        <v>1828.75317</v>
      </c>
      <c r="AL52" s="2005">
        <v>23776.973760000001</v>
      </c>
      <c r="AM52" s="2005">
        <v>2044.2250800000002</v>
      </c>
      <c r="AN52" s="2005">
        <v>27956.655420000003</v>
      </c>
      <c r="AO52" s="2005">
        <v>2240.0262499999999</v>
      </c>
      <c r="AP52" s="2005">
        <v>27996.074489999999</v>
      </c>
      <c r="AQ52" s="2005">
        <v>2360.2711200000003</v>
      </c>
      <c r="AR52" s="2005">
        <v>30243.701649999999</v>
      </c>
      <c r="AS52" s="2005">
        <v>2597.1868799999997</v>
      </c>
      <c r="AT52" s="2005">
        <v>33039.02691</v>
      </c>
      <c r="AU52" s="2005">
        <v>2812.6219799999999</v>
      </c>
      <c r="AV52" s="2005">
        <v>35292.506849999998</v>
      </c>
      <c r="AW52" s="2005">
        <v>3136.0500099999999</v>
      </c>
      <c r="AX52" s="2005">
        <v>2242.2412000000004</v>
      </c>
      <c r="AY52" s="2005">
        <v>390.03515999999996</v>
      </c>
      <c r="AZ52" s="2005">
        <v>6258.4051900000004</v>
      </c>
      <c r="BA52" s="2005">
        <v>556.03165000000001</v>
      </c>
      <c r="BB52" s="2005">
        <v>13021.29091</v>
      </c>
      <c r="BC52" s="2005">
        <v>661.76459999999997</v>
      </c>
      <c r="BD52" s="2005">
        <v>18088.325710000001</v>
      </c>
      <c r="BE52" s="2005">
        <v>713.69623999999999</v>
      </c>
      <c r="BF52" s="2005">
        <v>23311.043000000001</v>
      </c>
      <c r="BG52" s="2005">
        <v>961.70709999999997</v>
      </c>
      <c r="BH52" s="2005">
        <v>25413.85713</v>
      </c>
      <c r="BI52" s="2005">
        <v>1319.20146</v>
      </c>
      <c r="BJ52" s="2005">
        <v>27771.812519999999</v>
      </c>
      <c r="BK52" s="2005">
        <v>1513.18623</v>
      </c>
      <c r="BL52" s="2005">
        <v>31824.89906</v>
      </c>
      <c r="BM52" s="2005">
        <v>1777.88491</v>
      </c>
      <c r="BN52" s="2005">
        <v>36057.539840000005</v>
      </c>
      <c r="BO52" s="2005">
        <v>2031.65771</v>
      </c>
      <c r="BP52" s="2005">
        <v>38268.400119999998</v>
      </c>
      <c r="BQ52" s="2005">
        <v>2434.4777899999999</v>
      </c>
      <c r="BR52" s="2005">
        <v>42428.039189999996</v>
      </c>
      <c r="BS52" s="2005">
        <v>2755.18759</v>
      </c>
      <c r="BT52" s="2005">
        <v>48112.869840000007</v>
      </c>
      <c r="BU52" s="2005">
        <v>3100.6751899999999</v>
      </c>
      <c r="BV52" s="2005">
        <v>2584.4939800000002</v>
      </c>
      <c r="BW52" s="2005">
        <v>221.50744</v>
      </c>
      <c r="BX52" s="2005">
        <v>7676.10646</v>
      </c>
      <c r="BY52" s="2005">
        <v>415.99736999999999</v>
      </c>
      <c r="BZ52" s="2005">
        <v>11193.886480000001</v>
      </c>
      <c r="CA52" s="2005">
        <v>603.65324999999996</v>
      </c>
      <c r="CB52" s="2005">
        <v>21772.267629999998</v>
      </c>
      <c r="CC52" s="2005">
        <v>703.04147</v>
      </c>
      <c r="CD52" s="2005">
        <v>26992.49482</v>
      </c>
      <c r="CE52" s="2005">
        <v>811.83368000000007</v>
      </c>
      <c r="CF52" s="2005">
        <v>30122.05589</v>
      </c>
      <c r="CG52" s="2005">
        <v>1082.4506200000001</v>
      </c>
      <c r="CH52" s="2005">
        <v>33277.516000000003</v>
      </c>
      <c r="CI52" s="2005">
        <v>1244.35508</v>
      </c>
      <c r="CJ52" s="2005">
        <v>37939.255960000002</v>
      </c>
      <c r="CK52" s="2005">
        <v>1376.8395700000001</v>
      </c>
      <c r="CL52" s="2005">
        <v>41937.675409999996</v>
      </c>
      <c r="CM52" s="2005">
        <v>1801.14436</v>
      </c>
      <c r="CN52" s="2005">
        <v>45296.051719999996</v>
      </c>
      <c r="CO52" s="2005">
        <v>2083.6031499999999</v>
      </c>
      <c r="CP52" s="2005">
        <v>49668.259359999996</v>
      </c>
      <c r="CQ52" s="2005">
        <v>2263.5610499999998</v>
      </c>
      <c r="CR52" s="2005">
        <v>53949.731420000004</v>
      </c>
      <c r="CS52" s="2005">
        <v>2558.7546600000001</v>
      </c>
      <c r="CT52" s="2005">
        <v>3637.3295200000002</v>
      </c>
      <c r="CU52" s="2005">
        <v>390.18022999999999</v>
      </c>
      <c r="CV52" s="2005">
        <v>9939.4603599999991</v>
      </c>
      <c r="CW52" s="2005">
        <v>864.30764999999997</v>
      </c>
      <c r="CX52" s="2005">
        <v>14877.09816</v>
      </c>
      <c r="CY52" s="2005">
        <v>1132.1251399999999</v>
      </c>
      <c r="CZ52" s="2005">
        <v>26074.87457</v>
      </c>
      <c r="DA52" s="2005">
        <v>1476.3040000000001</v>
      </c>
      <c r="DB52" s="2005">
        <v>31749.670750000001</v>
      </c>
      <c r="DC52" s="2005">
        <v>1696.31691</v>
      </c>
      <c r="DD52" s="2005">
        <v>35012.79045</v>
      </c>
      <c r="DE52" s="2005">
        <v>2004.76954</v>
      </c>
      <c r="DF52" s="2005">
        <v>38899.940299999995</v>
      </c>
      <c r="DG52" s="2005">
        <v>2318.60484</v>
      </c>
      <c r="DH52" s="2005">
        <v>43400.433819999998</v>
      </c>
      <c r="DI52" s="2005">
        <v>2411.46722</v>
      </c>
      <c r="DJ52" s="2005">
        <v>48551.95319</v>
      </c>
      <c r="DK52" s="2005">
        <v>3154.3179700000001</v>
      </c>
      <c r="DL52" s="2005">
        <v>52035.665760000004</v>
      </c>
      <c r="DM52" s="2005">
        <v>3388.6383799999999</v>
      </c>
      <c r="DN52" s="2005">
        <v>57509.16865</v>
      </c>
      <c r="DO52" s="2005">
        <v>3647.80474</v>
      </c>
      <c r="DP52" s="2005">
        <v>63506.324000000001</v>
      </c>
      <c r="DQ52" s="2006">
        <v>4071.64723</v>
      </c>
      <c r="DR52" s="2007">
        <v>4534.9335799999999</v>
      </c>
      <c r="DS52" s="2024">
        <v>160.94218000000001</v>
      </c>
      <c r="DT52" s="2031">
        <v>11643.05119</v>
      </c>
      <c r="DU52" s="2032">
        <v>448.67756000000003</v>
      </c>
      <c r="DV52" s="2023">
        <v>17066.41906</v>
      </c>
      <c r="DW52" s="2025">
        <v>795.18426999999997</v>
      </c>
      <c r="DX52" s="2031">
        <v>30210.41203</v>
      </c>
      <c r="DY52" s="2032">
        <v>1226.75217</v>
      </c>
      <c r="DZ52" s="2023">
        <v>36385.771549999998</v>
      </c>
      <c r="EA52" s="2024">
        <v>1473.45849</v>
      </c>
      <c r="EB52" s="2009">
        <v>40345.455379999999</v>
      </c>
      <c r="EC52" s="2006">
        <v>1765.6340399999999</v>
      </c>
      <c r="ED52" s="2007">
        <v>45141.624940000002</v>
      </c>
      <c r="EE52" s="2008">
        <v>2237.4398700000002</v>
      </c>
      <c r="EF52" s="2007">
        <v>49435.391450000003</v>
      </c>
      <c r="EG52" s="2008">
        <v>2422.5545900000002</v>
      </c>
      <c r="EH52" s="2009">
        <v>53150.749790000002</v>
      </c>
      <c r="EI52" s="2008">
        <v>2660.9251199999999</v>
      </c>
      <c r="EJ52" s="2009">
        <v>58128.921269999999</v>
      </c>
      <c r="EK52" s="2008">
        <v>2864.8000699999998</v>
      </c>
      <c r="EL52" s="2007">
        <v>65181.989280000002</v>
      </c>
      <c r="EM52" s="2010">
        <v>3168.5146300000001</v>
      </c>
      <c r="EN52" s="2007">
        <v>73895.230039999995</v>
      </c>
      <c r="EO52" s="2010">
        <v>3407.7069200000001</v>
      </c>
      <c r="EP52" s="2007">
        <v>4377.0246799999995</v>
      </c>
      <c r="EQ52" s="2010">
        <v>178.58770999999999</v>
      </c>
      <c r="ER52" s="2007">
        <v>12523.79658</v>
      </c>
      <c r="ES52" s="2010">
        <v>382.78298999999998</v>
      </c>
      <c r="ET52" s="2007">
        <v>19098.258819999999</v>
      </c>
      <c r="EU52" s="2010">
        <v>531.18575999999996</v>
      </c>
      <c r="EV52" s="2007">
        <v>30316.60367</v>
      </c>
      <c r="EW52" s="2010">
        <v>650.95100000000002</v>
      </c>
      <c r="EX52" s="2007">
        <v>39258.417820000002</v>
      </c>
      <c r="EY52" s="2010">
        <v>871.55200000000002</v>
      </c>
      <c r="EZ52" s="2007">
        <v>44484.572240000001</v>
      </c>
      <c r="FA52" s="2010">
        <v>1270.34319</v>
      </c>
      <c r="FB52" s="2007">
        <v>50075.744930000001</v>
      </c>
      <c r="FC52" s="2010">
        <v>1477.27046</v>
      </c>
      <c r="FD52" s="2007">
        <v>55956.225259999999</v>
      </c>
      <c r="FE52" s="2010">
        <v>1855.7573500000001</v>
      </c>
      <c r="FF52" s="2007">
        <v>60652.01528</v>
      </c>
      <c r="FG52" s="2010">
        <v>2410.4063799999999</v>
      </c>
      <c r="FH52" s="2007">
        <v>66081.410759999999</v>
      </c>
      <c r="FI52" s="2010">
        <v>3016.6682999999998</v>
      </c>
      <c r="FJ52" s="2007">
        <v>74100.832899999994</v>
      </c>
      <c r="FK52" s="2010">
        <v>3452.6973699999999</v>
      </c>
      <c r="FL52" s="2007">
        <v>84041.06826</v>
      </c>
      <c r="FM52" s="2010">
        <v>3943.0880200000001</v>
      </c>
      <c r="FN52" s="2007">
        <v>4839.5582800000002</v>
      </c>
      <c r="FO52" s="2010">
        <v>205.82252</v>
      </c>
      <c r="FP52" s="2007">
        <v>13673.9948</v>
      </c>
      <c r="FQ52" s="2010">
        <v>580.51437999999996</v>
      </c>
      <c r="FR52" s="2007">
        <v>20598.960729999999</v>
      </c>
      <c r="FS52" s="2010">
        <v>750.74090999999999</v>
      </c>
      <c r="FT52" s="2007">
        <v>33322.148289999997</v>
      </c>
      <c r="FU52" s="2010">
        <v>1026.8655799999999</v>
      </c>
      <c r="FV52" s="2007">
        <v>42014.223229999996</v>
      </c>
      <c r="FW52" s="2010">
        <v>1473.6891000000001</v>
      </c>
      <c r="FX52" s="2007">
        <v>47309.76586</v>
      </c>
      <c r="FY52" s="2010">
        <v>1875.95596</v>
      </c>
      <c r="FZ52" s="2007">
        <v>53327.905180000002</v>
      </c>
      <c r="GA52" s="2010">
        <v>2186.6874200000002</v>
      </c>
      <c r="GB52" s="2007">
        <v>60092.46602</v>
      </c>
      <c r="GC52" s="2010">
        <v>2423.2849700000002</v>
      </c>
      <c r="GD52" s="2007">
        <v>64912.607069999998</v>
      </c>
      <c r="GE52" s="2010">
        <v>3169.7676099999999</v>
      </c>
      <c r="GF52" s="2007">
        <v>70138.956279999999</v>
      </c>
      <c r="GG52" s="2010">
        <v>3703.77531</v>
      </c>
      <c r="GH52" s="2007">
        <v>79293.605989999996</v>
      </c>
      <c r="GI52" s="2010">
        <v>4204.5958600000004</v>
      </c>
      <c r="GJ52" s="2007">
        <v>90179.571890000007</v>
      </c>
      <c r="GK52" s="2010">
        <v>5780.8344200000001</v>
      </c>
      <c r="GL52" s="2007">
        <v>6275.1247199999998</v>
      </c>
      <c r="GM52" s="2010">
        <v>375.27100999999999</v>
      </c>
      <c r="GN52" s="2007">
        <v>16414.738789999999</v>
      </c>
      <c r="GO52" s="2010">
        <v>683.82899999999995</v>
      </c>
      <c r="GP52" s="2007">
        <v>24152.963969999997</v>
      </c>
      <c r="GQ52" s="2010">
        <v>1025.63816</v>
      </c>
      <c r="GR52" s="2007">
        <v>37558.179459999999</v>
      </c>
      <c r="GS52" s="2010">
        <v>1619.1244099999999</v>
      </c>
      <c r="GT52" s="2007">
        <v>47080.552819999997</v>
      </c>
      <c r="GU52" s="2010">
        <v>2252.7411699999998</v>
      </c>
      <c r="GV52" s="2011" t="s">
        <v>3214</v>
      </c>
      <c r="GX52" s="2022"/>
    </row>
    <row r="53" spans="1:208" s="1991" customFormat="1" ht="63">
      <c r="A53" s="2012" t="s">
        <v>3084</v>
      </c>
      <c r="B53" s="2013">
        <v>1857.77838</v>
      </c>
      <c r="C53" s="2013">
        <v>380.69627000000003</v>
      </c>
      <c r="D53" s="2013">
        <v>5184.7249499999998</v>
      </c>
      <c r="E53" s="2013">
        <v>643.76015000000007</v>
      </c>
      <c r="F53" s="2013">
        <v>10398.921890000001</v>
      </c>
      <c r="G53" s="2013">
        <v>784.67268999999999</v>
      </c>
      <c r="H53" s="2013">
        <v>14742.03096</v>
      </c>
      <c r="I53" s="2013">
        <v>1017.6463199999999</v>
      </c>
      <c r="J53" s="2013">
        <v>17863.037640000002</v>
      </c>
      <c r="K53" s="2013">
        <v>1178.44497</v>
      </c>
      <c r="L53" s="2013">
        <v>19623.232550000001</v>
      </c>
      <c r="M53" s="2013">
        <v>1328.4916599999999</v>
      </c>
      <c r="N53" s="2013">
        <v>21595.47652</v>
      </c>
      <c r="O53" s="2013">
        <v>1410.27367</v>
      </c>
      <c r="P53" s="2013">
        <v>26444.111519999999</v>
      </c>
      <c r="Q53" s="2013">
        <v>1789.8103799999999</v>
      </c>
      <c r="R53" s="2013">
        <v>28332.021570000001</v>
      </c>
      <c r="S53" s="2013">
        <v>2220.00072</v>
      </c>
      <c r="T53" s="2013">
        <v>28809.417450000001</v>
      </c>
      <c r="U53" s="2013">
        <v>2632.1212599999999</v>
      </c>
      <c r="V53" s="2013">
        <v>30991.34737</v>
      </c>
      <c r="W53" s="2013">
        <v>2936.34798</v>
      </c>
      <c r="X53" s="2013">
        <v>33165.399010000001</v>
      </c>
      <c r="Y53" s="2013">
        <v>4226.4021600000005</v>
      </c>
      <c r="Z53" s="2013">
        <v>1766.98253</v>
      </c>
      <c r="AA53" s="2013">
        <v>446.70267999999999</v>
      </c>
      <c r="AB53" s="2013">
        <v>4695.32359</v>
      </c>
      <c r="AC53" s="2013">
        <v>680.34456999999998</v>
      </c>
      <c r="AD53" s="2013">
        <v>8407.9824800000006</v>
      </c>
      <c r="AE53" s="2013">
        <v>1246.0235700000001</v>
      </c>
      <c r="AF53" s="2013">
        <v>15884.591369999998</v>
      </c>
      <c r="AG53" s="2013">
        <v>1357.6698999999999</v>
      </c>
      <c r="AH53" s="2013">
        <v>19821</v>
      </c>
      <c r="AI53" s="2013">
        <v>1670.81835</v>
      </c>
      <c r="AJ53" s="2013">
        <v>21299.788769999999</v>
      </c>
      <c r="AK53" s="2013">
        <v>1828.75317</v>
      </c>
      <c r="AL53" s="2013">
        <v>23776.973760000001</v>
      </c>
      <c r="AM53" s="2013">
        <v>2044.2250800000002</v>
      </c>
      <c r="AN53" s="2013">
        <v>27956.655420000003</v>
      </c>
      <c r="AO53" s="2013">
        <v>2240.0262499999999</v>
      </c>
      <c r="AP53" s="2013">
        <v>27996.074489999999</v>
      </c>
      <c r="AQ53" s="2013">
        <v>2360.2711200000003</v>
      </c>
      <c r="AR53" s="2013">
        <v>30243.701649999999</v>
      </c>
      <c r="AS53" s="2013">
        <v>2597.1868799999997</v>
      </c>
      <c r="AT53" s="2013">
        <v>33039.02691</v>
      </c>
      <c r="AU53" s="2013">
        <v>2812.6219799999999</v>
      </c>
      <c r="AV53" s="2013">
        <v>35292.506849999998</v>
      </c>
      <c r="AW53" s="2013">
        <v>3136.0500099999999</v>
      </c>
      <c r="AX53" s="2013">
        <v>2242.2412000000004</v>
      </c>
      <c r="AY53" s="2013">
        <v>390.03515999999996</v>
      </c>
      <c r="AZ53" s="2013">
        <v>6258.4051900000004</v>
      </c>
      <c r="BA53" s="2013">
        <v>556.03165000000001</v>
      </c>
      <c r="BB53" s="2013">
        <v>13021.29091</v>
      </c>
      <c r="BC53" s="2013">
        <v>661.76459999999997</v>
      </c>
      <c r="BD53" s="2013">
        <v>18088.325710000001</v>
      </c>
      <c r="BE53" s="2013">
        <v>713.69623999999999</v>
      </c>
      <c r="BF53" s="2013">
        <v>23311.043000000001</v>
      </c>
      <c r="BG53" s="2013">
        <v>961.70709999999997</v>
      </c>
      <c r="BH53" s="2013">
        <v>25413.85713</v>
      </c>
      <c r="BI53" s="2013">
        <v>1319.20146</v>
      </c>
      <c r="BJ53" s="2013">
        <v>27771.812519999999</v>
      </c>
      <c r="BK53" s="2013">
        <v>1513.18623</v>
      </c>
      <c r="BL53" s="2013">
        <v>31824.89906</v>
      </c>
      <c r="BM53" s="2013">
        <v>1777.88491</v>
      </c>
      <c r="BN53" s="2013">
        <v>36057.539840000005</v>
      </c>
      <c r="BO53" s="2013">
        <v>2031.65771</v>
      </c>
      <c r="BP53" s="2013">
        <v>38268.400119999998</v>
      </c>
      <c r="BQ53" s="2013">
        <v>2434.4777899999999</v>
      </c>
      <c r="BR53" s="2013">
        <v>42428.039189999996</v>
      </c>
      <c r="BS53" s="2013">
        <v>2755.18759</v>
      </c>
      <c r="BT53" s="2013">
        <v>48112.869840000007</v>
      </c>
      <c r="BU53" s="2013">
        <v>3100.6751899999999</v>
      </c>
      <c r="BV53" s="2013">
        <v>2584.4939800000002</v>
      </c>
      <c r="BW53" s="2013">
        <v>221.50744</v>
      </c>
      <c r="BX53" s="2013">
        <v>7676.10646</v>
      </c>
      <c r="BY53" s="2013">
        <v>415.99736999999999</v>
      </c>
      <c r="BZ53" s="2013">
        <v>11193.886480000001</v>
      </c>
      <c r="CA53" s="2013">
        <v>603.65324999999996</v>
      </c>
      <c r="CB53" s="2013">
        <v>21772.267629999998</v>
      </c>
      <c r="CC53" s="2013">
        <v>703.04147</v>
      </c>
      <c r="CD53" s="2013">
        <v>26992.49482</v>
      </c>
      <c r="CE53" s="2013">
        <v>811.83368000000007</v>
      </c>
      <c r="CF53" s="2013">
        <v>30122.05589</v>
      </c>
      <c r="CG53" s="2013">
        <v>1082.4506200000001</v>
      </c>
      <c r="CH53" s="2013">
        <v>33277.516000000003</v>
      </c>
      <c r="CI53" s="2013">
        <v>1244.35508</v>
      </c>
      <c r="CJ53" s="2013">
        <v>37939.255960000002</v>
      </c>
      <c r="CK53" s="2013">
        <v>1376.8395700000001</v>
      </c>
      <c r="CL53" s="2013">
        <v>41937.675409999996</v>
      </c>
      <c r="CM53" s="2013">
        <v>1801.14436</v>
      </c>
      <c r="CN53" s="2013">
        <v>45296.051719999996</v>
      </c>
      <c r="CO53" s="2013">
        <v>2083.6031499999999</v>
      </c>
      <c r="CP53" s="2013">
        <v>49668.259359999996</v>
      </c>
      <c r="CQ53" s="2013">
        <v>2263.5610499999998</v>
      </c>
      <c r="CR53" s="2013">
        <v>53949.731420000004</v>
      </c>
      <c r="CS53" s="2013">
        <v>2558.7546600000001</v>
      </c>
      <c r="CT53" s="2013">
        <v>3637.3295200000002</v>
      </c>
      <c r="CU53" s="2013">
        <v>390.18022999999999</v>
      </c>
      <c r="CV53" s="2013">
        <v>9939.4603599999991</v>
      </c>
      <c r="CW53" s="2013">
        <v>864.30764999999997</v>
      </c>
      <c r="CX53" s="2013">
        <v>14877.09816</v>
      </c>
      <c r="CY53" s="2013">
        <v>1132.1251399999999</v>
      </c>
      <c r="CZ53" s="2013">
        <v>26074.87457</v>
      </c>
      <c r="DA53" s="2013">
        <v>1476.3040000000001</v>
      </c>
      <c r="DB53" s="2013">
        <v>31749.670750000001</v>
      </c>
      <c r="DC53" s="2013">
        <v>1696.31691</v>
      </c>
      <c r="DD53" s="2013">
        <v>35012.79045</v>
      </c>
      <c r="DE53" s="2013">
        <v>2004.76954</v>
      </c>
      <c r="DF53" s="2013">
        <v>38899.940299999995</v>
      </c>
      <c r="DG53" s="2013">
        <v>2318.60484</v>
      </c>
      <c r="DH53" s="2013">
        <v>43400.433819999998</v>
      </c>
      <c r="DI53" s="2013">
        <v>2411.46722</v>
      </c>
      <c r="DJ53" s="2013">
        <v>48551.95319</v>
      </c>
      <c r="DK53" s="2013">
        <v>3154.3179700000001</v>
      </c>
      <c r="DL53" s="2013">
        <v>52035.665760000004</v>
      </c>
      <c r="DM53" s="2013">
        <v>3388.6383799999999</v>
      </c>
      <c r="DN53" s="2013">
        <v>57509.16865</v>
      </c>
      <c r="DO53" s="2013">
        <v>3647.80474</v>
      </c>
      <c r="DP53" s="2013">
        <v>63506.324000000001</v>
      </c>
      <c r="DQ53" s="2014">
        <v>4071.64723</v>
      </c>
      <c r="DR53" s="2015">
        <v>4534.9335799999999</v>
      </c>
      <c r="DS53" s="2025">
        <v>160.94218000000001</v>
      </c>
      <c r="DT53" s="2033">
        <v>11643.05119</v>
      </c>
      <c r="DU53" s="2034">
        <v>448.67756000000003</v>
      </c>
      <c r="DV53" s="2028">
        <v>17066.41906</v>
      </c>
      <c r="DW53" s="2025">
        <v>795.18426999999997</v>
      </c>
      <c r="DX53" s="2033">
        <v>30210.41203</v>
      </c>
      <c r="DY53" s="2034">
        <v>1226.75217</v>
      </c>
      <c r="DZ53" s="2028">
        <v>36385.771549999998</v>
      </c>
      <c r="EA53" s="2025">
        <v>1473.45849</v>
      </c>
      <c r="EB53" s="2017">
        <v>40345.455379999999</v>
      </c>
      <c r="EC53" s="2014">
        <v>1765.6340399999999</v>
      </c>
      <c r="ED53" s="2015">
        <v>45141.624940000002</v>
      </c>
      <c r="EE53" s="2016">
        <v>2237.4398700000002</v>
      </c>
      <c r="EF53" s="2015">
        <v>49435.391450000003</v>
      </c>
      <c r="EG53" s="2016">
        <v>2422.5545900000002</v>
      </c>
      <c r="EH53" s="2017">
        <v>53150.749790000002</v>
      </c>
      <c r="EI53" s="2016">
        <v>2660.9251199999999</v>
      </c>
      <c r="EJ53" s="2017">
        <v>58128.921269999999</v>
      </c>
      <c r="EK53" s="2016">
        <v>2864.8000699999998</v>
      </c>
      <c r="EL53" s="2015">
        <v>65181.989280000002</v>
      </c>
      <c r="EM53" s="2018">
        <v>3168.5146300000001</v>
      </c>
      <c r="EN53" s="2015">
        <v>73895.230039999995</v>
      </c>
      <c r="EO53" s="2018">
        <v>3407.7069200000001</v>
      </c>
      <c r="EP53" s="2015">
        <v>4377.0246799999995</v>
      </c>
      <c r="EQ53" s="2018">
        <v>178.58770999999999</v>
      </c>
      <c r="ER53" s="2015">
        <v>12523.79658</v>
      </c>
      <c r="ES53" s="2018">
        <v>382.78298999999998</v>
      </c>
      <c r="ET53" s="2015">
        <v>19098.258819999999</v>
      </c>
      <c r="EU53" s="2018">
        <v>531.18575999999996</v>
      </c>
      <c r="EV53" s="2015">
        <v>30316.60367</v>
      </c>
      <c r="EW53" s="2018">
        <v>650.95100000000002</v>
      </c>
      <c r="EX53" s="2015">
        <v>39258.417820000002</v>
      </c>
      <c r="EY53" s="2018">
        <v>871.55200000000002</v>
      </c>
      <c r="EZ53" s="2015">
        <v>44484.572240000001</v>
      </c>
      <c r="FA53" s="2018">
        <v>1270.34319</v>
      </c>
      <c r="FB53" s="2015">
        <v>50075.744930000001</v>
      </c>
      <c r="FC53" s="2018">
        <v>1477.27046</v>
      </c>
      <c r="FD53" s="2015">
        <v>55956.225259999999</v>
      </c>
      <c r="FE53" s="2018">
        <v>1855.7573500000001</v>
      </c>
      <c r="FF53" s="2015">
        <v>60652.01528</v>
      </c>
      <c r="FG53" s="2018">
        <v>2410.4063799999999</v>
      </c>
      <c r="FH53" s="2015">
        <v>66081.410759999999</v>
      </c>
      <c r="FI53" s="2018">
        <v>3016.6682999999998</v>
      </c>
      <c r="FJ53" s="2015">
        <v>74100.832899999994</v>
      </c>
      <c r="FK53" s="2018">
        <v>3452.6973699999999</v>
      </c>
      <c r="FL53" s="2015">
        <v>84041.06826</v>
      </c>
      <c r="FM53" s="2018">
        <v>3943.0880200000001</v>
      </c>
      <c r="FN53" s="2015">
        <v>4839.5582800000002</v>
      </c>
      <c r="FO53" s="2018">
        <v>205.82252</v>
      </c>
      <c r="FP53" s="2015">
        <v>13673.9948</v>
      </c>
      <c r="FQ53" s="2018">
        <v>580.51437999999996</v>
      </c>
      <c r="FR53" s="2015">
        <v>20598.960729999999</v>
      </c>
      <c r="FS53" s="2018">
        <v>750.74090999999999</v>
      </c>
      <c r="FT53" s="2015">
        <v>33322.148289999997</v>
      </c>
      <c r="FU53" s="2018">
        <v>1026.8655799999999</v>
      </c>
      <c r="FV53" s="2015">
        <v>42014.223229999996</v>
      </c>
      <c r="FW53" s="2018">
        <v>1473.6891000000001</v>
      </c>
      <c r="FX53" s="2015">
        <v>47309.76586</v>
      </c>
      <c r="FY53" s="2018">
        <v>1875.95596</v>
      </c>
      <c r="FZ53" s="2015">
        <v>53327.905180000002</v>
      </c>
      <c r="GA53" s="2018">
        <v>2186.6874200000002</v>
      </c>
      <c r="GB53" s="2015">
        <v>60092.46602</v>
      </c>
      <c r="GC53" s="2018">
        <v>2423.2849700000002</v>
      </c>
      <c r="GD53" s="2015">
        <v>64912.607069999998</v>
      </c>
      <c r="GE53" s="2018">
        <v>3169.7676099999999</v>
      </c>
      <c r="GF53" s="2015">
        <v>70138.956279999999</v>
      </c>
      <c r="GG53" s="2018">
        <v>3703.77531</v>
      </c>
      <c r="GH53" s="2015">
        <v>79293.605989999996</v>
      </c>
      <c r="GI53" s="2018">
        <v>4204.5958600000004</v>
      </c>
      <c r="GJ53" s="2015">
        <v>90179.571890000007</v>
      </c>
      <c r="GK53" s="2018">
        <v>5780.8344200000001</v>
      </c>
      <c r="GL53" s="2015">
        <v>6275.1247199999998</v>
      </c>
      <c r="GM53" s="2018">
        <v>375.27100999999999</v>
      </c>
      <c r="GN53" s="2015">
        <v>16414.738789999999</v>
      </c>
      <c r="GO53" s="2018">
        <v>683.82899999999995</v>
      </c>
      <c r="GP53" s="2015">
        <v>24152.963969999997</v>
      </c>
      <c r="GQ53" s="2018">
        <v>1025.63816</v>
      </c>
      <c r="GR53" s="2015">
        <v>37558.179459999999</v>
      </c>
      <c r="GS53" s="2018">
        <v>1619.1244099999999</v>
      </c>
      <c r="GT53" s="2015">
        <v>47080.552819999997</v>
      </c>
      <c r="GU53" s="2018">
        <v>2252.7411699999998</v>
      </c>
      <c r="GV53" s="2019" t="s">
        <v>3446</v>
      </c>
    </row>
    <row r="54" spans="1:208" s="1991" customFormat="1" ht="22.5" customHeight="1">
      <c r="A54" s="2011" t="s">
        <v>2285</v>
      </c>
      <c r="B54" s="2035">
        <f t="shared" ref="B54:BM54" si="41">B55+B56+B57+B58+B59</f>
        <v>9754.040570000001</v>
      </c>
      <c r="C54" s="2035">
        <f t="shared" si="41"/>
        <v>3568.7894200000001</v>
      </c>
      <c r="D54" s="2035">
        <f t="shared" si="41"/>
        <v>17175.730179999999</v>
      </c>
      <c r="E54" s="2035">
        <f t="shared" si="41"/>
        <v>7305.0956500000002</v>
      </c>
      <c r="F54" s="2035">
        <f t="shared" si="41"/>
        <v>28369.414279999994</v>
      </c>
      <c r="G54" s="2035">
        <f t="shared" si="41"/>
        <v>12163.989890000001</v>
      </c>
      <c r="H54" s="2035">
        <f t="shared" si="41"/>
        <v>38663.925080000001</v>
      </c>
      <c r="I54" s="2035">
        <f t="shared" si="41"/>
        <v>16549.752079999998</v>
      </c>
      <c r="J54" s="2035">
        <f t="shared" si="41"/>
        <v>49605.352960000004</v>
      </c>
      <c r="K54" s="2035">
        <f t="shared" si="41"/>
        <v>20787.564340000004</v>
      </c>
      <c r="L54" s="2035">
        <f t="shared" si="41"/>
        <v>62732.725750000005</v>
      </c>
      <c r="M54" s="2035">
        <f t="shared" si="41"/>
        <v>24508.766420000007</v>
      </c>
      <c r="N54" s="2035">
        <f t="shared" si="41"/>
        <v>77776.996650000001</v>
      </c>
      <c r="O54" s="2035">
        <f t="shared" si="41"/>
        <v>29278.764450000002</v>
      </c>
      <c r="P54" s="2035">
        <f t="shared" si="41"/>
        <v>89492.966759999981</v>
      </c>
      <c r="Q54" s="2035">
        <f t="shared" si="41"/>
        <v>34524.666079999995</v>
      </c>
      <c r="R54" s="2035">
        <f t="shared" si="41"/>
        <v>104372.91912000002</v>
      </c>
      <c r="S54" s="2035">
        <f t="shared" si="41"/>
        <v>38634.178839999993</v>
      </c>
      <c r="T54" s="2035">
        <f t="shared" si="41"/>
        <v>126542.26567000002</v>
      </c>
      <c r="U54" s="2035">
        <f t="shared" si="41"/>
        <v>43105.079419999995</v>
      </c>
      <c r="V54" s="2035">
        <f t="shared" si="41"/>
        <v>137478.81427999999</v>
      </c>
      <c r="W54" s="2035">
        <f t="shared" si="41"/>
        <v>48225.125709999993</v>
      </c>
      <c r="X54" s="2035">
        <f t="shared" si="41"/>
        <v>148469.70654000001</v>
      </c>
      <c r="Y54" s="2035">
        <f t="shared" si="41"/>
        <v>53458.303079999998</v>
      </c>
      <c r="Z54" s="2035">
        <f t="shared" si="41"/>
        <v>9134.2187300000005</v>
      </c>
      <c r="AA54" s="2035">
        <f t="shared" si="41"/>
        <v>4548.5644199999997</v>
      </c>
      <c r="AB54" s="2035">
        <f t="shared" si="41"/>
        <v>18681.034449999999</v>
      </c>
      <c r="AC54" s="2035">
        <f t="shared" si="41"/>
        <v>10169.457609999999</v>
      </c>
      <c r="AD54" s="2035">
        <f t="shared" si="41"/>
        <v>27649.2438</v>
      </c>
      <c r="AE54" s="2035">
        <f t="shared" si="41"/>
        <v>14611.8</v>
      </c>
      <c r="AF54" s="2035">
        <f t="shared" si="41"/>
        <v>64674.133160000012</v>
      </c>
      <c r="AG54" s="2035">
        <f t="shared" si="41"/>
        <v>20203.831170000001</v>
      </c>
      <c r="AH54" s="2035">
        <f t="shared" si="41"/>
        <v>75591.671089999989</v>
      </c>
      <c r="AI54" s="2035">
        <f t="shared" si="41"/>
        <v>25995.174570000003</v>
      </c>
      <c r="AJ54" s="2035">
        <f t="shared" si="41"/>
        <v>88233.054489999995</v>
      </c>
      <c r="AK54" s="2035">
        <f t="shared" si="41"/>
        <v>30368.72752</v>
      </c>
      <c r="AL54" s="2035">
        <f t="shared" si="41"/>
        <v>101596.84577</v>
      </c>
      <c r="AM54" s="2035">
        <f t="shared" si="41"/>
        <v>36350.89329</v>
      </c>
      <c r="AN54" s="2035">
        <f t="shared" si="41"/>
        <v>114304.28651000001</v>
      </c>
      <c r="AO54" s="2035">
        <f t="shared" si="41"/>
        <v>41701.93931999999</v>
      </c>
      <c r="AP54" s="2035">
        <f t="shared" si="41"/>
        <v>125597.67934999998</v>
      </c>
      <c r="AQ54" s="2035">
        <f t="shared" si="41"/>
        <v>47231.310400000017</v>
      </c>
      <c r="AR54" s="2035">
        <f t="shared" si="41"/>
        <v>136165.60131</v>
      </c>
      <c r="AS54" s="2035">
        <f t="shared" si="41"/>
        <v>53621.37945</v>
      </c>
      <c r="AT54" s="2035">
        <f t="shared" si="41"/>
        <v>145531.81087000002</v>
      </c>
      <c r="AU54" s="2035">
        <f t="shared" si="41"/>
        <v>58908.735860000001</v>
      </c>
      <c r="AV54" s="2035">
        <f t="shared" si="41"/>
        <v>156514.62186000001</v>
      </c>
      <c r="AW54" s="2035">
        <f t="shared" si="41"/>
        <v>64632.586150000003</v>
      </c>
      <c r="AX54" s="2035">
        <f t="shared" si="41"/>
        <v>13363.88897</v>
      </c>
      <c r="AY54" s="2035">
        <f t="shared" si="41"/>
        <v>5972.05069</v>
      </c>
      <c r="AZ54" s="2035">
        <f t="shared" si="41"/>
        <v>22609.852650000001</v>
      </c>
      <c r="BA54" s="2035">
        <f t="shared" si="41"/>
        <v>11222.005160000001</v>
      </c>
      <c r="BB54" s="2035">
        <f t="shared" si="41"/>
        <v>58205.308270000009</v>
      </c>
      <c r="BC54" s="2035">
        <f t="shared" si="41"/>
        <v>15660.495800000001</v>
      </c>
      <c r="BD54" s="2035">
        <f t="shared" si="41"/>
        <v>71005.717529999994</v>
      </c>
      <c r="BE54" s="2035">
        <f t="shared" si="41"/>
        <v>22591.15279</v>
      </c>
      <c r="BF54" s="2035">
        <f t="shared" si="41"/>
        <v>83253.950700000001</v>
      </c>
      <c r="BG54" s="2035">
        <f t="shared" si="41"/>
        <v>28792.719570000001</v>
      </c>
      <c r="BH54" s="2035">
        <f t="shared" si="41"/>
        <v>94130.188399999999</v>
      </c>
      <c r="BI54" s="2035">
        <f t="shared" si="41"/>
        <v>34514.560389999999</v>
      </c>
      <c r="BJ54" s="2035">
        <f t="shared" si="41"/>
        <v>109556.04840999999</v>
      </c>
      <c r="BK54" s="2035">
        <f t="shared" si="41"/>
        <v>43130.904790000001</v>
      </c>
      <c r="BL54" s="2035">
        <f t="shared" si="41"/>
        <v>122334.31988000002</v>
      </c>
      <c r="BM54" s="2035">
        <f t="shared" si="41"/>
        <v>49572.728370000004</v>
      </c>
      <c r="BN54" s="2035">
        <f t="shared" ref="BN54:DY54" si="42">BN55+BN56+BN57+BN58+BN59</f>
        <v>134673.88312000001</v>
      </c>
      <c r="BO54" s="2035">
        <f t="shared" si="42"/>
        <v>56227.38063</v>
      </c>
      <c r="BP54" s="2035">
        <f t="shared" si="42"/>
        <v>145196.48154000001</v>
      </c>
      <c r="BQ54" s="2035">
        <f t="shared" si="42"/>
        <v>63381.397980000002</v>
      </c>
      <c r="BR54" s="2035">
        <f t="shared" si="42"/>
        <v>155313.26712</v>
      </c>
      <c r="BS54" s="2035">
        <f t="shared" si="42"/>
        <v>69925.533169999995</v>
      </c>
      <c r="BT54" s="2035">
        <f t="shared" si="42"/>
        <v>176459.76705000008</v>
      </c>
      <c r="BU54" s="2035">
        <f t="shared" si="42"/>
        <v>77525.976869999969</v>
      </c>
      <c r="BV54" s="2035">
        <f t="shared" si="42"/>
        <v>18210.303390000001</v>
      </c>
      <c r="BW54" s="2035">
        <f t="shared" si="42"/>
        <v>7283.0290800000002</v>
      </c>
      <c r="BX54" s="2035">
        <f t="shared" si="42"/>
        <v>59601.751530000009</v>
      </c>
      <c r="BY54" s="2035">
        <f t="shared" si="42"/>
        <v>14679.432989999999</v>
      </c>
      <c r="BZ54" s="2035">
        <f t="shared" si="42"/>
        <v>69052.583110000007</v>
      </c>
      <c r="CA54" s="2035">
        <f t="shared" si="42"/>
        <v>19002.756430000001</v>
      </c>
      <c r="CB54" s="2035">
        <f t="shared" si="42"/>
        <v>79757.430130000008</v>
      </c>
      <c r="CC54" s="2035">
        <f t="shared" si="42"/>
        <v>24579.530699999996</v>
      </c>
      <c r="CD54" s="2035">
        <f t="shared" si="42"/>
        <v>91362.001540000012</v>
      </c>
      <c r="CE54" s="2035">
        <f t="shared" si="42"/>
        <v>28435.845100000002</v>
      </c>
      <c r="CF54" s="2035">
        <f t="shared" si="42"/>
        <v>102124.04617</v>
      </c>
      <c r="CG54" s="2035">
        <f t="shared" si="42"/>
        <v>33250.1423</v>
      </c>
      <c r="CH54" s="2035">
        <f t="shared" si="42"/>
        <v>113973.20545000001</v>
      </c>
      <c r="CI54" s="2035">
        <f t="shared" si="42"/>
        <v>37884.085619999998</v>
      </c>
      <c r="CJ54" s="2035">
        <f t="shared" si="42"/>
        <v>124857.98344</v>
      </c>
      <c r="CK54" s="2035">
        <f t="shared" si="42"/>
        <v>42533.674910000002</v>
      </c>
      <c r="CL54" s="2035">
        <f t="shared" si="42"/>
        <v>137892.14937999999</v>
      </c>
      <c r="CM54" s="2035">
        <f t="shared" si="42"/>
        <v>48661.516660000001</v>
      </c>
      <c r="CN54" s="2035">
        <f t="shared" si="42"/>
        <v>147855.85897999999</v>
      </c>
      <c r="CO54" s="2035">
        <f t="shared" si="42"/>
        <v>54012.668489999996</v>
      </c>
      <c r="CP54" s="2035">
        <f t="shared" si="42"/>
        <v>156875.14671</v>
      </c>
      <c r="CQ54" s="2035">
        <f t="shared" si="42"/>
        <v>61120.587840000007</v>
      </c>
      <c r="CR54" s="2035">
        <f t="shared" si="42"/>
        <v>171915.62709000002</v>
      </c>
      <c r="CS54" s="2035">
        <f t="shared" si="42"/>
        <v>83853.131429999994</v>
      </c>
      <c r="CT54" s="2035">
        <f t="shared" si="42"/>
        <v>16195.166509999999</v>
      </c>
      <c r="CU54" s="2035">
        <f t="shared" si="42"/>
        <v>19262.81292</v>
      </c>
      <c r="CV54" s="2035">
        <f t="shared" si="42"/>
        <v>32758.031929999997</v>
      </c>
      <c r="CW54" s="2035">
        <f t="shared" si="42"/>
        <v>32196.169600000001</v>
      </c>
      <c r="CX54" s="2035">
        <f t="shared" si="42"/>
        <v>78463.5815</v>
      </c>
      <c r="CY54" s="2035">
        <f t="shared" si="42"/>
        <v>39882.595979999998</v>
      </c>
      <c r="CZ54" s="2035">
        <f t="shared" si="42"/>
        <v>90616.191790000012</v>
      </c>
      <c r="DA54" s="2035">
        <f t="shared" si="42"/>
        <v>48940.370049999998</v>
      </c>
      <c r="DB54" s="2035">
        <f t="shared" si="42"/>
        <v>101463.93508</v>
      </c>
      <c r="DC54" s="2035">
        <f t="shared" si="42"/>
        <v>54996.157220000001</v>
      </c>
      <c r="DD54" s="2035">
        <f t="shared" si="42"/>
        <v>112840.16962999999</v>
      </c>
      <c r="DE54" s="2035">
        <f t="shared" si="42"/>
        <v>62531.315349999997</v>
      </c>
      <c r="DF54" s="2035">
        <f t="shared" si="42"/>
        <v>124565.44986999998</v>
      </c>
      <c r="DG54" s="2035">
        <f t="shared" si="42"/>
        <v>70676.308099999995</v>
      </c>
      <c r="DH54" s="2035">
        <f t="shared" si="42"/>
        <v>138366.7623</v>
      </c>
      <c r="DI54" s="2035">
        <f t="shared" si="42"/>
        <v>79710.476839999988</v>
      </c>
      <c r="DJ54" s="2035">
        <f t="shared" si="42"/>
        <v>159096.54593999998</v>
      </c>
      <c r="DK54" s="2035">
        <f t="shared" si="42"/>
        <v>89497.378089999984</v>
      </c>
      <c r="DL54" s="2035">
        <f t="shared" si="42"/>
        <v>171011.96308999998</v>
      </c>
      <c r="DM54" s="2035">
        <f t="shared" si="42"/>
        <v>97974.17426</v>
      </c>
      <c r="DN54" s="2035">
        <f t="shared" si="42"/>
        <v>181506.81338000004</v>
      </c>
      <c r="DO54" s="2035">
        <f t="shared" si="42"/>
        <v>106462.66256</v>
      </c>
      <c r="DP54" s="2035">
        <f t="shared" si="42"/>
        <v>193796.32498999999</v>
      </c>
      <c r="DQ54" s="2036">
        <f t="shared" si="42"/>
        <v>115389.11059</v>
      </c>
      <c r="DR54" s="2037">
        <f t="shared" si="42"/>
        <v>14003.949049999999</v>
      </c>
      <c r="DS54" s="2038">
        <f t="shared" si="42"/>
        <v>7043.5313100000003</v>
      </c>
      <c r="DT54" s="2039">
        <f t="shared" si="42"/>
        <v>23527.655680000003</v>
      </c>
      <c r="DU54" s="2036">
        <f t="shared" si="42"/>
        <v>14024.309810000001</v>
      </c>
      <c r="DV54" s="2040">
        <f t="shared" si="42"/>
        <v>47369.458209999997</v>
      </c>
      <c r="DW54" s="2041">
        <f t="shared" si="42"/>
        <v>21533.819070000001</v>
      </c>
      <c r="DX54" s="2039">
        <f t="shared" si="42"/>
        <v>60815.707049999997</v>
      </c>
      <c r="DY54" s="2036">
        <f t="shared" si="42"/>
        <v>29840.152959999999</v>
      </c>
      <c r="DZ54" s="2040">
        <f t="shared" ref="DZ54:FP54" si="43">DZ55+DZ56+DZ57+DZ58+DZ59</f>
        <v>72186.711490000002</v>
      </c>
      <c r="EA54" s="2041">
        <f t="shared" si="43"/>
        <v>36960.76771</v>
      </c>
      <c r="EB54" s="2039">
        <f t="shared" si="43"/>
        <v>84561.129320000007</v>
      </c>
      <c r="EC54" s="2036">
        <f t="shared" si="43"/>
        <v>42908.252030000003</v>
      </c>
      <c r="ED54" s="2040">
        <f t="shared" si="43"/>
        <v>96649.123920000013</v>
      </c>
      <c r="EE54" s="2041">
        <f t="shared" si="43"/>
        <v>52108.247300000003</v>
      </c>
      <c r="EF54" s="2040">
        <f t="shared" si="43"/>
        <v>111796.68580000001</v>
      </c>
      <c r="EG54" s="2042">
        <f t="shared" si="43"/>
        <v>60932.097659999992</v>
      </c>
      <c r="EH54" s="2040">
        <f t="shared" si="43"/>
        <v>124503.73288</v>
      </c>
      <c r="EI54" s="2042">
        <f t="shared" si="43"/>
        <v>69186.857739999992</v>
      </c>
      <c r="EJ54" s="2036">
        <f t="shared" si="43"/>
        <v>137643.19482999999</v>
      </c>
      <c r="EK54" s="2041">
        <f t="shared" si="43"/>
        <v>77213.023929999996</v>
      </c>
      <c r="EL54" s="2040">
        <f t="shared" si="43"/>
        <v>152311.88094999999</v>
      </c>
      <c r="EM54" s="2042">
        <f t="shared" si="43"/>
        <v>84037.918820000006</v>
      </c>
      <c r="EN54" s="2040">
        <f t="shared" si="43"/>
        <v>168856.51093999998</v>
      </c>
      <c r="EO54" s="2042">
        <f t="shared" si="43"/>
        <v>92161.610220000002</v>
      </c>
      <c r="EP54" s="2040">
        <f t="shared" si="43"/>
        <v>13946.371439999999</v>
      </c>
      <c r="EQ54" s="2042">
        <f t="shared" si="43"/>
        <v>8119.6307999999999</v>
      </c>
      <c r="ER54" s="2040">
        <f t="shared" si="43"/>
        <v>37116.762909999998</v>
      </c>
      <c r="ES54" s="2042">
        <f t="shared" si="43"/>
        <v>17540.570830000001</v>
      </c>
      <c r="ET54" s="2040">
        <f t="shared" si="43"/>
        <v>72455.348480000001</v>
      </c>
      <c r="EU54" s="2042">
        <f t="shared" si="43"/>
        <v>23540.681929999999</v>
      </c>
      <c r="EV54" s="2040">
        <f t="shared" si="43"/>
        <v>95359.785739999992</v>
      </c>
      <c r="EW54" s="2042">
        <f t="shared" si="43"/>
        <v>31448.795530000003</v>
      </c>
      <c r="EX54" s="2040">
        <f t="shared" si="43"/>
        <v>116509.23608999999</v>
      </c>
      <c r="EY54" s="2042">
        <f t="shared" si="43"/>
        <v>40224.314170000005</v>
      </c>
      <c r="EZ54" s="2040">
        <f t="shared" si="43"/>
        <v>133804.82882</v>
      </c>
      <c r="FA54" s="2042">
        <f t="shared" si="43"/>
        <v>48937.477980000003</v>
      </c>
      <c r="FB54" s="2040">
        <f t="shared" si="43"/>
        <v>152437.95234999998</v>
      </c>
      <c r="FC54" s="2042">
        <f t="shared" si="43"/>
        <v>60173.865959999996</v>
      </c>
      <c r="FD54" s="2040">
        <f t="shared" si="43"/>
        <v>171977.54093000002</v>
      </c>
      <c r="FE54" s="2042">
        <f t="shared" si="43"/>
        <v>69801.985179999989</v>
      </c>
      <c r="FF54" s="2040">
        <f t="shared" si="43"/>
        <v>189211.46514999997</v>
      </c>
      <c r="FG54" s="2042">
        <f t="shared" si="43"/>
        <v>77825.09050999998</v>
      </c>
      <c r="FH54" s="2040">
        <f t="shared" si="43"/>
        <v>204772.50294999999</v>
      </c>
      <c r="FI54" s="2042">
        <f t="shared" si="43"/>
        <v>87455.362099999998</v>
      </c>
      <c r="FJ54" s="2040">
        <f t="shared" si="43"/>
        <v>221533.95366</v>
      </c>
      <c r="FK54" s="2042">
        <f t="shared" si="43"/>
        <v>95661.598100000003</v>
      </c>
      <c r="FL54" s="2040">
        <f t="shared" si="43"/>
        <v>250391.764</v>
      </c>
      <c r="FM54" s="2042">
        <f t="shared" si="43"/>
        <v>104129.33352999999</v>
      </c>
      <c r="FN54" s="2040">
        <f t="shared" si="43"/>
        <v>15967.38632</v>
      </c>
      <c r="FO54" s="2042">
        <f>FO55+FO56+FO57+FO58+FO59</f>
        <v>8029.8940399999992</v>
      </c>
      <c r="FP54" s="2040">
        <f t="shared" si="43"/>
        <v>34997.583789999997</v>
      </c>
      <c r="FQ54" s="2042">
        <f>FQ55+FQ56+FQ57+FQ58+FQ59</f>
        <v>17031.027390000003</v>
      </c>
      <c r="FR54" s="2040">
        <f t="shared" ref="FR54:FT54" si="44">FR55+FR56+FR57+FR58+FR59</f>
        <v>74229.753460000007</v>
      </c>
      <c r="FS54" s="2042">
        <f>FS55+FS56+FS57+FS58+FS59</f>
        <v>28440.154180000001</v>
      </c>
      <c r="FT54" s="2040">
        <f t="shared" si="44"/>
        <v>99117.610960000005</v>
      </c>
      <c r="FU54" s="2042">
        <f>FU55+FU56+FU57+FU58+FU59</f>
        <v>41343.922790000004</v>
      </c>
      <c r="FV54" s="2040">
        <f t="shared" ref="FV54:FX54" si="45">FV55+FV56+FV57+FV58+FV59</f>
        <v>119851.67431999999</v>
      </c>
      <c r="FW54" s="2042">
        <f>FW55+FW56+FW57+FW58+FW59</f>
        <v>52502.611130000005</v>
      </c>
      <c r="FX54" s="2040">
        <f t="shared" si="45"/>
        <v>136788.02425000002</v>
      </c>
      <c r="FY54" s="2042">
        <f>FY55+FY56+FY57+FY58+FY59</f>
        <v>59457.266670000005</v>
      </c>
      <c r="FZ54" s="2040">
        <f t="shared" ref="FZ54:GB54" si="46">FZ55+FZ56+FZ57+FZ58+FZ59</f>
        <v>156146.60657</v>
      </c>
      <c r="GA54" s="2042">
        <f t="shared" si="46"/>
        <v>69624.008190000008</v>
      </c>
      <c r="GB54" s="2040">
        <f t="shared" si="46"/>
        <v>175180.27760999999</v>
      </c>
      <c r="GC54" s="2042">
        <f>GC55+GC56+GC57+GC58+GC59</f>
        <v>81533.327290000001</v>
      </c>
      <c r="GD54" s="2040">
        <f t="shared" ref="GD54:GU54" si="47">GD55+GD56+GD57+GD58+GD59</f>
        <v>193365.96051999999</v>
      </c>
      <c r="GE54" s="2042">
        <f t="shared" si="47"/>
        <v>95775.019070000009</v>
      </c>
      <c r="GF54" s="2040">
        <f t="shared" si="47"/>
        <v>212786.08234999998</v>
      </c>
      <c r="GG54" s="2042">
        <f t="shared" si="47"/>
        <v>108341.73751000001</v>
      </c>
      <c r="GH54" s="2040">
        <f t="shared" si="47"/>
        <v>230314.27725000001</v>
      </c>
      <c r="GI54" s="2042">
        <f t="shared" si="47"/>
        <v>121756.21365000001</v>
      </c>
      <c r="GJ54" s="2040">
        <f t="shared" si="47"/>
        <v>251676.07930000004</v>
      </c>
      <c r="GK54" s="2042">
        <f t="shared" si="47"/>
        <v>133915.00936</v>
      </c>
      <c r="GL54" s="2040">
        <f t="shared" si="47"/>
        <v>16782.020649999999</v>
      </c>
      <c r="GM54" s="2042">
        <f t="shared" si="47"/>
        <v>9728.7010200000004</v>
      </c>
      <c r="GN54" s="2040">
        <f t="shared" si="47"/>
        <v>44701.283259999997</v>
      </c>
      <c r="GO54" s="2042">
        <f t="shared" si="47"/>
        <v>20544.591679999998</v>
      </c>
      <c r="GP54" s="2040">
        <f t="shared" si="47"/>
        <v>66985.017650000067</v>
      </c>
      <c r="GQ54" s="2042">
        <f t="shared" si="47"/>
        <v>28901.801359999998</v>
      </c>
      <c r="GR54" s="2040">
        <f t="shared" si="47"/>
        <v>99051.757989999984</v>
      </c>
      <c r="GS54" s="2042">
        <f t="shared" si="47"/>
        <v>42657.631780000003</v>
      </c>
      <c r="GT54" s="2040">
        <f t="shared" si="47"/>
        <v>124147.72344</v>
      </c>
      <c r="GU54" s="2042">
        <f t="shared" si="47"/>
        <v>55170.599530000007</v>
      </c>
      <c r="GV54" s="2011" t="s">
        <v>3196</v>
      </c>
    </row>
    <row r="55" spans="1:208" s="1991" customFormat="1" ht="22.5" customHeight="1">
      <c r="A55" s="1241" t="s">
        <v>3219</v>
      </c>
      <c r="B55" s="2013">
        <v>4819.5867600000001</v>
      </c>
      <c r="C55" s="2013">
        <v>3059.1910600000001</v>
      </c>
      <c r="D55" s="2013">
        <v>9978.2065500000008</v>
      </c>
      <c r="E55" s="2013">
        <v>6085.3454900000006</v>
      </c>
      <c r="F55" s="2013">
        <v>17461.586649999997</v>
      </c>
      <c r="G55" s="2013">
        <v>9931.8826300000001</v>
      </c>
      <c r="H55" s="2013">
        <v>25599.331719999998</v>
      </c>
      <c r="I55" s="2013">
        <v>13385.902810000001</v>
      </c>
      <c r="J55" s="2013">
        <v>33556.197189999999</v>
      </c>
      <c r="K55" s="2013">
        <v>16876.245940000001</v>
      </c>
      <c r="L55" s="2013">
        <v>44708.578020000001</v>
      </c>
      <c r="M55" s="2013">
        <v>19903.036350000002</v>
      </c>
      <c r="N55" s="2013">
        <v>55449.138149999999</v>
      </c>
      <c r="O55" s="2013">
        <v>23688.472730000001</v>
      </c>
      <c r="P55" s="2013">
        <v>64687.862580000001</v>
      </c>
      <c r="Q55" s="2013">
        <v>28202.690480000001</v>
      </c>
      <c r="R55" s="2013">
        <v>71877.752010000011</v>
      </c>
      <c r="S55" s="2013">
        <v>31945.613980000002</v>
      </c>
      <c r="T55" s="2013">
        <v>79695.256789999999</v>
      </c>
      <c r="U55" s="2013">
        <v>36165.17787</v>
      </c>
      <c r="V55" s="2013">
        <v>86586.710730000006</v>
      </c>
      <c r="W55" s="2013">
        <v>40341.182119999998</v>
      </c>
      <c r="X55" s="2013">
        <v>92604.04737</v>
      </c>
      <c r="Y55" s="2013">
        <v>44763.625399999997</v>
      </c>
      <c r="Z55" s="2013">
        <v>5513.5177999999996</v>
      </c>
      <c r="AA55" s="2013">
        <v>4054.2116900000001</v>
      </c>
      <c r="AB55" s="2013">
        <v>11329.780859999999</v>
      </c>
      <c r="AC55" s="2013">
        <v>8194.7029199999997</v>
      </c>
      <c r="AD55" s="2013">
        <v>18299.072270000001</v>
      </c>
      <c r="AE55" s="2013">
        <v>11567.545619999999</v>
      </c>
      <c r="AF55" s="2013">
        <v>26718.736440000001</v>
      </c>
      <c r="AG55" s="2013">
        <v>15996.659609999999</v>
      </c>
      <c r="AH55" s="2013">
        <v>34926.09936</v>
      </c>
      <c r="AI55" s="2013">
        <v>20337.966960000002</v>
      </c>
      <c r="AJ55" s="2013">
        <v>44524.377460000003</v>
      </c>
      <c r="AK55" s="2013">
        <v>24076.218559999998</v>
      </c>
      <c r="AL55" s="2013">
        <v>55457.606189999999</v>
      </c>
      <c r="AM55" s="2013">
        <v>29207.067350000001</v>
      </c>
      <c r="AN55" s="2013">
        <v>64853.795389999999</v>
      </c>
      <c r="AO55" s="2013">
        <v>33838.063049999997</v>
      </c>
      <c r="AP55" s="2013">
        <v>72553.617389999999</v>
      </c>
      <c r="AQ55" s="2013">
        <v>38302.603860000003</v>
      </c>
      <c r="AR55" s="2013">
        <v>80977.643489999988</v>
      </c>
      <c r="AS55" s="2013">
        <v>43992.183700000001</v>
      </c>
      <c r="AT55" s="2013">
        <v>88416.99222</v>
      </c>
      <c r="AU55" s="2013">
        <v>48622.186479999997</v>
      </c>
      <c r="AV55" s="2013">
        <v>95440.454360000003</v>
      </c>
      <c r="AW55" s="2013">
        <v>53505.219189999996</v>
      </c>
      <c r="AX55" s="2013">
        <v>6511.3182800000004</v>
      </c>
      <c r="AY55" s="2013">
        <v>5432.0009</v>
      </c>
      <c r="AZ55" s="2013">
        <v>12715.19476</v>
      </c>
      <c r="BA55" s="2013">
        <v>9897.2929100000001</v>
      </c>
      <c r="BB55" s="2013">
        <v>20178.741239999999</v>
      </c>
      <c r="BC55" s="2013">
        <v>13645.46486</v>
      </c>
      <c r="BD55" s="2013">
        <v>29191.779629999997</v>
      </c>
      <c r="BE55" s="2013">
        <v>19728.48256</v>
      </c>
      <c r="BF55" s="2013">
        <v>38046.912630000006</v>
      </c>
      <c r="BG55" s="2013">
        <v>25189.093239999998</v>
      </c>
      <c r="BH55" s="2013">
        <v>47238.323630000006</v>
      </c>
      <c r="BI55" s="2013">
        <v>29995.813559999999</v>
      </c>
      <c r="BJ55" s="2013">
        <v>58519.878899999996</v>
      </c>
      <c r="BK55" s="2013">
        <v>37263.759680000003</v>
      </c>
      <c r="BL55" s="2013">
        <v>67860.710149999999</v>
      </c>
      <c r="BM55" s="2013">
        <v>42736.934340000007</v>
      </c>
      <c r="BN55" s="2013">
        <v>76197.630590000001</v>
      </c>
      <c r="BO55" s="2013">
        <v>48700.720590000004</v>
      </c>
      <c r="BP55" s="2013">
        <v>84463.206090000007</v>
      </c>
      <c r="BQ55" s="2013">
        <v>54893.438670000003</v>
      </c>
      <c r="BR55" s="2013">
        <v>92593.811589999998</v>
      </c>
      <c r="BS55" s="2013">
        <v>60598.840859999997</v>
      </c>
      <c r="BT55" s="2013">
        <v>100430.16220999999</v>
      </c>
      <c r="BU55" s="2013">
        <v>67235.563020000001</v>
      </c>
      <c r="BV55" s="2013">
        <v>6924.9952499999999</v>
      </c>
      <c r="BW55" s="2013">
        <v>6059.0794400000004</v>
      </c>
      <c r="BX55" s="2013">
        <v>13515.0965</v>
      </c>
      <c r="BY55" s="2013">
        <v>12477.556199999999</v>
      </c>
      <c r="BZ55" s="2013">
        <v>19372.857499999998</v>
      </c>
      <c r="CA55" s="2013">
        <v>16325.902830000001</v>
      </c>
      <c r="CB55" s="2013">
        <v>26225.853870000003</v>
      </c>
      <c r="CC55" s="2013">
        <v>20989.427949999998</v>
      </c>
      <c r="CD55" s="2013">
        <v>35255.420020000005</v>
      </c>
      <c r="CE55" s="2013">
        <v>24500.824390000002</v>
      </c>
      <c r="CF55" s="2013">
        <v>44152.252829999998</v>
      </c>
      <c r="CG55" s="2013">
        <v>28605.347600000001</v>
      </c>
      <c r="CH55" s="2013">
        <v>53700.200770000003</v>
      </c>
      <c r="CI55" s="2013">
        <v>32785.172210000004</v>
      </c>
      <c r="CJ55" s="2013">
        <v>62442.417460000004</v>
      </c>
      <c r="CK55" s="2013">
        <v>36927.090670000005</v>
      </c>
      <c r="CL55" s="2013">
        <v>70783.300749999995</v>
      </c>
      <c r="CM55" s="2013">
        <v>42220.9548</v>
      </c>
      <c r="CN55" s="2013">
        <v>78771.856629999995</v>
      </c>
      <c r="CO55" s="2013">
        <v>47018.987299999993</v>
      </c>
      <c r="CP55" s="2013">
        <v>85785.247799999997</v>
      </c>
      <c r="CQ55" s="2013">
        <v>51576.551579999999</v>
      </c>
      <c r="CR55" s="2013">
        <v>93293.501040000003</v>
      </c>
      <c r="CS55" s="2013">
        <v>56578.731959999997</v>
      </c>
      <c r="CT55" s="2013">
        <v>7106.4720900000002</v>
      </c>
      <c r="CU55" s="2013">
        <v>4708.2037799999998</v>
      </c>
      <c r="CV55" s="2013">
        <v>13847.68957</v>
      </c>
      <c r="CW55" s="2013">
        <v>9808.6905100000004</v>
      </c>
      <c r="CX55" s="2013">
        <v>20825.48516</v>
      </c>
      <c r="CY55" s="2013">
        <v>14790.49042</v>
      </c>
      <c r="CZ55" s="2013">
        <v>28712.01658</v>
      </c>
      <c r="DA55" s="2013">
        <v>21448.576300000001</v>
      </c>
      <c r="DB55" s="2013">
        <v>37600.040009999997</v>
      </c>
      <c r="DC55" s="2013">
        <v>26068.454389999999</v>
      </c>
      <c r="DD55" s="2013">
        <v>46757.772600000004</v>
      </c>
      <c r="DE55" s="2013">
        <v>32078.447889999999</v>
      </c>
      <c r="DF55" s="2013">
        <v>56557.608869999996</v>
      </c>
      <c r="DG55" s="2013">
        <v>38422.302189999995</v>
      </c>
      <c r="DH55" s="2013">
        <v>66102.299469999998</v>
      </c>
      <c r="DI55" s="2013">
        <v>45600.321469999995</v>
      </c>
      <c r="DJ55" s="2013">
        <v>74824.549950000001</v>
      </c>
      <c r="DK55" s="2013">
        <v>53144.271099999998</v>
      </c>
      <c r="DL55" s="2013">
        <v>83251.933910000007</v>
      </c>
      <c r="DM55" s="2013">
        <v>59946.431230000002</v>
      </c>
      <c r="DN55" s="2013">
        <v>91208.440730000002</v>
      </c>
      <c r="DO55" s="2013">
        <v>67041.278219999993</v>
      </c>
      <c r="DP55" s="2013">
        <v>99566.054300000003</v>
      </c>
      <c r="DQ55" s="2014">
        <v>74098.637799999997</v>
      </c>
      <c r="DR55" s="2028">
        <v>7365.7418399999997</v>
      </c>
      <c r="DS55" s="2025">
        <v>6620.0105199999998</v>
      </c>
      <c r="DT55" s="2033">
        <v>14282.49192</v>
      </c>
      <c r="DU55" s="2034">
        <v>13493.41178</v>
      </c>
      <c r="DV55" s="2028">
        <v>21705.131570000001</v>
      </c>
      <c r="DW55" s="2025">
        <v>20699.406470000002</v>
      </c>
      <c r="DX55" s="2033">
        <v>29977.026689999999</v>
      </c>
      <c r="DY55" s="2034">
        <v>28904.888569999999</v>
      </c>
      <c r="DZ55" s="2028">
        <v>39332.535779999998</v>
      </c>
      <c r="EA55" s="2025">
        <v>35942.541969999998</v>
      </c>
      <c r="EB55" s="2017">
        <v>48448.469550000002</v>
      </c>
      <c r="EC55" s="2014">
        <v>41774.70708</v>
      </c>
      <c r="ED55" s="2015">
        <v>59149.672330000001</v>
      </c>
      <c r="EE55" s="2016">
        <v>50845.696640000002</v>
      </c>
      <c r="EF55" s="2015">
        <v>69919.972590000005</v>
      </c>
      <c r="EG55" s="2016">
        <v>59505.453569999998</v>
      </c>
      <c r="EH55" s="2017">
        <v>80303.857480000006</v>
      </c>
      <c r="EI55" s="2016">
        <v>67584.016019999995</v>
      </c>
      <c r="EJ55" s="2017">
        <v>91073.342430000004</v>
      </c>
      <c r="EK55" s="2016">
        <v>75539.851720000006</v>
      </c>
      <c r="EL55" s="2015">
        <v>102219.89301</v>
      </c>
      <c r="EM55" s="2018">
        <v>82292.491569999998</v>
      </c>
      <c r="EN55" s="2015">
        <v>113843.57021999999</v>
      </c>
      <c r="EO55" s="2018">
        <v>90280.42254</v>
      </c>
      <c r="EP55" s="2015">
        <v>11271.21442</v>
      </c>
      <c r="EQ55" s="2018">
        <v>7920.0517399999999</v>
      </c>
      <c r="ER55" s="2015">
        <v>23457.885630000001</v>
      </c>
      <c r="ES55" s="2018">
        <v>17206.256659999999</v>
      </c>
      <c r="ET55" s="2015">
        <v>35667.024590000001</v>
      </c>
      <c r="EU55" s="2018">
        <v>23014.32546</v>
      </c>
      <c r="EV55" s="2015">
        <v>48167.781560000003</v>
      </c>
      <c r="EW55" s="2018">
        <v>30630.75188</v>
      </c>
      <c r="EX55" s="2015">
        <v>62945.835330000002</v>
      </c>
      <c r="EY55" s="2018">
        <v>39101.492450000005</v>
      </c>
      <c r="EZ55" s="2015">
        <v>76874.511029999994</v>
      </c>
      <c r="FA55" s="2018">
        <v>46493.464070000002</v>
      </c>
      <c r="FB55" s="2015">
        <v>92644.450599999996</v>
      </c>
      <c r="FC55" s="2018">
        <v>56655.319179999999</v>
      </c>
      <c r="FD55" s="2015">
        <v>107622.65153</v>
      </c>
      <c r="FE55" s="2018">
        <v>64770.162109999997</v>
      </c>
      <c r="FF55" s="2015">
        <v>121515.83559999999</v>
      </c>
      <c r="FG55" s="2018">
        <v>72679.01376999999</v>
      </c>
      <c r="FH55" s="2015">
        <v>135079.03260000001</v>
      </c>
      <c r="FI55" s="2018">
        <v>81912.731750000006</v>
      </c>
      <c r="FJ55" s="2015">
        <v>147793.33244999999</v>
      </c>
      <c r="FK55" s="2018">
        <v>89637.180300000007</v>
      </c>
      <c r="FL55" s="2015">
        <v>170929.51536000002</v>
      </c>
      <c r="FM55" s="2018">
        <v>97909.045209999997</v>
      </c>
      <c r="FN55" s="2015">
        <v>12330.036459999999</v>
      </c>
      <c r="FO55" s="2018">
        <v>7940.7301799999996</v>
      </c>
      <c r="FP55" s="2015">
        <v>24493.461090000001</v>
      </c>
      <c r="FQ55" s="2018">
        <v>16749.61159</v>
      </c>
      <c r="FR55" s="2015">
        <v>37009.892970000001</v>
      </c>
      <c r="FS55" s="2018">
        <v>27679.025119999998</v>
      </c>
      <c r="FT55" s="2015">
        <v>50171.105580000003</v>
      </c>
      <c r="FU55" s="2018">
        <v>40423.126900000003</v>
      </c>
      <c r="FV55" s="2015">
        <v>65315.669249999999</v>
      </c>
      <c r="FW55" s="2018">
        <f>51249.23641+17.7237</f>
        <v>51266.96011</v>
      </c>
      <c r="FX55" s="2015">
        <v>79640.895539999998</v>
      </c>
      <c r="FY55" s="2018">
        <f>57842.78875+17.7237</f>
        <v>57860.512450000002</v>
      </c>
      <c r="FZ55" s="2015">
        <v>95961.829989999998</v>
      </c>
      <c r="GA55" s="2018">
        <f>66441.26346+979.78177+17.7237</f>
        <v>67438.768930000006</v>
      </c>
      <c r="GB55" s="2015">
        <v>111675.77558</v>
      </c>
      <c r="GC55" s="2018">
        <f>79056.61784+17.7237</f>
        <v>79074.341540000009</v>
      </c>
      <c r="GD55" s="2015">
        <v>126001.92080000001</v>
      </c>
      <c r="GE55" s="2018">
        <f>92970.52309+17.7237</f>
        <v>92988.246790000005</v>
      </c>
      <c r="GF55" s="2015">
        <v>140787.44837999999</v>
      </c>
      <c r="GG55" s="2018">
        <f>105330.99006+17.7237</f>
        <v>105348.71376</v>
      </c>
      <c r="GH55" s="2015">
        <v>154172.69773000001</v>
      </c>
      <c r="GI55" s="2018">
        <f>118364.80063+17.7237</f>
        <v>118382.52433</v>
      </c>
      <c r="GJ55" s="2015">
        <v>167711.16304000001</v>
      </c>
      <c r="GK55" s="2018">
        <f>129979.70453+17.7237</f>
        <v>129997.42823</v>
      </c>
      <c r="GL55" s="2015">
        <v>12803.474410000001</v>
      </c>
      <c r="GM55" s="2018">
        <v>9477.5295499999993</v>
      </c>
      <c r="GN55" s="2015">
        <v>25069.87329</v>
      </c>
      <c r="GO55" s="2018">
        <v>19830.070629999998</v>
      </c>
      <c r="GP55" s="2015">
        <v>38529.69363000006</v>
      </c>
      <c r="GQ55" s="2018">
        <v>28019.71761</v>
      </c>
      <c r="GR55" s="2015">
        <v>53720.575270000001</v>
      </c>
      <c r="GS55" s="2018">
        <v>41631.773119999998</v>
      </c>
      <c r="GT55" s="2015">
        <v>69411.004979999998</v>
      </c>
      <c r="GU55" s="2018">
        <v>53946.066729999999</v>
      </c>
      <c r="GV55" s="1240" t="s">
        <v>3447</v>
      </c>
      <c r="GX55" s="2022"/>
      <c r="GY55" s="2022"/>
      <c r="GZ55" s="2020"/>
    </row>
    <row r="56" spans="1:208" s="1991" customFormat="1" ht="22.5" customHeight="1">
      <c r="A56" s="2019" t="s">
        <v>3220</v>
      </c>
      <c r="B56" s="2013">
        <v>2611.0838100000001</v>
      </c>
      <c r="C56" s="2013">
        <v>299.45535999999998</v>
      </c>
      <c r="D56" s="2013">
        <v>3883.3146299999999</v>
      </c>
      <c r="E56" s="2013">
        <v>593.59216000000004</v>
      </c>
      <c r="F56" s="2013">
        <v>5904.3386300000002</v>
      </c>
      <c r="G56" s="2013">
        <v>1065.8862300000001</v>
      </c>
      <c r="H56" s="2013">
        <v>7372.7953600000001</v>
      </c>
      <c r="I56" s="2013">
        <v>1245.1332399999999</v>
      </c>
      <c r="J56" s="2013">
        <v>9869.7677700000004</v>
      </c>
      <c r="K56" s="2013">
        <v>1401.1743700000002</v>
      </c>
      <c r="L56" s="2013">
        <v>11187.60773</v>
      </c>
      <c r="M56" s="2013">
        <v>1649.7900400000001</v>
      </c>
      <c r="N56" s="2013">
        <v>14292.34397</v>
      </c>
      <c r="O56" s="2013">
        <v>2024.1972499999999</v>
      </c>
      <c r="P56" s="2013">
        <v>16454.78515</v>
      </c>
      <c r="Q56" s="2013">
        <v>2320.22813</v>
      </c>
      <c r="R56" s="2013">
        <v>19079.485079999999</v>
      </c>
      <c r="S56" s="2013">
        <v>2353.5393899999999</v>
      </c>
      <c r="T56" s="2013">
        <v>21444.787850000001</v>
      </c>
      <c r="U56" s="2013">
        <v>2405.03008</v>
      </c>
      <c r="V56" s="2013">
        <v>24971.535359999998</v>
      </c>
      <c r="W56" s="2013">
        <v>2625.1581200000001</v>
      </c>
      <c r="X56" s="2013">
        <v>27928.380980000002</v>
      </c>
      <c r="Y56" s="2013">
        <v>2828.1072100000001</v>
      </c>
      <c r="Z56" s="2013">
        <v>3549.98623</v>
      </c>
      <c r="AA56" s="2013">
        <v>62.62453</v>
      </c>
      <c r="AB56" s="2013">
        <v>5094.4368700000005</v>
      </c>
      <c r="AC56" s="2013">
        <v>681.52548999999999</v>
      </c>
      <c r="AD56" s="2013">
        <v>7038.9120199999998</v>
      </c>
      <c r="AE56" s="2013">
        <v>955.05552</v>
      </c>
      <c r="AF56" s="2013">
        <v>9536.7381700000005</v>
      </c>
      <c r="AG56" s="2013">
        <v>1179.1693600000001</v>
      </c>
      <c r="AH56" s="2013">
        <v>12174.39718</v>
      </c>
      <c r="AI56" s="2013">
        <v>1439.6496399999999</v>
      </c>
      <c r="AJ56" s="2013">
        <v>15202.43648</v>
      </c>
      <c r="AK56" s="2013">
        <v>1678.7657300000001</v>
      </c>
      <c r="AL56" s="2013">
        <v>17238.29753</v>
      </c>
      <c r="AM56" s="2013">
        <v>1953.8507099999999</v>
      </c>
      <c r="AN56" s="2013">
        <v>20483.66907</v>
      </c>
      <c r="AO56" s="2013">
        <v>2169.6173399999998</v>
      </c>
      <c r="AP56" s="2013">
        <v>23506.90091</v>
      </c>
      <c r="AQ56" s="2013">
        <v>2912.7456099999999</v>
      </c>
      <c r="AR56" s="2013">
        <v>25299.251769999999</v>
      </c>
      <c r="AS56" s="2013">
        <v>3284.0598199999999</v>
      </c>
      <c r="AT56" s="2013">
        <v>27000.345600000001</v>
      </c>
      <c r="AU56" s="2013">
        <v>3609.9614500000002</v>
      </c>
      <c r="AV56" s="2013">
        <v>30364.470450000001</v>
      </c>
      <c r="AW56" s="2013">
        <v>4025.1817900000001</v>
      </c>
      <c r="AX56" s="2013">
        <v>5947.4026900000008</v>
      </c>
      <c r="AY56" s="2013">
        <v>306.60578999999996</v>
      </c>
      <c r="AZ56" s="2013">
        <v>7870.90589</v>
      </c>
      <c r="BA56" s="2013">
        <v>669.96225000000004</v>
      </c>
      <c r="BB56" s="2013">
        <v>9157.9690300000002</v>
      </c>
      <c r="BC56" s="2013">
        <v>1097.06394</v>
      </c>
      <c r="BD56" s="2013">
        <v>12841.251900000001</v>
      </c>
      <c r="BE56" s="2013">
        <v>1486.91823</v>
      </c>
      <c r="BF56" s="2013">
        <v>16187.461070000001</v>
      </c>
      <c r="BG56" s="2013">
        <v>1984.7363300000002</v>
      </c>
      <c r="BH56" s="2013">
        <v>17849.47177</v>
      </c>
      <c r="BI56" s="2013">
        <v>2571.90083</v>
      </c>
      <c r="BJ56" s="2013">
        <v>21367.308510000003</v>
      </c>
      <c r="BK56" s="2013">
        <v>3054.4621099999999</v>
      </c>
      <c r="BL56" s="2013">
        <v>25382.122230000001</v>
      </c>
      <c r="BM56" s="2013">
        <v>3497.0670299999997</v>
      </c>
      <c r="BN56" s="2013">
        <v>28430.533030000002</v>
      </c>
      <c r="BO56" s="2013">
        <v>3939.0550400000002</v>
      </c>
      <c r="BP56" s="2013">
        <v>30415.826949999999</v>
      </c>
      <c r="BQ56" s="2013">
        <v>4340.4448499999999</v>
      </c>
      <c r="BR56" s="2013">
        <v>32171.536030000003</v>
      </c>
      <c r="BS56" s="2013">
        <v>4857.2018499999995</v>
      </c>
      <c r="BT56" s="2013">
        <v>43426.783340000002</v>
      </c>
      <c r="BU56" s="2013">
        <v>5414.9928499999996</v>
      </c>
      <c r="BV56" s="2013">
        <v>10873.948410000001</v>
      </c>
      <c r="BW56" s="2013">
        <v>801.13264000000004</v>
      </c>
      <c r="BX56" s="2013">
        <v>14698.168300000001</v>
      </c>
      <c r="BY56" s="2013">
        <v>1360.98811</v>
      </c>
      <c r="BZ56" s="2013">
        <v>17845.278879999998</v>
      </c>
      <c r="CA56" s="2013">
        <v>1403.65192</v>
      </c>
      <c r="CB56" s="2013">
        <v>21326.394530000001</v>
      </c>
      <c r="CC56" s="2013">
        <v>2211.4360699999997</v>
      </c>
      <c r="CD56" s="2013">
        <v>23879.139789999997</v>
      </c>
      <c r="CE56" s="2013">
        <v>2359.61303</v>
      </c>
      <c r="CF56" s="2013">
        <v>25720.901610000001</v>
      </c>
      <c r="CG56" s="2013">
        <v>2689.4010200000002</v>
      </c>
      <c r="CH56" s="2013">
        <v>28003.722949999999</v>
      </c>
      <c r="CI56" s="2013">
        <v>2780.2257300000001</v>
      </c>
      <c r="CJ56" s="2013">
        <v>30114.643649999998</v>
      </c>
      <c r="CK56" s="2013">
        <v>3001.24656</v>
      </c>
      <c r="CL56" s="2013">
        <v>34768.446299999996</v>
      </c>
      <c r="CM56" s="2013">
        <v>3478.0721800000001</v>
      </c>
      <c r="CN56" s="2013">
        <v>36720.450020000004</v>
      </c>
      <c r="CO56" s="2013">
        <v>3634.0485099999996</v>
      </c>
      <c r="CP56" s="2013">
        <v>38679.121579999999</v>
      </c>
      <c r="CQ56" s="2013">
        <v>3702.1585800000003</v>
      </c>
      <c r="CR56" s="2013">
        <v>46140.777719999998</v>
      </c>
      <c r="CS56" s="2013">
        <v>3864.91579</v>
      </c>
      <c r="CT56" s="2013">
        <v>7889.80242</v>
      </c>
      <c r="CU56" s="2013">
        <v>113.41139</v>
      </c>
      <c r="CV56" s="2013">
        <v>16323.226359999999</v>
      </c>
      <c r="CW56" s="2013">
        <v>295.55734000000001</v>
      </c>
      <c r="CX56" s="2013">
        <v>23841.23934</v>
      </c>
      <c r="CY56" s="2013">
        <v>450.08981</v>
      </c>
      <c r="CZ56" s="2013">
        <v>27966.42411</v>
      </c>
      <c r="DA56" s="2013">
        <v>620.79999999999995</v>
      </c>
      <c r="DB56" s="2013">
        <v>29898.811969999999</v>
      </c>
      <c r="DC56" s="2013">
        <v>657.64907999999991</v>
      </c>
      <c r="DD56" s="2013">
        <v>32086.317930000001</v>
      </c>
      <c r="DE56" s="2013">
        <v>787.03570999999999</v>
      </c>
      <c r="DF56" s="2013">
        <v>33994.317900000002</v>
      </c>
      <c r="DG56" s="2013">
        <v>925.91916000000003</v>
      </c>
      <c r="DH56" s="2013">
        <v>38211.445729999999</v>
      </c>
      <c r="DI56" s="2013">
        <v>1106.5046200000002</v>
      </c>
      <c r="DJ56" s="2013">
        <v>50155.401389999999</v>
      </c>
      <c r="DK56" s="2013">
        <v>1289.6922400000001</v>
      </c>
      <c r="DL56" s="2013">
        <v>53595.581180000001</v>
      </c>
      <c r="DM56" s="2013">
        <v>1533.7422799999999</v>
      </c>
      <c r="DN56" s="2013">
        <v>56065.96355</v>
      </c>
      <c r="DO56" s="2013">
        <v>1615.0265899999999</v>
      </c>
      <c r="DP56" s="2013">
        <v>62502.186589999998</v>
      </c>
      <c r="DQ56" s="2014">
        <v>1919.08104</v>
      </c>
      <c r="DR56" s="2028">
        <v>6525.4672099999998</v>
      </c>
      <c r="DS56" s="2025">
        <v>65.340789999999998</v>
      </c>
      <c r="DT56" s="2033">
        <v>9074.2080600000008</v>
      </c>
      <c r="DU56" s="2034">
        <v>105.61803</v>
      </c>
      <c r="DV56" s="2028">
        <v>25252.089240000001</v>
      </c>
      <c r="DW56" s="2025">
        <v>275.2516</v>
      </c>
      <c r="DX56" s="2033">
        <v>30187.770509999998</v>
      </c>
      <c r="DY56" s="2034">
        <v>354.92338999999998</v>
      </c>
      <c r="DZ56" s="2028">
        <v>32174.102859999999</v>
      </c>
      <c r="EA56" s="2025">
        <v>437.88474000000002</v>
      </c>
      <c r="EB56" s="2017">
        <v>35320.4738</v>
      </c>
      <c r="EC56" s="2014">
        <v>538.47394999999995</v>
      </c>
      <c r="ED56" s="2015">
        <v>36734.395620000003</v>
      </c>
      <c r="EE56" s="2016">
        <v>609.17765999999995</v>
      </c>
      <c r="EF56" s="2015">
        <v>41081.033239999997</v>
      </c>
      <c r="EG56" s="2016">
        <v>747.64139</v>
      </c>
      <c r="EH56" s="2017">
        <v>43361.79103</v>
      </c>
      <c r="EI56" s="2016">
        <v>918.33802000000003</v>
      </c>
      <c r="EJ56" s="2017">
        <v>45688.253429999997</v>
      </c>
      <c r="EK56" s="2016">
        <v>963.18551000000002</v>
      </c>
      <c r="EL56" s="2015">
        <v>49164.258970000003</v>
      </c>
      <c r="EM56" s="2018">
        <v>1003.21675</v>
      </c>
      <c r="EN56" s="2015">
        <v>53979.716119999997</v>
      </c>
      <c r="EO56" s="2018">
        <v>1095.19118</v>
      </c>
      <c r="EP56" s="2015">
        <v>2625.26602</v>
      </c>
      <c r="EQ56" s="2018">
        <v>140.42845</v>
      </c>
      <c r="ER56" s="2015">
        <v>13519.53428</v>
      </c>
      <c r="ES56" s="2018">
        <v>249.39256</v>
      </c>
      <c r="ET56" s="2015">
        <v>36440.514589999999</v>
      </c>
      <c r="EU56" s="2018">
        <v>390.83485999999999</v>
      </c>
      <c r="EV56" s="2015">
        <v>46450.296739999998</v>
      </c>
      <c r="EW56" s="2018">
        <v>605.03204000000005</v>
      </c>
      <c r="EX56" s="2015">
        <v>52769.073320000003</v>
      </c>
      <c r="EY56" s="2018">
        <v>878.46010999999999</v>
      </c>
      <c r="EZ56" s="2015">
        <v>56110.884239999999</v>
      </c>
      <c r="FA56" s="2018">
        <v>2177.6522999999997</v>
      </c>
      <c r="FB56" s="2015">
        <v>58920.493909999997</v>
      </c>
      <c r="FC56" s="2018">
        <v>3240.90717</v>
      </c>
      <c r="FD56" s="2015">
        <v>63403.593560000001</v>
      </c>
      <c r="FE56" s="2018">
        <v>4737.2744599999996</v>
      </c>
      <c r="FF56" s="2015">
        <v>66704.058210000003</v>
      </c>
      <c r="FG56" s="2018">
        <v>4845.6781300000002</v>
      </c>
      <c r="FH56" s="2015">
        <v>68665.352410000007</v>
      </c>
      <c r="FI56" s="2018">
        <v>5242.2317400000002</v>
      </c>
      <c r="FJ56" s="2015">
        <v>72609.522270000001</v>
      </c>
      <c r="FK56" s="2018">
        <v>5550.5240800000001</v>
      </c>
      <c r="FL56" s="2015">
        <v>78201.5095</v>
      </c>
      <c r="FM56" s="2018">
        <v>5726.4685999999992</v>
      </c>
      <c r="FN56" s="2015">
        <v>3571.1022600000001</v>
      </c>
      <c r="FO56" s="2018">
        <v>88.315860000000001</v>
      </c>
      <c r="FP56" s="2015">
        <v>10358.275310000001</v>
      </c>
      <c r="FQ56" s="2018">
        <v>214.2038</v>
      </c>
      <c r="FR56" s="2015">
        <v>36893.299579999999</v>
      </c>
      <c r="FS56" s="2018">
        <v>560.33105999999998</v>
      </c>
      <c r="FT56" s="2015">
        <v>48282.817139999999</v>
      </c>
      <c r="FU56" s="2018">
        <v>706.80768999999998</v>
      </c>
      <c r="FV56" s="2015">
        <v>53728.93593</v>
      </c>
      <c r="FW56" s="2018">
        <v>952.86282000000006</v>
      </c>
      <c r="FX56" s="2015">
        <v>56273.013570000003</v>
      </c>
      <c r="FY56" s="2018">
        <v>1188.3000199999999</v>
      </c>
      <c r="FZ56" s="2015">
        <v>59282.418940000003</v>
      </c>
      <c r="GA56" s="2018">
        <f>1770.18506+2.1382</f>
        <v>1772.3232600000001</v>
      </c>
      <c r="GB56" s="2015">
        <v>62569.766389999997</v>
      </c>
      <c r="GC56" s="2018">
        <v>2043.93155</v>
      </c>
      <c r="GD56" s="2015">
        <v>66385.612080000006</v>
      </c>
      <c r="GE56" s="2018">
        <v>2366.73108</v>
      </c>
      <c r="GF56" s="2015">
        <v>70943.287330000006</v>
      </c>
      <c r="GG56" s="2018">
        <v>2563.0825500000001</v>
      </c>
      <c r="GH56" s="2015">
        <v>75043.121780000001</v>
      </c>
      <c r="GI56" s="2018">
        <v>2936.7225199999998</v>
      </c>
      <c r="GJ56" s="2015">
        <v>82698.718720000004</v>
      </c>
      <c r="GK56" s="2018">
        <v>3310.2478299999998</v>
      </c>
      <c r="GL56" s="2015">
        <v>3913.7904199999998</v>
      </c>
      <c r="GM56" s="2018">
        <v>204.33747</v>
      </c>
      <c r="GN56" s="2015">
        <v>19477.791550000002</v>
      </c>
      <c r="GO56" s="2018">
        <v>666.68705</v>
      </c>
      <c r="GP56" s="2015">
        <v>28170.80302000001</v>
      </c>
      <c r="GQ56" s="2018">
        <v>832.49974999999995</v>
      </c>
      <c r="GR56" s="2015">
        <v>44757.114320000001</v>
      </c>
      <c r="GS56" s="2018">
        <v>976.27466000000004</v>
      </c>
      <c r="GT56" s="2015">
        <v>54046.372940000001</v>
      </c>
      <c r="GU56" s="2018">
        <v>1156.3648000000001</v>
      </c>
      <c r="GV56" s="2019" t="s">
        <v>3215</v>
      </c>
      <c r="GX56" s="2022"/>
    </row>
    <row r="57" spans="1:208" s="1991" customFormat="1" ht="22.5" customHeight="1">
      <c r="A57" s="2019" t="s">
        <v>3221</v>
      </c>
      <c r="B57" s="2013">
        <v>41.25</v>
      </c>
      <c r="C57" s="2013">
        <v>0.83399999999999996</v>
      </c>
      <c r="D57" s="2013">
        <v>57.430999999999997</v>
      </c>
      <c r="E57" s="2013">
        <v>0.83399999999999996</v>
      </c>
      <c r="F57" s="2013">
        <v>72.75</v>
      </c>
      <c r="G57" s="2013">
        <v>18.055029999999999</v>
      </c>
      <c r="H57" s="2013">
        <v>119.122</v>
      </c>
      <c r="I57" s="2013">
        <v>18.055029999999999</v>
      </c>
      <c r="J57" s="2013">
        <v>141.30199999999999</v>
      </c>
      <c r="K57" s="2013">
        <v>18.40503</v>
      </c>
      <c r="L57" s="2013">
        <v>157.04599999999999</v>
      </c>
      <c r="M57" s="2013">
        <v>18.40503</v>
      </c>
      <c r="N57" s="2013">
        <v>172.70453000000001</v>
      </c>
      <c r="O57" s="2013">
        <v>20.833470000000002</v>
      </c>
      <c r="P57" s="2013">
        <v>196.04453000000001</v>
      </c>
      <c r="Q57" s="2013">
        <v>20.833470000000002</v>
      </c>
      <c r="R57" s="2013">
        <v>210.11453</v>
      </c>
      <c r="S57" s="2013">
        <v>22.833470000000002</v>
      </c>
      <c r="T57" s="2013">
        <v>237.57453000000001</v>
      </c>
      <c r="U57" s="2013">
        <v>23.533470000000001</v>
      </c>
      <c r="V57" s="2013">
        <v>273.53568999999999</v>
      </c>
      <c r="W57" s="2013">
        <v>23.533470000000001</v>
      </c>
      <c r="X57" s="2013">
        <v>296.07369</v>
      </c>
      <c r="Y57" s="2013">
        <v>23.533470000000001</v>
      </c>
      <c r="Z57" s="2013">
        <v>44.495699999999999</v>
      </c>
      <c r="AA57" s="2013">
        <v>22.031200000000002</v>
      </c>
      <c r="AB57" s="2013">
        <v>72.960719999999995</v>
      </c>
      <c r="AC57" s="2013">
        <v>22.031200000000002</v>
      </c>
      <c r="AD57" s="2013">
        <v>79.492550000000008</v>
      </c>
      <c r="AE57" s="2013">
        <v>22.030999999999999</v>
      </c>
      <c r="AF57" s="2013">
        <v>139.08255</v>
      </c>
      <c r="AG57" s="2013">
        <v>22.031200000000002</v>
      </c>
      <c r="AH57" s="2013">
        <v>165.57254999999998</v>
      </c>
      <c r="AI57" s="2013">
        <v>65.878969999999995</v>
      </c>
      <c r="AJ57" s="2013">
        <v>179.25254999999999</v>
      </c>
      <c r="AK57" s="2013">
        <v>69.785229999999999</v>
      </c>
      <c r="AL57" s="2013">
        <v>193.43254999999999</v>
      </c>
      <c r="AM57" s="2013">
        <v>69.735230000000001</v>
      </c>
      <c r="AN57" s="2013">
        <v>209.12254999999999</v>
      </c>
      <c r="AO57" s="2013">
        <v>71.482929999999996</v>
      </c>
      <c r="AP57" s="2013">
        <v>224.49254999999999</v>
      </c>
      <c r="AQ57" s="2013">
        <v>72.628929999999997</v>
      </c>
      <c r="AR57" s="2013">
        <v>249.32254999999998</v>
      </c>
      <c r="AS57" s="2013">
        <v>64.978930000000005</v>
      </c>
      <c r="AT57" s="2013">
        <v>270.29255000000001</v>
      </c>
      <c r="AU57" s="2013">
        <v>64.978930000000005</v>
      </c>
      <c r="AV57" s="2013">
        <v>299.40254999999996</v>
      </c>
      <c r="AW57" s="2013">
        <v>83.705169999999995</v>
      </c>
      <c r="AX57" s="2013">
        <v>5.88</v>
      </c>
      <c r="AY57" s="2013">
        <v>0</v>
      </c>
      <c r="AZ57" s="2013">
        <v>85.65</v>
      </c>
      <c r="BA57" s="2013">
        <v>0</v>
      </c>
      <c r="BB57" s="2013">
        <v>102.6</v>
      </c>
      <c r="BC57" s="2013">
        <v>0</v>
      </c>
      <c r="BD57" s="2013">
        <v>166.83</v>
      </c>
      <c r="BE57" s="2013">
        <v>0</v>
      </c>
      <c r="BF57" s="2013">
        <v>207.67</v>
      </c>
      <c r="BG57" s="2013">
        <v>0</v>
      </c>
      <c r="BH57" s="2013">
        <v>226.69</v>
      </c>
      <c r="BI57" s="2013">
        <v>0</v>
      </c>
      <c r="BJ57" s="2013">
        <v>255.04</v>
      </c>
      <c r="BK57" s="2013">
        <v>0</v>
      </c>
      <c r="BL57" s="2013">
        <v>273.91000000000003</v>
      </c>
      <c r="BM57" s="2013">
        <v>0</v>
      </c>
      <c r="BN57" s="2013">
        <v>296.08</v>
      </c>
      <c r="BO57" s="2013">
        <v>0</v>
      </c>
      <c r="BP57" s="2013">
        <v>325.39</v>
      </c>
      <c r="BQ57" s="2013">
        <v>5.3014599999999996</v>
      </c>
      <c r="BR57" s="2013">
        <v>354.97</v>
      </c>
      <c r="BS57" s="2013">
        <v>5.3014599999999996</v>
      </c>
      <c r="BT57" s="2013">
        <v>403.64</v>
      </c>
      <c r="BU57" s="2013">
        <v>0.60499999999999998</v>
      </c>
      <c r="BV57" s="2013">
        <v>56.73</v>
      </c>
      <c r="BW57" s="2013">
        <v>0</v>
      </c>
      <c r="BX57" s="2013">
        <v>92.22</v>
      </c>
      <c r="BY57" s="2013">
        <v>1.44668</v>
      </c>
      <c r="BZ57" s="2013">
        <v>121.8</v>
      </c>
      <c r="CA57" s="2013">
        <v>1.44668</v>
      </c>
      <c r="CB57" s="2013">
        <v>175.47</v>
      </c>
      <c r="CC57" s="2013">
        <v>1.44668</v>
      </c>
      <c r="CD57" s="2013">
        <v>197.13</v>
      </c>
      <c r="CE57" s="2013">
        <v>1.44668</v>
      </c>
      <c r="CF57" s="2013">
        <v>214.74</v>
      </c>
      <c r="CG57" s="2013">
        <v>13.79668</v>
      </c>
      <c r="CH57" s="2013">
        <v>231.81</v>
      </c>
      <c r="CI57" s="2013">
        <v>14.24668</v>
      </c>
      <c r="CJ57" s="2013">
        <v>262.56</v>
      </c>
      <c r="CK57" s="2013">
        <v>20.30368</v>
      </c>
      <c r="CL57" s="2013">
        <v>293.94</v>
      </c>
      <c r="CM57" s="2013">
        <v>20.703679999999999</v>
      </c>
      <c r="CN57" s="2013">
        <v>314.80500000000001</v>
      </c>
      <c r="CO57" s="2013">
        <v>22.74268</v>
      </c>
      <c r="CP57" s="2013">
        <v>340.245</v>
      </c>
      <c r="CQ57" s="2013">
        <v>22.74268</v>
      </c>
      <c r="CR57" s="2013">
        <v>407.77499999999998</v>
      </c>
      <c r="CS57" s="2013">
        <v>22.74268</v>
      </c>
      <c r="CT57" s="2013">
        <v>124.56</v>
      </c>
      <c r="CU57" s="2013">
        <v>3.6637499999999998</v>
      </c>
      <c r="CV57" s="2013">
        <v>221.886</v>
      </c>
      <c r="CW57" s="2013">
        <v>5.0137499999999999</v>
      </c>
      <c r="CX57" s="2013">
        <v>435.30599999999998</v>
      </c>
      <c r="CY57" s="2013">
        <v>5.0137499999999999</v>
      </c>
      <c r="CZ57" s="2013">
        <v>518.27850000000001</v>
      </c>
      <c r="DA57" s="2013">
        <v>5.8237500000000004</v>
      </c>
      <c r="DB57" s="2013">
        <v>541.91849999999999</v>
      </c>
      <c r="DC57" s="2013">
        <v>7.0667499999999999</v>
      </c>
      <c r="DD57" s="2013">
        <v>572.0385</v>
      </c>
      <c r="DE57" s="2013">
        <v>22.77675</v>
      </c>
      <c r="DF57" s="2013">
        <v>588.74249999999995</v>
      </c>
      <c r="DG57" s="2013">
        <v>22.77675</v>
      </c>
      <c r="DH57" s="2013">
        <v>621.62249999999995</v>
      </c>
      <c r="DI57" s="2013">
        <v>23.600750000000001</v>
      </c>
      <c r="DJ57" s="2013">
        <v>682.97249999999997</v>
      </c>
      <c r="DK57" s="2013">
        <v>23.600750000000001</v>
      </c>
      <c r="DL57" s="2013">
        <v>729.03899999999999</v>
      </c>
      <c r="DM57" s="2013">
        <v>23.600750000000001</v>
      </c>
      <c r="DN57" s="2013">
        <v>775.86900000000003</v>
      </c>
      <c r="DO57" s="2013">
        <v>28.700749999999999</v>
      </c>
      <c r="DP57" s="2013">
        <v>834.03899999999999</v>
      </c>
      <c r="DQ57" s="2014">
        <v>29.14875</v>
      </c>
      <c r="DR57" s="2028">
        <v>112.71</v>
      </c>
      <c r="DS57" s="2025">
        <v>0</v>
      </c>
      <c r="DT57" s="2033">
        <v>155.52000000000001</v>
      </c>
      <c r="DU57" s="2034">
        <v>0</v>
      </c>
      <c r="DV57" s="2028">
        <v>392.32060000000001</v>
      </c>
      <c r="DW57" s="2025">
        <v>0</v>
      </c>
      <c r="DX57" s="2033">
        <v>591.95259999999996</v>
      </c>
      <c r="DY57" s="2034">
        <v>0.25</v>
      </c>
      <c r="DZ57" s="2028">
        <v>615.89260000000002</v>
      </c>
      <c r="EA57" s="2025">
        <v>0.25</v>
      </c>
      <c r="EB57" s="2017">
        <v>683.0326</v>
      </c>
      <c r="EC57" s="2014">
        <v>14.98</v>
      </c>
      <c r="ED57" s="2015">
        <v>697.67259999999999</v>
      </c>
      <c r="EE57" s="2016">
        <v>18.27</v>
      </c>
      <c r="EF57" s="2015">
        <v>723.05259999999998</v>
      </c>
      <c r="EG57" s="2016">
        <v>28.499700000000001</v>
      </c>
      <c r="EH57" s="2017">
        <v>749.87260000000003</v>
      </c>
      <c r="EI57" s="2016">
        <v>28.499700000000001</v>
      </c>
      <c r="EJ57" s="2017">
        <v>791.99260000000004</v>
      </c>
      <c r="EK57" s="2016">
        <v>28.499700000000001</v>
      </c>
      <c r="EL57" s="2015">
        <v>819.92259999999999</v>
      </c>
      <c r="EM57" s="2018">
        <v>29.0505</v>
      </c>
      <c r="EN57" s="2015">
        <v>914.21259999999995</v>
      </c>
      <c r="EO57" s="2018">
        <v>29.752500000000001</v>
      </c>
      <c r="EP57" s="2015">
        <v>35.159999999999997</v>
      </c>
      <c r="EQ57" s="2018">
        <v>1.95061</v>
      </c>
      <c r="ER57" s="2015">
        <v>120.93</v>
      </c>
      <c r="ES57" s="2018">
        <v>1.95061</v>
      </c>
      <c r="ET57" s="2015">
        <v>322.87049999999999</v>
      </c>
      <c r="EU57" s="2018">
        <v>1.95061</v>
      </c>
      <c r="EV57" s="2015">
        <v>680.02059999999994</v>
      </c>
      <c r="EW57" s="2018">
        <v>8.4906100000000002</v>
      </c>
      <c r="EX57" s="2015">
        <v>726.38260000000002</v>
      </c>
      <c r="EY57" s="2018">
        <v>8.4906100000000002</v>
      </c>
      <c r="EZ57" s="2015">
        <v>749.95570999999995</v>
      </c>
      <c r="FA57" s="2018">
        <v>8.4906100000000002</v>
      </c>
      <c r="FB57" s="2015">
        <v>801.98259999999993</v>
      </c>
      <c r="FC57" s="2018">
        <v>8.7686100000000007</v>
      </c>
      <c r="FD57" s="2015">
        <v>878.42259999999999</v>
      </c>
      <c r="FE57" s="2018">
        <v>10.277609999999999</v>
      </c>
      <c r="FF57" s="2015">
        <v>910.30359999999996</v>
      </c>
      <c r="FG57" s="2018">
        <v>16.127610000000001</v>
      </c>
      <c r="FH57" s="2015">
        <v>946.18359999999996</v>
      </c>
      <c r="FI57" s="2018">
        <v>16.127610000000001</v>
      </c>
      <c r="FJ57" s="2015">
        <v>1031.9836</v>
      </c>
      <c r="FK57" s="2018">
        <v>19.629719999999999</v>
      </c>
      <c r="FL57" s="2015">
        <v>1152.7858000000001</v>
      </c>
      <c r="FM57" s="2018">
        <v>21.955719999999999</v>
      </c>
      <c r="FN57" s="2015">
        <v>60.060099999999998</v>
      </c>
      <c r="FO57" s="2018">
        <v>0.84799999999999998</v>
      </c>
      <c r="FP57" s="2015">
        <v>130.55439000000001</v>
      </c>
      <c r="FQ57" s="2018">
        <v>25.847999999999999</v>
      </c>
      <c r="FR57" s="2015">
        <v>305.36511000000002</v>
      </c>
      <c r="FS57" s="2018">
        <v>81.397000000000006</v>
      </c>
      <c r="FT57" s="2015">
        <v>624.81614000000002</v>
      </c>
      <c r="FU57" s="2018">
        <v>83.587199999999996</v>
      </c>
      <c r="FV57" s="2015">
        <v>714.12613999999996</v>
      </c>
      <c r="FW57" s="2018">
        <v>99.587199999999996</v>
      </c>
      <c r="FX57" s="2015">
        <v>752.34313999999995</v>
      </c>
      <c r="FY57" s="2018">
        <v>99.587199999999996</v>
      </c>
      <c r="FZ57" s="2015">
        <v>779.07313999999997</v>
      </c>
      <c r="GA57" s="2018">
        <v>97.448999999999998</v>
      </c>
      <c r="GB57" s="2015">
        <v>806.04313999999999</v>
      </c>
      <c r="GC57" s="2018">
        <v>99.587199999999996</v>
      </c>
      <c r="GD57" s="2015">
        <v>844.35314000000005</v>
      </c>
      <c r="GE57" s="2018">
        <v>104.5742</v>
      </c>
      <c r="GF57" s="2015">
        <v>920.13013999999998</v>
      </c>
      <c r="GG57" s="2018">
        <v>104.5742</v>
      </c>
      <c r="GH57" s="2015">
        <v>948.24014</v>
      </c>
      <c r="GI57" s="2018">
        <v>104.5742</v>
      </c>
      <c r="GJ57" s="2015">
        <v>1103.1169400000001</v>
      </c>
      <c r="GK57" s="2018">
        <v>158.82419999999999</v>
      </c>
      <c r="GL57" s="2015">
        <v>54.125320000000002</v>
      </c>
      <c r="GM57" s="2018">
        <v>0</v>
      </c>
      <c r="GN57" s="2015">
        <v>129.69532000000001</v>
      </c>
      <c r="GO57" s="2018">
        <v>1</v>
      </c>
      <c r="GP57" s="2015">
        <v>251.35634999999999</v>
      </c>
      <c r="GQ57" s="2018">
        <v>1</v>
      </c>
      <c r="GR57" s="2015">
        <v>499.14175</v>
      </c>
      <c r="GS57" s="2018">
        <v>1</v>
      </c>
      <c r="GT57" s="2015">
        <v>605.83587</v>
      </c>
      <c r="GU57" s="2018">
        <v>8.5839999999999996</v>
      </c>
      <c r="GV57" s="2019" t="s">
        <v>3448</v>
      </c>
    </row>
    <row r="58" spans="1:208" s="1991" customFormat="1" ht="42.75" customHeight="1">
      <c r="A58" s="2019" t="s">
        <v>3222</v>
      </c>
      <c r="B58" s="2013">
        <v>5.992</v>
      </c>
      <c r="C58" s="2013">
        <v>0</v>
      </c>
      <c r="D58" s="2013">
        <v>13.923</v>
      </c>
      <c r="E58" s="2013">
        <v>0</v>
      </c>
      <c r="F58" s="2013">
        <v>16.64</v>
      </c>
      <c r="G58" s="2013">
        <v>0</v>
      </c>
      <c r="H58" s="2013">
        <v>54.682000000000002</v>
      </c>
      <c r="I58" s="2013">
        <v>0</v>
      </c>
      <c r="J58" s="2013">
        <v>55.334000000000003</v>
      </c>
      <c r="K58" s="2013">
        <v>0</v>
      </c>
      <c r="L58" s="2013">
        <v>56</v>
      </c>
      <c r="M58" s="2013">
        <v>0</v>
      </c>
      <c r="N58" s="2013">
        <v>64.468999999999994</v>
      </c>
      <c r="O58" s="2013">
        <v>0</v>
      </c>
      <c r="P58" s="2013">
        <v>67.605000000000004</v>
      </c>
      <c r="Q58" s="2013">
        <v>0</v>
      </c>
      <c r="R58" s="2013">
        <v>81.463999999999999</v>
      </c>
      <c r="S58" s="2013">
        <v>0</v>
      </c>
      <c r="T58" s="2013">
        <v>82.394000000000005</v>
      </c>
      <c r="U58" s="2013">
        <v>0</v>
      </c>
      <c r="V58" s="2013">
        <v>93.507999999999996</v>
      </c>
      <c r="W58" s="2013">
        <v>0</v>
      </c>
      <c r="X58" s="2013">
        <v>103.82599999999999</v>
      </c>
      <c r="Y58" s="2013">
        <v>0</v>
      </c>
      <c r="Z58" s="2013">
        <v>25.834</v>
      </c>
      <c r="AA58" s="2013">
        <v>0</v>
      </c>
      <c r="AB58" s="2013">
        <v>31.209</v>
      </c>
      <c r="AC58" s="2013">
        <v>0</v>
      </c>
      <c r="AD58" s="2013">
        <v>32.668999999999997</v>
      </c>
      <c r="AE58" s="2013">
        <v>0</v>
      </c>
      <c r="AF58" s="2013">
        <v>69.477999999999994</v>
      </c>
      <c r="AG58" s="2013">
        <v>0</v>
      </c>
      <c r="AH58" s="2013">
        <v>69.561999999999998</v>
      </c>
      <c r="AI58" s="2013">
        <v>0</v>
      </c>
      <c r="AJ58" s="2013">
        <v>70.227999999999994</v>
      </c>
      <c r="AK58" s="2013">
        <v>0</v>
      </c>
      <c r="AL58" s="2013">
        <v>70.227999999999994</v>
      </c>
      <c r="AM58" s="2013">
        <v>0</v>
      </c>
      <c r="AN58" s="2013">
        <v>70.227999999999994</v>
      </c>
      <c r="AO58" s="2013">
        <v>0</v>
      </c>
      <c r="AP58" s="2013">
        <v>88.965000000000003</v>
      </c>
      <c r="AQ58" s="2013">
        <v>0</v>
      </c>
      <c r="AR58" s="2013">
        <v>89.444999999999993</v>
      </c>
      <c r="AS58" s="2013">
        <v>0</v>
      </c>
      <c r="AT58" s="2013">
        <v>100.599</v>
      </c>
      <c r="AU58" s="2013">
        <v>0</v>
      </c>
      <c r="AV58" s="2013">
        <v>112.839</v>
      </c>
      <c r="AW58" s="2013">
        <v>0</v>
      </c>
      <c r="AX58" s="2013">
        <v>0</v>
      </c>
      <c r="AY58" s="2013">
        <v>166.1</v>
      </c>
      <c r="AZ58" s="2013">
        <v>31.038</v>
      </c>
      <c r="BA58" s="2013">
        <v>0</v>
      </c>
      <c r="BB58" s="2013">
        <v>31.745999999999999</v>
      </c>
      <c r="BC58" s="2013">
        <v>0</v>
      </c>
      <c r="BD58" s="2013">
        <v>65.935000000000002</v>
      </c>
      <c r="BE58" s="2013">
        <v>0</v>
      </c>
      <c r="BF58" s="2013">
        <v>66.486999999999995</v>
      </c>
      <c r="BG58" s="2013">
        <v>0</v>
      </c>
      <c r="BH58" s="2013">
        <v>67.027000000000001</v>
      </c>
      <c r="BI58" s="2013">
        <v>0</v>
      </c>
      <c r="BJ58" s="2013">
        <v>67.722999999999999</v>
      </c>
      <c r="BK58" s="2013">
        <v>0</v>
      </c>
      <c r="BL58" s="2013">
        <v>67.722999999999999</v>
      </c>
      <c r="BM58" s="2013">
        <v>0</v>
      </c>
      <c r="BN58" s="2013">
        <v>86.209000000000003</v>
      </c>
      <c r="BO58" s="2013">
        <v>0</v>
      </c>
      <c r="BP58" s="2013">
        <v>96.313000000000002</v>
      </c>
      <c r="BQ58" s="2013">
        <v>0</v>
      </c>
      <c r="BR58" s="2013">
        <v>108.367</v>
      </c>
      <c r="BS58" s="2013">
        <v>0</v>
      </c>
      <c r="BT58" s="2013">
        <v>109.333</v>
      </c>
      <c r="BU58" s="2013">
        <v>0</v>
      </c>
      <c r="BV58" s="2013">
        <v>5.88</v>
      </c>
      <c r="BW58" s="2013">
        <v>0</v>
      </c>
      <c r="BX58" s="2013">
        <v>14.055</v>
      </c>
      <c r="BY58" s="2013">
        <v>0</v>
      </c>
      <c r="BZ58" s="2013">
        <v>41.558</v>
      </c>
      <c r="CA58" s="2013">
        <v>0</v>
      </c>
      <c r="CB58" s="2013">
        <v>74.856999999999999</v>
      </c>
      <c r="CC58" s="2013">
        <v>0</v>
      </c>
      <c r="CD58" s="2013">
        <v>74.941000000000003</v>
      </c>
      <c r="CE58" s="2013">
        <v>0</v>
      </c>
      <c r="CF58" s="2013">
        <v>75.210999999999999</v>
      </c>
      <c r="CG58" s="2013">
        <v>0</v>
      </c>
      <c r="CH58" s="2013">
        <v>75.840999999999994</v>
      </c>
      <c r="CI58" s="2013">
        <v>0</v>
      </c>
      <c r="CJ58" s="2013">
        <v>75.840999999999994</v>
      </c>
      <c r="CK58" s="2013">
        <v>0</v>
      </c>
      <c r="CL58" s="2013">
        <v>83.721000000000004</v>
      </c>
      <c r="CM58" s="2013">
        <v>0</v>
      </c>
      <c r="CN58" s="2013">
        <v>85.561000000000007</v>
      </c>
      <c r="CO58" s="2013">
        <v>0</v>
      </c>
      <c r="CP58" s="2013">
        <v>106.53100000000001</v>
      </c>
      <c r="CQ58" s="2013">
        <v>0</v>
      </c>
      <c r="CR58" s="2013">
        <v>108.75700000000001</v>
      </c>
      <c r="CS58" s="2013">
        <v>0</v>
      </c>
      <c r="CT58" s="2013">
        <v>11.199</v>
      </c>
      <c r="CU58" s="2013">
        <v>0</v>
      </c>
      <c r="CV58" s="2013">
        <v>11.367000000000001</v>
      </c>
      <c r="CW58" s="2013">
        <v>0</v>
      </c>
      <c r="CX58" s="2013">
        <v>12.872999999999999</v>
      </c>
      <c r="CY58" s="2013">
        <v>0</v>
      </c>
      <c r="CZ58" s="2013">
        <v>70.132999999999996</v>
      </c>
      <c r="DA58" s="2013">
        <v>0</v>
      </c>
      <c r="DB58" s="2013">
        <v>70.659000000000006</v>
      </c>
      <c r="DC58" s="2013">
        <v>0</v>
      </c>
      <c r="DD58" s="2013">
        <v>70.784999999999997</v>
      </c>
      <c r="DE58" s="2013">
        <v>0</v>
      </c>
      <c r="DF58" s="2013">
        <v>71.055000000000007</v>
      </c>
      <c r="DG58" s="2013">
        <v>0</v>
      </c>
      <c r="DH58" s="2013">
        <v>78.460999999999999</v>
      </c>
      <c r="DI58" s="2013">
        <v>0</v>
      </c>
      <c r="DJ58" s="2013">
        <v>79.688999999999993</v>
      </c>
      <c r="DK58" s="2013">
        <v>0</v>
      </c>
      <c r="DL58" s="2013">
        <v>80.709000000000003</v>
      </c>
      <c r="DM58" s="2013">
        <v>0</v>
      </c>
      <c r="DN58" s="2013">
        <v>101.361</v>
      </c>
      <c r="DO58" s="2013">
        <v>0</v>
      </c>
      <c r="DP58" s="2013">
        <v>104.175</v>
      </c>
      <c r="DQ58" s="2014">
        <v>0</v>
      </c>
      <c r="DR58" s="2028">
        <v>0</v>
      </c>
      <c r="DS58" s="2025">
        <v>0</v>
      </c>
      <c r="DT58" s="2033">
        <v>12.555</v>
      </c>
      <c r="DU58" s="2034">
        <v>0</v>
      </c>
      <c r="DV58" s="2028">
        <v>14.387</v>
      </c>
      <c r="DW58" s="2025">
        <v>0</v>
      </c>
      <c r="DX58" s="2033">
        <v>43.473999999999997</v>
      </c>
      <c r="DY58" s="2034">
        <v>0</v>
      </c>
      <c r="DZ58" s="2028">
        <v>43.973999999999997</v>
      </c>
      <c r="EA58" s="2025">
        <v>0</v>
      </c>
      <c r="EB58" s="2017">
        <v>87.665999999999997</v>
      </c>
      <c r="EC58" s="2014">
        <v>0</v>
      </c>
      <c r="ED58" s="2015">
        <v>45.558</v>
      </c>
      <c r="EE58" s="2016">
        <v>0</v>
      </c>
      <c r="EF58" s="2015">
        <v>50.802</v>
      </c>
      <c r="EG58" s="2016">
        <v>0</v>
      </c>
      <c r="EH58" s="2017">
        <v>66.272000000000006</v>
      </c>
      <c r="EI58" s="2016">
        <v>0</v>
      </c>
      <c r="EJ58" s="2017">
        <v>67.561999999999998</v>
      </c>
      <c r="EK58" s="2016">
        <v>0</v>
      </c>
      <c r="EL58" s="2015">
        <v>84.933999999999997</v>
      </c>
      <c r="EM58" s="2018">
        <v>0</v>
      </c>
      <c r="EN58" s="2015">
        <v>95.962000000000003</v>
      </c>
      <c r="EO58" s="2018">
        <v>0</v>
      </c>
      <c r="EP58" s="2015">
        <v>14.068</v>
      </c>
      <c r="EQ58" s="2018">
        <v>0</v>
      </c>
      <c r="ER58" s="2015">
        <v>14.403</v>
      </c>
      <c r="ES58" s="2018">
        <v>0</v>
      </c>
      <c r="ET58" s="2015">
        <v>15.459</v>
      </c>
      <c r="EU58" s="2018">
        <v>0</v>
      </c>
      <c r="EV58" s="2015">
        <v>46.661999999999999</v>
      </c>
      <c r="EW58" s="2018">
        <v>0</v>
      </c>
      <c r="EX58" s="2015">
        <v>47.741999999999997</v>
      </c>
      <c r="EY58" s="2018">
        <v>0</v>
      </c>
      <c r="EZ58" s="2015">
        <v>47.91</v>
      </c>
      <c r="FA58" s="2018">
        <v>0</v>
      </c>
      <c r="FB58" s="2015">
        <v>48.347999999999999</v>
      </c>
      <c r="FC58" s="2018">
        <v>0</v>
      </c>
      <c r="FD58" s="2015">
        <v>49.055999999999997</v>
      </c>
      <c r="FE58" s="2018">
        <v>0</v>
      </c>
      <c r="FF58" s="2015">
        <v>56.500999999999998</v>
      </c>
      <c r="FG58" s="2018">
        <v>0</v>
      </c>
      <c r="FH58" s="2015">
        <v>56.500999999999998</v>
      </c>
      <c r="FI58" s="2018">
        <v>0</v>
      </c>
      <c r="FJ58" s="2015">
        <v>72.864999999999995</v>
      </c>
      <c r="FK58" s="2018">
        <v>0</v>
      </c>
      <c r="FL58" s="2015">
        <v>81.251000000000005</v>
      </c>
      <c r="FM58" s="2018">
        <v>0</v>
      </c>
      <c r="FN58" s="2015">
        <v>5.9359999999999999</v>
      </c>
      <c r="FO58" s="2018">
        <v>0</v>
      </c>
      <c r="FP58" s="2015">
        <v>11.632</v>
      </c>
      <c r="FQ58" s="2018">
        <v>0</v>
      </c>
      <c r="FR58" s="2015">
        <v>11.856</v>
      </c>
      <c r="FS58" s="2018">
        <v>0</v>
      </c>
      <c r="FT58" s="2015">
        <v>20.05</v>
      </c>
      <c r="FU58" s="2018">
        <v>0</v>
      </c>
      <c r="FV58" s="2015">
        <v>65.134</v>
      </c>
      <c r="FW58" s="2018">
        <v>0</v>
      </c>
      <c r="FX58" s="2015">
        <v>90.712999999999994</v>
      </c>
      <c r="FY58" s="2018">
        <v>0</v>
      </c>
      <c r="FZ58" s="2015">
        <v>91.049000000000007</v>
      </c>
      <c r="GA58" s="2018">
        <v>0</v>
      </c>
      <c r="GB58" s="2015">
        <v>96.096999999999994</v>
      </c>
      <c r="GC58" s="2018">
        <v>0</v>
      </c>
      <c r="GD58" s="2015">
        <v>101.17400000000001</v>
      </c>
      <c r="GE58" s="2018">
        <v>0</v>
      </c>
      <c r="GF58" s="2015">
        <v>101.244</v>
      </c>
      <c r="GG58" s="2018">
        <v>0</v>
      </c>
      <c r="GH58" s="2015">
        <v>114.51600000000001</v>
      </c>
      <c r="GI58" s="2018">
        <v>0</v>
      </c>
      <c r="GJ58" s="2015">
        <v>126.238</v>
      </c>
      <c r="GK58" s="2018">
        <v>67.166499999999999</v>
      </c>
      <c r="GL58" s="2015">
        <v>10.288</v>
      </c>
      <c r="GM58" s="2018">
        <v>46.834000000000003</v>
      </c>
      <c r="GN58" s="2015">
        <v>18.155000000000001</v>
      </c>
      <c r="GO58" s="2018">
        <v>46.834000000000003</v>
      </c>
      <c r="GP58" s="2015">
        <v>18.786999999999999</v>
      </c>
      <c r="GQ58" s="2018">
        <v>48.584000000000003</v>
      </c>
      <c r="GR58" s="2015">
        <v>51.375</v>
      </c>
      <c r="GS58" s="2018">
        <v>48.584000000000003</v>
      </c>
      <c r="GT58" s="2015">
        <v>52.509</v>
      </c>
      <c r="GU58" s="2018">
        <v>59.584000000000003</v>
      </c>
      <c r="GV58" s="2019" t="s">
        <v>3216</v>
      </c>
    </row>
    <row r="59" spans="1:208" s="1991" customFormat="1" ht="22.5" customHeight="1">
      <c r="A59" s="2019" t="s">
        <v>3223</v>
      </c>
      <c r="B59" s="2013">
        <v>2276.1280000000006</v>
      </c>
      <c r="C59" s="2013">
        <v>209.30899999999997</v>
      </c>
      <c r="D59" s="2013">
        <v>3242.8549999999982</v>
      </c>
      <c r="E59" s="2013">
        <v>625.32399999999961</v>
      </c>
      <c r="F59" s="2013">
        <v>4914.0989999999993</v>
      </c>
      <c r="G59" s="2013">
        <v>1148.1660000000006</v>
      </c>
      <c r="H59" s="2013">
        <v>5517.9940000000024</v>
      </c>
      <c r="I59" s="2013">
        <v>1900.6609999999971</v>
      </c>
      <c r="J59" s="2013">
        <v>5982.7519999999977</v>
      </c>
      <c r="K59" s="2013">
        <v>2491.739</v>
      </c>
      <c r="L59" s="2013">
        <v>6623.493999999997</v>
      </c>
      <c r="M59" s="2013">
        <v>2937.5350000000017</v>
      </c>
      <c r="N59" s="2013">
        <v>7798.3410000000022</v>
      </c>
      <c r="O59" s="2013">
        <v>3545.2609999999972</v>
      </c>
      <c r="P59" s="2013">
        <v>8086.6694999999954</v>
      </c>
      <c r="Q59" s="2013">
        <v>3980.9139999999943</v>
      </c>
      <c r="R59" s="2013">
        <v>13124.103499999996</v>
      </c>
      <c r="S59" s="2013">
        <v>4312.1919999999918</v>
      </c>
      <c r="T59" s="2013">
        <v>25082.252500000021</v>
      </c>
      <c r="U59" s="2013">
        <v>4511.3379999999943</v>
      </c>
      <c r="V59" s="2013">
        <v>25553.524499999985</v>
      </c>
      <c r="W59" s="2013">
        <v>5235.251999999995</v>
      </c>
      <c r="X59" s="2013">
        <v>27537.37850000001</v>
      </c>
      <c r="Y59" s="2013">
        <v>5843.0370000000003</v>
      </c>
      <c r="Z59" s="2013">
        <v>0.38500000000090395</v>
      </c>
      <c r="AA59" s="2013">
        <v>409.6969999999996</v>
      </c>
      <c r="AB59" s="2013">
        <v>2152.6469999999999</v>
      </c>
      <c r="AC59" s="2013">
        <v>1271.1979999999999</v>
      </c>
      <c r="AD59" s="2013">
        <v>2199.0979600000001</v>
      </c>
      <c r="AE59" s="2013">
        <v>2067.1678600000005</v>
      </c>
      <c r="AF59" s="2013">
        <v>28210.098000000005</v>
      </c>
      <c r="AG59" s="2013">
        <v>3005.9710000000027</v>
      </c>
      <c r="AH59" s="2013">
        <v>28256.039999999986</v>
      </c>
      <c r="AI59" s="2013">
        <v>4151.6789999999983</v>
      </c>
      <c r="AJ59" s="2013">
        <v>28256.759999999991</v>
      </c>
      <c r="AK59" s="2013">
        <v>4543.9580000000024</v>
      </c>
      <c r="AL59" s="2013">
        <v>28637.281500000001</v>
      </c>
      <c r="AM59" s="2013">
        <v>5120.2399999999989</v>
      </c>
      <c r="AN59" s="2013">
        <v>28687.471500000007</v>
      </c>
      <c r="AO59" s="2013">
        <v>5622.7760000000007</v>
      </c>
      <c r="AP59" s="2013">
        <v>29223.703499999992</v>
      </c>
      <c r="AQ59" s="2013">
        <v>5943.332000000014</v>
      </c>
      <c r="AR59" s="2013">
        <v>29549.938500000011</v>
      </c>
      <c r="AS59" s="2013">
        <v>6280.1569999999983</v>
      </c>
      <c r="AT59" s="2013">
        <v>29743.581500000018</v>
      </c>
      <c r="AU59" s="2013">
        <v>6611.6090000000031</v>
      </c>
      <c r="AV59" s="2013">
        <v>30297.455500000011</v>
      </c>
      <c r="AW59" s="2013">
        <v>7018.4800000000059</v>
      </c>
      <c r="AX59" s="2013">
        <v>899.28799999999876</v>
      </c>
      <c r="AY59" s="2013">
        <v>67.344000000000079</v>
      </c>
      <c r="AZ59" s="2013">
        <v>1907.0639999999967</v>
      </c>
      <c r="BA59" s="2013">
        <v>654.75000000000045</v>
      </c>
      <c r="BB59" s="2013">
        <v>28734.252000000008</v>
      </c>
      <c r="BC59" s="2013">
        <v>917.96700000000055</v>
      </c>
      <c r="BD59" s="2013">
        <v>28739.920999999991</v>
      </c>
      <c r="BE59" s="2013">
        <v>1375.7519999999997</v>
      </c>
      <c r="BF59" s="2013">
        <v>28745.419999999995</v>
      </c>
      <c r="BG59" s="2013">
        <v>1618.8900000000026</v>
      </c>
      <c r="BH59" s="2013">
        <v>28748.675999999996</v>
      </c>
      <c r="BI59" s="2013">
        <v>1946.846</v>
      </c>
      <c r="BJ59" s="2013">
        <v>29346.098000000002</v>
      </c>
      <c r="BK59" s="2013">
        <v>2812.6829999999977</v>
      </c>
      <c r="BL59" s="2013">
        <v>28749.854500000009</v>
      </c>
      <c r="BM59" s="2013">
        <v>3338.7269999999976</v>
      </c>
      <c r="BN59" s="2013">
        <v>29663.430500000009</v>
      </c>
      <c r="BO59" s="2013">
        <v>3587.604999999995</v>
      </c>
      <c r="BP59" s="2013">
        <v>29895.745500000005</v>
      </c>
      <c r="BQ59" s="2013">
        <v>4142.2129999999988</v>
      </c>
      <c r="BR59" s="2013">
        <v>30084.582500000004</v>
      </c>
      <c r="BS59" s="2013">
        <v>4464.1889999999994</v>
      </c>
      <c r="BT59" s="2013">
        <v>32089.848500000058</v>
      </c>
      <c r="BU59" s="2013">
        <v>4874.8159999999834</v>
      </c>
      <c r="BV59" s="2013">
        <v>348.74973000000011</v>
      </c>
      <c r="BW59" s="2013">
        <v>422.81699999999978</v>
      </c>
      <c r="BX59" s="2013">
        <v>31282.211730000006</v>
      </c>
      <c r="BY59" s="2013">
        <v>839.44200000000023</v>
      </c>
      <c r="BZ59" s="2013">
        <v>31671.08873000001</v>
      </c>
      <c r="CA59" s="2013">
        <v>1271.7550000000003</v>
      </c>
      <c r="CB59" s="2013">
        <v>31954.854729999999</v>
      </c>
      <c r="CC59" s="2013">
        <v>1377.2199999999984</v>
      </c>
      <c r="CD59" s="2013">
        <v>31955.37073000001</v>
      </c>
      <c r="CE59" s="2013">
        <v>1573.9610000000007</v>
      </c>
      <c r="CF59" s="2013">
        <v>31960.940730000002</v>
      </c>
      <c r="CG59" s="2013">
        <v>1941.5969999999984</v>
      </c>
      <c r="CH59" s="2013">
        <v>31961.630730000004</v>
      </c>
      <c r="CI59" s="2013">
        <v>2304.4410000000007</v>
      </c>
      <c r="CJ59" s="2013">
        <v>31962.521329999992</v>
      </c>
      <c r="CK59" s="2013">
        <v>2585.0339999999965</v>
      </c>
      <c r="CL59" s="2013">
        <v>31962.741330000001</v>
      </c>
      <c r="CM59" s="2013">
        <v>2941.7860000000001</v>
      </c>
      <c r="CN59" s="2013">
        <v>31963.18633</v>
      </c>
      <c r="CO59" s="2013">
        <v>3336.89</v>
      </c>
      <c r="CP59" s="2013">
        <v>31964.001329999999</v>
      </c>
      <c r="CQ59" s="2013">
        <v>5819.1350000000002</v>
      </c>
      <c r="CR59" s="2013">
        <v>31964.816330000001</v>
      </c>
      <c r="CS59" s="2013">
        <v>23386.740999999998</v>
      </c>
      <c r="CT59" s="2013">
        <v>1063.133</v>
      </c>
      <c r="CU59" s="2013">
        <v>14437.534</v>
      </c>
      <c r="CV59" s="2013">
        <v>2353.8629999999998</v>
      </c>
      <c r="CW59" s="2013">
        <v>22086.907999999999</v>
      </c>
      <c r="CX59" s="2013">
        <v>33348.678</v>
      </c>
      <c r="CY59" s="2013">
        <v>24637.002</v>
      </c>
      <c r="CZ59" s="2013">
        <v>33349.339599999999</v>
      </c>
      <c r="DA59" s="2013">
        <v>26865.170000000002</v>
      </c>
      <c r="DB59" s="2013">
        <v>33352.505599999997</v>
      </c>
      <c r="DC59" s="2013">
        <v>28262.987000000001</v>
      </c>
      <c r="DD59" s="2013">
        <v>33353.255599999997</v>
      </c>
      <c r="DE59" s="2013">
        <v>29643.055</v>
      </c>
      <c r="DF59" s="2013">
        <v>33353.725599999998</v>
      </c>
      <c r="DG59" s="2013">
        <v>31305.31</v>
      </c>
      <c r="DH59" s="2013">
        <v>33352.933599999997</v>
      </c>
      <c r="DI59" s="2013">
        <v>32980.050000000003</v>
      </c>
      <c r="DJ59" s="2013">
        <v>33353.933099999995</v>
      </c>
      <c r="DK59" s="2013">
        <v>35039.813999999998</v>
      </c>
      <c r="DL59" s="2013">
        <v>33354.699999999997</v>
      </c>
      <c r="DM59" s="2013">
        <v>36470.400000000001</v>
      </c>
      <c r="DN59" s="2013">
        <v>33355.179100000001</v>
      </c>
      <c r="DO59" s="2013">
        <v>37777.656999999999</v>
      </c>
      <c r="DP59" s="2013">
        <v>30789.8701</v>
      </c>
      <c r="DQ59" s="2014">
        <v>39342.243000000002</v>
      </c>
      <c r="DR59" s="2028">
        <v>0.03</v>
      </c>
      <c r="DS59" s="2025">
        <v>358.17999999999995</v>
      </c>
      <c r="DT59" s="2033">
        <v>2.8807</v>
      </c>
      <c r="DU59" s="2034">
        <v>425.28</v>
      </c>
      <c r="DV59" s="2028">
        <v>5.5297999999999998</v>
      </c>
      <c r="DW59" s="2025">
        <v>559.16100000000006</v>
      </c>
      <c r="DX59" s="2033">
        <v>15.48325</v>
      </c>
      <c r="DY59" s="2034">
        <v>580.09100000000001</v>
      </c>
      <c r="DZ59" s="2028">
        <v>20.206250000000001</v>
      </c>
      <c r="EA59" s="2025">
        <v>580.09100000000001</v>
      </c>
      <c r="EB59" s="2017">
        <v>21.487369999999999</v>
      </c>
      <c r="EC59" s="2014">
        <v>580.09100000000001</v>
      </c>
      <c r="ED59" s="2015">
        <v>21.825369999999999</v>
      </c>
      <c r="EE59" s="2016">
        <v>635.10299999999995</v>
      </c>
      <c r="EF59" s="2015">
        <v>21.825369999999999</v>
      </c>
      <c r="EG59" s="2016">
        <v>650.50300000000004</v>
      </c>
      <c r="EH59" s="2017">
        <v>21.939769999999999</v>
      </c>
      <c r="EI59" s="2016">
        <v>656.00400000000002</v>
      </c>
      <c r="EJ59" s="2017">
        <v>22.044370000000001</v>
      </c>
      <c r="EK59" s="2016">
        <v>681.48699999999997</v>
      </c>
      <c r="EL59" s="2015">
        <v>22.87237</v>
      </c>
      <c r="EM59" s="2018">
        <v>713.16</v>
      </c>
      <c r="EN59" s="2015">
        <v>23.05</v>
      </c>
      <c r="EO59" s="2018">
        <v>756.24400000000003</v>
      </c>
      <c r="EP59" s="2015">
        <v>0.66300000000000003</v>
      </c>
      <c r="EQ59" s="2018">
        <v>57.2</v>
      </c>
      <c r="ER59" s="2015">
        <v>4.01</v>
      </c>
      <c r="ES59" s="2018">
        <v>82.971000000000004</v>
      </c>
      <c r="ET59" s="2015">
        <v>9.4797999999999991</v>
      </c>
      <c r="EU59" s="2018">
        <v>133.571</v>
      </c>
      <c r="EV59" s="2015">
        <v>15.024839999999999</v>
      </c>
      <c r="EW59" s="2018">
        <v>204.52099999999999</v>
      </c>
      <c r="EX59" s="2015">
        <v>20.202840000000002</v>
      </c>
      <c r="EY59" s="2018">
        <v>235.87100000000001</v>
      </c>
      <c r="EZ59" s="2015">
        <v>21.56784</v>
      </c>
      <c r="FA59" s="2018">
        <v>257.87099999999998</v>
      </c>
      <c r="FB59" s="2015">
        <v>22.677240000000001</v>
      </c>
      <c r="FC59" s="2018">
        <v>268.87099999999998</v>
      </c>
      <c r="FD59" s="2015">
        <v>23.817240000000002</v>
      </c>
      <c r="FE59" s="2018">
        <v>284.27100000000002</v>
      </c>
      <c r="FF59" s="2015">
        <v>24.766740000000002</v>
      </c>
      <c r="FG59" s="2018">
        <v>284.27100000000002</v>
      </c>
      <c r="FH59" s="2015">
        <v>25.433340000000001</v>
      </c>
      <c r="FI59" s="2018">
        <v>284.27100000000002</v>
      </c>
      <c r="FJ59" s="2015">
        <v>26.250340000000001</v>
      </c>
      <c r="FK59" s="2018">
        <v>454.26400000000001</v>
      </c>
      <c r="FL59" s="2015">
        <v>26.70234</v>
      </c>
      <c r="FM59" s="2018">
        <v>471.86399999999998</v>
      </c>
      <c r="FN59" s="2015">
        <v>0.2515</v>
      </c>
      <c r="FO59" s="2018">
        <v>0</v>
      </c>
      <c r="FP59" s="2015">
        <v>3.661</v>
      </c>
      <c r="FQ59" s="2018">
        <v>41.364000000000004</v>
      </c>
      <c r="FR59" s="2015">
        <v>9.3398000000000003</v>
      </c>
      <c r="FS59" s="2018">
        <v>119.401</v>
      </c>
      <c r="FT59" s="2015">
        <v>18.822099999999999</v>
      </c>
      <c r="FU59" s="2018">
        <v>130.40100000000001</v>
      </c>
      <c r="FV59" s="2015">
        <v>27.809000000000001</v>
      </c>
      <c r="FW59" s="2018">
        <v>183.20099999999999</v>
      </c>
      <c r="FX59" s="2015">
        <v>31.059000000000001</v>
      </c>
      <c r="FY59" s="2018">
        <v>308.86700000000002</v>
      </c>
      <c r="FZ59" s="2015">
        <v>32.235500000000002</v>
      </c>
      <c r="GA59" s="2018">
        <v>315.46699999999998</v>
      </c>
      <c r="GB59" s="2015">
        <v>32.595500000000001</v>
      </c>
      <c r="GC59" s="2018">
        <v>315.46699999999998</v>
      </c>
      <c r="GD59" s="2015">
        <v>32.900500000000001</v>
      </c>
      <c r="GE59" s="2018">
        <v>315.46699999999998</v>
      </c>
      <c r="GF59" s="2015">
        <v>33.972499999999997</v>
      </c>
      <c r="GG59" s="2018">
        <v>325.36700000000002</v>
      </c>
      <c r="GH59" s="2015">
        <v>35.701599999999999</v>
      </c>
      <c r="GI59" s="2018">
        <v>332.39260000000002</v>
      </c>
      <c r="GJ59" s="2015">
        <v>36.842599999999997</v>
      </c>
      <c r="GK59" s="2018">
        <v>381.3426</v>
      </c>
      <c r="GL59" s="2015">
        <v>0.34250000000000003</v>
      </c>
      <c r="GM59" s="2018">
        <v>0</v>
      </c>
      <c r="GN59" s="2015">
        <v>5.7680999999999996</v>
      </c>
      <c r="GO59" s="2018">
        <v>0</v>
      </c>
      <c r="GP59" s="2015">
        <v>14.377649999999999</v>
      </c>
      <c r="GQ59" s="2018">
        <v>0</v>
      </c>
      <c r="GR59" s="2015">
        <v>23.551649999999999</v>
      </c>
      <c r="GS59" s="2018">
        <v>0</v>
      </c>
      <c r="GT59" s="2015">
        <v>32.00065</v>
      </c>
      <c r="GU59" s="2018">
        <v>0</v>
      </c>
      <c r="GV59" s="2019" t="s">
        <v>3217</v>
      </c>
    </row>
    <row r="60" spans="1:208" s="1991" customFormat="1" ht="30" customHeight="1">
      <c r="A60" s="2043" t="s">
        <v>2284</v>
      </c>
      <c r="B60" s="2044">
        <f t="shared" ref="B60:BM60" si="48">B11+B50</f>
        <v>70720.098730000012</v>
      </c>
      <c r="C60" s="2044">
        <f t="shared" si="48"/>
        <v>26775.323100000001</v>
      </c>
      <c r="D60" s="2044">
        <f t="shared" si="48"/>
        <v>103796.938850438</v>
      </c>
      <c r="E60" s="2044">
        <f t="shared" si="48"/>
        <v>43858.522269999994</v>
      </c>
      <c r="F60" s="2044">
        <f t="shared" si="48"/>
        <v>150681.68051000001</v>
      </c>
      <c r="G60" s="2044">
        <f t="shared" si="48"/>
        <v>60292.39357</v>
      </c>
      <c r="H60" s="2044">
        <f t="shared" si="48"/>
        <v>194172.08795000002</v>
      </c>
      <c r="I60" s="2044">
        <f t="shared" si="48"/>
        <v>75319.197400000005</v>
      </c>
      <c r="J60" s="2044">
        <f t="shared" si="48"/>
        <v>240115.42363</v>
      </c>
      <c r="K60" s="2044">
        <f t="shared" si="48"/>
        <v>97900.505900000004</v>
      </c>
      <c r="L60" s="2044">
        <f t="shared" si="48"/>
        <v>276158.44377999898</v>
      </c>
      <c r="M60" s="2044">
        <f t="shared" si="48"/>
        <v>124410.42036000002</v>
      </c>
      <c r="N60" s="2044">
        <f t="shared" si="48"/>
        <v>322830.05929</v>
      </c>
      <c r="O60" s="2044">
        <f t="shared" si="48"/>
        <v>144008.84050000002</v>
      </c>
      <c r="P60" s="2044">
        <f t="shared" si="48"/>
        <v>368915.44897999999</v>
      </c>
      <c r="Q60" s="2044">
        <f t="shared" si="48"/>
        <v>167060.91748999999</v>
      </c>
      <c r="R60" s="2044">
        <f t="shared" si="48"/>
        <v>414352.72497000004</v>
      </c>
      <c r="S60" s="2044">
        <f t="shared" si="48"/>
        <v>188579.73019</v>
      </c>
      <c r="T60" s="2044">
        <f t="shared" si="48"/>
        <v>462653.61855000001</v>
      </c>
      <c r="U60" s="2044">
        <f t="shared" si="48"/>
        <v>204637.00384000002</v>
      </c>
      <c r="V60" s="2044">
        <f t="shared" si="48"/>
        <v>504234.79862999998</v>
      </c>
      <c r="W60" s="2044">
        <f t="shared" si="48"/>
        <v>230880.32024999999</v>
      </c>
      <c r="X60" s="2044">
        <f t="shared" si="48"/>
        <v>556866.57860000001</v>
      </c>
      <c r="Y60" s="2044">
        <f t="shared" si="48"/>
        <v>257109.59743999998</v>
      </c>
      <c r="Z60" s="2044">
        <f t="shared" si="48"/>
        <v>82760.045640000011</v>
      </c>
      <c r="AA60" s="2044">
        <f t="shared" si="48"/>
        <v>22988.119539000003</v>
      </c>
      <c r="AB60" s="2044">
        <f t="shared" si="48"/>
        <v>130155.74632999999</v>
      </c>
      <c r="AC60" s="2044">
        <f t="shared" si="48"/>
        <v>40487.726869999999</v>
      </c>
      <c r="AD60" s="2044">
        <f t="shared" si="48"/>
        <v>193116.44426000002</v>
      </c>
      <c r="AE60" s="2044">
        <f t="shared" si="48"/>
        <v>60294.312290000002</v>
      </c>
      <c r="AF60" s="2044">
        <f t="shared" si="48"/>
        <v>301419.31774999999</v>
      </c>
      <c r="AG60" s="2044">
        <f t="shared" si="48"/>
        <v>78498.079089999999</v>
      </c>
      <c r="AH60" s="2044">
        <f t="shared" si="48"/>
        <v>350821.20782000001</v>
      </c>
      <c r="AI60" s="2044">
        <f t="shared" si="48"/>
        <v>97450.143330000006</v>
      </c>
      <c r="AJ60" s="2044">
        <f t="shared" si="48"/>
        <v>396371.22819000005</v>
      </c>
      <c r="AK60" s="2044">
        <f t="shared" si="48"/>
        <v>119303.36606999999</v>
      </c>
      <c r="AL60" s="2044">
        <f t="shared" si="48"/>
        <v>459851.51754000003</v>
      </c>
      <c r="AM60" s="2044">
        <f t="shared" si="48"/>
        <v>145904.74216999998</v>
      </c>
      <c r="AN60" s="2044">
        <f t="shared" si="48"/>
        <v>516923.67558000004</v>
      </c>
      <c r="AO60" s="2044">
        <f t="shared" si="48"/>
        <v>168581.45294000002</v>
      </c>
      <c r="AP60" s="2044">
        <f t="shared" si="48"/>
        <v>568538.36002999987</v>
      </c>
      <c r="AQ60" s="2044">
        <f t="shared" si="48"/>
        <v>186911.60118</v>
      </c>
      <c r="AR60" s="2044">
        <f t="shared" si="48"/>
        <v>617170.62290000007</v>
      </c>
      <c r="AS60" s="2044">
        <f t="shared" si="48"/>
        <v>205960.35067000001</v>
      </c>
      <c r="AT60" s="2044">
        <f t="shared" si="48"/>
        <v>663891.12810000009</v>
      </c>
      <c r="AU60" s="2044">
        <f t="shared" si="48"/>
        <v>224139.22142999998</v>
      </c>
      <c r="AV60" s="2044">
        <f t="shared" si="48"/>
        <v>727954.00326000014</v>
      </c>
      <c r="AW60" s="2044">
        <f t="shared" si="48"/>
        <v>240333.47073</v>
      </c>
      <c r="AX60" s="2044">
        <f t="shared" si="48"/>
        <v>88194.561710000009</v>
      </c>
      <c r="AY60" s="2044">
        <f t="shared" si="48"/>
        <v>17155.82201</v>
      </c>
      <c r="AZ60" s="2044">
        <f t="shared" si="48"/>
        <v>132818.72645000002</v>
      </c>
      <c r="BA60" s="2044">
        <f t="shared" si="48"/>
        <v>33115.998120000004</v>
      </c>
      <c r="BB60" s="2044">
        <f t="shared" si="48"/>
        <v>201157.97872000001</v>
      </c>
      <c r="BC60" s="2044">
        <f t="shared" si="48"/>
        <v>46234.366450000001</v>
      </c>
      <c r="BD60" s="2044">
        <f t="shared" si="48"/>
        <v>265296.48441000003</v>
      </c>
      <c r="BE60" s="2044">
        <f t="shared" si="48"/>
        <v>66651.188869999998</v>
      </c>
      <c r="BF60" s="2044">
        <f t="shared" si="48"/>
        <v>319272.15883000003</v>
      </c>
      <c r="BG60" s="2044">
        <f t="shared" si="48"/>
        <v>93777.495640000008</v>
      </c>
      <c r="BH60" s="2044">
        <f t="shared" si="48"/>
        <v>361336.79787999997</v>
      </c>
      <c r="BI60" s="2044">
        <f t="shared" si="48"/>
        <v>119102.38301999999</v>
      </c>
      <c r="BJ60" s="2044">
        <f t="shared" si="48"/>
        <v>422931.40942000004</v>
      </c>
      <c r="BK60" s="2044">
        <f t="shared" si="48"/>
        <v>154631.93883999999</v>
      </c>
      <c r="BL60" s="2044">
        <f t="shared" si="48"/>
        <v>469748.69513000001</v>
      </c>
      <c r="BM60" s="2044">
        <f t="shared" si="48"/>
        <v>175473.56848000002</v>
      </c>
      <c r="BN60" s="2044">
        <f t="shared" ref="BN60:DY60" si="49">BN11+BN50</f>
        <v>522453.60658999998</v>
      </c>
      <c r="BO60" s="2044">
        <f t="shared" si="49"/>
        <v>201700.71458</v>
      </c>
      <c r="BP60" s="2044">
        <f t="shared" si="49"/>
        <v>570492.69183000003</v>
      </c>
      <c r="BQ60" s="2044">
        <f t="shared" si="49"/>
        <v>225472.95251999999</v>
      </c>
      <c r="BR60" s="2044">
        <f t="shared" si="49"/>
        <v>615556.28076999995</v>
      </c>
      <c r="BS60" s="2044">
        <f t="shared" si="49"/>
        <v>252220.99572000001</v>
      </c>
      <c r="BT60" s="2044">
        <f t="shared" si="49"/>
        <v>681176.83921000012</v>
      </c>
      <c r="BU60" s="2044">
        <f t="shared" si="49"/>
        <v>301536.70479999995</v>
      </c>
      <c r="BV60" s="2044">
        <f t="shared" si="49"/>
        <v>112025.55153</v>
      </c>
      <c r="BW60" s="2044">
        <f t="shared" si="49"/>
        <v>26746.856700000004</v>
      </c>
      <c r="BX60" s="2044">
        <f t="shared" si="49"/>
        <v>190744.23772999999</v>
      </c>
      <c r="BY60" s="2044">
        <f t="shared" si="49"/>
        <v>49293.809840000002</v>
      </c>
      <c r="BZ60" s="2044">
        <f t="shared" si="49"/>
        <v>240764.29534000001</v>
      </c>
      <c r="CA60" s="2044">
        <f t="shared" si="49"/>
        <v>77091.267300000007</v>
      </c>
      <c r="CB60" s="2044">
        <f t="shared" si="49"/>
        <v>311336.96824000002</v>
      </c>
      <c r="CC60" s="2044">
        <f t="shared" si="49"/>
        <v>105564.72729</v>
      </c>
      <c r="CD60" s="2044">
        <f t="shared" si="49"/>
        <v>361348.23884999997</v>
      </c>
      <c r="CE60" s="2044">
        <f t="shared" si="49"/>
        <v>140171.03659999999</v>
      </c>
      <c r="CF60" s="2044">
        <f t="shared" si="49"/>
        <v>406400.26131999999</v>
      </c>
      <c r="CG60" s="2044">
        <f t="shared" si="49"/>
        <v>188351.18817000001</v>
      </c>
      <c r="CH60" s="2044">
        <f t="shared" si="49"/>
        <v>472725.13097999996</v>
      </c>
      <c r="CI60" s="2044">
        <f t="shared" si="49"/>
        <v>227129.08132999999</v>
      </c>
      <c r="CJ60" s="2044">
        <f t="shared" si="49"/>
        <v>528652.56235999998</v>
      </c>
      <c r="CK60" s="2044">
        <f t="shared" si="49"/>
        <v>262996.16752999998</v>
      </c>
      <c r="CL60" s="2044">
        <f t="shared" si="49"/>
        <v>581509.08165999991</v>
      </c>
      <c r="CM60" s="2044">
        <f t="shared" si="49"/>
        <v>307761.74942000001</v>
      </c>
      <c r="CN60" s="2044">
        <f t="shared" si="49"/>
        <v>628374.21671000007</v>
      </c>
      <c r="CO60" s="2044">
        <f t="shared" si="49"/>
        <v>350035.47167</v>
      </c>
      <c r="CP60" s="2044">
        <f t="shared" si="49"/>
        <v>668189.43371999997</v>
      </c>
      <c r="CQ60" s="2044">
        <f t="shared" si="49"/>
        <v>391453.57309999998</v>
      </c>
      <c r="CR60" s="2044">
        <f t="shared" si="49"/>
        <v>728634.06122000003</v>
      </c>
      <c r="CS60" s="2044">
        <f t="shared" si="49"/>
        <v>465153.12059000001</v>
      </c>
      <c r="CT60" s="2044">
        <f t="shared" si="49"/>
        <v>104010.82191</v>
      </c>
      <c r="CU60" s="2044">
        <f t="shared" si="49"/>
        <v>56840.691440000002</v>
      </c>
      <c r="CV60" s="2044">
        <f t="shared" si="49"/>
        <v>160445.07994</v>
      </c>
      <c r="CW60" s="2044">
        <f t="shared" si="49"/>
        <v>100170.15075</v>
      </c>
      <c r="CX60" s="2044">
        <f t="shared" si="49"/>
        <v>248988.66884</v>
      </c>
      <c r="CY60" s="2044">
        <f t="shared" si="49"/>
        <v>145344.73252000002</v>
      </c>
      <c r="CZ60" s="2044">
        <f t="shared" si="49"/>
        <v>339107.25600000005</v>
      </c>
      <c r="DA60" s="2044">
        <f t="shared" si="49"/>
        <v>179789.26319</v>
      </c>
      <c r="DB60" s="2044">
        <f t="shared" si="49"/>
        <v>398001.05214000004</v>
      </c>
      <c r="DC60" s="2044">
        <f t="shared" si="49"/>
        <v>208232.96301000001</v>
      </c>
      <c r="DD60" s="2044">
        <f t="shared" si="49"/>
        <v>452366.28686999995</v>
      </c>
      <c r="DE60" s="2044">
        <f t="shared" si="49"/>
        <v>248199.50464</v>
      </c>
      <c r="DF60" s="2044">
        <f t="shared" si="49"/>
        <v>528257.53888999997</v>
      </c>
      <c r="DG60" s="2044">
        <f t="shared" si="49"/>
        <v>301178.70488000003</v>
      </c>
      <c r="DH60" s="2044">
        <f t="shared" si="49"/>
        <v>580597.12957999995</v>
      </c>
      <c r="DI60" s="2044">
        <f t="shared" si="49"/>
        <v>339866.39110000001</v>
      </c>
      <c r="DJ60" s="2044">
        <f t="shared" si="49"/>
        <v>651483.89378000004</v>
      </c>
      <c r="DK60" s="2044">
        <f t="shared" si="49"/>
        <v>373491.24084300001</v>
      </c>
      <c r="DL60" s="2044">
        <f t="shared" si="49"/>
        <v>705699.92420999997</v>
      </c>
      <c r="DM60" s="2044">
        <f t="shared" si="49"/>
        <v>401211.23584000004</v>
      </c>
      <c r="DN60" s="2044">
        <f t="shared" si="49"/>
        <v>767810.10654000007</v>
      </c>
      <c r="DO60" s="2044">
        <f t="shared" si="49"/>
        <v>429848.94698300003</v>
      </c>
      <c r="DP60" s="2044">
        <f t="shared" si="49"/>
        <v>843897.27764999995</v>
      </c>
      <c r="DQ60" s="2045">
        <f t="shared" si="49"/>
        <v>458726.28349999996</v>
      </c>
      <c r="DR60" s="1485">
        <f t="shared" si="49"/>
        <v>117820.43871000002</v>
      </c>
      <c r="DS60" s="1486">
        <f t="shared" si="49"/>
        <v>16649.298289999999</v>
      </c>
      <c r="DT60" s="2046">
        <f t="shared" si="49"/>
        <v>178306.97304099996</v>
      </c>
      <c r="DU60" s="2045">
        <f t="shared" si="49"/>
        <v>38936.25662</v>
      </c>
      <c r="DV60" s="2047">
        <f t="shared" si="49"/>
        <v>258424.98340999999</v>
      </c>
      <c r="DW60" s="2048">
        <f t="shared" si="49"/>
        <v>61227.659149999999</v>
      </c>
      <c r="DX60" s="2046">
        <f t="shared" si="49"/>
        <v>358771.12637999991</v>
      </c>
      <c r="DY60" s="2045">
        <f t="shared" si="49"/>
        <v>93417.540739999997</v>
      </c>
      <c r="DZ60" s="2047">
        <f t="shared" ref="DZ60:GK60" si="50">DZ11+DZ50</f>
        <v>426637.83487000002</v>
      </c>
      <c r="EA60" s="2048">
        <f t="shared" si="50"/>
        <v>129032.68520000001</v>
      </c>
      <c r="EB60" s="2046">
        <f t="shared" si="50"/>
        <v>491604.71101000009</v>
      </c>
      <c r="EC60" s="2045">
        <f t="shared" si="50"/>
        <v>174922.91821</v>
      </c>
      <c r="ED60" s="2047">
        <f t="shared" si="50"/>
        <v>580501.0631400001</v>
      </c>
      <c r="EE60" s="2048">
        <f t="shared" si="50"/>
        <v>241128.49865000002</v>
      </c>
      <c r="EF60" s="2047">
        <f t="shared" si="50"/>
        <v>654917.94735000003</v>
      </c>
      <c r="EG60" s="2049">
        <f t="shared" si="50"/>
        <v>283671.45512</v>
      </c>
      <c r="EH60" s="2047">
        <f t="shared" si="50"/>
        <v>731219.83220000006</v>
      </c>
      <c r="EI60" s="2049">
        <f t="shared" si="50"/>
        <v>318614.51465999999</v>
      </c>
      <c r="EJ60" s="2045">
        <f t="shared" si="50"/>
        <v>797624.83646999998</v>
      </c>
      <c r="EK60" s="2048">
        <f t="shared" si="50"/>
        <v>359296.78415000008</v>
      </c>
      <c r="EL60" s="2047">
        <f t="shared" si="50"/>
        <v>875132.42313999997</v>
      </c>
      <c r="EM60" s="2049">
        <f t="shared" si="50"/>
        <v>400953.30405999999</v>
      </c>
      <c r="EN60" s="2047">
        <f t="shared" si="50"/>
        <v>970822.75214</v>
      </c>
      <c r="EO60" s="2049">
        <f t="shared" si="50"/>
        <v>433202.48518000002</v>
      </c>
      <c r="EP60" s="1485">
        <f t="shared" si="50"/>
        <v>131814.05855000002</v>
      </c>
      <c r="EQ60" s="2049">
        <f t="shared" si="50"/>
        <v>35168.425459999999</v>
      </c>
      <c r="ER60" s="2047">
        <f t="shared" si="50"/>
        <v>221067.94497000001</v>
      </c>
      <c r="ES60" s="2049">
        <f t="shared" si="50"/>
        <v>70514.391050000006</v>
      </c>
      <c r="ET60" s="2047">
        <f t="shared" si="50"/>
        <v>346909.53104999999</v>
      </c>
      <c r="EU60" s="2049">
        <f t="shared" si="50"/>
        <v>102289.68700000001</v>
      </c>
      <c r="EV60" s="2047">
        <f t="shared" si="50"/>
        <v>467530.25753</v>
      </c>
      <c r="EW60" s="2049">
        <f t="shared" si="50"/>
        <v>134601.68461</v>
      </c>
      <c r="EX60" s="2047">
        <f t="shared" si="50"/>
        <v>566433.97491999995</v>
      </c>
      <c r="EY60" s="2049">
        <f t="shared" si="50"/>
        <v>174436.19403999997</v>
      </c>
      <c r="EZ60" s="2047">
        <f t="shared" si="50"/>
        <v>648945.42958</v>
      </c>
      <c r="FA60" s="2049">
        <f t="shared" si="50"/>
        <v>225032.0625</v>
      </c>
      <c r="FB60" s="2047">
        <f t="shared" si="50"/>
        <v>761801.01952999993</v>
      </c>
      <c r="FC60" s="2049">
        <f t="shared" si="50"/>
        <v>282977.14317000005</v>
      </c>
      <c r="FD60" s="2047">
        <f t="shared" si="50"/>
        <v>846854.45337999996</v>
      </c>
      <c r="FE60" s="2049">
        <f t="shared" si="50"/>
        <v>345796.35090999998</v>
      </c>
      <c r="FF60" s="1485">
        <f t="shared" si="50"/>
        <v>935934.68965000007</v>
      </c>
      <c r="FG60" s="2049">
        <f t="shared" si="50"/>
        <v>400386.96116999991</v>
      </c>
      <c r="FH60" s="2047">
        <f t="shared" si="50"/>
        <v>1019744.55481</v>
      </c>
      <c r="FI60" s="2049">
        <f t="shared" si="50"/>
        <v>455011.70199999999</v>
      </c>
      <c r="FJ60" s="2047">
        <f t="shared" si="50"/>
        <v>1108233.6728699999</v>
      </c>
      <c r="FK60" s="2049">
        <f t="shared" si="50"/>
        <v>497466.31532999995</v>
      </c>
      <c r="FL60" s="2047">
        <f t="shared" si="50"/>
        <v>1222537.16943</v>
      </c>
      <c r="FM60" s="2049">
        <f t="shared" si="50"/>
        <v>587324.96776999999</v>
      </c>
      <c r="FN60" s="2047">
        <f t="shared" si="50"/>
        <v>139113.54996999999</v>
      </c>
      <c r="FO60" s="2049">
        <f t="shared" si="50"/>
        <v>38783.136230000004</v>
      </c>
      <c r="FP60" s="2047">
        <f t="shared" si="50"/>
        <v>239718.83589999995</v>
      </c>
      <c r="FQ60" s="2049">
        <f t="shared" si="50"/>
        <v>97434.382379999995</v>
      </c>
      <c r="FR60" s="2047">
        <f t="shared" si="50"/>
        <v>373140.46429000003</v>
      </c>
      <c r="FS60" s="2049">
        <f t="shared" si="50"/>
        <v>153326.60004999998</v>
      </c>
      <c r="FT60" s="2047">
        <f t="shared" si="50"/>
        <v>542840.82397999999</v>
      </c>
      <c r="FU60" s="2049">
        <f t="shared" si="50"/>
        <v>209555.11854999998</v>
      </c>
      <c r="FV60" s="2047">
        <f t="shared" si="50"/>
        <v>643754.04636000004</v>
      </c>
      <c r="FW60" s="2049">
        <f t="shared" si="50"/>
        <v>274240.91842</v>
      </c>
      <c r="FX60" s="2047">
        <f t="shared" si="50"/>
        <v>725161.65023000003</v>
      </c>
      <c r="FY60" s="2049">
        <f t="shared" si="50"/>
        <v>356083.98796000006</v>
      </c>
      <c r="FZ60" s="2047">
        <f t="shared" si="50"/>
        <v>833199.34202999994</v>
      </c>
      <c r="GA60" s="2049">
        <f t="shared" si="50"/>
        <v>438617.88092000003</v>
      </c>
      <c r="GB60" s="2047">
        <f t="shared" si="50"/>
        <v>928110.17174999998</v>
      </c>
      <c r="GC60" s="2049">
        <f t="shared" si="50"/>
        <v>498345.11080999998</v>
      </c>
      <c r="GD60" s="2047">
        <f t="shared" si="50"/>
        <v>1023707.17293</v>
      </c>
      <c r="GE60" s="2049">
        <f t="shared" si="50"/>
        <v>553746.10273000004</v>
      </c>
      <c r="GF60" s="2047">
        <f t="shared" si="50"/>
        <v>1112026.77428</v>
      </c>
      <c r="GG60" s="2049">
        <f t="shared" si="50"/>
        <v>622301.23150999995</v>
      </c>
      <c r="GH60" s="2047">
        <f t="shared" si="50"/>
        <v>1222165.54311</v>
      </c>
      <c r="GI60" s="2049">
        <f t="shared" si="50"/>
        <v>694053.27838999999</v>
      </c>
      <c r="GJ60" s="2047">
        <f t="shared" si="50"/>
        <v>1353185.4122700002</v>
      </c>
      <c r="GK60" s="2049">
        <f t="shared" si="50"/>
        <v>752712.21317999996</v>
      </c>
      <c r="GL60" s="2047">
        <f t="shared" ref="GL60:GU60" si="51">GL11+GL50</f>
        <v>163658.20332999999</v>
      </c>
      <c r="GM60" s="2049">
        <f t="shared" si="51"/>
        <v>47623.276230000003</v>
      </c>
      <c r="GN60" s="2047">
        <f t="shared" si="51"/>
        <v>281206.19648000004</v>
      </c>
      <c r="GO60" s="2049">
        <f t="shared" si="51"/>
        <v>108594.79766999999</v>
      </c>
      <c r="GP60" s="2047">
        <f t="shared" si="51"/>
        <v>399083.34303000011</v>
      </c>
      <c r="GQ60" s="2049">
        <f t="shared" si="51"/>
        <v>164029.19675176698</v>
      </c>
      <c r="GR60" s="2047">
        <f t="shared" si="51"/>
        <v>588465.52116</v>
      </c>
      <c r="GS60" s="2049">
        <f t="shared" si="51"/>
        <v>231332.50930999999</v>
      </c>
      <c r="GT60" s="2047">
        <f t="shared" si="51"/>
        <v>719352.80989999999</v>
      </c>
      <c r="GU60" s="2049">
        <f t="shared" si="51"/>
        <v>314787.88643000001</v>
      </c>
      <c r="GV60" s="2043" t="s">
        <v>3218</v>
      </c>
      <c r="GX60" s="2050"/>
      <c r="GZ60" s="2020"/>
    </row>
    <row r="61" spans="1:208" s="1845" customFormat="1" ht="30" customHeight="1">
      <c r="A61" s="1960" t="s">
        <v>3278</v>
      </c>
      <c r="B61" s="1844"/>
      <c r="C61" s="1844"/>
      <c r="D61" s="1844"/>
      <c r="E61" s="1844"/>
      <c r="F61" s="1844"/>
      <c r="G61" s="1844"/>
      <c r="H61" s="1844"/>
      <c r="I61" s="1844"/>
      <c r="J61" s="1844"/>
      <c r="K61" s="1844"/>
      <c r="L61" s="1844"/>
      <c r="M61" s="1844"/>
      <c r="N61" s="1844"/>
      <c r="O61" s="1844"/>
      <c r="P61" s="1844"/>
      <c r="Q61" s="1844"/>
      <c r="R61" s="1844"/>
      <c r="S61" s="1844"/>
      <c r="T61" s="1844"/>
      <c r="U61" s="1844"/>
      <c r="V61" s="1844"/>
      <c r="W61" s="1844"/>
      <c r="X61" s="1844"/>
      <c r="Y61" s="1844"/>
      <c r="Z61" s="1844"/>
      <c r="AA61" s="1844"/>
      <c r="AB61" s="1844"/>
      <c r="AC61" s="1844"/>
      <c r="AD61" s="1844"/>
      <c r="AE61" s="1844"/>
      <c r="AF61" s="1844"/>
      <c r="AG61" s="1844"/>
      <c r="AH61" s="1844"/>
    </row>
    <row r="62" spans="1:208" ht="31.5" customHeight="1">
      <c r="A62" s="1960" t="s">
        <v>4101</v>
      </c>
      <c r="B62" s="1986"/>
      <c r="C62" s="1986"/>
      <c r="D62" s="1986"/>
      <c r="E62" s="1986"/>
      <c r="F62" s="1986"/>
      <c r="G62" s="1986"/>
      <c r="H62" s="1986"/>
      <c r="I62" s="1986"/>
      <c r="J62" s="1986"/>
      <c r="K62" s="1986"/>
      <c r="L62" s="1986"/>
      <c r="M62" s="1986"/>
      <c r="N62" s="1986"/>
      <c r="O62" s="1986"/>
      <c r="P62" s="1986"/>
      <c r="Q62" s="1986"/>
      <c r="R62" s="1986"/>
      <c r="S62" s="1986"/>
      <c r="T62" s="1986"/>
      <c r="U62" s="1986"/>
      <c r="V62" s="1986"/>
      <c r="W62" s="1986"/>
      <c r="X62" s="1986"/>
      <c r="Y62" s="1986"/>
      <c r="Z62" s="1986"/>
      <c r="AA62" s="1986"/>
      <c r="AB62" s="394"/>
    </row>
    <row r="63" spans="1:208" ht="21" customHeight="1">
      <c r="B63" s="1986"/>
      <c r="C63" s="1986"/>
      <c r="D63" s="1986"/>
      <c r="E63" s="1986"/>
      <c r="F63" s="1986"/>
      <c r="G63" s="1986"/>
      <c r="H63" s="1986"/>
      <c r="I63" s="1986"/>
      <c r="J63" s="1986"/>
      <c r="K63" s="1986"/>
      <c r="L63" s="2052"/>
      <c r="M63" s="1986"/>
      <c r="N63" s="1986"/>
      <c r="O63" s="1986"/>
      <c r="P63" s="1986"/>
      <c r="Q63" s="1986"/>
      <c r="R63" s="1986"/>
      <c r="S63" s="1986"/>
      <c r="T63" s="1986"/>
      <c r="U63" s="1986"/>
      <c r="V63" s="1986"/>
      <c r="W63" s="1986"/>
      <c r="X63" s="1986"/>
      <c r="Y63" s="1986"/>
      <c r="Z63" s="1986"/>
      <c r="AA63" s="1986"/>
      <c r="AQ63" s="2052"/>
    </row>
    <row r="64" spans="1:208" ht="21" customHeight="1">
      <c r="B64" s="1986"/>
      <c r="C64" s="1986"/>
      <c r="D64" s="1986"/>
      <c r="E64" s="1986"/>
      <c r="F64" s="1986"/>
      <c r="G64" s="1986"/>
      <c r="H64" s="1986"/>
      <c r="I64" s="1986"/>
      <c r="J64" s="1986"/>
      <c r="K64" s="1986"/>
      <c r="L64" s="1986"/>
      <c r="M64" s="1986"/>
      <c r="N64" s="1986"/>
      <c r="O64" s="1986"/>
      <c r="P64" s="1986"/>
      <c r="Q64" s="1986"/>
      <c r="R64" s="1986"/>
      <c r="S64" s="1986"/>
      <c r="T64" s="1986"/>
      <c r="U64" s="1986"/>
      <c r="V64" s="1986"/>
      <c r="W64" s="1986"/>
      <c r="X64" s="1986"/>
      <c r="Y64" s="1986"/>
      <c r="Z64" s="1986"/>
      <c r="AA64" s="1986"/>
    </row>
    <row r="65" spans="2:27">
      <c r="B65" s="1986"/>
      <c r="C65" s="1986"/>
      <c r="D65" s="1986"/>
      <c r="E65" s="1986"/>
      <c r="F65" s="1986"/>
      <c r="G65" s="1986"/>
      <c r="H65" s="1986"/>
      <c r="I65" s="1986"/>
      <c r="J65" s="1986"/>
      <c r="K65" s="1986"/>
      <c r="L65" s="1986"/>
      <c r="M65" s="1986"/>
      <c r="N65" s="1986"/>
      <c r="O65" s="1986"/>
      <c r="P65" s="1986"/>
      <c r="Q65" s="1986"/>
      <c r="R65" s="1986"/>
      <c r="S65" s="1986"/>
      <c r="T65" s="1986"/>
      <c r="U65" s="1986"/>
      <c r="V65" s="1986"/>
      <c r="W65" s="1986"/>
      <c r="X65" s="1986"/>
      <c r="Y65" s="1986"/>
      <c r="Z65" s="1986"/>
      <c r="AA65" s="1986"/>
    </row>
    <row r="66" spans="2:27">
      <c r="B66" s="1986"/>
      <c r="C66" s="1986"/>
      <c r="D66" s="1986"/>
      <c r="E66" s="1986"/>
      <c r="F66" s="1986"/>
      <c r="G66" s="1986"/>
      <c r="H66" s="1986"/>
      <c r="I66" s="1986"/>
      <c r="J66" s="1986"/>
      <c r="K66" s="1986"/>
      <c r="L66" s="1986"/>
      <c r="M66" s="1986"/>
      <c r="N66" s="1986"/>
      <c r="O66" s="1986"/>
      <c r="P66" s="1986"/>
      <c r="Q66" s="1986"/>
      <c r="R66" s="1986"/>
      <c r="S66" s="1986"/>
      <c r="T66" s="1986"/>
      <c r="U66" s="1986"/>
      <c r="V66" s="1986"/>
      <c r="W66" s="1986"/>
      <c r="X66" s="1986"/>
      <c r="Y66" s="1986"/>
      <c r="Z66" s="1986"/>
      <c r="AA66" s="1986"/>
    </row>
    <row r="67" spans="2:27">
      <c r="B67" s="1986"/>
      <c r="C67" s="1986"/>
      <c r="D67" s="1986"/>
      <c r="E67" s="1986"/>
      <c r="F67" s="1986"/>
      <c r="G67" s="1986"/>
      <c r="H67" s="1986"/>
      <c r="I67" s="1986"/>
      <c r="J67" s="1986"/>
      <c r="K67" s="1986"/>
      <c r="L67" s="1986"/>
      <c r="M67" s="1986"/>
      <c r="N67" s="1986"/>
      <c r="O67" s="1986"/>
      <c r="P67" s="1986"/>
      <c r="Q67" s="1986"/>
      <c r="R67" s="1986"/>
      <c r="S67" s="1986"/>
      <c r="T67" s="1986"/>
      <c r="U67" s="1986"/>
      <c r="V67" s="1986"/>
      <c r="W67" s="1986"/>
      <c r="X67" s="1986"/>
      <c r="Y67" s="1986"/>
      <c r="Z67" s="1986"/>
      <c r="AA67" s="1986"/>
    </row>
    <row r="68" spans="2:27">
      <c r="B68" s="1986"/>
      <c r="C68" s="1986"/>
      <c r="D68" s="1986"/>
      <c r="E68" s="1986"/>
      <c r="F68" s="1986"/>
      <c r="G68" s="1986"/>
      <c r="H68" s="1986"/>
      <c r="I68" s="1986"/>
      <c r="J68" s="1986"/>
      <c r="K68" s="1986"/>
      <c r="L68" s="1986"/>
      <c r="M68" s="1986"/>
      <c r="N68" s="1986"/>
      <c r="O68" s="1986"/>
      <c r="P68" s="1986"/>
      <c r="Q68" s="1986"/>
      <c r="R68" s="1986"/>
      <c r="S68" s="1986"/>
      <c r="T68" s="1986"/>
      <c r="U68" s="1986"/>
      <c r="V68" s="1986"/>
      <c r="W68" s="1986"/>
      <c r="X68" s="1986"/>
      <c r="Y68" s="1986"/>
      <c r="Z68" s="1986"/>
      <c r="AA68" s="1986"/>
    </row>
    <row r="69" spans="2:27">
      <c r="B69" s="1986"/>
      <c r="C69" s="1986"/>
      <c r="D69" s="1986"/>
      <c r="E69" s="1986"/>
      <c r="F69" s="1986"/>
      <c r="G69" s="1986"/>
      <c r="H69" s="1986"/>
      <c r="I69" s="1986"/>
      <c r="J69" s="1986"/>
      <c r="K69" s="1986"/>
      <c r="L69" s="1986"/>
      <c r="M69" s="1986"/>
      <c r="N69" s="1986"/>
      <c r="O69" s="1986"/>
      <c r="P69" s="1986"/>
      <c r="Q69" s="1986"/>
      <c r="R69" s="1986"/>
      <c r="S69" s="1986"/>
      <c r="T69" s="1986"/>
      <c r="U69" s="1986"/>
      <c r="V69" s="1986"/>
      <c r="W69" s="1986"/>
      <c r="X69" s="1986"/>
      <c r="Y69" s="1986"/>
      <c r="Z69" s="1986"/>
      <c r="AA69" s="1986"/>
    </row>
    <row r="70" spans="2:27">
      <c r="B70" s="1986"/>
      <c r="C70" s="1986"/>
      <c r="D70" s="1986"/>
      <c r="E70" s="1986"/>
      <c r="F70" s="1986"/>
      <c r="G70" s="1986"/>
      <c r="H70" s="1986"/>
      <c r="I70" s="1986"/>
      <c r="J70" s="1986"/>
      <c r="K70" s="1986"/>
      <c r="L70" s="1986"/>
      <c r="M70" s="1986"/>
      <c r="N70" s="1986"/>
      <c r="O70" s="1986"/>
      <c r="P70" s="1986"/>
      <c r="Q70" s="1986"/>
      <c r="R70" s="1986"/>
      <c r="S70" s="1986"/>
      <c r="T70" s="1986"/>
      <c r="U70" s="1986"/>
      <c r="V70" s="1986"/>
      <c r="W70" s="1986"/>
      <c r="X70" s="1986"/>
      <c r="Y70" s="1986"/>
      <c r="Z70" s="1986"/>
      <c r="AA70" s="1986"/>
    </row>
    <row r="71" spans="2:27">
      <c r="B71" s="1986"/>
      <c r="C71" s="1986"/>
      <c r="D71" s="1986"/>
      <c r="E71" s="1986"/>
      <c r="F71" s="1986"/>
      <c r="G71" s="1986"/>
      <c r="H71" s="1986"/>
      <c r="I71" s="1986"/>
      <c r="J71" s="1986"/>
      <c r="K71" s="1986"/>
      <c r="L71" s="1986"/>
      <c r="M71" s="1986"/>
      <c r="N71" s="1986"/>
      <c r="O71" s="1986"/>
      <c r="P71" s="1986"/>
      <c r="Q71" s="1986"/>
      <c r="R71" s="1986"/>
      <c r="S71" s="1986"/>
      <c r="T71" s="1986"/>
      <c r="U71" s="1986"/>
      <c r="V71" s="1986"/>
      <c r="W71" s="1986"/>
      <c r="X71" s="1986"/>
      <c r="Y71" s="1986"/>
      <c r="Z71" s="1986"/>
      <c r="AA71" s="1986"/>
    </row>
    <row r="72" spans="2:27">
      <c r="B72" s="1986"/>
      <c r="C72" s="1986"/>
      <c r="D72" s="1986"/>
      <c r="E72" s="1986"/>
      <c r="F72" s="1986"/>
      <c r="G72" s="1986"/>
      <c r="H72" s="1986"/>
      <c r="I72" s="1986"/>
      <c r="J72" s="1986"/>
      <c r="K72" s="1986"/>
      <c r="L72" s="1986"/>
      <c r="M72" s="1986"/>
      <c r="N72" s="1986"/>
      <c r="O72" s="1986"/>
      <c r="P72" s="1986"/>
      <c r="Q72" s="1986"/>
      <c r="R72" s="1986"/>
      <c r="S72" s="1986"/>
      <c r="T72" s="1986"/>
      <c r="U72" s="1986"/>
      <c r="V72" s="1986"/>
      <c r="W72" s="1986"/>
      <c r="X72" s="1986"/>
      <c r="Y72" s="1986"/>
      <c r="Z72" s="1986"/>
      <c r="AA72" s="1986"/>
    </row>
    <row r="73" spans="2:27">
      <c r="B73" s="1986"/>
      <c r="C73" s="1986"/>
      <c r="D73" s="1986"/>
      <c r="E73" s="1986"/>
      <c r="F73" s="1986"/>
      <c r="G73" s="1986"/>
      <c r="H73" s="1986"/>
      <c r="I73" s="1986"/>
      <c r="J73" s="1986"/>
      <c r="K73" s="1986"/>
      <c r="L73" s="1986"/>
      <c r="M73" s="1986"/>
      <c r="N73" s="1986"/>
      <c r="O73" s="1986"/>
      <c r="P73" s="1986"/>
      <c r="Q73" s="1986"/>
      <c r="R73" s="1986"/>
      <c r="S73" s="1986"/>
      <c r="T73" s="1986"/>
      <c r="U73" s="1986"/>
      <c r="V73" s="1986"/>
      <c r="W73" s="1986"/>
      <c r="X73" s="1986"/>
      <c r="Y73" s="1986"/>
      <c r="Z73" s="1986"/>
      <c r="AA73" s="1986"/>
    </row>
    <row r="74" spans="2:27">
      <c r="B74" s="1986"/>
      <c r="C74" s="1986"/>
      <c r="D74" s="1986"/>
      <c r="E74" s="1986"/>
      <c r="F74" s="1986"/>
      <c r="G74" s="1986"/>
      <c r="H74" s="1986"/>
      <c r="I74" s="1986"/>
      <c r="J74" s="1986"/>
      <c r="K74" s="1986"/>
      <c r="L74" s="1986"/>
      <c r="M74" s="1986"/>
      <c r="N74" s="1986"/>
      <c r="O74" s="1986"/>
      <c r="P74" s="1986"/>
      <c r="Q74" s="1986"/>
      <c r="R74" s="1986"/>
      <c r="S74" s="1986"/>
      <c r="T74" s="1986"/>
      <c r="U74" s="1986"/>
      <c r="V74" s="1986"/>
      <c r="W74" s="1986"/>
      <c r="X74" s="1986"/>
      <c r="Y74" s="1986"/>
      <c r="Z74" s="1986"/>
      <c r="AA74" s="1986"/>
    </row>
    <row r="75" spans="2:27">
      <c r="B75" s="1986"/>
      <c r="C75" s="1986"/>
      <c r="D75" s="1986"/>
      <c r="E75" s="1986"/>
      <c r="F75" s="1986"/>
      <c r="G75" s="1986"/>
      <c r="H75" s="1986"/>
      <c r="I75" s="1986"/>
      <c r="J75" s="1986"/>
      <c r="K75" s="1986"/>
      <c r="L75" s="1986"/>
      <c r="M75" s="1986"/>
      <c r="N75" s="1986"/>
      <c r="O75" s="1986"/>
      <c r="P75" s="1986"/>
      <c r="Q75" s="1986"/>
      <c r="R75" s="1986"/>
      <c r="S75" s="1986"/>
      <c r="T75" s="1986"/>
      <c r="U75" s="1986"/>
      <c r="V75" s="1986"/>
      <c r="W75" s="1986"/>
      <c r="X75" s="1986"/>
      <c r="Y75" s="1986"/>
      <c r="Z75" s="1986"/>
      <c r="AA75" s="1986"/>
    </row>
    <row r="76" spans="2:27">
      <c r="B76" s="1986"/>
      <c r="C76" s="1986"/>
      <c r="D76" s="1986"/>
      <c r="E76" s="1986"/>
      <c r="F76" s="1986"/>
      <c r="G76" s="1986"/>
      <c r="H76" s="1986"/>
      <c r="I76" s="1986"/>
      <c r="J76" s="1986"/>
      <c r="K76" s="1986"/>
      <c r="L76" s="1986"/>
      <c r="M76" s="1986"/>
      <c r="N76" s="1986"/>
      <c r="O76" s="1986"/>
      <c r="P76" s="1986"/>
      <c r="Q76" s="1986"/>
      <c r="R76" s="1986"/>
      <c r="S76" s="1986"/>
      <c r="T76" s="1986"/>
      <c r="U76" s="1986"/>
      <c r="V76" s="1986"/>
      <c r="W76" s="1986"/>
      <c r="X76" s="1986"/>
      <c r="Y76" s="1986"/>
      <c r="Z76" s="1986"/>
      <c r="AA76" s="1986"/>
    </row>
    <row r="77" spans="2:27">
      <c r="B77" s="1986"/>
      <c r="C77" s="1986"/>
      <c r="D77" s="1986"/>
      <c r="E77" s="1986"/>
      <c r="F77" s="1986"/>
      <c r="G77" s="1986"/>
      <c r="H77" s="1986"/>
      <c r="I77" s="1986"/>
      <c r="J77" s="1986"/>
      <c r="K77" s="1986"/>
      <c r="L77" s="1986"/>
      <c r="M77" s="1986"/>
      <c r="N77" s="1986"/>
      <c r="O77" s="1986"/>
      <c r="P77" s="1986"/>
      <c r="Q77" s="1986"/>
      <c r="R77" s="1986"/>
      <c r="S77" s="1986"/>
      <c r="T77" s="1986"/>
      <c r="U77" s="1986"/>
      <c r="V77" s="1986"/>
      <c r="W77" s="1986"/>
      <c r="X77" s="1986"/>
      <c r="Y77" s="1986"/>
      <c r="Z77" s="1986"/>
      <c r="AA77" s="1986"/>
    </row>
    <row r="78" spans="2:27">
      <c r="B78" s="1986"/>
      <c r="C78" s="1986"/>
      <c r="D78" s="1986"/>
      <c r="E78" s="1986"/>
      <c r="F78" s="1986"/>
      <c r="G78" s="1986"/>
      <c r="H78" s="1986"/>
      <c r="I78" s="1986"/>
      <c r="J78" s="1986"/>
      <c r="K78" s="1986"/>
      <c r="L78" s="1986"/>
      <c r="M78" s="1986"/>
      <c r="N78" s="1986"/>
      <c r="O78" s="1986"/>
      <c r="P78" s="1986"/>
      <c r="Q78" s="1986"/>
      <c r="R78" s="1986"/>
      <c r="S78" s="1986"/>
      <c r="T78" s="1986"/>
      <c r="U78" s="1986"/>
      <c r="V78" s="1986"/>
      <c r="W78" s="1986"/>
      <c r="X78" s="1986"/>
      <c r="Y78" s="1986"/>
      <c r="Z78" s="1986"/>
      <c r="AA78" s="1986"/>
    </row>
    <row r="79" spans="2:27">
      <c r="B79" s="1986"/>
      <c r="C79" s="1986"/>
      <c r="D79" s="1986"/>
      <c r="E79" s="1986"/>
      <c r="F79" s="1986"/>
      <c r="G79" s="1986"/>
      <c r="H79" s="1986"/>
      <c r="I79" s="1986"/>
      <c r="J79" s="1986"/>
      <c r="K79" s="1986"/>
      <c r="L79" s="1986"/>
      <c r="M79" s="1986"/>
      <c r="N79" s="1986"/>
      <c r="O79" s="1986"/>
      <c r="P79" s="1986"/>
      <c r="Q79" s="1986"/>
      <c r="R79" s="1986"/>
      <c r="S79" s="1986"/>
      <c r="T79" s="1986"/>
      <c r="U79" s="1986"/>
      <c r="V79" s="1986"/>
      <c r="W79" s="1986"/>
      <c r="X79" s="1986"/>
      <c r="Y79" s="1986"/>
      <c r="Z79" s="1986"/>
      <c r="AA79" s="1986"/>
    </row>
    <row r="80" spans="2:27">
      <c r="B80" s="1986"/>
      <c r="C80" s="1986"/>
      <c r="D80" s="1986"/>
      <c r="E80" s="1986"/>
      <c r="F80" s="1986"/>
      <c r="G80" s="1986"/>
      <c r="H80" s="1986"/>
      <c r="I80" s="1986"/>
      <c r="J80" s="1986"/>
      <c r="K80" s="1986"/>
      <c r="L80" s="1986"/>
      <c r="M80" s="1986"/>
      <c r="N80" s="1986"/>
      <c r="O80" s="1986"/>
      <c r="P80" s="1986"/>
      <c r="Q80" s="1986"/>
      <c r="R80" s="1986"/>
      <c r="S80" s="1986"/>
      <c r="T80" s="1986"/>
      <c r="U80" s="1986"/>
      <c r="V80" s="1986"/>
      <c r="W80" s="1986"/>
      <c r="X80" s="1986"/>
      <c r="Y80" s="1986"/>
      <c r="Z80" s="1986"/>
      <c r="AA80" s="1986"/>
    </row>
    <row r="81" spans="2:27">
      <c r="B81" s="1986"/>
      <c r="C81" s="1986"/>
      <c r="D81" s="1986"/>
      <c r="E81" s="1986"/>
      <c r="F81" s="1986"/>
      <c r="G81" s="1986"/>
      <c r="H81" s="1986"/>
      <c r="I81" s="1986"/>
      <c r="J81" s="1986"/>
      <c r="K81" s="1986"/>
      <c r="L81" s="1986"/>
      <c r="M81" s="1986"/>
      <c r="N81" s="1986"/>
      <c r="O81" s="1986"/>
      <c r="P81" s="1986"/>
      <c r="Q81" s="1986"/>
      <c r="R81" s="1986"/>
      <c r="S81" s="1986"/>
      <c r="T81" s="1986"/>
      <c r="U81" s="1986"/>
      <c r="V81" s="1986"/>
      <c r="W81" s="1986"/>
      <c r="X81" s="1986"/>
      <c r="Y81" s="1986"/>
      <c r="Z81" s="1986"/>
      <c r="AA81" s="1986"/>
    </row>
    <row r="82" spans="2:27">
      <c r="B82" s="1986"/>
      <c r="C82" s="1986"/>
      <c r="D82" s="1986"/>
      <c r="E82" s="1986"/>
      <c r="F82" s="1986"/>
      <c r="G82" s="1986"/>
      <c r="H82" s="1986"/>
      <c r="I82" s="1986"/>
      <c r="J82" s="1986"/>
      <c r="K82" s="1986"/>
      <c r="L82" s="1986"/>
      <c r="M82" s="1986"/>
      <c r="N82" s="1986"/>
      <c r="O82" s="1986"/>
      <c r="P82" s="1986"/>
      <c r="Q82" s="1986"/>
      <c r="R82" s="1986"/>
      <c r="S82" s="1986"/>
      <c r="T82" s="1986"/>
      <c r="U82" s="1986"/>
      <c r="V82" s="1986"/>
      <c r="W82" s="1986"/>
      <c r="X82" s="1986"/>
      <c r="Y82" s="1986"/>
      <c r="Z82" s="1986"/>
      <c r="AA82" s="1986"/>
    </row>
    <row r="83" spans="2:27">
      <c r="B83" s="1986"/>
      <c r="C83" s="1986"/>
      <c r="D83" s="1986"/>
      <c r="E83" s="1986"/>
      <c r="F83" s="1986"/>
      <c r="G83" s="1986"/>
      <c r="H83" s="1986"/>
      <c r="I83" s="1986"/>
      <c r="J83" s="1986"/>
      <c r="K83" s="1986"/>
      <c r="L83" s="1986"/>
      <c r="M83" s="1986"/>
      <c r="N83" s="1986"/>
      <c r="O83" s="1986"/>
      <c r="P83" s="1986"/>
      <c r="Q83" s="1986"/>
      <c r="R83" s="1986"/>
      <c r="S83" s="1986"/>
      <c r="T83" s="1986"/>
      <c r="U83" s="1986"/>
      <c r="V83" s="1986"/>
      <c r="W83" s="1986"/>
      <c r="X83" s="1986"/>
      <c r="Y83" s="1986"/>
      <c r="Z83" s="1986"/>
      <c r="AA83" s="1986"/>
    </row>
    <row r="84" spans="2:27">
      <c r="B84" s="1986"/>
      <c r="C84" s="1986"/>
      <c r="D84" s="1986"/>
      <c r="E84" s="1986"/>
      <c r="F84" s="1986"/>
      <c r="G84" s="1986"/>
      <c r="H84" s="1986"/>
      <c r="I84" s="1986"/>
      <c r="J84" s="1986"/>
      <c r="K84" s="1986"/>
      <c r="L84" s="1986"/>
      <c r="M84" s="1986"/>
      <c r="N84" s="1986"/>
      <c r="O84" s="1986"/>
      <c r="P84" s="1986"/>
      <c r="Q84" s="1986"/>
      <c r="R84" s="1986"/>
      <c r="S84" s="1986"/>
      <c r="T84" s="1986"/>
      <c r="U84" s="1986"/>
      <c r="V84" s="1986"/>
      <c r="W84" s="1986"/>
      <c r="X84" s="1986"/>
      <c r="Y84" s="1986"/>
      <c r="Z84" s="1986"/>
      <c r="AA84" s="1986"/>
    </row>
    <row r="85" spans="2:27">
      <c r="B85" s="1986"/>
      <c r="C85" s="1986"/>
      <c r="D85" s="1986"/>
      <c r="E85" s="1986"/>
      <c r="F85" s="1986"/>
      <c r="G85" s="1986"/>
      <c r="H85" s="1986"/>
      <c r="I85" s="1986"/>
      <c r="J85" s="1986"/>
      <c r="K85" s="1986"/>
      <c r="L85" s="1986"/>
      <c r="M85" s="1986"/>
      <c r="N85" s="1986"/>
      <c r="O85" s="1986"/>
      <c r="P85" s="1986"/>
      <c r="Q85" s="1986"/>
      <c r="R85" s="1986"/>
      <c r="S85" s="1986"/>
      <c r="T85" s="1986"/>
      <c r="U85" s="1986"/>
      <c r="V85" s="1986"/>
      <c r="W85" s="1986"/>
      <c r="X85" s="1986"/>
      <c r="Y85" s="1986"/>
      <c r="Z85" s="1986"/>
      <c r="AA85" s="1986"/>
    </row>
    <row r="86" spans="2:27">
      <c r="B86" s="1986"/>
      <c r="C86" s="1986"/>
      <c r="D86" s="1986"/>
      <c r="E86" s="1986"/>
      <c r="F86" s="1986"/>
      <c r="G86" s="1986"/>
      <c r="H86" s="1986"/>
      <c r="I86" s="1986"/>
      <c r="J86" s="1986"/>
      <c r="K86" s="1986"/>
      <c r="L86" s="1986"/>
      <c r="M86" s="1986"/>
      <c r="N86" s="1986"/>
      <c r="O86" s="1986"/>
      <c r="P86" s="1986"/>
      <c r="Q86" s="1986"/>
      <c r="R86" s="1986"/>
      <c r="S86" s="1986"/>
      <c r="T86" s="1986"/>
      <c r="U86" s="1986"/>
      <c r="V86" s="1986"/>
      <c r="W86" s="1986"/>
      <c r="X86" s="1986"/>
      <c r="Y86" s="1986"/>
      <c r="Z86" s="1986"/>
      <c r="AA86" s="1986"/>
    </row>
    <row r="87" spans="2:27">
      <c r="B87" s="1986"/>
      <c r="C87" s="1986"/>
      <c r="D87" s="1986"/>
      <c r="E87" s="1986"/>
      <c r="F87" s="1986"/>
      <c r="G87" s="1986"/>
      <c r="H87" s="1986"/>
      <c r="I87" s="1986"/>
      <c r="J87" s="1986"/>
      <c r="K87" s="1986"/>
      <c r="L87" s="1986"/>
      <c r="M87" s="1986"/>
      <c r="N87" s="1986"/>
      <c r="O87" s="1986"/>
      <c r="P87" s="1986"/>
      <c r="Q87" s="1986"/>
      <c r="R87" s="1986"/>
      <c r="S87" s="1986"/>
      <c r="T87" s="1986"/>
      <c r="U87" s="1986"/>
      <c r="V87" s="1986"/>
      <c r="W87" s="1986"/>
      <c r="X87" s="1986"/>
      <c r="Y87" s="1986"/>
      <c r="Z87" s="1986"/>
      <c r="AA87" s="1986"/>
    </row>
    <row r="88" spans="2:27">
      <c r="B88" s="1986"/>
      <c r="C88" s="1986"/>
      <c r="D88" s="1986"/>
      <c r="E88" s="1986"/>
      <c r="F88" s="1986"/>
      <c r="G88" s="1986"/>
      <c r="H88" s="1986"/>
      <c r="I88" s="1986"/>
      <c r="J88" s="1986"/>
      <c r="K88" s="1986"/>
      <c r="L88" s="1986"/>
      <c r="M88" s="1986"/>
      <c r="N88" s="1986"/>
      <c r="O88" s="1986"/>
      <c r="P88" s="1986"/>
      <c r="Q88" s="1986"/>
      <c r="R88" s="1986"/>
      <c r="S88" s="1986"/>
      <c r="T88" s="1986"/>
      <c r="U88" s="1986"/>
      <c r="V88" s="1986"/>
      <c r="W88" s="1986"/>
      <c r="X88" s="1986"/>
      <c r="Y88" s="1986"/>
      <c r="Z88" s="1986"/>
      <c r="AA88" s="1986"/>
    </row>
    <row r="89" spans="2:27">
      <c r="B89" s="1986"/>
      <c r="C89" s="1986"/>
      <c r="D89" s="1986"/>
      <c r="E89" s="1986"/>
      <c r="F89" s="1986"/>
      <c r="G89" s="1986"/>
      <c r="H89" s="1986"/>
      <c r="I89" s="1986"/>
      <c r="J89" s="1986"/>
      <c r="K89" s="1986"/>
      <c r="L89" s="1986"/>
      <c r="M89" s="1986"/>
      <c r="N89" s="1986"/>
      <c r="O89" s="1986"/>
      <c r="P89" s="1986"/>
      <c r="Q89" s="1986"/>
      <c r="R89" s="1986"/>
      <c r="S89" s="1986"/>
      <c r="T89" s="1986"/>
      <c r="U89" s="1986"/>
      <c r="V89" s="1986"/>
      <c r="W89" s="1986"/>
      <c r="X89" s="1986"/>
      <c r="Y89" s="1986"/>
      <c r="Z89" s="1986"/>
      <c r="AA89" s="1986"/>
    </row>
    <row r="90" spans="2:27">
      <c r="B90" s="1986"/>
      <c r="C90" s="1986"/>
      <c r="D90" s="1986"/>
      <c r="E90" s="1986"/>
      <c r="F90" s="1986"/>
      <c r="G90" s="1986"/>
      <c r="H90" s="1986"/>
      <c r="I90" s="1986"/>
      <c r="J90" s="1986"/>
      <c r="K90" s="1986"/>
      <c r="L90" s="1986"/>
      <c r="M90" s="1986"/>
      <c r="N90" s="1986"/>
      <c r="O90" s="1986"/>
      <c r="P90" s="1986"/>
      <c r="Q90" s="1986"/>
      <c r="R90" s="1986"/>
      <c r="S90" s="1986"/>
      <c r="T90" s="1986"/>
      <c r="U90" s="1986"/>
      <c r="V90" s="1986"/>
      <c r="W90" s="1986"/>
      <c r="X90" s="1986"/>
      <c r="Y90" s="1986"/>
      <c r="Z90" s="1986"/>
      <c r="AA90" s="1986"/>
    </row>
    <row r="91" spans="2:27">
      <c r="B91" s="1986"/>
      <c r="C91" s="1986"/>
      <c r="D91" s="1986"/>
      <c r="E91" s="1986"/>
      <c r="F91" s="1986"/>
      <c r="G91" s="1986"/>
      <c r="H91" s="1986"/>
      <c r="I91" s="1986"/>
      <c r="J91" s="1986"/>
      <c r="K91" s="1986"/>
      <c r="L91" s="1986"/>
      <c r="M91" s="1986"/>
      <c r="N91" s="1986"/>
      <c r="O91" s="1986"/>
      <c r="P91" s="1986"/>
      <c r="Q91" s="1986"/>
      <c r="R91" s="1986"/>
      <c r="S91" s="1986"/>
      <c r="T91" s="1986"/>
      <c r="U91" s="1986"/>
      <c r="V91" s="1986"/>
      <c r="W91" s="1986"/>
      <c r="X91" s="1986"/>
      <c r="Y91" s="1986"/>
      <c r="Z91" s="1986"/>
      <c r="AA91" s="1986"/>
    </row>
    <row r="92" spans="2:27">
      <c r="B92" s="1986"/>
      <c r="C92" s="1986"/>
      <c r="D92" s="1986"/>
      <c r="E92" s="1986"/>
      <c r="F92" s="1986"/>
      <c r="G92" s="1986"/>
      <c r="H92" s="1986"/>
      <c r="I92" s="1986"/>
      <c r="J92" s="1986"/>
      <c r="K92" s="1986"/>
      <c r="L92" s="1986"/>
      <c r="M92" s="1986"/>
      <c r="N92" s="1986"/>
      <c r="O92" s="1986"/>
      <c r="P92" s="1986"/>
      <c r="Q92" s="1986"/>
      <c r="R92" s="1986"/>
      <c r="S92" s="1986"/>
      <c r="T92" s="1986"/>
      <c r="U92" s="1986"/>
      <c r="V92" s="1986"/>
      <c r="W92" s="1986"/>
      <c r="X92" s="1986"/>
      <c r="Y92" s="1986"/>
      <c r="Z92" s="1986"/>
      <c r="AA92" s="1986"/>
    </row>
    <row r="93" spans="2:27">
      <c r="B93" s="1986"/>
      <c r="C93" s="1986"/>
      <c r="D93" s="1986"/>
      <c r="E93" s="1986"/>
      <c r="F93" s="1986"/>
      <c r="G93" s="1986"/>
      <c r="H93" s="1986"/>
      <c r="I93" s="1986"/>
      <c r="J93" s="1986"/>
      <c r="K93" s="1986"/>
      <c r="L93" s="1986"/>
      <c r="M93" s="1986"/>
      <c r="N93" s="1986"/>
      <c r="O93" s="1986"/>
      <c r="P93" s="1986"/>
      <c r="Q93" s="1986"/>
      <c r="R93" s="1986"/>
      <c r="S93" s="1986"/>
      <c r="T93" s="1986"/>
      <c r="U93" s="1986"/>
      <c r="V93" s="1986"/>
      <c r="W93" s="1986"/>
      <c r="X93" s="1986"/>
      <c r="Y93" s="1986"/>
      <c r="Z93" s="1986"/>
      <c r="AA93" s="1986"/>
    </row>
    <row r="94" spans="2:27">
      <c r="B94" s="1986"/>
      <c r="C94" s="1986"/>
      <c r="D94" s="1986"/>
      <c r="E94" s="1986"/>
      <c r="F94" s="1986"/>
      <c r="G94" s="1986"/>
      <c r="H94" s="1986"/>
      <c r="I94" s="1986"/>
      <c r="J94" s="1986"/>
      <c r="K94" s="1986"/>
      <c r="L94" s="1986"/>
      <c r="M94" s="1986"/>
      <c r="N94" s="1986"/>
      <c r="O94" s="1986"/>
      <c r="P94" s="1986"/>
      <c r="Q94" s="1986"/>
      <c r="R94" s="1986"/>
      <c r="S94" s="1986"/>
      <c r="T94" s="1986"/>
      <c r="U94" s="1986"/>
      <c r="V94" s="1986"/>
      <c r="W94" s="1986"/>
      <c r="X94" s="1986"/>
      <c r="Y94" s="1986"/>
      <c r="Z94" s="1986"/>
      <c r="AA94" s="1986"/>
    </row>
    <row r="95" spans="2:27">
      <c r="B95" s="1986"/>
      <c r="C95" s="1986"/>
      <c r="D95" s="1986"/>
      <c r="E95" s="1986"/>
      <c r="F95" s="1986"/>
      <c r="G95" s="1986"/>
      <c r="H95" s="1986"/>
      <c r="I95" s="1986"/>
      <c r="J95" s="1986"/>
      <c r="K95" s="1986"/>
      <c r="L95" s="1986"/>
      <c r="M95" s="1986"/>
      <c r="N95" s="1986"/>
      <c r="O95" s="1986"/>
      <c r="P95" s="1986"/>
      <c r="Q95" s="1986"/>
      <c r="R95" s="1986"/>
      <c r="S95" s="1986"/>
      <c r="T95" s="1986"/>
      <c r="U95" s="1986"/>
      <c r="V95" s="1986"/>
      <c r="W95" s="1986"/>
      <c r="X95" s="1986"/>
      <c r="Y95" s="1986"/>
      <c r="Z95" s="1986"/>
      <c r="AA95" s="1986"/>
    </row>
    <row r="96" spans="2:27">
      <c r="B96" s="1986"/>
      <c r="C96" s="1986"/>
      <c r="D96" s="1986"/>
      <c r="E96" s="1986"/>
      <c r="F96" s="1986"/>
      <c r="G96" s="1986"/>
      <c r="H96" s="1986"/>
      <c r="I96" s="1986"/>
      <c r="J96" s="1986"/>
      <c r="K96" s="1986"/>
      <c r="L96" s="1986"/>
      <c r="M96" s="1986"/>
      <c r="N96" s="1986"/>
      <c r="O96" s="1986"/>
      <c r="P96" s="1986"/>
      <c r="Q96" s="1986"/>
      <c r="R96" s="1986"/>
      <c r="S96" s="1986"/>
      <c r="T96" s="1986"/>
      <c r="U96" s="1986"/>
      <c r="V96" s="1986"/>
      <c r="W96" s="1986"/>
      <c r="X96" s="1986"/>
      <c r="Y96" s="1986"/>
      <c r="Z96" s="1986"/>
      <c r="AA96" s="1986"/>
    </row>
    <row r="97" spans="2:27">
      <c r="B97" s="1986"/>
      <c r="C97" s="1986"/>
      <c r="D97" s="1986"/>
      <c r="E97" s="1986"/>
      <c r="F97" s="1986"/>
      <c r="G97" s="1986"/>
      <c r="H97" s="1986"/>
      <c r="I97" s="1986"/>
      <c r="J97" s="1986"/>
      <c r="K97" s="1986"/>
      <c r="L97" s="1986"/>
      <c r="M97" s="1986"/>
      <c r="N97" s="1986"/>
      <c r="O97" s="1986"/>
      <c r="P97" s="1986"/>
      <c r="Q97" s="1986"/>
      <c r="R97" s="1986"/>
      <c r="S97" s="1986"/>
      <c r="T97" s="1986"/>
      <c r="U97" s="1986"/>
      <c r="V97" s="1986"/>
      <c r="W97" s="1986"/>
      <c r="X97" s="1986"/>
      <c r="Y97" s="1986"/>
      <c r="Z97" s="1986"/>
      <c r="AA97" s="1986"/>
    </row>
    <row r="98" spans="2:27">
      <c r="B98" s="1986"/>
      <c r="C98" s="1986"/>
      <c r="D98" s="1986"/>
      <c r="E98" s="1986"/>
      <c r="F98" s="1986"/>
      <c r="G98" s="1986"/>
      <c r="H98" s="1986"/>
      <c r="I98" s="1986"/>
      <c r="J98" s="1986"/>
      <c r="K98" s="1986"/>
      <c r="L98" s="1986"/>
      <c r="M98" s="1986"/>
      <c r="N98" s="1986"/>
      <c r="O98" s="1986"/>
      <c r="P98" s="1986"/>
      <c r="Q98" s="1986"/>
      <c r="R98" s="1986"/>
      <c r="S98" s="1986"/>
      <c r="T98" s="1986"/>
      <c r="U98" s="1986"/>
      <c r="V98" s="1986"/>
      <c r="W98" s="1986"/>
      <c r="X98" s="1986"/>
      <c r="Y98" s="1986"/>
      <c r="Z98" s="1986"/>
      <c r="AA98" s="1986"/>
    </row>
    <row r="99" spans="2:27">
      <c r="B99" s="1986"/>
      <c r="C99" s="1986"/>
      <c r="D99" s="1986"/>
      <c r="E99" s="1986"/>
      <c r="F99" s="1986"/>
      <c r="G99" s="1986"/>
      <c r="H99" s="1986"/>
      <c r="I99" s="1986"/>
      <c r="J99" s="1986"/>
      <c r="K99" s="1986"/>
      <c r="L99" s="1986"/>
      <c r="M99" s="1986"/>
      <c r="N99" s="1986"/>
      <c r="O99" s="1986"/>
      <c r="P99" s="1986"/>
      <c r="Q99" s="1986"/>
      <c r="R99" s="1986"/>
      <c r="S99" s="1986"/>
      <c r="T99" s="1986"/>
      <c r="U99" s="1986"/>
      <c r="V99" s="1986"/>
      <c r="W99" s="1986"/>
      <c r="X99" s="1986"/>
      <c r="Y99" s="1986"/>
      <c r="Z99" s="1986"/>
      <c r="AA99" s="1986"/>
    </row>
    <row r="100" spans="2:27">
      <c r="B100" s="1986"/>
      <c r="C100" s="1986"/>
      <c r="D100" s="1986"/>
      <c r="E100" s="1986"/>
      <c r="F100" s="1986"/>
      <c r="G100" s="1986"/>
      <c r="H100" s="1986"/>
      <c r="I100" s="1986"/>
      <c r="J100" s="1986"/>
      <c r="K100" s="1986"/>
      <c r="L100" s="1986"/>
      <c r="M100" s="1986"/>
      <c r="N100" s="1986"/>
      <c r="O100" s="1986"/>
      <c r="P100" s="1986"/>
      <c r="Q100" s="1986"/>
      <c r="R100" s="1986"/>
      <c r="S100" s="1986"/>
      <c r="T100" s="1986"/>
      <c r="U100" s="1986"/>
      <c r="V100" s="1986"/>
      <c r="W100" s="1986"/>
      <c r="X100" s="1986"/>
      <c r="Y100" s="1986"/>
      <c r="Z100" s="1986"/>
      <c r="AA100" s="1986"/>
    </row>
    <row r="101" spans="2:27">
      <c r="B101" s="1986"/>
      <c r="C101" s="1986"/>
      <c r="D101" s="1986"/>
      <c r="E101" s="1986"/>
      <c r="F101" s="1986"/>
      <c r="G101" s="1986"/>
      <c r="H101" s="1986"/>
      <c r="I101" s="1986"/>
      <c r="J101" s="1986"/>
      <c r="K101" s="1986"/>
      <c r="L101" s="1986"/>
      <c r="M101" s="1986"/>
      <c r="N101" s="1986"/>
      <c r="O101" s="1986"/>
      <c r="P101" s="1986"/>
      <c r="Q101" s="1986"/>
      <c r="R101" s="1986"/>
      <c r="S101" s="1986"/>
      <c r="T101" s="1986"/>
      <c r="U101" s="1986"/>
      <c r="V101" s="1986"/>
      <c r="W101" s="1986"/>
      <c r="X101" s="1986"/>
      <c r="Y101" s="1986"/>
      <c r="Z101" s="1986"/>
      <c r="AA101" s="1986"/>
    </row>
    <row r="102" spans="2:27">
      <c r="B102" s="1986"/>
      <c r="C102" s="1986"/>
      <c r="D102" s="1986"/>
      <c r="E102" s="1986"/>
      <c r="F102" s="1986"/>
      <c r="G102" s="1986"/>
      <c r="H102" s="1986"/>
      <c r="I102" s="1986"/>
      <c r="J102" s="1986"/>
      <c r="K102" s="1986"/>
      <c r="L102" s="1986"/>
      <c r="M102" s="1986"/>
      <c r="N102" s="1986"/>
      <c r="O102" s="1986"/>
      <c r="P102" s="1986"/>
      <c r="Q102" s="1986"/>
      <c r="R102" s="1986"/>
      <c r="S102" s="1986"/>
      <c r="T102" s="1986"/>
      <c r="U102" s="1986"/>
      <c r="V102" s="1986"/>
      <c r="W102" s="1986"/>
      <c r="X102" s="1986"/>
      <c r="Y102" s="1986"/>
      <c r="Z102" s="1986"/>
      <c r="AA102" s="1986"/>
    </row>
    <row r="103" spans="2:27">
      <c r="B103" s="1986"/>
      <c r="C103" s="1986"/>
      <c r="D103" s="1986"/>
      <c r="E103" s="1986"/>
      <c r="F103" s="1986"/>
      <c r="G103" s="1986"/>
      <c r="H103" s="1986"/>
      <c r="I103" s="1986"/>
      <c r="J103" s="1986"/>
      <c r="K103" s="1986"/>
      <c r="L103" s="1986"/>
      <c r="M103" s="1986"/>
      <c r="N103" s="1986"/>
      <c r="O103" s="1986"/>
      <c r="P103" s="1986"/>
      <c r="Q103" s="1986"/>
      <c r="R103" s="1986"/>
      <c r="S103" s="1986"/>
      <c r="T103" s="1986"/>
      <c r="U103" s="1986"/>
      <c r="V103" s="1986"/>
      <c r="W103" s="1986"/>
      <c r="X103" s="1986"/>
      <c r="Y103" s="1986"/>
      <c r="Z103" s="1986"/>
      <c r="AA103" s="1986"/>
    </row>
    <row r="104" spans="2:27">
      <c r="B104" s="1986"/>
      <c r="C104" s="1986"/>
      <c r="D104" s="1986"/>
      <c r="E104" s="1986"/>
      <c r="F104" s="1986"/>
      <c r="G104" s="1986"/>
      <c r="H104" s="1986"/>
      <c r="I104" s="1986"/>
      <c r="J104" s="1986"/>
      <c r="K104" s="1986"/>
      <c r="L104" s="1986"/>
      <c r="M104" s="1986"/>
      <c r="N104" s="1986"/>
      <c r="O104" s="1986"/>
      <c r="P104" s="1986"/>
      <c r="Q104" s="1986"/>
      <c r="R104" s="1986"/>
      <c r="S104" s="1986"/>
      <c r="T104" s="1986"/>
      <c r="U104" s="1986"/>
      <c r="V104" s="1986"/>
      <c r="W104" s="1986"/>
      <c r="X104" s="1986"/>
      <c r="Y104" s="1986"/>
      <c r="Z104" s="1986"/>
      <c r="AA104" s="1986"/>
    </row>
    <row r="105" spans="2:27">
      <c r="B105" s="1986"/>
      <c r="C105" s="1986"/>
      <c r="D105" s="1986"/>
      <c r="E105" s="1986"/>
      <c r="F105" s="1986"/>
      <c r="G105" s="1986"/>
      <c r="H105" s="1986"/>
      <c r="I105" s="1986"/>
      <c r="J105" s="1986"/>
      <c r="K105" s="1986"/>
      <c r="L105" s="1986"/>
      <c r="M105" s="1986"/>
      <c r="N105" s="1986"/>
      <c r="O105" s="1986"/>
      <c r="P105" s="1986"/>
      <c r="Q105" s="1986"/>
      <c r="R105" s="1986"/>
      <c r="S105" s="1986"/>
      <c r="T105" s="1986"/>
      <c r="U105" s="1986"/>
      <c r="V105" s="1986"/>
      <c r="W105" s="1986"/>
      <c r="X105" s="1986"/>
      <c r="Y105" s="1986"/>
      <c r="Z105" s="1986"/>
      <c r="AA105" s="1986"/>
    </row>
    <row r="106" spans="2:27">
      <c r="B106" s="1986"/>
      <c r="C106" s="1986"/>
      <c r="D106" s="1986"/>
      <c r="E106" s="1986"/>
      <c r="F106" s="1986"/>
      <c r="G106" s="1986"/>
      <c r="H106" s="1986"/>
      <c r="I106" s="1986"/>
      <c r="J106" s="1986"/>
      <c r="K106" s="1986"/>
      <c r="L106" s="1986"/>
      <c r="M106" s="1986"/>
      <c r="N106" s="1986"/>
      <c r="O106" s="1986"/>
      <c r="P106" s="1986"/>
      <c r="Q106" s="1986"/>
      <c r="R106" s="1986"/>
      <c r="S106" s="1986"/>
      <c r="T106" s="1986"/>
      <c r="U106" s="1986"/>
      <c r="V106" s="1986"/>
      <c r="W106" s="1986"/>
      <c r="X106" s="1986"/>
      <c r="Y106" s="1986"/>
      <c r="Z106" s="1986"/>
      <c r="AA106" s="1986"/>
    </row>
    <row r="107" spans="2:27">
      <c r="B107" s="1986"/>
      <c r="C107" s="1986"/>
      <c r="D107" s="1986"/>
      <c r="E107" s="1986"/>
      <c r="F107" s="1986"/>
      <c r="G107" s="1986"/>
      <c r="H107" s="1986"/>
      <c r="I107" s="1986"/>
      <c r="J107" s="1986"/>
      <c r="K107" s="1986"/>
      <c r="L107" s="1986"/>
      <c r="M107" s="1986"/>
      <c r="N107" s="1986"/>
      <c r="O107" s="1986"/>
      <c r="P107" s="1986"/>
      <c r="Q107" s="1986"/>
      <c r="R107" s="1986"/>
      <c r="S107" s="1986"/>
      <c r="T107" s="1986"/>
      <c r="U107" s="1986"/>
      <c r="V107" s="1986"/>
      <c r="W107" s="1986"/>
      <c r="X107" s="1986"/>
      <c r="Y107" s="1986"/>
      <c r="Z107" s="1986"/>
      <c r="AA107" s="1986"/>
    </row>
    <row r="108" spans="2:27">
      <c r="B108" s="1986"/>
      <c r="C108" s="1986"/>
      <c r="D108" s="1986"/>
      <c r="E108" s="1986"/>
      <c r="F108" s="1986"/>
      <c r="G108" s="1986"/>
      <c r="H108" s="1986"/>
      <c r="I108" s="1986"/>
      <c r="J108" s="1986"/>
      <c r="K108" s="1986"/>
      <c r="L108" s="1986"/>
      <c r="M108" s="1986"/>
      <c r="N108" s="1986"/>
      <c r="O108" s="1986"/>
      <c r="P108" s="1986"/>
      <c r="Q108" s="1986"/>
      <c r="R108" s="1986"/>
      <c r="S108" s="1986"/>
      <c r="T108" s="1986"/>
      <c r="U108" s="1986"/>
      <c r="V108" s="1986"/>
      <c r="W108" s="1986"/>
      <c r="X108" s="1986"/>
      <c r="Y108" s="1986"/>
      <c r="Z108" s="1986"/>
      <c r="AA108" s="1986"/>
    </row>
    <row r="109" spans="2:27">
      <c r="B109" s="1986"/>
      <c r="C109" s="1986"/>
      <c r="D109" s="1986"/>
      <c r="E109" s="1986"/>
      <c r="F109" s="1986"/>
      <c r="G109" s="1986"/>
      <c r="H109" s="1986"/>
      <c r="I109" s="1986"/>
      <c r="J109" s="1986"/>
      <c r="K109" s="1986"/>
      <c r="L109" s="1986"/>
      <c r="M109" s="1986"/>
      <c r="N109" s="1986"/>
      <c r="O109" s="1986"/>
      <c r="P109" s="1986"/>
      <c r="Q109" s="1986"/>
      <c r="R109" s="1986"/>
      <c r="S109" s="1986"/>
      <c r="T109" s="1986"/>
      <c r="U109" s="1986"/>
      <c r="V109" s="1986"/>
      <c r="W109" s="1986"/>
      <c r="X109" s="1986"/>
      <c r="Y109" s="1986"/>
      <c r="Z109" s="1986"/>
      <c r="AA109" s="1986"/>
    </row>
    <row r="110" spans="2:27">
      <c r="B110" s="1986"/>
      <c r="C110" s="1986"/>
      <c r="D110" s="1986"/>
      <c r="E110" s="1986"/>
      <c r="F110" s="1986"/>
      <c r="G110" s="1986"/>
      <c r="H110" s="1986"/>
      <c r="I110" s="1986"/>
      <c r="J110" s="1986"/>
      <c r="K110" s="1986"/>
      <c r="L110" s="1986"/>
      <c r="M110" s="1986"/>
      <c r="N110" s="1986"/>
      <c r="O110" s="1986"/>
      <c r="P110" s="1986"/>
      <c r="Q110" s="1986"/>
      <c r="R110" s="1986"/>
      <c r="S110" s="1986"/>
      <c r="T110" s="1986"/>
      <c r="U110" s="1986"/>
      <c r="V110" s="1986"/>
      <c r="W110" s="1986"/>
      <c r="X110" s="1986"/>
      <c r="Y110" s="1986"/>
      <c r="Z110" s="1986"/>
      <c r="AA110" s="1986"/>
    </row>
    <row r="111" spans="2:27">
      <c r="B111" s="1986"/>
      <c r="C111" s="1986"/>
      <c r="D111" s="1986"/>
      <c r="E111" s="1986"/>
      <c r="F111" s="1986"/>
      <c r="G111" s="1986"/>
      <c r="H111" s="1986"/>
      <c r="I111" s="1986"/>
      <c r="J111" s="1986"/>
      <c r="K111" s="1986"/>
      <c r="L111" s="1986"/>
      <c r="M111" s="1986"/>
      <c r="N111" s="1986"/>
      <c r="O111" s="1986"/>
      <c r="P111" s="1986"/>
      <c r="Q111" s="1986"/>
      <c r="R111" s="1986"/>
      <c r="S111" s="1986"/>
      <c r="T111" s="1986"/>
      <c r="U111" s="1986"/>
      <c r="V111" s="1986"/>
      <c r="W111" s="1986"/>
      <c r="X111" s="1986"/>
      <c r="Y111" s="1986"/>
      <c r="Z111" s="1986"/>
      <c r="AA111" s="1986"/>
    </row>
    <row r="112" spans="2:27">
      <c r="B112" s="1986"/>
      <c r="C112" s="1986"/>
      <c r="D112" s="1986"/>
      <c r="E112" s="1986"/>
      <c r="F112" s="1986"/>
      <c r="G112" s="1986"/>
      <c r="H112" s="1986"/>
      <c r="I112" s="1986"/>
      <c r="J112" s="1986"/>
      <c r="K112" s="1986"/>
      <c r="L112" s="1986"/>
      <c r="M112" s="1986"/>
      <c r="N112" s="1986"/>
      <c r="O112" s="1986"/>
      <c r="P112" s="1986"/>
      <c r="Q112" s="1986"/>
      <c r="R112" s="1986"/>
      <c r="S112" s="1986"/>
      <c r="T112" s="1986"/>
      <c r="U112" s="1986"/>
      <c r="V112" s="1986"/>
      <c r="W112" s="1986"/>
      <c r="X112" s="1986"/>
      <c r="Y112" s="1986"/>
      <c r="Z112" s="1986"/>
      <c r="AA112" s="1986"/>
    </row>
    <row r="113" spans="2:27">
      <c r="B113" s="1986"/>
      <c r="C113" s="1986"/>
      <c r="D113" s="1986"/>
      <c r="E113" s="1986"/>
      <c r="F113" s="1986"/>
      <c r="G113" s="1986"/>
      <c r="H113" s="1986"/>
      <c r="I113" s="1986"/>
      <c r="J113" s="1986"/>
      <c r="K113" s="1986"/>
      <c r="L113" s="1986"/>
      <c r="M113" s="1986"/>
      <c r="N113" s="1986"/>
      <c r="O113" s="1986"/>
      <c r="P113" s="1986"/>
      <c r="Q113" s="1986"/>
      <c r="S113" s="1986"/>
      <c r="T113" s="1986"/>
      <c r="U113" s="1986"/>
      <c r="V113" s="1986"/>
      <c r="W113" s="1986"/>
      <c r="X113" s="1986"/>
      <c r="Y113" s="1986"/>
      <c r="Z113" s="1986"/>
      <c r="AA113" s="1986"/>
    </row>
    <row r="114" spans="2:27">
      <c r="B114" s="1986"/>
      <c r="C114" s="1986"/>
      <c r="D114" s="1986"/>
      <c r="E114" s="1986"/>
      <c r="F114" s="1986"/>
      <c r="G114" s="1986"/>
      <c r="H114" s="1986"/>
      <c r="I114" s="1986"/>
      <c r="J114" s="1986"/>
      <c r="K114" s="1986"/>
      <c r="L114" s="1986"/>
      <c r="M114" s="1986"/>
      <c r="N114" s="1986"/>
      <c r="O114" s="1986"/>
      <c r="P114" s="1986"/>
      <c r="Q114" s="1986"/>
      <c r="S114" s="1986"/>
      <c r="T114" s="1986"/>
      <c r="U114" s="1986"/>
      <c r="V114" s="1986"/>
      <c r="W114" s="1986"/>
      <c r="X114" s="1986"/>
      <c r="Y114" s="1986"/>
      <c r="Z114" s="1986"/>
      <c r="AA114" s="1986"/>
    </row>
    <row r="115" spans="2:27">
      <c r="B115" s="1986"/>
      <c r="C115" s="1986"/>
      <c r="D115" s="1986"/>
      <c r="E115" s="1986"/>
      <c r="F115" s="1986"/>
      <c r="G115" s="1986"/>
      <c r="H115" s="1986"/>
      <c r="I115" s="1986"/>
      <c r="J115" s="1986"/>
      <c r="K115" s="1986"/>
      <c r="L115" s="1986"/>
      <c r="M115" s="1986"/>
      <c r="N115" s="1986"/>
      <c r="O115" s="1986"/>
      <c r="P115" s="1986"/>
      <c r="Q115" s="1986"/>
      <c r="S115" s="1986"/>
      <c r="T115" s="1986"/>
      <c r="U115" s="1986"/>
      <c r="V115" s="1986"/>
      <c r="W115" s="1986"/>
      <c r="X115" s="1986"/>
      <c r="Y115" s="1986"/>
      <c r="Z115" s="1986"/>
      <c r="AA115" s="1986"/>
    </row>
    <row r="116" spans="2:27">
      <c r="B116" s="1986"/>
      <c r="C116" s="1986"/>
      <c r="D116" s="1986"/>
      <c r="E116" s="1986"/>
      <c r="F116" s="1986"/>
      <c r="G116" s="1986"/>
      <c r="H116" s="1986"/>
      <c r="I116" s="1986"/>
      <c r="J116" s="1986"/>
      <c r="K116" s="1986"/>
      <c r="L116" s="1986"/>
      <c r="M116" s="1986"/>
      <c r="N116" s="1986"/>
      <c r="O116" s="1986"/>
      <c r="P116" s="1986"/>
      <c r="Q116" s="1986"/>
      <c r="S116" s="1986"/>
      <c r="T116" s="1986"/>
      <c r="U116" s="1986"/>
      <c r="V116" s="1986"/>
      <c r="W116" s="1986"/>
      <c r="X116" s="1986"/>
      <c r="Y116" s="1986"/>
      <c r="Z116" s="1986"/>
      <c r="AA116" s="1986"/>
    </row>
    <row r="117" spans="2:27">
      <c r="B117" s="1986"/>
      <c r="C117" s="1986"/>
      <c r="D117" s="1986"/>
      <c r="E117" s="1986"/>
      <c r="F117" s="1986"/>
      <c r="G117" s="1986"/>
      <c r="H117" s="1986"/>
      <c r="I117" s="1986"/>
      <c r="J117" s="1986"/>
      <c r="K117" s="1986"/>
      <c r="L117" s="1986"/>
      <c r="M117" s="1986"/>
      <c r="N117" s="1986"/>
      <c r="O117" s="1986"/>
      <c r="P117" s="1986"/>
      <c r="Q117" s="1986"/>
      <c r="S117" s="1986"/>
      <c r="T117" s="1986"/>
      <c r="U117" s="1986"/>
      <c r="V117" s="1986"/>
      <c r="W117" s="1986"/>
      <c r="X117" s="1986"/>
      <c r="Y117" s="1986"/>
      <c r="Z117" s="1986"/>
      <c r="AA117" s="1986"/>
    </row>
    <row r="118" spans="2:27">
      <c r="B118" s="1986"/>
      <c r="C118" s="1986"/>
      <c r="D118" s="1986"/>
      <c r="E118" s="1986"/>
      <c r="F118" s="1986"/>
      <c r="G118" s="1986"/>
      <c r="H118" s="1986"/>
      <c r="I118" s="1986"/>
      <c r="J118" s="1986"/>
      <c r="K118" s="1986"/>
      <c r="L118" s="1986"/>
      <c r="M118" s="1986"/>
      <c r="N118" s="1986"/>
      <c r="O118" s="1986"/>
      <c r="P118" s="1986"/>
      <c r="Q118" s="1986"/>
      <c r="S118" s="1986"/>
      <c r="T118" s="1986"/>
      <c r="U118" s="1986"/>
      <c r="V118" s="1986"/>
      <c r="W118" s="1986"/>
      <c r="X118" s="1986"/>
      <c r="Y118" s="1986"/>
      <c r="Z118" s="1986"/>
      <c r="AA118" s="1986"/>
    </row>
    <row r="132" spans="54:54">
      <c r="BB132" s="2054"/>
    </row>
    <row r="133" spans="54:54">
      <c r="BB133" s="2054"/>
    </row>
  </sheetData>
  <mergeCells count="216">
    <mergeCell ref="A7:A10"/>
    <mergeCell ref="B7:C7"/>
    <mergeCell ref="D7:E7"/>
    <mergeCell ref="F7:G7"/>
    <mergeCell ref="H7:I7"/>
    <mergeCell ref="J7:K7"/>
    <mergeCell ref="L7:M7"/>
    <mergeCell ref="A2:GV2"/>
    <mergeCell ref="A3:GV3"/>
    <mergeCell ref="EJ5:GV5"/>
    <mergeCell ref="B6:Y6"/>
    <mergeCell ref="Z6:AW6"/>
    <mergeCell ref="AX6:BU6"/>
    <mergeCell ref="BV6:CS6"/>
    <mergeCell ref="CT6:DQ6"/>
    <mergeCell ref="DR6:EO6"/>
    <mergeCell ref="EP6:FM6"/>
    <mergeCell ref="N7:O7"/>
    <mergeCell ref="P7:Q7"/>
    <mergeCell ref="R7:S7"/>
    <mergeCell ref="T7:U7"/>
    <mergeCell ref="V7:W7"/>
    <mergeCell ref="X7:Y7"/>
    <mergeCell ref="FN6:GK6"/>
    <mergeCell ref="GL6:GU6"/>
    <mergeCell ref="GV6:GV10"/>
    <mergeCell ref="AL7:AM7"/>
    <mergeCell ref="AN7:AO7"/>
    <mergeCell ref="AP7:AQ7"/>
    <mergeCell ref="AR7:AS7"/>
    <mergeCell ref="AT7:AU7"/>
    <mergeCell ref="AV7:AW7"/>
    <mergeCell ref="Z7:AA7"/>
    <mergeCell ref="AB7:AC7"/>
    <mergeCell ref="AD7:AE7"/>
    <mergeCell ref="AF7:AG7"/>
    <mergeCell ref="AH7:AI7"/>
    <mergeCell ref="AJ7:AK7"/>
    <mergeCell ref="BJ7:BK7"/>
    <mergeCell ref="BL7:BM7"/>
    <mergeCell ref="BN7:BO7"/>
    <mergeCell ref="BP7:BQ7"/>
    <mergeCell ref="BR7:BS7"/>
    <mergeCell ref="BT7:BU7"/>
    <mergeCell ref="AX7:AY7"/>
    <mergeCell ref="AZ7:BA7"/>
    <mergeCell ref="BB7:BC7"/>
    <mergeCell ref="BD7:BE7"/>
    <mergeCell ref="BF7:BG7"/>
    <mergeCell ref="BH7:BI7"/>
    <mergeCell ref="CH7:CI7"/>
    <mergeCell ref="CJ7:CK7"/>
    <mergeCell ref="CL7:CM7"/>
    <mergeCell ref="CN7:CO7"/>
    <mergeCell ref="CP7:CQ7"/>
    <mergeCell ref="CR7:CS7"/>
    <mergeCell ref="BV7:BW7"/>
    <mergeCell ref="BX7:BY7"/>
    <mergeCell ref="BZ7:CA7"/>
    <mergeCell ref="CB7:CC7"/>
    <mergeCell ref="CD7:CE7"/>
    <mergeCell ref="CF7:CG7"/>
    <mergeCell ref="DF7:DG7"/>
    <mergeCell ref="DH7:DI7"/>
    <mergeCell ref="DJ7:DK7"/>
    <mergeCell ref="DL7:DM7"/>
    <mergeCell ref="DN7:DO7"/>
    <mergeCell ref="DP7:DQ7"/>
    <mergeCell ref="CT7:CU7"/>
    <mergeCell ref="CV7:CW7"/>
    <mergeCell ref="CX7:CY7"/>
    <mergeCell ref="CZ7:DA7"/>
    <mergeCell ref="DB7:DC7"/>
    <mergeCell ref="DD7:DE7"/>
    <mergeCell ref="ED7:EE7"/>
    <mergeCell ref="EF7:EG7"/>
    <mergeCell ref="EH7:EI7"/>
    <mergeCell ref="EJ7:EK7"/>
    <mergeCell ref="EL7:EM7"/>
    <mergeCell ref="EN7:EO7"/>
    <mergeCell ref="DR7:DS7"/>
    <mergeCell ref="DT7:DU7"/>
    <mergeCell ref="DV7:DW7"/>
    <mergeCell ref="DX7:DY7"/>
    <mergeCell ref="DZ7:EA7"/>
    <mergeCell ref="EB7:EC7"/>
    <mergeCell ref="FF7:FG7"/>
    <mergeCell ref="FH7:FI7"/>
    <mergeCell ref="FJ7:FK7"/>
    <mergeCell ref="FL7:FM7"/>
    <mergeCell ref="EP7:EQ7"/>
    <mergeCell ref="ER7:ES7"/>
    <mergeCell ref="ET7:EU7"/>
    <mergeCell ref="EV7:EW7"/>
    <mergeCell ref="EX7:EY7"/>
    <mergeCell ref="EZ7:FA7"/>
    <mergeCell ref="GL7:GM7"/>
    <mergeCell ref="GN7:GO7"/>
    <mergeCell ref="GP7:GQ7"/>
    <mergeCell ref="GR7:GS7"/>
    <mergeCell ref="GT7:GU7"/>
    <mergeCell ref="B8:C8"/>
    <mergeCell ref="D8:E8"/>
    <mergeCell ref="F8:G8"/>
    <mergeCell ref="H8:I8"/>
    <mergeCell ref="J8:K8"/>
    <mergeCell ref="FZ7:GA7"/>
    <mergeCell ref="GB7:GC7"/>
    <mergeCell ref="GD7:GE7"/>
    <mergeCell ref="GF7:GG7"/>
    <mergeCell ref="GH7:GI7"/>
    <mergeCell ref="GJ7:GK7"/>
    <mergeCell ref="FN7:FO7"/>
    <mergeCell ref="FP7:FQ7"/>
    <mergeCell ref="FR7:FS7"/>
    <mergeCell ref="FT7:FU7"/>
    <mergeCell ref="FV7:FW7"/>
    <mergeCell ref="FX7:FY7"/>
    <mergeCell ref="FB7:FC7"/>
    <mergeCell ref="FD7:FE7"/>
    <mergeCell ref="X8:Y8"/>
    <mergeCell ref="Z8:AA8"/>
    <mergeCell ref="AB8:AC8"/>
    <mergeCell ref="AD8:AE8"/>
    <mergeCell ref="AF8:AG8"/>
    <mergeCell ref="AH8:AI8"/>
    <mergeCell ref="L8:M8"/>
    <mergeCell ref="N8:O8"/>
    <mergeCell ref="P8:Q8"/>
    <mergeCell ref="R8:S8"/>
    <mergeCell ref="T8:U8"/>
    <mergeCell ref="V8:W8"/>
    <mergeCell ref="AV8:AW8"/>
    <mergeCell ref="AX8:AY8"/>
    <mergeCell ref="AZ8:BA8"/>
    <mergeCell ref="BB8:BC8"/>
    <mergeCell ref="BD8:BE8"/>
    <mergeCell ref="BF8:BG8"/>
    <mergeCell ref="AJ8:AK8"/>
    <mergeCell ref="AL8:AM8"/>
    <mergeCell ref="AN8:AO8"/>
    <mergeCell ref="AP8:AQ8"/>
    <mergeCell ref="AR8:AS8"/>
    <mergeCell ref="AT8:AU8"/>
    <mergeCell ref="BT8:BU8"/>
    <mergeCell ref="BV8:BW8"/>
    <mergeCell ref="BX8:BY8"/>
    <mergeCell ref="BZ8:CA8"/>
    <mergeCell ref="CB8:CC8"/>
    <mergeCell ref="CD8:CE8"/>
    <mergeCell ref="BH8:BI8"/>
    <mergeCell ref="BJ8:BK8"/>
    <mergeCell ref="BL8:BM8"/>
    <mergeCell ref="BN8:BO8"/>
    <mergeCell ref="BP8:BQ8"/>
    <mergeCell ref="BR8:BS8"/>
    <mergeCell ref="CR8:CS8"/>
    <mergeCell ref="CT8:CU8"/>
    <mergeCell ref="CV8:CW8"/>
    <mergeCell ref="CX8:CY8"/>
    <mergeCell ref="CZ8:DA8"/>
    <mergeCell ref="DB8:DC8"/>
    <mergeCell ref="CF8:CG8"/>
    <mergeCell ref="CH8:CI8"/>
    <mergeCell ref="CJ8:CK8"/>
    <mergeCell ref="CL8:CM8"/>
    <mergeCell ref="CN8:CO8"/>
    <mergeCell ref="CP8:CQ8"/>
    <mergeCell ref="DP8:DQ8"/>
    <mergeCell ref="DR8:DS8"/>
    <mergeCell ref="DT8:DU8"/>
    <mergeCell ref="DV8:DW8"/>
    <mergeCell ref="DX8:DY8"/>
    <mergeCell ref="DZ8:EA8"/>
    <mergeCell ref="DD8:DE8"/>
    <mergeCell ref="DF8:DG8"/>
    <mergeCell ref="DH8:DI8"/>
    <mergeCell ref="DJ8:DK8"/>
    <mergeCell ref="DL8:DM8"/>
    <mergeCell ref="DN8:DO8"/>
    <mergeCell ref="EN8:EO8"/>
    <mergeCell ref="EP8:EQ8"/>
    <mergeCell ref="ER8:ES8"/>
    <mergeCell ref="ET8:EU8"/>
    <mergeCell ref="EV8:EW8"/>
    <mergeCell ref="EX8:EY8"/>
    <mergeCell ref="EB8:EC8"/>
    <mergeCell ref="ED8:EE8"/>
    <mergeCell ref="EF8:EG8"/>
    <mergeCell ref="EH8:EI8"/>
    <mergeCell ref="EJ8:EK8"/>
    <mergeCell ref="EL8:EM8"/>
    <mergeCell ref="FL8:FM8"/>
    <mergeCell ref="FN8:FO8"/>
    <mergeCell ref="FP8:FQ8"/>
    <mergeCell ref="FR8:FS8"/>
    <mergeCell ref="FT8:FU8"/>
    <mergeCell ref="FV8:FW8"/>
    <mergeCell ref="EZ8:FA8"/>
    <mergeCell ref="FB8:FC8"/>
    <mergeCell ref="FD8:FE8"/>
    <mergeCell ref="FF8:FG8"/>
    <mergeCell ref="FH8:FI8"/>
    <mergeCell ref="FJ8:FK8"/>
    <mergeCell ref="GJ8:GK8"/>
    <mergeCell ref="GL8:GM8"/>
    <mergeCell ref="GN8:GO8"/>
    <mergeCell ref="GP8:GQ8"/>
    <mergeCell ref="GR8:GS8"/>
    <mergeCell ref="GT8:GU8"/>
    <mergeCell ref="FX8:FY8"/>
    <mergeCell ref="FZ8:GA8"/>
    <mergeCell ref="GB8:GC8"/>
    <mergeCell ref="GD8:GE8"/>
    <mergeCell ref="GF8:GG8"/>
    <mergeCell ref="GH8:GI8"/>
  </mergeCells>
  <pageMargins left="0.7" right="0.7" top="0.25" bottom="0.23" header="0.3" footer="0.3"/>
  <pageSetup scale="22" orientation="landscape" horizontalDpi="4294967295" verticalDpi="4294967295"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5">
    <tabColor rgb="FF92D050"/>
  </sheetPr>
  <dimension ref="A1:AH154"/>
  <sheetViews>
    <sheetView showGridLines="0" view="pageBreakPreview" zoomScaleNormal="100" zoomScaleSheetLayoutView="100" workbookViewId="0">
      <pane xSplit="23" ySplit="8" topLeftCell="X139" activePane="bottomRight" state="frozen"/>
      <selection activeCell="B39" sqref="B39"/>
      <selection pane="topRight" activeCell="B39" sqref="B39"/>
      <selection pane="bottomLeft" activeCell="B39" sqref="B39"/>
      <selection pane="bottomRight" activeCell="Y155" sqref="Y155"/>
    </sheetView>
  </sheetViews>
  <sheetFormatPr defaultColWidth="9.140625" defaultRowHeight="15"/>
  <cols>
    <col min="1" max="1" width="9.28515625" style="976" customWidth="1"/>
    <col min="2" max="23" width="8.85546875" style="976" customWidth="1"/>
    <col min="24" max="16384" width="9.140625" style="976"/>
  </cols>
  <sheetData>
    <row r="1" spans="1:23" ht="10.5" customHeight="1"/>
    <row r="2" spans="1:23" ht="20.25" customHeight="1">
      <c r="A2" s="2982" t="s">
        <v>3114</v>
      </c>
      <c r="B2" s="2982"/>
      <c r="C2" s="2982"/>
      <c r="D2" s="2982"/>
      <c r="E2" s="2982"/>
      <c r="F2" s="2982"/>
      <c r="G2" s="2982"/>
      <c r="H2" s="2982"/>
      <c r="I2" s="2982"/>
      <c r="J2" s="2982"/>
      <c r="K2" s="2982"/>
      <c r="L2" s="2982"/>
      <c r="M2" s="2982"/>
      <c r="N2" s="2982"/>
      <c r="O2" s="2982"/>
      <c r="P2" s="2982"/>
      <c r="Q2" s="2982"/>
      <c r="R2" s="2982"/>
      <c r="S2" s="2982"/>
      <c r="T2" s="2982"/>
      <c r="U2" s="2982"/>
      <c r="V2" s="2982"/>
      <c r="W2" s="2982"/>
    </row>
    <row r="3" spans="1:23" ht="27" customHeight="1">
      <c r="A3" s="2983" t="s">
        <v>3115</v>
      </c>
      <c r="B3" s="2983"/>
      <c r="C3" s="2983"/>
      <c r="D3" s="2983"/>
      <c r="E3" s="2983"/>
      <c r="F3" s="2983"/>
      <c r="G3" s="2983"/>
      <c r="H3" s="2983"/>
      <c r="I3" s="2983"/>
      <c r="J3" s="2983"/>
      <c r="K3" s="2983"/>
      <c r="L3" s="2983"/>
      <c r="M3" s="2983"/>
      <c r="N3" s="2983"/>
      <c r="O3" s="2983"/>
      <c r="P3" s="2983"/>
      <c r="Q3" s="2983"/>
      <c r="R3" s="2983"/>
      <c r="S3" s="2983"/>
      <c r="T3" s="2983"/>
      <c r="U3" s="2983"/>
      <c r="V3" s="2983"/>
      <c r="W3" s="2983"/>
    </row>
    <row r="4" spans="1:23" ht="12.75" customHeight="1">
      <c r="A4" s="1173"/>
      <c r="B4" s="1173"/>
      <c r="C4" s="1173"/>
      <c r="D4" s="1173"/>
      <c r="E4" s="1173"/>
      <c r="F4" s="1173"/>
      <c r="G4" s="1173"/>
      <c r="H4" s="1173"/>
      <c r="I4" s="1173"/>
      <c r="J4" s="1173"/>
      <c r="K4" s="1173"/>
      <c r="L4" s="1173"/>
      <c r="M4" s="1173"/>
      <c r="N4" s="1173"/>
      <c r="O4" s="1173"/>
      <c r="P4" s="1173"/>
      <c r="Q4" s="1173"/>
      <c r="R4" s="1173"/>
      <c r="S4" s="1173"/>
      <c r="T4" s="1173"/>
      <c r="U4" s="1173"/>
      <c r="V4" s="1173"/>
      <c r="W4" s="1173"/>
    </row>
    <row r="5" spans="1:23" ht="12.75" customHeight="1">
      <c r="A5" s="1172"/>
      <c r="B5" s="1172"/>
      <c r="C5" s="1172"/>
      <c r="D5" s="1172"/>
      <c r="E5" s="1172"/>
      <c r="F5" s="1172"/>
      <c r="G5" s="1172"/>
      <c r="H5" s="1172"/>
      <c r="I5" s="1172"/>
      <c r="J5" s="1172"/>
      <c r="K5" s="1172"/>
      <c r="L5" s="1172"/>
      <c r="M5" s="1172"/>
      <c r="N5" s="1172"/>
      <c r="O5" s="1172"/>
      <c r="P5" s="1172"/>
      <c r="Q5" s="1172"/>
      <c r="R5" s="1172"/>
      <c r="S5" s="1172"/>
      <c r="T5" s="1172"/>
      <c r="U5" s="1172"/>
      <c r="V5" s="1172"/>
      <c r="W5" s="1172"/>
    </row>
    <row r="6" spans="1:23" ht="23.25" customHeight="1">
      <c r="A6" s="2984" t="s">
        <v>182</v>
      </c>
      <c r="B6" s="2977" t="s">
        <v>3026</v>
      </c>
      <c r="C6" s="2977"/>
      <c r="D6" s="2977"/>
      <c r="E6" s="2977"/>
      <c r="F6" s="2977"/>
      <c r="G6" s="2977"/>
      <c r="H6" s="2977" t="s">
        <v>3027</v>
      </c>
      <c r="I6" s="2977"/>
      <c r="J6" s="2977"/>
      <c r="K6" s="2977"/>
      <c r="L6" s="2977"/>
      <c r="M6" s="2977"/>
      <c r="N6" s="2977" t="s">
        <v>3028</v>
      </c>
      <c r="O6" s="2977"/>
      <c r="P6" s="2977"/>
      <c r="Q6" s="2977"/>
      <c r="R6" s="2977"/>
      <c r="S6" s="2977" t="s">
        <v>3029</v>
      </c>
      <c r="T6" s="2977"/>
      <c r="U6" s="2977"/>
      <c r="V6" s="2977"/>
      <c r="W6" s="2977"/>
    </row>
    <row r="7" spans="1:23" ht="23.25" customHeight="1">
      <c r="A7" s="2984"/>
      <c r="B7" s="2977" t="s">
        <v>3030</v>
      </c>
      <c r="C7" s="2977"/>
      <c r="D7" s="2977"/>
      <c r="E7" s="2977" t="s">
        <v>3031</v>
      </c>
      <c r="F7" s="2977"/>
      <c r="G7" s="2978" t="s">
        <v>3032</v>
      </c>
      <c r="H7" s="2979" t="s">
        <v>3033</v>
      </c>
      <c r="I7" s="2979"/>
      <c r="J7" s="2977" t="s">
        <v>3034</v>
      </c>
      <c r="K7" s="2977"/>
      <c r="L7" s="2980" t="s">
        <v>3035</v>
      </c>
      <c r="M7" s="2978" t="s">
        <v>3036</v>
      </c>
      <c r="N7" s="2977" t="s">
        <v>3033</v>
      </c>
      <c r="O7" s="2977"/>
      <c r="P7" s="2977" t="s">
        <v>3034</v>
      </c>
      <c r="Q7" s="2977"/>
      <c r="R7" s="2978" t="s">
        <v>3538</v>
      </c>
      <c r="S7" s="2977" t="s">
        <v>3033</v>
      </c>
      <c r="T7" s="2977"/>
      <c r="U7" s="2977" t="s">
        <v>3034</v>
      </c>
      <c r="V7" s="2977"/>
      <c r="W7" s="2978" t="s">
        <v>3037</v>
      </c>
    </row>
    <row r="8" spans="1:23" s="1196" customFormat="1" ht="126.75" customHeight="1">
      <c r="A8" s="2984"/>
      <c r="B8" s="1226" t="s">
        <v>3038</v>
      </c>
      <c r="C8" s="1226" t="s">
        <v>3039</v>
      </c>
      <c r="D8" s="1226" t="s">
        <v>3040</v>
      </c>
      <c r="E8" s="1226" t="s">
        <v>3041</v>
      </c>
      <c r="F8" s="1226" t="s">
        <v>3042</v>
      </c>
      <c r="G8" s="2978"/>
      <c r="H8" s="1226" t="s">
        <v>3043</v>
      </c>
      <c r="I8" s="1226" t="s">
        <v>3044</v>
      </c>
      <c r="J8" s="1226" t="s">
        <v>3045</v>
      </c>
      <c r="K8" s="1226" t="s">
        <v>3042</v>
      </c>
      <c r="L8" s="2980"/>
      <c r="M8" s="2978"/>
      <c r="N8" s="1226" t="s">
        <v>3046</v>
      </c>
      <c r="O8" s="1226" t="s">
        <v>3047</v>
      </c>
      <c r="P8" s="1226" t="s">
        <v>3048</v>
      </c>
      <c r="Q8" s="1226" t="s">
        <v>3042</v>
      </c>
      <c r="R8" s="2978"/>
      <c r="S8" s="1226" t="s">
        <v>3049</v>
      </c>
      <c r="T8" s="1226" t="s">
        <v>3050</v>
      </c>
      <c r="U8" s="1226" t="s">
        <v>3051</v>
      </c>
      <c r="V8" s="1226" t="s">
        <v>3042</v>
      </c>
      <c r="W8" s="2978"/>
    </row>
    <row r="9" spans="1:23" ht="23.25" customHeight="1">
      <c r="A9" s="2977" t="s">
        <v>289</v>
      </c>
      <c r="B9" s="2977" t="s">
        <v>3052</v>
      </c>
      <c r="C9" s="2977"/>
      <c r="D9" s="2977"/>
      <c r="E9" s="2977"/>
      <c r="F9" s="2977"/>
      <c r="G9" s="2977"/>
      <c r="H9" s="2977" t="s">
        <v>3053</v>
      </c>
      <c r="I9" s="2977"/>
      <c r="J9" s="2977"/>
      <c r="K9" s="2977"/>
      <c r="L9" s="2977"/>
      <c r="M9" s="2977"/>
      <c r="N9" s="2977" t="s">
        <v>3054</v>
      </c>
      <c r="O9" s="2977"/>
      <c r="P9" s="2977"/>
      <c r="Q9" s="2977"/>
      <c r="R9" s="2977"/>
      <c r="S9" s="2977" t="s">
        <v>3055</v>
      </c>
      <c r="T9" s="2977"/>
      <c r="U9" s="2977"/>
      <c r="V9" s="2977"/>
      <c r="W9" s="2977"/>
    </row>
    <row r="10" spans="1:23" ht="23.25" customHeight="1">
      <c r="A10" s="2977"/>
      <c r="B10" s="2977" t="s">
        <v>3056</v>
      </c>
      <c r="C10" s="2977"/>
      <c r="D10" s="2977"/>
      <c r="E10" s="2977" t="s">
        <v>3057</v>
      </c>
      <c r="F10" s="2977"/>
      <c r="G10" s="2978" t="s">
        <v>3058</v>
      </c>
      <c r="H10" s="2979" t="s">
        <v>3056</v>
      </c>
      <c r="I10" s="2979"/>
      <c r="J10" s="2977" t="s">
        <v>3057</v>
      </c>
      <c r="K10" s="2977"/>
      <c r="L10" s="2980" t="s">
        <v>3059</v>
      </c>
      <c r="M10" s="2981" t="s">
        <v>3060</v>
      </c>
      <c r="N10" s="2979" t="s">
        <v>3056</v>
      </c>
      <c r="O10" s="2979"/>
      <c r="P10" s="2977" t="s">
        <v>3057</v>
      </c>
      <c r="Q10" s="2977"/>
      <c r="R10" s="2978" t="s">
        <v>3061</v>
      </c>
      <c r="S10" s="2979" t="s">
        <v>3056</v>
      </c>
      <c r="T10" s="2979"/>
      <c r="U10" s="2977" t="s">
        <v>3057</v>
      </c>
      <c r="V10" s="2977"/>
      <c r="W10" s="2978" t="s">
        <v>3062</v>
      </c>
    </row>
    <row r="11" spans="1:23" s="1196" customFormat="1" ht="180.75" customHeight="1">
      <c r="A11" s="2977"/>
      <c r="B11" s="1227" t="s">
        <v>3063</v>
      </c>
      <c r="C11" s="1226" t="s">
        <v>3064</v>
      </c>
      <c r="D11" s="1226" t="s">
        <v>3065</v>
      </c>
      <c r="E11" s="1226" t="s">
        <v>3066</v>
      </c>
      <c r="F11" s="1226" t="s">
        <v>3067</v>
      </c>
      <c r="G11" s="2978"/>
      <c r="H11" s="1226" t="s">
        <v>3068</v>
      </c>
      <c r="I11" s="1226" t="s">
        <v>3064</v>
      </c>
      <c r="J11" s="1226" t="s">
        <v>3069</v>
      </c>
      <c r="K11" s="1226" t="s">
        <v>3070</v>
      </c>
      <c r="L11" s="2980"/>
      <c r="M11" s="2981"/>
      <c r="N11" s="1226" t="s">
        <v>3071</v>
      </c>
      <c r="O11" s="1226" t="s">
        <v>3072</v>
      </c>
      <c r="P11" s="1226" t="s">
        <v>3073</v>
      </c>
      <c r="Q11" s="1226" t="s">
        <v>3067</v>
      </c>
      <c r="R11" s="2978"/>
      <c r="S11" s="1226" t="s">
        <v>3074</v>
      </c>
      <c r="T11" s="1226" t="s">
        <v>3075</v>
      </c>
      <c r="U11" s="1226" t="s">
        <v>3076</v>
      </c>
      <c r="V11" s="1226" t="s">
        <v>3067</v>
      </c>
      <c r="W11" s="2978"/>
    </row>
    <row r="12" spans="1:23" s="1196" customFormat="1" ht="17.25" customHeight="1">
      <c r="A12" s="1228">
        <v>2015</v>
      </c>
      <c r="B12" s="1230"/>
      <c r="C12" s="1230"/>
      <c r="D12" s="1229"/>
      <c r="E12" s="1230"/>
      <c r="F12" s="1229"/>
      <c r="G12" s="1230"/>
      <c r="H12" s="1230"/>
      <c r="I12" s="1230"/>
      <c r="J12" s="1230"/>
      <c r="K12" s="1230"/>
      <c r="L12" s="1230"/>
      <c r="M12" s="1230"/>
      <c r="N12" s="1230"/>
      <c r="O12" s="1230"/>
      <c r="P12" s="1230"/>
      <c r="Q12" s="1230"/>
      <c r="R12" s="1230"/>
      <c r="S12" s="1230"/>
      <c r="T12" s="1230"/>
      <c r="U12" s="1230"/>
      <c r="V12" s="1230"/>
      <c r="W12" s="1230"/>
    </row>
    <row r="13" spans="1:23" s="1196" customFormat="1" ht="17.25" customHeight="1">
      <c r="A13" s="1228">
        <v>1</v>
      </c>
      <c r="B13" s="1231">
        <v>-1.83</v>
      </c>
      <c r="C13" s="1231">
        <v>-28.86</v>
      </c>
      <c r="D13" s="1197">
        <v>0.18</v>
      </c>
      <c r="E13" s="1231">
        <v>-16.91</v>
      </c>
      <c r="F13" s="1197">
        <v>-1.57</v>
      </c>
      <c r="G13" s="1233">
        <v>-6.31</v>
      </c>
      <c r="H13" s="1231">
        <v>-16.760000000000002</v>
      </c>
      <c r="I13" s="1231">
        <v>-22.8</v>
      </c>
      <c r="J13" s="1231">
        <v>35.9</v>
      </c>
      <c r="K13" s="1231">
        <v>0</v>
      </c>
      <c r="L13" s="1231">
        <v>30</v>
      </c>
      <c r="M13" s="1233">
        <v>6.56</v>
      </c>
      <c r="N13" s="1231">
        <v>-10.430342815463165</v>
      </c>
      <c r="O13" s="1231">
        <v>22.27084852905422</v>
      </c>
      <c r="P13" s="1231">
        <v>-41.235108193532696</v>
      </c>
      <c r="Q13" s="1231">
        <v>-13.809871140286896</v>
      </c>
      <c r="R13" s="1233">
        <v>-24.645433179350029</v>
      </c>
      <c r="S13" s="1231">
        <v>9.7676623992413454</v>
      </c>
      <c r="T13" s="1231">
        <v>9.9288762446657177</v>
      </c>
      <c r="U13" s="1231">
        <v>-5.3959222380275014</v>
      </c>
      <c r="V13" s="1231">
        <v>-1.5362731152204843</v>
      </c>
      <c r="W13" s="1233">
        <v>4.7668721352931884</v>
      </c>
    </row>
    <row r="14" spans="1:23" ht="15.75">
      <c r="A14" s="1228">
        <v>2</v>
      </c>
      <c r="B14" s="1231">
        <v>-17.43</v>
      </c>
      <c r="C14" s="1231">
        <v>-26.51</v>
      </c>
      <c r="D14" s="1197">
        <v>-7.51</v>
      </c>
      <c r="E14" s="1231">
        <v>-2.78</v>
      </c>
      <c r="F14" s="1197">
        <v>3.14</v>
      </c>
      <c r="G14" s="1233">
        <v>-4.24</v>
      </c>
      <c r="H14" s="1231">
        <v>31.18</v>
      </c>
      <c r="I14" s="1231">
        <v>-21.81</v>
      </c>
      <c r="J14" s="1231">
        <v>38.700000000000003</v>
      </c>
      <c r="K14" s="1231">
        <v>0</v>
      </c>
      <c r="L14" s="1231">
        <v>29.4</v>
      </c>
      <c r="M14" s="1233">
        <v>8.44</v>
      </c>
      <c r="N14" s="1231">
        <v>-65.134938001458778</v>
      </c>
      <c r="O14" s="1231">
        <v>21.711646000486262</v>
      </c>
      <c r="P14" s="1231">
        <v>-41.235108193532696</v>
      </c>
      <c r="Q14" s="1231">
        <v>-11.062484804279116</v>
      </c>
      <c r="R14" s="1233">
        <v>-42.693897398492581</v>
      </c>
      <c r="S14" s="1231">
        <v>-12.626981866514765</v>
      </c>
      <c r="T14" s="1231">
        <v>-12.475078325263459</v>
      </c>
      <c r="U14" s="1231">
        <v>-10.490838317668281</v>
      </c>
      <c r="V14" s="1231">
        <v>6.2280451913035222</v>
      </c>
      <c r="W14" s="1233">
        <v>-11.864299503148834</v>
      </c>
    </row>
    <row r="15" spans="1:23" ht="15.75">
      <c r="A15" s="1228">
        <v>3</v>
      </c>
      <c r="B15" s="1231">
        <v>-29.75</v>
      </c>
      <c r="C15" s="1231">
        <v>-16.16</v>
      </c>
      <c r="D15" s="1197">
        <v>-10.83</v>
      </c>
      <c r="E15" s="1231">
        <v>11.87</v>
      </c>
      <c r="F15" s="1197">
        <v>27.2</v>
      </c>
      <c r="G15" s="1233">
        <v>-2.35</v>
      </c>
      <c r="H15" s="1231">
        <v>37.42</v>
      </c>
      <c r="I15" s="1231">
        <v>-32.409999999999997</v>
      </c>
      <c r="J15" s="1231">
        <v>39.200000000000003</v>
      </c>
      <c r="K15" s="1231">
        <v>-1.38</v>
      </c>
      <c r="L15" s="1231">
        <v>21.1</v>
      </c>
      <c r="M15" s="1233">
        <v>3.4</v>
      </c>
      <c r="N15" s="1231">
        <v>-65.177270519669733</v>
      </c>
      <c r="O15" s="1231">
        <v>30.451675570665376</v>
      </c>
      <c r="P15" s="1231">
        <v>-68.698397280233138</v>
      </c>
      <c r="Q15" s="1231">
        <v>-11.049052938319573</v>
      </c>
      <c r="R15" s="1233">
        <v>-54.775781123522748</v>
      </c>
      <c r="S15" s="1231">
        <v>-4.8134434634007421</v>
      </c>
      <c r="T15" s="1231">
        <v>-4.6615399221494362</v>
      </c>
      <c r="U15" s="1231">
        <v>-10.490838317668281</v>
      </c>
      <c r="V15" s="1231">
        <v>6.2280451913035222</v>
      </c>
      <c r="W15" s="1233">
        <v>-6.6552739010728201</v>
      </c>
    </row>
    <row r="16" spans="1:23" ht="15.75">
      <c r="A16" s="1228">
        <v>4</v>
      </c>
      <c r="B16" s="1231">
        <v>-26.46</v>
      </c>
      <c r="C16" s="1231">
        <v>-27.24</v>
      </c>
      <c r="D16" s="1197">
        <v>-0.71</v>
      </c>
      <c r="E16" s="1231">
        <v>29.68</v>
      </c>
      <c r="F16" s="1197">
        <v>16.690000000000001</v>
      </c>
      <c r="G16" s="1233">
        <v>1.31</v>
      </c>
      <c r="H16" s="1231">
        <v>-25.37</v>
      </c>
      <c r="I16" s="1231">
        <v>-32.020000000000003</v>
      </c>
      <c r="J16" s="1231">
        <v>6.9</v>
      </c>
      <c r="K16" s="1231">
        <v>-0.72</v>
      </c>
      <c r="L16" s="1231">
        <v>18.399999999999999</v>
      </c>
      <c r="M16" s="1233">
        <v>-12.58</v>
      </c>
      <c r="N16" s="1231">
        <v>-63.447609850313853</v>
      </c>
      <c r="O16" s="1231">
        <v>25.494929985514243</v>
      </c>
      <c r="P16" s="1231">
        <v>-65.25832930951232</v>
      </c>
      <c r="Q16" s="1231">
        <v>-9.005311443746983</v>
      </c>
      <c r="R16" s="1233">
        <v>-51.400289715113473</v>
      </c>
      <c r="S16" s="1231">
        <v>-3.9994363550962908</v>
      </c>
      <c r="T16" s="1231">
        <v>-4.0938468764678264</v>
      </c>
      <c r="U16" s="1231">
        <v>-10.136214185063412</v>
      </c>
      <c r="V16" s="1231">
        <v>6.1625176139032423</v>
      </c>
      <c r="W16" s="1233">
        <v>-6.0764991388758416</v>
      </c>
    </row>
    <row r="17" spans="1:23" ht="15.75">
      <c r="A17" s="1228">
        <v>5</v>
      </c>
      <c r="B17" s="1231">
        <v>2.74</v>
      </c>
      <c r="C17" s="1231">
        <v>-32.409999999999997</v>
      </c>
      <c r="D17" s="1197">
        <v>-4.97</v>
      </c>
      <c r="E17" s="1231">
        <v>15.25</v>
      </c>
      <c r="F17" s="1197">
        <v>4.97</v>
      </c>
      <c r="G17" s="1233">
        <v>7.66</v>
      </c>
      <c r="H17" s="1231">
        <v>-40.51</v>
      </c>
      <c r="I17" s="1231">
        <v>-45.48</v>
      </c>
      <c r="J17" s="1231">
        <v>-9</v>
      </c>
      <c r="K17" s="1231">
        <v>0</v>
      </c>
      <c r="L17" s="1231">
        <v>17.7</v>
      </c>
      <c r="M17" s="1233">
        <v>-27.25</v>
      </c>
      <c r="N17" s="1231">
        <v>-47.672672672672675</v>
      </c>
      <c r="O17" s="1231">
        <v>-5.0300300300300318</v>
      </c>
      <c r="P17" s="1231">
        <v>-0.30030030030030019</v>
      </c>
      <c r="Q17" s="1231">
        <v>-13.36336336336336</v>
      </c>
      <c r="R17" s="1233">
        <v>-14.314314314314315</v>
      </c>
      <c r="S17" s="1231">
        <v>-0.47728341642366706</v>
      </c>
      <c r="T17" s="1231">
        <v>-0.57181826733139018</v>
      </c>
      <c r="U17" s="1231">
        <v>-7.4781299971780637</v>
      </c>
      <c r="V17" s="1231">
        <v>6.1706330542752328</v>
      </c>
      <c r="W17" s="1233">
        <v>-2.8424105603110403</v>
      </c>
    </row>
    <row r="18" spans="1:23" ht="15.75">
      <c r="A18" s="1228">
        <v>6</v>
      </c>
      <c r="B18" s="1231">
        <v>6.54</v>
      </c>
      <c r="C18" s="1231">
        <v>-30.31</v>
      </c>
      <c r="D18" s="1197">
        <v>-14.35</v>
      </c>
      <c r="E18" s="1231">
        <v>14.19</v>
      </c>
      <c r="F18" s="1197">
        <v>3.51</v>
      </c>
      <c r="G18" s="1233">
        <v>11.69</v>
      </c>
      <c r="H18" s="1231">
        <v>11.36</v>
      </c>
      <c r="I18" s="1231">
        <v>-23.62</v>
      </c>
      <c r="J18" s="1231">
        <v>11.4</v>
      </c>
      <c r="K18" s="1231">
        <v>0</v>
      </c>
      <c r="L18" s="1231">
        <v>17</v>
      </c>
      <c r="M18" s="1233">
        <v>-6.12</v>
      </c>
      <c r="N18" s="1231">
        <v>4.527966854098846</v>
      </c>
      <c r="O18" s="1231">
        <v>-20.242675347736011</v>
      </c>
      <c r="P18" s="1231">
        <v>-17.076058005327027</v>
      </c>
      <c r="Q18" s="1231">
        <v>-7.1026931044687771</v>
      </c>
      <c r="R18" s="1233">
        <v>2.5648613988359426</v>
      </c>
      <c r="S18" s="1231">
        <v>2.8324558104550581</v>
      </c>
      <c r="T18" s="1231">
        <v>2.8977999247837527</v>
      </c>
      <c r="U18" s="1231">
        <v>-10.981572019556223</v>
      </c>
      <c r="V18" s="1231">
        <v>-0.89319292967280961</v>
      </c>
      <c r="W18" s="1233">
        <v>-1.7504387614391381</v>
      </c>
    </row>
    <row r="19" spans="1:23" ht="15.75">
      <c r="A19" s="1228">
        <v>7</v>
      </c>
      <c r="B19" s="1231">
        <v>11.02</v>
      </c>
      <c r="C19" s="1231">
        <v>-38.369999999999997</v>
      </c>
      <c r="D19" s="1197">
        <v>-10.84</v>
      </c>
      <c r="E19" s="1231">
        <v>23.97</v>
      </c>
      <c r="F19" s="1197">
        <v>5.38</v>
      </c>
      <c r="G19" s="1233">
        <v>15.28</v>
      </c>
      <c r="H19" s="1231">
        <v>13.8</v>
      </c>
      <c r="I19" s="1231">
        <v>-25.15</v>
      </c>
      <c r="J19" s="1231">
        <v>10.4</v>
      </c>
      <c r="K19" s="1231">
        <v>0</v>
      </c>
      <c r="L19" s="1231">
        <v>16.3</v>
      </c>
      <c r="M19" s="1233">
        <v>-7.37</v>
      </c>
      <c r="N19" s="1231">
        <v>-4.2502951593860665</v>
      </c>
      <c r="O19" s="1231">
        <v>2.9811097992916178</v>
      </c>
      <c r="P19" s="1231">
        <v>30.696576151121608</v>
      </c>
      <c r="Q19" s="1231">
        <v>-6.9362455726092085</v>
      </c>
      <c r="R19" s="1233">
        <v>7.8217237308146403</v>
      </c>
      <c r="S19" s="1231">
        <v>-1.3762515369752315</v>
      </c>
      <c r="T19" s="1231">
        <v>-2.5271385912524154</v>
      </c>
      <c r="U19" s="1231">
        <v>-4.177937818373441</v>
      </c>
      <c r="V19" s="1231">
        <v>-0.15808888108203073</v>
      </c>
      <c r="W19" s="1233">
        <v>-2.6937759822003624</v>
      </c>
    </row>
    <row r="20" spans="1:23" ht="15.75">
      <c r="A20" s="1228">
        <v>8</v>
      </c>
      <c r="B20" s="1231">
        <v>-3.18</v>
      </c>
      <c r="C20" s="1231">
        <v>-30.52</v>
      </c>
      <c r="D20" s="1197">
        <v>-7.21</v>
      </c>
      <c r="E20" s="1231">
        <v>20.03</v>
      </c>
      <c r="F20" s="1197">
        <v>5.78</v>
      </c>
      <c r="G20" s="1233">
        <v>8.02</v>
      </c>
      <c r="H20" s="1231">
        <v>11.15</v>
      </c>
      <c r="I20" s="1231">
        <v>-26.94</v>
      </c>
      <c r="J20" s="1231">
        <v>10.4</v>
      </c>
      <c r="K20" s="1231">
        <v>0</v>
      </c>
      <c r="L20" s="1231">
        <v>16.3</v>
      </c>
      <c r="M20" s="1233">
        <v>-8.26</v>
      </c>
      <c r="N20" s="1231">
        <v>-69.526387009472259</v>
      </c>
      <c r="O20" s="1231">
        <v>1.5967523680649529</v>
      </c>
      <c r="P20" s="1231">
        <v>-1.0825439783491255</v>
      </c>
      <c r="Q20" s="1231">
        <v>-12.15155615696888</v>
      </c>
      <c r="R20" s="1233">
        <v>-24.068561118628775</v>
      </c>
      <c r="S20" s="1231">
        <v>-2.0080779699710254</v>
      </c>
      <c r="T20" s="1231">
        <v>-3.1586618667134956</v>
      </c>
      <c r="U20" s="1231">
        <v>-3.8519624198788298</v>
      </c>
      <c r="V20" s="1231">
        <v>-0.15804723856352665</v>
      </c>
      <c r="W20" s="1233">
        <v>-3.0062340855211169</v>
      </c>
    </row>
    <row r="21" spans="1:23" ht="15.75">
      <c r="A21" s="1228">
        <v>9</v>
      </c>
      <c r="B21" s="1231">
        <v>-6.81</v>
      </c>
      <c r="C21" s="1231">
        <v>-37.200000000000003</v>
      </c>
      <c r="D21" s="1197">
        <v>-7.71</v>
      </c>
      <c r="E21" s="1231">
        <v>-0.3</v>
      </c>
      <c r="F21" s="1197">
        <v>3.89</v>
      </c>
      <c r="G21" s="1233">
        <v>0.2</v>
      </c>
      <c r="H21" s="1231">
        <v>-23.4</v>
      </c>
      <c r="I21" s="1231">
        <v>-25.37</v>
      </c>
      <c r="J21" s="1231">
        <v>14</v>
      </c>
      <c r="K21" s="1231">
        <v>0</v>
      </c>
      <c r="L21" s="1231">
        <v>16</v>
      </c>
      <c r="M21" s="1233">
        <v>-5.71</v>
      </c>
      <c r="N21" s="1231">
        <v>-60.103761348897535</v>
      </c>
      <c r="O21" s="1231">
        <v>-1.7898832684824899</v>
      </c>
      <c r="P21" s="1231">
        <v>16.549935149156944</v>
      </c>
      <c r="Q21" s="1231">
        <v>-7.8339818417639435</v>
      </c>
      <c r="R21" s="1233">
        <v>-13.921314310419369</v>
      </c>
      <c r="S21" s="1231">
        <v>-3.7714634358929664</v>
      </c>
      <c r="T21" s="1231">
        <v>-4.9129260001743225</v>
      </c>
      <c r="U21" s="1231">
        <v>-4.0643249368081582</v>
      </c>
      <c r="V21" s="1231">
        <v>0.88904384206397635</v>
      </c>
      <c r="W21" s="1233">
        <v>-4.2495714576251489</v>
      </c>
    </row>
    <row r="22" spans="1:23" ht="15.75">
      <c r="A22" s="1228">
        <v>10</v>
      </c>
      <c r="B22" s="1231">
        <v>-1.54</v>
      </c>
      <c r="C22" s="1231">
        <v>-30.88</v>
      </c>
      <c r="D22" s="1197">
        <v>-7.99</v>
      </c>
      <c r="E22" s="1231">
        <v>4.6100000000000003</v>
      </c>
      <c r="F22" s="1197">
        <v>4.09</v>
      </c>
      <c r="G22" s="1233">
        <v>3.69</v>
      </c>
      <c r="H22" s="1231">
        <v>18.36</v>
      </c>
      <c r="I22" s="1231">
        <v>-29.3</v>
      </c>
      <c r="J22" s="1231">
        <v>17.2</v>
      </c>
      <c r="K22" s="1231">
        <v>0</v>
      </c>
      <c r="L22" s="1231">
        <v>20.3</v>
      </c>
      <c r="M22" s="1233">
        <v>-6.6</v>
      </c>
      <c r="N22" s="1231">
        <v>-69.868995633187765</v>
      </c>
      <c r="O22" s="1231">
        <v>9.8895453377857692</v>
      </c>
      <c r="P22" s="1231">
        <v>22.784484973028519</v>
      </c>
      <c r="Q22" s="1231">
        <v>-8.2198818391985622</v>
      </c>
      <c r="R22" s="1233">
        <v>-18.991351999315011</v>
      </c>
      <c r="S22" s="1231">
        <v>-6.5041430440470993</v>
      </c>
      <c r="T22" s="1231">
        <v>-7.6464020933275183</v>
      </c>
      <c r="U22" s="1231">
        <v>-4.4334932402965554</v>
      </c>
      <c r="V22" s="1231">
        <v>0.87221979938944605</v>
      </c>
      <c r="W22" s="1233">
        <v>-6.1946794592237255</v>
      </c>
    </row>
    <row r="23" spans="1:23" ht="15.75">
      <c r="A23" s="1228">
        <v>11</v>
      </c>
      <c r="B23" s="1231">
        <v>8.92</v>
      </c>
      <c r="C23" s="1231">
        <v>-29.61</v>
      </c>
      <c r="D23" s="1197">
        <v>-8.7200000000000006</v>
      </c>
      <c r="E23" s="1231">
        <v>-8.44</v>
      </c>
      <c r="F23" s="1197">
        <v>2.39</v>
      </c>
      <c r="G23" s="1233">
        <v>3.07</v>
      </c>
      <c r="H23" s="1231">
        <v>15.51</v>
      </c>
      <c r="I23" s="1231">
        <v>-34.880000000000003</v>
      </c>
      <c r="J23" s="1231">
        <v>16.899999999999999</v>
      </c>
      <c r="K23" s="1231">
        <v>0</v>
      </c>
      <c r="L23" s="1231">
        <v>18.7</v>
      </c>
      <c r="M23" s="1233">
        <v>-9</v>
      </c>
      <c r="N23" s="1231">
        <v>-13.375959079283891</v>
      </c>
      <c r="O23" s="1231">
        <v>10.383631713554987</v>
      </c>
      <c r="P23" s="1231">
        <v>-40.89514066496163</v>
      </c>
      <c r="Q23" s="1231">
        <v>-8.7468030690537084</v>
      </c>
      <c r="R23" s="1233">
        <v>-21.551577152600174</v>
      </c>
      <c r="S23" s="1231">
        <v>-20.872533612711717</v>
      </c>
      <c r="T23" s="1231">
        <v>-11.854286712065655</v>
      </c>
      <c r="U23" s="1231">
        <v>-13.316396018858041</v>
      </c>
      <c r="V23" s="1231">
        <v>1.0302077876724292</v>
      </c>
      <c r="W23" s="1233">
        <v>-15.347738781211804</v>
      </c>
    </row>
    <row r="24" spans="1:23" ht="15.75">
      <c r="A24" s="1228">
        <v>12</v>
      </c>
      <c r="B24" s="1231">
        <v>6.11</v>
      </c>
      <c r="C24" s="1231">
        <v>-31.65</v>
      </c>
      <c r="D24" s="1197">
        <v>-11.87</v>
      </c>
      <c r="E24" s="1231">
        <v>-4.2699999999999996</v>
      </c>
      <c r="F24" s="1197">
        <v>-5.29</v>
      </c>
      <c r="G24" s="1233">
        <v>4.57</v>
      </c>
      <c r="H24" s="1231">
        <v>17.309999999999999</v>
      </c>
      <c r="I24" s="1231">
        <v>-35.39</v>
      </c>
      <c r="J24" s="1231">
        <v>19</v>
      </c>
      <c r="K24" s="1231">
        <v>1.73</v>
      </c>
      <c r="L24" s="1231">
        <v>18.8</v>
      </c>
      <c r="M24" s="1233">
        <v>-8.1999999999999993</v>
      </c>
      <c r="N24" s="1231">
        <v>-48.264553156600165</v>
      </c>
      <c r="O24" s="1231">
        <v>4.1814703470893715</v>
      </c>
      <c r="P24" s="1231">
        <v>-50.778901339163703</v>
      </c>
      <c r="Q24" s="1231">
        <v>-6.7504782727521224</v>
      </c>
      <c r="R24" s="1233">
        <v>-34.408308280951076</v>
      </c>
      <c r="S24" s="1231">
        <v>-25.829474971608274</v>
      </c>
      <c r="T24" s="1231">
        <v>-15.547654407268279</v>
      </c>
      <c r="U24" s="1231">
        <v>-17.652660085611949</v>
      </c>
      <c r="V24" s="1231">
        <v>-5.8006464575871401</v>
      </c>
      <c r="W24" s="1233">
        <v>-19.676596488162833</v>
      </c>
    </row>
    <row r="25" spans="1:23" ht="15.75">
      <c r="A25" s="1228">
        <v>2016</v>
      </c>
      <c r="B25" s="1231"/>
      <c r="C25" s="1231"/>
      <c r="D25" s="1197"/>
      <c r="E25" s="1231"/>
      <c r="F25" s="1197"/>
      <c r="G25" s="1233"/>
      <c r="H25" s="1231"/>
      <c r="I25" s="1231"/>
      <c r="J25" s="1231"/>
      <c r="K25" s="1231"/>
      <c r="L25" s="1231"/>
      <c r="M25" s="1233"/>
      <c r="N25" s="1231"/>
      <c r="O25" s="1231"/>
      <c r="P25" s="1231"/>
      <c r="Q25" s="1231"/>
      <c r="R25" s="1233"/>
      <c r="S25" s="1231"/>
      <c r="T25" s="1231"/>
      <c r="U25" s="1231"/>
      <c r="V25" s="1231"/>
      <c r="W25" s="1233"/>
    </row>
    <row r="26" spans="1:23" ht="15.75">
      <c r="A26" s="1228">
        <v>1</v>
      </c>
      <c r="B26" s="1231">
        <v>-12.09</v>
      </c>
      <c r="C26" s="1231">
        <v>-47.7</v>
      </c>
      <c r="D26" s="1197">
        <v>-18.96</v>
      </c>
      <c r="E26" s="1231">
        <v>3.85</v>
      </c>
      <c r="F26" s="1197">
        <v>17.239999999999998</v>
      </c>
      <c r="G26" s="1233">
        <v>3.57</v>
      </c>
      <c r="H26" s="1231">
        <v>-35.1</v>
      </c>
      <c r="I26" s="1231">
        <v>-36.86</v>
      </c>
      <c r="J26" s="1231">
        <v>-32.6</v>
      </c>
      <c r="K26" s="1231">
        <v>7.45</v>
      </c>
      <c r="L26" s="1231">
        <v>18</v>
      </c>
      <c r="M26" s="1233">
        <v>-34.75</v>
      </c>
      <c r="N26" s="1231">
        <v>-81.856651679449868</v>
      </c>
      <c r="O26" s="1231">
        <v>-9.2303623380058184</v>
      </c>
      <c r="P26" s="1231">
        <v>-44.009521290663848</v>
      </c>
      <c r="Q26" s="1231">
        <v>15.154720973287491</v>
      </c>
      <c r="R26" s="1233">
        <v>-38.878603544035968</v>
      </c>
      <c r="S26" s="1231">
        <v>-95.02669039145907</v>
      </c>
      <c r="T26" s="1231">
        <v>-92.411032028469734</v>
      </c>
      <c r="U26" s="1231">
        <v>-24.952846975088967</v>
      </c>
      <c r="V26" s="1231">
        <v>-1.7704626334519573</v>
      </c>
      <c r="W26" s="1233">
        <v>-70.796856465005931</v>
      </c>
    </row>
    <row r="27" spans="1:23" ht="15.75">
      <c r="A27" s="1228">
        <v>2</v>
      </c>
      <c r="B27" s="1231">
        <v>-25.77</v>
      </c>
      <c r="C27" s="1231">
        <v>-44.79</v>
      </c>
      <c r="D27" s="1197">
        <v>-12.35</v>
      </c>
      <c r="E27" s="1231">
        <v>27.66</v>
      </c>
      <c r="F27" s="1197">
        <v>2.56</v>
      </c>
      <c r="G27" s="1233">
        <v>4.75</v>
      </c>
      <c r="H27" s="1231">
        <v>-30.7</v>
      </c>
      <c r="I27" s="1231">
        <v>-33.630000000000003</v>
      </c>
      <c r="J27" s="1231">
        <v>-32.590000000000003</v>
      </c>
      <c r="K27" s="1231">
        <v>4.7</v>
      </c>
      <c r="L27" s="1231">
        <v>17.03</v>
      </c>
      <c r="M27" s="1233">
        <v>-32.81</v>
      </c>
      <c r="N27" s="1231">
        <v>-82.393119150012637</v>
      </c>
      <c r="O27" s="1231">
        <v>-4.351125727295722</v>
      </c>
      <c r="P27" s="1231">
        <v>7.5891727801671749E-2</v>
      </c>
      <c r="Q27" s="1231">
        <v>-22.666329370098659</v>
      </c>
      <c r="R27" s="1233">
        <v>-25.988700564971751</v>
      </c>
      <c r="S27" s="1231">
        <v>-38.603988603988604</v>
      </c>
      <c r="T27" s="1231">
        <v>-34.152421652421651</v>
      </c>
      <c r="U27" s="1231">
        <v>-25.917022792022792</v>
      </c>
      <c r="V27" s="1231">
        <v>-0.84579772079772075</v>
      </c>
      <c r="W27" s="1233">
        <v>-32.891144349477685</v>
      </c>
    </row>
    <row r="28" spans="1:23" ht="15.75">
      <c r="A28" s="1228">
        <v>3</v>
      </c>
      <c r="B28" s="1231">
        <v>-20.059999999999999</v>
      </c>
      <c r="C28" s="1231">
        <v>-39</v>
      </c>
      <c r="D28" s="1197">
        <v>-13.33</v>
      </c>
      <c r="E28" s="1231">
        <v>28.41</v>
      </c>
      <c r="F28" s="1197">
        <v>14.15</v>
      </c>
      <c r="G28" s="1233">
        <v>7.23</v>
      </c>
      <c r="H28" s="1231">
        <v>-31.03</v>
      </c>
      <c r="I28" s="1231">
        <v>-32.83</v>
      </c>
      <c r="J28" s="1231">
        <v>-82.68</v>
      </c>
      <c r="K28" s="1231">
        <v>4.68</v>
      </c>
      <c r="L28" s="1231">
        <v>16.57</v>
      </c>
      <c r="M28" s="1233">
        <v>-57.76</v>
      </c>
      <c r="N28" s="1231">
        <v>-73.506891271056659</v>
      </c>
      <c r="O28" s="1231">
        <v>-1.6334864726901475</v>
      </c>
      <c r="P28" s="1231">
        <v>14.395099540581924</v>
      </c>
      <c r="Q28" s="1231">
        <v>2.2970903522205215</v>
      </c>
      <c r="R28" s="1233">
        <v>-19.159435085928195</v>
      </c>
      <c r="S28" s="1231">
        <v>-32.693338096088588</v>
      </c>
      <c r="T28" s="1231">
        <v>-31.469905340239325</v>
      </c>
      <c r="U28" s="1231">
        <v>-22.754063225576001</v>
      </c>
      <c r="V28" s="1231">
        <v>-0.69655295588497934</v>
      </c>
      <c r="W28" s="1233">
        <v>-28.972435553968001</v>
      </c>
    </row>
    <row r="29" spans="1:23" ht="15.75">
      <c r="A29" s="1228">
        <v>4</v>
      </c>
      <c r="B29" s="1231">
        <v>-12.28</v>
      </c>
      <c r="C29" s="1231">
        <v>-38.159999999999997</v>
      </c>
      <c r="D29" s="1197">
        <v>-19.149999999999999</v>
      </c>
      <c r="E29" s="1231">
        <v>21.74</v>
      </c>
      <c r="F29" s="1197">
        <v>7.8</v>
      </c>
      <c r="G29" s="1233">
        <v>9.5399999999999991</v>
      </c>
      <c r="H29" s="1231">
        <v>-30.74</v>
      </c>
      <c r="I29" s="1231">
        <v>-32.520000000000003</v>
      </c>
      <c r="J29" s="1231">
        <v>-82.9</v>
      </c>
      <c r="K29" s="1231">
        <v>4.7</v>
      </c>
      <c r="L29" s="1231">
        <v>15.52</v>
      </c>
      <c r="M29" s="1233">
        <v>-57.72</v>
      </c>
      <c r="N29" s="1231">
        <v>-67.927421415793503</v>
      </c>
      <c r="O29" s="1231">
        <v>5.7245080500894465</v>
      </c>
      <c r="P29" s="1231">
        <v>5.0856120623562475</v>
      </c>
      <c r="Q29" s="1231">
        <v>2.5555839509328271E-2</v>
      </c>
      <c r="R29" s="1233">
        <v>-22.855439134508902</v>
      </c>
      <c r="S29" s="1231">
        <v>-31.198070222460466</v>
      </c>
      <c r="T29" s="1231">
        <v>-11.891360671848476</v>
      </c>
      <c r="U29" s="1231">
        <v>-22.791030108103275</v>
      </c>
      <c r="V29" s="1231">
        <v>-0.22335388189046723</v>
      </c>
      <c r="W29" s="1233">
        <v>-21.960153667470742</v>
      </c>
    </row>
    <row r="30" spans="1:23" ht="15.75">
      <c r="A30" s="1228">
        <v>5</v>
      </c>
      <c r="B30" s="1231">
        <v>16.7</v>
      </c>
      <c r="C30" s="1231">
        <v>-34.79</v>
      </c>
      <c r="D30" s="1197">
        <v>-21.75</v>
      </c>
      <c r="E30" s="1231">
        <v>23.17</v>
      </c>
      <c r="F30" s="1197">
        <v>5.69</v>
      </c>
      <c r="G30" s="1233">
        <v>20.54</v>
      </c>
      <c r="H30" s="1231">
        <v>-30.7</v>
      </c>
      <c r="I30" s="1231">
        <v>-31.36</v>
      </c>
      <c r="J30" s="1231">
        <v>-78.599999999999994</v>
      </c>
      <c r="K30" s="1231">
        <v>7.85</v>
      </c>
      <c r="L30" s="1231">
        <v>15.02</v>
      </c>
      <c r="M30" s="1233">
        <v>-54.96</v>
      </c>
      <c r="N30" s="1231">
        <v>-61.102680829539707</v>
      </c>
      <c r="O30" s="1231">
        <v>0.6069802731411218</v>
      </c>
      <c r="P30" s="1231">
        <v>6.6262013151239181</v>
      </c>
      <c r="Q30" s="1231">
        <v>0.93576125442589753</v>
      </c>
      <c r="R30" s="1233">
        <v>-18.361153262518972</v>
      </c>
      <c r="S30" s="1231">
        <v>-11.047602036259713</v>
      </c>
      <c r="T30" s="1231">
        <v>-13.164240421541486</v>
      </c>
      <c r="U30" s="1231">
        <v>-11.556666964365457</v>
      </c>
      <c r="V30" s="1231">
        <v>0.70554612842725728</v>
      </c>
      <c r="W30" s="1233">
        <v>-11.922836474055549</v>
      </c>
    </row>
    <row r="31" spans="1:23" ht="15.75">
      <c r="A31" s="1228">
        <v>6</v>
      </c>
      <c r="B31" s="1231">
        <v>20.399999999999999</v>
      </c>
      <c r="C31" s="1231">
        <v>-28.99</v>
      </c>
      <c r="D31" s="1197">
        <v>-12.04</v>
      </c>
      <c r="E31" s="1231">
        <v>14.67</v>
      </c>
      <c r="F31" s="1197">
        <v>0.06</v>
      </c>
      <c r="G31" s="1233">
        <v>15.79</v>
      </c>
      <c r="H31" s="1231">
        <v>-29.369240108161797</v>
      </c>
      <c r="I31" s="1231">
        <v>-30.522598090613101</v>
      </c>
      <c r="J31" s="1231">
        <v>-77.633684675238683</v>
      </c>
      <c r="K31" s="1231">
        <v>5.871640637933889</v>
      </c>
      <c r="L31" s="1231">
        <v>14.766017327962034</v>
      </c>
      <c r="M31" s="1233">
        <v>-54.078141382925892</v>
      </c>
      <c r="N31" s="1231">
        <v>-60.366640846888721</v>
      </c>
      <c r="O31" s="1231">
        <v>-1.7041053446940351</v>
      </c>
      <c r="P31" s="1231">
        <v>6.2742060418280445</v>
      </c>
      <c r="Q31" s="1231">
        <v>3.2274722437387036</v>
      </c>
      <c r="R31" s="1233">
        <v>-17.462776486788883</v>
      </c>
      <c r="S31" s="1231">
        <v>-1.170165252344797</v>
      </c>
      <c r="T31" s="1231">
        <v>0.14292094685127271</v>
      </c>
      <c r="U31" s="1231">
        <v>-7.4493970522554722</v>
      </c>
      <c r="V31" s="1231">
        <v>-0.1518535060294775</v>
      </c>
      <c r="W31" s="1233">
        <v>-2.8255471192496651</v>
      </c>
    </row>
    <row r="32" spans="1:23" ht="15.75">
      <c r="A32" s="1228">
        <v>7</v>
      </c>
      <c r="B32" s="1231">
        <v>9.5399999999999991</v>
      </c>
      <c r="C32" s="1231">
        <v>-27.92</v>
      </c>
      <c r="D32" s="1197">
        <v>-16.13</v>
      </c>
      <c r="E32" s="1231">
        <v>18.510000000000002</v>
      </c>
      <c r="F32" s="1197">
        <v>-0.09</v>
      </c>
      <c r="G32" s="1233">
        <v>14.73</v>
      </c>
      <c r="H32" s="1231">
        <v>-28.747257451704396</v>
      </c>
      <c r="I32" s="1231">
        <v>-29.111146786536096</v>
      </c>
      <c r="J32" s="1231">
        <v>-26.285653127842888</v>
      </c>
      <c r="K32" s="1231">
        <v>5.5011505324557177</v>
      </c>
      <c r="L32" s="1231">
        <v>14.337400331781453</v>
      </c>
      <c r="M32" s="1233">
        <v>-27.698399957189494</v>
      </c>
      <c r="N32" s="1231">
        <v>-32.086223984142713</v>
      </c>
      <c r="O32" s="1231">
        <v>-1.9326065411298303</v>
      </c>
      <c r="P32" s="1231">
        <v>19.995044598612488</v>
      </c>
      <c r="Q32" s="1231">
        <v>2.9732408325074333</v>
      </c>
      <c r="R32" s="1233">
        <v>-3.3861909481334642</v>
      </c>
      <c r="S32" s="1231">
        <v>-11.207435874519616</v>
      </c>
      <c r="T32" s="1231">
        <v>-2.5828939136652065</v>
      </c>
      <c r="U32" s="1231">
        <v>3.6289212619537072</v>
      </c>
      <c r="V32" s="1231">
        <v>1.0546072035034408</v>
      </c>
      <c r="W32" s="1233">
        <v>-3.3871361754103719</v>
      </c>
    </row>
    <row r="33" spans="1:23" ht="15.75">
      <c r="A33" s="1228">
        <v>8</v>
      </c>
      <c r="B33" s="1231">
        <v>14.37</v>
      </c>
      <c r="C33" s="1231">
        <v>-26.27</v>
      </c>
      <c r="D33" s="1197">
        <v>-13.79</v>
      </c>
      <c r="E33" s="1231">
        <v>8.5299999999999994</v>
      </c>
      <c r="F33" s="1197">
        <v>0.31</v>
      </c>
      <c r="G33" s="1233">
        <v>12.23</v>
      </c>
      <c r="H33" s="1231">
        <v>-28.25</v>
      </c>
      <c r="I33" s="1231">
        <v>-29.05</v>
      </c>
      <c r="J33" s="1231">
        <v>-28.6</v>
      </c>
      <c r="K33" s="1231">
        <v>4.1900000000000004</v>
      </c>
      <c r="L33" s="1231">
        <v>13.9</v>
      </c>
      <c r="M33" s="1233">
        <v>-28.83</v>
      </c>
      <c r="N33" s="1231">
        <v>-15.923249439322202</v>
      </c>
      <c r="O33" s="1231">
        <v>3.2643907301270856</v>
      </c>
      <c r="P33" s="1231">
        <v>-46.274607525541981</v>
      </c>
      <c r="Q33" s="1231">
        <v>3.1647146772987789</v>
      </c>
      <c r="R33" s="1233">
        <v>-21.820749231663758</v>
      </c>
      <c r="S33" s="1231">
        <v>-8.3191850594227503</v>
      </c>
      <c r="T33" s="1231">
        <v>-4.3427754445536593</v>
      </c>
      <c r="U33" s="1231">
        <v>-2.4305245286390837</v>
      </c>
      <c r="V33" s="1231">
        <v>-8.935751943526471E-3</v>
      </c>
      <c r="W33" s="1233">
        <v>-5.0308283442051636</v>
      </c>
    </row>
    <row r="34" spans="1:23" ht="15.75">
      <c r="A34" s="1228">
        <v>9</v>
      </c>
      <c r="B34" s="1231">
        <v>12.91</v>
      </c>
      <c r="C34" s="1231">
        <v>-32.700000000000003</v>
      </c>
      <c r="D34" s="1197">
        <v>-15.59</v>
      </c>
      <c r="E34" s="1231">
        <v>-2.11</v>
      </c>
      <c r="F34" s="1197">
        <v>-8.1300000000000008</v>
      </c>
      <c r="G34" s="1233">
        <v>8.8000000000000007</v>
      </c>
      <c r="H34" s="1231">
        <v>-28.39</v>
      </c>
      <c r="I34" s="1231">
        <v>-29.03</v>
      </c>
      <c r="J34" s="1231">
        <v>-28.6</v>
      </c>
      <c r="K34" s="1231">
        <v>3.28</v>
      </c>
      <c r="L34" s="1231">
        <v>13.94</v>
      </c>
      <c r="M34" s="1233">
        <v>-28.81</v>
      </c>
      <c r="N34" s="1231">
        <v>-41.681217261162388</v>
      </c>
      <c r="O34" s="1231">
        <v>2.4195559990022448</v>
      </c>
      <c r="P34" s="1231">
        <v>-36.991768520828138</v>
      </c>
      <c r="Q34" s="1231">
        <v>-27.138937390870545</v>
      </c>
      <c r="R34" s="1233">
        <v>-27.030847260330926</v>
      </c>
      <c r="S34" s="1231">
        <v>-17.878408582923559</v>
      </c>
      <c r="T34" s="1231">
        <v>-8.0974519445686166</v>
      </c>
      <c r="U34" s="1231">
        <v>-2.062583817612873</v>
      </c>
      <c r="V34" s="1231">
        <v>2.297720160929817</v>
      </c>
      <c r="W34" s="1233">
        <v>-9.3461481150350156</v>
      </c>
    </row>
    <row r="35" spans="1:23" ht="15.75">
      <c r="A35" s="1228">
        <v>10</v>
      </c>
      <c r="B35" s="1231">
        <v>16.47</v>
      </c>
      <c r="C35" s="1231">
        <v>-23.47</v>
      </c>
      <c r="D35" s="1197">
        <v>-25.76</v>
      </c>
      <c r="E35" s="1231">
        <v>8.01</v>
      </c>
      <c r="F35" s="1197">
        <v>-3.03</v>
      </c>
      <c r="G35" s="1233">
        <v>16.75</v>
      </c>
      <c r="H35" s="1231">
        <v>-82.83</v>
      </c>
      <c r="I35" s="1231">
        <v>-29.71</v>
      </c>
      <c r="J35" s="1231">
        <v>-83</v>
      </c>
      <c r="K35" s="1231">
        <v>1.0900000000000001</v>
      </c>
      <c r="L35" s="1231">
        <v>13.37</v>
      </c>
      <c r="M35" s="1233">
        <v>-56.4</v>
      </c>
      <c r="N35" s="1231">
        <v>-17.406659939455096</v>
      </c>
      <c r="O35" s="1231">
        <v>2.8254288597376407</v>
      </c>
      <c r="P35" s="1231">
        <v>-9.8133198789101925</v>
      </c>
      <c r="Q35" s="1231">
        <v>2.5479313824419783</v>
      </c>
      <c r="R35" s="1233">
        <v>-10.01513622603431</v>
      </c>
      <c r="S35" s="1231">
        <v>-22.9475943480594</v>
      </c>
      <c r="T35" s="1231">
        <v>-11.3217671257378</v>
      </c>
      <c r="U35" s="1231">
        <v>-3.4072616705419398</v>
      </c>
      <c r="V35" s="1231">
        <v>13.396530137721339</v>
      </c>
      <c r="W35" s="1233">
        <v>-12.558874381446373</v>
      </c>
    </row>
    <row r="36" spans="1:23" ht="15.75">
      <c r="A36" s="1228">
        <v>11</v>
      </c>
      <c r="B36" s="1231">
        <v>15.03</v>
      </c>
      <c r="C36" s="1231">
        <v>-15.86</v>
      </c>
      <c r="D36" s="1197">
        <v>-4.74</v>
      </c>
      <c r="E36" s="1231">
        <v>11.55</v>
      </c>
      <c r="F36" s="1197">
        <v>4.38</v>
      </c>
      <c r="G36" s="1233">
        <v>10.44</v>
      </c>
      <c r="H36" s="1231">
        <v>-81.099999999999994</v>
      </c>
      <c r="I36" s="1231">
        <v>-30.63</v>
      </c>
      <c r="J36" s="1231">
        <v>-81.3</v>
      </c>
      <c r="K36" s="1231">
        <v>1.3</v>
      </c>
      <c r="L36" s="1231">
        <v>12.85</v>
      </c>
      <c r="M36" s="1233">
        <v>-55.97</v>
      </c>
      <c r="N36" s="1231">
        <v>-17.647058823529409</v>
      </c>
      <c r="O36" s="1231">
        <v>0.50709939148072936</v>
      </c>
      <c r="P36" s="1231">
        <v>-18.458417849898581</v>
      </c>
      <c r="Q36" s="1231">
        <v>2.7383367139959436</v>
      </c>
      <c r="R36" s="1233">
        <v>-12.204192021636239</v>
      </c>
      <c r="S36" s="1231">
        <v>-17.807481833677222</v>
      </c>
      <c r="T36" s="1231">
        <v>-13.016955234592301</v>
      </c>
      <c r="U36" s="1231">
        <v>-7.2127029694088103</v>
      </c>
      <c r="V36" s="1231">
        <v>22.849197093388401</v>
      </c>
      <c r="W36" s="1233">
        <v>-12.679046679226101</v>
      </c>
    </row>
    <row r="37" spans="1:23" ht="15.75">
      <c r="A37" s="1228">
        <v>12</v>
      </c>
      <c r="B37" s="1231">
        <v>-5.49</v>
      </c>
      <c r="C37" s="1231">
        <v>-22.42</v>
      </c>
      <c r="D37" s="1197">
        <v>2.54</v>
      </c>
      <c r="E37" s="1231">
        <v>-8.92</v>
      </c>
      <c r="F37" s="1197">
        <v>9.94</v>
      </c>
      <c r="G37" s="1233">
        <v>-5.62</v>
      </c>
      <c r="H37" s="1231">
        <v>-79.849999999999994</v>
      </c>
      <c r="I37" s="1231">
        <v>-31.49</v>
      </c>
      <c r="J37" s="1231">
        <v>-80.099999999999994</v>
      </c>
      <c r="K37" s="1231">
        <v>2.54</v>
      </c>
      <c r="L37" s="1231">
        <v>11.67</v>
      </c>
      <c r="M37" s="1233">
        <v>-55.77</v>
      </c>
      <c r="N37" s="1231">
        <v>-49.026676279740443</v>
      </c>
      <c r="O37" s="1231">
        <v>-5.7197788993030532</v>
      </c>
      <c r="P37" s="1231">
        <v>-21.605383321316992</v>
      </c>
      <c r="Q37" s="1231">
        <v>-1.6101898582071619</v>
      </c>
      <c r="R37" s="1233">
        <v>-21.637426900584789</v>
      </c>
      <c r="S37" s="1231">
        <v>-7.5955056179775298</v>
      </c>
      <c r="T37" s="1231">
        <v>-16.395505617977499</v>
      </c>
      <c r="U37" s="1231">
        <v>-10.867415730337079</v>
      </c>
      <c r="V37" s="1231">
        <v>13.033707865168539</v>
      </c>
      <c r="W37" s="1233">
        <v>-11.619475655430699</v>
      </c>
    </row>
    <row r="38" spans="1:23" ht="15.75">
      <c r="A38" s="1228">
        <v>2017</v>
      </c>
      <c r="B38" s="1231"/>
      <c r="C38" s="1231"/>
      <c r="D38" s="1197"/>
      <c r="E38" s="1231"/>
      <c r="F38" s="1197"/>
      <c r="G38" s="1233"/>
      <c r="H38" s="1231"/>
      <c r="I38" s="1231"/>
      <c r="J38" s="1231"/>
      <c r="K38" s="1231"/>
      <c r="L38" s="1231"/>
      <c r="M38" s="1233"/>
      <c r="N38" s="1231"/>
      <c r="O38" s="1231"/>
      <c r="P38" s="1231"/>
      <c r="Q38" s="1231"/>
      <c r="R38" s="1233"/>
      <c r="S38" s="1231"/>
      <c r="T38" s="1231"/>
      <c r="U38" s="1231"/>
      <c r="V38" s="1231"/>
      <c r="W38" s="1233"/>
    </row>
    <row r="39" spans="1:23" ht="15.75">
      <c r="A39" s="1228">
        <v>1</v>
      </c>
      <c r="B39" s="1231">
        <v>5.27</v>
      </c>
      <c r="C39" s="1231">
        <v>-18.68</v>
      </c>
      <c r="D39" s="1197">
        <v>-3.91</v>
      </c>
      <c r="E39" s="1231">
        <v>-8.92</v>
      </c>
      <c r="F39" s="1197">
        <v>8.4499999999999993</v>
      </c>
      <c r="G39" s="1233">
        <v>0.09</v>
      </c>
      <c r="H39" s="1231">
        <v>-79.84</v>
      </c>
      <c r="I39" s="1231">
        <v>-31.47</v>
      </c>
      <c r="J39" s="1231">
        <v>-79.599999999999994</v>
      </c>
      <c r="K39" s="1231">
        <v>2.5499999999999998</v>
      </c>
      <c r="L39" s="1231">
        <v>12.3</v>
      </c>
      <c r="M39" s="1233">
        <v>-55.53</v>
      </c>
      <c r="N39" s="1231">
        <v>-56.248500839529861</v>
      </c>
      <c r="O39" s="1231">
        <v>-3.4300791556728236</v>
      </c>
      <c r="P39" s="1231">
        <v>-49.796114176061408</v>
      </c>
      <c r="Q39" s="1231">
        <v>4.749340369393142</v>
      </c>
      <c r="R39" s="1233">
        <v>-34.204845286639483</v>
      </c>
      <c r="S39" s="1231">
        <v>-19.800053083252234</v>
      </c>
      <c r="T39" s="1231">
        <v>-17.296293019552333</v>
      </c>
      <c r="U39" s="1231">
        <v>-8.9976112536494721</v>
      </c>
      <c r="V39" s="1231">
        <v>10.908608334070601</v>
      </c>
      <c r="W39" s="1233">
        <v>-15.364652452151345</v>
      </c>
    </row>
    <row r="40" spans="1:23" ht="15.75">
      <c r="A40" s="1228">
        <v>2</v>
      </c>
      <c r="B40" s="1231">
        <v>-2.89</v>
      </c>
      <c r="C40" s="1231">
        <v>-11.19</v>
      </c>
      <c r="D40" s="1197">
        <v>-3.04</v>
      </c>
      <c r="E40" s="1231">
        <v>14.41</v>
      </c>
      <c r="F40" s="1197">
        <v>5.57</v>
      </c>
      <c r="G40" s="1233">
        <v>4.8600000000000003</v>
      </c>
      <c r="H40" s="1231">
        <v>-79.75</v>
      </c>
      <c r="I40" s="1231">
        <v>-36.54</v>
      </c>
      <c r="J40" s="1231">
        <v>-74.099999999999994</v>
      </c>
      <c r="K40" s="1231">
        <v>2.5499999999999998</v>
      </c>
      <c r="L40" s="1231">
        <v>12.31</v>
      </c>
      <c r="M40" s="1233">
        <v>-55.3</v>
      </c>
      <c r="N40" s="1231">
        <v>-38.236680810938239</v>
      </c>
      <c r="O40" s="1231">
        <v>-4.1018387553041036</v>
      </c>
      <c r="P40" s="1231">
        <v>-12.140499764262142</v>
      </c>
      <c r="Q40" s="1231">
        <v>5.2569542668552574</v>
      </c>
      <c r="R40" s="1233">
        <v>-15.425113939965428</v>
      </c>
      <c r="S40" s="1231">
        <v>-20.984478935698448</v>
      </c>
      <c r="T40" s="1231">
        <v>-8.913525498891353</v>
      </c>
      <c r="U40" s="1231">
        <v>-18.802660753880264</v>
      </c>
      <c r="V40" s="1231">
        <v>15.831485587583147</v>
      </c>
      <c r="W40" s="1233">
        <v>-16.233555062823356</v>
      </c>
    </row>
    <row r="41" spans="1:23" ht="15.75">
      <c r="A41" s="1228">
        <v>3</v>
      </c>
      <c r="B41" s="1231">
        <v>5.38</v>
      </c>
      <c r="C41" s="1231">
        <v>-24.71</v>
      </c>
      <c r="D41" s="1197">
        <v>-6.99</v>
      </c>
      <c r="E41" s="1231">
        <v>19.38</v>
      </c>
      <c r="F41" s="1197">
        <v>6.06</v>
      </c>
      <c r="G41" s="1233">
        <v>10.58</v>
      </c>
      <c r="H41" s="1231">
        <v>-78.569999999999993</v>
      </c>
      <c r="I41" s="1231">
        <v>-35.369999999999997</v>
      </c>
      <c r="J41" s="1231">
        <v>-71.599999999999994</v>
      </c>
      <c r="K41" s="1231">
        <v>6.19</v>
      </c>
      <c r="L41" s="1231">
        <v>12.31</v>
      </c>
      <c r="M41" s="1233">
        <v>-53.51</v>
      </c>
      <c r="N41" s="1231">
        <v>-61.907032181168056</v>
      </c>
      <c r="O41" s="1231">
        <v>0.71513706793802179</v>
      </c>
      <c r="P41" s="1231">
        <v>18.831942789034564</v>
      </c>
      <c r="Q41" s="1231">
        <v>-5.0536352800953521</v>
      </c>
      <c r="R41" s="1233">
        <v>-14.596742153357171</v>
      </c>
      <c r="S41" s="1231">
        <v>-14.007803493837015</v>
      </c>
      <c r="T41" s="1231">
        <v>-8.3085927108273481</v>
      </c>
      <c r="U41" s="1231">
        <v>-12.432384499423607</v>
      </c>
      <c r="V41" s="1231">
        <v>16.514498536844908</v>
      </c>
      <c r="W41" s="1233">
        <v>-11.582926901362654</v>
      </c>
    </row>
    <row r="42" spans="1:23" ht="15.75">
      <c r="A42" s="1228">
        <v>4</v>
      </c>
      <c r="B42" s="1231">
        <v>-7.22</v>
      </c>
      <c r="C42" s="1231">
        <v>-22.64</v>
      </c>
      <c r="D42" s="1197">
        <v>-5.87</v>
      </c>
      <c r="E42" s="1231">
        <v>22.16</v>
      </c>
      <c r="F42" s="1197">
        <v>3.41</v>
      </c>
      <c r="G42" s="1233">
        <v>6.94</v>
      </c>
      <c r="H42" s="1231">
        <v>-78.569999999999993</v>
      </c>
      <c r="I42" s="1231">
        <v>-35.36</v>
      </c>
      <c r="J42" s="1231">
        <v>-71.900000000000006</v>
      </c>
      <c r="K42" s="1231">
        <v>6.19</v>
      </c>
      <c r="L42" s="1231">
        <v>12.31</v>
      </c>
      <c r="M42" s="1233">
        <v>-53.61</v>
      </c>
      <c r="N42" s="1231">
        <v>-48.685796961659037</v>
      </c>
      <c r="O42" s="1231">
        <v>0.72341451651796418</v>
      </c>
      <c r="P42" s="1231">
        <v>7.8852182300458153</v>
      </c>
      <c r="Q42" s="1231">
        <v>-1.7361948396431157</v>
      </c>
      <c r="R42" s="1233">
        <v>-13.841331082710393</v>
      </c>
      <c r="S42" s="1231">
        <v>-12.4293695131684</v>
      </c>
      <c r="T42" s="1231">
        <v>-4.7526824510064731</v>
      </c>
      <c r="U42" s="1231">
        <v>-5.9678992639886497</v>
      </c>
      <c r="V42" s="1231">
        <v>13.002926310188878</v>
      </c>
      <c r="W42" s="1233">
        <v>-7.7166504093878396</v>
      </c>
    </row>
    <row r="43" spans="1:23" ht="15.75">
      <c r="A43" s="1228">
        <v>5</v>
      </c>
      <c r="B43" s="1231">
        <v>-0.05</v>
      </c>
      <c r="C43" s="1231">
        <v>-17.760000000000002</v>
      </c>
      <c r="D43" s="1197">
        <v>-7.72</v>
      </c>
      <c r="E43" s="1231">
        <v>23.6</v>
      </c>
      <c r="F43" s="1197">
        <v>4</v>
      </c>
      <c r="G43" s="1233">
        <v>10.42</v>
      </c>
      <c r="H43" s="1231">
        <v>-76.7</v>
      </c>
      <c r="I43" s="1231">
        <v>-38.409999999999997</v>
      </c>
      <c r="J43" s="1231">
        <v>-69.400000000000006</v>
      </c>
      <c r="K43" s="1231">
        <v>6.5</v>
      </c>
      <c r="L43" s="1231">
        <v>13.14</v>
      </c>
      <c r="M43" s="1233">
        <v>-53.9</v>
      </c>
      <c r="N43" s="1231">
        <v>-51.249399327246515</v>
      </c>
      <c r="O43" s="1231">
        <v>0</v>
      </c>
      <c r="P43" s="1231">
        <v>7.8567996155694368</v>
      </c>
      <c r="Q43" s="1231">
        <v>-4.6131667467563684</v>
      </c>
      <c r="R43" s="1233">
        <v>-14.464199903892361</v>
      </c>
      <c r="S43" s="1231">
        <v>-7.5344506517690899</v>
      </c>
      <c r="T43" s="1231">
        <v>0.24864768998847206</v>
      </c>
      <c r="U43" s="1231">
        <v>2.944045402145961</v>
      </c>
      <c r="V43" s="1231">
        <v>3.6830717389376604</v>
      </c>
      <c r="W43" s="1233">
        <v>-1.4472525198782176</v>
      </c>
    </row>
    <row r="44" spans="1:23" ht="15.75">
      <c r="A44" s="1228">
        <v>6</v>
      </c>
      <c r="B44" s="1231">
        <v>23.8</v>
      </c>
      <c r="C44" s="1231">
        <v>-20.99</v>
      </c>
      <c r="D44" s="1197">
        <v>-8.3000000000000007</v>
      </c>
      <c r="E44" s="1231">
        <v>22.91</v>
      </c>
      <c r="F44" s="1197">
        <v>6.27</v>
      </c>
      <c r="G44" s="1233">
        <v>18.329999999999998</v>
      </c>
      <c r="H44" s="1231">
        <v>-76.42</v>
      </c>
      <c r="I44" s="1231">
        <v>-38.880000000000003</v>
      </c>
      <c r="J44" s="1231">
        <v>-69</v>
      </c>
      <c r="K44" s="1231">
        <v>6.58</v>
      </c>
      <c r="L44" s="1231">
        <v>12.68</v>
      </c>
      <c r="M44" s="1233">
        <v>-53.95</v>
      </c>
      <c r="N44" s="1231">
        <v>-51.249399327246515</v>
      </c>
      <c r="O44" s="1231">
        <v>0</v>
      </c>
      <c r="P44" s="1231">
        <v>7.8567996155694368</v>
      </c>
      <c r="Q44" s="1231">
        <v>-4.6131667467563684</v>
      </c>
      <c r="R44" s="1233">
        <v>-14.464199903892361</v>
      </c>
      <c r="S44" s="1231">
        <v>1.8919829726853494</v>
      </c>
      <c r="T44" s="1231">
        <v>9.8974813763746017</v>
      </c>
      <c r="U44" s="1231">
        <v>2.7580702376729338</v>
      </c>
      <c r="V44" s="1231">
        <v>3.754345512593118</v>
      </c>
      <c r="W44" s="1233">
        <v>4.849178195577629</v>
      </c>
    </row>
    <row r="45" spans="1:23" ht="15.75">
      <c r="A45" s="1228">
        <v>7</v>
      </c>
      <c r="B45" s="1231">
        <v>27.29</v>
      </c>
      <c r="C45" s="1231">
        <v>-14.31</v>
      </c>
      <c r="D45" s="1197">
        <v>-8.75</v>
      </c>
      <c r="E45" s="1231">
        <v>25.99</v>
      </c>
      <c r="F45" s="1197">
        <v>6.74</v>
      </c>
      <c r="G45" s="1233">
        <v>20.68</v>
      </c>
      <c r="H45" s="1231">
        <v>-75.77</v>
      </c>
      <c r="I45" s="1231">
        <v>-39.93</v>
      </c>
      <c r="J45" s="1231">
        <v>-68.2</v>
      </c>
      <c r="K45" s="1231">
        <v>6.53</v>
      </c>
      <c r="L45" s="1231">
        <v>12.22</v>
      </c>
      <c r="M45" s="1233">
        <v>-54.05</v>
      </c>
      <c r="N45" s="1231">
        <v>-37.681504403713404</v>
      </c>
      <c r="O45" s="1231">
        <v>-4.4037134015710553</v>
      </c>
      <c r="P45" s="1231">
        <v>6.4746488931206887</v>
      </c>
      <c r="Q45" s="1231">
        <v>-3.9514401333015949</v>
      </c>
      <c r="R45" s="1233">
        <v>-8.9343807030072213</v>
      </c>
      <c r="S45" s="1231">
        <v>10.519996452957347</v>
      </c>
      <c r="T45" s="1231">
        <v>1.6497295379976942</v>
      </c>
      <c r="U45" s="1231">
        <v>2.4740622505985637</v>
      </c>
      <c r="V45" s="1231">
        <v>3.8338210516981466</v>
      </c>
      <c r="W45" s="1233">
        <v>4.8812627471845351</v>
      </c>
    </row>
    <row r="46" spans="1:23" ht="15.75">
      <c r="A46" s="1228">
        <v>8</v>
      </c>
      <c r="B46" s="1231">
        <v>25.99</v>
      </c>
      <c r="C46" s="1231">
        <v>-17.41</v>
      </c>
      <c r="D46" s="1197">
        <v>1.56</v>
      </c>
      <c r="E46" s="1231">
        <v>21.46</v>
      </c>
      <c r="F46" s="1197">
        <v>0.48</v>
      </c>
      <c r="G46" s="1233">
        <v>15.29</v>
      </c>
      <c r="H46" s="1231">
        <v>-75.069999999999993</v>
      </c>
      <c r="I46" s="1231">
        <v>-41.01</v>
      </c>
      <c r="J46" s="1231">
        <v>-67.3</v>
      </c>
      <c r="K46" s="1231">
        <v>7.2</v>
      </c>
      <c r="L46" s="1231">
        <v>12.2</v>
      </c>
      <c r="M46" s="1233">
        <v>-54.16</v>
      </c>
      <c r="N46" s="1231">
        <v>-34.388386482627318</v>
      </c>
      <c r="O46" s="1231">
        <v>-3.2841504045692522</v>
      </c>
      <c r="P46" s="1231">
        <v>7.5678248453117503</v>
      </c>
      <c r="Q46" s="1231">
        <v>-4.5216563541170869</v>
      </c>
      <c r="R46" s="1233">
        <v>-7.8454704109154374</v>
      </c>
      <c r="S46" s="1231">
        <v>10.519996452957347</v>
      </c>
      <c r="T46" s="1231">
        <v>4.3543495610534713</v>
      </c>
      <c r="U46" s="1231">
        <v>3.0947947149064472</v>
      </c>
      <c r="V46" s="1231">
        <v>3.8338210516981466</v>
      </c>
      <c r="W46" s="1233">
        <v>5.9897135763057552</v>
      </c>
    </row>
    <row r="47" spans="1:23" ht="15.75">
      <c r="A47" s="1228">
        <v>9</v>
      </c>
      <c r="B47" s="1231">
        <v>15.32</v>
      </c>
      <c r="C47" s="1231">
        <v>-16.36</v>
      </c>
      <c r="D47" s="1197">
        <v>0.17</v>
      </c>
      <c r="E47" s="1231">
        <v>-3.47</v>
      </c>
      <c r="F47" s="1197">
        <v>0.62</v>
      </c>
      <c r="G47" s="1233">
        <v>3.89</v>
      </c>
      <c r="H47" s="1231">
        <v>-74.47</v>
      </c>
      <c r="I47" s="1231">
        <v>-41.88</v>
      </c>
      <c r="J47" s="1231">
        <v>-68</v>
      </c>
      <c r="K47" s="1231">
        <v>7.36</v>
      </c>
      <c r="L47" s="1231">
        <v>11.36</v>
      </c>
      <c r="M47" s="1233">
        <v>-54.92</v>
      </c>
      <c r="N47" s="1231">
        <v>-22.822465492622555</v>
      </c>
      <c r="O47" s="1231">
        <v>27.772489290813901</v>
      </c>
      <c r="P47" s="1231">
        <v>-36.934792955735368</v>
      </c>
      <c r="Q47" s="1231">
        <v>-3.9504997620180875</v>
      </c>
      <c r="R47" s="1233">
        <v>-29.176582579723938</v>
      </c>
      <c r="S47" s="1231">
        <v>3.0921344329165548</v>
      </c>
      <c r="T47" s="1231">
        <v>2.3383878691141256</v>
      </c>
      <c r="U47" s="1231">
        <v>-6.4082646093819271</v>
      </c>
      <c r="V47" s="1231">
        <v>10.865478407377847</v>
      </c>
      <c r="W47" s="1233">
        <v>-0.32591410245041558</v>
      </c>
    </row>
    <row r="48" spans="1:23" ht="15.75">
      <c r="A48" s="1228">
        <v>10</v>
      </c>
      <c r="B48" s="1231">
        <v>0.65</v>
      </c>
      <c r="C48" s="1231">
        <v>-21</v>
      </c>
      <c r="D48" s="1197">
        <v>-4.75</v>
      </c>
      <c r="E48" s="1231">
        <v>-2.1</v>
      </c>
      <c r="F48" s="1197">
        <v>0.32</v>
      </c>
      <c r="G48" s="1233">
        <v>1.1000000000000001</v>
      </c>
      <c r="H48" s="1231">
        <v>-73.53</v>
      </c>
      <c r="I48" s="1231">
        <v>-80.239999999999995</v>
      </c>
      <c r="J48" s="1231">
        <v>-66.8</v>
      </c>
      <c r="K48" s="1231">
        <v>7.11</v>
      </c>
      <c r="L48" s="1231">
        <v>11</v>
      </c>
      <c r="M48" s="1233">
        <v>-73.510000000000005</v>
      </c>
      <c r="N48" s="1231">
        <v>-2.9595765158806557</v>
      </c>
      <c r="O48" s="1231">
        <v>2.0692974013474488</v>
      </c>
      <c r="P48" s="1231">
        <v>16.626564003849854</v>
      </c>
      <c r="Q48" s="1231">
        <v>-4.5717035611164585</v>
      </c>
      <c r="R48" s="1233">
        <v>3.8658966955405809</v>
      </c>
      <c r="S48" s="1231">
        <v>-6.9163784694510948</v>
      </c>
      <c r="T48" s="1231">
        <v>0.34619136295113878</v>
      </c>
      <c r="U48" s="1231">
        <v>10.496585971446303</v>
      </c>
      <c r="V48" s="1231">
        <v>12.902722355236323</v>
      </c>
      <c r="W48" s="1233">
        <v>1.3087996216487834</v>
      </c>
    </row>
    <row r="49" spans="1:23" ht="15.75">
      <c r="A49" s="1228">
        <v>11</v>
      </c>
      <c r="B49" s="1231">
        <v>11.12</v>
      </c>
      <c r="C49" s="1231">
        <v>-21.34</v>
      </c>
      <c r="D49" s="1197">
        <v>-2.79</v>
      </c>
      <c r="E49" s="1231">
        <v>5.89</v>
      </c>
      <c r="F49" s="1197">
        <v>0.06</v>
      </c>
      <c r="G49" s="1233">
        <v>6.6</v>
      </c>
      <c r="H49" s="1231">
        <v>-72.650000000000006</v>
      </c>
      <c r="I49" s="1231">
        <v>-79.58</v>
      </c>
      <c r="J49" s="1231">
        <v>-65.400000000000006</v>
      </c>
      <c r="K49" s="1231">
        <v>7.88</v>
      </c>
      <c r="L49" s="1231">
        <v>10.69</v>
      </c>
      <c r="M49" s="1233">
        <v>-72.489999999999995</v>
      </c>
      <c r="N49" s="1231">
        <v>-34.275362318840578</v>
      </c>
      <c r="O49" s="1231">
        <v>2.0772946859903381</v>
      </c>
      <c r="P49" s="1231">
        <v>-15.410628019323671</v>
      </c>
      <c r="Q49" s="1231">
        <v>-7.6328502415458939</v>
      </c>
      <c r="R49" s="1233">
        <v>-17.254428341384862</v>
      </c>
      <c r="S49" s="1231">
        <v>-7.785403919482131</v>
      </c>
      <c r="T49" s="1231">
        <v>-6.1005586592178771</v>
      </c>
      <c r="U49" s="1231">
        <v>12.979515828677838</v>
      </c>
      <c r="V49" s="1231">
        <v>5.054890485058082</v>
      </c>
      <c r="W49" s="1233">
        <v>-0.30214891667405636</v>
      </c>
    </row>
    <row r="50" spans="1:23" ht="15.75">
      <c r="A50" s="1228">
        <v>12</v>
      </c>
      <c r="B50" s="1231">
        <v>15.53</v>
      </c>
      <c r="C50" s="1231">
        <v>-23.93</v>
      </c>
      <c r="D50" s="1197">
        <v>-3.16</v>
      </c>
      <c r="E50" s="1231">
        <v>-0.94</v>
      </c>
      <c r="F50" s="1197">
        <v>0.82</v>
      </c>
      <c r="G50" s="1233">
        <v>5.92</v>
      </c>
      <c r="H50" s="1231">
        <v>-72.64</v>
      </c>
      <c r="I50" s="1231">
        <v>-79.58</v>
      </c>
      <c r="J50" s="1231">
        <v>-65.400000000000006</v>
      </c>
      <c r="K50" s="1231">
        <v>7.88</v>
      </c>
      <c r="L50" s="1231">
        <v>10.69</v>
      </c>
      <c r="M50" s="1233">
        <v>-72.489999999999995</v>
      </c>
      <c r="N50" s="1231">
        <v>-18.065296251511491</v>
      </c>
      <c r="O50" s="1231">
        <v>1.7412333736396615</v>
      </c>
      <c r="P50" s="1231">
        <v>-4.9576783555018142</v>
      </c>
      <c r="Q50" s="1231">
        <v>4.8367593712211665E-2</v>
      </c>
      <c r="R50" s="1233">
        <v>-8.2547359935509874</v>
      </c>
      <c r="S50" s="1231">
        <v>5.3205639797818366E-2</v>
      </c>
      <c r="T50" s="1231">
        <v>-6.3341314179303003</v>
      </c>
      <c r="U50" s="1231">
        <v>3.7628801986343881</v>
      </c>
      <c r="V50" s="1231">
        <v>3.8689367739647071</v>
      </c>
      <c r="W50" s="1233">
        <v>-0.83934852649936476</v>
      </c>
    </row>
    <row r="51" spans="1:23" ht="15.75">
      <c r="A51" s="1228">
        <v>2018</v>
      </c>
      <c r="B51" s="1231"/>
      <c r="C51" s="1231"/>
      <c r="D51" s="1197"/>
      <c r="E51" s="1231"/>
      <c r="F51" s="1197"/>
      <c r="G51" s="1233"/>
      <c r="H51" s="1231"/>
      <c r="I51" s="1231"/>
      <c r="J51" s="1231"/>
      <c r="K51" s="1231"/>
      <c r="L51" s="1231"/>
      <c r="M51" s="1233"/>
      <c r="N51" s="1231"/>
      <c r="O51" s="1231"/>
      <c r="P51" s="1231"/>
      <c r="Q51" s="1231"/>
      <c r="R51" s="1233"/>
      <c r="S51" s="1231"/>
      <c r="T51" s="1231"/>
      <c r="U51" s="1231"/>
      <c r="V51" s="1231"/>
      <c r="W51" s="1233"/>
    </row>
    <row r="52" spans="1:23" ht="15.75">
      <c r="A52" s="1228">
        <v>1</v>
      </c>
      <c r="B52" s="1231">
        <v>8.92</v>
      </c>
      <c r="C52" s="1231">
        <v>-24.05</v>
      </c>
      <c r="D52" s="1197">
        <v>-4.42</v>
      </c>
      <c r="E52" s="1231">
        <v>16.62</v>
      </c>
      <c r="F52" s="1197">
        <v>14.55</v>
      </c>
      <c r="G52" s="1233">
        <v>9.99</v>
      </c>
      <c r="H52" s="1231">
        <v>-74.05</v>
      </c>
      <c r="I52" s="1231">
        <v>-81.03</v>
      </c>
      <c r="J52" s="1231">
        <v>-65.2</v>
      </c>
      <c r="K52" s="1231">
        <v>6.43</v>
      </c>
      <c r="L52" s="1231">
        <v>11.74</v>
      </c>
      <c r="M52" s="1233">
        <v>-73.14</v>
      </c>
      <c r="N52" s="1231">
        <v>-24.034131310737141</v>
      </c>
      <c r="O52" s="1231">
        <v>2.0621000237022993</v>
      </c>
      <c r="P52" s="1231">
        <v>9.8838587342972311</v>
      </c>
      <c r="Q52" s="1231">
        <v>1.9672908272102392</v>
      </c>
      <c r="R52" s="1233">
        <v>-5.4041242000474039</v>
      </c>
      <c r="S52" s="1231">
        <v>6.805063739376771</v>
      </c>
      <c r="T52" s="1231">
        <v>3.503009915014164</v>
      </c>
      <c r="U52" s="1231">
        <v>4.314536118980171</v>
      </c>
      <c r="V52" s="1231">
        <v>8.9002301699716728</v>
      </c>
      <c r="W52" s="1233">
        <v>4.8742032577903682</v>
      </c>
    </row>
    <row r="53" spans="1:23" ht="15.75">
      <c r="A53" s="1228">
        <v>2</v>
      </c>
      <c r="B53" s="1231">
        <v>10.39</v>
      </c>
      <c r="C53" s="1231">
        <v>-22.58</v>
      </c>
      <c r="D53" s="1197">
        <v>-6.7</v>
      </c>
      <c r="E53" s="1231">
        <v>33.270000000000003</v>
      </c>
      <c r="F53" s="1197">
        <v>5.43</v>
      </c>
      <c r="G53" s="1233">
        <v>16.78</v>
      </c>
      <c r="H53" s="1231">
        <v>-73.42</v>
      </c>
      <c r="I53" s="1231">
        <v>-80.569999999999993</v>
      </c>
      <c r="J53" s="1231">
        <v>-64.7</v>
      </c>
      <c r="K53" s="1231">
        <v>6.31</v>
      </c>
      <c r="L53" s="1231">
        <v>11.4</v>
      </c>
      <c r="M53" s="1233">
        <v>-72.63</v>
      </c>
      <c r="N53" s="1231">
        <v>-36.84834123222749</v>
      </c>
      <c r="O53" s="1231">
        <v>1.5402843601895733</v>
      </c>
      <c r="P53" s="1231">
        <v>41.018957345971572</v>
      </c>
      <c r="Q53" s="1231">
        <v>-5.5450236966824651</v>
      </c>
      <c r="R53" s="1233">
        <v>0.87677725118483529</v>
      </c>
      <c r="S53" s="1231">
        <v>3.7862960339943337</v>
      </c>
      <c r="T53" s="1231">
        <v>-4.0040722379603402</v>
      </c>
      <c r="U53" s="1231">
        <v>7.0323123229461775</v>
      </c>
      <c r="V53" s="1231">
        <v>2.9689270538243635</v>
      </c>
      <c r="W53" s="1233">
        <v>2.2715120396600565</v>
      </c>
    </row>
    <row r="54" spans="1:23" ht="15.75">
      <c r="A54" s="1228">
        <v>3</v>
      </c>
      <c r="B54" s="1231">
        <v>15.34</v>
      </c>
      <c r="C54" s="1231">
        <v>-23.15</v>
      </c>
      <c r="D54" s="1197">
        <v>-4.1399999999999997</v>
      </c>
      <c r="E54" s="1231">
        <v>33.67</v>
      </c>
      <c r="F54" s="1197">
        <v>6.1</v>
      </c>
      <c r="G54" s="1233">
        <v>17.72</v>
      </c>
      <c r="H54" s="1231">
        <v>-73.37</v>
      </c>
      <c r="I54" s="1231">
        <v>-80.53</v>
      </c>
      <c r="J54" s="1231">
        <v>-64.599999999999994</v>
      </c>
      <c r="K54" s="1231">
        <v>6.6</v>
      </c>
      <c r="L54" s="1231">
        <v>11.07</v>
      </c>
      <c r="M54" s="1233">
        <v>-72.569999999999993</v>
      </c>
      <c r="N54" s="1231">
        <v>-37.039693926351035</v>
      </c>
      <c r="O54" s="1231">
        <v>1.5542802486848406</v>
      </c>
      <c r="P54" s="1231">
        <v>41.176470588235297</v>
      </c>
      <c r="Q54" s="1231">
        <v>6.1453849832615965</v>
      </c>
      <c r="R54" s="1233">
        <v>0.86083213773314293</v>
      </c>
      <c r="S54" s="1231">
        <v>2.4760977337110477</v>
      </c>
      <c r="T54" s="1231">
        <v>5.9375000000000009</v>
      </c>
      <c r="U54" s="1231">
        <v>-0.87314093484419375</v>
      </c>
      <c r="V54" s="1231">
        <v>1.402000708215297</v>
      </c>
      <c r="W54" s="1233">
        <v>2.5134855996222849</v>
      </c>
    </row>
    <row r="55" spans="1:23" ht="15.75">
      <c r="A55" s="1228">
        <v>4</v>
      </c>
      <c r="B55" s="1231">
        <v>18.18</v>
      </c>
      <c r="C55" s="1231">
        <v>-21.33</v>
      </c>
      <c r="D55" s="1197">
        <v>-3.43</v>
      </c>
      <c r="E55" s="1231">
        <v>31.81</v>
      </c>
      <c r="F55" s="1197">
        <v>11.96</v>
      </c>
      <c r="G55" s="1233">
        <v>17.809999999999999</v>
      </c>
      <c r="H55" s="1231">
        <v>-72.27</v>
      </c>
      <c r="I55" s="1231">
        <v>-79.73</v>
      </c>
      <c r="J55" s="1231">
        <v>-63.2</v>
      </c>
      <c r="K55" s="1231">
        <v>6.58</v>
      </c>
      <c r="L55" s="1231">
        <v>11.12</v>
      </c>
      <c r="M55" s="1233">
        <v>-71.44</v>
      </c>
      <c r="N55" s="1231">
        <v>-33.539339196577131</v>
      </c>
      <c r="O55" s="1231">
        <v>1.68766341811267</v>
      </c>
      <c r="P55" s="1231">
        <v>30.449251247920134</v>
      </c>
      <c r="Q55" s="1231">
        <v>0.73686712621820849</v>
      </c>
      <c r="R55" s="1233">
        <v>-1.5925837889232239</v>
      </c>
      <c r="S55" s="1231">
        <v>2.7328257790368276</v>
      </c>
      <c r="T55" s="1231">
        <v>3.2020184135977332</v>
      </c>
      <c r="U55" s="1231">
        <v>3.774521954674221</v>
      </c>
      <c r="V55" s="1231">
        <v>2.676788243626063</v>
      </c>
      <c r="W55" s="1233">
        <v>3.2364553824362603</v>
      </c>
    </row>
    <row r="56" spans="1:23" ht="15.75">
      <c r="A56" s="1228">
        <v>5</v>
      </c>
      <c r="B56" s="1231">
        <v>32.270000000000003</v>
      </c>
      <c r="C56" s="1231">
        <v>-20.61</v>
      </c>
      <c r="D56" s="1197">
        <v>-5.45</v>
      </c>
      <c r="E56" s="1231">
        <v>39.020000000000003</v>
      </c>
      <c r="F56" s="1197">
        <v>2.85</v>
      </c>
      <c r="G56" s="1233">
        <v>25.58</v>
      </c>
      <c r="H56" s="1231">
        <v>-69.62</v>
      </c>
      <c r="I56" s="1231">
        <v>-77.790000000000006</v>
      </c>
      <c r="J56" s="1231">
        <v>-28.2</v>
      </c>
      <c r="K56" s="1231">
        <v>7.21</v>
      </c>
      <c r="L56" s="1231">
        <v>10.45</v>
      </c>
      <c r="M56" s="1233">
        <v>-52.97</v>
      </c>
      <c r="N56" s="1231">
        <v>-17.118437118437114</v>
      </c>
      <c r="O56" s="1231">
        <v>1.7826617826617821</v>
      </c>
      <c r="P56" s="1231">
        <v>27.399267399267394</v>
      </c>
      <c r="Q56" s="1231">
        <v>-10.476190476190476</v>
      </c>
      <c r="R56" s="1233">
        <v>2.8327228327228355</v>
      </c>
      <c r="S56" s="1231">
        <v>6.7307011331444757</v>
      </c>
      <c r="T56" s="1231">
        <v>2.5462995750708219</v>
      </c>
      <c r="U56" s="1231">
        <v>8.9772485835694056</v>
      </c>
      <c r="V56" s="1231">
        <v>2.5174398016997168</v>
      </c>
      <c r="W56" s="1233">
        <v>6.084749763928234</v>
      </c>
    </row>
    <row r="57" spans="1:23" ht="15.75">
      <c r="A57" s="1228">
        <v>6</v>
      </c>
      <c r="B57" s="1231">
        <v>24.71</v>
      </c>
      <c r="C57" s="1231">
        <v>-19.57</v>
      </c>
      <c r="D57" s="1197">
        <v>-2.8</v>
      </c>
      <c r="E57" s="1231">
        <v>22.48</v>
      </c>
      <c r="F57" s="1197">
        <v>2</v>
      </c>
      <c r="G57" s="1233">
        <v>16.670000000000002</v>
      </c>
      <c r="H57" s="1231">
        <v>-69.599999999999994</v>
      </c>
      <c r="I57" s="1231">
        <v>-77.78</v>
      </c>
      <c r="J57" s="1231">
        <v>-28.1</v>
      </c>
      <c r="K57" s="1231">
        <v>7.21</v>
      </c>
      <c r="L57" s="1231">
        <v>10.45</v>
      </c>
      <c r="M57" s="1233">
        <v>-52.95</v>
      </c>
      <c r="N57" s="1231">
        <v>-13.035294117647066</v>
      </c>
      <c r="O57" s="1231">
        <v>0.61176470588235266</v>
      </c>
      <c r="P57" s="1231">
        <v>35.129411764705885</v>
      </c>
      <c r="Q57" s="1231">
        <v>-10.094117647058823</v>
      </c>
      <c r="R57" s="1233">
        <v>7.1607843137254896</v>
      </c>
      <c r="S57" s="1231">
        <v>7.6159702549575083</v>
      </c>
      <c r="T57" s="1231">
        <v>16.560109773371106</v>
      </c>
      <c r="U57" s="1231">
        <v>16.652531869688385</v>
      </c>
      <c r="V57" s="1231">
        <v>6.9969015580736542</v>
      </c>
      <c r="W57" s="1233">
        <v>13.609537299339003</v>
      </c>
    </row>
    <row r="58" spans="1:23" ht="15.75">
      <c r="A58" s="1228">
        <v>7</v>
      </c>
      <c r="B58" s="1231">
        <v>23.83</v>
      </c>
      <c r="C58" s="1231">
        <v>-21.74</v>
      </c>
      <c r="D58" s="1197">
        <v>-2.54</v>
      </c>
      <c r="E58" s="1231">
        <v>18</v>
      </c>
      <c r="F58" s="1197">
        <v>-0.04</v>
      </c>
      <c r="G58" s="1233">
        <v>14.79</v>
      </c>
      <c r="H58" s="1231">
        <v>-69.599999999999994</v>
      </c>
      <c r="I58" s="1231">
        <v>-77.78</v>
      </c>
      <c r="J58" s="1231">
        <v>-28.1</v>
      </c>
      <c r="K58" s="1231">
        <v>7.22</v>
      </c>
      <c r="L58" s="1231">
        <v>10.45</v>
      </c>
      <c r="M58" s="1233">
        <v>-52.95</v>
      </c>
      <c r="N58" s="1231">
        <v>-27.325990157018982</v>
      </c>
      <c r="O58" s="1231">
        <v>1.1249121162409186</v>
      </c>
      <c r="P58" s="1231">
        <v>35.856573705179287</v>
      </c>
      <c r="Q58" s="1231">
        <v>-9.9835950316381528</v>
      </c>
      <c r="R58" s="1233">
        <v>2.4685571439731264</v>
      </c>
      <c r="S58" s="1231">
        <v>11.34295325779037</v>
      </c>
      <c r="T58" s="1231">
        <v>19.207064447592071</v>
      </c>
      <c r="U58" s="1231">
        <v>17.670591359773368</v>
      </c>
      <c r="V58" s="1231">
        <v>7.7228222379603402</v>
      </c>
      <c r="W58" s="1233">
        <v>16.073536355051935</v>
      </c>
    </row>
    <row r="59" spans="1:23" ht="15.75">
      <c r="A59" s="1228">
        <v>8</v>
      </c>
      <c r="B59" s="1231">
        <v>22.77</v>
      </c>
      <c r="C59" s="1231">
        <v>-20.95</v>
      </c>
      <c r="D59" s="1197">
        <v>-1.19</v>
      </c>
      <c r="E59" s="1231">
        <v>16.89</v>
      </c>
      <c r="F59" s="1197">
        <v>4.46</v>
      </c>
      <c r="G59" s="1233">
        <v>13.62</v>
      </c>
      <c r="H59" s="1231">
        <v>-69.599999999999994</v>
      </c>
      <c r="I59" s="1231">
        <v>-77.78</v>
      </c>
      <c r="J59" s="1231">
        <v>-33.5</v>
      </c>
      <c r="K59" s="1231">
        <v>8.98</v>
      </c>
      <c r="L59" s="1231">
        <v>10.45</v>
      </c>
      <c r="M59" s="1233">
        <v>-55.63</v>
      </c>
      <c r="N59" s="1231">
        <v>-26.150969852769343</v>
      </c>
      <c r="O59" s="1231">
        <v>1.1217574199579339</v>
      </c>
      <c r="P59" s="1231">
        <v>12.619770974526759</v>
      </c>
      <c r="Q59" s="1231">
        <v>-9.9088572096284189</v>
      </c>
      <c r="R59" s="1233">
        <v>-4.8843187660668406</v>
      </c>
      <c r="S59" s="1231">
        <v>9.9238668555240803</v>
      </c>
      <c r="T59" s="1231">
        <v>5.8666784702549588</v>
      </c>
      <c r="U59" s="1231">
        <v>17.670591359773368</v>
      </c>
      <c r="V59" s="1231">
        <v>10.121901558073654</v>
      </c>
      <c r="W59" s="1233">
        <v>11.153712228517469</v>
      </c>
    </row>
    <row r="60" spans="1:23" ht="15.75">
      <c r="A60" s="1228">
        <v>9</v>
      </c>
      <c r="B60" s="1231">
        <v>22.77</v>
      </c>
      <c r="C60" s="1231">
        <v>-19.920000000000002</v>
      </c>
      <c r="D60" s="1197">
        <v>2.63</v>
      </c>
      <c r="E60" s="1231">
        <v>7.16</v>
      </c>
      <c r="F60" s="1197">
        <v>1.43</v>
      </c>
      <c r="G60" s="1233">
        <v>9.1</v>
      </c>
      <c r="H60" s="1231">
        <v>-67.78</v>
      </c>
      <c r="I60" s="1231">
        <v>-76.45</v>
      </c>
      <c r="J60" s="1231">
        <v>-29.5</v>
      </c>
      <c r="K60" s="1231">
        <v>9.52</v>
      </c>
      <c r="L60" s="1231">
        <v>19.190000000000001</v>
      </c>
      <c r="M60" s="1233">
        <v>-52.99</v>
      </c>
      <c r="N60" s="1231">
        <v>-18.851320055581287</v>
      </c>
      <c r="O60" s="1231">
        <v>0.16211208893006002</v>
      </c>
      <c r="P60" s="1231">
        <v>0.11579434923575693</v>
      </c>
      <c r="Q60" s="1231">
        <v>-10.46780917091246</v>
      </c>
      <c r="R60" s="1233">
        <v>-6.2992125984251963</v>
      </c>
      <c r="S60" s="1231">
        <v>6.9582152974504252</v>
      </c>
      <c r="T60" s="1231">
        <v>7.4955736543909355</v>
      </c>
      <c r="U60" s="1231">
        <v>7.2775318696883859</v>
      </c>
      <c r="V60" s="1231">
        <v>5.5362075070821533</v>
      </c>
      <c r="W60" s="1233">
        <v>7.2437736071765819</v>
      </c>
    </row>
    <row r="61" spans="1:23" ht="15.75">
      <c r="A61" s="1228">
        <v>10</v>
      </c>
      <c r="B61" s="1231">
        <v>16.97</v>
      </c>
      <c r="C61" s="1231">
        <v>-15.65</v>
      </c>
      <c r="D61" s="1197">
        <v>10.86</v>
      </c>
      <c r="E61" s="1231">
        <v>6.95</v>
      </c>
      <c r="F61" s="1197">
        <v>5.93</v>
      </c>
      <c r="G61" s="1233">
        <v>4.3499999999999996</v>
      </c>
      <c r="H61" s="1231">
        <v>-67.62</v>
      </c>
      <c r="I61" s="1231">
        <v>-76.33</v>
      </c>
      <c r="J61" s="1231">
        <v>-29.2</v>
      </c>
      <c r="K61" s="1231">
        <v>9.57</v>
      </c>
      <c r="L61" s="1231">
        <v>18.829999999999998</v>
      </c>
      <c r="M61" s="1233">
        <v>-52.74</v>
      </c>
      <c r="N61" s="1231">
        <v>4.1184636742248975</v>
      </c>
      <c r="O61" s="1231">
        <v>23.692734844979178</v>
      </c>
      <c r="P61" s="1231">
        <v>-22.813512262841286</v>
      </c>
      <c r="Q61" s="1231">
        <v>-10.527533549282738</v>
      </c>
      <c r="R61" s="1233">
        <v>-14.129261144531853</v>
      </c>
      <c r="S61" s="1231">
        <v>5.4627301699716719</v>
      </c>
      <c r="T61" s="1231">
        <v>16.398459631728048</v>
      </c>
      <c r="U61" s="1231">
        <v>11.367475212464589</v>
      </c>
      <c r="V61" s="1231">
        <v>9.1631550991501438</v>
      </c>
      <c r="W61" s="1233">
        <v>11.076221671388103</v>
      </c>
    </row>
    <row r="62" spans="1:23" ht="15.75">
      <c r="A62" s="1228">
        <v>11</v>
      </c>
      <c r="B62" s="1231">
        <v>14.73</v>
      </c>
      <c r="C62" s="1231">
        <v>-25.77</v>
      </c>
      <c r="D62" s="1197">
        <v>7.71</v>
      </c>
      <c r="E62" s="1231">
        <v>15.91</v>
      </c>
      <c r="F62" s="1197">
        <v>4.97</v>
      </c>
      <c r="G62" s="1233">
        <v>7.64</v>
      </c>
      <c r="H62" s="1231">
        <v>-67.3</v>
      </c>
      <c r="I62" s="1231">
        <v>-76.099999999999994</v>
      </c>
      <c r="J62" s="1231">
        <v>-29.2</v>
      </c>
      <c r="K62" s="1231">
        <v>9.66</v>
      </c>
      <c r="L62" s="1231">
        <v>18.38</v>
      </c>
      <c r="M62" s="1233">
        <v>-52.28</v>
      </c>
      <c r="N62" s="1231">
        <v>-9.9175446633073729</v>
      </c>
      <c r="O62" s="1231">
        <v>-0.57260650480989483</v>
      </c>
      <c r="P62" s="1231">
        <v>0.52679798442510251</v>
      </c>
      <c r="Q62" s="1231">
        <v>-3.7104901511681163</v>
      </c>
      <c r="R62" s="1233">
        <v>-2.9393800580241245</v>
      </c>
      <c r="S62" s="1231">
        <v>1.5471848441926346</v>
      </c>
      <c r="T62" s="1231">
        <v>4.6060552407932009</v>
      </c>
      <c r="U62" s="1231">
        <v>14.492475212464591</v>
      </c>
      <c r="V62" s="1231">
        <v>7.4722910764872523</v>
      </c>
      <c r="W62" s="1233">
        <v>6.8819050991501411</v>
      </c>
    </row>
    <row r="63" spans="1:23" ht="15.75">
      <c r="A63" s="1228">
        <v>12</v>
      </c>
      <c r="B63" s="1231">
        <v>8.67</v>
      </c>
      <c r="C63" s="1231">
        <v>-23.99</v>
      </c>
      <c r="D63" s="1197">
        <v>3.62</v>
      </c>
      <c r="E63" s="1231">
        <v>13.42</v>
      </c>
      <c r="F63" s="1197">
        <v>4.76</v>
      </c>
      <c r="G63" s="1233">
        <v>6.16</v>
      </c>
      <c r="H63" s="1231">
        <v>-67.3</v>
      </c>
      <c r="I63" s="1231">
        <v>-76.099999999999994</v>
      </c>
      <c r="J63" s="1231">
        <v>-28.5</v>
      </c>
      <c r="K63" s="1231">
        <v>9.66</v>
      </c>
      <c r="L63" s="1231">
        <v>18.38</v>
      </c>
      <c r="M63" s="1233">
        <v>-52.28</v>
      </c>
      <c r="N63" s="1231">
        <v>-9.0743274053807532</v>
      </c>
      <c r="O63" s="1231">
        <v>-0.41039671682626533</v>
      </c>
      <c r="P63" s="1231">
        <v>-14.432284541723668</v>
      </c>
      <c r="Q63" s="1231">
        <v>-3.6935704514363881</v>
      </c>
      <c r="R63" s="1233">
        <v>-7.6987384100927176</v>
      </c>
      <c r="S63" s="1231">
        <v>2.7693325103606381</v>
      </c>
      <c r="T63" s="1231">
        <v>15.406313376245478</v>
      </c>
      <c r="U63" s="1231">
        <v>7.2574728859888902</v>
      </c>
      <c r="V63" s="1231">
        <v>11.973635481879905</v>
      </c>
      <c r="W63" s="1233">
        <v>8.4777062575316702</v>
      </c>
    </row>
    <row r="64" spans="1:23" ht="15.75">
      <c r="A64" s="1228">
        <v>2019</v>
      </c>
      <c r="B64" s="1231"/>
      <c r="C64" s="1231"/>
      <c r="D64" s="1197"/>
      <c r="E64" s="1231"/>
      <c r="F64" s="1197"/>
      <c r="G64" s="1233"/>
      <c r="H64" s="1231"/>
      <c r="I64" s="1231"/>
      <c r="J64" s="1231"/>
      <c r="K64" s="1231"/>
      <c r="L64" s="1231"/>
      <c r="M64" s="1233"/>
      <c r="N64" s="1231"/>
      <c r="O64" s="1231"/>
      <c r="P64" s="1231"/>
      <c r="Q64" s="1231"/>
      <c r="R64" s="1233"/>
      <c r="S64" s="1231"/>
      <c r="T64" s="1231"/>
      <c r="U64" s="1231"/>
      <c r="V64" s="1231"/>
      <c r="W64" s="1233"/>
    </row>
    <row r="65" spans="1:23" ht="15.75">
      <c r="A65" s="1228">
        <v>1</v>
      </c>
      <c r="B65" s="1231">
        <v>11.95</v>
      </c>
      <c r="C65" s="1231">
        <v>-14.29</v>
      </c>
      <c r="D65" s="1197">
        <v>4.5999999999999996</v>
      </c>
      <c r="E65" s="1231">
        <v>12.93</v>
      </c>
      <c r="F65" s="1197">
        <v>-0.22</v>
      </c>
      <c r="G65" s="1233">
        <v>6.76</v>
      </c>
      <c r="H65" s="1231">
        <v>-64.349999999999994</v>
      </c>
      <c r="I65" s="1231">
        <v>-65.55</v>
      </c>
      <c r="J65" s="1231">
        <v>-36.5</v>
      </c>
      <c r="K65" s="1231">
        <v>20.5</v>
      </c>
      <c r="L65" s="1231">
        <v>17.7</v>
      </c>
      <c r="M65" s="1233">
        <v>-51.02</v>
      </c>
      <c r="N65" s="1231">
        <v>14.753363228699552</v>
      </c>
      <c r="O65" s="1231">
        <v>-2.5784753363228705</v>
      </c>
      <c r="P65" s="1231">
        <v>-46.434977578475326</v>
      </c>
      <c r="Q65" s="1231">
        <v>4.2825112107623333</v>
      </c>
      <c r="R65" s="1233">
        <v>-9.7010463378176368</v>
      </c>
      <c r="S65" s="1231">
        <v>2.4726438404518176</v>
      </c>
      <c r="T65" s="1231">
        <v>4.464789975291211</v>
      </c>
      <c r="U65" s="1231">
        <v>2.7801800211789622</v>
      </c>
      <c r="V65" s="1231">
        <v>1.7918284504059301</v>
      </c>
      <c r="W65" s="1233">
        <v>3.2392046123073301</v>
      </c>
    </row>
    <row r="66" spans="1:23" ht="15.75">
      <c r="A66" s="1228">
        <v>2</v>
      </c>
      <c r="B66" s="1231">
        <v>7.87</v>
      </c>
      <c r="C66" s="1231">
        <v>-11.02</v>
      </c>
      <c r="D66" s="1197">
        <v>6.05</v>
      </c>
      <c r="E66" s="1231">
        <v>29.53</v>
      </c>
      <c r="F66" s="1197">
        <v>1.3</v>
      </c>
      <c r="G66" s="1233">
        <v>10.45</v>
      </c>
      <c r="H66" s="1231">
        <v>-62.28</v>
      </c>
      <c r="I66" s="1231">
        <v>-76.150000000000006</v>
      </c>
      <c r="J66" s="1231">
        <v>-33.1</v>
      </c>
      <c r="K66" s="1231">
        <v>9.25</v>
      </c>
      <c r="L66" s="1231">
        <v>16.07</v>
      </c>
      <c r="M66" s="1233">
        <v>-54.63</v>
      </c>
      <c r="N66" s="1231">
        <v>8.6067415730337071</v>
      </c>
      <c r="O66" s="1231">
        <v>0.38202247191011207</v>
      </c>
      <c r="P66" s="1231">
        <v>27.168539325842701</v>
      </c>
      <c r="Q66" s="1231">
        <v>0.20224719101123445</v>
      </c>
      <c r="R66" s="1233">
        <v>11.797752808988765</v>
      </c>
      <c r="S66" s="1231">
        <v>5.2923429781227949</v>
      </c>
      <c r="T66" s="1231">
        <v>2.2671136203246296</v>
      </c>
      <c r="U66" s="1231">
        <v>1.8809103740296398</v>
      </c>
      <c r="V66" s="1231">
        <v>12.879851799576571</v>
      </c>
      <c r="W66" s="1233">
        <v>3.1467889908256881</v>
      </c>
    </row>
    <row r="67" spans="1:23" ht="15.75">
      <c r="A67" s="1228">
        <v>3</v>
      </c>
      <c r="B67" s="1231">
        <v>-4.38</v>
      </c>
      <c r="C67" s="1231">
        <v>-15.84</v>
      </c>
      <c r="D67" s="1197">
        <v>6.76</v>
      </c>
      <c r="E67" s="1231">
        <v>31.87</v>
      </c>
      <c r="F67" s="1197">
        <v>-0.4</v>
      </c>
      <c r="G67" s="1233">
        <v>6.91</v>
      </c>
      <c r="H67" s="1231">
        <v>-61.44</v>
      </c>
      <c r="I67" s="1231">
        <v>-62.69</v>
      </c>
      <c r="J67" s="1231">
        <v>-32.299999999999997</v>
      </c>
      <c r="K67" s="1231">
        <v>9.24</v>
      </c>
      <c r="L67" s="1231">
        <v>15.71</v>
      </c>
      <c r="M67" s="1233">
        <v>-47.5</v>
      </c>
      <c r="N67" s="1231">
        <v>-7.3305365422830668</v>
      </c>
      <c r="O67" s="1231">
        <v>0.37535879885184364</v>
      </c>
      <c r="P67" s="1231">
        <v>45.595054095826896</v>
      </c>
      <c r="Q67" s="1231">
        <v>4.01854714064915</v>
      </c>
      <c r="R67" s="1233">
        <v>12.629719584897328</v>
      </c>
      <c r="S67" s="1231">
        <v>2.6635497529992942</v>
      </c>
      <c r="T67" s="1231">
        <v>1.4800635144671845</v>
      </c>
      <c r="U67" s="1231">
        <v>1.0169371912491179</v>
      </c>
      <c r="V67" s="1231">
        <v>15.014643613267467</v>
      </c>
      <c r="W67" s="1233">
        <v>1.7201834862385321</v>
      </c>
    </row>
    <row r="68" spans="1:23" ht="15.75">
      <c r="A68" s="1228">
        <v>4</v>
      </c>
      <c r="B68" s="1231">
        <v>1.99</v>
      </c>
      <c r="C68" s="1231">
        <v>-14.98</v>
      </c>
      <c r="D68" s="1197">
        <v>6.21</v>
      </c>
      <c r="E68" s="1231">
        <v>30.88</v>
      </c>
      <c r="F68" s="1197">
        <v>0.02</v>
      </c>
      <c r="G68" s="1233">
        <v>8.89</v>
      </c>
      <c r="H68" s="1231">
        <v>-61.21</v>
      </c>
      <c r="I68" s="1231">
        <v>-62.47</v>
      </c>
      <c r="J68" s="1231">
        <v>-31.9</v>
      </c>
      <c r="K68" s="1231">
        <v>5.6</v>
      </c>
      <c r="L68" s="1231">
        <v>15.42</v>
      </c>
      <c r="M68" s="1233">
        <v>-47.2</v>
      </c>
      <c r="N68" s="1231">
        <v>-26.693227091633467</v>
      </c>
      <c r="O68" s="1231">
        <v>3.9397963700752547</v>
      </c>
      <c r="P68" s="1231">
        <v>40.836653386454188</v>
      </c>
      <c r="Q68" s="1231">
        <v>1.4608233731739713</v>
      </c>
      <c r="R68" s="1233">
        <v>3.4012099749151536</v>
      </c>
      <c r="S68" s="1231">
        <v>4.5078358865997536</v>
      </c>
      <c r="T68" s="1231">
        <v>9.0665610142630726</v>
      </c>
      <c r="U68" s="1231">
        <v>13.514175030815286</v>
      </c>
      <c r="V68" s="1231">
        <v>2.4456770558196865</v>
      </c>
      <c r="W68" s="1233">
        <v>9.0295239772260363</v>
      </c>
    </row>
    <row r="69" spans="1:23" ht="15.75">
      <c r="A69" s="1228">
        <v>5</v>
      </c>
      <c r="B69" s="1231">
        <v>19.260000000000002</v>
      </c>
      <c r="C69" s="1231">
        <v>-16.149999999999999</v>
      </c>
      <c r="D69" s="1197">
        <v>-1.67</v>
      </c>
      <c r="E69" s="1231">
        <v>24.11</v>
      </c>
      <c r="F69" s="1197">
        <v>0.02</v>
      </c>
      <c r="G69" s="1233">
        <v>15.01</v>
      </c>
      <c r="H69" s="1231">
        <v>-61.21</v>
      </c>
      <c r="I69" s="1231">
        <v>-62.47</v>
      </c>
      <c r="J69" s="1231">
        <v>-31.9</v>
      </c>
      <c r="K69" s="1231">
        <v>5.6</v>
      </c>
      <c r="L69" s="1231">
        <v>15.42</v>
      </c>
      <c r="M69" s="1233">
        <v>-47.2</v>
      </c>
      <c r="N69" s="1231">
        <v>-26.161056668086921</v>
      </c>
      <c r="O69" s="1231">
        <v>3.7920749893481029</v>
      </c>
      <c r="P69" s="1231">
        <v>39.859394972305061</v>
      </c>
      <c r="Q69" s="1231">
        <v>2.045164039198978</v>
      </c>
      <c r="R69" s="1233">
        <v>3.3020877716233477</v>
      </c>
      <c r="S69" s="1231">
        <v>4.4391701828410683</v>
      </c>
      <c r="T69" s="1231">
        <v>13.078410689170182</v>
      </c>
      <c r="U69" s="1231">
        <v>19.137482419127991</v>
      </c>
      <c r="V69" s="1231">
        <v>1.2137834036568209</v>
      </c>
      <c r="W69" s="1233">
        <v>12.218354430379746</v>
      </c>
    </row>
    <row r="70" spans="1:23" ht="15.75">
      <c r="A70" s="1228">
        <v>6</v>
      </c>
      <c r="B70" s="1231">
        <v>21.93</v>
      </c>
      <c r="C70" s="1231">
        <v>-12.69</v>
      </c>
      <c r="D70" s="1197">
        <v>4.7</v>
      </c>
      <c r="E70" s="1231">
        <v>15.56</v>
      </c>
      <c r="F70" s="1197">
        <v>4.16</v>
      </c>
      <c r="G70" s="1233">
        <v>10.93</v>
      </c>
      <c r="H70" s="1231">
        <v>-61.6</v>
      </c>
      <c r="I70" s="1231">
        <v>-62.84</v>
      </c>
      <c r="J70" s="1231">
        <v>-32.6</v>
      </c>
      <c r="K70" s="1231">
        <v>5.54</v>
      </c>
      <c r="L70" s="1231">
        <v>15.21</v>
      </c>
      <c r="M70" s="1233">
        <v>-47.72</v>
      </c>
      <c r="N70" s="1231">
        <v>16.634758562008084</v>
      </c>
      <c r="O70" s="1231">
        <v>6.5092533503509902</v>
      </c>
      <c r="P70" s="1231">
        <v>28.440757285683894</v>
      </c>
      <c r="Q70" s="1231">
        <v>-1.4677728142948308</v>
      </c>
      <c r="R70" s="1233">
        <v>12.855420832446997</v>
      </c>
      <c r="S70" s="1231">
        <v>6.1450549450549445</v>
      </c>
      <c r="T70" s="1231">
        <v>12.622417582417581</v>
      </c>
      <c r="U70" s="1231">
        <v>13.011692307692307</v>
      </c>
      <c r="V70" s="1231">
        <v>2.7523516483516484</v>
      </c>
      <c r="W70" s="1233">
        <v>10.593054945054945</v>
      </c>
    </row>
    <row r="71" spans="1:23" ht="15.75">
      <c r="A71" s="1228">
        <v>7</v>
      </c>
      <c r="B71" s="1231">
        <v>20.67</v>
      </c>
      <c r="C71" s="1231">
        <v>-8.26</v>
      </c>
      <c r="D71" s="1197">
        <v>5.12</v>
      </c>
      <c r="E71" s="1231">
        <v>19.8</v>
      </c>
      <c r="F71" s="1197">
        <v>-0.94</v>
      </c>
      <c r="G71" s="1233">
        <v>11.54</v>
      </c>
      <c r="H71" s="1231">
        <v>-63.388614970865085</v>
      </c>
      <c r="I71" s="1231">
        <v>-62.949350067234413</v>
      </c>
      <c r="J71" s="1231">
        <v>-32.604213357238912</v>
      </c>
      <c r="K71" s="1231">
        <v>3.6396234872254589</v>
      </c>
      <c r="L71" s="1231">
        <v>15.25</v>
      </c>
      <c r="M71" s="1233">
        <v>-47.776781712236662</v>
      </c>
      <c r="N71" s="1231">
        <v>22.846519314191283</v>
      </c>
      <c r="O71" s="1231">
        <v>4.2966329270811814</v>
      </c>
      <c r="P71" s="1231">
        <v>45.093988845279895</v>
      </c>
      <c r="Q71" s="1231">
        <v>-1.4253253460028921</v>
      </c>
      <c r="R71" s="1233">
        <v>21.214625077463335</v>
      </c>
      <c r="S71" s="1231">
        <v>15.245040119918878</v>
      </c>
      <c r="T71" s="1231">
        <v>8.7186315139758399</v>
      </c>
      <c r="U71" s="1231">
        <v>8.801869323692797</v>
      </c>
      <c r="V71" s="1231">
        <v>6.2609999118243529</v>
      </c>
      <c r="W71" s="1233">
        <v>10.921846985862503</v>
      </c>
    </row>
    <row r="72" spans="1:23" ht="15.75">
      <c r="A72" s="1228">
        <v>8</v>
      </c>
      <c r="B72" s="1231">
        <v>24.14</v>
      </c>
      <c r="C72" s="1231">
        <v>-20.9</v>
      </c>
      <c r="D72" s="1197">
        <v>0.59</v>
      </c>
      <c r="E72" s="1231">
        <v>17.07</v>
      </c>
      <c r="F72" s="1197">
        <v>0.95</v>
      </c>
      <c r="G72" s="1233">
        <v>13.54</v>
      </c>
      <c r="H72" s="1231">
        <v>-63.38</v>
      </c>
      <c r="I72" s="1231">
        <v>-64.739999999999995</v>
      </c>
      <c r="J72" s="1231">
        <v>-30.7</v>
      </c>
      <c r="K72" s="1231">
        <v>0.05</v>
      </c>
      <c r="L72" s="1231">
        <v>15.3</v>
      </c>
      <c r="M72" s="1233">
        <v>-47.71</v>
      </c>
      <c r="N72" s="1231">
        <v>10.897566959721937</v>
      </c>
      <c r="O72" s="1231">
        <v>0.77693723164996908</v>
      </c>
      <c r="P72" s="1231">
        <v>45.634839501124517</v>
      </c>
      <c r="Q72" s="1231">
        <v>-1.3494172970762621</v>
      </c>
      <c r="R72" s="1233">
        <v>18.585156409732161</v>
      </c>
      <c r="S72" s="1231">
        <v>15.066031913955745</v>
      </c>
      <c r="T72" s="1231">
        <v>9.4929031120514864</v>
      </c>
      <c r="U72" s="1231">
        <v>9.0471656528255302</v>
      </c>
      <c r="V72" s="1231">
        <v>5.7397513885215536</v>
      </c>
      <c r="W72" s="1233">
        <v>11.20203355961092</v>
      </c>
    </row>
    <row r="73" spans="1:23" ht="15.75">
      <c r="A73" s="1228">
        <v>9</v>
      </c>
      <c r="B73" s="1231">
        <v>7.65</v>
      </c>
      <c r="C73" s="1231">
        <v>-13.62</v>
      </c>
      <c r="D73" s="1197">
        <v>7.11</v>
      </c>
      <c r="E73" s="1231">
        <v>1.72</v>
      </c>
      <c r="F73" s="1197">
        <v>5.81</v>
      </c>
      <c r="G73" s="1233">
        <v>0.75</v>
      </c>
      <c r="H73" s="1231">
        <v>-42.02</v>
      </c>
      <c r="I73" s="1231">
        <v>-66.36</v>
      </c>
      <c r="J73" s="1231">
        <v>12.2</v>
      </c>
      <c r="K73" s="1231">
        <v>0.05</v>
      </c>
      <c r="L73" s="1231">
        <v>15.34</v>
      </c>
      <c r="M73" s="1233">
        <v>-27.07</v>
      </c>
      <c r="N73" s="1231">
        <v>26.176410674271743</v>
      </c>
      <c r="O73" s="1231">
        <v>0.77408840904461196</v>
      </c>
      <c r="P73" s="1231">
        <v>45.834182114483603</v>
      </c>
      <c r="Q73" s="1231">
        <v>-1.5889183133020981</v>
      </c>
      <c r="R73" s="1233">
        <v>23.745501459903576</v>
      </c>
      <c r="S73" s="1231">
        <v>14.7126213592233</v>
      </c>
      <c r="T73" s="1231">
        <v>8.8242718446601938</v>
      </c>
      <c r="U73" s="1231">
        <v>3.9006178287731683</v>
      </c>
      <c r="V73" s="1231">
        <v>0.72188879082082957</v>
      </c>
      <c r="W73" s="1233">
        <v>9.145837010885554</v>
      </c>
    </row>
    <row r="74" spans="1:23" ht="15.75">
      <c r="A74" s="1228">
        <v>10</v>
      </c>
      <c r="B74" s="1231">
        <v>11.94</v>
      </c>
      <c r="C74" s="1231">
        <v>-9.3000000000000007</v>
      </c>
      <c r="D74" s="1197">
        <v>7.39</v>
      </c>
      <c r="E74" s="1231">
        <v>17.36</v>
      </c>
      <c r="F74" s="1197">
        <v>-2.9</v>
      </c>
      <c r="G74" s="1233">
        <v>7.3</v>
      </c>
      <c r="H74" s="1231">
        <v>-16.72</v>
      </c>
      <c r="I74" s="1231">
        <v>-67</v>
      </c>
      <c r="J74" s="1231">
        <v>13.9</v>
      </c>
      <c r="K74" s="1231">
        <v>0.05</v>
      </c>
      <c r="L74" s="1231">
        <v>15.33</v>
      </c>
      <c r="M74" s="1233">
        <v>-26.56</v>
      </c>
      <c r="N74" s="1231">
        <v>18.7111021883156</v>
      </c>
      <c r="O74" s="1231">
        <v>2.3288496285886375</v>
      </c>
      <c r="P74" s="1231">
        <v>27.102991367195344</v>
      </c>
      <c r="Q74" s="1231">
        <v>-1.8068660911463565</v>
      </c>
      <c r="R74" s="1233">
        <v>14.4950813089741</v>
      </c>
      <c r="S74" s="1231">
        <v>15.142428521002472</v>
      </c>
      <c r="T74" s="1231">
        <v>11.099452876809039</v>
      </c>
      <c r="U74" s="1231">
        <v>4.052859159901165</v>
      </c>
      <c r="V74" s="1231">
        <v>1.136516060713026</v>
      </c>
      <c r="W74" s="1233">
        <v>10.098246852570892</v>
      </c>
    </row>
    <row r="75" spans="1:23" ht="15.75">
      <c r="A75" s="1228">
        <v>11</v>
      </c>
      <c r="B75" s="1231">
        <v>24.03</v>
      </c>
      <c r="C75" s="1231">
        <v>-9.48</v>
      </c>
      <c r="D75" s="1197">
        <v>6.63</v>
      </c>
      <c r="E75" s="1231">
        <v>7.77</v>
      </c>
      <c r="F75" s="1197">
        <v>-1.31</v>
      </c>
      <c r="G75" s="1233">
        <v>8.39</v>
      </c>
      <c r="H75" s="1231">
        <v>-13.59</v>
      </c>
      <c r="I75" s="1231">
        <v>-67.38</v>
      </c>
      <c r="J75" s="1231">
        <v>19.100000000000001</v>
      </c>
      <c r="K75" s="1231">
        <v>3.43</v>
      </c>
      <c r="L75" s="1231">
        <v>15.35</v>
      </c>
      <c r="M75" s="1233">
        <v>-24.12</v>
      </c>
      <c r="N75" s="1231">
        <v>19.798994974874372</v>
      </c>
      <c r="O75" s="1231">
        <v>6.2110552763819094</v>
      </c>
      <c r="P75" s="1231">
        <v>28.301507537688444</v>
      </c>
      <c r="Q75" s="1231">
        <v>0.72361809045226133</v>
      </c>
      <c r="R75" s="1233">
        <v>13.963149078726971</v>
      </c>
      <c r="S75" s="1231">
        <v>14.66354727641918</v>
      </c>
      <c r="T75" s="1231">
        <v>10.036108413525209</v>
      </c>
      <c r="U75" s="1231">
        <v>4.0546481857508612</v>
      </c>
      <c r="V75" s="1231">
        <v>0.65145228215767681</v>
      </c>
      <c r="W75" s="1233">
        <v>9.5847679585650827</v>
      </c>
    </row>
    <row r="76" spans="1:23" ht="15.75">
      <c r="A76" s="1228">
        <v>12</v>
      </c>
      <c r="B76" s="1231">
        <v>30.95</v>
      </c>
      <c r="C76" s="1231">
        <v>-13.3</v>
      </c>
      <c r="D76" s="1197">
        <v>3.19</v>
      </c>
      <c r="E76" s="1231">
        <v>13.93</v>
      </c>
      <c r="F76" s="1197">
        <v>9.5500000000000007</v>
      </c>
      <c r="G76" s="1233">
        <v>13.9</v>
      </c>
      <c r="H76" s="1231">
        <v>-13.68</v>
      </c>
      <c r="I76" s="1231">
        <v>-65.62</v>
      </c>
      <c r="J76" s="1231">
        <v>19.100000000000001</v>
      </c>
      <c r="K76" s="1231">
        <v>8.51</v>
      </c>
      <c r="L76" s="1231">
        <v>15.35</v>
      </c>
      <c r="M76" s="1233">
        <v>-23.28</v>
      </c>
      <c r="N76" s="1231">
        <v>20.316887284396309</v>
      </c>
      <c r="O76" s="1231">
        <v>6.1973525872442838</v>
      </c>
      <c r="P76" s="1231">
        <v>2.2663457681508192</v>
      </c>
      <c r="Q76" s="1231">
        <v>0.74207781789009264</v>
      </c>
      <c r="R76" s="1233">
        <v>5.4619601551009476</v>
      </c>
      <c r="S76" s="1231">
        <v>18.500299162345431</v>
      </c>
      <c r="T76" s="1231">
        <v>13.222975668129239</v>
      </c>
      <c r="U76" s="1231">
        <v>6.1355205424810535</v>
      </c>
      <c r="V76" s="1231">
        <v>1.1247506980454731</v>
      </c>
      <c r="W76" s="1233">
        <v>12.619598457651909</v>
      </c>
    </row>
    <row r="77" spans="1:23" ht="15.75">
      <c r="A77" s="1228">
        <v>2020</v>
      </c>
      <c r="B77" s="1231"/>
      <c r="C77" s="1231"/>
      <c r="D77" s="1197"/>
      <c r="E77" s="1231"/>
      <c r="F77" s="1197"/>
      <c r="G77" s="1233"/>
      <c r="H77" s="1231"/>
      <c r="I77" s="1231"/>
      <c r="J77" s="1231"/>
      <c r="K77" s="1231"/>
      <c r="L77" s="1231"/>
      <c r="M77" s="1233"/>
      <c r="N77" s="1231"/>
      <c r="O77" s="1231"/>
      <c r="P77" s="1231"/>
      <c r="Q77" s="1231"/>
      <c r="R77" s="1233"/>
      <c r="S77" s="1231"/>
      <c r="T77" s="1231"/>
      <c r="U77" s="1231"/>
      <c r="V77" s="1231"/>
      <c r="W77" s="1233"/>
    </row>
    <row r="78" spans="1:23" ht="15.75">
      <c r="A78" s="1228">
        <v>1</v>
      </c>
      <c r="B78" s="1231">
        <v>33.090000000000003</v>
      </c>
      <c r="C78" s="1231">
        <v>-7.49</v>
      </c>
      <c r="D78" s="1197">
        <v>-8.9700000000000006</v>
      </c>
      <c r="E78" s="1231">
        <v>15.24</v>
      </c>
      <c r="F78" s="1197">
        <v>5.23</v>
      </c>
      <c r="G78" s="1233">
        <v>19.100000000000001</v>
      </c>
      <c r="H78" s="1231">
        <v>-10.33</v>
      </c>
      <c r="I78" s="1231">
        <v>-68.34</v>
      </c>
      <c r="J78" s="1231">
        <v>24.8</v>
      </c>
      <c r="K78" s="1231">
        <v>6.65</v>
      </c>
      <c r="L78" s="1231">
        <v>15.67</v>
      </c>
      <c r="M78" s="1233">
        <v>-21.79</v>
      </c>
      <c r="N78" s="1231">
        <v>61.91251271617498</v>
      </c>
      <c r="O78" s="1231">
        <v>7.0396744659206503</v>
      </c>
      <c r="P78" s="1231">
        <v>-6.246185147507628</v>
      </c>
      <c r="Q78" s="1231">
        <v>0.75279755849440555</v>
      </c>
      <c r="R78" s="1233">
        <v>16.208884367582232</v>
      </c>
      <c r="S78" s="1231">
        <v>18.54611746156878</v>
      </c>
      <c r="T78" s="1231">
        <v>12.133129680725268</v>
      </c>
      <c r="U78" s="1231">
        <v>7.7065431612140323</v>
      </c>
      <c r="V78" s="1231">
        <v>1.0773551438707147</v>
      </c>
      <c r="W78" s="1233">
        <v>12.795263434502695</v>
      </c>
    </row>
    <row r="79" spans="1:23" ht="15.75">
      <c r="A79" s="1228">
        <v>2</v>
      </c>
      <c r="B79" s="1231">
        <v>16.350000000000001</v>
      </c>
      <c r="C79" s="1231">
        <v>-8.11</v>
      </c>
      <c r="D79" s="1197">
        <v>-9.4600000000000009</v>
      </c>
      <c r="E79" s="1231">
        <v>8.98</v>
      </c>
      <c r="F79" s="1197">
        <v>5.04</v>
      </c>
      <c r="G79" s="1233">
        <v>11.6</v>
      </c>
      <c r="H79" s="1231">
        <v>-1.33</v>
      </c>
      <c r="I79" s="1231">
        <v>-63.95</v>
      </c>
      <c r="J79" s="1231">
        <v>28.28</v>
      </c>
      <c r="K79" s="1231">
        <v>16.829999999999998</v>
      </c>
      <c r="L79" s="1231">
        <v>14.73</v>
      </c>
      <c r="M79" s="1233">
        <v>-17.84</v>
      </c>
      <c r="N79" s="1231">
        <v>3.46</v>
      </c>
      <c r="O79" s="1231">
        <v>5.19</v>
      </c>
      <c r="P79" s="1231">
        <v>51.19</v>
      </c>
      <c r="Q79" s="1231">
        <v>0.81350416920886781</v>
      </c>
      <c r="R79" s="1233">
        <v>16.489999999999998</v>
      </c>
      <c r="S79" s="1231">
        <v>13.48</v>
      </c>
      <c r="T79" s="1231">
        <v>12.09</v>
      </c>
      <c r="U79" s="1231">
        <v>22.53</v>
      </c>
      <c r="V79" s="1231">
        <v>-1.95</v>
      </c>
      <c r="W79" s="1233">
        <v>16.03</v>
      </c>
    </row>
    <row r="80" spans="1:23" ht="15.75">
      <c r="A80" s="1228">
        <v>3</v>
      </c>
      <c r="B80" s="1231">
        <v>-3.79</v>
      </c>
      <c r="C80" s="1231">
        <v>-17.670000000000002</v>
      </c>
      <c r="D80" s="1197">
        <v>6.63</v>
      </c>
      <c r="E80" s="1231">
        <v>11.62</v>
      </c>
      <c r="F80" s="1197">
        <v>-5</v>
      </c>
      <c r="G80" s="1233">
        <v>0.4</v>
      </c>
      <c r="H80" s="1231">
        <v>-4.47</v>
      </c>
      <c r="I80" s="1231">
        <v>-63.89</v>
      </c>
      <c r="J80" s="1231">
        <v>14.13</v>
      </c>
      <c r="K80" s="1231">
        <v>16.809999999999999</v>
      </c>
      <c r="L80" s="1231">
        <v>14.72</v>
      </c>
      <c r="M80" s="1233">
        <v>-24.88</v>
      </c>
      <c r="N80" s="1231">
        <v>-50.03</v>
      </c>
      <c r="O80" s="1231">
        <v>48.71</v>
      </c>
      <c r="P80" s="1231">
        <v>-21.13</v>
      </c>
      <c r="Q80" s="1231">
        <v>-3.27435428106569</v>
      </c>
      <c r="R80" s="1233">
        <v>-39.96</v>
      </c>
      <c r="S80" s="1231">
        <v>4.6399999999999997</v>
      </c>
      <c r="T80" s="1231">
        <v>8.85</v>
      </c>
      <c r="U80" s="1231">
        <v>14.66</v>
      </c>
      <c r="V80" s="1231">
        <v>-1.19</v>
      </c>
      <c r="W80" s="1233">
        <v>9.39</v>
      </c>
    </row>
    <row r="81" spans="1:23" ht="15.75">
      <c r="A81" s="1228">
        <v>4</v>
      </c>
      <c r="B81" s="1231">
        <v>-9.51</v>
      </c>
      <c r="C81" s="1231">
        <v>-40.43</v>
      </c>
      <c r="D81" s="1197">
        <v>19.61</v>
      </c>
      <c r="E81" s="1231">
        <v>8.1999999999999993</v>
      </c>
      <c r="F81" s="1197">
        <v>-1.1200000000000001</v>
      </c>
      <c r="G81" s="1233">
        <v>-6.98</v>
      </c>
      <c r="H81" s="1231">
        <v>-1.87</v>
      </c>
      <c r="I81" s="1231">
        <v>-61.09</v>
      </c>
      <c r="J81" s="1231">
        <v>39.299999999999997</v>
      </c>
      <c r="K81" s="1231">
        <v>15.61</v>
      </c>
      <c r="L81" s="1231">
        <v>14.19</v>
      </c>
      <c r="M81" s="1233">
        <v>-10.91</v>
      </c>
      <c r="N81" s="1231">
        <v>-53.65</v>
      </c>
      <c r="O81" s="1231">
        <v>26.15</v>
      </c>
      <c r="P81" s="1231">
        <v>-7.75</v>
      </c>
      <c r="Q81" s="1231">
        <v>-3.1967213114754101</v>
      </c>
      <c r="R81" s="1233">
        <v>-29.18</v>
      </c>
      <c r="S81" s="1231">
        <v>2.75</v>
      </c>
      <c r="T81" s="1231">
        <v>7.57</v>
      </c>
      <c r="U81" s="1231">
        <v>13.75</v>
      </c>
      <c r="V81" s="1231">
        <v>-0.64</v>
      </c>
      <c r="W81" s="1233">
        <v>8.02</v>
      </c>
    </row>
    <row r="82" spans="1:23" ht="15.75">
      <c r="A82" s="1228">
        <v>5</v>
      </c>
      <c r="B82" s="1231">
        <v>-31.22</v>
      </c>
      <c r="C82" s="1231">
        <v>-46.56</v>
      </c>
      <c r="D82" s="1197">
        <v>-0.83</v>
      </c>
      <c r="E82" s="1231">
        <v>2.83</v>
      </c>
      <c r="F82" s="1197">
        <v>-2.57</v>
      </c>
      <c r="G82" s="1233">
        <v>-9.18</v>
      </c>
      <c r="H82" s="1231">
        <v>-3.54</v>
      </c>
      <c r="I82" s="1231">
        <v>-64.319999999999993</v>
      </c>
      <c r="J82" s="1231">
        <v>40.4</v>
      </c>
      <c r="K82" s="1231">
        <v>12.66</v>
      </c>
      <c r="L82" s="1231">
        <v>13.88</v>
      </c>
      <c r="M82" s="1233">
        <v>-11.95</v>
      </c>
      <c r="N82" s="1231">
        <v>-55.7</v>
      </c>
      <c r="O82" s="1231">
        <v>-5.46</v>
      </c>
      <c r="P82" s="1231">
        <v>-25.31</v>
      </c>
      <c r="Q82" s="1231">
        <v>-25.853071055800886</v>
      </c>
      <c r="R82" s="1233">
        <v>-25.18</v>
      </c>
      <c r="S82" s="1231">
        <v>-8.35</v>
      </c>
      <c r="T82" s="1231">
        <v>-6.93</v>
      </c>
      <c r="U82" s="1231">
        <v>13.17</v>
      </c>
      <c r="V82" s="1231">
        <v>-2.34</v>
      </c>
      <c r="W82" s="1233">
        <v>-0.7</v>
      </c>
    </row>
    <row r="83" spans="1:23" ht="15.75">
      <c r="A83" s="1228">
        <v>6</v>
      </c>
      <c r="B83" s="1231">
        <v>-24.367415791478479</v>
      </c>
      <c r="C83" s="1231">
        <v>-45.706589758937803</v>
      </c>
      <c r="D83" s="1197">
        <v>-7.2917233498394722</v>
      </c>
      <c r="E83" s="1231">
        <v>13.280187190509878</v>
      </c>
      <c r="F83" s="1197">
        <v>6.07824998639604</v>
      </c>
      <c r="G83" s="1233">
        <v>-1.2651684170430413</v>
      </c>
      <c r="H83" s="1231">
        <v>-4.62</v>
      </c>
      <c r="I83" s="1231">
        <v>-61.49</v>
      </c>
      <c r="J83" s="1231">
        <v>40.6</v>
      </c>
      <c r="K83" s="1231">
        <v>11.1</v>
      </c>
      <c r="L83" s="1231">
        <v>13.61</v>
      </c>
      <c r="M83" s="1233">
        <v>-10.43</v>
      </c>
      <c r="N83" s="1231">
        <v>-58.209243859988391</v>
      </c>
      <c r="O83" s="1231">
        <v>6.5751305356797527</v>
      </c>
      <c r="P83" s="1231">
        <v>-11.738541868110625</v>
      </c>
      <c r="Q83" s="1231">
        <v>-25.15954360858635</v>
      </c>
      <c r="R83" s="1233">
        <v>-25.507638754592925</v>
      </c>
      <c r="S83" s="1231">
        <v>-10.266683062797179</v>
      </c>
      <c r="T83" s="1231">
        <v>-11.147155271355956</v>
      </c>
      <c r="U83" s="1231">
        <v>7.3705525495982975</v>
      </c>
      <c r="V83" s="1231">
        <v>-6.5256599442531549</v>
      </c>
      <c r="W83" s="1233">
        <v>-4.6810952615182773</v>
      </c>
    </row>
    <row r="84" spans="1:23" ht="15.75">
      <c r="A84" s="1228">
        <v>7</v>
      </c>
      <c r="B84" s="1231">
        <v>-27.35</v>
      </c>
      <c r="C84" s="1231">
        <v>-39.75</v>
      </c>
      <c r="D84" s="1197">
        <v>-2.68</v>
      </c>
      <c r="E84" s="1231">
        <v>15.92</v>
      </c>
      <c r="F84" s="1197">
        <v>9.07</v>
      </c>
      <c r="G84" s="1233">
        <v>-2.91</v>
      </c>
      <c r="H84" s="1231">
        <v>-4.2300000000000004</v>
      </c>
      <c r="I84" s="1231">
        <v>-61.87</v>
      </c>
      <c r="J84" s="1231">
        <v>41</v>
      </c>
      <c r="K84" s="1231">
        <v>11.1</v>
      </c>
      <c r="L84" s="1231">
        <v>13.37</v>
      </c>
      <c r="M84" s="1233">
        <v>-10.43</v>
      </c>
      <c r="N84" s="1231">
        <v>-64.235569422776905</v>
      </c>
      <c r="O84" s="1231">
        <v>12.714508580343214</v>
      </c>
      <c r="P84" s="1231">
        <v>-49.239469578783144</v>
      </c>
      <c r="Q84" s="1231">
        <v>-25.370514820592824</v>
      </c>
      <c r="R84" s="1233">
        <v>-42.063182527301088</v>
      </c>
      <c r="S84" s="1231">
        <v>-13.627041669986454</v>
      </c>
      <c r="T84" s="1231">
        <v>-18.29121185562903</v>
      </c>
      <c r="U84" s="1231">
        <v>0.84503226834515088</v>
      </c>
      <c r="V84" s="1231">
        <v>-4.1510636602661153</v>
      </c>
      <c r="W84" s="1233">
        <v>-10.357740419090112</v>
      </c>
    </row>
    <row r="85" spans="1:23" ht="15.75">
      <c r="A85" s="1228">
        <v>8</v>
      </c>
      <c r="B85" s="1231">
        <v>-24.42</v>
      </c>
      <c r="C85" s="1231">
        <v>-47.48</v>
      </c>
      <c r="D85" s="1197">
        <v>9.98</v>
      </c>
      <c r="E85" s="1231">
        <v>19.440000000000001</v>
      </c>
      <c r="F85" s="1197">
        <v>7.2</v>
      </c>
      <c r="G85" s="1233">
        <v>-4.99</v>
      </c>
      <c r="H85" s="1231">
        <v>-0.98</v>
      </c>
      <c r="I85" s="1231">
        <v>-30.78</v>
      </c>
      <c r="J85" s="1231">
        <v>42.3</v>
      </c>
      <c r="K85" s="1231">
        <v>10.62</v>
      </c>
      <c r="L85" s="1231">
        <v>13.18</v>
      </c>
      <c r="M85" s="1233">
        <v>5.77</v>
      </c>
      <c r="N85" s="1231">
        <v>-62.115644942951079</v>
      </c>
      <c r="O85" s="1231">
        <v>-0.77354476890349999</v>
      </c>
      <c r="P85" s="1231">
        <v>-12.105975633339781</v>
      </c>
      <c r="Q85" s="1231">
        <v>-23.51576097466641</v>
      </c>
      <c r="R85" s="1233">
        <v>-24.482691935795788</v>
      </c>
      <c r="S85" s="1231">
        <v>-11.764705882352942</v>
      </c>
      <c r="T85" s="1231">
        <v>-14.618441971383151</v>
      </c>
      <c r="U85" s="1231">
        <v>11.804451510333863</v>
      </c>
      <c r="V85" s="1231">
        <v>-4.8648648648648649</v>
      </c>
      <c r="W85" s="1233">
        <v>-4.8595654478007422</v>
      </c>
    </row>
    <row r="86" spans="1:23" ht="15.75">
      <c r="A86" s="1228">
        <v>9</v>
      </c>
      <c r="B86" s="1231">
        <v>-13.19</v>
      </c>
      <c r="C86" s="1231">
        <v>-43.95</v>
      </c>
      <c r="D86" s="1197">
        <v>11.74</v>
      </c>
      <c r="E86" s="1231">
        <v>25.3</v>
      </c>
      <c r="F86" s="1197">
        <v>11.49</v>
      </c>
      <c r="G86" s="1233">
        <v>0.12</v>
      </c>
      <c r="H86" s="1231">
        <v>-32.85</v>
      </c>
      <c r="I86" s="1231">
        <v>-31.1</v>
      </c>
      <c r="J86" s="1231">
        <v>41.7</v>
      </c>
      <c r="K86" s="1231">
        <v>10.74</v>
      </c>
      <c r="L86" s="1231">
        <v>12.83</v>
      </c>
      <c r="M86" s="1233">
        <v>5.3</v>
      </c>
      <c r="N86" s="1231">
        <v>-57.093919497573509</v>
      </c>
      <c r="O86" s="1231">
        <v>3.5683699685983448</v>
      </c>
      <c r="P86" s="1231">
        <v>21.453040251213245</v>
      </c>
      <c r="Q86" s="1231">
        <v>-0.42820439623180134</v>
      </c>
      <c r="R86" s="1233">
        <v>-13.069749738319537</v>
      </c>
      <c r="S86" s="1231">
        <v>-8.8707762918414179</v>
      </c>
      <c r="T86" s="1231">
        <v>-9.3851388778982336</v>
      </c>
      <c r="U86" s="1231">
        <v>5.5630291999683461</v>
      </c>
      <c r="V86" s="1231">
        <v>-7.0428107937010367</v>
      </c>
      <c r="W86" s="1233">
        <v>-4.2309619899237694</v>
      </c>
    </row>
    <row r="87" spans="1:23" ht="15.75">
      <c r="A87" s="1228">
        <v>10</v>
      </c>
      <c r="B87" s="1231">
        <v>-4.91</v>
      </c>
      <c r="C87" s="1231">
        <v>-30.18</v>
      </c>
      <c r="D87" s="1197">
        <v>5.88</v>
      </c>
      <c r="E87" s="1231">
        <v>24.22</v>
      </c>
      <c r="F87" s="1197">
        <v>17.600000000000001</v>
      </c>
      <c r="G87" s="1233">
        <v>4.4800000000000004</v>
      </c>
      <c r="H87" s="1231">
        <v>-39.24</v>
      </c>
      <c r="I87" s="1231">
        <v>-37.49</v>
      </c>
      <c r="J87" s="1231">
        <v>41.6</v>
      </c>
      <c r="K87" s="1231">
        <v>10.78</v>
      </c>
      <c r="L87" s="1231">
        <v>12.14</v>
      </c>
      <c r="M87" s="1233">
        <v>2.06</v>
      </c>
      <c r="N87" s="1231">
        <v>-19.522015846213794</v>
      </c>
      <c r="O87" s="1231">
        <v>-1.0780620859851928</v>
      </c>
      <c r="P87" s="1231">
        <v>16.48266008572541</v>
      </c>
      <c r="Q87" s="1231">
        <v>-2.324977269775296</v>
      </c>
      <c r="R87" s="1233">
        <v>-0.65376455816773127</v>
      </c>
      <c r="S87" s="1231">
        <v>-9.9635094399492328</v>
      </c>
      <c r="T87" s="1231">
        <v>-7.8772013326987196</v>
      </c>
      <c r="U87" s="1231">
        <v>10.098365857528156</v>
      </c>
      <c r="V87" s="1231">
        <v>-5.3625257813739502</v>
      </c>
      <c r="W87" s="1233">
        <v>-2.5807816383732622</v>
      </c>
    </row>
    <row r="88" spans="1:23" ht="15.75">
      <c r="A88" s="1228">
        <v>11</v>
      </c>
      <c r="B88" s="1231">
        <v>11.14</v>
      </c>
      <c r="C88" s="1231">
        <v>-15.12</v>
      </c>
      <c r="D88" s="1197">
        <v>1.92</v>
      </c>
      <c r="E88" s="1231">
        <v>25.56</v>
      </c>
      <c r="F88" s="1197">
        <v>1</v>
      </c>
      <c r="G88" s="1233">
        <v>11.59</v>
      </c>
      <c r="H88" s="1231">
        <v>-36.07</v>
      </c>
      <c r="I88" s="1231">
        <v>-35.78</v>
      </c>
      <c r="J88" s="1231">
        <v>41.9</v>
      </c>
      <c r="K88" s="1231">
        <v>11.07</v>
      </c>
      <c r="L88" s="1231">
        <v>12.11</v>
      </c>
      <c r="M88" s="1233">
        <v>3.07</v>
      </c>
      <c r="N88" s="1231">
        <v>-6.5998223124762063</v>
      </c>
      <c r="O88" s="1231">
        <v>-2.5764690950628264</v>
      </c>
      <c r="P88" s="1231">
        <v>24.406650590176419</v>
      </c>
      <c r="Q88" s="1231">
        <v>-11.422769386978043</v>
      </c>
      <c r="R88" s="1233">
        <v>6.7944324575876802</v>
      </c>
      <c r="S88" s="1231">
        <v>-5.7938718662952651</v>
      </c>
      <c r="T88" s="1231">
        <v>-3.8917628332670144</v>
      </c>
      <c r="U88" s="1231">
        <v>8.2212495025865486</v>
      </c>
      <c r="V88" s="1231">
        <v>-2.1408674890569031</v>
      </c>
      <c r="W88" s="1233">
        <v>-0.48812839899191013</v>
      </c>
    </row>
    <row r="89" spans="1:23" ht="15.75">
      <c r="A89" s="1228">
        <v>12</v>
      </c>
      <c r="B89" s="1231">
        <v>5.36</v>
      </c>
      <c r="C89" s="1231">
        <v>-23.68</v>
      </c>
      <c r="D89" s="1197">
        <v>2.1</v>
      </c>
      <c r="E89" s="1231">
        <v>22.64</v>
      </c>
      <c r="F89" s="1197">
        <v>1.25</v>
      </c>
      <c r="G89" s="1233">
        <v>8.6300000000000008</v>
      </c>
      <c r="H89" s="1231">
        <v>-36.07</v>
      </c>
      <c r="I89" s="1231">
        <v>-35.78</v>
      </c>
      <c r="J89" s="1231">
        <v>41.9</v>
      </c>
      <c r="K89" s="1231">
        <v>11.07</v>
      </c>
      <c r="L89" s="1231">
        <v>12.17</v>
      </c>
      <c r="M89" s="1233">
        <v>3.07</v>
      </c>
      <c r="N89" s="1231">
        <v>-16.489764973464744</v>
      </c>
      <c r="O89" s="1231">
        <v>10.550922415971698</v>
      </c>
      <c r="P89" s="1231">
        <v>26.661612332575178</v>
      </c>
      <c r="Q89" s="1231">
        <v>-14.69547637098812</v>
      </c>
      <c r="R89" s="1233">
        <v>-0.12635835228708658</v>
      </c>
      <c r="S89" s="1231">
        <v>-4.381798682396199</v>
      </c>
      <c r="T89" s="1231">
        <v>-2.4819978550635797</v>
      </c>
      <c r="U89" s="1231">
        <v>3.3246514478320828</v>
      </c>
      <c r="V89" s="1231">
        <v>7.1931974873601954</v>
      </c>
      <c r="W89" s="1233">
        <v>-1.1797150298758998</v>
      </c>
    </row>
    <row r="90" spans="1:23" ht="15.75">
      <c r="A90" s="1228">
        <v>2021</v>
      </c>
      <c r="B90" s="1231"/>
      <c r="C90" s="1231"/>
      <c r="D90" s="1197"/>
      <c r="E90" s="1231"/>
      <c r="F90" s="1197"/>
      <c r="G90" s="1233"/>
      <c r="H90" s="1231"/>
      <c r="I90" s="1231"/>
      <c r="J90" s="1231"/>
      <c r="K90" s="1231"/>
      <c r="L90" s="1231"/>
      <c r="M90" s="1233"/>
      <c r="N90" s="1231"/>
      <c r="O90" s="1231"/>
      <c r="P90" s="1231"/>
      <c r="Q90" s="1231"/>
      <c r="R90" s="1233"/>
      <c r="S90" s="1231"/>
      <c r="T90" s="1231"/>
      <c r="U90" s="1231"/>
      <c r="V90" s="1231"/>
      <c r="W90" s="1233"/>
    </row>
    <row r="91" spans="1:23" ht="15.75">
      <c r="A91" s="1228">
        <v>1</v>
      </c>
      <c r="B91" s="1231">
        <v>6.68</v>
      </c>
      <c r="C91" s="1231">
        <v>-29.17</v>
      </c>
      <c r="D91" s="1197">
        <v>-3.77</v>
      </c>
      <c r="E91" s="1231">
        <v>15.81</v>
      </c>
      <c r="F91" s="1197">
        <v>9.35</v>
      </c>
      <c r="G91" s="1233">
        <v>8.75</v>
      </c>
      <c r="H91" s="1231">
        <v>-33.520000000000003</v>
      </c>
      <c r="I91" s="1231">
        <v>-33.25</v>
      </c>
      <c r="J91" s="1231">
        <v>45.6</v>
      </c>
      <c r="K91" s="1231">
        <v>10.39</v>
      </c>
      <c r="L91" s="1231">
        <v>11.29</v>
      </c>
      <c r="M91" s="1233">
        <v>6.17</v>
      </c>
      <c r="N91" s="1231">
        <v>-23.040616072537571</v>
      </c>
      <c r="O91" s="1231">
        <v>14.110048441187423</v>
      </c>
      <c r="P91" s="1231">
        <v>31.859396348279713</v>
      </c>
      <c r="Q91" s="1231">
        <v>-14.644143584647869</v>
      </c>
      <c r="R91" s="1233">
        <v>-1.763756055148427</v>
      </c>
      <c r="S91" s="1231">
        <v>-5.8603586417397961</v>
      </c>
      <c r="T91" s="1231">
        <v>-4.6394505913773383</v>
      </c>
      <c r="U91" s="1231">
        <v>6.3792445631438381</v>
      </c>
      <c r="V91" s="1231">
        <v>7.371232354063336</v>
      </c>
      <c r="W91" s="1233">
        <v>-1.3735215566577639</v>
      </c>
    </row>
    <row r="92" spans="1:23" ht="15.75">
      <c r="A92" s="1228">
        <v>2</v>
      </c>
      <c r="B92" s="1231">
        <v>-3.81</v>
      </c>
      <c r="C92" s="1231">
        <v>-23.52</v>
      </c>
      <c r="D92" s="1197">
        <v>4.26</v>
      </c>
      <c r="E92" s="1231">
        <v>8.39</v>
      </c>
      <c r="F92" s="1197">
        <v>3.77</v>
      </c>
      <c r="G92" s="1233">
        <v>0.11</v>
      </c>
      <c r="H92" s="1231">
        <v>-10.11</v>
      </c>
      <c r="I92" s="1231">
        <v>-46.6</v>
      </c>
      <c r="J92" s="1231">
        <v>16.899999999999999</v>
      </c>
      <c r="K92" s="1231">
        <v>1.1399999999999999</v>
      </c>
      <c r="L92" s="1231">
        <v>10.89</v>
      </c>
      <c r="M92" s="1233">
        <v>-14.87</v>
      </c>
      <c r="N92" s="1231">
        <v>-26.02</v>
      </c>
      <c r="O92" s="1231">
        <v>-0.98</v>
      </c>
      <c r="P92" s="1231">
        <v>38.4</v>
      </c>
      <c r="Q92" s="1231">
        <v>-14.18</v>
      </c>
      <c r="R92" s="1233">
        <v>4.45</v>
      </c>
      <c r="S92" s="1231">
        <v>6.2341844950540599</v>
      </c>
      <c r="T92" s="1231">
        <v>4.8385859980062902</v>
      </c>
      <c r="U92" s="1231">
        <v>11.272141706924314</v>
      </c>
      <c r="V92" s="1231">
        <v>7.0470055977302355</v>
      </c>
      <c r="W92" s="1233">
        <v>7.4483040666615556</v>
      </c>
    </row>
    <row r="93" spans="1:23" ht="15.75">
      <c r="A93" s="1228">
        <v>3</v>
      </c>
      <c r="B93" s="1231">
        <v>-5.2</v>
      </c>
      <c r="C93" s="1231">
        <v>-24.16</v>
      </c>
      <c r="D93" s="1197">
        <v>6.22</v>
      </c>
      <c r="E93" s="1231">
        <v>16.93</v>
      </c>
      <c r="F93" s="1197">
        <v>10.99</v>
      </c>
      <c r="G93" s="1233">
        <v>1.84</v>
      </c>
      <c r="H93" s="1231">
        <v>-13.67</v>
      </c>
      <c r="I93" s="1231">
        <v>-53.41</v>
      </c>
      <c r="J93" s="1231">
        <v>19</v>
      </c>
      <c r="K93" s="1231">
        <v>2.2599999999999998</v>
      </c>
      <c r="L93" s="1231">
        <v>10.38</v>
      </c>
      <c r="M93" s="1233">
        <v>-17.21</v>
      </c>
      <c r="N93" s="1231">
        <v>9.9700000000000006</v>
      </c>
      <c r="O93" s="1231">
        <v>-0.56000000000000005</v>
      </c>
      <c r="P93" s="1231">
        <v>46.44</v>
      </c>
      <c r="Q93" s="1231">
        <v>3.07</v>
      </c>
      <c r="R93" s="1233">
        <v>18.989999999999998</v>
      </c>
      <c r="S93" s="1231">
        <v>6.6676329902884506</v>
      </c>
      <c r="T93" s="1231">
        <v>7.0010146398028699</v>
      </c>
      <c r="U93" s="1231">
        <v>14.400637773590377</v>
      </c>
      <c r="V93" s="1231">
        <v>1.2248151906073346</v>
      </c>
      <c r="W93" s="1233">
        <v>9.3564284678939007</v>
      </c>
    </row>
    <row r="94" spans="1:23" ht="15.75">
      <c r="A94" s="1228">
        <v>4</v>
      </c>
      <c r="B94" s="1231">
        <v>12.139419881423976</v>
      </c>
      <c r="C94" s="1231">
        <v>-16.632547257597107</v>
      </c>
      <c r="D94" s="1197">
        <v>7.579826123946507</v>
      </c>
      <c r="E94" s="1231">
        <v>15.768484300640736</v>
      </c>
      <c r="F94" s="1197">
        <v>9.7811926727461245</v>
      </c>
      <c r="G94" s="1233">
        <v>6.7760260193727362</v>
      </c>
      <c r="H94" s="1231">
        <v>3.5008469791078514</v>
      </c>
      <c r="I94" s="1231">
        <v>-39.250423489553924</v>
      </c>
      <c r="J94" s="1231">
        <v>38.608130999435339</v>
      </c>
      <c r="K94" s="1231">
        <v>17.412478825522307</v>
      </c>
      <c r="L94" s="1231">
        <v>18.321993224167141</v>
      </c>
      <c r="M94" s="1233">
        <v>-0.32114624505929257</v>
      </c>
      <c r="N94" s="1231">
        <v>26.035946080878677</v>
      </c>
      <c r="O94" s="1231">
        <v>0.3744383424862705</v>
      </c>
      <c r="P94" s="1231">
        <v>20.718921617573638</v>
      </c>
      <c r="Q94" s="1231">
        <v>5.2546180728906648</v>
      </c>
      <c r="R94" s="1233">
        <v>15.460143118655347</v>
      </c>
      <c r="S94" s="1231">
        <v>4.0046684659712604</v>
      </c>
      <c r="T94" s="1231">
        <v>-3.9025457728499524</v>
      </c>
      <c r="U94" s="1231">
        <v>9.8256619738857669</v>
      </c>
      <c r="V94" s="1231">
        <v>-0.44496316288569493</v>
      </c>
      <c r="W94" s="1233">
        <v>3.3092615556690257</v>
      </c>
    </row>
    <row r="95" spans="1:23" ht="15.75">
      <c r="A95" s="1228">
        <v>5</v>
      </c>
      <c r="B95" s="1231">
        <v>-2.0526063574889521</v>
      </c>
      <c r="C95" s="1231">
        <v>-25.661572866194554</v>
      </c>
      <c r="D95" s="1197">
        <v>11.293328363771897</v>
      </c>
      <c r="E95" s="1231">
        <v>24.466215856450667</v>
      </c>
      <c r="F95" s="1197">
        <v>9.4829881262978581</v>
      </c>
      <c r="G95" s="1233">
        <v>3.706760378396607</v>
      </c>
      <c r="H95" s="1231">
        <v>4.2226618459649385</v>
      </c>
      <c r="I95" s="1231">
        <v>-38.890783818814384</v>
      </c>
      <c r="J95" s="1231">
        <v>66.014052800327434</v>
      </c>
      <c r="K95" s="1231">
        <v>30.124837983491364</v>
      </c>
      <c r="L95" s="1231">
        <v>16.546763080701275</v>
      </c>
      <c r="M95" s="1233">
        <v>13.561634490756525</v>
      </c>
      <c r="N95" s="1231">
        <v>2.0486714675937394</v>
      </c>
      <c r="O95" s="1231">
        <v>-1.303700024832382</v>
      </c>
      <c r="P95" s="1231">
        <v>41.196920784703259</v>
      </c>
      <c r="Q95" s="1231">
        <v>3.6379438788179788</v>
      </c>
      <c r="R95" s="1233">
        <v>14.849764092376459</v>
      </c>
      <c r="S95" s="1231">
        <v>2.8116147308781878</v>
      </c>
      <c r="T95" s="1231">
        <v>2.4150141643059495</v>
      </c>
      <c r="U95" s="1231">
        <v>9.7379603399433439</v>
      </c>
      <c r="V95" s="1231">
        <v>-1.0552407932011327</v>
      </c>
      <c r="W95" s="1233">
        <v>4.9881964117091586</v>
      </c>
    </row>
    <row r="96" spans="1:23" ht="15.75">
      <c r="A96" s="1228">
        <v>6</v>
      </c>
      <c r="B96" s="1231">
        <v>22.317952976592096</v>
      </c>
      <c r="C96" s="1231">
        <v>-26.669953807027557</v>
      </c>
      <c r="D96" s="1197">
        <v>12.350132350651373</v>
      </c>
      <c r="E96" s="1231">
        <v>22.836975138838429</v>
      </c>
      <c r="F96" s="1197">
        <v>11.460009342398923</v>
      </c>
      <c r="G96" s="1233">
        <v>10.934931921593053</v>
      </c>
      <c r="H96" s="1231">
        <v>5.5592856183698123</v>
      </c>
      <c r="I96" s="1231">
        <v>-38.236873908956625</v>
      </c>
      <c r="J96" s="1231">
        <v>65.261178998254337</v>
      </c>
      <c r="K96" s="1231">
        <v>28.816973277829995</v>
      </c>
      <c r="L96" s="1231">
        <v>16.161541560359876</v>
      </c>
      <c r="M96" s="1233">
        <v>13.512152544648856</v>
      </c>
      <c r="N96" s="1231">
        <v>39.95849102673666</v>
      </c>
      <c r="O96" s="1231">
        <v>-7.3373214503723601</v>
      </c>
      <c r="P96" s="1231">
        <v>43.047246978390923</v>
      </c>
      <c r="Q96" s="1231">
        <v>3.9799780246612135</v>
      </c>
      <c r="R96" s="1233">
        <v>30.114353151833317</v>
      </c>
      <c r="S96" s="1231">
        <v>0.63327576280944364</v>
      </c>
      <c r="T96" s="1231">
        <v>1.5040299366724219</v>
      </c>
      <c r="U96" s="1231">
        <v>11.442141623488775</v>
      </c>
      <c r="V96" s="1231">
        <v>-1.6479562464018409</v>
      </c>
      <c r="W96" s="1233">
        <v>4.526482440990212</v>
      </c>
    </row>
    <row r="97" spans="1:23" ht="15.75">
      <c r="A97" s="1228">
        <v>7</v>
      </c>
      <c r="B97" s="1231">
        <v>22.7653595276768</v>
      </c>
      <c r="C97" s="1231">
        <v>-24.291644107561808</v>
      </c>
      <c r="D97" s="1197">
        <v>11.568308969500091</v>
      </c>
      <c r="E97" s="1231">
        <v>11.975661948591025</v>
      </c>
      <c r="F97" s="1197">
        <v>11.91636373011576</v>
      </c>
      <c r="G97" s="1233">
        <v>7.7242375022559084</v>
      </c>
      <c r="H97" s="1231">
        <v>-8.7701680390975394</v>
      </c>
      <c r="I97" s="1231">
        <v>-19.963848162281582</v>
      </c>
      <c r="J97" s="1231">
        <v>27.328111401218454</v>
      </c>
      <c r="K97" s="1231">
        <v>28.466224810872333</v>
      </c>
      <c r="L97" s="1231">
        <v>15.812211287407109</v>
      </c>
      <c r="M97" s="1233">
        <v>3.6821316194684357</v>
      </c>
      <c r="N97" s="1231">
        <v>14.597478176527643</v>
      </c>
      <c r="O97" s="1231">
        <v>4.4010669253152281</v>
      </c>
      <c r="P97" s="1231">
        <v>19.544131910766247</v>
      </c>
      <c r="Q97" s="1231">
        <v>2.5945683802133845</v>
      </c>
      <c r="R97" s="1233">
        <v>9.9135143873262219</v>
      </c>
      <c r="S97" s="1231">
        <v>8.9249784420810592</v>
      </c>
      <c r="T97" s="1231">
        <v>6.3092842770911206</v>
      </c>
      <c r="U97" s="1231">
        <v>7.4015521701638409</v>
      </c>
      <c r="V97" s="1231">
        <v>-0.50301810865191166</v>
      </c>
      <c r="W97" s="1233">
        <v>7.5452716297786742</v>
      </c>
    </row>
    <row r="98" spans="1:23" ht="15.75">
      <c r="A98" s="1228">
        <v>8</v>
      </c>
      <c r="B98" s="1231">
        <v>15.269345045859701</v>
      </c>
      <c r="C98" s="1231">
        <v>-23.131378374886967</v>
      </c>
      <c r="D98" s="1197">
        <v>6.4410282909184868</v>
      </c>
      <c r="E98" s="1231">
        <v>8.9704172587521001</v>
      </c>
      <c r="F98" s="1197">
        <v>10.288076475907506</v>
      </c>
      <c r="G98" s="1233">
        <v>5.9329113378977727</v>
      </c>
      <c r="H98" s="1231">
        <v>18.752477864411262</v>
      </c>
      <c r="I98" s="1231">
        <v>-13.096339368309767</v>
      </c>
      <c r="J98" s="1231">
        <v>28.412845249107967</v>
      </c>
      <c r="K98" s="1231">
        <v>35.588740584115243</v>
      </c>
      <c r="L98" s="1231">
        <v>17.149927315977269</v>
      </c>
      <c r="M98" s="1233">
        <v>7.6582529403991</v>
      </c>
      <c r="N98" s="1231">
        <v>18.416273156556485</v>
      </c>
      <c r="O98" s="1231">
        <v>1.5256084271703596</v>
      </c>
      <c r="P98" s="1231">
        <v>-2.3368446543165042</v>
      </c>
      <c r="Q98" s="1231">
        <v>2.7969487831456594</v>
      </c>
      <c r="R98" s="1233">
        <v>4.8512733583565391</v>
      </c>
      <c r="S98" s="1231">
        <v>8.4178717893373634</v>
      </c>
      <c r="T98" s="1231">
        <v>6.410533131879995</v>
      </c>
      <c r="U98" s="1231">
        <v>1.3094467227858146</v>
      </c>
      <c r="V98" s="1231">
        <v>-1.0936038563925465</v>
      </c>
      <c r="W98" s="1233">
        <v>5.3792838813343904</v>
      </c>
    </row>
    <row r="99" spans="1:23" ht="15.75">
      <c r="A99" s="1228">
        <v>9</v>
      </c>
      <c r="B99" s="1231">
        <v>14.112674604401834</v>
      </c>
      <c r="C99" s="1231">
        <v>-24.16112571516932</v>
      </c>
      <c r="D99" s="1197">
        <v>4.0358744394618826</v>
      </c>
      <c r="E99" s="1231">
        <v>18.993866295551776</v>
      </c>
      <c r="F99" s="1197">
        <v>3.3864233802381332</v>
      </c>
      <c r="G99" s="1233">
        <v>9.6902221534972401</v>
      </c>
      <c r="H99" s="1231">
        <v>11.994742030890569</v>
      </c>
      <c r="I99" s="1231">
        <v>-6.625041077883667</v>
      </c>
      <c r="J99" s="1231">
        <v>71.278343739730531</v>
      </c>
      <c r="K99" s="1231">
        <v>29.155438711797565</v>
      </c>
      <c r="L99" s="1231">
        <v>16.689779822543542</v>
      </c>
      <c r="M99" s="1233">
        <v>32.326651330923397</v>
      </c>
      <c r="N99" s="1231">
        <v>17.828794724630598</v>
      </c>
      <c r="O99" s="1231">
        <v>-8.1328611552082073</v>
      </c>
      <c r="P99" s="1231">
        <v>-23.922334839418731</v>
      </c>
      <c r="Q99" s="1231">
        <v>3.0040297960678957</v>
      </c>
      <c r="R99" s="1233">
        <v>0.6797736801400267</v>
      </c>
      <c r="S99" s="1231">
        <v>10.172537742631199</v>
      </c>
      <c r="T99" s="1231">
        <v>5.5643421998562177</v>
      </c>
      <c r="U99" s="1231">
        <v>3.3429187634795143</v>
      </c>
      <c r="V99" s="1231">
        <v>-6.7145938173975566</v>
      </c>
      <c r="W99" s="1233">
        <v>6.3599329019889757</v>
      </c>
    </row>
    <row r="100" spans="1:23" ht="15.75">
      <c r="A100" s="1228">
        <v>10</v>
      </c>
      <c r="B100" s="1231">
        <v>23.842674038703198</v>
      </c>
      <c r="C100" s="1231">
        <v>-7.4415682332244275</v>
      </c>
      <c r="D100" s="1197">
        <v>4.2372455390801704</v>
      </c>
      <c r="E100" s="1231">
        <v>21.203820055290276</v>
      </c>
      <c r="F100" s="1197">
        <v>8.4418195526514204</v>
      </c>
      <c r="G100" s="1233">
        <v>13.603082851637765</v>
      </c>
      <c r="H100" s="1231">
        <v>12.288826560563566</v>
      </c>
      <c r="I100" s="1231">
        <v>-12.941099732567999</v>
      </c>
      <c r="J100" s="1231">
        <v>44.719848672624096</v>
      </c>
      <c r="K100" s="1231">
        <v>15.315374078664146</v>
      </c>
      <c r="L100" s="1231">
        <v>13.8232339703868</v>
      </c>
      <c r="M100" s="1233">
        <v>15.889374470028049</v>
      </c>
      <c r="N100" s="1231">
        <v>3.0448543053585091</v>
      </c>
      <c r="O100" s="1231">
        <v>-1.2768743861180827</v>
      </c>
      <c r="P100" s="1231">
        <v>4.9874495252646538</v>
      </c>
      <c r="Q100" s="1231">
        <v>5.5003819709702055</v>
      </c>
      <c r="R100" s="1233">
        <v>3.1030594055804155</v>
      </c>
      <c r="S100" s="1231">
        <v>10.683281993839261</v>
      </c>
      <c r="T100" s="1231">
        <v>7.5049005880705693</v>
      </c>
      <c r="U100" s="1231">
        <v>4.0464855782693929</v>
      </c>
      <c r="V100" s="1231">
        <v>-1.3581629795575456</v>
      </c>
      <c r="W100" s="1233">
        <v>7.411556053393074</v>
      </c>
    </row>
    <row r="101" spans="1:23" ht="15.75">
      <c r="A101" s="1228">
        <v>11</v>
      </c>
      <c r="B101" s="1231">
        <v>27.813686778501545</v>
      </c>
      <c r="C101" s="1231">
        <v>-22.064334398028222</v>
      </c>
      <c r="D101" s="1197">
        <v>3.6719398405472714</v>
      </c>
      <c r="E101" s="1231">
        <v>6.5893714946807194</v>
      </c>
      <c r="F101" s="1197">
        <v>9.2703905837378358</v>
      </c>
      <c r="G101" s="1233">
        <v>10.243706144211664</v>
      </c>
      <c r="H101" s="1231">
        <v>-8.6278109224414852</v>
      </c>
      <c r="I101" s="1231">
        <v>-40.516619681374159</v>
      </c>
      <c r="J101" s="1231">
        <v>10.220940142922704</v>
      </c>
      <c r="K101" s="1231">
        <v>1.553792696518721</v>
      </c>
      <c r="L101" s="1231">
        <v>13.089949518127582</v>
      </c>
      <c r="M101" s="1233">
        <v>-15.147839769225728</v>
      </c>
      <c r="N101" s="1231">
        <v>-16.706599869309517</v>
      </c>
      <c r="O101" s="1231">
        <v>0.9910694837725994</v>
      </c>
      <c r="P101" s="1231">
        <v>-4.8573295578305409</v>
      </c>
      <c r="Q101" s="1231">
        <v>5.3909823567850141</v>
      </c>
      <c r="R101" s="1233">
        <v>-7.518332970304221</v>
      </c>
      <c r="S101" s="1231">
        <v>2.5823199890695454</v>
      </c>
      <c r="T101" s="1231">
        <v>5.9502664298401413</v>
      </c>
      <c r="U101" s="1231">
        <v>7.4463724552534485</v>
      </c>
      <c r="V101" s="1231">
        <v>8.8809946714032195E-2</v>
      </c>
      <c r="W101" s="1233">
        <v>5.3263196247210454</v>
      </c>
    </row>
    <row r="102" spans="1:23" ht="15.75">
      <c r="A102" s="1228">
        <v>12</v>
      </c>
      <c r="B102" s="1231">
        <v>21.003650573294255</v>
      </c>
      <c r="C102" s="1231">
        <v>-21.728623579618489</v>
      </c>
      <c r="D102" s="1197">
        <v>5.0928068281145578</v>
      </c>
      <c r="E102" s="1231">
        <v>3.3883490153735414</v>
      </c>
      <c r="F102" s="1197">
        <v>8.619980461720397</v>
      </c>
      <c r="G102" s="1233">
        <v>6.4330642535177454</v>
      </c>
      <c r="H102" s="1231">
        <v>-28.395061728395067</v>
      </c>
      <c r="I102" s="1231">
        <v>-25.648643295702119</v>
      </c>
      <c r="J102" s="1231">
        <v>26.658744305803129</v>
      </c>
      <c r="K102" s="1231">
        <v>15.224136792764241</v>
      </c>
      <c r="L102" s="1231">
        <v>13.620320855614974</v>
      </c>
      <c r="M102" s="1233">
        <v>0.50505050505050519</v>
      </c>
      <c r="N102" s="1231">
        <v>15.899627438088979</v>
      </c>
      <c r="O102" s="1231">
        <v>-1.6984440061363137</v>
      </c>
      <c r="P102" s="1231">
        <v>-25.126013587552052</v>
      </c>
      <c r="Q102" s="1231">
        <v>5.5007670392285775</v>
      </c>
      <c r="R102" s="1233">
        <v>-2.5093140477755855</v>
      </c>
      <c r="S102" s="1231">
        <v>9.718875502008034</v>
      </c>
      <c r="T102" s="1231">
        <v>4.6452476572958528</v>
      </c>
      <c r="U102" s="1231">
        <v>4.4979919678714868</v>
      </c>
      <c r="V102" s="1231">
        <v>2.8848728246318611</v>
      </c>
      <c r="W102" s="1233">
        <v>6.2873717090584558</v>
      </c>
    </row>
    <row r="103" spans="1:23" ht="15.75">
      <c r="A103" s="1228">
        <v>2022</v>
      </c>
      <c r="B103" s="1231"/>
      <c r="C103" s="1231"/>
      <c r="D103" s="1197"/>
      <c r="E103" s="1231"/>
      <c r="F103" s="1197"/>
      <c r="G103" s="1233"/>
      <c r="H103" s="1231"/>
      <c r="I103" s="1231"/>
      <c r="J103" s="1231"/>
      <c r="K103" s="1231"/>
      <c r="L103" s="1231"/>
      <c r="M103" s="1233"/>
      <c r="N103" s="1231"/>
      <c r="O103" s="1231"/>
      <c r="P103" s="1231"/>
      <c r="Q103" s="1231"/>
      <c r="R103" s="1233"/>
      <c r="S103" s="1231"/>
      <c r="T103" s="1231"/>
      <c r="U103" s="1231"/>
      <c r="V103" s="1231"/>
      <c r="W103" s="1233"/>
    </row>
    <row r="104" spans="1:23" ht="15.75">
      <c r="A104" s="1228">
        <v>1</v>
      </c>
      <c r="B104" s="1231">
        <v>17.664135196080977</v>
      </c>
      <c r="C104" s="1231">
        <v>-18.514294600969393</v>
      </c>
      <c r="D104" s="1197">
        <v>8.1801923226458619</v>
      </c>
      <c r="E104" s="1231">
        <v>3.9838262357118803</v>
      </c>
      <c r="F104" s="1197">
        <v>12.075892278582725</v>
      </c>
      <c r="G104" s="1233">
        <v>4.4892563697156644</v>
      </c>
      <c r="H104" s="1231">
        <v>-72.157944302435084</v>
      </c>
      <c r="I104" s="1231">
        <v>-39.903134669716131</v>
      </c>
      <c r="J104" s="1231">
        <v>-49.650208529530474</v>
      </c>
      <c r="K104" s="1231">
        <v>-28.460917529934083</v>
      </c>
      <c r="L104" s="1231">
        <v>13.128346562626126</v>
      </c>
      <c r="M104" s="1233">
        <v>-44.776671599623299</v>
      </c>
      <c r="N104" s="1231">
        <v>8.9133484407035724</v>
      </c>
      <c r="O104" s="1231">
        <v>-0.52875795834682227</v>
      </c>
      <c r="P104" s="1231">
        <v>-22.822920038847524</v>
      </c>
      <c r="Q104" s="1231">
        <v>8.7946476745440787</v>
      </c>
      <c r="R104" s="1233">
        <v>-4.4602712132657123</v>
      </c>
      <c r="S104" s="1231">
        <v>9.6497689680573231</v>
      </c>
      <c r="T104" s="1231">
        <v>5.1764548315810641</v>
      </c>
      <c r="U104" s="1231">
        <v>6.1474586486305505</v>
      </c>
      <c r="V104" s="1231">
        <v>2.5848791267662223</v>
      </c>
      <c r="W104" s="1233">
        <v>6.9912274827563117</v>
      </c>
    </row>
    <row r="105" spans="1:23" ht="15.75">
      <c r="A105" s="1228">
        <v>2</v>
      </c>
      <c r="B105" s="1231">
        <v>10.046126182472051</v>
      </c>
      <c r="C105" s="1231">
        <v>-19.122820733328119</v>
      </c>
      <c r="D105" s="1197">
        <v>5.2380580095379559</v>
      </c>
      <c r="E105" s="1231">
        <v>5.425689938237821</v>
      </c>
      <c r="F105" s="1197">
        <v>13.363562921846089</v>
      </c>
      <c r="G105" s="1233">
        <v>3.4112527037239726</v>
      </c>
      <c r="H105" s="1231">
        <v>-71.752450980392169</v>
      </c>
      <c r="I105" s="1231">
        <v>-39.773965141612202</v>
      </c>
      <c r="J105" s="1231">
        <v>-34.184368191721134</v>
      </c>
      <c r="K105" s="1231">
        <v>-26.695261437908492</v>
      </c>
      <c r="L105" s="1231">
        <v>12.710171568627452</v>
      </c>
      <c r="M105" s="1233">
        <v>-36.979166666666671</v>
      </c>
      <c r="N105" s="1231">
        <v>-9.1943127962085303</v>
      </c>
      <c r="O105" s="1231">
        <v>15.113217482885728</v>
      </c>
      <c r="P105" s="1231">
        <v>17.672459189046869</v>
      </c>
      <c r="Q105" s="1231">
        <v>8.7098472880463387</v>
      </c>
      <c r="R105" s="1233">
        <v>-2.2116903633491298</v>
      </c>
      <c r="S105" s="1231">
        <v>7.2975828820499276</v>
      </c>
      <c r="T105" s="1231">
        <v>1.7038700303790806</v>
      </c>
      <c r="U105" s="1231">
        <v>9.9128252542596726</v>
      </c>
      <c r="V105" s="1231">
        <v>3.2162197860256243</v>
      </c>
      <c r="W105" s="1233">
        <v>6.3047593888962252</v>
      </c>
    </row>
    <row r="106" spans="1:23" ht="15.75">
      <c r="A106" s="1228">
        <v>3</v>
      </c>
      <c r="B106" s="1231">
        <v>-9.410801963993455</v>
      </c>
      <c r="C106" s="1231">
        <v>-24.757228587015817</v>
      </c>
      <c r="D106" s="1197">
        <v>3.7179487179487172</v>
      </c>
      <c r="E106" s="1231">
        <v>29.937261320240044</v>
      </c>
      <c r="F106" s="1197">
        <v>12.176759410801964</v>
      </c>
      <c r="G106" s="1233">
        <v>5.6028368794326227</v>
      </c>
      <c r="H106" s="1231">
        <v>-70.411933762145893</v>
      </c>
      <c r="I106" s="1231">
        <v>-67.565348296154383</v>
      </c>
      <c r="J106" s="1231">
        <v>-33.146298070343505</v>
      </c>
      <c r="K106" s="1231">
        <v>18.441220747228684</v>
      </c>
      <c r="L106" s="1231">
        <v>12.282674148077188</v>
      </c>
      <c r="M106" s="1233">
        <v>-50.355823183248944</v>
      </c>
      <c r="N106" s="1231">
        <v>-26.712187047382578</v>
      </c>
      <c r="O106" s="1231">
        <v>6.8797848127457089</v>
      </c>
      <c r="P106" s="1231">
        <v>53.527829505483147</v>
      </c>
      <c r="Q106" s="1231">
        <v>13.294020277260501</v>
      </c>
      <c r="R106" s="1233">
        <v>6.6452858817849512</v>
      </c>
      <c r="S106" s="1231">
        <v>33.512786002691783</v>
      </c>
      <c r="T106" s="1231">
        <v>29.30846632057937</v>
      </c>
      <c r="U106" s="1231">
        <v>51.925911683650568</v>
      </c>
      <c r="V106" s="1231">
        <v>5.6912132282253411</v>
      </c>
      <c r="W106" s="1233">
        <v>38.249054668973919</v>
      </c>
    </row>
    <row r="107" spans="1:23" ht="15.75">
      <c r="A107" s="1228">
        <v>4</v>
      </c>
      <c r="B107" s="1231">
        <v>-9.9892053475047753</v>
      </c>
      <c r="C107" s="1231">
        <v>-31.805474826316807</v>
      </c>
      <c r="D107" s="1197">
        <v>10.401616430014666</v>
      </c>
      <c r="E107" s="1231">
        <v>18.921088322400287</v>
      </c>
      <c r="F107" s="1197">
        <v>8.6717041711644374</v>
      </c>
      <c r="G107" s="1233">
        <v>-0.48991115170638677</v>
      </c>
      <c r="H107" s="1231">
        <v>-43.097222222222221</v>
      </c>
      <c r="I107" s="1231">
        <v>-53.638888888888893</v>
      </c>
      <c r="J107" s="1231">
        <v>-32.722222222222207</v>
      </c>
      <c r="K107" s="1231">
        <v>16.993055555555554</v>
      </c>
      <c r="L107" s="1231">
        <v>11.991319444444441</v>
      </c>
      <c r="M107" s="1233">
        <v>-43.18055555555555</v>
      </c>
      <c r="N107" s="1231">
        <v>-36.584096586178177</v>
      </c>
      <c r="O107" s="1231">
        <v>-7.8268109908409649</v>
      </c>
      <c r="P107" s="1231">
        <v>54.308909242298085</v>
      </c>
      <c r="Q107" s="1231">
        <v>11.5736885928393</v>
      </c>
      <c r="R107" s="1233">
        <v>8.5172078823202888</v>
      </c>
      <c r="S107" s="1231">
        <v>45.313735829158972</v>
      </c>
      <c r="T107" s="1231">
        <v>40.047455839704718</v>
      </c>
      <c r="U107" s="1231">
        <v>55.239915634062733</v>
      </c>
      <c r="V107" s="1231">
        <v>8.3245452148694969</v>
      </c>
      <c r="W107" s="1233">
        <v>46.867035767642136</v>
      </c>
    </row>
    <row r="108" spans="1:23" ht="15.75">
      <c r="A108" s="1228">
        <v>5</v>
      </c>
      <c r="B108" s="1231">
        <v>12.47686872651825</v>
      </c>
      <c r="C108" s="1231">
        <v>-26.650030841697976</v>
      </c>
      <c r="D108" s="1197">
        <v>2.3187349296248523</v>
      </c>
      <c r="E108" s="1231">
        <v>25.214489990467115</v>
      </c>
      <c r="F108" s="1197">
        <v>8.809510458139405</v>
      </c>
      <c r="G108" s="1233">
        <v>11.790874595786837</v>
      </c>
      <c r="H108" s="1231">
        <v>-34.87093856536562</v>
      </c>
      <c r="I108" s="1231">
        <v>-66.569261810338816</v>
      </c>
      <c r="J108" s="1231">
        <v>-28.372643150351351</v>
      </c>
      <c r="K108" s="1231">
        <v>4.1188339247199615</v>
      </c>
      <c r="L108" s="1231">
        <v>11.461420719404437</v>
      </c>
      <c r="M108" s="1233">
        <v>-47.470952480345083</v>
      </c>
      <c r="N108" s="1231">
        <v>5.1194539249146702</v>
      </c>
      <c r="O108" s="1231">
        <v>0.14479263626021355</v>
      </c>
      <c r="P108" s="1231">
        <v>49.94311717861207</v>
      </c>
      <c r="Q108" s="1231">
        <v>14.313786327438203</v>
      </c>
      <c r="R108" s="1233">
        <v>18.305926155755508</v>
      </c>
      <c r="S108" s="1231">
        <v>50.421274354923639</v>
      </c>
      <c r="T108" s="1231">
        <v>46.142706687730374</v>
      </c>
      <c r="U108" s="1231">
        <v>56.154555028962598</v>
      </c>
      <c r="V108" s="1231">
        <v>11.61795681937862</v>
      </c>
      <c r="W108" s="1233">
        <v>50.90617869053888</v>
      </c>
    </row>
    <row r="109" spans="1:23" ht="15.75">
      <c r="A109" s="1228">
        <v>6</v>
      </c>
      <c r="B109" s="1231">
        <v>16.521641497782522</v>
      </c>
      <c r="C109" s="1231">
        <v>-25.89400999270196</v>
      </c>
      <c r="D109" s="1197">
        <v>3.7977881322629536</v>
      </c>
      <c r="E109" s="1231">
        <v>26.559254477067306</v>
      </c>
      <c r="F109" s="1197">
        <v>7.1324313703474989</v>
      </c>
      <c r="G109" s="1233">
        <v>13.094369280862292</v>
      </c>
      <c r="H109" s="1231">
        <v>-35.771664178573971</v>
      </c>
      <c r="I109" s="1231">
        <v>-65.031634321461581</v>
      </c>
      <c r="J109" s="1231">
        <v>-27.823985213620528</v>
      </c>
      <c r="K109" s="1231">
        <v>4.2084310798322315</v>
      </c>
      <c r="L109" s="1231">
        <v>11.076562166773297</v>
      </c>
      <c r="M109" s="1233">
        <v>-46.427809767541056</v>
      </c>
      <c r="N109" s="1231">
        <v>18.643892339544522</v>
      </c>
      <c r="O109" s="1231">
        <v>-5.6832298136645978</v>
      </c>
      <c r="P109" s="1231">
        <v>30.734989648033121</v>
      </c>
      <c r="Q109" s="1231">
        <v>17.443064182194615</v>
      </c>
      <c r="R109" s="1233">
        <v>18.354037267080741</v>
      </c>
      <c r="S109" s="1231">
        <v>47.162730507926227</v>
      </c>
      <c r="T109" s="1231">
        <v>48.59915884826917</v>
      </c>
      <c r="U109" s="1231">
        <v>62.174053704302814</v>
      </c>
      <c r="V109" s="1231">
        <v>12.196700097055972</v>
      </c>
      <c r="W109" s="1233">
        <v>52.645314353499408</v>
      </c>
    </row>
    <row r="110" spans="1:23" ht="15.75">
      <c r="A110" s="1228">
        <v>7</v>
      </c>
      <c r="B110" s="1231">
        <v>17.657318834655111</v>
      </c>
      <c r="C110" s="1231">
        <v>-26.536396587905049</v>
      </c>
      <c r="D110" s="1197">
        <v>6.7996620608835459</v>
      </c>
      <c r="E110" s="1231">
        <v>41.956231433788453</v>
      </c>
      <c r="F110" s="1197">
        <v>5.8621535442727488</v>
      </c>
      <c r="G110" s="1233">
        <v>17.604629402520004</v>
      </c>
      <c r="H110" s="1231">
        <v>-25.022195915951468</v>
      </c>
      <c r="I110" s="1231">
        <v>-63.606096478247999</v>
      </c>
      <c r="J110" s="1231">
        <v>-25.110979579757327</v>
      </c>
      <c r="K110" s="1231">
        <v>22.514057413435928</v>
      </c>
      <c r="L110" s="1231">
        <v>10.473290914471736</v>
      </c>
      <c r="M110" s="1233">
        <v>-44.358538029002659</v>
      </c>
      <c r="N110" s="1231">
        <v>10.093101988997043</v>
      </c>
      <c r="O110" s="1231">
        <v>0.81464240372407948</v>
      </c>
      <c r="P110" s="1231">
        <v>36.07702073635209</v>
      </c>
      <c r="Q110" s="1231">
        <v>14.420228523063903</v>
      </c>
      <c r="R110" s="1233">
        <v>15.118493440541689</v>
      </c>
      <c r="S110" s="1231">
        <v>50.419177364422325</v>
      </c>
      <c r="T110" s="1231">
        <v>55.783337699764211</v>
      </c>
      <c r="U110" s="1231">
        <v>53.242074927953894</v>
      </c>
      <c r="V110" s="1231">
        <v>7.9774692166623016</v>
      </c>
      <c r="W110" s="1233">
        <v>53.1481966640468</v>
      </c>
    </row>
    <row r="111" spans="1:23" ht="15.75">
      <c r="A111" s="1228">
        <v>8</v>
      </c>
      <c r="B111" s="1231">
        <v>14.125760649087219</v>
      </c>
      <c r="C111" s="1231">
        <v>-26.82082488167681</v>
      </c>
      <c r="D111" s="1197">
        <v>8.2488167680865452</v>
      </c>
      <c r="E111" s="1231">
        <v>43.867478025693039</v>
      </c>
      <c r="F111" s="1197">
        <v>6.9939148073022315</v>
      </c>
      <c r="G111" s="1233">
        <v>16.579999999999998</v>
      </c>
      <c r="H111" s="1231">
        <v>-45.704829246276518</v>
      </c>
      <c r="I111" s="1231">
        <v>-66.608996539792386</v>
      </c>
      <c r="J111" s="1231">
        <v>-41.582668873175869</v>
      </c>
      <c r="K111" s="1231">
        <v>4.8668572288250358</v>
      </c>
      <c r="L111" s="1231">
        <v>10.228825033849857</v>
      </c>
      <c r="M111" s="1233">
        <v>-54.095832706484131</v>
      </c>
      <c r="N111" s="1231">
        <v>25.987858131856424</v>
      </c>
      <c r="O111" s="1231">
        <v>-0.63904569176696147</v>
      </c>
      <c r="P111" s="1231">
        <v>25.199701778677181</v>
      </c>
      <c r="Q111" s="1231">
        <v>15.731174778996699</v>
      </c>
      <c r="R111" s="1233">
        <v>17.27553520076685</v>
      </c>
      <c r="S111" s="1231">
        <v>50.583480018254122</v>
      </c>
      <c r="T111" s="1231">
        <v>53.041267357715626</v>
      </c>
      <c r="U111" s="1231">
        <v>49.455635960623241</v>
      </c>
      <c r="V111" s="1231">
        <v>8.1230849468674613</v>
      </c>
      <c r="W111" s="1233">
        <v>51.026794445530989</v>
      </c>
    </row>
    <row r="112" spans="1:23" ht="15.75">
      <c r="A112" s="1228">
        <v>9</v>
      </c>
      <c r="B112" s="1231">
        <v>32.250967502518151</v>
      </c>
      <c r="C112" s="1231">
        <v>-24.871441446217464</v>
      </c>
      <c r="D112" s="1197">
        <v>-4.3709908286062644</v>
      </c>
      <c r="E112" s="1231">
        <v>33.589566876954891</v>
      </c>
      <c r="F112" s="1197">
        <v>-6.8626411493399786</v>
      </c>
      <c r="G112" s="1233">
        <v>23.403841736026436</v>
      </c>
      <c r="H112" s="1231">
        <v>-68.578143360752051</v>
      </c>
      <c r="I112" s="1231">
        <v>-70.990990990990994</v>
      </c>
      <c r="J112" s="1231">
        <v>-42.028985507246375</v>
      </c>
      <c r="K112" s="1231">
        <v>-5.1233842538190375</v>
      </c>
      <c r="L112" s="1231">
        <v>8.667685076380728</v>
      </c>
      <c r="M112" s="1233">
        <v>-56.509988249118685</v>
      </c>
      <c r="N112" s="1231">
        <v>16.494845360824744</v>
      </c>
      <c r="O112" s="1231">
        <v>-11.202040599426082</v>
      </c>
      <c r="P112" s="1231">
        <v>53.0555850781167</v>
      </c>
      <c r="Q112" s="1231">
        <v>-2.9546179190137067</v>
      </c>
      <c r="R112" s="1233">
        <v>26.917490346122509</v>
      </c>
      <c r="S112" s="1231">
        <v>50.906853219328923</v>
      </c>
      <c r="T112" s="1231">
        <v>51.936779375566793</v>
      </c>
      <c r="U112" s="1231">
        <v>53.148076175670425</v>
      </c>
      <c r="V112" s="1231">
        <v>8.3883922787925904</v>
      </c>
      <c r="W112" s="1233">
        <v>51.997236256855373</v>
      </c>
    </row>
    <row r="113" spans="1:23" ht="15.75">
      <c r="A113" s="1228">
        <v>10</v>
      </c>
      <c r="B113" s="1231">
        <v>35.781222071853541</v>
      </c>
      <c r="C113" s="1231">
        <v>-22.230166228327757</v>
      </c>
      <c r="D113" s="1197">
        <v>1.1541506013328902</v>
      </c>
      <c r="E113" s="1231">
        <v>37.034956464009397</v>
      </c>
      <c r="F113" s="1197">
        <v>-3.319459694099022</v>
      </c>
      <c r="G113" s="1233">
        <v>23.887342644843351</v>
      </c>
      <c r="H113" s="1231">
        <v>-73.239198444237758</v>
      </c>
      <c r="I113" s="1231">
        <v>-70.973196922296438</v>
      </c>
      <c r="J113" s="1231">
        <v>-61.215862010653602</v>
      </c>
      <c r="K113" s="1231">
        <v>-10.425298046841972</v>
      </c>
      <c r="L113" s="1231">
        <v>9.4871903272173856</v>
      </c>
      <c r="M113" s="1233">
        <v>-66.094529466475024</v>
      </c>
      <c r="N113" s="1231">
        <v>35.094142259414234</v>
      </c>
      <c r="O113" s="1231">
        <v>-0.89958158995815896</v>
      </c>
      <c r="P113" s="1231">
        <v>41.903765690376567</v>
      </c>
      <c r="Q113" s="1231">
        <v>-1.6841004184100417</v>
      </c>
      <c r="R113" s="1233">
        <v>25.965829846582984</v>
      </c>
      <c r="S113" s="1231">
        <v>50.90045022511255</v>
      </c>
      <c r="T113" s="1231">
        <v>52.24487243621811</v>
      </c>
      <c r="U113" s="1231">
        <v>54.7648824412206</v>
      </c>
      <c r="V113" s="1231">
        <v>9.7986493246623301</v>
      </c>
      <c r="W113" s="1233">
        <v>52.636735034183758</v>
      </c>
    </row>
    <row r="114" spans="1:23" ht="15.75">
      <c r="A114" s="1228">
        <v>11</v>
      </c>
      <c r="B114" s="1231">
        <v>38.102324626674182</v>
      </c>
      <c r="C114" s="1231">
        <v>-20.965258890542412</v>
      </c>
      <c r="D114" s="1197">
        <v>1.5086981064299274</v>
      </c>
      <c r="E114" s="1231">
        <v>22.184020115974747</v>
      </c>
      <c r="F114" s="1197">
        <v>-3.835890593729153</v>
      </c>
      <c r="G114" s="1233">
        <v>19.59254887873967</v>
      </c>
      <c r="H114" s="1231">
        <v>-74.88867545621234</v>
      </c>
      <c r="I114" s="1231">
        <v>-76.268226665502496</v>
      </c>
      <c r="J114" s="1231">
        <v>-70.994499257836381</v>
      </c>
      <c r="K114" s="1231">
        <v>-17.008644023399981</v>
      </c>
      <c r="L114" s="1231">
        <v>9.0954335108705155</v>
      </c>
      <c r="M114" s="1233">
        <v>-73.631362961669439</v>
      </c>
      <c r="N114" s="1231">
        <v>24.451521585279551</v>
      </c>
      <c r="O114" s="1231">
        <v>-1.7338995046001422</v>
      </c>
      <c r="P114" s="1231">
        <v>31.210191082802552</v>
      </c>
      <c r="Q114" s="1231">
        <v>0.81387119603680191</v>
      </c>
      <c r="R114" s="1233">
        <v>19.131870724227412</v>
      </c>
      <c r="S114" s="1231">
        <v>48.29062519675125</v>
      </c>
      <c r="T114" s="1231">
        <v>52.401939180255624</v>
      </c>
      <c r="U114" s="1231">
        <v>58.024302713593151</v>
      </c>
      <c r="V114" s="1231">
        <v>19.328842158282441</v>
      </c>
      <c r="W114" s="1233">
        <v>52.90562236353334</v>
      </c>
    </row>
    <row r="115" spans="1:23" ht="15.75">
      <c r="A115" s="1228">
        <v>12</v>
      </c>
      <c r="B115" s="1231">
        <v>38.419843584647545</v>
      </c>
      <c r="C115" s="1231">
        <v>-34.052603050873699</v>
      </c>
      <c r="D115" s="1197">
        <v>10.143767906460521</v>
      </c>
      <c r="E115" s="1231">
        <v>19.944247993185868</v>
      </c>
      <c r="F115" s="1197">
        <v>-6.868337506130139</v>
      </c>
      <c r="G115" s="1233">
        <v>16.073441223790965</v>
      </c>
      <c r="H115" s="1231">
        <v>-73.828964331757632</v>
      </c>
      <c r="I115" s="1231">
        <v>-75.71981091534164</v>
      </c>
      <c r="J115" s="1231">
        <v>-71.061452513966501</v>
      </c>
      <c r="K115" s="1231">
        <v>-19.243661366566396</v>
      </c>
      <c r="L115" s="1231">
        <v>8.9015040825096694</v>
      </c>
      <c r="M115" s="1233">
        <v>-73.390631714654063</v>
      </c>
      <c r="N115" s="1231">
        <v>21.46799765120376</v>
      </c>
      <c r="O115" s="1231">
        <v>5.7075748678802105</v>
      </c>
      <c r="P115" s="1231">
        <v>-1.1156782149148567</v>
      </c>
      <c r="Q115" s="1231">
        <v>-9.3599530240751605</v>
      </c>
      <c r="R115" s="1233">
        <v>4.8815815228028976</v>
      </c>
      <c r="S115" s="1231">
        <v>39.796303281780467</v>
      </c>
      <c r="T115" s="1231">
        <v>46.762228090028927</v>
      </c>
      <c r="U115" s="1231">
        <v>57.531749025524967</v>
      </c>
      <c r="V115" s="1231">
        <v>17.270212498428268</v>
      </c>
      <c r="W115" s="1233">
        <v>48.03009346577813</v>
      </c>
    </row>
    <row r="116" spans="1:23" ht="15.75">
      <c r="A116" s="1228">
        <v>2023</v>
      </c>
      <c r="B116" s="1231"/>
      <c r="C116" s="1231"/>
      <c r="D116" s="1197"/>
      <c r="E116" s="1231"/>
      <c r="F116" s="1197"/>
      <c r="G116" s="1233"/>
      <c r="H116" s="1231"/>
      <c r="I116" s="1231"/>
      <c r="J116" s="1231"/>
      <c r="K116" s="1231"/>
      <c r="L116" s="1231"/>
      <c r="M116" s="1233"/>
      <c r="N116" s="1231"/>
      <c r="O116" s="1231"/>
      <c r="P116" s="1231"/>
      <c r="Q116" s="1231"/>
      <c r="R116" s="1233"/>
      <c r="S116" s="1231"/>
      <c r="T116" s="1231"/>
      <c r="U116" s="1231"/>
      <c r="V116" s="1231"/>
      <c r="W116" s="1233"/>
    </row>
    <row r="117" spans="1:23" ht="15.75">
      <c r="A117" s="1228">
        <v>1</v>
      </c>
      <c r="B117" s="1231">
        <v>24.252235993524245</v>
      </c>
      <c r="C117" s="1231">
        <v>-23.535656466466733</v>
      </c>
      <c r="D117" s="1197">
        <v>-1.8684147668462543</v>
      </c>
      <c r="E117" s="1231">
        <v>22.954430850075639</v>
      </c>
      <c r="F117" s="1197">
        <v>-7.3595371427054852</v>
      </c>
      <c r="G117" s="1233">
        <v>16.358360536815379</v>
      </c>
      <c r="H117" s="1231">
        <v>-72.610096670247032</v>
      </c>
      <c r="I117" s="1231">
        <v>-74.579305406373081</v>
      </c>
      <c r="J117" s="1231">
        <v>-69.72789115646259</v>
      </c>
      <c r="K117" s="1231">
        <v>-20.041174364482636</v>
      </c>
      <c r="L117" s="1231">
        <v>8.7771213748657342</v>
      </c>
      <c r="M117" s="1233">
        <v>-72.153598281417828</v>
      </c>
      <c r="N117" s="1231">
        <v>12.43226012113484</v>
      </c>
      <c r="O117" s="1231">
        <v>-2.9114865582828613</v>
      </c>
      <c r="P117" s="1231">
        <v>3.7190521729890542</v>
      </c>
      <c r="Q117" s="1231">
        <v>-5.950483476782491</v>
      </c>
      <c r="R117" s="1233">
        <v>6.3542662841355853</v>
      </c>
      <c r="S117" s="1231">
        <v>44.15199141576722</v>
      </c>
      <c r="T117" s="1231">
        <v>45.881461844347669</v>
      </c>
      <c r="U117" s="1231">
        <v>57.325001577983961</v>
      </c>
      <c r="V117" s="1231">
        <v>17.67342043804835</v>
      </c>
      <c r="W117" s="1233">
        <v>49.119484946032955</v>
      </c>
    </row>
    <row r="118" spans="1:23" ht="15.75">
      <c r="A118" s="1228">
        <v>2</v>
      </c>
      <c r="B118" s="1231">
        <v>10.460647538826008</v>
      </c>
      <c r="C118" s="1231">
        <v>-25.996314819689395</v>
      </c>
      <c r="D118" s="1197">
        <v>-2.6375361937351935</v>
      </c>
      <c r="E118" s="1231">
        <v>18.815477757304553</v>
      </c>
      <c r="F118" s="1197">
        <v>-6.6306922874440657</v>
      </c>
      <c r="G118" s="1233">
        <v>10.637887163288585</v>
      </c>
      <c r="H118" s="1231">
        <v>-43.876574121805731</v>
      </c>
      <c r="I118" s="1231">
        <v>-62.486191913984825</v>
      </c>
      <c r="J118" s="1231">
        <v>-19.37550629648722</v>
      </c>
      <c r="K118" s="1231">
        <v>-1.4507695706605788</v>
      </c>
      <c r="L118" s="1231">
        <v>8.8845275793504683</v>
      </c>
      <c r="M118" s="1233">
        <v>-40.930849105236021</v>
      </c>
      <c r="N118" s="1231">
        <v>-17.595781317262162</v>
      </c>
      <c r="O118" s="1231">
        <v>4.2617305208781753</v>
      </c>
      <c r="P118" s="1231">
        <v>24.698665518725786</v>
      </c>
      <c r="Q118" s="1231">
        <v>-7.82393456736978</v>
      </c>
      <c r="R118" s="1233">
        <v>0.94705122686181564</v>
      </c>
      <c r="S118" s="1231">
        <v>45.323741007194258</v>
      </c>
      <c r="T118" s="1231">
        <v>44.387852549818554</v>
      </c>
      <c r="U118" s="1231">
        <v>60.654485261348448</v>
      </c>
      <c r="V118" s="1231">
        <v>15.948303304259248</v>
      </c>
      <c r="W118" s="1233">
        <v>50.122026272787068</v>
      </c>
    </row>
    <row r="119" spans="1:23" ht="15.75">
      <c r="A119" s="1228">
        <v>3</v>
      </c>
      <c r="B119" s="1231">
        <v>-4.93</v>
      </c>
      <c r="C119" s="1231">
        <v>-26.64</v>
      </c>
      <c r="D119" s="1197">
        <v>8.64</v>
      </c>
      <c r="E119" s="1231">
        <v>22.12</v>
      </c>
      <c r="F119" s="1197">
        <v>-9.3000000000000007</v>
      </c>
      <c r="G119" s="1233">
        <v>2.85</v>
      </c>
      <c r="H119" s="1231">
        <v>-3.74</v>
      </c>
      <c r="I119" s="1231">
        <v>-19.850000000000001</v>
      </c>
      <c r="J119" s="1231">
        <v>1.1000000000000001</v>
      </c>
      <c r="K119" s="1231">
        <v>2.35</v>
      </c>
      <c r="L119" s="1231">
        <v>12.16</v>
      </c>
      <c r="M119" s="1233">
        <v>-9.3699999999999992</v>
      </c>
      <c r="N119" s="1231">
        <v>-20.83</v>
      </c>
      <c r="O119" s="1231">
        <v>-7.07</v>
      </c>
      <c r="P119" s="1231">
        <v>34.229999999999997</v>
      </c>
      <c r="Q119" s="1231">
        <v>-6.5</v>
      </c>
      <c r="R119" s="1233">
        <v>6.82</v>
      </c>
      <c r="S119" s="1231">
        <v>44.89</v>
      </c>
      <c r="T119" s="1231">
        <v>44.06</v>
      </c>
      <c r="U119" s="1231">
        <v>63.12</v>
      </c>
      <c r="V119" s="1231">
        <v>14.27</v>
      </c>
      <c r="W119" s="1233">
        <v>50.69</v>
      </c>
    </row>
    <row r="120" spans="1:23" ht="15.75">
      <c r="A120" s="1228">
        <v>4</v>
      </c>
      <c r="B120" s="1231">
        <v>-5.7867010697199373</v>
      </c>
      <c r="C120" s="1231">
        <v>-40.754179433424724</v>
      </c>
      <c r="D120" s="1197">
        <v>10.511745417405795</v>
      </c>
      <c r="E120" s="1231">
        <v>27.568134171907758</v>
      </c>
      <c r="F120" s="1197">
        <v>-11.269687684782024</v>
      </c>
      <c r="G120" s="1233">
        <v>3.7565625615940084</v>
      </c>
      <c r="H120" s="1231">
        <v>-5.4198740377886638</v>
      </c>
      <c r="I120" s="1231">
        <v>-14.52414275717285</v>
      </c>
      <c r="J120" s="1231">
        <v>6.1266620013995805</v>
      </c>
      <c r="K120" s="1231">
        <v>2.3372988103568928</v>
      </c>
      <c r="L120" s="1231">
        <v>12.07193841847446</v>
      </c>
      <c r="M120" s="1233">
        <v>-4.1987403778866348</v>
      </c>
      <c r="N120" s="1231">
        <v>-2.4353448275862077</v>
      </c>
      <c r="O120" s="1231">
        <v>4.1702586206896548</v>
      </c>
      <c r="P120" s="1231">
        <v>61.46551724137931</v>
      </c>
      <c r="Q120" s="1231">
        <v>-7.586206896551726</v>
      </c>
      <c r="R120" s="1233">
        <v>18.286637931034484</v>
      </c>
      <c r="S120" s="1231">
        <v>50.006083465141742</v>
      </c>
      <c r="T120" s="1231">
        <v>48.771140041367566</v>
      </c>
      <c r="U120" s="1231">
        <v>55.535953278987698</v>
      </c>
      <c r="V120" s="1231">
        <v>15.634505414283977</v>
      </c>
      <c r="W120" s="1233">
        <v>51.437725595165674</v>
      </c>
    </row>
    <row r="121" spans="1:23" ht="15.75">
      <c r="A121" s="1228">
        <v>5</v>
      </c>
      <c r="B121" s="1231">
        <v>18.458896758961149</v>
      </c>
      <c r="C121" s="1231">
        <v>-27.186628031766475</v>
      </c>
      <c r="D121" s="1197">
        <v>15.083708950418547</v>
      </c>
      <c r="E121" s="1231">
        <v>30.977677613221722</v>
      </c>
      <c r="F121" s="1197">
        <v>-11.354367890105173</v>
      </c>
      <c r="G121" s="1233">
        <v>11.450955140588107</v>
      </c>
      <c r="H121" s="1231">
        <v>-12.247723889638937</v>
      </c>
      <c r="I121" s="1231">
        <v>-14.158618063488767</v>
      </c>
      <c r="J121" s="1231">
        <v>6.6881296084744006</v>
      </c>
      <c r="K121" s="1231">
        <v>2.3124588915429087</v>
      </c>
      <c r="L121" s="1231">
        <v>11.998269117596152</v>
      </c>
      <c r="M121" s="1233">
        <v>-3.7352442275071831</v>
      </c>
      <c r="N121" s="1231">
        <v>12.858672376873663</v>
      </c>
      <c r="O121" s="1231">
        <v>4.3361884368308363</v>
      </c>
      <c r="P121" s="1231">
        <v>61.295503211991438</v>
      </c>
      <c r="Q121" s="1231">
        <v>-6.34903640256959</v>
      </c>
      <c r="R121" s="1233">
        <v>23.272662384011422</v>
      </c>
      <c r="S121" s="1231">
        <v>60.031614785992225</v>
      </c>
      <c r="T121" s="1231">
        <v>52.620379377431924</v>
      </c>
      <c r="U121" s="1231">
        <v>58.025291828793776</v>
      </c>
      <c r="V121" s="1231">
        <v>14.05034046692607</v>
      </c>
      <c r="W121" s="1233">
        <v>56.892428664072639</v>
      </c>
    </row>
    <row r="122" spans="1:23" ht="15.75">
      <c r="A122" s="1228">
        <v>6</v>
      </c>
      <c r="B122" s="1231">
        <v>13.422958137603489</v>
      </c>
      <c r="C122" s="1231">
        <v>-36.630245776128312</v>
      </c>
      <c r="D122" s="1197">
        <v>11.77493446835016</v>
      </c>
      <c r="E122" s="1231">
        <v>30.19386987101295</v>
      </c>
      <c r="F122" s="1197">
        <v>-12.403000181671903</v>
      </c>
      <c r="G122" s="1233">
        <v>10.61396451342209</v>
      </c>
      <c r="H122" s="1231">
        <v>-7.4532016301719972</v>
      </c>
      <c r="I122" s="1231">
        <v>-11.863645782966083</v>
      </c>
      <c r="J122" s="1231">
        <v>7.0387511224701242</v>
      </c>
      <c r="K122" s="1231">
        <v>2.93</v>
      </c>
      <c r="L122" s="1231">
        <v>15.87</v>
      </c>
      <c r="M122" s="1233">
        <v>-2.4124473302479794</v>
      </c>
      <c r="N122" s="1231">
        <v>28.245745477897891</v>
      </c>
      <c r="O122" s="1231">
        <v>5.1910521245852497</v>
      </c>
      <c r="P122" s="1231">
        <v>42.127796211067107</v>
      </c>
      <c r="Q122" s="1231">
        <v>-2.0871240500909778</v>
      </c>
      <c r="R122" s="1233">
        <v>21.727496521459919</v>
      </c>
      <c r="S122" s="1231">
        <v>55.554208100897405</v>
      </c>
      <c r="T122" s="1231">
        <v>48.490177055542084</v>
      </c>
      <c r="U122" s="1231">
        <v>58.913412563667222</v>
      </c>
      <c r="V122" s="1231">
        <v>14.061363085132186</v>
      </c>
      <c r="W122" s="1233">
        <v>54.319265906702242</v>
      </c>
    </row>
    <row r="123" spans="1:23" ht="15.75">
      <c r="A123" s="1228">
        <v>7</v>
      </c>
      <c r="B123" s="1231">
        <v>21.041677506634063</v>
      </c>
      <c r="C123" s="1231">
        <v>-35.769290805973256</v>
      </c>
      <c r="D123" s="1197">
        <v>11.358551433477288</v>
      </c>
      <c r="E123" s="1231">
        <v>35.753681252926796</v>
      </c>
      <c r="F123" s="1197">
        <v>-8.9885009625891037</v>
      </c>
      <c r="G123" s="1233">
        <v>15.145602442027855</v>
      </c>
      <c r="H123" s="1231">
        <v>-10.404504473384227</v>
      </c>
      <c r="I123" s="1231">
        <v>-9.7309060762029773</v>
      </c>
      <c r="J123" s="1231">
        <v>4.0899512936543569</v>
      </c>
      <c r="K123" s="1231">
        <v>4.0277729800683959</v>
      </c>
      <c r="L123" s="1231">
        <v>8.5656844796020586</v>
      </c>
      <c r="M123" s="1233">
        <v>-2.8204773912743102</v>
      </c>
      <c r="N123" s="1231">
        <v>35.662315429060563</v>
      </c>
      <c r="O123" s="1231">
        <v>-3.0387331478707464</v>
      </c>
      <c r="P123" s="1231">
        <v>37.267280119837359</v>
      </c>
      <c r="Q123" s="1231">
        <v>-3.5416220843141448</v>
      </c>
      <c r="R123" s="1233">
        <v>25.322776232256224</v>
      </c>
      <c r="S123" s="1231">
        <v>55.638062159410744</v>
      </c>
      <c r="T123" s="1231">
        <v>45.236241691119226</v>
      </c>
      <c r="U123" s="1231">
        <v>64.087669920354514</v>
      </c>
      <c r="V123" s="1231">
        <v>22.252829510749141</v>
      </c>
      <c r="W123" s="1233">
        <v>54.987324590294826</v>
      </c>
    </row>
    <row r="124" spans="1:23" ht="15.75">
      <c r="A124" s="1228">
        <v>8</v>
      </c>
      <c r="B124" s="1231">
        <v>16.882308709518501</v>
      </c>
      <c r="C124" s="1231">
        <v>-35.227007545310755</v>
      </c>
      <c r="D124" s="1197">
        <v>10.892732128503646</v>
      </c>
      <c r="E124" s="1231">
        <v>35.302201363860298</v>
      </c>
      <c r="F124" s="1197">
        <v>-4.9887209272175692</v>
      </c>
      <c r="G124" s="1233">
        <v>13.763925981625052</v>
      </c>
      <c r="H124" s="1231">
        <v>-6.524379663369773</v>
      </c>
      <c r="I124" s="1231">
        <v>-12.573312510845048</v>
      </c>
      <c r="J124" s="1231">
        <v>9.0404303314246057</v>
      </c>
      <c r="K124" s="1231">
        <v>5.3583203192781532</v>
      </c>
      <c r="L124" s="1231">
        <v>8.5003643935450288</v>
      </c>
      <c r="M124" s="1233">
        <v>-1.766441089710221</v>
      </c>
      <c r="N124" s="1231">
        <v>36.229860365198711</v>
      </c>
      <c r="O124" s="1231">
        <v>-1.6863587540279268</v>
      </c>
      <c r="P124" s="1231">
        <v>24.103114930182603</v>
      </c>
      <c r="Q124" s="1231">
        <v>-13.276047261009662</v>
      </c>
      <c r="R124" s="1233">
        <v>20.673111349803079</v>
      </c>
      <c r="S124" s="1231">
        <v>63.399940351923654</v>
      </c>
      <c r="T124" s="1231">
        <v>55.466746197435135</v>
      </c>
      <c r="U124" s="1231">
        <v>59.958246346555335</v>
      </c>
      <c r="V124" s="1231">
        <v>16.594094840441397</v>
      </c>
      <c r="W124" s="1233">
        <v>59.608310965304703</v>
      </c>
    </row>
    <row r="125" spans="1:23" ht="15.75">
      <c r="A125" s="1228">
        <v>9</v>
      </c>
      <c r="B125" s="1231">
        <v>16.39116686804288</v>
      </c>
      <c r="C125" s="1231">
        <v>-42.736317128975038</v>
      </c>
      <c r="D125" s="1197">
        <v>12.835805547700458</v>
      </c>
      <c r="E125" s="1231">
        <v>29.872233219362968</v>
      </c>
      <c r="F125" s="1197">
        <v>3.8792771022391346</v>
      </c>
      <c r="G125" s="1233">
        <v>11.142531513235131</v>
      </c>
      <c r="H125" s="1231">
        <v>-9.5034815773819936</v>
      </c>
      <c r="I125" s="1231">
        <v>-11.466461387732252</v>
      </c>
      <c r="J125" s="1231">
        <v>8.0513663879072048</v>
      </c>
      <c r="K125" s="1231">
        <v>5.4025683193953595</v>
      </c>
      <c r="L125" s="1231">
        <v>8.4319955211868844</v>
      </c>
      <c r="M125" s="1233">
        <v>-1.7075474999125237</v>
      </c>
      <c r="N125" s="1231">
        <v>43.262260127931768</v>
      </c>
      <c r="O125" s="1231">
        <v>-3.1023454157782515</v>
      </c>
      <c r="P125" s="1231">
        <v>42.96375266524521</v>
      </c>
      <c r="Q125" s="1231">
        <v>-2.3454157782516005</v>
      </c>
      <c r="R125" s="1233">
        <v>29.776119402985074</v>
      </c>
      <c r="S125" s="1231">
        <v>55.665259025753869</v>
      </c>
      <c r="T125" s="1231">
        <v>51.17468625468387</v>
      </c>
      <c r="U125" s="1231">
        <v>53.898768809849514</v>
      </c>
      <c r="V125" s="1231">
        <v>22.791887230119546</v>
      </c>
      <c r="W125" s="1233">
        <v>53.579571363429075</v>
      </c>
    </row>
    <row r="126" spans="1:23" ht="15.75">
      <c r="A126" s="1228">
        <v>10</v>
      </c>
      <c r="B126" s="1231">
        <v>14.47940908630982</v>
      </c>
      <c r="C126" s="1231">
        <v>-37.577152686431255</v>
      </c>
      <c r="D126" s="1197">
        <v>21.600222604472329</v>
      </c>
      <c r="E126" s="1231">
        <v>18.617828594556311</v>
      </c>
      <c r="F126" s="1197">
        <v>-3.6957401598704851</v>
      </c>
      <c r="G126" s="1233">
        <v>3.8323383587979349</v>
      </c>
      <c r="H126" s="1231">
        <v>-10.56313531480694</v>
      </c>
      <c r="I126" s="1231">
        <v>-12.731418853631199</v>
      </c>
      <c r="J126" s="1231">
        <v>11.649209600742086</v>
      </c>
      <c r="K126" s="1231">
        <v>5.9676110230742472</v>
      </c>
      <c r="L126" s="1231">
        <v>12.416495961040468</v>
      </c>
      <c r="M126" s="1233">
        <v>-0.54110462644455648</v>
      </c>
      <c r="N126" s="1231">
        <v>26.295867942382504</v>
      </c>
      <c r="O126" s="1231">
        <v>-3.5537798338765638</v>
      </c>
      <c r="P126" s="1231">
        <v>57.344127851960884</v>
      </c>
      <c r="Q126" s="1231">
        <v>-17.684786037220057</v>
      </c>
      <c r="R126" s="1233">
        <v>29.064591876073312</v>
      </c>
      <c r="S126" s="1231">
        <v>56.310275032741991</v>
      </c>
      <c r="T126" s="1231">
        <v>50.214311227527091</v>
      </c>
      <c r="U126" s="1231">
        <v>54.250506012620562</v>
      </c>
      <c r="V126" s="1231">
        <v>21.431122752708657</v>
      </c>
      <c r="W126" s="1233">
        <v>53.591697424296541</v>
      </c>
    </row>
    <row r="127" spans="1:23" ht="15.75">
      <c r="A127" s="1228">
        <v>11</v>
      </c>
      <c r="B127" s="1231">
        <v>10.316395966820643</v>
      </c>
      <c r="C127" s="1231">
        <v>-40.411265087170314</v>
      </c>
      <c r="D127" s="1197">
        <v>18.787562707991853</v>
      </c>
      <c r="E127" s="1231">
        <v>1.9470521035116484</v>
      </c>
      <c r="F127" s="1197">
        <v>-8.5531217404261657</v>
      </c>
      <c r="G127" s="1233">
        <v>-2.1747048792198544</v>
      </c>
      <c r="H127" s="1231">
        <v>-8.9368045204007345</v>
      </c>
      <c r="I127" s="1231">
        <v>-10.881547474607412</v>
      </c>
      <c r="J127" s="1231">
        <v>5.8862273373314382</v>
      </c>
      <c r="K127" s="1231">
        <v>5.3523763302943115</v>
      </c>
      <c r="L127" s="1231">
        <v>12.340520678060111</v>
      </c>
      <c r="M127" s="1233">
        <v>-2.4976600686379871</v>
      </c>
      <c r="N127" s="1231">
        <v>48.833315894109035</v>
      </c>
      <c r="O127" s="1231">
        <v>-8.255728785183635</v>
      </c>
      <c r="P127" s="1231">
        <v>31.003452966412056</v>
      </c>
      <c r="Q127" s="1231">
        <v>-24.997384116354503</v>
      </c>
      <c r="R127" s="1233">
        <v>29.364165881901574</v>
      </c>
      <c r="S127" s="1231">
        <v>53.446935724962628</v>
      </c>
      <c r="T127" s="1231">
        <v>53.608370702541109</v>
      </c>
      <c r="U127" s="1231">
        <v>50.714499252615838</v>
      </c>
      <c r="V127" s="1231">
        <v>23.946188340807176</v>
      </c>
      <c r="W127" s="1233">
        <v>52.58993522670653</v>
      </c>
    </row>
    <row r="128" spans="1:23" ht="15.75">
      <c r="A128" s="1228">
        <v>12</v>
      </c>
      <c r="B128" s="1231">
        <v>12.67481193517443</v>
      </c>
      <c r="C128" s="1231">
        <v>-40.768415206745097</v>
      </c>
      <c r="D128" s="1197">
        <v>20.684606452264347</v>
      </c>
      <c r="E128" s="1231">
        <v>-1.8655020952188615</v>
      </c>
      <c r="F128" s="1197">
        <v>-5.2885343565406178</v>
      </c>
      <c r="G128" s="1233">
        <v>-3.2917655374362607</v>
      </c>
      <c r="H128" s="1231">
        <v>-9.0563781521471522</v>
      </c>
      <c r="I128" s="1231">
        <v>-11.029437625294552</v>
      </c>
      <c r="J128" s="1231">
        <v>5.9473147399148871</v>
      </c>
      <c r="K128" s="1231">
        <v>4.7972426405936766</v>
      </c>
      <c r="L128" s="1231">
        <v>11.672844933703795</v>
      </c>
      <c r="M128" s="1233">
        <v>-2.5410614426898324</v>
      </c>
      <c r="N128" s="1231">
        <v>48.638011393060594</v>
      </c>
      <c r="O128" s="1231">
        <v>-6.6701191092698107</v>
      </c>
      <c r="P128" s="1231">
        <v>-10.046607975142415</v>
      </c>
      <c r="Q128" s="1231">
        <v>-28.254790264111861</v>
      </c>
      <c r="R128" s="1233">
        <v>15.087174175729329</v>
      </c>
      <c r="S128" s="1231">
        <v>17.679819883872497</v>
      </c>
      <c r="T128" s="1231">
        <v>48.720227515108412</v>
      </c>
      <c r="U128" s="1231">
        <v>52.257376466405979</v>
      </c>
      <c r="V128" s="1231">
        <v>21.205119089939565</v>
      </c>
      <c r="W128" s="1233">
        <v>39.552474621795625</v>
      </c>
    </row>
    <row r="129" spans="1:23" ht="15.75">
      <c r="A129" s="1228">
        <v>2024</v>
      </c>
      <c r="B129" s="1231"/>
      <c r="C129" s="1231"/>
      <c r="D129" s="1197"/>
      <c r="E129" s="1231"/>
      <c r="F129" s="1197"/>
      <c r="G129" s="1233"/>
      <c r="H129" s="1231"/>
      <c r="I129" s="1231"/>
      <c r="J129" s="1231"/>
      <c r="K129" s="1231"/>
      <c r="L129" s="1231"/>
      <c r="M129" s="1233"/>
      <c r="N129" s="1231"/>
      <c r="O129" s="1231"/>
      <c r="P129" s="1231"/>
      <c r="Q129" s="1231"/>
      <c r="R129" s="1233"/>
      <c r="S129" s="1231"/>
      <c r="T129" s="1231"/>
      <c r="U129" s="1231"/>
      <c r="V129" s="1231"/>
      <c r="W129" s="1233"/>
    </row>
    <row r="130" spans="1:23" ht="15.75">
      <c r="A130" s="1228">
        <v>1</v>
      </c>
      <c r="B130" s="1231">
        <v>-5.5776690414015562E-2</v>
      </c>
      <c r="C130" s="1231">
        <v>-35.200162259463021</v>
      </c>
      <c r="D130" s="1197">
        <v>15.609867403595064</v>
      </c>
      <c r="E130" s="1231">
        <v>6.8757447455822325</v>
      </c>
      <c r="F130" s="1197">
        <v>-4.9286311893111581</v>
      </c>
      <c r="G130" s="1233">
        <v>-2.9299664494756179</v>
      </c>
      <c r="H130" s="1231">
        <v>-8.3842546539718636</v>
      </c>
      <c r="I130" s="1231">
        <v>-10.377291459428733</v>
      </c>
      <c r="J130" s="1231">
        <v>6.27398038937047</v>
      </c>
      <c r="K130" s="1231">
        <v>4.8458149779735686</v>
      </c>
      <c r="L130" s="1231">
        <v>11.873667756146085</v>
      </c>
      <c r="M130" s="1233">
        <v>-2.0516555350291314</v>
      </c>
      <c r="N130" s="1231">
        <v>53.071278825995812</v>
      </c>
      <c r="O130" s="1231">
        <v>-3.6687631027253667</v>
      </c>
      <c r="P130" s="1231">
        <v>-1.0796645702306087</v>
      </c>
      <c r="Q130" s="1231">
        <v>-27.473794549266252</v>
      </c>
      <c r="R130" s="1233">
        <v>18.553459119496857</v>
      </c>
      <c r="S130" s="1231">
        <v>20.4611963010652</v>
      </c>
      <c r="T130" s="1231">
        <v>51.439775254594394</v>
      </c>
      <c r="U130" s="1231">
        <v>51.515860938780293</v>
      </c>
      <c r="V130" s="1231">
        <v>19.2847945686527</v>
      </c>
      <c r="W130" s="1233">
        <v>41.138944164813296</v>
      </c>
    </row>
    <row r="131" spans="1:23" ht="15.75">
      <c r="A131" s="1228">
        <v>2</v>
      </c>
      <c r="B131" s="1231">
        <v>-4.8167268972638073</v>
      </c>
      <c r="C131" s="1231">
        <v>-36.551368094992256</v>
      </c>
      <c r="D131" s="1197">
        <v>18.252452245740844</v>
      </c>
      <c r="E131" s="1231">
        <v>9.8941662364481182</v>
      </c>
      <c r="F131" s="1197">
        <v>2.4238513164687658</v>
      </c>
      <c r="G131" s="1233">
        <v>-4.3916709688521758</v>
      </c>
      <c r="H131" s="1231">
        <v>-5.4201411161000639</v>
      </c>
      <c r="I131" s="1231">
        <v>-7.4192858670087665</v>
      </c>
      <c r="J131" s="1231">
        <v>6.574727389352149</v>
      </c>
      <c r="K131" s="1231">
        <v>4.8606656688760603</v>
      </c>
      <c r="L131" s="1231">
        <v>11.848122015537026</v>
      </c>
      <c r="M131" s="1233">
        <v>-0.42227923882830876</v>
      </c>
      <c r="N131" s="1231">
        <v>34.294099151032384</v>
      </c>
      <c r="O131" s="1231">
        <v>-3.6369353317262325</v>
      </c>
      <c r="P131" s="1231">
        <v>4.737448904726973</v>
      </c>
      <c r="Q131" s="1231">
        <v>-26.894455507808409</v>
      </c>
      <c r="R131" s="1233">
        <v>14.222827795828531</v>
      </c>
      <c r="S131" s="1231">
        <v>19.38294866</v>
      </c>
      <c r="T131" s="1231">
        <v>50.894959960000001</v>
      </c>
      <c r="U131" s="1231">
        <v>57.978097030000001</v>
      </c>
      <c r="V131" s="1231">
        <v>17.604804519999998</v>
      </c>
      <c r="W131" s="1233">
        <v>42.752001880000002</v>
      </c>
    </row>
    <row r="132" spans="1:23" ht="15.75">
      <c r="A132" s="1228">
        <v>3</v>
      </c>
      <c r="B132" s="1231">
        <v>20.095054592164416</v>
      </c>
      <c r="C132" s="1231">
        <v>-19.573538856775848</v>
      </c>
      <c r="D132" s="1197">
        <v>16.118175979447656</v>
      </c>
      <c r="E132" s="1231">
        <v>31.799614643545279</v>
      </c>
      <c r="F132" s="1197">
        <v>-1.5902376364804107</v>
      </c>
      <c r="G132" s="1233">
        <v>11.925497752087349</v>
      </c>
      <c r="H132" s="1231">
        <v>-1.7857779361967565</v>
      </c>
      <c r="I132" s="1231">
        <v>-10.222776688647297</v>
      </c>
      <c r="J132" s="1231">
        <v>10.212083407592228</v>
      </c>
      <c r="K132" s="1231">
        <v>4.8618784530386749</v>
      </c>
      <c r="L132" s="1231">
        <v>11.800748529673855</v>
      </c>
      <c r="M132" s="1233">
        <v>-5.3466405275344187E-3</v>
      </c>
      <c r="N132" s="1231">
        <v>-27.933845058162543</v>
      </c>
      <c r="O132" s="1231">
        <v>11.03901242383477</v>
      </c>
      <c r="P132" s="1231">
        <v>73.007834137849173</v>
      </c>
      <c r="Q132" s="1231">
        <v>4.2335997467753419</v>
      </c>
      <c r="R132" s="1233">
        <v>11.344992218617286</v>
      </c>
      <c r="S132" s="1231">
        <v>16.43426294820717</v>
      </c>
      <c r="T132" s="1231">
        <v>44.480899929692995</v>
      </c>
      <c r="U132" s="1231">
        <v>57.973986407311919</v>
      </c>
      <c r="V132" s="1231">
        <v>16.674478556362782</v>
      </c>
      <c r="W132" s="1233">
        <v>39.629716428404031</v>
      </c>
    </row>
    <row r="133" spans="1:23" ht="15.75">
      <c r="A133" s="1228">
        <v>4</v>
      </c>
      <c r="B133" s="1231">
        <v>17.659970045963952</v>
      </c>
      <c r="C133" s="1231">
        <v>-19.477870164747195</v>
      </c>
      <c r="D133" s="1197">
        <v>17.507617621236378</v>
      </c>
      <c r="E133" s="1231">
        <v>35.660796364199754</v>
      </c>
      <c r="F133" s="1197">
        <v>0.96317719361669152</v>
      </c>
      <c r="G133" s="1233">
        <v>11.93771626297578</v>
      </c>
      <c r="H133" s="1231">
        <v>0.27035679982924832</v>
      </c>
      <c r="I133" s="1231">
        <v>-7.3494361637793046</v>
      </c>
      <c r="J133" s="1231">
        <v>11.796094055707732</v>
      </c>
      <c r="K133" s="1231">
        <v>4.8521930916722988</v>
      </c>
      <c r="L133" s="1231">
        <v>11.672690405890931</v>
      </c>
      <c r="M133" s="1233">
        <v>2.2233289459642136</v>
      </c>
      <c r="N133" s="1231">
        <v>-29.812153015438433</v>
      </c>
      <c r="O133" s="1231">
        <v>9.3162978173245108</v>
      </c>
      <c r="P133" s="1231">
        <v>64.522016883413173</v>
      </c>
      <c r="Q133" s="1231">
        <v>2.1446497832534792</v>
      </c>
      <c r="R133" s="1233">
        <v>8.4645220168834108</v>
      </c>
      <c r="S133" s="1231">
        <v>20.244683949898047</v>
      </c>
      <c r="T133" s="1231">
        <v>50.678706670550532</v>
      </c>
      <c r="U133" s="1231">
        <v>61.660355374308189</v>
      </c>
      <c r="V133" s="1231">
        <v>22.691523448878531</v>
      </c>
      <c r="W133" s="1233">
        <v>44.194581998252261</v>
      </c>
    </row>
    <row r="134" spans="1:23" ht="15.75">
      <c r="A134" s="1228">
        <v>5</v>
      </c>
      <c r="B134" s="1231">
        <v>12.054822438477608</v>
      </c>
      <c r="C134" s="1231">
        <v>-25.487848372140423</v>
      </c>
      <c r="D134" s="1197">
        <v>18.199419167473376</v>
      </c>
      <c r="E134" s="1231">
        <v>37.002598461303307</v>
      </c>
      <c r="F134" s="1197">
        <v>1.8291129566413615</v>
      </c>
      <c r="G134" s="1233">
        <v>10.286000577435846</v>
      </c>
      <c r="H134" s="1231">
        <v>1.7936596218020018</v>
      </c>
      <c r="I134" s="1231">
        <v>-9.7608453837597331</v>
      </c>
      <c r="J134" s="1231">
        <v>14.279755283648498</v>
      </c>
      <c r="K134" s="1231">
        <v>9.1733870967741939</v>
      </c>
      <c r="L134" s="1231">
        <v>12.853343993325916</v>
      </c>
      <c r="M134" s="1233">
        <v>2.2594549499443826</v>
      </c>
      <c r="N134" s="1231">
        <v>-15.666745711801447</v>
      </c>
      <c r="O134" s="1231">
        <v>10.283772033831317</v>
      </c>
      <c r="P134" s="1231">
        <v>65.868310805469932</v>
      </c>
      <c r="Q134" s="1231">
        <v>0.29246699865623316</v>
      </c>
      <c r="R134" s="1233">
        <v>13.305931019945721</v>
      </c>
      <c r="S134" s="1231">
        <v>22.53928632211948</v>
      </c>
      <c r="T134" s="1231">
        <v>55.45470017586657</v>
      </c>
      <c r="U134" s="1231">
        <v>59.34645713961536</v>
      </c>
      <c r="V134" s="1231">
        <v>23.515062120610427</v>
      </c>
      <c r="W134" s="1233">
        <v>45.78014787920047</v>
      </c>
    </row>
    <row r="135" spans="1:23" ht="15.75">
      <c r="A135" s="1228">
        <v>6</v>
      </c>
      <c r="B135" s="1231">
        <v>15.610229682430187</v>
      </c>
      <c r="C135" s="1231">
        <v>-24.434735954625584</v>
      </c>
      <c r="D135" s="1197">
        <v>15.847832196418079</v>
      </c>
      <c r="E135" s="1231">
        <v>31.251117753762035</v>
      </c>
      <c r="F135" s="1197">
        <v>1.8471679313252087</v>
      </c>
      <c r="G135" s="1233">
        <v>10.33783841325805</v>
      </c>
      <c r="H135" s="1231">
        <v>-1.4802748069976623</v>
      </c>
      <c r="I135" s="1231">
        <v>-9.462426517458745</v>
      </c>
      <c r="J135" s="1231">
        <v>9.7669806643529995</v>
      </c>
      <c r="K135" s="1231">
        <v>3.5979885260995825</v>
      </c>
      <c r="L135" s="1231">
        <v>12.487569941213966</v>
      </c>
      <c r="M135" s="1233">
        <v>0.15227707344712726</v>
      </c>
      <c r="N135" s="1231">
        <v>13.399952789361869</v>
      </c>
      <c r="O135" s="1231">
        <v>9.2060744354394526</v>
      </c>
      <c r="P135" s="1231">
        <v>29.884333936580376</v>
      </c>
      <c r="Q135" s="1231">
        <v>-2.8955858053348011</v>
      </c>
      <c r="R135" s="1233">
        <v>11.359404096834261</v>
      </c>
      <c r="S135" s="1231">
        <v>22.43412515</v>
      </c>
      <c r="T135" s="1231">
        <v>53.783219549999998</v>
      </c>
      <c r="U135" s="1231">
        <v>56.02888901</v>
      </c>
      <c r="V135" s="1231">
        <v>19.629859499999998</v>
      </c>
      <c r="W135" s="1233">
        <v>44.082077900000002</v>
      </c>
    </row>
    <row r="136" spans="1:23" ht="15.75">
      <c r="A136" s="1228">
        <v>7</v>
      </c>
      <c r="B136" s="1231">
        <v>13.480205315850991</v>
      </c>
      <c r="C136" s="1231">
        <v>-24.93774457488438</v>
      </c>
      <c r="D136" s="1197">
        <v>22.58220257153021</v>
      </c>
      <c r="E136" s="1231">
        <v>30.822788026630072</v>
      </c>
      <c r="F136" s="1197">
        <v>3.631142958784368</v>
      </c>
      <c r="G136" s="1233">
        <v>7.2402635903169532</v>
      </c>
      <c r="H136" s="1231">
        <v>1.2337025094630589</v>
      </c>
      <c r="I136" s="1231">
        <v>-9.8556007290060279</v>
      </c>
      <c r="J136" s="1231">
        <v>10.637179307444272</v>
      </c>
      <c r="K136" s="1231">
        <v>14.846488153652041</v>
      </c>
      <c r="L136" s="1231">
        <v>12.450301415954016</v>
      </c>
      <c r="M136" s="1233">
        <v>0.39078928921912226</v>
      </c>
      <c r="N136" s="1231">
        <v>41.244709202069281</v>
      </c>
      <c r="O136" s="1231">
        <v>8.2771594293776456</v>
      </c>
      <c r="P136" s="1231">
        <v>23.671421852955007</v>
      </c>
      <c r="Q136" s="1231">
        <v>-3.158802320112871</v>
      </c>
      <c r="R136" s="1233">
        <v>18.879657208548881</v>
      </c>
      <c r="S136" s="1231">
        <v>46.768082023849331</v>
      </c>
      <c r="T136" s="1231">
        <v>52.663546194137965</v>
      </c>
      <c r="U136" s="1231">
        <v>53.170622980051256</v>
      </c>
      <c r="V136" s="1231">
        <v>11.829934247186001</v>
      </c>
      <c r="W136" s="1233">
        <v>50.867417066012848</v>
      </c>
    </row>
    <row r="137" spans="1:23" ht="15.75">
      <c r="A137" s="1228">
        <v>8</v>
      </c>
      <c r="B137" s="1231">
        <v>9.7897137066126181</v>
      </c>
      <c r="C137" s="1231">
        <v>-30.162148467190278</v>
      </c>
      <c r="D137" s="1197">
        <v>5.1912845198885229</v>
      </c>
      <c r="E137" s="1231">
        <v>14.058778819356473</v>
      </c>
      <c r="F137" s="1197">
        <v>-2.2903470990625792</v>
      </c>
      <c r="G137" s="1233">
        <v>6.2190693353601887</v>
      </c>
      <c r="H137" s="1231">
        <v>1.5788009458895538</v>
      </c>
      <c r="I137" s="1231">
        <v>-25.712894700236475</v>
      </c>
      <c r="J137" s="1231">
        <v>-5.3449714842119924</v>
      </c>
      <c r="K137" s="1231">
        <v>-0.2886354152176937</v>
      </c>
      <c r="L137" s="1231">
        <v>12.601857003755738</v>
      </c>
      <c r="M137" s="1233">
        <v>-15.528933092224234</v>
      </c>
      <c r="N137" s="1231">
        <v>55.661245780914392</v>
      </c>
      <c r="O137" s="1231">
        <v>24.746854863455049</v>
      </c>
      <c r="P137" s="1231">
        <v>25.705737956428351</v>
      </c>
      <c r="Q137" s="1231">
        <v>-14.797483890764038</v>
      </c>
      <c r="R137" s="1233">
        <v>18.873376291295898</v>
      </c>
      <c r="S137" s="1231">
        <v>44.659700649534024</v>
      </c>
      <c r="T137" s="1231">
        <v>52.09827732279016</v>
      </c>
      <c r="U137" s="1231">
        <v>55.882519062411745</v>
      </c>
      <c r="V137" s="1231">
        <v>49.562270545043773</v>
      </c>
      <c r="W137" s="1233">
        <v>50.880165678245319</v>
      </c>
    </row>
    <row r="138" spans="1:23" ht="15.75">
      <c r="A138" s="1228">
        <v>9</v>
      </c>
      <c r="B138" s="1231">
        <v>10.6</v>
      </c>
      <c r="C138" s="1231">
        <v>-35.89</v>
      </c>
      <c r="D138" s="1197">
        <v>8.43</v>
      </c>
      <c r="E138" s="1231">
        <v>12.53</v>
      </c>
      <c r="F138" s="1197">
        <v>7.0000000000000007E-2</v>
      </c>
      <c r="G138" s="1233">
        <v>4.9000000000000004</v>
      </c>
      <c r="H138" s="1231">
        <v>1.5774843641417655</v>
      </c>
      <c r="I138" s="1231">
        <v>-25.77484364141765</v>
      </c>
      <c r="J138" s="1231">
        <v>-5.2571230020847803</v>
      </c>
      <c r="K138" s="1231">
        <v>-0.28839471855455179</v>
      </c>
      <c r="L138" s="1231">
        <v>12.535163307852676</v>
      </c>
      <c r="M138" s="1233">
        <v>-15.515983321751214</v>
      </c>
      <c r="N138" s="1231">
        <v>41.613177635140367</v>
      </c>
      <c r="O138" s="1231">
        <v>0.75013533369422314</v>
      </c>
      <c r="P138" s="1231">
        <v>71.030856082282881</v>
      </c>
      <c r="Q138" s="1231">
        <v>-14.283504756012682</v>
      </c>
      <c r="R138" s="1233">
        <v>37.297966127909675</v>
      </c>
      <c r="S138" s="1231">
        <v>22.445636825755436</v>
      </c>
      <c r="T138" s="1231">
        <v>57.848065518215186</v>
      </c>
      <c r="U138" s="1231">
        <v>57.639085004236094</v>
      </c>
      <c r="V138" s="1231">
        <v>21.587122281841289</v>
      </c>
      <c r="W138" s="1233">
        <v>45.97759578273557</v>
      </c>
    </row>
    <row r="139" spans="1:23" ht="15.75">
      <c r="A139" s="1228">
        <v>10</v>
      </c>
      <c r="B139" s="1231">
        <v>9.65</v>
      </c>
      <c r="C139" s="1231">
        <v>-22.62</v>
      </c>
      <c r="D139" s="1197">
        <v>-2.69</v>
      </c>
      <c r="E139" s="1231">
        <v>16.72</v>
      </c>
      <c r="F139" s="1197">
        <v>4.5599999999999996</v>
      </c>
      <c r="G139" s="1233">
        <v>9.69</v>
      </c>
      <c r="H139" s="1231">
        <v>4.3017413448964144</v>
      </c>
      <c r="I139" s="1231">
        <v>-23.704315506917197</v>
      </c>
      <c r="J139" s="1231">
        <v>-4.7732121962970604</v>
      </c>
      <c r="K139" s="1231">
        <v>-0.53341592676715344</v>
      </c>
      <c r="L139" s="1231">
        <v>12.426629499621447</v>
      </c>
      <c r="M139" s="1233">
        <v>-14.238763851607128</v>
      </c>
      <c r="N139" s="1231">
        <v>48.284277473746485</v>
      </c>
      <c r="O139" s="1231">
        <v>0.43632598727998845</v>
      </c>
      <c r="P139" s="1231">
        <v>37.62017453039492</v>
      </c>
      <c r="Q139" s="1231">
        <v>-4.5259576985653016</v>
      </c>
      <c r="R139" s="1233">
        <v>28.489375338953803</v>
      </c>
      <c r="S139" s="1231">
        <v>20.84437179414914</v>
      </c>
      <c r="T139" s="1231">
        <v>53.401724818217687</v>
      </c>
      <c r="U139" s="1231">
        <v>56.152415309170841</v>
      </c>
      <c r="V139" s="1231">
        <v>22.907389662364018</v>
      </c>
      <c r="W139" s="1233">
        <v>43.466170640512566</v>
      </c>
    </row>
    <row r="140" spans="1:23" ht="15.75">
      <c r="A140" s="1228">
        <v>11</v>
      </c>
      <c r="B140" s="1231">
        <v>3.91</v>
      </c>
      <c r="C140" s="1231">
        <v>-23.26</v>
      </c>
      <c r="D140" s="1197">
        <v>-7.94</v>
      </c>
      <c r="E140" s="1231">
        <v>22.61</v>
      </c>
      <c r="F140" s="1197">
        <v>-5.3</v>
      </c>
      <c r="G140" s="1233">
        <v>11.49</v>
      </c>
      <c r="H140" s="1231">
        <v>4.4420368364030338</v>
      </c>
      <c r="I140" s="1231">
        <v>-23.825162513542793</v>
      </c>
      <c r="J140" s="1231">
        <v>-5.0480769230769225</v>
      </c>
      <c r="K140" s="1231">
        <v>-7.0964247020585081</v>
      </c>
      <c r="L140" s="1231">
        <v>18.309999999999999</v>
      </c>
      <c r="M140" s="1233">
        <v>-14.436619718309858</v>
      </c>
      <c r="N140" s="1231">
        <v>59.97114216281895</v>
      </c>
      <c r="O140" s="1231">
        <v>9.8724179829890513E-2</v>
      </c>
      <c r="P140" s="1231">
        <v>20.185297691373027</v>
      </c>
      <c r="Q140" s="1231">
        <v>-4.3742405832320781</v>
      </c>
      <c r="R140" s="1233">
        <v>26.685905224787366</v>
      </c>
      <c r="S140" s="1231">
        <v>23.446533819814761</v>
      </c>
      <c r="T140" s="1231">
        <v>21.785012629806342</v>
      </c>
      <c r="U140" s="1231">
        <v>21.392085321358405</v>
      </c>
      <c r="V140" s="1231">
        <v>15.947235475722705</v>
      </c>
      <c r="W140" s="1233">
        <v>22.207877256993171</v>
      </c>
    </row>
    <row r="141" spans="1:23" ht="15.75">
      <c r="A141" s="1228">
        <v>12</v>
      </c>
      <c r="B141" s="1231">
        <v>22.355426718419888</v>
      </c>
      <c r="C141" s="1231">
        <v>-23.306146514027418</v>
      </c>
      <c r="D141" s="1197">
        <v>7.6082150051589483</v>
      </c>
      <c r="E141" s="1231">
        <v>25.362354444062305</v>
      </c>
      <c r="F141" s="1197">
        <v>4.8666044317790993</v>
      </c>
      <c r="G141" s="1233">
        <v>13.369855385774414</v>
      </c>
      <c r="H141" s="1231">
        <v>9.0359042553191493</v>
      </c>
      <c r="I141" s="1231">
        <v>-12.789228723404255</v>
      </c>
      <c r="J141" s="1231">
        <v>5.1628989361702109</v>
      </c>
      <c r="K141" s="1231">
        <v>16.223404255319146</v>
      </c>
      <c r="L141" s="1231">
        <v>18.598836436170213</v>
      </c>
      <c r="M141" s="1233">
        <v>-3.8131648936170222</v>
      </c>
      <c r="N141" s="1231">
        <v>48.126908468012225</v>
      </c>
      <c r="O141" s="1231">
        <v>5.101660832650631</v>
      </c>
      <c r="P141" s="1231">
        <v>16.072093542861403</v>
      </c>
      <c r="Q141" s="1231">
        <v>-3.9174797050718695</v>
      </c>
      <c r="R141" s="1233">
        <v>19.69911372607433</v>
      </c>
      <c r="S141" s="1231">
        <v>23.537338573834919</v>
      </c>
      <c r="T141" s="1231">
        <v>25.115103874227966</v>
      </c>
      <c r="U141" s="1231">
        <v>20.263896687254352</v>
      </c>
      <c r="V141" s="1231">
        <v>21.010668163952836</v>
      </c>
      <c r="W141" s="1233">
        <v>22.972113045105743</v>
      </c>
    </row>
    <row r="142" spans="1:23" ht="15.75">
      <c r="A142" s="1228">
        <v>2025</v>
      </c>
      <c r="B142" s="1231"/>
      <c r="C142" s="1231"/>
      <c r="D142" s="1197"/>
      <c r="E142" s="1231"/>
      <c r="F142" s="1197"/>
      <c r="G142" s="1233"/>
      <c r="H142" s="1231"/>
      <c r="I142" s="1231"/>
      <c r="J142" s="1231"/>
      <c r="K142" s="1231"/>
      <c r="L142" s="1231"/>
      <c r="M142" s="1233"/>
      <c r="N142" s="1231"/>
      <c r="O142" s="1231"/>
      <c r="P142" s="1231"/>
      <c r="Q142" s="1231"/>
      <c r="R142" s="1233"/>
      <c r="S142" s="1231"/>
      <c r="T142" s="1231"/>
      <c r="U142" s="1231"/>
      <c r="V142" s="1231"/>
      <c r="W142" s="1233"/>
    </row>
    <row r="143" spans="1:23" ht="15.75">
      <c r="A143" s="1228">
        <v>1</v>
      </c>
      <c r="B143" s="1231">
        <v>11.197484712697747</v>
      </c>
      <c r="C143" s="1231">
        <v>-25.504419082514296</v>
      </c>
      <c r="D143" s="1197">
        <v>7.0532022875250657</v>
      </c>
      <c r="E143" s="1231">
        <v>32.515534869903199</v>
      </c>
      <c r="F143" s="1197">
        <v>6.6447156685564321</v>
      </c>
      <c r="G143" s="1233">
        <v>12.219939098358626</v>
      </c>
      <c r="H143" s="1231">
        <v>9.5267617276296743</v>
      </c>
      <c r="I143" s="1231">
        <v>-9.6748639526072857</v>
      </c>
      <c r="J143" s="1231">
        <v>8.8826892608665684</v>
      </c>
      <c r="K143" s="1231">
        <v>16.773438038162155</v>
      </c>
      <c r="L143" s="1231">
        <v>19.686918784872908</v>
      </c>
      <c r="M143" s="1233">
        <v>-0.39608734587035865</v>
      </c>
      <c r="N143" s="1231">
        <v>47.154954687267868</v>
      </c>
      <c r="O143" s="1231">
        <v>4.5609864804635274</v>
      </c>
      <c r="P143" s="1231">
        <v>6.6112019016490873</v>
      </c>
      <c r="Q143" s="1231">
        <v>-2.2953498737186151</v>
      </c>
      <c r="R143" s="1233">
        <v>16.401723369484476</v>
      </c>
      <c r="S143" s="1231">
        <v>22.098765432098766</v>
      </c>
      <c r="T143" s="1231">
        <v>24.287317620650953</v>
      </c>
      <c r="U143" s="1231">
        <v>23.737373737373744</v>
      </c>
      <c r="V143" s="1231">
        <v>18.675645342312009</v>
      </c>
      <c r="W143" s="1233">
        <v>23.374485596707817</v>
      </c>
    </row>
    <row r="144" spans="1:23" ht="15.75">
      <c r="A144" s="1228">
        <v>2</v>
      </c>
      <c r="B144" s="1231">
        <v>8.2809565544009018</v>
      </c>
      <c r="C144" s="1231">
        <v>-29.064730186553152</v>
      </c>
      <c r="D144" s="1197">
        <v>7.1516213847502197</v>
      </c>
      <c r="E144" s="1231">
        <v>27.269312633028669</v>
      </c>
      <c r="F144" s="1197">
        <v>6.1024164266933774</v>
      </c>
      <c r="G144" s="1233">
        <v>9.4662159342264509</v>
      </c>
      <c r="H144" s="1231">
        <v>1.9927971188475391</v>
      </c>
      <c r="I144" s="1231">
        <v>-9.5592522723375062</v>
      </c>
      <c r="J144" s="1231">
        <v>9.3500257245755449</v>
      </c>
      <c r="K144" s="1231">
        <v>17.163436803292743</v>
      </c>
      <c r="L144" s="1231">
        <v>19.258377636768998</v>
      </c>
      <c r="M144" s="1233">
        <v>-0.10461327388098063</v>
      </c>
      <c r="N144" s="1231">
        <v>22.289071347678366</v>
      </c>
      <c r="O144" s="1231">
        <v>13.82361268403171</v>
      </c>
      <c r="P144" s="1231">
        <v>23.117214043035109</v>
      </c>
      <c r="Q144" s="1231">
        <v>-0.80690826727066822</v>
      </c>
      <c r="R144" s="1233">
        <v>10.527557568893924</v>
      </c>
      <c r="S144" s="1231">
        <v>10.16248325665366</v>
      </c>
      <c r="T144" s="1231">
        <v>10.715741657445692</v>
      </c>
      <c r="U144" s="1231">
        <v>27.622153631122238</v>
      </c>
      <c r="V144" s="1231">
        <v>22.421524663677125</v>
      </c>
      <c r="W144" s="1233">
        <v>16.166792848407198</v>
      </c>
    </row>
    <row r="145" spans="1:34" ht="15.75">
      <c r="A145" s="1228">
        <v>3</v>
      </c>
      <c r="B145" s="1231">
        <v>-7.7837075823179926</v>
      </c>
      <c r="C145" s="1231">
        <v>-28.456348806766691</v>
      </c>
      <c r="D145" s="1197">
        <v>4.4859530762259574</v>
      </c>
      <c r="E145" s="1231">
        <v>18.608397945826201</v>
      </c>
      <c r="F145" s="1197">
        <v>5.3619977847145304</v>
      </c>
      <c r="G145" s="1233">
        <v>2.1129124290940808</v>
      </c>
      <c r="H145" s="1231">
        <v>7.2025195125290997</v>
      </c>
      <c r="I145" s="1231">
        <v>-9.3762837190195825</v>
      </c>
      <c r="J145" s="1231">
        <v>14.850061618512939</v>
      </c>
      <c r="K145" s="1231">
        <v>17.698206216623305</v>
      </c>
      <c r="L145" s="1231">
        <v>19.249007257291524</v>
      </c>
      <c r="M145" s="1233">
        <v>2.7368889497466782</v>
      </c>
      <c r="N145" s="1231">
        <v>5.9785221990703654</v>
      </c>
      <c r="O145" s="1231">
        <v>15.899983971790352</v>
      </c>
      <c r="P145" s="1231">
        <v>34.404552011540311</v>
      </c>
      <c r="Q145" s="1231">
        <v>-8.0141048244911639E-3</v>
      </c>
      <c r="R145" s="1233">
        <v>8.161030079606773</v>
      </c>
      <c r="S145" s="1231">
        <v>6.5833091014829881</v>
      </c>
      <c r="T145" s="1231">
        <v>4.972375690607735</v>
      </c>
      <c r="U145" s="1231">
        <v>29.566734515847632</v>
      </c>
      <c r="V145" s="1231">
        <v>16.452457109624891</v>
      </c>
      <c r="W145" s="1233">
        <v>13.707473102646118</v>
      </c>
    </row>
    <row r="146" spans="1:34" ht="15.75">
      <c r="A146" s="1228">
        <v>4</v>
      </c>
      <c r="B146" s="1231">
        <v>-5.5971190180314965</v>
      </c>
      <c r="C146" s="1231">
        <v>-24.277852451117141</v>
      </c>
      <c r="D146" s="1197">
        <v>6.2615708452740231</v>
      </c>
      <c r="E146" s="1231">
        <v>23.149298775075451</v>
      </c>
      <c r="F146" s="1197">
        <v>2.3991275899672853</v>
      </c>
      <c r="G146" s="1233">
        <v>3.7635363039233107</v>
      </c>
      <c r="H146" s="1231">
        <v>11.367909746161079</v>
      </c>
      <c r="I146" s="1231">
        <v>-10.533531808210592</v>
      </c>
      <c r="J146" s="1231">
        <v>-1.8567847069884049</v>
      </c>
      <c r="K146" s="1231">
        <v>1.5277342525853963</v>
      </c>
      <c r="L146" s="1231">
        <v>20.777107489815105</v>
      </c>
      <c r="M146" s="1233">
        <v>-6.1951582575994983</v>
      </c>
      <c r="N146" s="1231">
        <v>10.705249841872233</v>
      </c>
      <c r="O146" s="1231">
        <v>14.073371283997469</v>
      </c>
      <c r="P146" s="1231">
        <v>24.580961416824799</v>
      </c>
      <c r="Q146" s="1231">
        <v>-9.9857685009487689</v>
      </c>
      <c r="R146" s="1233">
        <v>7.0709466582331872</v>
      </c>
      <c r="S146" s="1231">
        <v>6.6235581964348134</v>
      </c>
      <c r="T146" s="1231">
        <v>4.6545496912501463</v>
      </c>
      <c r="U146" s="1231">
        <v>33.816847256204127</v>
      </c>
      <c r="V146" s="1231">
        <v>20.598858208085751</v>
      </c>
      <c r="W146" s="1233">
        <v>15.031651714629696</v>
      </c>
    </row>
    <row r="147" spans="1:34" ht="15.75">
      <c r="A147" s="1459">
        <v>5</v>
      </c>
      <c r="B147" s="1232">
        <v>3.1018672677441632</v>
      </c>
      <c r="C147" s="1232">
        <v>-28.662175661484081</v>
      </c>
      <c r="D147" s="1199">
        <v>11.884941471786071</v>
      </c>
      <c r="E147" s="1232">
        <v>28.093542685894317</v>
      </c>
      <c r="F147" s="1199">
        <v>-0.43800107579211578</v>
      </c>
      <c r="G147" s="1234">
        <v>6.4368228272841357</v>
      </c>
      <c r="H147" s="1232">
        <v>19.255474452554743</v>
      </c>
      <c r="I147" s="1232">
        <v>-8.0437956204379564</v>
      </c>
      <c r="J147" s="1232">
        <v>4.726277372262774</v>
      </c>
      <c r="K147" s="1232">
        <v>1.3868613138686132</v>
      </c>
      <c r="L147" s="1232">
        <v>21.310948905109491</v>
      </c>
      <c r="M147" s="1234">
        <v>-1.6587591240875912</v>
      </c>
      <c r="N147" s="1232">
        <v>-45.303538175046548</v>
      </c>
      <c r="O147" s="1232">
        <v>10.033519553072626</v>
      </c>
      <c r="P147" s="1232">
        <v>35.456238361266294</v>
      </c>
      <c r="Q147" s="1232">
        <v>-5.3631284916201123</v>
      </c>
      <c r="R147" s="1234">
        <v>-6.6269397889509625</v>
      </c>
      <c r="S147" s="1232">
        <v>10.671040858932301</v>
      </c>
      <c r="T147" s="1232">
        <v>9.788249328959143</v>
      </c>
      <c r="U147" s="1232">
        <v>32.162242767670747</v>
      </c>
      <c r="V147" s="1232">
        <v>17.83477482851178</v>
      </c>
      <c r="W147" s="1234">
        <v>17.540510985187396</v>
      </c>
    </row>
    <row r="148" spans="1:34" ht="15.75" hidden="1" customHeight="1">
      <c r="A148" s="1200"/>
      <c r="G148" s="1198">
        <f>(B147-D147+E147)/3</f>
        <v>6.4368228272841366</v>
      </c>
      <c r="H148" s="1197"/>
      <c r="I148" s="1197"/>
      <c r="J148" s="1197"/>
      <c r="K148" s="1197"/>
      <c r="L148" s="1197"/>
      <c r="M148" s="1198">
        <f>(I147+J147)/2</f>
        <v>-1.6587591240875912</v>
      </c>
      <c r="N148" s="1197"/>
      <c r="O148" s="1197"/>
      <c r="P148" s="1197"/>
      <c r="Q148" s="1197"/>
      <c r="R148" s="1198">
        <f>(N147-O147+P147)/3</f>
        <v>-6.6269397889509607</v>
      </c>
      <c r="S148" s="1197"/>
      <c r="T148" s="1197"/>
      <c r="U148" s="1197"/>
      <c r="V148" s="1197"/>
      <c r="W148" s="1198">
        <f>(S147+T147+U147)/3</f>
        <v>17.540510985187396</v>
      </c>
    </row>
    <row r="149" spans="1:34" ht="9" customHeight="1">
      <c r="A149" s="1200"/>
      <c r="G149" s="1201"/>
    </row>
    <row r="150" spans="1:34" ht="14.25" customHeight="1">
      <c r="A150" s="2370" t="s">
        <v>3116</v>
      </c>
      <c r="B150" s="2370"/>
      <c r="C150" s="2370"/>
      <c r="D150" s="2370"/>
      <c r="E150" s="2370"/>
      <c r="F150" s="2370"/>
      <c r="G150" s="2370"/>
      <c r="H150" s="2370"/>
      <c r="I150" s="2370"/>
      <c r="J150" s="2370"/>
      <c r="K150" s="2370"/>
      <c r="L150" s="2370"/>
      <c r="M150" s="2370"/>
      <c r="N150" s="2370"/>
      <c r="O150" s="2370"/>
      <c r="P150" s="2370"/>
      <c r="Q150" s="2370"/>
      <c r="R150" s="2370"/>
      <c r="S150" s="2370"/>
      <c r="T150" s="2370"/>
      <c r="U150" s="2370"/>
      <c r="V150" s="2370"/>
      <c r="W150" s="2370"/>
    </row>
    <row r="151" spans="1:34" ht="14.25" customHeight="1">
      <c r="A151" s="2370" t="s">
        <v>3117</v>
      </c>
      <c r="B151" s="2370"/>
      <c r="C151" s="2370"/>
      <c r="D151" s="2370"/>
      <c r="E151" s="2370"/>
      <c r="F151" s="2370"/>
      <c r="G151" s="2370"/>
      <c r="H151" s="2370"/>
      <c r="I151" s="2370"/>
      <c r="J151" s="2370"/>
      <c r="K151" s="2370"/>
      <c r="L151" s="2370"/>
      <c r="M151" s="2370"/>
      <c r="N151" s="2370"/>
      <c r="O151" s="2370"/>
      <c r="P151" s="2370"/>
      <c r="Q151" s="2370"/>
      <c r="R151" s="2370"/>
      <c r="S151" s="2370"/>
      <c r="T151" s="2370"/>
      <c r="U151" s="2370"/>
      <c r="V151" s="2370"/>
      <c r="W151" s="2370"/>
    </row>
    <row r="152" spans="1:34" ht="14.25" customHeight="1">
      <c r="A152" s="2370" t="s">
        <v>3118</v>
      </c>
      <c r="B152" s="2370"/>
      <c r="C152" s="2370"/>
      <c r="D152" s="2370"/>
      <c r="E152" s="2370"/>
      <c r="F152" s="2370"/>
      <c r="G152" s="2370"/>
      <c r="H152" s="2370"/>
      <c r="I152" s="2370"/>
      <c r="J152" s="2370"/>
      <c r="K152" s="2370"/>
      <c r="L152" s="2370"/>
      <c r="M152" s="2370"/>
      <c r="N152" s="2370"/>
      <c r="O152" s="2370"/>
      <c r="P152" s="2370"/>
      <c r="Q152" s="2370"/>
      <c r="R152" s="2370"/>
      <c r="S152" s="2370"/>
      <c r="T152" s="2370"/>
      <c r="U152" s="2370"/>
      <c r="V152" s="2370"/>
      <c r="W152" s="2370"/>
    </row>
    <row r="153" spans="1:34" ht="14.25" customHeight="1">
      <c r="A153" s="2370" t="s">
        <v>3119</v>
      </c>
      <c r="B153" s="2370"/>
      <c r="C153" s="2370"/>
      <c r="D153" s="2370"/>
      <c r="E153" s="2370"/>
      <c r="F153" s="2370"/>
      <c r="G153" s="2370"/>
      <c r="H153" s="2370"/>
      <c r="I153" s="2370"/>
      <c r="J153" s="2370"/>
      <c r="K153" s="2370"/>
      <c r="L153" s="2370"/>
      <c r="M153" s="2370"/>
      <c r="N153" s="2370"/>
      <c r="O153" s="2370"/>
      <c r="P153" s="2370"/>
      <c r="Q153" s="2370"/>
      <c r="R153" s="2370"/>
      <c r="S153" s="2370"/>
      <c r="T153" s="2370"/>
      <c r="U153" s="2370"/>
      <c r="V153" s="2370"/>
      <c r="W153" s="2370"/>
    </row>
    <row r="154" spans="1:34" s="943" customFormat="1" ht="14.25" customHeight="1">
      <c r="A154" s="1274" t="s">
        <v>3272</v>
      </c>
      <c r="B154" s="1274"/>
      <c r="C154" s="1274"/>
      <c r="D154" s="1274"/>
      <c r="E154" s="1274"/>
      <c r="F154" s="1274"/>
      <c r="G154" s="1274"/>
      <c r="H154" s="1274"/>
      <c r="I154" s="1274"/>
      <c r="J154" s="1274"/>
      <c r="K154" s="1274"/>
      <c r="L154" s="1274"/>
      <c r="M154" s="1274"/>
      <c r="N154" s="1274"/>
      <c r="O154" s="1274"/>
      <c r="P154" s="1274"/>
      <c r="Q154" s="1274"/>
      <c r="R154" s="1274"/>
      <c r="S154" s="1274"/>
      <c r="T154" s="1274"/>
      <c r="U154" s="1274"/>
      <c r="V154" s="1274"/>
      <c r="W154" s="1274"/>
      <c r="X154" s="1274"/>
      <c r="Y154" s="1274"/>
      <c r="Z154" s="1274"/>
      <c r="AA154" s="1274"/>
      <c r="AB154" s="1274"/>
      <c r="AC154" s="1274"/>
      <c r="AD154" s="1274"/>
      <c r="AE154" s="1274"/>
      <c r="AF154" s="1274"/>
      <c r="AG154" s="1274"/>
      <c r="AH154" s="1274"/>
    </row>
  </sheetData>
  <mergeCells count="46">
    <mergeCell ref="A2:W2"/>
    <mergeCell ref="A3:W3"/>
    <mergeCell ref="A6:A8"/>
    <mergeCell ref="B6:G6"/>
    <mergeCell ref="H6:M6"/>
    <mergeCell ref="N6:R6"/>
    <mergeCell ref="S6:W6"/>
    <mergeCell ref="B7:D7"/>
    <mergeCell ref="E7:F7"/>
    <mergeCell ref="G7:G8"/>
    <mergeCell ref="H7:I7"/>
    <mergeCell ref="J7:K7"/>
    <mergeCell ref="L7:L8"/>
    <mergeCell ref="M7:M8"/>
    <mergeCell ref="W7:W8"/>
    <mergeCell ref="N7:O7"/>
    <mergeCell ref="A9:A11"/>
    <mergeCell ref="B9:G9"/>
    <mergeCell ref="H9:M9"/>
    <mergeCell ref="N9:R9"/>
    <mergeCell ref="S9:W9"/>
    <mergeCell ref="E10:F10"/>
    <mergeCell ref="G10:G11"/>
    <mergeCell ref="H10:I10"/>
    <mergeCell ref="J10:K10"/>
    <mergeCell ref="L10:L11"/>
    <mergeCell ref="B10:D10"/>
    <mergeCell ref="M10:M11"/>
    <mergeCell ref="N10:O10"/>
    <mergeCell ref="P7:Q7"/>
    <mergeCell ref="R7:R8"/>
    <mergeCell ref="S7:T7"/>
    <mergeCell ref="U7:V7"/>
    <mergeCell ref="W10:W11"/>
    <mergeCell ref="P10:Q10"/>
    <mergeCell ref="R10:R11"/>
    <mergeCell ref="S10:T10"/>
    <mergeCell ref="U10:V10"/>
    <mergeCell ref="A153:P153"/>
    <mergeCell ref="Q153:W153"/>
    <mergeCell ref="A150:P150"/>
    <mergeCell ref="Q150:W150"/>
    <mergeCell ref="A151:P151"/>
    <mergeCell ref="Q151:W151"/>
    <mergeCell ref="A152:P152"/>
    <mergeCell ref="Q152:W152"/>
  </mergeCells>
  <pageMargins left="0.7" right="0.7" top="0.75" bottom="0.75" header="0.3" footer="0.3"/>
  <pageSetup scale="25" orientation="portrait" horizontalDpi="4294967295" verticalDpi="4294967295"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6">
    <tabColor rgb="FF92D050"/>
  </sheetPr>
  <dimension ref="A1:M29"/>
  <sheetViews>
    <sheetView showGridLines="0" view="pageBreakPreview" zoomScale="115" zoomScaleNormal="100" zoomScaleSheetLayoutView="115" workbookViewId="0">
      <selection activeCell="M31" sqref="M31"/>
    </sheetView>
  </sheetViews>
  <sheetFormatPr defaultColWidth="9.140625" defaultRowHeight="15"/>
  <cols>
    <col min="1" max="1" width="13.42578125" style="1177" customWidth="1"/>
    <col min="2" max="3" width="18.140625" style="1177" hidden="1" customWidth="1"/>
    <col min="4" max="7" width="18.140625" style="1177" customWidth="1"/>
    <col min="8" max="9" width="18.140625" style="1177" hidden="1" customWidth="1"/>
    <col min="10" max="13" width="18.140625" style="1177" customWidth="1"/>
    <col min="14" max="14" width="5.140625" style="1177" customWidth="1"/>
    <col min="15" max="16384" width="9.140625" style="1177"/>
  </cols>
  <sheetData>
    <row r="1" spans="1:13" ht="11.25" customHeight="1"/>
    <row r="2" spans="1:13" ht="17.25" customHeight="1">
      <c r="A2" s="2986" t="s">
        <v>3248</v>
      </c>
      <c r="B2" s="2986"/>
      <c r="C2" s="2986"/>
      <c r="D2" s="2986"/>
      <c r="E2" s="2986"/>
      <c r="F2" s="2986"/>
      <c r="G2" s="2986"/>
      <c r="H2" s="2986"/>
      <c r="I2" s="2986"/>
      <c r="J2" s="2986"/>
      <c r="K2" s="2986"/>
      <c r="L2" s="2986"/>
      <c r="M2" s="2986"/>
    </row>
    <row r="3" spans="1:13" ht="17.25" customHeight="1">
      <c r="A3" s="2987" t="s">
        <v>3249</v>
      </c>
      <c r="B3" s="2987"/>
      <c r="C3" s="2987"/>
      <c r="D3" s="2987"/>
      <c r="E3" s="2987"/>
      <c r="F3" s="2987"/>
      <c r="G3" s="2987"/>
      <c r="H3" s="2987"/>
      <c r="I3" s="2987"/>
      <c r="J3" s="2987"/>
      <c r="K3" s="2987"/>
      <c r="L3" s="2987"/>
      <c r="M3" s="2987"/>
    </row>
    <row r="4" spans="1:13" ht="9" customHeight="1">
      <c r="A4" s="1178"/>
    </row>
    <row r="5" spans="1:13" ht="12" customHeight="1">
      <c r="A5" s="1179"/>
      <c r="B5" s="1179"/>
      <c r="C5" s="1179"/>
      <c r="D5" s="1179"/>
      <c r="E5" s="1179"/>
      <c r="F5" s="1179"/>
      <c r="G5" s="1179"/>
      <c r="H5" s="1179"/>
      <c r="I5" s="1179"/>
      <c r="J5" s="1179"/>
      <c r="K5" s="1179"/>
      <c r="L5" s="1179"/>
      <c r="M5" s="1179"/>
    </row>
    <row r="6" spans="1:13" ht="12" customHeight="1">
      <c r="A6" s="1180"/>
      <c r="B6" s="1180"/>
      <c r="C6" s="1180"/>
      <c r="D6" s="1180"/>
      <c r="E6" s="1180"/>
      <c r="F6" s="1180"/>
      <c r="G6" s="1180"/>
      <c r="H6" s="1180"/>
      <c r="I6" s="1180"/>
      <c r="J6" s="1180"/>
      <c r="K6" s="1180"/>
      <c r="L6" s="1180"/>
      <c r="M6" s="1180"/>
    </row>
    <row r="7" spans="1:13" ht="25.5" customHeight="1">
      <c r="A7" s="2988" t="s">
        <v>3018</v>
      </c>
      <c r="B7" s="2991" t="s">
        <v>3019</v>
      </c>
      <c r="C7" s="2991"/>
      <c r="D7" s="2991"/>
      <c r="E7" s="2991"/>
      <c r="F7" s="2991"/>
      <c r="G7" s="2991"/>
      <c r="H7" s="2991" t="s">
        <v>3020</v>
      </c>
      <c r="I7" s="2991"/>
      <c r="J7" s="2991"/>
      <c r="K7" s="2991"/>
      <c r="L7" s="2991"/>
      <c r="M7" s="2991"/>
    </row>
    <row r="8" spans="1:13" ht="25.5" customHeight="1">
      <c r="A8" s="2989"/>
      <c r="B8" s="2992" t="s">
        <v>3021</v>
      </c>
      <c r="C8" s="2993"/>
      <c r="D8" s="2993"/>
      <c r="E8" s="2993"/>
      <c r="F8" s="2993"/>
      <c r="G8" s="2994"/>
      <c r="H8" s="2992" t="s">
        <v>3022</v>
      </c>
      <c r="I8" s="2993"/>
      <c r="J8" s="2993"/>
      <c r="K8" s="2993"/>
      <c r="L8" s="2993"/>
      <c r="M8" s="2994"/>
    </row>
    <row r="9" spans="1:13" ht="23.25" customHeight="1">
      <c r="A9" s="2990"/>
      <c r="B9" s="1181">
        <v>2020</v>
      </c>
      <c r="C9" s="1181">
        <v>2021</v>
      </c>
      <c r="D9" s="1181">
        <v>2022</v>
      </c>
      <c r="E9" s="1181">
        <v>2023</v>
      </c>
      <c r="F9" s="1181">
        <v>2024</v>
      </c>
      <c r="G9" s="1181">
        <v>2025</v>
      </c>
      <c r="H9" s="1181">
        <v>2020</v>
      </c>
      <c r="I9" s="1181">
        <v>2021</v>
      </c>
      <c r="J9" s="1181">
        <v>2022</v>
      </c>
      <c r="K9" s="1181">
        <v>2023</v>
      </c>
      <c r="L9" s="1181">
        <v>2024</v>
      </c>
      <c r="M9" s="1181">
        <v>2025</v>
      </c>
    </row>
    <row r="10" spans="1:13" ht="15.75">
      <c r="A10" s="1182" t="s">
        <v>18</v>
      </c>
      <c r="B10" s="1183">
        <v>314</v>
      </c>
      <c r="C10" s="1184">
        <v>1384</v>
      </c>
      <c r="D10" s="1184">
        <v>2452</v>
      </c>
      <c r="E10" s="1849">
        <v>4083</v>
      </c>
      <c r="F10" s="1849">
        <v>7287</v>
      </c>
      <c r="G10" s="1185">
        <v>14488</v>
      </c>
      <c r="H10" s="1186">
        <v>377</v>
      </c>
      <c r="I10" s="1184">
        <v>1010</v>
      </c>
      <c r="J10" s="1184">
        <v>1165</v>
      </c>
      <c r="K10" s="1849">
        <v>2024</v>
      </c>
      <c r="L10" s="1849">
        <v>3130</v>
      </c>
      <c r="M10" s="1185">
        <v>4874</v>
      </c>
    </row>
    <row r="11" spans="1:13" ht="15.75">
      <c r="A11" s="1187" t="s">
        <v>19</v>
      </c>
      <c r="B11" s="1186">
        <v>700</v>
      </c>
      <c r="C11" s="1188">
        <v>1422</v>
      </c>
      <c r="D11" s="1188">
        <v>2916</v>
      </c>
      <c r="E11" s="1188">
        <v>4439</v>
      </c>
      <c r="F11" s="1188">
        <v>7925</v>
      </c>
      <c r="G11" s="1189">
        <v>15055</v>
      </c>
      <c r="H11" s="1186">
        <v>808</v>
      </c>
      <c r="I11" s="1188">
        <v>1255</v>
      </c>
      <c r="J11" s="1188">
        <v>1495</v>
      </c>
      <c r="K11" s="1188">
        <v>1973</v>
      </c>
      <c r="L11" s="1188">
        <v>2956</v>
      </c>
      <c r="M11" s="1189">
        <v>4024</v>
      </c>
    </row>
    <row r="12" spans="1:13" ht="15.75">
      <c r="A12" s="1187" t="s">
        <v>20</v>
      </c>
      <c r="B12" s="1186">
        <v>352</v>
      </c>
      <c r="C12" s="1188">
        <v>2100</v>
      </c>
      <c r="D12" s="1188">
        <v>3001</v>
      </c>
      <c r="E12" s="1188">
        <v>4284</v>
      </c>
      <c r="F12" s="1188">
        <v>7620</v>
      </c>
      <c r="G12" s="1189">
        <v>11049</v>
      </c>
      <c r="H12" s="1186">
        <v>610</v>
      </c>
      <c r="I12" s="1188">
        <v>1548</v>
      </c>
      <c r="J12" s="1188">
        <v>1628</v>
      </c>
      <c r="K12" s="1188">
        <v>2540</v>
      </c>
      <c r="L12" s="1188">
        <v>2597</v>
      </c>
      <c r="M12" s="1189">
        <v>2693</v>
      </c>
    </row>
    <row r="13" spans="1:13" ht="15.75">
      <c r="A13" s="1187" t="s">
        <v>21</v>
      </c>
      <c r="B13" s="1186">
        <v>193</v>
      </c>
      <c r="C13" s="1188">
        <v>2813</v>
      </c>
      <c r="D13" s="1188">
        <v>3404</v>
      </c>
      <c r="E13" s="1188">
        <v>5176</v>
      </c>
      <c r="F13" s="1188">
        <v>9550</v>
      </c>
      <c r="G13" s="1189">
        <v>17923</v>
      </c>
      <c r="H13" s="1186">
        <v>324</v>
      </c>
      <c r="I13" s="1188">
        <v>1835</v>
      </c>
      <c r="J13" s="1188">
        <v>1935</v>
      </c>
      <c r="K13" s="1188">
        <v>2312</v>
      </c>
      <c r="L13" s="1188">
        <v>3338</v>
      </c>
      <c r="M13" s="1189">
        <v>5952</v>
      </c>
    </row>
    <row r="14" spans="1:13" ht="15.75">
      <c r="A14" s="1187" t="s">
        <v>22</v>
      </c>
      <c r="B14" s="1186">
        <v>319</v>
      </c>
      <c r="C14" s="1188">
        <v>2466</v>
      </c>
      <c r="D14" s="1188">
        <v>3033</v>
      </c>
      <c r="E14" s="1188">
        <v>5805</v>
      </c>
      <c r="F14" s="1188">
        <v>11549</v>
      </c>
      <c r="G14" s="1189">
        <v>15633</v>
      </c>
      <c r="H14" s="1186">
        <v>372</v>
      </c>
      <c r="I14" s="1188">
        <v>1609</v>
      </c>
      <c r="J14" s="1188">
        <v>1716</v>
      </c>
      <c r="K14" s="1188">
        <v>2286</v>
      </c>
      <c r="L14" s="1188">
        <v>3480</v>
      </c>
      <c r="M14" s="1189">
        <v>3621</v>
      </c>
    </row>
    <row r="15" spans="1:13" ht="15.75">
      <c r="A15" s="1187" t="s">
        <v>23</v>
      </c>
      <c r="B15" s="1186">
        <v>429</v>
      </c>
      <c r="C15" s="1188">
        <v>2596</v>
      </c>
      <c r="D15" s="1188">
        <v>3127</v>
      </c>
      <c r="E15" s="1188">
        <v>5997</v>
      </c>
      <c r="F15" s="1188">
        <v>8340</v>
      </c>
      <c r="G15" s="1189"/>
      <c r="H15" s="1186">
        <v>407</v>
      </c>
      <c r="I15" s="1188">
        <v>1668</v>
      </c>
      <c r="J15" s="1188">
        <v>1737</v>
      </c>
      <c r="K15" s="1188">
        <v>3597</v>
      </c>
      <c r="L15" s="1188">
        <v>4222</v>
      </c>
      <c r="M15" s="1189"/>
    </row>
    <row r="16" spans="1:13" ht="15.75">
      <c r="A16" s="1187" t="s">
        <v>24</v>
      </c>
      <c r="B16" s="1186">
        <v>682</v>
      </c>
      <c r="C16" s="1188">
        <v>2482</v>
      </c>
      <c r="D16" s="1188">
        <v>2750</v>
      </c>
      <c r="E16" s="1188">
        <v>9829</v>
      </c>
      <c r="F16" s="1188">
        <v>14123</v>
      </c>
      <c r="G16" s="1189"/>
      <c r="H16" s="1186">
        <v>854</v>
      </c>
      <c r="I16" s="1188">
        <v>1618</v>
      </c>
      <c r="J16" s="1188">
        <v>2133</v>
      </c>
      <c r="K16" s="1188">
        <v>8965</v>
      </c>
      <c r="L16" s="1188">
        <v>4003</v>
      </c>
      <c r="M16" s="1189"/>
    </row>
    <row r="17" spans="1:13" ht="15.75">
      <c r="A17" s="1187" t="s">
        <v>25</v>
      </c>
      <c r="B17" s="1186">
        <v>1051</v>
      </c>
      <c r="C17" s="1188">
        <v>3178</v>
      </c>
      <c r="D17" s="1188">
        <v>3476</v>
      </c>
      <c r="E17" s="1188">
        <v>8803</v>
      </c>
      <c r="F17" s="1188">
        <v>14522</v>
      </c>
      <c r="G17" s="1189"/>
      <c r="H17" s="1186">
        <v>993</v>
      </c>
      <c r="I17" s="1188">
        <v>1639</v>
      </c>
      <c r="J17" s="1188">
        <v>2292</v>
      </c>
      <c r="K17" s="1188">
        <v>3293</v>
      </c>
      <c r="L17" s="1188">
        <v>4309</v>
      </c>
      <c r="M17" s="1189"/>
    </row>
    <row r="18" spans="1:13" ht="15.75">
      <c r="A18" s="1187" t="s">
        <v>26</v>
      </c>
      <c r="B18" s="1186">
        <v>1782</v>
      </c>
      <c r="C18" s="1188">
        <v>2919</v>
      </c>
      <c r="D18" s="1188">
        <v>4136</v>
      </c>
      <c r="E18" s="1188">
        <v>7214</v>
      </c>
      <c r="F18" s="1188">
        <v>13669</v>
      </c>
      <c r="G18" s="1189"/>
      <c r="H18" s="1186">
        <v>1238</v>
      </c>
      <c r="I18" s="1188">
        <v>1722</v>
      </c>
      <c r="J18" s="1188">
        <v>2699</v>
      </c>
      <c r="K18" s="1188">
        <v>2302</v>
      </c>
      <c r="L18" s="1188">
        <v>3686</v>
      </c>
      <c r="M18" s="1189"/>
    </row>
    <row r="19" spans="1:13" ht="15.75">
      <c r="A19" s="1187" t="s">
        <v>27</v>
      </c>
      <c r="B19" s="1186">
        <v>1660</v>
      </c>
      <c r="C19" s="1188">
        <v>2981</v>
      </c>
      <c r="D19" s="1188">
        <v>6097</v>
      </c>
      <c r="E19" s="1188">
        <v>6494</v>
      </c>
      <c r="F19" s="1188">
        <v>16807</v>
      </c>
      <c r="G19" s="1189"/>
      <c r="H19" s="1186">
        <v>1285</v>
      </c>
      <c r="I19" s="1188">
        <v>1636</v>
      </c>
      <c r="J19" s="1188">
        <v>2867</v>
      </c>
      <c r="K19" s="1188">
        <v>2603</v>
      </c>
      <c r="L19" s="1188">
        <v>3245</v>
      </c>
      <c r="M19" s="1189"/>
    </row>
    <row r="20" spans="1:13" ht="15.75">
      <c r="A20" s="1187" t="s">
        <v>28</v>
      </c>
      <c r="B20" s="1186">
        <v>1327</v>
      </c>
      <c r="C20" s="1188">
        <v>2882</v>
      </c>
      <c r="D20" s="1188">
        <v>5562</v>
      </c>
      <c r="E20" s="1188">
        <v>15525</v>
      </c>
      <c r="F20" s="1188">
        <v>14764</v>
      </c>
      <c r="G20" s="1190"/>
      <c r="H20" s="1186">
        <v>1162</v>
      </c>
      <c r="I20" s="1188">
        <v>1486</v>
      </c>
      <c r="J20" s="1188">
        <v>2179</v>
      </c>
      <c r="K20" s="1188">
        <v>2521</v>
      </c>
      <c r="L20" s="1188">
        <v>3582</v>
      </c>
      <c r="M20" s="1190"/>
    </row>
    <row r="21" spans="1:13" ht="15.75">
      <c r="A21" s="1187" t="s">
        <v>29</v>
      </c>
      <c r="B21" s="1186">
        <v>1772</v>
      </c>
      <c r="C21" s="1188">
        <v>2924</v>
      </c>
      <c r="D21" s="1188">
        <v>7470</v>
      </c>
      <c r="E21" s="1188">
        <v>12936</v>
      </c>
      <c r="F21" s="1188">
        <v>20846</v>
      </c>
      <c r="G21" s="1190"/>
      <c r="H21" s="1186">
        <v>1451</v>
      </c>
      <c r="I21" s="1188">
        <v>1773</v>
      </c>
      <c r="J21" s="1188">
        <v>3762</v>
      </c>
      <c r="K21" s="1188">
        <v>3252</v>
      </c>
      <c r="L21" s="1188">
        <v>10786</v>
      </c>
      <c r="M21" s="1190"/>
    </row>
    <row r="22" spans="1:13" ht="21" customHeight="1">
      <c r="A22" s="1191" t="s">
        <v>3023</v>
      </c>
      <c r="B22" s="1192">
        <f t="shared" ref="B22:G22" si="0">SUM(B10:B21)</f>
        <v>10581</v>
      </c>
      <c r="C22" s="1193">
        <f t="shared" si="0"/>
        <v>30147</v>
      </c>
      <c r="D22" s="1193">
        <f t="shared" si="0"/>
        <v>47424</v>
      </c>
      <c r="E22" s="1193">
        <f t="shared" si="0"/>
        <v>90585</v>
      </c>
      <c r="F22" s="1193">
        <f t="shared" si="0"/>
        <v>147002</v>
      </c>
      <c r="G22" s="1194">
        <f t="shared" si="0"/>
        <v>74148</v>
      </c>
      <c r="H22" s="1192">
        <f t="shared" ref="H22:I22" si="1">SUM(H10:H21)</f>
        <v>9881</v>
      </c>
      <c r="I22" s="1193">
        <f t="shared" si="1"/>
        <v>18799</v>
      </c>
      <c r="J22" s="1193">
        <f>SUM(J10:J21)</f>
        <v>25608</v>
      </c>
      <c r="K22" s="1193">
        <f>SUM(K10:K21)</f>
        <v>37668</v>
      </c>
      <c r="L22" s="1193">
        <f>SUM(L10:L21)</f>
        <v>49334</v>
      </c>
      <c r="M22" s="1194">
        <f>SUM(M10:M21)</f>
        <v>21164</v>
      </c>
    </row>
    <row r="23" spans="1:13" ht="42" customHeight="1">
      <c r="A23" s="2995" t="s">
        <v>3024</v>
      </c>
      <c r="B23" s="2995"/>
      <c r="C23" s="2995"/>
      <c r="D23" s="2995"/>
      <c r="E23" s="2995"/>
      <c r="F23" s="2995"/>
      <c r="G23" s="2995"/>
      <c r="H23" s="2995"/>
      <c r="I23" s="2995"/>
      <c r="J23" s="2995"/>
      <c r="K23" s="2995"/>
      <c r="L23" s="2995"/>
      <c r="M23" s="2995"/>
    </row>
    <row r="24" spans="1:13" s="1195" customFormat="1" ht="15.75" customHeight="1">
      <c r="A24" s="2995" t="s">
        <v>3025</v>
      </c>
      <c r="B24" s="2995"/>
      <c r="C24" s="2995"/>
      <c r="D24" s="2995"/>
      <c r="E24" s="2995"/>
      <c r="F24" s="2995"/>
      <c r="G24" s="2995"/>
      <c r="H24" s="2995"/>
      <c r="I24" s="2995"/>
      <c r="J24" s="2995"/>
      <c r="K24" s="2995"/>
      <c r="L24" s="2995"/>
      <c r="M24" s="2995"/>
    </row>
    <row r="25" spans="1:13" s="1195" customFormat="1">
      <c r="A25" s="2985"/>
      <c r="B25" s="2985"/>
      <c r="C25" s="2985"/>
      <c r="D25" s="2985"/>
      <c r="E25" s="2985"/>
      <c r="F25" s="2985"/>
      <c r="G25" s="2985"/>
      <c r="H25" s="2985"/>
      <c r="I25" s="2985"/>
      <c r="J25" s="2985"/>
      <c r="K25" s="2985"/>
      <c r="L25" s="2985"/>
      <c r="M25" s="2985"/>
    </row>
    <row r="26" spans="1:13">
      <c r="A26" s="2985"/>
      <c r="B26" s="2985"/>
      <c r="C26" s="2985"/>
      <c r="D26" s="2985"/>
      <c r="E26" s="2985"/>
      <c r="F26" s="2985"/>
      <c r="G26" s="2985"/>
      <c r="H26" s="2985"/>
      <c r="I26" s="2985"/>
      <c r="J26" s="2985"/>
      <c r="K26" s="2985"/>
      <c r="L26" s="2985"/>
      <c r="M26" s="2985"/>
    </row>
    <row r="27" spans="1:13">
      <c r="A27" s="2985"/>
      <c r="B27" s="2985"/>
      <c r="C27" s="2985"/>
      <c r="D27" s="2985"/>
      <c r="E27" s="2985"/>
      <c r="F27" s="2985"/>
      <c r="G27" s="2985"/>
      <c r="H27" s="2985"/>
      <c r="I27" s="2985"/>
      <c r="J27" s="2985"/>
      <c r="K27" s="2985"/>
      <c r="L27" s="2985"/>
      <c r="M27" s="2985"/>
    </row>
    <row r="28" spans="1:13" s="1195" customFormat="1">
      <c r="A28" s="2985"/>
      <c r="B28" s="2985"/>
      <c r="C28" s="2985"/>
      <c r="D28" s="2985"/>
      <c r="E28" s="2985"/>
      <c r="F28" s="2985"/>
      <c r="G28" s="2985"/>
      <c r="H28" s="2985"/>
      <c r="I28" s="2985"/>
      <c r="J28" s="2985"/>
      <c r="K28" s="2985"/>
      <c r="L28" s="2985"/>
      <c r="M28" s="2985"/>
    </row>
    <row r="29" spans="1:13">
      <c r="A29" s="2985"/>
      <c r="B29" s="2985"/>
      <c r="C29" s="2985"/>
      <c r="D29" s="2985"/>
      <c r="E29" s="2985"/>
      <c r="F29" s="2985"/>
      <c r="G29" s="2985"/>
      <c r="H29" s="2985"/>
      <c r="I29" s="2985"/>
      <c r="J29" s="2985"/>
      <c r="K29" s="2985"/>
      <c r="L29" s="2985"/>
      <c r="M29" s="2985"/>
    </row>
  </sheetData>
  <mergeCells count="13">
    <mergeCell ref="A29:M29"/>
    <mergeCell ref="A2:M2"/>
    <mergeCell ref="A3:M3"/>
    <mergeCell ref="A7:A9"/>
    <mergeCell ref="B7:G7"/>
    <mergeCell ref="H7:M7"/>
    <mergeCell ref="B8:G8"/>
    <mergeCell ref="H8:M8"/>
    <mergeCell ref="A23:M23"/>
    <mergeCell ref="A24:M24"/>
    <mergeCell ref="A25:M25"/>
    <mergeCell ref="A26:M27"/>
    <mergeCell ref="A28:M28"/>
  </mergeCells>
  <pageMargins left="0.7" right="0.7" top="0.75" bottom="0.75" header="0.3" footer="0.3"/>
  <pageSetup scale="46" orientation="portrait" horizontalDpi="4294967295" verticalDpi="4294967295"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isl xmlns:xsd="http://www.w3.org/2001/XMLSchema" xmlns:xsi="http://www.w3.org/2001/XMLSchema-instance" xmlns="http://www.boldonjames.com/2008/01/sie/internal/label" sislVersion="0" policy="cc4997ba-7551-4d2d-bef8-822781382baf" origin="userSelected"/>
</file>

<file path=customXml/itemProps1.xml><?xml version="1.0" encoding="utf-8"?>
<ds:datastoreItem xmlns:ds="http://schemas.openxmlformats.org/officeDocument/2006/customXml" ds:itemID="{56DF2875-4CEB-420A-A4E3-5EDA668EBBCE}">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68</vt:i4>
      </vt:variant>
      <vt:variant>
        <vt:lpstr>Named Ranges</vt:lpstr>
      </vt:variant>
      <vt:variant>
        <vt:i4>71</vt:i4>
      </vt:variant>
    </vt:vector>
  </HeadingPairs>
  <TitlesOfParts>
    <vt:vector size="139" baseType="lpstr">
      <vt:lpstr>Mündəricat</vt:lpstr>
      <vt:lpstr>Table of contents</vt:lpstr>
      <vt:lpstr>1.1</vt:lpstr>
      <vt:lpstr>1.2</vt:lpstr>
      <vt:lpstr>1.3</vt:lpstr>
      <vt:lpstr>1.4</vt:lpstr>
      <vt:lpstr>1.5</vt:lpstr>
      <vt:lpstr>1.6</vt:lpstr>
      <vt:lpstr>1.6.1</vt:lpstr>
      <vt:lpstr>2.1</vt:lpstr>
      <vt:lpstr>2.2</vt:lpstr>
      <vt:lpstr>2.3</vt:lpstr>
      <vt:lpstr>2.4</vt:lpstr>
      <vt:lpstr>2.5</vt:lpstr>
      <vt:lpstr>2.6</vt:lpstr>
      <vt:lpstr>2.7</vt:lpstr>
      <vt:lpstr>2.7.d.</vt:lpstr>
      <vt:lpstr>2.7.1</vt:lpstr>
      <vt:lpstr>2.8</vt:lpstr>
      <vt:lpstr>2.8.d.</vt:lpstr>
      <vt:lpstr>2.8.1</vt:lpstr>
      <vt:lpstr>2.8.2</vt:lpstr>
      <vt:lpstr>2.8.3</vt:lpstr>
      <vt:lpstr>2.8.4</vt:lpstr>
      <vt:lpstr>2.8.5</vt:lpstr>
      <vt:lpstr>2.8.6</vt:lpstr>
      <vt:lpstr>2.8.7</vt:lpstr>
      <vt:lpstr>2.8.8</vt:lpstr>
      <vt:lpstr>2.8.9</vt:lpstr>
      <vt:lpstr>2.9</vt:lpstr>
      <vt:lpstr>2.10</vt:lpstr>
      <vt:lpstr>2.11</vt:lpstr>
      <vt:lpstr>2.12</vt:lpstr>
      <vt:lpstr>2.13</vt:lpstr>
      <vt:lpstr>2.14</vt:lpstr>
      <vt:lpstr>2.15</vt:lpstr>
      <vt:lpstr>2.16</vt:lpstr>
      <vt:lpstr>2.16.1</vt:lpstr>
      <vt:lpstr>3.1 </vt:lpstr>
      <vt:lpstr>3.2</vt:lpstr>
      <vt:lpstr>3.2.1</vt:lpstr>
      <vt:lpstr>3.3 </vt:lpstr>
      <vt:lpstr>3.4</vt:lpstr>
      <vt:lpstr>3.5</vt:lpstr>
      <vt:lpstr>3.6</vt:lpstr>
      <vt:lpstr>4.1</vt:lpstr>
      <vt:lpstr>4.2</vt:lpstr>
      <vt:lpstr>4.3</vt:lpstr>
      <vt:lpstr>4.4</vt:lpstr>
      <vt:lpstr>4.5</vt:lpstr>
      <vt:lpstr>4.6</vt:lpstr>
      <vt:lpstr>4.7</vt:lpstr>
      <vt:lpstr>4.8</vt:lpstr>
      <vt:lpstr>4.9</vt:lpstr>
      <vt:lpstr>4.10</vt:lpstr>
      <vt:lpstr>5.1</vt:lpstr>
      <vt:lpstr>5.2</vt:lpstr>
      <vt:lpstr>5.3</vt:lpstr>
      <vt:lpstr>5.4</vt:lpstr>
      <vt:lpstr>5.5</vt:lpstr>
      <vt:lpstr>5.6</vt:lpstr>
      <vt:lpstr>5.7</vt:lpstr>
      <vt:lpstr>5.8</vt:lpstr>
      <vt:lpstr>5.9</vt:lpstr>
      <vt:lpstr>6.1</vt:lpstr>
      <vt:lpstr>6.2</vt:lpstr>
      <vt:lpstr>7</vt:lpstr>
      <vt:lpstr>8</vt:lpstr>
      <vt:lpstr>'1.1'!Print_Area</vt:lpstr>
      <vt:lpstr>'1.2'!Print_Area</vt:lpstr>
      <vt:lpstr>'1.3'!Print_Area</vt:lpstr>
      <vt:lpstr>'1.4'!Print_Area</vt:lpstr>
      <vt:lpstr>'1.5'!Print_Area</vt:lpstr>
      <vt:lpstr>'1.6'!Print_Area</vt:lpstr>
      <vt:lpstr>'1.6.1'!Print_Area</vt:lpstr>
      <vt:lpstr>'2.1'!Print_Area</vt:lpstr>
      <vt:lpstr>'2.10'!Print_Area</vt:lpstr>
      <vt:lpstr>'2.11'!Print_Area</vt:lpstr>
      <vt:lpstr>'2.12'!Print_Area</vt:lpstr>
      <vt:lpstr>'2.13'!Print_Area</vt:lpstr>
      <vt:lpstr>'2.14'!Print_Area</vt:lpstr>
      <vt:lpstr>'2.15'!Print_Area</vt:lpstr>
      <vt:lpstr>'2.16'!Print_Area</vt:lpstr>
      <vt:lpstr>'2.16.1'!Print_Area</vt:lpstr>
      <vt:lpstr>'2.2'!Print_Area</vt:lpstr>
      <vt:lpstr>'2.3'!Print_Area</vt:lpstr>
      <vt:lpstr>'2.4'!Print_Area</vt:lpstr>
      <vt:lpstr>'2.5'!Print_Area</vt:lpstr>
      <vt:lpstr>'2.6'!Print_Area</vt:lpstr>
      <vt:lpstr>'2.7'!Print_Area</vt:lpstr>
      <vt:lpstr>'2.7.1'!Print_Area</vt:lpstr>
      <vt:lpstr>'2.7.d.'!Print_Area</vt:lpstr>
      <vt:lpstr>'2.8'!Print_Area</vt:lpstr>
      <vt:lpstr>'2.8.1'!Print_Area</vt:lpstr>
      <vt:lpstr>'2.8.2'!Print_Area</vt:lpstr>
      <vt:lpstr>'2.8.3'!Print_Area</vt:lpstr>
      <vt:lpstr>'2.8.4'!Print_Area</vt:lpstr>
      <vt:lpstr>'2.8.5'!Print_Area</vt:lpstr>
      <vt:lpstr>'2.8.6'!Print_Area</vt:lpstr>
      <vt:lpstr>'2.8.7'!Print_Area</vt:lpstr>
      <vt:lpstr>'2.8.8'!Print_Area</vt:lpstr>
      <vt:lpstr>'2.8.9'!Print_Area</vt:lpstr>
      <vt:lpstr>'2.8.d.'!Print_Area</vt:lpstr>
      <vt:lpstr>'2.9'!Print_Area</vt:lpstr>
      <vt:lpstr>'3.1 '!Print_Area</vt:lpstr>
      <vt:lpstr>'3.2'!Print_Area</vt:lpstr>
      <vt:lpstr>'3.2.1'!Print_Area</vt:lpstr>
      <vt:lpstr>'3.3 '!Print_Area</vt:lpstr>
      <vt:lpstr>'3.4'!Print_Area</vt:lpstr>
      <vt:lpstr>'3.5'!Print_Area</vt:lpstr>
      <vt:lpstr>'3.6'!Print_Area</vt:lpstr>
      <vt:lpstr>'4.1'!Print_Area</vt:lpstr>
      <vt:lpstr>'4.10'!Print_Area</vt:lpstr>
      <vt:lpstr>'4.2'!Print_Area</vt:lpstr>
      <vt:lpstr>'4.3'!Print_Area</vt:lpstr>
      <vt:lpstr>'4.4'!Print_Area</vt:lpstr>
      <vt:lpstr>'4.6'!Print_Area</vt:lpstr>
      <vt:lpstr>'4.7'!Print_Area</vt:lpstr>
      <vt:lpstr>'4.8'!Print_Area</vt:lpstr>
      <vt:lpstr>'4.9'!Print_Area</vt:lpstr>
      <vt:lpstr>'5.1'!Print_Area</vt:lpstr>
      <vt:lpstr>'5.2'!Print_Area</vt:lpstr>
      <vt:lpstr>'5.3'!Print_Area</vt:lpstr>
      <vt:lpstr>'5.4'!Print_Area</vt:lpstr>
      <vt:lpstr>'5.5'!Print_Area</vt:lpstr>
      <vt:lpstr>'5.6'!Print_Area</vt:lpstr>
      <vt:lpstr>'5.7'!Print_Area</vt:lpstr>
      <vt:lpstr>'5.8'!Print_Area</vt:lpstr>
      <vt:lpstr>'5.9'!Print_Area</vt:lpstr>
      <vt:lpstr>'6.1'!Print_Area</vt:lpstr>
      <vt:lpstr>'6.2'!Print_Area</vt:lpstr>
      <vt:lpstr>'7'!Print_Area</vt:lpstr>
      <vt:lpstr>'8'!Print_Area</vt:lpstr>
      <vt:lpstr>Mündəricat!Print_Area</vt:lpstr>
      <vt:lpstr>'Table of contents'!Print_Area</vt:lpstr>
      <vt:lpstr>'2.13'!Print_Titles</vt:lpstr>
      <vt:lpstr>'2.8'!Print_Titles</vt:lpstr>
      <vt:lpstr>'2.8.d.'!Print_Titles</vt:lpstr>
      <vt:lpstr>'4.5'!Print_Titles</vt:lpstr>
    </vt:vector>
  </TitlesOfParts>
  <Company>cba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Rafizade Ibrahim</dc:creator>
  <cp:lastModifiedBy>Pərvin Aslanov</cp:lastModifiedBy>
  <cp:lastPrinted>2023-07-20T07:26:30Z</cp:lastPrinted>
  <dcterms:created xsi:type="dcterms:W3CDTF">2011-01-21T08:29:26Z</dcterms:created>
  <dcterms:modified xsi:type="dcterms:W3CDTF">2025-06-24T10:39:52Z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420e5ab4-06bb-495c-9dd3-bcaf8b964980</vt:lpwstr>
  </property>
  <property fmtid="{D5CDD505-2E9C-101B-9397-08002B2CF9AE}" pid="3" name="bjDocumentSecurityLabel">
    <vt:lpwstr>This item has no classification</vt:lpwstr>
  </property>
  <property fmtid="{D5CDD505-2E9C-101B-9397-08002B2CF9AE}" pid="4" name="bjSaver">
    <vt:lpwstr>hzRCwy8ymRjVPmwIZ6Be32hyFci6YdFt</vt:lpwstr>
  </property>
  <property fmtid="{D5CDD505-2E9C-101B-9397-08002B2CF9AE}" pid="5" name="bjClsUserRVM">
    <vt:lpwstr>[]</vt:lpwstr>
  </property>
</Properties>
</file>